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Metadata/LabelInfo.xml" ContentType="application/vnd.ms-office.classificationlabel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4" Type="http://schemas.openxmlformats.org/officeDocument/2006/relationships/custom-properties" Target="docProps/custom.xml" /><Relationship Id="rId5" Type="http://schemas.microsoft.com/office/2020/02/relationships/classificationlabels" Target="docMetadata/LabelInfo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6" codeName="{00000000-0000-0000-0000-000000000000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https://gst365.sharepoint.com/sites/ManufacturingTechTeam1/Shared Documents/General/99.개인폴더/박승록/"/>
    </mc:Choice>
  </mc:AlternateContent>
  <xr:revisionPtr revIDLastSave="24139" documentId="13_ncr:1_{1A74E9C8-8B98-465E-889D-A128A31CEA65}" xr6:coauthVersionLast="47" xr6:coauthVersionMax="47" xr10:uidLastSave="{DF720ADB-51F6-44B0-9854-6B27E13935ED}"/>
  <bookViews>
    <workbookView xWindow="28680" yWindow="-120" windowWidth="29040" windowHeight="15720" firstSheet="7" activeTab="7" xr2:uid="{00000000-000D-0000-FFFF-FFFF00000000}"/>
  </bookViews>
  <sheets>
    <sheet name="제조 검사 기준" sheetId="13" r:id="rId1"/>
    <sheet name="불량등록 양식" sheetId="29" r:id="rId2"/>
    <sheet name="고객사 별 가압 성적서" sheetId="25" r:id="rId3"/>
    <sheet name="제조품질 불량분석" sheetId="21" r:id="rId4"/>
    <sheet name="제조품질 날짜별 실적" sheetId="22" r:id="rId5"/>
    <sheet name="제조품질 불량내역" sheetId="23" r:id="rId6"/>
    <sheet name="가압 불량분석" sheetId="18" r:id="rId7"/>
    <sheet name="가압 날짜별 실적" sheetId="6" r:id="rId8"/>
    <sheet name="가압 불량내역" sheetId="5" r:id="rId9"/>
    <sheet name="24년 참고자료" sheetId="24" state="hidden" r:id="rId10"/>
    <sheet name="월 고객사별 정리" sheetId="27" r:id="rId11"/>
    <sheet name="주간 실적" sheetId="26" r:id="rId12"/>
    <sheet name="SCR DATA" sheetId="28" r:id="rId13"/>
  </sheets>
  <externalReferences>
    <externalReference r:id="rId14"/>
  </externalReferences>
  <definedNames>
    <definedName name="_xlnm._FilterDatabase" localSheetId="7" hidden="1">'가압 날짜별 실적'!$A$1:$U$4070</definedName>
    <definedName name="_xlnm._FilterDatabase" localSheetId="8" hidden="1">'가압 불량내역'!$A$1:$S$480</definedName>
    <definedName name="_xlnm._FilterDatabase" localSheetId="4" hidden="1">'제조품질 날짜별 실적'!$A$1:$U$4085</definedName>
    <definedName name="_xlnm._FilterDatabase" localSheetId="5" hidden="1">'제조품질 불량내역'!$A$1:$U$1</definedName>
    <definedName name="_xlpm.cleaned" hidden="1" xlm="1">#NAME?</definedName>
    <definedName name="_xlpm.raw" hidden="1" xlm="1">#NAME?</definedName>
    <definedName name="_xlnm.Print_Area" localSheetId="6">'가압 불량분석'!$A$1:$Q$107</definedName>
    <definedName name="_xlnm.Print_Area" localSheetId="0">'제조 검사 기준'!$A$16:$H$30</definedName>
    <definedName name="_xlnm.Print_Area" localSheetId="3">'제조품질 불량분석'!$A$1:$Q$123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" i="18" l="1"/>
  <c r="O84" i="21"/>
  <c r="O81" i="21"/>
  <c r="O78" i="21"/>
  <c r="O75" i="21"/>
  <c r="O72" i="21"/>
  <c r="O69" i="21"/>
  <c r="O66" i="21"/>
  <c r="O63" i="21"/>
  <c r="O60" i="21"/>
  <c r="O68" i="18"/>
  <c r="O65" i="18"/>
  <c r="O62" i="18"/>
  <c r="O59" i="18"/>
  <c r="O56" i="18"/>
  <c r="O53" i="18"/>
  <c r="O50" i="18"/>
  <c r="O44" i="18"/>
  <c r="O47" i="18"/>
  <c r="D46" i="18" a="1"/>
  <c r="D46" i="18"/>
  <c r="P46" i="18"/>
  <c r="E60" i="21"/>
  <c r="F60" i="21"/>
  <c r="G60" i="21"/>
  <c r="H60" i="21"/>
  <c r="I60" i="21"/>
  <c r="J60" i="21"/>
  <c r="K60" i="21"/>
  <c r="L60" i="21"/>
  <c r="M60" i="21"/>
  <c r="N60" i="21"/>
  <c r="D63" i="21"/>
  <c r="E63" i="21"/>
  <c r="F63" i="21"/>
  <c r="G63" i="21"/>
  <c r="H63" i="21"/>
  <c r="I63" i="21"/>
  <c r="J63" i="21"/>
  <c r="K63" i="21"/>
  <c r="L63" i="21"/>
  <c r="M63" i="21"/>
  <c r="N63" i="21"/>
  <c r="D66" i="21"/>
  <c r="E66" i="21"/>
  <c r="F66" i="21"/>
  <c r="G66" i="21"/>
  <c r="H66" i="21"/>
  <c r="I66" i="21"/>
  <c r="J66" i="21"/>
  <c r="K66" i="21"/>
  <c r="L66" i="21"/>
  <c r="M66" i="21"/>
  <c r="N66" i="21"/>
  <c r="D69" i="21"/>
  <c r="E69" i="21"/>
  <c r="F69" i="21"/>
  <c r="G69" i="21"/>
  <c r="H69" i="21"/>
  <c r="I69" i="21"/>
  <c r="J69" i="21"/>
  <c r="K69" i="21"/>
  <c r="L69" i="21"/>
  <c r="M69" i="21"/>
  <c r="N69" i="21"/>
  <c r="D72" i="21"/>
  <c r="E72" i="21"/>
  <c r="F72" i="21"/>
  <c r="G72" i="21"/>
  <c r="H72" i="21"/>
  <c r="I72" i="21"/>
  <c r="J72" i="21"/>
  <c r="K72" i="21"/>
  <c r="L72" i="21"/>
  <c r="M72" i="21"/>
  <c r="N72" i="21"/>
  <c r="D75" i="21"/>
  <c r="E75" i="21"/>
  <c r="F75" i="21"/>
  <c r="G75" i="21"/>
  <c r="H75" i="21"/>
  <c r="I75" i="21"/>
  <c r="J75" i="21"/>
  <c r="K75" i="21"/>
  <c r="L75" i="21"/>
  <c r="M75" i="21"/>
  <c r="N75" i="21"/>
  <c r="D78" i="21"/>
  <c r="E78" i="21"/>
  <c r="F78" i="21"/>
  <c r="G78" i="21"/>
  <c r="H78" i="21"/>
  <c r="I78" i="21"/>
  <c r="J78" i="21"/>
  <c r="K78" i="21"/>
  <c r="L78" i="21"/>
  <c r="M78" i="21"/>
  <c r="N78" i="21"/>
  <c r="D81" i="21"/>
  <c r="E81" i="21"/>
  <c r="F81" i="21"/>
  <c r="G81" i="21"/>
  <c r="H81" i="21"/>
  <c r="I81" i="21"/>
  <c r="J81" i="21"/>
  <c r="K81" i="21"/>
  <c r="L81" i="21"/>
  <c r="L82" i="21" s="1"/>
  <c r="M81" i="21"/>
  <c r="N81" i="21"/>
  <c r="D84" i="21"/>
  <c r="E84" i="21"/>
  <c r="F84" i="21"/>
  <c r="G84" i="21"/>
  <c r="H84" i="21"/>
  <c r="I84" i="21"/>
  <c r="I85" i="21" s="1"/>
  <c r="J84" i="21"/>
  <c r="K84" i="21"/>
  <c r="L84" i="21"/>
  <c r="M84" i="21"/>
  <c r="N84" i="21"/>
  <c r="D60" i="21"/>
  <c r="P60" i="21" s="1"/>
  <c r="E59" i="21" a="1"/>
  <c r="E59" i="21" s="1"/>
  <c r="E61" i="21" s="1"/>
  <c r="F59" i="21" a="1"/>
  <c r="F59" i="21" s="1"/>
  <c r="F61" i="21" s="1"/>
  <c r="G59" i="21" a="1"/>
  <c r="G59" i="21"/>
  <c r="H59" i="21" a="1"/>
  <c r="H59" i="21" s="1"/>
  <c r="H61" i="21" s="1"/>
  <c r="I59" i="21" a="1"/>
  <c r="I59" i="21" s="1"/>
  <c r="I61" i="21" s="1"/>
  <c r="J59" i="21" a="1"/>
  <c r="J59" i="21" s="1"/>
  <c r="J61" i="21" s="1"/>
  <c r="K59" i="21" a="1"/>
  <c r="K59" i="21" s="1"/>
  <c r="K61" i="21" s="1"/>
  <c r="L59" i="21" a="1"/>
  <c r="L59" i="21" s="1"/>
  <c r="L61" i="21" s="1"/>
  <c r="M59" i="21" a="1"/>
  <c r="M59" i="21" s="1"/>
  <c r="M61" i="21" s="1"/>
  <c r="N59" i="21" a="1"/>
  <c r="N59" i="21" s="1"/>
  <c r="N61" i="21" s="1"/>
  <c r="O59" i="21" a="1"/>
  <c r="O59" i="21" s="1"/>
  <c r="O61" i="21" s="1"/>
  <c r="D62" i="21" a="1"/>
  <c r="D62" i="21" s="1"/>
  <c r="D64" i="21" s="1"/>
  <c r="E62" i="21" a="1"/>
  <c r="E62" i="21" s="1"/>
  <c r="E64" i="21" s="1"/>
  <c r="F62" i="21" a="1"/>
  <c r="F62" i="21" s="1"/>
  <c r="F64" i="21" s="1"/>
  <c r="G62" i="21" a="1"/>
  <c r="G62" i="21" s="1"/>
  <c r="G64" i="21" s="1"/>
  <c r="H62" i="21" a="1"/>
  <c r="H62" i="21" s="1"/>
  <c r="H64" i="21" s="1"/>
  <c r="I62" i="21" a="1"/>
  <c r="I62" i="21" s="1"/>
  <c r="I64" i="21" s="1"/>
  <c r="J62" i="21" a="1"/>
  <c r="J62" i="21" s="1"/>
  <c r="K62" i="21" a="1"/>
  <c r="K62" i="21" s="1"/>
  <c r="L62" i="21" a="1"/>
  <c r="L62" i="21" s="1"/>
  <c r="L64" i="21" s="1"/>
  <c r="M62" i="21" a="1"/>
  <c r="M62" i="21" s="1"/>
  <c r="N62" i="21" a="1"/>
  <c r="N62" i="21" s="1"/>
  <c r="O62" i="21" a="1"/>
  <c r="O62" i="21"/>
  <c r="D65" i="21" a="1"/>
  <c r="D65" i="21" s="1"/>
  <c r="E65" i="21" a="1"/>
  <c r="E65" i="21" s="1"/>
  <c r="F65" i="21" a="1"/>
  <c r="F65" i="21" s="1"/>
  <c r="G65" i="21" a="1"/>
  <c r="G65" i="21" s="1"/>
  <c r="G67" i="21" s="1"/>
  <c r="H65" i="21" a="1"/>
  <c r="H65" i="21" s="1"/>
  <c r="H67" i="21" s="1"/>
  <c r="I65" i="21" a="1"/>
  <c r="I65" i="21" s="1"/>
  <c r="I67" i="21" s="1"/>
  <c r="J65" i="21" a="1"/>
  <c r="J65" i="21" s="1"/>
  <c r="J67" i="21" s="1"/>
  <c r="K65" i="21" a="1"/>
  <c r="K65" i="21" s="1"/>
  <c r="K67" i="21" s="1"/>
  <c r="L65" i="21" a="1"/>
  <c r="L65" i="21"/>
  <c r="M65" i="21" a="1"/>
  <c r="M65" i="21" s="1"/>
  <c r="M67" i="21" s="1"/>
  <c r="N65" i="21" a="1"/>
  <c r="N65" i="21" s="1"/>
  <c r="N67" i="21" s="1"/>
  <c r="O65" i="21" a="1"/>
  <c r="O65" i="21" s="1"/>
  <c r="O67" i="21" s="1"/>
  <c r="D68" i="21" a="1"/>
  <c r="D68" i="21" s="1"/>
  <c r="E68" i="21" a="1"/>
  <c r="E68" i="21" s="1"/>
  <c r="F68" i="21" a="1"/>
  <c r="F68" i="21" s="1"/>
  <c r="F70" i="21" s="1"/>
  <c r="G68" i="21" a="1"/>
  <c r="G68" i="21" s="1"/>
  <c r="H68" i="21" a="1"/>
  <c r="H68" i="21" s="1"/>
  <c r="I68" i="21" a="1"/>
  <c r="I68" i="21"/>
  <c r="J68" i="21" a="1"/>
  <c r="J68" i="21" s="1"/>
  <c r="J70" i="21" s="1"/>
  <c r="K68" i="21" a="1"/>
  <c r="K68" i="21" s="1"/>
  <c r="K70" i="21" s="1"/>
  <c r="L68" i="21" a="1"/>
  <c r="L68" i="21" s="1"/>
  <c r="L70" i="21" s="1"/>
  <c r="M68" i="21" a="1"/>
  <c r="M68" i="21" s="1"/>
  <c r="M70" i="21" s="1"/>
  <c r="N68" i="21" a="1"/>
  <c r="N68" i="21" s="1"/>
  <c r="O68" i="21" a="1"/>
  <c r="O68" i="21" s="1"/>
  <c r="O70" i="21" s="1"/>
  <c r="D71" i="21" a="1"/>
  <c r="D71" i="21" s="1"/>
  <c r="E71" i="21" a="1"/>
  <c r="E71" i="21" s="1"/>
  <c r="F71" i="21" a="1"/>
  <c r="F71" i="21"/>
  <c r="G71" i="21" a="1"/>
  <c r="G71" i="21" s="1"/>
  <c r="G73" i="21" s="1"/>
  <c r="H71" i="21" a="1"/>
  <c r="H71" i="21" s="1"/>
  <c r="H73" i="21" s="1"/>
  <c r="I71" i="21" a="1"/>
  <c r="I71" i="21" s="1"/>
  <c r="I73" i="21" s="1"/>
  <c r="J71" i="21" a="1"/>
  <c r="J71" i="21" s="1"/>
  <c r="J73" i="21" s="1"/>
  <c r="K71" i="21" a="1"/>
  <c r="K71" i="21" s="1"/>
  <c r="K73" i="21" s="1"/>
  <c r="L71" i="21" a="1"/>
  <c r="L71" i="21" s="1"/>
  <c r="L73" i="21" s="1"/>
  <c r="M71" i="21" a="1"/>
  <c r="M71" i="21" s="1"/>
  <c r="M73" i="21" s="1"/>
  <c r="N71" i="21" a="1"/>
  <c r="N71" i="21" s="1"/>
  <c r="N73" i="21" s="1"/>
  <c r="O71" i="21" a="1"/>
  <c r="O71" i="21"/>
  <c r="D74" i="21" a="1"/>
  <c r="D74" i="21" s="1"/>
  <c r="E74" i="21" a="1"/>
  <c r="E74" i="21" s="1"/>
  <c r="F74" i="21" a="1"/>
  <c r="F74" i="21" s="1"/>
  <c r="F76" i="21" s="1"/>
  <c r="G74" i="21" a="1"/>
  <c r="G74" i="21" s="1"/>
  <c r="G76" i="21" s="1"/>
  <c r="H74" i="21" a="1"/>
  <c r="H74" i="21" s="1"/>
  <c r="I74" i="21" a="1"/>
  <c r="I74" i="21" s="1"/>
  <c r="I76" i="21" s="1"/>
  <c r="J74" i="21" a="1"/>
  <c r="J74" i="21" s="1"/>
  <c r="J76" i="21" s="1"/>
  <c r="K74" i="21" a="1"/>
  <c r="K74" i="21" s="1"/>
  <c r="L74" i="21" a="1"/>
  <c r="L74" i="21"/>
  <c r="M74" i="21" a="1"/>
  <c r="M74" i="21" s="1"/>
  <c r="M76" i="21" s="1"/>
  <c r="N74" i="21" a="1"/>
  <c r="N74" i="21" s="1"/>
  <c r="O74" i="21" a="1"/>
  <c r="O74" i="21" s="1"/>
  <c r="O76" i="21" s="1"/>
  <c r="D77" i="21" a="1"/>
  <c r="D77" i="21" s="1"/>
  <c r="E77" i="21" a="1"/>
  <c r="E77" i="21" s="1"/>
  <c r="F77" i="21" a="1"/>
  <c r="F77" i="21"/>
  <c r="G77" i="21" a="1"/>
  <c r="G77" i="21" s="1"/>
  <c r="G79" i="21" s="1"/>
  <c r="H77" i="21" a="1"/>
  <c r="H77" i="21" s="1"/>
  <c r="I77" i="21" a="1"/>
  <c r="I77" i="21"/>
  <c r="J77" i="21" a="1"/>
  <c r="J77" i="21" s="1"/>
  <c r="J79" i="21" s="1"/>
  <c r="K77" i="21" a="1"/>
  <c r="K77" i="21" s="1"/>
  <c r="L77" i="21" a="1"/>
  <c r="L77" i="21" s="1"/>
  <c r="L79" i="21" s="1"/>
  <c r="M77" i="21" a="1"/>
  <c r="M77" i="21" s="1"/>
  <c r="M79" i="21" s="1"/>
  <c r="N77" i="21" a="1"/>
  <c r="N77" i="21" s="1"/>
  <c r="O77" i="21" a="1"/>
  <c r="O77" i="21"/>
  <c r="D80" i="21" a="1"/>
  <c r="D80" i="21" s="1"/>
  <c r="E80" i="21" a="1"/>
  <c r="E80" i="21" s="1"/>
  <c r="F80" i="21" a="1"/>
  <c r="F80" i="21" s="1"/>
  <c r="F82" i="21" s="1"/>
  <c r="G80" i="21" a="1"/>
  <c r="G80" i="21" s="1"/>
  <c r="G82" i="21" s="1"/>
  <c r="H80" i="21" a="1"/>
  <c r="H80" i="21" s="1"/>
  <c r="I80" i="21" a="1"/>
  <c r="I80" i="21" s="1"/>
  <c r="I82" i="21" s="1"/>
  <c r="J80" i="21" a="1"/>
  <c r="J80" i="21" s="1"/>
  <c r="J82" i="21" s="1"/>
  <c r="K80" i="21" a="1"/>
  <c r="K80" i="21" s="1"/>
  <c r="L80" i="21" a="1"/>
  <c r="L80" i="21"/>
  <c r="M80" i="21" a="1"/>
  <c r="M80" i="21" s="1"/>
  <c r="M82" i="21" s="1"/>
  <c r="N80" i="21" a="1"/>
  <c r="N80" i="21" s="1"/>
  <c r="O80" i="21" a="1"/>
  <c r="O80" i="21" s="1"/>
  <c r="O82" i="21" s="1"/>
  <c r="D83" i="21" a="1"/>
  <c r="D83" i="21" s="1"/>
  <c r="E83" i="21" a="1"/>
  <c r="E83" i="21" s="1"/>
  <c r="F83" i="21" a="1"/>
  <c r="F83" i="21" s="1"/>
  <c r="G83" i="21" a="1"/>
  <c r="G83" i="21" s="1"/>
  <c r="H83" i="21" a="1"/>
  <c r="H83" i="21" s="1"/>
  <c r="I83" i="21" a="1"/>
  <c r="I83" i="21"/>
  <c r="J83" i="21" a="1"/>
  <c r="J83" i="21" s="1"/>
  <c r="K83" i="21" a="1"/>
  <c r="K83" i="21" s="1"/>
  <c r="L83" i="21" a="1"/>
  <c r="L83" i="21" s="1"/>
  <c r="M83" i="21" a="1"/>
  <c r="M83" i="21" s="1"/>
  <c r="N83" i="21" a="1"/>
  <c r="N83" i="21" s="1"/>
  <c r="O83" i="21" a="1"/>
  <c r="O83" i="21" s="1"/>
  <c r="O85" i="21" s="1"/>
  <c r="D59" i="21" a="1"/>
  <c r="D59" i="21" s="1"/>
  <c r="P63" i="21"/>
  <c r="O64" i="21"/>
  <c r="P66" i="21"/>
  <c r="L67" i="21"/>
  <c r="P69" i="21"/>
  <c r="I70" i="21"/>
  <c r="P72" i="21"/>
  <c r="O73" i="21"/>
  <c r="P75" i="21"/>
  <c r="L76" i="21"/>
  <c r="P78" i="21"/>
  <c r="F79" i="21"/>
  <c r="I79" i="21"/>
  <c r="O79" i="21"/>
  <c r="P81" i="21"/>
  <c r="F89" i="21"/>
  <c r="M89" i="21"/>
  <c r="F90" i="21"/>
  <c r="M90" i="21"/>
  <c r="F91" i="21"/>
  <c r="M91" i="21"/>
  <c r="F93" i="21"/>
  <c r="M93" i="21"/>
  <c r="F94" i="21"/>
  <c r="M94" i="21"/>
  <c r="F95" i="21"/>
  <c r="M95" i="21"/>
  <c r="F97" i="21"/>
  <c r="M97" i="21"/>
  <c r="M98" i="21"/>
  <c r="M99" i="21"/>
  <c r="F101" i="21"/>
  <c r="M101" i="21"/>
  <c r="F102" i="21"/>
  <c r="M102" i="21"/>
  <c r="F103" i="21"/>
  <c r="M103" i="21"/>
  <c r="F105" i="21"/>
  <c r="M105" i="21"/>
  <c r="F106" i="21"/>
  <c r="M106" i="21"/>
  <c r="F107" i="21"/>
  <c r="M107" i="21"/>
  <c r="D111" i="21"/>
  <c r="K111" i="21"/>
  <c r="D115" i="21"/>
  <c r="K115" i="21"/>
  <c r="D119" i="21"/>
  <c r="K119" i="21"/>
  <c r="E59" i="18"/>
  <c r="F59" i="18"/>
  <c r="G59" i="18"/>
  <c r="H59" i="18"/>
  <c r="I59" i="18"/>
  <c r="J59" i="18"/>
  <c r="K59" i="18"/>
  <c r="L59" i="18"/>
  <c r="M59" i="18"/>
  <c r="N59" i="18"/>
  <c r="D62" i="18"/>
  <c r="E62" i="18"/>
  <c r="F62" i="18"/>
  <c r="G62" i="18"/>
  <c r="H62" i="18"/>
  <c r="I62" i="18"/>
  <c r="J62" i="18"/>
  <c r="K62" i="18"/>
  <c r="L62" i="18"/>
  <c r="M62" i="18"/>
  <c r="N62" i="18"/>
  <c r="D65" i="18"/>
  <c r="E65" i="18"/>
  <c r="F65" i="18"/>
  <c r="G65" i="18"/>
  <c r="H65" i="18"/>
  <c r="I65" i="18"/>
  <c r="J65" i="18"/>
  <c r="K65" i="18"/>
  <c r="L65" i="18"/>
  <c r="M65" i="18"/>
  <c r="N65" i="18"/>
  <c r="D68" i="18"/>
  <c r="E68" i="18"/>
  <c r="F68" i="18"/>
  <c r="G68" i="18"/>
  <c r="H68" i="18"/>
  <c r="I68" i="18"/>
  <c r="J68" i="18"/>
  <c r="K68" i="18"/>
  <c r="L68" i="18"/>
  <c r="M68" i="18"/>
  <c r="N68" i="18"/>
  <c r="D59" i="18"/>
  <c r="P62" i="18"/>
  <c r="P59" i="18"/>
  <c r="N56" i="18"/>
  <c r="M56" i="18"/>
  <c r="L56" i="18"/>
  <c r="K56" i="18"/>
  <c r="J56" i="18"/>
  <c r="I56" i="18"/>
  <c r="H56" i="18"/>
  <c r="G56" i="18"/>
  <c r="F56" i="18"/>
  <c r="E56" i="18"/>
  <c r="D56" i="18"/>
  <c r="P56" i="18" s="1"/>
  <c r="N53" i="18"/>
  <c r="M53" i="18"/>
  <c r="L53" i="18"/>
  <c r="K53" i="18"/>
  <c r="J53" i="18"/>
  <c r="I53" i="18"/>
  <c r="H53" i="18"/>
  <c r="G53" i="18"/>
  <c r="F53" i="18"/>
  <c r="E53" i="18"/>
  <c r="P53" i="18" s="1"/>
  <c r="D53" i="18"/>
  <c r="D50" i="18"/>
  <c r="E50" i="18"/>
  <c r="F50" i="18"/>
  <c r="G50" i="18"/>
  <c r="H50" i="18"/>
  <c r="I50" i="18"/>
  <c r="J50" i="18"/>
  <c r="K50" i="18"/>
  <c r="L50" i="18"/>
  <c r="M50" i="18"/>
  <c r="N50" i="18"/>
  <c r="N47" i="18"/>
  <c r="M47" i="18"/>
  <c r="L47" i="18"/>
  <c r="K47" i="18"/>
  <c r="J47" i="18"/>
  <c r="I47" i="18"/>
  <c r="H47" i="18"/>
  <c r="G47" i="18"/>
  <c r="F47" i="18"/>
  <c r="E47" i="18"/>
  <c r="D47" i="18"/>
  <c r="P47" i="18" s="1"/>
  <c r="N1789" i="22"/>
  <c r="K1789" i="22"/>
  <c r="H1789" i="22" s="1"/>
  <c r="K1791" i="22"/>
  <c r="K1790" i="22"/>
  <c r="K1788" i="22"/>
  <c r="K1787" i="22"/>
  <c r="K1786" i="22"/>
  <c r="K1785" i="22"/>
  <c r="H1791" i="22"/>
  <c r="H1790" i="22"/>
  <c r="H1788" i="22"/>
  <c r="H1787" i="22"/>
  <c r="H1786" i="22"/>
  <c r="H1785" i="22"/>
  <c r="M2009" i="6"/>
  <c r="L2009" i="6"/>
  <c r="K2009" i="6"/>
  <c r="H2009" i="6"/>
  <c r="M2008" i="6"/>
  <c r="L2008" i="6"/>
  <c r="K2008" i="6"/>
  <c r="H2008" i="6"/>
  <c r="M2007" i="6"/>
  <c r="L2007" i="6"/>
  <c r="K2007" i="6"/>
  <c r="H2007" i="6"/>
  <c r="M2006" i="6"/>
  <c r="L2006" i="6"/>
  <c r="K2006" i="6"/>
  <c r="H2006" i="6"/>
  <c r="M2005" i="6"/>
  <c r="L2005" i="6"/>
  <c r="K2005" i="6"/>
  <c r="H2005" i="6"/>
  <c r="M2004" i="6"/>
  <c r="L2004" i="6"/>
  <c r="K2004" i="6"/>
  <c r="N44" i="18"/>
  <c r="M44" i="18"/>
  <c r="L44" i="18"/>
  <c r="K44" i="18"/>
  <c r="J44" i="18"/>
  <c r="I44" i="18"/>
  <c r="H44" i="18"/>
  <c r="G44" i="18"/>
  <c r="F44" i="18"/>
  <c r="E44" i="18"/>
  <c r="D44" i="18"/>
  <c r="N1780" i="22"/>
  <c r="K1780" i="22"/>
  <c r="H1780" i="22"/>
  <c r="N1779" i="22"/>
  <c r="K1779" i="22"/>
  <c r="H1779" i="22"/>
  <c r="K1784" i="22"/>
  <c r="H1784" i="22" s="1"/>
  <c r="K1783" i="22"/>
  <c r="H1783" i="22" s="1"/>
  <c r="K1782" i="22"/>
  <c r="H1782" i="22" s="1"/>
  <c r="K1781" i="22"/>
  <c r="H1781" i="22" s="1"/>
  <c r="K1778" i="22"/>
  <c r="H1778" i="22" s="1"/>
  <c r="K1777" i="22"/>
  <c r="H1777" i="22" s="1"/>
  <c r="K1776" i="22"/>
  <c r="H1776" i="22" s="1"/>
  <c r="K1775" i="22"/>
  <c r="H1775" i="22" s="1"/>
  <c r="K1774" i="22"/>
  <c r="H1774" i="22" s="1"/>
  <c r="K1773" i="22"/>
  <c r="H1773" i="22" s="1"/>
  <c r="K1772" i="22"/>
  <c r="H1772" i="22" s="1"/>
  <c r="K1771" i="22"/>
  <c r="H1771" i="22" s="1"/>
  <c r="K1770" i="22"/>
  <c r="H1770" i="22" s="1"/>
  <c r="K1769" i="22"/>
  <c r="K2003" i="6"/>
  <c r="K2002" i="6"/>
  <c r="K2001" i="6"/>
  <c r="K2000" i="6"/>
  <c r="K1999" i="6"/>
  <c r="K1998" i="6"/>
  <c r="K1997" i="6"/>
  <c r="K1996" i="6"/>
  <c r="K1995" i="6"/>
  <c r="K1994" i="6"/>
  <c r="K1993" i="6"/>
  <c r="K1992" i="6"/>
  <c r="K1991" i="6"/>
  <c r="K1990" i="6"/>
  <c r="K1989" i="6"/>
  <c r="K1988" i="6"/>
  <c r="K1987" i="6"/>
  <c r="M2003" i="6"/>
  <c r="L2003" i="6"/>
  <c r="H2003" i="6"/>
  <c r="M2002" i="6"/>
  <c r="L2002" i="6"/>
  <c r="H2002" i="6"/>
  <c r="M2001" i="6"/>
  <c r="L2001" i="6"/>
  <c r="H2001" i="6"/>
  <c r="M2000" i="6"/>
  <c r="L2000" i="6"/>
  <c r="H2000" i="6"/>
  <c r="M1999" i="6"/>
  <c r="L1999" i="6"/>
  <c r="H1999" i="6"/>
  <c r="M1998" i="6"/>
  <c r="L1998" i="6"/>
  <c r="H1998" i="6"/>
  <c r="H1997" i="6"/>
  <c r="M1997" i="6"/>
  <c r="L1997" i="6"/>
  <c r="E1997" i="6"/>
  <c r="N1993" i="6"/>
  <c r="M1993" i="6"/>
  <c r="L1993" i="6"/>
  <c r="H1993" i="6"/>
  <c r="F1993" i="6"/>
  <c r="G1993" i="6" s="1"/>
  <c r="E1993" i="6"/>
  <c r="C1993" i="6"/>
  <c r="N1992" i="6"/>
  <c r="M1992" i="6"/>
  <c r="L1992" i="6"/>
  <c r="H1992" i="6"/>
  <c r="F1992" i="6"/>
  <c r="G1992" i="6" s="1"/>
  <c r="E1992" i="6"/>
  <c r="C1992" i="6"/>
  <c r="N1990" i="6"/>
  <c r="N1989" i="6"/>
  <c r="M1989" i="6"/>
  <c r="L1989" i="6"/>
  <c r="H1989" i="6"/>
  <c r="F1989" i="6"/>
  <c r="G1989" i="6" s="1"/>
  <c r="E1989" i="6"/>
  <c r="C1989" i="6"/>
  <c r="N1764" i="22"/>
  <c r="H1769" i="22"/>
  <c r="K1768" i="22"/>
  <c r="H1768" i="22" s="1"/>
  <c r="K1767" i="22"/>
  <c r="H1767" i="22" s="1"/>
  <c r="K1766" i="22"/>
  <c r="H1766" i="22" s="1"/>
  <c r="M1991" i="6"/>
  <c r="L1991" i="6"/>
  <c r="M1990" i="6"/>
  <c r="L1990" i="6"/>
  <c r="M1988" i="6"/>
  <c r="L1988" i="6"/>
  <c r="M1987" i="6"/>
  <c r="L1987" i="6"/>
  <c r="M1986" i="6"/>
  <c r="L1986" i="6"/>
  <c r="M1985" i="6"/>
  <c r="L1985" i="6"/>
  <c r="M1984" i="6"/>
  <c r="L1984" i="6"/>
  <c r="M1983" i="6"/>
  <c r="L1983" i="6"/>
  <c r="M1982" i="6"/>
  <c r="L1982" i="6"/>
  <c r="H1991" i="6"/>
  <c r="H1990" i="6"/>
  <c r="H1988" i="6"/>
  <c r="H1987" i="6"/>
  <c r="K1986" i="6"/>
  <c r="H1986" i="6"/>
  <c r="K1985" i="6"/>
  <c r="H1985" i="6"/>
  <c r="K1984" i="6"/>
  <c r="H1984" i="6"/>
  <c r="K1983" i="6"/>
  <c r="H1983" i="6"/>
  <c r="K1982" i="6"/>
  <c r="H1982" i="6"/>
  <c r="K1765" i="22"/>
  <c r="H1765" i="22"/>
  <c r="K1764" i="22"/>
  <c r="H1764" i="22" s="1"/>
  <c r="K1763" i="22"/>
  <c r="H1763" i="22"/>
  <c r="K1762" i="22"/>
  <c r="H1762" i="22"/>
  <c r="K1761" i="22"/>
  <c r="H1761" i="22" s="1"/>
  <c r="K1760" i="22"/>
  <c r="H1760" i="22"/>
  <c r="K1759" i="22"/>
  <c r="H1759" i="22"/>
  <c r="M1981" i="6"/>
  <c r="L1981" i="6"/>
  <c r="M1980" i="6"/>
  <c r="L1980" i="6"/>
  <c r="M1979" i="6"/>
  <c r="L1979" i="6"/>
  <c r="M1978" i="6"/>
  <c r="L1978" i="6"/>
  <c r="M1977" i="6"/>
  <c r="L1977" i="6"/>
  <c r="K1981" i="6"/>
  <c r="K1980" i="6"/>
  <c r="K1979" i="6"/>
  <c r="K1978" i="6"/>
  <c r="K1977" i="6"/>
  <c r="N1750" i="22"/>
  <c r="N1749" i="22"/>
  <c r="K1750" i="22"/>
  <c r="H1750" i="22"/>
  <c r="N1752" i="22"/>
  <c r="K1752" i="22"/>
  <c r="H1752" i="22"/>
  <c r="N1748" i="22"/>
  <c r="K1758" i="22"/>
  <c r="H1758" i="22" s="1"/>
  <c r="K1757" i="22"/>
  <c r="H1757" i="22" s="1"/>
  <c r="K1756" i="22"/>
  <c r="H1756" i="22" s="1"/>
  <c r="K1755" i="22"/>
  <c r="H1755" i="22" s="1"/>
  <c r="K1754" i="22"/>
  <c r="H1754" i="22" s="1"/>
  <c r="K1753" i="22"/>
  <c r="H1753" i="22" s="1"/>
  <c r="K1751" i="22"/>
  <c r="H1751" i="22" s="1"/>
  <c r="K1749" i="22"/>
  <c r="H1749" i="22" s="1"/>
  <c r="K1748" i="22"/>
  <c r="H1748" i="22" s="1"/>
  <c r="K1747" i="22"/>
  <c r="H1747" i="22" s="1"/>
  <c r="K1746" i="22"/>
  <c r="H1746" i="22" s="1"/>
  <c r="K1745" i="22"/>
  <c r="H1745" i="22" s="1"/>
  <c r="K1744" i="22"/>
  <c r="H1744" i="22" s="1"/>
  <c r="K1743" i="22"/>
  <c r="H1743" i="22" s="1"/>
  <c r="K1742" i="22"/>
  <c r="H1742" i="22" s="1"/>
  <c r="K1976" i="6"/>
  <c r="H1976" i="6"/>
  <c r="K1975" i="6"/>
  <c r="H1975" i="6"/>
  <c r="K1974" i="6"/>
  <c r="H1974" i="6"/>
  <c r="K1973" i="6"/>
  <c r="H1973" i="6"/>
  <c r="K1972" i="6"/>
  <c r="H1972" i="6"/>
  <c r="K1971" i="6"/>
  <c r="H1971" i="6"/>
  <c r="M1976" i="6"/>
  <c r="L1976" i="6"/>
  <c r="M1975" i="6"/>
  <c r="L1975" i="6"/>
  <c r="M1974" i="6"/>
  <c r="L1974" i="6"/>
  <c r="M1973" i="6"/>
  <c r="L1973" i="6"/>
  <c r="M1972" i="6"/>
  <c r="L1972" i="6"/>
  <c r="M1971" i="6"/>
  <c r="L1971" i="6"/>
  <c r="M1970" i="6"/>
  <c r="L1970" i="6"/>
  <c r="K1970" i="6"/>
  <c r="K1969" i="6"/>
  <c r="H1969" i="6"/>
  <c r="K1968" i="6"/>
  <c r="H1968" i="6"/>
  <c r="K1967" i="6"/>
  <c r="H1967" i="6"/>
  <c r="K1966" i="6"/>
  <c r="H1966" i="6"/>
  <c r="K1965" i="6"/>
  <c r="H1965" i="6"/>
  <c r="K1964" i="6"/>
  <c r="H1964" i="6"/>
  <c r="K1963" i="6"/>
  <c r="H1963" i="6"/>
  <c r="M1969" i="6"/>
  <c r="L1969" i="6"/>
  <c r="M1968" i="6"/>
  <c r="L1968" i="6"/>
  <c r="M1967" i="6"/>
  <c r="L1967" i="6"/>
  <c r="M1966" i="6"/>
  <c r="L1966" i="6"/>
  <c r="M1965" i="6"/>
  <c r="L1965" i="6"/>
  <c r="M1964" i="6"/>
  <c r="L1964" i="6"/>
  <c r="M1963" i="6"/>
  <c r="L1963" i="6"/>
  <c r="M1962" i="6"/>
  <c r="L1962" i="6"/>
  <c r="K1962" i="6"/>
  <c r="N1735" i="22"/>
  <c r="K1735" i="22"/>
  <c r="H1735" i="22"/>
  <c r="N1734" i="22"/>
  <c r="K1734" i="22"/>
  <c r="H1734" i="22"/>
  <c r="N1733" i="22"/>
  <c r="K1733" i="22"/>
  <c r="H1733" i="22"/>
  <c r="N1731" i="22"/>
  <c r="K1731" i="22"/>
  <c r="H1731" i="22"/>
  <c r="N1741" i="22"/>
  <c r="K1741" i="22"/>
  <c r="H1741" i="22" s="1"/>
  <c r="K1740" i="22"/>
  <c r="H1740" i="22" s="1"/>
  <c r="K1739" i="22"/>
  <c r="H1739" i="22" s="1"/>
  <c r="K1738" i="22"/>
  <c r="H1738" i="22" s="1"/>
  <c r="K1737" i="22"/>
  <c r="H1737" i="22" s="1"/>
  <c r="K1736" i="22"/>
  <c r="H1736" i="22" s="1"/>
  <c r="K1732" i="22"/>
  <c r="H1732" i="22" s="1"/>
  <c r="K1730" i="22"/>
  <c r="H1730" i="22" s="1"/>
  <c r="K1729" i="22"/>
  <c r="H1729" i="22" s="1"/>
  <c r="K1728" i="22"/>
  <c r="H1728" i="22" s="1"/>
  <c r="K1727" i="22"/>
  <c r="H1727" i="22" s="1"/>
  <c r="K1726" i="22"/>
  <c r="H1726" i="22" s="1"/>
  <c r="K1725" i="22"/>
  <c r="H1725" i="22" s="1"/>
  <c r="K1724" i="22"/>
  <c r="H1724" i="22" s="1"/>
  <c r="K1723" i="22"/>
  <c r="H1723" i="22" s="1"/>
  <c r="K1722" i="22"/>
  <c r="H1722" i="22" s="1"/>
  <c r="K1721" i="22"/>
  <c r="H1721" i="22" s="1"/>
  <c r="K1720" i="22"/>
  <c r="H1720" i="22" s="1"/>
  <c r="K1961" i="6"/>
  <c r="H1961" i="6"/>
  <c r="K1960" i="6"/>
  <c r="H1960" i="6"/>
  <c r="K1959" i="6"/>
  <c r="H1959" i="6"/>
  <c r="K1958" i="6"/>
  <c r="H1958" i="6"/>
  <c r="K1957" i="6"/>
  <c r="H1957" i="6"/>
  <c r="K1956" i="6"/>
  <c r="H1956" i="6"/>
  <c r="K1955" i="6"/>
  <c r="H1955" i="6"/>
  <c r="M1961" i="6"/>
  <c r="L1961" i="6"/>
  <c r="M1960" i="6"/>
  <c r="L1960" i="6"/>
  <c r="M1959" i="6"/>
  <c r="L1959" i="6"/>
  <c r="M1958" i="6"/>
  <c r="L1958" i="6"/>
  <c r="M1957" i="6"/>
  <c r="L1957" i="6"/>
  <c r="M1956" i="6"/>
  <c r="L1956" i="6"/>
  <c r="M1955" i="6"/>
  <c r="L1955" i="6"/>
  <c r="N1951" i="6"/>
  <c r="M1951" i="6"/>
  <c r="L1951" i="6"/>
  <c r="K1951" i="6"/>
  <c r="H1951" i="6"/>
  <c r="F1951" i="6"/>
  <c r="G1951" i="6" s="1"/>
  <c r="E1951" i="6"/>
  <c r="C1951" i="6"/>
  <c r="M1954" i="6"/>
  <c r="L1954" i="6"/>
  <c r="K1954" i="6"/>
  <c r="H1954" i="6" s="1"/>
  <c r="K1953" i="6"/>
  <c r="H1953" i="6" s="1"/>
  <c r="K1952" i="6"/>
  <c r="H1952" i="6" s="1"/>
  <c r="K1950" i="6"/>
  <c r="H1950" i="6" s="1"/>
  <c r="K1949" i="6"/>
  <c r="H1949" i="6" s="1"/>
  <c r="K1948" i="6"/>
  <c r="H1948" i="6" s="1"/>
  <c r="K1947" i="6"/>
  <c r="H1947" i="6" s="1"/>
  <c r="K1946" i="6"/>
  <c r="H1946" i="6" s="1"/>
  <c r="K1945" i="6"/>
  <c r="H1945" i="6" s="1"/>
  <c r="K1712" i="22"/>
  <c r="H1712" i="22" s="1"/>
  <c r="K1711" i="22"/>
  <c r="H1711" i="22" s="1"/>
  <c r="K1719" i="22"/>
  <c r="H1719" i="22" s="1"/>
  <c r="K1718" i="22"/>
  <c r="H1718" i="22" s="1"/>
  <c r="K1717" i="22"/>
  <c r="H1717" i="22" s="1"/>
  <c r="K1716" i="22"/>
  <c r="H1716" i="22" s="1"/>
  <c r="K1715" i="22"/>
  <c r="H1715" i="22" s="1"/>
  <c r="K1714" i="22"/>
  <c r="H1714" i="22" s="1"/>
  <c r="K1713" i="22"/>
  <c r="H1713" i="22" s="1"/>
  <c r="K1710" i="22"/>
  <c r="H1710" i="22" s="1"/>
  <c r="K1944" i="6"/>
  <c r="H1944" i="6" s="1"/>
  <c r="K1943" i="6"/>
  <c r="H1943" i="6" s="1"/>
  <c r="K1942" i="6"/>
  <c r="H1942" i="6" s="1"/>
  <c r="K1941" i="6"/>
  <c r="H1941" i="6" s="1"/>
  <c r="K1940" i="6"/>
  <c r="H1940" i="6" s="1"/>
  <c r="K1939" i="6"/>
  <c r="H1939" i="6"/>
  <c r="K1938" i="6"/>
  <c r="H1938" i="6"/>
  <c r="K1937" i="6"/>
  <c r="H1937" i="6" s="1"/>
  <c r="O12" i="21"/>
  <c r="N1709" i="22"/>
  <c r="K1709" i="22"/>
  <c r="H1709" i="22" s="1"/>
  <c r="N1708" i="22"/>
  <c r="K1708" i="22"/>
  <c r="H1708" i="22" s="1"/>
  <c r="N1698" i="22"/>
  <c r="K1698" i="22"/>
  <c r="H1698" i="22" s="1"/>
  <c r="N1697" i="22"/>
  <c r="K1697" i="22"/>
  <c r="H1697" i="22" s="1"/>
  <c r="N1707" i="22"/>
  <c r="K1707" i="22"/>
  <c r="H1707" i="22" s="1"/>
  <c r="N1706" i="22"/>
  <c r="K1706" i="22"/>
  <c r="H1706" i="22" s="1"/>
  <c r="N1705" i="22"/>
  <c r="K1705" i="22"/>
  <c r="H1705" i="22" s="1"/>
  <c r="N1704" i="22"/>
  <c r="K1704" i="22"/>
  <c r="H1704" i="22" s="1"/>
  <c r="N1702" i="22"/>
  <c r="N1701" i="22"/>
  <c r="N1700" i="22"/>
  <c r="N1699" i="22"/>
  <c r="N1696" i="22"/>
  <c r="K1702" i="22"/>
  <c r="H1702" i="22" s="1"/>
  <c r="K1701" i="22"/>
  <c r="H1701" i="22" s="1"/>
  <c r="K1700" i="22"/>
  <c r="H1700" i="22" s="1"/>
  <c r="K1699" i="22"/>
  <c r="H1699" i="22"/>
  <c r="K1696" i="22"/>
  <c r="H1696" i="22" s="1"/>
  <c r="K1703" i="22"/>
  <c r="H1703" i="22" s="1"/>
  <c r="K1695" i="22"/>
  <c r="H1695" i="22" s="1"/>
  <c r="K1694" i="22"/>
  <c r="H1694" i="22" s="1"/>
  <c r="K1693" i="22"/>
  <c r="H1693" i="22" s="1"/>
  <c r="K1692" i="22"/>
  <c r="H1692" i="22" s="1"/>
  <c r="G1688" i="22"/>
  <c r="K1688" i="22"/>
  <c r="H1688" i="22" s="1"/>
  <c r="G1689" i="22"/>
  <c r="K1689" i="22"/>
  <c r="H1689" i="22" s="1"/>
  <c r="G1690" i="22"/>
  <c r="K1690" i="22"/>
  <c r="H1690" i="22" s="1"/>
  <c r="G1691" i="22"/>
  <c r="K1691" i="22"/>
  <c r="H1691" i="22" s="1"/>
  <c r="C1691" i="22"/>
  <c r="C1690" i="22"/>
  <c r="C1689" i="22"/>
  <c r="C1688" i="22"/>
  <c r="K1936" i="6"/>
  <c r="K1935" i="6"/>
  <c r="K1934" i="6"/>
  <c r="K1933" i="6"/>
  <c r="K1932" i="6"/>
  <c r="K1931" i="6"/>
  <c r="K1930" i="6"/>
  <c r="K1929" i="6"/>
  <c r="N1928" i="6"/>
  <c r="M1928" i="6"/>
  <c r="L1928" i="6"/>
  <c r="K1928" i="6"/>
  <c r="H1928" i="6"/>
  <c r="F1928" i="6"/>
  <c r="G1928" i="6" s="1"/>
  <c r="E1928" i="6"/>
  <c r="C1928" i="6"/>
  <c r="K1927" i="6"/>
  <c r="K1926" i="6"/>
  <c r="K1925" i="6"/>
  <c r="K1924" i="6"/>
  <c r="N1673" i="22"/>
  <c r="K1673" i="22"/>
  <c r="H1673" i="22" s="1"/>
  <c r="N1672" i="22"/>
  <c r="K1672" i="22"/>
  <c r="H1672" i="22" s="1"/>
  <c r="K1685" i="22"/>
  <c r="H1685" i="22" s="1"/>
  <c r="K1684" i="22"/>
  <c r="H1684" i="22" s="1"/>
  <c r="K1686" i="22"/>
  <c r="H1686" i="22" s="1"/>
  <c r="K1687" i="22"/>
  <c r="H1687" i="22" s="1"/>
  <c r="K1683" i="22"/>
  <c r="H1683" i="22" s="1"/>
  <c r="K1682" i="22"/>
  <c r="H1682" i="22" s="1"/>
  <c r="K1681" i="22"/>
  <c r="H1681" i="22" s="1"/>
  <c r="K1680" i="22"/>
  <c r="H1680" i="22" s="1"/>
  <c r="K1918" i="6"/>
  <c r="K1919" i="6"/>
  <c r="K1920" i="6"/>
  <c r="K1921" i="6"/>
  <c r="K1922" i="6"/>
  <c r="K1923" i="6"/>
  <c r="H2107" i="6"/>
  <c r="F2107" i="6"/>
  <c r="G2107" i="6" s="1"/>
  <c r="E2107" i="6"/>
  <c r="H2106" i="6"/>
  <c r="F2106" i="6"/>
  <c r="G2106" i="6" s="1"/>
  <c r="E2106" i="6"/>
  <c r="H2105" i="6"/>
  <c r="F2105" i="6"/>
  <c r="G2105" i="6" s="1"/>
  <c r="E2105" i="6"/>
  <c r="H2104" i="6"/>
  <c r="F2104" i="6"/>
  <c r="G2104" i="6" s="1"/>
  <c r="E2104" i="6"/>
  <c r="H2103" i="6"/>
  <c r="F2103" i="6"/>
  <c r="G2103" i="6" s="1"/>
  <c r="E2103" i="6"/>
  <c r="H2102" i="6"/>
  <c r="F2102" i="6"/>
  <c r="G2102" i="6" s="1"/>
  <c r="E2102" i="6"/>
  <c r="H2101" i="6"/>
  <c r="F2101" i="6"/>
  <c r="G2101" i="6" s="1"/>
  <c r="E2101" i="6"/>
  <c r="H2100" i="6"/>
  <c r="F2100" i="6"/>
  <c r="G2100" i="6" s="1"/>
  <c r="E2100" i="6"/>
  <c r="H2099" i="6"/>
  <c r="F2099" i="6"/>
  <c r="G2099" i="6" s="1"/>
  <c r="E2099" i="6"/>
  <c r="H2098" i="6"/>
  <c r="F2098" i="6"/>
  <c r="G2098" i="6" s="1"/>
  <c r="E2098" i="6"/>
  <c r="H2097" i="6"/>
  <c r="F2097" i="6"/>
  <c r="G2097" i="6" s="1"/>
  <c r="E2097" i="6"/>
  <c r="H2096" i="6"/>
  <c r="F2096" i="6"/>
  <c r="G2096" i="6" s="1"/>
  <c r="E2096" i="6"/>
  <c r="H2095" i="6"/>
  <c r="F2095" i="6"/>
  <c r="G2095" i="6" s="1"/>
  <c r="E2095" i="6"/>
  <c r="H2094" i="6"/>
  <c r="F2094" i="6"/>
  <c r="G2094" i="6" s="1"/>
  <c r="E2094" i="6"/>
  <c r="H2093" i="6"/>
  <c r="F2093" i="6"/>
  <c r="G2093" i="6" s="1"/>
  <c r="E2093" i="6"/>
  <c r="H2092" i="6"/>
  <c r="F2092" i="6"/>
  <c r="G2092" i="6" s="1"/>
  <c r="E2092" i="6"/>
  <c r="H2091" i="6"/>
  <c r="F2091" i="6"/>
  <c r="G2091" i="6" s="1"/>
  <c r="E2091" i="6"/>
  <c r="H2090" i="6"/>
  <c r="F2090" i="6"/>
  <c r="G2090" i="6" s="1"/>
  <c r="E2090" i="6"/>
  <c r="H2089" i="6"/>
  <c r="F2089" i="6"/>
  <c r="G2089" i="6" s="1"/>
  <c r="E2089" i="6"/>
  <c r="H2088" i="6"/>
  <c r="F2088" i="6"/>
  <c r="G2088" i="6" s="1"/>
  <c r="E2088" i="6"/>
  <c r="H2087" i="6"/>
  <c r="F2087" i="6"/>
  <c r="G2087" i="6" s="1"/>
  <c r="E2087" i="6"/>
  <c r="H2086" i="6"/>
  <c r="F2086" i="6"/>
  <c r="G2086" i="6" s="1"/>
  <c r="E2086" i="6"/>
  <c r="H2085" i="6"/>
  <c r="F2085" i="6"/>
  <c r="G2085" i="6" s="1"/>
  <c r="E2085" i="6"/>
  <c r="H2084" i="6"/>
  <c r="F2084" i="6"/>
  <c r="G2084" i="6" s="1"/>
  <c r="E2084" i="6"/>
  <c r="H2083" i="6"/>
  <c r="F2083" i="6"/>
  <c r="G2083" i="6" s="1"/>
  <c r="E2083" i="6"/>
  <c r="H2082" i="6"/>
  <c r="F2082" i="6"/>
  <c r="G2082" i="6" s="1"/>
  <c r="E2082" i="6"/>
  <c r="H2081" i="6"/>
  <c r="F2081" i="6"/>
  <c r="G2081" i="6" s="1"/>
  <c r="E2081" i="6"/>
  <c r="H2080" i="6"/>
  <c r="F2080" i="6"/>
  <c r="G2080" i="6" s="1"/>
  <c r="E2080" i="6"/>
  <c r="H2079" i="6"/>
  <c r="F2079" i="6"/>
  <c r="G2079" i="6" s="1"/>
  <c r="E2079" i="6"/>
  <c r="H2078" i="6"/>
  <c r="F2078" i="6"/>
  <c r="G2078" i="6" s="1"/>
  <c r="E2078" i="6"/>
  <c r="H2077" i="6"/>
  <c r="F2077" i="6"/>
  <c r="G2077" i="6" s="1"/>
  <c r="E2077" i="6"/>
  <c r="H2076" i="6"/>
  <c r="F2076" i="6"/>
  <c r="G2076" i="6" s="1"/>
  <c r="E2076" i="6"/>
  <c r="H2075" i="6"/>
  <c r="F2075" i="6"/>
  <c r="G2075" i="6" s="1"/>
  <c r="E2075" i="6"/>
  <c r="H2074" i="6"/>
  <c r="F2074" i="6"/>
  <c r="G2074" i="6" s="1"/>
  <c r="E2074" i="6"/>
  <c r="H2073" i="6"/>
  <c r="F2073" i="6"/>
  <c r="G2073" i="6" s="1"/>
  <c r="E2073" i="6"/>
  <c r="H2072" i="6"/>
  <c r="F2072" i="6"/>
  <c r="G2072" i="6" s="1"/>
  <c r="E2072" i="6"/>
  <c r="H2071" i="6"/>
  <c r="F2071" i="6"/>
  <c r="G2071" i="6" s="1"/>
  <c r="E2071" i="6"/>
  <c r="H2070" i="6"/>
  <c r="F2070" i="6"/>
  <c r="G2070" i="6" s="1"/>
  <c r="E2070" i="6"/>
  <c r="H2069" i="6"/>
  <c r="F2069" i="6"/>
  <c r="G2069" i="6" s="1"/>
  <c r="E2069" i="6"/>
  <c r="H2068" i="6"/>
  <c r="F2068" i="6"/>
  <c r="G2068" i="6" s="1"/>
  <c r="E2068" i="6"/>
  <c r="H2067" i="6"/>
  <c r="F2067" i="6"/>
  <c r="G2067" i="6" s="1"/>
  <c r="E2067" i="6"/>
  <c r="H2066" i="6"/>
  <c r="F2066" i="6"/>
  <c r="G2066" i="6" s="1"/>
  <c r="E2066" i="6"/>
  <c r="H2065" i="6"/>
  <c r="F2065" i="6"/>
  <c r="G2065" i="6" s="1"/>
  <c r="E2065" i="6"/>
  <c r="H2064" i="6"/>
  <c r="F2064" i="6"/>
  <c r="G2064" i="6" s="1"/>
  <c r="E2064" i="6"/>
  <c r="H2063" i="6"/>
  <c r="F2063" i="6"/>
  <c r="G2063" i="6" s="1"/>
  <c r="E2063" i="6"/>
  <c r="H2062" i="6"/>
  <c r="F2062" i="6"/>
  <c r="G2062" i="6" s="1"/>
  <c r="E2062" i="6"/>
  <c r="H2061" i="6"/>
  <c r="F2061" i="6"/>
  <c r="G2061" i="6" s="1"/>
  <c r="E2061" i="6"/>
  <c r="H2060" i="6"/>
  <c r="F2060" i="6"/>
  <c r="G2060" i="6" s="1"/>
  <c r="E2060" i="6"/>
  <c r="H2059" i="6"/>
  <c r="F2059" i="6"/>
  <c r="G2059" i="6" s="1"/>
  <c r="E2059" i="6"/>
  <c r="H2058" i="6"/>
  <c r="F2058" i="6"/>
  <c r="G2058" i="6" s="1"/>
  <c r="E2058" i="6"/>
  <c r="H2057" i="6"/>
  <c r="F2057" i="6"/>
  <c r="G2057" i="6" s="1"/>
  <c r="E2057" i="6"/>
  <c r="H2056" i="6"/>
  <c r="F2056" i="6"/>
  <c r="G2056" i="6" s="1"/>
  <c r="E2056" i="6"/>
  <c r="H2055" i="6"/>
  <c r="F2055" i="6"/>
  <c r="G2055" i="6" s="1"/>
  <c r="E2055" i="6"/>
  <c r="H2054" i="6"/>
  <c r="F2054" i="6"/>
  <c r="G2054" i="6" s="1"/>
  <c r="E2054" i="6"/>
  <c r="H2053" i="6"/>
  <c r="F2053" i="6"/>
  <c r="G2053" i="6" s="1"/>
  <c r="E2053" i="6"/>
  <c r="H2052" i="6"/>
  <c r="F2052" i="6"/>
  <c r="G2052" i="6" s="1"/>
  <c r="E2052" i="6"/>
  <c r="H2051" i="6"/>
  <c r="F2051" i="6"/>
  <c r="G2051" i="6" s="1"/>
  <c r="E2051" i="6"/>
  <c r="H2050" i="6"/>
  <c r="F2050" i="6"/>
  <c r="G2050" i="6" s="1"/>
  <c r="E2050" i="6"/>
  <c r="H2049" i="6"/>
  <c r="F2049" i="6"/>
  <c r="G2049" i="6" s="1"/>
  <c r="E2049" i="6"/>
  <c r="H2048" i="6"/>
  <c r="F2048" i="6"/>
  <c r="G2048" i="6" s="1"/>
  <c r="E2048" i="6"/>
  <c r="H2047" i="6"/>
  <c r="F2047" i="6"/>
  <c r="G2047" i="6" s="1"/>
  <c r="E2047" i="6"/>
  <c r="H2046" i="6"/>
  <c r="F2046" i="6"/>
  <c r="G2046" i="6" s="1"/>
  <c r="E2046" i="6"/>
  <c r="H2045" i="6"/>
  <c r="F2045" i="6"/>
  <c r="G2045" i="6" s="1"/>
  <c r="E2045" i="6"/>
  <c r="H2044" i="6"/>
  <c r="F2044" i="6"/>
  <c r="G2044" i="6" s="1"/>
  <c r="E2044" i="6"/>
  <c r="H2043" i="6"/>
  <c r="F2043" i="6"/>
  <c r="G2043" i="6" s="1"/>
  <c r="E2043" i="6"/>
  <c r="H2042" i="6"/>
  <c r="F2042" i="6"/>
  <c r="G2042" i="6" s="1"/>
  <c r="E2042" i="6"/>
  <c r="H2041" i="6"/>
  <c r="F2041" i="6"/>
  <c r="G2041" i="6" s="1"/>
  <c r="E2041" i="6"/>
  <c r="H2040" i="6"/>
  <c r="F2040" i="6"/>
  <c r="G2040" i="6" s="1"/>
  <c r="E2040" i="6"/>
  <c r="H2039" i="6"/>
  <c r="F2039" i="6"/>
  <c r="G2039" i="6" s="1"/>
  <c r="E2039" i="6"/>
  <c r="H2038" i="6"/>
  <c r="F2038" i="6"/>
  <c r="G2038" i="6" s="1"/>
  <c r="E2038" i="6"/>
  <c r="H2037" i="6"/>
  <c r="F2037" i="6"/>
  <c r="G2037" i="6" s="1"/>
  <c r="E2037" i="6"/>
  <c r="H2036" i="6"/>
  <c r="F2036" i="6"/>
  <c r="G2036" i="6" s="1"/>
  <c r="E2036" i="6"/>
  <c r="H2035" i="6"/>
  <c r="F2035" i="6"/>
  <c r="G2035" i="6" s="1"/>
  <c r="E2035" i="6"/>
  <c r="H2034" i="6"/>
  <c r="F2034" i="6"/>
  <c r="G2034" i="6" s="1"/>
  <c r="E2034" i="6"/>
  <c r="H2033" i="6"/>
  <c r="F2033" i="6"/>
  <c r="G2033" i="6" s="1"/>
  <c r="E2033" i="6"/>
  <c r="H2032" i="6"/>
  <c r="F2032" i="6"/>
  <c r="G2032" i="6" s="1"/>
  <c r="E2032" i="6"/>
  <c r="H2031" i="6"/>
  <c r="F2031" i="6"/>
  <c r="G2031" i="6" s="1"/>
  <c r="E2031" i="6"/>
  <c r="H2030" i="6"/>
  <c r="F2030" i="6"/>
  <c r="G2030" i="6" s="1"/>
  <c r="E2030" i="6"/>
  <c r="H2029" i="6"/>
  <c r="F2029" i="6"/>
  <c r="G2029" i="6" s="1"/>
  <c r="E2029" i="6"/>
  <c r="H2028" i="6"/>
  <c r="F2028" i="6"/>
  <c r="G2028" i="6" s="1"/>
  <c r="E2028" i="6"/>
  <c r="H2027" i="6"/>
  <c r="F2027" i="6"/>
  <c r="G2027" i="6" s="1"/>
  <c r="E2027" i="6"/>
  <c r="H2026" i="6"/>
  <c r="F2026" i="6"/>
  <c r="G2026" i="6" s="1"/>
  <c r="E2026" i="6"/>
  <c r="H2025" i="6"/>
  <c r="F2025" i="6"/>
  <c r="G2025" i="6" s="1"/>
  <c r="E2025" i="6"/>
  <c r="H2024" i="6"/>
  <c r="F2024" i="6"/>
  <c r="G2024" i="6" s="1"/>
  <c r="E2024" i="6"/>
  <c r="H2023" i="6"/>
  <c r="F2023" i="6"/>
  <c r="G2023" i="6" s="1"/>
  <c r="E2023" i="6"/>
  <c r="H2022" i="6"/>
  <c r="F2022" i="6"/>
  <c r="G2022" i="6" s="1"/>
  <c r="E2022" i="6"/>
  <c r="H2021" i="6"/>
  <c r="F2021" i="6"/>
  <c r="G2021" i="6" s="1"/>
  <c r="E2021" i="6"/>
  <c r="H2020" i="6"/>
  <c r="F2020" i="6"/>
  <c r="G2020" i="6" s="1"/>
  <c r="E2020" i="6"/>
  <c r="H2019" i="6"/>
  <c r="F2019" i="6"/>
  <c r="G2019" i="6" s="1"/>
  <c r="E2019" i="6"/>
  <c r="H2018" i="6"/>
  <c r="F2018" i="6"/>
  <c r="G2018" i="6" s="1"/>
  <c r="E2018" i="6"/>
  <c r="H2017" i="6"/>
  <c r="F2017" i="6"/>
  <c r="G2017" i="6" s="1"/>
  <c r="E2017" i="6"/>
  <c r="H2016" i="6"/>
  <c r="F2016" i="6"/>
  <c r="G2016" i="6" s="1"/>
  <c r="E2016" i="6"/>
  <c r="H2015" i="6"/>
  <c r="F2015" i="6"/>
  <c r="G2015" i="6" s="1"/>
  <c r="E2015" i="6"/>
  <c r="H2014" i="6"/>
  <c r="F2014" i="6"/>
  <c r="G2014" i="6" s="1"/>
  <c r="E2014" i="6"/>
  <c r="H2013" i="6"/>
  <c r="F2013" i="6"/>
  <c r="G2013" i="6" s="1"/>
  <c r="E2013" i="6"/>
  <c r="H2012" i="6"/>
  <c r="E2012" i="6"/>
  <c r="H2011" i="6"/>
  <c r="F2011" i="6"/>
  <c r="G2011" i="6" s="1"/>
  <c r="E2011" i="6"/>
  <c r="H2010" i="6"/>
  <c r="F2010" i="6"/>
  <c r="G2010" i="6" s="1"/>
  <c r="E2010" i="6"/>
  <c r="F2009" i="6"/>
  <c r="G2009" i="6" s="1"/>
  <c r="E2009" i="6"/>
  <c r="F2008" i="6"/>
  <c r="G2008" i="6" s="1"/>
  <c r="E2008" i="6"/>
  <c r="F2007" i="6"/>
  <c r="G2007" i="6" s="1"/>
  <c r="E2007" i="6"/>
  <c r="F2006" i="6"/>
  <c r="G2006" i="6" s="1"/>
  <c r="E2006" i="6"/>
  <c r="F2005" i="6"/>
  <c r="G2005" i="6" s="1"/>
  <c r="E2005" i="6"/>
  <c r="H2004" i="6"/>
  <c r="F2004" i="6"/>
  <c r="E2004" i="6"/>
  <c r="F2003" i="6"/>
  <c r="G2003" i="6" s="1"/>
  <c r="E2003" i="6"/>
  <c r="F2002" i="6"/>
  <c r="G2002" i="6" s="1"/>
  <c r="E2002" i="6"/>
  <c r="F2001" i="6"/>
  <c r="G2001" i="6" s="1"/>
  <c r="E2001" i="6"/>
  <c r="F2000" i="6"/>
  <c r="G2000" i="6" s="1"/>
  <c r="E2000" i="6"/>
  <c r="F1999" i="6"/>
  <c r="G1999" i="6" s="1"/>
  <c r="E1999" i="6"/>
  <c r="F1998" i="6"/>
  <c r="G1998" i="6" s="1"/>
  <c r="E1998" i="6"/>
  <c r="F1997" i="6"/>
  <c r="G1997" i="6" s="1"/>
  <c r="H1996" i="6"/>
  <c r="G1996" i="6"/>
  <c r="H1995" i="6"/>
  <c r="H1994" i="6"/>
  <c r="F1991" i="6"/>
  <c r="G1991" i="6" s="1"/>
  <c r="E1991" i="6"/>
  <c r="F1990" i="6"/>
  <c r="G1990" i="6" s="1"/>
  <c r="E1990" i="6"/>
  <c r="F1988" i="6"/>
  <c r="G1988" i="6" s="1"/>
  <c r="E1988" i="6"/>
  <c r="F1987" i="6"/>
  <c r="G1987" i="6" s="1"/>
  <c r="E1987" i="6"/>
  <c r="F1986" i="6"/>
  <c r="G1986" i="6" s="1"/>
  <c r="E1986" i="6"/>
  <c r="F1985" i="6"/>
  <c r="G1985" i="6" s="1"/>
  <c r="E1985" i="6"/>
  <c r="F1984" i="6"/>
  <c r="G1984" i="6" s="1"/>
  <c r="E1984" i="6"/>
  <c r="F1983" i="6"/>
  <c r="G1983" i="6" s="1"/>
  <c r="E1983" i="6"/>
  <c r="F1982" i="6"/>
  <c r="G1982" i="6" s="1"/>
  <c r="E1982" i="6"/>
  <c r="H1981" i="6"/>
  <c r="F1981" i="6"/>
  <c r="G1981" i="6" s="1"/>
  <c r="E1981" i="6"/>
  <c r="H1980" i="6"/>
  <c r="F1980" i="6"/>
  <c r="G1980" i="6" s="1"/>
  <c r="E1980" i="6"/>
  <c r="H1979" i="6"/>
  <c r="F1979" i="6"/>
  <c r="G1979" i="6" s="1"/>
  <c r="E1979" i="6"/>
  <c r="H1978" i="6"/>
  <c r="F1978" i="6"/>
  <c r="G1978" i="6" s="1"/>
  <c r="E1978" i="6"/>
  <c r="H1977" i="6"/>
  <c r="F1977" i="6"/>
  <c r="G1977" i="6" s="1"/>
  <c r="E1977" i="6"/>
  <c r="F1976" i="6"/>
  <c r="G1976" i="6" s="1"/>
  <c r="E1976" i="6"/>
  <c r="F1975" i="6"/>
  <c r="G1975" i="6" s="1"/>
  <c r="E1975" i="6"/>
  <c r="F1974" i="6"/>
  <c r="G1974" i="6" s="1"/>
  <c r="E1974" i="6"/>
  <c r="F1973" i="6"/>
  <c r="G1973" i="6" s="1"/>
  <c r="E1973" i="6"/>
  <c r="F1972" i="6"/>
  <c r="G1972" i="6" s="1"/>
  <c r="E1972" i="6"/>
  <c r="F1971" i="6"/>
  <c r="G1971" i="6" s="1"/>
  <c r="E1971" i="6"/>
  <c r="H1970" i="6"/>
  <c r="F1970" i="6"/>
  <c r="G1970" i="6" s="1"/>
  <c r="E1970" i="6"/>
  <c r="F1969" i="6"/>
  <c r="G1969" i="6" s="1"/>
  <c r="E1969" i="6"/>
  <c r="F1968" i="6"/>
  <c r="G1968" i="6" s="1"/>
  <c r="E1968" i="6"/>
  <c r="F1967" i="6"/>
  <c r="G1967" i="6" s="1"/>
  <c r="E1967" i="6"/>
  <c r="F1966" i="6"/>
  <c r="G1966" i="6" s="1"/>
  <c r="E1966" i="6"/>
  <c r="F1965" i="6"/>
  <c r="G1965" i="6" s="1"/>
  <c r="E1965" i="6"/>
  <c r="F1964" i="6"/>
  <c r="G1964" i="6" s="1"/>
  <c r="E1964" i="6"/>
  <c r="F1963" i="6"/>
  <c r="G1963" i="6" s="1"/>
  <c r="E1963" i="6"/>
  <c r="H1962" i="6"/>
  <c r="F1962" i="6"/>
  <c r="G1962" i="6" s="1"/>
  <c r="E1962" i="6"/>
  <c r="F1961" i="6"/>
  <c r="G1961" i="6" s="1"/>
  <c r="E1961" i="6"/>
  <c r="F1960" i="6"/>
  <c r="G1960" i="6" s="1"/>
  <c r="E1960" i="6"/>
  <c r="F1959" i="6"/>
  <c r="G1959" i="6" s="1"/>
  <c r="E1959" i="6"/>
  <c r="F1958" i="6"/>
  <c r="G1958" i="6" s="1"/>
  <c r="E1958" i="6"/>
  <c r="F1957" i="6"/>
  <c r="G1957" i="6" s="1"/>
  <c r="E1957" i="6"/>
  <c r="F1956" i="6"/>
  <c r="G1956" i="6" s="1"/>
  <c r="E1956" i="6"/>
  <c r="F1955" i="6"/>
  <c r="G1955" i="6" s="1"/>
  <c r="E1955" i="6"/>
  <c r="F1954" i="6"/>
  <c r="G1954" i="6" s="1"/>
  <c r="E1954" i="6"/>
  <c r="F1953" i="6"/>
  <c r="G1953" i="6" s="1"/>
  <c r="E1953" i="6"/>
  <c r="F1952" i="6"/>
  <c r="G1952" i="6" s="1"/>
  <c r="E1952" i="6"/>
  <c r="F1950" i="6"/>
  <c r="G1950" i="6" s="1"/>
  <c r="E1950" i="6"/>
  <c r="F1949" i="6"/>
  <c r="G1949" i="6" s="1"/>
  <c r="E1949" i="6"/>
  <c r="F1948" i="6"/>
  <c r="G1948" i="6" s="1"/>
  <c r="E1948" i="6"/>
  <c r="F1947" i="6"/>
  <c r="G1947" i="6" s="1"/>
  <c r="E1947" i="6"/>
  <c r="F1946" i="6"/>
  <c r="G1946" i="6" s="1"/>
  <c r="E1946" i="6"/>
  <c r="F1945" i="6"/>
  <c r="G1945" i="6" s="1"/>
  <c r="E1945" i="6"/>
  <c r="F1944" i="6"/>
  <c r="G1944" i="6" s="1"/>
  <c r="E1944" i="6"/>
  <c r="F1943" i="6"/>
  <c r="G1943" i="6" s="1"/>
  <c r="E1943" i="6"/>
  <c r="F1942" i="6"/>
  <c r="G1942" i="6" s="1"/>
  <c r="E1942" i="6"/>
  <c r="F1941" i="6"/>
  <c r="G1941" i="6" s="1"/>
  <c r="E1941" i="6"/>
  <c r="F1940" i="6"/>
  <c r="G1940" i="6" s="1"/>
  <c r="E1940" i="6"/>
  <c r="F1939" i="6"/>
  <c r="G1939" i="6" s="1"/>
  <c r="E1939" i="6"/>
  <c r="F1938" i="6"/>
  <c r="G1938" i="6" s="1"/>
  <c r="E1938" i="6"/>
  <c r="F1937" i="6"/>
  <c r="G1937" i="6" s="1"/>
  <c r="E1937" i="6"/>
  <c r="H1936" i="6"/>
  <c r="G1936" i="6"/>
  <c r="E1936" i="6"/>
  <c r="H1935" i="6"/>
  <c r="G1935" i="6"/>
  <c r="E1935" i="6"/>
  <c r="H1934" i="6"/>
  <c r="G1934" i="6"/>
  <c r="E1934" i="6"/>
  <c r="H1933" i="6"/>
  <c r="F1933" i="6"/>
  <c r="G1933" i="6" s="1"/>
  <c r="E1933" i="6"/>
  <c r="H1932" i="6"/>
  <c r="F1932" i="6"/>
  <c r="G1932" i="6" s="1"/>
  <c r="E1932" i="6"/>
  <c r="H1931" i="6"/>
  <c r="F1931" i="6"/>
  <c r="G1931" i="6" s="1"/>
  <c r="E1931" i="6"/>
  <c r="H1930" i="6"/>
  <c r="F1930" i="6"/>
  <c r="G1930" i="6" s="1"/>
  <c r="E1930" i="6"/>
  <c r="H1929" i="6"/>
  <c r="F1929" i="6"/>
  <c r="G1929" i="6" s="1"/>
  <c r="E1929" i="6"/>
  <c r="H1927" i="6"/>
  <c r="F1927" i="6"/>
  <c r="G1927" i="6" s="1"/>
  <c r="E1927" i="6"/>
  <c r="H1926" i="6"/>
  <c r="F1926" i="6"/>
  <c r="G1926" i="6" s="1"/>
  <c r="E1926" i="6"/>
  <c r="H1925" i="6"/>
  <c r="F1925" i="6"/>
  <c r="G1925" i="6" s="1"/>
  <c r="E1925" i="6"/>
  <c r="H1924" i="6"/>
  <c r="F1924" i="6"/>
  <c r="G1924" i="6" s="1"/>
  <c r="E1924" i="6"/>
  <c r="H1923" i="6"/>
  <c r="F1923" i="6"/>
  <c r="G1923" i="6" s="1"/>
  <c r="E1923" i="6"/>
  <c r="H1922" i="6"/>
  <c r="F1922" i="6"/>
  <c r="G1922" i="6" s="1"/>
  <c r="E1922" i="6"/>
  <c r="H1921" i="6"/>
  <c r="F1921" i="6"/>
  <c r="G1921" i="6" s="1"/>
  <c r="E1921" i="6"/>
  <c r="H1920" i="6"/>
  <c r="F1920" i="6"/>
  <c r="G1920" i="6" s="1"/>
  <c r="E1920" i="6"/>
  <c r="H1919" i="6"/>
  <c r="F1919" i="6"/>
  <c r="G1919" i="6" s="1"/>
  <c r="E1919" i="6"/>
  <c r="H1918" i="6"/>
  <c r="F1918" i="6"/>
  <c r="G1918" i="6" s="1"/>
  <c r="E1918" i="6"/>
  <c r="C2143" i="6"/>
  <c r="C2142" i="6"/>
  <c r="C2141" i="6"/>
  <c r="C2140" i="6"/>
  <c r="C2139" i="6"/>
  <c r="C2138" i="6"/>
  <c r="C2137" i="6"/>
  <c r="C2136" i="6"/>
  <c r="C2135" i="6"/>
  <c r="C2134" i="6"/>
  <c r="C2133" i="6"/>
  <c r="C2132" i="6"/>
  <c r="C2131" i="6"/>
  <c r="C2130" i="6"/>
  <c r="C2129" i="6"/>
  <c r="C2128" i="6"/>
  <c r="C2127" i="6"/>
  <c r="C2126" i="6"/>
  <c r="C2125" i="6"/>
  <c r="C2124" i="6"/>
  <c r="C2123" i="6"/>
  <c r="C2122" i="6"/>
  <c r="C2121" i="6"/>
  <c r="C2120" i="6"/>
  <c r="C2119" i="6"/>
  <c r="C2118" i="6"/>
  <c r="C2117" i="6"/>
  <c r="C2116" i="6"/>
  <c r="C2115" i="6"/>
  <c r="C2114" i="6"/>
  <c r="C2113" i="6"/>
  <c r="C2112" i="6"/>
  <c r="C2111" i="6"/>
  <c r="C2110" i="6"/>
  <c r="C2109" i="6"/>
  <c r="C2108" i="6"/>
  <c r="C2107" i="6"/>
  <c r="C2106" i="6"/>
  <c r="C2105" i="6"/>
  <c r="C2104" i="6"/>
  <c r="C2103" i="6"/>
  <c r="C2102" i="6"/>
  <c r="C2101" i="6"/>
  <c r="C2100" i="6"/>
  <c r="C2099" i="6"/>
  <c r="C2098" i="6"/>
  <c r="C2097" i="6"/>
  <c r="C2096" i="6"/>
  <c r="C2095" i="6"/>
  <c r="C2094" i="6"/>
  <c r="C2093" i="6"/>
  <c r="C2092" i="6"/>
  <c r="C2091" i="6"/>
  <c r="C2090" i="6"/>
  <c r="C2089" i="6"/>
  <c r="C2088" i="6"/>
  <c r="C2087" i="6"/>
  <c r="C2086" i="6"/>
  <c r="C2085" i="6"/>
  <c r="C2084" i="6"/>
  <c r="C2083" i="6"/>
  <c r="C2082" i="6"/>
  <c r="C2081" i="6"/>
  <c r="C2080" i="6"/>
  <c r="C2079" i="6"/>
  <c r="C2078" i="6"/>
  <c r="C2077" i="6"/>
  <c r="C2076" i="6"/>
  <c r="C2075" i="6"/>
  <c r="C2074" i="6"/>
  <c r="C2073" i="6"/>
  <c r="C2072" i="6"/>
  <c r="C2071" i="6"/>
  <c r="C2070" i="6"/>
  <c r="C2069" i="6"/>
  <c r="C2068" i="6"/>
  <c r="C2067" i="6"/>
  <c r="C2066" i="6"/>
  <c r="C2065" i="6"/>
  <c r="C2064" i="6"/>
  <c r="C2063" i="6"/>
  <c r="C2062" i="6"/>
  <c r="C2061" i="6"/>
  <c r="C2060" i="6"/>
  <c r="C2059" i="6"/>
  <c r="C2058" i="6"/>
  <c r="C2057" i="6"/>
  <c r="C2056" i="6"/>
  <c r="C2055" i="6"/>
  <c r="C2054" i="6"/>
  <c r="C2053" i="6"/>
  <c r="C2052" i="6"/>
  <c r="C2051" i="6"/>
  <c r="C2050" i="6"/>
  <c r="C2049" i="6"/>
  <c r="C2048" i="6"/>
  <c r="C2047" i="6"/>
  <c r="C2046" i="6"/>
  <c r="C2045" i="6"/>
  <c r="C2044" i="6"/>
  <c r="C2043" i="6"/>
  <c r="C2042" i="6"/>
  <c r="C2041" i="6"/>
  <c r="C2040" i="6"/>
  <c r="C2039" i="6"/>
  <c r="C2038" i="6"/>
  <c r="C2037" i="6"/>
  <c r="C2036" i="6"/>
  <c r="C2035" i="6"/>
  <c r="C2034" i="6"/>
  <c r="C2033" i="6"/>
  <c r="C2032" i="6"/>
  <c r="C2031" i="6"/>
  <c r="C2030" i="6"/>
  <c r="C2029" i="6"/>
  <c r="C2028" i="6"/>
  <c r="C2027" i="6"/>
  <c r="C2026" i="6"/>
  <c r="C2025" i="6"/>
  <c r="C2024" i="6"/>
  <c r="C2023" i="6"/>
  <c r="C2022" i="6"/>
  <c r="C2021" i="6"/>
  <c r="C2020" i="6"/>
  <c r="C2019" i="6"/>
  <c r="C2018" i="6"/>
  <c r="C2017" i="6"/>
  <c r="C2016" i="6"/>
  <c r="C2015" i="6"/>
  <c r="C2014" i="6"/>
  <c r="C2013" i="6"/>
  <c r="C2012" i="6"/>
  <c r="C2011" i="6"/>
  <c r="C2010" i="6"/>
  <c r="C2009" i="6"/>
  <c r="C2008" i="6"/>
  <c r="C2007" i="6"/>
  <c r="C2006" i="6"/>
  <c r="C2005" i="6"/>
  <c r="C2004" i="6"/>
  <c r="C2003" i="6"/>
  <c r="C2002" i="6"/>
  <c r="C2001" i="6"/>
  <c r="C2000" i="6"/>
  <c r="C1999" i="6"/>
  <c r="C1998" i="6"/>
  <c r="C1997" i="6"/>
  <c r="C1996" i="6"/>
  <c r="C1995" i="6"/>
  <c r="C1994" i="6"/>
  <c r="C1991" i="6"/>
  <c r="C1990" i="6"/>
  <c r="C1988" i="6"/>
  <c r="C1987" i="6"/>
  <c r="C1986" i="6"/>
  <c r="C1985" i="6"/>
  <c r="C1984" i="6"/>
  <c r="C1983" i="6"/>
  <c r="C1982" i="6"/>
  <c r="C1981" i="6"/>
  <c r="C1980" i="6"/>
  <c r="C1979" i="6"/>
  <c r="C1978" i="6"/>
  <c r="C1977" i="6"/>
  <c r="C1976" i="6"/>
  <c r="C1975" i="6"/>
  <c r="C1974" i="6"/>
  <c r="C1973" i="6"/>
  <c r="C1972" i="6"/>
  <c r="C1971" i="6"/>
  <c r="C1970" i="6"/>
  <c r="C1969" i="6"/>
  <c r="C1968" i="6"/>
  <c r="C1967" i="6"/>
  <c r="C1966" i="6"/>
  <c r="C1965" i="6"/>
  <c r="C1964" i="6"/>
  <c r="C1963" i="6"/>
  <c r="C1962" i="6"/>
  <c r="C1961" i="6"/>
  <c r="C1960" i="6"/>
  <c r="C1959" i="6"/>
  <c r="C1958" i="6"/>
  <c r="C1957" i="6"/>
  <c r="C1956" i="6"/>
  <c r="C1955" i="6"/>
  <c r="C1954" i="6"/>
  <c r="C1953" i="6"/>
  <c r="C1952" i="6"/>
  <c r="C1950" i="6"/>
  <c r="C1949" i="6"/>
  <c r="C1948" i="6"/>
  <c r="C1947" i="6"/>
  <c r="C1946" i="6"/>
  <c r="C1945" i="6"/>
  <c r="C1944" i="6"/>
  <c r="C1943" i="6"/>
  <c r="C1942" i="6"/>
  <c r="C1941" i="6"/>
  <c r="C1940" i="6"/>
  <c r="C1939" i="6"/>
  <c r="C1938" i="6"/>
  <c r="C1937" i="6"/>
  <c r="C1936" i="6"/>
  <c r="C1935" i="6"/>
  <c r="C1934" i="6"/>
  <c r="C1933" i="6"/>
  <c r="C1932" i="6"/>
  <c r="C1931" i="6"/>
  <c r="C1930" i="6"/>
  <c r="C1929" i="6"/>
  <c r="C1927" i="6"/>
  <c r="C1926" i="6"/>
  <c r="C1925" i="6"/>
  <c r="C1924" i="6"/>
  <c r="C1923" i="6"/>
  <c r="N1670" i="22"/>
  <c r="N1671" i="22"/>
  <c r="K1671" i="22"/>
  <c r="H1671" i="22" s="1"/>
  <c r="K1678" i="22"/>
  <c r="H1678" i="22" s="1"/>
  <c r="K1677" i="22"/>
  <c r="H1677" i="22"/>
  <c r="K1676" i="22"/>
  <c r="H1676" i="22" s="1"/>
  <c r="K1679" i="22"/>
  <c r="H1679" i="22" s="1"/>
  <c r="K1675" i="22"/>
  <c r="H1675" i="22"/>
  <c r="K1674" i="22"/>
  <c r="H1674" i="22" s="1"/>
  <c r="K1670" i="22"/>
  <c r="H1670" i="22" s="1"/>
  <c r="K1917" i="6"/>
  <c r="H1917" i="6"/>
  <c r="K1916" i="6"/>
  <c r="H1916" i="6"/>
  <c r="K1915" i="6"/>
  <c r="H1915" i="6"/>
  <c r="K1914" i="6"/>
  <c r="H1914" i="6"/>
  <c r="K1913" i="6"/>
  <c r="H1913" i="6"/>
  <c r="F1917" i="6"/>
  <c r="E1917" i="6"/>
  <c r="F1916" i="6"/>
  <c r="E1916" i="6"/>
  <c r="F1915" i="6"/>
  <c r="E1915" i="6"/>
  <c r="F1914" i="6"/>
  <c r="E1914" i="6"/>
  <c r="K1668" i="22"/>
  <c r="H1668" i="22" s="1"/>
  <c r="K1667" i="22"/>
  <c r="H1667" i="22" s="1"/>
  <c r="M1909" i="6"/>
  <c r="L1909" i="6"/>
  <c r="K1909" i="6"/>
  <c r="H1909" i="6"/>
  <c r="F1909" i="6"/>
  <c r="G1909" i="6" s="1"/>
  <c r="E1909" i="6"/>
  <c r="C1909" i="6"/>
  <c r="K1669" i="22"/>
  <c r="H1669" i="22" s="1"/>
  <c r="K1666" i="22"/>
  <c r="H1666" i="22" s="1"/>
  <c r="K1665" i="22"/>
  <c r="H1665" i="22" s="1"/>
  <c r="K1664" i="22"/>
  <c r="H1664" i="22" s="1"/>
  <c r="K1663" i="22"/>
  <c r="H1663" i="22" s="1"/>
  <c r="K1662" i="22"/>
  <c r="H1662" i="22" s="1"/>
  <c r="K1661" i="22"/>
  <c r="H1661" i="22" s="1"/>
  <c r="K1660" i="22"/>
  <c r="H1660" i="22" s="1"/>
  <c r="K1659" i="22"/>
  <c r="H1659" i="22" s="1"/>
  <c r="K1658" i="22"/>
  <c r="H1658" i="22" s="1"/>
  <c r="K1657" i="22"/>
  <c r="H1657" i="22" s="1"/>
  <c r="K1912" i="6"/>
  <c r="H1912" i="6"/>
  <c r="K1911" i="6"/>
  <c r="H1911" i="6"/>
  <c r="K1910" i="6"/>
  <c r="H1910" i="6"/>
  <c r="K1908" i="6"/>
  <c r="H1908" i="6"/>
  <c r="K1907" i="6"/>
  <c r="H1907" i="6" s="1"/>
  <c r="C1661" i="22"/>
  <c r="C1660" i="22"/>
  <c r="C1659" i="22"/>
  <c r="C1658" i="22"/>
  <c r="C1657" i="22"/>
  <c r="K1906" i="6"/>
  <c r="H1906" i="6"/>
  <c r="K1905" i="6"/>
  <c r="H1905" i="6"/>
  <c r="K1904" i="6"/>
  <c r="H1904" i="6"/>
  <c r="K1903" i="6"/>
  <c r="H1903" i="6"/>
  <c r="K1902" i="6"/>
  <c r="H1902" i="6"/>
  <c r="K1901" i="6"/>
  <c r="H1901" i="6"/>
  <c r="K1900" i="6"/>
  <c r="H1900" i="6"/>
  <c r="K1899" i="6"/>
  <c r="H1899" i="6"/>
  <c r="K1898" i="6"/>
  <c r="H1898" i="6"/>
  <c r="K1897" i="6"/>
  <c r="H1897" i="6"/>
  <c r="K1896" i="6"/>
  <c r="H1896" i="6" s="1"/>
  <c r="M1953" i="6"/>
  <c r="L1953" i="6"/>
  <c r="M1952" i="6"/>
  <c r="L1952" i="6"/>
  <c r="M1950" i="6"/>
  <c r="L1950" i="6"/>
  <c r="M1949" i="6"/>
  <c r="L1949" i="6"/>
  <c r="M1948" i="6"/>
  <c r="L1948" i="6"/>
  <c r="M1947" i="6"/>
  <c r="L1947" i="6"/>
  <c r="M1946" i="6"/>
  <c r="L1946" i="6"/>
  <c r="M1945" i="6"/>
  <c r="L1945" i="6"/>
  <c r="M1944" i="6"/>
  <c r="L1944" i="6"/>
  <c r="M1943" i="6"/>
  <c r="L1943" i="6"/>
  <c r="M1942" i="6"/>
  <c r="L1942" i="6"/>
  <c r="M1941" i="6"/>
  <c r="L1941" i="6"/>
  <c r="M1940" i="6"/>
  <c r="L1940" i="6"/>
  <c r="M1939" i="6"/>
  <c r="L1939" i="6"/>
  <c r="M1938" i="6"/>
  <c r="L1938" i="6"/>
  <c r="M1937" i="6"/>
  <c r="L1937" i="6"/>
  <c r="M1936" i="6"/>
  <c r="L1936" i="6"/>
  <c r="M1935" i="6"/>
  <c r="L1935" i="6"/>
  <c r="M1934" i="6"/>
  <c r="L1934" i="6"/>
  <c r="M1933" i="6"/>
  <c r="L1933" i="6"/>
  <c r="M1932" i="6"/>
  <c r="L1932" i="6"/>
  <c r="M1931" i="6"/>
  <c r="L1931" i="6"/>
  <c r="M1930" i="6"/>
  <c r="L1930" i="6"/>
  <c r="M1929" i="6"/>
  <c r="L1929" i="6"/>
  <c r="M1927" i="6"/>
  <c r="L1927" i="6"/>
  <c r="M1926" i="6"/>
  <c r="L1926" i="6"/>
  <c r="M1925" i="6"/>
  <c r="L1925" i="6"/>
  <c r="M1924" i="6"/>
  <c r="L1924" i="6"/>
  <c r="M1923" i="6"/>
  <c r="L1923" i="6"/>
  <c r="M1922" i="6"/>
  <c r="L1922" i="6"/>
  <c r="M1921" i="6"/>
  <c r="L1921" i="6"/>
  <c r="M1920" i="6"/>
  <c r="L1920" i="6"/>
  <c r="M1919" i="6"/>
  <c r="L1919" i="6"/>
  <c r="M1918" i="6"/>
  <c r="L1918" i="6"/>
  <c r="M1917" i="6"/>
  <c r="L1917" i="6"/>
  <c r="M1916" i="6"/>
  <c r="L1916" i="6"/>
  <c r="M1915" i="6"/>
  <c r="L1915" i="6"/>
  <c r="M1914" i="6"/>
  <c r="L1914" i="6"/>
  <c r="M1913" i="6"/>
  <c r="L1913" i="6"/>
  <c r="M1912" i="6"/>
  <c r="L1912" i="6"/>
  <c r="M1911" i="6"/>
  <c r="L1911" i="6"/>
  <c r="M1910" i="6"/>
  <c r="L1910" i="6"/>
  <c r="M1908" i="6"/>
  <c r="L1908" i="6"/>
  <c r="M1907" i="6"/>
  <c r="L1907" i="6"/>
  <c r="M1906" i="6"/>
  <c r="L1906" i="6"/>
  <c r="M1905" i="6"/>
  <c r="L1905" i="6"/>
  <c r="M1904" i="6"/>
  <c r="L1904" i="6"/>
  <c r="M1903" i="6"/>
  <c r="L1903" i="6"/>
  <c r="M1902" i="6"/>
  <c r="L1902" i="6"/>
  <c r="M1901" i="6"/>
  <c r="L1901" i="6"/>
  <c r="M1900" i="6"/>
  <c r="L1900" i="6"/>
  <c r="M1898" i="6"/>
  <c r="L1898" i="6"/>
  <c r="M1897" i="6"/>
  <c r="L1897" i="6"/>
  <c r="M1896" i="6"/>
  <c r="L1896" i="6"/>
  <c r="K1656" i="22"/>
  <c r="H1656" i="22" s="1"/>
  <c r="K1655" i="22"/>
  <c r="H1655" i="22" s="1"/>
  <c r="K1654" i="22"/>
  <c r="H1654" i="22" s="1"/>
  <c r="K1653" i="22"/>
  <c r="H1653" i="22" s="1"/>
  <c r="K1652" i="22"/>
  <c r="H1652" i="22" s="1"/>
  <c r="K1651" i="22"/>
  <c r="H1651" i="22" s="1"/>
  <c r="M1895" i="6"/>
  <c r="L1895" i="6"/>
  <c r="M1894" i="6"/>
  <c r="L1894" i="6"/>
  <c r="M1893" i="6"/>
  <c r="L1893" i="6"/>
  <c r="M1892" i="6"/>
  <c r="L1892" i="6"/>
  <c r="M1891" i="6"/>
  <c r="L1891" i="6"/>
  <c r="K1891" i="6"/>
  <c r="K1892" i="6"/>
  <c r="K1893" i="6"/>
  <c r="K1894" i="6"/>
  <c r="K1895" i="6"/>
  <c r="H1891" i="6"/>
  <c r="H1892" i="6"/>
  <c r="H1893" i="6"/>
  <c r="H1894" i="6"/>
  <c r="H1895" i="6"/>
  <c r="N1884" i="6"/>
  <c r="M1884" i="6"/>
  <c r="L1884" i="6"/>
  <c r="K1884" i="6"/>
  <c r="H1884" i="6"/>
  <c r="F1884" i="6"/>
  <c r="G1884" i="6" s="1"/>
  <c r="E1884" i="6"/>
  <c r="C1884" i="6"/>
  <c r="K1650" i="22"/>
  <c r="H1650" i="22" s="1"/>
  <c r="K1649" i="22"/>
  <c r="H1649" i="22" s="1"/>
  <c r="K1648" i="22"/>
  <c r="H1648" i="22" s="1"/>
  <c r="K1647" i="22"/>
  <c r="H1647" i="22" s="1"/>
  <c r="K1646" i="22"/>
  <c r="H1646" i="22" s="1"/>
  <c r="K1645" i="22"/>
  <c r="H1645" i="22" s="1"/>
  <c r="K1644" i="22"/>
  <c r="H1644" i="22" s="1"/>
  <c r="K1643" i="22"/>
  <c r="H1643" i="22" s="1"/>
  <c r="K1642" i="22"/>
  <c r="H1642" i="22" s="1"/>
  <c r="K1641" i="22"/>
  <c r="H1641" i="22" s="1"/>
  <c r="K1640" i="22"/>
  <c r="H1640" i="22" s="1"/>
  <c r="N1870" i="6"/>
  <c r="K1639" i="22"/>
  <c r="H1639" i="22" s="1"/>
  <c r="K1638" i="22"/>
  <c r="H1638" i="22" s="1"/>
  <c r="K1637" i="22"/>
  <c r="H1637" i="22" s="1"/>
  <c r="K1636" i="22"/>
  <c r="H1636" i="22" s="1"/>
  <c r="K1635" i="22"/>
  <c r="H1635" i="22" s="1"/>
  <c r="K1634" i="22"/>
  <c r="H1634" i="22" s="1"/>
  <c r="K1633" i="22"/>
  <c r="H1633" i="22" s="1"/>
  <c r="N1628" i="22"/>
  <c r="K1628" i="22"/>
  <c r="H1628" i="22" s="1"/>
  <c r="K1632" i="22"/>
  <c r="H1632" i="22" s="1"/>
  <c r="K1631" i="22"/>
  <c r="H1631" i="22" s="1"/>
  <c r="K1630" i="22"/>
  <c r="H1630" i="22" s="1"/>
  <c r="K1629" i="22"/>
  <c r="H1629" i="22" s="1"/>
  <c r="K1627" i="22"/>
  <c r="H1627" i="22" s="1"/>
  <c r="K1626" i="22"/>
  <c r="H1626" i="22" s="1"/>
  <c r="N12" i="21"/>
  <c r="L10" i="21"/>
  <c r="M10" i="21"/>
  <c r="D10" i="21"/>
  <c r="E10" i="21"/>
  <c r="F10" i="21"/>
  <c r="G10" i="21"/>
  <c r="H10" i="21"/>
  <c r="I10" i="21"/>
  <c r="J10" i="21"/>
  <c r="K10" i="21"/>
  <c r="N10" i="21"/>
  <c r="N1861" i="6"/>
  <c r="M1860" i="6"/>
  <c r="L1860" i="6"/>
  <c r="K1860" i="6"/>
  <c r="H1860" i="6"/>
  <c r="F1860" i="6"/>
  <c r="G1860" i="6" s="1"/>
  <c r="E1860" i="6"/>
  <c r="C1860" i="6"/>
  <c r="M1861" i="6"/>
  <c r="L1861" i="6"/>
  <c r="K1861" i="6"/>
  <c r="H1861" i="6"/>
  <c r="F1861" i="6"/>
  <c r="G1861" i="6" s="1"/>
  <c r="E1861" i="6"/>
  <c r="C1861" i="6"/>
  <c r="K1625" i="22"/>
  <c r="H1625" i="22" s="1"/>
  <c r="K1624" i="22"/>
  <c r="H1624" i="22" s="1"/>
  <c r="K1623" i="22"/>
  <c r="H1623" i="22" s="1"/>
  <c r="K1622" i="22"/>
  <c r="H1622" i="22" s="1"/>
  <c r="K1621" i="22"/>
  <c r="H1621" i="22" s="1"/>
  <c r="K1620" i="22"/>
  <c r="K1619" i="22"/>
  <c r="H1619" i="22" s="1"/>
  <c r="K1618" i="22"/>
  <c r="H1618" i="22" s="1"/>
  <c r="K1617" i="22"/>
  <c r="K1616" i="22"/>
  <c r="H1616" i="22" s="1"/>
  <c r="K1615" i="22"/>
  <c r="H1615" i="22" s="1"/>
  <c r="K1614" i="22"/>
  <c r="K1613" i="22"/>
  <c r="H1613" i="22" s="1"/>
  <c r="K1612" i="22"/>
  <c r="H1612" i="22" s="1"/>
  <c r="K1611" i="22"/>
  <c r="K1610" i="22"/>
  <c r="H1610" i="22" s="1"/>
  <c r="K1609" i="22"/>
  <c r="H1609" i="22" s="1"/>
  <c r="K1608" i="22"/>
  <c r="K1607" i="22"/>
  <c r="H1607" i="22" s="1"/>
  <c r="K1606" i="22"/>
  <c r="K1605" i="22"/>
  <c r="K1604" i="22"/>
  <c r="H1604" i="22" s="1"/>
  <c r="K1603" i="22"/>
  <c r="H1603" i="22" s="1"/>
  <c r="K1602" i="22"/>
  <c r="K1601" i="22"/>
  <c r="H1601" i="22" s="1"/>
  <c r="K1600" i="22"/>
  <c r="H1600" i="22" s="1"/>
  <c r="K1599" i="22"/>
  <c r="K1598" i="22"/>
  <c r="H1598" i="22" s="1"/>
  <c r="K1597" i="22"/>
  <c r="H1597" i="22" s="1"/>
  <c r="K1596" i="22"/>
  <c r="K1595" i="22"/>
  <c r="H1595" i="22" s="1"/>
  <c r="K1594" i="22"/>
  <c r="H1594" i="22" s="1"/>
  <c r="K1593" i="22"/>
  <c r="K1592" i="22"/>
  <c r="H1592" i="22" s="1"/>
  <c r="K1591" i="22"/>
  <c r="H1591" i="22" s="1"/>
  <c r="K1590" i="22"/>
  <c r="K1589" i="22"/>
  <c r="H1589" i="22" s="1"/>
  <c r="K1588" i="22"/>
  <c r="H1588" i="22" s="1"/>
  <c r="K1587" i="22"/>
  <c r="K1586" i="22"/>
  <c r="H1586" i="22" s="1"/>
  <c r="K1585" i="22"/>
  <c r="H1585" i="22" s="1"/>
  <c r="K1584" i="22"/>
  <c r="K1583" i="22"/>
  <c r="H1583" i="22" s="1"/>
  <c r="K1582" i="22"/>
  <c r="H1582" i="22" s="1"/>
  <c r="K1581" i="22"/>
  <c r="K1580" i="22"/>
  <c r="H1580" i="22" s="1"/>
  <c r="K1579" i="22"/>
  <c r="H1579" i="22" s="1"/>
  <c r="K1578" i="22"/>
  <c r="K1577" i="22"/>
  <c r="H1577" i="22" s="1"/>
  <c r="K1576" i="22"/>
  <c r="H1576" i="22" s="1"/>
  <c r="K1575" i="22"/>
  <c r="K1574" i="22"/>
  <c r="H1574" i="22" s="1"/>
  <c r="K1573" i="22"/>
  <c r="H1573" i="22" s="1"/>
  <c r="K1572" i="22"/>
  <c r="K1571" i="22"/>
  <c r="H1571" i="22" s="1"/>
  <c r="H1620" i="22"/>
  <c r="H1617" i="22"/>
  <c r="H1614" i="22"/>
  <c r="H1611" i="22"/>
  <c r="H1608" i="22"/>
  <c r="H1606" i="22"/>
  <c r="H1605" i="22"/>
  <c r="H1602" i="22"/>
  <c r="H1599" i="22"/>
  <c r="H1596" i="22"/>
  <c r="H1593" i="22"/>
  <c r="H1590" i="22"/>
  <c r="H1587" i="22"/>
  <c r="H1584" i="22"/>
  <c r="H1581" i="22"/>
  <c r="L1812" i="6"/>
  <c r="M1812" i="6"/>
  <c r="L1813" i="6"/>
  <c r="M1813" i="6"/>
  <c r="L1814" i="6"/>
  <c r="M1814" i="6"/>
  <c r="L1815" i="6"/>
  <c r="M1815" i="6"/>
  <c r="L1816" i="6"/>
  <c r="M1816" i="6"/>
  <c r="L1817" i="6"/>
  <c r="M1817" i="6"/>
  <c r="L1818" i="6"/>
  <c r="M1818" i="6"/>
  <c r="L1819" i="6"/>
  <c r="M1819" i="6"/>
  <c r="L1820" i="6"/>
  <c r="M1820" i="6"/>
  <c r="L1821" i="6"/>
  <c r="M1821" i="6"/>
  <c r="L1822" i="6"/>
  <c r="M1822" i="6"/>
  <c r="L1823" i="6"/>
  <c r="M1823" i="6"/>
  <c r="L1824" i="6"/>
  <c r="M1824" i="6"/>
  <c r="L1825" i="6"/>
  <c r="M1825" i="6"/>
  <c r="L1826" i="6"/>
  <c r="M1826" i="6"/>
  <c r="L1827" i="6"/>
  <c r="M1827" i="6"/>
  <c r="L1828" i="6"/>
  <c r="M1828" i="6"/>
  <c r="L1829" i="6"/>
  <c r="M1829" i="6"/>
  <c r="L1830" i="6"/>
  <c r="M1830" i="6"/>
  <c r="L1831" i="6"/>
  <c r="M1831" i="6"/>
  <c r="L1832" i="6"/>
  <c r="M1832" i="6"/>
  <c r="L1833" i="6"/>
  <c r="M1833" i="6"/>
  <c r="L1834" i="6"/>
  <c r="M1834" i="6"/>
  <c r="L1835" i="6"/>
  <c r="M1835" i="6"/>
  <c r="L1836" i="6"/>
  <c r="M1836" i="6"/>
  <c r="L1837" i="6"/>
  <c r="M1837" i="6"/>
  <c r="L1838" i="6"/>
  <c r="M1838" i="6"/>
  <c r="L1839" i="6"/>
  <c r="M1839" i="6"/>
  <c r="L1840" i="6"/>
  <c r="M1840" i="6"/>
  <c r="L1841" i="6"/>
  <c r="M1841" i="6"/>
  <c r="L1842" i="6"/>
  <c r="M1842" i="6"/>
  <c r="L1843" i="6"/>
  <c r="M1843" i="6"/>
  <c r="L1844" i="6"/>
  <c r="M1844" i="6"/>
  <c r="L1845" i="6"/>
  <c r="M1845" i="6"/>
  <c r="L1846" i="6"/>
  <c r="M1846" i="6"/>
  <c r="L1847" i="6"/>
  <c r="M1847" i="6"/>
  <c r="L1848" i="6"/>
  <c r="M1848" i="6"/>
  <c r="L1849" i="6"/>
  <c r="M1849" i="6"/>
  <c r="L1850" i="6"/>
  <c r="M1850" i="6"/>
  <c r="L1851" i="6"/>
  <c r="M1851" i="6"/>
  <c r="L1852" i="6"/>
  <c r="M1852" i="6"/>
  <c r="L1853" i="6"/>
  <c r="M1853" i="6"/>
  <c r="L1854" i="6"/>
  <c r="M1854" i="6"/>
  <c r="L1855" i="6"/>
  <c r="M1855" i="6"/>
  <c r="L1856" i="6"/>
  <c r="M1856" i="6"/>
  <c r="L1857" i="6"/>
  <c r="M1857" i="6"/>
  <c r="L1858" i="6"/>
  <c r="M1858" i="6"/>
  <c r="L1859" i="6"/>
  <c r="M1859" i="6"/>
  <c r="L1862" i="6"/>
  <c r="M1862" i="6"/>
  <c r="L1863" i="6"/>
  <c r="M1863" i="6"/>
  <c r="L1864" i="6"/>
  <c r="M1864" i="6"/>
  <c r="L1865" i="6"/>
  <c r="M1865" i="6"/>
  <c r="L1866" i="6"/>
  <c r="M1866" i="6"/>
  <c r="L1867" i="6"/>
  <c r="M1867" i="6"/>
  <c r="L1868" i="6"/>
  <c r="M1868" i="6"/>
  <c r="L1869" i="6"/>
  <c r="M1869" i="6"/>
  <c r="L1870" i="6"/>
  <c r="M1870" i="6"/>
  <c r="L1872" i="6"/>
  <c r="M1872" i="6"/>
  <c r="L1873" i="6"/>
  <c r="M1873" i="6"/>
  <c r="L1874" i="6"/>
  <c r="M1874" i="6"/>
  <c r="L1876" i="6"/>
  <c r="M1876" i="6"/>
  <c r="L1877" i="6"/>
  <c r="M1877" i="6"/>
  <c r="L1878" i="6"/>
  <c r="M1878" i="6"/>
  <c r="L1875" i="6"/>
  <c r="M1875" i="6"/>
  <c r="L1879" i="6"/>
  <c r="M1879" i="6"/>
  <c r="L1880" i="6"/>
  <c r="M1880" i="6"/>
  <c r="L1881" i="6"/>
  <c r="M1881" i="6"/>
  <c r="L1882" i="6"/>
  <c r="M1882" i="6"/>
  <c r="L1883" i="6"/>
  <c r="M1883" i="6"/>
  <c r="L1885" i="6"/>
  <c r="M1885" i="6"/>
  <c r="L1888" i="6"/>
  <c r="M1888" i="6"/>
  <c r="L1889" i="6"/>
  <c r="M1889" i="6"/>
  <c r="L1890" i="6"/>
  <c r="M1890" i="6"/>
  <c r="K1812" i="6"/>
  <c r="K1813" i="6"/>
  <c r="K1814" i="6"/>
  <c r="K1815" i="6"/>
  <c r="K1816" i="6"/>
  <c r="K1817" i="6"/>
  <c r="K1818" i="6"/>
  <c r="K1819" i="6"/>
  <c r="K1820" i="6"/>
  <c r="K1821" i="6"/>
  <c r="K1822" i="6"/>
  <c r="K1823" i="6"/>
  <c r="K1824" i="6"/>
  <c r="K1825" i="6"/>
  <c r="K1826" i="6"/>
  <c r="K1827" i="6"/>
  <c r="K1828" i="6"/>
  <c r="K1829" i="6"/>
  <c r="K1830" i="6"/>
  <c r="K1831" i="6"/>
  <c r="K1832" i="6"/>
  <c r="K1833" i="6"/>
  <c r="K1834" i="6"/>
  <c r="K1835" i="6"/>
  <c r="K1836" i="6"/>
  <c r="K1837" i="6"/>
  <c r="K1838" i="6"/>
  <c r="K1839" i="6"/>
  <c r="K1840" i="6"/>
  <c r="K1841" i="6"/>
  <c r="K1842" i="6"/>
  <c r="K1843" i="6"/>
  <c r="K1844" i="6"/>
  <c r="K1845" i="6"/>
  <c r="K1846" i="6"/>
  <c r="K1847" i="6"/>
  <c r="K1848" i="6"/>
  <c r="K1849" i="6"/>
  <c r="K1850" i="6"/>
  <c r="K1851" i="6"/>
  <c r="K1852" i="6"/>
  <c r="K1853" i="6"/>
  <c r="K1854" i="6"/>
  <c r="K1855" i="6"/>
  <c r="K1856" i="6"/>
  <c r="K1857" i="6"/>
  <c r="K1858" i="6"/>
  <c r="K1859" i="6"/>
  <c r="K1862" i="6"/>
  <c r="K1863" i="6"/>
  <c r="K1864" i="6"/>
  <c r="K1865" i="6"/>
  <c r="K1866" i="6"/>
  <c r="K1867" i="6"/>
  <c r="K1868" i="6"/>
  <c r="K1869" i="6"/>
  <c r="K1870" i="6"/>
  <c r="K1871" i="6"/>
  <c r="K1872" i="6"/>
  <c r="K1873" i="6"/>
  <c r="K1874" i="6"/>
  <c r="K1876" i="6"/>
  <c r="K1877" i="6"/>
  <c r="K1878" i="6"/>
  <c r="K1875" i="6"/>
  <c r="K1879" i="6"/>
  <c r="K1880" i="6"/>
  <c r="K1881" i="6"/>
  <c r="K1882" i="6"/>
  <c r="K1883" i="6"/>
  <c r="K1885" i="6"/>
  <c r="K1886" i="6"/>
  <c r="K1887" i="6"/>
  <c r="H1887" i="6" s="1"/>
  <c r="K1888" i="6"/>
  <c r="H1888" i="6" s="1"/>
  <c r="K1889" i="6"/>
  <c r="H1889" i="6" s="1"/>
  <c r="K1890" i="6"/>
  <c r="H1890" i="6" s="1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6" i="6"/>
  <c r="H1877" i="6"/>
  <c r="H1878" i="6"/>
  <c r="H1875" i="6"/>
  <c r="H1879" i="6"/>
  <c r="H1880" i="6"/>
  <c r="H1881" i="6"/>
  <c r="H1882" i="6"/>
  <c r="H1883" i="6"/>
  <c r="H1885" i="6"/>
  <c r="H1886" i="6"/>
  <c r="E1858" i="6"/>
  <c r="F1858" i="6"/>
  <c r="E1859" i="6"/>
  <c r="F1859" i="6"/>
  <c r="E1862" i="6"/>
  <c r="F1862" i="6"/>
  <c r="E1863" i="6"/>
  <c r="F1863" i="6"/>
  <c r="E1864" i="6"/>
  <c r="F1864" i="6"/>
  <c r="E1865" i="6"/>
  <c r="F1865" i="6"/>
  <c r="E1866" i="6"/>
  <c r="F1866" i="6"/>
  <c r="E1867" i="6"/>
  <c r="F1867" i="6"/>
  <c r="E1868" i="6"/>
  <c r="F1868" i="6"/>
  <c r="F1870" i="6"/>
  <c r="F1872" i="6"/>
  <c r="F1873" i="6"/>
  <c r="E1874" i="6"/>
  <c r="F1874" i="6"/>
  <c r="E1876" i="6"/>
  <c r="F1876" i="6"/>
  <c r="E1877" i="6"/>
  <c r="E1878" i="6"/>
  <c r="F1878" i="6"/>
  <c r="E1875" i="6"/>
  <c r="F1875" i="6"/>
  <c r="E1879" i="6"/>
  <c r="F1879" i="6"/>
  <c r="E1880" i="6"/>
  <c r="F1880" i="6"/>
  <c r="E1881" i="6"/>
  <c r="F1881" i="6"/>
  <c r="E1882" i="6"/>
  <c r="F1882" i="6"/>
  <c r="E1883" i="6"/>
  <c r="F1883" i="6"/>
  <c r="E1885" i="6"/>
  <c r="F1885" i="6"/>
  <c r="E1888" i="6"/>
  <c r="F1888" i="6"/>
  <c r="E1889" i="6"/>
  <c r="F1889" i="6"/>
  <c r="E1890" i="6"/>
  <c r="F1890" i="6"/>
  <c r="E1891" i="6"/>
  <c r="F1891" i="6"/>
  <c r="E1892" i="6"/>
  <c r="F1892" i="6"/>
  <c r="E1893" i="6"/>
  <c r="F1893" i="6"/>
  <c r="E1894" i="6"/>
  <c r="F1894" i="6"/>
  <c r="E1895" i="6"/>
  <c r="E1896" i="6"/>
  <c r="F1896" i="6"/>
  <c r="E1897" i="6"/>
  <c r="F1897" i="6"/>
  <c r="E1898" i="6"/>
  <c r="F1898" i="6"/>
  <c r="E1900" i="6"/>
  <c r="F1900" i="6"/>
  <c r="E1901" i="6"/>
  <c r="F1901" i="6"/>
  <c r="E1902" i="6"/>
  <c r="F1902" i="6"/>
  <c r="E1903" i="6"/>
  <c r="F1903" i="6"/>
  <c r="E1904" i="6"/>
  <c r="F1904" i="6"/>
  <c r="E1905" i="6"/>
  <c r="F1905" i="6"/>
  <c r="E1906" i="6"/>
  <c r="F1906" i="6"/>
  <c r="E1907" i="6"/>
  <c r="F1907" i="6"/>
  <c r="E1908" i="6"/>
  <c r="F1908" i="6"/>
  <c r="E1910" i="6"/>
  <c r="F1910" i="6"/>
  <c r="E1911" i="6"/>
  <c r="F1911" i="6"/>
  <c r="E1912" i="6"/>
  <c r="F1912" i="6"/>
  <c r="E1913" i="6"/>
  <c r="F1913" i="6"/>
  <c r="F1857" i="6"/>
  <c r="E1857" i="6"/>
  <c r="C1858" i="6"/>
  <c r="C1859" i="6"/>
  <c r="C1862" i="6"/>
  <c r="C1863" i="6"/>
  <c r="C1864" i="6"/>
  <c r="C1865" i="6"/>
  <c r="C1866" i="6"/>
  <c r="C1867" i="6"/>
  <c r="C1868" i="6"/>
  <c r="C1869" i="6"/>
  <c r="C1870" i="6"/>
  <c r="C1872" i="6"/>
  <c r="C1873" i="6"/>
  <c r="C1874" i="6"/>
  <c r="C1876" i="6"/>
  <c r="C1877" i="6"/>
  <c r="C1878" i="6"/>
  <c r="C1875" i="6"/>
  <c r="C1879" i="6"/>
  <c r="C1880" i="6"/>
  <c r="C1881" i="6"/>
  <c r="C1882" i="6"/>
  <c r="C1883" i="6"/>
  <c r="C1885" i="6"/>
  <c r="C1888" i="6"/>
  <c r="C1889" i="6"/>
  <c r="C1890" i="6"/>
  <c r="C1891" i="6"/>
  <c r="C1892" i="6"/>
  <c r="C1893" i="6"/>
  <c r="C1894" i="6"/>
  <c r="C1895" i="6"/>
  <c r="C1896" i="6"/>
  <c r="C1897" i="6"/>
  <c r="C1898" i="6"/>
  <c r="C1900" i="6"/>
  <c r="C1901" i="6"/>
  <c r="C1902" i="6"/>
  <c r="C1903" i="6"/>
  <c r="C1904" i="6"/>
  <c r="C1905" i="6"/>
  <c r="C1906" i="6"/>
  <c r="C1907" i="6"/>
  <c r="C1908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857" i="6"/>
  <c r="G1856" i="6"/>
  <c r="G1855" i="6"/>
  <c r="G1854" i="6"/>
  <c r="G1853" i="6"/>
  <c r="G1852" i="6"/>
  <c r="G1851" i="6"/>
  <c r="G1850" i="6"/>
  <c r="G1849" i="6"/>
  <c r="G1848" i="6"/>
  <c r="G1847" i="6"/>
  <c r="G1846" i="6"/>
  <c r="G1845" i="6"/>
  <c r="G1844" i="6"/>
  <c r="G1843" i="6"/>
  <c r="G1842" i="6"/>
  <c r="G1841" i="6"/>
  <c r="G1840" i="6"/>
  <c r="G1839" i="6"/>
  <c r="G1838" i="6"/>
  <c r="G1837" i="6"/>
  <c r="G1836" i="6"/>
  <c r="G1835" i="6"/>
  <c r="G1834" i="6"/>
  <c r="G1833" i="6"/>
  <c r="G1832" i="6"/>
  <c r="G1831" i="6"/>
  <c r="G1830" i="6"/>
  <c r="G1829" i="6"/>
  <c r="G1828" i="6"/>
  <c r="G1827" i="6"/>
  <c r="G1826" i="6"/>
  <c r="G1825" i="6"/>
  <c r="G1824" i="6"/>
  <c r="G1823" i="6"/>
  <c r="G1822" i="6"/>
  <c r="G1821" i="6"/>
  <c r="G1820" i="6"/>
  <c r="G1819" i="6"/>
  <c r="G1818" i="6"/>
  <c r="G1817" i="6"/>
  <c r="M1811" i="6"/>
  <c r="L1811" i="6"/>
  <c r="M1810" i="6"/>
  <c r="L1810" i="6"/>
  <c r="M1809" i="6"/>
  <c r="L1809" i="6"/>
  <c r="N1570" i="22"/>
  <c r="N1569" i="22"/>
  <c r="K1570" i="22"/>
  <c r="H1570" i="22" s="1"/>
  <c r="H1578" i="22"/>
  <c r="H1575" i="22"/>
  <c r="H1572" i="22"/>
  <c r="C1579" i="22"/>
  <c r="C1578" i="22"/>
  <c r="C1577" i="22"/>
  <c r="C1576" i="22"/>
  <c r="C1575" i="22"/>
  <c r="C1574" i="22"/>
  <c r="C1573" i="22"/>
  <c r="B1522" i="22" s="1" a="1"/>
  <c r="B1522" i="22" s="1"/>
  <c r="C1572" i="22"/>
  <c r="H1812" i="6"/>
  <c r="K1811" i="6"/>
  <c r="H1811" i="6" s="1"/>
  <c r="F1816" i="6"/>
  <c r="G1816" i="6" s="1"/>
  <c r="E1816" i="6"/>
  <c r="F1815" i="6"/>
  <c r="G1815" i="6" s="1"/>
  <c r="E1815" i="6"/>
  <c r="F1814" i="6"/>
  <c r="G1814" i="6" s="1"/>
  <c r="E1814" i="6"/>
  <c r="F1813" i="6"/>
  <c r="G1813" i="6" s="1"/>
  <c r="E1813" i="6"/>
  <c r="F1812" i="6"/>
  <c r="E1812" i="6"/>
  <c r="F1811" i="6"/>
  <c r="E1811" i="6"/>
  <c r="C1816" i="6"/>
  <c r="C1815" i="6"/>
  <c r="C1814" i="6"/>
  <c r="C1813" i="6"/>
  <c r="C1812" i="6"/>
  <c r="C1811" i="6"/>
  <c r="K1559" i="22"/>
  <c r="H1559" i="22" s="1"/>
  <c r="K1560" i="22"/>
  <c r="H1560" i="22" s="1"/>
  <c r="K1561" i="22"/>
  <c r="H1561" i="22" s="1"/>
  <c r="K1562" i="22"/>
  <c r="H1562" i="22" s="1"/>
  <c r="K1569" i="22"/>
  <c r="H1569" i="22" s="1"/>
  <c r="K1563" i="22"/>
  <c r="H1563" i="22" s="1"/>
  <c r="K1568" i="22"/>
  <c r="H1568" i="22" s="1"/>
  <c r="K1567" i="22"/>
  <c r="H1567" i="22" s="1"/>
  <c r="K1564" i="22"/>
  <c r="H1564" i="22" s="1"/>
  <c r="K1565" i="22"/>
  <c r="H1565" i="22" s="1"/>
  <c r="K1566" i="22"/>
  <c r="H1566" i="22" s="1"/>
  <c r="B1563" i="22" a="1"/>
  <c r="B1563" i="22" s="1"/>
  <c r="K1810" i="6"/>
  <c r="K1809" i="6"/>
  <c r="K1808" i="6"/>
  <c r="K1807" i="6"/>
  <c r="K1806" i="6"/>
  <c r="K1805" i="6"/>
  <c r="K1804" i="6"/>
  <c r="K1803" i="6"/>
  <c r="H1810" i="6"/>
  <c r="H1809" i="6"/>
  <c r="H1808" i="6"/>
  <c r="H1807" i="6"/>
  <c r="H1806" i="6"/>
  <c r="H1805" i="6"/>
  <c r="H1804" i="6"/>
  <c r="H1803" i="6"/>
  <c r="M1808" i="6"/>
  <c r="L1808" i="6"/>
  <c r="M1807" i="6"/>
  <c r="L1807" i="6"/>
  <c r="F1810" i="6"/>
  <c r="F1809" i="6"/>
  <c r="F1808" i="6"/>
  <c r="F1807" i="6"/>
  <c r="C1810" i="6"/>
  <c r="C1809" i="6"/>
  <c r="C1808" i="6"/>
  <c r="C1807" i="6"/>
  <c r="C1806" i="6"/>
  <c r="E1810" i="6"/>
  <c r="E1809" i="6"/>
  <c r="E1808" i="6"/>
  <c r="E1807" i="6"/>
  <c r="N1802" i="6"/>
  <c r="N1556" i="22"/>
  <c r="K1556" i="22"/>
  <c r="H1556" i="22" s="1"/>
  <c r="K1558" i="22"/>
  <c r="H1558" i="22" s="1"/>
  <c r="K1557" i="22"/>
  <c r="H1557" i="22" s="1"/>
  <c r="K1555" i="22"/>
  <c r="H1555" i="22" s="1"/>
  <c r="K1554" i="22"/>
  <c r="H1554" i="22" s="1"/>
  <c r="K1553" i="22"/>
  <c r="H1553" i="22" s="1"/>
  <c r="M1806" i="6"/>
  <c r="L1806" i="6"/>
  <c r="M1805" i="6"/>
  <c r="L1805" i="6"/>
  <c r="M1804" i="6"/>
  <c r="L1804" i="6"/>
  <c r="M1803" i="6"/>
  <c r="L1803" i="6"/>
  <c r="M1802" i="6"/>
  <c r="L1802" i="6"/>
  <c r="M1801" i="6"/>
  <c r="L1801" i="6"/>
  <c r="M1800" i="6"/>
  <c r="L1800" i="6"/>
  <c r="M1799" i="6"/>
  <c r="L1799" i="6"/>
  <c r="M1798" i="6"/>
  <c r="L1798" i="6"/>
  <c r="M1797" i="6"/>
  <c r="L1797" i="6"/>
  <c r="M1796" i="6"/>
  <c r="L1796" i="6"/>
  <c r="M1795" i="6"/>
  <c r="L1795" i="6"/>
  <c r="M1794" i="6"/>
  <c r="L1794" i="6"/>
  <c r="K1802" i="6"/>
  <c r="H1802" i="6" s="1"/>
  <c r="K1801" i="6"/>
  <c r="H1801" i="6" s="1"/>
  <c r="K1800" i="6"/>
  <c r="H1800" i="6" s="1"/>
  <c r="K1799" i="6"/>
  <c r="H1799" i="6" s="1"/>
  <c r="K1798" i="6"/>
  <c r="H1798" i="6" s="1"/>
  <c r="K1797" i="6"/>
  <c r="H1797" i="6" s="1"/>
  <c r="K1796" i="6"/>
  <c r="H1796" i="6" s="1"/>
  <c r="K1795" i="6"/>
  <c r="H1795" i="6" s="1"/>
  <c r="K1794" i="6"/>
  <c r="H1794" i="6" s="1"/>
  <c r="F1806" i="6"/>
  <c r="F1805" i="6"/>
  <c r="F1804" i="6"/>
  <c r="F1803" i="6"/>
  <c r="F1802" i="6"/>
  <c r="F1801" i="6"/>
  <c r="F1800" i="6"/>
  <c r="F1799" i="6"/>
  <c r="F1798" i="6"/>
  <c r="F1797" i="6"/>
  <c r="F1796" i="6"/>
  <c r="F1795" i="6"/>
  <c r="F1794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C1805" i="6"/>
  <c r="C1804" i="6"/>
  <c r="C1803" i="6"/>
  <c r="C1802" i="6"/>
  <c r="C1801" i="6"/>
  <c r="C1800" i="6"/>
  <c r="C1799" i="6"/>
  <c r="C1798" i="6"/>
  <c r="C1797" i="6"/>
  <c r="C1796" i="6"/>
  <c r="C1795" i="6"/>
  <c r="C1794" i="6"/>
  <c r="K1552" i="22"/>
  <c r="H1552" i="22" s="1"/>
  <c r="K1551" i="22"/>
  <c r="H1551" i="22" s="1"/>
  <c r="K1550" i="22"/>
  <c r="H1550" i="22" s="1"/>
  <c r="K1549" i="22"/>
  <c r="H1549" i="22" s="1"/>
  <c r="K1548" i="22"/>
  <c r="H1548" i="22" s="1"/>
  <c r="K1547" i="22"/>
  <c r="H1547" i="22" s="1"/>
  <c r="K1546" i="22"/>
  <c r="H1546" i="22" s="1"/>
  <c r="K1545" i="22"/>
  <c r="H1545" i="22" s="1"/>
  <c r="K1544" i="22"/>
  <c r="H1544" i="22" s="1"/>
  <c r="K1543" i="22"/>
  <c r="H1543" i="22" s="1"/>
  <c r="K1542" i="22"/>
  <c r="H1542" i="22" s="1"/>
  <c r="K1541" i="22"/>
  <c r="H1541" i="22" s="1"/>
  <c r="F1787" i="6"/>
  <c r="E1787" i="6"/>
  <c r="M1793" i="6"/>
  <c r="L1793" i="6"/>
  <c r="M1792" i="6"/>
  <c r="L1792" i="6"/>
  <c r="M1791" i="6"/>
  <c r="L1791" i="6"/>
  <c r="M1790" i="6"/>
  <c r="L1790" i="6"/>
  <c r="M1789" i="6"/>
  <c r="L1789" i="6"/>
  <c r="M1788" i="6"/>
  <c r="L1788" i="6"/>
  <c r="M1787" i="6"/>
  <c r="L1787" i="6"/>
  <c r="K1793" i="6"/>
  <c r="H1793" i="6" s="1"/>
  <c r="K1792" i="6"/>
  <c r="H1792" i="6" s="1"/>
  <c r="K1791" i="6"/>
  <c r="H1791" i="6" s="1"/>
  <c r="K1790" i="6"/>
  <c r="H1790" i="6" s="1"/>
  <c r="K1789" i="6"/>
  <c r="H1789" i="6" s="1"/>
  <c r="K1788" i="6"/>
  <c r="H1788" i="6" s="1"/>
  <c r="K1787" i="6"/>
  <c r="H1787" i="6" s="1"/>
  <c r="F1793" i="6"/>
  <c r="E1793" i="6"/>
  <c r="F1792" i="6"/>
  <c r="E1792" i="6"/>
  <c r="F1791" i="6"/>
  <c r="E1791" i="6"/>
  <c r="F1790" i="6"/>
  <c r="E1790" i="6"/>
  <c r="F1789" i="6"/>
  <c r="E1789" i="6"/>
  <c r="F1788" i="6"/>
  <c r="E1788" i="6"/>
  <c r="C1793" i="6"/>
  <c r="C1792" i="6"/>
  <c r="C1791" i="6"/>
  <c r="C1790" i="6"/>
  <c r="C1789" i="6"/>
  <c r="C1788" i="6"/>
  <c r="C1787" i="6"/>
  <c r="N1778" i="6"/>
  <c r="M1778" i="6"/>
  <c r="L1778" i="6"/>
  <c r="K1778" i="6"/>
  <c r="H1778" i="6"/>
  <c r="F1778" i="6"/>
  <c r="G1778" i="6" s="1"/>
  <c r="E1778" i="6"/>
  <c r="C1778" i="6"/>
  <c r="N1784" i="6"/>
  <c r="M1784" i="6"/>
  <c r="L1784" i="6"/>
  <c r="K1784" i="6"/>
  <c r="H1784" i="6"/>
  <c r="F1784" i="6"/>
  <c r="G1784" i="6" s="1"/>
  <c r="E1784" i="6"/>
  <c r="C1784" i="6"/>
  <c r="K1536" i="22"/>
  <c r="H1536" i="22" s="1"/>
  <c r="K1537" i="22"/>
  <c r="H1537" i="22" s="1"/>
  <c r="K1538" i="22"/>
  <c r="H1538" i="22" s="1"/>
  <c r="K1539" i="22"/>
  <c r="H1539" i="22" s="1"/>
  <c r="K1540" i="22"/>
  <c r="H1540" i="22" s="1"/>
  <c r="K1786" i="6"/>
  <c r="K1785" i="6"/>
  <c r="K1783" i="6"/>
  <c r="M1786" i="6"/>
  <c r="L1786" i="6"/>
  <c r="M1785" i="6"/>
  <c r="L1785" i="6"/>
  <c r="M1783" i="6"/>
  <c r="L1783" i="6"/>
  <c r="M1782" i="6"/>
  <c r="L1782" i="6"/>
  <c r="F1786" i="6"/>
  <c r="F1785" i="6"/>
  <c r="E1785" i="6"/>
  <c r="F1783" i="6"/>
  <c r="E1783" i="6"/>
  <c r="F1782" i="6"/>
  <c r="E1782" i="6"/>
  <c r="C1786" i="6"/>
  <c r="C1785" i="6"/>
  <c r="C1783" i="6"/>
  <c r="H1786" i="6"/>
  <c r="N1771" i="6"/>
  <c r="M1771" i="6"/>
  <c r="L1771" i="6"/>
  <c r="K1771" i="6"/>
  <c r="H1771" i="6"/>
  <c r="F1771" i="6"/>
  <c r="G1771" i="6" s="1"/>
  <c r="E1771" i="6"/>
  <c r="C1771" i="6"/>
  <c r="N1770" i="6"/>
  <c r="K1535" i="22"/>
  <c r="H1535" i="22" s="1"/>
  <c r="K1534" i="22"/>
  <c r="H1534" i="22" s="1"/>
  <c r="K1533" i="22"/>
  <c r="H1533" i="22" s="1"/>
  <c r="K1532" i="22"/>
  <c r="H1532" i="22" s="1"/>
  <c r="K1531" i="22"/>
  <c r="H1531" i="22" s="1"/>
  <c r="K1530" i="22"/>
  <c r="H1530" i="22" s="1"/>
  <c r="K1775" i="6"/>
  <c r="K1776" i="6"/>
  <c r="K1777" i="6"/>
  <c r="K1779" i="6"/>
  <c r="K1780" i="6"/>
  <c r="K1781" i="6"/>
  <c r="K1782" i="6"/>
  <c r="L1769" i="6"/>
  <c r="M1769" i="6"/>
  <c r="L1770" i="6"/>
  <c r="M1770" i="6"/>
  <c r="L1772" i="6"/>
  <c r="M1772" i="6"/>
  <c r="L1773" i="6"/>
  <c r="M1773" i="6"/>
  <c r="L1774" i="6"/>
  <c r="M1774" i="6"/>
  <c r="L1775" i="6"/>
  <c r="M1775" i="6"/>
  <c r="L1776" i="6"/>
  <c r="M1776" i="6"/>
  <c r="L1777" i="6"/>
  <c r="M1777" i="6"/>
  <c r="L1779" i="6"/>
  <c r="M1779" i="6"/>
  <c r="L1780" i="6"/>
  <c r="M1780" i="6"/>
  <c r="L1781" i="6"/>
  <c r="M1781" i="6"/>
  <c r="F1769" i="6"/>
  <c r="F1770" i="6"/>
  <c r="F1772" i="6"/>
  <c r="F1773" i="6"/>
  <c r="F1774" i="6"/>
  <c r="F1775" i="6"/>
  <c r="F1776" i="6"/>
  <c r="F1777" i="6"/>
  <c r="F1779" i="6"/>
  <c r="F1780" i="6"/>
  <c r="F1781" i="6"/>
  <c r="E1769" i="6"/>
  <c r="E1770" i="6"/>
  <c r="E1772" i="6"/>
  <c r="E1773" i="6"/>
  <c r="E1774" i="6"/>
  <c r="E1775" i="6"/>
  <c r="E1776" i="6"/>
  <c r="E1777" i="6"/>
  <c r="E1779" i="6"/>
  <c r="E1780" i="6"/>
  <c r="E1781" i="6"/>
  <c r="C1769" i="6"/>
  <c r="C1770" i="6"/>
  <c r="C1772" i="6"/>
  <c r="C1773" i="6"/>
  <c r="C1774" i="6"/>
  <c r="C1775" i="6"/>
  <c r="C1776" i="6"/>
  <c r="C1777" i="6"/>
  <c r="C1779" i="6"/>
  <c r="C1780" i="6"/>
  <c r="C1781" i="6"/>
  <c r="C1782" i="6"/>
  <c r="N1523" i="22"/>
  <c r="K1523" i="22"/>
  <c r="H1523" i="22" s="1"/>
  <c r="G1523" i="22"/>
  <c r="N1522" i="22"/>
  <c r="K1522" i="22"/>
  <c r="H1522" i="22" s="1"/>
  <c r="G1522" i="22"/>
  <c r="G1521" i="22"/>
  <c r="K1521" i="22"/>
  <c r="H1521" i="22" s="1"/>
  <c r="G1524" i="22"/>
  <c r="K1524" i="22"/>
  <c r="H1524" i="22" s="1"/>
  <c r="G1525" i="22"/>
  <c r="K1525" i="22"/>
  <c r="H1525" i="22" s="1"/>
  <c r="G1526" i="22"/>
  <c r="K1526" i="22"/>
  <c r="H1526" i="22" s="1"/>
  <c r="G1527" i="22"/>
  <c r="K1527" i="22"/>
  <c r="H1527" i="22" s="1"/>
  <c r="G1528" i="22"/>
  <c r="K1528" i="22"/>
  <c r="H1528" i="22" s="1"/>
  <c r="G1529" i="22"/>
  <c r="K1529" i="22"/>
  <c r="H1529" i="22" s="1"/>
  <c r="B1529" i="22" a="1"/>
  <c r="B1529" i="22" s="1"/>
  <c r="B1521" i="22" a="1"/>
  <c r="B1521" i="22" s="1"/>
  <c r="B1525" i="22" a="1"/>
  <c r="B1525" i="22" s="1"/>
  <c r="B1524" i="22" a="1"/>
  <c r="B1524" i="22" s="1"/>
  <c r="G1519" i="22"/>
  <c r="K1519" i="22"/>
  <c r="H1519" i="22" s="1"/>
  <c r="G1520" i="22"/>
  <c r="K1520" i="22"/>
  <c r="H1520" i="22" s="1"/>
  <c r="B1520" i="22" a="1"/>
  <c r="B1520" i="22" s="1"/>
  <c r="B1519" i="22" a="1"/>
  <c r="B1519" i="22" s="1"/>
  <c r="K1740" i="6"/>
  <c r="H1740" i="6"/>
  <c r="G1740" i="6"/>
  <c r="H1775" i="6"/>
  <c r="H1776" i="6"/>
  <c r="H1777" i="6"/>
  <c r="H1779" i="6"/>
  <c r="H1780" i="6"/>
  <c r="H1781" i="6"/>
  <c r="H1782" i="6"/>
  <c r="H1783" i="6"/>
  <c r="H1785" i="6"/>
  <c r="K1761" i="6"/>
  <c r="H1761" i="6" s="1"/>
  <c r="K1762" i="6"/>
  <c r="H1762" i="6" s="1"/>
  <c r="K1763" i="6"/>
  <c r="H1763" i="6" s="1"/>
  <c r="K1764" i="6"/>
  <c r="H1764" i="6" s="1"/>
  <c r="K1765" i="6"/>
  <c r="H1765" i="6" s="1"/>
  <c r="K1766" i="6"/>
  <c r="H1766" i="6" s="1"/>
  <c r="K1767" i="6"/>
  <c r="H1767" i="6" s="1"/>
  <c r="K1768" i="6"/>
  <c r="H1768" i="6" s="1"/>
  <c r="K1769" i="6"/>
  <c r="H1769" i="6" s="1"/>
  <c r="K1770" i="6"/>
  <c r="H1770" i="6" s="1"/>
  <c r="K1772" i="6"/>
  <c r="H1772" i="6" s="1"/>
  <c r="K1773" i="6"/>
  <c r="H1773" i="6" s="1"/>
  <c r="K1774" i="6"/>
  <c r="H1774" i="6" s="1"/>
  <c r="L1762" i="6"/>
  <c r="M1762" i="6"/>
  <c r="L1763" i="6"/>
  <c r="M1763" i="6"/>
  <c r="L1764" i="6"/>
  <c r="M1764" i="6"/>
  <c r="L1765" i="6"/>
  <c r="M1765" i="6"/>
  <c r="L1766" i="6"/>
  <c r="M1766" i="6"/>
  <c r="L1767" i="6"/>
  <c r="M1767" i="6"/>
  <c r="L1768" i="6"/>
  <c r="M1768" i="6"/>
  <c r="C1762" i="6"/>
  <c r="E1762" i="6"/>
  <c r="F1762" i="6"/>
  <c r="C1763" i="6"/>
  <c r="E1763" i="6"/>
  <c r="F1763" i="6"/>
  <c r="C1764" i="6"/>
  <c r="E1764" i="6"/>
  <c r="F1764" i="6"/>
  <c r="C1765" i="6"/>
  <c r="E1765" i="6"/>
  <c r="F1765" i="6"/>
  <c r="C1766" i="6"/>
  <c r="E1766" i="6"/>
  <c r="F1766" i="6"/>
  <c r="C1767" i="6"/>
  <c r="E1767" i="6"/>
  <c r="F1767" i="6"/>
  <c r="C1768" i="6"/>
  <c r="E1768" i="6"/>
  <c r="F1768" i="6"/>
  <c r="M1761" i="6"/>
  <c r="L1761" i="6"/>
  <c r="F1761" i="6"/>
  <c r="E1761" i="6"/>
  <c r="C1761" i="6"/>
  <c r="G1512" i="22"/>
  <c r="K1512" i="22"/>
  <c r="H1512" i="22" s="1"/>
  <c r="G1513" i="22"/>
  <c r="K1513" i="22"/>
  <c r="H1513" i="22" s="1"/>
  <c r="G1514" i="22"/>
  <c r="K1514" i="22"/>
  <c r="H1514" i="22" s="1"/>
  <c r="G1515" i="22"/>
  <c r="K1515" i="22"/>
  <c r="H1515" i="22" s="1"/>
  <c r="G1516" i="22"/>
  <c r="K1516" i="22"/>
  <c r="H1516" i="22" s="1"/>
  <c r="G1517" i="22"/>
  <c r="K1517" i="22"/>
  <c r="H1517" i="22" s="1"/>
  <c r="G1518" i="22"/>
  <c r="K1518" i="22"/>
  <c r="H1518" i="22" s="1"/>
  <c r="B1518" i="22" a="1"/>
  <c r="B1518" i="22" s="1"/>
  <c r="B1517" i="22" a="1"/>
  <c r="B1517" i="22" s="1"/>
  <c r="B1514" i="22" a="1"/>
  <c r="B1514" i="22" s="1"/>
  <c r="B1512" i="22" a="1"/>
  <c r="B1512" i="22" s="1"/>
  <c r="K1760" i="6"/>
  <c r="H1760" i="6"/>
  <c r="K1759" i="6"/>
  <c r="H1759" i="6"/>
  <c r="K1758" i="6"/>
  <c r="H1758" i="6"/>
  <c r="K1757" i="6"/>
  <c r="H1757" i="6"/>
  <c r="K1756" i="6"/>
  <c r="H1756" i="6"/>
  <c r="K1755" i="6"/>
  <c r="H1755" i="6"/>
  <c r="K1754" i="6"/>
  <c r="H1754" i="6"/>
  <c r="K1753" i="6"/>
  <c r="H1753" i="6"/>
  <c r="K1752" i="6"/>
  <c r="H1752" i="6"/>
  <c r="K1751" i="6"/>
  <c r="H1751" i="6" s="1"/>
  <c r="K1749" i="6"/>
  <c r="H1749" i="6"/>
  <c r="G1749" i="6"/>
  <c r="K1748" i="6"/>
  <c r="H1748" i="6"/>
  <c r="G1748" i="6"/>
  <c r="K1750" i="6"/>
  <c r="H1750" i="6"/>
  <c r="G1750" i="6"/>
  <c r="N1742" i="6"/>
  <c r="K1742" i="6"/>
  <c r="H1742" i="6"/>
  <c r="G1742" i="6"/>
  <c r="G1505" i="22"/>
  <c r="K1505" i="22"/>
  <c r="H1505" i="22" s="1"/>
  <c r="G1506" i="22"/>
  <c r="K1506" i="22"/>
  <c r="H1506" i="22" s="1"/>
  <c r="G1507" i="22"/>
  <c r="K1507" i="22"/>
  <c r="H1507" i="22" s="1"/>
  <c r="G1508" i="22"/>
  <c r="K1508" i="22"/>
  <c r="H1508" i="22" s="1"/>
  <c r="G1509" i="22"/>
  <c r="K1509" i="22"/>
  <c r="H1509" i="22" s="1"/>
  <c r="G1510" i="22"/>
  <c r="K1510" i="22"/>
  <c r="H1510" i="22" s="1"/>
  <c r="G1511" i="22"/>
  <c r="K1511" i="22"/>
  <c r="H1511" i="22" s="1"/>
  <c r="B1510" i="22" a="1"/>
  <c r="B1510" i="22" s="1"/>
  <c r="B1509" i="22" a="1"/>
  <c r="B1509" i="22" s="1"/>
  <c r="B1507" i="22" a="1"/>
  <c r="B1507" i="22" s="1"/>
  <c r="B1506" i="22" a="1"/>
  <c r="B1506" i="22" s="1"/>
  <c r="K1747" i="6"/>
  <c r="K1746" i="6"/>
  <c r="K1745" i="6"/>
  <c r="K1744" i="6"/>
  <c r="K1743" i="6"/>
  <c r="K1741" i="6"/>
  <c r="H1747" i="6"/>
  <c r="H1746" i="6"/>
  <c r="H1745" i="6"/>
  <c r="H1744" i="6"/>
  <c r="H1743" i="6"/>
  <c r="H1741" i="6"/>
  <c r="G1495" i="22"/>
  <c r="K1495" i="22"/>
  <c r="H1495" i="22" s="1"/>
  <c r="G1496" i="22"/>
  <c r="K1496" i="22"/>
  <c r="H1496" i="22" s="1"/>
  <c r="G1497" i="22"/>
  <c r="K1497" i="22"/>
  <c r="H1497" i="22" s="1"/>
  <c r="G1498" i="22"/>
  <c r="K1498" i="22"/>
  <c r="H1498" i="22" s="1"/>
  <c r="G1499" i="22"/>
  <c r="K1499" i="22"/>
  <c r="H1499" i="22" s="1"/>
  <c r="G1500" i="22"/>
  <c r="K1500" i="22"/>
  <c r="H1500" i="22" s="1"/>
  <c r="G1501" i="22"/>
  <c r="K1501" i="22"/>
  <c r="H1501" i="22" s="1"/>
  <c r="G1502" i="22"/>
  <c r="K1502" i="22"/>
  <c r="H1502" i="22" s="1"/>
  <c r="G1503" i="22"/>
  <c r="K1503" i="22"/>
  <c r="H1503" i="22" s="1"/>
  <c r="G1504" i="22"/>
  <c r="K1504" i="22"/>
  <c r="H1504" i="22" s="1"/>
  <c r="B1503" i="22" a="1"/>
  <c r="B1503" i="22" s="1"/>
  <c r="B1502" i="22" a="1"/>
  <c r="B1502" i="22" s="1"/>
  <c r="B1500" i="22" a="1"/>
  <c r="B1500" i="22" s="1"/>
  <c r="B1499" i="22" a="1"/>
  <c r="B1499" i="22" s="1"/>
  <c r="B1497" i="22" a="1"/>
  <c r="B1497" i="22" s="1"/>
  <c r="B1496" i="22" a="1"/>
  <c r="B1496" i="22" s="1"/>
  <c r="K1739" i="6"/>
  <c r="H1739" i="6"/>
  <c r="K1738" i="6"/>
  <c r="H1738" i="6"/>
  <c r="K1737" i="6"/>
  <c r="H1737" i="6"/>
  <c r="K1736" i="6"/>
  <c r="H1736" i="6"/>
  <c r="K1735" i="6"/>
  <c r="H1735" i="6"/>
  <c r="K1734" i="6"/>
  <c r="H1734" i="6"/>
  <c r="K1733" i="6"/>
  <c r="H1733" i="6"/>
  <c r="K1732" i="6"/>
  <c r="H1732" i="6"/>
  <c r="K1731" i="6"/>
  <c r="H1731" i="6"/>
  <c r="K1730" i="6"/>
  <c r="H1730" i="6"/>
  <c r="K1729" i="6"/>
  <c r="H1729" i="6"/>
  <c r="K1728" i="6"/>
  <c r="H1728" i="6"/>
  <c r="K1727" i="6"/>
  <c r="H1727" i="6"/>
  <c r="K1726" i="6"/>
  <c r="H1726" i="6"/>
  <c r="K1725" i="6"/>
  <c r="H1725" i="6" s="1"/>
  <c r="G1487" i="22"/>
  <c r="K1487" i="22"/>
  <c r="H1487" i="22" s="1"/>
  <c r="G1488" i="22"/>
  <c r="K1488" i="22"/>
  <c r="H1488" i="22" s="1"/>
  <c r="G1489" i="22"/>
  <c r="K1489" i="22"/>
  <c r="H1489" i="22" s="1"/>
  <c r="G1490" i="22"/>
  <c r="K1490" i="22"/>
  <c r="H1490" i="22" s="1"/>
  <c r="G1491" i="22"/>
  <c r="K1491" i="22"/>
  <c r="H1491" i="22" s="1"/>
  <c r="G1492" i="22"/>
  <c r="K1492" i="22"/>
  <c r="H1492" i="22" s="1"/>
  <c r="G1493" i="22"/>
  <c r="K1493" i="22"/>
  <c r="H1493" i="22" s="1"/>
  <c r="G1494" i="22"/>
  <c r="K1494" i="22"/>
  <c r="H1494" i="22" s="1"/>
  <c r="B1494" i="22" a="1"/>
  <c r="B1494" i="22" s="1"/>
  <c r="B1493" i="22" a="1"/>
  <c r="B1493" i="22" s="1"/>
  <c r="B1491" i="22" a="1"/>
  <c r="B1491" i="22" s="1"/>
  <c r="B1490" i="22" a="1"/>
  <c r="B1490" i="22" s="1"/>
  <c r="B1488" i="22" a="1"/>
  <c r="B1488" i="22" s="1"/>
  <c r="B1487" i="22" a="1"/>
  <c r="B1487" i="22" s="1"/>
  <c r="K1724" i="6"/>
  <c r="H1724" i="6" s="1"/>
  <c r="K1723" i="6"/>
  <c r="H1723" i="6" s="1"/>
  <c r="K1722" i="6"/>
  <c r="H1722" i="6" s="1"/>
  <c r="K1721" i="6"/>
  <c r="H1721" i="6" s="1"/>
  <c r="K1720" i="6"/>
  <c r="H1720" i="6" s="1"/>
  <c r="K1719" i="6"/>
  <c r="H1719" i="6" s="1"/>
  <c r="K1718" i="6"/>
  <c r="H1718" i="6" s="1"/>
  <c r="K1717" i="6"/>
  <c r="H1717" i="6" s="1"/>
  <c r="K1716" i="6"/>
  <c r="H1716" i="6" s="1"/>
  <c r="K1715" i="6"/>
  <c r="H1715" i="6" s="1"/>
  <c r="K1713" i="6"/>
  <c r="H1713" i="6" s="1"/>
  <c r="K1714" i="6"/>
  <c r="H1714" i="6" s="1"/>
  <c r="N1707" i="6"/>
  <c r="N1708" i="6"/>
  <c r="K1708" i="6"/>
  <c r="H1708" i="6"/>
  <c r="G1708" i="6"/>
  <c r="N1710" i="6"/>
  <c r="K1710" i="6"/>
  <c r="H1710" i="6"/>
  <c r="G1710" i="6"/>
  <c r="G1479" i="22"/>
  <c r="K1479" i="22"/>
  <c r="H1479" i="22" s="1"/>
  <c r="G1480" i="22"/>
  <c r="K1480" i="22"/>
  <c r="H1480" i="22" s="1"/>
  <c r="G1481" i="22"/>
  <c r="K1481" i="22"/>
  <c r="H1481" i="22" s="1"/>
  <c r="G1482" i="22"/>
  <c r="K1482" i="22"/>
  <c r="H1482" i="22" s="1"/>
  <c r="G1483" i="22"/>
  <c r="K1483" i="22"/>
  <c r="H1483" i="22" s="1"/>
  <c r="G1484" i="22"/>
  <c r="K1484" i="22"/>
  <c r="H1484" i="22" s="1"/>
  <c r="G1485" i="22"/>
  <c r="K1485" i="22"/>
  <c r="H1485" i="22" s="1"/>
  <c r="G1486" i="22"/>
  <c r="K1486" i="22"/>
  <c r="H1486" i="22" s="1"/>
  <c r="B1486" i="22" a="1"/>
  <c r="B1486" i="22" s="1"/>
  <c r="B1485" i="22" a="1"/>
  <c r="B1485" i="22" s="1"/>
  <c r="B1483" i="22" a="1"/>
  <c r="B1483" i="22" s="1"/>
  <c r="B1482" i="22" a="1"/>
  <c r="B1482" i="22" s="1"/>
  <c r="B1480" i="22" a="1"/>
  <c r="B1480" i="22" s="1"/>
  <c r="B1479" i="22" a="1"/>
  <c r="B1479" i="22" s="1"/>
  <c r="K1712" i="6"/>
  <c r="H1712" i="6"/>
  <c r="K1711" i="6"/>
  <c r="H1711" i="6"/>
  <c r="K1709" i="6"/>
  <c r="H1709" i="6"/>
  <c r="K1707" i="6"/>
  <c r="H1707" i="6"/>
  <c r="K1706" i="6"/>
  <c r="H1706" i="6"/>
  <c r="K1705" i="6"/>
  <c r="H1705" i="6" s="1"/>
  <c r="K1469" i="22"/>
  <c r="H1469" i="22" s="1"/>
  <c r="K1470" i="22"/>
  <c r="H1470" i="22" s="1"/>
  <c r="G1471" i="22"/>
  <c r="K1471" i="22"/>
  <c r="H1471" i="22" s="1"/>
  <c r="G1472" i="22"/>
  <c r="K1472" i="22"/>
  <c r="H1472" i="22" s="1"/>
  <c r="G1473" i="22"/>
  <c r="K1473" i="22"/>
  <c r="H1473" i="22" s="1"/>
  <c r="G1474" i="22"/>
  <c r="K1474" i="22"/>
  <c r="H1474" i="22" s="1"/>
  <c r="G1475" i="22"/>
  <c r="K1475" i="22"/>
  <c r="H1475" i="22" s="1"/>
  <c r="G1476" i="22"/>
  <c r="K1476" i="22"/>
  <c r="H1476" i="22" s="1"/>
  <c r="G1477" i="22"/>
  <c r="K1477" i="22"/>
  <c r="H1477" i="22" s="1"/>
  <c r="G1478" i="22"/>
  <c r="K1478" i="22"/>
  <c r="H1478" i="22" s="1"/>
  <c r="B1478" i="22" a="1"/>
  <c r="B1478" i="22" s="1"/>
  <c r="B1476" i="22" a="1"/>
  <c r="B1476" i="22" s="1"/>
  <c r="B1475" i="22" a="1"/>
  <c r="B1475" i="22" s="1"/>
  <c r="B1474" i="22" a="1"/>
  <c r="B1474" i="22" s="1"/>
  <c r="B1473" i="22" a="1"/>
  <c r="B1473" i="22" s="1"/>
  <c r="B1472" i="22" a="1"/>
  <c r="B1472" i="22" s="1"/>
  <c r="B1471" i="22" a="1"/>
  <c r="B1471" i="22" s="1"/>
  <c r="B1470" i="22" a="1"/>
  <c r="B1470" i="22" s="1"/>
  <c r="B1469" i="22" a="1"/>
  <c r="B1469" i="22" s="1"/>
  <c r="K1704" i="6"/>
  <c r="H1704" i="6" s="1"/>
  <c r="K1703" i="6"/>
  <c r="H1703" i="6" s="1"/>
  <c r="K1702" i="6"/>
  <c r="H1702" i="6" s="1"/>
  <c r="K1701" i="6"/>
  <c r="H1701" i="6" s="1"/>
  <c r="K1700" i="6"/>
  <c r="H1700" i="6" s="1"/>
  <c r="K1699" i="6"/>
  <c r="H1699" i="6" s="1"/>
  <c r="K1698" i="6"/>
  <c r="H1698" i="6" s="1"/>
  <c r="K1697" i="6"/>
  <c r="H1697" i="6" s="1"/>
  <c r="K1696" i="6"/>
  <c r="H1696" i="6" s="1"/>
  <c r="K1695" i="6"/>
  <c r="H1695" i="6" s="1"/>
  <c r="K1694" i="6"/>
  <c r="H1694" i="6" s="1"/>
  <c r="K1693" i="6"/>
  <c r="H1693" i="6" s="1"/>
  <c r="K1692" i="6"/>
  <c r="H1692" i="6" s="1"/>
  <c r="K1691" i="6"/>
  <c r="H1691" i="6" s="1"/>
  <c r="K1690" i="6"/>
  <c r="H1690" i="6" s="1"/>
  <c r="K1689" i="6"/>
  <c r="H1689" i="6" s="1"/>
  <c r="K1688" i="6"/>
  <c r="H1688" i="6" s="1"/>
  <c r="K1687" i="6"/>
  <c r="H1687" i="6" s="1"/>
  <c r="K1686" i="6"/>
  <c r="H1686" i="6" s="1"/>
  <c r="K1685" i="6"/>
  <c r="H1685" i="6" s="1"/>
  <c r="K1462" i="22"/>
  <c r="H1462" i="22" s="1"/>
  <c r="K1463" i="22"/>
  <c r="H1463" i="22" s="1"/>
  <c r="K1464" i="22"/>
  <c r="H1464" i="22" s="1"/>
  <c r="K1465" i="22"/>
  <c r="H1465" i="22" s="1"/>
  <c r="K1466" i="22"/>
  <c r="H1466" i="22" s="1"/>
  <c r="K1467" i="22"/>
  <c r="H1467" i="22" s="1"/>
  <c r="K1468" i="22"/>
  <c r="H1468" i="22" s="1"/>
  <c r="G1695" i="6"/>
  <c r="G1688" i="6"/>
  <c r="N1683" i="6"/>
  <c r="K1684" i="6"/>
  <c r="H1684" i="6" s="1"/>
  <c r="G1684" i="6"/>
  <c r="G1455" i="22"/>
  <c r="K1455" i="22"/>
  <c r="H1455" i="22" s="1"/>
  <c r="G1456" i="22"/>
  <c r="K1456" i="22"/>
  <c r="H1456" i="22" s="1"/>
  <c r="G1457" i="22"/>
  <c r="K1457" i="22"/>
  <c r="H1457" i="22" s="1"/>
  <c r="G1458" i="22"/>
  <c r="K1458" i="22"/>
  <c r="H1458" i="22" s="1"/>
  <c r="G1459" i="22"/>
  <c r="K1459" i="22"/>
  <c r="H1459" i="22" s="1"/>
  <c r="G1460" i="22"/>
  <c r="K1460" i="22"/>
  <c r="H1460" i="22" s="1"/>
  <c r="G1461" i="22"/>
  <c r="K1461" i="22"/>
  <c r="H1461" i="22" s="1"/>
  <c r="B1461" i="22" a="1"/>
  <c r="B1461" i="22" s="1"/>
  <c r="B1460" i="22" a="1"/>
  <c r="B1460" i="22" s="1"/>
  <c r="B1459" i="22" a="1"/>
  <c r="B1459" i="22" s="1"/>
  <c r="B1458" i="22" a="1"/>
  <c r="B1458" i="22" s="1"/>
  <c r="B1457" i="22" a="1"/>
  <c r="B1457" i="22" s="1"/>
  <c r="B1456" i="22" a="1"/>
  <c r="B1456" i="22" s="1"/>
  <c r="B1455" i="22" a="1"/>
  <c r="B1455" i="22" s="1"/>
  <c r="K1683" i="6"/>
  <c r="H1683" i="6" s="1"/>
  <c r="K1682" i="6"/>
  <c r="H1682" i="6" s="1"/>
  <c r="K1681" i="6"/>
  <c r="H1681" i="6" s="1"/>
  <c r="K1680" i="6"/>
  <c r="H1680" i="6" s="1"/>
  <c r="K1679" i="6"/>
  <c r="H1679" i="6" s="1"/>
  <c r="K1678" i="6"/>
  <c r="H1678" i="6" s="1"/>
  <c r="K1677" i="6"/>
  <c r="H1677" i="6"/>
  <c r="G1677" i="6"/>
  <c r="G1454" i="22"/>
  <c r="K1454" i="22"/>
  <c r="H1454" i="22" s="1"/>
  <c r="B1454" i="22" a="1"/>
  <c r="B1454" i="22" s="1"/>
  <c r="K1676" i="6"/>
  <c r="H1676" i="6"/>
  <c r="K1453" i="22"/>
  <c r="H1453" i="22" s="1"/>
  <c r="K1452" i="22"/>
  <c r="H1452" i="22" s="1"/>
  <c r="K1451" i="22"/>
  <c r="K1450" i="22"/>
  <c r="H1450" i="22" s="1"/>
  <c r="K1449" i="22"/>
  <c r="H1449" i="22" s="1"/>
  <c r="K1448" i="22"/>
  <c r="H1448" i="22" s="1"/>
  <c r="K1447" i="22"/>
  <c r="K1446" i="22"/>
  <c r="H1446" i="22" s="1"/>
  <c r="K1445" i="22"/>
  <c r="H1445" i="22" s="1"/>
  <c r="K1444" i="22"/>
  <c r="H1444" i="22" s="1"/>
  <c r="K1443" i="22"/>
  <c r="H1443" i="22" s="1"/>
  <c r="H1451" i="22"/>
  <c r="H1447" i="22"/>
  <c r="N1674" i="6"/>
  <c r="K1674" i="6"/>
  <c r="H1674" i="6"/>
  <c r="G1674" i="6"/>
  <c r="G1449" i="22"/>
  <c r="G1450" i="22"/>
  <c r="G1451" i="22"/>
  <c r="G1452" i="22"/>
  <c r="G1453" i="22"/>
  <c r="B1453" i="22" a="1"/>
  <c r="B1453" i="22" s="1"/>
  <c r="B1452" i="22" a="1"/>
  <c r="B1452" i="22" s="1"/>
  <c r="B1451" i="22" a="1"/>
  <c r="B1451" i="22" s="1"/>
  <c r="B1450" i="22" a="1"/>
  <c r="B1450" i="22" s="1"/>
  <c r="B1449" i="22" a="1"/>
  <c r="B1449" i="22" s="1"/>
  <c r="K1675" i="6"/>
  <c r="H1675" i="6" s="1"/>
  <c r="K1673" i="6"/>
  <c r="H1673" i="6"/>
  <c r="K1672" i="6"/>
  <c r="H1672" i="6"/>
  <c r="K1671" i="6"/>
  <c r="H1671" i="6"/>
  <c r="K1670" i="6"/>
  <c r="H1670" i="6" s="1"/>
  <c r="G1443" i="22"/>
  <c r="B1443" i="22" a="1"/>
  <c r="B1443" i="22" s="1"/>
  <c r="K1669" i="6"/>
  <c r="H1669" i="6"/>
  <c r="K1668" i="6"/>
  <c r="H1668" i="6"/>
  <c r="K1667" i="6"/>
  <c r="H1667" i="6"/>
  <c r="K1666" i="6"/>
  <c r="H1666" i="6"/>
  <c r="K1665" i="6"/>
  <c r="H1665" i="6"/>
  <c r="K1664" i="6"/>
  <c r="H1664" i="6"/>
  <c r="K1663" i="6"/>
  <c r="H1663" i="6" s="1"/>
  <c r="G1437" i="22"/>
  <c r="K1437" i="22"/>
  <c r="H1437" i="22" s="1"/>
  <c r="G1438" i="22"/>
  <c r="K1438" i="22"/>
  <c r="H1438" i="22" s="1"/>
  <c r="G1439" i="22"/>
  <c r="K1439" i="22"/>
  <c r="H1439" i="22" s="1"/>
  <c r="G1440" i="22"/>
  <c r="K1440" i="22"/>
  <c r="H1440" i="22" s="1"/>
  <c r="G1441" i="22"/>
  <c r="K1441" i="22"/>
  <c r="H1441" i="22" s="1"/>
  <c r="G1442" i="22"/>
  <c r="K1442" i="22"/>
  <c r="H1442" i="22" s="1"/>
  <c r="B1442" i="22" a="1"/>
  <c r="B1442" i="22" s="1"/>
  <c r="B1441" i="22" a="1"/>
  <c r="B1441" i="22" s="1"/>
  <c r="B1440" i="22" a="1"/>
  <c r="B1440" i="22" s="1"/>
  <c r="B1439" i="22" a="1"/>
  <c r="B1439" i="22" s="1"/>
  <c r="B1438" i="22" a="1"/>
  <c r="B1438" i="22" s="1"/>
  <c r="B1437" i="22" a="1"/>
  <c r="B1437" i="22" s="1"/>
  <c r="K1662" i="6"/>
  <c r="H1662" i="6"/>
  <c r="K1661" i="6"/>
  <c r="H1661" i="6"/>
  <c r="K1660" i="6"/>
  <c r="H1660" i="6"/>
  <c r="K1659" i="6"/>
  <c r="H1659" i="6"/>
  <c r="K1658" i="6"/>
  <c r="H1658" i="6" s="1"/>
  <c r="K1647" i="6"/>
  <c r="H1647" i="6"/>
  <c r="G1647" i="6"/>
  <c r="K1657" i="6"/>
  <c r="H1657" i="6"/>
  <c r="K1656" i="6"/>
  <c r="H1656" i="6"/>
  <c r="K1655" i="6"/>
  <c r="H1655" i="6"/>
  <c r="K1654" i="6"/>
  <c r="H1654" i="6"/>
  <c r="K1653" i="6"/>
  <c r="H1653" i="6"/>
  <c r="K1652" i="6"/>
  <c r="H1652" i="6"/>
  <c r="K1651" i="6"/>
  <c r="H1651" i="6"/>
  <c r="K1650" i="6"/>
  <c r="H1650" i="6"/>
  <c r="K1649" i="6"/>
  <c r="H1649" i="6"/>
  <c r="K1648" i="6"/>
  <c r="H1648" i="6"/>
  <c r="N1643" i="6"/>
  <c r="N1644" i="6"/>
  <c r="G1427" i="22"/>
  <c r="K1427" i="22"/>
  <c r="H1427" i="22" s="1"/>
  <c r="G1428" i="22"/>
  <c r="K1428" i="22"/>
  <c r="H1428" i="22" s="1"/>
  <c r="G1429" i="22"/>
  <c r="K1429" i="22"/>
  <c r="H1429" i="22" s="1"/>
  <c r="G1430" i="22"/>
  <c r="K1430" i="22"/>
  <c r="H1430" i="22" s="1"/>
  <c r="G1431" i="22"/>
  <c r="K1431" i="22"/>
  <c r="H1431" i="22" s="1"/>
  <c r="G1432" i="22"/>
  <c r="K1432" i="22"/>
  <c r="H1432" i="22" s="1"/>
  <c r="G1433" i="22"/>
  <c r="K1433" i="22"/>
  <c r="H1433" i="22" s="1"/>
  <c r="G1434" i="22"/>
  <c r="K1434" i="22"/>
  <c r="H1434" i="22" s="1"/>
  <c r="G1435" i="22"/>
  <c r="K1435" i="22"/>
  <c r="H1435" i="22" s="1"/>
  <c r="G1436" i="22"/>
  <c r="K1436" i="22"/>
  <c r="H1436" i="22" s="1"/>
  <c r="B1436" i="22" a="1"/>
  <c r="B1436" i="22" s="1"/>
  <c r="B1435" i="22" a="1"/>
  <c r="B1435" i="22" s="1"/>
  <c r="B1434" i="22" a="1"/>
  <c r="B1434" i="22" s="1"/>
  <c r="B1433" i="22" a="1"/>
  <c r="B1433" i="22" s="1"/>
  <c r="B1432" i="22" a="1"/>
  <c r="B1432" i="22" s="1"/>
  <c r="B1431" i="22" a="1"/>
  <c r="B1431" i="22" s="1"/>
  <c r="B1430" i="22" a="1"/>
  <c r="B1430" i="22" s="1"/>
  <c r="B1429" i="22" a="1"/>
  <c r="B1429" i="22" s="1"/>
  <c r="B1428" i="22" a="1"/>
  <c r="B1428" i="22" s="1"/>
  <c r="B1427" i="22" a="1"/>
  <c r="B1427" i="22" s="1"/>
  <c r="K1646" i="6"/>
  <c r="H1646" i="6"/>
  <c r="K1645" i="6"/>
  <c r="H1645" i="6"/>
  <c r="K1644" i="6"/>
  <c r="H1644" i="6"/>
  <c r="K1643" i="6"/>
  <c r="H1643" i="6"/>
  <c r="K1642" i="6"/>
  <c r="H1642" i="6"/>
  <c r="K1641" i="6"/>
  <c r="H1641" i="6"/>
  <c r="K1640" i="6"/>
  <c r="H1640" i="6"/>
  <c r="K1639" i="6"/>
  <c r="H1639" i="6"/>
  <c r="K1638" i="6"/>
  <c r="H1638" i="6" s="1"/>
  <c r="M86" i="18"/>
  <c r="M85" i="18"/>
  <c r="M83" i="18"/>
  <c r="M79" i="18"/>
  <c r="M77" i="18"/>
  <c r="M74" i="18"/>
  <c r="M73" i="18"/>
  <c r="F85" i="18"/>
  <c r="F81" i="18"/>
  <c r="F77" i="18"/>
  <c r="F74" i="18"/>
  <c r="D95" i="18"/>
  <c r="D103" i="18"/>
  <c r="K99" i="18"/>
  <c r="N1629" i="6"/>
  <c r="K1629" i="6"/>
  <c r="H1629" i="6"/>
  <c r="G1629" i="6"/>
  <c r="G1425" i="22"/>
  <c r="K1425" i="22"/>
  <c r="H1425" i="22" s="1"/>
  <c r="G1426" i="22"/>
  <c r="K1426" i="22"/>
  <c r="H1426" i="22" s="1"/>
  <c r="B1426" i="22" a="1"/>
  <c r="B1426" i="22" s="1"/>
  <c r="B1425" i="22" a="1"/>
  <c r="B1425" i="22" s="1"/>
  <c r="G1420" i="22"/>
  <c r="K1420" i="22"/>
  <c r="H1420" i="22" s="1"/>
  <c r="G1421" i="22"/>
  <c r="K1421" i="22"/>
  <c r="H1421" i="22" s="1"/>
  <c r="G1422" i="22"/>
  <c r="K1422" i="22"/>
  <c r="H1422" i="22" s="1"/>
  <c r="G1423" i="22"/>
  <c r="K1423" i="22"/>
  <c r="H1423" i="22" s="1"/>
  <c r="G1424" i="22"/>
  <c r="K1424" i="22"/>
  <c r="H1424" i="22" s="1"/>
  <c r="B1424" i="22" a="1"/>
  <c r="B1424" i="22" s="1"/>
  <c r="B1423" i="22" a="1"/>
  <c r="B1423" i="22" s="1"/>
  <c r="B1422" i="22" a="1"/>
  <c r="B1422" i="22" s="1"/>
  <c r="B1421" i="22" a="1"/>
  <c r="B1421" i="22" s="1"/>
  <c r="B1420" i="22" a="1"/>
  <c r="B1420" i="22" s="1"/>
  <c r="K1637" i="6"/>
  <c r="H1637" i="6"/>
  <c r="K1636" i="6"/>
  <c r="H1636" i="6"/>
  <c r="K1635" i="6"/>
  <c r="H1635" i="6"/>
  <c r="K1634" i="6"/>
  <c r="H1634" i="6"/>
  <c r="K1633" i="6"/>
  <c r="H1633" i="6"/>
  <c r="K1632" i="6"/>
  <c r="H1632" i="6"/>
  <c r="K1631" i="6"/>
  <c r="H1631" i="6"/>
  <c r="K1630" i="6"/>
  <c r="H1630" i="6"/>
  <c r="K1628" i="6"/>
  <c r="H1628" i="6"/>
  <c r="K1627" i="6"/>
  <c r="H1627" i="6" s="1"/>
  <c r="G1412" i="22"/>
  <c r="K1412" i="22"/>
  <c r="H1412" i="22" s="1"/>
  <c r="G1413" i="22"/>
  <c r="K1413" i="22"/>
  <c r="H1413" i="22" s="1"/>
  <c r="G1414" i="22"/>
  <c r="K1414" i="22"/>
  <c r="H1414" i="22" s="1"/>
  <c r="G1415" i="22"/>
  <c r="K1415" i="22"/>
  <c r="H1415" i="22" s="1"/>
  <c r="G1416" i="22"/>
  <c r="K1416" i="22"/>
  <c r="H1416" i="22" s="1"/>
  <c r="G1417" i="22"/>
  <c r="K1417" i="22"/>
  <c r="H1417" i="22" s="1"/>
  <c r="G1418" i="22"/>
  <c r="K1418" i="22"/>
  <c r="H1418" i="22" s="1"/>
  <c r="G1419" i="22"/>
  <c r="K1419" i="22"/>
  <c r="H1419" i="22" s="1"/>
  <c r="B1419" i="22" a="1"/>
  <c r="B1419" i="22" s="1"/>
  <c r="B1418" i="22" a="1"/>
  <c r="B1418" i="22" s="1"/>
  <c r="B1417" i="22" a="1"/>
  <c r="B1417" i="22" s="1"/>
  <c r="B1416" i="22" a="1"/>
  <c r="B1416" i="22" s="1"/>
  <c r="B1415" i="22" a="1"/>
  <c r="B1415" i="22" s="1"/>
  <c r="B1414" i="22" a="1"/>
  <c r="B1414" i="22" s="1"/>
  <c r="B1413" i="22" a="1"/>
  <c r="B1413" i="22" s="1"/>
  <c r="B1412" i="22" a="1"/>
  <c r="B1412" i="22" s="1"/>
  <c r="G1404" i="22"/>
  <c r="K1404" i="22"/>
  <c r="H1404" i="22" s="1"/>
  <c r="G1405" i="22"/>
  <c r="K1405" i="22"/>
  <c r="H1405" i="22" s="1"/>
  <c r="G1406" i="22"/>
  <c r="K1406" i="22"/>
  <c r="H1406" i="22" s="1"/>
  <c r="G1407" i="22"/>
  <c r="K1407" i="22"/>
  <c r="H1407" i="22" s="1"/>
  <c r="G1408" i="22"/>
  <c r="K1408" i="22"/>
  <c r="H1408" i="22" s="1"/>
  <c r="G1409" i="22"/>
  <c r="K1409" i="22"/>
  <c r="H1409" i="22" s="1"/>
  <c r="G1410" i="22"/>
  <c r="K1410" i="22"/>
  <c r="H1410" i="22" s="1"/>
  <c r="G1411" i="22"/>
  <c r="K1411" i="22"/>
  <c r="H1411" i="22" s="1"/>
  <c r="B1411" i="22" a="1"/>
  <c r="B1411" i="22" s="1"/>
  <c r="B1410" i="22" a="1"/>
  <c r="B1410" i="22" s="1"/>
  <c r="B1409" i="22" a="1"/>
  <c r="B1409" i="22" s="1"/>
  <c r="B1408" i="22" a="1"/>
  <c r="B1408" i="22" s="1"/>
  <c r="B1407" i="22" a="1"/>
  <c r="B1407" i="22" s="1"/>
  <c r="B1406" i="22" a="1"/>
  <c r="B1406" i="22" s="1"/>
  <c r="B1405" i="22" a="1"/>
  <c r="B1405" i="22" s="1"/>
  <c r="B1404" i="22" a="1"/>
  <c r="B1404" i="22" s="1"/>
  <c r="K1626" i="6"/>
  <c r="H1626" i="6"/>
  <c r="K1625" i="6"/>
  <c r="H1625" i="6"/>
  <c r="K1624" i="6"/>
  <c r="H1624" i="6"/>
  <c r="K1623" i="6"/>
  <c r="H1623" i="6"/>
  <c r="K1622" i="6"/>
  <c r="H1622" i="6"/>
  <c r="K1621" i="6"/>
  <c r="H1621" i="6"/>
  <c r="K1620" i="6"/>
  <c r="H1620" i="6"/>
  <c r="K1619" i="6"/>
  <c r="H1619" i="6"/>
  <c r="K1618" i="6"/>
  <c r="H1618" i="6"/>
  <c r="K1617" i="6"/>
  <c r="H1617" i="6"/>
  <c r="K1616" i="6"/>
  <c r="H1616" i="6"/>
  <c r="K1615" i="6"/>
  <c r="H1615" i="6"/>
  <c r="K1614" i="6"/>
  <c r="H1614" i="6"/>
  <c r="K1613" i="6"/>
  <c r="H1613" i="6"/>
  <c r="K1612" i="6"/>
  <c r="H1612" i="6"/>
  <c r="K1611" i="6"/>
  <c r="H1611" i="6" s="1"/>
  <c r="G1398" i="22"/>
  <c r="K1398" i="22"/>
  <c r="H1398" i="22" s="1"/>
  <c r="G1399" i="22"/>
  <c r="K1399" i="22"/>
  <c r="H1399" i="22" s="1"/>
  <c r="G1400" i="22"/>
  <c r="K1400" i="22"/>
  <c r="H1400" i="22" s="1"/>
  <c r="G1401" i="22"/>
  <c r="K1401" i="22"/>
  <c r="H1401" i="22" s="1"/>
  <c r="G1402" i="22"/>
  <c r="K1402" i="22"/>
  <c r="H1402" i="22" s="1"/>
  <c r="G1403" i="22"/>
  <c r="K1403" i="22"/>
  <c r="H1403" i="22" s="1"/>
  <c r="B1403" i="22" a="1"/>
  <c r="B1403" i="22" s="1"/>
  <c r="B1402" i="22" a="1"/>
  <c r="B1402" i="22" s="1"/>
  <c r="B1401" i="22" a="1"/>
  <c r="B1401" i="22" s="1"/>
  <c r="B1400" i="22" a="1"/>
  <c r="B1400" i="22" s="1"/>
  <c r="B1399" i="22" a="1"/>
  <c r="B1399" i="22" s="1"/>
  <c r="B1398" i="22" a="1"/>
  <c r="B1398" i="22" s="1"/>
  <c r="K1610" i="6"/>
  <c r="H1610" i="6" s="1"/>
  <c r="K1609" i="6"/>
  <c r="H1609" i="6" s="1"/>
  <c r="K1608" i="6"/>
  <c r="H1608" i="6" s="1"/>
  <c r="K1607" i="6"/>
  <c r="H1607" i="6" s="1"/>
  <c r="K1606" i="6"/>
  <c r="H1606" i="6" s="1"/>
  <c r="K1605" i="6"/>
  <c r="H1605" i="6" s="1"/>
  <c r="K1604" i="6"/>
  <c r="H1604" i="6" s="1"/>
  <c r="K1603" i="6"/>
  <c r="K1602" i="6"/>
  <c r="K1601" i="6"/>
  <c r="K1600" i="6"/>
  <c r="K1599" i="6"/>
  <c r="K1598" i="6"/>
  <c r="K1597" i="6"/>
  <c r="K1596" i="6"/>
  <c r="K1595" i="6"/>
  <c r="K1594" i="6"/>
  <c r="H1603" i="6"/>
  <c r="N1601" i="6"/>
  <c r="H1601" i="6"/>
  <c r="G1601" i="6"/>
  <c r="G1391" i="22"/>
  <c r="K1391" i="22"/>
  <c r="H1391" i="22" s="1"/>
  <c r="G1392" i="22"/>
  <c r="K1392" i="22"/>
  <c r="H1392" i="22" s="1"/>
  <c r="G1393" i="22"/>
  <c r="K1393" i="22"/>
  <c r="H1393" i="22" s="1"/>
  <c r="G1395" i="22"/>
  <c r="K1395" i="22"/>
  <c r="H1395" i="22" s="1"/>
  <c r="G1394" i="22"/>
  <c r="H1394" i="22"/>
  <c r="G1396" i="22"/>
  <c r="H1396" i="22"/>
  <c r="G1397" i="22"/>
  <c r="K1397" i="22"/>
  <c r="H1397" i="22" s="1"/>
  <c r="B1397" i="22" a="1"/>
  <c r="B1397" i="22" s="1"/>
  <c r="B1396" i="22" a="1"/>
  <c r="B1396" i="22" s="1"/>
  <c r="B1394" i="22" a="1"/>
  <c r="B1394" i="22" s="1"/>
  <c r="B1395" i="22" a="1"/>
  <c r="B1395" i="22" s="1"/>
  <c r="B1393" i="22" a="1"/>
  <c r="B1393" i="22" s="1"/>
  <c r="B1392" i="22" a="1"/>
  <c r="B1392" i="22" s="1"/>
  <c r="B1391" i="22" a="1"/>
  <c r="B1391" i="22" s="1"/>
  <c r="K1573" i="6"/>
  <c r="H1573" i="6"/>
  <c r="G1573" i="6"/>
  <c r="K1572" i="6"/>
  <c r="H1572" i="6"/>
  <c r="G1572" i="6"/>
  <c r="K1571" i="6"/>
  <c r="H1571" i="6"/>
  <c r="G1571" i="6"/>
  <c r="H1602" i="6"/>
  <c r="H1600" i="6"/>
  <c r="H1599" i="6"/>
  <c r="H1598" i="6"/>
  <c r="H1597" i="6"/>
  <c r="H1596" i="6"/>
  <c r="H1595" i="6"/>
  <c r="H1594" i="6"/>
  <c r="N1389" i="22"/>
  <c r="K1389" i="22"/>
  <c r="H1389" i="22" s="1"/>
  <c r="G1389" i="22"/>
  <c r="B1389" i="22" a="1"/>
  <c r="B1389" i="22" s="1"/>
  <c r="G1381" i="22"/>
  <c r="K1381" i="22"/>
  <c r="H1381" i="22" s="1"/>
  <c r="G1382" i="22"/>
  <c r="K1382" i="22"/>
  <c r="H1382" i="22" s="1"/>
  <c r="G1383" i="22"/>
  <c r="K1383" i="22"/>
  <c r="H1383" i="22" s="1"/>
  <c r="G1384" i="22"/>
  <c r="K1384" i="22"/>
  <c r="H1384" i="22" s="1"/>
  <c r="G1385" i="22"/>
  <c r="K1385" i="22"/>
  <c r="H1385" i="22" s="1"/>
  <c r="G1386" i="22"/>
  <c r="K1386" i="22"/>
  <c r="H1386" i="22" s="1"/>
  <c r="G1387" i="22"/>
  <c r="K1387" i="22"/>
  <c r="H1387" i="22" s="1"/>
  <c r="G1388" i="22"/>
  <c r="K1388" i="22"/>
  <c r="H1388" i="22" s="1"/>
  <c r="G1390" i="22"/>
  <c r="K1390" i="22"/>
  <c r="H1390" i="22" s="1"/>
  <c r="B1390" i="22" a="1"/>
  <c r="B1390" i="22" s="1"/>
  <c r="B1388" i="22" a="1"/>
  <c r="B1388" i="22" s="1"/>
  <c r="B1387" i="22" a="1"/>
  <c r="B1387" i="22" s="1"/>
  <c r="B1386" i="22" a="1"/>
  <c r="B1386" i="22" s="1"/>
  <c r="B1385" i="22" a="1"/>
  <c r="B1385" i="22" s="1"/>
  <c r="B1384" i="22" a="1"/>
  <c r="B1384" i="22" s="1"/>
  <c r="B1383" i="22" a="1"/>
  <c r="B1383" i="22" s="1"/>
  <c r="B1382" i="22" a="1"/>
  <c r="B1382" i="22" s="1"/>
  <c r="B1381" i="22" a="1"/>
  <c r="B1381" i="22" s="1"/>
  <c r="K1593" i="6"/>
  <c r="H1593" i="6"/>
  <c r="K1592" i="6"/>
  <c r="H1592" i="6"/>
  <c r="K1591" i="6"/>
  <c r="H1591" i="6"/>
  <c r="K1590" i="6"/>
  <c r="H1590" i="6"/>
  <c r="K1589" i="6"/>
  <c r="H1589" i="6"/>
  <c r="K1588" i="6"/>
  <c r="H1588" i="6"/>
  <c r="K1587" i="6"/>
  <c r="H1587" i="6"/>
  <c r="K1586" i="6"/>
  <c r="H1586" i="6"/>
  <c r="K1585" i="6"/>
  <c r="H1585" i="6"/>
  <c r="K1584" i="6"/>
  <c r="H1584" i="6"/>
  <c r="N1578" i="6"/>
  <c r="K1578" i="6"/>
  <c r="H1578" i="6"/>
  <c r="G1578" i="6"/>
  <c r="N1577" i="6"/>
  <c r="K1577" i="6"/>
  <c r="H1577" i="6"/>
  <c r="G1577" i="6"/>
  <c r="K1380" i="22"/>
  <c r="H1380" i="22" s="1"/>
  <c r="G1380" i="22"/>
  <c r="B1380" i="22" a="1"/>
  <c r="B1380" i="22" s="1"/>
  <c r="G1375" i="22"/>
  <c r="K1375" i="22"/>
  <c r="H1375" i="22" s="1"/>
  <c r="G1376" i="22"/>
  <c r="K1376" i="22"/>
  <c r="H1376" i="22" s="1"/>
  <c r="G1377" i="22"/>
  <c r="K1377" i="22"/>
  <c r="H1377" i="22" s="1"/>
  <c r="G1378" i="22"/>
  <c r="K1378" i="22"/>
  <c r="H1378" i="22" s="1"/>
  <c r="G1379" i="22"/>
  <c r="K1379" i="22"/>
  <c r="H1379" i="22" s="1"/>
  <c r="B1379" i="22" a="1"/>
  <c r="B1379" i="22" s="1"/>
  <c r="B1378" i="22" a="1"/>
  <c r="B1378" i="22" s="1"/>
  <c r="B1377" i="22" a="1"/>
  <c r="B1377" i="22" s="1"/>
  <c r="B1376" i="22" a="1"/>
  <c r="B1376" i="22" s="1"/>
  <c r="B1375" i="22" a="1"/>
  <c r="B1375" i="22" s="1"/>
  <c r="K1583" i="6"/>
  <c r="H1583" i="6"/>
  <c r="K1582" i="6"/>
  <c r="H1582" i="6"/>
  <c r="K1581" i="6"/>
  <c r="H1581" i="6"/>
  <c r="K1580" i="6"/>
  <c r="H1580" i="6"/>
  <c r="K1579" i="6"/>
  <c r="H1579" i="6"/>
  <c r="K1576" i="6"/>
  <c r="H1576" i="6"/>
  <c r="K1575" i="6"/>
  <c r="H1575" i="6"/>
  <c r="K1574" i="6"/>
  <c r="H1574" i="6" s="1"/>
  <c r="N1570" i="6"/>
  <c r="K1570" i="6"/>
  <c r="H1570" i="6" s="1"/>
  <c r="G1570" i="6"/>
  <c r="N1568" i="6"/>
  <c r="K1568" i="6"/>
  <c r="H1568" i="6" s="1"/>
  <c r="G1568" i="6"/>
  <c r="N1561" i="6"/>
  <c r="G1374" i="22"/>
  <c r="K1374" i="22"/>
  <c r="H1374" i="22" s="1"/>
  <c r="B1374" i="22" a="1"/>
  <c r="B1374" i="22" s="1"/>
  <c r="G1369" i="22"/>
  <c r="K1369" i="22"/>
  <c r="H1369" i="22" s="1"/>
  <c r="G1370" i="22"/>
  <c r="K1370" i="22"/>
  <c r="H1370" i="22" s="1"/>
  <c r="G1371" i="22"/>
  <c r="K1371" i="22"/>
  <c r="H1371" i="22" s="1"/>
  <c r="G1372" i="22"/>
  <c r="K1372" i="22"/>
  <c r="H1372" i="22" s="1"/>
  <c r="G1373" i="22"/>
  <c r="K1373" i="22"/>
  <c r="H1373" i="22" s="1"/>
  <c r="B1373" i="22" a="1"/>
  <c r="B1373" i="22" s="1"/>
  <c r="B1372" i="22" a="1"/>
  <c r="B1372" i="22" s="1"/>
  <c r="B1371" i="22" a="1"/>
  <c r="B1371" i="22" s="1"/>
  <c r="B1370" i="22" a="1"/>
  <c r="B1370" i="22" s="1"/>
  <c r="B1369" i="22" a="1"/>
  <c r="B1369" i="22" s="1"/>
  <c r="K1565" i="6"/>
  <c r="H1565" i="6" s="1"/>
  <c r="G1565" i="6"/>
  <c r="K1569" i="6"/>
  <c r="H1569" i="6" s="1"/>
  <c r="G1569" i="6"/>
  <c r="K1567" i="6"/>
  <c r="H1567" i="6" s="1"/>
  <c r="G1567" i="6"/>
  <c r="K1566" i="6"/>
  <c r="H1566" i="6" s="1"/>
  <c r="G1566" i="6"/>
  <c r="K1561" i="6"/>
  <c r="H1561" i="6" s="1"/>
  <c r="G1561" i="6"/>
  <c r="K1564" i="6"/>
  <c r="H1564" i="6" s="1"/>
  <c r="K1563" i="6"/>
  <c r="H1563" i="6" s="1"/>
  <c r="K1562" i="6"/>
  <c r="H1562" i="6" s="1"/>
  <c r="N1368" i="22"/>
  <c r="K1368" i="22"/>
  <c r="H1368" i="22" s="1"/>
  <c r="G1368" i="22"/>
  <c r="B1368" i="22" a="1"/>
  <c r="B1368" i="22" s="1"/>
  <c r="N1367" i="22"/>
  <c r="K1367" i="22"/>
  <c r="H1367" i="22" s="1"/>
  <c r="G1367" i="22"/>
  <c r="B1367" i="22" a="1"/>
  <c r="B1367" i="22" s="1"/>
  <c r="G1363" i="22"/>
  <c r="K1363" i="22"/>
  <c r="H1363" i="22" s="1"/>
  <c r="G1364" i="22"/>
  <c r="K1364" i="22"/>
  <c r="H1364" i="22" s="1"/>
  <c r="G1365" i="22"/>
  <c r="K1365" i="22"/>
  <c r="H1365" i="22" s="1"/>
  <c r="G1366" i="22"/>
  <c r="K1366" i="22"/>
  <c r="H1366" i="22" s="1"/>
  <c r="B1366" i="22" a="1"/>
  <c r="B1366" i="22" s="1"/>
  <c r="B1365" i="22" a="1"/>
  <c r="B1365" i="22" s="1"/>
  <c r="B1364" i="22" a="1"/>
  <c r="B1364" i="22" s="1"/>
  <c r="B1363" i="22" a="1"/>
  <c r="B1363" i="22" s="1"/>
  <c r="K1560" i="6"/>
  <c r="H1560" i="6" s="1"/>
  <c r="K1559" i="6"/>
  <c r="H1559" i="6" s="1"/>
  <c r="K1558" i="6"/>
  <c r="H1558" i="6" s="1"/>
  <c r="K1556" i="6"/>
  <c r="H1556" i="6" s="1"/>
  <c r="K1555" i="6"/>
  <c r="H1555" i="6" s="1"/>
  <c r="K1557" i="6"/>
  <c r="H1557" i="6" s="1"/>
  <c r="G1557" i="6"/>
  <c r="G1355" i="22"/>
  <c r="K1355" i="22"/>
  <c r="H1355" i="22" s="1"/>
  <c r="G1356" i="22"/>
  <c r="K1356" i="22"/>
  <c r="H1356" i="22" s="1"/>
  <c r="G1357" i="22"/>
  <c r="K1357" i="22"/>
  <c r="H1357" i="22" s="1"/>
  <c r="G1358" i="22"/>
  <c r="K1358" i="22"/>
  <c r="H1358" i="22" s="1"/>
  <c r="G1359" i="22"/>
  <c r="K1359" i="22"/>
  <c r="H1359" i="22" s="1"/>
  <c r="G1360" i="22"/>
  <c r="K1360" i="22"/>
  <c r="H1360" i="22" s="1"/>
  <c r="G1361" i="22"/>
  <c r="K1361" i="22"/>
  <c r="H1361" i="22" s="1"/>
  <c r="G1362" i="22"/>
  <c r="K1362" i="22"/>
  <c r="H1362" i="22" s="1"/>
  <c r="B1362" i="22" a="1"/>
  <c r="B1362" i="22" s="1"/>
  <c r="B1361" i="22" a="1"/>
  <c r="B1361" i="22" s="1"/>
  <c r="B1360" i="22" a="1"/>
  <c r="B1360" i="22" s="1"/>
  <c r="B1359" i="22" a="1"/>
  <c r="B1359" i="22" s="1"/>
  <c r="B1358" i="22" a="1"/>
  <c r="B1358" i="22" s="1"/>
  <c r="B1357" i="22" a="1"/>
  <c r="B1357" i="22" s="1"/>
  <c r="B1356" i="22" a="1"/>
  <c r="B1356" i="22" s="1"/>
  <c r="B1355" i="22" a="1"/>
  <c r="B1355" i="22" s="1"/>
  <c r="N1353" i="22"/>
  <c r="G1349" i="22"/>
  <c r="K1349" i="22"/>
  <c r="H1349" i="22" s="1"/>
  <c r="G1350" i="22"/>
  <c r="K1350" i="22"/>
  <c r="H1350" i="22" s="1"/>
  <c r="G1351" i="22"/>
  <c r="K1351" i="22"/>
  <c r="H1351" i="22" s="1"/>
  <c r="G1352" i="22"/>
  <c r="K1352" i="22"/>
  <c r="H1352" i="22" s="1"/>
  <c r="G1353" i="22"/>
  <c r="K1353" i="22"/>
  <c r="H1353" i="22" s="1"/>
  <c r="G1354" i="22"/>
  <c r="K1354" i="22"/>
  <c r="H1354" i="22" s="1"/>
  <c r="B1354" i="22" a="1"/>
  <c r="B1354" i="22" s="1"/>
  <c r="B1353" i="22" a="1"/>
  <c r="B1353" i="22" s="1"/>
  <c r="B1352" i="22" a="1"/>
  <c r="B1352" i="22" s="1"/>
  <c r="B1351" i="22" a="1"/>
  <c r="B1351" i="22" s="1"/>
  <c r="B1350" i="22" a="1"/>
  <c r="B1350" i="22" s="1"/>
  <c r="B1349" i="22" a="1"/>
  <c r="B1349" i="22" s="1"/>
  <c r="K1554" i="6"/>
  <c r="H1554" i="6" s="1"/>
  <c r="K1553" i="6"/>
  <c r="H1553" i="6" s="1"/>
  <c r="K1552" i="6"/>
  <c r="H1552" i="6" s="1"/>
  <c r="K1551" i="6"/>
  <c r="H1551" i="6" s="1"/>
  <c r="K1550" i="6"/>
  <c r="H1550" i="6" s="1"/>
  <c r="K1549" i="6"/>
  <c r="H1549" i="6" s="1"/>
  <c r="K1548" i="6"/>
  <c r="H1548" i="6" s="1"/>
  <c r="N1532" i="6"/>
  <c r="N1533" i="6"/>
  <c r="K1532" i="6"/>
  <c r="H1532" i="6" s="1"/>
  <c r="G1532" i="6"/>
  <c r="N1529" i="6"/>
  <c r="G1340" i="22"/>
  <c r="K1340" i="22"/>
  <c r="H1340" i="22" s="1"/>
  <c r="G1341" i="22"/>
  <c r="K1341" i="22"/>
  <c r="H1341" i="22" s="1"/>
  <c r="G1342" i="22"/>
  <c r="K1342" i="22"/>
  <c r="H1342" i="22" s="1"/>
  <c r="G1343" i="22"/>
  <c r="K1343" i="22"/>
  <c r="H1343" i="22" s="1"/>
  <c r="G1344" i="22"/>
  <c r="K1344" i="22"/>
  <c r="H1344" i="22" s="1"/>
  <c r="G1345" i="22"/>
  <c r="K1345" i="22"/>
  <c r="H1345" i="22" s="1"/>
  <c r="G1346" i="22"/>
  <c r="K1346" i="22"/>
  <c r="H1346" i="22" s="1"/>
  <c r="G1347" i="22"/>
  <c r="K1347" i="22"/>
  <c r="H1347" i="22" s="1"/>
  <c r="G1348" i="22"/>
  <c r="K1348" i="22"/>
  <c r="H1348" i="22" s="1"/>
  <c r="B1348" i="22" a="1"/>
  <c r="B1348" i="22" s="1"/>
  <c r="B1347" i="22" a="1"/>
  <c r="B1347" i="22" s="1"/>
  <c r="B1346" i="22" a="1"/>
  <c r="B1346" i="22" s="1"/>
  <c r="B1345" i="22" a="1"/>
  <c r="B1345" i="22" s="1"/>
  <c r="B1344" i="22" a="1"/>
  <c r="B1344" i="22" s="1"/>
  <c r="B1343" i="22" a="1"/>
  <c r="B1343" i="22" s="1"/>
  <c r="B1342" i="22" a="1"/>
  <c r="B1342" i="22" s="1"/>
  <c r="B1341" i="22" a="1"/>
  <c r="B1341" i="22" s="1"/>
  <c r="B1340" i="22" a="1"/>
  <c r="B1340" i="22" s="1"/>
  <c r="K1547" i="6"/>
  <c r="H1547" i="6" s="1"/>
  <c r="K1546" i="6"/>
  <c r="H1546" i="6" s="1"/>
  <c r="K1545" i="6"/>
  <c r="H1545" i="6" s="1"/>
  <c r="K1544" i="6"/>
  <c r="H1544" i="6" s="1"/>
  <c r="K1543" i="6"/>
  <c r="H1543" i="6" s="1"/>
  <c r="K1542" i="6"/>
  <c r="H1542" i="6" s="1"/>
  <c r="K1541" i="6"/>
  <c r="H1541" i="6" s="1"/>
  <c r="K1540" i="6"/>
  <c r="H1540" i="6" s="1"/>
  <c r="K1539" i="6"/>
  <c r="H1539" i="6" s="1"/>
  <c r="K1538" i="6"/>
  <c r="H1538" i="6" s="1"/>
  <c r="K1537" i="6"/>
  <c r="H1537" i="6" s="1"/>
  <c r="K1536" i="6"/>
  <c r="H1536" i="6" s="1"/>
  <c r="K1535" i="6"/>
  <c r="H1535" i="6" s="1"/>
  <c r="K1534" i="6"/>
  <c r="H1534" i="6" s="1"/>
  <c r="K1533" i="6"/>
  <c r="H1533" i="6" s="1"/>
  <c r="K1530" i="6"/>
  <c r="H1530" i="6" s="1"/>
  <c r="K1529" i="6"/>
  <c r="H1529" i="6" s="1"/>
  <c r="K1528" i="6"/>
  <c r="H1528" i="6" s="1"/>
  <c r="K1527" i="6"/>
  <c r="H1527" i="6" s="1"/>
  <c r="K1526" i="6"/>
  <c r="H1526" i="6" s="1"/>
  <c r="K1525" i="6"/>
  <c r="H1525" i="6" s="1"/>
  <c r="O11" i="27"/>
  <c r="O10" i="27"/>
  <c r="O9" i="27"/>
  <c r="K1524" i="6"/>
  <c r="H1524" i="6" s="1"/>
  <c r="K1523" i="6"/>
  <c r="H1523" i="6" s="1"/>
  <c r="K1522" i="6"/>
  <c r="H1522" i="6" s="1"/>
  <c r="K1521" i="6"/>
  <c r="H1521" i="6" s="1"/>
  <c r="K1520" i="6"/>
  <c r="H1520" i="6" s="1"/>
  <c r="K1519" i="6"/>
  <c r="H1519" i="6" s="1"/>
  <c r="K1518" i="6"/>
  <c r="H1518" i="6" s="1"/>
  <c r="K1517" i="6"/>
  <c r="H1517" i="6" s="1"/>
  <c r="K1516" i="6"/>
  <c r="H1516" i="6" s="1"/>
  <c r="K1515" i="6"/>
  <c r="H1515" i="6" s="1"/>
  <c r="K1514" i="6"/>
  <c r="H1514" i="6" s="1"/>
  <c r="K1513" i="6"/>
  <c r="H1513" i="6" s="1"/>
  <c r="K1512" i="6"/>
  <c r="H1512" i="6" s="1"/>
  <c r="N27" i="27" a="1"/>
  <c r="N27" i="27" s="1"/>
  <c r="M27" i="27" a="1"/>
  <c r="M27" i="27" s="1"/>
  <c r="L27" i="27" a="1"/>
  <c r="L27" i="27" s="1"/>
  <c r="K27" i="27" a="1"/>
  <c r="K27" i="27" s="1"/>
  <c r="J27" i="27" a="1"/>
  <c r="J27" i="27" s="1"/>
  <c r="N26" i="27" a="1"/>
  <c r="N26" i="27" s="1"/>
  <c r="N41" i="27" s="1"/>
  <c r="M26" i="27" a="1"/>
  <c r="M26" i="27" s="1"/>
  <c r="M41" i="27" s="1"/>
  <c r="L26" i="27" a="1"/>
  <c r="L26" i="27" s="1"/>
  <c r="L41" i="27" s="1"/>
  <c r="K26" i="27" a="1"/>
  <c r="K26" i="27" s="1"/>
  <c r="K41" i="27" s="1"/>
  <c r="J26" i="27" a="1"/>
  <c r="J26" i="27" s="1"/>
  <c r="J41" i="27" s="1"/>
  <c r="N25" i="27" a="1"/>
  <c r="N25" i="27" s="1"/>
  <c r="M25" i="27" a="1"/>
  <c r="M25" i="27" s="1"/>
  <c r="L25" i="27" a="1"/>
  <c r="L25" i="27" s="1"/>
  <c r="K25" i="27" a="1"/>
  <c r="K25" i="27" s="1"/>
  <c r="J25" i="27" a="1"/>
  <c r="J25" i="27" s="1"/>
  <c r="N24" i="27" a="1"/>
  <c r="N24" i="27" s="1"/>
  <c r="M24" i="27" a="1"/>
  <c r="M24" i="27" s="1"/>
  <c r="L24" i="27" a="1"/>
  <c r="L24" i="27" s="1"/>
  <c r="K24" i="27" a="1"/>
  <c r="K24" i="27" s="1"/>
  <c r="J24" i="27" a="1"/>
  <c r="J24" i="27" s="1"/>
  <c r="N23" i="27" a="1"/>
  <c r="N23" i="27" s="1"/>
  <c r="M23" i="27" a="1"/>
  <c r="M23" i="27" s="1"/>
  <c r="L23" i="27" a="1"/>
  <c r="L23" i="27" s="1"/>
  <c r="K23" i="27" a="1"/>
  <c r="K23" i="27" s="1"/>
  <c r="J23" i="27" a="1"/>
  <c r="J23" i="27" s="1"/>
  <c r="N22" i="27" a="1"/>
  <c r="N22" i="27" s="1"/>
  <c r="M22" i="27" a="1"/>
  <c r="M22" i="27" s="1"/>
  <c r="L22" i="27" a="1"/>
  <c r="L22" i="27" s="1"/>
  <c r="K22" i="27" a="1"/>
  <c r="K22" i="27" s="1"/>
  <c r="J22" i="27" a="1"/>
  <c r="J22" i="27" s="1"/>
  <c r="N21" i="27" a="1"/>
  <c r="N21" i="27" s="1"/>
  <c r="M21" i="27" a="1"/>
  <c r="M21" i="27" s="1"/>
  <c r="L21" i="27" a="1"/>
  <c r="L21" i="27" s="1"/>
  <c r="K21" i="27" a="1"/>
  <c r="K21" i="27" s="1"/>
  <c r="J21" i="27" a="1"/>
  <c r="J21" i="27" s="1"/>
  <c r="N20" i="27" a="1"/>
  <c r="N20" i="27" s="1"/>
  <c r="M20" i="27" a="1"/>
  <c r="M20" i="27" s="1"/>
  <c r="L20" i="27" a="1"/>
  <c r="L20" i="27" s="1"/>
  <c r="K20" i="27" a="1"/>
  <c r="K20" i="27" s="1"/>
  <c r="J20" i="27" a="1"/>
  <c r="J20" i="27" s="1"/>
  <c r="N19" i="27" a="1"/>
  <c r="N19" i="27" s="1"/>
  <c r="M19" i="27" a="1"/>
  <c r="M19" i="27" s="1"/>
  <c r="L19" i="27" a="1"/>
  <c r="L19" i="27" s="1"/>
  <c r="K19" i="27" a="1"/>
  <c r="K19" i="27" s="1"/>
  <c r="J19" i="27" a="1"/>
  <c r="J19" i="27" s="1"/>
  <c r="N18" i="27" a="1"/>
  <c r="N18" i="27" s="1"/>
  <c r="N38" i="27" s="1"/>
  <c r="M18" i="27" a="1"/>
  <c r="M18" i="27" s="1"/>
  <c r="M38" i="27" s="1"/>
  <c r="L18" i="27" a="1"/>
  <c r="L18" i="27" s="1"/>
  <c r="L38" i="27" s="1"/>
  <c r="K18" i="27" a="1"/>
  <c r="K18" i="27" s="1"/>
  <c r="K38" i="27" s="1"/>
  <c r="J18" i="27" a="1"/>
  <c r="J18" i="27" s="1"/>
  <c r="J38" i="27" s="1"/>
  <c r="N17" i="27" a="1"/>
  <c r="N17" i="27" s="1"/>
  <c r="M17" i="27" a="1"/>
  <c r="M17" i="27" s="1"/>
  <c r="L17" i="27" a="1"/>
  <c r="L17" i="27" s="1"/>
  <c r="K17" i="27" a="1"/>
  <c r="K17" i="27" s="1"/>
  <c r="J17" i="27" a="1"/>
  <c r="J17" i="27" s="1"/>
  <c r="N16" i="27" a="1"/>
  <c r="N16" i="27" s="1"/>
  <c r="M16" i="27" a="1"/>
  <c r="M16" i="27" s="1"/>
  <c r="L16" i="27" a="1"/>
  <c r="L16" i="27" s="1"/>
  <c r="K16" i="27" a="1"/>
  <c r="K16" i="27" s="1"/>
  <c r="J16" i="27" a="1"/>
  <c r="J16" i="27" s="1"/>
  <c r="N15" i="27" a="1"/>
  <c r="N15" i="27" s="1"/>
  <c r="M15" i="27" a="1"/>
  <c r="M15" i="27" s="1"/>
  <c r="L15" i="27" a="1"/>
  <c r="L15" i="27" s="1"/>
  <c r="K15" i="27" a="1"/>
  <c r="K15" i="27" s="1"/>
  <c r="N14" i="27" a="1"/>
  <c r="N14" i="27" s="1"/>
  <c r="M14" i="27" a="1"/>
  <c r="M14" i="27" s="1"/>
  <c r="L14" i="27" a="1"/>
  <c r="L14" i="27" s="1"/>
  <c r="K14" i="27" a="1"/>
  <c r="K14" i="27" s="1"/>
  <c r="J15" i="27" a="1"/>
  <c r="J15" i="27" s="1"/>
  <c r="J14" i="27" a="1"/>
  <c r="J14" i="27" s="1"/>
  <c r="I27" i="27" a="1"/>
  <c r="I27" i="27" s="1"/>
  <c r="I26" i="27" a="1"/>
  <c r="I26" i="27" s="1"/>
  <c r="I41" i="27" s="1"/>
  <c r="I25" i="27" a="1"/>
  <c r="I25" i="27" s="1"/>
  <c r="I24" i="27" a="1"/>
  <c r="I24" i="27" s="1"/>
  <c r="I23" i="27" a="1"/>
  <c r="I23" i="27" s="1"/>
  <c r="I22" i="27" a="1"/>
  <c r="I22" i="27" s="1"/>
  <c r="I21" i="27" a="1"/>
  <c r="I21" i="27" s="1"/>
  <c r="I20" i="27" a="1"/>
  <c r="I20" i="27" s="1"/>
  <c r="I19" i="27" a="1"/>
  <c r="I19" i="27" s="1"/>
  <c r="I18" i="27" a="1"/>
  <c r="I18" i="27" s="1"/>
  <c r="I38" i="27" s="1"/>
  <c r="I17" i="27" a="1"/>
  <c r="I17" i="27" s="1"/>
  <c r="I16" i="27" a="1"/>
  <c r="I16" i="27" s="1"/>
  <c r="I15" i="27" a="1"/>
  <c r="I15" i="27" s="1"/>
  <c r="I14" i="27" a="1"/>
  <c r="I14" i="27" s="1"/>
  <c r="H27" i="27" a="1"/>
  <c r="H27" i="27" s="1"/>
  <c r="H26" i="27" a="1"/>
  <c r="H26" i="27" s="1"/>
  <c r="H41" i="27" s="1"/>
  <c r="H25" i="27" a="1"/>
  <c r="H25" i="27" s="1"/>
  <c r="H24" i="27" a="1"/>
  <c r="H24" i="27" s="1"/>
  <c r="H23" i="27" a="1"/>
  <c r="H23" i="27" s="1"/>
  <c r="H22" i="27" a="1"/>
  <c r="H22" i="27" s="1"/>
  <c r="H21" i="27" a="1"/>
  <c r="H21" i="27" s="1"/>
  <c r="H20" i="27" a="1"/>
  <c r="H20" i="27" s="1"/>
  <c r="H19" i="27" a="1"/>
  <c r="H19" i="27" s="1"/>
  <c r="H18" i="27" a="1"/>
  <c r="H18" i="27" s="1"/>
  <c r="H38" i="27" s="1"/>
  <c r="H17" i="27" a="1"/>
  <c r="H17" i="27" s="1"/>
  <c r="H16" i="27" a="1"/>
  <c r="H16" i="27" s="1"/>
  <c r="H15" i="27" a="1"/>
  <c r="H15" i="27" s="1"/>
  <c r="H14" i="27" a="1"/>
  <c r="H14" i="27" s="1"/>
  <c r="G27" i="27" a="1"/>
  <c r="G27" i="27" s="1"/>
  <c r="G26" i="27" a="1"/>
  <c r="G26" i="27" s="1"/>
  <c r="G41" i="27" s="1"/>
  <c r="G25" i="27" a="1"/>
  <c r="G25" i="27" s="1"/>
  <c r="G24" i="27" a="1"/>
  <c r="G24" i="27" s="1"/>
  <c r="G23" i="27" a="1"/>
  <c r="G23" i="27" s="1"/>
  <c r="G22" i="27" a="1"/>
  <c r="G22" i="27" s="1"/>
  <c r="G21" i="27" a="1"/>
  <c r="G21" i="27" s="1"/>
  <c r="G20" i="27" a="1"/>
  <c r="G20" i="27" s="1"/>
  <c r="G19" i="27" a="1"/>
  <c r="G19" i="27" s="1"/>
  <c r="G18" i="27" a="1"/>
  <c r="G18" i="27" s="1"/>
  <c r="G38" i="27" s="1"/>
  <c r="G17" i="27" a="1"/>
  <c r="G17" i="27" s="1"/>
  <c r="G16" i="27" a="1"/>
  <c r="G16" i="27" s="1"/>
  <c r="G15" i="27" a="1"/>
  <c r="G15" i="27" s="1"/>
  <c r="G14" i="27" a="1"/>
  <c r="G14" i="27" s="1"/>
  <c r="F27" i="27" a="1"/>
  <c r="F27" i="27" s="1"/>
  <c r="F26" i="27" a="1"/>
  <c r="F26" i="27" s="1"/>
  <c r="F41" i="27" s="1"/>
  <c r="F25" i="27" a="1"/>
  <c r="F25" i="27" s="1"/>
  <c r="F24" i="27" a="1"/>
  <c r="F24" i="27" s="1"/>
  <c r="F23" i="27" a="1"/>
  <c r="F23" i="27" s="1"/>
  <c r="F22" i="27" a="1"/>
  <c r="F22" i="27" s="1"/>
  <c r="F21" i="27" a="1"/>
  <c r="F21" i="27" s="1"/>
  <c r="F20" i="27" a="1"/>
  <c r="F20" i="27" s="1"/>
  <c r="F19" i="27" a="1"/>
  <c r="F19" i="27" s="1"/>
  <c r="F18" i="27" a="1"/>
  <c r="F18" i="27" s="1"/>
  <c r="F38" i="27" s="1"/>
  <c r="F17" i="27" a="1"/>
  <c r="F17" i="27" s="1"/>
  <c r="F16" i="27" a="1"/>
  <c r="F16" i="27" s="1"/>
  <c r="F15" i="27" a="1"/>
  <c r="F15" i="27" s="1"/>
  <c r="F14" i="27" a="1"/>
  <c r="F14" i="27" s="1"/>
  <c r="E27" i="27" a="1"/>
  <c r="E27" i="27" s="1"/>
  <c r="E26" i="27" a="1"/>
  <c r="E26" i="27" s="1"/>
  <c r="E41" i="27" s="1"/>
  <c r="E25" i="27" a="1"/>
  <c r="E25" i="27" s="1"/>
  <c r="E24" i="27" a="1"/>
  <c r="E24" i="27" s="1"/>
  <c r="E23" i="27" a="1"/>
  <c r="E23" i="27" s="1"/>
  <c r="E22" i="27" a="1"/>
  <c r="E22" i="27" s="1"/>
  <c r="E21" i="27" a="1"/>
  <c r="E21" i="27" s="1"/>
  <c r="E20" i="27" a="1"/>
  <c r="E20" i="27" s="1"/>
  <c r="E19" i="27" a="1"/>
  <c r="E19" i="27" s="1"/>
  <c r="E18" i="27" a="1"/>
  <c r="E18" i="27" s="1"/>
  <c r="E38" i="27" s="1"/>
  <c r="E17" i="27" a="1"/>
  <c r="E17" i="27" s="1"/>
  <c r="E16" i="27" a="1"/>
  <c r="E16" i="27" s="1"/>
  <c r="E15" i="27" a="1"/>
  <c r="E15" i="27" s="1"/>
  <c r="E14" i="27" a="1"/>
  <c r="E14" i="27" s="1"/>
  <c r="D27" i="27" a="1"/>
  <c r="D27" i="27" s="1"/>
  <c r="D26" i="27" a="1"/>
  <c r="D26" i="27" s="1"/>
  <c r="D41" i="27" s="1"/>
  <c r="D25" i="27" a="1"/>
  <c r="D25" i="27" s="1"/>
  <c r="D24" i="27" a="1"/>
  <c r="D24" i="27" s="1"/>
  <c r="D23" i="27" a="1"/>
  <c r="D23" i="27" s="1"/>
  <c r="D22" i="27" a="1"/>
  <c r="D22" i="27" s="1"/>
  <c r="D21" i="27" a="1"/>
  <c r="D21" i="27" s="1"/>
  <c r="D20" i="27" a="1"/>
  <c r="D20" i="27" s="1"/>
  <c r="D19" i="27" a="1"/>
  <c r="D19" i="27" s="1"/>
  <c r="D18" i="27" a="1"/>
  <c r="D18" i="27" s="1"/>
  <c r="D38" i="27" s="1"/>
  <c r="D17" i="27" a="1"/>
  <c r="D17" i="27" s="1"/>
  <c r="D16" i="27" a="1"/>
  <c r="D16" i="27" s="1"/>
  <c r="D15" i="27" a="1"/>
  <c r="D15" i="27" s="1"/>
  <c r="D14" i="27" a="1"/>
  <c r="D14" i="27" s="1"/>
  <c r="C27" i="27" a="1"/>
  <c r="C27" i="27" s="1"/>
  <c r="C26" i="27" a="1"/>
  <c r="C26" i="27" s="1"/>
  <c r="C41" i="27" s="1"/>
  <c r="C25" i="27" a="1"/>
  <c r="C25" i="27" s="1"/>
  <c r="C24" i="27" a="1"/>
  <c r="C24" i="27" s="1"/>
  <c r="C23" i="27" a="1"/>
  <c r="C23" i="27" s="1"/>
  <c r="C22" i="27" a="1"/>
  <c r="C22" i="27" s="1"/>
  <c r="C21" i="27" a="1"/>
  <c r="C21" i="27" s="1"/>
  <c r="C20" i="27" a="1"/>
  <c r="C20" i="27" s="1"/>
  <c r="C19" i="27" a="1"/>
  <c r="C19" i="27" s="1"/>
  <c r="C18" i="27" a="1"/>
  <c r="C18" i="27" s="1"/>
  <c r="C38" i="27" s="1"/>
  <c r="C17" i="27" a="1"/>
  <c r="C17" i="27" s="1"/>
  <c r="C16" i="27" a="1"/>
  <c r="C16" i="27" s="1"/>
  <c r="C15" i="27" a="1"/>
  <c r="C15" i="27" s="1"/>
  <c r="C14" i="27" a="1"/>
  <c r="C14" i="27" s="1"/>
  <c r="N1509" i="6"/>
  <c r="K1509" i="6"/>
  <c r="H1509" i="6" s="1"/>
  <c r="G1509" i="6"/>
  <c r="K1502" i="6"/>
  <c r="H1502" i="6" s="1"/>
  <c r="G1334" i="22"/>
  <c r="K1334" i="22"/>
  <c r="H1334" i="22" s="1"/>
  <c r="G1335" i="22"/>
  <c r="K1335" i="22"/>
  <c r="H1335" i="22" s="1"/>
  <c r="G1336" i="22"/>
  <c r="K1336" i="22"/>
  <c r="H1336" i="22" s="1"/>
  <c r="G1337" i="22"/>
  <c r="K1337" i="22"/>
  <c r="H1337" i="22" s="1"/>
  <c r="G1338" i="22"/>
  <c r="K1338" i="22"/>
  <c r="H1338" i="22" s="1"/>
  <c r="G1339" i="22"/>
  <c r="K1339" i="22"/>
  <c r="H1339" i="22" s="1"/>
  <c r="B1339" i="22" a="1"/>
  <c r="B1339" i="22" s="1"/>
  <c r="B1338" i="22" a="1"/>
  <c r="B1338" i="22" s="1"/>
  <c r="B1337" i="22" a="1"/>
  <c r="B1337" i="22" s="1"/>
  <c r="B1336" i="22" a="1"/>
  <c r="B1336" i="22" s="1"/>
  <c r="B1335" i="22" a="1"/>
  <c r="B1335" i="22" s="1"/>
  <c r="B1334" i="22" a="1"/>
  <c r="B1334" i="22" s="1"/>
  <c r="N1334" i="22"/>
  <c r="N1335" i="22"/>
  <c r="N1336" i="22"/>
  <c r="N1337" i="22"/>
  <c r="N1338" i="22"/>
  <c r="N1339" i="22"/>
  <c r="K1511" i="6"/>
  <c r="H1511" i="6" s="1"/>
  <c r="K1510" i="6"/>
  <c r="H1510" i="6" s="1"/>
  <c r="K1508" i="6"/>
  <c r="H1508" i="6" s="1"/>
  <c r="K1507" i="6"/>
  <c r="H1507" i="6" s="1"/>
  <c r="K1506" i="6"/>
  <c r="H1506" i="6" s="1"/>
  <c r="K1505" i="6"/>
  <c r="H1505" i="6" s="1"/>
  <c r="K1504" i="6"/>
  <c r="H1504" i="6" s="1"/>
  <c r="K1503" i="6"/>
  <c r="H1503" i="6" s="1"/>
  <c r="N1330" i="22"/>
  <c r="K1330" i="22"/>
  <c r="H1330" i="22" s="1"/>
  <c r="G1330" i="22"/>
  <c r="B1330" i="22" a="1"/>
  <c r="B1330" i="22" s="1"/>
  <c r="G1326" i="22"/>
  <c r="K1326" i="22"/>
  <c r="H1326" i="22" s="1"/>
  <c r="G1327" i="22"/>
  <c r="K1327" i="22"/>
  <c r="H1327" i="22" s="1"/>
  <c r="G1328" i="22"/>
  <c r="K1328" i="22"/>
  <c r="H1328" i="22" s="1"/>
  <c r="G1329" i="22"/>
  <c r="K1329" i="22"/>
  <c r="H1329" i="22" s="1"/>
  <c r="G1331" i="22"/>
  <c r="K1331" i="22"/>
  <c r="H1331" i="22" s="1"/>
  <c r="G1332" i="22"/>
  <c r="K1332" i="22"/>
  <c r="H1332" i="22" s="1"/>
  <c r="G1333" i="22"/>
  <c r="K1333" i="22"/>
  <c r="H1333" i="22" s="1"/>
  <c r="B1333" i="22" a="1"/>
  <c r="B1333" i="22" s="1"/>
  <c r="B1332" i="22" a="1"/>
  <c r="B1332" i="22" s="1"/>
  <c r="B1331" i="22" a="1"/>
  <c r="B1331" i="22" s="1"/>
  <c r="B1329" i="22" a="1"/>
  <c r="B1329" i="22" s="1"/>
  <c r="B1328" i="22" a="1"/>
  <c r="B1328" i="22" s="1"/>
  <c r="B1327" i="22" a="1"/>
  <c r="B1327" i="22" s="1"/>
  <c r="B1326" i="22" a="1"/>
  <c r="B1326" i="22" s="1"/>
  <c r="K1501" i="6"/>
  <c r="H1501" i="6" s="1"/>
  <c r="K1500" i="6"/>
  <c r="H1500" i="6" s="1"/>
  <c r="K1499" i="6"/>
  <c r="H1499" i="6" s="1"/>
  <c r="K1498" i="6"/>
  <c r="H1498" i="6" s="1"/>
  <c r="K1497" i="6"/>
  <c r="H1497" i="6" s="1"/>
  <c r="K1496" i="6"/>
  <c r="H1496" i="6" s="1"/>
  <c r="M12" i="21"/>
  <c r="G1321" i="22"/>
  <c r="K1321" i="22"/>
  <c r="H1321" i="22" s="1"/>
  <c r="G1322" i="22"/>
  <c r="K1322" i="22"/>
  <c r="H1322" i="22" s="1"/>
  <c r="G1323" i="22"/>
  <c r="K1323" i="22"/>
  <c r="H1323" i="22" s="1"/>
  <c r="G1324" i="22"/>
  <c r="K1324" i="22"/>
  <c r="H1324" i="22" s="1"/>
  <c r="G1325" i="22"/>
  <c r="K1325" i="22"/>
  <c r="H1325" i="22" s="1"/>
  <c r="B1325" i="22" a="1"/>
  <c r="B1325" i="22" s="1"/>
  <c r="B1324" i="22" a="1"/>
  <c r="B1324" i="22" s="1"/>
  <c r="B1323" i="22" a="1"/>
  <c r="B1323" i="22" s="1"/>
  <c r="B1322" i="22" a="1"/>
  <c r="B1322" i="22" s="1"/>
  <c r="B1321" i="22" a="1"/>
  <c r="B1321" i="22" s="1"/>
  <c r="K1495" i="6"/>
  <c r="H1495" i="6" s="1"/>
  <c r="K1494" i="6"/>
  <c r="H1494" i="6" s="1"/>
  <c r="K1493" i="6"/>
  <c r="H1493" i="6" s="1"/>
  <c r="K1492" i="6"/>
  <c r="H1492" i="6" s="1"/>
  <c r="K1491" i="6"/>
  <c r="H1491" i="6" s="1"/>
  <c r="K1490" i="6"/>
  <c r="H1490" i="6" s="1"/>
  <c r="K1531" i="6"/>
  <c r="H1531" i="6" s="1"/>
  <c r="K1489" i="6"/>
  <c r="H1489" i="6" s="1"/>
  <c r="K1488" i="6"/>
  <c r="H1488" i="6" s="1"/>
  <c r="N1313" i="22"/>
  <c r="K1313" i="22"/>
  <c r="H1313" i="22" s="1"/>
  <c r="G1313" i="22"/>
  <c r="B1313" i="22" a="1"/>
  <c r="B1313" i="22" s="1"/>
  <c r="N1312" i="22"/>
  <c r="K1312" i="22"/>
  <c r="H1312" i="22" s="1"/>
  <c r="G1312" i="22"/>
  <c r="B1312" i="22" a="1"/>
  <c r="B1312" i="22" s="1"/>
  <c r="N1311" i="22"/>
  <c r="K1320" i="22"/>
  <c r="H1320" i="22" s="1"/>
  <c r="G1320" i="22"/>
  <c r="G1311" i="22"/>
  <c r="K1311" i="22"/>
  <c r="H1311" i="22" s="1"/>
  <c r="G1314" i="22"/>
  <c r="K1314" i="22"/>
  <c r="H1314" i="22" s="1"/>
  <c r="G1315" i="22"/>
  <c r="K1315" i="22"/>
  <c r="H1315" i="22" s="1"/>
  <c r="G1316" i="22"/>
  <c r="K1316" i="22"/>
  <c r="H1316" i="22" s="1"/>
  <c r="G1317" i="22"/>
  <c r="K1317" i="22"/>
  <c r="H1317" i="22" s="1"/>
  <c r="G1318" i="22"/>
  <c r="K1318" i="22"/>
  <c r="H1318" i="22" s="1"/>
  <c r="G1319" i="22"/>
  <c r="K1319" i="22"/>
  <c r="H1319" i="22" s="1"/>
  <c r="B1320" i="22" a="1"/>
  <c r="B1320" i="22" s="1"/>
  <c r="B1319" i="22" a="1"/>
  <c r="B1319" i="22" s="1"/>
  <c r="B1318" i="22" a="1"/>
  <c r="B1318" i="22" s="1"/>
  <c r="B1317" i="22" a="1"/>
  <c r="B1317" i="22" s="1"/>
  <c r="B1316" i="22" a="1"/>
  <c r="B1316" i="22" s="1"/>
  <c r="B1315" i="22" a="1"/>
  <c r="B1315" i="22" s="1"/>
  <c r="B1314" i="22" a="1"/>
  <c r="B1314" i="22" s="1"/>
  <c r="B1311" i="22" a="1"/>
  <c r="B1311" i="22" s="1"/>
  <c r="K1487" i="6"/>
  <c r="H1487" i="6" s="1"/>
  <c r="K1486" i="6"/>
  <c r="H1486" i="6" s="1"/>
  <c r="K1485" i="6"/>
  <c r="H1485" i="6" s="1"/>
  <c r="K1484" i="6"/>
  <c r="H1484" i="6" s="1"/>
  <c r="K1483" i="6"/>
  <c r="H1483" i="6" s="1"/>
  <c r="K1482" i="6"/>
  <c r="H1482" i="6" s="1"/>
  <c r="G1302" i="22"/>
  <c r="K1302" i="22"/>
  <c r="H1302" i="22" s="1"/>
  <c r="G1303" i="22"/>
  <c r="K1303" i="22"/>
  <c r="H1303" i="22" s="1"/>
  <c r="G1304" i="22"/>
  <c r="K1304" i="22"/>
  <c r="H1304" i="22" s="1"/>
  <c r="G1305" i="22"/>
  <c r="K1305" i="22"/>
  <c r="H1305" i="22" s="1"/>
  <c r="G1306" i="22"/>
  <c r="K1306" i="22"/>
  <c r="H1306" i="22" s="1"/>
  <c r="G1307" i="22"/>
  <c r="K1307" i="22"/>
  <c r="H1307" i="22" s="1"/>
  <c r="G1308" i="22"/>
  <c r="K1308" i="22"/>
  <c r="H1308" i="22" s="1"/>
  <c r="G1309" i="22"/>
  <c r="K1309" i="22"/>
  <c r="H1309" i="22" s="1"/>
  <c r="G1310" i="22"/>
  <c r="K1310" i="22"/>
  <c r="H1310" i="22" s="1"/>
  <c r="B1310" i="22" a="1"/>
  <c r="B1310" i="22" s="1"/>
  <c r="B1309" i="22" a="1"/>
  <c r="B1309" i="22" s="1"/>
  <c r="B1308" i="22" a="1"/>
  <c r="B1308" i="22" s="1"/>
  <c r="B1307" i="22" a="1"/>
  <c r="B1307" i="22" s="1"/>
  <c r="B1306" i="22" a="1"/>
  <c r="B1306" i="22" s="1"/>
  <c r="B1305" i="22" a="1"/>
  <c r="B1305" i="22" s="1"/>
  <c r="B1304" i="22" a="1"/>
  <c r="B1304" i="22" s="1"/>
  <c r="B1303" i="22" a="1"/>
  <c r="B1303" i="22" s="1"/>
  <c r="B1302" i="22" a="1"/>
  <c r="B1302" i="22" s="1"/>
  <c r="K1481" i="6"/>
  <c r="H1481" i="6" s="1"/>
  <c r="K1480" i="6"/>
  <c r="H1480" i="6" s="1"/>
  <c r="K1479" i="6"/>
  <c r="H1479" i="6" s="1"/>
  <c r="K1478" i="6"/>
  <c r="H1478" i="6" s="1"/>
  <c r="K1477" i="6"/>
  <c r="H1477" i="6" s="1"/>
  <c r="K1476" i="6"/>
  <c r="H1476" i="6" s="1"/>
  <c r="K1475" i="6"/>
  <c r="H1475" i="6" s="1"/>
  <c r="K1474" i="6"/>
  <c r="H1474" i="6" s="1"/>
  <c r="K1473" i="6"/>
  <c r="H1473" i="6" s="1"/>
  <c r="K1472" i="6"/>
  <c r="H1472" i="6" s="1"/>
  <c r="G1472" i="6"/>
  <c r="N1472" i="6"/>
  <c r="G1473" i="6"/>
  <c r="N1473" i="6"/>
  <c r="G1474" i="6"/>
  <c r="N1474" i="6"/>
  <c r="N1471" i="6"/>
  <c r="K1471" i="6"/>
  <c r="H1471" i="6" s="1"/>
  <c r="G1471" i="6"/>
  <c r="G1293" i="22"/>
  <c r="K1293" i="22"/>
  <c r="H1293" i="22" s="1"/>
  <c r="G1294" i="22"/>
  <c r="K1294" i="22"/>
  <c r="H1294" i="22" s="1"/>
  <c r="G1295" i="22"/>
  <c r="K1295" i="22"/>
  <c r="H1295" i="22" s="1"/>
  <c r="G1296" i="22"/>
  <c r="K1296" i="22"/>
  <c r="H1296" i="22" s="1"/>
  <c r="G1297" i="22"/>
  <c r="K1297" i="22"/>
  <c r="H1297" i="22" s="1"/>
  <c r="G1298" i="22"/>
  <c r="K1298" i="22"/>
  <c r="H1298" i="22" s="1"/>
  <c r="G1299" i="22"/>
  <c r="K1299" i="22"/>
  <c r="H1299" i="22" s="1"/>
  <c r="G1300" i="22"/>
  <c r="K1300" i="22"/>
  <c r="H1300" i="22" s="1"/>
  <c r="G1301" i="22"/>
  <c r="K1301" i="22"/>
  <c r="H1301" i="22" s="1"/>
  <c r="B1301" i="22" a="1"/>
  <c r="B1301" i="22" s="1"/>
  <c r="B1300" i="22" a="1"/>
  <c r="B1300" i="22" s="1"/>
  <c r="B1299" i="22" a="1"/>
  <c r="B1299" i="22" s="1"/>
  <c r="B1298" i="22" a="1"/>
  <c r="B1298" i="22" s="1"/>
  <c r="B1297" i="22" a="1"/>
  <c r="B1297" i="22" s="1"/>
  <c r="B1296" i="22" a="1"/>
  <c r="B1296" i="22" s="1"/>
  <c r="B1295" i="22" a="1"/>
  <c r="B1295" i="22" s="1"/>
  <c r="B1294" i="22" a="1"/>
  <c r="B1294" i="22" s="1"/>
  <c r="B1293" i="22" a="1"/>
  <c r="B1293" i="22" s="1"/>
  <c r="K1470" i="6"/>
  <c r="H1470" i="6" s="1"/>
  <c r="K1469" i="6"/>
  <c r="H1469" i="6" s="1"/>
  <c r="K1468" i="6"/>
  <c r="H1468" i="6" s="1"/>
  <c r="K1467" i="6"/>
  <c r="H1467" i="6" s="1"/>
  <c r="K1466" i="6"/>
  <c r="H1466" i="6" s="1"/>
  <c r="K1465" i="6"/>
  <c r="H1465" i="6" s="1"/>
  <c r="K1464" i="6"/>
  <c r="H1464" i="6" s="1"/>
  <c r="K1463" i="6"/>
  <c r="H1463" i="6" s="1"/>
  <c r="K1462" i="6"/>
  <c r="H1462" i="6" s="1"/>
  <c r="K1461" i="6"/>
  <c r="H1461" i="6" s="1"/>
  <c r="K1460" i="6"/>
  <c r="H1460" i="6" s="1"/>
  <c r="K1459" i="6"/>
  <c r="H1459" i="6" s="1"/>
  <c r="K1458" i="6"/>
  <c r="H1458" i="6" s="1"/>
  <c r="K1457" i="6"/>
  <c r="H1457" i="6" s="1"/>
  <c r="K1456" i="6"/>
  <c r="H1456" i="6" s="1"/>
  <c r="K1454" i="6"/>
  <c r="H1454" i="6" s="1"/>
  <c r="K1453" i="6"/>
  <c r="H1453" i="6" s="1"/>
  <c r="G1286" i="22"/>
  <c r="K1286" i="22"/>
  <c r="H1286" i="22" s="1"/>
  <c r="G1287" i="22"/>
  <c r="K1287" i="22"/>
  <c r="H1287" i="22" s="1"/>
  <c r="G1288" i="22"/>
  <c r="K1288" i="22"/>
  <c r="H1288" i="22" s="1"/>
  <c r="G1289" i="22"/>
  <c r="K1289" i="22"/>
  <c r="H1289" i="22" s="1"/>
  <c r="G1290" i="22"/>
  <c r="K1290" i="22"/>
  <c r="H1290" i="22" s="1"/>
  <c r="G1291" i="22"/>
  <c r="K1291" i="22"/>
  <c r="H1291" i="22" s="1"/>
  <c r="G1292" i="22"/>
  <c r="K1292" i="22"/>
  <c r="H1292" i="22" s="1"/>
  <c r="B1292" i="22" a="1"/>
  <c r="B1292" i="22" s="1"/>
  <c r="B1291" i="22" a="1"/>
  <c r="B1291" i="22" s="1"/>
  <c r="B1290" i="22" a="1"/>
  <c r="B1290" i="22" s="1"/>
  <c r="B1289" i="22" a="1"/>
  <c r="B1289" i="22" s="1"/>
  <c r="B1288" i="22" a="1"/>
  <c r="B1288" i="22" s="1"/>
  <c r="B1287" i="22" a="1"/>
  <c r="B1287" i="22" s="1"/>
  <c r="B1286" i="22" a="1"/>
  <c r="B1286" i="22" s="1"/>
  <c r="K1455" i="6"/>
  <c r="H1455" i="6" s="1"/>
  <c r="N1446" i="6"/>
  <c r="N1445" i="6"/>
  <c r="K1445" i="6"/>
  <c r="H1445" i="6" s="1"/>
  <c r="G1445" i="6"/>
  <c r="K1452" i="6"/>
  <c r="H1452" i="6" s="1"/>
  <c r="K1451" i="6"/>
  <c r="H1451" i="6" s="1"/>
  <c r="K1450" i="6"/>
  <c r="H1450" i="6" s="1"/>
  <c r="K1449" i="6"/>
  <c r="H1449" i="6" s="1"/>
  <c r="K1448" i="6"/>
  <c r="H1448" i="6" s="1"/>
  <c r="K1447" i="6"/>
  <c r="H1447" i="6" s="1"/>
  <c r="K1446" i="6"/>
  <c r="H1446" i="6" s="1"/>
  <c r="K1444" i="6"/>
  <c r="H1444" i="6" s="1"/>
  <c r="K1443" i="6"/>
  <c r="H1443" i="6" s="1"/>
  <c r="K1442" i="6"/>
  <c r="H1442" i="6" s="1"/>
  <c r="G1278" i="22"/>
  <c r="K1278" i="22"/>
  <c r="H1278" i="22" s="1"/>
  <c r="G1279" i="22"/>
  <c r="K1279" i="22"/>
  <c r="H1279" i="22" s="1"/>
  <c r="G1280" i="22"/>
  <c r="K1280" i="22"/>
  <c r="H1280" i="22" s="1"/>
  <c r="G1281" i="22"/>
  <c r="K1281" i="22"/>
  <c r="H1281" i="22" s="1"/>
  <c r="G1282" i="22"/>
  <c r="K1282" i="22"/>
  <c r="H1282" i="22" s="1"/>
  <c r="G1283" i="22"/>
  <c r="K1283" i="22"/>
  <c r="H1283" i="22" s="1"/>
  <c r="G1284" i="22"/>
  <c r="K1284" i="22"/>
  <c r="H1284" i="22" s="1"/>
  <c r="G1285" i="22"/>
  <c r="K1285" i="22"/>
  <c r="H1285" i="22" s="1"/>
  <c r="B1285" i="22" a="1"/>
  <c r="B1285" i="22" s="1"/>
  <c r="B1284" i="22" a="1"/>
  <c r="B1284" i="22" s="1"/>
  <c r="B1283" i="22" a="1"/>
  <c r="B1283" i="22" s="1"/>
  <c r="B1282" i="22" a="1"/>
  <c r="B1282" i="22" s="1"/>
  <c r="B1281" i="22" a="1"/>
  <c r="B1281" i="22" s="1"/>
  <c r="B1280" i="22" a="1"/>
  <c r="B1280" i="22" s="1"/>
  <c r="B1279" i="22" a="1"/>
  <c r="B1279" i="22" s="1"/>
  <c r="B1278" i="22" a="1"/>
  <c r="B1278" i="22" s="1"/>
  <c r="N1433" i="6"/>
  <c r="N1276" i="22"/>
  <c r="K1276" i="22"/>
  <c r="H1276" i="22" s="1"/>
  <c r="G1276" i="22"/>
  <c r="B1276" i="22" a="1"/>
  <c r="B1276" i="22" s="1"/>
  <c r="N1267" i="22"/>
  <c r="K1267" i="22"/>
  <c r="H1267" i="22" s="1"/>
  <c r="G1267" i="22"/>
  <c r="B1267" i="22" a="1"/>
  <c r="B1267" i="22" s="1"/>
  <c r="G1268" i="22"/>
  <c r="K1268" i="22"/>
  <c r="H1268" i="22" s="1"/>
  <c r="G1269" i="22"/>
  <c r="K1269" i="22"/>
  <c r="H1269" i="22" s="1"/>
  <c r="G1270" i="22"/>
  <c r="K1270" i="22"/>
  <c r="H1270" i="22" s="1"/>
  <c r="G1271" i="22"/>
  <c r="K1271" i="22"/>
  <c r="H1271" i="22" s="1"/>
  <c r="G1272" i="22"/>
  <c r="K1272" i="22"/>
  <c r="H1272" i="22" s="1"/>
  <c r="G1273" i="22"/>
  <c r="K1273" i="22"/>
  <c r="H1273" i="22" s="1"/>
  <c r="G1274" i="22"/>
  <c r="K1274" i="22"/>
  <c r="H1274" i="22" s="1"/>
  <c r="G1275" i="22"/>
  <c r="K1275" i="22"/>
  <c r="H1275" i="22" s="1"/>
  <c r="G1277" i="22"/>
  <c r="K1277" i="22"/>
  <c r="H1277" i="22" s="1"/>
  <c r="B1277" i="22" a="1"/>
  <c r="B1277" i="22" s="1"/>
  <c r="B1275" i="22" a="1"/>
  <c r="B1275" i="22" s="1"/>
  <c r="B1274" i="22" a="1"/>
  <c r="B1274" i="22" s="1"/>
  <c r="B1273" i="22" a="1"/>
  <c r="B1273" i="22" s="1"/>
  <c r="B1272" i="22" a="1"/>
  <c r="B1272" i="22" s="1"/>
  <c r="B1271" i="22" a="1"/>
  <c r="B1271" i="22" s="1"/>
  <c r="B1270" i="22" a="1"/>
  <c r="B1270" i="22" s="1"/>
  <c r="B1269" i="22" a="1"/>
  <c r="B1269" i="22" s="1"/>
  <c r="B1268" i="22" a="1"/>
  <c r="B1268" i="22" s="1"/>
  <c r="K1441" i="6"/>
  <c r="H1441" i="6" s="1"/>
  <c r="K1440" i="6"/>
  <c r="H1440" i="6" s="1"/>
  <c r="K1439" i="6"/>
  <c r="H1439" i="6" s="1"/>
  <c r="K1438" i="6"/>
  <c r="H1438" i="6" s="1"/>
  <c r="K1437" i="6"/>
  <c r="H1437" i="6" s="1"/>
  <c r="K1436" i="6"/>
  <c r="H1436" i="6" s="1"/>
  <c r="K1435" i="6"/>
  <c r="H1435" i="6" s="1"/>
  <c r="K1434" i="6"/>
  <c r="H1434" i="6" s="1"/>
  <c r="K1433" i="6"/>
  <c r="H1433" i="6" s="1"/>
  <c r="N1264" i="22"/>
  <c r="K1264" i="22"/>
  <c r="H1264" i="22" s="1"/>
  <c r="G1264" i="22"/>
  <c r="B1264" i="22" a="1"/>
  <c r="B1264" i="22" s="1"/>
  <c r="N1263" i="22"/>
  <c r="K1263" i="22"/>
  <c r="H1263" i="22" s="1"/>
  <c r="G1263" i="22"/>
  <c r="B1263" i="22" a="1"/>
  <c r="B1263" i="22" s="1"/>
  <c r="N1262" i="22"/>
  <c r="K1262" i="22"/>
  <c r="H1262" i="22" s="1"/>
  <c r="G1262" i="22"/>
  <c r="B1262" i="22" a="1"/>
  <c r="B1262" i="22" s="1"/>
  <c r="G1257" i="22"/>
  <c r="K1257" i="22"/>
  <c r="H1257" i="22" s="1"/>
  <c r="G1258" i="22"/>
  <c r="K1258" i="22"/>
  <c r="H1258" i="22" s="1"/>
  <c r="G1259" i="22"/>
  <c r="K1259" i="22"/>
  <c r="H1259" i="22" s="1"/>
  <c r="G1260" i="22"/>
  <c r="K1260" i="22"/>
  <c r="H1260" i="22" s="1"/>
  <c r="G1261" i="22"/>
  <c r="K1261" i="22"/>
  <c r="H1261" i="22" s="1"/>
  <c r="G1265" i="22"/>
  <c r="K1265" i="22"/>
  <c r="H1265" i="22" s="1"/>
  <c r="G1266" i="22"/>
  <c r="K1266" i="22"/>
  <c r="H1266" i="22" s="1"/>
  <c r="B1266" i="22" a="1"/>
  <c r="B1266" i="22" s="1"/>
  <c r="B1265" i="22" a="1"/>
  <c r="B1265" i="22" s="1"/>
  <c r="B1261" i="22" a="1"/>
  <c r="B1261" i="22" s="1"/>
  <c r="B1260" i="22" a="1"/>
  <c r="B1260" i="22" s="1"/>
  <c r="B1259" i="22" a="1"/>
  <c r="B1259" i="22" s="1"/>
  <c r="B1258" i="22" a="1"/>
  <c r="B1258" i="22" s="1"/>
  <c r="B1257" i="22" a="1"/>
  <c r="B1257" i="22" s="1"/>
  <c r="K1432" i="6"/>
  <c r="H1432" i="6" s="1"/>
  <c r="K1431" i="6"/>
  <c r="H1431" i="6" s="1"/>
  <c r="K1430" i="6"/>
  <c r="H1430" i="6" s="1"/>
  <c r="K1429" i="6"/>
  <c r="H1429" i="6" s="1"/>
  <c r="K1428" i="6"/>
  <c r="H1428" i="6" s="1"/>
  <c r="K1427" i="6"/>
  <c r="H1427" i="6" s="1"/>
  <c r="K1426" i="6"/>
  <c r="H1426" i="6" s="1"/>
  <c r="K1425" i="6"/>
  <c r="H1425" i="6" s="1"/>
  <c r="K1424" i="6"/>
  <c r="H1424" i="6" s="1"/>
  <c r="N1244" i="22"/>
  <c r="K1244" i="22"/>
  <c r="H1244" i="22" s="1"/>
  <c r="G1244" i="22"/>
  <c r="B1244" i="22" a="1"/>
  <c r="B1244" i="22" s="1"/>
  <c r="G1249" i="22"/>
  <c r="K1249" i="22"/>
  <c r="H1249" i="22" s="1"/>
  <c r="G1250" i="22"/>
  <c r="K1250" i="22"/>
  <c r="H1250" i="22" s="1"/>
  <c r="G1251" i="22"/>
  <c r="K1251" i="22"/>
  <c r="H1251" i="22" s="1"/>
  <c r="G1252" i="22"/>
  <c r="K1252" i="22"/>
  <c r="H1252" i="22" s="1"/>
  <c r="G1253" i="22"/>
  <c r="K1253" i="22"/>
  <c r="H1253" i="22" s="1"/>
  <c r="G1254" i="22"/>
  <c r="K1254" i="22"/>
  <c r="H1254" i="22" s="1"/>
  <c r="G1255" i="22"/>
  <c r="K1255" i="22"/>
  <c r="H1255" i="22" s="1"/>
  <c r="G1256" i="22"/>
  <c r="K1256" i="22"/>
  <c r="H1256" i="22" s="1"/>
  <c r="B1256" i="22" a="1"/>
  <c r="B1256" i="22" s="1"/>
  <c r="B1255" i="22" a="1"/>
  <c r="B1255" i="22" s="1"/>
  <c r="B1254" i="22" a="1"/>
  <c r="B1254" i="22" s="1"/>
  <c r="B1253" i="22" a="1"/>
  <c r="B1253" i="22" s="1"/>
  <c r="B1252" i="22" a="1"/>
  <c r="B1252" i="22" s="1"/>
  <c r="B1251" i="22" a="1"/>
  <c r="B1251" i="22" s="1"/>
  <c r="B1250" i="22" a="1"/>
  <c r="B1250" i="22" s="1"/>
  <c r="B1249" i="22" a="1"/>
  <c r="B1249" i="22" s="1"/>
  <c r="K1423" i="6"/>
  <c r="H1423" i="6" s="1"/>
  <c r="K1422" i="6"/>
  <c r="H1422" i="6" s="1"/>
  <c r="K1421" i="6"/>
  <c r="H1421" i="6" s="1"/>
  <c r="K1420" i="6"/>
  <c r="H1420" i="6" s="1"/>
  <c r="K1419" i="6"/>
  <c r="H1419" i="6" s="1"/>
  <c r="K1418" i="6"/>
  <c r="H1418" i="6" s="1"/>
  <c r="K1417" i="6"/>
  <c r="H1417" i="6" s="1"/>
  <c r="K1416" i="6"/>
  <c r="H1416" i="6" s="1"/>
  <c r="K1415" i="6"/>
  <c r="H1415" i="6" s="1"/>
  <c r="K1414" i="6"/>
  <c r="H1414" i="6" s="1"/>
  <c r="K1413" i="6"/>
  <c r="H1413" i="6" s="1"/>
  <c r="K1412" i="6"/>
  <c r="H1412" i="6" s="1"/>
  <c r="K1411" i="6"/>
  <c r="H1411" i="6" s="1"/>
  <c r="K1410" i="6"/>
  <c r="H1410" i="6" s="1"/>
  <c r="K1409" i="6"/>
  <c r="H1409" i="6" s="1"/>
  <c r="K1408" i="6"/>
  <c r="H1408" i="6" s="1"/>
  <c r="K1407" i="6"/>
  <c r="H1407" i="6" s="1"/>
  <c r="K1406" i="6"/>
  <c r="H1406" i="6" s="1"/>
  <c r="K1405" i="6"/>
  <c r="H1405" i="6" s="1"/>
  <c r="K1404" i="6"/>
  <c r="H1404" i="6" s="1"/>
  <c r="K1403" i="6"/>
  <c r="H1403" i="6" s="1"/>
  <c r="K1402" i="6"/>
  <c r="H1402" i="6" s="1"/>
  <c r="K1401" i="6"/>
  <c r="H1401" i="6" s="1"/>
  <c r="K1400" i="6"/>
  <c r="H1400" i="6" s="1"/>
  <c r="K1399" i="6"/>
  <c r="H1399" i="6" s="1"/>
  <c r="K1398" i="6"/>
  <c r="H1398" i="6" s="1"/>
  <c r="K1397" i="6"/>
  <c r="H1397" i="6" s="1"/>
  <c r="K1396" i="6"/>
  <c r="H1396" i="6" s="1"/>
  <c r="K1395" i="6"/>
  <c r="H1395" i="6" s="1"/>
  <c r="N1243" i="22"/>
  <c r="K1243" i="22"/>
  <c r="H1243" i="22" s="1"/>
  <c r="G1243" i="22"/>
  <c r="B1243" i="22" a="1"/>
  <c r="B1243" i="22" s="1"/>
  <c r="G1242" i="22"/>
  <c r="K1242" i="22"/>
  <c r="H1242" i="22" s="1"/>
  <c r="G1245" i="22"/>
  <c r="K1245" i="22"/>
  <c r="H1245" i="22" s="1"/>
  <c r="G1246" i="22"/>
  <c r="K1246" i="22"/>
  <c r="H1246" i="22" s="1"/>
  <c r="G1247" i="22"/>
  <c r="K1247" i="22"/>
  <c r="H1247" i="22" s="1"/>
  <c r="G1248" i="22"/>
  <c r="K1248" i="22"/>
  <c r="H1248" i="22" s="1"/>
  <c r="B1248" i="22" a="1"/>
  <c r="B1248" i="22" s="1"/>
  <c r="B1247" i="22" a="1"/>
  <c r="B1247" i="22" s="1"/>
  <c r="B1246" i="22" a="1"/>
  <c r="B1246" i="22" s="1"/>
  <c r="B1245" i="22" a="1"/>
  <c r="B1245" i="22" s="1"/>
  <c r="B1242" i="22" a="1"/>
  <c r="B1242" i="22" s="1"/>
  <c r="K1394" i="6"/>
  <c r="H1394" i="6" s="1"/>
  <c r="K1393" i="6"/>
  <c r="H1393" i="6" s="1"/>
  <c r="K1392" i="6"/>
  <c r="H1392" i="6" s="1"/>
  <c r="K1391" i="6"/>
  <c r="H1391" i="6" s="1"/>
  <c r="K1390" i="6"/>
  <c r="H1390" i="6" s="1"/>
  <c r="K1389" i="6"/>
  <c r="H1389" i="6" s="1"/>
  <c r="K1388" i="6"/>
  <c r="H1388" i="6" s="1"/>
  <c r="K1387" i="6"/>
  <c r="H1387" i="6" s="1"/>
  <c r="N1239" i="22"/>
  <c r="K1239" i="22"/>
  <c r="H1239" i="22" s="1"/>
  <c r="G1239" i="22"/>
  <c r="B1239" i="22" a="1"/>
  <c r="B1239" i="22" s="1"/>
  <c r="N1238" i="22"/>
  <c r="K1238" i="22"/>
  <c r="H1238" i="22" s="1"/>
  <c r="G1238" i="22"/>
  <c r="B1238" i="22" a="1"/>
  <c r="B1238" i="22" s="1"/>
  <c r="G1241" i="22"/>
  <c r="K1241" i="22"/>
  <c r="H1241" i="22" s="1"/>
  <c r="B1241" i="22" a="1"/>
  <c r="B1241" i="22" s="1"/>
  <c r="N1383" i="6"/>
  <c r="K1383" i="6"/>
  <c r="H1383" i="6" s="1"/>
  <c r="G1383" i="6"/>
  <c r="N1380" i="6"/>
  <c r="K1380" i="6"/>
  <c r="H1380" i="6" s="1"/>
  <c r="G1380" i="6"/>
  <c r="N1382" i="6"/>
  <c r="K1382" i="6"/>
  <c r="H1382" i="6" s="1"/>
  <c r="G1382" i="6"/>
  <c r="K1229" i="22"/>
  <c r="H1229" i="22" s="1"/>
  <c r="B1229" i="22" a="1"/>
  <c r="B1229" i="22" s="1"/>
  <c r="B4089" i="22" a="1"/>
  <c r="B4089" i="22" s="1"/>
  <c r="B4088" i="22" a="1"/>
  <c r="B4088" i="22" s="1"/>
  <c r="B4087" i="22" a="1"/>
  <c r="B4087" i="22" s="1"/>
  <c r="B4086" i="22" a="1"/>
  <c r="B4086" i="22" s="1"/>
  <c r="B4085" i="22" a="1"/>
  <c r="B4085" i="22" s="1"/>
  <c r="B4084" i="22" a="1"/>
  <c r="B4084" i="22" s="1"/>
  <c r="B4083" i="22" a="1"/>
  <c r="B4083" i="22" s="1"/>
  <c r="B4082" i="22" a="1"/>
  <c r="B4082" i="22" s="1"/>
  <c r="B4081" i="22" a="1"/>
  <c r="B4081" i="22" s="1"/>
  <c r="B4080" i="22" a="1"/>
  <c r="B4080" i="22" s="1"/>
  <c r="B4079" i="22" a="1"/>
  <c r="B4079" i="22" s="1"/>
  <c r="B4078" i="22" a="1"/>
  <c r="B4078" i="22" s="1"/>
  <c r="B4077" i="22" a="1"/>
  <c r="B4077" i="22" s="1"/>
  <c r="B4076" i="22" a="1"/>
  <c r="B4076" i="22" s="1"/>
  <c r="B4075" i="22" a="1"/>
  <c r="B4075" i="22" s="1"/>
  <c r="B4074" i="22" a="1"/>
  <c r="B4074" i="22" s="1"/>
  <c r="B4073" i="22" a="1"/>
  <c r="B4073" i="22" s="1"/>
  <c r="B4072" i="22" a="1"/>
  <c r="B4072" i="22" s="1"/>
  <c r="B4071" i="22" a="1"/>
  <c r="B4071" i="22" s="1"/>
  <c r="B4070" i="22" a="1"/>
  <c r="B4070" i="22" s="1"/>
  <c r="B4069" i="22" a="1"/>
  <c r="B4069" i="22" s="1"/>
  <c r="B4068" i="22" a="1"/>
  <c r="B4068" i="22" s="1"/>
  <c r="B4067" i="22" a="1"/>
  <c r="B4067" i="22" s="1"/>
  <c r="B4066" i="22" a="1"/>
  <c r="B4066" i="22" s="1"/>
  <c r="B4065" i="22" a="1"/>
  <c r="B4065" i="22" s="1"/>
  <c r="B4064" i="22" a="1"/>
  <c r="B4064" i="22" s="1"/>
  <c r="B4063" i="22" a="1"/>
  <c r="B4063" i="22" s="1"/>
  <c r="B4062" i="22" a="1"/>
  <c r="B4062" i="22" s="1"/>
  <c r="B4061" i="22" a="1"/>
  <c r="B4061" i="22" s="1"/>
  <c r="B4060" i="22" a="1"/>
  <c r="B4060" i="22" s="1"/>
  <c r="B4059" i="22" a="1"/>
  <c r="B4059" i="22" s="1"/>
  <c r="B4058" i="22" a="1"/>
  <c r="B4058" i="22" s="1"/>
  <c r="B4057" i="22" a="1"/>
  <c r="B4057" i="22" s="1"/>
  <c r="B4056" i="22" a="1"/>
  <c r="B4056" i="22" s="1"/>
  <c r="B4055" i="22" a="1"/>
  <c r="B4055" i="22" s="1"/>
  <c r="B4054" i="22" a="1"/>
  <c r="B4054" i="22" s="1"/>
  <c r="B4053" i="22" a="1"/>
  <c r="B4053" i="22" s="1"/>
  <c r="B4052" i="22" a="1"/>
  <c r="B4052" i="22" s="1"/>
  <c r="B4051" i="22" a="1"/>
  <c r="B4051" i="22" s="1"/>
  <c r="B4050" i="22" a="1"/>
  <c r="B4050" i="22" s="1"/>
  <c r="B4049" i="22" a="1"/>
  <c r="B4049" i="22" s="1"/>
  <c r="B4048" i="22" a="1"/>
  <c r="B4048" i="22" s="1"/>
  <c r="B4047" i="22" a="1"/>
  <c r="B4047" i="22" s="1"/>
  <c r="B4046" i="22" a="1"/>
  <c r="B4046" i="22" s="1"/>
  <c r="B4045" i="22" a="1"/>
  <c r="B4045" i="22" s="1"/>
  <c r="B4044" i="22" a="1"/>
  <c r="B4044" i="22" s="1"/>
  <c r="B4043" i="22" a="1"/>
  <c r="B4043" i="22" s="1"/>
  <c r="B4042" i="22" a="1"/>
  <c r="B4042" i="22" s="1"/>
  <c r="B4041" i="22" a="1"/>
  <c r="B4041" i="22" s="1"/>
  <c r="B4040" i="22" a="1"/>
  <c r="B4040" i="22" s="1"/>
  <c r="B4039" i="22" a="1"/>
  <c r="B4039" i="22" s="1"/>
  <c r="B4038" i="22" a="1"/>
  <c r="B4038" i="22" s="1"/>
  <c r="B4037" i="22" a="1"/>
  <c r="B4037" i="22" s="1"/>
  <c r="B4036" i="22" a="1"/>
  <c r="B4036" i="22" s="1"/>
  <c r="B4035" i="22" a="1"/>
  <c r="B4035" i="22" s="1"/>
  <c r="B4034" i="22" a="1"/>
  <c r="B4034" i="22" s="1"/>
  <c r="B4033" i="22" a="1"/>
  <c r="B4033" i="22" s="1"/>
  <c r="B4032" i="22" a="1"/>
  <c r="B4032" i="22" s="1"/>
  <c r="B4031" i="22" a="1"/>
  <c r="B4031" i="22" s="1"/>
  <c r="B4030" i="22" a="1"/>
  <c r="B4030" i="22" s="1"/>
  <c r="B4029" i="22" a="1"/>
  <c r="B4029" i="22" s="1"/>
  <c r="B4028" i="22" a="1"/>
  <c r="B4028" i="22" s="1"/>
  <c r="B4027" i="22" a="1"/>
  <c r="B4027" i="22" s="1"/>
  <c r="B4026" i="22" a="1"/>
  <c r="B4026" i="22" s="1"/>
  <c r="B4025" i="22" a="1"/>
  <c r="B4025" i="22" s="1"/>
  <c r="B4024" i="22" a="1"/>
  <c r="B4024" i="22" s="1"/>
  <c r="B4023" i="22" a="1"/>
  <c r="B4023" i="22" s="1"/>
  <c r="B4022" i="22" a="1"/>
  <c r="B4022" i="22" s="1"/>
  <c r="B4021" i="22" a="1"/>
  <c r="B4021" i="22" s="1"/>
  <c r="B4020" i="22" a="1"/>
  <c r="B4020" i="22" s="1"/>
  <c r="B4019" i="22" a="1"/>
  <c r="B4019" i="22" s="1"/>
  <c r="B4018" i="22" a="1"/>
  <c r="B4018" i="22" s="1"/>
  <c r="B4017" i="22" a="1"/>
  <c r="B4017" i="22" s="1"/>
  <c r="B4016" i="22" a="1"/>
  <c r="B4016" i="22" s="1"/>
  <c r="B4015" i="22" a="1"/>
  <c r="B4015" i="22" s="1"/>
  <c r="B4014" i="22" a="1"/>
  <c r="B4014" i="22" s="1"/>
  <c r="B4013" i="22" a="1"/>
  <c r="B4013" i="22" s="1"/>
  <c r="B4012" i="22" a="1"/>
  <c r="B4012" i="22" s="1"/>
  <c r="B4011" i="22" a="1"/>
  <c r="B4011" i="22" s="1"/>
  <c r="B4010" i="22" a="1"/>
  <c r="B4010" i="22" s="1"/>
  <c r="B4009" i="22" a="1"/>
  <c r="B4009" i="22" s="1"/>
  <c r="B4008" i="22" a="1"/>
  <c r="B4008" i="22" s="1"/>
  <c r="B4007" i="22" a="1"/>
  <c r="B4007" i="22" s="1"/>
  <c r="B4006" i="22" a="1"/>
  <c r="B4006" i="22" s="1"/>
  <c r="B4005" i="22" a="1"/>
  <c r="B4005" i="22" s="1"/>
  <c r="B4004" i="22" a="1"/>
  <c r="B4004" i="22" s="1"/>
  <c r="B4003" i="22" a="1"/>
  <c r="B4003" i="22" s="1"/>
  <c r="B4002" i="22" a="1"/>
  <c r="B4002" i="22" s="1"/>
  <c r="B4001" i="22" a="1"/>
  <c r="B4001" i="22" s="1"/>
  <c r="B4000" i="22" a="1"/>
  <c r="B4000" i="22" s="1"/>
  <c r="B3999" i="22" a="1"/>
  <c r="B3999" i="22" s="1"/>
  <c r="B3998" i="22" a="1"/>
  <c r="B3998" i="22" s="1"/>
  <c r="B3997" i="22" a="1"/>
  <c r="B3997" i="22" s="1"/>
  <c r="B3996" i="22" a="1"/>
  <c r="B3996" i="22" s="1"/>
  <c r="B3995" i="22" a="1"/>
  <c r="B3995" i="22" s="1"/>
  <c r="B3994" i="22" a="1"/>
  <c r="B3994" i="22" s="1"/>
  <c r="B3993" i="22" a="1"/>
  <c r="B3993" i="22" s="1"/>
  <c r="B3992" i="22" a="1"/>
  <c r="B3992" i="22" s="1"/>
  <c r="B3991" i="22" a="1"/>
  <c r="B3991" i="22" s="1"/>
  <c r="B3990" i="22" a="1"/>
  <c r="B3990" i="22" s="1"/>
  <c r="B3989" i="22" a="1"/>
  <c r="B3989" i="22" s="1"/>
  <c r="B3988" i="22" a="1"/>
  <c r="B3988" i="22" s="1"/>
  <c r="B3987" i="22" a="1"/>
  <c r="B3987" i="22" s="1"/>
  <c r="B3986" i="22" a="1"/>
  <c r="B3986" i="22" s="1"/>
  <c r="B3985" i="22" a="1"/>
  <c r="B3985" i="22" s="1"/>
  <c r="B3984" i="22" a="1"/>
  <c r="B3984" i="22" s="1"/>
  <c r="B3983" i="22" a="1"/>
  <c r="B3983" i="22" s="1"/>
  <c r="B3982" i="22" a="1"/>
  <c r="B3982" i="22" s="1"/>
  <c r="B3981" i="22" a="1"/>
  <c r="B3981" i="22" s="1"/>
  <c r="B3980" i="22" a="1"/>
  <c r="B3980" i="22" s="1"/>
  <c r="B3979" i="22" a="1"/>
  <c r="B3979" i="22" s="1"/>
  <c r="B3978" i="22" a="1"/>
  <c r="B3978" i="22" s="1"/>
  <c r="B3977" i="22" a="1"/>
  <c r="B3977" i="22" s="1"/>
  <c r="B3976" i="22" a="1"/>
  <c r="B3976" i="22" s="1"/>
  <c r="B3975" i="22" a="1"/>
  <c r="B3975" i="22" s="1"/>
  <c r="B3974" i="22" a="1"/>
  <c r="B3974" i="22" s="1"/>
  <c r="B3973" i="22" a="1"/>
  <c r="B3973" i="22" s="1"/>
  <c r="B3972" i="22" a="1"/>
  <c r="B3972" i="22" s="1"/>
  <c r="B3971" i="22" a="1"/>
  <c r="B3971" i="22" s="1"/>
  <c r="B3970" i="22" a="1"/>
  <c r="B3970" i="22" s="1"/>
  <c r="B3969" i="22" a="1"/>
  <c r="B3969" i="22" s="1"/>
  <c r="B3968" i="22" a="1"/>
  <c r="B3968" i="22" s="1"/>
  <c r="B3967" i="22" a="1"/>
  <c r="B3967" i="22" s="1"/>
  <c r="B3966" i="22" a="1"/>
  <c r="B3966" i="22" s="1"/>
  <c r="B3965" i="22" a="1"/>
  <c r="B3965" i="22" s="1"/>
  <c r="B3964" i="22" a="1"/>
  <c r="B3964" i="22" s="1"/>
  <c r="B3963" i="22" a="1"/>
  <c r="B3963" i="22" s="1"/>
  <c r="B3962" i="22" a="1"/>
  <c r="B3962" i="22" s="1"/>
  <c r="B3961" i="22" a="1"/>
  <c r="B3961" i="22" s="1"/>
  <c r="B3960" i="22" a="1"/>
  <c r="B3960" i="22" s="1"/>
  <c r="B3959" i="22" a="1"/>
  <c r="B3959" i="22" s="1"/>
  <c r="B3958" i="22" a="1"/>
  <c r="B3958" i="22" s="1"/>
  <c r="B3957" i="22" a="1"/>
  <c r="B3957" i="22" s="1"/>
  <c r="B3956" i="22" a="1"/>
  <c r="B3956" i="22" s="1"/>
  <c r="B3955" i="22" a="1"/>
  <c r="B3955" i="22" s="1"/>
  <c r="B3954" i="22" a="1"/>
  <c r="B3954" i="22" s="1"/>
  <c r="B3953" i="22" a="1"/>
  <c r="B3953" i="22" s="1"/>
  <c r="B3952" i="22" a="1"/>
  <c r="B3952" i="22" s="1"/>
  <c r="B3951" i="22" a="1"/>
  <c r="B3951" i="22" s="1"/>
  <c r="B3950" i="22" a="1"/>
  <c r="B3950" i="22" s="1"/>
  <c r="B3949" i="22" a="1"/>
  <c r="B3949" i="22" s="1"/>
  <c r="B3948" i="22" a="1"/>
  <c r="B3948" i="22" s="1"/>
  <c r="B3947" i="22" a="1"/>
  <c r="B3947" i="22" s="1"/>
  <c r="B3946" i="22" a="1"/>
  <c r="B3946" i="22" s="1"/>
  <c r="B3945" i="22" a="1"/>
  <c r="B3945" i="22" s="1"/>
  <c r="B3944" i="22" a="1"/>
  <c r="B3944" i="22" s="1"/>
  <c r="B3943" i="22" a="1"/>
  <c r="B3943" i="22" s="1"/>
  <c r="B3942" i="22" a="1"/>
  <c r="B3942" i="22" s="1"/>
  <c r="B3941" i="22" a="1"/>
  <c r="B3941" i="22" s="1"/>
  <c r="B3940" i="22" a="1"/>
  <c r="B3940" i="22" s="1"/>
  <c r="B3939" i="22" a="1"/>
  <c r="B3939" i="22" s="1"/>
  <c r="B3938" i="22" a="1"/>
  <c r="B3938" i="22" s="1"/>
  <c r="B3937" i="22" a="1"/>
  <c r="B3937" i="22" s="1"/>
  <c r="B3936" i="22" a="1"/>
  <c r="B3936" i="22" s="1"/>
  <c r="B3935" i="22" a="1"/>
  <c r="B3935" i="22" s="1"/>
  <c r="B3934" i="22" a="1"/>
  <c r="B3934" i="22" s="1"/>
  <c r="B3933" i="22" a="1"/>
  <c r="B3933" i="22" s="1"/>
  <c r="B3932" i="22" a="1"/>
  <c r="B3932" i="22" s="1"/>
  <c r="B3931" i="22" a="1"/>
  <c r="B3931" i="22" s="1"/>
  <c r="B3930" i="22" a="1"/>
  <c r="B3930" i="22" s="1"/>
  <c r="B3929" i="22" a="1"/>
  <c r="B3929" i="22" s="1"/>
  <c r="B3928" i="22" a="1"/>
  <c r="B3928" i="22" s="1"/>
  <c r="B3927" i="22" a="1"/>
  <c r="B3927" i="22" s="1"/>
  <c r="B3926" i="22" a="1"/>
  <c r="B3926" i="22" s="1"/>
  <c r="B3925" i="22" a="1"/>
  <c r="B3925" i="22" s="1"/>
  <c r="B3924" i="22" a="1"/>
  <c r="B3924" i="22" s="1"/>
  <c r="B3923" i="22" a="1"/>
  <c r="B3923" i="22" s="1"/>
  <c r="B3922" i="22" a="1"/>
  <c r="B3922" i="22" s="1"/>
  <c r="B3921" i="22" a="1"/>
  <c r="B3921" i="22" s="1"/>
  <c r="B3920" i="22" a="1"/>
  <c r="B3920" i="22" s="1"/>
  <c r="B3919" i="22" a="1"/>
  <c r="B3919" i="22" s="1"/>
  <c r="B3918" i="22" a="1"/>
  <c r="B3918" i="22" s="1"/>
  <c r="B3917" i="22" a="1"/>
  <c r="B3917" i="22" s="1"/>
  <c r="B3916" i="22" a="1"/>
  <c r="B3916" i="22" s="1"/>
  <c r="B3915" i="22" a="1"/>
  <c r="B3915" i="22" s="1"/>
  <c r="B3914" i="22" a="1"/>
  <c r="B3914" i="22" s="1"/>
  <c r="B3913" i="22" a="1"/>
  <c r="B3913" i="22" s="1"/>
  <c r="B3912" i="22" a="1"/>
  <c r="B3912" i="22" s="1"/>
  <c r="B3911" i="22" a="1"/>
  <c r="B3911" i="22" s="1"/>
  <c r="B3910" i="22" a="1"/>
  <c r="B3910" i="22" s="1"/>
  <c r="B3909" i="22" a="1"/>
  <c r="B3909" i="22" s="1"/>
  <c r="B3908" i="22" a="1"/>
  <c r="B3908" i="22" s="1"/>
  <c r="B3907" i="22" a="1"/>
  <c r="B3907" i="22" s="1"/>
  <c r="B3906" i="22" a="1"/>
  <c r="B3906" i="22" s="1"/>
  <c r="B3905" i="22" a="1"/>
  <c r="B3905" i="22" s="1"/>
  <c r="B3904" i="22" a="1"/>
  <c r="B3904" i="22" s="1"/>
  <c r="B3903" i="22" a="1"/>
  <c r="B3903" i="22" s="1"/>
  <c r="B3902" i="22" a="1"/>
  <c r="B3902" i="22" s="1"/>
  <c r="B3901" i="22" a="1"/>
  <c r="B3901" i="22" s="1"/>
  <c r="B3900" i="22" a="1"/>
  <c r="B3900" i="22" s="1"/>
  <c r="B3899" i="22" a="1"/>
  <c r="B3899" i="22" s="1"/>
  <c r="B3898" i="22" a="1"/>
  <c r="B3898" i="22" s="1"/>
  <c r="B3897" i="22" a="1"/>
  <c r="B3897" i="22" s="1"/>
  <c r="B3896" i="22" a="1"/>
  <c r="B3896" i="22" s="1"/>
  <c r="B3895" i="22" a="1"/>
  <c r="B3895" i="22" s="1"/>
  <c r="B3894" i="22" a="1"/>
  <c r="B3894" i="22" s="1"/>
  <c r="B3893" i="22" a="1"/>
  <c r="B3893" i="22" s="1"/>
  <c r="B3892" i="22" a="1"/>
  <c r="B3892" i="22" s="1"/>
  <c r="B3891" i="22" a="1"/>
  <c r="B3891" i="22" s="1"/>
  <c r="B3890" i="22" a="1"/>
  <c r="B3890" i="22" s="1"/>
  <c r="B3889" i="22" a="1"/>
  <c r="B3889" i="22" s="1"/>
  <c r="B3888" i="22" a="1"/>
  <c r="B3888" i="22" s="1"/>
  <c r="B3887" i="22" a="1"/>
  <c r="B3887" i="22" s="1"/>
  <c r="B3886" i="22" a="1"/>
  <c r="B3886" i="22" s="1"/>
  <c r="B3885" i="22" a="1"/>
  <c r="B3885" i="22" s="1"/>
  <c r="B3884" i="22" a="1"/>
  <c r="B3884" i="22" s="1"/>
  <c r="B3883" i="22" a="1"/>
  <c r="B3883" i="22" s="1"/>
  <c r="B3882" i="22" a="1"/>
  <c r="B3882" i="22" s="1"/>
  <c r="B3881" i="22" a="1"/>
  <c r="B3881" i="22" s="1"/>
  <c r="B3880" i="22" a="1"/>
  <c r="B3880" i="22" s="1"/>
  <c r="B3879" i="22" a="1"/>
  <c r="B3879" i="22" s="1"/>
  <c r="B3878" i="22" a="1"/>
  <c r="B3878" i="22" s="1"/>
  <c r="B3877" i="22" a="1"/>
  <c r="B3877" i="22" s="1"/>
  <c r="B3876" i="22" a="1"/>
  <c r="B3876" i="22" s="1"/>
  <c r="B3875" i="22" a="1"/>
  <c r="B3875" i="22" s="1"/>
  <c r="B3874" i="22" a="1"/>
  <c r="B3874" i="22" s="1"/>
  <c r="B3873" i="22" a="1"/>
  <c r="B3873" i="22" s="1"/>
  <c r="B3872" i="22" a="1"/>
  <c r="B3872" i="22" s="1"/>
  <c r="B3871" i="22" a="1"/>
  <c r="B3871" i="22" s="1"/>
  <c r="B3870" i="22" a="1"/>
  <c r="B3870" i="22" s="1"/>
  <c r="B3869" i="22" a="1"/>
  <c r="B3869" i="22" s="1"/>
  <c r="B3868" i="22" a="1"/>
  <c r="B3868" i="22" s="1"/>
  <c r="B3867" i="22" a="1"/>
  <c r="B3867" i="22" s="1"/>
  <c r="B3866" i="22" a="1"/>
  <c r="B3866" i="22" s="1"/>
  <c r="B3865" i="22" a="1"/>
  <c r="B3865" i="22" s="1"/>
  <c r="B3864" i="22" a="1"/>
  <c r="B3864" i="22" s="1"/>
  <c r="B3863" i="22" a="1"/>
  <c r="B3863" i="22" s="1"/>
  <c r="B3862" i="22" a="1"/>
  <c r="B3862" i="22" s="1"/>
  <c r="B3861" i="22" a="1"/>
  <c r="B3861" i="22" s="1"/>
  <c r="B3860" i="22" a="1"/>
  <c r="B3860" i="22" s="1"/>
  <c r="B3859" i="22" a="1"/>
  <c r="B3859" i="22" s="1"/>
  <c r="B3858" i="22" a="1"/>
  <c r="B3858" i="22" s="1"/>
  <c r="B3857" i="22" a="1"/>
  <c r="B3857" i="22" s="1"/>
  <c r="B3856" i="22" a="1"/>
  <c r="B3856" i="22" s="1"/>
  <c r="B3855" i="22" a="1"/>
  <c r="B3855" i="22" s="1"/>
  <c r="B3854" i="22" a="1"/>
  <c r="B3854" i="22" s="1"/>
  <c r="B3853" i="22" a="1"/>
  <c r="B3853" i="22" s="1"/>
  <c r="B3852" i="22" a="1"/>
  <c r="B3852" i="22" s="1"/>
  <c r="B3851" i="22" a="1"/>
  <c r="B3851" i="22" s="1"/>
  <c r="B3850" i="22" a="1"/>
  <c r="B3850" i="22" s="1"/>
  <c r="B3849" i="22" a="1"/>
  <c r="B3849" i="22" s="1"/>
  <c r="B3848" i="22" a="1"/>
  <c r="B3848" i="22" s="1"/>
  <c r="B3847" i="22" a="1"/>
  <c r="B3847" i="22" s="1"/>
  <c r="B3846" i="22" a="1"/>
  <c r="B3846" i="22" s="1"/>
  <c r="B3845" i="22" a="1"/>
  <c r="B3845" i="22" s="1"/>
  <c r="B3844" i="22" a="1"/>
  <c r="B3844" i="22" s="1"/>
  <c r="B3843" i="22" a="1"/>
  <c r="B3843" i="22" s="1"/>
  <c r="B3842" i="22" a="1"/>
  <c r="B3842" i="22" s="1"/>
  <c r="B3841" i="22" a="1"/>
  <c r="B3841" i="22" s="1"/>
  <c r="B3840" i="22" a="1"/>
  <c r="B3840" i="22" s="1"/>
  <c r="B3839" i="22" a="1"/>
  <c r="B3839" i="22" s="1"/>
  <c r="B3838" i="22" a="1"/>
  <c r="B3838" i="22" s="1"/>
  <c r="B3837" i="22" a="1"/>
  <c r="B3837" i="22" s="1"/>
  <c r="B3836" i="22" a="1"/>
  <c r="B3836" i="22" s="1"/>
  <c r="B3835" i="22" a="1"/>
  <c r="B3835" i="22" s="1"/>
  <c r="B3834" i="22" a="1"/>
  <c r="B3834" i="22" s="1"/>
  <c r="B3833" i="22" a="1"/>
  <c r="B3833" i="22" s="1"/>
  <c r="B3832" i="22" a="1"/>
  <c r="B3832" i="22" s="1"/>
  <c r="B3831" i="22" a="1"/>
  <c r="B3831" i="22" s="1"/>
  <c r="B3830" i="22" a="1"/>
  <c r="B3830" i="22" s="1"/>
  <c r="B3829" i="22" a="1"/>
  <c r="B3829" i="22" s="1"/>
  <c r="B3828" i="22" a="1"/>
  <c r="B3828" i="22" s="1"/>
  <c r="B3827" i="22" a="1"/>
  <c r="B3827" i="22" s="1"/>
  <c r="B3826" i="22" a="1"/>
  <c r="B3826" i="22" s="1"/>
  <c r="B3825" i="22" a="1"/>
  <c r="B3825" i="22" s="1"/>
  <c r="B3824" i="22" a="1"/>
  <c r="B3824" i="22" s="1"/>
  <c r="B3823" i="22" a="1"/>
  <c r="B3823" i="22" s="1"/>
  <c r="B3822" i="22" a="1"/>
  <c r="B3822" i="22" s="1"/>
  <c r="B3821" i="22" a="1"/>
  <c r="B3821" i="22" s="1"/>
  <c r="B3820" i="22" a="1"/>
  <c r="B3820" i="22" s="1"/>
  <c r="B3819" i="22" a="1"/>
  <c r="B3819" i="22" s="1"/>
  <c r="B3818" i="22" a="1"/>
  <c r="B3818" i="22" s="1"/>
  <c r="B3817" i="22" a="1"/>
  <c r="B3817" i="22" s="1"/>
  <c r="B3816" i="22" a="1"/>
  <c r="B3816" i="22" s="1"/>
  <c r="B3815" i="22" a="1"/>
  <c r="B3815" i="22" s="1"/>
  <c r="B3814" i="22" a="1"/>
  <c r="B3814" i="22" s="1"/>
  <c r="B3813" i="22" a="1"/>
  <c r="B3813" i="22" s="1"/>
  <c r="B3812" i="22" a="1"/>
  <c r="B3812" i="22" s="1"/>
  <c r="B3811" i="22" a="1"/>
  <c r="B3811" i="22" s="1"/>
  <c r="B3810" i="22" a="1"/>
  <c r="B3810" i="22" s="1"/>
  <c r="B3809" i="22" a="1"/>
  <c r="B3809" i="22" s="1"/>
  <c r="B3808" i="22" a="1"/>
  <c r="B3808" i="22" s="1"/>
  <c r="B3807" i="22" a="1"/>
  <c r="B3807" i="22" s="1"/>
  <c r="B3806" i="22" a="1"/>
  <c r="B3806" i="22" s="1"/>
  <c r="B3805" i="22" a="1"/>
  <c r="B3805" i="22" s="1"/>
  <c r="B3804" i="22" a="1"/>
  <c r="B3804" i="22" s="1"/>
  <c r="B3803" i="22" a="1"/>
  <c r="B3803" i="22" s="1"/>
  <c r="B3802" i="22" a="1"/>
  <c r="B3802" i="22" s="1"/>
  <c r="B3801" i="22" a="1"/>
  <c r="B3801" i="22" s="1"/>
  <c r="B3800" i="22" a="1"/>
  <c r="B3800" i="22" s="1"/>
  <c r="B3799" i="22" a="1"/>
  <c r="B3799" i="22" s="1"/>
  <c r="B3798" i="22" a="1"/>
  <c r="B3798" i="22" s="1"/>
  <c r="B3797" i="22" a="1"/>
  <c r="B3797" i="22" s="1"/>
  <c r="B3796" i="22" a="1"/>
  <c r="B3796" i="22" s="1"/>
  <c r="B3795" i="22" a="1"/>
  <c r="B3795" i="22" s="1"/>
  <c r="B3794" i="22" a="1"/>
  <c r="B3794" i="22" s="1"/>
  <c r="B3793" i="22" a="1"/>
  <c r="B3793" i="22" s="1"/>
  <c r="B3792" i="22" a="1"/>
  <c r="B3792" i="22" s="1"/>
  <c r="B3791" i="22" a="1"/>
  <c r="B3791" i="22" s="1"/>
  <c r="B3790" i="22" a="1"/>
  <c r="B3790" i="22" s="1"/>
  <c r="B3789" i="22" a="1"/>
  <c r="B3789" i="22" s="1"/>
  <c r="B3788" i="22" a="1"/>
  <c r="B3788" i="22" s="1"/>
  <c r="B3787" i="22" a="1"/>
  <c r="B3787" i="22" s="1"/>
  <c r="B3786" i="22" a="1"/>
  <c r="B3786" i="22" s="1"/>
  <c r="B3785" i="22" a="1"/>
  <c r="B3785" i="22" s="1"/>
  <c r="B3784" i="22" a="1"/>
  <c r="B3784" i="22" s="1"/>
  <c r="B3783" i="22" a="1"/>
  <c r="B3783" i="22" s="1"/>
  <c r="B3782" i="22" a="1"/>
  <c r="B3782" i="22" s="1"/>
  <c r="B3781" i="22" a="1"/>
  <c r="B3781" i="22" s="1"/>
  <c r="B3780" i="22" a="1"/>
  <c r="B3780" i="22" s="1"/>
  <c r="B3779" i="22" a="1"/>
  <c r="B3779" i="22" s="1"/>
  <c r="B3778" i="22" a="1"/>
  <c r="B3778" i="22" s="1"/>
  <c r="B3777" i="22" a="1"/>
  <c r="B3777" i="22" s="1"/>
  <c r="B3776" i="22" a="1"/>
  <c r="B3776" i="22" s="1"/>
  <c r="B3775" i="22" a="1"/>
  <c r="B3775" i="22" s="1"/>
  <c r="B3774" i="22" a="1"/>
  <c r="B3774" i="22" s="1"/>
  <c r="B3773" i="22" a="1"/>
  <c r="B3773" i="22" s="1"/>
  <c r="B3772" i="22" a="1"/>
  <c r="B3772" i="22" s="1"/>
  <c r="B3771" i="22" a="1"/>
  <c r="B3771" i="22" s="1"/>
  <c r="B3770" i="22" a="1"/>
  <c r="B3770" i="22" s="1"/>
  <c r="B3769" i="22" a="1"/>
  <c r="B3769" i="22" s="1"/>
  <c r="B3768" i="22" a="1"/>
  <c r="B3768" i="22" s="1"/>
  <c r="B3767" i="22" a="1"/>
  <c r="B3767" i="22" s="1"/>
  <c r="B3766" i="22" a="1"/>
  <c r="B3766" i="22" s="1"/>
  <c r="B3765" i="22" a="1"/>
  <c r="B3765" i="22" s="1"/>
  <c r="B3764" i="22" a="1"/>
  <c r="B3764" i="22" s="1"/>
  <c r="B3763" i="22" a="1"/>
  <c r="B3763" i="22" s="1"/>
  <c r="B3762" i="22" a="1"/>
  <c r="B3762" i="22" s="1"/>
  <c r="B3761" i="22" a="1"/>
  <c r="B3761" i="22" s="1"/>
  <c r="B3760" i="22" a="1"/>
  <c r="B3760" i="22" s="1"/>
  <c r="B3759" i="22" a="1"/>
  <c r="B3759" i="22" s="1"/>
  <c r="B3758" i="22" a="1"/>
  <c r="B3758" i="22" s="1"/>
  <c r="B3757" i="22" a="1"/>
  <c r="B3757" i="22" s="1"/>
  <c r="B3756" i="22" a="1"/>
  <c r="B3756" i="22" s="1"/>
  <c r="B3755" i="22" a="1"/>
  <c r="B3755" i="22" s="1"/>
  <c r="B3754" i="22" a="1"/>
  <c r="B3754" i="22" s="1"/>
  <c r="B3753" i="22" a="1"/>
  <c r="B3753" i="22" s="1"/>
  <c r="B3752" i="22" a="1"/>
  <c r="B3752" i="22" s="1"/>
  <c r="B3751" i="22" a="1"/>
  <c r="B3751" i="22" s="1"/>
  <c r="B3750" i="22" a="1"/>
  <c r="B3750" i="22" s="1"/>
  <c r="B3749" i="22" a="1"/>
  <c r="B3749" i="22" s="1"/>
  <c r="B3748" i="22" a="1"/>
  <c r="B3748" i="22" s="1"/>
  <c r="B3747" i="22" a="1"/>
  <c r="B3747" i="22" s="1"/>
  <c r="B3746" i="22" a="1"/>
  <c r="B3746" i="22" s="1"/>
  <c r="B3745" i="22" a="1"/>
  <c r="B3745" i="22" s="1"/>
  <c r="B3744" i="22" a="1"/>
  <c r="B3744" i="22" s="1"/>
  <c r="B3743" i="22" a="1"/>
  <c r="B3743" i="22" s="1"/>
  <c r="B3742" i="22" a="1"/>
  <c r="B3742" i="22" s="1"/>
  <c r="B3741" i="22" a="1"/>
  <c r="B3741" i="22" s="1"/>
  <c r="B3740" i="22" a="1"/>
  <c r="B3740" i="22" s="1"/>
  <c r="B3739" i="22" a="1"/>
  <c r="B3739" i="22" s="1"/>
  <c r="B3738" i="22" a="1"/>
  <c r="B3738" i="22" s="1"/>
  <c r="B3737" i="22" a="1"/>
  <c r="B3737" i="22" s="1"/>
  <c r="B3736" i="22" a="1"/>
  <c r="B3736" i="22" s="1"/>
  <c r="B3735" i="22" a="1"/>
  <c r="B3735" i="22" s="1"/>
  <c r="B3734" i="22" a="1"/>
  <c r="B3734" i="22" s="1"/>
  <c r="B3733" i="22" a="1"/>
  <c r="B3733" i="22" s="1"/>
  <c r="B3732" i="22" a="1"/>
  <c r="B3732" i="22" s="1"/>
  <c r="B3731" i="22" a="1"/>
  <c r="B3731" i="22" s="1"/>
  <c r="B3730" i="22" a="1"/>
  <c r="B3730" i="22" s="1"/>
  <c r="B3729" i="22" a="1"/>
  <c r="B3729" i="22" s="1"/>
  <c r="B3728" i="22" a="1"/>
  <c r="B3728" i="22" s="1"/>
  <c r="B3727" i="22" a="1"/>
  <c r="B3727" i="22" s="1"/>
  <c r="B3726" i="22" a="1"/>
  <c r="B3726" i="22" s="1"/>
  <c r="B3725" i="22" a="1"/>
  <c r="B3725" i="22" s="1"/>
  <c r="B3724" i="22" a="1"/>
  <c r="B3724" i="22" s="1"/>
  <c r="B3723" i="22" a="1"/>
  <c r="B3723" i="22" s="1"/>
  <c r="B3722" i="22" a="1"/>
  <c r="B3722" i="22" s="1"/>
  <c r="B3721" i="22" a="1"/>
  <c r="B3721" i="22" s="1"/>
  <c r="B3720" i="22" a="1"/>
  <c r="B3720" i="22" s="1"/>
  <c r="B3719" i="22" a="1"/>
  <c r="B3719" i="22" s="1"/>
  <c r="B3718" i="22" a="1"/>
  <c r="B3718" i="22" s="1"/>
  <c r="B3717" i="22" a="1"/>
  <c r="B3717" i="22" s="1"/>
  <c r="B3716" i="22" a="1"/>
  <c r="B3716" i="22" s="1"/>
  <c r="B3715" i="22" a="1"/>
  <c r="B3715" i="22" s="1"/>
  <c r="B3714" i="22" a="1"/>
  <c r="B3714" i="22" s="1"/>
  <c r="B3713" i="22" a="1"/>
  <c r="B3713" i="22" s="1"/>
  <c r="B3712" i="22" a="1"/>
  <c r="B3712" i="22" s="1"/>
  <c r="B3711" i="22" a="1"/>
  <c r="B3711" i="22" s="1"/>
  <c r="B3710" i="22" a="1"/>
  <c r="B3710" i="22" s="1"/>
  <c r="B3709" i="22" a="1"/>
  <c r="B3709" i="22" s="1"/>
  <c r="B3708" i="22" a="1"/>
  <c r="B3708" i="22" s="1"/>
  <c r="B3707" i="22" a="1"/>
  <c r="B3707" i="22" s="1"/>
  <c r="B3706" i="22" a="1"/>
  <c r="B3706" i="22" s="1"/>
  <c r="B3705" i="22" a="1"/>
  <c r="B3705" i="22" s="1"/>
  <c r="B3704" i="22" a="1"/>
  <c r="B3704" i="22" s="1"/>
  <c r="B3703" i="22" a="1"/>
  <c r="B3703" i="22" s="1"/>
  <c r="B3702" i="22" a="1"/>
  <c r="B3702" i="22" s="1"/>
  <c r="B3701" i="22" a="1"/>
  <c r="B3701" i="22" s="1"/>
  <c r="B3700" i="22" a="1"/>
  <c r="B3700" i="22" s="1"/>
  <c r="B3699" i="22" a="1"/>
  <c r="B3699" i="22" s="1"/>
  <c r="B3698" i="22" a="1"/>
  <c r="B3698" i="22" s="1"/>
  <c r="B3697" i="22" a="1"/>
  <c r="B3697" i="22" s="1"/>
  <c r="B3696" i="22" a="1"/>
  <c r="B3696" i="22" s="1"/>
  <c r="B3695" i="22" a="1"/>
  <c r="B3695" i="22" s="1"/>
  <c r="B3694" i="22" a="1"/>
  <c r="B3694" i="22" s="1"/>
  <c r="B3693" i="22" a="1"/>
  <c r="B3693" i="22" s="1"/>
  <c r="B3692" i="22" a="1"/>
  <c r="B3692" i="22" s="1"/>
  <c r="B3691" i="22" a="1"/>
  <c r="B3691" i="22" s="1"/>
  <c r="B3690" i="22" a="1"/>
  <c r="B3690" i="22" s="1"/>
  <c r="B3689" i="22" a="1"/>
  <c r="B3689" i="22" s="1"/>
  <c r="B3688" i="22" a="1"/>
  <c r="B3688" i="22" s="1"/>
  <c r="B3687" i="22" a="1"/>
  <c r="B3687" i="22" s="1"/>
  <c r="B3686" i="22" a="1"/>
  <c r="B3686" i="22" s="1"/>
  <c r="B3685" i="22" a="1"/>
  <c r="B3685" i="22" s="1"/>
  <c r="B3684" i="22" a="1"/>
  <c r="B3684" i="22" s="1"/>
  <c r="B3683" i="22" a="1"/>
  <c r="B3683" i="22" s="1"/>
  <c r="B3682" i="22" a="1"/>
  <c r="B3682" i="22" s="1"/>
  <c r="B3681" i="22" a="1"/>
  <c r="B3681" i="22" s="1"/>
  <c r="B3680" i="22" a="1"/>
  <c r="B3680" i="22" s="1"/>
  <c r="B3679" i="22" a="1"/>
  <c r="B3679" i="22" s="1"/>
  <c r="B3678" i="22" a="1"/>
  <c r="B3678" i="22" s="1"/>
  <c r="B3677" i="22" a="1"/>
  <c r="B3677" i="22" s="1"/>
  <c r="B3676" i="22" a="1"/>
  <c r="B3676" i="22" s="1"/>
  <c r="B3675" i="22" a="1"/>
  <c r="B3675" i="22" s="1"/>
  <c r="B3674" i="22" a="1"/>
  <c r="B3674" i="22" s="1"/>
  <c r="B3673" i="22" a="1"/>
  <c r="B3673" i="22" s="1"/>
  <c r="B3672" i="22" a="1"/>
  <c r="B3672" i="22" s="1"/>
  <c r="B3671" i="22" a="1"/>
  <c r="B3671" i="22" s="1"/>
  <c r="B3670" i="22" a="1"/>
  <c r="B3670" i="22" s="1"/>
  <c r="B3669" i="22" a="1"/>
  <c r="B3669" i="22" s="1"/>
  <c r="B3668" i="22" a="1"/>
  <c r="B3668" i="22" s="1"/>
  <c r="B3667" i="22" a="1"/>
  <c r="B3667" i="22" s="1"/>
  <c r="B3666" i="22" a="1"/>
  <c r="B3666" i="22" s="1"/>
  <c r="B3665" i="22" a="1"/>
  <c r="B3665" i="22" s="1"/>
  <c r="B3664" i="22" a="1"/>
  <c r="B3664" i="22" s="1"/>
  <c r="B3663" i="22" a="1"/>
  <c r="B3663" i="22" s="1"/>
  <c r="B3662" i="22" a="1"/>
  <c r="B3662" i="22" s="1"/>
  <c r="B3661" i="22" a="1"/>
  <c r="B3661" i="22" s="1"/>
  <c r="B3660" i="22" a="1"/>
  <c r="B3660" i="22" s="1"/>
  <c r="B3659" i="22" a="1"/>
  <c r="B3659" i="22" s="1"/>
  <c r="B3658" i="22" a="1"/>
  <c r="B3658" i="22" s="1"/>
  <c r="B3657" i="22" a="1"/>
  <c r="B3657" i="22" s="1"/>
  <c r="B3656" i="22" a="1"/>
  <c r="B3656" i="22" s="1"/>
  <c r="B3655" i="22" a="1"/>
  <c r="B3655" i="22" s="1"/>
  <c r="B3654" i="22" a="1"/>
  <c r="B3654" i="22" s="1"/>
  <c r="B3653" i="22" a="1"/>
  <c r="B3653" i="22" s="1"/>
  <c r="B3652" i="22" a="1"/>
  <c r="B3652" i="22" s="1"/>
  <c r="B3651" i="22" a="1"/>
  <c r="B3651" i="22" s="1"/>
  <c r="B3650" i="22" a="1"/>
  <c r="B3650" i="22" s="1"/>
  <c r="B3649" i="22" a="1"/>
  <c r="B3649" i="22" s="1"/>
  <c r="B3648" i="22" a="1"/>
  <c r="B3648" i="22" s="1"/>
  <c r="B3647" i="22" a="1"/>
  <c r="B3647" i="22" s="1"/>
  <c r="B3646" i="22" a="1"/>
  <c r="B3646" i="22" s="1"/>
  <c r="B3645" i="22" a="1"/>
  <c r="B3645" i="22" s="1"/>
  <c r="B3644" i="22" a="1"/>
  <c r="B3644" i="22" s="1"/>
  <c r="B3643" i="22" a="1"/>
  <c r="B3643" i="22" s="1"/>
  <c r="B3642" i="22" a="1"/>
  <c r="B3642" i="22" s="1"/>
  <c r="B3641" i="22" a="1"/>
  <c r="B3641" i="22" s="1"/>
  <c r="B3640" i="22" a="1"/>
  <c r="B3640" i="22" s="1"/>
  <c r="B3639" i="22" a="1"/>
  <c r="B3639" i="22" s="1"/>
  <c r="B3638" i="22" a="1"/>
  <c r="B3638" i="22" s="1"/>
  <c r="B3637" i="22" a="1"/>
  <c r="B3637" i="22" s="1"/>
  <c r="B3636" i="22" a="1"/>
  <c r="B3636" i="22" s="1"/>
  <c r="B3635" i="22" a="1"/>
  <c r="B3635" i="22" s="1"/>
  <c r="B3634" i="22" a="1"/>
  <c r="B3634" i="22" s="1"/>
  <c r="B3633" i="22" a="1"/>
  <c r="B3633" i="22" s="1"/>
  <c r="B3632" i="22" a="1"/>
  <c r="B3632" i="22" s="1"/>
  <c r="B3631" i="22" a="1"/>
  <c r="B3631" i="22" s="1"/>
  <c r="B3630" i="22" a="1"/>
  <c r="B3630" i="22" s="1"/>
  <c r="B3629" i="22" a="1"/>
  <c r="B3629" i="22" s="1"/>
  <c r="B3628" i="22" a="1"/>
  <c r="B3628" i="22" s="1"/>
  <c r="B3627" i="22" a="1"/>
  <c r="B3627" i="22" s="1"/>
  <c r="B3626" i="22" a="1"/>
  <c r="B3626" i="22" s="1"/>
  <c r="B3625" i="22" a="1"/>
  <c r="B3625" i="22" s="1"/>
  <c r="B3624" i="22" a="1"/>
  <c r="B3624" i="22" s="1"/>
  <c r="B3623" i="22" a="1"/>
  <c r="B3623" i="22" s="1"/>
  <c r="B3622" i="22" a="1"/>
  <c r="B3622" i="22" s="1"/>
  <c r="B3621" i="22" a="1"/>
  <c r="B3621" i="22" s="1"/>
  <c r="B3620" i="22" a="1"/>
  <c r="B3620" i="22" s="1"/>
  <c r="B3619" i="22" a="1"/>
  <c r="B3619" i="22" s="1"/>
  <c r="B3618" i="22" a="1"/>
  <c r="B3618" i="22" s="1"/>
  <c r="B3617" i="22" a="1"/>
  <c r="B3617" i="22" s="1"/>
  <c r="B3616" i="22" a="1"/>
  <c r="B3616" i="22" s="1"/>
  <c r="B3615" i="22" a="1"/>
  <c r="B3615" i="22" s="1"/>
  <c r="B3614" i="22" a="1"/>
  <c r="B3614" i="22" s="1"/>
  <c r="B3613" i="22" a="1"/>
  <c r="B3613" i="22" s="1"/>
  <c r="B3612" i="22" a="1"/>
  <c r="B3612" i="22" s="1"/>
  <c r="B3611" i="22" a="1"/>
  <c r="B3611" i="22" s="1"/>
  <c r="B3610" i="22" a="1"/>
  <c r="B3610" i="22" s="1"/>
  <c r="B3609" i="22" a="1"/>
  <c r="B3609" i="22" s="1"/>
  <c r="B3608" i="22" a="1"/>
  <c r="B3608" i="22" s="1"/>
  <c r="B3607" i="22" a="1"/>
  <c r="B3607" i="22" s="1"/>
  <c r="B3606" i="22" a="1"/>
  <c r="B3606" i="22" s="1"/>
  <c r="B3605" i="22" a="1"/>
  <c r="B3605" i="22" s="1"/>
  <c r="B3604" i="22" a="1"/>
  <c r="B3604" i="22" s="1"/>
  <c r="B3603" i="22" a="1"/>
  <c r="B3603" i="22" s="1"/>
  <c r="B3602" i="22" a="1"/>
  <c r="B3602" i="22" s="1"/>
  <c r="B3601" i="22" a="1"/>
  <c r="B3601" i="22" s="1"/>
  <c r="B3600" i="22" a="1"/>
  <c r="B3600" i="22" s="1"/>
  <c r="B3599" i="22" a="1"/>
  <c r="B3599" i="22" s="1"/>
  <c r="B3598" i="22" a="1"/>
  <c r="B3598" i="22" s="1"/>
  <c r="B3597" i="22" a="1"/>
  <c r="B3597" i="22" s="1"/>
  <c r="B3596" i="22" a="1"/>
  <c r="B3596" i="22" s="1"/>
  <c r="B3595" i="22" a="1"/>
  <c r="B3595" i="22" s="1"/>
  <c r="B3594" i="22" a="1"/>
  <c r="B3594" i="22" s="1"/>
  <c r="B3593" i="22" a="1"/>
  <c r="B3593" i="22" s="1"/>
  <c r="B3592" i="22" a="1"/>
  <c r="B3592" i="22" s="1"/>
  <c r="B3591" i="22" a="1"/>
  <c r="B3591" i="22" s="1"/>
  <c r="B3590" i="22" a="1"/>
  <c r="B3590" i="22" s="1"/>
  <c r="B3589" i="22" a="1"/>
  <c r="B3589" i="22" s="1"/>
  <c r="B3588" i="22" a="1"/>
  <c r="B3588" i="22" s="1"/>
  <c r="B3587" i="22" a="1"/>
  <c r="B3587" i="22" s="1"/>
  <c r="B3586" i="22" a="1"/>
  <c r="B3586" i="22" s="1"/>
  <c r="B3585" i="22" a="1"/>
  <c r="B3585" i="22" s="1"/>
  <c r="B3584" i="22" a="1"/>
  <c r="B3584" i="22" s="1"/>
  <c r="B3583" i="22" a="1"/>
  <c r="B3583" i="22" s="1"/>
  <c r="B3582" i="22" a="1"/>
  <c r="B3582" i="22" s="1"/>
  <c r="B3581" i="22" a="1"/>
  <c r="B3581" i="22" s="1"/>
  <c r="B3580" i="22" a="1"/>
  <c r="B3580" i="22" s="1"/>
  <c r="B3579" i="22" a="1"/>
  <c r="B3579" i="22" s="1"/>
  <c r="B3578" i="22" a="1"/>
  <c r="B3578" i="22" s="1"/>
  <c r="B3577" i="22" a="1"/>
  <c r="B3577" i="22" s="1"/>
  <c r="B3576" i="22" a="1"/>
  <c r="B3576" i="22" s="1"/>
  <c r="B3575" i="22" a="1"/>
  <c r="B3575" i="22" s="1"/>
  <c r="B3574" i="22" a="1"/>
  <c r="B3574" i="22" s="1"/>
  <c r="B3573" i="22" a="1"/>
  <c r="B3573" i="22" s="1"/>
  <c r="B3572" i="22" a="1"/>
  <c r="B3572" i="22" s="1"/>
  <c r="B3571" i="22" a="1"/>
  <c r="B3571" i="22" s="1"/>
  <c r="B3570" i="22" a="1"/>
  <c r="B3570" i="22" s="1"/>
  <c r="B3569" i="22" a="1"/>
  <c r="B3569" i="22" s="1"/>
  <c r="B3568" i="22" a="1"/>
  <c r="B3568" i="22" s="1"/>
  <c r="B3567" i="22" a="1"/>
  <c r="B3567" i="22" s="1"/>
  <c r="B3566" i="22" a="1"/>
  <c r="B3566" i="22" s="1"/>
  <c r="B3565" i="22" a="1"/>
  <c r="B3565" i="22" s="1"/>
  <c r="B3564" i="22" a="1"/>
  <c r="B3564" i="22" s="1"/>
  <c r="B3563" i="22" a="1"/>
  <c r="B3563" i="22" s="1"/>
  <c r="B3562" i="22" a="1"/>
  <c r="B3562" i="22" s="1"/>
  <c r="B3561" i="22" a="1"/>
  <c r="B3561" i="22" s="1"/>
  <c r="B3560" i="22" a="1"/>
  <c r="B3560" i="22" s="1"/>
  <c r="B3559" i="22" a="1"/>
  <c r="B3559" i="22" s="1"/>
  <c r="B3558" i="22" a="1"/>
  <c r="B3558" i="22" s="1"/>
  <c r="B3557" i="22" a="1"/>
  <c r="B3557" i="22" s="1"/>
  <c r="B3556" i="22" a="1"/>
  <c r="B3556" i="22" s="1"/>
  <c r="B3555" i="22" a="1"/>
  <c r="B3555" i="22" s="1"/>
  <c r="B3554" i="22" a="1"/>
  <c r="B3554" i="22" s="1"/>
  <c r="B3553" i="22" a="1"/>
  <c r="B3553" i="22" s="1"/>
  <c r="B3552" i="22" a="1"/>
  <c r="B3552" i="22" s="1"/>
  <c r="B3551" i="22" a="1"/>
  <c r="B3551" i="22" s="1"/>
  <c r="B3550" i="22" a="1"/>
  <c r="B3550" i="22" s="1"/>
  <c r="B3549" i="22" a="1"/>
  <c r="B3549" i="22" s="1"/>
  <c r="B3548" i="22" a="1"/>
  <c r="B3548" i="22" s="1"/>
  <c r="B3547" i="22" a="1"/>
  <c r="B3547" i="22" s="1"/>
  <c r="B3546" i="22" a="1"/>
  <c r="B3546" i="22" s="1"/>
  <c r="B3545" i="22" a="1"/>
  <c r="B3545" i="22" s="1"/>
  <c r="B3544" i="22" a="1"/>
  <c r="B3544" i="22" s="1"/>
  <c r="B3543" i="22" a="1"/>
  <c r="B3543" i="22" s="1"/>
  <c r="B3542" i="22" a="1"/>
  <c r="B3542" i="22" s="1"/>
  <c r="B3541" i="22" a="1"/>
  <c r="B3541" i="22" s="1"/>
  <c r="B3540" i="22" a="1"/>
  <c r="B3540" i="22" s="1"/>
  <c r="B3539" i="22" a="1"/>
  <c r="B3539" i="22" s="1"/>
  <c r="B3538" i="22" a="1"/>
  <c r="B3538" i="22" s="1"/>
  <c r="B3537" i="22" a="1"/>
  <c r="B3537" i="22" s="1"/>
  <c r="B3536" i="22" a="1"/>
  <c r="B3536" i="22" s="1"/>
  <c r="B3535" i="22" a="1"/>
  <c r="B3535" i="22" s="1"/>
  <c r="B3534" i="22" a="1"/>
  <c r="B3534" i="22" s="1"/>
  <c r="B3533" i="22" a="1"/>
  <c r="B3533" i="22" s="1"/>
  <c r="B3532" i="22" a="1"/>
  <c r="B3532" i="22" s="1"/>
  <c r="B3531" i="22" a="1"/>
  <c r="B3531" i="22" s="1"/>
  <c r="B3530" i="22" a="1"/>
  <c r="B3530" i="22" s="1"/>
  <c r="B3529" i="22" a="1"/>
  <c r="B3529" i="22" s="1"/>
  <c r="B3528" i="22" a="1"/>
  <c r="B3528" i="22" s="1"/>
  <c r="B3527" i="22" a="1"/>
  <c r="B3527" i="22" s="1"/>
  <c r="B3526" i="22" a="1"/>
  <c r="B3526" i="22" s="1"/>
  <c r="B3525" i="22" a="1"/>
  <c r="B3525" i="22" s="1"/>
  <c r="B3524" i="22" a="1"/>
  <c r="B3524" i="22" s="1"/>
  <c r="B3523" i="22" a="1"/>
  <c r="B3523" i="22" s="1"/>
  <c r="B3522" i="22" a="1"/>
  <c r="B3522" i="22" s="1"/>
  <c r="B3521" i="22" a="1"/>
  <c r="B3521" i="22" s="1"/>
  <c r="B3520" i="22" a="1"/>
  <c r="B3520" i="22" s="1"/>
  <c r="B3519" i="22" a="1"/>
  <c r="B3519" i="22" s="1"/>
  <c r="B3518" i="22" a="1"/>
  <c r="B3518" i="22" s="1"/>
  <c r="B3517" i="22" a="1"/>
  <c r="B3517" i="22" s="1"/>
  <c r="B3516" i="22" a="1"/>
  <c r="B3516" i="22" s="1"/>
  <c r="B3515" i="22" a="1"/>
  <c r="B3515" i="22" s="1"/>
  <c r="B3514" i="22" a="1"/>
  <c r="B3514" i="22" s="1"/>
  <c r="B3513" i="22" a="1"/>
  <c r="B3513" i="22" s="1"/>
  <c r="B3512" i="22" a="1"/>
  <c r="B3512" i="22" s="1"/>
  <c r="B3511" i="22" a="1"/>
  <c r="B3511" i="22" s="1"/>
  <c r="B3510" i="22" a="1"/>
  <c r="B3510" i="22" s="1"/>
  <c r="B3509" i="22" a="1"/>
  <c r="B3509" i="22" s="1"/>
  <c r="B3508" i="22" a="1"/>
  <c r="B3508" i="22" s="1"/>
  <c r="B3507" i="22" a="1"/>
  <c r="B3507" i="22" s="1"/>
  <c r="B3506" i="22" a="1"/>
  <c r="B3506" i="22" s="1"/>
  <c r="B3505" i="22" a="1"/>
  <c r="B3505" i="22" s="1"/>
  <c r="B3504" i="22" a="1"/>
  <c r="B3504" i="22" s="1"/>
  <c r="B3503" i="22" a="1"/>
  <c r="B3503" i="22" s="1"/>
  <c r="B3502" i="22" a="1"/>
  <c r="B3502" i="22" s="1"/>
  <c r="B3501" i="22" a="1"/>
  <c r="B3501" i="22" s="1"/>
  <c r="B3500" i="22" a="1"/>
  <c r="B3500" i="22" s="1"/>
  <c r="B3499" i="22" a="1"/>
  <c r="B3499" i="22" s="1"/>
  <c r="B3498" i="22" a="1"/>
  <c r="B3498" i="22" s="1"/>
  <c r="B3497" i="22" a="1"/>
  <c r="B3497" i="22" s="1"/>
  <c r="B3496" i="22" a="1"/>
  <c r="B3496" i="22" s="1"/>
  <c r="B3495" i="22" a="1"/>
  <c r="B3495" i="22" s="1"/>
  <c r="B3494" i="22" a="1"/>
  <c r="B3494" i="22" s="1"/>
  <c r="B3493" i="22" a="1"/>
  <c r="B3493" i="22" s="1"/>
  <c r="B3492" i="22" a="1"/>
  <c r="B3492" i="22" s="1"/>
  <c r="B3491" i="22" a="1"/>
  <c r="B3491" i="22" s="1"/>
  <c r="B3490" i="22" a="1"/>
  <c r="B3490" i="22" s="1"/>
  <c r="B3489" i="22" a="1"/>
  <c r="B3489" i="22" s="1"/>
  <c r="B3488" i="22" a="1"/>
  <c r="B3488" i="22" s="1"/>
  <c r="B3487" i="22" a="1"/>
  <c r="B3487" i="22" s="1"/>
  <c r="B3486" i="22" a="1"/>
  <c r="B3486" i="22" s="1"/>
  <c r="B3485" i="22" a="1"/>
  <c r="B3485" i="22" s="1"/>
  <c r="B3484" i="22" a="1"/>
  <c r="B3484" i="22" s="1"/>
  <c r="B3483" i="22" a="1"/>
  <c r="B3483" i="22" s="1"/>
  <c r="B3482" i="22" a="1"/>
  <c r="B3482" i="22" s="1"/>
  <c r="B3481" i="22" a="1"/>
  <c r="B3481" i="22" s="1"/>
  <c r="B3480" i="22" a="1"/>
  <c r="B3480" i="22" s="1"/>
  <c r="B3479" i="22" a="1"/>
  <c r="B3479" i="22" s="1"/>
  <c r="B3478" i="22" a="1"/>
  <c r="B3478" i="22" s="1"/>
  <c r="B3477" i="22" a="1"/>
  <c r="B3477" i="22" s="1"/>
  <c r="B3476" i="22" a="1"/>
  <c r="B3476" i="22" s="1"/>
  <c r="B3475" i="22" a="1"/>
  <c r="B3475" i="22" s="1"/>
  <c r="B3474" i="22" a="1"/>
  <c r="B3474" i="22" s="1"/>
  <c r="B3473" i="22" a="1"/>
  <c r="B3473" i="22" s="1"/>
  <c r="B3472" i="22" a="1"/>
  <c r="B3472" i="22" s="1"/>
  <c r="B3471" i="22" a="1"/>
  <c r="B3471" i="22" s="1"/>
  <c r="B3470" i="22" a="1"/>
  <c r="B3470" i="22" s="1"/>
  <c r="B3469" i="22" a="1"/>
  <c r="B3469" i="22" s="1"/>
  <c r="B3468" i="22" a="1"/>
  <c r="B3468" i="22" s="1"/>
  <c r="B3467" i="22" a="1"/>
  <c r="B3467" i="22" s="1"/>
  <c r="B3466" i="22" a="1"/>
  <c r="B3466" i="22" s="1"/>
  <c r="B3465" i="22" a="1"/>
  <c r="B3465" i="22" s="1"/>
  <c r="B3464" i="22" a="1"/>
  <c r="B3464" i="22" s="1"/>
  <c r="B3463" i="22" a="1"/>
  <c r="B3463" i="22" s="1"/>
  <c r="B3462" i="22" a="1"/>
  <c r="B3462" i="22" s="1"/>
  <c r="B3461" i="22" a="1"/>
  <c r="B3461" i="22" s="1"/>
  <c r="B3460" i="22" a="1"/>
  <c r="B3460" i="22" s="1"/>
  <c r="B3459" i="22" a="1"/>
  <c r="B3459" i="22" s="1"/>
  <c r="B3458" i="22" a="1"/>
  <c r="B3458" i="22" s="1"/>
  <c r="B3457" i="22" a="1"/>
  <c r="B3457" i="22" s="1"/>
  <c r="B3456" i="22" a="1"/>
  <c r="B3456" i="22" s="1"/>
  <c r="B3455" i="22" a="1"/>
  <c r="B3455" i="22" s="1"/>
  <c r="B3454" i="22" a="1"/>
  <c r="B3454" i="22" s="1"/>
  <c r="B3453" i="22" a="1"/>
  <c r="B3453" i="22" s="1"/>
  <c r="B3452" i="22" a="1"/>
  <c r="B3452" i="22" s="1"/>
  <c r="B3451" i="22" a="1"/>
  <c r="B3451" i="22" s="1"/>
  <c r="B3450" i="22" a="1"/>
  <c r="B3450" i="22" s="1"/>
  <c r="B3449" i="22" a="1"/>
  <c r="B3449" i="22" s="1"/>
  <c r="B3448" i="22" a="1"/>
  <c r="B3448" i="22" s="1"/>
  <c r="B3447" i="22" a="1"/>
  <c r="B3447" i="22" s="1"/>
  <c r="B3446" i="22" a="1"/>
  <c r="B3446" i="22" s="1"/>
  <c r="B3445" i="22" a="1"/>
  <c r="B3445" i="22" s="1"/>
  <c r="B3444" i="22" a="1"/>
  <c r="B3444" i="22" s="1"/>
  <c r="B3443" i="22" a="1"/>
  <c r="B3443" i="22" s="1"/>
  <c r="B3442" i="22" a="1"/>
  <c r="B3442" i="22" s="1"/>
  <c r="B3441" i="22" a="1"/>
  <c r="B3441" i="22" s="1"/>
  <c r="B3440" i="22" a="1"/>
  <c r="B3440" i="22" s="1"/>
  <c r="B3439" i="22" a="1"/>
  <c r="B3439" i="22" s="1"/>
  <c r="B3438" i="22" a="1"/>
  <c r="B3438" i="22" s="1"/>
  <c r="B3437" i="22" a="1"/>
  <c r="B3437" i="22" s="1"/>
  <c r="B3436" i="22" a="1"/>
  <c r="B3436" i="22" s="1"/>
  <c r="B3435" i="22" a="1"/>
  <c r="B3435" i="22" s="1"/>
  <c r="B3434" i="22" a="1"/>
  <c r="B3434" i="22" s="1"/>
  <c r="B3433" i="22" a="1"/>
  <c r="B3433" i="22" s="1"/>
  <c r="B3432" i="22" a="1"/>
  <c r="B3432" i="22" s="1"/>
  <c r="B3431" i="22" a="1"/>
  <c r="B3431" i="22" s="1"/>
  <c r="B3430" i="22" a="1"/>
  <c r="B3430" i="22" s="1"/>
  <c r="B3429" i="22" a="1"/>
  <c r="B3429" i="22" s="1"/>
  <c r="B3428" i="22" a="1"/>
  <c r="B3428" i="22" s="1"/>
  <c r="B3427" i="22" a="1"/>
  <c r="B3427" i="22" s="1"/>
  <c r="B3426" i="22" a="1"/>
  <c r="B3426" i="22" s="1"/>
  <c r="B3425" i="22" a="1"/>
  <c r="B3425" i="22" s="1"/>
  <c r="B3424" i="22" a="1"/>
  <c r="B3424" i="22" s="1"/>
  <c r="B3423" i="22" a="1"/>
  <c r="B3423" i="22" s="1"/>
  <c r="B3422" i="22" a="1"/>
  <c r="B3422" i="22" s="1"/>
  <c r="B3421" i="22" a="1"/>
  <c r="B3421" i="22" s="1"/>
  <c r="B3420" i="22" a="1"/>
  <c r="B3420" i="22" s="1"/>
  <c r="B3419" i="22" a="1"/>
  <c r="B3419" i="22" s="1"/>
  <c r="B3418" i="22" a="1"/>
  <c r="B3418" i="22" s="1"/>
  <c r="B3417" i="22" a="1"/>
  <c r="B3417" i="22" s="1"/>
  <c r="B3416" i="22" a="1"/>
  <c r="B3416" i="22" s="1"/>
  <c r="B3415" i="22" a="1"/>
  <c r="B3415" i="22" s="1"/>
  <c r="B3414" i="22" a="1"/>
  <c r="B3414" i="22" s="1"/>
  <c r="B3413" i="22" a="1"/>
  <c r="B3413" i="22" s="1"/>
  <c r="B3412" i="22" a="1"/>
  <c r="B3412" i="22" s="1"/>
  <c r="B3411" i="22" a="1"/>
  <c r="B3411" i="22" s="1"/>
  <c r="B3410" i="22" a="1"/>
  <c r="B3410" i="22" s="1"/>
  <c r="B3409" i="22" a="1"/>
  <c r="B3409" i="22" s="1"/>
  <c r="B3408" i="22" a="1"/>
  <c r="B3408" i="22" s="1"/>
  <c r="B3407" i="22" a="1"/>
  <c r="B3407" i="22" s="1"/>
  <c r="B3406" i="22" a="1"/>
  <c r="B3406" i="22" s="1"/>
  <c r="B3405" i="22" a="1"/>
  <c r="B3405" i="22" s="1"/>
  <c r="B3404" i="22" a="1"/>
  <c r="B3404" i="22" s="1"/>
  <c r="B3403" i="22" a="1"/>
  <c r="B3403" i="22" s="1"/>
  <c r="B3402" i="22" a="1"/>
  <c r="B3402" i="22" s="1"/>
  <c r="B3401" i="22" a="1"/>
  <c r="B3401" i="22" s="1"/>
  <c r="B3400" i="22" a="1"/>
  <c r="B3400" i="22" s="1"/>
  <c r="B3399" i="22" a="1"/>
  <c r="B3399" i="22" s="1"/>
  <c r="B3398" i="22" a="1"/>
  <c r="B3398" i="22" s="1"/>
  <c r="B3397" i="22" a="1"/>
  <c r="B3397" i="22" s="1"/>
  <c r="B3396" i="22" a="1"/>
  <c r="B3396" i="22" s="1"/>
  <c r="B3395" i="22" a="1"/>
  <c r="B3395" i="22" s="1"/>
  <c r="B3394" i="22" a="1"/>
  <c r="B3394" i="22" s="1"/>
  <c r="B3393" i="22" a="1"/>
  <c r="B3393" i="22" s="1"/>
  <c r="B3392" i="22" a="1"/>
  <c r="B3392" i="22" s="1"/>
  <c r="B3391" i="22" a="1"/>
  <c r="B3391" i="22" s="1"/>
  <c r="B3390" i="22" a="1"/>
  <c r="B3390" i="22" s="1"/>
  <c r="B3389" i="22" a="1"/>
  <c r="B3389" i="22" s="1"/>
  <c r="B3388" i="22" a="1"/>
  <c r="B3388" i="22" s="1"/>
  <c r="B3387" i="22" a="1"/>
  <c r="B3387" i="22" s="1"/>
  <c r="B3386" i="22" a="1"/>
  <c r="B3386" i="22" s="1"/>
  <c r="B3385" i="22" a="1"/>
  <c r="B3385" i="22" s="1"/>
  <c r="B3384" i="22" a="1"/>
  <c r="B3384" i="22" s="1"/>
  <c r="B3383" i="22" a="1"/>
  <c r="B3383" i="22" s="1"/>
  <c r="B3382" i="22" a="1"/>
  <c r="B3382" i="22" s="1"/>
  <c r="B3381" i="22" a="1"/>
  <c r="B3381" i="22" s="1"/>
  <c r="B3380" i="22" a="1"/>
  <c r="B3380" i="22" s="1"/>
  <c r="B3379" i="22" a="1"/>
  <c r="B3379" i="22" s="1"/>
  <c r="B3378" i="22" a="1"/>
  <c r="B3378" i="22" s="1"/>
  <c r="B3377" i="22" a="1"/>
  <c r="B3377" i="22" s="1"/>
  <c r="B3376" i="22" a="1"/>
  <c r="B3376" i="22" s="1"/>
  <c r="B3375" i="22" a="1"/>
  <c r="B3375" i="22" s="1"/>
  <c r="B3374" i="22" a="1"/>
  <c r="B3374" i="22" s="1"/>
  <c r="B3373" i="22" a="1"/>
  <c r="B3373" i="22" s="1"/>
  <c r="B3372" i="22" a="1"/>
  <c r="B3372" i="22" s="1"/>
  <c r="B3371" i="22" a="1"/>
  <c r="B3371" i="22" s="1"/>
  <c r="B3370" i="22" a="1"/>
  <c r="B3370" i="22" s="1"/>
  <c r="B3369" i="22" a="1"/>
  <c r="B3369" i="22" s="1"/>
  <c r="B3368" i="22" a="1"/>
  <c r="B3368" i="22" s="1"/>
  <c r="B3367" i="22" a="1"/>
  <c r="B3367" i="22" s="1"/>
  <c r="B3366" i="22" a="1"/>
  <c r="B3366" i="22" s="1"/>
  <c r="B3365" i="22" a="1"/>
  <c r="B3365" i="22" s="1"/>
  <c r="B3364" i="22" a="1"/>
  <c r="B3364" i="22" s="1"/>
  <c r="B3363" i="22" a="1"/>
  <c r="B3363" i="22" s="1"/>
  <c r="B3362" i="22" a="1"/>
  <c r="B3362" i="22" s="1"/>
  <c r="B3361" i="22" a="1"/>
  <c r="B3361" i="22" s="1"/>
  <c r="B3360" i="22" a="1"/>
  <c r="B3360" i="22" s="1"/>
  <c r="B3359" i="22" a="1"/>
  <c r="B3359" i="22" s="1"/>
  <c r="B3358" i="22" a="1"/>
  <c r="B3358" i="22" s="1"/>
  <c r="B3357" i="22" a="1"/>
  <c r="B3357" i="22" s="1"/>
  <c r="B3356" i="22" a="1"/>
  <c r="B3356" i="22" s="1"/>
  <c r="B3355" i="22" a="1"/>
  <c r="B3355" i="22" s="1"/>
  <c r="B3354" i="22" a="1"/>
  <c r="B3354" i="22" s="1"/>
  <c r="B3353" i="22" a="1"/>
  <c r="B3353" i="22" s="1"/>
  <c r="B3352" i="22" a="1"/>
  <c r="B3352" i="22" s="1"/>
  <c r="B3351" i="22" a="1"/>
  <c r="B3351" i="22" s="1"/>
  <c r="B3350" i="22" a="1"/>
  <c r="B3350" i="22" s="1"/>
  <c r="B3349" i="22" a="1"/>
  <c r="B3349" i="22" s="1"/>
  <c r="B3348" i="22" a="1"/>
  <c r="B3348" i="22" s="1"/>
  <c r="B3347" i="22" a="1"/>
  <c r="B3347" i="22" s="1"/>
  <c r="B3346" i="22" a="1"/>
  <c r="B3346" i="22" s="1"/>
  <c r="B3345" i="22" a="1"/>
  <c r="B3345" i="22" s="1"/>
  <c r="B3344" i="22" a="1"/>
  <c r="B3344" i="22" s="1"/>
  <c r="B3343" i="22" a="1"/>
  <c r="B3343" i="22" s="1"/>
  <c r="B3342" i="22" a="1"/>
  <c r="B3342" i="22" s="1"/>
  <c r="B3341" i="22" a="1"/>
  <c r="B3341" i="22" s="1"/>
  <c r="B3340" i="22" a="1"/>
  <c r="B3340" i="22" s="1"/>
  <c r="B3339" i="22" a="1"/>
  <c r="B3339" i="22" s="1"/>
  <c r="B3338" i="22" a="1"/>
  <c r="B3338" i="22" s="1"/>
  <c r="B3337" i="22" a="1"/>
  <c r="B3337" i="22" s="1"/>
  <c r="B3336" i="22" a="1"/>
  <c r="B3336" i="22" s="1"/>
  <c r="B3335" i="22" a="1"/>
  <c r="B3335" i="22" s="1"/>
  <c r="B3334" i="22" a="1"/>
  <c r="B3334" i="22" s="1"/>
  <c r="B3333" i="22" a="1"/>
  <c r="B3333" i="22" s="1"/>
  <c r="B3332" i="22" a="1"/>
  <c r="B3332" i="22" s="1"/>
  <c r="B3331" i="22" a="1"/>
  <c r="B3331" i="22" s="1"/>
  <c r="B3330" i="22" a="1"/>
  <c r="B3330" i="22" s="1"/>
  <c r="B3329" i="22" a="1"/>
  <c r="B3329" i="22" s="1"/>
  <c r="B3328" i="22" a="1"/>
  <c r="B3328" i="22" s="1"/>
  <c r="B3327" i="22" a="1"/>
  <c r="B3327" i="22" s="1"/>
  <c r="B3326" i="22" a="1"/>
  <c r="B3326" i="22" s="1"/>
  <c r="B3325" i="22" a="1"/>
  <c r="B3325" i="22" s="1"/>
  <c r="B3324" i="22" a="1"/>
  <c r="B3324" i="22" s="1"/>
  <c r="B3323" i="22" a="1"/>
  <c r="B3323" i="22" s="1"/>
  <c r="B3322" i="22" a="1"/>
  <c r="B3322" i="22" s="1"/>
  <c r="B3321" i="22" a="1"/>
  <c r="B3321" i="22" s="1"/>
  <c r="B3320" i="22" a="1"/>
  <c r="B3320" i="22" s="1"/>
  <c r="B3319" i="22" a="1"/>
  <c r="B3319" i="22" s="1"/>
  <c r="B3318" i="22" a="1"/>
  <c r="B3318" i="22" s="1"/>
  <c r="B3317" i="22" a="1"/>
  <c r="B3317" i="22" s="1"/>
  <c r="B3316" i="22" a="1"/>
  <c r="B3316" i="22" s="1"/>
  <c r="B3315" i="22" a="1"/>
  <c r="B3315" i="22" s="1"/>
  <c r="B3314" i="22" a="1"/>
  <c r="B3314" i="22" s="1"/>
  <c r="B3313" i="22" a="1"/>
  <c r="B3313" i="22" s="1"/>
  <c r="B3312" i="22" a="1"/>
  <c r="B3312" i="22" s="1"/>
  <c r="B3311" i="22" a="1"/>
  <c r="B3311" i="22" s="1"/>
  <c r="B3310" i="22" a="1"/>
  <c r="B3310" i="22" s="1"/>
  <c r="B3309" i="22" a="1"/>
  <c r="B3309" i="22" s="1"/>
  <c r="B3308" i="22" a="1"/>
  <c r="B3308" i="22" s="1"/>
  <c r="B3307" i="22" a="1"/>
  <c r="B3307" i="22" s="1"/>
  <c r="B3306" i="22" a="1"/>
  <c r="B3306" i="22" s="1"/>
  <c r="B3305" i="22" a="1"/>
  <c r="B3305" i="22" s="1"/>
  <c r="B3304" i="22" a="1"/>
  <c r="B3304" i="22" s="1"/>
  <c r="B3303" i="22" a="1"/>
  <c r="B3303" i="22" s="1"/>
  <c r="B3302" i="22" a="1"/>
  <c r="B3302" i="22" s="1"/>
  <c r="B3301" i="22" a="1"/>
  <c r="B3301" i="22" s="1"/>
  <c r="B3300" i="22" a="1"/>
  <c r="B3300" i="22" s="1"/>
  <c r="B3299" i="22" a="1"/>
  <c r="B3299" i="22" s="1"/>
  <c r="B3298" i="22" a="1"/>
  <c r="B3298" i="22" s="1"/>
  <c r="B3297" i="22" a="1"/>
  <c r="B3297" i="22" s="1"/>
  <c r="B3296" i="22" a="1"/>
  <c r="B3296" i="22" s="1"/>
  <c r="B3295" i="22" a="1"/>
  <c r="B3295" i="22" s="1"/>
  <c r="B3294" i="22" a="1"/>
  <c r="B3294" i="22" s="1"/>
  <c r="B3293" i="22" a="1"/>
  <c r="B3293" i="22" s="1"/>
  <c r="B3292" i="22" a="1"/>
  <c r="B3292" i="22" s="1"/>
  <c r="B3291" i="22" a="1"/>
  <c r="B3291" i="22" s="1"/>
  <c r="B3290" i="22" a="1"/>
  <c r="B3290" i="22" s="1"/>
  <c r="B3289" i="22" a="1"/>
  <c r="B3289" i="22" s="1"/>
  <c r="B3288" i="22" a="1"/>
  <c r="B3288" i="22" s="1"/>
  <c r="B3287" i="22" a="1"/>
  <c r="B3287" i="22" s="1"/>
  <c r="B3286" i="22" a="1"/>
  <c r="B3286" i="22" s="1"/>
  <c r="B3285" i="22" a="1"/>
  <c r="B3285" i="22" s="1"/>
  <c r="B3284" i="22" a="1"/>
  <c r="B3284" i="22" s="1"/>
  <c r="B3283" i="22" a="1"/>
  <c r="B3283" i="22" s="1"/>
  <c r="B3282" i="22" a="1"/>
  <c r="B3282" i="22" s="1"/>
  <c r="B3281" i="22" a="1"/>
  <c r="B3281" i="22" s="1"/>
  <c r="B3280" i="22" a="1"/>
  <c r="B3280" i="22" s="1"/>
  <c r="B3279" i="22" a="1"/>
  <c r="B3279" i="22" s="1"/>
  <c r="B3278" i="22" a="1"/>
  <c r="B3278" i="22" s="1"/>
  <c r="B3277" i="22" a="1"/>
  <c r="B3277" i="22" s="1"/>
  <c r="B3276" i="22" a="1"/>
  <c r="B3276" i="22" s="1"/>
  <c r="B3275" i="22" a="1"/>
  <c r="B3275" i="22" s="1"/>
  <c r="B3274" i="22" a="1"/>
  <c r="B3274" i="22" s="1"/>
  <c r="B3273" i="22" a="1"/>
  <c r="B3273" i="22" s="1"/>
  <c r="B3272" i="22" a="1"/>
  <c r="B3272" i="22" s="1"/>
  <c r="B3271" i="22" a="1"/>
  <c r="B3271" i="22" s="1"/>
  <c r="B3270" i="22" a="1"/>
  <c r="B3270" i="22" s="1"/>
  <c r="B3269" i="22" a="1"/>
  <c r="B3269" i="22" s="1"/>
  <c r="B3268" i="22" a="1"/>
  <c r="B3268" i="22" s="1"/>
  <c r="B3267" i="22" a="1"/>
  <c r="B3267" i="22" s="1"/>
  <c r="B3266" i="22" a="1"/>
  <c r="B3266" i="22" s="1"/>
  <c r="B3265" i="22" a="1"/>
  <c r="B3265" i="22" s="1"/>
  <c r="B3264" i="22" a="1"/>
  <c r="B3264" i="22" s="1"/>
  <c r="B3263" i="22" a="1"/>
  <c r="B3263" i="22" s="1"/>
  <c r="B3262" i="22" a="1"/>
  <c r="B3262" i="22" s="1"/>
  <c r="B3261" i="22" a="1"/>
  <c r="B3261" i="22" s="1"/>
  <c r="B3260" i="22" a="1"/>
  <c r="B3260" i="22" s="1"/>
  <c r="B3259" i="22" a="1"/>
  <c r="B3259" i="22" s="1"/>
  <c r="B3258" i="22" a="1"/>
  <c r="B3258" i="22" s="1"/>
  <c r="B3257" i="22" a="1"/>
  <c r="B3257" i="22" s="1"/>
  <c r="B3256" i="22" a="1"/>
  <c r="B3256" i="22" s="1"/>
  <c r="B3255" i="22" a="1"/>
  <c r="B3255" i="22" s="1"/>
  <c r="B3254" i="22" a="1"/>
  <c r="B3254" i="22" s="1"/>
  <c r="B3253" i="22" a="1"/>
  <c r="B3253" i="22" s="1"/>
  <c r="B3252" i="22" a="1"/>
  <c r="B3252" i="22" s="1"/>
  <c r="B3251" i="22" a="1"/>
  <c r="B3251" i="22" s="1"/>
  <c r="B3250" i="22" a="1"/>
  <c r="B3250" i="22" s="1"/>
  <c r="B3249" i="22" a="1"/>
  <c r="B3249" i="22" s="1"/>
  <c r="B3248" i="22" a="1"/>
  <c r="B3248" i="22" s="1"/>
  <c r="B3247" i="22" a="1"/>
  <c r="B3247" i="22" s="1"/>
  <c r="B3246" i="22" a="1"/>
  <c r="B3246" i="22" s="1"/>
  <c r="B3245" i="22" a="1"/>
  <c r="B3245" i="22" s="1"/>
  <c r="B3244" i="22" a="1"/>
  <c r="B3244" i="22" s="1"/>
  <c r="B3243" i="22" a="1"/>
  <c r="B3243" i="22" s="1"/>
  <c r="B3242" i="22" a="1"/>
  <c r="B3242" i="22" s="1"/>
  <c r="B3241" i="22" a="1"/>
  <c r="B3241" i="22" s="1"/>
  <c r="B3240" i="22" a="1"/>
  <c r="B3240" i="22" s="1"/>
  <c r="B3239" i="22" a="1"/>
  <c r="B3239" i="22" s="1"/>
  <c r="B3238" i="22" a="1"/>
  <c r="B3238" i="22" s="1"/>
  <c r="B3237" i="22" a="1"/>
  <c r="B3237" i="22" s="1"/>
  <c r="B3236" i="22" a="1"/>
  <c r="B3236" i="22" s="1"/>
  <c r="B3235" i="22" a="1"/>
  <c r="B3235" i="22" s="1"/>
  <c r="B3234" i="22" a="1"/>
  <c r="B3234" i="22" s="1"/>
  <c r="B3233" i="22" a="1"/>
  <c r="B3233" i="22" s="1"/>
  <c r="B3232" i="22" a="1"/>
  <c r="B3232" i="22" s="1"/>
  <c r="B3231" i="22" a="1"/>
  <c r="B3231" i="22" s="1"/>
  <c r="B3230" i="22" a="1"/>
  <c r="B3230" i="22" s="1"/>
  <c r="B3229" i="22" a="1"/>
  <c r="B3229" i="22" s="1"/>
  <c r="B3228" i="22" a="1"/>
  <c r="B3228" i="22" s="1"/>
  <c r="B3227" i="22" a="1"/>
  <c r="B3227" i="22" s="1"/>
  <c r="B3226" i="22" a="1"/>
  <c r="B3226" i="22" s="1"/>
  <c r="B3225" i="22" a="1"/>
  <c r="B3225" i="22" s="1"/>
  <c r="B3224" i="22" a="1"/>
  <c r="B3224" i="22" s="1"/>
  <c r="B3223" i="22" a="1"/>
  <c r="B3223" i="22" s="1"/>
  <c r="B3222" i="22" a="1"/>
  <c r="B3222" i="22" s="1"/>
  <c r="B3221" i="22" a="1"/>
  <c r="B3221" i="22" s="1"/>
  <c r="B3220" i="22" a="1"/>
  <c r="B3220" i="22" s="1"/>
  <c r="B3219" i="22" a="1"/>
  <c r="B3219" i="22" s="1"/>
  <c r="B3218" i="22" a="1"/>
  <c r="B3218" i="22" s="1"/>
  <c r="B3217" i="22" a="1"/>
  <c r="B3217" i="22" s="1"/>
  <c r="B3216" i="22" a="1"/>
  <c r="B3216" i="22" s="1"/>
  <c r="B3215" i="22" a="1"/>
  <c r="B3215" i="22" s="1"/>
  <c r="B3214" i="22" a="1"/>
  <c r="B3214" i="22" s="1"/>
  <c r="B3213" i="22" a="1"/>
  <c r="B3213" i="22" s="1"/>
  <c r="B3212" i="22" a="1"/>
  <c r="B3212" i="22" s="1"/>
  <c r="B3211" i="22" a="1"/>
  <c r="B3211" i="22" s="1"/>
  <c r="B3210" i="22" a="1"/>
  <c r="B3210" i="22" s="1"/>
  <c r="B3209" i="22" a="1"/>
  <c r="B3209" i="22" s="1"/>
  <c r="B3208" i="22" a="1"/>
  <c r="B3208" i="22" s="1"/>
  <c r="B3207" i="22" a="1"/>
  <c r="B3207" i="22" s="1"/>
  <c r="B3206" i="22" a="1"/>
  <c r="B3206" i="22" s="1"/>
  <c r="B3205" i="22" a="1"/>
  <c r="B3205" i="22" s="1"/>
  <c r="B3204" i="22" a="1"/>
  <c r="B3204" i="22" s="1"/>
  <c r="B3203" i="22" a="1"/>
  <c r="B3203" i="22" s="1"/>
  <c r="B3202" i="22" a="1"/>
  <c r="B3202" i="22" s="1"/>
  <c r="B3201" i="22" a="1"/>
  <c r="B3201" i="22" s="1"/>
  <c r="B3200" i="22" a="1"/>
  <c r="B3200" i="22" s="1"/>
  <c r="B3199" i="22" a="1"/>
  <c r="B3199" i="22" s="1"/>
  <c r="B3198" i="22" a="1"/>
  <c r="B3198" i="22" s="1"/>
  <c r="B3197" i="22" a="1"/>
  <c r="B3197" i="22" s="1"/>
  <c r="B3196" i="22" a="1"/>
  <c r="B3196" i="22" s="1"/>
  <c r="B3195" i="22" a="1"/>
  <c r="B3195" i="22" s="1"/>
  <c r="B3194" i="22" a="1"/>
  <c r="B3194" i="22" s="1"/>
  <c r="B3193" i="22" a="1"/>
  <c r="B3193" i="22" s="1"/>
  <c r="B3192" i="22" a="1"/>
  <c r="B3192" i="22" s="1"/>
  <c r="B3191" i="22" a="1"/>
  <c r="B3191" i="22" s="1"/>
  <c r="B3190" i="22" a="1"/>
  <c r="B3190" i="22" s="1"/>
  <c r="B3189" i="22" a="1"/>
  <c r="B3189" i="22" s="1"/>
  <c r="B3188" i="22" a="1"/>
  <c r="B3188" i="22" s="1"/>
  <c r="B3187" i="22" a="1"/>
  <c r="B3187" i="22" s="1"/>
  <c r="B3186" i="22" a="1"/>
  <c r="B3186" i="22" s="1"/>
  <c r="B3185" i="22" a="1"/>
  <c r="B3185" i="22" s="1"/>
  <c r="B3184" i="22" a="1"/>
  <c r="B3184" i="22" s="1"/>
  <c r="B3183" i="22" a="1"/>
  <c r="B3183" i="22" s="1"/>
  <c r="B3182" i="22" a="1"/>
  <c r="B3182" i="22" s="1"/>
  <c r="B3181" i="22" a="1"/>
  <c r="B3181" i="22" s="1"/>
  <c r="B3180" i="22" a="1"/>
  <c r="B3180" i="22" s="1"/>
  <c r="B3179" i="22" a="1"/>
  <c r="B3179" i="22" s="1"/>
  <c r="B3178" i="22" a="1"/>
  <c r="B3178" i="22" s="1"/>
  <c r="B3177" i="22" a="1"/>
  <c r="B3177" i="22" s="1"/>
  <c r="B3176" i="22" a="1"/>
  <c r="B3176" i="22" s="1"/>
  <c r="B3175" i="22" a="1"/>
  <c r="B3175" i="22" s="1"/>
  <c r="B3174" i="22" a="1"/>
  <c r="B3174" i="22" s="1"/>
  <c r="B3173" i="22" a="1"/>
  <c r="B3173" i="22" s="1"/>
  <c r="B3172" i="22" a="1"/>
  <c r="B3172" i="22" s="1"/>
  <c r="B3171" i="22" a="1"/>
  <c r="B3171" i="22" s="1"/>
  <c r="B3170" i="22" a="1"/>
  <c r="B3170" i="22" s="1"/>
  <c r="B3169" i="22" a="1"/>
  <c r="B3169" i="22" s="1"/>
  <c r="B3168" i="22" a="1"/>
  <c r="B3168" i="22" s="1"/>
  <c r="B3167" i="22" a="1"/>
  <c r="B3167" i="22" s="1"/>
  <c r="B3166" i="22" a="1"/>
  <c r="B3166" i="22" s="1"/>
  <c r="B3165" i="22" a="1"/>
  <c r="B3165" i="22" s="1"/>
  <c r="B3164" i="22" a="1"/>
  <c r="B3164" i="22" s="1"/>
  <c r="B3163" i="22" a="1"/>
  <c r="B3163" i="22" s="1"/>
  <c r="B3162" i="22" a="1"/>
  <c r="B3162" i="22" s="1"/>
  <c r="B3161" i="22" a="1"/>
  <c r="B3161" i="22" s="1"/>
  <c r="B3160" i="22" a="1"/>
  <c r="B3160" i="22" s="1"/>
  <c r="B3159" i="22" a="1"/>
  <c r="B3159" i="22" s="1"/>
  <c r="B3158" i="22" a="1"/>
  <c r="B3158" i="22" s="1"/>
  <c r="B3157" i="22" a="1"/>
  <c r="B3157" i="22" s="1"/>
  <c r="B3156" i="22" a="1"/>
  <c r="B3156" i="22" s="1"/>
  <c r="B3155" i="22" a="1"/>
  <c r="B3155" i="22" s="1"/>
  <c r="B3154" i="22" a="1"/>
  <c r="B3154" i="22" s="1"/>
  <c r="B3153" i="22" a="1"/>
  <c r="B3153" i="22" s="1"/>
  <c r="B3152" i="22" a="1"/>
  <c r="B3152" i="22" s="1"/>
  <c r="B3151" i="22" a="1"/>
  <c r="B3151" i="22" s="1"/>
  <c r="B3150" i="22" a="1"/>
  <c r="B3150" i="22" s="1"/>
  <c r="B3149" i="22" a="1"/>
  <c r="B3149" i="22" s="1"/>
  <c r="B3148" i="22" a="1"/>
  <c r="B3148" i="22" s="1"/>
  <c r="B3147" i="22" a="1"/>
  <c r="B3147" i="22" s="1"/>
  <c r="B3146" i="22" a="1"/>
  <c r="B3146" i="22" s="1"/>
  <c r="B3145" i="22" a="1"/>
  <c r="B3145" i="22" s="1"/>
  <c r="B3144" i="22" a="1"/>
  <c r="B3144" i="22" s="1"/>
  <c r="B3143" i="22" a="1"/>
  <c r="B3143" i="22" s="1"/>
  <c r="B3142" i="22" a="1"/>
  <c r="B3142" i="22" s="1"/>
  <c r="B3141" i="22" a="1"/>
  <c r="B3141" i="22" s="1"/>
  <c r="B3140" i="22" a="1"/>
  <c r="B3140" i="22" s="1"/>
  <c r="B3139" i="22" a="1"/>
  <c r="B3139" i="22" s="1"/>
  <c r="B3138" i="22" a="1"/>
  <c r="B3138" i="22" s="1"/>
  <c r="B3137" i="22" a="1"/>
  <c r="B3137" i="22" s="1"/>
  <c r="B3136" i="22" a="1"/>
  <c r="B3136" i="22" s="1"/>
  <c r="B3135" i="22" a="1"/>
  <c r="B3135" i="22" s="1"/>
  <c r="B3134" i="22" a="1"/>
  <c r="B3134" i="22" s="1"/>
  <c r="B3133" i="22" a="1"/>
  <c r="B3133" i="22" s="1"/>
  <c r="B3132" i="22" a="1"/>
  <c r="B3132" i="22" s="1"/>
  <c r="B3131" i="22" a="1"/>
  <c r="B3131" i="22" s="1"/>
  <c r="B3130" i="22" a="1"/>
  <c r="B3130" i="22" s="1"/>
  <c r="B3129" i="22" a="1"/>
  <c r="B3129" i="22" s="1"/>
  <c r="B3128" i="22" a="1"/>
  <c r="B3128" i="22" s="1"/>
  <c r="B3127" i="22" a="1"/>
  <c r="B3127" i="22" s="1"/>
  <c r="B3126" i="22" a="1"/>
  <c r="B3126" i="22" s="1"/>
  <c r="B3125" i="22" a="1"/>
  <c r="B3125" i="22" s="1"/>
  <c r="B3124" i="22" a="1"/>
  <c r="B3124" i="22" s="1"/>
  <c r="B3123" i="22" a="1"/>
  <c r="B3123" i="22" s="1"/>
  <c r="B3122" i="22" a="1"/>
  <c r="B3122" i="22" s="1"/>
  <c r="B3121" i="22" a="1"/>
  <c r="B3121" i="22" s="1"/>
  <c r="B3120" i="22" a="1"/>
  <c r="B3120" i="22" s="1"/>
  <c r="B3119" i="22" a="1"/>
  <c r="B3119" i="22" s="1"/>
  <c r="B3118" i="22" a="1"/>
  <c r="B3118" i="22" s="1"/>
  <c r="B3117" i="22" a="1"/>
  <c r="B3117" i="22" s="1"/>
  <c r="B3116" i="22" a="1"/>
  <c r="B3116" i="22" s="1"/>
  <c r="B3115" i="22" a="1"/>
  <c r="B3115" i="22" s="1"/>
  <c r="B3114" i="22" a="1"/>
  <c r="B3114" i="22" s="1"/>
  <c r="B3113" i="22" a="1"/>
  <c r="B3113" i="22" s="1"/>
  <c r="B3112" i="22" a="1"/>
  <c r="B3112" i="22" s="1"/>
  <c r="B3111" i="22" a="1"/>
  <c r="B3111" i="22" s="1"/>
  <c r="B3110" i="22" a="1"/>
  <c r="B3110" i="22" s="1"/>
  <c r="B3109" i="22" a="1"/>
  <c r="B3109" i="22" s="1"/>
  <c r="B3108" i="22" a="1"/>
  <c r="B3108" i="22" s="1"/>
  <c r="B3107" i="22" a="1"/>
  <c r="B3107" i="22" s="1"/>
  <c r="B3106" i="22" a="1"/>
  <c r="B3106" i="22" s="1"/>
  <c r="B3105" i="22" a="1"/>
  <c r="B3105" i="22" s="1"/>
  <c r="B3104" i="22" a="1"/>
  <c r="B3104" i="22" s="1"/>
  <c r="B3103" i="22" a="1"/>
  <c r="B3103" i="22" s="1"/>
  <c r="B3102" i="22" a="1"/>
  <c r="B3102" i="22" s="1"/>
  <c r="B3101" i="22" a="1"/>
  <c r="B3101" i="22" s="1"/>
  <c r="B3100" i="22" a="1"/>
  <c r="B3100" i="22" s="1"/>
  <c r="B3099" i="22" a="1"/>
  <c r="B3099" i="22" s="1"/>
  <c r="B3098" i="22" a="1"/>
  <c r="B3098" i="22" s="1"/>
  <c r="B3097" i="22" a="1"/>
  <c r="B3097" i="22" s="1"/>
  <c r="B3096" i="22" a="1"/>
  <c r="B3096" i="22" s="1"/>
  <c r="B3095" i="22" a="1"/>
  <c r="B3095" i="22" s="1"/>
  <c r="B3094" i="22" a="1"/>
  <c r="B3094" i="22" s="1"/>
  <c r="B3093" i="22" a="1"/>
  <c r="B3093" i="22" s="1"/>
  <c r="B3092" i="22" a="1"/>
  <c r="B3092" i="22" s="1"/>
  <c r="B3091" i="22" a="1"/>
  <c r="B3091" i="22" s="1"/>
  <c r="B3090" i="22" a="1"/>
  <c r="B3090" i="22" s="1"/>
  <c r="B3089" i="22" a="1"/>
  <c r="B3089" i="22" s="1"/>
  <c r="B3088" i="22" a="1"/>
  <c r="B3088" i="22" s="1"/>
  <c r="B3087" i="22" a="1"/>
  <c r="B3087" i="22" s="1"/>
  <c r="B3086" i="22" a="1"/>
  <c r="B3086" i="22" s="1"/>
  <c r="B3085" i="22" a="1"/>
  <c r="B3085" i="22" s="1"/>
  <c r="B3084" i="22" a="1"/>
  <c r="B3084" i="22" s="1"/>
  <c r="B3083" i="22" a="1"/>
  <c r="B3083" i="22" s="1"/>
  <c r="B3082" i="22" a="1"/>
  <c r="B3082" i="22" s="1"/>
  <c r="B3081" i="22" a="1"/>
  <c r="B3081" i="22" s="1"/>
  <c r="B3080" i="22" a="1"/>
  <c r="B3080" i="22" s="1"/>
  <c r="B3079" i="22" a="1"/>
  <c r="B3079" i="22" s="1"/>
  <c r="B3078" i="22" a="1"/>
  <c r="B3078" i="22" s="1"/>
  <c r="B3077" i="22" a="1"/>
  <c r="B3077" i="22" s="1"/>
  <c r="B3076" i="22" a="1"/>
  <c r="B3076" i="22" s="1"/>
  <c r="B3075" i="22" a="1"/>
  <c r="B3075" i="22" s="1"/>
  <c r="B3074" i="22" a="1"/>
  <c r="B3074" i="22" s="1"/>
  <c r="B3073" i="22" a="1"/>
  <c r="B3073" i="22" s="1"/>
  <c r="B3072" i="22" a="1"/>
  <c r="B3072" i="22" s="1"/>
  <c r="B3071" i="22" a="1"/>
  <c r="B3071" i="22" s="1"/>
  <c r="B3070" i="22" a="1"/>
  <c r="B3070" i="22" s="1"/>
  <c r="B3069" i="22" a="1"/>
  <c r="B3069" i="22" s="1"/>
  <c r="B3068" i="22" a="1"/>
  <c r="B3068" i="22" s="1"/>
  <c r="B3067" i="22" a="1"/>
  <c r="B3067" i="22" s="1"/>
  <c r="B3066" i="22" a="1"/>
  <c r="B3066" i="22" s="1"/>
  <c r="B3065" i="22" a="1"/>
  <c r="B3065" i="22" s="1"/>
  <c r="B3064" i="22" a="1"/>
  <c r="B3064" i="22" s="1"/>
  <c r="B3063" i="22" a="1"/>
  <c r="B3063" i="22" s="1"/>
  <c r="B3062" i="22" a="1"/>
  <c r="B3062" i="22" s="1"/>
  <c r="B3061" i="22" a="1"/>
  <c r="B3061" i="22" s="1"/>
  <c r="B3060" i="22" a="1"/>
  <c r="B3060" i="22" s="1"/>
  <c r="B3059" i="22" a="1"/>
  <c r="B3059" i="22" s="1"/>
  <c r="B3058" i="22" a="1"/>
  <c r="B3058" i="22" s="1"/>
  <c r="B3057" i="22" a="1"/>
  <c r="B3057" i="22" s="1"/>
  <c r="B3056" i="22" a="1"/>
  <c r="B3056" i="22" s="1"/>
  <c r="B3055" i="22" a="1"/>
  <c r="B3055" i="22" s="1"/>
  <c r="B3054" i="22" a="1"/>
  <c r="B3054" i="22" s="1"/>
  <c r="B3053" i="22" a="1"/>
  <c r="B3053" i="22" s="1"/>
  <c r="B3052" i="22" a="1"/>
  <c r="B3052" i="22" s="1"/>
  <c r="B3051" i="22" a="1"/>
  <c r="B3051" i="22" s="1"/>
  <c r="B3050" i="22" a="1"/>
  <c r="B3050" i="22" s="1"/>
  <c r="B3049" i="22" a="1"/>
  <c r="B3049" i="22" s="1"/>
  <c r="B3048" i="22" a="1"/>
  <c r="B3048" i="22" s="1"/>
  <c r="B3047" i="22" a="1"/>
  <c r="B3047" i="22" s="1"/>
  <c r="B3046" i="22" a="1"/>
  <c r="B3046" i="22" s="1"/>
  <c r="B3045" i="22" a="1"/>
  <c r="B3045" i="22" s="1"/>
  <c r="B3044" i="22" a="1"/>
  <c r="B3044" i="22" s="1"/>
  <c r="B3043" i="22" a="1"/>
  <c r="B3043" i="22" s="1"/>
  <c r="B3042" i="22" a="1"/>
  <c r="B3042" i="22" s="1"/>
  <c r="B3041" i="22" a="1"/>
  <c r="B3041" i="22" s="1"/>
  <c r="B3040" i="22" a="1"/>
  <c r="B3040" i="22" s="1"/>
  <c r="B3039" i="22" a="1"/>
  <c r="B3039" i="22" s="1"/>
  <c r="B3038" i="22" a="1"/>
  <c r="B3038" i="22" s="1"/>
  <c r="B3037" i="22" a="1"/>
  <c r="B3037" i="22" s="1"/>
  <c r="B3036" i="22" a="1"/>
  <c r="B3036" i="22" s="1"/>
  <c r="B3035" i="22" a="1"/>
  <c r="B3035" i="22" s="1"/>
  <c r="B3034" i="22" a="1"/>
  <c r="B3034" i="22" s="1"/>
  <c r="B3033" i="22" a="1"/>
  <c r="B3033" i="22" s="1"/>
  <c r="B3032" i="22" a="1"/>
  <c r="B3032" i="22" s="1"/>
  <c r="B3031" i="22" a="1"/>
  <c r="B3031" i="22" s="1"/>
  <c r="B3030" i="22" a="1"/>
  <c r="B3030" i="22" s="1"/>
  <c r="B3029" i="22" a="1"/>
  <c r="B3029" i="22" s="1"/>
  <c r="B3028" i="22" a="1"/>
  <c r="B3028" i="22" s="1"/>
  <c r="B3027" i="22" a="1"/>
  <c r="B3027" i="22" s="1"/>
  <c r="B3026" i="22" a="1"/>
  <c r="B3026" i="22" s="1"/>
  <c r="B3025" i="22" a="1"/>
  <c r="B3025" i="22" s="1"/>
  <c r="B3024" i="22" a="1"/>
  <c r="B3024" i="22" s="1"/>
  <c r="B3023" i="22" a="1"/>
  <c r="B3023" i="22" s="1"/>
  <c r="B3022" i="22" a="1"/>
  <c r="B3022" i="22" s="1"/>
  <c r="B3021" i="22" a="1"/>
  <c r="B3021" i="22" s="1"/>
  <c r="B3020" i="22" a="1"/>
  <c r="B3020" i="22" s="1"/>
  <c r="B3019" i="22" a="1"/>
  <c r="B3019" i="22" s="1"/>
  <c r="B3018" i="22" a="1"/>
  <c r="B3018" i="22" s="1"/>
  <c r="B3017" i="22" a="1"/>
  <c r="B3017" i="22" s="1"/>
  <c r="B3016" i="22" a="1"/>
  <c r="B3016" i="22" s="1"/>
  <c r="B3015" i="22" a="1"/>
  <c r="B3015" i="22" s="1"/>
  <c r="B3014" i="22" a="1"/>
  <c r="B3014" i="22" s="1"/>
  <c r="B3013" i="22" a="1"/>
  <c r="B3013" i="22" s="1"/>
  <c r="B3012" i="22" a="1"/>
  <c r="B3012" i="22" s="1"/>
  <c r="B3011" i="22" a="1"/>
  <c r="B3011" i="22" s="1"/>
  <c r="B3010" i="22" a="1"/>
  <c r="B3010" i="22" s="1"/>
  <c r="B3009" i="22" a="1"/>
  <c r="B3009" i="22" s="1"/>
  <c r="B3008" i="22" a="1"/>
  <c r="B3008" i="22" s="1"/>
  <c r="B3007" i="22" a="1"/>
  <c r="B3007" i="22" s="1"/>
  <c r="B3006" i="22" a="1"/>
  <c r="B3006" i="22" s="1"/>
  <c r="B3005" i="22" a="1"/>
  <c r="B3005" i="22" s="1"/>
  <c r="B3004" i="22" a="1"/>
  <c r="B3004" i="22" s="1"/>
  <c r="B3003" i="22" a="1"/>
  <c r="B3003" i="22" s="1"/>
  <c r="B3002" i="22" a="1"/>
  <c r="B3002" i="22" s="1"/>
  <c r="B3001" i="22" a="1"/>
  <c r="B3001" i="22" s="1"/>
  <c r="B3000" i="22" a="1"/>
  <c r="B3000" i="22" s="1"/>
  <c r="B2999" i="22" a="1"/>
  <c r="B2999" i="22" s="1"/>
  <c r="B2998" i="22" a="1"/>
  <c r="B2998" i="22" s="1"/>
  <c r="B2997" i="22" a="1"/>
  <c r="B2997" i="22" s="1"/>
  <c r="B2996" i="22" a="1"/>
  <c r="B2996" i="22" s="1"/>
  <c r="B2995" i="22" a="1"/>
  <c r="B2995" i="22" s="1"/>
  <c r="B2994" i="22" a="1"/>
  <c r="B2994" i="22" s="1"/>
  <c r="B2993" i="22" a="1"/>
  <c r="B2993" i="22" s="1"/>
  <c r="B2992" i="22" a="1"/>
  <c r="B2992" i="22" s="1"/>
  <c r="B2991" i="22" a="1"/>
  <c r="B2991" i="22" s="1"/>
  <c r="B2990" i="22" a="1"/>
  <c r="B2990" i="22" s="1"/>
  <c r="B2989" i="22" a="1"/>
  <c r="B2989" i="22" s="1"/>
  <c r="B2988" i="22" a="1"/>
  <c r="B2988" i="22" s="1"/>
  <c r="B2987" i="22" a="1"/>
  <c r="B2987" i="22" s="1"/>
  <c r="B2986" i="22" a="1"/>
  <c r="B2986" i="22" s="1"/>
  <c r="B2985" i="22" a="1"/>
  <c r="B2985" i="22" s="1"/>
  <c r="B2984" i="22" a="1"/>
  <c r="B2984" i="22" s="1"/>
  <c r="B2983" i="22" a="1"/>
  <c r="B2983" i="22" s="1"/>
  <c r="B2982" i="22" a="1"/>
  <c r="B2982" i="22" s="1"/>
  <c r="B2981" i="22" a="1"/>
  <c r="B2981" i="22" s="1"/>
  <c r="B2980" i="22" a="1"/>
  <c r="B2980" i="22" s="1"/>
  <c r="B2979" i="22" a="1"/>
  <c r="B2979" i="22" s="1"/>
  <c r="B2978" i="22" a="1"/>
  <c r="B2978" i="22" s="1"/>
  <c r="B2977" i="22" a="1"/>
  <c r="B2977" i="22" s="1"/>
  <c r="B2976" i="22" a="1"/>
  <c r="B2976" i="22" s="1"/>
  <c r="B2975" i="22" a="1"/>
  <c r="B2975" i="22" s="1"/>
  <c r="B2974" i="22" a="1"/>
  <c r="B2974" i="22" s="1"/>
  <c r="B2973" i="22" a="1"/>
  <c r="B2973" i="22" s="1"/>
  <c r="B2972" i="22" a="1"/>
  <c r="B2972" i="22" s="1"/>
  <c r="B2971" i="22" a="1"/>
  <c r="B2971" i="22" s="1"/>
  <c r="B2970" i="22" a="1"/>
  <c r="B2970" i="22" s="1"/>
  <c r="B2969" i="22" a="1"/>
  <c r="B2969" i="22" s="1"/>
  <c r="B2968" i="22" a="1"/>
  <c r="B2968" i="22" s="1"/>
  <c r="B2967" i="22" a="1"/>
  <c r="B2967" i="22" s="1"/>
  <c r="B2966" i="22" a="1"/>
  <c r="B2966" i="22" s="1"/>
  <c r="B2965" i="22" a="1"/>
  <c r="B2965" i="22" s="1"/>
  <c r="B2964" i="22" a="1"/>
  <c r="B2964" i="22" s="1"/>
  <c r="B2963" i="22" a="1"/>
  <c r="B2963" i="22" s="1"/>
  <c r="B2962" i="22" a="1"/>
  <c r="B2962" i="22" s="1"/>
  <c r="B2961" i="22" a="1"/>
  <c r="B2961" i="22" s="1"/>
  <c r="B2960" i="22" a="1"/>
  <c r="B2960" i="22" s="1"/>
  <c r="B2959" i="22" a="1"/>
  <c r="B2959" i="22" s="1"/>
  <c r="B2958" i="22" a="1"/>
  <c r="B2958" i="22" s="1"/>
  <c r="B2957" i="22" a="1"/>
  <c r="B2957" i="22" s="1"/>
  <c r="B2956" i="22" a="1"/>
  <c r="B2956" i="22" s="1"/>
  <c r="B2955" i="22" a="1"/>
  <c r="B2955" i="22" s="1"/>
  <c r="B2954" i="22" a="1"/>
  <c r="B2954" i="22" s="1"/>
  <c r="B2953" i="22" a="1"/>
  <c r="B2953" i="22" s="1"/>
  <c r="B2952" i="22" a="1"/>
  <c r="B2952" i="22" s="1"/>
  <c r="B2951" i="22" a="1"/>
  <c r="B2951" i="22" s="1"/>
  <c r="B2950" i="22" a="1"/>
  <c r="B2950" i="22" s="1"/>
  <c r="B2949" i="22" a="1"/>
  <c r="B2949" i="22" s="1"/>
  <c r="B2948" i="22" a="1"/>
  <c r="B2948" i="22" s="1"/>
  <c r="B2947" i="22" a="1"/>
  <c r="B2947" i="22" s="1"/>
  <c r="B2946" i="22" a="1"/>
  <c r="B2946" i="22" s="1"/>
  <c r="B2945" i="22" a="1"/>
  <c r="B2945" i="22" s="1"/>
  <c r="B2944" i="22" a="1"/>
  <c r="B2944" i="22" s="1"/>
  <c r="B2943" i="22" a="1"/>
  <c r="B2943" i="22" s="1"/>
  <c r="B2942" i="22" a="1"/>
  <c r="B2942" i="22" s="1"/>
  <c r="B2941" i="22" a="1"/>
  <c r="B2941" i="22" s="1"/>
  <c r="B2940" i="22" a="1"/>
  <c r="B2940" i="22" s="1"/>
  <c r="B2939" i="22" a="1"/>
  <c r="B2939" i="22" s="1"/>
  <c r="B2938" i="22" a="1"/>
  <c r="B2938" i="22" s="1"/>
  <c r="B2937" i="22" a="1"/>
  <c r="B2937" i="22" s="1"/>
  <c r="B2936" i="22" a="1"/>
  <c r="B2936" i="22" s="1"/>
  <c r="B2935" i="22" a="1"/>
  <c r="B2935" i="22" s="1"/>
  <c r="B2934" i="22" a="1"/>
  <c r="B2934" i="22" s="1"/>
  <c r="B2933" i="22" a="1"/>
  <c r="B2933" i="22" s="1"/>
  <c r="B2932" i="22" a="1"/>
  <c r="B2932" i="22" s="1"/>
  <c r="B2931" i="22" a="1"/>
  <c r="B2931" i="22" s="1"/>
  <c r="B2930" i="22" a="1"/>
  <c r="B2930" i="22" s="1"/>
  <c r="B2929" i="22" a="1"/>
  <c r="B2929" i="22" s="1"/>
  <c r="B2928" i="22" a="1"/>
  <c r="B2928" i="22" s="1"/>
  <c r="B2927" i="22" a="1"/>
  <c r="B2927" i="22" s="1"/>
  <c r="B2926" i="22" a="1"/>
  <c r="B2926" i="22" s="1"/>
  <c r="B2925" i="22" a="1"/>
  <c r="B2925" i="22" s="1"/>
  <c r="B2924" i="22" a="1"/>
  <c r="B2924" i="22" s="1"/>
  <c r="B2923" i="22" a="1"/>
  <c r="B2923" i="22" s="1"/>
  <c r="B2922" i="22" a="1"/>
  <c r="B2922" i="22" s="1"/>
  <c r="B2921" i="22" a="1"/>
  <c r="B2921" i="22" s="1"/>
  <c r="B2920" i="22" a="1"/>
  <c r="B2920" i="22" s="1"/>
  <c r="B2919" i="22" a="1"/>
  <c r="B2919" i="22" s="1"/>
  <c r="B2918" i="22" a="1"/>
  <c r="B2918" i="22" s="1"/>
  <c r="B2917" i="22" a="1"/>
  <c r="B2917" i="22" s="1"/>
  <c r="B2916" i="22" a="1"/>
  <c r="B2916" i="22" s="1"/>
  <c r="B2915" i="22" a="1"/>
  <c r="B2915" i="22" s="1"/>
  <c r="B2914" i="22" a="1"/>
  <c r="B2914" i="22" s="1"/>
  <c r="B2913" i="22" a="1"/>
  <c r="B2913" i="22" s="1"/>
  <c r="B2912" i="22" a="1"/>
  <c r="B2912" i="22" s="1"/>
  <c r="B2911" i="22" a="1"/>
  <c r="B2911" i="22" s="1"/>
  <c r="B2910" i="22" a="1"/>
  <c r="B2910" i="22" s="1"/>
  <c r="B2909" i="22" a="1"/>
  <c r="B2909" i="22" s="1"/>
  <c r="B2908" i="22" a="1"/>
  <c r="B2908" i="22" s="1"/>
  <c r="B2907" i="22" a="1"/>
  <c r="B2907" i="22" s="1"/>
  <c r="B2906" i="22" a="1"/>
  <c r="B2906" i="22" s="1"/>
  <c r="B2905" i="22" a="1"/>
  <c r="B2905" i="22" s="1"/>
  <c r="B2904" i="22" a="1"/>
  <c r="B2904" i="22" s="1"/>
  <c r="B2903" i="22" a="1"/>
  <c r="B2903" i="22" s="1"/>
  <c r="B2902" i="22" a="1"/>
  <c r="B2902" i="22" s="1"/>
  <c r="B2901" i="22" a="1"/>
  <c r="B2901" i="22" s="1"/>
  <c r="B2900" i="22" a="1"/>
  <c r="B2900" i="22" s="1"/>
  <c r="B2899" i="22" a="1"/>
  <c r="B2899" i="22" s="1"/>
  <c r="B2898" i="22" a="1"/>
  <c r="B2898" i="22" s="1"/>
  <c r="B2897" i="22" a="1"/>
  <c r="B2897" i="22" s="1"/>
  <c r="B2896" i="22" a="1"/>
  <c r="B2896" i="22" s="1"/>
  <c r="B2895" i="22" a="1"/>
  <c r="B2895" i="22" s="1"/>
  <c r="B2894" i="22" a="1"/>
  <c r="B2894" i="22" s="1"/>
  <c r="B2893" i="22" a="1"/>
  <c r="B2893" i="22" s="1"/>
  <c r="B2892" i="22" a="1"/>
  <c r="B2892" i="22" s="1"/>
  <c r="B2891" i="22" a="1"/>
  <c r="B2891" i="22" s="1"/>
  <c r="B2890" i="22" a="1"/>
  <c r="B2890" i="22" s="1"/>
  <c r="B2889" i="22" a="1"/>
  <c r="B2889" i="22" s="1"/>
  <c r="B2888" i="22" a="1"/>
  <c r="B2888" i="22" s="1"/>
  <c r="B2887" i="22" a="1"/>
  <c r="B2887" i="22" s="1"/>
  <c r="B2886" i="22" a="1"/>
  <c r="B2886" i="22" s="1"/>
  <c r="B2885" i="22" a="1"/>
  <c r="B2885" i="22" s="1"/>
  <c r="B2884" i="22" a="1"/>
  <c r="B2884" i="22" s="1"/>
  <c r="B2883" i="22" a="1"/>
  <c r="B2883" i="22" s="1"/>
  <c r="B2882" i="22" a="1"/>
  <c r="B2882" i="22" s="1"/>
  <c r="B2881" i="22" a="1"/>
  <c r="B2881" i="22" s="1"/>
  <c r="B2880" i="22" a="1"/>
  <c r="B2880" i="22" s="1"/>
  <c r="B2879" i="22" a="1"/>
  <c r="B2879" i="22" s="1"/>
  <c r="B2878" i="22" a="1"/>
  <c r="B2878" i="22" s="1"/>
  <c r="B2877" i="22" a="1"/>
  <c r="B2877" i="22" s="1"/>
  <c r="B2876" i="22" a="1"/>
  <c r="B2876" i="22" s="1"/>
  <c r="B2875" i="22" a="1"/>
  <c r="B2875" i="22" s="1"/>
  <c r="B2874" i="22" a="1"/>
  <c r="B2874" i="22" s="1"/>
  <c r="B2873" i="22" a="1"/>
  <c r="B2873" i="22" s="1"/>
  <c r="B2872" i="22" a="1"/>
  <c r="B2872" i="22" s="1"/>
  <c r="B2871" i="22" a="1"/>
  <c r="B2871" i="22" s="1"/>
  <c r="B2870" i="22" a="1"/>
  <c r="B2870" i="22" s="1"/>
  <c r="B2869" i="22" a="1"/>
  <c r="B2869" i="22" s="1"/>
  <c r="B2868" i="22" a="1"/>
  <c r="B2868" i="22" s="1"/>
  <c r="B2867" i="22" a="1"/>
  <c r="B2867" i="22" s="1"/>
  <c r="B2866" i="22" a="1"/>
  <c r="B2866" i="22" s="1"/>
  <c r="B2865" i="22" a="1"/>
  <c r="B2865" i="22" s="1"/>
  <c r="B2864" i="22" a="1"/>
  <c r="B2864" i="22" s="1"/>
  <c r="B2863" i="22" a="1"/>
  <c r="B2863" i="22" s="1"/>
  <c r="B2862" i="22" a="1"/>
  <c r="B2862" i="22" s="1"/>
  <c r="B2861" i="22" a="1"/>
  <c r="B2861" i="22" s="1"/>
  <c r="B2860" i="22" a="1"/>
  <c r="B2860" i="22" s="1"/>
  <c r="B2859" i="22" a="1"/>
  <c r="B2859" i="22" s="1"/>
  <c r="B2858" i="22" a="1"/>
  <c r="B2858" i="22" s="1"/>
  <c r="B2857" i="22" a="1"/>
  <c r="B2857" i="22" s="1"/>
  <c r="B2856" i="22" a="1"/>
  <c r="B2856" i="22" s="1"/>
  <c r="B2855" i="22" a="1"/>
  <c r="B2855" i="22" s="1"/>
  <c r="B2854" i="22" a="1"/>
  <c r="B2854" i="22" s="1"/>
  <c r="B2853" i="22" a="1"/>
  <c r="B2853" i="22" s="1"/>
  <c r="B2852" i="22" a="1"/>
  <c r="B2852" i="22" s="1"/>
  <c r="B2851" i="22" a="1"/>
  <c r="B2851" i="22" s="1"/>
  <c r="B2850" i="22" a="1"/>
  <c r="B2850" i="22" s="1"/>
  <c r="B2849" i="22" a="1"/>
  <c r="B2849" i="22" s="1"/>
  <c r="B2848" i="22" a="1"/>
  <c r="B2848" i="22" s="1"/>
  <c r="B2847" i="22" a="1"/>
  <c r="B2847" i="22" s="1"/>
  <c r="B2846" i="22" a="1"/>
  <c r="B2846" i="22" s="1"/>
  <c r="B2845" i="22" a="1"/>
  <c r="B2845" i="22" s="1"/>
  <c r="B2844" i="22" a="1"/>
  <c r="B2844" i="22" s="1"/>
  <c r="B2843" i="22" a="1"/>
  <c r="B2843" i="22" s="1"/>
  <c r="B2842" i="22" a="1"/>
  <c r="B2842" i="22" s="1"/>
  <c r="B2841" i="22" a="1"/>
  <c r="B2841" i="22" s="1"/>
  <c r="B2840" i="22" a="1"/>
  <c r="B2840" i="22" s="1"/>
  <c r="B2839" i="22" a="1"/>
  <c r="B2839" i="22" s="1"/>
  <c r="B2838" i="22" a="1"/>
  <c r="B2838" i="22" s="1"/>
  <c r="B2837" i="22" a="1"/>
  <c r="B2837" i="22" s="1"/>
  <c r="B2836" i="22" a="1"/>
  <c r="B2836" i="22" s="1"/>
  <c r="B2835" i="22" a="1"/>
  <c r="B2835" i="22" s="1"/>
  <c r="B2834" i="22" a="1"/>
  <c r="B2834" i="22" s="1"/>
  <c r="B2833" i="22" a="1"/>
  <c r="B2833" i="22" s="1"/>
  <c r="B2832" i="22" a="1"/>
  <c r="B2832" i="22" s="1"/>
  <c r="B2831" i="22" a="1"/>
  <c r="B2831" i="22" s="1"/>
  <c r="B2830" i="22" a="1"/>
  <c r="B2830" i="22" s="1"/>
  <c r="B2829" i="22" a="1"/>
  <c r="B2829" i="22" s="1"/>
  <c r="B2828" i="22" a="1"/>
  <c r="B2828" i="22" s="1"/>
  <c r="B2827" i="22" a="1"/>
  <c r="B2827" i="22" s="1"/>
  <c r="B2826" i="22" a="1"/>
  <c r="B2826" i="22" s="1"/>
  <c r="B2825" i="22" a="1"/>
  <c r="B2825" i="22" s="1"/>
  <c r="B2824" i="22" a="1"/>
  <c r="B2824" i="22" s="1"/>
  <c r="B2823" i="22" a="1"/>
  <c r="B2823" i="22" s="1"/>
  <c r="B2822" i="22" a="1"/>
  <c r="B2822" i="22" s="1"/>
  <c r="B2821" i="22" a="1"/>
  <c r="B2821" i="22" s="1"/>
  <c r="B2820" i="22" a="1"/>
  <c r="B2820" i="22" s="1"/>
  <c r="B2819" i="22" a="1"/>
  <c r="B2819" i="22" s="1"/>
  <c r="B2818" i="22" a="1"/>
  <c r="B2818" i="22" s="1"/>
  <c r="B2817" i="22" a="1"/>
  <c r="B2817" i="22" s="1"/>
  <c r="B2816" i="22" a="1"/>
  <c r="B2816" i="22" s="1"/>
  <c r="B2815" i="22" a="1"/>
  <c r="B2815" i="22" s="1"/>
  <c r="B2814" i="22" a="1"/>
  <c r="B2814" i="22" s="1"/>
  <c r="B2813" i="22" a="1"/>
  <c r="B2813" i="22" s="1"/>
  <c r="B2812" i="22" a="1"/>
  <c r="B2812" i="22" s="1"/>
  <c r="B2811" i="22" a="1"/>
  <c r="B2811" i="22" s="1"/>
  <c r="B2810" i="22" a="1"/>
  <c r="B2810" i="22" s="1"/>
  <c r="B2809" i="22" a="1"/>
  <c r="B2809" i="22" s="1"/>
  <c r="B2808" i="22" a="1"/>
  <c r="B2808" i="22" s="1"/>
  <c r="B2807" i="22" a="1"/>
  <c r="B2807" i="22" s="1"/>
  <c r="B2806" i="22" a="1"/>
  <c r="B2806" i="22" s="1"/>
  <c r="B2805" i="22" a="1"/>
  <c r="B2805" i="22" s="1"/>
  <c r="B2804" i="22" a="1"/>
  <c r="B2804" i="22" s="1"/>
  <c r="B2803" i="22" a="1"/>
  <c r="B2803" i="22" s="1"/>
  <c r="B2802" i="22" a="1"/>
  <c r="B2802" i="22" s="1"/>
  <c r="B2801" i="22" a="1"/>
  <c r="B2801" i="22" s="1"/>
  <c r="B2800" i="22" a="1"/>
  <c r="B2800" i="22" s="1"/>
  <c r="B2799" i="22" a="1"/>
  <c r="B2799" i="22" s="1"/>
  <c r="B2798" i="22" a="1"/>
  <c r="B2798" i="22" s="1"/>
  <c r="B2797" i="22" a="1"/>
  <c r="B2797" i="22" s="1"/>
  <c r="B2796" i="22" a="1"/>
  <c r="B2796" i="22" s="1"/>
  <c r="B2795" i="22" a="1"/>
  <c r="B2795" i="22" s="1"/>
  <c r="B2794" i="22" a="1"/>
  <c r="B2794" i="22" s="1"/>
  <c r="B2793" i="22" a="1"/>
  <c r="B2793" i="22" s="1"/>
  <c r="B2792" i="22" a="1"/>
  <c r="B2792" i="22" s="1"/>
  <c r="B2791" i="22" a="1"/>
  <c r="B2791" i="22" s="1"/>
  <c r="B2790" i="22" a="1"/>
  <c r="B2790" i="22" s="1"/>
  <c r="B2789" i="22" a="1"/>
  <c r="B2789" i="22" s="1"/>
  <c r="B2788" i="22" a="1"/>
  <c r="B2788" i="22" s="1"/>
  <c r="B2787" i="22" a="1"/>
  <c r="B2787" i="22" s="1"/>
  <c r="B2786" i="22" a="1"/>
  <c r="B2786" i="22" s="1"/>
  <c r="B2785" i="22" a="1"/>
  <c r="B2785" i="22" s="1"/>
  <c r="B2784" i="22" a="1"/>
  <c r="B2784" i="22" s="1"/>
  <c r="B2783" i="22" a="1"/>
  <c r="B2783" i="22" s="1"/>
  <c r="B2782" i="22" a="1"/>
  <c r="B2782" i="22" s="1"/>
  <c r="B2781" i="22" a="1"/>
  <c r="B2781" i="22" s="1"/>
  <c r="B2780" i="22" a="1"/>
  <c r="B2780" i="22" s="1"/>
  <c r="B2779" i="22" a="1"/>
  <c r="B2779" i="22" s="1"/>
  <c r="B2778" i="22" a="1"/>
  <c r="B2778" i="22" s="1"/>
  <c r="B2777" i="22" a="1"/>
  <c r="B2777" i="22" s="1"/>
  <c r="B2776" i="22" a="1"/>
  <c r="B2776" i="22" s="1"/>
  <c r="B2775" i="22" a="1"/>
  <c r="B2775" i="22" s="1"/>
  <c r="B2774" i="22" a="1"/>
  <c r="B2774" i="22" s="1"/>
  <c r="B2773" i="22" a="1"/>
  <c r="B2773" i="22" s="1"/>
  <c r="B2772" i="22" a="1"/>
  <c r="B2772" i="22" s="1"/>
  <c r="B2771" i="22" a="1"/>
  <c r="B2771" i="22" s="1"/>
  <c r="B2770" i="22" a="1"/>
  <c r="B2770" i="22" s="1"/>
  <c r="B2769" i="22" a="1"/>
  <c r="B2769" i="22" s="1"/>
  <c r="B2768" i="22" a="1"/>
  <c r="B2768" i="22" s="1"/>
  <c r="B2767" i="22" a="1"/>
  <c r="B2767" i="22" s="1"/>
  <c r="B2766" i="22" a="1"/>
  <c r="B2766" i="22" s="1"/>
  <c r="B2765" i="22" a="1"/>
  <c r="B2765" i="22" s="1"/>
  <c r="B2764" i="22" a="1"/>
  <c r="B2764" i="22" s="1"/>
  <c r="B2763" i="22" a="1"/>
  <c r="B2763" i="22" s="1"/>
  <c r="B2762" i="22" a="1"/>
  <c r="B2762" i="22" s="1"/>
  <c r="B2761" i="22" a="1"/>
  <c r="B2761" i="22" s="1"/>
  <c r="B2760" i="22" a="1"/>
  <c r="B2760" i="22" s="1"/>
  <c r="B2759" i="22" a="1"/>
  <c r="B2759" i="22" s="1"/>
  <c r="B2758" i="22" a="1"/>
  <c r="B2758" i="22" s="1"/>
  <c r="B2757" i="22" a="1"/>
  <c r="B2757" i="22" s="1"/>
  <c r="B2756" i="22" a="1"/>
  <c r="B2756" i="22" s="1"/>
  <c r="B2755" i="22" a="1"/>
  <c r="B2755" i="22" s="1"/>
  <c r="B2754" i="22" a="1"/>
  <c r="B2754" i="22" s="1"/>
  <c r="B2753" i="22" a="1"/>
  <c r="B2753" i="22" s="1"/>
  <c r="B2752" i="22" a="1"/>
  <c r="B2752" i="22" s="1"/>
  <c r="B2751" i="22" a="1"/>
  <c r="B2751" i="22" s="1"/>
  <c r="B2750" i="22" a="1"/>
  <c r="B2750" i="22" s="1"/>
  <c r="B2749" i="22" a="1"/>
  <c r="B2749" i="22" s="1"/>
  <c r="B2748" i="22" a="1"/>
  <c r="B2748" i="22" s="1"/>
  <c r="B2747" i="22" a="1"/>
  <c r="B2747" i="22" s="1"/>
  <c r="B2746" i="22" a="1"/>
  <c r="B2746" i="22" s="1"/>
  <c r="B2745" i="22" a="1"/>
  <c r="B2745" i="22" s="1"/>
  <c r="B2744" i="22" a="1"/>
  <c r="B2744" i="22" s="1"/>
  <c r="B2743" i="22" a="1"/>
  <c r="B2743" i="22" s="1"/>
  <c r="B2742" i="22" a="1"/>
  <c r="B2742" i="22" s="1"/>
  <c r="B2741" i="22" a="1"/>
  <c r="B2741" i="22" s="1"/>
  <c r="B2740" i="22" a="1"/>
  <c r="B2740" i="22" s="1"/>
  <c r="B2739" i="22" a="1"/>
  <c r="B2739" i="22" s="1"/>
  <c r="B2738" i="22" a="1"/>
  <c r="B2738" i="22" s="1"/>
  <c r="B2737" i="22" a="1"/>
  <c r="B2737" i="22" s="1"/>
  <c r="B2736" i="22" a="1"/>
  <c r="B2736" i="22" s="1"/>
  <c r="B2735" i="22" a="1"/>
  <c r="B2735" i="22" s="1"/>
  <c r="B2734" i="22" a="1"/>
  <c r="B2734" i="22" s="1"/>
  <c r="B2733" i="22" a="1"/>
  <c r="B2733" i="22" s="1"/>
  <c r="B2732" i="22" a="1"/>
  <c r="B2732" i="22" s="1"/>
  <c r="B2731" i="22" a="1"/>
  <c r="B2731" i="22" s="1"/>
  <c r="B2730" i="22" a="1"/>
  <c r="B2730" i="22" s="1"/>
  <c r="B2729" i="22" a="1"/>
  <c r="B2729" i="22" s="1"/>
  <c r="B2728" i="22" a="1"/>
  <c r="B2728" i="22" s="1"/>
  <c r="B2727" i="22" a="1"/>
  <c r="B2727" i="22" s="1"/>
  <c r="B2726" i="22" a="1"/>
  <c r="B2726" i="22" s="1"/>
  <c r="B2725" i="22" a="1"/>
  <c r="B2725" i="22" s="1"/>
  <c r="B2724" i="22" a="1"/>
  <c r="B2724" i="22" s="1"/>
  <c r="B2723" i="22" a="1"/>
  <c r="B2723" i="22" s="1"/>
  <c r="B2722" i="22" a="1"/>
  <c r="B2722" i="22" s="1"/>
  <c r="B2721" i="22" a="1"/>
  <c r="B2721" i="22" s="1"/>
  <c r="B2720" i="22" a="1"/>
  <c r="B2720" i="22" s="1"/>
  <c r="B2719" i="22" a="1"/>
  <c r="B2719" i="22" s="1"/>
  <c r="B2718" i="22" a="1"/>
  <c r="B2718" i="22" s="1"/>
  <c r="B2717" i="22" a="1"/>
  <c r="B2717" i="22" s="1"/>
  <c r="B2716" i="22" a="1"/>
  <c r="B2716" i="22" s="1"/>
  <c r="B2715" i="22" a="1"/>
  <c r="B2715" i="22" s="1"/>
  <c r="B2714" i="22" a="1"/>
  <c r="B2714" i="22" s="1"/>
  <c r="B2713" i="22" a="1"/>
  <c r="B2713" i="22" s="1"/>
  <c r="B2712" i="22" a="1"/>
  <c r="B2712" i="22" s="1"/>
  <c r="B2711" i="22" a="1"/>
  <c r="B2711" i="22" s="1"/>
  <c r="B2710" i="22" a="1"/>
  <c r="B2710" i="22" s="1"/>
  <c r="B2709" i="22" a="1"/>
  <c r="B2709" i="22" s="1"/>
  <c r="B2708" i="22" a="1"/>
  <c r="B2708" i="22" s="1"/>
  <c r="B2707" i="22" a="1"/>
  <c r="B2707" i="22" s="1"/>
  <c r="B2706" i="22" a="1"/>
  <c r="B2706" i="22" s="1"/>
  <c r="B2705" i="22" a="1"/>
  <c r="B2705" i="22" s="1"/>
  <c r="B2704" i="22" a="1"/>
  <c r="B2704" i="22" s="1"/>
  <c r="B2703" i="22" a="1"/>
  <c r="B2703" i="22" s="1"/>
  <c r="B2702" i="22" a="1"/>
  <c r="B2702" i="22" s="1"/>
  <c r="B2701" i="22" a="1"/>
  <c r="B2701" i="22" s="1"/>
  <c r="B2700" i="22" a="1"/>
  <c r="B2700" i="22" s="1"/>
  <c r="B2699" i="22" a="1"/>
  <c r="B2699" i="22" s="1"/>
  <c r="B2698" i="22" a="1"/>
  <c r="B2698" i="22" s="1"/>
  <c r="B2697" i="22" a="1"/>
  <c r="B2697" i="22" s="1"/>
  <c r="B2696" i="22" a="1"/>
  <c r="B2696" i="22" s="1"/>
  <c r="B2695" i="22" a="1"/>
  <c r="B2695" i="22" s="1"/>
  <c r="B2694" i="22" a="1"/>
  <c r="B2694" i="22" s="1"/>
  <c r="B2693" i="22" a="1"/>
  <c r="B2693" i="22" s="1"/>
  <c r="B2692" i="22" a="1"/>
  <c r="B2692" i="22" s="1"/>
  <c r="B2691" i="22" a="1"/>
  <c r="B2691" i="22" s="1"/>
  <c r="B2690" i="22" a="1"/>
  <c r="B2690" i="22" s="1"/>
  <c r="B2689" i="22" a="1"/>
  <c r="B2689" i="22" s="1"/>
  <c r="B2688" i="22" a="1"/>
  <c r="B2688" i="22" s="1"/>
  <c r="B2687" i="22" a="1"/>
  <c r="B2687" i="22" s="1"/>
  <c r="B2686" i="22" a="1"/>
  <c r="B2686" i="22" s="1"/>
  <c r="B2685" i="22" a="1"/>
  <c r="B2685" i="22" s="1"/>
  <c r="B2684" i="22" a="1"/>
  <c r="B2684" i="22" s="1"/>
  <c r="B2683" i="22" a="1"/>
  <c r="B2683" i="22" s="1"/>
  <c r="B2682" i="22" a="1"/>
  <c r="B2682" i="22" s="1"/>
  <c r="B2681" i="22" a="1"/>
  <c r="B2681" i="22" s="1"/>
  <c r="B2680" i="22" a="1"/>
  <c r="B2680" i="22" s="1"/>
  <c r="B2679" i="22" a="1"/>
  <c r="B2679" i="22" s="1"/>
  <c r="B2678" i="22" a="1"/>
  <c r="B2678" i="22" s="1"/>
  <c r="B2677" i="22" a="1"/>
  <c r="B2677" i="22" s="1"/>
  <c r="B2676" i="22" a="1"/>
  <c r="B2676" i="22" s="1"/>
  <c r="B2675" i="22" a="1"/>
  <c r="B2675" i="22" s="1"/>
  <c r="B2674" i="22" a="1"/>
  <c r="B2674" i="22" s="1"/>
  <c r="B2673" i="22" a="1"/>
  <c r="B2673" i="22" s="1"/>
  <c r="B2672" i="22" a="1"/>
  <c r="B2672" i="22" s="1"/>
  <c r="B2671" i="22" a="1"/>
  <c r="B2671" i="22" s="1"/>
  <c r="B2670" i="22" a="1"/>
  <c r="B2670" i="22" s="1"/>
  <c r="B2669" i="22" a="1"/>
  <c r="B2669" i="22" s="1"/>
  <c r="B2668" i="22" a="1"/>
  <c r="B2668" i="22" s="1"/>
  <c r="B2667" i="22" a="1"/>
  <c r="B2667" i="22" s="1"/>
  <c r="B2666" i="22" a="1"/>
  <c r="B2666" i="22" s="1"/>
  <c r="B2665" i="22" a="1"/>
  <c r="B2665" i="22" s="1"/>
  <c r="B2664" i="22" a="1"/>
  <c r="B2664" i="22" s="1"/>
  <c r="B2663" i="22" a="1"/>
  <c r="B2663" i="22" s="1"/>
  <c r="B2662" i="22" a="1"/>
  <c r="B2662" i="22" s="1"/>
  <c r="B2661" i="22" a="1"/>
  <c r="B2661" i="22" s="1"/>
  <c r="B2660" i="22" a="1"/>
  <c r="B2660" i="22" s="1"/>
  <c r="B2659" i="22" a="1"/>
  <c r="B2659" i="22" s="1"/>
  <c r="B2658" i="22" a="1"/>
  <c r="B2658" i="22" s="1"/>
  <c r="B2657" i="22" a="1"/>
  <c r="B2657" i="22" s="1"/>
  <c r="B2656" i="22" a="1"/>
  <c r="B2656" i="22" s="1"/>
  <c r="B2655" i="22" a="1"/>
  <c r="B2655" i="22" s="1"/>
  <c r="B2654" i="22" a="1"/>
  <c r="B2654" i="22" s="1"/>
  <c r="B2653" i="22" a="1"/>
  <c r="B2653" i="22" s="1"/>
  <c r="B2652" i="22" a="1"/>
  <c r="B2652" i="22" s="1"/>
  <c r="B2651" i="22" a="1"/>
  <c r="B2651" i="22" s="1"/>
  <c r="B2650" i="22" a="1"/>
  <c r="B2650" i="22" s="1"/>
  <c r="B2649" i="22" a="1"/>
  <c r="B2649" i="22" s="1"/>
  <c r="B2648" i="22" a="1"/>
  <c r="B2648" i="22" s="1"/>
  <c r="B2647" i="22" a="1"/>
  <c r="B2647" i="22" s="1"/>
  <c r="B2646" i="22" a="1"/>
  <c r="B2646" i="22" s="1"/>
  <c r="B2645" i="22" a="1"/>
  <c r="B2645" i="22" s="1"/>
  <c r="B2644" i="22" a="1"/>
  <c r="B2644" i="22" s="1"/>
  <c r="B2643" i="22" a="1"/>
  <c r="B2643" i="22" s="1"/>
  <c r="B2642" i="22" a="1"/>
  <c r="B2642" i="22" s="1"/>
  <c r="B2641" i="22" a="1"/>
  <c r="B2641" i="22" s="1"/>
  <c r="B2640" i="22" a="1"/>
  <c r="B2640" i="22" s="1"/>
  <c r="B2639" i="22" a="1"/>
  <c r="B2639" i="22" s="1"/>
  <c r="B2638" i="22" a="1"/>
  <c r="B2638" i="22" s="1"/>
  <c r="B2637" i="22" a="1"/>
  <c r="B2637" i="22" s="1"/>
  <c r="B2636" i="22" a="1"/>
  <c r="B2636" i="22" s="1"/>
  <c r="B2635" i="22" a="1"/>
  <c r="B2635" i="22" s="1"/>
  <c r="B2634" i="22" a="1"/>
  <c r="B2634" i="22" s="1"/>
  <c r="B2633" i="22" a="1"/>
  <c r="B2633" i="22" s="1"/>
  <c r="B2632" i="22" a="1"/>
  <c r="B2632" i="22" s="1"/>
  <c r="B2631" i="22" a="1"/>
  <c r="B2631" i="22" s="1"/>
  <c r="B2630" i="22" a="1"/>
  <c r="B2630" i="22" s="1"/>
  <c r="B2629" i="22" a="1"/>
  <c r="B2629" i="22" s="1"/>
  <c r="B2628" i="22" a="1"/>
  <c r="B2628" i="22" s="1"/>
  <c r="B2627" i="22" a="1"/>
  <c r="B2627" i="22" s="1"/>
  <c r="B2626" i="22" a="1"/>
  <c r="B2626" i="22" s="1"/>
  <c r="B2625" i="22" a="1"/>
  <c r="B2625" i="22" s="1"/>
  <c r="B2624" i="22" a="1"/>
  <c r="B2624" i="22" s="1"/>
  <c r="B2623" i="22" a="1"/>
  <c r="B2623" i="22" s="1"/>
  <c r="B2622" i="22" a="1"/>
  <c r="B2622" i="22" s="1"/>
  <c r="B2621" i="22" a="1"/>
  <c r="B2621" i="22" s="1"/>
  <c r="B2620" i="22" a="1"/>
  <c r="B2620" i="22" s="1"/>
  <c r="B2619" i="22" a="1"/>
  <c r="B2619" i="22" s="1"/>
  <c r="B2618" i="22" a="1"/>
  <c r="B2618" i="22" s="1"/>
  <c r="B2617" i="22" a="1"/>
  <c r="B2617" i="22" s="1"/>
  <c r="B2616" i="22" a="1"/>
  <c r="B2616" i="22" s="1"/>
  <c r="B2615" i="22" a="1"/>
  <c r="B2615" i="22" s="1"/>
  <c r="B2614" i="22" a="1"/>
  <c r="B2614" i="22" s="1"/>
  <c r="B2613" i="22" a="1"/>
  <c r="B2613" i="22" s="1"/>
  <c r="B2612" i="22" a="1"/>
  <c r="B2612" i="22" s="1"/>
  <c r="B2611" i="22" a="1"/>
  <c r="B2611" i="22" s="1"/>
  <c r="B2610" i="22" a="1"/>
  <c r="B2610" i="22" s="1"/>
  <c r="B2609" i="22" a="1"/>
  <c r="B2609" i="22" s="1"/>
  <c r="B2608" i="22" a="1"/>
  <c r="B2608" i="22" s="1"/>
  <c r="B2607" i="22" a="1"/>
  <c r="B2607" i="22" s="1"/>
  <c r="B2606" i="22" a="1"/>
  <c r="B2606" i="22" s="1"/>
  <c r="B2605" i="22" a="1"/>
  <c r="B2605" i="22" s="1"/>
  <c r="B2604" i="22" a="1"/>
  <c r="B2604" i="22" s="1"/>
  <c r="B2603" i="22" a="1"/>
  <c r="B2603" i="22" s="1"/>
  <c r="B2602" i="22" a="1"/>
  <c r="B2602" i="22" s="1"/>
  <c r="B2601" i="22" a="1"/>
  <c r="B2601" i="22" s="1"/>
  <c r="B2600" i="22" a="1"/>
  <c r="B2600" i="22" s="1"/>
  <c r="B2599" i="22" a="1"/>
  <c r="B2599" i="22" s="1"/>
  <c r="B2598" i="22" a="1"/>
  <c r="B2598" i="22" s="1"/>
  <c r="B2597" i="22" a="1"/>
  <c r="B2597" i="22" s="1"/>
  <c r="B2596" i="22" a="1"/>
  <c r="B2596" i="22" s="1"/>
  <c r="B2595" i="22" a="1"/>
  <c r="B2595" i="22" s="1"/>
  <c r="B2594" i="22" a="1"/>
  <c r="B2594" i="22" s="1"/>
  <c r="B2593" i="22" a="1"/>
  <c r="B2593" i="22" s="1"/>
  <c r="B2592" i="22" a="1"/>
  <c r="B2592" i="22" s="1"/>
  <c r="B2591" i="22" a="1"/>
  <c r="B2591" i="22" s="1"/>
  <c r="B2590" i="22" a="1"/>
  <c r="B2590" i="22" s="1"/>
  <c r="B2589" i="22" a="1"/>
  <c r="B2589" i="22" s="1"/>
  <c r="B2588" i="22" a="1"/>
  <c r="B2588" i="22" s="1"/>
  <c r="B2587" i="22" a="1"/>
  <c r="B2587" i="22" s="1"/>
  <c r="B2586" i="22" a="1"/>
  <c r="B2586" i="22" s="1"/>
  <c r="B2585" i="22" a="1"/>
  <c r="B2585" i="22" s="1"/>
  <c r="B2584" i="22" a="1"/>
  <c r="B2584" i="22" s="1"/>
  <c r="B2583" i="22" a="1"/>
  <c r="B2583" i="22" s="1"/>
  <c r="B2582" i="22" a="1"/>
  <c r="B2582" i="22" s="1"/>
  <c r="B2581" i="22" a="1"/>
  <c r="B2581" i="22" s="1"/>
  <c r="B2580" i="22" a="1"/>
  <c r="B2580" i="22" s="1"/>
  <c r="B2579" i="22" a="1"/>
  <c r="B2579" i="22" s="1"/>
  <c r="B2578" i="22" a="1"/>
  <c r="B2578" i="22" s="1"/>
  <c r="B2577" i="22" a="1"/>
  <c r="B2577" i="22" s="1"/>
  <c r="B2576" i="22" a="1"/>
  <c r="B2576" i="22" s="1"/>
  <c r="B2575" i="22" a="1"/>
  <c r="B2575" i="22" s="1"/>
  <c r="B2574" i="22" a="1"/>
  <c r="B2574" i="22" s="1"/>
  <c r="B2573" i="22" a="1"/>
  <c r="B2573" i="22" s="1"/>
  <c r="B2572" i="22" a="1"/>
  <c r="B2572" i="22" s="1"/>
  <c r="B2571" i="22" a="1"/>
  <c r="B2571" i="22" s="1"/>
  <c r="B2570" i="22" a="1"/>
  <c r="B2570" i="22" s="1"/>
  <c r="B2569" i="22" a="1"/>
  <c r="B2569" i="22" s="1"/>
  <c r="B2568" i="22" a="1"/>
  <c r="B2568" i="22" s="1"/>
  <c r="B2567" i="22" a="1"/>
  <c r="B2567" i="22" s="1"/>
  <c r="B2566" i="22" a="1"/>
  <c r="B2566" i="22" s="1"/>
  <c r="B2565" i="22" a="1"/>
  <c r="B2565" i="22" s="1"/>
  <c r="B2564" i="22" a="1"/>
  <c r="B2564" i="22" s="1"/>
  <c r="B2563" i="22" a="1"/>
  <c r="B2563" i="22" s="1"/>
  <c r="B2562" i="22" a="1"/>
  <c r="B2562" i="22" s="1"/>
  <c r="B2561" i="22" a="1"/>
  <c r="B2561" i="22" s="1"/>
  <c r="B2560" i="22" a="1"/>
  <c r="B2560" i="22" s="1"/>
  <c r="B2559" i="22" a="1"/>
  <c r="B2559" i="22" s="1"/>
  <c r="B2558" i="22" a="1"/>
  <c r="B2558" i="22" s="1"/>
  <c r="B2557" i="22" a="1"/>
  <c r="B2557" i="22" s="1"/>
  <c r="B2556" i="22" a="1"/>
  <c r="B2556" i="22" s="1"/>
  <c r="B2555" i="22" a="1"/>
  <c r="B2555" i="22" s="1"/>
  <c r="B2554" i="22" a="1"/>
  <c r="B2554" i="22" s="1"/>
  <c r="B2553" i="22" a="1"/>
  <c r="B2553" i="22" s="1"/>
  <c r="B2552" i="22" a="1"/>
  <c r="B2552" i="22" s="1"/>
  <c r="B2551" i="22" a="1"/>
  <c r="B2551" i="22" s="1"/>
  <c r="B2550" i="22" a="1"/>
  <c r="B2550" i="22" s="1"/>
  <c r="B2549" i="22" a="1"/>
  <c r="B2549" i="22" s="1"/>
  <c r="B2548" i="22" a="1"/>
  <c r="B2548" i="22" s="1"/>
  <c r="B2547" i="22" a="1"/>
  <c r="B2547" i="22" s="1"/>
  <c r="B2546" i="22" a="1"/>
  <c r="B2546" i="22" s="1"/>
  <c r="B2545" i="22" a="1"/>
  <c r="B2545" i="22" s="1"/>
  <c r="B2544" i="22" a="1"/>
  <c r="B2544" i="22" s="1"/>
  <c r="B2543" i="22" a="1"/>
  <c r="B2543" i="22" s="1"/>
  <c r="B2542" i="22" a="1"/>
  <c r="B2542" i="22" s="1"/>
  <c r="B2541" i="22" a="1"/>
  <c r="B2541" i="22" s="1"/>
  <c r="B2540" i="22" a="1"/>
  <c r="B2540" i="22" s="1"/>
  <c r="B2539" i="22" a="1"/>
  <c r="B2539" i="22" s="1"/>
  <c r="B2538" i="22" a="1"/>
  <c r="B2538" i="22" s="1"/>
  <c r="B2537" i="22" a="1"/>
  <c r="B2537" i="22" s="1"/>
  <c r="B2536" i="22" a="1"/>
  <c r="B2536" i="22" s="1"/>
  <c r="B2535" i="22" a="1"/>
  <c r="B2535" i="22" s="1"/>
  <c r="B2534" i="22" a="1"/>
  <c r="B2534" i="22" s="1"/>
  <c r="B2533" i="22" a="1"/>
  <c r="B2533" i="22" s="1"/>
  <c r="B2532" i="22" a="1"/>
  <c r="B2532" i="22" s="1"/>
  <c r="B2531" i="22" a="1"/>
  <c r="B2531" i="22" s="1"/>
  <c r="B2530" i="22" a="1"/>
  <c r="B2530" i="22" s="1"/>
  <c r="B2529" i="22" a="1"/>
  <c r="B2529" i="22" s="1"/>
  <c r="B2528" i="22" a="1"/>
  <c r="B2528" i="22" s="1"/>
  <c r="B2527" i="22" a="1"/>
  <c r="B2527" i="22" s="1"/>
  <c r="B2526" i="22" a="1"/>
  <c r="B2526" i="22" s="1"/>
  <c r="B2525" i="22" a="1"/>
  <c r="B2525" i="22" s="1"/>
  <c r="B2524" i="22" a="1"/>
  <c r="B2524" i="22" s="1"/>
  <c r="B2523" i="22" a="1"/>
  <c r="B2523" i="22" s="1"/>
  <c r="B2522" i="22" a="1"/>
  <c r="B2522" i="22" s="1"/>
  <c r="B2521" i="22" a="1"/>
  <c r="B2521" i="22" s="1"/>
  <c r="B2520" i="22" a="1"/>
  <c r="B2520" i="22" s="1"/>
  <c r="B2519" i="22" a="1"/>
  <c r="B2519" i="22" s="1"/>
  <c r="B2518" i="22" a="1"/>
  <c r="B2518" i="22" s="1"/>
  <c r="B2517" i="22" a="1"/>
  <c r="B2517" i="22" s="1"/>
  <c r="B2516" i="22" a="1"/>
  <c r="B2516" i="22" s="1"/>
  <c r="B2515" i="22" a="1"/>
  <c r="B2515" i="22" s="1"/>
  <c r="B2514" i="22" a="1"/>
  <c r="B2514" i="22" s="1"/>
  <c r="B2513" i="22" a="1"/>
  <c r="B2513" i="22" s="1"/>
  <c r="B2512" i="22" a="1"/>
  <c r="B2512" i="22" s="1"/>
  <c r="B2511" i="22" a="1"/>
  <c r="B2511" i="22" s="1"/>
  <c r="B2510" i="22" a="1"/>
  <c r="B2510" i="22" s="1"/>
  <c r="B2509" i="22" a="1"/>
  <c r="B2509" i="22" s="1"/>
  <c r="B2508" i="22" a="1"/>
  <c r="B2508" i="22" s="1"/>
  <c r="B2507" i="22" a="1"/>
  <c r="B2507" i="22" s="1"/>
  <c r="B2506" i="22" a="1"/>
  <c r="B2506" i="22" s="1"/>
  <c r="B2505" i="22" a="1"/>
  <c r="B2505" i="22" s="1"/>
  <c r="B2504" i="22" a="1"/>
  <c r="B2504" i="22" s="1"/>
  <c r="B2503" i="22" a="1"/>
  <c r="B2503" i="22" s="1"/>
  <c r="B2502" i="22" a="1"/>
  <c r="B2502" i="22" s="1"/>
  <c r="B2501" i="22" a="1"/>
  <c r="B2501" i="22" s="1"/>
  <c r="B2500" i="22" a="1"/>
  <c r="B2500" i="22" s="1"/>
  <c r="B2499" i="22" a="1"/>
  <c r="B2499" i="22" s="1"/>
  <c r="B2498" i="22" a="1"/>
  <c r="B2498" i="22" s="1"/>
  <c r="B2497" i="22" a="1"/>
  <c r="B2497" i="22" s="1"/>
  <c r="B2496" i="22" a="1"/>
  <c r="B2496" i="22" s="1"/>
  <c r="B2495" i="22" a="1"/>
  <c r="B2495" i="22" s="1"/>
  <c r="B2494" i="22" a="1"/>
  <c r="B2494" i="22" s="1"/>
  <c r="B2493" i="22" a="1"/>
  <c r="B2493" i="22" s="1"/>
  <c r="B2492" i="22" a="1"/>
  <c r="B2492" i="22" s="1"/>
  <c r="B2491" i="22" a="1"/>
  <c r="B2491" i="22" s="1"/>
  <c r="B2490" i="22" a="1"/>
  <c r="B2490" i="22" s="1"/>
  <c r="B2489" i="22" a="1"/>
  <c r="B2489" i="22" s="1"/>
  <c r="B2488" i="22" a="1"/>
  <c r="B2488" i="22" s="1"/>
  <c r="B2487" i="22" a="1"/>
  <c r="B2487" i="22" s="1"/>
  <c r="B2486" i="22" a="1"/>
  <c r="B2486" i="22" s="1"/>
  <c r="B2485" i="22" a="1"/>
  <c r="B2485" i="22" s="1"/>
  <c r="B2484" i="22" a="1"/>
  <c r="B2484" i="22" s="1"/>
  <c r="B2483" i="22" a="1"/>
  <c r="B2483" i="22" s="1"/>
  <c r="B2482" i="22" a="1"/>
  <c r="B2482" i="22" s="1"/>
  <c r="B2481" i="22" a="1"/>
  <c r="B2481" i="22" s="1"/>
  <c r="B2480" i="22" a="1"/>
  <c r="B2480" i="22" s="1"/>
  <c r="B2479" i="22" a="1"/>
  <c r="B2479" i="22" s="1"/>
  <c r="B2478" i="22" a="1"/>
  <c r="B2478" i="22" s="1"/>
  <c r="B2477" i="22" a="1"/>
  <c r="B2477" i="22" s="1"/>
  <c r="B2476" i="22" a="1"/>
  <c r="B2476" i="22" s="1"/>
  <c r="B2475" i="22" a="1"/>
  <c r="B2475" i="22" s="1"/>
  <c r="B2474" i="22" a="1"/>
  <c r="B2474" i="22" s="1"/>
  <c r="B2473" i="22" a="1"/>
  <c r="B2473" i="22" s="1"/>
  <c r="B2472" i="22" a="1"/>
  <c r="B2472" i="22" s="1"/>
  <c r="B2471" i="22" a="1"/>
  <c r="B2471" i="22" s="1"/>
  <c r="B2470" i="22" a="1"/>
  <c r="B2470" i="22" s="1"/>
  <c r="B2469" i="22" a="1"/>
  <c r="B2469" i="22" s="1"/>
  <c r="B2468" i="22" a="1"/>
  <c r="B2468" i="22" s="1"/>
  <c r="B2467" i="22" a="1"/>
  <c r="B2467" i="22" s="1"/>
  <c r="B2466" i="22" a="1"/>
  <c r="B2466" i="22" s="1"/>
  <c r="B2465" i="22" a="1"/>
  <c r="B2465" i="22" s="1"/>
  <c r="B2464" i="22" a="1"/>
  <c r="B2464" i="22" s="1"/>
  <c r="B2463" i="22" a="1"/>
  <c r="B2463" i="22" s="1"/>
  <c r="B2462" i="22" a="1"/>
  <c r="B2462" i="22" s="1"/>
  <c r="B2461" i="22" a="1"/>
  <c r="B2461" i="22" s="1"/>
  <c r="B2460" i="22" a="1"/>
  <c r="B2460" i="22" s="1"/>
  <c r="B2459" i="22" a="1"/>
  <c r="B2459" i="22" s="1"/>
  <c r="B2458" i="22" a="1"/>
  <c r="B2458" i="22" s="1"/>
  <c r="B2457" i="22" a="1"/>
  <c r="B2457" i="22" s="1"/>
  <c r="B2456" i="22" a="1"/>
  <c r="B2456" i="22" s="1"/>
  <c r="B2455" i="22" a="1"/>
  <c r="B2455" i="22" s="1"/>
  <c r="B2454" i="22" a="1"/>
  <c r="B2454" i="22" s="1"/>
  <c r="B2453" i="22" a="1"/>
  <c r="B2453" i="22" s="1"/>
  <c r="B2452" i="22" a="1"/>
  <c r="B2452" i="22" s="1"/>
  <c r="B2451" i="22" a="1"/>
  <c r="B2451" i="22" s="1"/>
  <c r="B2450" i="22" a="1"/>
  <c r="B2450" i="22" s="1"/>
  <c r="B2449" i="22" a="1"/>
  <c r="B2449" i="22" s="1"/>
  <c r="B2448" i="22" a="1"/>
  <c r="B2448" i="22" s="1"/>
  <c r="B2447" i="22" a="1"/>
  <c r="B2447" i="22" s="1"/>
  <c r="B2446" i="22" a="1"/>
  <c r="B2446" i="22" s="1"/>
  <c r="B2445" i="22" a="1"/>
  <c r="B2445" i="22" s="1"/>
  <c r="B2444" i="22" a="1"/>
  <c r="B2444" i="22" s="1"/>
  <c r="B2443" i="22" a="1"/>
  <c r="B2443" i="22" s="1"/>
  <c r="B2442" i="22" a="1"/>
  <c r="B2442" i="22" s="1"/>
  <c r="B2441" i="22" a="1"/>
  <c r="B2441" i="22" s="1"/>
  <c r="B2440" i="22" a="1"/>
  <c r="B2440" i="22" s="1"/>
  <c r="B2439" i="22" a="1"/>
  <c r="B2439" i="22" s="1"/>
  <c r="B2438" i="22" a="1"/>
  <c r="B2438" i="22" s="1"/>
  <c r="B2437" i="22" a="1"/>
  <c r="B2437" i="22" s="1"/>
  <c r="B2436" i="22" a="1"/>
  <c r="B2436" i="22" s="1"/>
  <c r="B2435" i="22" a="1"/>
  <c r="B2435" i="22" s="1"/>
  <c r="B2434" i="22" a="1"/>
  <c r="B2434" i="22" s="1"/>
  <c r="B2433" i="22" a="1"/>
  <c r="B2433" i="22" s="1"/>
  <c r="B2432" i="22" a="1"/>
  <c r="B2432" i="22" s="1"/>
  <c r="B2431" i="22" a="1"/>
  <c r="B2431" i="22" s="1"/>
  <c r="B2430" i="22" a="1"/>
  <c r="B2430" i="22" s="1"/>
  <c r="B2429" i="22" a="1"/>
  <c r="B2429" i="22" s="1"/>
  <c r="B2428" i="22" a="1"/>
  <c r="B2428" i="22" s="1"/>
  <c r="B2427" i="22" a="1"/>
  <c r="B2427" i="22" s="1"/>
  <c r="B2426" i="22" a="1"/>
  <c r="B2426" i="22" s="1"/>
  <c r="B2425" i="22" a="1"/>
  <c r="B2425" i="22" s="1"/>
  <c r="B2424" i="22" a="1"/>
  <c r="B2424" i="22" s="1"/>
  <c r="B2423" i="22" a="1"/>
  <c r="B2423" i="22" s="1"/>
  <c r="B2422" i="22" a="1"/>
  <c r="B2422" i="22" s="1"/>
  <c r="B2421" i="22" a="1"/>
  <c r="B2421" i="22" s="1"/>
  <c r="B2420" i="22" a="1"/>
  <c r="B2420" i="22" s="1"/>
  <c r="B2419" i="22" a="1"/>
  <c r="B2419" i="22" s="1"/>
  <c r="B2418" i="22" a="1"/>
  <c r="B2418" i="22" s="1"/>
  <c r="B2417" i="22" a="1"/>
  <c r="B2417" i="22" s="1"/>
  <c r="B2416" i="22" a="1"/>
  <c r="B2416" i="22" s="1"/>
  <c r="B2415" i="22" a="1"/>
  <c r="B2415" i="22" s="1"/>
  <c r="B2414" i="22" a="1"/>
  <c r="B2414" i="22" s="1"/>
  <c r="B2413" i="22" a="1"/>
  <c r="B2413" i="22" s="1"/>
  <c r="B2412" i="22" a="1"/>
  <c r="B2412" i="22" s="1"/>
  <c r="B2411" i="22" a="1"/>
  <c r="B2411" i="22" s="1"/>
  <c r="B2410" i="22" a="1"/>
  <c r="B2410" i="22" s="1"/>
  <c r="B2409" i="22" a="1"/>
  <c r="B2409" i="22" s="1"/>
  <c r="B2408" i="22" a="1"/>
  <c r="B2408" i="22" s="1"/>
  <c r="B2407" i="22" a="1"/>
  <c r="B2407" i="22" s="1"/>
  <c r="B2406" i="22" a="1"/>
  <c r="B2406" i="22" s="1"/>
  <c r="B2405" i="22" a="1"/>
  <c r="B2405" i="22" s="1"/>
  <c r="B2404" i="22" a="1"/>
  <c r="B2404" i="22" s="1"/>
  <c r="B2403" i="22" a="1"/>
  <c r="B2403" i="22" s="1"/>
  <c r="B2402" i="22" a="1"/>
  <c r="B2402" i="22" s="1"/>
  <c r="B2401" i="22" a="1"/>
  <c r="B2401" i="22" s="1"/>
  <c r="B2400" i="22" a="1"/>
  <c r="B2400" i="22" s="1"/>
  <c r="B2399" i="22" a="1"/>
  <c r="B2399" i="22" s="1"/>
  <c r="B2398" i="22" a="1"/>
  <c r="B2398" i="22" s="1"/>
  <c r="B2397" i="22" a="1"/>
  <c r="B2397" i="22" s="1"/>
  <c r="B2396" i="22" a="1"/>
  <c r="B2396" i="22" s="1"/>
  <c r="B2395" i="22" a="1"/>
  <c r="B2395" i="22" s="1"/>
  <c r="B2394" i="22" a="1"/>
  <c r="B2394" i="22" s="1"/>
  <c r="B2393" i="22" a="1"/>
  <c r="B2393" i="22" s="1"/>
  <c r="B2392" i="22" a="1"/>
  <c r="B2392" i="22" s="1"/>
  <c r="B2391" i="22" a="1"/>
  <c r="B2391" i="22" s="1"/>
  <c r="B2390" i="22" a="1"/>
  <c r="B2390" i="22" s="1"/>
  <c r="B2389" i="22" a="1"/>
  <c r="B2389" i="22" s="1"/>
  <c r="B2388" i="22" a="1"/>
  <c r="B2388" i="22" s="1"/>
  <c r="B2387" i="22" a="1"/>
  <c r="B2387" i="22" s="1"/>
  <c r="B2386" i="22" a="1"/>
  <c r="B2386" i="22" s="1"/>
  <c r="B2385" i="22" a="1"/>
  <c r="B2385" i="22" s="1"/>
  <c r="B2384" i="22" a="1"/>
  <c r="B2384" i="22" s="1"/>
  <c r="B2383" i="22" a="1"/>
  <c r="B2383" i="22" s="1"/>
  <c r="B2382" i="22" a="1"/>
  <c r="B2382" i="22" s="1"/>
  <c r="B2381" i="22" a="1"/>
  <c r="B2381" i="22" s="1"/>
  <c r="B2380" i="22" a="1"/>
  <c r="B2380" i="22" s="1"/>
  <c r="B2379" i="22" a="1"/>
  <c r="B2379" i="22" s="1"/>
  <c r="B2378" i="22" a="1"/>
  <c r="B2378" i="22" s="1"/>
  <c r="B2377" i="22" a="1"/>
  <c r="B2377" i="22" s="1"/>
  <c r="B2376" i="22" a="1"/>
  <c r="B2376" i="22" s="1"/>
  <c r="B2375" i="22" a="1"/>
  <c r="B2375" i="22" s="1"/>
  <c r="B2374" i="22" a="1"/>
  <c r="B2374" i="22" s="1"/>
  <c r="B2373" i="22" a="1"/>
  <c r="B2373" i="22" s="1"/>
  <c r="B2372" i="22" a="1"/>
  <c r="B2372" i="22" s="1"/>
  <c r="B2371" i="22" a="1"/>
  <c r="B2371" i="22" s="1"/>
  <c r="B2370" i="22" a="1"/>
  <c r="B2370" i="22" s="1"/>
  <c r="B2369" i="22" a="1"/>
  <c r="B2369" i="22" s="1"/>
  <c r="B2368" i="22" a="1"/>
  <c r="B2368" i="22" s="1"/>
  <c r="B2367" i="22" a="1"/>
  <c r="B2367" i="22" s="1"/>
  <c r="B2366" i="22" a="1"/>
  <c r="B2366" i="22" s="1"/>
  <c r="B2365" i="22" a="1"/>
  <c r="B2365" i="22" s="1"/>
  <c r="B2364" i="22" a="1"/>
  <c r="B2364" i="22" s="1"/>
  <c r="B2363" i="22" a="1"/>
  <c r="B2363" i="22" s="1"/>
  <c r="B2362" i="22" a="1"/>
  <c r="B2362" i="22" s="1"/>
  <c r="B2361" i="22" a="1"/>
  <c r="B2361" i="22" s="1"/>
  <c r="B2360" i="22" a="1"/>
  <c r="B2360" i="22" s="1"/>
  <c r="B2359" i="22" a="1"/>
  <c r="B2359" i="22" s="1"/>
  <c r="B2358" i="22" a="1"/>
  <c r="B2358" i="22" s="1"/>
  <c r="B2357" i="22" a="1"/>
  <c r="B2357" i="22" s="1"/>
  <c r="B2356" i="22" a="1"/>
  <c r="B2356" i="22" s="1"/>
  <c r="B2355" i="22" a="1"/>
  <c r="B2355" i="22" s="1"/>
  <c r="B2354" i="22" a="1"/>
  <c r="B2354" i="22" s="1"/>
  <c r="B2353" i="22" a="1"/>
  <c r="B2353" i="22" s="1"/>
  <c r="B2352" i="22" a="1"/>
  <c r="B2352" i="22" s="1"/>
  <c r="B2351" i="22" a="1"/>
  <c r="B2351" i="22" s="1"/>
  <c r="B2350" i="22" a="1"/>
  <c r="B2350" i="22" s="1"/>
  <c r="B2349" i="22" a="1"/>
  <c r="B2349" i="22" s="1"/>
  <c r="B2348" i="22" a="1"/>
  <c r="B2348" i="22" s="1"/>
  <c r="B2347" i="22" a="1"/>
  <c r="B2347" i="22" s="1"/>
  <c r="B2346" i="22" a="1"/>
  <c r="B2346" i="22" s="1"/>
  <c r="B2345" i="22" a="1"/>
  <c r="B2345" i="22" s="1"/>
  <c r="B2344" i="22" a="1"/>
  <c r="B2344" i="22" s="1"/>
  <c r="B2343" i="22" a="1"/>
  <c r="B2343" i="22" s="1"/>
  <c r="B2342" i="22" a="1"/>
  <c r="B2342" i="22" s="1"/>
  <c r="B2341" i="22" a="1"/>
  <c r="B2341" i="22" s="1"/>
  <c r="B2340" i="22" a="1"/>
  <c r="B2340" i="22" s="1"/>
  <c r="B2339" i="22" a="1"/>
  <c r="B2339" i="22" s="1"/>
  <c r="B2338" i="22" a="1"/>
  <c r="B2338" i="22" s="1"/>
  <c r="B2337" i="22" a="1"/>
  <c r="B2337" i="22" s="1"/>
  <c r="B2336" i="22" a="1"/>
  <c r="B2336" i="22" s="1"/>
  <c r="B2335" i="22" a="1"/>
  <c r="B2335" i="22" s="1"/>
  <c r="B2334" i="22" a="1"/>
  <c r="B2334" i="22" s="1"/>
  <c r="B2333" i="22" a="1"/>
  <c r="B2333" i="22" s="1"/>
  <c r="B2332" i="22" a="1"/>
  <c r="B2332" i="22" s="1"/>
  <c r="B2331" i="22" a="1"/>
  <c r="B2331" i="22" s="1"/>
  <c r="B2330" i="22" a="1"/>
  <c r="B2330" i="22" s="1"/>
  <c r="B2329" i="22" a="1"/>
  <c r="B2329" i="22" s="1"/>
  <c r="B2328" i="22" a="1"/>
  <c r="B2328" i="22" s="1"/>
  <c r="B2327" i="22" a="1"/>
  <c r="B2327" i="22" s="1"/>
  <c r="B2326" i="22" a="1"/>
  <c r="B2326" i="22" s="1"/>
  <c r="B2325" i="22" a="1"/>
  <c r="B2325" i="22" s="1"/>
  <c r="B2324" i="22" a="1"/>
  <c r="B2324" i="22" s="1"/>
  <c r="B2323" i="22" a="1"/>
  <c r="B2323" i="22" s="1"/>
  <c r="B2322" i="22" a="1"/>
  <c r="B2322" i="22" s="1"/>
  <c r="B2321" i="22" a="1"/>
  <c r="B2321" i="22" s="1"/>
  <c r="B2320" i="22" a="1"/>
  <c r="B2320" i="22" s="1"/>
  <c r="B2319" i="22" a="1"/>
  <c r="B2319" i="22" s="1"/>
  <c r="B2318" i="22" a="1"/>
  <c r="B2318" i="22" s="1"/>
  <c r="B2317" i="22" a="1"/>
  <c r="B2317" i="22" s="1"/>
  <c r="B2316" i="22" a="1"/>
  <c r="B2316" i="22" s="1"/>
  <c r="B2315" i="22" a="1"/>
  <c r="B2315" i="22" s="1"/>
  <c r="B2314" i="22" a="1"/>
  <c r="B2314" i="22" s="1"/>
  <c r="B2313" i="22" a="1"/>
  <c r="B2313" i="22" s="1"/>
  <c r="B2312" i="22" a="1"/>
  <c r="B2312" i="22" s="1"/>
  <c r="B2311" i="22" a="1"/>
  <c r="B2311" i="22" s="1"/>
  <c r="B2310" i="22" a="1"/>
  <c r="B2310" i="22" s="1"/>
  <c r="B2309" i="22" a="1"/>
  <c r="B2309" i="22" s="1"/>
  <c r="B2308" i="22" a="1"/>
  <c r="B2308" i="22" s="1"/>
  <c r="B2307" i="22" a="1"/>
  <c r="B2307" i="22" s="1"/>
  <c r="B2306" i="22" a="1"/>
  <c r="B2306" i="22" s="1"/>
  <c r="B2305" i="22" a="1"/>
  <c r="B2305" i="22" s="1"/>
  <c r="B2304" i="22" a="1"/>
  <c r="B2304" i="22" s="1"/>
  <c r="B2303" i="22" a="1"/>
  <c r="B2303" i="22" s="1"/>
  <c r="B2302" i="22" a="1"/>
  <c r="B2302" i="22" s="1"/>
  <c r="B2301" i="22" a="1"/>
  <c r="B2301" i="22" s="1"/>
  <c r="B2300" i="22" a="1"/>
  <c r="B2300" i="22" s="1"/>
  <c r="B2299" i="22" a="1"/>
  <c r="B2299" i="22" s="1"/>
  <c r="B2298" i="22" a="1"/>
  <c r="B2298" i="22" s="1"/>
  <c r="B2297" i="22" a="1"/>
  <c r="B2297" i="22" s="1"/>
  <c r="B2296" i="22" a="1"/>
  <c r="B2296" i="22" s="1"/>
  <c r="B2295" i="22" a="1"/>
  <c r="B2295" i="22" s="1"/>
  <c r="B2294" i="22" a="1"/>
  <c r="B2294" i="22" s="1"/>
  <c r="B2293" i="22" a="1"/>
  <c r="B2293" i="22" s="1"/>
  <c r="B2292" i="22" a="1"/>
  <c r="B2292" i="22" s="1"/>
  <c r="B2291" i="22" a="1"/>
  <c r="B2291" i="22" s="1"/>
  <c r="B2290" i="22" a="1"/>
  <c r="B2290" i="22" s="1"/>
  <c r="B2289" i="22" a="1"/>
  <c r="B2289" i="22" s="1"/>
  <c r="B2288" i="22" a="1"/>
  <c r="B2288" i="22" s="1"/>
  <c r="B2287" i="22" a="1"/>
  <c r="B2287" i="22" s="1"/>
  <c r="B2286" i="22" a="1"/>
  <c r="B2286" i="22" s="1"/>
  <c r="B2285" i="22" a="1"/>
  <c r="B2285" i="22" s="1"/>
  <c r="B2284" i="22" a="1"/>
  <c r="B2284" i="22" s="1"/>
  <c r="B2283" i="22" a="1"/>
  <c r="B2283" i="22" s="1"/>
  <c r="B2282" i="22" a="1"/>
  <c r="B2282" i="22" s="1"/>
  <c r="B2281" i="22" a="1"/>
  <c r="B2281" i="22" s="1"/>
  <c r="B2280" i="22" a="1"/>
  <c r="B2280" i="22" s="1"/>
  <c r="B2279" i="22" a="1"/>
  <c r="B2279" i="22" s="1"/>
  <c r="B2278" i="22" a="1"/>
  <c r="B2278" i="22" s="1"/>
  <c r="B2277" i="22" a="1"/>
  <c r="B2277" i="22" s="1"/>
  <c r="B2276" i="22" a="1"/>
  <c r="B2276" i="22" s="1"/>
  <c r="B2275" i="22" a="1"/>
  <c r="B2275" i="22" s="1"/>
  <c r="B2274" i="22" a="1"/>
  <c r="B2274" i="22" s="1"/>
  <c r="B2273" i="22" a="1"/>
  <c r="B2273" i="22" s="1"/>
  <c r="B2272" i="22" a="1"/>
  <c r="B2272" i="22" s="1"/>
  <c r="B2271" i="22" a="1"/>
  <c r="B2271" i="22" s="1"/>
  <c r="B2270" i="22" a="1"/>
  <c r="B2270" i="22" s="1"/>
  <c r="B2269" i="22" a="1"/>
  <c r="B2269" i="22" s="1"/>
  <c r="B2268" i="22" a="1"/>
  <c r="B2268" i="22" s="1"/>
  <c r="B2267" i="22" a="1"/>
  <c r="B2267" i="22" s="1"/>
  <c r="B2266" i="22" a="1"/>
  <c r="B2266" i="22" s="1"/>
  <c r="B2265" i="22" a="1"/>
  <c r="B2265" i="22" s="1"/>
  <c r="B2264" i="22" a="1"/>
  <c r="B2264" i="22" s="1"/>
  <c r="B2263" i="22" a="1"/>
  <c r="B2263" i="22" s="1"/>
  <c r="B2262" i="22" a="1"/>
  <c r="B2262" i="22" s="1"/>
  <c r="B2261" i="22" a="1"/>
  <c r="B2261" i="22" s="1"/>
  <c r="B2260" i="22" a="1"/>
  <c r="B2260" i="22" s="1"/>
  <c r="B2259" i="22" a="1"/>
  <c r="B2259" i="22" s="1"/>
  <c r="B2258" i="22" a="1"/>
  <c r="B2258" i="22" s="1"/>
  <c r="B2257" i="22" a="1"/>
  <c r="B2257" i="22" s="1"/>
  <c r="B2256" i="22" a="1"/>
  <c r="B2256" i="22" s="1"/>
  <c r="B2255" i="22" a="1"/>
  <c r="B2255" i="22" s="1"/>
  <c r="B2254" i="22" a="1"/>
  <c r="B2254" i="22" s="1"/>
  <c r="B2253" i="22" a="1"/>
  <c r="B2253" i="22" s="1"/>
  <c r="B2252" i="22" a="1"/>
  <c r="B2252" i="22" s="1"/>
  <c r="B2251" i="22" a="1"/>
  <c r="B2251" i="22" s="1"/>
  <c r="B2250" i="22" a="1"/>
  <c r="B2250" i="22" s="1"/>
  <c r="B2249" i="22" a="1"/>
  <c r="B2249" i="22" s="1"/>
  <c r="B2248" i="22" a="1"/>
  <c r="B2248" i="22" s="1"/>
  <c r="B2247" i="22" a="1"/>
  <c r="B2247" i="22" s="1"/>
  <c r="B2246" i="22" a="1"/>
  <c r="B2246" i="22" s="1"/>
  <c r="B2245" i="22" a="1"/>
  <c r="B2245" i="22" s="1"/>
  <c r="B2244" i="22" a="1"/>
  <c r="B2244" i="22" s="1"/>
  <c r="B2243" i="22" a="1"/>
  <c r="B2243" i="22" s="1"/>
  <c r="B2242" i="22" a="1"/>
  <c r="B2242" i="22" s="1"/>
  <c r="B2241" i="22" a="1"/>
  <c r="B2241" i="22" s="1"/>
  <c r="B2240" i="22" a="1"/>
  <c r="B2240" i="22" s="1"/>
  <c r="B2239" i="22" a="1"/>
  <c r="B2239" i="22" s="1"/>
  <c r="B2238" i="22" a="1"/>
  <c r="B2238" i="22" s="1"/>
  <c r="B2237" i="22" a="1"/>
  <c r="B2237" i="22" s="1"/>
  <c r="B2236" i="22" a="1"/>
  <c r="B2236" i="22" s="1"/>
  <c r="B2235" i="22" a="1"/>
  <c r="B2235" i="22" s="1"/>
  <c r="B2234" i="22" a="1"/>
  <c r="B2234" i="22" s="1"/>
  <c r="B2233" i="22" a="1"/>
  <c r="B2233" i="22" s="1"/>
  <c r="B2232" i="22" a="1"/>
  <c r="B2232" i="22" s="1"/>
  <c r="B2231" i="22" a="1"/>
  <c r="B2231" i="22" s="1"/>
  <c r="B2230" i="22" a="1"/>
  <c r="B2230" i="22" s="1"/>
  <c r="B2229" i="22" a="1"/>
  <c r="B2229" i="22" s="1"/>
  <c r="B2228" i="22" a="1"/>
  <c r="B2228" i="22" s="1"/>
  <c r="B2227" i="22" a="1"/>
  <c r="B2227" i="22" s="1"/>
  <c r="B2226" i="22" a="1"/>
  <c r="B2226" i="22" s="1"/>
  <c r="B2225" i="22" a="1"/>
  <c r="B2225" i="22" s="1"/>
  <c r="B2224" i="22" a="1"/>
  <c r="B2224" i="22" s="1"/>
  <c r="B2223" i="22" a="1"/>
  <c r="B2223" i="22" s="1"/>
  <c r="B2222" i="22" a="1"/>
  <c r="B2222" i="22" s="1"/>
  <c r="B2221" i="22" a="1"/>
  <c r="B2221" i="22" s="1"/>
  <c r="B2220" i="22" a="1"/>
  <c r="B2220" i="22" s="1"/>
  <c r="B2219" i="22" a="1"/>
  <c r="B2219" i="22" s="1"/>
  <c r="B2218" i="22" a="1"/>
  <c r="B2218" i="22" s="1"/>
  <c r="B2217" i="22" a="1"/>
  <c r="B2217" i="22" s="1"/>
  <c r="B2216" i="22" a="1"/>
  <c r="B2216" i="22" s="1"/>
  <c r="B2215" i="22" a="1"/>
  <c r="B2215" i="22" s="1"/>
  <c r="B2214" i="22" a="1"/>
  <c r="B2214" i="22" s="1"/>
  <c r="B2213" i="22" a="1"/>
  <c r="B2213" i="22" s="1"/>
  <c r="B2212" i="22" a="1"/>
  <c r="B2212" i="22" s="1"/>
  <c r="B2211" i="22" a="1"/>
  <c r="B2211" i="22" s="1"/>
  <c r="B2210" i="22" a="1"/>
  <c r="B2210" i="22" s="1"/>
  <c r="B2209" i="22" a="1"/>
  <c r="B2209" i="22" s="1"/>
  <c r="B2208" i="22" a="1"/>
  <c r="B2208" i="22" s="1"/>
  <c r="B2207" i="22" a="1"/>
  <c r="B2207" i="22" s="1"/>
  <c r="B2206" i="22" a="1"/>
  <c r="B2206" i="22" s="1"/>
  <c r="B2205" i="22" a="1"/>
  <c r="B2205" i="22" s="1"/>
  <c r="B2204" i="22" a="1"/>
  <c r="B2204" i="22" s="1"/>
  <c r="B2203" i="22" a="1"/>
  <c r="B2203" i="22" s="1"/>
  <c r="B2202" i="22" a="1"/>
  <c r="B2202" i="22" s="1"/>
  <c r="B2201" i="22" a="1"/>
  <c r="B2201" i="22" s="1"/>
  <c r="B2200" i="22" a="1"/>
  <c r="B2200" i="22" s="1"/>
  <c r="B2199" i="22" a="1"/>
  <c r="B2199" i="22" s="1"/>
  <c r="B2198" i="22" a="1"/>
  <c r="B2198" i="22" s="1"/>
  <c r="B2197" i="22" a="1"/>
  <c r="B2197" i="22" s="1"/>
  <c r="B2196" i="22" a="1"/>
  <c r="B2196" i="22" s="1"/>
  <c r="B2195" i="22" a="1"/>
  <c r="B2195" i="22" s="1"/>
  <c r="B2194" i="22" a="1"/>
  <c r="B2194" i="22" s="1"/>
  <c r="B2193" i="22" a="1"/>
  <c r="B2193" i="22" s="1"/>
  <c r="B2192" i="22" a="1"/>
  <c r="B2192" i="22" s="1"/>
  <c r="B2191" i="22" a="1"/>
  <c r="B2191" i="22" s="1"/>
  <c r="B2190" i="22" a="1"/>
  <c r="B2190" i="22" s="1"/>
  <c r="B2189" i="22" a="1"/>
  <c r="B2189" i="22" s="1"/>
  <c r="B2188" i="22" a="1"/>
  <c r="B2188" i="22" s="1"/>
  <c r="B2187" i="22" a="1"/>
  <c r="B2187" i="22" s="1"/>
  <c r="B2186" i="22" a="1"/>
  <c r="B2186" i="22" s="1"/>
  <c r="B2185" i="22" a="1"/>
  <c r="B2185" i="22" s="1"/>
  <c r="B2184" i="22" a="1"/>
  <c r="B2184" i="22" s="1"/>
  <c r="B2183" i="22" a="1"/>
  <c r="B2183" i="22" s="1"/>
  <c r="B2182" i="22" a="1"/>
  <c r="B2182" i="22" s="1"/>
  <c r="B2181" i="22" a="1"/>
  <c r="B2181" i="22" s="1"/>
  <c r="B2180" i="22" a="1"/>
  <c r="B2180" i="22" s="1"/>
  <c r="B2179" i="22" a="1"/>
  <c r="B2179" i="22" s="1"/>
  <c r="B2178" i="22" a="1"/>
  <c r="B2178" i="22" s="1"/>
  <c r="B2177" i="22" a="1"/>
  <c r="B2177" i="22" s="1"/>
  <c r="B2176" i="22" a="1"/>
  <c r="B2176" i="22" s="1"/>
  <c r="B2175" i="22" a="1"/>
  <c r="B2175" i="22" s="1"/>
  <c r="B2174" i="22" a="1"/>
  <c r="B2174" i="22" s="1"/>
  <c r="B2173" i="22" a="1"/>
  <c r="B2173" i="22" s="1"/>
  <c r="B2172" i="22" a="1"/>
  <c r="B2172" i="22" s="1"/>
  <c r="B2171" i="22" a="1"/>
  <c r="B2171" i="22" s="1"/>
  <c r="B2170" i="22" a="1"/>
  <c r="B2170" i="22" s="1"/>
  <c r="B2169" i="22" a="1"/>
  <c r="B2169" i="22" s="1"/>
  <c r="B2168" i="22" a="1"/>
  <c r="B2168" i="22" s="1"/>
  <c r="B2167" i="22" a="1"/>
  <c r="B2167" i="22" s="1"/>
  <c r="B2166" i="22" a="1"/>
  <c r="B2166" i="22" s="1"/>
  <c r="B2165" i="22" a="1"/>
  <c r="B2165" i="22" s="1"/>
  <c r="B2164" i="22" a="1"/>
  <c r="B2164" i="22" s="1"/>
  <c r="B2163" i="22" a="1"/>
  <c r="B2163" i="22" s="1"/>
  <c r="B2162" i="22" a="1"/>
  <c r="B2162" i="22" s="1"/>
  <c r="B2161" i="22" a="1"/>
  <c r="B2161" i="22" s="1"/>
  <c r="B2160" i="22" a="1"/>
  <c r="B2160" i="22" s="1"/>
  <c r="B2159" i="22" a="1"/>
  <c r="B2159" i="22" s="1"/>
  <c r="B2158" i="22" a="1"/>
  <c r="B2158" i="22" s="1"/>
  <c r="B2157" i="22" a="1"/>
  <c r="B2157" i="22" s="1"/>
  <c r="B2156" i="22" a="1"/>
  <c r="B2156" i="22" s="1"/>
  <c r="B2155" i="22" a="1"/>
  <c r="B2155" i="22" s="1"/>
  <c r="B2154" i="22" a="1"/>
  <c r="B2154" i="22" s="1"/>
  <c r="B2153" i="22" a="1"/>
  <c r="B2153" i="22" s="1"/>
  <c r="B2152" i="22" a="1"/>
  <c r="B2152" i="22" s="1"/>
  <c r="B2151" i="22" a="1"/>
  <c r="B2151" i="22" s="1"/>
  <c r="B2150" i="22" a="1"/>
  <c r="B2150" i="22" s="1"/>
  <c r="B2149" i="22" a="1"/>
  <c r="B2149" i="22" s="1"/>
  <c r="B2148" i="22" a="1"/>
  <c r="B2148" i="22" s="1"/>
  <c r="B2147" i="22" a="1"/>
  <c r="B2147" i="22" s="1"/>
  <c r="B2146" i="22" a="1"/>
  <c r="B2146" i="22" s="1"/>
  <c r="B2145" i="22" a="1"/>
  <c r="B2145" i="22" s="1"/>
  <c r="B2144" i="22" a="1"/>
  <c r="B2144" i="22" s="1"/>
  <c r="B2143" i="22" a="1"/>
  <c r="B2143" i="22" s="1"/>
  <c r="B2142" i="22" a="1"/>
  <c r="B2142" i="22" s="1"/>
  <c r="B2141" i="22" a="1"/>
  <c r="B2141" i="22" s="1"/>
  <c r="B2140" i="22" a="1"/>
  <c r="B2140" i="22" s="1"/>
  <c r="B2139" i="22" a="1"/>
  <c r="B2139" i="22" s="1"/>
  <c r="B2138" i="22" a="1"/>
  <c r="B2138" i="22" s="1"/>
  <c r="B2137" i="22" a="1"/>
  <c r="B2137" i="22" s="1"/>
  <c r="B2136" i="22" a="1"/>
  <c r="B2136" i="22" s="1"/>
  <c r="B2135" i="22" a="1"/>
  <c r="B2135" i="22" s="1"/>
  <c r="B2134" i="22" a="1"/>
  <c r="B2134" i="22" s="1"/>
  <c r="B2133" i="22" a="1"/>
  <c r="B2133" i="22" s="1"/>
  <c r="B2132" i="22" a="1"/>
  <c r="B2132" i="22" s="1"/>
  <c r="B2131" i="22" a="1"/>
  <c r="B2131" i="22" s="1"/>
  <c r="B2130" i="22" a="1"/>
  <c r="B2130" i="22" s="1"/>
  <c r="B2129" i="22" a="1"/>
  <c r="B2129" i="22" s="1"/>
  <c r="B2128" i="22" a="1"/>
  <c r="B2128" i="22" s="1"/>
  <c r="B2127" i="22" a="1"/>
  <c r="B2127" i="22" s="1"/>
  <c r="B2126" i="22" a="1"/>
  <c r="B2126" i="22" s="1"/>
  <c r="B2125" i="22" a="1"/>
  <c r="B2125" i="22" s="1"/>
  <c r="B2124" i="22" a="1"/>
  <c r="B2124" i="22" s="1"/>
  <c r="B2123" i="22" a="1"/>
  <c r="B2123" i="22" s="1"/>
  <c r="B2122" i="22" a="1"/>
  <c r="B2122" i="22" s="1"/>
  <c r="B2121" i="22" a="1"/>
  <c r="B2121" i="22" s="1"/>
  <c r="B2120" i="22" a="1"/>
  <c r="B2120" i="22" s="1"/>
  <c r="B2119" i="22" a="1"/>
  <c r="B2119" i="22" s="1"/>
  <c r="B2118" i="22" a="1"/>
  <c r="B2118" i="22" s="1"/>
  <c r="B2117" i="22" a="1"/>
  <c r="B2117" i="22" s="1"/>
  <c r="B2116" i="22" a="1"/>
  <c r="B2116" i="22" s="1"/>
  <c r="B2115" i="22" a="1"/>
  <c r="B2115" i="22" s="1"/>
  <c r="B2114" i="22" a="1"/>
  <c r="B2114" i="22" s="1"/>
  <c r="B2113" i="22" a="1"/>
  <c r="B2113" i="22" s="1"/>
  <c r="B2112" i="22" a="1"/>
  <c r="B2112" i="22" s="1"/>
  <c r="B2111" i="22" a="1"/>
  <c r="B2111" i="22" s="1"/>
  <c r="B2110" i="22" a="1"/>
  <c r="B2110" i="22" s="1"/>
  <c r="B2109" i="22" a="1"/>
  <c r="B2109" i="22" s="1"/>
  <c r="B2108" i="22" a="1"/>
  <c r="B2108" i="22" s="1"/>
  <c r="B2107" i="22" a="1"/>
  <c r="B2107" i="22" s="1"/>
  <c r="B2106" i="22" a="1"/>
  <c r="B2106" i="22" s="1"/>
  <c r="B2105" i="22" a="1"/>
  <c r="B2105" i="22" s="1"/>
  <c r="B2104" i="22" a="1"/>
  <c r="B2104" i="22" s="1"/>
  <c r="B2103" i="22" a="1"/>
  <c r="B2103" i="22" s="1"/>
  <c r="B2102" i="22" a="1"/>
  <c r="B2102" i="22" s="1"/>
  <c r="B2101" i="22" a="1"/>
  <c r="B2101" i="22" s="1"/>
  <c r="B2100" i="22" a="1"/>
  <c r="B2100" i="22" s="1"/>
  <c r="B2099" i="22" a="1"/>
  <c r="B2099" i="22" s="1"/>
  <c r="B2098" i="22" a="1"/>
  <c r="B2098" i="22" s="1"/>
  <c r="B2097" i="22" a="1"/>
  <c r="B2097" i="22" s="1"/>
  <c r="B2096" i="22" a="1"/>
  <c r="B2096" i="22" s="1"/>
  <c r="B2095" i="22" a="1"/>
  <c r="B2095" i="22" s="1"/>
  <c r="B2094" i="22" a="1"/>
  <c r="B2094" i="22" s="1"/>
  <c r="B2093" i="22" a="1"/>
  <c r="B2093" i="22" s="1"/>
  <c r="B2092" i="22" a="1"/>
  <c r="B2092" i="22" s="1"/>
  <c r="B2091" i="22" a="1"/>
  <c r="B2091" i="22" s="1"/>
  <c r="B2090" i="22" a="1"/>
  <c r="B2090" i="22" s="1"/>
  <c r="B2089" i="22" a="1"/>
  <c r="B2089" i="22" s="1"/>
  <c r="B2088" i="22" a="1"/>
  <c r="B2088" i="22" s="1"/>
  <c r="B2087" i="22" a="1"/>
  <c r="B2087" i="22" s="1"/>
  <c r="B2086" i="22" a="1"/>
  <c r="B2086" i="22" s="1"/>
  <c r="B2085" i="22" a="1"/>
  <c r="B2085" i="22" s="1"/>
  <c r="B2084" i="22" a="1"/>
  <c r="B2084" i="22" s="1"/>
  <c r="B2083" i="22" a="1"/>
  <c r="B2083" i="22" s="1"/>
  <c r="B2082" i="22" a="1"/>
  <c r="B2082" i="22" s="1"/>
  <c r="B2081" i="22" a="1"/>
  <c r="B2081" i="22" s="1"/>
  <c r="B2080" i="22" a="1"/>
  <c r="B2080" i="22" s="1"/>
  <c r="B2079" i="22" a="1"/>
  <c r="B2079" i="22" s="1"/>
  <c r="B2078" i="22" a="1"/>
  <c r="B2078" i="22" s="1"/>
  <c r="B2077" i="22" a="1"/>
  <c r="B2077" i="22" s="1"/>
  <c r="B2076" i="22" a="1"/>
  <c r="B2076" i="22" s="1"/>
  <c r="B2075" i="22" a="1"/>
  <c r="B2075" i="22" s="1"/>
  <c r="B2074" i="22" a="1"/>
  <c r="B2074" i="22" s="1"/>
  <c r="B2073" i="22" a="1"/>
  <c r="B2073" i="22" s="1"/>
  <c r="B2072" i="22" a="1"/>
  <c r="B2072" i="22" s="1"/>
  <c r="B2071" i="22" a="1"/>
  <c r="B2071" i="22" s="1"/>
  <c r="B2070" i="22" a="1"/>
  <c r="B2070" i="22" s="1"/>
  <c r="B2069" i="22" a="1"/>
  <c r="B2069" i="22" s="1"/>
  <c r="B2068" i="22" a="1"/>
  <c r="B2068" i="22" s="1"/>
  <c r="B2067" i="22" a="1"/>
  <c r="B2067" i="22" s="1"/>
  <c r="B2066" i="22" a="1"/>
  <c r="B2066" i="22" s="1"/>
  <c r="B2065" i="22" a="1"/>
  <c r="B2065" i="22" s="1"/>
  <c r="B2064" i="22" a="1"/>
  <c r="B2064" i="22" s="1"/>
  <c r="B2063" i="22" a="1"/>
  <c r="B2063" i="22" s="1"/>
  <c r="B2062" i="22" a="1"/>
  <c r="B2062" i="22" s="1"/>
  <c r="B2061" i="22" a="1"/>
  <c r="B2061" i="22" s="1"/>
  <c r="B2060" i="22" a="1"/>
  <c r="B2060" i="22" s="1"/>
  <c r="B2059" i="22" a="1"/>
  <c r="B2059" i="22" s="1"/>
  <c r="B2058" i="22" a="1"/>
  <c r="B2058" i="22" s="1"/>
  <c r="B2057" i="22" a="1"/>
  <c r="B2057" i="22" s="1"/>
  <c r="B2056" i="22" a="1"/>
  <c r="B2056" i="22" s="1"/>
  <c r="B2055" i="22" a="1"/>
  <c r="B2055" i="22" s="1"/>
  <c r="B2054" i="22" a="1"/>
  <c r="B2054" i="22" s="1"/>
  <c r="B2053" i="22" a="1"/>
  <c r="B2053" i="22" s="1"/>
  <c r="B2052" i="22" a="1"/>
  <c r="B2052" i="22" s="1"/>
  <c r="B2051" i="22" a="1"/>
  <c r="B2051" i="22" s="1"/>
  <c r="B2050" i="22" a="1"/>
  <c r="B2050" i="22" s="1"/>
  <c r="B2049" i="22" a="1"/>
  <c r="B2049" i="22" s="1"/>
  <c r="B2048" i="22" a="1"/>
  <c r="B2048" i="22" s="1"/>
  <c r="B2047" i="22" a="1"/>
  <c r="B2047" i="22" s="1"/>
  <c r="B2046" i="22" a="1"/>
  <c r="B2046" i="22" s="1"/>
  <c r="B2045" i="22" a="1"/>
  <c r="B2045" i="22" s="1"/>
  <c r="B2044" i="22" a="1"/>
  <c r="B2044" i="22" s="1"/>
  <c r="B2043" i="22" a="1"/>
  <c r="B2043" i="22" s="1"/>
  <c r="B2042" i="22" a="1"/>
  <c r="B2042" i="22" s="1"/>
  <c r="B2041" i="22" a="1"/>
  <c r="B2041" i="22" s="1"/>
  <c r="B2040" i="22" a="1"/>
  <c r="B2040" i="22" s="1"/>
  <c r="B2039" i="22" a="1"/>
  <c r="B2039" i="22" s="1"/>
  <c r="B2038" i="22" a="1"/>
  <c r="B2038" i="22" s="1"/>
  <c r="B2037" i="22" a="1"/>
  <c r="B2037" i="22" s="1"/>
  <c r="B2036" i="22" a="1"/>
  <c r="B2036" i="22" s="1"/>
  <c r="B2035" i="22" a="1"/>
  <c r="B2035" i="22" s="1"/>
  <c r="B2034" i="22" a="1"/>
  <c r="B2034" i="22" s="1"/>
  <c r="B2033" i="22" a="1"/>
  <c r="B2033" i="22" s="1"/>
  <c r="B2032" i="22" a="1"/>
  <c r="B2032" i="22" s="1"/>
  <c r="B2031" i="22" a="1"/>
  <c r="B2031" i="22" s="1"/>
  <c r="B2030" i="22" a="1"/>
  <c r="B2030" i="22" s="1"/>
  <c r="B2029" i="22" a="1"/>
  <c r="B2029" i="22" s="1"/>
  <c r="B2028" i="22" a="1"/>
  <c r="B2028" i="22" s="1"/>
  <c r="B2027" i="22" a="1"/>
  <c r="B2027" i="22" s="1"/>
  <c r="B2026" i="22" a="1"/>
  <c r="B2026" i="22" s="1"/>
  <c r="B2025" i="22" a="1"/>
  <c r="B2025" i="22" s="1"/>
  <c r="B2024" i="22" a="1"/>
  <c r="B2024" i="22" s="1"/>
  <c r="B2023" i="22" a="1"/>
  <c r="B2023" i="22" s="1"/>
  <c r="B2022" i="22" a="1"/>
  <c r="B2022" i="22" s="1"/>
  <c r="B2021" i="22" a="1"/>
  <c r="B2021" i="22" s="1"/>
  <c r="B2020" i="22" a="1"/>
  <c r="B2020" i="22" s="1"/>
  <c r="B2019" i="22" a="1"/>
  <c r="B2019" i="22" s="1"/>
  <c r="B2018" i="22" a="1"/>
  <c r="B2018" i="22" s="1"/>
  <c r="B2017" i="22" a="1"/>
  <c r="B2017" i="22" s="1"/>
  <c r="B2016" i="22" a="1"/>
  <c r="B2016" i="22" s="1"/>
  <c r="B2015" i="22" a="1"/>
  <c r="B2015" i="22" s="1"/>
  <c r="B2014" i="22" a="1"/>
  <c r="B2014" i="22" s="1"/>
  <c r="B2013" i="22" a="1"/>
  <c r="B2013" i="22" s="1"/>
  <c r="B2012" i="22" a="1"/>
  <c r="B2012" i="22" s="1"/>
  <c r="B2011" i="22" a="1"/>
  <c r="B2011" i="22" s="1"/>
  <c r="B2010" i="22" a="1"/>
  <c r="B2010" i="22" s="1"/>
  <c r="B2009" i="22" a="1"/>
  <c r="B2009" i="22" s="1"/>
  <c r="B2008" i="22" a="1"/>
  <c r="B2008" i="22" s="1"/>
  <c r="B2007" i="22" a="1"/>
  <c r="B2007" i="22" s="1"/>
  <c r="B2006" i="22" a="1"/>
  <c r="B2006" i="22" s="1"/>
  <c r="B2005" i="22" a="1"/>
  <c r="B2005" i="22" s="1"/>
  <c r="B2004" i="22" a="1"/>
  <c r="B2004" i="22" s="1"/>
  <c r="B2003" i="22" a="1"/>
  <c r="B2003" i="22" s="1"/>
  <c r="B2002" i="22" a="1"/>
  <c r="B2002" i="22" s="1"/>
  <c r="B2001" i="22" a="1"/>
  <c r="B2001" i="22" s="1"/>
  <c r="B2000" i="22" a="1"/>
  <c r="B2000" i="22" s="1"/>
  <c r="B1999" i="22" a="1"/>
  <c r="B1999" i="22" s="1"/>
  <c r="B1998" i="22" a="1"/>
  <c r="B1998" i="22" s="1"/>
  <c r="B1997" i="22" a="1"/>
  <c r="B1997" i="22" s="1"/>
  <c r="B1996" i="22" a="1"/>
  <c r="B1996" i="22" s="1"/>
  <c r="B1995" i="22" a="1"/>
  <c r="B1995" i="22" s="1"/>
  <c r="B1994" i="22" a="1"/>
  <c r="B1994" i="22" s="1"/>
  <c r="B1993" i="22" a="1"/>
  <c r="B1993" i="22" s="1"/>
  <c r="B1992" i="22" a="1"/>
  <c r="B1992" i="22" s="1"/>
  <c r="B1991" i="22" a="1"/>
  <c r="B1991" i="22" s="1"/>
  <c r="B1990" i="22" a="1"/>
  <c r="B1990" i="22" s="1"/>
  <c r="B1989" i="22" a="1"/>
  <c r="B1989" i="22" s="1"/>
  <c r="B1988" i="22" a="1"/>
  <c r="B1988" i="22" s="1"/>
  <c r="B1987" i="22" a="1"/>
  <c r="B1987" i="22" s="1"/>
  <c r="B1986" i="22" a="1"/>
  <c r="B1986" i="22" s="1"/>
  <c r="B1985" i="22" a="1"/>
  <c r="B1985" i="22" s="1"/>
  <c r="B1984" i="22" a="1"/>
  <c r="B1984" i="22" s="1"/>
  <c r="B1983" i="22" a="1"/>
  <c r="B1983" i="22" s="1"/>
  <c r="B1982" i="22" a="1"/>
  <c r="B1982" i="22" s="1"/>
  <c r="B1981" i="22" a="1"/>
  <c r="B1981" i="22" s="1"/>
  <c r="B1980" i="22" a="1"/>
  <c r="B1980" i="22" s="1"/>
  <c r="B1979" i="22" a="1"/>
  <c r="B1979" i="22" s="1"/>
  <c r="B1978" i="22" a="1"/>
  <c r="B1978" i="22" s="1"/>
  <c r="B1977" i="22" a="1"/>
  <c r="B1977" i="22" s="1"/>
  <c r="B1976" i="22" a="1"/>
  <c r="B1976" i="22" s="1"/>
  <c r="B1975" i="22" a="1"/>
  <c r="B1975" i="22" s="1"/>
  <c r="B1974" i="22" a="1"/>
  <c r="B1974" i="22" s="1"/>
  <c r="B1973" i="22" a="1"/>
  <c r="B1973" i="22" s="1"/>
  <c r="B1972" i="22" a="1"/>
  <c r="B1972" i="22" s="1"/>
  <c r="B1971" i="22" a="1"/>
  <c r="B1971" i="22" s="1"/>
  <c r="B1970" i="22" a="1"/>
  <c r="B1970" i="22" s="1"/>
  <c r="B1969" i="22" a="1"/>
  <c r="B1969" i="22" s="1"/>
  <c r="B1968" i="22" a="1"/>
  <c r="B1968" i="22" s="1"/>
  <c r="B1967" i="22" a="1"/>
  <c r="B1967" i="22" s="1"/>
  <c r="B1966" i="22" a="1"/>
  <c r="B1966" i="22" s="1"/>
  <c r="B1965" i="22" a="1"/>
  <c r="B1965" i="22" s="1"/>
  <c r="B1964" i="22" a="1"/>
  <c r="B1964" i="22" s="1"/>
  <c r="B1963" i="22" a="1"/>
  <c r="B1963" i="22" s="1"/>
  <c r="B1962" i="22" a="1"/>
  <c r="B1962" i="22" s="1"/>
  <c r="B1961" i="22" a="1"/>
  <c r="B1961" i="22" s="1"/>
  <c r="B1960" i="22" a="1"/>
  <c r="B1960" i="22" s="1"/>
  <c r="B1959" i="22" a="1"/>
  <c r="B1959" i="22" s="1"/>
  <c r="B1958" i="22" a="1"/>
  <c r="B1958" i="22" s="1"/>
  <c r="B1957" i="22" a="1"/>
  <c r="B1957" i="22" s="1"/>
  <c r="B1956" i="22" a="1"/>
  <c r="B1956" i="22" s="1"/>
  <c r="B1955" i="22" a="1"/>
  <c r="B1955" i="22" s="1"/>
  <c r="B1954" i="22" a="1"/>
  <c r="B1954" i="22" s="1"/>
  <c r="B1953" i="22" a="1"/>
  <c r="B1953" i="22" s="1"/>
  <c r="B1952" i="22" a="1"/>
  <c r="B1952" i="22" s="1"/>
  <c r="B1951" i="22" a="1"/>
  <c r="B1951" i="22" s="1"/>
  <c r="B1950" i="22" a="1"/>
  <c r="B1950" i="22" s="1"/>
  <c r="B1949" i="22" a="1"/>
  <c r="B1949" i="22" s="1"/>
  <c r="B1948" i="22" a="1"/>
  <c r="B1948" i="22" s="1"/>
  <c r="B1947" i="22" a="1"/>
  <c r="B1947" i="22" s="1"/>
  <c r="B1946" i="22" a="1"/>
  <c r="B1946" i="22" s="1"/>
  <c r="B1945" i="22" a="1"/>
  <c r="B1945" i="22" s="1"/>
  <c r="B1944" i="22" a="1"/>
  <c r="B1944" i="22" s="1"/>
  <c r="B1943" i="22" a="1"/>
  <c r="B1943" i="22" s="1"/>
  <c r="B1942" i="22" a="1"/>
  <c r="B1942" i="22" s="1"/>
  <c r="B1941" i="22" a="1"/>
  <c r="B1941" i="22" s="1"/>
  <c r="B1940" i="22" a="1"/>
  <c r="B1940" i="22" s="1"/>
  <c r="B1939" i="22" a="1"/>
  <c r="B1939" i="22" s="1"/>
  <c r="B1938" i="22" a="1"/>
  <c r="B1938" i="22" s="1"/>
  <c r="B1937" i="22" a="1"/>
  <c r="B1937" i="22" s="1"/>
  <c r="B1936" i="22" a="1"/>
  <c r="B1936" i="22" s="1"/>
  <c r="B1935" i="22" a="1"/>
  <c r="B1935" i="22" s="1"/>
  <c r="B1934" i="22" a="1"/>
  <c r="B1934" i="22" s="1"/>
  <c r="B1933" i="22" a="1"/>
  <c r="B1933" i="22" s="1"/>
  <c r="B1932" i="22" a="1"/>
  <c r="B1932" i="22" s="1"/>
  <c r="B1931" i="22" a="1"/>
  <c r="B1931" i="22" s="1"/>
  <c r="B1930" i="22" a="1"/>
  <c r="B1930" i="22" s="1"/>
  <c r="B1929" i="22" a="1"/>
  <c r="B1929" i="22" s="1"/>
  <c r="B1928" i="22" a="1"/>
  <c r="B1928" i="22" s="1"/>
  <c r="B1927" i="22" a="1"/>
  <c r="B1927" i="22" s="1"/>
  <c r="B1926" i="22" a="1"/>
  <c r="B1926" i="22" s="1"/>
  <c r="B1925" i="22" a="1"/>
  <c r="B1925" i="22" s="1"/>
  <c r="B1924" i="22" a="1"/>
  <c r="B1924" i="22" s="1"/>
  <c r="B1923" i="22" a="1"/>
  <c r="B1923" i="22" s="1"/>
  <c r="B1922" i="22" a="1"/>
  <c r="B1922" i="22" s="1"/>
  <c r="B1921" i="22" a="1"/>
  <c r="B1921" i="22" s="1"/>
  <c r="B1920" i="22" a="1"/>
  <c r="B1920" i="22" s="1"/>
  <c r="B1919" i="22" a="1"/>
  <c r="B1919" i="22" s="1"/>
  <c r="B1918" i="22" a="1"/>
  <c r="B1918" i="22" s="1"/>
  <c r="B1917" i="22" a="1"/>
  <c r="B1917" i="22" s="1"/>
  <c r="B1916" i="22" a="1"/>
  <c r="B1916" i="22" s="1"/>
  <c r="B1915" i="22" a="1"/>
  <c r="B1915" i="22" s="1"/>
  <c r="B1914" i="22" a="1"/>
  <c r="B1914" i="22" s="1"/>
  <c r="B1913" i="22" a="1"/>
  <c r="B1913" i="22" s="1"/>
  <c r="B1912" i="22" a="1"/>
  <c r="B1912" i="22" s="1"/>
  <c r="B1911" i="22" a="1"/>
  <c r="B1911" i="22" s="1"/>
  <c r="B1910" i="22" a="1"/>
  <c r="B1910" i="22" s="1"/>
  <c r="B1909" i="22" a="1"/>
  <c r="B1909" i="22" s="1"/>
  <c r="B1908" i="22" a="1"/>
  <c r="B1908" i="22" s="1"/>
  <c r="B1907" i="22" a="1"/>
  <c r="B1907" i="22" s="1"/>
  <c r="B1906" i="22" a="1"/>
  <c r="B1906" i="22" s="1"/>
  <c r="B1905" i="22" a="1"/>
  <c r="B1905" i="22" s="1"/>
  <c r="B1904" i="22" a="1"/>
  <c r="B1904" i="22" s="1"/>
  <c r="B1903" i="22" a="1"/>
  <c r="B1903" i="22" s="1"/>
  <c r="B1902" i="22" a="1"/>
  <c r="B1902" i="22" s="1"/>
  <c r="B1901" i="22" a="1"/>
  <c r="B1901" i="22" s="1"/>
  <c r="B1900" i="22" a="1"/>
  <c r="B1900" i="22" s="1"/>
  <c r="B1899" i="22" a="1"/>
  <c r="B1899" i="22" s="1"/>
  <c r="B1898" i="22" a="1"/>
  <c r="B1898" i="22" s="1"/>
  <c r="B1897" i="22" a="1"/>
  <c r="B1897" i="22" s="1"/>
  <c r="B1896" i="22" a="1"/>
  <c r="B1896" i="22" s="1"/>
  <c r="B1895" i="22" a="1"/>
  <c r="B1895" i="22" s="1"/>
  <c r="B1894" i="22" a="1"/>
  <c r="B1894" i="22" s="1"/>
  <c r="B1893" i="22" a="1"/>
  <c r="B1893" i="22" s="1"/>
  <c r="B1892" i="22" a="1"/>
  <c r="B1892" i="22" s="1"/>
  <c r="B1891" i="22" a="1"/>
  <c r="B1891" i="22" s="1"/>
  <c r="B1890" i="22" a="1"/>
  <c r="B1890" i="22" s="1"/>
  <c r="B1889" i="22" a="1"/>
  <c r="B1889" i="22" s="1"/>
  <c r="B1888" i="22" a="1"/>
  <c r="B1888" i="22" s="1"/>
  <c r="B1887" i="22" a="1"/>
  <c r="B1887" i="22" s="1"/>
  <c r="B1886" i="22" a="1"/>
  <c r="B1886" i="22" s="1"/>
  <c r="B1885" i="22" a="1"/>
  <c r="B1885" i="22" s="1"/>
  <c r="B1884" i="22" a="1"/>
  <c r="B1884" i="22" s="1"/>
  <c r="B1883" i="22" a="1"/>
  <c r="B1883" i="22" s="1"/>
  <c r="B1882" i="22" a="1"/>
  <c r="B1882" i="22" s="1"/>
  <c r="B1881" i="22" a="1"/>
  <c r="B1881" i="22" s="1"/>
  <c r="B1880" i="22" a="1"/>
  <c r="B1880" i="22" s="1"/>
  <c r="B1879" i="22" a="1"/>
  <c r="B1879" i="22" s="1"/>
  <c r="B1878" i="22" a="1"/>
  <c r="B1878" i="22" s="1"/>
  <c r="B1877" i="22" a="1"/>
  <c r="B1877" i="22" s="1"/>
  <c r="B1876" i="22" a="1"/>
  <c r="B1876" i="22" s="1"/>
  <c r="B1875" i="22" a="1"/>
  <c r="B1875" i="22" s="1"/>
  <c r="B1874" i="22" a="1"/>
  <c r="B1874" i="22" s="1"/>
  <c r="B1873" i="22" a="1"/>
  <c r="B1873" i="22" s="1"/>
  <c r="B1872" i="22" a="1"/>
  <c r="B1872" i="22" s="1"/>
  <c r="B1871" i="22" a="1"/>
  <c r="B1871" i="22" s="1"/>
  <c r="B1870" i="22" a="1"/>
  <c r="B1870" i="22" s="1"/>
  <c r="B1869" i="22" a="1"/>
  <c r="B1869" i="22" s="1"/>
  <c r="B1868" i="22" a="1"/>
  <c r="B1868" i="22" s="1"/>
  <c r="B1867" i="22" a="1"/>
  <c r="B1867" i="22" s="1"/>
  <c r="B1866" i="22" a="1"/>
  <c r="B1866" i="22" s="1"/>
  <c r="B1865" i="22" a="1"/>
  <c r="B1865" i="22" s="1"/>
  <c r="B1864" i="22" a="1"/>
  <c r="B1864" i="22" s="1"/>
  <c r="B1863" i="22" a="1"/>
  <c r="B1863" i="22" s="1"/>
  <c r="B1862" i="22" a="1"/>
  <c r="B1862" i="22" s="1"/>
  <c r="B1861" i="22" a="1"/>
  <c r="B1861" i="22" s="1"/>
  <c r="B1860" i="22" a="1"/>
  <c r="B1860" i="22" s="1"/>
  <c r="B1859" i="22" a="1"/>
  <c r="B1859" i="22" s="1"/>
  <c r="B1858" i="22" a="1"/>
  <c r="B1858" i="22" s="1"/>
  <c r="B1857" i="22" a="1"/>
  <c r="B1857" i="22" s="1"/>
  <c r="B1856" i="22" a="1"/>
  <c r="B1856" i="22" s="1"/>
  <c r="B1855" i="22" a="1"/>
  <c r="B1855" i="22" s="1"/>
  <c r="B1854" i="22" a="1"/>
  <c r="B1854" i="22" s="1"/>
  <c r="B1853" i="22" a="1"/>
  <c r="B1853" i="22" s="1"/>
  <c r="B1852" i="22" a="1"/>
  <c r="B1852" i="22" s="1"/>
  <c r="B1851" i="22" a="1"/>
  <c r="B1851" i="22" s="1"/>
  <c r="B1850" i="22" a="1"/>
  <c r="B1850" i="22" s="1"/>
  <c r="B1849" i="22" a="1"/>
  <c r="B1849" i="22" s="1"/>
  <c r="B1848" i="22" a="1"/>
  <c r="B1848" i="22" s="1"/>
  <c r="B1847" i="22" a="1"/>
  <c r="B1847" i="22" s="1"/>
  <c r="B1846" i="22" a="1"/>
  <c r="B1846" i="22" s="1"/>
  <c r="B1845" i="22" a="1"/>
  <c r="B1845" i="22" s="1"/>
  <c r="B1844" i="22" a="1"/>
  <c r="B1844" i="22" s="1"/>
  <c r="B1843" i="22" a="1"/>
  <c r="B1843" i="22" s="1"/>
  <c r="B1842" i="22" a="1"/>
  <c r="B1842" i="22" s="1"/>
  <c r="B1841" i="22" a="1"/>
  <c r="B1841" i="22" s="1"/>
  <c r="B1840" i="22" a="1"/>
  <c r="B1840" i="22" s="1"/>
  <c r="B1839" i="22" a="1"/>
  <c r="B1839" i="22" s="1"/>
  <c r="B1838" i="22" a="1"/>
  <c r="B1838" i="22" s="1"/>
  <c r="B1837" i="22" a="1"/>
  <c r="B1837" i="22" s="1"/>
  <c r="B1836" i="22" a="1"/>
  <c r="B1836" i="22" s="1"/>
  <c r="B1835" i="22" a="1"/>
  <c r="B1835" i="22" s="1"/>
  <c r="B1834" i="22" a="1"/>
  <c r="B1834" i="22" s="1"/>
  <c r="B1833" i="22" a="1"/>
  <c r="B1833" i="22" s="1"/>
  <c r="B1832" i="22" a="1"/>
  <c r="B1832" i="22" s="1"/>
  <c r="B1831" i="22" a="1"/>
  <c r="B1831" i="22" s="1"/>
  <c r="B1830" i="22" a="1"/>
  <c r="B1830" i="22" s="1"/>
  <c r="B1829" i="22" a="1"/>
  <c r="B1829" i="22" s="1"/>
  <c r="B1828" i="22" a="1"/>
  <c r="B1828" i="22" s="1"/>
  <c r="B1827" i="22" a="1"/>
  <c r="B1827" i="22" s="1"/>
  <c r="B1826" i="22" a="1"/>
  <c r="B1826" i="22" s="1"/>
  <c r="B1825" i="22" a="1"/>
  <c r="B1825" i="22" s="1"/>
  <c r="B1824" i="22" a="1"/>
  <c r="B1824" i="22" s="1"/>
  <c r="B1823" i="22" a="1"/>
  <c r="B1823" i="22" s="1"/>
  <c r="B1822" i="22" a="1"/>
  <c r="B1822" i="22" s="1"/>
  <c r="B1821" i="22" a="1"/>
  <c r="B1821" i="22" s="1"/>
  <c r="B1820" i="22" a="1"/>
  <c r="B1820" i="22" s="1"/>
  <c r="B1819" i="22" a="1"/>
  <c r="B1819" i="22" s="1"/>
  <c r="B1818" i="22" a="1"/>
  <c r="B1818" i="22" s="1"/>
  <c r="B1817" i="22" a="1"/>
  <c r="B1817" i="22" s="1"/>
  <c r="B1816" i="22" a="1"/>
  <c r="B1816" i="22" s="1"/>
  <c r="B1815" i="22" a="1"/>
  <c r="B1815" i="22" s="1"/>
  <c r="B1814" i="22" a="1"/>
  <c r="B1814" i="22" s="1"/>
  <c r="B1813" i="22" a="1"/>
  <c r="B1813" i="22" s="1"/>
  <c r="B1812" i="22" a="1"/>
  <c r="B1812" i="22" s="1"/>
  <c r="B1811" i="22" a="1"/>
  <c r="B1811" i="22" s="1"/>
  <c r="B1810" i="22" a="1"/>
  <c r="B1810" i="22" s="1"/>
  <c r="B1809" i="22" a="1"/>
  <c r="B1809" i="22" s="1"/>
  <c r="B1808" i="22" a="1"/>
  <c r="B1808" i="22" s="1"/>
  <c r="B1807" i="22" a="1"/>
  <c r="B1807" i="22" s="1"/>
  <c r="B1806" i="22" a="1"/>
  <c r="B1806" i="22" s="1"/>
  <c r="B1805" i="22" a="1"/>
  <c r="B1805" i="22" s="1"/>
  <c r="B1804" i="22" a="1"/>
  <c r="B1804" i="22" s="1"/>
  <c r="B1803" i="22" a="1"/>
  <c r="B1803" i="22" s="1"/>
  <c r="B1802" i="22" a="1"/>
  <c r="B1802" i="22" s="1"/>
  <c r="B1801" i="22" a="1"/>
  <c r="B1801" i="22" s="1"/>
  <c r="B1800" i="22" a="1"/>
  <c r="B1800" i="22" s="1"/>
  <c r="B1799" i="22" a="1"/>
  <c r="B1799" i="22" s="1"/>
  <c r="B1798" i="22" a="1"/>
  <c r="B1798" i="22" s="1"/>
  <c r="B1797" i="22" a="1"/>
  <c r="B1797" i="22" s="1"/>
  <c r="B1796" i="22" a="1"/>
  <c r="B1796" i="22" s="1"/>
  <c r="B1795" i="22" a="1"/>
  <c r="B1795" i="22" s="1"/>
  <c r="B1794" i="22" a="1"/>
  <c r="B1794" i="22" s="1"/>
  <c r="B1793" i="22" a="1"/>
  <c r="B1793" i="22" s="1"/>
  <c r="B1792" i="22" a="1"/>
  <c r="B1792" i="22" s="1"/>
  <c r="B1599" i="22" a="1"/>
  <c r="B1599" i="22" s="1"/>
  <c r="B1597" i="22" a="1"/>
  <c r="B1597" i="22" s="1"/>
  <c r="B1596" i="22" a="1"/>
  <c r="B1596" i="22" s="1"/>
  <c r="B1595" i="22" a="1"/>
  <c r="B1595" i="22" s="1"/>
  <c r="B1594" i="22" a="1"/>
  <c r="B1594" i="22" s="1"/>
  <c r="B1593" i="22" a="1"/>
  <c r="B1593" i="22" s="1"/>
  <c r="B1592" i="22" a="1"/>
  <c r="B1592" i="22" s="1"/>
  <c r="B1591" i="22" a="1"/>
  <c r="B1591" i="22" s="1"/>
  <c r="B1590" i="22" a="1"/>
  <c r="B1590" i="22" s="1"/>
  <c r="B1589" i="22" a="1"/>
  <c r="B1589" i="22" s="1"/>
  <c r="B1588" i="22" a="1"/>
  <c r="B1588" i="22" s="1"/>
  <c r="B1587" i="22" a="1"/>
  <c r="B1587" i="22" s="1"/>
  <c r="B1585" i="22" a="1"/>
  <c r="B1585" i="22" s="1"/>
  <c r="B1584" i="22" a="1"/>
  <c r="B1584" i="22" s="1"/>
  <c r="B1583" i="22" a="1"/>
  <c r="B1583" i="22" s="1"/>
  <c r="B1582" i="22" a="1"/>
  <c r="B1582" i="22" s="1"/>
  <c r="B1581" i="22" a="1"/>
  <c r="B1581" i="22" s="1"/>
  <c r="B1580" i="22" a="1"/>
  <c r="B1580" i="22" s="1"/>
  <c r="B1468" i="22" a="1"/>
  <c r="B1468" i="22" s="1"/>
  <c r="B1467" i="22" a="1"/>
  <c r="B1467" i="22" s="1"/>
  <c r="B1466" i="22" a="1"/>
  <c r="B1466" i="22" s="1"/>
  <c r="B1465" i="22" a="1"/>
  <c r="B1465" i="22" s="1"/>
  <c r="B1464" i="22" a="1"/>
  <c r="B1464" i="22" s="1"/>
  <c r="B1463" i="22" a="1"/>
  <c r="B1463" i="22" s="1"/>
  <c r="B1462" i="22" a="1"/>
  <c r="B1462" i="22" s="1"/>
  <c r="B1448" i="22" a="1"/>
  <c r="B1448" i="22" s="1"/>
  <c r="B1447" i="22" a="1"/>
  <c r="B1447" i="22" s="1"/>
  <c r="B1446" i="22" a="1"/>
  <c r="B1446" i="22" s="1"/>
  <c r="B1445" i="22" a="1"/>
  <c r="B1445" i="22" s="1"/>
  <c r="B1444" i="22" a="1"/>
  <c r="B1444" i="22" s="1"/>
  <c r="B1240" i="22" a="1"/>
  <c r="B1240" i="22" s="1"/>
  <c r="B1232" i="22" a="1"/>
  <c r="B1232" i="22" s="1"/>
  <c r="B1231" i="22" a="1"/>
  <c r="B1231" i="22" s="1"/>
  <c r="B1230" i="22" a="1"/>
  <c r="B1230" i="22" s="1"/>
  <c r="B1228" i="22" a="1"/>
  <c r="B1228" i="22" s="1"/>
  <c r="B1227" i="22" a="1"/>
  <c r="B1227" i="22" s="1"/>
  <c r="B1226" i="22" a="1"/>
  <c r="B1226" i="22" s="1"/>
  <c r="B1225" i="22" a="1"/>
  <c r="B1225" i="22" s="1"/>
  <c r="B1224" i="22" a="1"/>
  <c r="B1224" i="22" s="1"/>
  <c r="K1240" i="22"/>
  <c r="H1240" i="22" s="1"/>
  <c r="K1237" i="22"/>
  <c r="H1237" i="22" s="1"/>
  <c r="K1236" i="22"/>
  <c r="H1236" i="22" s="1"/>
  <c r="K1235" i="22"/>
  <c r="H1235" i="22" s="1"/>
  <c r="K1234" i="22"/>
  <c r="H1234" i="22" s="1"/>
  <c r="K1233" i="22"/>
  <c r="H1233" i="22" s="1"/>
  <c r="K1232" i="22"/>
  <c r="H1232" i="22" s="1"/>
  <c r="K1231" i="22"/>
  <c r="H1231" i="22" s="1"/>
  <c r="K1230" i="22"/>
  <c r="H1230" i="22" s="1"/>
  <c r="K1228" i="22"/>
  <c r="H1228" i="22" s="1"/>
  <c r="K1227" i="22"/>
  <c r="H1227" i="22" s="1"/>
  <c r="K1226" i="22"/>
  <c r="H1226" i="22" s="1"/>
  <c r="K1225" i="22"/>
  <c r="H1225" i="22" s="1"/>
  <c r="K1224" i="22"/>
  <c r="H1224" i="22" s="1"/>
  <c r="K1223" i="22"/>
  <c r="H1223" i="22" s="1"/>
  <c r="K1222" i="22"/>
  <c r="H1222" i="22" s="1"/>
  <c r="K1221" i="22"/>
  <c r="H1221" i="22" s="1"/>
  <c r="K1220" i="22"/>
  <c r="H1220" i="22" s="1"/>
  <c r="K1219" i="22"/>
  <c r="H1219" i="22" s="1"/>
  <c r="K1218" i="22"/>
  <c r="H1218" i="22" s="1"/>
  <c r="K1217" i="22"/>
  <c r="H1217" i="22" s="1"/>
  <c r="K1216" i="22"/>
  <c r="H1216" i="22" s="1"/>
  <c r="K1215" i="22"/>
  <c r="H1215" i="22" s="1"/>
  <c r="K1214" i="22"/>
  <c r="H1214" i="22" s="1"/>
  <c r="K1213" i="22"/>
  <c r="H1213" i="22" s="1"/>
  <c r="K1212" i="22"/>
  <c r="H1212" i="22" s="1"/>
  <c r="K1211" i="22"/>
  <c r="H1211" i="22" s="1"/>
  <c r="K1210" i="22"/>
  <c r="H1210" i="22" s="1"/>
  <c r="K1209" i="22"/>
  <c r="H1209" i="22" s="1"/>
  <c r="K1208" i="22"/>
  <c r="H1208" i="22" s="1"/>
  <c r="K1207" i="22"/>
  <c r="H1207" i="22" s="1"/>
  <c r="K1206" i="22"/>
  <c r="H1206" i="22" s="1"/>
  <c r="K1205" i="22"/>
  <c r="H1205" i="22" s="1"/>
  <c r="K1204" i="22"/>
  <c r="H1204" i="22" s="1"/>
  <c r="K1203" i="22"/>
  <c r="H1203" i="22" s="1"/>
  <c r="K1202" i="22"/>
  <c r="H1202" i="22" s="1"/>
  <c r="K1201" i="22"/>
  <c r="H1201" i="22" s="1"/>
  <c r="K1200" i="22"/>
  <c r="H1200" i="22" s="1"/>
  <c r="K1199" i="22"/>
  <c r="H1199" i="22" s="1"/>
  <c r="K1198" i="22"/>
  <c r="H1198" i="22" s="1"/>
  <c r="K1197" i="22"/>
  <c r="H1197" i="22" s="1"/>
  <c r="K1196" i="22"/>
  <c r="H1196" i="22" s="1"/>
  <c r="K1195" i="22"/>
  <c r="H1195" i="22" s="1"/>
  <c r="K1194" i="22"/>
  <c r="H1194" i="22" s="1"/>
  <c r="K1193" i="22"/>
  <c r="H1193" i="22" s="1"/>
  <c r="K1192" i="22"/>
  <c r="H1192" i="22" s="1"/>
  <c r="K1191" i="22"/>
  <c r="H1191" i="22" s="1"/>
  <c r="K1190" i="22"/>
  <c r="H1190" i="22" s="1"/>
  <c r="K1189" i="22"/>
  <c r="H1189" i="22" s="1"/>
  <c r="K1188" i="22"/>
  <c r="H1188" i="22" s="1"/>
  <c r="K1187" i="22"/>
  <c r="H1187" i="22" s="1"/>
  <c r="K1186" i="22"/>
  <c r="H1186" i="22" s="1"/>
  <c r="K1185" i="22"/>
  <c r="H1185" i="22" s="1"/>
  <c r="K1184" i="22"/>
  <c r="H1184" i="22" s="1"/>
  <c r="K1183" i="22"/>
  <c r="H1183" i="22" s="1"/>
  <c r="K1182" i="22"/>
  <c r="H1182" i="22" s="1"/>
  <c r="K1181" i="22"/>
  <c r="H1181" i="22" s="1"/>
  <c r="G1240" i="22"/>
  <c r="G1233" i="22"/>
  <c r="G1234" i="22"/>
  <c r="G1235" i="22"/>
  <c r="G1236" i="22"/>
  <c r="G1237" i="22"/>
  <c r="B1237" i="22" a="1"/>
  <c r="B1237" i="22" s="1"/>
  <c r="B1236" i="22" a="1"/>
  <c r="B1236" i="22" s="1"/>
  <c r="B1235" i="22" a="1"/>
  <c r="B1235" i="22" s="1"/>
  <c r="B1234" i="22" a="1"/>
  <c r="B1234" i="22" s="1"/>
  <c r="B1233" i="22" a="1"/>
  <c r="B1233" i="22" s="1"/>
  <c r="K1386" i="6"/>
  <c r="H1386" i="6" s="1"/>
  <c r="K1385" i="6"/>
  <c r="H1385" i="6" s="1"/>
  <c r="K1384" i="6"/>
  <c r="H1384" i="6" s="1"/>
  <c r="K1381" i="6"/>
  <c r="H1381" i="6" s="1"/>
  <c r="K1379" i="6"/>
  <c r="H1379" i="6" s="1"/>
  <c r="N1348" i="6"/>
  <c r="K1348" i="6"/>
  <c r="H1348" i="6" s="1"/>
  <c r="G1348" i="6"/>
  <c r="N1347" i="6"/>
  <c r="K1347" i="6"/>
  <c r="H1347" i="6" s="1"/>
  <c r="G1347" i="6"/>
  <c r="N1346" i="6"/>
  <c r="K1346" i="6"/>
  <c r="H1346" i="6" s="1"/>
  <c r="G1346" i="6"/>
  <c r="N1345" i="6"/>
  <c r="K1345" i="6"/>
  <c r="H1345" i="6" s="1"/>
  <c r="G1345" i="6"/>
  <c r="N1344" i="6"/>
  <c r="K1344" i="6"/>
  <c r="H1344" i="6" s="1"/>
  <c r="G1344" i="6"/>
  <c r="N1343" i="6"/>
  <c r="K1343" i="6"/>
  <c r="H1343" i="6" s="1"/>
  <c r="G1343" i="6"/>
  <c r="N1342" i="6"/>
  <c r="K1342" i="6"/>
  <c r="H1342" i="6" s="1"/>
  <c r="G1342" i="6"/>
  <c r="N1341" i="6"/>
  <c r="K1341" i="6"/>
  <c r="H1341" i="6" s="1"/>
  <c r="G1341" i="6"/>
  <c r="N1340" i="6"/>
  <c r="K1340" i="6"/>
  <c r="H1340" i="6" s="1"/>
  <c r="G1340" i="6"/>
  <c r="K1378" i="6"/>
  <c r="H1378" i="6" s="1"/>
  <c r="K1377" i="6"/>
  <c r="H1377" i="6" s="1"/>
  <c r="K1376" i="6"/>
  <c r="H1376" i="6" s="1"/>
  <c r="K1375" i="6"/>
  <c r="H1375" i="6" s="1"/>
  <c r="K1374" i="6"/>
  <c r="H1374" i="6" s="1"/>
  <c r="K1373" i="6"/>
  <c r="H1373" i="6" s="1"/>
  <c r="K1372" i="6"/>
  <c r="H1372" i="6" s="1"/>
  <c r="K1371" i="6"/>
  <c r="H1371" i="6" s="1"/>
  <c r="K1370" i="6"/>
  <c r="H1370" i="6" s="1"/>
  <c r="K1369" i="6"/>
  <c r="H1369" i="6" s="1"/>
  <c r="K1368" i="6"/>
  <c r="H1368" i="6" s="1"/>
  <c r="K1367" i="6"/>
  <c r="H1367" i="6" s="1"/>
  <c r="K1366" i="6"/>
  <c r="H1366" i="6" s="1"/>
  <c r="K1365" i="6"/>
  <c r="H1365" i="6" s="1"/>
  <c r="K1364" i="6"/>
  <c r="H1364" i="6" s="1"/>
  <c r="K1363" i="6"/>
  <c r="H1363" i="6" s="1"/>
  <c r="K1362" i="6"/>
  <c r="H1362" i="6" s="1"/>
  <c r="K1361" i="6"/>
  <c r="H1361" i="6" s="1"/>
  <c r="K1360" i="6"/>
  <c r="H1360" i="6" s="1"/>
  <c r="K1359" i="6"/>
  <c r="H1359" i="6" s="1"/>
  <c r="K1358" i="6"/>
  <c r="H1358" i="6" s="1"/>
  <c r="K1357" i="6"/>
  <c r="H1357" i="6" s="1"/>
  <c r="K1356" i="6"/>
  <c r="H1356" i="6" s="1"/>
  <c r="K1355" i="6"/>
  <c r="H1355" i="6" s="1"/>
  <c r="K1354" i="6"/>
  <c r="H1354" i="6" s="1"/>
  <c r="K1353" i="6"/>
  <c r="H1353" i="6" s="1"/>
  <c r="K1352" i="6"/>
  <c r="H1352" i="6" s="1"/>
  <c r="K1351" i="6"/>
  <c r="H1351" i="6" s="1"/>
  <c r="K1350" i="6"/>
  <c r="H1350" i="6" s="1"/>
  <c r="K1349" i="6"/>
  <c r="H1349" i="6" s="1"/>
  <c r="K1339" i="6"/>
  <c r="H1339" i="6" s="1"/>
  <c r="K1338" i="6"/>
  <c r="H1338" i="6" s="1"/>
  <c r="K1337" i="6"/>
  <c r="H1337" i="6" s="1"/>
  <c r="K1336" i="6"/>
  <c r="H1336" i="6" s="1"/>
  <c r="K1335" i="6"/>
  <c r="H1335" i="6" s="1"/>
  <c r="K1334" i="6"/>
  <c r="H1334" i="6" s="1"/>
  <c r="K1333" i="6"/>
  <c r="H1333" i="6" s="1"/>
  <c r="K1332" i="6"/>
  <c r="H1332" i="6" s="1"/>
  <c r="K1331" i="6"/>
  <c r="H1331" i="6" s="1"/>
  <c r="K1330" i="6"/>
  <c r="H1330" i="6" s="1"/>
  <c r="K1329" i="6"/>
  <c r="H1329" i="6" s="1"/>
  <c r="K1328" i="6"/>
  <c r="H1328" i="6" s="1"/>
  <c r="K1327" i="6"/>
  <c r="H1327" i="6" s="1"/>
  <c r="K1326" i="6"/>
  <c r="H1326" i="6" s="1"/>
  <c r="K1325" i="6"/>
  <c r="H1325" i="6" s="1"/>
  <c r="K1324" i="6"/>
  <c r="H1324" i="6" s="1"/>
  <c r="K1323" i="6"/>
  <c r="H1323" i="6" s="1"/>
  <c r="K1322" i="6"/>
  <c r="H1322" i="6" s="1"/>
  <c r="K1321" i="6"/>
  <c r="H1321" i="6" s="1"/>
  <c r="K1320" i="6"/>
  <c r="H1320" i="6" s="1"/>
  <c r="K1319" i="6"/>
  <c r="H1319" i="6" s="1"/>
  <c r="K1318" i="6"/>
  <c r="H1318" i="6" s="1"/>
  <c r="K1317" i="6"/>
  <c r="H1317" i="6" s="1"/>
  <c r="K1316" i="6"/>
  <c r="H1316" i="6" s="1"/>
  <c r="K1315" i="6"/>
  <c r="H1315" i="6" s="1"/>
  <c r="K1314" i="6"/>
  <c r="H1314" i="6" s="1"/>
  <c r="K1313" i="6"/>
  <c r="H1313" i="6" s="1"/>
  <c r="K1312" i="6"/>
  <c r="H1312" i="6" s="1"/>
  <c r="K1311" i="6"/>
  <c r="H1311" i="6" s="1"/>
  <c r="K1310" i="6"/>
  <c r="H1310" i="6" s="1"/>
  <c r="G1355" i="6"/>
  <c r="G1334" i="6"/>
  <c r="B1223" i="22" a="1"/>
  <c r="B1223" i="22" s="1"/>
  <c r="B1222" i="22" a="1"/>
  <c r="B1222" i="22" s="1"/>
  <c r="B1221" i="22" a="1"/>
  <c r="B1221" i="22" s="1"/>
  <c r="B1220" i="22" a="1"/>
  <c r="B1220" i="22" s="1"/>
  <c r="B1219" i="22" a="1"/>
  <c r="B1219" i="22" s="1"/>
  <c r="B1218" i="22" a="1"/>
  <c r="B1218" i="22" s="1"/>
  <c r="B1217" i="22" a="1"/>
  <c r="B1217" i="22" s="1"/>
  <c r="B1216" i="22" a="1"/>
  <c r="B1216" i="22" s="1"/>
  <c r="G1221" i="22"/>
  <c r="G1220" i="22"/>
  <c r="G1218" i="22"/>
  <c r="B1215" i="22" a="1"/>
  <c r="B1215" i="22" s="1"/>
  <c r="B1214" i="22" a="1"/>
  <c r="B1214" i="22" s="1"/>
  <c r="B1213" i="22" a="1"/>
  <c r="B1213" i="22" s="1"/>
  <c r="B1212" i="22" a="1"/>
  <c r="B1212" i="22" s="1"/>
  <c r="B1211" i="22" a="1"/>
  <c r="B1211" i="22" s="1"/>
  <c r="B1210" i="22" a="1"/>
  <c r="B1210" i="22" s="1"/>
  <c r="G1215" i="22"/>
  <c r="G1214" i="22"/>
  <c r="G1213" i="22"/>
  <c r="G1212" i="22"/>
  <c r="G1211" i="22"/>
  <c r="G1210" i="22"/>
  <c r="G1203" i="22"/>
  <c r="B1209" i="22" a="1"/>
  <c r="B1209" i="22" s="1"/>
  <c r="B1208" i="22" a="1"/>
  <c r="B1208" i="22" s="1"/>
  <c r="B1207" i="22" a="1"/>
  <c r="B1207" i="22" s="1"/>
  <c r="B1206" i="22" a="1"/>
  <c r="B1206" i="22" s="1"/>
  <c r="B1205" i="22" a="1"/>
  <c r="B1205" i="22" s="1"/>
  <c r="B1204" i="22" a="1"/>
  <c r="B1204" i="22" s="1"/>
  <c r="B1203" i="22" a="1"/>
  <c r="B1203" i="22" s="1"/>
  <c r="B1181" i="22" a="1"/>
  <c r="B1181" i="22" s="1"/>
  <c r="B1191" i="22" a="1"/>
  <c r="B1191" i="22" s="1"/>
  <c r="B1190" i="22" a="1"/>
  <c r="B1190" i="22" s="1"/>
  <c r="B1189" i="22" a="1"/>
  <c r="B1189" i="22" s="1"/>
  <c r="B1184" i="22" a="1"/>
  <c r="B1184" i="22" s="1"/>
  <c r="B1183" i="22" a="1"/>
  <c r="B1183" i="22" s="1"/>
  <c r="B1202" i="22" a="1"/>
  <c r="B1202" i="22" s="1"/>
  <c r="B1201" i="22" a="1"/>
  <c r="B1201" i="22" s="1"/>
  <c r="B1200" i="22" a="1"/>
  <c r="B1200" i="22" s="1"/>
  <c r="B1199" i="22" a="1"/>
  <c r="B1199" i="22" s="1"/>
  <c r="B1198" i="22" a="1"/>
  <c r="B1198" i="22" s="1"/>
  <c r="B1197" i="22" a="1"/>
  <c r="B1197" i="22" s="1"/>
  <c r="B1196" i="22" a="1"/>
  <c r="B1196" i="22" s="1"/>
  <c r="B1195" i="22" a="1"/>
  <c r="B1195" i="22" s="1"/>
  <c r="B1194" i="22" a="1"/>
  <c r="B1194" i="22" s="1"/>
  <c r="B1193" i="22" a="1"/>
  <c r="B1193" i="22" s="1"/>
  <c r="B1192" i="22" a="1"/>
  <c r="B1192" i="22" s="1"/>
  <c r="B1188" i="22" a="1"/>
  <c r="B1188" i="22" s="1"/>
  <c r="B1187" i="22" a="1"/>
  <c r="B1187" i="22" s="1"/>
  <c r="B1186" i="22" a="1"/>
  <c r="B1186" i="22" s="1"/>
  <c r="B1185" i="22" a="1"/>
  <c r="B1185" i="22" s="1"/>
  <c r="B1182" i="22" a="1"/>
  <c r="B1182" i="22" s="1"/>
  <c r="N1331" i="6"/>
  <c r="N1330" i="6"/>
  <c r="N1329" i="6"/>
  <c r="G1319" i="6"/>
  <c r="N1171" i="22"/>
  <c r="N1175" i="22"/>
  <c r="N1174" i="22"/>
  <c r="K1175" i="22"/>
  <c r="H1175" i="22" s="1"/>
  <c r="G1175" i="22"/>
  <c r="B1175" i="22" a="1"/>
  <c r="B1175" i="22" s="1"/>
  <c r="K1174" i="22"/>
  <c r="H1174" i="22" s="1"/>
  <c r="G1174" i="22"/>
  <c r="B1174" i="22" a="1"/>
  <c r="B1174" i="22" s="1"/>
  <c r="N1169" i="22"/>
  <c r="K1169" i="22"/>
  <c r="H1169" i="22" s="1"/>
  <c r="G1169" i="22"/>
  <c r="B1169" i="22" a="1"/>
  <c r="B1169" i="22" s="1"/>
  <c r="N1165" i="22"/>
  <c r="N1163" i="22"/>
  <c r="K1163" i="22"/>
  <c r="H1163" i="22" s="1"/>
  <c r="G1163" i="22"/>
  <c r="B1163" i="22" a="1"/>
  <c r="B1163" i="22" s="1"/>
  <c r="N1162" i="22"/>
  <c r="N1294" i="6"/>
  <c r="N1309" i="6"/>
  <c r="N1307" i="6"/>
  <c r="K1307" i="6"/>
  <c r="H1307" i="6" s="1"/>
  <c r="G1307" i="6"/>
  <c r="N1305" i="6"/>
  <c r="N1155" i="22"/>
  <c r="G1170" i="22"/>
  <c r="K1170" i="22"/>
  <c r="H1170" i="22" s="1"/>
  <c r="G1171" i="22"/>
  <c r="K1171" i="22"/>
  <c r="H1171" i="22" s="1"/>
  <c r="G1172" i="22"/>
  <c r="K1172" i="22"/>
  <c r="H1172" i="22" s="1"/>
  <c r="G1173" i="22"/>
  <c r="K1173" i="22"/>
  <c r="H1173" i="22" s="1"/>
  <c r="G1176" i="22"/>
  <c r="K1176" i="22"/>
  <c r="H1176" i="22" s="1"/>
  <c r="G1177" i="22"/>
  <c r="K1177" i="22"/>
  <c r="H1177" i="22" s="1"/>
  <c r="G1178" i="22"/>
  <c r="K1178" i="22"/>
  <c r="H1178" i="22" s="1"/>
  <c r="G1179" i="22"/>
  <c r="K1179" i="22"/>
  <c r="H1179" i="22" s="1"/>
  <c r="G1180" i="22"/>
  <c r="K1180" i="22"/>
  <c r="H1180" i="22" s="1"/>
  <c r="B1180" i="22" a="1"/>
  <c r="B1180" i="22" s="1"/>
  <c r="B1179" i="22" a="1"/>
  <c r="B1179" i="22" s="1"/>
  <c r="B1178" i="22" a="1"/>
  <c r="B1178" i="22" s="1"/>
  <c r="B1177" i="22" a="1"/>
  <c r="B1177" i="22" s="1"/>
  <c r="B1176" i="22" a="1"/>
  <c r="B1176" i="22" s="1"/>
  <c r="B1173" i="22" a="1"/>
  <c r="B1173" i="22" s="1"/>
  <c r="B1172" i="22" a="1"/>
  <c r="B1172" i="22" s="1"/>
  <c r="B1171" i="22" a="1"/>
  <c r="B1171" i="22" s="1"/>
  <c r="B1170" i="22" a="1"/>
  <c r="B1170" i="22" s="1"/>
  <c r="G1162" i="22"/>
  <c r="K1162" i="22"/>
  <c r="H1162" i="22" s="1"/>
  <c r="G1164" i="22"/>
  <c r="K1164" i="22"/>
  <c r="H1164" i="22" s="1"/>
  <c r="G1165" i="22"/>
  <c r="K1165" i="22"/>
  <c r="H1165" i="22" s="1"/>
  <c r="G1166" i="22"/>
  <c r="K1166" i="22"/>
  <c r="H1166" i="22" s="1"/>
  <c r="G1167" i="22"/>
  <c r="K1167" i="22"/>
  <c r="H1167" i="22" s="1"/>
  <c r="G1168" i="22"/>
  <c r="K1168" i="22"/>
  <c r="H1168" i="22" s="1"/>
  <c r="B1168" i="22" a="1"/>
  <c r="B1168" i="22" s="1"/>
  <c r="B1167" i="22" a="1"/>
  <c r="B1167" i="22" s="1"/>
  <c r="B1166" i="22" a="1"/>
  <c r="B1166" i="22" s="1"/>
  <c r="B1165" i="22" a="1"/>
  <c r="B1165" i="22" s="1"/>
  <c r="B1164" i="22" a="1"/>
  <c r="B1164" i="22" s="1"/>
  <c r="B1162" i="22" a="1"/>
  <c r="B1162" i="22" s="1"/>
  <c r="K1309" i="6"/>
  <c r="H1309" i="6" s="1"/>
  <c r="K1308" i="6"/>
  <c r="H1308" i="6" s="1"/>
  <c r="K1306" i="6"/>
  <c r="H1306" i="6" s="1"/>
  <c r="K1305" i="6"/>
  <c r="H1305" i="6" s="1"/>
  <c r="K1304" i="6"/>
  <c r="H1304" i="6" s="1"/>
  <c r="K1303" i="6"/>
  <c r="H1303" i="6" s="1"/>
  <c r="K1302" i="6"/>
  <c r="H1302" i="6" s="1"/>
  <c r="K1301" i="6"/>
  <c r="H1301" i="6" s="1"/>
  <c r="N1160" i="22"/>
  <c r="N1154" i="22"/>
  <c r="K1299" i="6"/>
  <c r="H1299" i="6" s="1"/>
  <c r="G1299" i="6"/>
  <c r="G1153" i="22"/>
  <c r="K1153" i="22"/>
  <c r="H1153" i="22" s="1"/>
  <c r="G1154" i="22"/>
  <c r="K1154" i="22"/>
  <c r="H1154" i="22" s="1"/>
  <c r="G1155" i="22"/>
  <c r="K1155" i="22"/>
  <c r="H1155" i="22" s="1"/>
  <c r="G1156" i="22"/>
  <c r="K1156" i="22"/>
  <c r="H1156" i="22" s="1"/>
  <c r="G1157" i="22"/>
  <c r="K1157" i="22"/>
  <c r="H1157" i="22" s="1"/>
  <c r="G1158" i="22"/>
  <c r="K1158" i="22"/>
  <c r="H1158" i="22" s="1"/>
  <c r="G1159" i="22"/>
  <c r="K1159" i="22"/>
  <c r="H1159" i="22" s="1"/>
  <c r="G1160" i="22"/>
  <c r="K1160" i="22"/>
  <c r="H1160" i="22" s="1"/>
  <c r="G1161" i="22"/>
  <c r="K1161" i="22"/>
  <c r="H1161" i="22" s="1"/>
  <c r="B1161" i="22" a="1"/>
  <c r="B1161" i="22" s="1"/>
  <c r="B1160" i="22" a="1"/>
  <c r="B1160" i="22" s="1"/>
  <c r="B1159" i="22" a="1"/>
  <c r="B1159" i="22" s="1"/>
  <c r="B1158" i="22" a="1"/>
  <c r="B1158" i="22" s="1"/>
  <c r="B1157" i="22" a="1"/>
  <c r="B1157" i="22" s="1"/>
  <c r="B1156" i="22" a="1"/>
  <c r="B1156" i="22" s="1"/>
  <c r="B1155" i="22" a="1"/>
  <c r="B1155" i="22" s="1"/>
  <c r="B1154" i="22" a="1"/>
  <c r="B1154" i="22" s="1"/>
  <c r="B1153" i="22" a="1"/>
  <c r="B1153" i="22" s="1"/>
  <c r="K1300" i="6"/>
  <c r="H1300" i="6" s="1"/>
  <c r="K1298" i="6"/>
  <c r="H1298" i="6" s="1"/>
  <c r="K1297" i="6"/>
  <c r="H1297" i="6" s="1"/>
  <c r="K1296" i="6"/>
  <c r="H1296" i="6" s="1"/>
  <c r="K1295" i="6"/>
  <c r="H1295" i="6" s="1"/>
  <c r="K1294" i="6"/>
  <c r="H1294" i="6" s="1"/>
  <c r="K1293" i="6"/>
  <c r="H1293" i="6" s="1"/>
  <c r="N1147" i="22"/>
  <c r="N1146" i="22"/>
  <c r="K1147" i="22"/>
  <c r="H1147" i="22" s="1"/>
  <c r="G1147" i="22"/>
  <c r="B1147" i="22" a="1"/>
  <c r="B1147" i="22" s="1"/>
  <c r="N1291" i="6"/>
  <c r="G1146" i="22"/>
  <c r="K1146" i="22"/>
  <c r="H1146" i="22" s="1"/>
  <c r="G1148" i="22"/>
  <c r="K1148" i="22"/>
  <c r="H1148" i="22" s="1"/>
  <c r="G1149" i="22"/>
  <c r="K1149" i="22"/>
  <c r="H1149" i="22" s="1"/>
  <c r="G1150" i="22"/>
  <c r="K1150" i="22"/>
  <c r="H1150" i="22" s="1"/>
  <c r="G1151" i="22"/>
  <c r="K1151" i="22"/>
  <c r="H1151" i="22" s="1"/>
  <c r="G1152" i="22"/>
  <c r="K1152" i="22"/>
  <c r="H1152" i="22" s="1"/>
  <c r="B1152" i="22" a="1"/>
  <c r="B1152" i="22" s="1"/>
  <c r="B1151" i="22" a="1"/>
  <c r="B1151" i="22" s="1"/>
  <c r="B1150" i="22" a="1"/>
  <c r="B1150" i="22" s="1"/>
  <c r="B1149" i="22" a="1"/>
  <c r="B1149" i="22" s="1"/>
  <c r="B1148" i="22" a="1"/>
  <c r="B1148" i="22" s="1"/>
  <c r="B1146" i="22" a="1"/>
  <c r="B1146" i="22" s="1"/>
  <c r="K1292" i="6"/>
  <c r="H1292" i="6" s="1"/>
  <c r="K1291" i="6"/>
  <c r="H1291" i="6" s="1"/>
  <c r="K1290" i="6"/>
  <c r="H1290" i="6" s="1"/>
  <c r="K1289" i="6"/>
  <c r="H1289" i="6" s="1"/>
  <c r="K1288" i="6"/>
  <c r="H1288" i="6" s="1"/>
  <c r="K1287" i="6"/>
  <c r="H1287" i="6" s="1"/>
  <c r="K1286" i="6"/>
  <c r="H1286" i="6" s="1"/>
  <c r="K1285" i="6"/>
  <c r="H1285" i="6" s="1"/>
  <c r="K1284" i="6"/>
  <c r="H1284" i="6" s="1"/>
  <c r="N1137" i="22"/>
  <c r="N1136" i="22"/>
  <c r="K1137" i="22"/>
  <c r="H1137" i="22" s="1"/>
  <c r="G1137" i="22"/>
  <c r="B1137" i="22" a="1"/>
  <c r="B1137" i="22" s="1"/>
  <c r="L12" i="21"/>
  <c r="N1140" i="22"/>
  <c r="K1140" i="22"/>
  <c r="H1140" i="22" s="1"/>
  <c r="G1140" i="22"/>
  <c r="B1140" i="22" a="1"/>
  <c r="B1140" i="22" s="1"/>
  <c r="N1139" i="22"/>
  <c r="K1139" i="22"/>
  <c r="H1139" i="22" s="1"/>
  <c r="G1139" i="22"/>
  <c r="B1139" i="22" a="1"/>
  <c r="B1139" i="22" s="1"/>
  <c r="N1133" i="22"/>
  <c r="K1133" i="22"/>
  <c r="H1133" i="22" s="1"/>
  <c r="G1133" i="22"/>
  <c r="B1133" i="22" a="1"/>
  <c r="B1133" i="22" s="1"/>
  <c r="G1145" i="22"/>
  <c r="K1145" i="22"/>
  <c r="H1145" i="22" s="1"/>
  <c r="B1145" i="22" a="1"/>
  <c r="B1145" i="22" s="1"/>
  <c r="G1136" i="22"/>
  <c r="K1136" i="22"/>
  <c r="H1136" i="22" s="1"/>
  <c r="G1138" i="22"/>
  <c r="K1138" i="22"/>
  <c r="H1138" i="22" s="1"/>
  <c r="G1141" i="22"/>
  <c r="K1141" i="22"/>
  <c r="H1141" i="22" s="1"/>
  <c r="G1142" i="22"/>
  <c r="K1142" i="22"/>
  <c r="H1142" i="22" s="1"/>
  <c r="G1143" i="22"/>
  <c r="K1143" i="22"/>
  <c r="H1143" i="22" s="1"/>
  <c r="G1144" i="22"/>
  <c r="K1144" i="22"/>
  <c r="H1144" i="22" s="1"/>
  <c r="B1144" i="22" a="1"/>
  <c r="B1144" i="22" s="1"/>
  <c r="B1143" i="22" a="1"/>
  <c r="B1143" i="22" s="1"/>
  <c r="B1142" i="22" a="1"/>
  <c r="B1142" i="22" s="1"/>
  <c r="B1141" i="22" a="1"/>
  <c r="B1141" i="22" s="1"/>
  <c r="B1138" i="22" a="1"/>
  <c r="B1138" i="22" s="1"/>
  <c r="B1136" i="22" a="1"/>
  <c r="B1136" i="22" s="1"/>
  <c r="K1283" i="6"/>
  <c r="H1283" i="6" s="1"/>
  <c r="K1282" i="6"/>
  <c r="H1282" i="6" s="1"/>
  <c r="K1281" i="6"/>
  <c r="H1281" i="6" s="1"/>
  <c r="K1280" i="6"/>
  <c r="H1280" i="6" s="1"/>
  <c r="K1279" i="6"/>
  <c r="H1279" i="6" s="1"/>
  <c r="K1278" i="6"/>
  <c r="H1278" i="6" s="1"/>
  <c r="N1127" i="22"/>
  <c r="N1273" i="6"/>
  <c r="K1273" i="6"/>
  <c r="H1273" i="6" s="1"/>
  <c r="G1273" i="6"/>
  <c r="G1127" i="22"/>
  <c r="K1127" i="22"/>
  <c r="H1127" i="22" s="1"/>
  <c r="G1128" i="22"/>
  <c r="K1128" i="22"/>
  <c r="H1128" i="22" s="1"/>
  <c r="G1129" i="22"/>
  <c r="K1129" i="22"/>
  <c r="H1129" i="22" s="1"/>
  <c r="G1130" i="22"/>
  <c r="K1130" i="22"/>
  <c r="H1130" i="22" s="1"/>
  <c r="G1131" i="22"/>
  <c r="K1131" i="22"/>
  <c r="H1131" i="22" s="1"/>
  <c r="G1132" i="22"/>
  <c r="K1132" i="22"/>
  <c r="H1132" i="22" s="1"/>
  <c r="G1134" i="22"/>
  <c r="K1134" i="22"/>
  <c r="H1134" i="22" s="1"/>
  <c r="G1135" i="22"/>
  <c r="K1135" i="22"/>
  <c r="H1135" i="22" s="1"/>
  <c r="B1135" i="22" a="1"/>
  <c r="B1135" i="22" s="1"/>
  <c r="B1134" i="22" a="1"/>
  <c r="B1134" i="22" s="1"/>
  <c r="B1132" i="22" a="1"/>
  <c r="B1132" i="22" s="1"/>
  <c r="B1131" i="22" a="1"/>
  <c r="B1131" i="22" s="1"/>
  <c r="B1130" i="22" a="1"/>
  <c r="B1130" i="22" s="1"/>
  <c r="B1129" i="22" a="1"/>
  <c r="B1129" i="22" s="1"/>
  <c r="B1128" i="22" a="1"/>
  <c r="B1128" i="22" s="1"/>
  <c r="B1127" i="22" a="1"/>
  <c r="B1127" i="22" s="1"/>
  <c r="K1277" i="6"/>
  <c r="H1277" i="6" s="1"/>
  <c r="K1276" i="6"/>
  <c r="H1276" i="6" s="1"/>
  <c r="K1275" i="6"/>
  <c r="H1275" i="6" s="1"/>
  <c r="K1274" i="6"/>
  <c r="H1274" i="6" s="1"/>
  <c r="K1272" i="6"/>
  <c r="H1272" i="6" s="1"/>
  <c r="K1271" i="6"/>
  <c r="H1271" i="6" s="1"/>
  <c r="K1270" i="6"/>
  <c r="H1270" i="6" s="1"/>
  <c r="N1259" i="6"/>
  <c r="N1258" i="6"/>
  <c r="K1259" i="6"/>
  <c r="H1259" i="6" s="1"/>
  <c r="G1259" i="6"/>
  <c r="K1258" i="6"/>
  <c r="H1258" i="6" s="1"/>
  <c r="G1258" i="6"/>
  <c r="K1269" i="6"/>
  <c r="H1269" i="6" s="1"/>
  <c r="K1268" i="6"/>
  <c r="H1268" i="6" s="1"/>
  <c r="K1267" i="6"/>
  <c r="H1267" i="6" s="1"/>
  <c r="K1266" i="6"/>
  <c r="H1266" i="6" s="1"/>
  <c r="K1265" i="6"/>
  <c r="H1265" i="6" s="1"/>
  <c r="K1264" i="6"/>
  <c r="H1264" i="6" s="1"/>
  <c r="K1263" i="6"/>
  <c r="H1263" i="6" s="1"/>
  <c r="K1262" i="6"/>
  <c r="H1262" i="6" s="1"/>
  <c r="K1261" i="6"/>
  <c r="H1261" i="6" s="1"/>
  <c r="K1260" i="6"/>
  <c r="H1260" i="6" s="1"/>
  <c r="N1248" i="6"/>
  <c r="N1247" i="6"/>
  <c r="N1246" i="6"/>
  <c r="K1248" i="6"/>
  <c r="H1248" i="6" s="1"/>
  <c r="G1248" i="6"/>
  <c r="K1247" i="6"/>
  <c r="H1247" i="6" s="1"/>
  <c r="G1247" i="6"/>
  <c r="G1121" i="22"/>
  <c r="K1121" i="22"/>
  <c r="H1121" i="22" s="1"/>
  <c r="G1122" i="22"/>
  <c r="K1122" i="22"/>
  <c r="H1122" i="22" s="1"/>
  <c r="G1123" i="22"/>
  <c r="K1123" i="22"/>
  <c r="H1123" i="22" s="1"/>
  <c r="G1124" i="22"/>
  <c r="K1124" i="22"/>
  <c r="H1124" i="22" s="1"/>
  <c r="G1125" i="22"/>
  <c r="K1125" i="22"/>
  <c r="H1125" i="22" s="1"/>
  <c r="G1126" i="22"/>
  <c r="K1126" i="22"/>
  <c r="H1126" i="22" s="1"/>
  <c r="B1126" i="22" a="1"/>
  <c r="B1126" i="22" s="1"/>
  <c r="B1125" i="22" a="1"/>
  <c r="B1125" i="22" s="1"/>
  <c r="B1124" i="22" a="1"/>
  <c r="B1124" i="22" s="1"/>
  <c r="B1123" i="22" a="1"/>
  <c r="B1123" i="22" s="1"/>
  <c r="B1122" i="22" a="1"/>
  <c r="B1122" i="22" s="1"/>
  <c r="B1121" i="22" a="1"/>
  <c r="B1121" i="22" s="1"/>
  <c r="K1257" i="6"/>
  <c r="H1257" i="6" s="1"/>
  <c r="K1256" i="6"/>
  <c r="H1256" i="6" s="1"/>
  <c r="K1255" i="6"/>
  <c r="H1255" i="6" s="1"/>
  <c r="K1254" i="6"/>
  <c r="H1254" i="6" s="1"/>
  <c r="K1253" i="6"/>
  <c r="H1253" i="6" s="1"/>
  <c r="K1252" i="6"/>
  <c r="H1252" i="6" s="1"/>
  <c r="K1251" i="6"/>
  <c r="H1251" i="6" s="1"/>
  <c r="K1250" i="6"/>
  <c r="H1250" i="6" s="1"/>
  <c r="K1249" i="6"/>
  <c r="H1249" i="6" s="1"/>
  <c r="G1113" i="22"/>
  <c r="K1113" i="22"/>
  <c r="H1113" i="22" s="1"/>
  <c r="G1114" i="22"/>
  <c r="K1114" i="22"/>
  <c r="H1114" i="22" s="1"/>
  <c r="G1115" i="22"/>
  <c r="K1115" i="22"/>
  <c r="H1115" i="22" s="1"/>
  <c r="G1116" i="22"/>
  <c r="K1116" i="22"/>
  <c r="H1116" i="22" s="1"/>
  <c r="G1117" i="22"/>
  <c r="K1117" i="22"/>
  <c r="H1117" i="22" s="1"/>
  <c r="G1118" i="22"/>
  <c r="K1118" i="22"/>
  <c r="H1118" i="22" s="1"/>
  <c r="G1119" i="22"/>
  <c r="K1119" i="22"/>
  <c r="H1119" i="22" s="1"/>
  <c r="G1120" i="22"/>
  <c r="K1120" i="22"/>
  <c r="H1120" i="22" s="1"/>
  <c r="B1120" i="22" a="1"/>
  <c r="B1120" i="22" s="1"/>
  <c r="B1119" i="22" a="1"/>
  <c r="B1119" i="22" s="1"/>
  <c r="B1118" i="22" a="1"/>
  <c r="B1118" i="22" s="1"/>
  <c r="B1117" i="22" a="1"/>
  <c r="B1117" i="22" s="1"/>
  <c r="B1116" i="22" a="1"/>
  <c r="B1116" i="22" s="1"/>
  <c r="B1115" i="22" a="1"/>
  <c r="B1115" i="22" s="1"/>
  <c r="B1114" i="22" a="1"/>
  <c r="B1114" i="22" s="1"/>
  <c r="B1113" i="22" a="1"/>
  <c r="B1113" i="22" s="1"/>
  <c r="K1246" i="6"/>
  <c r="H1246" i="6" s="1"/>
  <c r="K1245" i="6"/>
  <c r="H1245" i="6" s="1"/>
  <c r="K1244" i="6"/>
  <c r="H1244" i="6" s="1"/>
  <c r="K1243" i="6"/>
  <c r="H1243" i="6" s="1"/>
  <c r="K1242" i="6"/>
  <c r="H1242" i="6" s="1"/>
  <c r="K1241" i="6"/>
  <c r="H1241" i="6" s="1"/>
  <c r="K1240" i="6"/>
  <c r="H1240" i="6" s="1"/>
  <c r="N1095" i="22"/>
  <c r="K1095" i="22"/>
  <c r="H1095" i="22" s="1"/>
  <c r="G1095" i="22"/>
  <c r="B1095" i="22" a="1"/>
  <c r="B1095" i="22" s="1"/>
  <c r="N1235" i="6"/>
  <c r="K1235" i="6"/>
  <c r="H1235" i="6" s="1"/>
  <c r="G1235" i="6"/>
  <c r="N1232" i="6"/>
  <c r="K1232" i="6"/>
  <c r="H1232" i="6" s="1"/>
  <c r="G1232" i="6"/>
  <c r="N1231" i="6"/>
  <c r="K1231" i="6"/>
  <c r="H1231" i="6" s="1"/>
  <c r="G1231" i="6"/>
  <c r="G1105" i="22"/>
  <c r="K1105" i="22"/>
  <c r="H1105" i="22" s="1"/>
  <c r="G1106" i="22"/>
  <c r="K1106" i="22"/>
  <c r="H1106" i="22" s="1"/>
  <c r="G1107" i="22"/>
  <c r="K1107" i="22"/>
  <c r="H1107" i="22" s="1"/>
  <c r="G1108" i="22"/>
  <c r="K1108" i="22"/>
  <c r="H1108" i="22" s="1"/>
  <c r="G1109" i="22"/>
  <c r="K1109" i="22"/>
  <c r="H1109" i="22" s="1"/>
  <c r="G1110" i="22"/>
  <c r="K1110" i="22"/>
  <c r="H1110" i="22" s="1"/>
  <c r="G1111" i="22"/>
  <c r="K1111" i="22"/>
  <c r="H1111" i="22" s="1"/>
  <c r="G1112" i="22"/>
  <c r="K1112" i="22"/>
  <c r="H1112" i="22" s="1"/>
  <c r="B1112" i="22" a="1"/>
  <c r="B1112" i="22" s="1"/>
  <c r="B1111" i="22" a="1"/>
  <c r="B1111" i="22" s="1"/>
  <c r="B1110" i="22" a="1"/>
  <c r="B1110" i="22" s="1"/>
  <c r="B1109" i="22" a="1"/>
  <c r="B1109" i="22" s="1"/>
  <c r="B1108" i="22" a="1"/>
  <c r="B1108" i="22" s="1"/>
  <c r="B1107" i="22" a="1"/>
  <c r="B1107" i="22" s="1"/>
  <c r="B1106" i="22" a="1"/>
  <c r="B1106" i="22" s="1"/>
  <c r="B1105" i="22" a="1"/>
  <c r="B1105" i="22" s="1"/>
  <c r="K1239" i="6"/>
  <c r="H1239" i="6" s="1"/>
  <c r="K1238" i="6"/>
  <c r="H1238" i="6" s="1"/>
  <c r="K1237" i="6"/>
  <c r="H1237" i="6" s="1"/>
  <c r="K1236" i="6"/>
  <c r="H1236" i="6" s="1"/>
  <c r="K1234" i="6"/>
  <c r="H1234" i="6" s="1"/>
  <c r="K1233" i="6"/>
  <c r="H1233" i="6" s="1"/>
  <c r="K1230" i="6"/>
  <c r="H1230" i="6" s="1"/>
  <c r="K1229" i="6"/>
  <c r="H1229" i="6" s="1"/>
  <c r="N1097" i="22"/>
  <c r="K1097" i="22"/>
  <c r="H1097" i="22" s="1"/>
  <c r="G1097" i="22"/>
  <c r="B1097" i="22" a="1"/>
  <c r="B1097" i="22" s="1"/>
  <c r="N1099" i="22"/>
  <c r="K1099" i="22"/>
  <c r="H1099" i="22" s="1"/>
  <c r="G1099" i="22"/>
  <c r="B1099" i="22" a="1"/>
  <c r="B1099" i="22" s="1"/>
  <c r="N1098" i="22"/>
  <c r="N4084" i="22"/>
  <c r="N4083" i="22"/>
  <c r="N4082" i="22"/>
  <c r="N4081" i="22"/>
  <c r="N4080" i="22"/>
  <c r="N4079" i="22"/>
  <c r="N4078" i="22"/>
  <c r="N4077" i="22"/>
  <c r="N4076" i="22"/>
  <c r="N4075" i="22"/>
  <c r="N4074" i="22"/>
  <c r="N4073" i="22"/>
  <c r="N4072" i="22"/>
  <c r="N4071" i="22"/>
  <c r="N4070" i="22"/>
  <c r="N4069" i="22"/>
  <c r="N4068" i="22"/>
  <c r="N4067" i="22"/>
  <c r="N4066" i="22"/>
  <c r="N4065" i="22"/>
  <c r="N4064" i="22"/>
  <c r="N4063" i="22"/>
  <c r="N4062" i="22"/>
  <c r="N4061" i="22"/>
  <c r="N4060" i="22"/>
  <c r="N4059" i="22"/>
  <c r="N4058" i="22"/>
  <c r="N4057" i="22"/>
  <c r="N4056" i="22"/>
  <c r="N4055" i="22"/>
  <c r="N4054" i="22"/>
  <c r="N4053" i="22"/>
  <c r="N4052" i="22"/>
  <c r="N4051" i="22"/>
  <c r="N4050" i="22"/>
  <c r="N4049" i="22"/>
  <c r="N4048" i="22"/>
  <c r="N4047" i="22"/>
  <c r="N4046" i="22"/>
  <c r="N4045" i="22"/>
  <c r="N4044" i="22"/>
  <c r="N4043" i="22"/>
  <c r="N4042" i="22"/>
  <c r="N4041" i="22"/>
  <c r="N4040" i="22"/>
  <c r="N4039" i="22"/>
  <c r="N4038" i="22"/>
  <c r="N4037" i="22"/>
  <c r="N4036" i="22"/>
  <c r="N4035" i="22"/>
  <c r="N4034" i="22"/>
  <c r="N4033" i="22"/>
  <c r="N4032" i="22"/>
  <c r="N4031" i="22"/>
  <c r="N4030" i="22"/>
  <c r="N4029" i="22"/>
  <c r="N4028" i="22"/>
  <c r="N4027" i="22"/>
  <c r="N4026" i="22"/>
  <c r="N4025" i="22"/>
  <c r="N4024" i="22"/>
  <c r="N4023" i="22"/>
  <c r="N4022" i="22"/>
  <c r="N4021" i="22"/>
  <c r="N4020" i="22"/>
  <c r="N4019" i="22"/>
  <c r="N4018" i="22"/>
  <c r="N4017" i="22"/>
  <c r="N4016" i="22"/>
  <c r="N4015" i="22"/>
  <c r="N4014" i="22"/>
  <c r="N4013" i="22"/>
  <c r="N4012" i="22"/>
  <c r="N4011" i="22"/>
  <c r="N4010" i="22"/>
  <c r="N4009" i="22"/>
  <c r="N4008" i="22"/>
  <c r="N4007" i="22"/>
  <c r="N4006" i="22"/>
  <c r="N4005" i="22"/>
  <c r="N4004" i="22"/>
  <c r="N4003" i="22"/>
  <c r="N4002" i="22"/>
  <c r="N4001" i="22"/>
  <c r="N4000" i="22"/>
  <c r="N3999" i="22"/>
  <c r="N3998" i="22"/>
  <c r="N3997" i="22"/>
  <c r="N3996" i="22"/>
  <c r="N3995" i="22"/>
  <c r="N3994" i="22"/>
  <c r="N3993" i="22"/>
  <c r="N3992" i="22"/>
  <c r="N3991" i="22"/>
  <c r="N3990" i="22"/>
  <c r="N3989" i="22"/>
  <c r="N3988" i="22"/>
  <c r="N3987" i="22"/>
  <c r="N3986" i="22"/>
  <c r="N3985" i="22"/>
  <c r="N3984" i="22"/>
  <c r="N3983" i="22"/>
  <c r="N3982" i="22"/>
  <c r="N3981" i="22"/>
  <c r="N3980" i="22"/>
  <c r="N3979" i="22"/>
  <c r="N3978" i="22"/>
  <c r="N3977" i="22"/>
  <c r="N3976" i="22"/>
  <c r="N3975" i="22"/>
  <c r="N3974" i="22"/>
  <c r="N3973" i="22"/>
  <c r="N3972" i="22"/>
  <c r="N3971" i="22"/>
  <c r="N3970" i="22"/>
  <c r="N3969" i="22"/>
  <c r="N3968" i="22"/>
  <c r="N3967" i="22"/>
  <c r="N3966" i="22"/>
  <c r="N3965" i="22"/>
  <c r="N3964" i="22"/>
  <c r="N3963" i="22"/>
  <c r="N3962" i="22"/>
  <c r="N3961" i="22"/>
  <c r="N3960" i="22"/>
  <c r="N3959" i="22"/>
  <c r="N3958" i="22"/>
  <c r="N3957" i="22"/>
  <c r="N3956" i="22"/>
  <c r="N3955" i="22"/>
  <c r="N3954" i="22"/>
  <c r="N3953" i="22"/>
  <c r="N3952" i="22"/>
  <c r="N3951" i="22"/>
  <c r="N3950" i="22"/>
  <c r="N3949" i="22"/>
  <c r="N3948" i="22"/>
  <c r="N3947" i="22"/>
  <c r="N3946" i="22"/>
  <c r="N3945" i="22"/>
  <c r="N3944" i="22"/>
  <c r="N3943" i="22"/>
  <c r="N3942" i="22"/>
  <c r="N3941" i="22"/>
  <c r="N3940" i="22"/>
  <c r="N3939" i="22"/>
  <c r="N3938" i="22"/>
  <c r="N3937" i="22"/>
  <c r="N3936" i="22"/>
  <c r="N3935" i="22"/>
  <c r="N3934" i="22"/>
  <c r="N3933" i="22"/>
  <c r="N3932" i="22"/>
  <c r="N3931" i="22"/>
  <c r="N3930" i="22"/>
  <c r="N3929" i="22"/>
  <c r="N3928" i="22"/>
  <c r="N3927" i="22"/>
  <c r="N3926" i="22"/>
  <c r="N3925" i="22"/>
  <c r="N3924" i="22"/>
  <c r="N3923" i="22"/>
  <c r="N3922" i="22"/>
  <c r="N3921" i="22"/>
  <c r="N3920" i="22"/>
  <c r="N3919" i="22"/>
  <c r="N3918" i="22"/>
  <c r="N3917" i="22"/>
  <c r="N3916" i="22"/>
  <c r="N3915" i="22"/>
  <c r="N3914" i="22"/>
  <c r="N3913" i="22"/>
  <c r="N3912" i="22"/>
  <c r="N3911" i="22"/>
  <c r="N3910" i="22"/>
  <c r="N3909" i="22"/>
  <c r="N3908" i="22"/>
  <c r="N3907" i="22"/>
  <c r="N3906" i="22"/>
  <c r="N3905" i="22"/>
  <c r="N3904" i="22"/>
  <c r="N3903" i="22"/>
  <c r="N3902" i="22"/>
  <c r="N3901" i="22"/>
  <c r="N3900" i="22"/>
  <c r="N3899" i="22"/>
  <c r="N3898" i="22"/>
  <c r="N3897" i="22"/>
  <c r="N3896" i="22"/>
  <c r="N3895" i="22"/>
  <c r="N3894" i="22"/>
  <c r="N3893" i="22"/>
  <c r="N3892" i="22"/>
  <c r="N3891" i="22"/>
  <c r="N3890" i="22"/>
  <c r="N3889" i="22"/>
  <c r="N3888" i="22"/>
  <c r="N3887" i="22"/>
  <c r="N3886" i="22"/>
  <c r="N3885" i="22"/>
  <c r="N3884" i="22"/>
  <c r="N3883" i="22"/>
  <c r="N3882" i="22"/>
  <c r="N3881" i="22"/>
  <c r="N3880" i="22"/>
  <c r="N3879" i="22"/>
  <c r="N3878" i="22"/>
  <c r="N3877" i="22"/>
  <c r="N3876" i="22"/>
  <c r="N3875" i="22"/>
  <c r="N3874" i="22"/>
  <c r="N3873" i="22"/>
  <c r="N3872" i="22"/>
  <c r="N3871" i="22"/>
  <c r="N3870" i="22"/>
  <c r="N3869" i="22"/>
  <c r="N3868" i="22"/>
  <c r="N3867" i="22"/>
  <c r="N3866" i="22"/>
  <c r="N3865" i="22"/>
  <c r="N3864" i="22"/>
  <c r="N3863" i="22"/>
  <c r="N3862" i="22"/>
  <c r="N3861" i="22"/>
  <c r="N3860" i="22"/>
  <c r="N3859" i="22"/>
  <c r="N3858" i="22"/>
  <c r="N3857" i="22"/>
  <c r="N3856" i="22"/>
  <c r="N3855" i="22"/>
  <c r="N3854" i="22"/>
  <c r="N3853" i="22"/>
  <c r="N3852" i="22"/>
  <c r="N3851" i="22"/>
  <c r="N3850" i="22"/>
  <c r="N3849" i="22"/>
  <c r="N3848" i="22"/>
  <c r="N3847" i="22"/>
  <c r="N3846" i="22"/>
  <c r="N3845" i="22"/>
  <c r="N3844" i="22"/>
  <c r="N3843" i="22"/>
  <c r="N3842" i="22"/>
  <c r="N3841" i="22"/>
  <c r="N3840" i="22"/>
  <c r="N3839" i="22"/>
  <c r="N3838" i="22"/>
  <c r="N3837" i="22"/>
  <c r="N3836" i="22"/>
  <c r="N3835" i="22"/>
  <c r="N3834" i="22"/>
  <c r="N3833" i="22"/>
  <c r="N3832" i="22"/>
  <c r="N3831" i="22"/>
  <c r="N3830" i="22"/>
  <c r="N3829" i="22"/>
  <c r="N3828" i="22"/>
  <c r="N3827" i="22"/>
  <c r="N3826" i="22"/>
  <c r="N3825" i="22"/>
  <c r="N3824" i="22"/>
  <c r="N3823" i="22"/>
  <c r="N3822" i="22"/>
  <c r="N3821" i="22"/>
  <c r="N3820" i="22"/>
  <c r="N3819" i="22"/>
  <c r="N3818" i="22"/>
  <c r="N3817" i="22"/>
  <c r="N3816" i="22"/>
  <c r="N3815" i="22"/>
  <c r="N3814" i="22"/>
  <c r="N3813" i="22"/>
  <c r="N3812" i="22"/>
  <c r="N3811" i="22"/>
  <c r="N3810" i="22"/>
  <c r="N3809" i="22"/>
  <c r="N3808" i="22"/>
  <c r="N3807" i="22"/>
  <c r="N3806" i="22"/>
  <c r="N3805" i="22"/>
  <c r="N3804" i="22"/>
  <c r="N3803" i="22"/>
  <c r="N3802" i="22"/>
  <c r="N3801" i="22"/>
  <c r="N3800" i="22"/>
  <c r="N3799" i="22"/>
  <c r="N3798" i="22"/>
  <c r="N3797" i="22"/>
  <c r="N3796" i="22"/>
  <c r="N3795" i="22"/>
  <c r="N3794" i="22"/>
  <c r="N3793" i="22"/>
  <c r="N3792" i="22"/>
  <c r="N3791" i="22"/>
  <c r="N3790" i="22"/>
  <c r="N3789" i="22"/>
  <c r="N3788" i="22"/>
  <c r="N3787" i="22"/>
  <c r="N3786" i="22"/>
  <c r="N3785" i="22"/>
  <c r="N3784" i="22"/>
  <c r="N3783" i="22"/>
  <c r="N3782" i="22"/>
  <c r="N3781" i="22"/>
  <c r="N3780" i="22"/>
  <c r="N3779" i="22"/>
  <c r="N3778" i="22"/>
  <c r="N3777" i="22"/>
  <c r="N3776" i="22"/>
  <c r="N3775" i="22"/>
  <c r="N3774" i="22"/>
  <c r="N3773" i="22"/>
  <c r="N3772" i="22"/>
  <c r="N3771" i="22"/>
  <c r="N3770" i="22"/>
  <c r="N3769" i="22"/>
  <c r="N3768" i="22"/>
  <c r="N3767" i="22"/>
  <c r="N3766" i="22"/>
  <c r="N3765" i="22"/>
  <c r="N3764" i="22"/>
  <c r="N3763" i="22"/>
  <c r="N3762" i="22"/>
  <c r="N3761" i="22"/>
  <c r="N3760" i="22"/>
  <c r="N3759" i="22"/>
  <c r="N3758" i="22"/>
  <c r="N3757" i="22"/>
  <c r="N3756" i="22"/>
  <c r="N3755" i="22"/>
  <c r="N3754" i="22"/>
  <c r="N3753" i="22"/>
  <c r="N3752" i="22"/>
  <c r="N3751" i="22"/>
  <c r="N3750" i="22"/>
  <c r="N3749" i="22"/>
  <c r="N3748" i="22"/>
  <c r="N3747" i="22"/>
  <c r="N3746" i="22"/>
  <c r="N3745" i="22"/>
  <c r="N3744" i="22"/>
  <c r="N3743" i="22"/>
  <c r="N3742" i="22"/>
  <c r="N3741" i="22"/>
  <c r="N3740" i="22"/>
  <c r="N3739" i="22"/>
  <c r="N3738" i="22"/>
  <c r="N3737" i="22"/>
  <c r="N3736" i="22"/>
  <c r="N3735" i="22"/>
  <c r="N3734" i="22"/>
  <c r="N3733" i="22"/>
  <c r="N3732" i="22"/>
  <c r="N3731" i="22"/>
  <c r="N3730" i="22"/>
  <c r="N3729" i="22"/>
  <c r="N3728" i="22"/>
  <c r="N3727" i="22"/>
  <c r="N3726" i="22"/>
  <c r="N3725" i="22"/>
  <c r="N3724" i="22"/>
  <c r="N3723" i="22"/>
  <c r="N3722" i="22"/>
  <c r="N3721" i="22"/>
  <c r="N3720" i="22"/>
  <c r="N3719" i="22"/>
  <c r="N3718" i="22"/>
  <c r="N3717" i="22"/>
  <c r="N3716" i="22"/>
  <c r="N3715" i="22"/>
  <c r="N3714" i="22"/>
  <c r="N3713" i="22"/>
  <c r="N3712" i="22"/>
  <c r="N3711" i="22"/>
  <c r="N3710" i="22"/>
  <c r="N3709" i="22"/>
  <c r="N3708" i="22"/>
  <c r="N3707" i="22"/>
  <c r="N3706" i="22"/>
  <c r="N3705" i="22"/>
  <c r="N3704" i="22"/>
  <c r="N3703" i="22"/>
  <c r="N3702" i="22"/>
  <c r="N3701" i="22"/>
  <c r="N3700" i="22"/>
  <c r="N3699" i="22"/>
  <c r="N3698" i="22"/>
  <c r="N3697" i="22"/>
  <c r="N3696" i="22"/>
  <c r="N3695" i="22"/>
  <c r="N3694" i="22"/>
  <c r="N3693" i="22"/>
  <c r="N3692" i="22"/>
  <c r="N3691" i="22"/>
  <c r="N3690" i="22"/>
  <c r="N3689" i="22"/>
  <c r="N3688" i="22"/>
  <c r="N3687" i="22"/>
  <c r="N3686" i="22"/>
  <c r="N3685" i="22"/>
  <c r="N3684" i="22"/>
  <c r="N3683" i="22"/>
  <c r="N3682" i="22"/>
  <c r="N3681" i="22"/>
  <c r="N3680" i="22"/>
  <c r="N3679" i="22"/>
  <c r="N3678" i="22"/>
  <c r="N3677" i="22"/>
  <c r="N3676" i="22"/>
  <c r="N3675" i="22"/>
  <c r="N3674" i="22"/>
  <c r="N3673" i="22"/>
  <c r="N3672" i="22"/>
  <c r="N3671" i="22"/>
  <c r="N3670" i="22"/>
  <c r="N3669" i="22"/>
  <c r="N3668" i="22"/>
  <c r="N3667" i="22"/>
  <c r="N3666" i="22"/>
  <c r="N3665" i="22"/>
  <c r="N3664" i="22"/>
  <c r="N3663" i="22"/>
  <c r="N3662" i="22"/>
  <c r="N3661" i="22"/>
  <c r="N3660" i="22"/>
  <c r="N3659" i="22"/>
  <c r="N3658" i="22"/>
  <c r="N3657" i="22"/>
  <c r="N3656" i="22"/>
  <c r="N3655" i="22"/>
  <c r="N3654" i="22"/>
  <c r="N3653" i="22"/>
  <c r="N3652" i="22"/>
  <c r="N3651" i="22"/>
  <c r="N3650" i="22"/>
  <c r="N3649" i="22"/>
  <c r="N3648" i="22"/>
  <c r="N3647" i="22"/>
  <c r="N3646" i="22"/>
  <c r="N3645" i="22"/>
  <c r="N3644" i="22"/>
  <c r="N3643" i="22"/>
  <c r="N3642" i="22"/>
  <c r="N3641" i="22"/>
  <c r="N3640" i="22"/>
  <c r="N3639" i="22"/>
  <c r="N3638" i="22"/>
  <c r="N3637" i="22"/>
  <c r="N3636" i="22"/>
  <c r="N3635" i="22"/>
  <c r="N3634" i="22"/>
  <c r="N3633" i="22"/>
  <c r="N3632" i="22"/>
  <c r="N3631" i="22"/>
  <c r="N3630" i="22"/>
  <c r="N3629" i="22"/>
  <c r="N3628" i="22"/>
  <c r="N3627" i="22"/>
  <c r="N3626" i="22"/>
  <c r="N3625" i="22"/>
  <c r="N3624" i="22"/>
  <c r="N3623" i="22"/>
  <c r="N3622" i="22"/>
  <c r="N3621" i="22"/>
  <c r="N3620" i="22"/>
  <c r="N3619" i="22"/>
  <c r="N3618" i="22"/>
  <c r="N3617" i="22"/>
  <c r="N3616" i="22"/>
  <c r="N3615" i="22"/>
  <c r="N3614" i="22"/>
  <c r="N3613" i="22"/>
  <c r="N3612" i="22"/>
  <c r="N3611" i="22"/>
  <c r="N3610" i="22"/>
  <c r="N3609" i="22"/>
  <c r="N3608" i="22"/>
  <c r="N3607" i="22"/>
  <c r="N3606" i="22"/>
  <c r="N3605" i="22"/>
  <c r="N3604" i="22"/>
  <c r="N3603" i="22"/>
  <c r="N3602" i="22"/>
  <c r="N3601" i="22"/>
  <c r="N3600" i="22"/>
  <c r="N3599" i="22"/>
  <c r="N3598" i="22"/>
  <c r="N3597" i="22"/>
  <c r="N3596" i="22"/>
  <c r="N3595" i="22"/>
  <c r="N3594" i="22"/>
  <c r="N3593" i="22"/>
  <c r="N3592" i="22"/>
  <c r="N3591" i="22"/>
  <c r="N3590" i="22"/>
  <c r="N3589" i="22"/>
  <c r="N3588" i="22"/>
  <c r="N3587" i="22"/>
  <c r="N3586" i="22"/>
  <c r="N3585" i="22"/>
  <c r="N3584" i="22"/>
  <c r="N3583" i="22"/>
  <c r="N3582" i="22"/>
  <c r="N3581" i="22"/>
  <c r="N3580" i="22"/>
  <c r="N3579" i="22"/>
  <c r="N3578" i="22"/>
  <c r="N3577" i="22"/>
  <c r="N3576" i="22"/>
  <c r="N3575" i="22"/>
  <c r="N3574" i="22"/>
  <c r="N3573" i="22"/>
  <c r="N3572" i="22"/>
  <c r="N3571" i="22"/>
  <c r="N3570" i="22"/>
  <c r="N3569" i="22"/>
  <c r="N3568" i="22"/>
  <c r="N3567" i="22"/>
  <c r="N3566" i="22"/>
  <c r="N3565" i="22"/>
  <c r="N3564" i="22"/>
  <c r="N3563" i="22"/>
  <c r="N3562" i="22"/>
  <c r="N3561" i="22"/>
  <c r="N3560" i="22"/>
  <c r="N3559" i="22"/>
  <c r="N3558" i="22"/>
  <c r="N3557" i="22"/>
  <c r="N3556" i="22"/>
  <c r="N3555" i="22"/>
  <c r="N3554" i="22"/>
  <c r="N3553" i="22"/>
  <c r="N3552" i="22"/>
  <c r="N3551" i="22"/>
  <c r="N3550" i="22"/>
  <c r="N3549" i="22"/>
  <c r="N3548" i="22"/>
  <c r="N3547" i="22"/>
  <c r="N3546" i="22"/>
  <c r="N3545" i="22"/>
  <c r="N3544" i="22"/>
  <c r="N3543" i="22"/>
  <c r="N3542" i="22"/>
  <c r="N3541" i="22"/>
  <c r="N3540" i="22"/>
  <c r="N3539" i="22"/>
  <c r="N3538" i="22"/>
  <c r="N3537" i="22"/>
  <c r="N3536" i="22"/>
  <c r="N3535" i="22"/>
  <c r="N3534" i="22"/>
  <c r="N3533" i="22"/>
  <c r="N3532" i="22"/>
  <c r="N3531" i="22"/>
  <c r="N3530" i="22"/>
  <c r="N3529" i="22"/>
  <c r="N3528" i="22"/>
  <c r="N3527" i="22"/>
  <c r="N3526" i="22"/>
  <c r="N3525" i="22"/>
  <c r="N3524" i="22"/>
  <c r="N3523" i="22"/>
  <c r="N3522" i="22"/>
  <c r="N3521" i="22"/>
  <c r="N3520" i="22"/>
  <c r="N3519" i="22"/>
  <c r="N3518" i="22"/>
  <c r="N3517" i="22"/>
  <c r="N3516" i="22"/>
  <c r="N3515" i="22"/>
  <c r="N3514" i="22"/>
  <c r="N3513" i="22"/>
  <c r="N3512" i="22"/>
  <c r="N3511" i="22"/>
  <c r="N3510" i="22"/>
  <c r="N3509" i="22"/>
  <c r="N3508" i="22"/>
  <c r="N3507" i="22"/>
  <c r="N3506" i="22"/>
  <c r="N3505" i="22"/>
  <c r="N3504" i="22"/>
  <c r="N3503" i="22"/>
  <c r="N3502" i="22"/>
  <c r="N3501" i="22"/>
  <c r="N3500" i="22"/>
  <c r="N3499" i="22"/>
  <c r="N3498" i="22"/>
  <c r="N3497" i="22"/>
  <c r="N3496" i="22"/>
  <c r="N3495" i="22"/>
  <c r="N3494" i="22"/>
  <c r="N3493" i="22"/>
  <c r="N3492" i="22"/>
  <c r="N3491" i="22"/>
  <c r="N3490" i="22"/>
  <c r="N3489" i="22"/>
  <c r="N3488" i="22"/>
  <c r="N3487" i="22"/>
  <c r="N3486" i="22"/>
  <c r="N3485" i="22"/>
  <c r="N3484" i="22"/>
  <c r="N3483" i="22"/>
  <c r="N3482" i="22"/>
  <c r="N3481" i="22"/>
  <c r="N3480" i="22"/>
  <c r="N3479" i="22"/>
  <c r="N3478" i="22"/>
  <c r="N3477" i="22"/>
  <c r="N3476" i="22"/>
  <c r="N3475" i="22"/>
  <c r="N3474" i="22"/>
  <c r="N3473" i="22"/>
  <c r="N3472" i="22"/>
  <c r="N3471" i="22"/>
  <c r="N3470" i="22"/>
  <c r="N3469" i="22"/>
  <c r="N3468" i="22"/>
  <c r="N3467" i="22"/>
  <c r="N3466" i="22"/>
  <c r="N3465" i="22"/>
  <c r="N3464" i="22"/>
  <c r="N3463" i="22"/>
  <c r="N3462" i="22"/>
  <c r="N3461" i="22"/>
  <c r="N3460" i="22"/>
  <c r="N3459" i="22"/>
  <c r="N3458" i="22"/>
  <c r="N3457" i="22"/>
  <c r="N3456" i="22"/>
  <c r="N3455" i="22"/>
  <c r="N3454" i="22"/>
  <c r="N3453" i="22"/>
  <c r="N3452" i="22"/>
  <c r="N3451" i="22"/>
  <c r="N3450" i="22"/>
  <c r="N3449" i="22"/>
  <c r="N3448" i="22"/>
  <c r="N3447" i="22"/>
  <c r="N3446" i="22"/>
  <c r="N3445" i="22"/>
  <c r="N3444" i="22"/>
  <c r="N3443" i="22"/>
  <c r="N3442" i="22"/>
  <c r="N3441" i="22"/>
  <c r="N3440" i="22"/>
  <c r="N3439" i="22"/>
  <c r="N3438" i="22"/>
  <c r="N3437" i="22"/>
  <c r="N3436" i="22"/>
  <c r="N3435" i="22"/>
  <c r="N3434" i="22"/>
  <c r="N3433" i="22"/>
  <c r="N3432" i="22"/>
  <c r="N3431" i="22"/>
  <c r="N3430" i="22"/>
  <c r="N3429" i="22"/>
  <c r="N3428" i="22"/>
  <c r="N3427" i="22"/>
  <c r="N3426" i="22"/>
  <c r="N3425" i="22"/>
  <c r="N3424" i="22"/>
  <c r="N3423" i="22"/>
  <c r="N3422" i="22"/>
  <c r="N3421" i="22"/>
  <c r="N3420" i="22"/>
  <c r="N3419" i="22"/>
  <c r="N3418" i="22"/>
  <c r="N3417" i="22"/>
  <c r="N3416" i="22"/>
  <c r="N3415" i="22"/>
  <c r="N3414" i="22"/>
  <c r="N3413" i="22"/>
  <c r="N3412" i="22"/>
  <c r="N3411" i="22"/>
  <c r="N3410" i="22"/>
  <c r="N3409" i="22"/>
  <c r="N3408" i="22"/>
  <c r="N3407" i="22"/>
  <c r="N3406" i="22"/>
  <c r="N3405" i="22"/>
  <c r="N3404" i="22"/>
  <c r="N3403" i="22"/>
  <c r="N3402" i="22"/>
  <c r="N3401" i="22"/>
  <c r="N3400" i="22"/>
  <c r="N3399" i="22"/>
  <c r="N3398" i="22"/>
  <c r="N3397" i="22"/>
  <c r="N3396" i="22"/>
  <c r="N3395" i="22"/>
  <c r="N3394" i="22"/>
  <c r="N3393" i="22"/>
  <c r="N3392" i="22"/>
  <c r="N3391" i="22"/>
  <c r="N3390" i="22"/>
  <c r="N3389" i="22"/>
  <c r="N3388" i="22"/>
  <c r="N3387" i="22"/>
  <c r="N3386" i="22"/>
  <c r="N3385" i="22"/>
  <c r="N3384" i="22"/>
  <c r="N3383" i="22"/>
  <c r="N3382" i="22"/>
  <c r="N3381" i="22"/>
  <c r="N3380" i="22"/>
  <c r="N3379" i="22"/>
  <c r="N3378" i="22"/>
  <c r="N3377" i="22"/>
  <c r="N3376" i="22"/>
  <c r="N3375" i="22"/>
  <c r="N3374" i="22"/>
  <c r="N3373" i="22"/>
  <c r="N3372" i="22"/>
  <c r="N3371" i="22"/>
  <c r="N3370" i="22"/>
  <c r="N3369" i="22"/>
  <c r="N3368" i="22"/>
  <c r="N3367" i="22"/>
  <c r="N3366" i="22"/>
  <c r="N3365" i="22"/>
  <c r="N3364" i="22"/>
  <c r="N3363" i="22"/>
  <c r="N3362" i="22"/>
  <c r="N3361" i="22"/>
  <c r="N3360" i="22"/>
  <c r="N3359" i="22"/>
  <c r="N3358" i="22"/>
  <c r="N3357" i="22"/>
  <c r="N3356" i="22"/>
  <c r="N3355" i="22"/>
  <c r="N3354" i="22"/>
  <c r="N3353" i="22"/>
  <c r="N3352" i="22"/>
  <c r="N3351" i="22"/>
  <c r="N3350" i="22"/>
  <c r="N3349" i="22"/>
  <c r="N3348" i="22"/>
  <c r="N3347" i="22"/>
  <c r="N3346" i="22"/>
  <c r="N3345" i="22"/>
  <c r="N3344" i="22"/>
  <c r="N3343" i="22"/>
  <c r="N3342" i="22"/>
  <c r="N3341" i="22"/>
  <c r="N3340" i="22"/>
  <c r="N3339" i="22"/>
  <c r="N3338" i="22"/>
  <c r="N3337" i="22"/>
  <c r="N3336" i="22"/>
  <c r="N3335" i="22"/>
  <c r="N3334" i="22"/>
  <c r="N3333" i="22"/>
  <c r="N3332" i="22"/>
  <c r="N3331" i="22"/>
  <c r="N3330" i="22"/>
  <c r="N3329" i="22"/>
  <c r="N3328" i="22"/>
  <c r="N3327" i="22"/>
  <c r="N3326" i="22"/>
  <c r="N3325" i="22"/>
  <c r="N3324" i="22"/>
  <c r="N3323" i="22"/>
  <c r="N3322" i="22"/>
  <c r="N3321" i="22"/>
  <c r="N3320" i="22"/>
  <c r="N3319" i="22"/>
  <c r="N3318" i="22"/>
  <c r="N3317" i="22"/>
  <c r="N3316" i="22"/>
  <c r="N3315" i="22"/>
  <c r="N3314" i="22"/>
  <c r="N3313" i="22"/>
  <c r="N3312" i="22"/>
  <c r="N3311" i="22"/>
  <c r="N3310" i="22"/>
  <c r="N3309" i="22"/>
  <c r="N3308" i="22"/>
  <c r="N3307" i="22"/>
  <c r="N3306" i="22"/>
  <c r="N3305" i="22"/>
  <c r="N3304" i="22"/>
  <c r="N3303" i="22"/>
  <c r="N3302" i="22"/>
  <c r="N3301" i="22"/>
  <c r="N3300" i="22"/>
  <c r="N3299" i="22"/>
  <c r="N3298" i="22"/>
  <c r="N3297" i="22"/>
  <c r="N3296" i="22"/>
  <c r="N3295" i="22"/>
  <c r="N3294" i="22"/>
  <c r="N3293" i="22"/>
  <c r="N3292" i="22"/>
  <c r="N3291" i="22"/>
  <c r="N3290" i="22"/>
  <c r="N3289" i="22"/>
  <c r="N3288" i="22"/>
  <c r="N3287" i="22"/>
  <c r="N3286" i="22"/>
  <c r="N3285" i="22"/>
  <c r="N3284" i="22"/>
  <c r="N3283" i="22"/>
  <c r="N3282" i="22"/>
  <c r="N3281" i="22"/>
  <c r="N3280" i="22"/>
  <c r="N3279" i="22"/>
  <c r="N3278" i="22"/>
  <c r="N3277" i="22"/>
  <c r="N3276" i="22"/>
  <c r="N3275" i="22"/>
  <c r="N3274" i="22"/>
  <c r="N3273" i="22"/>
  <c r="N3272" i="22"/>
  <c r="N3271" i="22"/>
  <c r="N3270" i="22"/>
  <c r="N3269" i="22"/>
  <c r="N3268" i="22"/>
  <c r="N3267" i="22"/>
  <c r="N3266" i="22"/>
  <c r="N3265" i="22"/>
  <c r="N3264" i="22"/>
  <c r="N3263" i="22"/>
  <c r="N3262" i="22"/>
  <c r="N3261" i="22"/>
  <c r="N3260" i="22"/>
  <c r="N3259" i="22"/>
  <c r="N3258" i="22"/>
  <c r="N3257" i="22"/>
  <c r="N3256" i="22"/>
  <c r="N3255" i="22"/>
  <c r="N3254" i="22"/>
  <c r="N3253" i="22"/>
  <c r="N3252" i="22"/>
  <c r="N3251" i="22"/>
  <c r="N3250" i="22"/>
  <c r="N3249" i="22"/>
  <c r="N3248" i="22"/>
  <c r="N3247" i="22"/>
  <c r="N3246" i="22"/>
  <c r="N3245" i="22"/>
  <c r="N3244" i="22"/>
  <c r="N3243" i="22"/>
  <c r="N3242" i="22"/>
  <c r="N3241" i="22"/>
  <c r="N3240" i="22"/>
  <c r="N3239" i="22"/>
  <c r="N3238" i="22"/>
  <c r="N3237" i="22"/>
  <c r="N3236" i="22"/>
  <c r="N3235" i="22"/>
  <c r="N3234" i="22"/>
  <c r="N3233" i="22"/>
  <c r="N3232" i="22"/>
  <c r="N3231" i="22"/>
  <c r="N3230" i="22"/>
  <c r="N3229" i="22"/>
  <c r="N3228" i="22"/>
  <c r="N3227" i="22"/>
  <c r="N3226" i="22"/>
  <c r="N3225" i="22"/>
  <c r="N3224" i="22"/>
  <c r="N3223" i="22"/>
  <c r="N3222" i="22"/>
  <c r="N3221" i="22"/>
  <c r="N3220" i="22"/>
  <c r="N3219" i="22"/>
  <c r="N3218" i="22"/>
  <c r="N3217" i="22"/>
  <c r="N3216" i="22"/>
  <c r="N3215" i="22"/>
  <c r="N3214" i="22"/>
  <c r="N3213" i="22"/>
  <c r="N3212" i="22"/>
  <c r="N3211" i="22"/>
  <c r="N3210" i="22"/>
  <c r="N3209" i="22"/>
  <c r="N3208" i="22"/>
  <c r="N3207" i="22"/>
  <c r="N3206" i="22"/>
  <c r="N3205" i="22"/>
  <c r="N3204" i="22"/>
  <c r="N3203" i="22"/>
  <c r="N3202" i="22"/>
  <c r="N3201" i="22"/>
  <c r="N3200" i="22"/>
  <c r="N3199" i="22"/>
  <c r="N3198" i="22"/>
  <c r="N3197" i="22"/>
  <c r="N3196" i="22"/>
  <c r="N3195" i="22"/>
  <c r="N3194" i="22"/>
  <c r="N3193" i="22"/>
  <c r="N3192" i="22"/>
  <c r="N3191" i="22"/>
  <c r="N3190" i="22"/>
  <c r="N3189" i="22"/>
  <c r="N3188" i="22"/>
  <c r="N3187" i="22"/>
  <c r="N3186" i="22"/>
  <c r="N3185" i="22"/>
  <c r="N3184" i="22"/>
  <c r="N3183" i="22"/>
  <c r="N3182" i="22"/>
  <c r="N3181" i="22"/>
  <c r="N3180" i="22"/>
  <c r="N3179" i="22"/>
  <c r="N3178" i="22"/>
  <c r="N3177" i="22"/>
  <c r="N3176" i="22"/>
  <c r="N3175" i="22"/>
  <c r="N3174" i="22"/>
  <c r="N3173" i="22"/>
  <c r="N3172" i="22"/>
  <c r="N3171" i="22"/>
  <c r="N3170" i="22"/>
  <c r="N3169" i="22"/>
  <c r="N3168" i="22"/>
  <c r="N3167" i="22"/>
  <c r="N3166" i="22"/>
  <c r="N3165" i="22"/>
  <c r="N3164" i="22"/>
  <c r="N3163" i="22"/>
  <c r="N3162" i="22"/>
  <c r="N3161" i="22"/>
  <c r="N3160" i="22"/>
  <c r="N3159" i="22"/>
  <c r="N3158" i="22"/>
  <c r="N3157" i="22"/>
  <c r="N3156" i="22"/>
  <c r="N3155" i="22"/>
  <c r="N3154" i="22"/>
  <c r="N3153" i="22"/>
  <c r="N3152" i="22"/>
  <c r="N3151" i="22"/>
  <c r="N3150" i="22"/>
  <c r="N3149" i="22"/>
  <c r="N3148" i="22"/>
  <c r="N3147" i="22"/>
  <c r="N3146" i="22"/>
  <c r="N3145" i="22"/>
  <c r="N3144" i="22"/>
  <c r="N3143" i="22"/>
  <c r="N3142" i="22"/>
  <c r="N3141" i="22"/>
  <c r="N3140" i="22"/>
  <c r="N3139" i="22"/>
  <c r="N3138" i="22"/>
  <c r="N3137" i="22"/>
  <c r="N3136" i="22"/>
  <c r="N3135" i="22"/>
  <c r="N3134" i="22"/>
  <c r="N3133" i="22"/>
  <c r="N3132" i="22"/>
  <c r="N3131" i="22"/>
  <c r="N3130" i="22"/>
  <c r="N3129" i="22"/>
  <c r="N3128" i="22"/>
  <c r="N3127" i="22"/>
  <c r="N3126" i="22"/>
  <c r="N3125" i="22"/>
  <c r="N3124" i="22"/>
  <c r="N3123" i="22"/>
  <c r="N3122" i="22"/>
  <c r="N3121" i="22"/>
  <c r="N3120" i="22"/>
  <c r="N3119" i="22"/>
  <c r="N3118" i="22"/>
  <c r="N3117" i="22"/>
  <c r="N3116" i="22"/>
  <c r="N3115" i="22"/>
  <c r="N3114" i="22"/>
  <c r="N3113" i="22"/>
  <c r="N3112" i="22"/>
  <c r="N3111" i="22"/>
  <c r="N3110" i="22"/>
  <c r="N3109" i="22"/>
  <c r="N3108" i="22"/>
  <c r="N3107" i="22"/>
  <c r="N3106" i="22"/>
  <c r="N3105" i="22"/>
  <c r="N3104" i="22"/>
  <c r="N3103" i="22"/>
  <c r="N3102" i="22"/>
  <c r="N3101" i="22"/>
  <c r="N3100" i="22"/>
  <c r="N3099" i="22"/>
  <c r="N3098" i="22"/>
  <c r="N3097" i="22"/>
  <c r="N3096" i="22"/>
  <c r="N3095" i="22"/>
  <c r="N3094" i="22"/>
  <c r="N3093" i="22"/>
  <c r="N3092" i="22"/>
  <c r="N3091" i="22"/>
  <c r="N3090" i="22"/>
  <c r="N3089" i="22"/>
  <c r="N3088" i="22"/>
  <c r="N3087" i="22"/>
  <c r="N3086" i="22"/>
  <c r="N3085" i="22"/>
  <c r="N3084" i="22"/>
  <c r="N3083" i="22"/>
  <c r="N3082" i="22"/>
  <c r="N3081" i="22"/>
  <c r="N3080" i="22"/>
  <c r="N3079" i="22"/>
  <c r="N3078" i="22"/>
  <c r="N3077" i="22"/>
  <c r="N3076" i="22"/>
  <c r="N3075" i="22"/>
  <c r="N3074" i="22"/>
  <c r="N3073" i="22"/>
  <c r="N3072" i="22"/>
  <c r="N3071" i="22"/>
  <c r="N3070" i="22"/>
  <c r="N3069" i="22"/>
  <c r="N3068" i="22"/>
  <c r="N3067" i="22"/>
  <c r="N3066" i="22"/>
  <c r="N3065" i="22"/>
  <c r="N3064" i="22"/>
  <c r="N3063" i="22"/>
  <c r="N3062" i="22"/>
  <c r="N3061" i="22"/>
  <c r="N3060" i="22"/>
  <c r="N3059" i="22"/>
  <c r="N3058" i="22"/>
  <c r="N3057" i="22"/>
  <c r="N3056" i="22"/>
  <c r="N3055" i="22"/>
  <c r="N3054" i="22"/>
  <c r="N3053" i="22"/>
  <c r="N3052" i="22"/>
  <c r="N3051" i="22"/>
  <c r="N3050" i="22"/>
  <c r="N3049" i="22"/>
  <c r="N3048" i="22"/>
  <c r="N3047" i="22"/>
  <c r="N3046" i="22"/>
  <c r="N3045" i="22"/>
  <c r="N3044" i="22"/>
  <c r="N3043" i="22"/>
  <c r="N3042" i="22"/>
  <c r="N3041" i="22"/>
  <c r="N3040" i="22"/>
  <c r="N3039" i="22"/>
  <c r="N3038" i="22"/>
  <c r="N3037" i="22"/>
  <c r="N3036" i="22"/>
  <c r="N3035" i="22"/>
  <c r="N3034" i="22"/>
  <c r="N3033" i="22"/>
  <c r="N3032" i="22"/>
  <c r="N3031" i="22"/>
  <c r="N3030" i="22"/>
  <c r="N3029" i="22"/>
  <c r="N3028" i="22"/>
  <c r="N3027" i="22"/>
  <c r="N3026" i="22"/>
  <c r="N3025" i="22"/>
  <c r="N3024" i="22"/>
  <c r="N3023" i="22"/>
  <c r="N3022" i="22"/>
  <c r="N3021" i="22"/>
  <c r="N3020" i="22"/>
  <c r="N3019" i="22"/>
  <c r="N3018" i="22"/>
  <c r="N3017" i="22"/>
  <c r="N3016" i="22"/>
  <c r="N3015" i="22"/>
  <c r="N3014" i="22"/>
  <c r="N3013" i="22"/>
  <c r="N3012" i="22"/>
  <c r="N3011" i="22"/>
  <c r="N3010" i="22"/>
  <c r="N3009" i="22"/>
  <c r="N3008" i="22"/>
  <c r="N3007" i="22"/>
  <c r="N3006" i="22"/>
  <c r="N3005" i="22"/>
  <c r="N3004" i="22"/>
  <c r="N3003" i="22"/>
  <c r="N3002" i="22"/>
  <c r="N3001" i="22"/>
  <c r="N3000" i="22"/>
  <c r="N2999" i="22"/>
  <c r="N2998" i="22"/>
  <c r="N2997" i="22"/>
  <c r="N2996" i="22"/>
  <c r="N2995" i="22"/>
  <c r="N2994" i="22"/>
  <c r="N2993" i="22"/>
  <c r="N2992" i="22"/>
  <c r="N2991" i="22"/>
  <c r="N2990" i="22"/>
  <c r="N2989" i="22"/>
  <c r="N2988" i="22"/>
  <c r="N2987" i="22"/>
  <c r="N2986" i="22"/>
  <c r="N2985" i="22"/>
  <c r="N2984" i="22"/>
  <c r="N2983" i="22"/>
  <c r="N2982" i="22"/>
  <c r="N2981" i="22"/>
  <c r="N2980" i="22"/>
  <c r="N2979" i="22"/>
  <c r="N2978" i="22"/>
  <c r="N2977" i="22"/>
  <c r="N2976" i="22"/>
  <c r="N2975" i="22"/>
  <c r="N2974" i="22"/>
  <c r="N2973" i="22"/>
  <c r="N2972" i="22"/>
  <c r="N2971" i="22"/>
  <c r="N2970" i="22"/>
  <c r="N2969" i="22"/>
  <c r="N2968" i="22"/>
  <c r="N2967" i="22"/>
  <c r="N2966" i="22"/>
  <c r="N2965" i="22"/>
  <c r="N2964" i="22"/>
  <c r="N2963" i="22"/>
  <c r="N2962" i="22"/>
  <c r="N2961" i="22"/>
  <c r="N2960" i="22"/>
  <c r="N2959" i="22"/>
  <c r="N2958" i="22"/>
  <c r="N2957" i="22"/>
  <c r="N2956" i="22"/>
  <c r="N2955" i="22"/>
  <c r="N2954" i="22"/>
  <c r="N2953" i="22"/>
  <c r="N2952" i="22"/>
  <c r="N2951" i="22"/>
  <c r="N2950" i="22"/>
  <c r="N2949" i="22"/>
  <c r="N2948" i="22"/>
  <c r="N2947" i="22"/>
  <c r="N2946" i="22"/>
  <c r="N2945" i="22"/>
  <c r="N2944" i="22"/>
  <c r="N2943" i="22"/>
  <c r="N2942" i="22"/>
  <c r="N2941" i="22"/>
  <c r="N2940" i="22"/>
  <c r="N2939" i="22"/>
  <c r="N2938" i="22"/>
  <c r="N2937" i="22"/>
  <c r="N2936" i="22"/>
  <c r="N2935" i="22"/>
  <c r="N2934" i="22"/>
  <c r="N2933" i="22"/>
  <c r="N2932" i="22"/>
  <c r="N2931" i="22"/>
  <c r="N2930" i="22"/>
  <c r="N2929" i="22"/>
  <c r="N2928" i="22"/>
  <c r="N2927" i="22"/>
  <c r="N2926" i="22"/>
  <c r="N2925" i="22"/>
  <c r="N2924" i="22"/>
  <c r="N2923" i="22"/>
  <c r="N2922" i="22"/>
  <c r="N2921" i="22"/>
  <c r="N2920" i="22"/>
  <c r="N2919" i="22"/>
  <c r="N2918" i="22"/>
  <c r="N2917" i="22"/>
  <c r="N2916" i="22"/>
  <c r="N2915" i="22"/>
  <c r="N2914" i="22"/>
  <c r="N2913" i="22"/>
  <c r="N2912" i="22"/>
  <c r="N2911" i="22"/>
  <c r="N2910" i="22"/>
  <c r="N2909" i="22"/>
  <c r="N2908" i="22"/>
  <c r="N2907" i="22"/>
  <c r="N2906" i="22"/>
  <c r="N2905" i="22"/>
  <c r="N2904" i="22"/>
  <c r="N2903" i="22"/>
  <c r="N2902" i="22"/>
  <c r="N2901" i="22"/>
  <c r="N2900" i="22"/>
  <c r="N2899" i="22"/>
  <c r="N2898" i="22"/>
  <c r="N2897" i="22"/>
  <c r="N2896" i="22"/>
  <c r="N2895" i="22"/>
  <c r="N2894" i="22"/>
  <c r="N2893" i="22"/>
  <c r="N2892" i="22"/>
  <c r="N2891" i="22"/>
  <c r="N2890" i="22"/>
  <c r="N2889" i="22"/>
  <c r="N2888" i="22"/>
  <c r="N2887" i="22"/>
  <c r="N2886" i="22"/>
  <c r="N2885" i="22"/>
  <c r="N2884" i="22"/>
  <c r="N2883" i="22"/>
  <c r="N2882" i="22"/>
  <c r="N2881" i="22"/>
  <c r="N2880" i="22"/>
  <c r="N2879" i="22"/>
  <c r="N2878" i="22"/>
  <c r="N2877" i="22"/>
  <c r="N2876" i="22"/>
  <c r="N2875" i="22"/>
  <c r="N2874" i="22"/>
  <c r="N2873" i="22"/>
  <c r="N2872" i="22"/>
  <c r="N2871" i="22"/>
  <c r="N2870" i="22"/>
  <c r="N2869" i="22"/>
  <c r="N2868" i="22"/>
  <c r="N2867" i="22"/>
  <c r="N2866" i="22"/>
  <c r="N2865" i="22"/>
  <c r="N2864" i="22"/>
  <c r="N2863" i="22"/>
  <c r="N2862" i="22"/>
  <c r="N2861" i="22"/>
  <c r="N2860" i="22"/>
  <c r="N2859" i="22"/>
  <c r="N2858" i="22"/>
  <c r="N2857" i="22"/>
  <c r="N2856" i="22"/>
  <c r="N2855" i="22"/>
  <c r="N2854" i="22"/>
  <c r="N2853" i="22"/>
  <c r="N2852" i="22"/>
  <c r="N2851" i="22"/>
  <c r="N2850" i="22"/>
  <c r="N2849" i="22"/>
  <c r="N2848" i="22"/>
  <c r="N2847" i="22"/>
  <c r="N2846" i="22"/>
  <c r="N2845" i="22"/>
  <c r="N2844" i="22"/>
  <c r="N2843" i="22"/>
  <c r="N2842" i="22"/>
  <c r="N2841" i="22"/>
  <c r="N2840" i="22"/>
  <c r="N2839" i="22"/>
  <c r="N2838" i="22"/>
  <c r="N2837" i="22"/>
  <c r="N2836" i="22"/>
  <c r="N2835" i="22"/>
  <c r="N2834" i="22"/>
  <c r="N2833" i="22"/>
  <c r="N2832" i="22"/>
  <c r="N2831" i="22"/>
  <c r="N2830" i="22"/>
  <c r="N2829" i="22"/>
  <c r="N2828" i="22"/>
  <c r="N2827" i="22"/>
  <c r="N2826" i="22"/>
  <c r="N2825" i="22"/>
  <c r="N2824" i="22"/>
  <c r="N2823" i="22"/>
  <c r="N2822" i="22"/>
  <c r="N2821" i="22"/>
  <c r="N2820" i="22"/>
  <c r="N2819" i="22"/>
  <c r="N2818" i="22"/>
  <c r="N2817" i="22"/>
  <c r="N2816" i="22"/>
  <c r="N2815" i="22"/>
  <c r="N2814" i="22"/>
  <c r="N2813" i="22"/>
  <c r="N2812" i="22"/>
  <c r="N2811" i="22"/>
  <c r="N2810" i="22"/>
  <c r="N2809" i="22"/>
  <c r="N2808" i="22"/>
  <c r="N2807" i="22"/>
  <c r="N2806" i="22"/>
  <c r="N2805" i="22"/>
  <c r="N2804" i="22"/>
  <c r="N2803" i="22"/>
  <c r="N2802" i="22"/>
  <c r="N2801" i="22"/>
  <c r="N2800" i="22"/>
  <c r="N2799" i="22"/>
  <c r="N2798" i="22"/>
  <c r="N2797" i="22"/>
  <c r="N2796" i="22"/>
  <c r="N2795" i="22"/>
  <c r="N2794" i="22"/>
  <c r="N2793" i="22"/>
  <c r="N2792" i="22"/>
  <c r="N2791" i="22"/>
  <c r="N2790" i="22"/>
  <c r="N2789" i="22"/>
  <c r="N2788" i="22"/>
  <c r="N2787" i="22"/>
  <c r="N2786" i="22"/>
  <c r="N2785" i="22"/>
  <c r="N2784" i="22"/>
  <c r="N2783" i="22"/>
  <c r="N2782" i="22"/>
  <c r="N2781" i="22"/>
  <c r="N2780" i="22"/>
  <c r="N2779" i="22"/>
  <c r="N2778" i="22"/>
  <c r="N2777" i="22"/>
  <c r="N2776" i="22"/>
  <c r="N2775" i="22"/>
  <c r="N2774" i="22"/>
  <c r="N2773" i="22"/>
  <c r="N2772" i="22"/>
  <c r="N2771" i="22"/>
  <c r="N2770" i="22"/>
  <c r="N2769" i="22"/>
  <c r="N2768" i="22"/>
  <c r="N2767" i="22"/>
  <c r="N2766" i="22"/>
  <c r="N2765" i="22"/>
  <c r="N2764" i="22"/>
  <c r="N2763" i="22"/>
  <c r="N2762" i="22"/>
  <c r="N2761" i="22"/>
  <c r="N2760" i="22"/>
  <c r="N2759" i="22"/>
  <c r="N2758" i="22"/>
  <c r="N2757" i="22"/>
  <c r="N2756" i="22"/>
  <c r="N2755" i="22"/>
  <c r="N2754" i="22"/>
  <c r="N2753" i="22"/>
  <c r="N2752" i="22"/>
  <c r="N2751" i="22"/>
  <c r="N2750" i="22"/>
  <c r="N2749" i="22"/>
  <c r="N2748" i="22"/>
  <c r="N2747" i="22"/>
  <c r="N2746" i="22"/>
  <c r="N2745" i="22"/>
  <c r="N2744" i="22"/>
  <c r="N2743" i="22"/>
  <c r="N2742" i="22"/>
  <c r="N2741" i="22"/>
  <c r="N2740" i="22"/>
  <c r="N2739" i="22"/>
  <c r="N2738" i="22"/>
  <c r="N2737" i="22"/>
  <c r="N2736" i="22"/>
  <c r="N2735" i="22"/>
  <c r="N2734" i="22"/>
  <c r="N2733" i="22"/>
  <c r="N2732" i="22"/>
  <c r="N2731" i="22"/>
  <c r="N2730" i="22"/>
  <c r="N2729" i="22"/>
  <c r="N2728" i="22"/>
  <c r="N2727" i="22"/>
  <c r="N2726" i="22"/>
  <c r="N2725" i="22"/>
  <c r="N2724" i="22"/>
  <c r="N2723" i="22"/>
  <c r="N2722" i="22"/>
  <c r="N2721" i="22"/>
  <c r="N2720" i="22"/>
  <c r="N2719" i="22"/>
  <c r="N2718" i="22"/>
  <c r="N2717" i="22"/>
  <c r="N2716" i="22"/>
  <c r="N2715" i="22"/>
  <c r="N2714" i="22"/>
  <c r="N2713" i="22"/>
  <c r="N2712" i="22"/>
  <c r="N2711" i="22"/>
  <c r="N2710" i="22"/>
  <c r="N2709" i="22"/>
  <c r="N2708" i="22"/>
  <c r="N2707" i="22"/>
  <c r="N2706" i="22"/>
  <c r="N2705" i="22"/>
  <c r="N2704" i="22"/>
  <c r="N2703" i="22"/>
  <c r="N2702" i="22"/>
  <c r="N2701" i="22"/>
  <c r="N2700" i="22"/>
  <c r="N2699" i="22"/>
  <c r="N2698" i="22"/>
  <c r="N2697" i="22"/>
  <c r="N2696" i="22"/>
  <c r="N2695" i="22"/>
  <c r="N2694" i="22"/>
  <c r="N2693" i="22"/>
  <c r="N2692" i="22"/>
  <c r="N2691" i="22"/>
  <c r="N2690" i="22"/>
  <c r="N2689" i="22"/>
  <c r="N2688" i="22"/>
  <c r="N2687" i="22"/>
  <c r="N2686" i="22"/>
  <c r="N2685" i="22"/>
  <c r="N2684" i="22"/>
  <c r="N2683" i="22"/>
  <c r="N2682" i="22"/>
  <c r="N2681" i="22"/>
  <c r="N2680" i="22"/>
  <c r="N2679" i="22"/>
  <c r="N2678" i="22"/>
  <c r="N2677" i="22"/>
  <c r="N2676" i="22"/>
  <c r="N2675" i="22"/>
  <c r="N2674" i="22"/>
  <c r="N2673" i="22"/>
  <c r="N2672" i="22"/>
  <c r="N2671" i="22"/>
  <c r="N2670" i="22"/>
  <c r="N2669" i="22"/>
  <c r="N2668" i="22"/>
  <c r="N2667" i="22"/>
  <c r="N2666" i="22"/>
  <c r="N2665" i="22"/>
  <c r="N2664" i="22"/>
  <c r="N2663" i="22"/>
  <c r="N2662" i="22"/>
  <c r="N2661" i="22"/>
  <c r="N2660" i="22"/>
  <c r="N2659" i="22"/>
  <c r="N2658" i="22"/>
  <c r="N2657" i="22"/>
  <c r="N2656" i="22"/>
  <c r="N2655" i="22"/>
  <c r="N2654" i="22"/>
  <c r="N2653" i="22"/>
  <c r="N2652" i="22"/>
  <c r="N2651" i="22"/>
  <c r="N2650" i="22"/>
  <c r="N2649" i="22"/>
  <c r="N2648" i="22"/>
  <c r="N2647" i="22"/>
  <c r="N2646" i="22"/>
  <c r="N2645" i="22"/>
  <c r="N2644" i="22"/>
  <c r="N2643" i="22"/>
  <c r="N2642" i="22"/>
  <c r="N2641" i="22"/>
  <c r="N2640" i="22"/>
  <c r="N2639" i="22"/>
  <c r="N2638" i="22"/>
  <c r="N2637" i="22"/>
  <c r="N2636" i="22"/>
  <c r="N2635" i="22"/>
  <c r="N2634" i="22"/>
  <c r="N2633" i="22"/>
  <c r="N2632" i="22"/>
  <c r="N2631" i="22"/>
  <c r="N2630" i="22"/>
  <c r="N2629" i="22"/>
  <c r="N2628" i="22"/>
  <c r="N2627" i="22"/>
  <c r="N2626" i="22"/>
  <c r="N2625" i="22"/>
  <c r="N2624" i="22"/>
  <c r="N2623" i="22"/>
  <c r="N2622" i="22"/>
  <c r="N2621" i="22"/>
  <c r="N2620" i="22"/>
  <c r="N2619" i="22"/>
  <c r="N2618" i="22"/>
  <c r="N2617" i="22"/>
  <c r="N2616" i="22"/>
  <c r="N2615" i="22"/>
  <c r="N2614" i="22"/>
  <c r="N2613" i="22"/>
  <c r="N2612" i="22"/>
  <c r="N2611" i="22"/>
  <c r="N2610" i="22"/>
  <c r="N2609" i="22"/>
  <c r="N2608" i="22"/>
  <c r="N2607" i="22"/>
  <c r="N2606" i="22"/>
  <c r="N2605" i="22"/>
  <c r="N2604" i="22"/>
  <c r="N2603" i="22"/>
  <c r="N2602" i="22"/>
  <c r="N2601" i="22"/>
  <c r="N2600" i="22"/>
  <c r="N2599" i="22"/>
  <c r="N2598" i="22"/>
  <c r="N2597" i="22"/>
  <c r="N2596" i="22"/>
  <c r="N2595" i="22"/>
  <c r="N2594" i="22"/>
  <c r="N2593" i="22"/>
  <c r="N2592" i="22"/>
  <c r="N2591" i="22"/>
  <c r="N2590" i="22"/>
  <c r="N2589" i="22"/>
  <c r="N2588" i="22"/>
  <c r="N2587" i="22"/>
  <c r="N2586" i="22"/>
  <c r="N2585" i="22"/>
  <c r="N2584" i="22"/>
  <c r="N2583" i="22"/>
  <c r="N2582" i="22"/>
  <c r="N2581" i="22"/>
  <c r="N2580" i="22"/>
  <c r="N2579" i="22"/>
  <c r="N2578" i="22"/>
  <c r="N2577" i="22"/>
  <c r="N2576" i="22"/>
  <c r="N2575" i="22"/>
  <c r="N2574" i="22"/>
  <c r="N2573" i="22"/>
  <c r="N2572" i="22"/>
  <c r="N2571" i="22"/>
  <c r="N2570" i="22"/>
  <c r="N2569" i="22"/>
  <c r="N2568" i="22"/>
  <c r="N2567" i="22"/>
  <c r="N2566" i="22"/>
  <c r="N2565" i="22"/>
  <c r="N2564" i="22"/>
  <c r="N2563" i="22"/>
  <c r="N2562" i="22"/>
  <c r="N2561" i="22"/>
  <c r="N2560" i="22"/>
  <c r="N2559" i="22"/>
  <c r="N2558" i="22"/>
  <c r="N2557" i="22"/>
  <c r="N2556" i="22"/>
  <c r="N2555" i="22"/>
  <c r="N2554" i="22"/>
  <c r="N2553" i="22"/>
  <c r="N2552" i="22"/>
  <c r="N2551" i="22"/>
  <c r="N2550" i="22"/>
  <c r="N2549" i="22"/>
  <c r="N2548" i="22"/>
  <c r="N2547" i="22"/>
  <c r="N2546" i="22"/>
  <c r="N2545" i="22"/>
  <c r="N2544" i="22"/>
  <c r="N2543" i="22"/>
  <c r="N2542" i="22"/>
  <c r="N2541" i="22"/>
  <c r="N2540" i="22"/>
  <c r="N2539" i="22"/>
  <c r="N2538" i="22"/>
  <c r="N2537" i="22"/>
  <c r="N2536" i="22"/>
  <c r="N2535" i="22"/>
  <c r="N2534" i="22"/>
  <c r="N2533" i="22"/>
  <c r="N2532" i="22"/>
  <c r="N2531" i="22"/>
  <c r="N2530" i="22"/>
  <c r="N2529" i="22"/>
  <c r="N2528" i="22"/>
  <c r="N2527" i="22"/>
  <c r="N2526" i="22"/>
  <c r="N2525" i="22"/>
  <c r="N2524" i="22"/>
  <c r="N2523" i="22"/>
  <c r="N2522" i="22"/>
  <c r="N2521" i="22"/>
  <c r="N2520" i="22"/>
  <c r="N2519" i="22"/>
  <c r="N2518" i="22"/>
  <c r="N2517" i="22"/>
  <c r="N2516" i="22"/>
  <c r="N2515" i="22"/>
  <c r="N2514" i="22"/>
  <c r="N2513" i="22"/>
  <c r="N2512" i="22"/>
  <c r="N2511" i="22"/>
  <c r="N2510" i="22"/>
  <c r="N2509" i="22"/>
  <c r="N2508" i="22"/>
  <c r="N2507" i="22"/>
  <c r="N2506" i="22"/>
  <c r="N2505" i="22"/>
  <c r="N2504" i="22"/>
  <c r="N2503" i="22"/>
  <c r="N2502" i="22"/>
  <c r="N2501" i="22"/>
  <c r="N2500" i="22"/>
  <c r="N2499" i="22"/>
  <c r="N2498" i="22"/>
  <c r="N2497" i="22"/>
  <c r="N2496" i="22"/>
  <c r="N2495" i="22"/>
  <c r="N2494" i="22"/>
  <c r="N2493" i="22"/>
  <c r="N2492" i="22"/>
  <c r="N2491" i="22"/>
  <c r="N2490" i="22"/>
  <c r="N2489" i="22"/>
  <c r="N2488" i="22"/>
  <c r="N2487" i="22"/>
  <c r="N2486" i="22"/>
  <c r="N2485" i="22"/>
  <c r="N2484" i="22"/>
  <c r="N2483" i="22"/>
  <c r="N2482" i="22"/>
  <c r="N2481" i="22"/>
  <c r="N2480" i="22"/>
  <c r="N2479" i="22"/>
  <c r="N2478" i="22"/>
  <c r="N2477" i="22"/>
  <c r="N2476" i="22"/>
  <c r="N2475" i="22"/>
  <c r="N2474" i="22"/>
  <c r="N2473" i="22"/>
  <c r="N2472" i="22"/>
  <c r="N2471" i="22"/>
  <c r="N2470" i="22"/>
  <c r="N2469" i="22"/>
  <c r="N2468" i="22"/>
  <c r="N2467" i="22"/>
  <c r="N2466" i="22"/>
  <c r="N2465" i="22"/>
  <c r="N2464" i="22"/>
  <c r="N2463" i="22"/>
  <c r="N2462" i="22"/>
  <c r="N2461" i="22"/>
  <c r="N2460" i="22"/>
  <c r="N2459" i="22"/>
  <c r="N2458" i="22"/>
  <c r="N2457" i="22"/>
  <c r="N2456" i="22"/>
  <c r="N2455" i="22"/>
  <c r="N2454" i="22"/>
  <c r="N2453" i="22"/>
  <c r="N2452" i="22"/>
  <c r="N2451" i="22"/>
  <c r="N2450" i="22"/>
  <c r="N2449" i="22"/>
  <c r="N2448" i="22"/>
  <c r="N2447" i="22"/>
  <c r="N2446" i="22"/>
  <c r="N2445" i="22"/>
  <c r="N2444" i="22"/>
  <c r="N2443" i="22"/>
  <c r="N2442" i="22"/>
  <c r="N2441" i="22"/>
  <c r="N2440" i="22"/>
  <c r="N2439" i="22"/>
  <c r="N2438" i="22"/>
  <c r="N2437" i="22"/>
  <c r="N2436" i="22"/>
  <c r="N2435" i="22"/>
  <c r="N2434" i="22"/>
  <c r="N2433" i="22"/>
  <c r="N2432" i="22"/>
  <c r="N2431" i="22"/>
  <c r="N2430" i="22"/>
  <c r="N2429" i="22"/>
  <c r="N2428" i="22"/>
  <c r="N2427" i="22"/>
  <c r="N2426" i="22"/>
  <c r="N2425" i="22"/>
  <c r="N2424" i="22"/>
  <c r="N2423" i="22"/>
  <c r="N2422" i="22"/>
  <c r="N2421" i="22"/>
  <c r="N2420" i="22"/>
  <c r="N2419" i="22"/>
  <c r="N2418" i="22"/>
  <c r="N2417" i="22"/>
  <c r="N2416" i="22"/>
  <c r="N2415" i="22"/>
  <c r="N2414" i="22"/>
  <c r="N2413" i="22"/>
  <c r="N2412" i="22"/>
  <c r="N2411" i="22"/>
  <c r="N2410" i="22"/>
  <c r="N2409" i="22"/>
  <c r="N2408" i="22"/>
  <c r="N2407" i="22"/>
  <c r="N2406" i="22"/>
  <c r="N2405" i="22"/>
  <c r="N2404" i="22"/>
  <c r="N2403" i="22"/>
  <c r="N2402" i="22"/>
  <c r="N2401" i="22"/>
  <c r="N2400" i="22"/>
  <c r="N2399" i="22"/>
  <c r="N2398" i="22"/>
  <c r="N2397" i="22"/>
  <c r="N2396" i="22"/>
  <c r="N2395" i="22"/>
  <c r="N2394" i="22"/>
  <c r="N2393" i="22"/>
  <c r="N2392" i="22"/>
  <c r="N2391" i="22"/>
  <c r="N2390" i="22"/>
  <c r="N2389" i="22"/>
  <c r="N2388" i="22"/>
  <c r="N2387" i="22"/>
  <c r="N2386" i="22"/>
  <c r="N2385" i="22"/>
  <c r="N2384" i="22"/>
  <c r="N2383" i="22"/>
  <c r="N2382" i="22"/>
  <c r="N2381" i="22"/>
  <c r="N2380" i="22"/>
  <c r="N2379" i="22"/>
  <c r="N2378" i="22"/>
  <c r="N2377" i="22"/>
  <c r="N2376" i="22"/>
  <c r="N2375" i="22"/>
  <c r="N2374" i="22"/>
  <c r="N2373" i="22"/>
  <c r="N2372" i="22"/>
  <c r="N2371" i="22"/>
  <c r="N2370" i="22"/>
  <c r="N2369" i="22"/>
  <c r="N2368" i="22"/>
  <c r="N2367" i="22"/>
  <c r="N2366" i="22"/>
  <c r="N2365" i="22"/>
  <c r="N2364" i="22"/>
  <c r="N2363" i="22"/>
  <c r="N2362" i="22"/>
  <c r="N2361" i="22"/>
  <c r="N2360" i="22"/>
  <c r="N2359" i="22"/>
  <c r="N2358" i="22"/>
  <c r="N2357" i="22"/>
  <c r="N2356" i="22"/>
  <c r="N2355" i="22"/>
  <c r="N2354" i="22"/>
  <c r="N2353" i="22"/>
  <c r="N2352" i="22"/>
  <c r="N2351" i="22"/>
  <c r="N2350" i="22"/>
  <c r="N2349" i="22"/>
  <c r="N2348" i="22"/>
  <c r="N2347" i="22"/>
  <c r="N2346" i="22"/>
  <c r="N2345" i="22"/>
  <c r="N2344" i="22"/>
  <c r="N2343" i="22"/>
  <c r="N2342" i="22"/>
  <c r="N2341" i="22"/>
  <c r="N2340" i="22"/>
  <c r="N2339" i="22"/>
  <c r="N2338" i="22"/>
  <c r="N2337" i="22"/>
  <c r="N2336" i="22"/>
  <c r="N2335" i="22"/>
  <c r="N2334" i="22"/>
  <c r="N2333" i="22"/>
  <c r="N2332" i="22"/>
  <c r="N2331" i="22"/>
  <c r="N2330" i="22"/>
  <c r="N2329" i="22"/>
  <c r="N2328" i="22"/>
  <c r="N2327" i="22"/>
  <c r="N2326" i="22"/>
  <c r="N2325" i="22"/>
  <c r="N2324" i="22"/>
  <c r="N2323" i="22"/>
  <c r="N2322" i="22"/>
  <c r="N2321" i="22"/>
  <c r="N2320" i="22"/>
  <c r="N2319" i="22"/>
  <c r="N2318" i="22"/>
  <c r="N2317" i="22"/>
  <c r="N2316" i="22"/>
  <c r="N2315" i="22"/>
  <c r="N2314" i="22"/>
  <c r="N2313" i="22"/>
  <c r="N2312" i="22"/>
  <c r="N2311" i="22"/>
  <c r="N2310" i="22"/>
  <c r="N2309" i="22"/>
  <c r="N2308" i="22"/>
  <c r="N2307" i="22"/>
  <c r="N2306" i="22"/>
  <c r="N2305" i="22"/>
  <c r="N2304" i="22"/>
  <c r="N2303" i="22"/>
  <c r="N2302" i="22"/>
  <c r="N2301" i="22"/>
  <c r="N2300" i="22"/>
  <c r="N2299" i="22"/>
  <c r="N2298" i="22"/>
  <c r="N2297" i="22"/>
  <c r="N2296" i="22"/>
  <c r="N2295" i="22"/>
  <c r="N2294" i="22"/>
  <c r="N2293" i="22"/>
  <c r="N2292" i="22"/>
  <c r="N2291" i="22"/>
  <c r="N2290" i="22"/>
  <c r="N2289" i="22"/>
  <c r="N2288" i="22"/>
  <c r="N2287" i="22"/>
  <c r="N2286" i="22"/>
  <c r="N2285" i="22"/>
  <c r="N2284" i="22"/>
  <c r="N2283" i="22"/>
  <c r="N2282" i="22"/>
  <c r="N2281" i="22"/>
  <c r="N2280" i="22"/>
  <c r="N2279" i="22"/>
  <c r="N2278" i="22"/>
  <c r="N2277" i="22"/>
  <c r="N2276" i="22"/>
  <c r="N2275" i="22"/>
  <c r="N2274" i="22"/>
  <c r="N2273" i="22"/>
  <c r="N2272" i="22"/>
  <c r="N2271" i="22"/>
  <c r="N2270" i="22"/>
  <c r="N2269" i="22"/>
  <c r="N2268" i="22"/>
  <c r="N2267" i="22"/>
  <c r="N2266" i="22"/>
  <c r="N2265" i="22"/>
  <c r="N2264" i="22"/>
  <c r="N2263" i="22"/>
  <c r="N2262" i="22"/>
  <c r="N2261" i="22"/>
  <c r="N2260" i="22"/>
  <c r="N2259" i="22"/>
  <c r="N2258" i="22"/>
  <c r="N2257" i="22"/>
  <c r="N2256" i="22"/>
  <c r="N2255" i="22"/>
  <c r="N2254" i="22"/>
  <c r="N2253" i="22"/>
  <c r="N2252" i="22"/>
  <c r="N2251" i="22"/>
  <c r="N2250" i="22"/>
  <c r="N2249" i="22"/>
  <c r="N2248" i="22"/>
  <c r="N2247" i="22"/>
  <c r="N2246" i="22"/>
  <c r="N2245" i="22"/>
  <c r="N2244" i="22"/>
  <c r="N2243" i="22"/>
  <c r="N2242" i="22"/>
  <c r="N2241" i="22"/>
  <c r="N2240" i="22"/>
  <c r="N2239" i="22"/>
  <c r="N2238" i="22"/>
  <c r="N2237" i="22"/>
  <c r="N2236" i="22"/>
  <c r="N2235" i="22"/>
  <c r="N2234" i="22"/>
  <c r="N2233" i="22"/>
  <c r="N2232" i="22"/>
  <c r="N2231" i="22"/>
  <c r="N2230" i="22"/>
  <c r="N2229" i="22"/>
  <c r="N2228" i="22"/>
  <c r="N2227" i="22"/>
  <c r="N2226" i="22"/>
  <c r="N2225" i="22"/>
  <c r="N2224" i="22"/>
  <c r="N2223" i="22"/>
  <c r="N2222" i="22"/>
  <c r="N2221" i="22"/>
  <c r="N2220" i="22"/>
  <c r="N2219" i="22"/>
  <c r="N2218" i="22"/>
  <c r="N2217" i="22"/>
  <c r="N2216" i="22"/>
  <c r="N2215" i="22"/>
  <c r="N2214" i="22"/>
  <c r="N2213" i="22"/>
  <c r="N2212" i="22"/>
  <c r="N2211" i="22"/>
  <c r="N2210" i="22"/>
  <c r="N2209" i="22"/>
  <c r="N2208" i="22"/>
  <c r="N2207" i="22"/>
  <c r="N2206" i="22"/>
  <c r="N2205" i="22"/>
  <c r="N2204" i="22"/>
  <c r="N2203" i="22"/>
  <c r="N2202" i="22"/>
  <c r="N2201" i="22"/>
  <c r="N2200" i="22"/>
  <c r="N2199" i="22"/>
  <c r="N2198" i="22"/>
  <c r="N2197" i="22"/>
  <c r="N2196" i="22"/>
  <c r="N2195" i="22"/>
  <c r="N2194" i="22"/>
  <c r="N2193" i="22"/>
  <c r="N2192" i="22"/>
  <c r="N2191" i="22"/>
  <c r="N2190" i="22"/>
  <c r="N2189" i="22"/>
  <c r="N2188" i="22"/>
  <c r="N2187" i="22"/>
  <c r="N2186" i="22"/>
  <c r="N2185" i="22"/>
  <c r="N2184" i="22"/>
  <c r="N2183" i="22"/>
  <c r="N2182" i="22"/>
  <c r="N2181" i="22"/>
  <c r="N2180" i="22"/>
  <c r="N2179" i="22"/>
  <c r="N2178" i="22"/>
  <c r="N2177" i="22"/>
  <c r="N2176" i="22"/>
  <c r="N2175" i="22"/>
  <c r="N2174" i="22"/>
  <c r="N2173" i="22"/>
  <c r="N2172" i="22"/>
  <c r="N2171" i="22"/>
  <c r="N2170" i="22"/>
  <c r="N2169" i="22"/>
  <c r="N2168" i="22"/>
  <c r="N2167" i="22"/>
  <c r="N2166" i="22"/>
  <c r="N2165" i="22"/>
  <c r="N2164" i="22"/>
  <c r="N2163" i="22"/>
  <c r="N2162" i="22"/>
  <c r="N2161" i="22"/>
  <c r="N2160" i="22"/>
  <c r="N2159" i="22"/>
  <c r="N2158" i="22"/>
  <c r="N2157" i="22"/>
  <c r="N2156" i="22"/>
  <c r="N2155" i="22"/>
  <c r="N2154" i="22"/>
  <c r="N2153" i="22"/>
  <c r="N2152" i="22"/>
  <c r="N2151" i="22"/>
  <c r="N2150" i="22"/>
  <c r="N2149" i="22"/>
  <c r="N2148" i="22"/>
  <c r="N2147" i="22"/>
  <c r="N2146" i="22"/>
  <c r="N2145" i="22"/>
  <c r="N2144" i="22"/>
  <c r="N2143" i="22"/>
  <c r="N2142" i="22"/>
  <c r="N2141" i="22"/>
  <c r="N2140" i="22"/>
  <c r="N2139" i="22"/>
  <c r="N2138" i="22"/>
  <c r="N2137" i="22"/>
  <c r="N2136" i="22"/>
  <c r="N2135" i="22"/>
  <c r="N2134" i="22"/>
  <c r="N2133" i="22"/>
  <c r="N2132" i="22"/>
  <c r="N2131" i="22"/>
  <c r="N2130" i="22"/>
  <c r="N2129" i="22"/>
  <c r="N2128" i="22"/>
  <c r="N2127" i="22"/>
  <c r="N2126" i="22"/>
  <c r="N2125" i="22"/>
  <c r="N2124" i="22"/>
  <c r="N2123" i="22"/>
  <c r="N2122" i="22"/>
  <c r="N2121" i="22"/>
  <c r="N2120" i="22"/>
  <c r="N2119" i="22"/>
  <c r="N2118" i="22"/>
  <c r="N2117" i="22"/>
  <c r="N2116" i="22"/>
  <c r="N2115" i="22"/>
  <c r="N2114" i="22"/>
  <c r="N2113" i="22"/>
  <c r="N2112" i="22"/>
  <c r="N2111" i="22"/>
  <c r="N2110" i="22"/>
  <c r="N2109" i="22"/>
  <c r="N2108" i="22"/>
  <c r="N2107" i="22"/>
  <c r="N2106" i="22"/>
  <c r="N2105" i="22"/>
  <c r="N2104" i="22"/>
  <c r="N2103" i="22"/>
  <c r="N2102" i="22"/>
  <c r="N2101" i="22"/>
  <c r="N2100" i="22"/>
  <c r="N2099" i="22"/>
  <c r="N2098" i="22"/>
  <c r="N2097" i="22"/>
  <c r="N2096" i="22"/>
  <c r="N2095" i="22"/>
  <c r="N2094" i="22"/>
  <c r="N2093" i="22"/>
  <c r="N2092" i="22"/>
  <c r="N2091" i="22"/>
  <c r="N2090" i="22"/>
  <c r="N2089" i="22"/>
  <c r="N2088" i="22"/>
  <c r="N2087" i="22"/>
  <c r="N2086" i="22"/>
  <c r="N2085" i="22"/>
  <c r="N2084" i="22"/>
  <c r="N2083" i="22"/>
  <c r="N2082" i="22"/>
  <c r="N2081" i="22"/>
  <c r="N2080" i="22"/>
  <c r="N2079" i="22"/>
  <c r="N2078" i="22"/>
  <c r="N2077" i="22"/>
  <c r="N2076" i="22"/>
  <c r="N2075" i="22"/>
  <c r="N2074" i="22"/>
  <c r="N2073" i="22"/>
  <c r="N2072" i="22"/>
  <c r="N2071" i="22"/>
  <c r="N2070" i="22"/>
  <c r="N2069" i="22"/>
  <c r="N2068" i="22"/>
  <c r="N2067" i="22"/>
  <c r="N2066" i="22"/>
  <c r="N2065" i="22"/>
  <c r="N2064" i="22"/>
  <c r="N2063" i="22"/>
  <c r="N2062" i="22"/>
  <c r="N2061" i="22"/>
  <c r="N2060" i="22"/>
  <c r="N2059" i="22"/>
  <c r="N2058" i="22"/>
  <c r="N2057" i="22"/>
  <c r="N2056" i="22"/>
  <c r="N2055" i="22"/>
  <c r="N2054" i="22"/>
  <c r="N2053" i="22"/>
  <c r="N2052" i="22"/>
  <c r="N2051" i="22"/>
  <c r="N2050" i="22"/>
  <c r="N2049" i="22"/>
  <c r="N2048" i="22"/>
  <c r="N2047" i="22"/>
  <c r="N2046" i="22"/>
  <c r="N2045" i="22"/>
  <c r="N2044" i="22"/>
  <c r="N2043" i="22"/>
  <c r="N2042" i="22"/>
  <c r="N2041" i="22"/>
  <c r="N2040" i="22"/>
  <c r="N2039" i="22"/>
  <c r="N2038" i="22"/>
  <c r="N2037" i="22"/>
  <c r="N2036" i="22"/>
  <c r="N2035" i="22"/>
  <c r="N2034" i="22"/>
  <c r="N2033" i="22"/>
  <c r="N2032" i="22"/>
  <c r="N2031" i="22"/>
  <c r="N2030" i="22"/>
  <c r="N2029" i="22"/>
  <c r="N2028" i="22"/>
  <c r="N2027" i="22"/>
  <c r="N2026" i="22"/>
  <c r="N2025" i="22"/>
  <c r="N2024" i="22"/>
  <c r="N2023" i="22"/>
  <c r="N2022" i="22"/>
  <c r="N2021" i="22"/>
  <c r="N2020" i="22"/>
  <c r="N2019" i="22"/>
  <c r="N2018" i="22"/>
  <c r="N2017" i="22"/>
  <c r="N2016" i="22"/>
  <c r="N2015" i="22"/>
  <c r="N2014" i="22"/>
  <c r="N2013" i="22"/>
  <c r="N2012" i="22"/>
  <c r="N2011" i="22"/>
  <c r="N2010" i="22"/>
  <c r="N2009" i="22"/>
  <c r="N2008" i="22"/>
  <c r="N2007" i="22"/>
  <c r="N2006" i="22"/>
  <c r="N2005" i="22"/>
  <c r="N2004" i="22"/>
  <c r="N2003" i="22"/>
  <c r="N2002" i="22"/>
  <c r="N2001" i="22"/>
  <c r="N2000" i="22"/>
  <c r="N1999" i="22"/>
  <c r="N1998" i="22"/>
  <c r="N1997" i="22"/>
  <c r="N1996" i="22"/>
  <c r="N1995" i="22"/>
  <c r="N1994" i="22"/>
  <c r="N1993" i="22"/>
  <c r="N1992" i="22"/>
  <c r="N1991" i="22"/>
  <c r="N1990" i="22"/>
  <c r="N1989" i="22"/>
  <c r="N1988" i="22"/>
  <c r="N1987" i="22"/>
  <c r="N1986" i="22"/>
  <c r="N1985" i="22"/>
  <c r="N1984" i="22"/>
  <c r="N1983" i="22"/>
  <c r="N1982" i="22"/>
  <c r="N1981" i="22"/>
  <c r="N1980" i="22"/>
  <c r="N1979" i="22"/>
  <c r="N1978" i="22"/>
  <c r="N1977" i="22"/>
  <c r="N1976" i="22"/>
  <c r="N1975" i="22"/>
  <c r="N1974" i="22"/>
  <c r="N1973" i="22"/>
  <c r="N1972" i="22"/>
  <c r="N1971" i="22"/>
  <c r="N1970" i="22"/>
  <c r="N1969" i="22"/>
  <c r="N1968" i="22"/>
  <c r="N1967" i="22"/>
  <c r="N1966" i="22"/>
  <c r="N1965" i="22"/>
  <c r="N1964" i="22"/>
  <c r="N1963" i="22"/>
  <c r="N1962" i="22"/>
  <c r="N1961" i="22"/>
  <c r="N1960" i="22"/>
  <c r="N1959" i="22"/>
  <c r="N1958" i="22"/>
  <c r="N1957" i="22"/>
  <c r="N1956" i="22"/>
  <c r="N1955" i="22"/>
  <c r="N1954" i="22"/>
  <c r="N1953" i="22"/>
  <c r="N1952" i="22"/>
  <c r="N1951" i="22"/>
  <c r="N1950" i="22"/>
  <c r="N1949" i="22"/>
  <c r="N1948" i="22"/>
  <c r="N1947" i="22"/>
  <c r="N1946" i="22"/>
  <c r="N1945" i="22"/>
  <c r="N1944" i="22"/>
  <c r="N1943" i="22"/>
  <c r="N1942" i="22"/>
  <c r="N1941" i="22"/>
  <c r="N1940" i="22"/>
  <c r="N1939" i="22"/>
  <c r="N1938" i="22"/>
  <c r="N1937" i="22"/>
  <c r="N1936" i="22"/>
  <c r="N1935" i="22"/>
  <c r="N1934" i="22"/>
  <c r="N1933" i="22"/>
  <c r="N1932" i="22"/>
  <c r="N1931" i="22"/>
  <c r="N1930" i="22"/>
  <c r="N1929" i="22"/>
  <c r="N1928" i="22"/>
  <c r="N1927" i="22"/>
  <c r="N1926" i="22"/>
  <c r="N1925" i="22"/>
  <c r="N1924" i="22"/>
  <c r="N1923" i="22"/>
  <c r="N1922" i="22"/>
  <c r="N1921" i="22"/>
  <c r="N1920" i="22"/>
  <c r="N1919" i="22"/>
  <c r="N1918" i="22"/>
  <c r="N1917" i="22"/>
  <c r="N1916" i="22"/>
  <c r="N1915" i="22"/>
  <c r="N1914" i="22"/>
  <c r="N1913" i="22"/>
  <c r="N1912" i="22"/>
  <c r="N1911" i="22"/>
  <c r="N1910" i="22"/>
  <c r="N1909" i="22"/>
  <c r="N1908" i="22"/>
  <c r="N1907" i="22"/>
  <c r="N1906" i="22"/>
  <c r="N1905" i="22"/>
  <c r="N1904" i="22"/>
  <c r="N1903" i="22"/>
  <c r="N1902" i="22"/>
  <c r="N1901" i="22"/>
  <c r="N1900" i="22"/>
  <c r="N1899" i="22"/>
  <c r="N1898" i="22"/>
  <c r="N1897" i="22"/>
  <c r="N1896" i="22"/>
  <c r="N1895" i="22"/>
  <c r="N1894" i="22"/>
  <c r="N1893" i="22"/>
  <c r="N1892" i="22"/>
  <c r="N1891" i="22"/>
  <c r="N1890" i="22"/>
  <c r="N1889" i="22"/>
  <c r="N1888" i="22"/>
  <c r="N1887" i="22"/>
  <c r="N1886" i="22"/>
  <c r="N1885" i="22"/>
  <c r="N1884" i="22"/>
  <c r="N1883" i="22"/>
  <c r="N1882" i="22"/>
  <c r="N1881" i="22"/>
  <c r="N1880" i="22"/>
  <c r="N1879" i="22"/>
  <c r="N1878" i="22"/>
  <c r="N1877" i="22"/>
  <c r="N1876" i="22"/>
  <c r="N1875" i="22"/>
  <c r="N1874" i="22"/>
  <c r="N1873" i="22"/>
  <c r="N1872" i="22"/>
  <c r="N1871" i="22"/>
  <c r="N1870" i="22"/>
  <c r="N1869" i="22"/>
  <c r="N1868" i="22"/>
  <c r="N1867" i="22"/>
  <c r="N1866" i="22"/>
  <c r="N1865" i="22"/>
  <c r="N1864" i="22"/>
  <c r="N1863" i="22"/>
  <c r="N1862" i="22"/>
  <c r="N1861" i="22"/>
  <c r="N1860" i="22"/>
  <c r="N1859" i="22"/>
  <c r="N1858" i="22"/>
  <c r="N1857" i="22"/>
  <c r="N1856" i="22"/>
  <c r="N1855" i="22"/>
  <c r="N1854" i="22"/>
  <c r="N1853" i="22"/>
  <c r="N1852" i="22"/>
  <c r="N1851" i="22"/>
  <c r="N1850" i="22"/>
  <c r="N1849" i="22"/>
  <c r="N1848" i="22"/>
  <c r="N1847" i="22"/>
  <c r="N1846" i="22"/>
  <c r="N1845" i="22"/>
  <c r="N1844" i="22"/>
  <c r="N1843" i="22"/>
  <c r="N1842" i="22"/>
  <c r="N1841" i="22"/>
  <c r="N1840" i="22"/>
  <c r="N1839" i="22"/>
  <c r="N1838" i="22"/>
  <c r="N1837" i="22"/>
  <c r="N1836" i="22"/>
  <c r="N1835" i="22"/>
  <c r="N1834" i="22"/>
  <c r="N1833" i="22"/>
  <c r="N1832" i="22"/>
  <c r="N1831" i="22"/>
  <c r="N1830" i="22"/>
  <c r="N1829" i="22"/>
  <c r="N1828" i="22"/>
  <c r="N1827" i="22"/>
  <c r="N1826" i="22"/>
  <c r="N1825" i="22"/>
  <c r="N1824" i="22"/>
  <c r="N1823" i="22"/>
  <c r="N1822" i="22"/>
  <c r="N1821" i="22"/>
  <c r="N1820" i="22"/>
  <c r="N1819" i="22"/>
  <c r="N1818" i="22"/>
  <c r="N1817" i="22"/>
  <c r="N1816" i="22"/>
  <c r="N1815" i="22"/>
  <c r="N1814" i="22"/>
  <c r="N1813" i="22"/>
  <c r="N1812" i="22"/>
  <c r="N1811" i="22"/>
  <c r="N1810" i="22"/>
  <c r="N1809" i="22"/>
  <c r="N1808" i="22"/>
  <c r="N1807" i="22"/>
  <c r="N1806" i="22"/>
  <c r="N1805" i="22"/>
  <c r="N1804" i="22"/>
  <c r="N1803" i="22"/>
  <c r="N1802" i="22"/>
  <c r="N1801" i="22"/>
  <c r="N1800" i="22"/>
  <c r="N1799" i="22"/>
  <c r="N1798" i="22"/>
  <c r="N1797" i="22"/>
  <c r="N1796" i="22"/>
  <c r="N1795" i="22"/>
  <c r="N1794" i="22"/>
  <c r="N1793" i="22"/>
  <c r="N1792" i="22"/>
  <c r="N1791" i="22"/>
  <c r="N1790" i="22"/>
  <c r="N1788" i="22"/>
  <c r="N1786" i="22"/>
  <c r="N1785" i="22"/>
  <c r="N1784" i="22"/>
  <c r="N1783" i="22"/>
  <c r="N1782" i="22"/>
  <c r="N1781" i="22"/>
  <c r="N1778" i="22"/>
  <c r="N1777" i="22"/>
  <c r="N1776" i="22"/>
  <c r="N1773" i="22"/>
  <c r="N1770" i="22"/>
  <c r="N1769" i="22"/>
  <c r="N1768" i="22"/>
  <c r="N1767" i="22"/>
  <c r="N1766" i="22"/>
  <c r="N1765" i="22"/>
  <c r="N1763" i="22"/>
  <c r="N1762" i="22"/>
  <c r="N1761" i="22"/>
  <c r="N1760" i="22"/>
  <c r="N1759" i="22"/>
  <c r="N1758" i="22"/>
  <c r="N1757" i="22"/>
  <c r="N1756" i="22"/>
  <c r="N1755" i="22"/>
  <c r="N1754" i="22"/>
  <c r="N1753" i="22"/>
  <c r="N1751" i="22"/>
  <c r="N1747" i="22"/>
  <c r="N1746" i="22"/>
  <c r="N1745" i="22"/>
  <c r="N1744" i="22"/>
  <c r="N1743" i="22"/>
  <c r="N1742" i="22"/>
  <c r="N1740" i="22"/>
  <c r="N1739" i="22"/>
  <c r="N1738" i="22"/>
  <c r="N1737" i="22"/>
  <c r="N1736" i="22"/>
  <c r="N1732" i="22"/>
  <c r="N1730" i="22"/>
  <c r="N1729" i="22"/>
  <c r="N1728" i="22"/>
  <c r="N1727" i="22"/>
  <c r="N1726" i="22"/>
  <c r="N1725" i="22"/>
  <c r="N1724" i="22"/>
  <c r="N1723" i="22"/>
  <c r="N1722" i="22"/>
  <c r="N1721" i="22"/>
  <c r="N1720" i="22"/>
  <c r="N1718" i="22"/>
  <c r="N1717" i="22"/>
  <c r="N1716" i="22"/>
  <c r="N1715" i="22"/>
  <c r="N1714" i="22"/>
  <c r="N1713" i="22"/>
  <c r="N1703" i="22"/>
  <c r="N1695" i="22"/>
  <c r="N1694" i="22"/>
  <c r="N1693" i="22"/>
  <c r="N1692" i="22"/>
  <c r="N1691" i="22"/>
  <c r="N1690" i="22"/>
  <c r="N1689" i="22"/>
  <c r="N1688" i="22"/>
  <c r="N1685" i="22"/>
  <c r="N1684" i="22"/>
  <c r="N1686" i="22"/>
  <c r="N1687" i="22"/>
  <c r="N1683" i="22"/>
  <c r="N1682" i="22"/>
  <c r="N1681" i="22"/>
  <c r="N1680" i="22"/>
  <c r="N1678" i="22"/>
  <c r="N1677" i="22"/>
  <c r="N1676" i="22"/>
  <c r="N1679" i="22"/>
  <c r="N1675" i="22"/>
  <c r="N1674" i="22"/>
  <c r="N1665" i="22"/>
  <c r="N1664" i="22"/>
  <c r="N1663" i="22"/>
  <c r="N1662" i="22"/>
  <c r="N1661" i="22"/>
  <c r="N1660" i="22"/>
  <c r="N1659" i="22"/>
  <c r="N1658" i="22"/>
  <c r="N1657" i="22"/>
  <c r="N1656" i="22"/>
  <c r="N1655" i="22"/>
  <c r="N1654" i="22"/>
  <c r="N1653" i="22"/>
  <c r="N1652" i="22"/>
  <c r="N1651" i="22"/>
  <c r="N1650" i="22"/>
  <c r="N1649" i="22"/>
  <c r="N1648" i="22"/>
  <c r="N1647" i="22"/>
  <c r="N1646" i="22"/>
  <c r="N1645" i="22"/>
  <c r="N1644" i="22"/>
  <c r="N1643" i="22"/>
  <c r="N1642" i="22"/>
  <c r="N1641" i="22"/>
  <c r="N1640" i="22"/>
  <c r="N1639" i="22"/>
  <c r="N1638" i="22"/>
  <c r="N1637" i="22"/>
  <c r="N1636" i="22"/>
  <c r="N1635" i="22"/>
  <c r="N1634" i="22"/>
  <c r="N1633" i="22"/>
  <c r="N1632" i="22"/>
  <c r="N1631" i="22"/>
  <c r="N1630" i="22"/>
  <c r="N1629" i="22"/>
  <c r="N1627" i="22"/>
  <c r="N1626" i="22"/>
  <c r="N1625" i="22"/>
  <c r="N1624" i="22"/>
  <c r="N1623" i="22"/>
  <c r="N1622" i="22"/>
  <c r="N1621" i="22"/>
  <c r="N1618" i="22"/>
  <c r="N1616" i="22"/>
  <c r="N1615" i="22"/>
  <c r="N1614" i="22"/>
  <c r="N1613" i="22"/>
  <c r="N1612" i="22"/>
  <c r="N1611" i="22"/>
  <c r="N1610" i="22"/>
  <c r="N1609" i="22"/>
  <c r="N1606" i="22"/>
  <c r="N1605" i="22"/>
  <c r="N1604" i="22"/>
  <c r="N1603" i="22"/>
  <c r="N1602" i="22"/>
  <c r="N1601" i="22"/>
  <c r="N1596" i="22"/>
  <c r="N1595" i="22"/>
  <c r="N1594" i="22"/>
  <c r="N1593" i="22"/>
  <c r="N1592" i="22"/>
  <c r="N1591" i="22"/>
  <c r="N1590" i="22"/>
  <c r="N1589" i="22"/>
  <c r="N1588" i="22"/>
  <c r="N1584" i="22"/>
  <c r="N1583" i="22"/>
  <c r="N1582" i="22"/>
  <c r="N1581" i="22"/>
  <c r="N1580" i="22"/>
  <c r="N1579" i="22"/>
  <c r="N1578" i="22"/>
  <c r="N1577" i="22"/>
  <c r="N1576" i="22"/>
  <c r="N1575" i="22"/>
  <c r="N1574" i="22"/>
  <c r="N1573" i="22"/>
  <c r="N1572" i="22"/>
  <c r="N1567" i="22"/>
  <c r="N1571" i="22"/>
  <c r="N1568" i="22"/>
  <c r="N1563" i="22"/>
  <c r="N1562" i="22"/>
  <c r="N1561" i="22"/>
  <c r="N1560" i="22"/>
  <c r="N1559" i="22"/>
  <c r="N1558" i="22"/>
  <c r="N1557" i="22"/>
  <c r="N1555" i="22"/>
  <c r="N1554" i="22"/>
  <c r="N1553" i="22"/>
  <c r="N1552" i="22"/>
  <c r="N1551" i="22"/>
  <c r="N1550" i="22"/>
  <c r="N1549" i="22"/>
  <c r="N1548" i="22"/>
  <c r="N1547" i="22"/>
  <c r="N1546" i="22"/>
  <c r="N1545" i="22"/>
  <c r="N1544" i="22"/>
  <c r="N1543" i="22"/>
  <c r="N1542" i="22"/>
  <c r="N1541" i="22"/>
  <c r="N1540" i="22"/>
  <c r="N1539" i="22"/>
  <c r="N1538" i="22"/>
  <c r="N1537" i="22"/>
  <c r="N1536" i="22"/>
  <c r="N1535" i="22"/>
  <c r="N1534" i="22"/>
  <c r="N1533" i="22"/>
  <c r="N1532" i="22"/>
  <c r="N1531" i="22"/>
  <c r="N1530" i="22"/>
  <c r="N1529" i="22"/>
  <c r="N1528" i="22"/>
  <c r="N1527" i="22"/>
  <c r="N1526" i="22"/>
  <c r="N1525" i="22"/>
  <c r="N1524" i="22"/>
  <c r="N1521" i="22"/>
  <c r="N1520" i="22"/>
  <c r="N1519" i="22"/>
  <c r="N1518" i="22"/>
  <c r="N1517" i="22"/>
  <c r="N1516" i="22"/>
  <c r="N1515" i="22"/>
  <c r="N1514" i="22"/>
  <c r="N1513" i="22"/>
  <c r="N1512" i="22"/>
  <c r="N1511" i="22"/>
  <c r="N1510" i="22"/>
  <c r="N1509" i="22"/>
  <c r="N1508" i="22"/>
  <c r="N1507" i="22"/>
  <c r="N1506" i="22"/>
  <c r="N1505" i="22"/>
  <c r="N1504" i="22"/>
  <c r="N1503" i="22"/>
  <c r="N1502" i="22"/>
  <c r="N1501" i="22"/>
  <c r="N1500" i="22"/>
  <c r="N1499" i="22"/>
  <c r="N1498" i="22"/>
  <c r="N1497" i="22"/>
  <c r="N1496" i="22"/>
  <c r="N1495" i="22"/>
  <c r="N1494" i="22"/>
  <c r="N1493" i="22"/>
  <c r="N1492" i="22"/>
  <c r="N1491" i="22"/>
  <c r="N1490" i="22"/>
  <c r="N1489" i="22"/>
  <c r="N1488" i="22"/>
  <c r="N1487" i="22"/>
  <c r="N1486" i="22"/>
  <c r="N1485" i="22"/>
  <c r="N1484" i="22"/>
  <c r="N1483" i="22"/>
  <c r="N1482" i="22"/>
  <c r="N1481" i="22"/>
  <c r="N1480" i="22"/>
  <c r="N1479" i="22"/>
  <c r="N1478" i="22"/>
  <c r="N1477" i="22"/>
  <c r="N1476" i="22"/>
  <c r="N1475" i="22"/>
  <c r="N1474" i="22"/>
  <c r="N1472" i="22"/>
  <c r="N1471" i="22"/>
  <c r="N1470" i="22"/>
  <c r="N1469" i="22"/>
  <c r="N1467" i="22"/>
  <c r="N1466" i="22"/>
  <c r="N1465" i="22"/>
  <c r="N1464" i="22"/>
  <c r="N1463" i="22"/>
  <c r="N1462" i="22"/>
  <c r="N1461" i="22"/>
  <c r="N1460" i="22"/>
  <c r="N1459" i="22"/>
  <c r="N1458" i="22"/>
  <c r="N1457" i="22"/>
  <c r="N1456" i="22"/>
  <c r="N1455" i="22"/>
  <c r="N1454" i="22"/>
  <c r="N1453" i="22"/>
  <c r="N1452" i="22"/>
  <c r="N1451" i="22"/>
  <c r="N1450" i="22"/>
  <c r="N1449" i="22"/>
  <c r="N1447" i="22"/>
  <c r="N1446" i="22"/>
  <c r="N1444" i="22"/>
  <c r="N1443" i="22"/>
  <c r="N1442" i="22"/>
  <c r="N1441" i="22"/>
  <c r="N1440" i="22"/>
  <c r="N1439" i="22"/>
  <c r="N1438" i="22"/>
  <c r="N1437" i="22"/>
  <c r="N1436" i="22"/>
  <c r="N1435" i="22"/>
  <c r="N1434" i="22"/>
  <c r="N1433" i="22"/>
  <c r="N1432" i="22"/>
  <c r="N1431" i="22"/>
  <c r="N1430" i="22"/>
  <c r="N1429" i="22"/>
  <c r="N1428" i="22"/>
  <c r="N1427" i="22"/>
  <c r="N1426" i="22"/>
  <c r="N1425" i="22"/>
  <c r="N1424" i="22"/>
  <c r="N1423" i="22"/>
  <c r="N1422" i="22"/>
  <c r="N1421" i="22"/>
  <c r="N1420" i="22"/>
  <c r="N1419" i="22"/>
  <c r="N1418" i="22"/>
  <c r="N1417" i="22"/>
  <c r="N1416" i="22"/>
  <c r="N1415" i="22"/>
  <c r="N1414" i="22"/>
  <c r="N1413" i="22"/>
  <c r="N1412" i="22"/>
  <c r="N1411" i="22"/>
  <c r="N1410" i="22"/>
  <c r="N1409" i="22"/>
  <c r="N1408" i="22"/>
  <c r="N1407" i="22"/>
  <c r="N1406" i="22"/>
  <c r="N1405" i="22"/>
  <c r="N1404" i="22"/>
  <c r="N1403" i="22"/>
  <c r="N1402" i="22"/>
  <c r="N1401" i="22"/>
  <c r="N1400" i="22"/>
  <c r="N1399" i="22"/>
  <c r="N1398" i="22"/>
  <c r="N1397" i="22"/>
  <c r="N1396" i="22"/>
  <c r="N1394" i="22"/>
  <c r="N1395" i="22"/>
  <c r="N1393" i="22"/>
  <c r="N1392" i="22"/>
  <c r="N1391" i="22"/>
  <c r="N1390" i="22"/>
  <c r="N1388" i="22"/>
  <c r="N1387" i="22"/>
  <c r="N1386" i="22"/>
  <c r="N1385" i="22"/>
  <c r="N1384" i="22"/>
  <c r="N1383" i="22"/>
  <c r="N1382" i="22"/>
  <c r="N1381" i="22"/>
  <c r="N1380" i="22"/>
  <c r="N1379" i="22"/>
  <c r="N1378" i="22"/>
  <c r="N1377" i="22"/>
  <c r="N1376" i="22"/>
  <c r="N1375" i="22"/>
  <c r="N1374" i="22"/>
  <c r="N1373" i="22"/>
  <c r="N1372" i="22"/>
  <c r="N1370" i="22"/>
  <c r="N1369" i="22"/>
  <c r="N1366" i="22"/>
  <c r="N1365" i="22"/>
  <c r="N1364" i="22"/>
  <c r="N1363" i="22"/>
  <c r="N1362" i="22"/>
  <c r="N1361" i="22"/>
  <c r="N1360" i="22"/>
  <c r="N1359" i="22"/>
  <c r="N1358" i="22"/>
  <c r="N1357" i="22"/>
  <c r="N1356" i="22"/>
  <c r="N1355" i="22"/>
  <c r="N1354" i="22"/>
  <c r="N1352" i="22"/>
  <c r="N1351" i="22"/>
  <c r="N1350" i="22"/>
  <c r="N1349" i="22"/>
  <c r="N1348" i="22"/>
  <c r="N1347" i="22"/>
  <c r="N1346" i="22"/>
  <c r="N1345" i="22"/>
  <c r="N1344" i="22"/>
  <c r="N1343" i="22"/>
  <c r="N1342" i="22"/>
  <c r="N1341" i="22"/>
  <c r="N1340" i="22"/>
  <c r="N1333" i="22"/>
  <c r="N1332" i="22"/>
  <c r="N1331" i="22"/>
  <c r="N1329" i="22"/>
  <c r="N1328" i="22"/>
  <c r="N1327" i="22"/>
  <c r="N1326" i="22"/>
  <c r="N1325" i="22"/>
  <c r="N1324" i="22"/>
  <c r="N1323" i="22"/>
  <c r="N1322" i="22"/>
  <c r="N1321" i="22"/>
  <c r="N1320" i="22"/>
  <c r="N1319" i="22"/>
  <c r="N1317" i="22"/>
  <c r="N1316" i="22"/>
  <c r="N1315" i="22"/>
  <c r="N1314" i="22"/>
  <c r="N1310" i="22"/>
  <c r="N1309" i="22"/>
  <c r="N1308" i="22"/>
  <c r="N1307" i="22"/>
  <c r="N1306" i="22"/>
  <c r="N1305" i="22"/>
  <c r="N1304" i="22"/>
  <c r="N1303" i="22"/>
  <c r="N1302" i="22"/>
  <c r="N1301" i="22"/>
  <c r="N1300" i="22"/>
  <c r="N1299" i="22"/>
  <c r="N1298" i="22"/>
  <c r="N1297" i="22"/>
  <c r="N1296" i="22"/>
  <c r="N1295" i="22"/>
  <c r="N1294" i="22"/>
  <c r="N1293" i="22"/>
  <c r="N1292" i="22"/>
  <c r="N1291" i="22"/>
  <c r="N1290" i="22"/>
  <c r="N1289" i="22"/>
  <c r="N1288" i="22"/>
  <c r="N1287" i="22"/>
  <c r="N1286" i="22"/>
  <c r="N1285" i="22"/>
  <c r="N1284" i="22"/>
  <c r="N1283" i="22"/>
  <c r="N1282" i="22"/>
  <c r="N1281" i="22"/>
  <c r="N1280" i="22"/>
  <c r="N1279" i="22"/>
  <c r="N1278" i="22"/>
  <c r="N1277" i="22"/>
  <c r="N1275" i="22"/>
  <c r="N1274" i="22"/>
  <c r="N1273" i="22"/>
  <c r="N1272" i="22"/>
  <c r="N1271" i="22"/>
  <c r="N1270" i="22"/>
  <c r="N1269" i="22"/>
  <c r="N1268" i="22"/>
  <c r="N1266" i="22"/>
  <c r="N1265" i="22"/>
  <c r="N1261" i="22"/>
  <c r="N1260" i="22"/>
  <c r="N1259" i="22"/>
  <c r="N1258" i="22"/>
  <c r="N1257" i="22"/>
  <c r="N1256" i="22"/>
  <c r="N1255" i="22"/>
  <c r="N1254" i="22"/>
  <c r="N1253" i="22"/>
  <c r="N1252" i="22"/>
  <c r="N1251" i="22"/>
  <c r="N1249" i="22"/>
  <c r="N1248" i="22"/>
  <c r="N1247" i="22"/>
  <c r="N1246" i="22"/>
  <c r="N1245" i="22"/>
  <c r="N1242" i="22"/>
  <c r="N1241" i="22"/>
  <c r="N1240" i="22"/>
  <c r="N1237" i="22"/>
  <c r="N1236" i="22"/>
  <c r="N1235" i="22"/>
  <c r="N1234" i="22"/>
  <c r="N1233" i="22"/>
  <c r="N1232" i="22"/>
  <c r="N1231" i="22"/>
  <c r="N1227" i="22"/>
  <c r="N1226" i="22"/>
  <c r="N1225" i="22"/>
  <c r="N1224" i="22"/>
  <c r="N1223" i="22"/>
  <c r="N1222" i="22"/>
  <c r="N1221" i="22"/>
  <c r="N1220" i="22"/>
  <c r="N1218" i="22"/>
  <c r="N1215" i="22"/>
  <c r="N1214" i="22"/>
  <c r="N1213" i="22"/>
  <c r="N1212" i="22"/>
  <c r="N1211" i="22"/>
  <c r="N1210" i="22"/>
  <c r="N1209" i="22"/>
  <c r="N1208" i="22"/>
  <c r="N1207" i="22"/>
  <c r="N1206" i="22"/>
  <c r="N1205" i="22"/>
  <c r="N1204" i="22"/>
  <c r="N1203" i="22"/>
  <c r="N1202" i="22"/>
  <c r="N1201" i="22"/>
  <c r="N1200" i="22"/>
  <c r="N1198" i="22"/>
  <c r="N1197" i="22"/>
  <c r="N1196" i="22"/>
  <c r="N1193" i="22"/>
  <c r="N1192" i="22"/>
  <c r="N1186" i="22"/>
  <c r="N1185" i="22"/>
  <c r="N1180" i="22"/>
  <c r="N1179" i="22"/>
  <c r="N1178" i="22"/>
  <c r="N1177" i="22"/>
  <c r="N1176" i="22"/>
  <c r="N1173" i="22"/>
  <c r="N1172" i="22"/>
  <c r="N1170" i="22"/>
  <c r="N1168" i="22"/>
  <c r="N1167" i="22"/>
  <c r="N1166" i="22"/>
  <c r="N1164" i="22"/>
  <c r="N1161" i="22"/>
  <c r="N1159" i="22"/>
  <c r="N1158" i="22"/>
  <c r="N1157" i="22"/>
  <c r="N1156" i="22"/>
  <c r="N1153" i="22"/>
  <c r="N1152" i="22"/>
  <c r="N1151" i="22"/>
  <c r="N1150" i="22"/>
  <c r="N1149" i="22"/>
  <c r="N1148" i="22"/>
  <c r="N1145" i="22"/>
  <c r="N1144" i="22"/>
  <c r="N1143" i="22"/>
  <c r="N1142" i="22"/>
  <c r="N1141" i="22"/>
  <c r="N1138" i="22"/>
  <c r="N1135" i="22"/>
  <c r="N1134" i="22"/>
  <c r="N1132" i="22"/>
  <c r="N1131" i="22"/>
  <c r="N1130" i="22"/>
  <c r="N1129" i="22"/>
  <c r="N1128" i="22"/>
  <c r="N1126" i="22"/>
  <c r="N1125" i="22"/>
  <c r="N1124" i="22"/>
  <c r="N1123" i="22"/>
  <c r="N1122" i="22"/>
  <c r="N1121" i="22"/>
  <c r="N1120" i="22"/>
  <c r="N1119" i="22"/>
  <c r="N1118" i="22"/>
  <c r="N1117" i="22"/>
  <c r="N1116" i="22"/>
  <c r="N1115" i="22"/>
  <c r="N1114" i="22"/>
  <c r="N1113" i="22"/>
  <c r="N1112" i="22"/>
  <c r="N1111" i="22"/>
  <c r="N1110" i="22"/>
  <c r="N1109" i="22"/>
  <c r="N1108" i="22"/>
  <c r="N1107" i="22"/>
  <c r="N1106" i="22"/>
  <c r="N1105" i="22"/>
  <c r="N1104" i="22"/>
  <c r="N1103" i="22"/>
  <c r="N1102" i="22"/>
  <c r="N1101" i="22"/>
  <c r="N1100" i="22"/>
  <c r="N1096" i="22"/>
  <c r="N1221" i="6"/>
  <c r="N1223" i="6"/>
  <c r="K1223" i="6"/>
  <c r="H1223" i="6" s="1"/>
  <c r="G1223" i="6"/>
  <c r="G1093" i="22"/>
  <c r="K1093" i="22"/>
  <c r="H1093" i="22" s="1"/>
  <c r="G1094" i="22"/>
  <c r="K1094" i="22"/>
  <c r="H1094" i="22" s="1"/>
  <c r="G1096" i="22"/>
  <c r="K1096" i="22"/>
  <c r="H1096" i="22" s="1"/>
  <c r="G1098" i="22"/>
  <c r="K1098" i="22"/>
  <c r="H1098" i="22" s="1"/>
  <c r="G1100" i="22"/>
  <c r="K1100" i="22"/>
  <c r="H1100" i="22" s="1"/>
  <c r="G1101" i="22"/>
  <c r="K1101" i="22"/>
  <c r="H1101" i="22" s="1"/>
  <c r="G1102" i="22"/>
  <c r="K1102" i="22"/>
  <c r="H1102" i="22" s="1"/>
  <c r="G1103" i="22"/>
  <c r="K1103" i="22"/>
  <c r="H1103" i="22" s="1"/>
  <c r="B1103" i="22" a="1"/>
  <c r="B1103" i="22" s="1"/>
  <c r="B1102" i="22" a="1"/>
  <c r="B1102" i="22" s="1"/>
  <c r="B1101" i="22" a="1"/>
  <c r="B1101" i="22" s="1"/>
  <c r="B1100" i="22" a="1"/>
  <c r="B1100" i="22" s="1"/>
  <c r="B1098" i="22" a="1"/>
  <c r="B1098" i="22" s="1"/>
  <c r="B1096" i="22" a="1"/>
  <c r="B1096" i="22" s="1"/>
  <c r="B1094" i="22" a="1"/>
  <c r="B1094" i="22" s="1"/>
  <c r="B1093" i="22" a="1"/>
  <c r="B1093" i="22" s="1"/>
  <c r="K1228" i="6"/>
  <c r="H1228" i="6" s="1"/>
  <c r="K1227" i="6"/>
  <c r="H1227" i="6" s="1"/>
  <c r="K1226" i="6"/>
  <c r="H1226" i="6" s="1"/>
  <c r="K1225" i="6"/>
  <c r="H1225" i="6" s="1"/>
  <c r="K1224" i="6"/>
  <c r="H1224" i="6" s="1"/>
  <c r="K1222" i="6"/>
  <c r="H1222" i="6" s="1"/>
  <c r="K1221" i="6"/>
  <c r="H1221" i="6" s="1"/>
  <c r="K1220" i="6"/>
  <c r="H1220" i="6" s="1"/>
  <c r="N1090" i="22"/>
  <c r="K1090" i="22"/>
  <c r="H1090" i="22" s="1"/>
  <c r="G1090" i="22"/>
  <c r="B1090" i="22" a="1"/>
  <c r="B1090" i="22" s="1"/>
  <c r="N1094" i="22"/>
  <c r="N1093" i="22"/>
  <c r="N1092" i="22"/>
  <c r="N1091" i="22"/>
  <c r="N1089" i="22"/>
  <c r="N1088" i="22"/>
  <c r="N1087" i="22"/>
  <c r="N1086" i="22"/>
  <c r="N1085" i="22"/>
  <c r="N1084" i="22"/>
  <c r="N1083" i="22"/>
  <c r="N1082" i="22"/>
  <c r="N1081" i="22"/>
  <c r="N1080" i="22"/>
  <c r="N1079" i="22"/>
  <c r="N1078" i="22"/>
  <c r="N1077" i="22"/>
  <c r="N1076" i="22"/>
  <c r="N1075" i="22"/>
  <c r="K1089" i="22"/>
  <c r="H1089" i="22" s="1"/>
  <c r="G1089" i="22"/>
  <c r="B1089" i="22" a="1"/>
  <c r="B1089" i="22" s="1"/>
  <c r="G1077" i="22"/>
  <c r="K1077" i="22"/>
  <c r="H1077" i="22" s="1"/>
  <c r="G1084" i="22"/>
  <c r="K1084" i="22"/>
  <c r="H1084" i="22" s="1"/>
  <c r="G1085" i="22"/>
  <c r="K1085" i="22"/>
  <c r="H1085" i="22" s="1"/>
  <c r="G1104" i="22"/>
  <c r="K1104" i="22"/>
  <c r="H1104" i="22" s="1"/>
  <c r="G1086" i="22"/>
  <c r="K1086" i="22"/>
  <c r="H1086" i="22" s="1"/>
  <c r="G1087" i="22"/>
  <c r="K1087" i="22"/>
  <c r="H1087" i="22" s="1"/>
  <c r="G1088" i="22"/>
  <c r="K1088" i="22"/>
  <c r="H1088" i="22" s="1"/>
  <c r="G1091" i="22"/>
  <c r="K1091" i="22"/>
  <c r="H1091" i="22" s="1"/>
  <c r="G1092" i="22"/>
  <c r="K1092" i="22"/>
  <c r="H1092" i="22" s="1"/>
  <c r="B1092" i="22" a="1"/>
  <c r="B1092" i="22" s="1"/>
  <c r="B1091" i="22" a="1"/>
  <c r="B1091" i="22" s="1"/>
  <c r="B1088" i="22" a="1"/>
  <c r="B1088" i="22" s="1"/>
  <c r="B1087" i="22" a="1"/>
  <c r="B1087" i="22" s="1"/>
  <c r="B1086" i="22" a="1"/>
  <c r="B1086" i="22" s="1"/>
  <c r="B1104" i="22" a="1"/>
  <c r="B1104" i="22" s="1"/>
  <c r="B1085" i="22" a="1"/>
  <c r="B1085" i="22" s="1"/>
  <c r="B1084" i="22" a="1"/>
  <c r="B1084" i="22" s="1"/>
  <c r="B1077" i="22" a="1"/>
  <c r="B1077" i="22" s="1"/>
  <c r="K1219" i="6"/>
  <c r="H1219" i="6" s="1"/>
  <c r="K1218" i="6"/>
  <c r="H1218" i="6" s="1"/>
  <c r="K1217" i="6"/>
  <c r="H1217" i="6" s="1"/>
  <c r="K1216" i="6"/>
  <c r="H1216" i="6" s="1"/>
  <c r="K1215" i="6"/>
  <c r="H1215" i="6" s="1"/>
  <c r="K1214" i="6"/>
  <c r="H1214" i="6" s="1"/>
  <c r="K1213" i="6"/>
  <c r="H1213" i="6" s="1"/>
  <c r="K1212" i="6"/>
  <c r="H1212" i="6" s="1"/>
  <c r="K1211" i="6"/>
  <c r="H1211" i="6" s="1"/>
  <c r="K1210" i="6"/>
  <c r="H1210" i="6" s="1"/>
  <c r="N1209" i="6"/>
  <c r="N1207" i="6"/>
  <c r="K1207" i="6"/>
  <c r="H1207" i="6" s="1"/>
  <c r="G1207" i="6"/>
  <c r="G1078" i="22"/>
  <c r="K1078" i="22"/>
  <c r="H1078" i="22" s="1"/>
  <c r="G1079" i="22"/>
  <c r="K1079" i="22"/>
  <c r="H1079" i="22" s="1"/>
  <c r="G1080" i="22"/>
  <c r="K1080" i="22"/>
  <c r="H1080" i="22" s="1"/>
  <c r="G1081" i="22"/>
  <c r="K1081" i="22"/>
  <c r="H1081" i="22" s="1"/>
  <c r="G1082" i="22"/>
  <c r="K1082" i="22"/>
  <c r="H1082" i="22" s="1"/>
  <c r="G1083" i="22"/>
  <c r="K1083" i="22"/>
  <c r="H1083" i="22" s="1"/>
  <c r="B1083" i="22" a="1"/>
  <c r="B1083" i="22" s="1"/>
  <c r="B1082" i="22" a="1"/>
  <c r="B1082" i="22" s="1"/>
  <c r="B1081" i="22" a="1"/>
  <c r="B1081" i="22" s="1"/>
  <c r="B1080" i="22" a="1"/>
  <c r="B1080" i="22" s="1"/>
  <c r="B1079" i="22" a="1"/>
  <c r="B1079" i="22" s="1"/>
  <c r="B1078" i="22" a="1"/>
  <c r="B1078" i="22" s="1"/>
  <c r="K1209" i="6"/>
  <c r="H1209" i="6" s="1"/>
  <c r="K1208" i="6"/>
  <c r="H1208" i="6" s="1"/>
  <c r="K1206" i="6"/>
  <c r="H1206" i="6" s="1"/>
  <c r="K1205" i="6"/>
  <c r="H1205" i="6" s="1"/>
  <c r="K1204" i="6"/>
  <c r="H1204" i="6" s="1"/>
  <c r="K1203" i="6"/>
  <c r="H1203" i="6" s="1"/>
  <c r="K1202" i="6"/>
  <c r="H1202" i="6" s="1"/>
  <c r="G1076" i="22"/>
  <c r="K1076" i="22"/>
  <c r="H1076" i="22" s="1"/>
  <c r="B1076" i="22" a="1"/>
  <c r="B1076" i="22" s="1"/>
  <c r="G1069" i="22"/>
  <c r="K1069" i="22"/>
  <c r="H1069" i="22" s="1"/>
  <c r="G1070" i="22"/>
  <c r="K1070" i="22"/>
  <c r="H1070" i="22" s="1"/>
  <c r="G1071" i="22"/>
  <c r="K1071" i="22"/>
  <c r="H1071" i="22" s="1"/>
  <c r="G1072" i="22"/>
  <c r="K1072" i="22"/>
  <c r="H1072" i="22" s="1"/>
  <c r="G1073" i="22"/>
  <c r="K1073" i="22"/>
  <c r="H1073" i="22" s="1"/>
  <c r="G1074" i="22"/>
  <c r="K1074" i="22"/>
  <c r="H1074" i="22" s="1"/>
  <c r="G1075" i="22"/>
  <c r="K1075" i="22"/>
  <c r="H1075" i="22" s="1"/>
  <c r="B1075" i="22" a="1"/>
  <c r="B1075" i="22" s="1"/>
  <c r="B1074" i="22" a="1"/>
  <c r="B1074" i="22" s="1"/>
  <c r="B1073" i="22" a="1"/>
  <c r="B1073" i="22" s="1"/>
  <c r="B1072" i="22" a="1"/>
  <c r="B1072" i="22" s="1"/>
  <c r="B1071" i="22" a="1"/>
  <c r="B1071" i="22" s="1"/>
  <c r="B1070" i="22" a="1"/>
  <c r="B1070" i="22" s="1"/>
  <c r="B1069" i="22" a="1"/>
  <c r="B1069" i="22" s="1"/>
  <c r="K1201" i="6"/>
  <c r="H1201" i="6" s="1"/>
  <c r="K1200" i="6"/>
  <c r="H1200" i="6" s="1"/>
  <c r="K1199" i="6"/>
  <c r="H1199" i="6" s="1"/>
  <c r="K1198" i="6"/>
  <c r="H1198" i="6" s="1"/>
  <c r="K1197" i="6"/>
  <c r="H1197" i="6" s="1"/>
  <c r="K1196" i="6"/>
  <c r="H1196" i="6" s="1"/>
  <c r="K1195" i="6"/>
  <c r="H1195" i="6" s="1"/>
  <c r="N1066" i="22"/>
  <c r="N1192" i="6"/>
  <c r="N1193" i="6"/>
  <c r="G1063" i="22"/>
  <c r="K1063" i="22"/>
  <c r="H1063" i="22" s="1"/>
  <c r="G1064" i="22"/>
  <c r="K1064" i="22"/>
  <c r="H1064" i="22" s="1"/>
  <c r="G1065" i="22"/>
  <c r="K1065" i="22"/>
  <c r="H1065" i="22" s="1"/>
  <c r="G1066" i="22"/>
  <c r="K1066" i="22"/>
  <c r="H1066" i="22" s="1"/>
  <c r="G1067" i="22"/>
  <c r="K1067" i="22"/>
  <c r="H1067" i="22" s="1"/>
  <c r="G1068" i="22"/>
  <c r="K1068" i="22"/>
  <c r="H1068" i="22" s="1"/>
  <c r="B1068" i="22" a="1"/>
  <c r="B1068" i="22" s="1"/>
  <c r="B1067" i="22" a="1"/>
  <c r="B1067" i="22" s="1"/>
  <c r="B1066" i="22" a="1"/>
  <c r="B1066" i="22" s="1"/>
  <c r="B1065" i="22" a="1"/>
  <c r="B1065" i="22" s="1"/>
  <c r="B1064" i="22" a="1"/>
  <c r="B1064" i="22" s="1"/>
  <c r="B1063" i="22" a="1"/>
  <c r="B1063" i="22" s="1"/>
  <c r="K1194" i="6"/>
  <c r="H1194" i="6" s="1"/>
  <c r="K1193" i="6"/>
  <c r="H1193" i="6" s="1"/>
  <c r="K1192" i="6"/>
  <c r="H1192" i="6" s="1"/>
  <c r="K1191" i="6"/>
  <c r="H1191" i="6" s="1"/>
  <c r="K1190" i="6"/>
  <c r="H1190" i="6" s="1"/>
  <c r="K1189" i="6"/>
  <c r="H1189" i="6" s="1"/>
  <c r="K1188" i="6"/>
  <c r="H1188" i="6" s="1"/>
  <c r="G1056" i="22"/>
  <c r="K1056" i="22"/>
  <c r="H1056" i="22" s="1"/>
  <c r="G1057" i="22"/>
  <c r="K1057" i="22"/>
  <c r="H1057" i="22" s="1"/>
  <c r="G1058" i="22"/>
  <c r="K1058" i="22"/>
  <c r="H1058" i="22" s="1"/>
  <c r="G1059" i="22"/>
  <c r="K1059" i="22"/>
  <c r="H1059" i="22" s="1"/>
  <c r="G1060" i="22"/>
  <c r="K1060" i="22"/>
  <c r="H1060" i="22" s="1"/>
  <c r="G1061" i="22"/>
  <c r="K1061" i="22"/>
  <c r="H1061" i="22" s="1"/>
  <c r="G1062" i="22"/>
  <c r="K1062" i="22"/>
  <c r="H1062" i="22" s="1"/>
  <c r="B1062" i="22" a="1"/>
  <c r="B1062" i="22" s="1"/>
  <c r="B1061" i="22" a="1"/>
  <c r="B1061" i="22" s="1"/>
  <c r="B1060" i="22" a="1"/>
  <c r="B1060" i="22" s="1"/>
  <c r="B1059" i="22" a="1"/>
  <c r="B1059" i="22" s="1"/>
  <c r="B1058" i="22" a="1"/>
  <c r="B1058" i="22" s="1"/>
  <c r="B1057" i="22" a="1"/>
  <c r="B1057" i="22" s="1"/>
  <c r="B1056" i="22" a="1"/>
  <c r="B1056" i="22" s="1"/>
  <c r="K1187" i="6"/>
  <c r="H1187" i="6" s="1"/>
  <c r="K1186" i="6"/>
  <c r="H1186" i="6" s="1"/>
  <c r="K1185" i="6"/>
  <c r="H1185" i="6" s="1"/>
  <c r="K1184" i="6"/>
  <c r="H1184" i="6" s="1"/>
  <c r="K1183" i="6"/>
  <c r="H1183" i="6" s="1"/>
  <c r="K1182" i="6"/>
  <c r="H1182" i="6" s="1"/>
  <c r="N1049" i="22"/>
  <c r="K1049" i="22"/>
  <c r="H1049" i="22" s="1"/>
  <c r="G1049" i="22"/>
  <c r="B1049" i="22" a="1"/>
  <c r="B1049" i="22" s="1"/>
  <c r="N1055" i="22"/>
  <c r="K1055" i="22"/>
  <c r="H1055" i="22" s="1"/>
  <c r="G1055" i="22"/>
  <c r="B1055" i="22" a="1"/>
  <c r="B1055" i="22" s="1"/>
  <c r="G1048" i="22"/>
  <c r="K1048" i="22"/>
  <c r="H1048" i="22" s="1"/>
  <c r="G1050" i="22"/>
  <c r="K1050" i="22"/>
  <c r="H1050" i="22" s="1"/>
  <c r="G1051" i="22"/>
  <c r="K1051" i="22"/>
  <c r="H1051" i="22" s="1"/>
  <c r="G1052" i="22"/>
  <c r="K1052" i="22"/>
  <c r="H1052" i="22" s="1"/>
  <c r="G1053" i="22"/>
  <c r="K1053" i="22"/>
  <c r="H1053" i="22" s="1"/>
  <c r="G1054" i="22"/>
  <c r="K1054" i="22"/>
  <c r="H1054" i="22" s="1"/>
  <c r="B1054" i="22" a="1"/>
  <c r="B1054" i="22" s="1"/>
  <c r="B1053" i="22" a="1"/>
  <c r="B1053" i="22" s="1"/>
  <c r="B1052" i="22" a="1"/>
  <c r="B1052" i="22" s="1"/>
  <c r="B1051" i="22" a="1"/>
  <c r="B1051" i="22" s="1"/>
  <c r="B1050" i="22" a="1"/>
  <c r="B1050" i="22" s="1"/>
  <c r="B1048" i="22" a="1"/>
  <c r="B1048" i="22" s="1"/>
  <c r="K1181" i="6"/>
  <c r="H1181" i="6" s="1"/>
  <c r="K1180" i="6"/>
  <c r="H1180" i="6" s="1"/>
  <c r="K1179" i="6"/>
  <c r="H1179" i="6" s="1"/>
  <c r="K1178" i="6"/>
  <c r="H1178" i="6" s="1"/>
  <c r="K1177" i="6"/>
  <c r="H1177" i="6" s="1"/>
  <c r="K1176" i="6"/>
  <c r="H1176" i="6" s="1"/>
  <c r="K1175" i="6"/>
  <c r="H1175" i="6" s="1"/>
  <c r="H1038" i="22"/>
  <c r="H1037" i="22"/>
  <c r="H1036" i="22"/>
  <c r="H1035" i="22"/>
  <c r="H1034" i="22"/>
  <c r="H1033" i="22"/>
  <c r="H1032" i="22"/>
  <c r="H1031" i="22"/>
  <c r="H1030" i="22"/>
  <c r="H1029" i="22"/>
  <c r="H1028" i="22"/>
  <c r="H1027" i="22"/>
  <c r="H1026" i="22"/>
  <c r="H1025" i="22"/>
  <c r="H1024" i="22"/>
  <c r="H1023" i="22"/>
  <c r="H1022" i="22"/>
  <c r="H1021" i="22"/>
  <c r="H1020" i="22"/>
  <c r="H1019" i="22"/>
  <c r="H1018" i="22"/>
  <c r="H1017" i="22"/>
  <c r="N1047" i="22"/>
  <c r="K1047" i="22"/>
  <c r="H1047" i="22" s="1"/>
  <c r="G1047" i="22"/>
  <c r="B1047" i="22" a="1"/>
  <c r="B1047" i="22" s="1"/>
  <c r="N1074" i="22"/>
  <c r="N1073" i="22"/>
  <c r="N1072" i="22"/>
  <c r="N1071" i="22"/>
  <c r="N1070" i="22"/>
  <c r="N1069" i="22"/>
  <c r="N1068" i="22"/>
  <c r="N1067" i="22"/>
  <c r="N1065" i="22"/>
  <c r="N1064" i="22"/>
  <c r="N1063" i="22"/>
  <c r="N1062" i="22"/>
  <c r="N1061" i="22"/>
  <c r="N1060" i="22"/>
  <c r="N1059" i="22"/>
  <c r="N1058" i="22"/>
  <c r="N1057" i="22"/>
  <c r="N1056" i="22"/>
  <c r="N1054" i="22"/>
  <c r="N1053" i="22"/>
  <c r="N1052" i="22"/>
  <c r="N1051" i="22"/>
  <c r="N1050" i="22"/>
  <c r="N1048" i="22"/>
  <c r="N1046" i="22"/>
  <c r="N1045" i="22"/>
  <c r="N1044" i="22"/>
  <c r="N1043" i="22"/>
  <c r="N1042" i="22"/>
  <c r="N1041" i="22"/>
  <c r="N1040" i="22"/>
  <c r="N1039" i="22"/>
  <c r="N1038" i="22"/>
  <c r="N1037" i="22"/>
  <c r="N1036" i="22"/>
  <c r="N1035" i="22"/>
  <c r="N1034" i="22"/>
  <c r="N1033" i="22"/>
  <c r="N1032" i="22"/>
  <c r="N1031" i="22"/>
  <c r="N1030" i="22"/>
  <c r="N1029" i="22"/>
  <c r="N1028" i="22"/>
  <c r="N1027" i="22"/>
  <c r="N1026" i="22"/>
  <c r="N1025" i="22"/>
  <c r="N1024" i="22"/>
  <c r="N1023" i="22"/>
  <c r="N1022" i="22"/>
  <c r="N1021" i="22"/>
  <c r="N1020" i="22"/>
  <c r="N1019" i="22"/>
  <c r="N1018" i="22"/>
  <c r="N1017" i="22"/>
  <c r="N1016" i="22"/>
  <c r="N1015" i="22"/>
  <c r="N1014" i="22"/>
  <c r="N1013" i="22"/>
  <c r="G1039" i="22"/>
  <c r="K1039" i="22"/>
  <c r="H1039" i="22" s="1"/>
  <c r="G1040" i="22"/>
  <c r="K1040" i="22"/>
  <c r="H1040" i="22" s="1"/>
  <c r="G1041" i="22"/>
  <c r="K1041" i="22"/>
  <c r="H1041" i="22" s="1"/>
  <c r="G1042" i="22"/>
  <c r="K1042" i="22"/>
  <c r="H1042" i="22" s="1"/>
  <c r="G1043" i="22"/>
  <c r="K1043" i="22"/>
  <c r="H1043" i="22" s="1"/>
  <c r="G1044" i="22"/>
  <c r="K1044" i="22"/>
  <c r="H1044" i="22" s="1"/>
  <c r="G1045" i="22"/>
  <c r="K1045" i="22"/>
  <c r="H1045" i="22" s="1"/>
  <c r="G1046" i="22"/>
  <c r="K1046" i="22"/>
  <c r="H1046" i="22" s="1"/>
  <c r="B1046" i="22" a="1"/>
  <c r="B1046" i="22" s="1"/>
  <c r="B1045" i="22" a="1"/>
  <c r="B1045" i="22" s="1"/>
  <c r="B1044" i="22" a="1"/>
  <c r="B1044" i="22" s="1"/>
  <c r="B1043" i="22" a="1"/>
  <c r="B1043" i="22" s="1"/>
  <c r="B1042" i="22" a="1"/>
  <c r="B1042" i="22" s="1"/>
  <c r="B1041" i="22" a="1"/>
  <c r="B1041" i="22" s="1"/>
  <c r="B1040" i="22" a="1"/>
  <c r="B1040" i="22" s="1"/>
  <c r="B1039" i="22" a="1"/>
  <c r="B1039" i="22" s="1"/>
  <c r="K1174" i="6"/>
  <c r="H1174" i="6" s="1"/>
  <c r="K1173" i="6"/>
  <c r="H1173" i="6" s="1"/>
  <c r="K1172" i="6"/>
  <c r="H1172" i="6" s="1"/>
  <c r="K1171" i="6"/>
  <c r="H1171" i="6" s="1"/>
  <c r="K1170" i="6"/>
  <c r="H1170" i="6" s="1"/>
  <c r="K1169" i="6"/>
  <c r="H1169" i="6" s="1"/>
  <c r="B1038" i="22" a="1"/>
  <c r="B1038" i="22" s="1"/>
  <c r="B1037" i="22" a="1"/>
  <c r="B1037" i="22" s="1"/>
  <c r="B1036" i="22" a="1"/>
  <c r="B1036" i="22" s="1"/>
  <c r="B1035" i="22" a="1"/>
  <c r="B1035" i="22" s="1"/>
  <c r="B1034" i="22" a="1"/>
  <c r="B1034" i="22" s="1"/>
  <c r="B1033" i="22" a="1"/>
  <c r="B1033" i="22" s="1"/>
  <c r="B1032" i="22" a="1"/>
  <c r="B1032" i="22" s="1"/>
  <c r="B1031" i="22" a="1"/>
  <c r="B1031" i="22" s="1"/>
  <c r="B1030" i="22" a="1"/>
  <c r="B1030" i="22" s="1"/>
  <c r="B1029" i="22" a="1"/>
  <c r="B1029" i="22" s="1"/>
  <c r="B1028" i="22" a="1"/>
  <c r="B1028" i="22" s="1"/>
  <c r="B1027" i="22" a="1"/>
  <c r="B1027" i="22" s="1"/>
  <c r="B1026" i="22" a="1"/>
  <c r="B1026" i="22" s="1"/>
  <c r="B1025" i="22" a="1"/>
  <c r="B1025" i="22" s="1"/>
  <c r="B1024" i="22" a="1"/>
  <c r="B1024" i="22" s="1"/>
  <c r="B1023" i="22" a="1"/>
  <c r="B1023" i="22" s="1"/>
  <c r="B1022" i="22" a="1"/>
  <c r="B1022" i="22" s="1"/>
  <c r="B1021" i="22" a="1"/>
  <c r="B1021" i="22" s="1"/>
  <c r="B1020" i="22" a="1"/>
  <c r="B1020" i="22" s="1"/>
  <c r="B1019" i="22" a="1"/>
  <c r="B1019" i="22" s="1"/>
  <c r="B1018" i="22" a="1"/>
  <c r="B1018" i="22" s="1"/>
  <c r="B1017" i="22" a="1"/>
  <c r="B1017" i="22" s="1"/>
  <c r="K1138" i="6"/>
  <c r="H1138" i="6" s="1"/>
  <c r="K1139" i="6"/>
  <c r="H1139" i="6" s="1"/>
  <c r="K1140" i="6"/>
  <c r="H1140" i="6" s="1"/>
  <c r="K1141" i="6"/>
  <c r="H1141" i="6" s="1"/>
  <c r="K1142" i="6"/>
  <c r="H1142" i="6" s="1"/>
  <c r="K1143" i="6"/>
  <c r="H1143" i="6" s="1"/>
  <c r="K1144" i="6"/>
  <c r="H1144" i="6" s="1"/>
  <c r="K1145" i="6"/>
  <c r="H1145" i="6" s="1"/>
  <c r="K1146" i="6"/>
  <c r="H1146" i="6" s="1"/>
  <c r="K1147" i="6"/>
  <c r="H1147" i="6" s="1"/>
  <c r="K1148" i="6"/>
  <c r="H1148" i="6" s="1"/>
  <c r="K1149" i="6"/>
  <c r="H1149" i="6" s="1"/>
  <c r="K1150" i="6"/>
  <c r="H1150" i="6" s="1"/>
  <c r="K1151" i="6"/>
  <c r="H1151" i="6" s="1"/>
  <c r="K1152" i="6"/>
  <c r="H1152" i="6" s="1"/>
  <c r="K1153" i="6"/>
  <c r="H1153" i="6" s="1"/>
  <c r="K1154" i="6"/>
  <c r="H1154" i="6" s="1"/>
  <c r="K1155" i="6"/>
  <c r="H1155" i="6" s="1"/>
  <c r="K1156" i="6"/>
  <c r="H1156" i="6" s="1"/>
  <c r="K1157" i="6"/>
  <c r="H1157" i="6" s="1"/>
  <c r="K1158" i="6"/>
  <c r="H1158" i="6" s="1"/>
  <c r="K1159" i="6"/>
  <c r="H1159" i="6" s="1"/>
  <c r="K1160" i="6"/>
  <c r="H1160" i="6" s="1"/>
  <c r="K1161" i="6"/>
  <c r="H1161" i="6" s="1"/>
  <c r="K1162" i="6"/>
  <c r="H1162" i="6" s="1"/>
  <c r="K1163" i="6"/>
  <c r="H1163" i="6" s="1"/>
  <c r="K1164" i="6"/>
  <c r="H1164" i="6" s="1"/>
  <c r="K1165" i="6"/>
  <c r="H1165" i="6" s="1"/>
  <c r="K1166" i="6"/>
  <c r="H1166" i="6" s="1"/>
  <c r="K1167" i="6"/>
  <c r="H1167" i="6" s="1"/>
  <c r="K1168" i="6"/>
  <c r="H1168" i="6" s="1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D13" i="18"/>
  <c r="N1012" i="22"/>
  <c r="N1011" i="22"/>
  <c r="N1010" i="22"/>
  <c r="N1009" i="22"/>
  <c r="G1009" i="22"/>
  <c r="K1009" i="22"/>
  <c r="H1009" i="22" s="1"/>
  <c r="G1010" i="22"/>
  <c r="K1010" i="22"/>
  <c r="H1010" i="22" s="1"/>
  <c r="G1011" i="22"/>
  <c r="K1011" i="22"/>
  <c r="H1011" i="22" s="1"/>
  <c r="G1012" i="22"/>
  <c r="K1012" i="22"/>
  <c r="H1012" i="22" s="1"/>
  <c r="G1013" i="22"/>
  <c r="K1013" i="22"/>
  <c r="H1013" i="22" s="1"/>
  <c r="G1014" i="22"/>
  <c r="K1014" i="22"/>
  <c r="H1014" i="22" s="1"/>
  <c r="G1015" i="22"/>
  <c r="K1015" i="22"/>
  <c r="H1015" i="22" s="1"/>
  <c r="G1016" i="22"/>
  <c r="K1016" i="22"/>
  <c r="H1016" i="22" s="1"/>
  <c r="B1016" i="22" a="1"/>
  <c r="B1016" i="22" s="1"/>
  <c r="B1015" i="22" a="1"/>
  <c r="B1015" i="22" s="1"/>
  <c r="B1014" i="22" a="1"/>
  <c r="B1014" i="22" s="1"/>
  <c r="B1013" i="22" a="1"/>
  <c r="B1013" i="22" s="1"/>
  <c r="B1012" i="22" a="1"/>
  <c r="B1012" i="22" s="1"/>
  <c r="B1011" i="22" a="1"/>
  <c r="B1011" i="22" s="1"/>
  <c r="B1010" i="22" a="1"/>
  <c r="B1010" i="22" s="1"/>
  <c r="B1009" i="22" a="1"/>
  <c r="B1009" i="22" s="1"/>
  <c r="K1137" i="6"/>
  <c r="H1137" i="6" s="1"/>
  <c r="K1136" i="6"/>
  <c r="H1136" i="6" s="1"/>
  <c r="K1135" i="6"/>
  <c r="H1135" i="6" s="1"/>
  <c r="K1134" i="6"/>
  <c r="H1134" i="6" s="1"/>
  <c r="N1005" i="22"/>
  <c r="G1002" i="22"/>
  <c r="K1002" i="22"/>
  <c r="H1002" i="22" s="1"/>
  <c r="G1003" i="22"/>
  <c r="K1003" i="22"/>
  <c r="H1003" i="22" s="1"/>
  <c r="G1004" i="22"/>
  <c r="K1004" i="22"/>
  <c r="H1004" i="22" s="1"/>
  <c r="G1005" i="22"/>
  <c r="K1005" i="22"/>
  <c r="H1005" i="22" s="1"/>
  <c r="G1006" i="22"/>
  <c r="K1006" i="22"/>
  <c r="H1006" i="22" s="1"/>
  <c r="G1007" i="22"/>
  <c r="K1007" i="22"/>
  <c r="H1007" i="22" s="1"/>
  <c r="G1008" i="22"/>
  <c r="K1008" i="22"/>
  <c r="H1008" i="22" s="1"/>
  <c r="B1008" i="22" a="1"/>
  <c r="B1008" i="22" s="1"/>
  <c r="B1007" i="22" a="1"/>
  <c r="B1007" i="22" s="1"/>
  <c r="B1006" i="22" a="1"/>
  <c r="B1006" i="22" s="1"/>
  <c r="B1005" i="22" a="1"/>
  <c r="B1005" i="22" s="1"/>
  <c r="B1004" i="22" a="1"/>
  <c r="B1004" i="22" s="1"/>
  <c r="B1003" i="22" a="1"/>
  <c r="B1003" i="22" s="1"/>
  <c r="B1002" i="22" a="1"/>
  <c r="B1002" i="22" s="1"/>
  <c r="N1131" i="6"/>
  <c r="K1131" i="6"/>
  <c r="H1131" i="6" s="1"/>
  <c r="G1131" i="6"/>
  <c r="K1133" i="6"/>
  <c r="H1133" i="6" s="1"/>
  <c r="K1132" i="6"/>
  <c r="H1132" i="6" s="1"/>
  <c r="K1130" i="6"/>
  <c r="H1130" i="6" s="1"/>
  <c r="K1129" i="6"/>
  <c r="H1129" i="6" s="1"/>
  <c r="K1128" i="6"/>
  <c r="H1128" i="6" s="1"/>
  <c r="K1127" i="6"/>
  <c r="H1127" i="6" s="1"/>
  <c r="K1126" i="6"/>
  <c r="H1126" i="6" s="1"/>
  <c r="K12" i="21"/>
  <c r="N995" i="22"/>
  <c r="N998" i="22"/>
  <c r="N999" i="22"/>
  <c r="N997" i="22"/>
  <c r="N996" i="22"/>
  <c r="K999" i="22"/>
  <c r="H999" i="22" s="1"/>
  <c r="G999" i="22"/>
  <c r="B999" i="22" a="1"/>
  <c r="B999" i="22" s="1"/>
  <c r="K998" i="22"/>
  <c r="H998" i="22" s="1"/>
  <c r="G998" i="22"/>
  <c r="B998" i="22" a="1"/>
  <c r="B998" i="22" s="1"/>
  <c r="K997" i="22"/>
  <c r="H997" i="22" s="1"/>
  <c r="G997" i="22"/>
  <c r="B997" i="22" a="1"/>
  <c r="B997" i="22" s="1"/>
  <c r="N994" i="22"/>
  <c r="K994" i="22"/>
  <c r="H994" i="22" s="1"/>
  <c r="G994" i="22"/>
  <c r="B994" i="22" a="1"/>
  <c r="B994" i="22" s="1"/>
  <c r="N993" i="22"/>
  <c r="K993" i="22"/>
  <c r="H993" i="22" s="1"/>
  <c r="G993" i="22"/>
  <c r="B993" i="22" a="1"/>
  <c r="B993" i="22" s="1"/>
  <c r="N1008" i="22"/>
  <c r="N1007" i="22"/>
  <c r="N1006" i="22"/>
  <c r="N1004" i="22"/>
  <c r="N1003" i="22"/>
  <c r="N1002" i="22"/>
  <c r="N1001" i="22"/>
  <c r="N1000" i="22"/>
  <c r="N992" i="22"/>
  <c r="N991" i="22"/>
  <c r="N990" i="22"/>
  <c r="N989" i="22"/>
  <c r="N988" i="22"/>
  <c r="N987" i="22"/>
  <c r="N986" i="22"/>
  <c r="N985" i="22"/>
  <c r="K1001" i="22"/>
  <c r="H1001" i="22" s="1"/>
  <c r="G1001" i="22"/>
  <c r="B1001" i="22" a="1"/>
  <c r="B1001" i="22" s="1"/>
  <c r="N1122" i="6"/>
  <c r="K991" i="22"/>
  <c r="H991" i="22" s="1"/>
  <c r="G991" i="22"/>
  <c r="G992" i="22"/>
  <c r="K992" i="22"/>
  <c r="H992" i="22" s="1"/>
  <c r="G995" i="22"/>
  <c r="K995" i="22"/>
  <c r="H995" i="22" s="1"/>
  <c r="G996" i="22"/>
  <c r="K996" i="22"/>
  <c r="H996" i="22" s="1"/>
  <c r="G1000" i="22"/>
  <c r="K1000" i="22"/>
  <c r="H1000" i="22" s="1"/>
  <c r="B1000" i="22" a="1"/>
  <c r="B1000" i="22" s="1"/>
  <c r="B996" i="22" a="1"/>
  <c r="B996" i="22" s="1"/>
  <c r="B995" i="22" a="1"/>
  <c r="B995" i="22" s="1"/>
  <c r="B992" i="22" a="1"/>
  <c r="B992" i="22" s="1"/>
  <c r="B991" i="22" a="1"/>
  <c r="B991" i="22" s="1"/>
  <c r="G990" i="22"/>
  <c r="K990" i="22"/>
  <c r="H990" i="22" s="1"/>
  <c r="B990" i="22" a="1"/>
  <c r="B990" i="22" s="1"/>
  <c r="K1125" i="6"/>
  <c r="H1125" i="6" s="1"/>
  <c r="K1119" i="6"/>
  <c r="K1124" i="6"/>
  <c r="H1124" i="6" s="1"/>
  <c r="K1123" i="6"/>
  <c r="H1123" i="6" s="1"/>
  <c r="K1122" i="6"/>
  <c r="H1122" i="6" s="1"/>
  <c r="K1121" i="6"/>
  <c r="K1120" i="6"/>
  <c r="H1120" i="6" s="1"/>
  <c r="H1119" i="6"/>
  <c r="H1121" i="6"/>
  <c r="G983" i="22"/>
  <c r="K983" i="22"/>
  <c r="H983" i="22" s="1"/>
  <c r="G984" i="22"/>
  <c r="K984" i="22"/>
  <c r="H984" i="22" s="1"/>
  <c r="G985" i="22"/>
  <c r="K985" i="22"/>
  <c r="H985" i="22" s="1"/>
  <c r="G986" i="22"/>
  <c r="K986" i="22"/>
  <c r="H986" i="22" s="1"/>
  <c r="G987" i="22"/>
  <c r="K987" i="22"/>
  <c r="H987" i="22" s="1"/>
  <c r="G988" i="22"/>
  <c r="K988" i="22"/>
  <c r="H988" i="22" s="1"/>
  <c r="G989" i="22"/>
  <c r="K989" i="22"/>
  <c r="H989" i="22" s="1"/>
  <c r="B989" i="22" a="1"/>
  <c r="B989" i="22" s="1"/>
  <c r="B988" i="22" a="1"/>
  <c r="B988" i="22" s="1"/>
  <c r="B987" i="22" a="1"/>
  <c r="B987" i="22" s="1"/>
  <c r="B986" i="22" a="1"/>
  <c r="B986" i="22" s="1"/>
  <c r="B985" i="22" a="1"/>
  <c r="B985" i="22" s="1"/>
  <c r="B984" i="22" a="1"/>
  <c r="B984" i="22" s="1"/>
  <c r="B983" i="22" a="1"/>
  <c r="B983" i="22" s="1"/>
  <c r="K1118" i="6"/>
  <c r="H1118" i="6" s="1"/>
  <c r="K1117" i="6"/>
  <c r="H1117" i="6" s="1"/>
  <c r="K1116" i="6"/>
  <c r="H1116" i="6" s="1"/>
  <c r="K1115" i="6"/>
  <c r="H1115" i="6" s="1"/>
  <c r="K1114" i="6"/>
  <c r="H1114" i="6" s="1"/>
  <c r="K1113" i="6"/>
  <c r="H1113" i="6" s="1"/>
  <c r="K1112" i="6"/>
  <c r="H1112" i="6" s="1"/>
  <c r="K1111" i="6"/>
  <c r="H1111" i="6" s="1"/>
  <c r="K1110" i="6"/>
  <c r="H1110" i="6" s="1"/>
  <c r="K1109" i="6"/>
  <c r="H1109" i="6" s="1"/>
  <c r="K1108" i="6"/>
  <c r="H1108" i="6" s="1"/>
  <c r="K1107" i="6"/>
  <c r="H1107" i="6" s="1"/>
  <c r="K1106" i="6"/>
  <c r="H1106" i="6" s="1"/>
  <c r="K1105" i="6"/>
  <c r="H1105" i="6" s="1"/>
  <c r="K1104" i="6"/>
  <c r="H1104" i="6" s="1"/>
  <c r="K1103" i="6"/>
  <c r="H1103" i="6" s="1"/>
  <c r="K1102" i="6"/>
  <c r="H1102" i="6" s="1"/>
  <c r="K1101" i="6"/>
  <c r="H1101" i="6" s="1"/>
  <c r="G1101" i="6"/>
  <c r="N982" i="22"/>
  <c r="N981" i="22"/>
  <c r="N980" i="22"/>
  <c r="N979" i="22"/>
  <c r="N978" i="22"/>
  <c r="N977" i="22"/>
  <c r="N976" i="22"/>
  <c r="N975" i="22"/>
  <c r="K976" i="22"/>
  <c r="H976" i="22" s="1"/>
  <c r="G976" i="22"/>
  <c r="B976" i="22" a="1"/>
  <c r="B976" i="22" s="1"/>
  <c r="K975" i="22"/>
  <c r="H975" i="22" s="1"/>
  <c r="G975" i="22"/>
  <c r="B975" i="22" a="1"/>
  <c r="B975" i="22" s="1"/>
  <c r="G982" i="22"/>
  <c r="K982" i="22"/>
  <c r="H982" i="22" s="1"/>
  <c r="B982" i="22" a="1"/>
  <c r="B982" i="22" s="1"/>
  <c r="G973" i="22"/>
  <c r="K973" i="22"/>
  <c r="H973" i="22" s="1"/>
  <c r="G974" i="22"/>
  <c r="K974" i="22"/>
  <c r="H974" i="22" s="1"/>
  <c r="G977" i="22"/>
  <c r="K977" i="22"/>
  <c r="H977" i="22" s="1"/>
  <c r="G978" i="22"/>
  <c r="K978" i="22"/>
  <c r="H978" i="22" s="1"/>
  <c r="G979" i="22"/>
  <c r="K979" i="22"/>
  <c r="H979" i="22" s="1"/>
  <c r="G980" i="22"/>
  <c r="K980" i="22"/>
  <c r="H980" i="22" s="1"/>
  <c r="G981" i="22"/>
  <c r="K981" i="22"/>
  <c r="H981" i="22" s="1"/>
  <c r="B981" i="22" a="1"/>
  <c r="B981" i="22" s="1"/>
  <c r="B980" i="22" a="1"/>
  <c r="B980" i="22" s="1"/>
  <c r="B979" i="22" a="1"/>
  <c r="B979" i="22" s="1"/>
  <c r="B978" i="22" a="1"/>
  <c r="B978" i="22" s="1"/>
  <c r="B977" i="22" a="1"/>
  <c r="B977" i="22" s="1"/>
  <c r="B974" i="22" a="1"/>
  <c r="B974" i="22" s="1"/>
  <c r="B973" i="22" a="1"/>
  <c r="B973" i="22" s="1"/>
  <c r="K1100" i="6"/>
  <c r="H1100" i="6" s="1"/>
  <c r="K1099" i="6"/>
  <c r="H1099" i="6" s="1"/>
  <c r="K1098" i="6"/>
  <c r="H1098" i="6" s="1"/>
  <c r="K1093" i="6"/>
  <c r="H1093" i="6" s="1"/>
  <c r="K1097" i="6"/>
  <c r="H1097" i="6" s="1"/>
  <c r="K1096" i="6"/>
  <c r="H1096" i="6" s="1"/>
  <c r="K1095" i="6"/>
  <c r="H1095" i="6" s="1"/>
  <c r="G1095" i="6"/>
  <c r="K1094" i="6"/>
  <c r="H1094" i="6" s="1"/>
  <c r="N969" i="22"/>
  <c r="K969" i="22"/>
  <c r="H969" i="22" s="1"/>
  <c r="G969" i="22"/>
  <c r="B969" i="22" a="1"/>
  <c r="B969" i="22" s="1"/>
  <c r="N964" i="22"/>
  <c r="K964" i="22"/>
  <c r="H964" i="22" s="1"/>
  <c r="G964" i="22"/>
  <c r="B964" i="22" a="1"/>
  <c r="B964" i="22" s="1"/>
  <c r="N963" i="22"/>
  <c r="K963" i="22"/>
  <c r="H963" i="22" s="1"/>
  <c r="G963" i="22"/>
  <c r="B963" i="22" a="1"/>
  <c r="B963" i="22" s="1"/>
  <c r="N1083" i="6"/>
  <c r="K1083" i="6"/>
  <c r="H1083" i="6" s="1"/>
  <c r="G1083" i="6"/>
  <c r="N1082" i="6"/>
  <c r="K1082" i="6"/>
  <c r="H1082" i="6" s="1"/>
  <c r="G1082" i="6"/>
  <c r="N1081" i="6"/>
  <c r="K1081" i="6"/>
  <c r="H1081" i="6" s="1"/>
  <c r="G1081" i="6"/>
  <c r="H795" i="22"/>
  <c r="H794" i="22"/>
  <c r="H793" i="22"/>
  <c r="H792" i="22"/>
  <c r="H791" i="22"/>
  <c r="H790" i="22"/>
  <c r="H789" i="22"/>
  <c r="H788" i="22"/>
  <c r="H787" i="22"/>
  <c r="H786" i="22"/>
  <c r="H785" i="22"/>
  <c r="H784" i="22"/>
  <c r="H783" i="22"/>
  <c r="H782" i="22"/>
  <c r="H781" i="22"/>
  <c r="H780" i="22"/>
  <c r="H779" i="22"/>
  <c r="H778" i="22"/>
  <c r="H777" i="22"/>
  <c r="H776" i="22"/>
  <c r="H775" i="22"/>
  <c r="H774" i="22"/>
  <c r="H773" i="22"/>
  <c r="H772" i="22"/>
  <c r="H771" i="22"/>
  <c r="H770" i="22"/>
  <c r="H769" i="22"/>
  <c r="H768" i="22"/>
  <c r="H767" i="22"/>
  <c r="H766" i="22"/>
  <c r="H765" i="22"/>
  <c r="H764" i="22"/>
  <c r="H763" i="22"/>
  <c r="H762" i="22"/>
  <c r="H761" i="22"/>
  <c r="H760" i="22"/>
  <c r="H759" i="22"/>
  <c r="H758" i="22"/>
  <c r="H757" i="22"/>
  <c r="H756" i="22"/>
  <c r="H755" i="22"/>
  <c r="H754" i="22"/>
  <c r="H753" i="22"/>
  <c r="H752" i="22"/>
  <c r="H751" i="22"/>
  <c r="H750" i="22"/>
  <c r="H749" i="22"/>
  <c r="H748" i="22"/>
  <c r="H747" i="22"/>
  <c r="H746" i="22"/>
  <c r="H745" i="22"/>
  <c r="H744" i="22"/>
  <c r="H743" i="22"/>
  <c r="H742" i="22"/>
  <c r="H741" i="22"/>
  <c r="H740" i="22"/>
  <c r="H739" i="22"/>
  <c r="H738" i="22"/>
  <c r="H737" i="22"/>
  <c r="H736" i="22"/>
  <c r="H735" i="22"/>
  <c r="H734" i="22"/>
  <c r="H733" i="22"/>
  <c r="H732" i="22"/>
  <c r="H731" i="22"/>
  <c r="H730" i="22"/>
  <c r="H729" i="22"/>
  <c r="H728" i="22"/>
  <c r="H727" i="22"/>
  <c r="H726" i="22"/>
  <c r="H725" i="22"/>
  <c r="H724" i="22"/>
  <c r="H723" i="22"/>
  <c r="H722" i="22"/>
  <c r="H721" i="22"/>
  <c r="H720" i="22"/>
  <c r="H719" i="22"/>
  <c r="H718" i="22"/>
  <c r="H717" i="22"/>
  <c r="H716" i="22"/>
  <c r="H715" i="22"/>
  <c r="H714" i="22"/>
  <c r="H713" i="22"/>
  <c r="H712" i="22"/>
  <c r="H711" i="22"/>
  <c r="H710" i="22"/>
  <c r="H709" i="22"/>
  <c r="H708" i="22"/>
  <c r="H707" i="22"/>
  <c r="H706" i="22"/>
  <c r="H705" i="22"/>
  <c r="H704" i="22"/>
  <c r="H703" i="22"/>
  <c r="H702" i="22"/>
  <c r="H701" i="22"/>
  <c r="H700" i="22"/>
  <c r="H699" i="22"/>
  <c r="H698" i="22"/>
  <c r="H697" i="22"/>
  <c r="H696" i="22"/>
  <c r="H695" i="22"/>
  <c r="H694" i="22"/>
  <c r="H693" i="22"/>
  <c r="H692" i="22"/>
  <c r="H691" i="22"/>
  <c r="H690" i="22"/>
  <c r="H689" i="22"/>
  <c r="H688" i="22"/>
  <c r="H687" i="22"/>
  <c r="H686" i="22"/>
  <c r="H685" i="22"/>
  <c r="H684" i="22"/>
  <c r="H683" i="22"/>
  <c r="H682" i="22"/>
  <c r="H681" i="22"/>
  <c r="H680" i="22"/>
  <c r="H679" i="22"/>
  <c r="H678" i="22"/>
  <c r="H677" i="22"/>
  <c r="H676" i="22"/>
  <c r="H675" i="22"/>
  <c r="H674" i="22"/>
  <c r="H673" i="22"/>
  <c r="H672" i="22"/>
  <c r="H671" i="22"/>
  <c r="H670" i="22"/>
  <c r="H669" i="22"/>
  <c r="H668" i="22"/>
  <c r="H667" i="22"/>
  <c r="H666" i="22"/>
  <c r="H665" i="22"/>
  <c r="H664" i="22"/>
  <c r="H663" i="22"/>
  <c r="H662" i="22"/>
  <c r="H661" i="22"/>
  <c r="H660" i="22"/>
  <c r="H659" i="22"/>
  <c r="H658" i="22"/>
  <c r="H657" i="22"/>
  <c r="H656" i="22"/>
  <c r="H655" i="22"/>
  <c r="H654" i="22"/>
  <c r="H653" i="22"/>
  <c r="H652" i="22"/>
  <c r="H651" i="22"/>
  <c r="H650" i="22"/>
  <c r="H649" i="22"/>
  <c r="H648" i="22"/>
  <c r="H647" i="22"/>
  <c r="H646" i="22"/>
  <c r="H645" i="22"/>
  <c r="H644" i="22"/>
  <c r="H643" i="22"/>
  <c r="H642" i="22"/>
  <c r="H641" i="22"/>
  <c r="H640" i="22"/>
  <c r="H639" i="22"/>
  <c r="H638" i="22"/>
  <c r="H637" i="22"/>
  <c r="H636" i="22"/>
  <c r="H635" i="22"/>
  <c r="H634" i="22"/>
  <c r="H633" i="22"/>
  <c r="H632" i="22"/>
  <c r="H631" i="22"/>
  <c r="H630" i="22"/>
  <c r="H629" i="22"/>
  <c r="H628" i="22"/>
  <c r="H627" i="22"/>
  <c r="H626" i="22"/>
  <c r="H625" i="22"/>
  <c r="H624" i="22"/>
  <c r="H623" i="22"/>
  <c r="H622" i="22"/>
  <c r="H621" i="22"/>
  <c r="H620" i="22"/>
  <c r="H619" i="22"/>
  <c r="H618" i="22"/>
  <c r="H617" i="22"/>
  <c r="H616" i="22"/>
  <c r="H615" i="22"/>
  <c r="H614" i="22"/>
  <c r="H613" i="22"/>
  <c r="H612" i="22"/>
  <c r="H611" i="22"/>
  <c r="H610" i="22"/>
  <c r="H609" i="22"/>
  <c r="H608" i="22"/>
  <c r="H607" i="22"/>
  <c r="H606" i="22"/>
  <c r="H605" i="22"/>
  <c r="H604" i="22"/>
  <c r="H603" i="22"/>
  <c r="H602" i="22"/>
  <c r="H601" i="22"/>
  <c r="H600" i="22"/>
  <c r="H599" i="22"/>
  <c r="H598" i="22"/>
  <c r="H597" i="22"/>
  <c r="H596" i="22"/>
  <c r="H595" i="22"/>
  <c r="H594" i="22"/>
  <c r="H593" i="22"/>
  <c r="H592" i="22"/>
  <c r="H591" i="22"/>
  <c r="H590" i="22"/>
  <c r="H589" i="22"/>
  <c r="H588" i="22"/>
  <c r="H587" i="22"/>
  <c r="H586" i="22"/>
  <c r="H585" i="22"/>
  <c r="H584" i="22"/>
  <c r="H583" i="22"/>
  <c r="H582" i="22"/>
  <c r="H581" i="22"/>
  <c r="H580" i="22"/>
  <c r="H579" i="22"/>
  <c r="H578" i="22"/>
  <c r="H577" i="22"/>
  <c r="H576" i="22"/>
  <c r="H575" i="22"/>
  <c r="H574" i="22"/>
  <c r="H573" i="22"/>
  <c r="H572" i="22"/>
  <c r="H571" i="22"/>
  <c r="H570" i="22"/>
  <c r="H569" i="22"/>
  <c r="H568" i="22"/>
  <c r="H567" i="22"/>
  <c r="H566" i="22"/>
  <c r="H565" i="22"/>
  <c r="H564" i="22"/>
  <c r="H563" i="22"/>
  <c r="H562" i="22"/>
  <c r="H561" i="22"/>
  <c r="H560" i="22"/>
  <c r="H559" i="22"/>
  <c r="H558" i="22"/>
  <c r="H557" i="22"/>
  <c r="H556" i="22"/>
  <c r="H555" i="22"/>
  <c r="H554" i="22"/>
  <c r="H553" i="22"/>
  <c r="H552" i="22"/>
  <c r="H551" i="22"/>
  <c r="H550" i="22"/>
  <c r="H549" i="22"/>
  <c r="H548" i="22"/>
  <c r="H547" i="22"/>
  <c r="H546" i="22"/>
  <c r="H545" i="22"/>
  <c r="H544" i="22"/>
  <c r="H543" i="22"/>
  <c r="H542" i="22"/>
  <c r="H541" i="22"/>
  <c r="H540" i="22"/>
  <c r="H539" i="22"/>
  <c r="H538" i="22"/>
  <c r="H537" i="22"/>
  <c r="H536" i="22"/>
  <c r="H535" i="22"/>
  <c r="H534" i="22"/>
  <c r="H533" i="22"/>
  <c r="H532" i="22"/>
  <c r="H531" i="22"/>
  <c r="H530" i="22"/>
  <c r="H529" i="22"/>
  <c r="H528" i="22"/>
  <c r="H527" i="22"/>
  <c r="H526" i="22"/>
  <c r="H525" i="22"/>
  <c r="H524" i="22"/>
  <c r="H523" i="22"/>
  <c r="H522" i="22"/>
  <c r="H521" i="22"/>
  <c r="H520" i="22"/>
  <c r="H519" i="22"/>
  <c r="H518" i="22"/>
  <c r="H517" i="22"/>
  <c r="H516" i="22"/>
  <c r="H515" i="22"/>
  <c r="H514" i="22"/>
  <c r="H513" i="22"/>
  <c r="H512" i="22"/>
  <c r="H511" i="22"/>
  <c r="H510" i="22"/>
  <c r="H509" i="22"/>
  <c r="H508" i="22"/>
  <c r="H507" i="22"/>
  <c r="H506" i="22"/>
  <c r="H505" i="22"/>
  <c r="H504" i="22"/>
  <c r="H503" i="22"/>
  <c r="H502" i="22"/>
  <c r="H501" i="22"/>
  <c r="H500" i="22"/>
  <c r="H499" i="22"/>
  <c r="H498" i="22"/>
  <c r="H497" i="22"/>
  <c r="H496" i="22"/>
  <c r="H495" i="22"/>
  <c r="H494" i="22"/>
  <c r="H493" i="22"/>
  <c r="H492" i="22"/>
  <c r="H491" i="22"/>
  <c r="H490" i="22"/>
  <c r="H489" i="22"/>
  <c r="H488" i="22"/>
  <c r="H487" i="22"/>
  <c r="H486" i="22"/>
  <c r="H485" i="22"/>
  <c r="H484" i="22"/>
  <c r="H483" i="22"/>
  <c r="H482" i="22"/>
  <c r="H481" i="22"/>
  <c r="H480" i="22"/>
  <c r="H479" i="22"/>
  <c r="H478" i="22"/>
  <c r="H477" i="22"/>
  <c r="H476" i="22"/>
  <c r="H475" i="22"/>
  <c r="H474" i="22"/>
  <c r="H473" i="22"/>
  <c r="H472" i="22"/>
  <c r="H471" i="22"/>
  <c r="H470" i="22"/>
  <c r="H469" i="22"/>
  <c r="H468" i="22"/>
  <c r="H467" i="22"/>
  <c r="H466" i="22"/>
  <c r="H465" i="22"/>
  <c r="H464" i="22"/>
  <c r="H463" i="22"/>
  <c r="H462" i="22"/>
  <c r="H461" i="22"/>
  <c r="H460" i="22"/>
  <c r="H459" i="22"/>
  <c r="H458" i="22"/>
  <c r="H457" i="22"/>
  <c r="H456" i="22"/>
  <c r="H455" i="22"/>
  <c r="H454" i="22"/>
  <c r="H453" i="22"/>
  <c r="H452" i="22"/>
  <c r="H451" i="22"/>
  <c r="H450" i="22"/>
  <c r="H449" i="22"/>
  <c r="H448" i="22"/>
  <c r="H447" i="22"/>
  <c r="H446" i="22"/>
  <c r="H445" i="22"/>
  <c r="H444" i="22"/>
  <c r="H443" i="22"/>
  <c r="H442" i="22"/>
  <c r="H441" i="22"/>
  <c r="H440" i="22"/>
  <c r="H439" i="22"/>
  <c r="H438" i="22"/>
  <c r="H437" i="22"/>
  <c r="H436" i="22"/>
  <c r="H435" i="22"/>
  <c r="H434" i="22"/>
  <c r="H433" i="22"/>
  <c r="H432" i="22"/>
  <c r="H431" i="22"/>
  <c r="H430" i="22"/>
  <c r="H429" i="22"/>
  <c r="H428" i="22"/>
  <c r="H427" i="22"/>
  <c r="H426" i="22"/>
  <c r="H425" i="22"/>
  <c r="H424" i="22"/>
  <c r="H423" i="22"/>
  <c r="H422" i="22"/>
  <c r="H421" i="22"/>
  <c r="H420" i="22"/>
  <c r="H419" i="22"/>
  <c r="H418" i="22"/>
  <c r="H417" i="22"/>
  <c r="H416" i="22"/>
  <c r="H415" i="22"/>
  <c r="H414" i="22"/>
  <c r="H413" i="22"/>
  <c r="H412" i="22"/>
  <c r="H411" i="22"/>
  <c r="H410" i="22"/>
  <c r="H409" i="22"/>
  <c r="H408" i="22"/>
  <c r="H407" i="22"/>
  <c r="H406" i="22"/>
  <c r="H405" i="22"/>
  <c r="H404" i="22"/>
  <c r="H403" i="22"/>
  <c r="H402" i="22"/>
  <c r="H401" i="22"/>
  <c r="H400" i="22"/>
  <c r="H399" i="22"/>
  <c r="H398" i="22"/>
  <c r="H397" i="22"/>
  <c r="H396" i="22"/>
  <c r="H395" i="22"/>
  <c r="H394" i="22"/>
  <c r="H393" i="22"/>
  <c r="H392" i="22"/>
  <c r="H391" i="22"/>
  <c r="H390" i="22"/>
  <c r="H389" i="22"/>
  <c r="H388" i="22"/>
  <c r="H387" i="22"/>
  <c r="H386" i="22"/>
  <c r="H385" i="22"/>
  <c r="H384" i="22"/>
  <c r="H383" i="22"/>
  <c r="H382" i="22"/>
  <c r="H381" i="22"/>
  <c r="H380" i="22"/>
  <c r="H379" i="22"/>
  <c r="H378" i="22"/>
  <c r="H377" i="22"/>
  <c r="H376" i="22"/>
  <c r="H375" i="22"/>
  <c r="H374" i="22"/>
  <c r="H373" i="22"/>
  <c r="H372" i="22"/>
  <c r="H371" i="22"/>
  <c r="H370" i="22"/>
  <c r="H369" i="22"/>
  <c r="H368" i="22"/>
  <c r="H367" i="22"/>
  <c r="H366" i="22"/>
  <c r="H365" i="22"/>
  <c r="H364" i="22"/>
  <c r="H363" i="22"/>
  <c r="H362" i="22"/>
  <c r="H361" i="22"/>
  <c r="H360" i="22"/>
  <c r="H359" i="22"/>
  <c r="H358" i="22"/>
  <c r="H357" i="22"/>
  <c r="H356" i="22"/>
  <c r="H355" i="22"/>
  <c r="H354" i="22"/>
  <c r="H353" i="22"/>
  <c r="H352" i="22"/>
  <c r="H351" i="22"/>
  <c r="H350" i="22"/>
  <c r="H349" i="22"/>
  <c r="H348" i="22"/>
  <c r="H347" i="22"/>
  <c r="H346" i="22"/>
  <c r="H345" i="22"/>
  <c r="H344" i="22"/>
  <c r="H343" i="22"/>
  <c r="H342" i="22"/>
  <c r="H341" i="22"/>
  <c r="H340" i="22"/>
  <c r="H339" i="22"/>
  <c r="H338" i="22"/>
  <c r="H337" i="22"/>
  <c r="H336" i="22"/>
  <c r="H335" i="22"/>
  <c r="H334" i="22"/>
  <c r="H333" i="22"/>
  <c r="H332" i="22"/>
  <c r="H331" i="22"/>
  <c r="H330" i="22"/>
  <c r="H329" i="22"/>
  <c r="H328" i="22"/>
  <c r="H327" i="22"/>
  <c r="H326" i="22"/>
  <c r="H325" i="22"/>
  <c r="H324" i="22"/>
  <c r="H323" i="22"/>
  <c r="H322" i="22"/>
  <c r="H321" i="22"/>
  <c r="H320" i="22"/>
  <c r="H319" i="22"/>
  <c r="H318" i="22"/>
  <c r="H317" i="22"/>
  <c r="H316" i="22"/>
  <c r="H315" i="22"/>
  <c r="H314" i="22"/>
  <c r="H313" i="22"/>
  <c r="H312" i="22"/>
  <c r="H311" i="22"/>
  <c r="H310" i="22"/>
  <c r="H309" i="22"/>
  <c r="H308" i="22"/>
  <c r="H307" i="22"/>
  <c r="H306" i="22"/>
  <c r="H305" i="22"/>
  <c r="H304" i="22"/>
  <c r="H303" i="22"/>
  <c r="H302" i="22"/>
  <c r="H301" i="22"/>
  <c r="H300" i="22"/>
  <c r="H299" i="22"/>
  <c r="H298" i="22"/>
  <c r="H297" i="22"/>
  <c r="H296" i="22"/>
  <c r="H295" i="22"/>
  <c r="H294" i="22"/>
  <c r="H293" i="22"/>
  <c r="H292" i="22"/>
  <c r="H291" i="22"/>
  <c r="H290" i="22"/>
  <c r="H289" i="22"/>
  <c r="H288" i="22"/>
  <c r="H287" i="22"/>
  <c r="H286" i="22"/>
  <c r="H285" i="22"/>
  <c r="H284" i="22"/>
  <c r="H283" i="22"/>
  <c r="H282" i="22"/>
  <c r="H281" i="22"/>
  <c r="H280" i="22"/>
  <c r="H279" i="22"/>
  <c r="H278" i="22"/>
  <c r="H277" i="22"/>
  <c r="H276" i="22"/>
  <c r="H275" i="22"/>
  <c r="H274" i="22"/>
  <c r="H273" i="22"/>
  <c r="H272" i="22"/>
  <c r="H271" i="22"/>
  <c r="H270" i="22"/>
  <c r="H269" i="22"/>
  <c r="H268" i="22"/>
  <c r="H267" i="22"/>
  <c r="H266" i="22"/>
  <c r="H265" i="22"/>
  <c r="H264" i="22"/>
  <c r="H263" i="22"/>
  <c r="H262" i="22"/>
  <c r="H261" i="22"/>
  <c r="H260" i="22"/>
  <c r="H259" i="22"/>
  <c r="H258" i="22"/>
  <c r="H257" i="22"/>
  <c r="H256" i="22"/>
  <c r="H255" i="22"/>
  <c r="H254" i="22"/>
  <c r="H253" i="22"/>
  <c r="H252" i="22"/>
  <c r="H251" i="22"/>
  <c r="H250" i="22"/>
  <c r="H249" i="22"/>
  <c r="H248" i="22"/>
  <c r="H247" i="22"/>
  <c r="H246" i="22"/>
  <c r="H245" i="22"/>
  <c r="H244" i="22"/>
  <c r="H243" i="22"/>
  <c r="H242" i="22"/>
  <c r="H241" i="22"/>
  <c r="H240" i="22"/>
  <c r="H239" i="22"/>
  <c r="H238" i="22"/>
  <c r="H237" i="22"/>
  <c r="H236" i="22"/>
  <c r="H235" i="22"/>
  <c r="H234" i="22"/>
  <c r="H233" i="22"/>
  <c r="H232" i="22"/>
  <c r="H231" i="22"/>
  <c r="H230" i="22"/>
  <c r="H229" i="22"/>
  <c r="H228" i="22"/>
  <c r="H227" i="22"/>
  <c r="H226" i="22"/>
  <c r="H225" i="22"/>
  <c r="H224" i="22"/>
  <c r="H223" i="22"/>
  <c r="H222" i="22"/>
  <c r="H221" i="22"/>
  <c r="H220" i="22"/>
  <c r="H219" i="22"/>
  <c r="H218" i="22"/>
  <c r="H217" i="22"/>
  <c r="H216" i="22"/>
  <c r="H215" i="22"/>
  <c r="H214" i="22"/>
  <c r="H213" i="22"/>
  <c r="H212" i="22"/>
  <c r="H211" i="22"/>
  <c r="H210" i="22"/>
  <c r="H209" i="22"/>
  <c r="H208" i="22"/>
  <c r="H207" i="22"/>
  <c r="H206" i="22"/>
  <c r="H205" i="22"/>
  <c r="H204" i="22"/>
  <c r="H203" i="22"/>
  <c r="H202" i="22"/>
  <c r="H201" i="22"/>
  <c r="H200" i="22"/>
  <c r="H199" i="22"/>
  <c r="H198" i="22"/>
  <c r="H197" i="22"/>
  <c r="H196" i="22"/>
  <c r="H195" i="22"/>
  <c r="H194" i="22"/>
  <c r="H193" i="22"/>
  <c r="H192" i="22"/>
  <c r="H191" i="22"/>
  <c r="H190" i="22"/>
  <c r="H189" i="22"/>
  <c r="H188" i="22"/>
  <c r="H187" i="22"/>
  <c r="H186" i="22"/>
  <c r="H185" i="22"/>
  <c r="H184" i="22"/>
  <c r="H183" i="22"/>
  <c r="H182" i="22"/>
  <c r="H181" i="22"/>
  <c r="H180" i="22"/>
  <c r="H179" i="22"/>
  <c r="H178" i="22"/>
  <c r="H177" i="22"/>
  <c r="H176" i="22"/>
  <c r="H175" i="22"/>
  <c r="H174" i="22"/>
  <c r="H173" i="22"/>
  <c r="H172" i="22"/>
  <c r="H171" i="22"/>
  <c r="H170" i="22"/>
  <c r="H169" i="22"/>
  <c r="H168" i="22"/>
  <c r="H167" i="22"/>
  <c r="H166" i="22"/>
  <c r="H165" i="22"/>
  <c r="H164" i="22"/>
  <c r="H163" i="22"/>
  <c r="H162" i="22"/>
  <c r="H161" i="22"/>
  <c r="H160" i="22"/>
  <c r="H159" i="22"/>
  <c r="H158" i="22"/>
  <c r="H157" i="22"/>
  <c r="H156" i="22"/>
  <c r="H155" i="22"/>
  <c r="H154" i="22"/>
  <c r="H153" i="22"/>
  <c r="H152" i="22"/>
  <c r="H151" i="22"/>
  <c r="H150" i="22"/>
  <c r="H149" i="22"/>
  <c r="H148" i="22"/>
  <c r="H147" i="22"/>
  <c r="H146" i="22"/>
  <c r="H145" i="22"/>
  <c r="H144" i="22"/>
  <c r="H143" i="22"/>
  <c r="H142" i="22"/>
  <c r="H141" i="22"/>
  <c r="H140" i="22"/>
  <c r="H139" i="22"/>
  <c r="H138" i="22"/>
  <c r="H137" i="22"/>
  <c r="H136" i="22"/>
  <c r="H135" i="22"/>
  <c r="H134" i="22"/>
  <c r="H133" i="22"/>
  <c r="H132" i="22"/>
  <c r="H131" i="22"/>
  <c r="H130" i="22"/>
  <c r="H129" i="22"/>
  <c r="H128" i="22"/>
  <c r="H127" i="22"/>
  <c r="H126" i="22"/>
  <c r="H125" i="22"/>
  <c r="H124" i="22"/>
  <c r="H123" i="22"/>
  <c r="H122" i="22"/>
  <c r="H121" i="22"/>
  <c r="H120" i="22"/>
  <c r="H119" i="22"/>
  <c r="H118" i="22"/>
  <c r="H117" i="22"/>
  <c r="H116" i="22"/>
  <c r="H115" i="22"/>
  <c r="H114" i="22"/>
  <c r="H113" i="22"/>
  <c r="H112" i="22"/>
  <c r="H111" i="22"/>
  <c r="H110" i="22"/>
  <c r="H109" i="22"/>
  <c r="H108" i="22"/>
  <c r="H107" i="22"/>
  <c r="H106" i="22"/>
  <c r="H105" i="22"/>
  <c r="H104" i="22"/>
  <c r="H103" i="22"/>
  <c r="H102" i="22"/>
  <c r="H101" i="22"/>
  <c r="H100" i="22"/>
  <c r="H99" i="22"/>
  <c r="H98" i="22"/>
  <c r="H97" i="22"/>
  <c r="H96" i="22"/>
  <c r="H95" i="22"/>
  <c r="H94" i="22"/>
  <c r="H93" i="22"/>
  <c r="H92" i="22"/>
  <c r="H91" i="22"/>
  <c r="H90" i="22"/>
  <c r="H89" i="22"/>
  <c r="H88" i="22"/>
  <c r="H87" i="22"/>
  <c r="H86" i="22"/>
  <c r="H85" i="22"/>
  <c r="H84" i="22"/>
  <c r="H83" i="22"/>
  <c r="H82" i="22"/>
  <c r="H81" i="22"/>
  <c r="H80" i="22"/>
  <c r="H79" i="22"/>
  <c r="H78" i="22"/>
  <c r="H77" i="22"/>
  <c r="H76" i="22"/>
  <c r="H75" i="22"/>
  <c r="H74" i="22"/>
  <c r="H73" i="22"/>
  <c r="H72" i="22"/>
  <c r="H71" i="22"/>
  <c r="H70" i="22"/>
  <c r="H69" i="22"/>
  <c r="H68" i="22"/>
  <c r="H67" i="22"/>
  <c r="H66" i="22"/>
  <c r="H65" i="22"/>
  <c r="H64" i="22"/>
  <c r="H63" i="22"/>
  <c r="H62" i="22"/>
  <c r="H61" i="22"/>
  <c r="H60" i="22"/>
  <c r="H59" i="22"/>
  <c r="H58" i="22"/>
  <c r="H57" i="22"/>
  <c r="H56" i="22"/>
  <c r="H55" i="22"/>
  <c r="H54" i="22"/>
  <c r="H53" i="22"/>
  <c r="H52" i="22"/>
  <c r="H51" i="22"/>
  <c r="H50" i="22"/>
  <c r="H49" i="22"/>
  <c r="H48" i="22"/>
  <c r="H47" i="22"/>
  <c r="H46" i="22"/>
  <c r="H45" i="22"/>
  <c r="H44" i="22"/>
  <c r="H43" i="22"/>
  <c r="H42" i="22"/>
  <c r="H41" i="22"/>
  <c r="H40" i="22"/>
  <c r="H39" i="22"/>
  <c r="H38" i="22"/>
  <c r="H37" i="22"/>
  <c r="H36" i="22"/>
  <c r="H35" i="22"/>
  <c r="H34" i="22"/>
  <c r="H33" i="22"/>
  <c r="H32" i="22"/>
  <c r="H31" i="22"/>
  <c r="H30" i="22"/>
  <c r="H29" i="22"/>
  <c r="H28" i="22"/>
  <c r="H27" i="22"/>
  <c r="H26" i="22"/>
  <c r="H25" i="22"/>
  <c r="H24" i="22"/>
  <c r="H23" i="22"/>
  <c r="H22" i="22"/>
  <c r="H21" i="22"/>
  <c r="H20" i="22"/>
  <c r="H19" i="22"/>
  <c r="H18" i="22"/>
  <c r="H17" i="22"/>
  <c r="H16" i="22"/>
  <c r="H15" i="22"/>
  <c r="H14" i="22"/>
  <c r="H13" i="22"/>
  <c r="H12" i="22"/>
  <c r="H11" i="22"/>
  <c r="H10" i="22"/>
  <c r="H9" i="22"/>
  <c r="H8" i="22"/>
  <c r="H7" i="22"/>
  <c r="H6" i="22"/>
  <c r="H5" i="22"/>
  <c r="H4" i="22"/>
  <c r="H3" i="22"/>
  <c r="H2" i="22"/>
  <c r="G966" i="22"/>
  <c r="K966" i="22"/>
  <c r="H966" i="22" s="1"/>
  <c r="G967" i="22"/>
  <c r="K967" i="22"/>
  <c r="H967" i="22" s="1"/>
  <c r="G968" i="22"/>
  <c r="K968" i="22"/>
  <c r="H968" i="22" s="1"/>
  <c r="G970" i="22"/>
  <c r="K970" i="22"/>
  <c r="H970" i="22" s="1"/>
  <c r="G971" i="22"/>
  <c r="K971" i="22"/>
  <c r="H971" i="22" s="1"/>
  <c r="G972" i="22"/>
  <c r="K972" i="22"/>
  <c r="H972" i="22" s="1"/>
  <c r="B972" i="22" a="1"/>
  <c r="B972" i="22" s="1"/>
  <c r="B971" i="22" a="1"/>
  <c r="B971" i="22" s="1"/>
  <c r="B970" i="22" a="1"/>
  <c r="B970" i="22" s="1"/>
  <c r="B968" i="22" a="1"/>
  <c r="B968" i="22" s="1"/>
  <c r="B967" i="22" a="1"/>
  <c r="B967" i="22" s="1"/>
  <c r="B966" i="22" a="1"/>
  <c r="B966" i="22" s="1"/>
  <c r="K1092" i="6"/>
  <c r="H1092" i="6" s="1"/>
  <c r="K1091" i="6"/>
  <c r="H1091" i="6" s="1"/>
  <c r="K1090" i="6"/>
  <c r="H1090" i="6" s="1"/>
  <c r="K1089" i="6"/>
  <c r="H1089" i="6" s="1"/>
  <c r="K1088" i="6"/>
  <c r="H1088" i="6" s="1"/>
  <c r="K1087" i="6"/>
  <c r="H1087" i="6" s="1"/>
  <c r="K1086" i="6"/>
  <c r="H1086" i="6" s="1"/>
  <c r="G958" i="22"/>
  <c r="K958" i="22"/>
  <c r="H958" i="22" s="1"/>
  <c r="G959" i="22"/>
  <c r="K959" i="22"/>
  <c r="H959" i="22" s="1"/>
  <c r="G960" i="22"/>
  <c r="K960" i="22"/>
  <c r="H960" i="22" s="1"/>
  <c r="G961" i="22"/>
  <c r="K961" i="22"/>
  <c r="H961" i="22" s="1"/>
  <c r="G962" i="22"/>
  <c r="K962" i="22"/>
  <c r="H962" i="22" s="1"/>
  <c r="G965" i="22"/>
  <c r="K965" i="22"/>
  <c r="H965" i="22" s="1"/>
  <c r="B965" i="22" a="1"/>
  <c r="B965" i="22" s="1"/>
  <c r="B962" i="22" a="1"/>
  <c r="B962" i="22" s="1"/>
  <c r="B961" i="22" a="1"/>
  <c r="B961" i="22" s="1"/>
  <c r="B960" i="22" a="1"/>
  <c r="B960" i="22" s="1"/>
  <c r="B959" i="22" a="1"/>
  <c r="B959" i="22" s="1"/>
  <c r="B958" i="22" a="1"/>
  <c r="B958" i="22" s="1"/>
  <c r="N956" i="22"/>
  <c r="N957" i="22"/>
  <c r="K956" i="22"/>
  <c r="H956" i="22" s="1"/>
  <c r="G956" i="22"/>
  <c r="B956" i="22" a="1"/>
  <c r="B956" i="22" s="1"/>
  <c r="G949" i="22"/>
  <c r="K949" i="22"/>
  <c r="H949" i="22" s="1"/>
  <c r="G950" i="22"/>
  <c r="K950" i="22"/>
  <c r="H950" i="22" s="1"/>
  <c r="G951" i="22"/>
  <c r="K951" i="22"/>
  <c r="H951" i="22" s="1"/>
  <c r="G952" i="22"/>
  <c r="K952" i="22"/>
  <c r="H952" i="22" s="1"/>
  <c r="G953" i="22"/>
  <c r="K953" i="22"/>
  <c r="H953" i="22" s="1"/>
  <c r="G954" i="22"/>
  <c r="K954" i="22"/>
  <c r="H954" i="22" s="1"/>
  <c r="G955" i="22"/>
  <c r="K955" i="22"/>
  <c r="H955" i="22" s="1"/>
  <c r="G957" i="22"/>
  <c r="K957" i="22"/>
  <c r="H957" i="22" s="1"/>
  <c r="B957" i="22" a="1"/>
  <c r="B957" i="22" s="1"/>
  <c r="B955" i="22" a="1"/>
  <c r="B955" i="22" s="1"/>
  <c r="B954" i="22" a="1"/>
  <c r="B954" i="22" s="1"/>
  <c r="B953" i="22" a="1"/>
  <c r="B953" i="22" s="1"/>
  <c r="B952" i="22" a="1"/>
  <c r="B952" i="22" s="1"/>
  <c r="B951" i="22" a="1"/>
  <c r="B951" i="22" s="1"/>
  <c r="B950" i="22" a="1"/>
  <c r="B950" i="22" s="1"/>
  <c r="B949" i="22" a="1"/>
  <c r="B949" i="22" s="1"/>
  <c r="D12" i="21"/>
  <c r="N947" i="22"/>
  <c r="K947" i="22"/>
  <c r="H947" i="22" s="1"/>
  <c r="G947" i="22"/>
  <c r="B947" i="22" a="1"/>
  <c r="B947" i="22" s="1"/>
  <c r="N984" i="22"/>
  <c r="N983" i="22"/>
  <c r="N974" i="22"/>
  <c r="N973" i="22"/>
  <c r="N972" i="22"/>
  <c r="N971" i="22"/>
  <c r="N970" i="22"/>
  <c r="N968" i="22"/>
  <c r="N967" i="22"/>
  <c r="N966" i="22"/>
  <c r="N965" i="22"/>
  <c r="N962" i="22"/>
  <c r="N961" i="22"/>
  <c r="N960" i="22"/>
  <c r="N959" i="22"/>
  <c r="N958" i="22"/>
  <c r="N955" i="22"/>
  <c r="N954" i="22"/>
  <c r="N953" i="22"/>
  <c r="N952" i="22"/>
  <c r="N951" i="22"/>
  <c r="N950" i="22"/>
  <c r="N949" i="22"/>
  <c r="N948" i="22"/>
  <c r="N946" i="22"/>
  <c r="N945" i="22"/>
  <c r="N944" i="22"/>
  <c r="N943" i="22"/>
  <c r="N942" i="22"/>
  <c r="N941" i="22"/>
  <c r="N940" i="22"/>
  <c r="N939" i="22"/>
  <c r="G939" i="22"/>
  <c r="K939" i="22"/>
  <c r="H939" i="22" s="1"/>
  <c r="G940" i="22"/>
  <c r="K940" i="22"/>
  <c r="H940" i="22" s="1"/>
  <c r="G941" i="22"/>
  <c r="K941" i="22"/>
  <c r="H941" i="22" s="1"/>
  <c r="G942" i="22"/>
  <c r="K942" i="22"/>
  <c r="H942" i="22" s="1"/>
  <c r="G943" i="22"/>
  <c r="K943" i="22"/>
  <c r="H943" i="22" s="1"/>
  <c r="G944" i="22"/>
  <c r="K944" i="22"/>
  <c r="H944" i="22" s="1"/>
  <c r="G945" i="22"/>
  <c r="K945" i="22"/>
  <c r="H945" i="22" s="1"/>
  <c r="G946" i="22"/>
  <c r="K946" i="22"/>
  <c r="H946" i="22" s="1"/>
  <c r="G948" i="22"/>
  <c r="K948" i="22"/>
  <c r="H948" i="22" s="1"/>
  <c r="B948" i="22" a="1"/>
  <c r="B948" i="22" s="1"/>
  <c r="B946" i="22" a="1"/>
  <c r="B946" i="22" s="1"/>
  <c r="B945" i="22" a="1"/>
  <c r="B945" i="22" s="1"/>
  <c r="B944" i="22" a="1"/>
  <c r="B944" i="22" s="1"/>
  <c r="B943" i="22" a="1"/>
  <c r="B943" i="22" s="1"/>
  <c r="B942" i="22" a="1"/>
  <c r="B942" i="22" s="1"/>
  <c r="B941" i="22" a="1"/>
  <c r="B941" i="22" s="1"/>
  <c r="B940" i="22" a="1"/>
  <c r="B940" i="22" s="1"/>
  <c r="B939" i="22" a="1"/>
  <c r="B939" i="22" s="1"/>
  <c r="N967" i="6"/>
  <c r="K922" i="22"/>
  <c r="H922" i="22" s="1"/>
  <c r="N935" i="22"/>
  <c r="K935" i="22"/>
  <c r="H935" i="22" s="1"/>
  <c r="G935" i="22"/>
  <c r="B935" i="22" a="1"/>
  <c r="B935" i="22" s="1"/>
  <c r="N934" i="22"/>
  <c r="K934" i="22"/>
  <c r="H934" i="22" s="1"/>
  <c r="G934" i="22"/>
  <c r="B934" i="22" a="1"/>
  <c r="B934" i="22" s="1"/>
  <c r="N933" i="22"/>
  <c r="K933" i="22"/>
  <c r="H933" i="22" s="1"/>
  <c r="G933" i="22"/>
  <c r="B933" i="22" a="1"/>
  <c r="B933" i="22" s="1"/>
  <c r="N938" i="22"/>
  <c r="N937" i="22"/>
  <c r="N936" i="22"/>
  <c r="N932" i="22"/>
  <c r="N931" i="22"/>
  <c r="N930" i="22"/>
  <c r="N929" i="22"/>
  <c r="N928" i="22"/>
  <c r="N927" i="22"/>
  <c r="N926" i="22"/>
  <c r="N925" i="22"/>
  <c r="N924" i="22"/>
  <c r="N923" i="22"/>
  <c r="N922" i="22"/>
  <c r="N921" i="22"/>
  <c r="N920" i="22"/>
  <c r="G928" i="22"/>
  <c r="K928" i="22"/>
  <c r="H928" i="22" s="1"/>
  <c r="G929" i="22"/>
  <c r="K929" i="22"/>
  <c r="H929" i="22" s="1"/>
  <c r="G930" i="22"/>
  <c r="K930" i="22"/>
  <c r="H930" i="22" s="1"/>
  <c r="G931" i="22"/>
  <c r="K931" i="22"/>
  <c r="H931" i="22" s="1"/>
  <c r="G932" i="22"/>
  <c r="K932" i="22"/>
  <c r="H932" i="22" s="1"/>
  <c r="G936" i="22"/>
  <c r="K936" i="22"/>
  <c r="H936" i="22" s="1"/>
  <c r="G937" i="22"/>
  <c r="K937" i="22"/>
  <c r="H937" i="22" s="1"/>
  <c r="G938" i="22"/>
  <c r="K938" i="22"/>
  <c r="H938" i="22" s="1"/>
  <c r="B938" i="22" a="1"/>
  <c r="B938" i="22" s="1"/>
  <c r="B937" i="22" a="1"/>
  <c r="B937" i="22" s="1"/>
  <c r="B936" i="22" a="1"/>
  <c r="B936" i="22" s="1"/>
  <c r="B932" i="22" a="1"/>
  <c r="B932" i="22" s="1"/>
  <c r="B931" i="22" a="1"/>
  <c r="B931" i="22" s="1"/>
  <c r="B930" i="22" a="1"/>
  <c r="B930" i="22" s="1"/>
  <c r="B929" i="22" a="1"/>
  <c r="B929" i="22" s="1"/>
  <c r="B928" i="22" a="1"/>
  <c r="B928" i="22" s="1"/>
  <c r="N1053" i="6"/>
  <c r="G922" i="22"/>
  <c r="G923" i="22"/>
  <c r="K923" i="22"/>
  <c r="H923" i="22" s="1"/>
  <c r="G924" i="22"/>
  <c r="K924" i="22"/>
  <c r="H924" i="22" s="1"/>
  <c r="G925" i="22"/>
  <c r="K925" i="22"/>
  <c r="H925" i="22" s="1"/>
  <c r="G926" i="22"/>
  <c r="K926" i="22"/>
  <c r="H926" i="22" s="1"/>
  <c r="G927" i="22"/>
  <c r="K927" i="22"/>
  <c r="H927" i="22" s="1"/>
  <c r="B927" i="22" a="1"/>
  <c r="B927" i="22" s="1"/>
  <c r="B926" i="22" a="1"/>
  <c r="B926" i="22" s="1"/>
  <c r="B925" i="22" a="1"/>
  <c r="B925" i="22" s="1"/>
  <c r="B924" i="22" a="1"/>
  <c r="B924" i="22" s="1"/>
  <c r="B923" i="22" a="1"/>
  <c r="B923" i="22" s="1"/>
  <c r="B922" i="22" a="1"/>
  <c r="B922" i="22" s="1"/>
  <c r="K1044" i="6"/>
  <c r="H1044" i="6" s="1"/>
  <c r="G1044" i="6"/>
  <c r="K1043" i="6"/>
  <c r="H1043" i="6" s="1"/>
  <c r="G1043" i="6"/>
  <c r="K1042" i="6"/>
  <c r="H1042" i="6" s="1"/>
  <c r="G1042" i="6"/>
  <c r="K1041" i="6"/>
  <c r="H1041" i="6" s="1"/>
  <c r="G1041" i="6"/>
  <c r="K1040" i="6"/>
  <c r="H1040" i="6" s="1"/>
  <c r="G1040" i="6"/>
  <c r="K1039" i="6"/>
  <c r="H1039" i="6" s="1"/>
  <c r="G1039" i="6"/>
  <c r="K1038" i="6"/>
  <c r="H1038" i="6" s="1"/>
  <c r="G1038" i="6"/>
  <c r="K1037" i="6"/>
  <c r="H1037" i="6" s="1"/>
  <c r="G1037" i="6"/>
  <c r="N919" i="22"/>
  <c r="N918" i="22"/>
  <c r="N917" i="22"/>
  <c r="N916" i="22"/>
  <c r="N915" i="22"/>
  <c r="G915" i="22"/>
  <c r="K915" i="22"/>
  <c r="H915" i="22" s="1"/>
  <c r="G916" i="22"/>
  <c r="K916" i="22"/>
  <c r="H916" i="22" s="1"/>
  <c r="G917" i="22"/>
  <c r="K917" i="22"/>
  <c r="H917" i="22" s="1"/>
  <c r="G918" i="22"/>
  <c r="K918" i="22"/>
  <c r="H918" i="22" s="1"/>
  <c r="G919" i="22"/>
  <c r="K919" i="22"/>
  <c r="H919" i="22" s="1"/>
  <c r="G920" i="22"/>
  <c r="K920" i="22"/>
  <c r="H920" i="22" s="1"/>
  <c r="G921" i="22"/>
  <c r="K921" i="22"/>
  <c r="H921" i="22" s="1"/>
  <c r="B921" i="22" a="1"/>
  <c r="B921" i="22" s="1"/>
  <c r="B920" i="22" a="1"/>
  <c r="B920" i="22" s="1"/>
  <c r="B919" i="22" a="1"/>
  <c r="B919" i="22" s="1"/>
  <c r="B918" i="22" a="1"/>
  <c r="B918" i="22" s="1"/>
  <c r="B917" i="22" a="1"/>
  <c r="B917" i="22" s="1"/>
  <c r="B916" i="22" a="1"/>
  <c r="B916" i="22" s="1"/>
  <c r="B915" i="22" a="1"/>
  <c r="B915" i="22" s="1"/>
  <c r="N4070" i="6"/>
  <c r="N4069" i="6"/>
  <c r="N4068" i="6"/>
  <c r="N4067" i="6"/>
  <c r="N4066" i="6"/>
  <c r="N4065" i="6"/>
  <c r="N4064" i="6"/>
  <c r="N4063" i="6"/>
  <c r="N4062" i="6"/>
  <c r="N4061" i="6"/>
  <c r="N4060" i="6"/>
  <c r="N4059" i="6"/>
  <c r="N4058" i="6"/>
  <c r="N4057" i="6"/>
  <c r="N4056" i="6"/>
  <c r="N4055" i="6"/>
  <c r="N4054" i="6"/>
  <c r="N4053" i="6"/>
  <c r="N4052" i="6"/>
  <c r="N4051" i="6"/>
  <c r="N4050" i="6"/>
  <c r="N4049" i="6"/>
  <c r="N4048" i="6"/>
  <c r="N4047" i="6"/>
  <c r="N4046" i="6"/>
  <c r="N4045" i="6"/>
  <c r="N4044" i="6"/>
  <c r="N4043" i="6"/>
  <c r="N4042" i="6"/>
  <c r="N4041" i="6"/>
  <c r="N4040" i="6"/>
  <c r="N4039" i="6"/>
  <c r="N4038" i="6"/>
  <c r="N4037" i="6"/>
  <c r="N4036" i="6"/>
  <c r="N4035" i="6"/>
  <c r="N4034" i="6"/>
  <c r="N4033" i="6"/>
  <c r="N4032" i="6"/>
  <c r="N4031" i="6"/>
  <c r="N4030" i="6"/>
  <c r="N4029" i="6"/>
  <c r="N4028" i="6"/>
  <c r="N4027" i="6"/>
  <c r="N4026" i="6"/>
  <c r="N4025" i="6"/>
  <c r="N4024" i="6"/>
  <c r="N4023" i="6"/>
  <c r="N4022" i="6"/>
  <c r="N4021" i="6"/>
  <c r="N4020" i="6"/>
  <c r="N4019" i="6"/>
  <c r="N4018" i="6"/>
  <c r="N4017" i="6"/>
  <c r="N4016" i="6"/>
  <c r="N4015" i="6"/>
  <c r="N4014" i="6"/>
  <c r="N4013" i="6"/>
  <c r="N4012" i="6"/>
  <c r="N4011" i="6"/>
  <c r="N4010" i="6"/>
  <c r="N4009" i="6"/>
  <c r="N4008" i="6"/>
  <c r="N4007" i="6"/>
  <c r="N4006" i="6"/>
  <c r="N4005" i="6"/>
  <c r="N4004" i="6"/>
  <c r="N4003" i="6"/>
  <c r="N4002" i="6"/>
  <c r="N4001" i="6"/>
  <c r="N4000" i="6"/>
  <c r="N3999" i="6"/>
  <c r="N3998" i="6"/>
  <c r="N3997" i="6"/>
  <c r="N3996" i="6"/>
  <c r="N3995" i="6"/>
  <c r="N3994" i="6"/>
  <c r="N3993" i="6"/>
  <c r="N3992" i="6"/>
  <c r="N3991" i="6"/>
  <c r="N3990" i="6"/>
  <c r="N3989" i="6"/>
  <c r="N3988" i="6"/>
  <c r="N3987" i="6"/>
  <c r="N3986" i="6"/>
  <c r="N3985" i="6"/>
  <c r="N3984" i="6"/>
  <c r="N3983" i="6"/>
  <c r="N3982" i="6"/>
  <c r="N3981" i="6"/>
  <c r="N3980" i="6"/>
  <c r="N3979" i="6"/>
  <c r="N3978" i="6"/>
  <c r="N3977" i="6"/>
  <c r="N3976" i="6"/>
  <c r="N3975" i="6"/>
  <c r="N3974" i="6"/>
  <c r="N3973" i="6"/>
  <c r="N3972" i="6"/>
  <c r="N3971" i="6"/>
  <c r="N3970" i="6"/>
  <c r="N3969" i="6"/>
  <c r="N3968" i="6"/>
  <c r="N3967" i="6"/>
  <c r="N3966" i="6"/>
  <c r="N3965" i="6"/>
  <c r="N3964" i="6"/>
  <c r="N3963" i="6"/>
  <c r="N3962" i="6"/>
  <c r="N3961" i="6"/>
  <c r="N3960" i="6"/>
  <c r="N3959" i="6"/>
  <c r="N3958" i="6"/>
  <c r="N3957" i="6"/>
  <c r="N3956" i="6"/>
  <c r="N3955" i="6"/>
  <c r="N3954" i="6"/>
  <c r="N3953" i="6"/>
  <c r="N3952" i="6"/>
  <c r="N3951" i="6"/>
  <c r="N3950" i="6"/>
  <c r="N3949" i="6"/>
  <c r="N3948" i="6"/>
  <c r="N3947" i="6"/>
  <c r="N3946" i="6"/>
  <c r="N3945" i="6"/>
  <c r="N3944" i="6"/>
  <c r="N3943" i="6"/>
  <c r="N3942" i="6"/>
  <c r="N3941" i="6"/>
  <c r="N3940" i="6"/>
  <c r="N3939" i="6"/>
  <c r="N3938" i="6"/>
  <c r="N3937" i="6"/>
  <c r="N3936" i="6"/>
  <c r="N3935" i="6"/>
  <c r="N3934" i="6"/>
  <c r="N3933" i="6"/>
  <c r="N3932" i="6"/>
  <c r="N3931" i="6"/>
  <c r="N3930" i="6"/>
  <c r="N3929" i="6"/>
  <c r="N3928" i="6"/>
  <c r="N3927" i="6"/>
  <c r="N3926" i="6"/>
  <c r="N3925" i="6"/>
  <c r="N3924" i="6"/>
  <c r="N3923" i="6"/>
  <c r="N3922" i="6"/>
  <c r="N3921" i="6"/>
  <c r="N3920" i="6"/>
  <c r="N3919" i="6"/>
  <c r="N3918" i="6"/>
  <c r="N3917" i="6"/>
  <c r="N3916" i="6"/>
  <c r="N3915" i="6"/>
  <c r="N3914" i="6"/>
  <c r="N3913" i="6"/>
  <c r="N3912" i="6"/>
  <c r="N3911" i="6"/>
  <c r="N3910" i="6"/>
  <c r="N3909" i="6"/>
  <c r="N3908" i="6"/>
  <c r="N3907" i="6"/>
  <c r="N3906" i="6"/>
  <c r="N3905" i="6"/>
  <c r="N3904" i="6"/>
  <c r="N3903" i="6"/>
  <c r="N3902" i="6"/>
  <c r="N3901" i="6"/>
  <c r="N3900" i="6"/>
  <c r="N3899" i="6"/>
  <c r="N3898" i="6"/>
  <c r="N3897" i="6"/>
  <c r="N3896" i="6"/>
  <c r="N3895" i="6"/>
  <c r="N3894" i="6"/>
  <c r="N3893" i="6"/>
  <c r="N3892" i="6"/>
  <c r="N3891" i="6"/>
  <c r="N3890" i="6"/>
  <c r="N3889" i="6"/>
  <c r="N3888" i="6"/>
  <c r="N3887" i="6"/>
  <c r="N3886" i="6"/>
  <c r="N3885" i="6"/>
  <c r="N3884" i="6"/>
  <c r="N3883" i="6"/>
  <c r="N3882" i="6"/>
  <c r="N3881" i="6"/>
  <c r="N3880" i="6"/>
  <c r="N3879" i="6"/>
  <c r="N3878" i="6"/>
  <c r="N3877" i="6"/>
  <c r="N3876" i="6"/>
  <c r="N3875" i="6"/>
  <c r="N3874" i="6"/>
  <c r="N3873" i="6"/>
  <c r="N3872" i="6"/>
  <c r="N3871" i="6"/>
  <c r="N3870" i="6"/>
  <c r="N3869" i="6"/>
  <c r="N3868" i="6"/>
  <c r="N3867" i="6"/>
  <c r="N3866" i="6"/>
  <c r="N3865" i="6"/>
  <c r="N3864" i="6"/>
  <c r="N3863" i="6"/>
  <c r="N3862" i="6"/>
  <c r="N3861" i="6"/>
  <c r="N3860" i="6"/>
  <c r="N3859" i="6"/>
  <c r="N3858" i="6"/>
  <c r="N3857" i="6"/>
  <c r="N3856" i="6"/>
  <c r="N3855" i="6"/>
  <c r="N3854" i="6"/>
  <c r="N3853" i="6"/>
  <c r="N3852" i="6"/>
  <c r="N3851" i="6"/>
  <c r="N3850" i="6"/>
  <c r="N3849" i="6"/>
  <c r="N3848" i="6"/>
  <c r="N3847" i="6"/>
  <c r="N3846" i="6"/>
  <c r="N3845" i="6"/>
  <c r="N3844" i="6"/>
  <c r="N3843" i="6"/>
  <c r="N3842" i="6"/>
  <c r="N3841" i="6"/>
  <c r="N3840" i="6"/>
  <c r="N3839" i="6"/>
  <c r="N3838" i="6"/>
  <c r="N3837" i="6"/>
  <c r="N3836" i="6"/>
  <c r="N3835" i="6"/>
  <c r="N3834" i="6"/>
  <c r="N3833" i="6"/>
  <c r="N3832" i="6"/>
  <c r="N3831" i="6"/>
  <c r="N3830" i="6"/>
  <c r="N3829" i="6"/>
  <c r="N3828" i="6"/>
  <c r="N3827" i="6"/>
  <c r="N3826" i="6"/>
  <c r="N3825" i="6"/>
  <c r="N3824" i="6"/>
  <c r="N3823" i="6"/>
  <c r="N3822" i="6"/>
  <c r="N3821" i="6"/>
  <c r="N3820" i="6"/>
  <c r="N3819" i="6"/>
  <c r="N3818" i="6"/>
  <c r="N3817" i="6"/>
  <c r="N3816" i="6"/>
  <c r="N3815" i="6"/>
  <c r="N3814" i="6"/>
  <c r="N3813" i="6"/>
  <c r="N3812" i="6"/>
  <c r="N3811" i="6"/>
  <c r="N3810" i="6"/>
  <c r="N3809" i="6"/>
  <c r="N3808" i="6"/>
  <c r="N3807" i="6"/>
  <c r="N3806" i="6"/>
  <c r="N3805" i="6"/>
  <c r="N3804" i="6"/>
  <c r="N3803" i="6"/>
  <c r="N3802" i="6"/>
  <c r="N3801" i="6"/>
  <c r="N3800" i="6"/>
  <c r="N3799" i="6"/>
  <c r="N3798" i="6"/>
  <c r="N3797" i="6"/>
  <c r="N3796" i="6"/>
  <c r="N3795" i="6"/>
  <c r="N3794" i="6"/>
  <c r="N3793" i="6"/>
  <c r="N3792" i="6"/>
  <c r="N3791" i="6"/>
  <c r="N3790" i="6"/>
  <c r="N3789" i="6"/>
  <c r="N3788" i="6"/>
  <c r="N3787" i="6"/>
  <c r="N3786" i="6"/>
  <c r="N3785" i="6"/>
  <c r="N3784" i="6"/>
  <c r="N3783" i="6"/>
  <c r="N3782" i="6"/>
  <c r="N3781" i="6"/>
  <c r="N3780" i="6"/>
  <c r="N3779" i="6"/>
  <c r="N3778" i="6"/>
  <c r="N3777" i="6"/>
  <c r="N3776" i="6"/>
  <c r="N3775" i="6"/>
  <c r="N3774" i="6"/>
  <c r="N3773" i="6"/>
  <c r="N3772" i="6"/>
  <c r="N3771" i="6"/>
  <c r="N3770" i="6"/>
  <c r="N3769" i="6"/>
  <c r="N3768" i="6"/>
  <c r="N3767" i="6"/>
  <c r="N3766" i="6"/>
  <c r="N3765" i="6"/>
  <c r="N3764" i="6"/>
  <c r="N3763" i="6"/>
  <c r="N3762" i="6"/>
  <c r="N3761" i="6"/>
  <c r="N3760" i="6"/>
  <c r="N3759" i="6"/>
  <c r="N3758" i="6"/>
  <c r="N3757" i="6"/>
  <c r="N3756" i="6"/>
  <c r="N3755" i="6"/>
  <c r="N3754" i="6"/>
  <c r="N3753" i="6"/>
  <c r="N3752" i="6"/>
  <c r="N3751" i="6"/>
  <c r="N3750" i="6"/>
  <c r="N3749" i="6"/>
  <c r="N3748" i="6"/>
  <c r="N3747" i="6"/>
  <c r="N3746" i="6"/>
  <c r="N3745" i="6"/>
  <c r="N3744" i="6"/>
  <c r="N3743" i="6"/>
  <c r="N3742" i="6"/>
  <c r="N3741" i="6"/>
  <c r="N3740" i="6"/>
  <c r="N3739" i="6"/>
  <c r="N3738" i="6"/>
  <c r="N3737" i="6"/>
  <c r="N3736" i="6"/>
  <c r="N3735" i="6"/>
  <c r="N3734" i="6"/>
  <c r="N3733" i="6"/>
  <c r="N3732" i="6"/>
  <c r="N3731" i="6"/>
  <c r="N3730" i="6"/>
  <c r="N3729" i="6"/>
  <c r="N3728" i="6"/>
  <c r="N3727" i="6"/>
  <c r="N3726" i="6"/>
  <c r="N3725" i="6"/>
  <c r="N3724" i="6"/>
  <c r="N3723" i="6"/>
  <c r="N3722" i="6"/>
  <c r="N3721" i="6"/>
  <c r="N3720" i="6"/>
  <c r="N3719" i="6"/>
  <c r="N3718" i="6"/>
  <c r="N3717" i="6"/>
  <c r="N3716" i="6"/>
  <c r="N3715" i="6"/>
  <c r="N3714" i="6"/>
  <c r="N3713" i="6"/>
  <c r="N3712" i="6"/>
  <c r="N3711" i="6"/>
  <c r="N3710" i="6"/>
  <c r="N3709" i="6"/>
  <c r="N3708" i="6"/>
  <c r="N3707" i="6"/>
  <c r="N3706" i="6"/>
  <c r="N3705" i="6"/>
  <c r="N3704" i="6"/>
  <c r="N3703" i="6"/>
  <c r="N3702" i="6"/>
  <c r="N3701" i="6"/>
  <c r="N3700" i="6"/>
  <c r="N3699" i="6"/>
  <c r="N3698" i="6"/>
  <c r="N3697" i="6"/>
  <c r="N3696" i="6"/>
  <c r="N3695" i="6"/>
  <c r="N3694" i="6"/>
  <c r="N3693" i="6"/>
  <c r="N3692" i="6"/>
  <c r="N3691" i="6"/>
  <c r="N3690" i="6"/>
  <c r="N3689" i="6"/>
  <c r="N3688" i="6"/>
  <c r="N3687" i="6"/>
  <c r="N3686" i="6"/>
  <c r="N3685" i="6"/>
  <c r="N3684" i="6"/>
  <c r="N3683" i="6"/>
  <c r="N3682" i="6"/>
  <c r="N3681" i="6"/>
  <c r="N3680" i="6"/>
  <c r="N3679" i="6"/>
  <c r="N3678" i="6"/>
  <c r="N3677" i="6"/>
  <c r="N3676" i="6"/>
  <c r="N3675" i="6"/>
  <c r="N3674" i="6"/>
  <c r="N3673" i="6"/>
  <c r="N3672" i="6"/>
  <c r="N3671" i="6"/>
  <c r="N3670" i="6"/>
  <c r="N3669" i="6"/>
  <c r="N3668" i="6"/>
  <c r="N3667" i="6"/>
  <c r="N3666" i="6"/>
  <c r="N3665" i="6"/>
  <c r="N3664" i="6"/>
  <c r="N3663" i="6"/>
  <c r="N3662" i="6"/>
  <c r="N3661" i="6"/>
  <c r="N3660" i="6"/>
  <c r="N3659" i="6"/>
  <c r="N3658" i="6"/>
  <c r="N3657" i="6"/>
  <c r="N3656" i="6"/>
  <c r="N3655" i="6"/>
  <c r="N3654" i="6"/>
  <c r="N3653" i="6"/>
  <c r="N3652" i="6"/>
  <c r="N3651" i="6"/>
  <c r="N3650" i="6"/>
  <c r="N3649" i="6"/>
  <c r="N3648" i="6"/>
  <c r="N3647" i="6"/>
  <c r="N3646" i="6"/>
  <c r="N3645" i="6"/>
  <c r="N3644" i="6"/>
  <c r="N3643" i="6"/>
  <c r="N3642" i="6"/>
  <c r="N3641" i="6"/>
  <c r="N3640" i="6"/>
  <c r="N3639" i="6"/>
  <c r="N3638" i="6"/>
  <c r="N3637" i="6"/>
  <c r="N3636" i="6"/>
  <c r="N3635" i="6"/>
  <c r="N3634" i="6"/>
  <c r="N3633" i="6"/>
  <c r="N3632" i="6"/>
  <c r="N3631" i="6"/>
  <c r="N3630" i="6"/>
  <c r="N3629" i="6"/>
  <c r="N3628" i="6"/>
  <c r="N3627" i="6"/>
  <c r="N3626" i="6"/>
  <c r="N3625" i="6"/>
  <c r="N3624" i="6"/>
  <c r="N3623" i="6"/>
  <c r="N3622" i="6"/>
  <c r="N3621" i="6"/>
  <c r="N3620" i="6"/>
  <c r="N3619" i="6"/>
  <c r="N3618" i="6"/>
  <c r="N3617" i="6"/>
  <c r="N3616" i="6"/>
  <c r="N3615" i="6"/>
  <c r="N3614" i="6"/>
  <c r="N3613" i="6"/>
  <c r="N3612" i="6"/>
  <c r="N3611" i="6"/>
  <c r="N3610" i="6"/>
  <c r="N3609" i="6"/>
  <c r="N3608" i="6"/>
  <c r="N3607" i="6"/>
  <c r="N3606" i="6"/>
  <c r="N3605" i="6"/>
  <c r="N3604" i="6"/>
  <c r="N3603" i="6"/>
  <c r="N3602" i="6"/>
  <c r="N3601" i="6"/>
  <c r="N3600" i="6"/>
  <c r="N3599" i="6"/>
  <c r="N3598" i="6"/>
  <c r="N3597" i="6"/>
  <c r="N3596" i="6"/>
  <c r="N3595" i="6"/>
  <c r="N3594" i="6"/>
  <c r="N3593" i="6"/>
  <c r="N3592" i="6"/>
  <c r="N3591" i="6"/>
  <c r="N3590" i="6"/>
  <c r="N3589" i="6"/>
  <c r="N3588" i="6"/>
  <c r="N3587" i="6"/>
  <c r="N3586" i="6"/>
  <c r="N3585" i="6"/>
  <c r="N3584" i="6"/>
  <c r="N3583" i="6"/>
  <c r="N3582" i="6"/>
  <c r="N3581" i="6"/>
  <c r="N3580" i="6"/>
  <c r="N3579" i="6"/>
  <c r="N3578" i="6"/>
  <c r="N3577" i="6"/>
  <c r="N3576" i="6"/>
  <c r="N3575" i="6"/>
  <c r="N3574" i="6"/>
  <c r="N3573" i="6"/>
  <c r="N3572" i="6"/>
  <c r="N3571" i="6"/>
  <c r="N3570" i="6"/>
  <c r="N3569" i="6"/>
  <c r="N3568" i="6"/>
  <c r="N3567" i="6"/>
  <c r="N3566" i="6"/>
  <c r="N3565" i="6"/>
  <c r="N3564" i="6"/>
  <c r="N3563" i="6"/>
  <c r="N3562" i="6"/>
  <c r="N3561" i="6"/>
  <c r="N3560" i="6"/>
  <c r="N3559" i="6"/>
  <c r="N3558" i="6"/>
  <c r="N3557" i="6"/>
  <c r="N3556" i="6"/>
  <c r="N3555" i="6"/>
  <c r="N3554" i="6"/>
  <c r="N3553" i="6"/>
  <c r="N3552" i="6"/>
  <c r="N3551" i="6"/>
  <c r="N3550" i="6"/>
  <c r="N3549" i="6"/>
  <c r="N3548" i="6"/>
  <c r="N3547" i="6"/>
  <c r="N3546" i="6"/>
  <c r="N3545" i="6"/>
  <c r="N3544" i="6"/>
  <c r="N3543" i="6"/>
  <c r="N3542" i="6"/>
  <c r="N3541" i="6"/>
  <c r="N3540" i="6"/>
  <c r="N3539" i="6"/>
  <c r="N3538" i="6"/>
  <c r="N3537" i="6"/>
  <c r="N3536" i="6"/>
  <c r="N3535" i="6"/>
  <c r="N3534" i="6"/>
  <c r="N3533" i="6"/>
  <c r="N3532" i="6"/>
  <c r="N3531" i="6"/>
  <c r="N3530" i="6"/>
  <c r="N3529" i="6"/>
  <c r="N3528" i="6"/>
  <c r="N3527" i="6"/>
  <c r="N3526" i="6"/>
  <c r="N3525" i="6"/>
  <c r="N3524" i="6"/>
  <c r="N3523" i="6"/>
  <c r="N3522" i="6"/>
  <c r="N3521" i="6"/>
  <c r="N3520" i="6"/>
  <c r="N3519" i="6"/>
  <c r="N3518" i="6"/>
  <c r="N3517" i="6"/>
  <c r="N3516" i="6"/>
  <c r="N3515" i="6"/>
  <c r="N3514" i="6"/>
  <c r="N3513" i="6"/>
  <c r="N3512" i="6"/>
  <c r="N3511" i="6"/>
  <c r="N3510" i="6"/>
  <c r="N3509" i="6"/>
  <c r="N3508" i="6"/>
  <c r="N3507" i="6"/>
  <c r="N3506" i="6"/>
  <c r="N3505" i="6"/>
  <c r="N3504" i="6"/>
  <c r="N3503" i="6"/>
  <c r="N3502" i="6"/>
  <c r="N3501" i="6"/>
  <c r="N3500" i="6"/>
  <c r="N3499" i="6"/>
  <c r="N3498" i="6"/>
  <c r="N3497" i="6"/>
  <c r="N3496" i="6"/>
  <c r="N3495" i="6"/>
  <c r="N3494" i="6"/>
  <c r="N3493" i="6"/>
  <c r="N3492" i="6"/>
  <c r="N3491" i="6"/>
  <c r="N3490" i="6"/>
  <c r="N3489" i="6"/>
  <c r="N3488" i="6"/>
  <c r="N3487" i="6"/>
  <c r="N3486" i="6"/>
  <c r="N3485" i="6"/>
  <c r="N3484" i="6"/>
  <c r="N3483" i="6"/>
  <c r="N3482" i="6"/>
  <c r="N3481" i="6"/>
  <c r="N3480" i="6"/>
  <c r="N3479" i="6"/>
  <c r="N3478" i="6"/>
  <c r="N3477" i="6"/>
  <c r="N3476" i="6"/>
  <c r="N3475" i="6"/>
  <c r="N3474" i="6"/>
  <c r="N3473" i="6"/>
  <c r="N3472" i="6"/>
  <c r="N3471" i="6"/>
  <c r="N3470" i="6"/>
  <c r="N3469" i="6"/>
  <c r="N3468" i="6"/>
  <c r="N3467" i="6"/>
  <c r="N3466" i="6"/>
  <c r="N3465" i="6"/>
  <c r="N3464" i="6"/>
  <c r="N3463" i="6"/>
  <c r="N3462" i="6"/>
  <c r="N3461" i="6"/>
  <c r="N3460" i="6"/>
  <c r="N3459" i="6"/>
  <c r="N3458" i="6"/>
  <c r="N3457" i="6"/>
  <c r="N3456" i="6"/>
  <c r="N3455" i="6"/>
  <c r="N3454" i="6"/>
  <c r="N3453" i="6"/>
  <c r="N3452" i="6"/>
  <c r="N3451" i="6"/>
  <c r="N3450" i="6"/>
  <c r="N3449" i="6"/>
  <c r="N3448" i="6"/>
  <c r="N3447" i="6"/>
  <c r="N3446" i="6"/>
  <c r="N3445" i="6"/>
  <c r="N3444" i="6"/>
  <c r="N3443" i="6"/>
  <c r="N3442" i="6"/>
  <c r="N3441" i="6"/>
  <c r="N3440" i="6"/>
  <c r="N3439" i="6"/>
  <c r="N3438" i="6"/>
  <c r="N3437" i="6"/>
  <c r="N3436" i="6"/>
  <c r="N3435" i="6"/>
  <c r="N3434" i="6"/>
  <c r="N3433" i="6"/>
  <c r="N3432" i="6"/>
  <c r="N3431" i="6"/>
  <c r="N3430" i="6"/>
  <c r="N3429" i="6"/>
  <c r="N3428" i="6"/>
  <c r="N3427" i="6"/>
  <c r="N3426" i="6"/>
  <c r="N3425" i="6"/>
  <c r="N3424" i="6"/>
  <c r="N3423" i="6"/>
  <c r="N3422" i="6"/>
  <c r="N3421" i="6"/>
  <c r="N3420" i="6"/>
  <c r="N3419" i="6"/>
  <c r="N3418" i="6"/>
  <c r="N3417" i="6"/>
  <c r="N3416" i="6"/>
  <c r="N3415" i="6"/>
  <c r="N3414" i="6"/>
  <c r="N3413" i="6"/>
  <c r="N3412" i="6"/>
  <c r="N3411" i="6"/>
  <c r="N3410" i="6"/>
  <c r="N3409" i="6"/>
  <c r="N3408" i="6"/>
  <c r="N3407" i="6"/>
  <c r="N3406" i="6"/>
  <c r="N3405" i="6"/>
  <c r="N3404" i="6"/>
  <c r="N3403" i="6"/>
  <c r="N3402" i="6"/>
  <c r="N3401" i="6"/>
  <c r="N3400" i="6"/>
  <c r="N3399" i="6"/>
  <c r="N3398" i="6"/>
  <c r="N3397" i="6"/>
  <c r="N3396" i="6"/>
  <c r="N3395" i="6"/>
  <c r="N3394" i="6"/>
  <c r="N3393" i="6"/>
  <c r="N3392" i="6"/>
  <c r="N3391" i="6"/>
  <c r="N3390" i="6"/>
  <c r="N3389" i="6"/>
  <c r="N3388" i="6"/>
  <c r="N3387" i="6"/>
  <c r="N3386" i="6"/>
  <c r="N3385" i="6"/>
  <c r="N3384" i="6"/>
  <c r="N3383" i="6"/>
  <c r="N3382" i="6"/>
  <c r="N3381" i="6"/>
  <c r="N3380" i="6"/>
  <c r="N3379" i="6"/>
  <c r="N3378" i="6"/>
  <c r="N3377" i="6"/>
  <c r="N3376" i="6"/>
  <c r="N3375" i="6"/>
  <c r="N3374" i="6"/>
  <c r="N3373" i="6"/>
  <c r="N3372" i="6"/>
  <c r="N3371" i="6"/>
  <c r="N3370" i="6"/>
  <c r="N3369" i="6"/>
  <c r="N3368" i="6"/>
  <c r="N3367" i="6"/>
  <c r="N3366" i="6"/>
  <c r="N3365" i="6"/>
  <c r="N3364" i="6"/>
  <c r="N3363" i="6"/>
  <c r="N3362" i="6"/>
  <c r="N3361" i="6"/>
  <c r="N3360" i="6"/>
  <c r="N3359" i="6"/>
  <c r="N3358" i="6"/>
  <c r="N3357" i="6"/>
  <c r="N3356" i="6"/>
  <c r="N3355" i="6"/>
  <c r="N3354" i="6"/>
  <c r="N3353" i="6"/>
  <c r="N3352" i="6"/>
  <c r="N3351" i="6"/>
  <c r="N3350" i="6"/>
  <c r="N3349" i="6"/>
  <c r="N3348" i="6"/>
  <c r="N3347" i="6"/>
  <c r="N3346" i="6"/>
  <c r="N3345" i="6"/>
  <c r="N3344" i="6"/>
  <c r="N3343" i="6"/>
  <c r="N3342" i="6"/>
  <c r="N3341" i="6"/>
  <c r="N3340" i="6"/>
  <c r="N3339" i="6"/>
  <c r="N3338" i="6"/>
  <c r="N3337" i="6"/>
  <c r="N3336" i="6"/>
  <c r="N3335" i="6"/>
  <c r="N3334" i="6"/>
  <c r="N3333" i="6"/>
  <c r="N3332" i="6"/>
  <c r="N3331" i="6"/>
  <c r="N3330" i="6"/>
  <c r="N3329" i="6"/>
  <c r="N3328" i="6"/>
  <c r="N3327" i="6"/>
  <c r="N3326" i="6"/>
  <c r="N3325" i="6"/>
  <c r="N3324" i="6"/>
  <c r="N3323" i="6"/>
  <c r="N3322" i="6"/>
  <c r="N3321" i="6"/>
  <c r="N3320" i="6"/>
  <c r="N3319" i="6"/>
  <c r="N3318" i="6"/>
  <c r="N3317" i="6"/>
  <c r="N3316" i="6"/>
  <c r="N3315" i="6"/>
  <c r="N3314" i="6"/>
  <c r="N3313" i="6"/>
  <c r="N3312" i="6"/>
  <c r="N3311" i="6"/>
  <c r="N3310" i="6"/>
  <c r="N3309" i="6"/>
  <c r="N3308" i="6"/>
  <c r="N3307" i="6"/>
  <c r="N3306" i="6"/>
  <c r="N3305" i="6"/>
  <c r="N3304" i="6"/>
  <c r="N3303" i="6"/>
  <c r="N3302" i="6"/>
  <c r="N3301" i="6"/>
  <c r="N3300" i="6"/>
  <c r="N3299" i="6"/>
  <c r="N3298" i="6"/>
  <c r="N3297" i="6"/>
  <c r="N3296" i="6"/>
  <c r="N3295" i="6"/>
  <c r="N3294" i="6"/>
  <c r="N3293" i="6"/>
  <c r="N3292" i="6"/>
  <c r="N3291" i="6"/>
  <c r="N3290" i="6"/>
  <c r="N3289" i="6"/>
  <c r="N3288" i="6"/>
  <c r="N3287" i="6"/>
  <c r="N3286" i="6"/>
  <c r="N3285" i="6"/>
  <c r="N3284" i="6"/>
  <c r="N3283" i="6"/>
  <c r="N3282" i="6"/>
  <c r="N3281" i="6"/>
  <c r="N3280" i="6"/>
  <c r="N3279" i="6"/>
  <c r="N3278" i="6"/>
  <c r="N3277" i="6"/>
  <c r="N3276" i="6"/>
  <c r="N3275" i="6"/>
  <c r="N3274" i="6"/>
  <c r="N3273" i="6"/>
  <c r="N3272" i="6"/>
  <c r="N3271" i="6"/>
  <c r="N3270" i="6"/>
  <c r="N3269" i="6"/>
  <c r="N3268" i="6"/>
  <c r="N3267" i="6"/>
  <c r="N3266" i="6"/>
  <c r="N3265" i="6"/>
  <c r="N3264" i="6"/>
  <c r="N3263" i="6"/>
  <c r="N3262" i="6"/>
  <c r="N3261" i="6"/>
  <c r="N3260" i="6"/>
  <c r="N3259" i="6"/>
  <c r="N3258" i="6"/>
  <c r="N3257" i="6"/>
  <c r="N3256" i="6"/>
  <c r="N3255" i="6"/>
  <c r="N3254" i="6"/>
  <c r="N3253" i="6"/>
  <c r="N3252" i="6"/>
  <c r="N3251" i="6"/>
  <c r="N3250" i="6"/>
  <c r="N3249" i="6"/>
  <c r="N3248" i="6"/>
  <c r="N3247" i="6"/>
  <c r="N3246" i="6"/>
  <c r="N3245" i="6"/>
  <c r="N3244" i="6"/>
  <c r="N3243" i="6"/>
  <c r="N3242" i="6"/>
  <c r="N3241" i="6"/>
  <c r="N3240" i="6"/>
  <c r="N3239" i="6"/>
  <c r="N3238" i="6"/>
  <c r="N3237" i="6"/>
  <c r="N3236" i="6"/>
  <c r="N3235" i="6"/>
  <c r="N3234" i="6"/>
  <c r="N3233" i="6"/>
  <c r="N3232" i="6"/>
  <c r="N3231" i="6"/>
  <c r="N3230" i="6"/>
  <c r="N3229" i="6"/>
  <c r="N3228" i="6"/>
  <c r="N3227" i="6"/>
  <c r="N3226" i="6"/>
  <c r="N3225" i="6"/>
  <c r="N3224" i="6"/>
  <c r="N3223" i="6"/>
  <c r="N3222" i="6"/>
  <c r="N3221" i="6"/>
  <c r="N3220" i="6"/>
  <c r="N3219" i="6"/>
  <c r="N3218" i="6"/>
  <c r="N3217" i="6"/>
  <c r="N3216" i="6"/>
  <c r="N3215" i="6"/>
  <c r="N3214" i="6"/>
  <c r="N3213" i="6"/>
  <c r="N3212" i="6"/>
  <c r="N3211" i="6"/>
  <c r="N3210" i="6"/>
  <c r="N3209" i="6"/>
  <c r="N3208" i="6"/>
  <c r="N3207" i="6"/>
  <c r="N3206" i="6"/>
  <c r="N3205" i="6"/>
  <c r="N3204" i="6"/>
  <c r="N3203" i="6"/>
  <c r="N3202" i="6"/>
  <c r="N3201" i="6"/>
  <c r="N3200" i="6"/>
  <c r="N3199" i="6"/>
  <c r="N3198" i="6"/>
  <c r="N3197" i="6"/>
  <c r="N3196" i="6"/>
  <c r="N3195" i="6"/>
  <c r="N3194" i="6"/>
  <c r="N3193" i="6"/>
  <c r="N3192" i="6"/>
  <c r="N3191" i="6"/>
  <c r="N3190" i="6"/>
  <c r="N3189" i="6"/>
  <c r="N3188" i="6"/>
  <c r="N3187" i="6"/>
  <c r="N3186" i="6"/>
  <c r="N3185" i="6"/>
  <c r="N3184" i="6"/>
  <c r="N3183" i="6"/>
  <c r="N3182" i="6"/>
  <c r="N3181" i="6"/>
  <c r="N3180" i="6"/>
  <c r="N3179" i="6"/>
  <c r="N3178" i="6"/>
  <c r="N3177" i="6"/>
  <c r="N3176" i="6"/>
  <c r="N3175" i="6"/>
  <c r="N3174" i="6"/>
  <c r="N3173" i="6"/>
  <c r="N3172" i="6"/>
  <c r="N3171" i="6"/>
  <c r="N3170" i="6"/>
  <c r="N3169" i="6"/>
  <c r="N3168" i="6"/>
  <c r="N3167" i="6"/>
  <c r="N3166" i="6"/>
  <c r="N3165" i="6"/>
  <c r="N3164" i="6"/>
  <c r="N3163" i="6"/>
  <c r="N3162" i="6"/>
  <c r="N3161" i="6"/>
  <c r="N3160" i="6"/>
  <c r="N3159" i="6"/>
  <c r="N3158" i="6"/>
  <c r="N3157" i="6"/>
  <c r="N3156" i="6"/>
  <c r="N3155" i="6"/>
  <c r="N3154" i="6"/>
  <c r="N3153" i="6"/>
  <c r="N3152" i="6"/>
  <c r="N3151" i="6"/>
  <c r="N3150" i="6"/>
  <c r="N3149" i="6"/>
  <c r="N3148" i="6"/>
  <c r="N3147" i="6"/>
  <c r="N3146" i="6"/>
  <c r="N3145" i="6"/>
  <c r="N3144" i="6"/>
  <c r="N3143" i="6"/>
  <c r="N3142" i="6"/>
  <c r="N3141" i="6"/>
  <c r="N3140" i="6"/>
  <c r="N3139" i="6"/>
  <c r="N3138" i="6"/>
  <c r="N3137" i="6"/>
  <c r="N3136" i="6"/>
  <c r="N3135" i="6"/>
  <c r="N3134" i="6"/>
  <c r="N3133" i="6"/>
  <c r="N3132" i="6"/>
  <c r="N3131" i="6"/>
  <c r="N3130" i="6"/>
  <c r="N3129" i="6"/>
  <c r="N3128" i="6"/>
  <c r="N3127" i="6"/>
  <c r="N3126" i="6"/>
  <c r="N3125" i="6"/>
  <c r="N3124" i="6"/>
  <c r="N3123" i="6"/>
  <c r="N3122" i="6"/>
  <c r="N3121" i="6"/>
  <c r="N3120" i="6"/>
  <c r="N3119" i="6"/>
  <c r="N3118" i="6"/>
  <c r="N3117" i="6"/>
  <c r="N3116" i="6"/>
  <c r="N3115" i="6"/>
  <c r="N3114" i="6"/>
  <c r="N3113" i="6"/>
  <c r="N3112" i="6"/>
  <c r="N3111" i="6"/>
  <c r="N3110" i="6"/>
  <c r="N3109" i="6"/>
  <c r="N3108" i="6"/>
  <c r="N3107" i="6"/>
  <c r="N3106" i="6"/>
  <c r="N3105" i="6"/>
  <c r="N3104" i="6"/>
  <c r="N3103" i="6"/>
  <c r="N3102" i="6"/>
  <c r="N3101" i="6"/>
  <c r="N3100" i="6"/>
  <c r="N3099" i="6"/>
  <c r="N3098" i="6"/>
  <c r="N3097" i="6"/>
  <c r="N3096" i="6"/>
  <c r="N3095" i="6"/>
  <c r="N3094" i="6"/>
  <c r="N3093" i="6"/>
  <c r="N3092" i="6"/>
  <c r="N3091" i="6"/>
  <c r="N3090" i="6"/>
  <c r="N3089" i="6"/>
  <c r="N3088" i="6"/>
  <c r="N3087" i="6"/>
  <c r="N3086" i="6"/>
  <c r="N3085" i="6"/>
  <c r="N3084" i="6"/>
  <c r="N3083" i="6"/>
  <c r="N3082" i="6"/>
  <c r="N3081" i="6"/>
  <c r="N3080" i="6"/>
  <c r="N3079" i="6"/>
  <c r="N3078" i="6"/>
  <c r="N3077" i="6"/>
  <c r="N3076" i="6"/>
  <c r="N3075" i="6"/>
  <c r="N3074" i="6"/>
  <c r="N3073" i="6"/>
  <c r="N3072" i="6"/>
  <c r="N3071" i="6"/>
  <c r="N3070" i="6"/>
  <c r="N3069" i="6"/>
  <c r="N3068" i="6"/>
  <c r="N3067" i="6"/>
  <c r="N3066" i="6"/>
  <c r="N3065" i="6"/>
  <c r="N3064" i="6"/>
  <c r="N3063" i="6"/>
  <c r="N3062" i="6"/>
  <c r="N3061" i="6"/>
  <c r="N3060" i="6"/>
  <c r="N3059" i="6"/>
  <c r="N3058" i="6"/>
  <c r="N3057" i="6"/>
  <c r="N3056" i="6"/>
  <c r="N3055" i="6"/>
  <c r="N3054" i="6"/>
  <c r="N3053" i="6"/>
  <c r="N3052" i="6"/>
  <c r="N3051" i="6"/>
  <c r="N3050" i="6"/>
  <c r="N3049" i="6"/>
  <c r="N3048" i="6"/>
  <c r="N3047" i="6"/>
  <c r="N3046" i="6"/>
  <c r="N3045" i="6"/>
  <c r="N3044" i="6"/>
  <c r="N3043" i="6"/>
  <c r="N3042" i="6"/>
  <c r="N3041" i="6"/>
  <c r="N3040" i="6"/>
  <c r="N3039" i="6"/>
  <c r="N3038" i="6"/>
  <c r="N3037" i="6"/>
  <c r="N3036" i="6"/>
  <c r="N3035" i="6"/>
  <c r="N3034" i="6"/>
  <c r="N3033" i="6"/>
  <c r="N3032" i="6"/>
  <c r="N3031" i="6"/>
  <c r="N3030" i="6"/>
  <c r="N3029" i="6"/>
  <c r="N3028" i="6"/>
  <c r="N3027" i="6"/>
  <c r="N3026" i="6"/>
  <c r="N3025" i="6"/>
  <c r="N3024" i="6"/>
  <c r="N3023" i="6"/>
  <c r="N3022" i="6"/>
  <c r="N3021" i="6"/>
  <c r="N3020" i="6"/>
  <c r="N3019" i="6"/>
  <c r="N3018" i="6"/>
  <c r="N3017" i="6"/>
  <c r="N3016" i="6"/>
  <c r="N3015" i="6"/>
  <c r="N3014" i="6"/>
  <c r="N3013" i="6"/>
  <c r="N3012" i="6"/>
  <c r="N3011" i="6"/>
  <c r="N3010" i="6"/>
  <c r="N3009" i="6"/>
  <c r="N3008" i="6"/>
  <c r="N3007" i="6"/>
  <c r="N3006" i="6"/>
  <c r="N3005" i="6"/>
  <c r="N3004" i="6"/>
  <c r="N3003" i="6"/>
  <c r="N3002" i="6"/>
  <c r="N3001" i="6"/>
  <c r="N3000" i="6"/>
  <c r="N2999" i="6"/>
  <c r="N2998" i="6"/>
  <c r="N2997" i="6"/>
  <c r="N2996" i="6"/>
  <c r="N2995" i="6"/>
  <c r="N2994" i="6"/>
  <c r="N2993" i="6"/>
  <c r="N2992" i="6"/>
  <c r="N2991" i="6"/>
  <c r="N2990" i="6"/>
  <c r="N2989" i="6"/>
  <c r="N2988" i="6"/>
  <c r="N2987" i="6"/>
  <c r="N2986" i="6"/>
  <c r="N2985" i="6"/>
  <c r="N2984" i="6"/>
  <c r="N2983" i="6"/>
  <c r="N2982" i="6"/>
  <c r="N2981" i="6"/>
  <c r="N2980" i="6"/>
  <c r="N2979" i="6"/>
  <c r="N2978" i="6"/>
  <c r="N2977" i="6"/>
  <c r="N2976" i="6"/>
  <c r="N2975" i="6"/>
  <c r="N2974" i="6"/>
  <c r="N2973" i="6"/>
  <c r="N2972" i="6"/>
  <c r="N2971" i="6"/>
  <c r="N2970" i="6"/>
  <c r="N2969" i="6"/>
  <c r="N2968" i="6"/>
  <c r="N2967" i="6"/>
  <c r="N2966" i="6"/>
  <c r="N2965" i="6"/>
  <c r="N2964" i="6"/>
  <c r="N2963" i="6"/>
  <c r="N2962" i="6"/>
  <c r="N2961" i="6"/>
  <c r="N2960" i="6"/>
  <c r="N2959" i="6"/>
  <c r="N2958" i="6"/>
  <c r="N2957" i="6"/>
  <c r="N2956" i="6"/>
  <c r="N2955" i="6"/>
  <c r="N2954" i="6"/>
  <c r="N2953" i="6"/>
  <c r="N2952" i="6"/>
  <c r="N2951" i="6"/>
  <c r="N2950" i="6"/>
  <c r="N2949" i="6"/>
  <c r="N2948" i="6"/>
  <c r="N2947" i="6"/>
  <c r="N2946" i="6"/>
  <c r="N2945" i="6"/>
  <c r="N2944" i="6"/>
  <c r="N2943" i="6"/>
  <c r="N2942" i="6"/>
  <c r="N2941" i="6"/>
  <c r="N2940" i="6"/>
  <c r="N2939" i="6"/>
  <c r="N2938" i="6"/>
  <c r="N2937" i="6"/>
  <c r="N2936" i="6"/>
  <c r="N2935" i="6"/>
  <c r="N2934" i="6"/>
  <c r="N2933" i="6"/>
  <c r="N2932" i="6"/>
  <c r="N2931" i="6"/>
  <c r="N2930" i="6"/>
  <c r="N2929" i="6"/>
  <c r="N2928" i="6"/>
  <c r="N2927" i="6"/>
  <c r="N2926" i="6"/>
  <c r="N2925" i="6"/>
  <c r="N2924" i="6"/>
  <c r="N2923" i="6"/>
  <c r="N2922" i="6"/>
  <c r="N2921" i="6"/>
  <c r="N2920" i="6"/>
  <c r="N2919" i="6"/>
  <c r="N2918" i="6"/>
  <c r="N2917" i="6"/>
  <c r="N2916" i="6"/>
  <c r="N2915" i="6"/>
  <c r="N2914" i="6"/>
  <c r="N2913" i="6"/>
  <c r="N2912" i="6"/>
  <c r="N2911" i="6"/>
  <c r="N2910" i="6"/>
  <c r="N2909" i="6"/>
  <c r="N2908" i="6"/>
  <c r="N2907" i="6"/>
  <c r="N2906" i="6"/>
  <c r="N2905" i="6"/>
  <c r="N2904" i="6"/>
  <c r="N2903" i="6"/>
  <c r="N2902" i="6"/>
  <c r="N2901" i="6"/>
  <c r="N2900" i="6"/>
  <c r="N2899" i="6"/>
  <c r="N2898" i="6"/>
  <c r="N2897" i="6"/>
  <c r="N2896" i="6"/>
  <c r="N2895" i="6"/>
  <c r="N2894" i="6"/>
  <c r="N2893" i="6"/>
  <c r="N2892" i="6"/>
  <c r="N2891" i="6"/>
  <c r="N2890" i="6"/>
  <c r="N2889" i="6"/>
  <c r="N2888" i="6"/>
  <c r="N2887" i="6"/>
  <c r="N2886" i="6"/>
  <c r="N2885" i="6"/>
  <c r="N2884" i="6"/>
  <c r="N2883" i="6"/>
  <c r="N2882" i="6"/>
  <c r="N2881" i="6"/>
  <c r="N2880" i="6"/>
  <c r="N2879" i="6"/>
  <c r="N2878" i="6"/>
  <c r="N2877" i="6"/>
  <c r="N2876" i="6"/>
  <c r="N2875" i="6"/>
  <c r="N2874" i="6"/>
  <c r="N2873" i="6"/>
  <c r="N2872" i="6"/>
  <c r="N2871" i="6"/>
  <c r="N2870" i="6"/>
  <c r="N2869" i="6"/>
  <c r="N2868" i="6"/>
  <c r="N2867" i="6"/>
  <c r="N2866" i="6"/>
  <c r="N2865" i="6"/>
  <c r="N2864" i="6"/>
  <c r="N2863" i="6"/>
  <c r="N2862" i="6"/>
  <c r="N2861" i="6"/>
  <c r="N2860" i="6"/>
  <c r="N2859" i="6"/>
  <c r="N2858" i="6"/>
  <c r="N2857" i="6"/>
  <c r="N2856" i="6"/>
  <c r="N2855" i="6"/>
  <c r="N2854" i="6"/>
  <c r="N2853" i="6"/>
  <c r="N2852" i="6"/>
  <c r="N2851" i="6"/>
  <c r="N2850" i="6"/>
  <c r="N2849" i="6"/>
  <c r="N2848" i="6"/>
  <c r="N2847" i="6"/>
  <c r="N2846" i="6"/>
  <c r="N2845" i="6"/>
  <c r="N2844" i="6"/>
  <c r="N2843" i="6"/>
  <c r="N2842" i="6"/>
  <c r="N2841" i="6"/>
  <c r="N2840" i="6"/>
  <c r="N2839" i="6"/>
  <c r="N2838" i="6"/>
  <c r="N2837" i="6"/>
  <c r="N2836" i="6"/>
  <c r="N2835" i="6"/>
  <c r="N2834" i="6"/>
  <c r="N2833" i="6"/>
  <c r="N2832" i="6"/>
  <c r="N2831" i="6"/>
  <c r="N2830" i="6"/>
  <c r="N2829" i="6"/>
  <c r="N2828" i="6"/>
  <c r="N2827" i="6"/>
  <c r="N2826" i="6"/>
  <c r="N2825" i="6"/>
  <c r="N2824" i="6"/>
  <c r="N2823" i="6"/>
  <c r="N2822" i="6"/>
  <c r="N2821" i="6"/>
  <c r="N2820" i="6"/>
  <c r="N2819" i="6"/>
  <c r="N2818" i="6"/>
  <c r="N2817" i="6"/>
  <c r="N2816" i="6"/>
  <c r="N2815" i="6"/>
  <c r="N2814" i="6"/>
  <c r="N2813" i="6"/>
  <c r="N2812" i="6"/>
  <c r="N2811" i="6"/>
  <c r="N2810" i="6"/>
  <c r="N2809" i="6"/>
  <c r="N2808" i="6"/>
  <c r="N2807" i="6"/>
  <c r="N2806" i="6"/>
  <c r="N2805" i="6"/>
  <c r="N2804" i="6"/>
  <c r="N2803" i="6"/>
  <c r="N2802" i="6"/>
  <c r="N2801" i="6"/>
  <c r="N2800" i="6"/>
  <c r="N2799" i="6"/>
  <c r="N2798" i="6"/>
  <c r="N2797" i="6"/>
  <c r="N2796" i="6"/>
  <c r="N2795" i="6"/>
  <c r="N2794" i="6"/>
  <c r="N2793" i="6"/>
  <c r="N2792" i="6"/>
  <c r="N2791" i="6"/>
  <c r="N2790" i="6"/>
  <c r="N2789" i="6"/>
  <c r="N2788" i="6"/>
  <c r="N2787" i="6"/>
  <c r="N2786" i="6"/>
  <c r="N2785" i="6"/>
  <c r="N2784" i="6"/>
  <c r="N2783" i="6"/>
  <c r="N2782" i="6"/>
  <c r="N2781" i="6"/>
  <c r="N2780" i="6"/>
  <c r="N2779" i="6"/>
  <c r="N2778" i="6"/>
  <c r="N2777" i="6"/>
  <c r="N2776" i="6"/>
  <c r="N2775" i="6"/>
  <c r="N2774" i="6"/>
  <c r="N2773" i="6"/>
  <c r="N2772" i="6"/>
  <c r="N2771" i="6"/>
  <c r="N2770" i="6"/>
  <c r="N2769" i="6"/>
  <c r="N2768" i="6"/>
  <c r="N2767" i="6"/>
  <c r="N2766" i="6"/>
  <c r="N2765" i="6"/>
  <c r="N2764" i="6"/>
  <c r="N2763" i="6"/>
  <c r="N2762" i="6"/>
  <c r="N2761" i="6"/>
  <c r="N2760" i="6"/>
  <c r="N2759" i="6"/>
  <c r="N2758" i="6"/>
  <c r="N2757" i="6"/>
  <c r="N2756" i="6"/>
  <c r="N2755" i="6"/>
  <c r="N2754" i="6"/>
  <c r="N2753" i="6"/>
  <c r="N2752" i="6"/>
  <c r="N2751" i="6"/>
  <c r="N2750" i="6"/>
  <c r="N2749" i="6"/>
  <c r="N2748" i="6"/>
  <c r="N2747" i="6"/>
  <c r="N2746" i="6"/>
  <c r="N2745" i="6"/>
  <c r="N2744" i="6"/>
  <c r="N2743" i="6"/>
  <c r="N2742" i="6"/>
  <c r="N2741" i="6"/>
  <c r="N2740" i="6"/>
  <c r="N2739" i="6"/>
  <c r="N2738" i="6"/>
  <c r="N2737" i="6"/>
  <c r="N2736" i="6"/>
  <c r="N2735" i="6"/>
  <c r="N2734" i="6"/>
  <c r="N2733" i="6"/>
  <c r="N2732" i="6"/>
  <c r="N2731" i="6"/>
  <c r="N2730" i="6"/>
  <c r="N2729" i="6"/>
  <c r="N2728" i="6"/>
  <c r="N2727" i="6"/>
  <c r="N2726" i="6"/>
  <c r="N2725" i="6"/>
  <c r="N2724" i="6"/>
  <c r="N2723" i="6"/>
  <c r="N2722" i="6"/>
  <c r="N2721" i="6"/>
  <c r="N2720" i="6"/>
  <c r="N2719" i="6"/>
  <c r="N2718" i="6"/>
  <c r="N2717" i="6"/>
  <c r="N2716" i="6"/>
  <c r="N2715" i="6"/>
  <c r="N2714" i="6"/>
  <c r="N2713" i="6"/>
  <c r="N2712" i="6"/>
  <c r="N2711" i="6"/>
  <c r="N2710" i="6"/>
  <c r="N2709" i="6"/>
  <c r="N2708" i="6"/>
  <c r="N2707" i="6"/>
  <c r="N2706" i="6"/>
  <c r="N2705" i="6"/>
  <c r="N2704" i="6"/>
  <c r="N2703" i="6"/>
  <c r="N2702" i="6"/>
  <c r="N2701" i="6"/>
  <c r="N2700" i="6"/>
  <c r="N2699" i="6"/>
  <c r="N2698" i="6"/>
  <c r="N2697" i="6"/>
  <c r="N2696" i="6"/>
  <c r="N2695" i="6"/>
  <c r="N2694" i="6"/>
  <c r="N2693" i="6"/>
  <c r="N2692" i="6"/>
  <c r="N2691" i="6"/>
  <c r="N2690" i="6"/>
  <c r="N2689" i="6"/>
  <c r="N2688" i="6"/>
  <c r="N2687" i="6"/>
  <c r="N2686" i="6"/>
  <c r="N2685" i="6"/>
  <c r="N2684" i="6"/>
  <c r="N2683" i="6"/>
  <c r="N2682" i="6"/>
  <c r="N2681" i="6"/>
  <c r="N2680" i="6"/>
  <c r="N2679" i="6"/>
  <c r="N2678" i="6"/>
  <c r="N2677" i="6"/>
  <c r="N2676" i="6"/>
  <c r="N2675" i="6"/>
  <c r="N2674" i="6"/>
  <c r="N2673" i="6"/>
  <c r="N2672" i="6"/>
  <c r="N2671" i="6"/>
  <c r="N2670" i="6"/>
  <c r="N2669" i="6"/>
  <c r="N2668" i="6"/>
  <c r="N2667" i="6"/>
  <c r="N2666" i="6"/>
  <c r="N2665" i="6"/>
  <c r="N2664" i="6"/>
  <c r="N2663" i="6"/>
  <c r="N2662" i="6"/>
  <c r="N2661" i="6"/>
  <c r="N2660" i="6"/>
  <c r="N2659" i="6"/>
  <c r="N2658" i="6"/>
  <c r="N2657" i="6"/>
  <c r="N2656" i="6"/>
  <c r="N2655" i="6"/>
  <c r="N2654" i="6"/>
  <c r="N2653" i="6"/>
  <c r="N2652" i="6"/>
  <c r="N2651" i="6"/>
  <c r="N2650" i="6"/>
  <c r="N2649" i="6"/>
  <c r="N2648" i="6"/>
  <c r="N2647" i="6"/>
  <c r="N2646" i="6"/>
  <c r="N2645" i="6"/>
  <c r="N2644" i="6"/>
  <c r="N2643" i="6"/>
  <c r="N2642" i="6"/>
  <c r="N2641" i="6"/>
  <c r="N2640" i="6"/>
  <c r="N2639" i="6"/>
  <c r="N2638" i="6"/>
  <c r="N2637" i="6"/>
  <c r="N2636" i="6"/>
  <c r="N2635" i="6"/>
  <c r="N2634" i="6"/>
  <c r="N2633" i="6"/>
  <c r="N2632" i="6"/>
  <c r="N2631" i="6"/>
  <c r="N2630" i="6"/>
  <c r="N2629" i="6"/>
  <c r="N2628" i="6"/>
  <c r="N2627" i="6"/>
  <c r="N2626" i="6"/>
  <c r="N2625" i="6"/>
  <c r="N2624" i="6"/>
  <c r="N2623" i="6"/>
  <c r="N2622" i="6"/>
  <c r="N2621" i="6"/>
  <c r="N2620" i="6"/>
  <c r="N2619" i="6"/>
  <c r="N2618" i="6"/>
  <c r="N2617" i="6"/>
  <c r="N2616" i="6"/>
  <c r="N2615" i="6"/>
  <c r="N2614" i="6"/>
  <c r="N2613" i="6"/>
  <c r="N2612" i="6"/>
  <c r="N2611" i="6"/>
  <c r="N2610" i="6"/>
  <c r="N2609" i="6"/>
  <c r="N2608" i="6"/>
  <c r="N2607" i="6"/>
  <c r="N2606" i="6"/>
  <c r="N2605" i="6"/>
  <c r="N2604" i="6"/>
  <c r="N2603" i="6"/>
  <c r="N2602" i="6"/>
  <c r="N2601" i="6"/>
  <c r="N2600" i="6"/>
  <c r="N2599" i="6"/>
  <c r="N2598" i="6"/>
  <c r="N2597" i="6"/>
  <c r="N2596" i="6"/>
  <c r="N2595" i="6"/>
  <c r="N2594" i="6"/>
  <c r="N2593" i="6"/>
  <c r="N2592" i="6"/>
  <c r="N2591" i="6"/>
  <c r="N2590" i="6"/>
  <c r="N2589" i="6"/>
  <c r="N2588" i="6"/>
  <c r="N2587" i="6"/>
  <c r="N2586" i="6"/>
  <c r="N2585" i="6"/>
  <c r="N2584" i="6"/>
  <c r="N2583" i="6"/>
  <c r="N2582" i="6"/>
  <c r="N2581" i="6"/>
  <c r="N2580" i="6"/>
  <c r="N2579" i="6"/>
  <c r="N2578" i="6"/>
  <c r="N2577" i="6"/>
  <c r="N2576" i="6"/>
  <c r="N2575" i="6"/>
  <c r="N2574" i="6"/>
  <c r="N2573" i="6"/>
  <c r="N2572" i="6"/>
  <c r="N2571" i="6"/>
  <c r="N2570" i="6"/>
  <c r="N2569" i="6"/>
  <c r="N2568" i="6"/>
  <c r="N2567" i="6"/>
  <c r="N2566" i="6"/>
  <c r="N2565" i="6"/>
  <c r="N2564" i="6"/>
  <c r="N2563" i="6"/>
  <c r="N2562" i="6"/>
  <c r="N2561" i="6"/>
  <c r="N2560" i="6"/>
  <c r="N2559" i="6"/>
  <c r="N2558" i="6"/>
  <c r="N2557" i="6"/>
  <c r="N2556" i="6"/>
  <c r="N2555" i="6"/>
  <c r="N2554" i="6"/>
  <c r="N2553" i="6"/>
  <c r="N2552" i="6"/>
  <c r="N2551" i="6"/>
  <c r="N2550" i="6"/>
  <c r="N2549" i="6"/>
  <c r="N2548" i="6"/>
  <c r="N2547" i="6"/>
  <c r="N2546" i="6"/>
  <c r="N2545" i="6"/>
  <c r="N2544" i="6"/>
  <c r="N2543" i="6"/>
  <c r="N2542" i="6"/>
  <c r="N2541" i="6"/>
  <c r="N2540" i="6"/>
  <c r="N2539" i="6"/>
  <c r="N2538" i="6"/>
  <c r="N2537" i="6"/>
  <c r="N2536" i="6"/>
  <c r="N2535" i="6"/>
  <c r="N2534" i="6"/>
  <c r="N2533" i="6"/>
  <c r="N2532" i="6"/>
  <c r="N2531" i="6"/>
  <c r="N2530" i="6"/>
  <c r="N2529" i="6"/>
  <c r="N2528" i="6"/>
  <c r="N2527" i="6"/>
  <c r="N2526" i="6"/>
  <c r="N2525" i="6"/>
  <c r="N2524" i="6"/>
  <c r="N2523" i="6"/>
  <c r="N2522" i="6"/>
  <c r="N2521" i="6"/>
  <c r="N2520" i="6"/>
  <c r="N2519" i="6"/>
  <c r="N2518" i="6"/>
  <c r="N2517" i="6"/>
  <c r="N2516" i="6"/>
  <c r="N2515" i="6"/>
  <c r="N2514" i="6"/>
  <c r="N2513" i="6"/>
  <c r="N2512" i="6"/>
  <c r="N2511" i="6"/>
  <c r="N2510" i="6"/>
  <c r="N2509" i="6"/>
  <c r="N2508" i="6"/>
  <c r="N2507" i="6"/>
  <c r="N2506" i="6"/>
  <c r="N2505" i="6"/>
  <c r="N2504" i="6"/>
  <c r="N2503" i="6"/>
  <c r="N2502" i="6"/>
  <c r="N2501" i="6"/>
  <c r="N2500" i="6"/>
  <c r="N2499" i="6"/>
  <c r="N2498" i="6"/>
  <c r="N2497" i="6"/>
  <c r="N2496" i="6"/>
  <c r="N2495" i="6"/>
  <c r="N2494" i="6"/>
  <c r="N2493" i="6"/>
  <c r="N2492" i="6"/>
  <c r="N2491" i="6"/>
  <c r="N2490" i="6"/>
  <c r="N2489" i="6"/>
  <c r="N2488" i="6"/>
  <c r="N2487" i="6"/>
  <c r="N2486" i="6"/>
  <c r="N2485" i="6"/>
  <c r="N2484" i="6"/>
  <c r="N2483" i="6"/>
  <c r="N2482" i="6"/>
  <c r="N2481" i="6"/>
  <c r="N2480" i="6"/>
  <c r="N2479" i="6"/>
  <c r="N2478" i="6"/>
  <c r="N2477" i="6"/>
  <c r="N2476" i="6"/>
  <c r="N2475" i="6"/>
  <c r="N2474" i="6"/>
  <c r="N2473" i="6"/>
  <c r="N2472" i="6"/>
  <c r="N2471" i="6"/>
  <c r="N2470" i="6"/>
  <c r="N2469" i="6"/>
  <c r="N2468" i="6"/>
  <c r="N2467" i="6"/>
  <c r="N2466" i="6"/>
  <c r="N2465" i="6"/>
  <c r="N2464" i="6"/>
  <c r="N2463" i="6"/>
  <c r="N2462" i="6"/>
  <c r="N2461" i="6"/>
  <c r="N2460" i="6"/>
  <c r="N2459" i="6"/>
  <c r="N2458" i="6"/>
  <c r="N2457" i="6"/>
  <c r="N2456" i="6"/>
  <c r="N2455" i="6"/>
  <c r="N2454" i="6"/>
  <c r="N2453" i="6"/>
  <c r="N2452" i="6"/>
  <c r="N2451" i="6"/>
  <c r="N2450" i="6"/>
  <c r="N2449" i="6"/>
  <c r="N2448" i="6"/>
  <c r="N2447" i="6"/>
  <c r="N2446" i="6"/>
  <c r="N2445" i="6"/>
  <c r="N2444" i="6"/>
  <c r="N2443" i="6"/>
  <c r="N2442" i="6"/>
  <c r="N2441" i="6"/>
  <c r="N2440" i="6"/>
  <c r="N2439" i="6"/>
  <c r="N2438" i="6"/>
  <c r="N2437" i="6"/>
  <c r="N2436" i="6"/>
  <c r="N2435" i="6"/>
  <c r="N2434" i="6"/>
  <c r="N2433" i="6"/>
  <c r="N2432" i="6"/>
  <c r="N2431" i="6"/>
  <c r="N2430" i="6"/>
  <c r="N2429" i="6"/>
  <c r="N2428" i="6"/>
  <c r="N2427" i="6"/>
  <c r="N2426" i="6"/>
  <c r="N2425" i="6"/>
  <c r="N2424" i="6"/>
  <c r="N2423" i="6"/>
  <c r="N2422" i="6"/>
  <c r="N2421" i="6"/>
  <c r="N2420" i="6"/>
  <c r="N2419" i="6"/>
  <c r="N2418" i="6"/>
  <c r="N2417" i="6"/>
  <c r="N2416" i="6"/>
  <c r="N2415" i="6"/>
  <c r="N2414" i="6"/>
  <c r="N2413" i="6"/>
  <c r="N2412" i="6"/>
  <c r="N2411" i="6"/>
  <c r="N2410" i="6"/>
  <c r="N2409" i="6"/>
  <c r="N2408" i="6"/>
  <c r="N2407" i="6"/>
  <c r="N2406" i="6"/>
  <c r="N2405" i="6"/>
  <c r="N2404" i="6"/>
  <c r="N2403" i="6"/>
  <c r="N2402" i="6"/>
  <c r="N2401" i="6"/>
  <c r="N2400" i="6"/>
  <c r="N2399" i="6"/>
  <c r="N2398" i="6"/>
  <c r="N2397" i="6"/>
  <c r="N2396" i="6"/>
  <c r="N2395" i="6"/>
  <c r="N2394" i="6"/>
  <c r="N2393" i="6"/>
  <c r="N2392" i="6"/>
  <c r="N2391" i="6"/>
  <c r="N2390" i="6"/>
  <c r="N2389" i="6"/>
  <c r="N2388" i="6"/>
  <c r="N2387" i="6"/>
  <c r="N2386" i="6"/>
  <c r="N2385" i="6"/>
  <c r="N2384" i="6"/>
  <c r="N2383" i="6"/>
  <c r="N2382" i="6"/>
  <c r="N2381" i="6"/>
  <c r="N2380" i="6"/>
  <c r="N2379" i="6"/>
  <c r="N2378" i="6"/>
  <c r="N2377" i="6"/>
  <c r="N2376" i="6"/>
  <c r="N2375" i="6"/>
  <c r="N2374" i="6"/>
  <c r="N2373" i="6"/>
  <c r="N2372" i="6"/>
  <c r="N2371" i="6"/>
  <c r="N2370" i="6"/>
  <c r="N2369" i="6"/>
  <c r="N2368" i="6"/>
  <c r="N2367" i="6"/>
  <c r="N2366" i="6"/>
  <c r="N2365" i="6"/>
  <c r="N2364" i="6"/>
  <c r="N2363" i="6"/>
  <c r="N2362" i="6"/>
  <c r="N2361" i="6"/>
  <c r="N2360" i="6"/>
  <c r="N2359" i="6"/>
  <c r="N2358" i="6"/>
  <c r="N2357" i="6"/>
  <c r="N2356" i="6"/>
  <c r="N2355" i="6"/>
  <c r="N2354" i="6"/>
  <c r="N2353" i="6"/>
  <c r="N2352" i="6"/>
  <c r="N2351" i="6"/>
  <c r="N2350" i="6"/>
  <c r="N2349" i="6"/>
  <c r="N2348" i="6"/>
  <c r="N2347" i="6"/>
  <c r="N2346" i="6"/>
  <c r="N2345" i="6"/>
  <c r="N2344" i="6"/>
  <c r="N2343" i="6"/>
  <c r="N2342" i="6"/>
  <c r="N2341" i="6"/>
  <c r="N2340" i="6"/>
  <c r="N2339" i="6"/>
  <c r="N2338" i="6"/>
  <c r="N2337" i="6"/>
  <c r="N2336" i="6"/>
  <c r="N2335" i="6"/>
  <c r="N2334" i="6"/>
  <c r="N2333" i="6"/>
  <c r="N2332" i="6"/>
  <c r="N2331" i="6"/>
  <c r="N2330" i="6"/>
  <c r="N2329" i="6"/>
  <c r="N2328" i="6"/>
  <c r="N2327" i="6"/>
  <c r="N2326" i="6"/>
  <c r="N2325" i="6"/>
  <c r="N2324" i="6"/>
  <c r="N2323" i="6"/>
  <c r="N2322" i="6"/>
  <c r="N2321" i="6"/>
  <c r="N2320" i="6"/>
  <c r="N2319" i="6"/>
  <c r="N2318" i="6"/>
  <c r="N2317" i="6"/>
  <c r="N2316" i="6"/>
  <c r="N2315" i="6"/>
  <c r="N2314" i="6"/>
  <c r="N2313" i="6"/>
  <c r="N2312" i="6"/>
  <c r="N2311" i="6"/>
  <c r="N2310" i="6"/>
  <c r="N2309" i="6"/>
  <c r="N2308" i="6"/>
  <c r="N2307" i="6"/>
  <c r="N2306" i="6"/>
  <c r="N2305" i="6"/>
  <c r="N2304" i="6"/>
  <c r="N2303" i="6"/>
  <c r="N2302" i="6"/>
  <c r="N2301" i="6"/>
  <c r="N2300" i="6"/>
  <c r="N2299" i="6"/>
  <c r="N2298" i="6"/>
  <c r="N2297" i="6"/>
  <c r="N2296" i="6"/>
  <c r="N2295" i="6"/>
  <c r="N2294" i="6"/>
  <c r="N2293" i="6"/>
  <c r="N2292" i="6"/>
  <c r="N2291" i="6"/>
  <c r="N2290" i="6"/>
  <c r="N2289" i="6"/>
  <c r="N2288" i="6"/>
  <c r="N2287" i="6"/>
  <c r="N2286" i="6"/>
  <c r="N2285" i="6"/>
  <c r="N2284" i="6"/>
  <c r="N2283" i="6"/>
  <c r="N2282" i="6"/>
  <c r="N2281" i="6"/>
  <c r="N2280" i="6"/>
  <c r="N2279" i="6"/>
  <c r="N2278" i="6"/>
  <c r="N2277" i="6"/>
  <c r="N2276" i="6"/>
  <c r="N2275" i="6"/>
  <c r="N2274" i="6"/>
  <c r="N2273" i="6"/>
  <c r="N2272" i="6"/>
  <c r="N2271" i="6"/>
  <c r="N2270" i="6"/>
  <c r="N2269" i="6"/>
  <c r="N2268" i="6"/>
  <c r="N2267" i="6"/>
  <c r="N2266" i="6"/>
  <c r="N2265" i="6"/>
  <c r="N2264" i="6"/>
  <c r="N2263" i="6"/>
  <c r="N2262" i="6"/>
  <c r="N2261" i="6"/>
  <c r="N2260" i="6"/>
  <c r="N2259" i="6"/>
  <c r="N2258" i="6"/>
  <c r="N2257" i="6"/>
  <c r="N2256" i="6"/>
  <c r="N2255" i="6"/>
  <c r="N2254" i="6"/>
  <c r="N2253" i="6"/>
  <c r="N2252" i="6"/>
  <c r="N2251" i="6"/>
  <c r="N2250" i="6"/>
  <c r="N2249" i="6"/>
  <c r="N2248" i="6"/>
  <c r="N2247" i="6"/>
  <c r="N2246" i="6"/>
  <c r="N2245" i="6"/>
  <c r="N2244" i="6"/>
  <c r="N2243" i="6"/>
  <c r="N2242" i="6"/>
  <c r="N2241" i="6"/>
  <c r="N2240" i="6"/>
  <c r="N2239" i="6"/>
  <c r="N2238" i="6"/>
  <c r="N2237" i="6"/>
  <c r="N2236" i="6"/>
  <c r="N2235" i="6"/>
  <c r="N2234" i="6"/>
  <c r="N2233" i="6"/>
  <c r="N2232" i="6"/>
  <c r="N2231" i="6"/>
  <c r="N2230" i="6"/>
  <c r="N2229" i="6"/>
  <c r="N2228" i="6"/>
  <c r="N2227" i="6"/>
  <c r="N2226" i="6"/>
  <c r="N2225" i="6"/>
  <c r="N2224" i="6"/>
  <c r="N2223" i="6"/>
  <c r="N2222" i="6"/>
  <c r="N2221" i="6"/>
  <c r="N2220" i="6"/>
  <c r="N2219" i="6"/>
  <c r="N2218" i="6"/>
  <c r="N2217" i="6"/>
  <c r="N2216" i="6"/>
  <c r="N2215" i="6"/>
  <c r="N2214" i="6"/>
  <c r="N2213" i="6"/>
  <c r="N2212" i="6"/>
  <c r="N2211" i="6"/>
  <c r="N2210" i="6"/>
  <c r="N2209" i="6"/>
  <c r="N2208" i="6"/>
  <c r="N2207" i="6"/>
  <c r="N2206" i="6"/>
  <c r="N2205" i="6"/>
  <c r="N2204" i="6"/>
  <c r="N2203" i="6"/>
  <c r="N2202" i="6"/>
  <c r="N2201" i="6"/>
  <c r="N2200" i="6"/>
  <c r="N2199" i="6"/>
  <c r="N2198" i="6"/>
  <c r="N2197" i="6"/>
  <c r="N2196" i="6"/>
  <c r="N2195" i="6"/>
  <c r="N2194" i="6"/>
  <c r="N2193" i="6"/>
  <c r="N2192" i="6"/>
  <c r="N2191" i="6"/>
  <c r="N2190" i="6"/>
  <c r="N2189" i="6"/>
  <c r="N2188" i="6"/>
  <c r="N2187" i="6"/>
  <c r="N2186" i="6"/>
  <c r="N2185" i="6"/>
  <c r="N2184" i="6"/>
  <c r="N2183" i="6"/>
  <c r="N2182" i="6"/>
  <c r="N2181" i="6"/>
  <c r="N2180" i="6"/>
  <c r="N2179" i="6"/>
  <c r="N2178" i="6"/>
  <c r="N2177" i="6"/>
  <c r="N2176" i="6"/>
  <c r="N2175" i="6"/>
  <c r="N2174" i="6"/>
  <c r="N2173" i="6"/>
  <c r="N2172" i="6"/>
  <c r="N2171" i="6"/>
  <c r="N2170" i="6"/>
  <c r="N2169" i="6"/>
  <c r="N2168" i="6"/>
  <c r="N2167" i="6"/>
  <c r="N2166" i="6"/>
  <c r="N2165" i="6"/>
  <c r="N2164" i="6"/>
  <c r="N2163" i="6"/>
  <c r="N2162" i="6"/>
  <c r="N2161" i="6"/>
  <c r="N2160" i="6"/>
  <c r="N2159" i="6"/>
  <c r="N2158" i="6"/>
  <c r="N2157" i="6"/>
  <c r="N2156" i="6"/>
  <c r="N2155" i="6"/>
  <c r="N2154" i="6"/>
  <c r="N2153" i="6"/>
  <c r="N2152" i="6"/>
  <c r="N2151" i="6"/>
  <c r="N2150" i="6"/>
  <c r="N2149" i="6"/>
  <c r="N2148" i="6"/>
  <c r="N2147" i="6"/>
  <c r="N2146" i="6"/>
  <c r="N2145" i="6"/>
  <c r="N2144" i="6"/>
  <c r="N2143" i="6"/>
  <c r="N2142" i="6"/>
  <c r="N2141" i="6"/>
  <c r="N2140" i="6"/>
  <c r="N2139" i="6"/>
  <c r="N2138" i="6"/>
  <c r="N2137" i="6"/>
  <c r="N2136" i="6"/>
  <c r="N2135" i="6"/>
  <c r="N2134" i="6"/>
  <c r="N2133" i="6"/>
  <c r="N2132" i="6"/>
  <c r="N2131" i="6"/>
  <c r="N2130" i="6"/>
  <c r="N2129" i="6"/>
  <c r="N2128" i="6"/>
  <c r="N2127" i="6"/>
  <c r="N2126" i="6"/>
  <c r="N2125" i="6"/>
  <c r="N2124" i="6"/>
  <c r="N2123" i="6"/>
  <c r="N2122" i="6"/>
  <c r="N2121" i="6"/>
  <c r="N2120" i="6"/>
  <c r="N2119" i="6"/>
  <c r="N2118" i="6"/>
  <c r="N2117" i="6"/>
  <c r="N2116" i="6"/>
  <c r="N2115" i="6"/>
  <c r="N2114" i="6"/>
  <c r="N2113" i="6"/>
  <c r="N2112" i="6"/>
  <c r="N2111" i="6"/>
  <c r="N2110" i="6"/>
  <c r="N2109" i="6"/>
  <c r="N2108" i="6"/>
  <c r="N2107" i="6"/>
  <c r="N2106" i="6"/>
  <c r="N2105" i="6"/>
  <c r="N2104" i="6"/>
  <c r="N2103" i="6"/>
  <c r="N2102" i="6"/>
  <c r="N2101" i="6"/>
  <c r="N2100" i="6"/>
  <c r="N2099" i="6"/>
  <c r="N2098" i="6"/>
  <c r="N2097" i="6"/>
  <c r="N2096" i="6"/>
  <c r="N2095" i="6"/>
  <c r="N2094" i="6"/>
  <c r="N2093" i="6"/>
  <c r="N2092" i="6"/>
  <c r="N2091" i="6"/>
  <c r="N2090" i="6"/>
  <c r="N2089" i="6"/>
  <c r="N2088" i="6"/>
  <c r="N2087" i="6"/>
  <c r="N2086" i="6"/>
  <c r="N2085" i="6"/>
  <c r="N2084" i="6"/>
  <c r="N2083" i="6"/>
  <c r="N2082" i="6"/>
  <c r="N2081" i="6"/>
  <c r="N2080" i="6"/>
  <c r="N2079" i="6"/>
  <c r="N2078" i="6"/>
  <c r="N2077" i="6"/>
  <c r="N2076" i="6"/>
  <c r="N2075" i="6"/>
  <c r="N2074" i="6"/>
  <c r="N2073" i="6"/>
  <c r="N2072" i="6"/>
  <c r="N2071" i="6"/>
  <c r="N2070" i="6"/>
  <c r="N2069" i="6"/>
  <c r="N2068" i="6"/>
  <c r="N2067" i="6"/>
  <c r="N2066" i="6"/>
  <c r="N2065" i="6"/>
  <c r="N2064" i="6"/>
  <c r="N2063" i="6"/>
  <c r="N2062" i="6"/>
  <c r="N2061" i="6"/>
  <c r="N2060" i="6"/>
  <c r="N2059" i="6"/>
  <c r="N2058" i="6"/>
  <c r="N2057" i="6"/>
  <c r="N2056" i="6"/>
  <c r="N2055" i="6"/>
  <c r="N2054" i="6"/>
  <c r="N2053" i="6"/>
  <c r="N2052" i="6"/>
  <c r="N2051" i="6"/>
  <c r="N2050" i="6"/>
  <c r="N2049" i="6"/>
  <c r="N2048" i="6"/>
  <c r="N2047" i="6"/>
  <c r="N2046" i="6"/>
  <c r="N2045" i="6"/>
  <c r="N2044" i="6"/>
  <c r="N2043" i="6"/>
  <c r="N2042" i="6"/>
  <c r="N2041" i="6"/>
  <c r="N2040" i="6"/>
  <c r="N2039" i="6"/>
  <c r="N2038" i="6"/>
  <c r="N2037" i="6"/>
  <c r="N2036" i="6"/>
  <c r="N2035" i="6"/>
  <c r="N2034" i="6"/>
  <c r="N2033" i="6"/>
  <c r="N2032" i="6"/>
  <c r="N2031" i="6"/>
  <c r="N2030" i="6"/>
  <c r="N2029" i="6"/>
  <c r="N2028" i="6"/>
  <c r="N2027" i="6"/>
  <c r="N2026" i="6"/>
  <c r="N2025" i="6"/>
  <c r="N2024" i="6"/>
  <c r="N2023" i="6"/>
  <c r="N2022" i="6"/>
  <c r="N2021" i="6"/>
  <c r="N2020" i="6"/>
  <c r="N2019" i="6"/>
  <c r="N2018" i="6"/>
  <c r="N2017" i="6"/>
  <c r="N2016" i="6"/>
  <c r="N2015" i="6"/>
  <c r="N2014" i="6"/>
  <c r="N2013" i="6"/>
  <c r="N2012" i="6"/>
  <c r="N2011" i="6"/>
  <c r="N2010" i="6"/>
  <c r="N2009" i="6"/>
  <c r="N2008" i="6"/>
  <c r="N2007" i="6"/>
  <c r="N2006" i="6"/>
  <c r="N2005" i="6"/>
  <c r="N2004" i="6"/>
  <c r="N2003" i="6"/>
  <c r="N2002" i="6"/>
  <c r="N2001" i="6"/>
  <c r="N2000" i="6"/>
  <c r="N1999" i="6"/>
  <c r="N1998" i="6"/>
  <c r="N1997" i="6"/>
  <c r="N1996" i="6"/>
  <c r="N1995" i="6"/>
  <c r="N1994" i="6"/>
  <c r="N1991" i="6"/>
  <c r="N1988" i="6"/>
  <c r="N1987" i="6"/>
  <c r="N1986" i="6"/>
  <c r="N1985" i="6"/>
  <c r="N1984" i="6"/>
  <c r="N1983" i="6"/>
  <c r="N1982" i="6"/>
  <c r="N1981" i="6"/>
  <c r="N1980" i="6"/>
  <c r="N1979" i="6"/>
  <c r="N1978" i="6"/>
  <c r="N1977" i="6"/>
  <c r="N1976" i="6"/>
  <c r="N1975" i="6"/>
  <c r="N1974" i="6"/>
  <c r="N1973" i="6"/>
  <c r="N1972" i="6"/>
  <c r="N1971" i="6"/>
  <c r="N1970" i="6"/>
  <c r="N1969" i="6"/>
  <c r="N1968" i="6"/>
  <c r="N1967" i="6"/>
  <c r="N1966" i="6"/>
  <c r="N1965" i="6"/>
  <c r="N1964" i="6"/>
  <c r="N1963" i="6"/>
  <c r="N1962" i="6"/>
  <c r="N1961" i="6"/>
  <c r="N1960" i="6"/>
  <c r="N1959" i="6"/>
  <c r="N1958" i="6"/>
  <c r="N1957" i="6"/>
  <c r="N1956" i="6"/>
  <c r="N1955" i="6"/>
  <c r="N1954" i="6"/>
  <c r="N1953" i="6"/>
  <c r="N1952" i="6"/>
  <c r="N1950" i="6"/>
  <c r="N1949" i="6"/>
  <c r="N1948" i="6"/>
  <c r="N1947" i="6"/>
  <c r="N1946" i="6"/>
  <c r="N1945" i="6"/>
  <c r="N1944" i="6"/>
  <c r="N1943" i="6"/>
  <c r="N1942" i="6"/>
  <c r="N1941" i="6"/>
  <c r="N1940" i="6"/>
  <c r="N1939" i="6"/>
  <c r="N1938" i="6"/>
  <c r="N1937" i="6"/>
  <c r="N1936" i="6"/>
  <c r="N1935" i="6"/>
  <c r="N1933" i="6"/>
  <c r="N1932" i="6"/>
  <c r="N1931" i="6"/>
  <c r="N1930" i="6"/>
  <c r="N1929" i="6"/>
  <c r="N1927" i="6"/>
  <c r="N1926" i="6"/>
  <c r="N1925" i="6"/>
  <c r="N1924" i="6"/>
  <c r="N1923" i="6"/>
  <c r="N1922" i="6"/>
  <c r="N1921" i="6"/>
  <c r="N1920" i="6"/>
  <c r="N1919" i="6"/>
  <c r="N1918" i="6"/>
  <c r="N1917" i="6"/>
  <c r="N1916" i="6"/>
  <c r="N1915" i="6"/>
  <c r="N1914" i="6"/>
  <c r="N1913" i="6"/>
  <c r="N1912" i="6"/>
  <c r="N1911" i="6"/>
  <c r="N1910" i="6"/>
  <c r="N1907" i="6"/>
  <c r="N1906" i="6"/>
  <c r="N1905" i="6"/>
  <c r="N1904" i="6"/>
  <c r="N1903" i="6"/>
  <c r="N1902" i="6"/>
  <c r="N1901" i="6"/>
  <c r="N1900" i="6"/>
  <c r="N1899" i="6"/>
  <c r="N1898" i="6"/>
  <c r="N1897" i="6"/>
  <c r="N1896" i="6"/>
  <c r="N1895" i="6"/>
  <c r="N1894" i="6"/>
  <c r="N1893" i="6"/>
  <c r="N1892" i="6"/>
  <c r="N1891" i="6"/>
  <c r="N1890" i="6"/>
  <c r="N1889" i="6"/>
  <c r="N1888" i="6"/>
  <c r="N1887" i="6"/>
  <c r="N1886" i="6"/>
  <c r="N1885" i="6"/>
  <c r="N1883" i="6"/>
  <c r="N1882" i="6"/>
  <c r="N1881" i="6"/>
  <c r="N1880" i="6"/>
  <c r="N1879" i="6"/>
  <c r="N1875" i="6"/>
  <c r="N1878" i="6"/>
  <c r="N1877" i="6"/>
  <c r="N1876" i="6"/>
  <c r="N1874" i="6"/>
  <c r="N1873" i="6"/>
  <c r="N1872" i="6"/>
  <c r="N1871" i="6"/>
  <c r="N1869" i="6"/>
  <c r="N1868" i="6"/>
  <c r="N1867" i="6"/>
  <c r="N1866" i="6"/>
  <c r="N1865" i="6"/>
  <c r="N1864" i="6"/>
  <c r="N1863" i="6"/>
  <c r="N1862" i="6"/>
  <c r="N1860" i="6"/>
  <c r="N1859" i="6"/>
  <c r="N1858" i="6"/>
  <c r="N1857" i="6"/>
  <c r="N1856" i="6"/>
  <c r="N1855" i="6"/>
  <c r="N1854" i="6"/>
  <c r="N1853" i="6"/>
  <c r="N1852" i="6"/>
  <c r="N1851" i="6"/>
  <c r="N1850" i="6"/>
  <c r="N1849" i="6"/>
  <c r="N1848" i="6"/>
  <c r="N1846" i="6"/>
  <c r="N1845" i="6"/>
  <c r="N1844" i="6"/>
  <c r="N1843" i="6"/>
  <c r="N1841" i="6"/>
  <c r="N1840" i="6"/>
  <c r="N1839" i="6"/>
  <c r="N1838" i="6"/>
  <c r="N1837" i="6"/>
  <c r="N1836" i="6"/>
  <c r="N1835" i="6"/>
  <c r="N1834" i="6"/>
  <c r="N1832" i="6"/>
  <c r="N1831" i="6"/>
  <c r="N1830" i="6"/>
  <c r="N1829" i="6"/>
  <c r="N1828" i="6"/>
  <c r="N1827" i="6"/>
  <c r="N1826" i="6"/>
  <c r="N1825" i="6"/>
  <c r="N1824" i="6"/>
  <c r="N1823" i="6"/>
  <c r="N1816" i="6"/>
  <c r="N1815" i="6"/>
  <c r="N1814" i="6"/>
  <c r="N1813" i="6"/>
  <c r="N1812" i="6"/>
  <c r="N1811" i="6"/>
  <c r="N1810" i="6"/>
  <c r="N1808" i="6"/>
  <c r="N1807" i="6"/>
  <c r="N1806" i="6"/>
  <c r="N1805" i="6"/>
  <c r="N1804" i="6"/>
  <c r="N1803" i="6"/>
  <c r="N1801" i="6"/>
  <c r="N1800" i="6"/>
  <c r="N1799" i="6"/>
  <c r="N1798" i="6"/>
  <c r="N1797" i="6"/>
  <c r="N1796" i="6"/>
  <c r="N1795" i="6"/>
  <c r="N1794" i="6"/>
  <c r="N1793" i="6"/>
  <c r="N1792" i="6"/>
  <c r="N1791" i="6"/>
  <c r="N1790" i="6"/>
  <c r="N1789" i="6"/>
  <c r="N1788" i="6"/>
  <c r="N1787" i="6"/>
  <c r="N1786" i="6"/>
  <c r="N1785" i="6"/>
  <c r="N1783" i="6"/>
  <c r="N1782" i="6"/>
  <c r="N1781" i="6"/>
  <c r="N1780" i="6"/>
  <c r="N1779" i="6"/>
  <c r="N1777" i="6"/>
  <c r="N1776" i="6"/>
  <c r="N1775" i="6"/>
  <c r="N1774" i="6"/>
  <c r="N1773" i="6"/>
  <c r="N1772" i="6"/>
  <c r="N1769" i="6"/>
  <c r="N1768" i="6"/>
  <c r="N1767" i="6"/>
  <c r="N1766" i="6"/>
  <c r="N1765" i="6"/>
  <c r="N1764" i="6"/>
  <c r="N1763" i="6"/>
  <c r="N1762" i="6"/>
  <c r="N1761" i="6"/>
  <c r="N1760" i="6"/>
  <c r="N1759" i="6"/>
  <c r="N1758" i="6"/>
  <c r="N1757" i="6"/>
  <c r="N1756" i="6"/>
  <c r="N1755" i="6"/>
  <c r="N1754" i="6"/>
  <c r="N1753" i="6"/>
  <c r="N1752" i="6"/>
  <c r="N1751" i="6"/>
  <c r="N1750" i="6"/>
  <c r="N1749" i="6"/>
  <c r="N1748" i="6"/>
  <c r="N1747" i="6"/>
  <c r="N1746" i="6"/>
  <c r="N1745" i="6"/>
  <c r="N1744" i="6"/>
  <c r="N1743" i="6"/>
  <c r="N1741" i="6"/>
  <c r="N1739" i="6"/>
  <c r="N1738" i="6"/>
  <c r="N1737" i="6"/>
  <c r="N1736" i="6"/>
  <c r="N1735" i="6"/>
  <c r="N1734" i="6"/>
  <c r="N1733" i="6"/>
  <c r="N1732" i="6"/>
  <c r="N1731" i="6"/>
  <c r="N1730" i="6"/>
  <c r="N1729" i="6"/>
  <c r="N1728" i="6"/>
  <c r="N1727" i="6"/>
  <c r="N1726" i="6"/>
  <c r="N1725" i="6"/>
  <c r="N1724" i="6"/>
  <c r="N1723" i="6"/>
  <c r="N1722" i="6"/>
  <c r="N1721" i="6"/>
  <c r="N1720" i="6"/>
  <c r="N1719" i="6"/>
  <c r="N1718" i="6"/>
  <c r="N1717" i="6"/>
  <c r="N1716" i="6"/>
  <c r="N1715" i="6"/>
  <c r="N1713" i="6"/>
  <c r="N1714" i="6"/>
  <c r="N1712" i="6"/>
  <c r="N1711" i="6"/>
  <c r="N1709" i="6"/>
  <c r="N1706" i="6"/>
  <c r="N1705" i="6"/>
  <c r="N1704" i="6"/>
  <c r="N1703" i="6"/>
  <c r="N1702" i="6"/>
  <c r="N1701" i="6"/>
  <c r="N1700" i="6"/>
  <c r="N1699" i="6"/>
  <c r="N1698" i="6"/>
  <c r="N1697" i="6"/>
  <c r="N1696" i="6"/>
  <c r="N1693" i="6"/>
  <c r="N1692" i="6"/>
  <c r="N1691" i="6"/>
  <c r="N1690" i="6"/>
  <c r="N1689" i="6"/>
  <c r="N1686" i="6"/>
  <c r="N1684" i="6"/>
  <c r="N1682" i="6"/>
  <c r="N1681" i="6"/>
  <c r="N1680" i="6"/>
  <c r="N1679" i="6"/>
  <c r="N1678" i="6"/>
  <c r="N1677" i="6"/>
  <c r="N1676" i="6"/>
  <c r="N1675" i="6"/>
  <c r="N1673" i="6"/>
  <c r="N1672" i="6"/>
  <c r="N1671" i="6"/>
  <c r="N1670" i="6"/>
  <c r="N1669" i="6"/>
  <c r="N1668" i="6"/>
  <c r="N1667" i="6"/>
  <c r="N1666" i="6"/>
  <c r="N1665" i="6"/>
  <c r="N1664" i="6"/>
  <c r="N1663" i="6"/>
  <c r="N1662" i="6"/>
  <c r="N1661" i="6"/>
  <c r="N1660" i="6"/>
  <c r="N1659" i="6"/>
  <c r="N1658" i="6"/>
  <c r="N1657" i="6"/>
  <c r="N1656" i="6"/>
  <c r="N1655" i="6"/>
  <c r="N1654" i="6"/>
  <c r="N1653" i="6"/>
  <c r="N1652" i="6"/>
  <c r="N1651" i="6"/>
  <c r="N1650" i="6"/>
  <c r="N1649" i="6"/>
  <c r="N1648" i="6"/>
  <c r="N1646" i="6"/>
  <c r="N1645" i="6"/>
  <c r="N1642" i="6"/>
  <c r="N1641" i="6"/>
  <c r="N1640" i="6"/>
  <c r="N1639" i="6"/>
  <c r="N1638" i="6"/>
  <c r="N1637" i="6"/>
  <c r="N1636" i="6"/>
  <c r="N1635" i="6"/>
  <c r="N1634" i="6"/>
  <c r="N1633" i="6"/>
  <c r="N1632" i="6"/>
  <c r="N1631" i="6"/>
  <c r="N1630" i="6"/>
  <c r="N1628" i="6"/>
  <c r="N1627" i="6"/>
  <c r="N1626" i="6"/>
  <c r="N1625" i="6"/>
  <c r="N1624" i="6"/>
  <c r="N1623" i="6"/>
  <c r="N1622" i="6"/>
  <c r="N1621" i="6"/>
  <c r="N1620" i="6"/>
  <c r="N1619" i="6"/>
  <c r="N1618" i="6"/>
  <c r="N1617" i="6"/>
  <c r="N1616" i="6"/>
  <c r="N1615" i="6"/>
  <c r="N1614" i="6"/>
  <c r="N1613" i="6"/>
  <c r="N1612" i="6"/>
  <c r="N1611" i="6"/>
  <c r="N1610" i="6"/>
  <c r="N1609" i="6"/>
  <c r="N1608" i="6"/>
  <c r="N1607" i="6"/>
  <c r="N1606" i="6"/>
  <c r="N1605" i="6"/>
  <c r="N1604" i="6"/>
  <c r="N1603" i="6"/>
  <c r="N1602" i="6"/>
  <c r="N1600" i="6"/>
  <c r="N1599" i="6"/>
  <c r="N1598" i="6"/>
  <c r="N1597" i="6"/>
  <c r="N1596" i="6"/>
  <c r="N1595" i="6"/>
  <c r="N1594" i="6"/>
  <c r="N1593" i="6"/>
  <c r="N1592" i="6"/>
  <c r="N1591" i="6"/>
  <c r="N1590" i="6"/>
  <c r="N1589" i="6"/>
  <c r="N1588" i="6"/>
  <c r="N1587" i="6"/>
  <c r="N1586" i="6"/>
  <c r="N1585" i="6"/>
  <c r="N1584" i="6"/>
  <c r="N1583" i="6"/>
  <c r="N1582" i="6"/>
  <c r="N1581" i="6"/>
  <c r="N1580" i="6"/>
  <c r="N1579" i="6"/>
  <c r="N1576" i="6"/>
  <c r="N1575" i="6"/>
  <c r="N1574" i="6"/>
  <c r="N1565" i="6"/>
  <c r="N1569" i="6"/>
  <c r="N1567" i="6"/>
  <c r="N1566" i="6"/>
  <c r="N1564" i="6"/>
  <c r="N1563" i="6"/>
  <c r="N1562" i="6"/>
  <c r="N1560" i="6"/>
  <c r="N1559" i="6"/>
  <c r="N1558" i="6"/>
  <c r="N1557" i="6"/>
  <c r="N1556" i="6"/>
  <c r="N1554" i="6"/>
  <c r="N1553" i="6"/>
  <c r="N1552" i="6"/>
  <c r="N1551" i="6"/>
  <c r="N1550" i="6"/>
  <c r="N1549" i="6"/>
  <c r="N1555" i="6"/>
  <c r="N1548" i="6"/>
  <c r="N1547" i="6"/>
  <c r="N1546" i="6"/>
  <c r="N1545" i="6"/>
  <c r="N1544" i="6"/>
  <c r="N1543" i="6"/>
  <c r="N1542" i="6"/>
  <c r="N1541" i="6"/>
  <c r="N1540" i="6"/>
  <c r="N1539" i="6"/>
  <c r="N1538" i="6"/>
  <c r="N1537" i="6"/>
  <c r="N1536" i="6"/>
  <c r="N1535" i="6"/>
  <c r="N1534" i="6"/>
  <c r="N1530" i="6"/>
  <c r="N1528" i="6"/>
  <c r="N1527" i="6"/>
  <c r="N1526" i="6"/>
  <c r="N1525" i="6"/>
  <c r="N1524" i="6"/>
  <c r="N1523" i="6"/>
  <c r="N1522" i="6"/>
  <c r="N1521" i="6"/>
  <c r="N1520" i="6"/>
  <c r="N1519" i="6"/>
  <c r="N1518" i="6"/>
  <c r="N1517" i="6"/>
  <c r="N1516" i="6"/>
  <c r="N1515" i="6"/>
  <c r="N1514" i="6"/>
  <c r="N1513" i="6"/>
  <c r="N1512" i="6"/>
  <c r="N1511" i="6"/>
  <c r="N1510" i="6"/>
  <c r="N1508" i="6"/>
  <c r="N1507" i="6"/>
  <c r="N1506" i="6"/>
  <c r="N1505" i="6"/>
  <c r="N1504" i="6"/>
  <c r="N1503" i="6"/>
  <c r="N1501" i="6"/>
  <c r="N1500" i="6"/>
  <c r="N1499" i="6"/>
  <c r="N1498" i="6"/>
  <c r="N1497" i="6"/>
  <c r="N1496" i="6"/>
  <c r="N1495" i="6"/>
  <c r="N1494" i="6"/>
  <c r="N1493" i="6"/>
  <c r="N1492" i="6"/>
  <c r="N1491" i="6"/>
  <c r="N1490" i="6"/>
  <c r="N1531" i="6"/>
  <c r="N1489" i="6"/>
  <c r="N1488" i="6"/>
  <c r="N1487" i="6"/>
  <c r="N1486" i="6"/>
  <c r="N1485" i="6"/>
  <c r="N1502" i="6"/>
  <c r="N1484" i="6"/>
  <c r="N1483" i="6"/>
  <c r="N1482" i="6"/>
  <c r="N1481" i="6"/>
  <c r="N1480" i="6"/>
  <c r="N1479" i="6"/>
  <c r="N1478" i="6"/>
  <c r="N1477" i="6"/>
  <c r="N1476" i="6"/>
  <c r="N1475" i="6"/>
  <c r="N1470" i="6"/>
  <c r="N1469" i="6"/>
  <c r="N1468" i="6"/>
  <c r="N1467" i="6"/>
  <c r="N1466" i="6"/>
  <c r="N1465" i="6"/>
  <c r="N1464" i="6"/>
  <c r="N1463" i="6"/>
  <c r="N1462" i="6"/>
  <c r="N1461" i="6"/>
  <c r="N1460" i="6"/>
  <c r="N1459" i="6"/>
  <c r="N1458" i="6"/>
  <c r="N1457" i="6"/>
  <c r="N1456" i="6"/>
  <c r="N1454" i="6"/>
  <c r="N1453" i="6"/>
  <c r="N1455" i="6"/>
  <c r="N1452" i="6"/>
  <c r="N1451" i="6"/>
  <c r="N1450" i="6"/>
  <c r="N1449" i="6"/>
  <c r="N1448" i="6"/>
  <c r="N1447" i="6"/>
  <c r="N1444" i="6"/>
  <c r="N1443" i="6"/>
  <c r="N1442" i="6"/>
  <c r="N1441" i="6"/>
  <c r="N1440" i="6"/>
  <c r="N1439" i="6"/>
  <c r="N1438" i="6"/>
  <c r="N1437" i="6"/>
  <c r="N1436" i="6"/>
  <c r="N1435" i="6"/>
  <c r="N1434" i="6"/>
  <c r="N1432" i="6"/>
  <c r="N1431" i="6"/>
  <c r="N1430" i="6"/>
  <c r="N1429" i="6"/>
  <c r="N1428" i="6"/>
  <c r="N1427" i="6"/>
  <c r="N1426" i="6"/>
  <c r="N1425" i="6"/>
  <c r="N1424" i="6"/>
  <c r="N1423" i="6"/>
  <c r="N1422" i="6"/>
  <c r="N1421" i="6"/>
  <c r="N1420" i="6"/>
  <c r="N1419" i="6"/>
  <c r="N1418" i="6"/>
  <c r="N1417" i="6"/>
  <c r="N1416" i="6"/>
  <c r="N1415" i="6"/>
  <c r="N1414" i="6"/>
  <c r="N1413" i="6"/>
  <c r="N1412" i="6"/>
  <c r="N1411" i="6"/>
  <c r="N1410" i="6"/>
  <c r="N1409" i="6"/>
  <c r="N1408" i="6"/>
  <c r="N1407" i="6"/>
  <c r="N1406" i="6"/>
  <c r="N1405" i="6"/>
  <c r="N1404" i="6"/>
  <c r="N1403" i="6"/>
  <c r="N1402" i="6"/>
  <c r="N1401" i="6"/>
  <c r="N1400" i="6"/>
  <c r="N1399" i="6"/>
  <c r="N1398" i="6"/>
  <c r="N1397" i="6"/>
  <c r="N1396" i="6"/>
  <c r="N1395" i="6"/>
  <c r="N1394" i="6"/>
  <c r="N1393" i="6"/>
  <c r="N1392" i="6"/>
  <c r="N1391" i="6"/>
  <c r="N1390" i="6"/>
  <c r="N1389" i="6"/>
  <c r="N1388" i="6"/>
  <c r="N1386" i="6"/>
  <c r="N1385" i="6"/>
  <c r="N1384" i="6"/>
  <c r="N1381" i="6"/>
  <c r="N1379" i="6"/>
  <c r="N1378" i="6"/>
  <c r="N1377" i="6"/>
  <c r="N1375" i="6"/>
  <c r="N1373" i="6"/>
  <c r="N1371" i="6"/>
  <c r="N1370" i="6"/>
  <c r="N1369" i="6"/>
  <c r="N1363" i="6"/>
  <c r="N1360" i="6"/>
  <c r="N1359" i="6"/>
  <c r="N1357" i="6"/>
  <c r="N1356" i="6"/>
  <c r="N1353" i="6"/>
  <c r="N1352" i="6"/>
  <c r="N1350" i="6"/>
  <c r="N1349" i="6"/>
  <c r="N1339" i="6"/>
  <c r="N1338" i="6"/>
  <c r="N1337" i="6"/>
  <c r="N1336" i="6"/>
  <c r="N1335" i="6"/>
  <c r="N1332" i="6"/>
  <c r="N1328" i="6"/>
  <c r="N1326" i="6"/>
  <c r="N1325" i="6"/>
  <c r="N1324" i="6"/>
  <c r="N1322" i="6"/>
  <c r="N1320" i="6"/>
  <c r="N1319" i="6"/>
  <c r="N1318" i="6"/>
  <c r="N1317" i="6"/>
  <c r="N1316" i="6"/>
  <c r="N1315" i="6"/>
  <c r="N1314" i="6"/>
  <c r="N1313" i="6"/>
  <c r="N1312" i="6"/>
  <c r="N1311" i="6"/>
  <c r="N1310" i="6"/>
  <c r="N1308" i="6"/>
  <c r="N1306" i="6"/>
  <c r="N1304" i="6"/>
  <c r="N1303" i="6"/>
  <c r="N1302" i="6"/>
  <c r="N1301" i="6"/>
  <c r="N1300" i="6"/>
  <c r="N1297" i="6"/>
  <c r="N1296" i="6"/>
  <c r="N1295" i="6"/>
  <c r="N1292" i="6"/>
  <c r="N1290" i="6"/>
  <c r="N1289" i="6"/>
  <c r="N1288" i="6"/>
  <c r="N1287" i="6"/>
  <c r="N1286" i="6"/>
  <c r="N1285" i="6"/>
  <c r="N1284" i="6"/>
  <c r="N1283" i="6"/>
  <c r="N1282" i="6"/>
  <c r="N1281" i="6"/>
  <c r="N1280" i="6"/>
  <c r="N1279" i="6"/>
  <c r="N1278" i="6"/>
  <c r="N1277" i="6"/>
  <c r="N1276" i="6"/>
  <c r="N1275" i="6"/>
  <c r="N1274" i="6"/>
  <c r="N1272" i="6"/>
  <c r="N1271" i="6"/>
  <c r="N1270" i="6"/>
  <c r="N1263" i="6"/>
  <c r="N1269" i="6"/>
  <c r="N1268" i="6"/>
  <c r="N1267" i="6"/>
  <c r="N1266" i="6"/>
  <c r="N1265" i="6"/>
  <c r="N1264" i="6"/>
  <c r="N1262" i="6"/>
  <c r="N1261" i="6"/>
  <c r="N1260" i="6"/>
  <c r="N1257" i="6"/>
  <c r="N1256" i="6"/>
  <c r="N1255" i="6"/>
  <c r="N1254" i="6"/>
  <c r="N1253" i="6"/>
  <c r="N1252" i="6"/>
  <c r="N1251" i="6"/>
  <c r="N1250" i="6"/>
  <c r="N1249" i="6"/>
  <c r="N1245" i="6"/>
  <c r="N1244" i="6"/>
  <c r="N1243" i="6"/>
  <c r="N1242" i="6"/>
  <c r="N1241" i="6"/>
  <c r="N1240" i="6"/>
  <c r="N1239" i="6"/>
  <c r="N1238" i="6"/>
  <c r="N1237" i="6"/>
  <c r="N1236" i="6"/>
  <c r="N1234" i="6"/>
  <c r="N1233" i="6"/>
  <c r="N1230" i="6"/>
  <c r="N1229" i="6"/>
  <c r="N1228" i="6"/>
  <c r="N1227" i="6"/>
  <c r="N1226" i="6"/>
  <c r="N1225" i="6"/>
  <c r="N1224" i="6"/>
  <c r="N1222" i="6"/>
  <c r="N1220" i="6"/>
  <c r="N1219" i="6"/>
  <c r="N1218" i="6"/>
  <c r="N1217" i="6"/>
  <c r="N1216" i="6"/>
  <c r="N1215" i="6"/>
  <c r="N1214" i="6"/>
  <c r="N1213" i="6"/>
  <c r="N1212" i="6"/>
  <c r="N1211" i="6"/>
  <c r="N1210" i="6"/>
  <c r="N1208" i="6"/>
  <c r="N1206" i="6"/>
  <c r="N1205" i="6"/>
  <c r="N1204" i="6"/>
  <c r="N1203" i="6"/>
  <c r="N1202" i="6"/>
  <c r="N1201" i="6"/>
  <c r="N1200" i="6"/>
  <c r="N1199" i="6"/>
  <c r="N1198" i="6"/>
  <c r="N1197" i="6"/>
  <c r="N1196" i="6"/>
  <c r="N1195" i="6"/>
  <c r="N1194" i="6"/>
  <c r="N1191" i="6"/>
  <c r="N1190" i="6"/>
  <c r="N1189" i="6"/>
  <c r="N1188" i="6"/>
  <c r="N1187" i="6"/>
  <c r="N1186" i="6"/>
  <c r="N1185" i="6"/>
  <c r="N1184" i="6"/>
  <c r="N1183" i="6"/>
  <c r="N1182" i="6"/>
  <c r="N1181" i="6"/>
  <c r="N1180" i="6"/>
  <c r="N1179" i="6"/>
  <c r="N1178" i="6"/>
  <c r="N1177" i="6"/>
  <c r="N1176" i="6"/>
  <c r="N1175" i="6"/>
  <c r="N1174" i="6"/>
  <c r="N1173" i="6"/>
  <c r="N1172" i="6"/>
  <c r="N1171" i="6"/>
  <c r="N1170" i="6"/>
  <c r="N1169" i="6"/>
  <c r="N1168" i="6"/>
  <c r="N1161" i="6"/>
  <c r="N1160" i="6"/>
  <c r="N1159" i="6"/>
  <c r="N1158" i="6"/>
  <c r="N1157" i="6"/>
  <c r="N1155" i="6"/>
  <c r="N1154" i="6"/>
  <c r="N1153" i="6"/>
  <c r="N1151" i="6"/>
  <c r="N1150" i="6"/>
  <c r="N1149" i="6"/>
  <c r="N1146" i="6"/>
  <c r="N1144" i="6"/>
  <c r="N1143" i="6"/>
  <c r="N1142" i="6"/>
  <c r="N1141" i="6"/>
  <c r="N1140" i="6"/>
  <c r="N1139" i="6"/>
  <c r="N1138" i="6"/>
  <c r="N1137" i="6"/>
  <c r="N1136" i="6"/>
  <c r="N1135" i="6"/>
  <c r="N1134" i="6"/>
  <c r="N1133" i="6"/>
  <c r="N1132" i="6"/>
  <c r="N1130" i="6"/>
  <c r="N1129" i="6"/>
  <c r="N1128" i="6"/>
  <c r="N1127" i="6"/>
  <c r="N1126" i="6"/>
  <c r="N1125" i="6"/>
  <c r="N1119" i="6"/>
  <c r="N1124" i="6"/>
  <c r="N1123" i="6"/>
  <c r="N1121" i="6"/>
  <c r="N1120" i="6"/>
  <c r="N1118" i="6"/>
  <c r="N1117" i="6"/>
  <c r="N1116" i="6"/>
  <c r="N1115" i="6"/>
  <c r="N1114" i="6"/>
  <c r="N1113" i="6"/>
  <c r="N1112" i="6"/>
  <c r="N1111" i="6"/>
  <c r="N1109" i="6"/>
  <c r="N1108" i="6"/>
  <c r="N1107" i="6"/>
  <c r="N1106" i="6"/>
  <c r="N1105" i="6"/>
  <c r="N1104" i="6"/>
  <c r="N1103" i="6"/>
  <c r="N1102" i="6"/>
  <c r="N1110" i="6"/>
  <c r="N1101" i="6"/>
  <c r="N1100" i="6"/>
  <c r="N1099" i="6"/>
  <c r="N1098" i="6"/>
  <c r="N1093" i="6"/>
  <c r="N1097" i="6"/>
  <c r="N1096" i="6"/>
  <c r="N1095" i="6"/>
  <c r="N1094" i="6"/>
  <c r="N1092" i="6"/>
  <c r="N1091" i="6"/>
  <c r="N1090" i="6"/>
  <c r="N1089" i="6"/>
  <c r="N1088" i="6"/>
  <c r="N1087" i="6"/>
  <c r="N1086" i="6"/>
  <c r="N1085" i="6"/>
  <c r="N1079" i="6"/>
  <c r="N1084" i="6"/>
  <c r="N1078" i="6"/>
  <c r="N1077" i="6"/>
  <c r="N1080" i="6"/>
  <c r="N1073" i="6"/>
  <c r="N1076" i="6"/>
  <c r="N1075" i="6"/>
  <c r="N1072" i="6"/>
  <c r="N1071" i="6"/>
  <c r="N1070" i="6"/>
  <c r="N1074" i="6"/>
  <c r="N1068" i="6"/>
  <c r="N1067" i="6"/>
  <c r="N1066" i="6"/>
  <c r="N1069" i="6"/>
  <c r="N1065" i="6"/>
  <c r="N1064" i="6"/>
  <c r="N1063" i="6"/>
  <c r="N1062" i="6"/>
  <c r="N1058" i="6"/>
  <c r="N1057" i="6"/>
  <c r="N1056" i="6"/>
  <c r="N1055" i="6"/>
  <c r="N1061" i="6"/>
  <c r="N1060" i="6"/>
  <c r="N1054" i="6"/>
  <c r="N1059" i="6"/>
  <c r="N1048" i="6"/>
  <c r="N1047" i="6"/>
  <c r="N1052" i="6"/>
  <c r="N1051" i="6"/>
  <c r="N1050" i="6"/>
  <c r="N1049" i="6"/>
  <c r="N1046" i="6"/>
  <c r="N1045" i="6"/>
  <c r="N1044" i="6"/>
  <c r="N1043" i="6"/>
  <c r="N1042" i="6"/>
  <c r="N1041" i="6"/>
  <c r="N1040" i="6"/>
  <c r="N1039" i="6"/>
  <c r="N1038" i="6"/>
  <c r="N1037" i="6"/>
  <c r="G4070" i="6"/>
  <c r="G4069" i="6"/>
  <c r="G4068" i="6"/>
  <c r="G4067" i="6"/>
  <c r="G4066" i="6"/>
  <c r="G4065" i="6"/>
  <c r="G4064" i="6"/>
  <c r="G4063" i="6"/>
  <c r="G4062" i="6"/>
  <c r="G4061" i="6"/>
  <c r="G4060" i="6"/>
  <c r="G4059" i="6"/>
  <c r="G4058" i="6"/>
  <c r="G4057" i="6"/>
  <c r="G4056" i="6"/>
  <c r="G4055" i="6"/>
  <c r="G4054" i="6"/>
  <c r="G4053" i="6"/>
  <c r="G4052" i="6"/>
  <c r="G4051" i="6"/>
  <c r="G4050" i="6"/>
  <c r="G4049" i="6"/>
  <c r="G4048" i="6"/>
  <c r="G4047" i="6"/>
  <c r="G4046" i="6"/>
  <c r="G4045" i="6"/>
  <c r="G4044" i="6"/>
  <c r="G4043" i="6"/>
  <c r="G4042" i="6"/>
  <c r="G4041" i="6"/>
  <c r="G4040" i="6"/>
  <c r="G4039" i="6"/>
  <c r="G4038" i="6"/>
  <c r="G4037" i="6"/>
  <c r="G4036" i="6"/>
  <c r="G4035" i="6"/>
  <c r="G4034" i="6"/>
  <c r="G4033" i="6"/>
  <c r="G4032" i="6"/>
  <c r="G4031" i="6"/>
  <c r="G4030" i="6"/>
  <c r="G4029" i="6"/>
  <c r="G4028" i="6"/>
  <c r="G4027" i="6"/>
  <c r="G4026" i="6"/>
  <c r="G4025" i="6"/>
  <c r="G4024" i="6"/>
  <c r="G4023" i="6"/>
  <c r="G4022" i="6"/>
  <c r="G4021" i="6"/>
  <c r="G4020" i="6"/>
  <c r="G4019" i="6"/>
  <c r="G4018" i="6"/>
  <c r="G4017" i="6"/>
  <c r="G4016" i="6"/>
  <c r="G4015" i="6"/>
  <c r="G4014" i="6"/>
  <c r="G4013" i="6"/>
  <c r="G4012" i="6"/>
  <c r="G4011" i="6"/>
  <c r="G4010" i="6"/>
  <c r="G4009" i="6"/>
  <c r="G4008" i="6"/>
  <c r="G4007" i="6"/>
  <c r="G4006" i="6"/>
  <c r="G4005" i="6"/>
  <c r="G4004" i="6"/>
  <c r="G4003" i="6"/>
  <c r="G4002" i="6"/>
  <c r="G4001" i="6"/>
  <c r="G4000" i="6"/>
  <c r="G3999" i="6"/>
  <c r="G3998" i="6"/>
  <c r="G3997" i="6"/>
  <c r="G3996" i="6"/>
  <c r="G3995" i="6"/>
  <c r="G3994" i="6"/>
  <c r="G3993" i="6"/>
  <c r="G3992" i="6"/>
  <c r="G3991" i="6"/>
  <c r="G3990" i="6"/>
  <c r="G3989" i="6"/>
  <c r="G3988" i="6"/>
  <c r="G3987" i="6"/>
  <c r="G3986" i="6"/>
  <c r="G3985" i="6"/>
  <c r="G3984" i="6"/>
  <c r="G3983" i="6"/>
  <c r="G3982" i="6"/>
  <c r="G3981" i="6"/>
  <c r="G3980" i="6"/>
  <c r="G3979" i="6"/>
  <c r="G3978" i="6"/>
  <c r="G3977" i="6"/>
  <c r="G3976" i="6"/>
  <c r="G3975" i="6"/>
  <c r="G3974" i="6"/>
  <c r="G3973" i="6"/>
  <c r="G3972" i="6"/>
  <c r="G3971" i="6"/>
  <c r="G3970" i="6"/>
  <c r="G3969" i="6"/>
  <c r="G3968" i="6"/>
  <c r="G3967" i="6"/>
  <c r="G3966" i="6"/>
  <c r="G3965" i="6"/>
  <c r="G3964" i="6"/>
  <c r="G3963" i="6"/>
  <c r="G3962" i="6"/>
  <c r="G3961" i="6"/>
  <c r="G3960" i="6"/>
  <c r="G3959" i="6"/>
  <c r="G3958" i="6"/>
  <c r="G3957" i="6"/>
  <c r="G3956" i="6"/>
  <c r="G3955" i="6"/>
  <c r="G3954" i="6"/>
  <c r="G3953" i="6"/>
  <c r="G3952" i="6"/>
  <c r="G3951" i="6"/>
  <c r="G3950" i="6"/>
  <c r="G3949" i="6"/>
  <c r="G3948" i="6"/>
  <c r="G3947" i="6"/>
  <c r="G3946" i="6"/>
  <c r="G3945" i="6"/>
  <c r="G3944" i="6"/>
  <c r="G3943" i="6"/>
  <c r="G3942" i="6"/>
  <c r="G3941" i="6"/>
  <c r="G3940" i="6"/>
  <c r="G3939" i="6"/>
  <c r="G3938" i="6"/>
  <c r="G3937" i="6"/>
  <c r="G3936" i="6"/>
  <c r="G3935" i="6"/>
  <c r="G3934" i="6"/>
  <c r="G3933" i="6"/>
  <c r="G3932" i="6"/>
  <c r="G3931" i="6"/>
  <c r="G3930" i="6"/>
  <c r="G3929" i="6"/>
  <c r="G3928" i="6"/>
  <c r="G3927" i="6"/>
  <c r="G3926" i="6"/>
  <c r="G3925" i="6"/>
  <c r="G3924" i="6"/>
  <c r="G3923" i="6"/>
  <c r="G3922" i="6"/>
  <c r="G3921" i="6"/>
  <c r="G3920" i="6"/>
  <c r="G3919" i="6"/>
  <c r="G3918" i="6"/>
  <c r="G3917" i="6"/>
  <c r="G3916" i="6"/>
  <c r="G3915" i="6"/>
  <c r="G3914" i="6"/>
  <c r="G3913" i="6"/>
  <c r="G3912" i="6"/>
  <c r="G3911" i="6"/>
  <c r="G3910" i="6"/>
  <c r="G3909" i="6"/>
  <c r="G3908" i="6"/>
  <c r="G3907" i="6"/>
  <c r="G3906" i="6"/>
  <c r="G3905" i="6"/>
  <c r="G3904" i="6"/>
  <c r="G3903" i="6"/>
  <c r="G3902" i="6"/>
  <c r="G3901" i="6"/>
  <c r="G3900" i="6"/>
  <c r="G3899" i="6"/>
  <c r="G3898" i="6"/>
  <c r="G3897" i="6"/>
  <c r="G3896" i="6"/>
  <c r="G3895" i="6"/>
  <c r="G3894" i="6"/>
  <c r="G3893" i="6"/>
  <c r="G3892" i="6"/>
  <c r="G3891" i="6"/>
  <c r="G3890" i="6"/>
  <c r="G3889" i="6"/>
  <c r="G3888" i="6"/>
  <c r="G3887" i="6"/>
  <c r="G3886" i="6"/>
  <c r="G3885" i="6"/>
  <c r="G3884" i="6"/>
  <c r="G3883" i="6"/>
  <c r="G3882" i="6"/>
  <c r="G3881" i="6"/>
  <c r="G3880" i="6"/>
  <c r="G3879" i="6"/>
  <c r="G3878" i="6"/>
  <c r="G3877" i="6"/>
  <c r="G3876" i="6"/>
  <c r="G3875" i="6"/>
  <c r="G3874" i="6"/>
  <c r="G3873" i="6"/>
  <c r="G3872" i="6"/>
  <c r="G3871" i="6"/>
  <c r="G3870" i="6"/>
  <c r="G3869" i="6"/>
  <c r="G3868" i="6"/>
  <c r="G3867" i="6"/>
  <c r="G3866" i="6"/>
  <c r="G3865" i="6"/>
  <c r="G3864" i="6"/>
  <c r="G3863" i="6"/>
  <c r="G3862" i="6"/>
  <c r="G3861" i="6"/>
  <c r="G3860" i="6"/>
  <c r="G3859" i="6"/>
  <c r="G3858" i="6"/>
  <c r="G3857" i="6"/>
  <c r="G3856" i="6"/>
  <c r="G3855" i="6"/>
  <c r="G3854" i="6"/>
  <c r="G3853" i="6"/>
  <c r="G3852" i="6"/>
  <c r="G3851" i="6"/>
  <c r="G3850" i="6"/>
  <c r="G3849" i="6"/>
  <c r="G3848" i="6"/>
  <c r="G3847" i="6"/>
  <c r="G3846" i="6"/>
  <c r="G3845" i="6"/>
  <c r="G3844" i="6"/>
  <c r="G3843" i="6"/>
  <c r="G3842" i="6"/>
  <c r="G3841" i="6"/>
  <c r="G3840" i="6"/>
  <c r="G3839" i="6"/>
  <c r="G3838" i="6"/>
  <c r="G3837" i="6"/>
  <c r="G3836" i="6"/>
  <c r="G3835" i="6"/>
  <c r="G3834" i="6"/>
  <c r="G3833" i="6"/>
  <c r="G3832" i="6"/>
  <c r="G3831" i="6"/>
  <c r="G3830" i="6"/>
  <c r="G3829" i="6"/>
  <c r="G3828" i="6"/>
  <c r="G3827" i="6"/>
  <c r="G3826" i="6"/>
  <c r="G3825" i="6"/>
  <c r="G3824" i="6"/>
  <c r="G3823" i="6"/>
  <c r="G3822" i="6"/>
  <c r="G3821" i="6"/>
  <c r="G3820" i="6"/>
  <c r="G3819" i="6"/>
  <c r="G3818" i="6"/>
  <c r="G3817" i="6"/>
  <c r="G3816" i="6"/>
  <c r="G3815" i="6"/>
  <c r="G3814" i="6"/>
  <c r="G3813" i="6"/>
  <c r="G3812" i="6"/>
  <c r="G3811" i="6"/>
  <c r="G3810" i="6"/>
  <c r="G3809" i="6"/>
  <c r="G3808" i="6"/>
  <c r="G3807" i="6"/>
  <c r="G3806" i="6"/>
  <c r="G3805" i="6"/>
  <c r="G3804" i="6"/>
  <c r="G3803" i="6"/>
  <c r="G3802" i="6"/>
  <c r="G3801" i="6"/>
  <c r="G3800" i="6"/>
  <c r="G3799" i="6"/>
  <c r="G3798" i="6"/>
  <c r="G3797" i="6"/>
  <c r="G3796" i="6"/>
  <c r="G3795" i="6"/>
  <c r="G3794" i="6"/>
  <c r="G3793" i="6"/>
  <c r="G3792" i="6"/>
  <c r="G3791" i="6"/>
  <c r="G3790" i="6"/>
  <c r="G3789" i="6"/>
  <c r="G3788" i="6"/>
  <c r="G3787" i="6"/>
  <c r="G3786" i="6"/>
  <c r="G3785" i="6"/>
  <c r="G3784" i="6"/>
  <c r="G3783" i="6"/>
  <c r="G3782" i="6"/>
  <c r="G3781" i="6"/>
  <c r="G3780" i="6"/>
  <c r="G3779" i="6"/>
  <c r="G3778" i="6"/>
  <c r="G3777" i="6"/>
  <c r="G3776" i="6"/>
  <c r="G3775" i="6"/>
  <c r="G3774" i="6"/>
  <c r="G3773" i="6"/>
  <c r="G3772" i="6"/>
  <c r="G3771" i="6"/>
  <c r="G3770" i="6"/>
  <c r="G3769" i="6"/>
  <c r="G3768" i="6"/>
  <c r="G3767" i="6"/>
  <c r="G3766" i="6"/>
  <c r="G3765" i="6"/>
  <c r="G3764" i="6"/>
  <c r="G3763" i="6"/>
  <c r="G3762" i="6"/>
  <c r="G3761" i="6"/>
  <c r="G3760" i="6"/>
  <c r="G3759" i="6"/>
  <c r="G3758" i="6"/>
  <c r="G3757" i="6"/>
  <c r="G3756" i="6"/>
  <c r="G3755" i="6"/>
  <c r="G3754" i="6"/>
  <c r="G3753" i="6"/>
  <c r="G3752" i="6"/>
  <c r="G3751" i="6"/>
  <c r="G3750" i="6"/>
  <c r="G3749" i="6"/>
  <c r="G3748" i="6"/>
  <c r="G3747" i="6"/>
  <c r="G3746" i="6"/>
  <c r="G3745" i="6"/>
  <c r="G3744" i="6"/>
  <c r="G3743" i="6"/>
  <c r="G3742" i="6"/>
  <c r="G3741" i="6"/>
  <c r="G3740" i="6"/>
  <c r="G3739" i="6"/>
  <c r="G3738" i="6"/>
  <c r="G3737" i="6"/>
  <c r="G3736" i="6"/>
  <c r="G3735" i="6"/>
  <c r="G3734" i="6"/>
  <c r="G3733" i="6"/>
  <c r="G3732" i="6"/>
  <c r="G3731" i="6"/>
  <c r="G3730" i="6"/>
  <c r="G3729" i="6"/>
  <c r="G3728" i="6"/>
  <c r="G3727" i="6"/>
  <c r="G3726" i="6"/>
  <c r="G3725" i="6"/>
  <c r="G3724" i="6"/>
  <c r="G3723" i="6"/>
  <c r="G3722" i="6"/>
  <c r="G3721" i="6"/>
  <c r="G3720" i="6"/>
  <c r="G3719" i="6"/>
  <c r="G3718" i="6"/>
  <c r="G3717" i="6"/>
  <c r="G3716" i="6"/>
  <c r="G3715" i="6"/>
  <c r="G3714" i="6"/>
  <c r="G3713" i="6"/>
  <c r="G3712" i="6"/>
  <c r="G3711" i="6"/>
  <c r="G3710" i="6"/>
  <c r="G3709" i="6"/>
  <c r="G3708" i="6"/>
  <c r="G3707" i="6"/>
  <c r="G3706" i="6"/>
  <c r="G3705" i="6"/>
  <c r="G3704" i="6"/>
  <c r="G3703" i="6"/>
  <c r="G3702" i="6"/>
  <c r="G3701" i="6"/>
  <c r="G3700" i="6"/>
  <c r="G3699" i="6"/>
  <c r="G3698" i="6"/>
  <c r="G3697" i="6"/>
  <c r="G3696" i="6"/>
  <c r="G3695" i="6"/>
  <c r="G3694" i="6"/>
  <c r="G3693" i="6"/>
  <c r="G3692" i="6"/>
  <c r="G3691" i="6"/>
  <c r="G3690" i="6"/>
  <c r="G3689" i="6"/>
  <c r="G3688" i="6"/>
  <c r="G3687" i="6"/>
  <c r="G3686" i="6"/>
  <c r="G3685" i="6"/>
  <c r="G3684" i="6"/>
  <c r="G3683" i="6"/>
  <c r="G3682" i="6"/>
  <c r="G3681" i="6"/>
  <c r="G3680" i="6"/>
  <c r="G3679" i="6"/>
  <c r="G3678" i="6"/>
  <c r="G3677" i="6"/>
  <c r="G3676" i="6"/>
  <c r="G3675" i="6"/>
  <c r="G3674" i="6"/>
  <c r="G3673" i="6"/>
  <c r="G3672" i="6"/>
  <c r="G3671" i="6"/>
  <c r="G3670" i="6"/>
  <c r="G3669" i="6"/>
  <c r="G3668" i="6"/>
  <c r="G3667" i="6"/>
  <c r="G3666" i="6"/>
  <c r="G3665" i="6"/>
  <c r="G3664" i="6"/>
  <c r="G3663" i="6"/>
  <c r="G3662" i="6"/>
  <c r="G3661" i="6"/>
  <c r="G3660" i="6"/>
  <c r="G3659" i="6"/>
  <c r="G3658" i="6"/>
  <c r="G3657" i="6"/>
  <c r="G3656" i="6"/>
  <c r="G3655" i="6"/>
  <c r="G3654" i="6"/>
  <c r="G3653" i="6"/>
  <c r="G3652" i="6"/>
  <c r="G3651" i="6"/>
  <c r="G3650" i="6"/>
  <c r="G3649" i="6"/>
  <c r="G3648" i="6"/>
  <c r="G3647" i="6"/>
  <c r="G3646" i="6"/>
  <c r="G3645" i="6"/>
  <c r="G3644" i="6"/>
  <c r="G3643" i="6"/>
  <c r="G3642" i="6"/>
  <c r="G3641" i="6"/>
  <c r="G3640" i="6"/>
  <c r="G3639" i="6"/>
  <c r="G3638" i="6"/>
  <c r="G3637" i="6"/>
  <c r="G3636" i="6"/>
  <c r="G3635" i="6"/>
  <c r="G3634" i="6"/>
  <c r="G3633" i="6"/>
  <c r="G3632" i="6"/>
  <c r="G3631" i="6"/>
  <c r="G3630" i="6"/>
  <c r="G3629" i="6"/>
  <c r="G3628" i="6"/>
  <c r="G3627" i="6"/>
  <c r="G3626" i="6"/>
  <c r="G3625" i="6"/>
  <c r="G3624" i="6"/>
  <c r="G3623" i="6"/>
  <c r="G3622" i="6"/>
  <c r="G3621" i="6"/>
  <c r="G3620" i="6"/>
  <c r="G3619" i="6"/>
  <c r="G3618" i="6"/>
  <c r="G3617" i="6"/>
  <c r="G3616" i="6"/>
  <c r="G3615" i="6"/>
  <c r="G3614" i="6"/>
  <c r="G3613" i="6"/>
  <c r="G3612" i="6"/>
  <c r="G3611" i="6"/>
  <c r="G3610" i="6"/>
  <c r="G3609" i="6"/>
  <c r="G3608" i="6"/>
  <c r="G3607" i="6"/>
  <c r="G3606" i="6"/>
  <c r="G3605" i="6"/>
  <c r="G3604" i="6"/>
  <c r="G3603" i="6"/>
  <c r="G3602" i="6"/>
  <c r="G3601" i="6"/>
  <c r="G3600" i="6"/>
  <c r="G3599" i="6"/>
  <c r="G3598" i="6"/>
  <c r="G3597" i="6"/>
  <c r="G3596" i="6"/>
  <c r="G3595" i="6"/>
  <c r="G3594" i="6"/>
  <c r="G3593" i="6"/>
  <c r="G3592" i="6"/>
  <c r="G3591" i="6"/>
  <c r="G3590" i="6"/>
  <c r="G3589" i="6"/>
  <c r="G3588" i="6"/>
  <c r="G3587" i="6"/>
  <c r="G3586" i="6"/>
  <c r="G3585" i="6"/>
  <c r="G3584" i="6"/>
  <c r="G3583" i="6"/>
  <c r="G3582" i="6"/>
  <c r="G3581" i="6"/>
  <c r="G3580" i="6"/>
  <c r="G3579" i="6"/>
  <c r="G3578" i="6"/>
  <c r="G3577" i="6"/>
  <c r="G3576" i="6"/>
  <c r="G3575" i="6"/>
  <c r="G3574" i="6"/>
  <c r="G3573" i="6"/>
  <c r="G3572" i="6"/>
  <c r="G3571" i="6"/>
  <c r="G3570" i="6"/>
  <c r="G3569" i="6"/>
  <c r="G3568" i="6"/>
  <c r="G3567" i="6"/>
  <c r="G3566" i="6"/>
  <c r="G3565" i="6"/>
  <c r="G3564" i="6"/>
  <c r="G3563" i="6"/>
  <c r="G3562" i="6"/>
  <c r="G3561" i="6"/>
  <c r="G3560" i="6"/>
  <c r="G3559" i="6"/>
  <c r="G3558" i="6"/>
  <c r="G3557" i="6"/>
  <c r="G3556" i="6"/>
  <c r="G3555" i="6"/>
  <c r="G3554" i="6"/>
  <c r="G3553" i="6"/>
  <c r="G3552" i="6"/>
  <c r="G3551" i="6"/>
  <c r="G3550" i="6"/>
  <c r="G3549" i="6"/>
  <c r="G3548" i="6"/>
  <c r="G3547" i="6"/>
  <c r="G3546" i="6"/>
  <c r="G3545" i="6"/>
  <c r="G3544" i="6"/>
  <c r="G3543" i="6"/>
  <c r="G3542" i="6"/>
  <c r="G3541" i="6"/>
  <c r="G3540" i="6"/>
  <c r="G3539" i="6"/>
  <c r="G3538" i="6"/>
  <c r="G3537" i="6"/>
  <c r="G3536" i="6"/>
  <c r="G3535" i="6"/>
  <c r="G3534" i="6"/>
  <c r="G3533" i="6"/>
  <c r="G3532" i="6"/>
  <c r="G3531" i="6"/>
  <c r="G3530" i="6"/>
  <c r="G3529" i="6"/>
  <c r="G3528" i="6"/>
  <c r="G3527" i="6"/>
  <c r="G3526" i="6"/>
  <c r="G3525" i="6"/>
  <c r="G3524" i="6"/>
  <c r="G3523" i="6"/>
  <c r="G3522" i="6"/>
  <c r="G3521" i="6"/>
  <c r="G3520" i="6"/>
  <c r="G3519" i="6"/>
  <c r="G3518" i="6"/>
  <c r="G3517" i="6"/>
  <c r="G3516" i="6"/>
  <c r="G3515" i="6"/>
  <c r="G3514" i="6"/>
  <c r="G3513" i="6"/>
  <c r="G3512" i="6"/>
  <c r="G3511" i="6"/>
  <c r="G3510" i="6"/>
  <c r="G3509" i="6"/>
  <c r="G3508" i="6"/>
  <c r="G3507" i="6"/>
  <c r="G3506" i="6"/>
  <c r="G3505" i="6"/>
  <c r="G3504" i="6"/>
  <c r="G3503" i="6"/>
  <c r="G3502" i="6"/>
  <c r="G3501" i="6"/>
  <c r="G3500" i="6"/>
  <c r="G3499" i="6"/>
  <c r="G3498" i="6"/>
  <c r="G3497" i="6"/>
  <c r="G3496" i="6"/>
  <c r="G3495" i="6"/>
  <c r="G3494" i="6"/>
  <c r="G3493" i="6"/>
  <c r="G3492" i="6"/>
  <c r="G3491" i="6"/>
  <c r="G3490" i="6"/>
  <c r="G3489" i="6"/>
  <c r="G3488" i="6"/>
  <c r="G3487" i="6"/>
  <c r="G3486" i="6"/>
  <c r="G3485" i="6"/>
  <c r="G3484" i="6"/>
  <c r="G3483" i="6"/>
  <c r="G3482" i="6"/>
  <c r="G3481" i="6"/>
  <c r="G3480" i="6"/>
  <c r="G3479" i="6"/>
  <c r="G3478" i="6"/>
  <c r="G3477" i="6"/>
  <c r="G3476" i="6"/>
  <c r="G3475" i="6"/>
  <c r="G3474" i="6"/>
  <c r="G3473" i="6"/>
  <c r="G3472" i="6"/>
  <c r="G3471" i="6"/>
  <c r="G3470" i="6"/>
  <c r="G3469" i="6"/>
  <c r="G3468" i="6"/>
  <c r="G3467" i="6"/>
  <c r="G3466" i="6"/>
  <c r="G3465" i="6"/>
  <c r="G3464" i="6"/>
  <c r="G3463" i="6"/>
  <c r="G3462" i="6"/>
  <c r="G3461" i="6"/>
  <c r="G3460" i="6"/>
  <c r="G3459" i="6"/>
  <c r="G3458" i="6"/>
  <c r="G3457" i="6"/>
  <c r="G3456" i="6"/>
  <c r="G3455" i="6"/>
  <c r="G3454" i="6"/>
  <c r="G3453" i="6"/>
  <c r="G3452" i="6"/>
  <c r="G3451" i="6"/>
  <c r="G3450" i="6"/>
  <c r="G3449" i="6"/>
  <c r="G3448" i="6"/>
  <c r="G3447" i="6"/>
  <c r="G3446" i="6"/>
  <c r="G3445" i="6"/>
  <c r="G3444" i="6"/>
  <c r="G3443" i="6"/>
  <c r="G3442" i="6"/>
  <c r="G3441" i="6"/>
  <c r="G3440" i="6"/>
  <c r="G3439" i="6"/>
  <c r="G3438" i="6"/>
  <c r="G3437" i="6"/>
  <c r="G3436" i="6"/>
  <c r="G3435" i="6"/>
  <c r="G3434" i="6"/>
  <c r="G3433" i="6"/>
  <c r="G3432" i="6"/>
  <c r="G3431" i="6"/>
  <c r="G3430" i="6"/>
  <c r="G3429" i="6"/>
  <c r="G3428" i="6"/>
  <c r="G3427" i="6"/>
  <c r="G3426" i="6"/>
  <c r="G3425" i="6"/>
  <c r="G3424" i="6"/>
  <c r="G3423" i="6"/>
  <c r="G3422" i="6"/>
  <c r="G3421" i="6"/>
  <c r="G3420" i="6"/>
  <c r="G3419" i="6"/>
  <c r="G3418" i="6"/>
  <c r="G3417" i="6"/>
  <c r="G3416" i="6"/>
  <c r="G3415" i="6"/>
  <c r="G3414" i="6"/>
  <c r="G3413" i="6"/>
  <c r="G3412" i="6"/>
  <c r="G3411" i="6"/>
  <c r="G3410" i="6"/>
  <c r="G3409" i="6"/>
  <c r="G3408" i="6"/>
  <c r="G3407" i="6"/>
  <c r="G3406" i="6"/>
  <c r="G3405" i="6"/>
  <c r="G3404" i="6"/>
  <c r="G3403" i="6"/>
  <c r="G3402" i="6"/>
  <c r="G3401" i="6"/>
  <c r="G3400" i="6"/>
  <c r="G3399" i="6"/>
  <c r="G3398" i="6"/>
  <c r="G3397" i="6"/>
  <c r="G3396" i="6"/>
  <c r="G3395" i="6"/>
  <c r="G3394" i="6"/>
  <c r="G3393" i="6"/>
  <c r="G3392" i="6"/>
  <c r="G3391" i="6"/>
  <c r="G3390" i="6"/>
  <c r="G3389" i="6"/>
  <c r="G3388" i="6"/>
  <c r="G3387" i="6"/>
  <c r="G3386" i="6"/>
  <c r="G3385" i="6"/>
  <c r="G3384" i="6"/>
  <c r="G3383" i="6"/>
  <c r="G3382" i="6"/>
  <c r="G3381" i="6"/>
  <c r="G3380" i="6"/>
  <c r="G3379" i="6"/>
  <c r="G3378" i="6"/>
  <c r="G3377" i="6"/>
  <c r="G3376" i="6"/>
  <c r="G3375" i="6"/>
  <c r="G3374" i="6"/>
  <c r="G3373" i="6"/>
  <c r="G3372" i="6"/>
  <c r="G3371" i="6"/>
  <c r="G3370" i="6"/>
  <c r="G3369" i="6"/>
  <c r="G3368" i="6"/>
  <c r="G3367" i="6"/>
  <c r="G3366" i="6"/>
  <c r="G3365" i="6"/>
  <c r="G3364" i="6"/>
  <c r="G3363" i="6"/>
  <c r="G3362" i="6"/>
  <c r="G3361" i="6"/>
  <c r="G3360" i="6"/>
  <c r="G3359" i="6"/>
  <c r="G3358" i="6"/>
  <c r="G3357" i="6"/>
  <c r="G3356" i="6"/>
  <c r="G3355" i="6"/>
  <c r="G3354" i="6"/>
  <c r="G3353" i="6"/>
  <c r="G3352" i="6"/>
  <c r="G3351" i="6"/>
  <c r="G3350" i="6"/>
  <c r="G3349" i="6"/>
  <c r="G3348" i="6"/>
  <c r="G3347" i="6"/>
  <c r="G3346" i="6"/>
  <c r="G3345" i="6"/>
  <c r="G3344" i="6"/>
  <c r="G3343" i="6"/>
  <c r="G3342" i="6"/>
  <c r="G3341" i="6"/>
  <c r="G3340" i="6"/>
  <c r="G3339" i="6"/>
  <c r="G3338" i="6"/>
  <c r="G3337" i="6"/>
  <c r="G3336" i="6"/>
  <c r="G3335" i="6"/>
  <c r="G3334" i="6"/>
  <c r="G3333" i="6"/>
  <c r="G3332" i="6"/>
  <c r="G3331" i="6"/>
  <c r="G3330" i="6"/>
  <c r="G3329" i="6"/>
  <c r="G3328" i="6"/>
  <c r="G3327" i="6"/>
  <c r="G3326" i="6"/>
  <c r="G3325" i="6"/>
  <c r="G3324" i="6"/>
  <c r="G3323" i="6"/>
  <c r="G3322" i="6"/>
  <c r="G3321" i="6"/>
  <c r="G3320" i="6"/>
  <c r="G3319" i="6"/>
  <c r="G3318" i="6"/>
  <c r="G3317" i="6"/>
  <c r="G3316" i="6"/>
  <c r="G3315" i="6"/>
  <c r="G3314" i="6"/>
  <c r="G3313" i="6"/>
  <c r="G3312" i="6"/>
  <c r="G3311" i="6"/>
  <c r="G3310" i="6"/>
  <c r="G3309" i="6"/>
  <c r="G3308" i="6"/>
  <c r="G3307" i="6"/>
  <c r="G3306" i="6"/>
  <c r="G3305" i="6"/>
  <c r="G3304" i="6"/>
  <c r="G3303" i="6"/>
  <c r="G3302" i="6"/>
  <c r="G3301" i="6"/>
  <c r="G3300" i="6"/>
  <c r="G3299" i="6"/>
  <c r="G3298" i="6"/>
  <c r="G3297" i="6"/>
  <c r="G3296" i="6"/>
  <c r="G3295" i="6"/>
  <c r="G3294" i="6"/>
  <c r="G3293" i="6"/>
  <c r="G3292" i="6"/>
  <c r="G3291" i="6"/>
  <c r="G3290" i="6"/>
  <c r="G3289" i="6"/>
  <c r="G3288" i="6"/>
  <c r="G3287" i="6"/>
  <c r="G3286" i="6"/>
  <c r="G3285" i="6"/>
  <c r="G3284" i="6"/>
  <c r="G3283" i="6"/>
  <c r="G3282" i="6"/>
  <c r="G3281" i="6"/>
  <c r="G3280" i="6"/>
  <c r="G3279" i="6"/>
  <c r="G3278" i="6"/>
  <c r="G3277" i="6"/>
  <c r="G3276" i="6"/>
  <c r="G3275" i="6"/>
  <c r="G3274" i="6"/>
  <c r="G3273" i="6"/>
  <c r="G3272" i="6"/>
  <c r="G3271" i="6"/>
  <c r="G3270" i="6"/>
  <c r="G3269" i="6"/>
  <c r="G3268" i="6"/>
  <c r="G3267" i="6"/>
  <c r="G3266" i="6"/>
  <c r="G3265" i="6"/>
  <c r="G3264" i="6"/>
  <c r="G3263" i="6"/>
  <c r="G3262" i="6"/>
  <c r="G3261" i="6"/>
  <c r="G3260" i="6"/>
  <c r="G3259" i="6"/>
  <c r="G3258" i="6"/>
  <c r="G3257" i="6"/>
  <c r="G3256" i="6"/>
  <c r="G3255" i="6"/>
  <c r="G3254" i="6"/>
  <c r="G3253" i="6"/>
  <c r="G3252" i="6"/>
  <c r="G3251" i="6"/>
  <c r="G3250" i="6"/>
  <c r="G3249" i="6"/>
  <c r="G3248" i="6"/>
  <c r="G3247" i="6"/>
  <c r="G3246" i="6"/>
  <c r="G3245" i="6"/>
  <c r="G3244" i="6"/>
  <c r="G3243" i="6"/>
  <c r="G3242" i="6"/>
  <c r="G3241" i="6"/>
  <c r="G3240" i="6"/>
  <c r="G3239" i="6"/>
  <c r="G3238" i="6"/>
  <c r="G3237" i="6"/>
  <c r="G3236" i="6"/>
  <c r="G3235" i="6"/>
  <c r="G3234" i="6"/>
  <c r="G3233" i="6"/>
  <c r="G3232" i="6"/>
  <c r="G3231" i="6"/>
  <c r="G3230" i="6"/>
  <c r="G3229" i="6"/>
  <c r="G3228" i="6"/>
  <c r="G3227" i="6"/>
  <c r="G3226" i="6"/>
  <c r="G3225" i="6"/>
  <c r="G3224" i="6"/>
  <c r="G3223" i="6"/>
  <c r="G3222" i="6"/>
  <c r="G3221" i="6"/>
  <c r="G3220" i="6"/>
  <c r="G3219" i="6"/>
  <c r="G3218" i="6"/>
  <c r="G3217" i="6"/>
  <c r="G3216" i="6"/>
  <c r="G3215" i="6"/>
  <c r="G3214" i="6"/>
  <c r="G3213" i="6"/>
  <c r="G3212" i="6"/>
  <c r="G3211" i="6"/>
  <c r="G3210" i="6"/>
  <c r="G3209" i="6"/>
  <c r="G3208" i="6"/>
  <c r="G3207" i="6"/>
  <c r="G3206" i="6"/>
  <c r="G3205" i="6"/>
  <c r="G3204" i="6"/>
  <c r="G3203" i="6"/>
  <c r="G3202" i="6"/>
  <c r="G3201" i="6"/>
  <c r="G3200" i="6"/>
  <c r="G3199" i="6"/>
  <c r="G3198" i="6"/>
  <c r="G3197" i="6"/>
  <c r="G3196" i="6"/>
  <c r="G3195" i="6"/>
  <c r="G3194" i="6"/>
  <c r="G3193" i="6"/>
  <c r="G3192" i="6"/>
  <c r="G3191" i="6"/>
  <c r="G3190" i="6"/>
  <c r="G3189" i="6"/>
  <c r="G3188" i="6"/>
  <c r="G3187" i="6"/>
  <c r="G3186" i="6"/>
  <c r="G3185" i="6"/>
  <c r="G3184" i="6"/>
  <c r="G3183" i="6"/>
  <c r="G3182" i="6"/>
  <c r="G3181" i="6"/>
  <c r="G3180" i="6"/>
  <c r="G3179" i="6"/>
  <c r="G3178" i="6"/>
  <c r="G3177" i="6"/>
  <c r="G3176" i="6"/>
  <c r="G3175" i="6"/>
  <c r="G3174" i="6"/>
  <c r="G3173" i="6"/>
  <c r="G3172" i="6"/>
  <c r="G3171" i="6"/>
  <c r="G3170" i="6"/>
  <c r="G3169" i="6"/>
  <c r="G3168" i="6"/>
  <c r="G3167" i="6"/>
  <c r="G3166" i="6"/>
  <c r="G3165" i="6"/>
  <c r="G3164" i="6"/>
  <c r="G3163" i="6"/>
  <c r="G3162" i="6"/>
  <c r="G3161" i="6"/>
  <c r="G3160" i="6"/>
  <c r="G3159" i="6"/>
  <c r="G3158" i="6"/>
  <c r="G3157" i="6"/>
  <c r="G3156" i="6"/>
  <c r="G3155" i="6"/>
  <c r="G3154" i="6"/>
  <c r="G3153" i="6"/>
  <c r="G3152" i="6"/>
  <c r="G3151" i="6"/>
  <c r="G3150" i="6"/>
  <c r="G3149" i="6"/>
  <c r="G3148" i="6"/>
  <c r="G3147" i="6"/>
  <c r="G3146" i="6"/>
  <c r="G3145" i="6"/>
  <c r="G3144" i="6"/>
  <c r="G3143" i="6"/>
  <c r="G3142" i="6"/>
  <c r="G3141" i="6"/>
  <c r="G3140" i="6"/>
  <c r="G3139" i="6"/>
  <c r="G3138" i="6"/>
  <c r="G3137" i="6"/>
  <c r="G3136" i="6"/>
  <c r="G3135" i="6"/>
  <c r="G3134" i="6"/>
  <c r="G3133" i="6"/>
  <c r="G3132" i="6"/>
  <c r="G3131" i="6"/>
  <c r="G3130" i="6"/>
  <c r="G3129" i="6"/>
  <c r="G3128" i="6"/>
  <c r="G3127" i="6"/>
  <c r="G3126" i="6"/>
  <c r="G3125" i="6"/>
  <c r="G3124" i="6"/>
  <c r="G3123" i="6"/>
  <c r="G3122" i="6"/>
  <c r="G3121" i="6"/>
  <c r="G3120" i="6"/>
  <c r="G3119" i="6"/>
  <c r="G3118" i="6"/>
  <c r="G3117" i="6"/>
  <c r="G3116" i="6"/>
  <c r="G3115" i="6"/>
  <c r="G3114" i="6"/>
  <c r="G3113" i="6"/>
  <c r="G3112" i="6"/>
  <c r="G3111" i="6"/>
  <c r="G3110" i="6"/>
  <c r="G3109" i="6"/>
  <c r="G3108" i="6"/>
  <c r="G3107" i="6"/>
  <c r="G3106" i="6"/>
  <c r="G3105" i="6"/>
  <c r="G3104" i="6"/>
  <c r="G3103" i="6"/>
  <c r="G3102" i="6"/>
  <c r="G3101" i="6"/>
  <c r="G3100" i="6"/>
  <c r="G3099" i="6"/>
  <c r="G3098" i="6"/>
  <c r="G3097" i="6"/>
  <c r="G3096" i="6"/>
  <c r="G3095" i="6"/>
  <c r="G3094" i="6"/>
  <c r="G3093" i="6"/>
  <c r="G3092" i="6"/>
  <c r="G3091" i="6"/>
  <c r="G3090" i="6"/>
  <c r="G3089" i="6"/>
  <c r="G3088" i="6"/>
  <c r="G3087" i="6"/>
  <c r="G3086" i="6"/>
  <c r="G3085" i="6"/>
  <c r="G3084" i="6"/>
  <c r="G3083" i="6"/>
  <c r="G3082" i="6"/>
  <c r="G3081" i="6"/>
  <c r="G3080" i="6"/>
  <c r="G3079" i="6"/>
  <c r="G3078" i="6"/>
  <c r="G3077" i="6"/>
  <c r="G3076" i="6"/>
  <c r="G3075" i="6"/>
  <c r="G3074" i="6"/>
  <c r="G3073" i="6"/>
  <c r="G3072" i="6"/>
  <c r="G3071" i="6"/>
  <c r="G3070" i="6"/>
  <c r="G3069" i="6"/>
  <c r="G3068" i="6"/>
  <c r="G3067" i="6"/>
  <c r="G3066" i="6"/>
  <c r="G3065" i="6"/>
  <c r="G3064" i="6"/>
  <c r="G3063" i="6"/>
  <c r="G3062" i="6"/>
  <c r="G3061" i="6"/>
  <c r="G3060" i="6"/>
  <c r="G3059" i="6"/>
  <c r="G3058" i="6"/>
  <c r="G3057" i="6"/>
  <c r="G3056" i="6"/>
  <c r="G3055" i="6"/>
  <c r="G3054" i="6"/>
  <c r="G3053" i="6"/>
  <c r="G3052" i="6"/>
  <c r="G3051" i="6"/>
  <c r="G3050" i="6"/>
  <c r="G3049" i="6"/>
  <c r="G3048" i="6"/>
  <c r="G3047" i="6"/>
  <c r="G3046" i="6"/>
  <c r="G3045" i="6"/>
  <c r="G3044" i="6"/>
  <c r="G3043" i="6"/>
  <c r="G3042" i="6"/>
  <c r="G3041" i="6"/>
  <c r="G3040" i="6"/>
  <c r="G3039" i="6"/>
  <c r="G3038" i="6"/>
  <c r="G3037" i="6"/>
  <c r="G3036" i="6"/>
  <c r="G3035" i="6"/>
  <c r="G3034" i="6"/>
  <c r="G3033" i="6"/>
  <c r="G3032" i="6"/>
  <c r="G3031" i="6"/>
  <c r="G3030" i="6"/>
  <c r="G3029" i="6"/>
  <c r="G3028" i="6"/>
  <c r="G3027" i="6"/>
  <c r="G3026" i="6"/>
  <c r="G3025" i="6"/>
  <c r="G3024" i="6"/>
  <c r="G3023" i="6"/>
  <c r="G3022" i="6"/>
  <c r="G3021" i="6"/>
  <c r="G3020" i="6"/>
  <c r="G3019" i="6"/>
  <c r="G3018" i="6"/>
  <c r="G3017" i="6"/>
  <c r="G3016" i="6"/>
  <c r="G3015" i="6"/>
  <c r="G3014" i="6"/>
  <c r="G3013" i="6"/>
  <c r="G3012" i="6"/>
  <c r="G3011" i="6"/>
  <c r="G3010" i="6"/>
  <c r="G3009" i="6"/>
  <c r="G3008" i="6"/>
  <c r="G3007" i="6"/>
  <c r="G3006" i="6"/>
  <c r="G3005" i="6"/>
  <c r="G3004" i="6"/>
  <c r="G3003" i="6"/>
  <c r="G3002" i="6"/>
  <c r="G3001" i="6"/>
  <c r="G3000" i="6"/>
  <c r="G2999" i="6"/>
  <c r="G2998" i="6"/>
  <c r="G2997" i="6"/>
  <c r="G2996" i="6"/>
  <c r="G2995" i="6"/>
  <c r="G2994" i="6"/>
  <c r="G2993" i="6"/>
  <c r="G2992" i="6"/>
  <c r="G2991" i="6"/>
  <c r="G2990" i="6"/>
  <c r="G2989" i="6"/>
  <c r="G2988" i="6"/>
  <c r="G2987" i="6"/>
  <c r="G2986" i="6"/>
  <c r="G2985" i="6"/>
  <c r="G2984" i="6"/>
  <c r="G2983" i="6"/>
  <c r="G2982" i="6"/>
  <c r="G2981" i="6"/>
  <c r="G2980" i="6"/>
  <c r="G2979" i="6"/>
  <c r="G2978" i="6"/>
  <c r="G2977" i="6"/>
  <c r="G2976" i="6"/>
  <c r="G2975" i="6"/>
  <c r="G2974" i="6"/>
  <c r="G2973" i="6"/>
  <c r="G2972" i="6"/>
  <c r="G2971" i="6"/>
  <c r="G2970" i="6"/>
  <c r="G2969" i="6"/>
  <c r="G2968" i="6"/>
  <c r="G2967" i="6"/>
  <c r="G2966" i="6"/>
  <c r="G2965" i="6"/>
  <c r="G2964" i="6"/>
  <c r="G2963" i="6"/>
  <c r="G2962" i="6"/>
  <c r="G2961" i="6"/>
  <c r="G2960" i="6"/>
  <c r="G2959" i="6"/>
  <c r="G2958" i="6"/>
  <c r="G2957" i="6"/>
  <c r="G2956" i="6"/>
  <c r="G2955" i="6"/>
  <c r="G2954" i="6"/>
  <c r="G2953" i="6"/>
  <c r="G2952" i="6"/>
  <c r="G2951" i="6"/>
  <c r="G2950" i="6"/>
  <c r="G2949" i="6"/>
  <c r="G2948" i="6"/>
  <c r="G2947" i="6"/>
  <c r="G2946" i="6"/>
  <c r="G2945" i="6"/>
  <c r="G2944" i="6"/>
  <c r="G2943" i="6"/>
  <c r="G2942" i="6"/>
  <c r="G2941" i="6"/>
  <c r="G2940" i="6"/>
  <c r="G2939" i="6"/>
  <c r="G2938" i="6"/>
  <c r="G2937" i="6"/>
  <c r="G2936" i="6"/>
  <c r="G2935" i="6"/>
  <c r="G2934" i="6"/>
  <c r="G2933" i="6"/>
  <c r="G2932" i="6"/>
  <c r="G2931" i="6"/>
  <c r="G2930" i="6"/>
  <c r="G2929" i="6"/>
  <c r="G2928" i="6"/>
  <c r="G2927" i="6"/>
  <c r="G2926" i="6"/>
  <c r="G2925" i="6"/>
  <c r="G2924" i="6"/>
  <c r="G2923" i="6"/>
  <c r="G2922" i="6"/>
  <c r="G2921" i="6"/>
  <c r="G2920" i="6"/>
  <c r="G2919" i="6"/>
  <c r="G2918" i="6"/>
  <c r="G2917" i="6"/>
  <c r="G2916" i="6"/>
  <c r="G2915" i="6"/>
  <c r="G2914" i="6"/>
  <c r="G2913" i="6"/>
  <c r="G2912" i="6"/>
  <c r="G2911" i="6"/>
  <c r="G2910" i="6"/>
  <c r="G2909" i="6"/>
  <c r="G2908" i="6"/>
  <c r="G2907" i="6"/>
  <c r="G2906" i="6"/>
  <c r="G2905" i="6"/>
  <c r="G2904" i="6"/>
  <c r="G2903" i="6"/>
  <c r="G2902" i="6"/>
  <c r="G2901" i="6"/>
  <c r="G2900" i="6"/>
  <c r="G2899" i="6"/>
  <c r="G2898" i="6"/>
  <c r="G2897" i="6"/>
  <c r="G2896" i="6"/>
  <c r="G2895" i="6"/>
  <c r="G2894" i="6"/>
  <c r="G2893" i="6"/>
  <c r="G2892" i="6"/>
  <c r="G2891" i="6"/>
  <c r="G2890" i="6"/>
  <c r="G2889" i="6"/>
  <c r="G2888" i="6"/>
  <c r="G2887" i="6"/>
  <c r="G2886" i="6"/>
  <c r="G2885" i="6"/>
  <c r="G2884" i="6"/>
  <c r="G2883" i="6"/>
  <c r="G2882" i="6"/>
  <c r="G2881" i="6"/>
  <c r="G2880" i="6"/>
  <c r="G2879" i="6"/>
  <c r="G2878" i="6"/>
  <c r="G2877" i="6"/>
  <c r="G2876" i="6"/>
  <c r="G2875" i="6"/>
  <c r="G2874" i="6"/>
  <c r="G2873" i="6"/>
  <c r="G2872" i="6"/>
  <c r="G2871" i="6"/>
  <c r="G2870" i="6"/>
  <c r="G2869" i="6"/>
  <c r="G2868" i="6"/>
  <c r="G2867" i="6"/>
  <c r="G2866" i="6"/>
  <c r="G2865" i="6"/>
  <c r="G2864" i="6"/>
  <c r="G2863" i="6"/>
  <c r="G2862" i="6"/>
  <c r="G2861" i="6"/>
  <c r="G2860" i="6"/>
  <c r="G2859" i="6"/>
  <c r="G2858" i="6"/>
  <c r="G2857" i="6"/>
  <c r="G2856" i="6"/>
  <c r="G2855" i="6"/>
  <c r="G2854" i="6"/>
  <c r="G2853" i="6"/>
  <c r="G2852" i="6"/>
  <c r="G2851" i="6"/>
  <c r="G2850" i="6"/>
  <c r="G2849" i="6"/>
  <c r="G2848" i="6"/>
  <c r="G2847" i="6"/>
  <c r="G2846" i="6"/>
  <c r="G2845" i="6"/>
  <c r="G2844" i="6"/>
  <c r="G2843" i="6"/>
  <c r="G2842" i="6"/>
  <c r="G2841" i="6"/>
  <c r="G2840" i="6"/>
  <c r="G2839" i="6"/>
  <c r="G2838" i="6"/>
  <c r="G2837" i="6"/>
  <c r="G2836" i="6"/>
  <c r="G2835" i="6"/>
  <c r="G2834" i="6"/>
  <c r="G2833" i="6"/>
  <c r="G2832" i="6"/>
  <c r="G2831" i="6"/>
  <c r="G2830" i="6"/>
  <c r="G2829" i="6"/>
  <c r="G2828" i="6"/>
  <c r="G2827" i="6"/>
  <c r="G2826" i="6"/>
  <c r="G2825" i="6"/>
  <c r="G2824" i="6"/>
  <c r="G2823" i="6"/>
  <c r="G2822" i="6"/>
  <c r="G2821" i="6"/>
  <c r="G2820" i="6"/>
  <c r="G2819" i="6"/>
  <c r="G2818" i="6"/>
  <c r="G2817" i="6"/>
  <c r="G2816" i="6"/>
  <c r="G2815" i="6"/>
  <c r="G2814" i="6"/>
  <c r="G2813" i="6"/>
  <c r="G2812" i="6"/>
  <c r="G2811" i="6"/>
  <c r="G2810" i="6"/>
  <c r="G2809" i="6"/>
  <c r="G2808" i="6"/>
  <c r="G2807" i="6"/>
  <c r="G2806" i="6"/>
  <c r="G2805" i="6"/>
  <c r="G2804" i="6"/>
  <c r="G2803" i="6"/>
  <c r="G2802" i="6"/>
  <c r="G2801" i="6"/>
  <c r="G2800" i="6"/>
  <c r="G2799" i="6"/>
  <c r="G2798" i="6"/>
  <c r="G2797" i="6"/>
  <c r="G2796" i="6"/>
  <c r="G2795" i="6"/>
  <c r="G2794" i="6"/>
  <c r="G2793" i="6"/>
  <c r="G2792" i="6"/>
  <c r="G2791" i="6"/>
  <c r="G2790" i="6"/>
  <c r="G2789" i="6"/>
  <c r="G2788" i="6"/>
  <c r="G2787" i="6"/>
  <c r="G2786" i="6"/>
  <c r="G2785" i="6"/>
  <c r="G2784" i="6"/>
  <c r="G2783" i="6"/>
  <c r="G2782" i="6"/>
  <c r="G2781" i="6"/>
  <c r="G2780" i="6"/>
  <c r="G2779" i="6"/>
  <c r="G2778" i="6"/>
  <c r="G2777" i="6"/>
  <c r="G2776" i="6"/>
  <c r="G2775" i="6"/>
  <c r="G2774" i="6"/>
  <c r="G2773" i="6"/>
  <c r="G2772" i="6"/>
  <c r="G2771" i="6"/>
  <c r="G2770" i="6"/>
  <c r="G2769" i="6"/>
  <c r="G2768" i="6"/>
  <c r="G2767" i="6"/>
  <c r="G2766" i="6"/>
  <c r="G2765" i="6"/>
  <c r="G2764" i="6"/>
  <c r="G2763" i="6"/>
  <c r="G2762" i="6"/>
  <c r="G2761" i="6"/>
  <c r="G2760" i="6"/>
  <c r="G2759" i="6"/>
  <c r="G2758" i="6"/>
  <c r="G2757" i="6"/>
  <c r="G2756" i="6"/>
  <c r="G2755" i="6"/>
  <c r="G2754" i="6"/>
  <c r="G2753" i="6"/>
  <c r="G2752" i="6"/>
  <c r="G2751" i="6"/>
  <c r="G2750" i="6"/>
  <c r="G2749" i="6"/>
  <c r="G2748" i="6"/>
  <c r="G2747" i="6"/>
  <c r="G2746" i="6"/>
  <c r="G2745" i="6"/>
  <c r="G2744" i="6"/>
  <c r="G2743" i="6"/>
  <c r="G2742" i="6"/>
  <c r="G2741" i="6"/>
  <c r="G2740" i="6"/>
  <c r="G2739" i="6"/>
  <c r="G2738" i="6"/>
  <c r="G2737" i="6"/>
  <c r="G2736" i="6"/>
  <c r="G2735" i="6"/>
  <c r="G2734" i="6"/>
  <c r="G2733" i="6"/>
  <c r="G2732" i="6"/>
  <c r="G2731" i="6"/>
  <c r="G2730" i="6"/>
  <c r="G2729" i="6"/>
  <c r="G2728" i="6"/>
  <c r="G2727" i="6"/>
  <c r="G2726" i="6"/>
  <c r="G2725" i="6"/>
  <c r="G2724" i="6"/>
  <c r="G2723" i="6"/>
  <c r="G2722" i="6"/>
  <c r="G2721" i="6"/>
  <c r="G2720" i="6"/>
  <c r="G2719" i="6"/>
  <c r="G2718" i="6"/>
  <c r="G2717" i="6"/>
  <c r="G2716" i="6"/>
  <c r="G2715" i="6"/>
  <c r="G2714" i="6"/>
  <c r="G2713" i="6"/>
  <c r="G2712" i="6"/>
  <c r="G2711" i="6"/>
  <c r="G2710" i="6"/>
  <c r="G2709" i="6"/>
  <c r="G2708" i="6"/>
  <c r="G2707" i="6"/>
  <c r="G2706" i="6"/>
  <c r="G2705" i="6"/>
  <c r="G2704" i="6"/>
  <c r="G2703" i="6"/>
  <c r="G2702" i="6"/>
  <c r="G2701" i="6"/>
  <c r="G2700" i="6"/>
  <c r="G2699" i="6"/>
  <c r="G2698" i="6"/>
  <c r="G2697" i="6"/>
  <c r="G2696" i="6"/>
  <c r="G2695" i="6"/>
  <c r="G2694" i="6"/>
  <c r="G2693" i="6"/>
  <c r="G2692" i="6"/>
  <c r="G2691" i="6"/>
  <c r="G2690" i="6"/>
  <c r="G2689" i="6"/>
  <c r="G2688" i="6"/>
  <c r="G2687" i="6"/>
  <c r="G2686" i="6"/>
  <c r="G2685" i="6"/>
  <c r="G2684" i="6"/>
  <c r="G2683" i="6"/>
  <c r="G2682" i="6"/>
  <c r="G2681" i="6"/>
  <c r="G2680" i="6"/>
  <c r="G2679" i="6"/>
  <c r="G2678" i="6"/>
  <c r="G2677" i="6"/>
  <c r="G2676" i="6"/>
  <c r="G2675" i="6"/>
  <c r="G2674" i="6"/>
  <c r="G2673" i="6"/>
  <c r="G2672" i="6"/>
  <c r="G2671" i="6"/>
  <c r="G2670" i="6"/>
  <c r="G2669" i="6"/>
  <c r="G2668" i="6"/>
  <c r="G2667" i="6"/>
  <c r="G2666" i="6"/>
  <c r="G2665" i="6"/>
  <c r="G2664" i="6"/>
  <c r="G2663" i="6"/>
  <c r="G2662" i="6"/>
  <c r="G2661" i="6"/>
  <c r="G2660" i="6"/>
  <c r="G2659" i="6"/>
  <c r="G2658" i="6"/>
  <c r="G2657" i="6"/>
  <c r="G2656" i="6"/>
  <c r="G2655" i="6"/>
  <c r="G2654" i="6"/>
  <c r="G2653" i="6"/>
  <c r="G2652" i="6"/>
  <c r="G2651" i="6"/>
  <c r="G2650" i="6"/>
  <c r="G2649" i="6"/>
  <c r="G2648" i="6"/>
  <c r="G2647" i="6"/>
  <c r="G2646" i="6"/>
  <c r="G2645" i="6"/>
  <c r="G2644" i="6"/>
  <c r="G2643" i="6"/>
  <c r="G2642" i="6"/>
  <c r="G2641" i="6"/>
  <c r="G2640" i="6"/>
  <c r="G2639" i="6"/>
  <c r="G2638" i="6"/>
  <c r="G2637" i="6"/>
  <c r="G2636" i="6"/>
  <c r="G2635" i="6"/>
  <c r="G2634" i="6"/>
  <c r="G2633" i="6"/>
  <c r="G2632" i="6"/>
  <c r="G2631" i="6"/>
  <c r="G2630" i="6"/>
  <c r="G2629" i="6"/>
  <c r="G2628" i="6"/>
  <c r="G2627" i="6"/>
  <c r="G2626" i="6"/>
  <c r="G2625" i="6"/>
  <c r="G2624" i="6"/>
  <c r="G2623" i="6"/>
  <c r="G2622" i="6"/>
  <c r="G2621" i="6"/>
  <c r="G2620" i="6"/>
  <c r="G2619" i="6"/>
  <c r="G2618" i="6"/>
  <c r="G2617" i="6"/>
  <c r="G2616" i="6"/>
  <c r="G2615" i="6"/>
  <c r="G2614" i="6"/>
  <c r="G2613" i="6"/>
  <c r="G2612" i="6"/>
  <c r="G2611" i="6"/>
  <c r="G2610" i="6"/>
  <c r="G2609" i="6"/>
  <c r="G2608" i="6"/>
  <c r="G2607" i="6"/>
  <c r="G2606" i="6"/>
  <c r="G2605" i="6"/>
  <c r="G2604" i="6"/>
  <c r="G2603" i="6"/>
  <c r="G2602" i="6"/>
  <c r="G2601" i="6"/>
  <c r="G2600" i="6"/>
  <c r="G2599" i="6"/>
  <c r="G2598" i="6"/>
  <c r="G2597" i="6"/>
  <c r="G2596" i="6"/>
  <c r="G2595" i="6"/>
  <c r="G2594" i="6"/>
  <c r="G2593" i="6"/>
  <c r="G2592" i="6"/>
  <c r="G2591" i="6"/>
  <c r="G2590" i="6"/>
  <c r="G2589" i="6"/>
  <c r="G2588" i="6"/>
  <c r="G2587" i="6"/>
  <c r="G2586" i="6"/>
  <c r="G2585" i="6"/>
  <c r="G2584" i="6"/>
  <c r="G2583" i="6"/>
  <c r="G2582" i="6"/>
  <c r="G2581" i="6"/>
  <c r="G2580" i="6"/>
  <c r="G2579" i="6"/>
  <c r="G2578" i="6"/>
  <c r="G2577" i="6"/>
  <c r="G2576" i="6"/>
  <c r="G2575" i="6"/>
  <c r="G2574" i="6"/>
  <c r="G2573" i="6"/>
  <c r="G2572" i="6"/>
  <c r="G2571" i="6"/>
  <c r="G2570" i="6"/>
  <c r="G2569" i="6"/>
  <c r="G2568" i="6"/>
  <c r="G2567" i="6"/>
  <c r="G2566" i="6"/>
  <c r="G2565" i="6"/>
  <c r="G2564" i="6"/>
  <c r="G2563" i="6"/>
  <c r="G2562" i="6"/>
  <c r="G2561" i="6"/>
  <c r="G2560" i="6"/>
  <c r="G2559" i="6"/>
  <c r="G2558" i="6"/>
  <c r="G2557" i="6"/>
  <c r="G2556" i="6"/>
  <c r="G2555" i="6"/>
  <c r="G2554" i="6"/>
  <c r="G2553" i="6"/>
  <c r="G2552" i="6"/>
  <c r="G2551" i="6"/>
  <c r="G2550" i="6"/>
  <c r="G2549" i="6"/>
  <c r="G2548" i="6"/>
  <c r="G2547" i="6"/>
  <c r="G2546" i="6"/>
  <c r="G2545" i="6"/>
  <c r="G2544" i="6"/>
  <c r="G2543" i="6"/>
  <c r="G2542" i="6"/>
  <c r="G2541" i="6"/>
  <c r="G2540" i="6"/>
  <c r="G2539" i="6"/>
  <c r="G2538" i="6"/>
  <c r="G2537" i="6"/>
  <c r="G2536" i="6"/>
  <c r="G2535" i="6"/>
  <c r="G2534" i="6"/>
  <c r="G2533" i="6"/>
  <c r="G2532" i="6"/>
  <c r="G2531" i="6"/>
  <c r="G2530" i="6"/>
  <c r="G2529" i="6"/>
  <c r="G2528" i="6"/>
  <c r="G2527" i="6"/>
  <c r="G2526" i="6"/>
  <c r="G2525" i="6"/>
  <c r="G2524" i="6"/>
  <c r="G2523" i="6"/>
  <c r="G2522" i="6"/>
  <c r="G2521" i="6"/>
  <c r="G2520" i="6"/>
  <c r="G2519" i="6"/>
  <c r="G2518" i="6"/>
  <c r="G2517" i="6"/>
  <c r="G2516" i="6"/>
  <c r="G2515" i="6"/>
  <c r="G2514" i="6"/>
  <c r="G2513" i="6"/>
  <c r="G2512" i="6"/>
  <c r="G2511" i="6"/>
  <c r="G2510" i="6"/>
  <c r="G2509" i="6"/>
  <c r="G2508" i="6"/>
  <c r="G2507" i="6"/>
  <c r="G2506" i="6"/>
  <c r="G2505" i="6"/>
  <c r="G2504" i="6"/>
  <c r="G2503" i="6"/>
  <c r="G2502" i="6"/>
  <c r="G2501" i="6"/>
  <c r="G2500" i="6"/>
  <c r="G2499" i="6"/>
  <c r="G2498" i="6"/>
  <c r="G2497" i="6"/>
  <c r="G2496" i="6"/>
  <c r="G2495" i="6"/>
  <c r="G2494" i="6"/>
  <c r="G2493" i="6"/>
  <c r="G2492" i="6"/>
  <c r="G2491" i="6"/>
  <c r="G2490" i="6"/>
  <c r="G2489" i="6"/>
  <c r="G2488" i="6"/>
  <c r="G2487" i="6"/>
  <c r="G2486" i="6"/>
  <c r="G2485" i="6"/>
  <c r="G2484" i="6"/>
  <c r="G2483" i="6"/>
  <c r="G2482" i="6"/>
  <c r="G2481" i="6"/>
  <c r="G2480" i="6"/>
  <c r="G2479" i="6"/>
  <c r="G2478" i="6"/>
  <c r="G2477" i="6"/>
  <c r="G2476" i="6"/>
  <c r="G2475" i="6"/>
  <c r="G2474" i="6"/>
  <c r="G2473" i="6"/>
  <c r="G2472" i="6"/>
  <c r="G2471" i="6"/>
  <c r="G2470" i="6"/>
  <c r="G2469" i="6"/>
  <c r="G2468" i="6"/>
  <c r="G2467" i="6"/>
  <c r="G2466" i="6"/>
  <c r="G2465" i="6"/>
  <c r="G2464" i="6"/>
  <c r="G2463" i="6"/>
  <c r="G2462" i="6"/>
  <c r="G2461" i="6"/>
  <c r="G2460" i="6"/>
  <c r="G2459" i="6"/>
  <c r="G2458" i="6"/>
  <c r="G2457" i="6"/>
  <c r="G2456" i="6"/>
  <c r="G2455" i="6"/>
  <c r="G2454" i="6"/>
  <c r="G2453" i="6"/>
  <c r="G2452" i="6"/>
  <c r="G2451" i="6"/>
  <c r="G2450" i="6"/>
  <c r="G2449" i="6"/>
  <c r="G2448" i="6"/>
  <c r="G2447" i="6"/>
  <c r="G2446" i="6"/>
  <c r="G2445" i="6"/>
  <c r="G2444" i="6"/>
  <c r="G2443" i="6"/>
  <c r="G2442" i="6"/>
  <c r="G2441" i="6"/>
  <c r="G2440" i="6"/>
  <c r="G2439" i="6"/>
  <c r="G2438" i="6"/>
  <c r="G2437" i="6"/>
  <c r="G2436" i="6"/>
  <c r="G2435" i="6"/>
  <c r="G2434" i="6"/>
  <c r="G2433" i="6"/>
  <c r="G2432" i="6"/>
  <c r="G2431" i="6"/>
  <c r="G2430" i="6"/>
  <c r="G2429" i="6"/>
  <c r="G2428" i="6"/>
  <c r="G2427" i="6"/>
  <c r="G2426" i="6"/>
  <c r="G2425" i="6"/>
  <c r="G2424" i="6"/>
  <c r="G2423" i="6"/>
  <c r="G2422" i="6"/>
  <c r="G2421" i="6"/>
  <c r="G2420" i="6"/>
  <c r="G2419" i="6"/>
  <c r="G2418" i="6"/>
  <c r="G2417" i="6"/>
  <c r="G2416" i="6"/>
  <c r="G2415" i="6"/>
  <c r="G2414" i="6"/>
  <c r="G2413" i="6"/>
  <c r="G2412" i="6"/>
  <c r="G2411" i="6"/>
  <c r="G2410" i="6"/>
  <c r="G2409" i="6"/>
  <c r="G2408" i="6"/>
  <c r="G2407" i="6"/>
  <c r="G2406" i="6"/>
  <c r="G2405" i="6"/>
  <c r="G2404" i="6"/>
  <c r="G2403" i="6"/>
  <c r="G2402" i="6"/>
  <c r="G2401" i="6"/>
  <c r="G2400" i="6"/>
  <c r="G2399" i="6"/>
  <c r="G2398" i="6"/>
  <c r="G2397" i="6"/>
  <c r="G2396" i="6"/>
  <c r="G2395" i="6"/>
  <c r="G2394" i="6"/>
  <c r="G2393" i="6"/>
  <c r="G2392" i="6"/>
  <c r="G2391" i="6"/>
  <c r="G2390" i="6"/>
  <c r="G2389" i="6"/>
  <c r="G2388" i="6"/>
  <c r="G2387" i="6"/>
  <c r="G2386" i="6"/>
  <c r="G2385" i="6"/>
  <c r="G2384" i="6"/>
  <c r="G2383" i="6"/>
  <c r="G2382" i="6"/>
  <c r="G2381" i="6"/>
  <c r="G2380" i="6"/>
  <c r="G2379" i="6"/>
  <c r="G2378" i="6"/>
  <c r="G2377" i="6"/>
  <c r="G2376" i="6"/>
  <c r="G2375" i="6"/>
  <c r="G2374" i="6"/>
  <c r="G2373" i="6"/>
  <c r="G2372" i="6"/>
  <c r="G2371" i="6"/>
  <c r="G2370" i="6"/>
  <c r="G2369" i="6"/>
  <c r="G2368" i="6"/>
  <c r="G2367" i="6"/>
  <c r="G2366" i="6"/>
  <c r="G2365" i="6"/>
  <c r="G2364" i="6"/>
  <c r="G2363" i="6"/>
  <c r="G2362" i="6"/>
  <c r="G2361" i="6"/>
  <c r="G2360" i="6"/>
  <c r="G2359" i="6"/>
  <c r="G2358" i="6"/>
  <c r="G2357" i="6"/>
  <c r="G2356" i="6"/>
  <c r="G2355" i="6"/>
  <c r="G2354" i="6"/>
  <c r="G2353" i="6"/>
  <c r="G2352" i="6"/>
  <c r="G2351" i="6"/>
  <c r="G2350" i="6"/>
  <c r="G2349" i="6"/>
  <c r="G2348" i="6"/>
  <c r="G2347" i="6"/>
  <c r="G2346" i="6"/>
  <c r="G2345" i="6"/>
  <c r="G2344" i="6"/>
  <c r="G2343" i="6"/>
  <c r="G2342" i="6"/>
  <c r="G2341" i="6"/>
  <c r="G2340" i="6"/>
  <c r="G2339" i="6"/>
  <c r="G2338" i="6"/>
  <c r="G2337" i="6"/>
  <c r="G2336" i="6"/>
  <c r="G2335" i="6"/>
  <c r="G2334" i="6"/>
  <c r="G2333" i="6"/>
  <c r="G2332" i="6"/>
  <c r="G2331" i="6"/>
  <c r="G2330" i="6"/>
  <c r="G2329" i="6"/>
  <c r="G2328" i="6"/>
  <c r="G2327" i="6"/>
  <c r="G2326" i="6"/>
  <c r="G2325" i="6"/>
  <c r="G2324" i="6"/>
  <c r="G2323" i="6"/>
  <c r="G2322" i="6"/>
  <c r="G2321" i="6"/>
  <c r="G2320" i="6"/>
  <c r="G2319" i="6"/>
  <c r="G2318" i="6"/>
  <c r="G2317" i="6"/>
  <c r="G2316" i="6"/>
  <c r="G2315" i="6"/>
  <c r="G2314" i="6"/>
  <c r="G2313" i="6"/>
  <c r="G2312" i="6"/>
  <c r="G2311" i="6"/>
  <c r="G2310" i="6"/>
  <c r="G2309" i="6"/>
  <c r="G2308" i="6"/>
  <c r="G2307" i="6"/>
  <c r="G2306" i="6"/>
  <c r="G2305" i="6"/>
  <c r="G2304" i="6"/>
  <c r="G2303" i="6"/>
  <c r="G2302" i="6"/>
  <c r="G2301" i="6"/>
  <c r="G2300" i="6"/>
  <c r="G2299" i="6"/>
  <c r="G2298" i="6"/>
  <c r="G2297" i="6"/>
  <c r="G2296" i="6"/>
  <c r="G2295" i="6"/>
  <c r="G2294" i="6"/>
  <c r="G2293" i="6"/>
  <c r="G2292" i="6"/>
  <c r="G2291" i="6"/>
  <c r="G2290" i="6"/>
  <c r="G2289" i="6"/>
  <c r="G2288" i="6"/>
  <c r="G2287" i="6"/>
  <c r="G2286" i="6"/>
  <c r="G2285" i="6"/>
  <c r="G2284" i="6"/>
  <c r="G2283" i="6"/>
  <c r="G2282" i="6"/>
  <c r="G2281" i="6"/>
  <c r="G2280" i="6"/>
  <c r="G2279" i="6"/>
  <c r="G2278" i="6"/>
  <c r="G2277" i="6"/>
  <c r="G2276" i="6"/>
  <c r="G2275" i="6"/>
  <c r="G2274" i="6"/>
  <c r="G2273" i="6"/>
  <c r="G2272" i="6"/>
  <c r="G2271" i="6"/>
  <c r="G2270" i="6"/>
  <c r="G2269" i="6"/>
  <c r="G2268" i="6"/>
  <c r="G2267" i="6"/>
  <c r="G2266" i="6"/>
  <c r="G2265" i="6"/>
  <c r="G2264" i="6"/>
  <c r="G2263" i="6"/>
  <c r="G2262" i="6"/>
  <c r="G2261" i="6"/>
  <c r="G2260" i="6"/>
  <c r="G2259" i="6"/>
  <c r="G2258" i="6"/>
  <c r="G2257" i="6"/>
  <c r="G2256" i="6"/>
  <c r="G2255" i="6"/>
  <c r="G2254" i="6"/>
  <c r="G2253" i="6"/>
  <c r="G2252" i="6"/>
  <c r="G2251" i="6"/>
  <c r="G2250" i="6"/>
  <c r="G2249" i="6"/>
  <c r="G2248" i="6"/>
  <c r="G2247" i="6"/>
  <c r="G2246" i="6"/>
  <c r="G2245" i="6"/>
  <c r="G2244" i="6"/>
  <c r="G2243" i="6"/>
  <c r="G2242" i="6"/>
  <c r="G2241" i="6"/>
  <c r="G2240" i="6"/>
  <c r="G2239" i="6"/>
  <c r="G2238" i="6"/>
  <c r="G2237" i="6"/>
  <c r="G2236" i="6"/>
  <c r="G2235" i="6"/>
  <c r="G2234" i="6"/>
  <c r="G2233" i="6"/>
  <c r="G2232" i="6"/>
  <c r="G2231" i="6"/>
  <c r="G2230" i="6"/>
  <c r="G2229" i="6"/>
  <c r="G2228" i="6"/>
  <c r="G2227" i="6"/>
  <c r="G2226" i="6"/>
  <c r="G2225" i="6"/>
  <c r="G2224" i="6"/>
  <c r="G2223" i="6"/>
  <c r="G2222" i="6"/>
  <c r="G2221" i="6"/>
  <c r="G2220" i="6"/>
  <c r="G2219" i="6"/>
  <c r="G2218" i="6"/>
  <c r="G2217" i="6"/>
  <c r="G2216" i="6"/>
  <c r="G2215" i="6"/>
  <c r="G2214" i="6"/>
  <c r="G2213" i="6"/>
  <c r="G2212" i="6"/>
  <c r="G2211" i="6"/>
  <c r="G2210" i="6"/>
  <c r="G2209" i="6"/>
  <c r="G2208" i="6"/>
  <c r="G2207" i="6"/>
  <c r="G2206" i="6"/>
  <c r="G2205" i="6"/>
  <c r="G2204" i="6"/>
  <c r="G2203" i="6"/>
  <c r="G2202" i="6"/>
  <c r="G2201" i="6"/>
  <c r="G2200" i="6"/>
  <c r="G2199" i="6"/>
  <c r="G2198" i="6"/>
  <c r="G2197" i="6"/>
  <c r="G2196" i="6"/>
  <c r="G2195" i="6"/>
  <c r="G2194" i="6"/>
  <c r="G2193" i="6"/>
  <c r="G2192" i="6"/>
  <c r="G2191" i="6"/>
  <c r="G2190" i="6"/>
  <c r="G2189" i="6"/>
  <c r="G2188" i="6"/>
  <c r="G2187" i="6"/>
  <c r="G2186" i="6"/>
  <c r="G2185" i="6"/>
  <c r="G2184" i="6"/>
  <c r="G2183" i="6"/>
  <c r="G2182" i="6"/>
  <c r="G2181" i="6"/>
  <c r="G2180" i="6"/>
  <c r="G2179" i="6"/>
  <c r="G2178" i="6"/>
  <c r="G2177" i="6"/>
  <c r="G2176" i="6"/>
  <c r="G2175" i="6"/>
  <c r="G2174" i="6"/>
  <c r="G2173" i="6"/>
  <c r="G2172" i="6"/>
  <c r="G2171" i="6"/>
  <c r="G2170" i="6"/>
  <c r="G2169" i="6"/>
  <c r="G2168" i="6"/>
  <c r="G2167" i="6"/>
  <c r="G2166" i="6"/>
  <c r="G2165" i="6"/>
  <c r="G2164" i="6"/>
  <c r="G2163" i="6"/>
  <c r="G2162" i="6"/>
  <c r="G2161" i="6"/>
  <c r="G2160" i="6"/>
  <c r="G2159" i="6"/>
  <c r="G2158" i="6"/>
  <c r="G2157" i="6"/>
  <c r="G2156" i="6"/>
  <c r="G2155" i="6"/>
  <c r="G2154" i="6"/>
  <c r="G2153" i="6"/>
  <c r="G2152" i="6"/>
  <c r="G2151" i="6"/>
  <c r="G2150" i="6"/>
  <c r="G2149" i="6"/>
  <c r="G2148" i="6"/>
  <c r="G2147" i="6"/>
  <c r="G2146" i="6"/>
  <c r="G2145" i="6"/>
  <c r="G2144" i="6"/>
  <c r="G2143" i="6"/>
  <c r="G2142" i="6"/>
  <c r="G2141" i="6"/>
  <c r="G2140" i="6"/>
  <c r="G2139" i="6"/>
  <c r="G2138" i="6"/>
  <c r="G2137" i="6"/>
  <c r="G2136" i="6"/>
  <c r="G2135" i="6"/>
  <c r="G2134" i="6"/>
  <c r="G2133" i="6"/>
  <c r="G2132" i="6"/>
  <c r="G2131" i="6"/>
  <c r="G2130" i="6"/>
  <c r="G2129" i="6"/>
  <c r="G2128" i="6"/>
  <c r="G2127" i="6"/>
  <c r="G2126" i="6"/>
  <c r="G2125" i="6"/>
  <c r="G2124" i="6"/>
  <c r="G2123" i="6"/>
  <c r="G2122" i="6"/>
  <c r="G2121" i="6"/>
  <c r="G2120" i="6"/>
  <c r="G2119" i="6"/>
  <c r="G2118" i="6"/>
  <c r="G2117" i="6"/>
  <c r="G2116" i="6"/>
  <c r="G2115" i="6"/>
  <c r="G2114" i="6"/>
  <c r="G2113" i="6"/>
  <c r="G2112" i="6"/>
  <c r="G2111" i="6"/>
  <c r="G2110" i="6"/>
  <c r="G2109" i="6"/>
  <c r="G2108" i="6"/>
  <c r="G1917" i="6"/>
  <c r="G1916" i="6"/>
  <c r="G1915" i="6"/>
  <c r="G1914" i="6"/>
  <c r="G1913" i="6"/>
  <c r="G1912" i="6"/>
  <c r="G1911" i="6"/>
  <c r="G1910" i="6"/>
  <c r="G1908" i="6"/>
  <c r="G1907" i="6"/>
  <c r="G1906" i="6"/>
  <c r="G1905" i="6"/>
  <c r="G1904" i="6"/>
  <c r="G1903" i="6"/>
  <c r="G1902" i="6"/>
  <c r="G1901" i="6"/>
  <c r="G1900" i="6"/>
  <c r="G1899" i="6"/>
  <c r="G1898" i="6"/>
  <c r="G1897" i="6"/>
  <c r="G1896" i="6"/>
  <c r="G1895" i="6"/>
  <c r="G1894" i="6"/>
  <c r="G1893" i="6"/>
  <c r="G1892" i="6"/>
  <c r="G1891" i="6"/>
  <c r="G1890" i="6"/>
  <c r="G1889" i="6"/>
  <c r="G1888" i="6"/>
  <c r="G1887" i="6"/>
  <c r="G1886" i="6"/>
  <c r="G1885" i="6"/>
  <c r="G1883" i="6"/>
  <c r="G1882" i="6"/>
  <c r="G1881" i="6"/>
  <c r="G1880" i="6"/>
  <c r="G1879" i="6"/>
  <c r="G1875" i="6"/>
  <c r="G1878" i="6"/>
  <c r="G1877" i="6"/>
  <c r="G1876" i="6"/>
  <c r="G1874" i="6"/>
  <c r="G1873" i="6"/>
  <c r="G1872" i="6"/>
  <c r="G1871" i="6"/>
  <c r="G1870" i="6"/>
  <c r="G1869" i="6"/>
  <c r="G1868" i="6"/>
  <c r="G1867" i="6"/>
  <c r="G1866" i="6"/>
  <c r="G1865" i="6"/>
  <c r="G1864" i="6"/>
  <c r="G1863" i="6"/>
  <c r="G1862" i="6"/>
  <c r="G1859" i="6"/>
  <c r="G1858" i="6"/>
  <c r="G1857" i="6"/>
  <c r="G1812" i="6"/>
  <c r="G1811" i="6"/>
  <c r="G1810" i="6"/>
  <c r="G1809" i="6"/>
  <c r="G1808" i="6"/>
  <c r="G1807" i="6"/>
  <c r="G1806" i="6"/>
  <c r="G1805" i="6"/>
  <c r="G1804" i="6"/>
  <c r="G1803" i="6"/>
  <c r="G1802" i="6"/>
  <c r="G1801" i="6"/>
  <c r="G1800" i="6"/>
  <c r="G1799" i="6"/>
  <c r="G1798" i="6"/>
  <c r="G1797" i="6"/>
  <c r="G1796" i="6"/>
  <c r="G1795" i="6"/>
  <c r="G1794" i="6"/>
  <c r="G1793" i="6"/>
  <c r="G1792" i="6"/>
  <c r="G1791" i="6"/>
  <c r="G1790" i="6"/>
  <c r="G1789" i="6"/>
  <c r="G1788" i="6"/>
  <c r="G1787" i="6"/>
  <c r="G1786" i="6"/>
  <c r="G1785" i="6"/>
  <c r="G1783" i="6"/>
  <c r="G1782" i="6"/>
  <c r="G1781" i="6"/>
  <c r="G1780" i="6"/>
  <c r="G1779" i="6"/>
  <c r="G1777" i="6"/>
  <c r="G1776" i="6"/>
  <c r="G1775" i="6"/>
  <c r="G1774" i="6"/>
  <c r="G1773" i="6"/>
  <c r="G1772" i="6"/>
  <c r="G1770" i="6"/>
  <c r="G1769" i="6"/>
  <c r="G1768" i="6"/>
  <c r="G1767" i="6"/>
  <c r="G1766" i="6"/>
  <c r="G1765" i="6"/>
  <c r="G1764" i="6"/>
  <c r="G1763" i="6"/>
  <c r="G1762" i="6"/>
  <c r="G1761" i="6"/>
  <c r="G1760" i="6"/>
  <c r="G1759" i="6"/>
  <c r="G1758" i="6"/>
  <c r="G1757" i="6"/>
  <c r="G1756" i="6"/>
  <c r="G1755" i="6"/>
  <c r="G1754" i="6"/>
  <c r="G1753" i="6"/>
  <c r="G1752" i="6"/>
  <c r="G1751" i="6"/>
  <c r="G1747" i="6"/>
  <c r="G1746" i="6"/>
  <c r="G1745" i="6"/>
  <c r="G1744" i="6"/>
  <c r="G1743" i="6"/>
  <c r="G1741" i="6"/>
  <c r="G1739" i="6"/>
  <c r="G1738" i="6"/>
  <c r="G1737" i="6"/>
  <c r="G1736" i="6"/>
  <c r="G1735" i="6"/>
  <c r="G1734" i="6"/>
  <c r="G1733" i="6"/>
  <c r="G1732" i="6"/>
  <c r="G1731" i="6"/>
  <c r="G1730" i="6"/>
  <c r="G1729" i="6"/>
  <c r="G1728" i="6"/>
  <c r="G1727" i="6"/>
  <c r="G1726" i="6"/>
  <c r="G1725" i="6"/>
  <c r="G1724" i="6"/>
  <c r="G1723" i="6"/>
  <c r="G1722" i="6"/>
  <c r="G1721" i="6"/>
  <c r="G1720" i="6"/>
  <c r="G1719" i="6"/>
  <c r="G1718" i="6"/>
  <c r="G1717" i="6"/>
  <c r="G1716" i="6"/>
  <c r="G1715" i="6"/>
  <c r="G1713" i="6"/>
  <c r="G1714" i="6"/>
  <c r="G1712" i="6"/>
  <c r="G1711" i="6"/>
  <c r="G1709" i="6"/>
  <c r="G1707" i="6"/>
  <c r="G1706" i="6"/>
  <c r="G1705" i="6"/>
  <c r="G1704" i="6"/>
  <c r="G1703" i="6"/>
  <c r="G1702" i="6"/>
  <c r="G1701" i="6"/>
  <c r="G1700" i="6"/>
  <c r="G1699" i="6"/>
  <c r="G1698" i="6"/>
  <c r="G1697" i="6"/>
  <c r="G1696" i="6"/>
  <c r="G1694" i="6"/>
  <c r="G1693" i="6"/>
  <c r="G1692" i="6"/>
  <c r="G1691" i="6"/>
  <c r="G1690" i="6"/>
  <c r="G1689" i="6"/>
  <c r="G1687" i="6"/>
  <c r="G1683" i="6"/>
  <c r="G1682" i="6"/>
  <c r="G1681" i="6"/>
  <c r="G1680" i="6"/>
  <c r="G1679" i="6"/>
  <c r="G1678" i="6"/>
  <c r="G1676" i="6"/>
  <c r="G1675" i="6"/>
  <c r="G1673" i="6"/>
  <c r="G1672" i="6"/>
  <c r="G1671" i="6"/>
  <c r="G1670" i="6"/>
  <c r="G1669" i="6"/>
  <c r="G1668" i="6"/>
  <c r="G1667" i="6"/>
  <c r="G1666" i="6"/>
  <c r="G1665" i="6"/>
  <c r="G1664" i="6"/>
  <c r="G1663" i="6"/>
  <c r="G1662" i="6"/>
  <c r="G1661" i="6"/>
  <c r="G1660" i="6"/>
  <c r="G1659" i="6"/>
  <c r="G1658" i="6"/>
  <c r="G1657" i="6"/>
  <c r="G1656" i="6"/>
  <c r="G1655" i="6"/>
  <c r="G1654" i="6"/>
  <c r="G1653" i="6"/>
  <c r="G1652" i="6"/>
  <c r="G1651" i="6"/>
  <c r="G1650" i="6"/>
  <c r="G1649" i="6"/>
  <c r="G1648" i="6"/>
  <c r="G1646" i="6"/>
  <c r="G1645" i="6"/>
  <c r="G1644" i="6"/>
  <c r="G1643" i="6"/>
  <c r="G1642" i="6"/>
  <c r="G1641" i="6"/>
  <c r="G1640" i="6"/>
  <c r="G1639" i="6"/>
  <c r="G1638" i="6"/>
  <c r="G1637" i="6"/>
  <c r="G1636" i="6"/>
  <c r="G1635" i="6"/>
  <c r="G1634" i="6"/>
  <c r="G1633" i="6"/>
  <c r="G1632" i="6"/>
  <c r="G1631" i="6"/>
  <c r="G1630" i="6"/>
  <c r="G1628" i="6"/>
  <c r="G1627" i="6"/>
  <c r="G1626" i="6"/>
  <c r="G1625" i="6"/>
  <c r="G1624" i="6"/>
  <c r="G1623" i="6"/>
  <c r="G1622" i="6"/>
  <c r="G1621" i="6"/>
  <c r="G1620" i="6"/>
  <c r="G1619" i="6"/>
  <c r="G1618" i="6"/>
  <c r="G1617" i="6"/>
  <c r="G1616" i="6"/>
  <c r="G1615" i="6"/>
  <c r="G1614" i="6"/>
  <c r="G1613" i="6"/>
  <c r="G1612" i="6"/>
  <c r="G1611" i="6"/>
  <c r="G1610" i="6"/>
  <c r="G1609" i="6"/>
  <c r="G1608" i="6"/>
  <c r="G1607" i="6"/>
  <c r="G1606" i="6"/>
  <c r="G1605" i="6"/>
  <c r="G1604" i="6"/>
  <c r="G1603" i="6"/>
  <c r="G1602" i="6"/>
  <c r="G1600" i="6"/>
  <c r="G1599" i="6"/>
  <c r="G1598" i="6"/>
  <c r="G1597" i="6"/>
  <c r="G1596" i="6"/>
  <c r="G1595" i="6"/>
  <c r="G1594" i="6"/>
  <c r="G1593" i="6"/>
  <c r="G1592" i="6"/>
  <c r="G1591" i="6"/>
  <c r="G1590" i="6"/>
  <c r="G1589" i="6"/>
  <c r="G1588" i="6"/>
  <c r="G1587" i="6"/>
  <c r="G1586" i="6"/>
  <c r="G1585" i="6"/>
  <c r="G1584" i="6"/>
  <c r="G1583" i="6"/>
  <c r="G1582" i="6"/>
  <c r="G1581" i="6"/>
  <c r="G1580" i="6"/>
  <c r="G1579" i="6"/>
  <c r="G1576" i="6"/>
  <c r="G1575" i="6"/>
  <c r="G1574" i="6"/>
  <c r="G1564" i="6"/>
  <c r="G1563" i="6"/>
  <c r="G1562" i="6"/>
  <c r="G1560" i="6"/>
  <c r="G1559" i="6"/>
  <c r="G1558" i="6"/>
  <c r="G1556" i="6"/>
  <c r="G1554" i="6"/>
  <c r="G1553" i="6"/>
  <c r="G1552" i="6"/>
  <c r="G1551" i="6"/>
  <c r="G1550" i="6"/>
  <c r="G1549" i="6"/>
  <c r="G1555" i="6"/>
  <c r="G1548" i="6"/>
  <c r="G1547" i="6"/>
  <c r="G1546" i="6"/>
  <c r="G1545" i="6"/>
  <c r="G1544" i="6"/>
  <c r="G1543" i="6"/>
  <c r="G1542" i="6"/>
  <c r="G1541" i="6"/>
  <c r="G1540" i="6"/>
  <c r="G1539" i="6"/>
  <c r="G1538" i="6"/>
  <c r="G1537" i="6"/>
  <c r="G1536" i="6"/>
  <c r="G1535" i="6"/>
  <c r="G1534" i="6"/>
  <c r="G1533" i="6"/>
  <c r="G1530" i="6"/>
  <c r="G1529" i="6"/>
  <c r="G1528" i="6"/>
  <c r="G1527" i="6"/>
  <c r="G1526" i="6"/>
  <c r="G1525" i="6"/>
  <c r="G1524" i="6"/>
  <c r="G1523" i="6"/>
  <c r="G1522" i="6"/>
  <c r="G1521" i="6"/>
  <c r="G1520" i="6"/>
  <c r="G1519" i="6"/>
  <c r="G1518" i="6"/>
  <c r="G1517" i="6"/>
  <c r="G1516" i="6"/>
  <c r="G1515" i="6"/>
  <c r="G1514" i="6"/>
  <c r="G1513" i="6"/>
  <c r="G1512" i="6"/>
  <c r="G1511" i="6"/>
  <c r="G1510" i="6"/>
  <c r="G1508" i="6"/>
  <c r="G1507" i="6"/>
  <c r="G1506" i="6"/>
  <c r="G1505" i="6"/>
  <c r="G1504" i="6"/>
  <c r="G1503" i="6"/>
  <c r="G1501" i="6"/>
  <c r="G1500" i="6"/>
  <c r="G1499" i="6"/>
  <c r="G1498" i="6"/>
  <c r="G1497" i="6"/>
  <c r="G1496" i="6"/>
  <c r="G1495" i="6"/>
  <c r="G1494" i="6"/>
  <c r="G1493" i="6"/>
  <c r="G1492" i="6"/>
  <c r="G1491" i="6"/>
  <c r="G1490" i="6"/>
  <c r="G1531" i="6"/>
  <c r="G1489" i="6"/>
  <c r="G1488" i="6"/>
  <c r="G1487" i="6"/>
  <c r="G1486" i="6"/>
  <c r="G1485" i="6"/>
  <c r="G1502" i="6"/>
  <c r="G1484" i="6"/>
  <c r="G1483" i="6"/>
  <c r="G1482" i="6"/>
  <c r="G1481" i="6"/>
  <c r="G1480" i="6"/>
  <c r="G1479" i="6"/>
  <c r="G1478" i="6"/>
  <c r="G1477" i="6"/>
  <c r="G1476" i="6"/>
  <c r="G1475" i="6"/>
  <c r="G1470" i="6"/>
  <c r="G1469" i="6"/>
  <c r="G1468" i="6"/>
  <c r="G1467" i="6"/>
  <c r="G1466" i="6"/>
  <c r="G1465" i="6"/>
  <c r="G1464" i="6"/>
  <c r="G1463" i="6"/>
  <c r="G1462" i="6"/>
  <c r="G1461" i="6"/>
  <c r="G1460" i="6"/>
  <c r="G1459" i="6"/>
  <c r="G1458" i="6"/>
  <c r="G1457" i="6"/>
  <c r="G1456" i="6"/>
  <c r="G1454" i="6"/>
  <c r="G1453" i="6"/>
  <c r="G1455" i="6"/>
  <c r="G1452" i="6"/>
  <c r="G1451" i="6"/>
  <c r="G1450" i="6"/>
  <c r="G1449" i="6"/>
  <c r="G1448" i="6"/>
  <c r="G1447" i="6"/>
  <c r="G1446" i="6"/>
  <c r="G1444" i="6"/>
  <c r="G1443" i="6"/>
  <c r="G1442" i="6"/>
  <c r="G1441" i="6"/>
  <c r="G1440" i="6"/>
  <c r="G1439" i="6"/>
  <c r="G1438" i="6"/>
  <c r="G1437" i="6"/>
  <c r="G1436" i="6"/>
  <c r="G1435" i="6"/>
  <c r="G1434" i="6"/>
  <c r="G1433" i="6"/>
  <c r="G1432" i="6"/>
  <c r="G1431" i="6"/>
  <c r="G1430" i="6"/>
  <c r="G1429" i="6"/>
  <c r="G1428" i="6"/>
  <c r="G1427" i="6"/>
  <c r="G1426" i="6"/>
  <c r="G1425" i="6"/>
  <c r="G1424" i="6"/>
  <c r="G1423" i="6"/>
  <c r="G1422" i="6"/>
  <c r="G1421" i="6"/>
  <c r="G1420" i="6"/>
  <c r="G1419" i="6"/>
  <c r="G1418" i="6"/>
  <c r="G1417" i="6"/>
  <c r="G1416" i="6"/>
  <c r="G1415" i="6"/>
  <c r="G1414" i="6"/>
  <c r="G1413" i="6"/>
  <c r="G1412" i="6"/>
  <c r="G1411" i="6"/>
  <c r="G1410" i="6"/>
  <c r="G1409" i="6"/>
  <c r="G1408" i="6"/>
  <c r="G1407" i="6"/>
  <c r="G1406" i="6"/>
  <c r="G1405" i="6"/>
  <c r="G1404" i="6"/>
  <c r="G1403" i="6"/>
  <c r="G1402" i="6"/>
  <c r="G1401" i="6"/>
  <c r="G1400" i="6"/>
  <c r="G1399" i="6"/>
  <c r="G1398" i="6"/>
  <c r="G1397" i="6"/>
  <c r="G1396" i="6"/>
  <c r="G1395" i="6"/>
  <c r="G1394" i="6"/>
  <c r="G1393" i="6"/>
  <c r="G1392" i="6"/>
  <c r="G1391" i="6"/>
  <c r="G1390" i="6"/>
  <c r="G1389" i="6"/>
  <c r="G1388" i="6"/>
  <c r="G1387" i="6"/>
  <c r="G1386" i="6"/>
  <c r="G1385" i="6"/>
  <c r="G1384" i="6"/>
  <c r="G1381" i="6"/>
  <c r="G1379" i="6"/>
  <c r="G1378" i="6"/>
  <c r="G1376" i="6"/>
  <c r="G1375" i="6"/>
  <c r="G1374" i="6"/>
  <c r="G1373" i="6"/>
  <c r="G1372" i="6"/>
  <c r="G1371" i="6"/>
  <c r="G1370" i="6"/>
  <c r="G1369" i="6"/>
  <c r="G1364" i="6"/>
  <c r="G1363" i="6"/>
  <c r="G1359" i="6"/>
  <c r="G1354" i="6"/>
  <c r="G1353" i="6"/>
  <c r="G1351" i="6"/>
  <c r="G1339" i="6"/>
  <c r="G1338" i="6"/>
  <c r="G1337" i="6"/>
  <c r="G1336" i="6"/>
  <c r="G1335" i="6"/>
  <c r="G1333" i="6"/>
  <c r="G1326" i="6"/>
  <c r="G1325" i="6"/>
  <c r="G1324" i="6"/>
  <c r="G1323" i="6"/>
  <c r="G1321" i="6"/>
  <c r="G1320" i="6"/>
  <c r="G1318" i="6"/>
  <c r="G1317" i="6"/>
  <c r="G1316" i="6"/>
  <c r="G1315" i="6"/>
  <c r="G1314" i="6"/>
  <c r="G1313" i="6"/>
  <c r="G1312" i="6"/>
  <c r="G1311" i="6"/>
  <c r="G1310" i="6"/>
  <c r="G1309" i="6"/>
  <c r="G1308" i="6"/>
  <c r="G1306" i="6"/>
  <c r="G1305" i="6"/>
  <c r="G1304" i="6"/>
  <c r="G1303" i="6"/>
  <c r="G1302" i="6"/>
  <c r="G1301" i="6"/>
  <c r="G1300" i="6"/>
  <c r="G1298" i="6"/>
  <c r="G1297" i="6"/>
  <c r="G1296" i="6"/>
  <c r="G1295" i="6"/>
  <c r="G1294" i="6"/>
  <c r="G1293" i="6"/>
  <c r="G1292" i="6"/>
  <c r="G1291" i="6"/>
  <c r="G1290" i="6"/>
  <c r="G1289" i="6"/>
  <c r="G1288" i="6"/>
  <c r="G1287" i="6"/>
  <c r="G1286" i="6"/>
  <c r="G1285" i="6"/>
  <c r="G1284" i="6"/>
  <c r="G1283" i="6"/>
  <c r="G1282" i="6"/>
  <c r="G1281" i="6"/>
  <c r="G1280" i="6"/>
  <c r="G1279" i="6"/>
  <c r="G1278" i="6"/>
  <c r="G1277" i="6"/>
  <c r="G1276" i="6"/>
  <c r="G1275" i="6"/>
  <c r="G1274" i="6"/>
  <c r="G1272" i="6"/>
  <c r="G1271" i="6"/>
  <c r="G1270" i="6"/>
  <c r="G1264" i="6"/>
  <c r="G1262" i="6"/>
  <c r="G1261" i="6"/>
  <c r="G1260" i="6"/>
  <c r="G1257" i="6"/>
  <c r="G1256" i="6"/>
  <c r="G1255" i="6"/>
  <c r="G1254" i="6"/>
  <c r="G1253" i="6"/>
  <c r="G1252" i="6"/>
  <c r="G1251" i="6"/>
  <c r="G1250" i="6"/>
  <c r="G1249" i="6"/>
  <c r="G1246" i="6"/>
  <c r="G1245" i="6"/>
  <c r="G1244" i="6"/>
  <c r="G1243" i="6"/>
  <c r="G1242" i="6"/>
  <c r="G1241" i="6"/>
  <c r="G1240" i="6"/>
  <c r="G1239" i="6"/>
  <c r="G1238" i="6"/>
  <c r="G1237" i="6"/>
  <c r="G1236" i="6"/>
  <c r="G1234" i="6"/>
  <c r="G1233" i="6"/>
  <c r="G1230" i="6"/>
  <c r="G1229" i="6"/>
  <c r="G1228" i="6"/>
  <c r="G1227" i="6"/>
  <c r="G1226" i="6"/>
  <c r="G1225" i="6"/>
  <c r="G1224" i="6"/>
  <c r="G1222" i="6"/>
  <c r="G1221" i="6"/>
  <c r="G1220" i="6"/>
  <c r="G1219" i="6"/>
  <c r="G1218" i="6"/>
  <c r="G1217" i="6"/>
  <c r="G1216" i="6"/>
  <c r="G1215" i="6"/>
  <c r="G1214" i="6"/>
  <c r="G1213" i="6"/>
  <c r="G1212" i="6"/>
  <c r="G1211" i="6"/>
  <c r="G1210" i="6"/>
  <c r="G1209" i="6"/>
  <c r="G1208" i="6"/>
  <c r="G1206" i="6"/>
  <c r="G1205" i="6"/>
  <c r="G1204" i="6"/>
  <c r="G1203" i="6"/>
  <c r="G1202" i="6"/>
  <c r="G1201" i="6"/>
  <c r="G1200" i="6"/>
  <c r="G1199" i="6"/>
  <c r="G1198" i="6"/>
  <c r="G1197" i="6"/>
  <c r="G1196" i="6"/>
  <c r="G1195" i="6"/>
  <c r="G1194" i="6"/>
  <c r="G1193" i="6"/>
  <c r="G1192" i="6"/>
  <c r="G1191" i="6"/>
  <c r="G1190" i="6"/>
  <c r="G1189" i="6"/>
  <c r="G1188" i="6"/>
  <c r="G1187" i="6"/>
  <c r="G1186" i="6"/>
  <c r="G1185" i="6"/>
  <c r="G1184" i="6"/>
  <c r="G1183" i="6"/>
  <c r="G1182" i="6"/>
  <c r="G1181" i="6"/>
  <c r="G1180" i="6"/>
  <c r="G1179" i="6"/>
  <c r="G1178" i="6"/>
  <c r="G1177" i="6"/>
  <c r="G1176" i="6"/>
  <c r="G1175" i="6"/>
  <c r="G1174" i="6"/>
  <c r="G1173" i="6"/>
  <c r="G1172" i="6"/>
  <c r="G1171" i="6"/>
  <c r="G1170" i="6"/>
  <c r="G1169" i="6"/>
  <c r="G1134" i="6"/>
  <c r="G1133" i="6"/>
  <c r="G1132" i="6"/>
  <c r="G1130" i="6"/>
  <c r="G1129" i="6"/>
  <c r="G1128" i="6"/>
  <c r="G1127" i="6"/>
  <c r="G1126" i="6"/>
  <c r="G1125" i="6"/>
  <c r="G1119" i="6"/>
  <c r="G1124" i="6"/>
  <c r="G1123" i="6"/>
  <c r="G1122" i="6"/>
  <c r="G1121" i="6"/>
  <c r="G1120" i="6"/>
  <c r="G1118" i="6"/>
  <c r="G1117" i="6"/>
  <c r="G1116" i="6"/>
  <c r="G1115" i="6"/>
  <c r="G1114" i="6"/>
  <c r="G1113" i="6"/>
  <c r="G1112" i="6"/>
  <c r="G1111" i="6"/>
  <c r="G1109" i="6"/>
  <c r="G1108" i="6"/>
  <c r="G1107" i="6"/>
  <c r="G1106" i="6"/>
  <c r="G1105" i="6"/>
  <c r="G1104" i="6"/>
  <c r="G1103" i="6"/>
  <c r="G1102" i="6"/>
  <c r="G1110" i="6"/>
  <c r="G1100" i="6"/>
  <c r="G1099" i="6"/>
  <c r="G1098" i="6"/>
  <c r="G1093" i="6"/>
  <c r="G1097" i="6"/>
  <c r="G1096" i="6"/>
  <c r="G1094" i="6"/>
  <c r="G1092" i="6"/>
  <c r="G1091" i="6"/>
  <c r="G1090" i="6"/>
  <c r="G1089" i="6"/>
  <c r="G1088" i="6"/>
  <c r="G1087" i="6"/>
  <c r="G1086" i="6"/>
  <c r="G1085" i="6"/>
  <c r="G1079" i="6"/>
  <c r="G1084" i="6"/>
  <c r="G1078" i="6"/>
  <c r="G1077" i="6"/>
  <c r="G1080" i="6"/>
  <c r="G1073" i="6"/>
  <c r="G1076" i="6"/>
  <c r="G1075" i="6"/>
  <c r="G1072" i="6"/>
  <c r="G1071" i="6"/>
  <c r="G1070" i="6"/>
  <c r="G1074" i="6"/>
  <c r="G1068" i="6"/>
  <c r="G1067" i="6"/>
  <c r="G1066" i="6"/>
  <c r="G1069" i="6"/>
  <c r="G1065" i="6"/>
  <c r="G1064" i="6"/>
  <c r="G1063" i="6"/>
  <c r="G1062" i="6"/>
  <c r="G1058" i="6"/>
  <c r="G1057" i="6"/>
  <c r="G1056" i="6"/>
  <c r="G1055" i="6"/>
  <c r="G1061" i="6"/>
  <c r="G1060" i="6"/>
  <c r="G1054" i="6"/>
  <c r="G1053" i="6"/>
  <c r="G1059" i="6"/>
  <c r="G1048" i="6"/>
  <c r="G1047" i="6"/>
  <c r="G1052" i="6"/>
  <c r="G1051" i="6"/>
  <c r="G1050" i="6"/>
  <c r="G1049" i="6"/>
  <c r="G1046" i="6"/>
  <c r="G1045" i="6"/>
  <c r="K1085" i="6"/>
  <c r="H1085" i="6" s="1"/>
  <c r="K1079" i="6"/>
  <c r="H1079" i="6" s="1"/>
  <c r="K1084" i="6"/>
  <c r="H1084" i="6" s="1"/>
  <c r="K1078" i="6"/>
  <c r="H1078" i="6" s="1"/>
  <c r="K1077" i="6"/>
  <c r="H1077" i="6" s="1"/>
  <c r="K1080" i="6"/>
  <c r="H1080" i="6" s="1"/>
  <c r="K1073" i="6"/>
  <c r="H1073" i="6" s="1"/>
  <c r="K1076" i="6"/>
  <c r="H1076" i="6" s="1"/>
  <c r="K1075" i="6"/>
  <c r="H1075" i="6" s="1"/>
  <c r="K1072" i="6"/>
  <c r="H1072" i="6" s="1"/>
  <c r="K1071" i="6"/>
  <c r="H1071" i="6" s="1"/>
  <c r="K1070" i="6"/>
  <c r="H1070" i="6" s="1"/>
  <c r="K1074" i="6"/>
  <c r="H1074" i="6" s="1"/>
  <c r="K1068" i="6"/>
  <c r="H1068" i="6" s="1"/>
  <c r="K1067" i="6"/>
  <c r="H1067" i="6" s="1"/>
  <c r="K1066" i="6"/>
  <c r="H1066" i="6" s="1"/>
  <c r="K1069" i="6"/>
  <c r="H1069" i="6" s="1"/>
  <c r="K1065" i="6"/>
  <c r="H1065" i="6" s="1"/>
  <c r="K1064" i="6"/>
  <c r="H1064" i="6" s="1"/>
  <c r="K1063" i="6"/>
  <c r="H1063" i="6" s="1"/>
  <c r="K1062" i="6"/>
  <c r="H1062" i="6" s="1"/>
  <c r="K1058" i="6"/>
  <c r="H1058" i="6" s="1"/>
  <c r="K1057" i="6"/>
  <c r="H1057" i="6" s="1"/>
  <c r="K1056" i="6"/>
  <c r="H1056" i="6" s="1"/>
  <c r="K1055" i="6"/>
  <c r="H1055" i="6" s="1"/>
  <c r="K1061" i="6"/>
  <c r="H1061" i="6" s="1"/>
  <c r="K1060" i="6"/>
  <c r="H1060" i="6" s="1"/>
  <c r="K1054" i="6"/>
  <c r="H1054" i="6" s="1"/>
  <c r="K1053" i="6"/>
  <c r="H1053" i="6" s="1"/>
  <c r="K1059" i="6"/>
  <c r="H1059" i="6" s="1"/>
  <c r="K1048" i="6"/>
  <c r="H1048" i="6" s="1"/>
  <c r="K1047" i="6"/>
  <c r="H1047" i="6" s="1"/>
  <c r="K1052" i="6"/>
  <c r="H1052" i="6" s="1"/>
  <c r="K1051" i="6"/>
  <c r="H1051" i="6" s="1"/>
  <c r="K1050" i="6"/>
  <c r="H1050" i="6" s="1"/>
  <c r="K1049" i="6"/>
  <c r="H1049" i="6" s="1"/>
  <c r="K1046" i="6"/>
  <c r="H1046" i="6" s="1"/>
  <c r="K1045" i="6"/>
  <c r="H1045" i="6" s="1"/>
  <c r="K1036" i="6"/>
  <c r="H1036" i="6" s="1"/>
  <c r="G1036" i="6"/>
  <c r="K1035" i="6"/>
  <c r="H1035" i="6" s="1"/>
  <c r="G1035" i="6"/>
  <c r="K1034" i="6"/>
  <c r="H1034" i="6" s="1"/>
  <c r="G1034" i="6"/>
  <c r="K1033" i="6"/>
  <c r="H1033" i="6" s="1"/>
  <c r="G1033" i="6"/>
  <c r="K1032" i="6"/>
  <c r="H1032" i="6" s="1"/>
  <c r="G1032" i="6"/>
  <c r="K1031" i="6"/>
  <c r="H1031" i="6" s="1"/>
  <c r="G1031" i="6"/>
  <c r="N1028" i="6"/>
  <c r="N1036" i="6"/>
  <c r="N1035" i="6"/>
  <c r="N1034" i="6"/>
  <c r="N1033" i="6"/>
  <c r="N1032" i="6"/>
  <c r="N1031" i="6"/>
  <c r="N1029" i="6"/>
  <c r="N1027" i="6"/>
  <c r="N1026" i="6"/>
  <c r="N1025" i="6"/>
  <c r="N1024" i="6"/>
  <c r="N1023" i="6"/>
  <c r="N1022" i="6"/>
  <c r="N1021" i="6"/>
  <c r="N1020" i="6"/>
  <c r="N1019" i="6"/>
  <c r="N1018" i="6"/>
  <c r="N1017" i="6"/>
  <c r="N1016" i="6"/>
  <c r="N1015" i="6"/>
  <c r="N1014" i="6"/>
  <c r="N1013" i="6"/>
  <c r="N1012" i="6"/>
  <c r="N1011" i="6"/>
  <c r="N1010" i="6"/>
  <c r="N1009" i="6"/>
  <c r="N1008" i="6"/>
  <c r="N1003" i="6"/>
  <c r="N1002" i="6"/>
  <c r="N1001" i="6"/>
  <c r="N914" i="22"/>
  <c r="N913" i="22"/>
  <c r="N912" i="22"/>
  <c r="N911" i="22"/>
  <c r="N910" i="22"/>
  <c r="N909" i="22"/>
  <c r="N908" i="22"/>
  <c r="N907" i="22"/>
  <c r="N906" i="22"/>
  <c r="N905" i="22"/>
  <c r="G907" i="22"/>
  <c r="K907" i="22"/>
  <c r="H907" i="22" s="1"/>
  <c r="G908" i="22"/>
  <c r="K908" i="22"/>
  <c r="H908" i="22" s="1"/>
  <c r="G909" i="22"/>
  <c r="K909" i="22"/>
  <c r="H909" i="22" s="1"/>
  <c r="G910" i="22"/>
  <c r="K910" i="22"/>
  <c r="H910" i="22" s="1"/>
  <c r="G911" i="22"/>
  <c r="K911" i="22"/>
  <c r="H911" i="22" s="1"/>
  <c r="G912" i="22"/>
  <c r="K912" i="22"/>
  <c r="H912" i="22" s="1"/>
  <c r="G913" i="22"/>
  <c r="K913" i="22"/>
  <c r="H913" i="22" s="1"/>
  <c r="G914" i="22"/>
  <c r="K914" i="22"/>
  <c r="H914" i="22" s="1"/>
  <c r="B914" i="22" a="1"/>
  <c r="B914" i="22" s="1"/>
  <c r="B913" i="22" a="1"/>
  <c r="B913" i="22" s="1"/>
  <c r="B912" i="22" a="1"/>
  <c r="B912" i="22" s="1"/>
  <c r="B911" i="22" a="1"/>
  <c r="B911" i="22" s="1"/>
  <c r="B910" i="22" a="1"/>
  <c r="B910" i="22" s="1"/>
  <c r="B909" i="22" a="1"/>
  <c r="B909" i="22" s="1"/>
  <c r="B908" i="22" a="1"/>
  <c r="B908" i="22" s="1"/>
  <c r="B907" i="22" a="1"/>
  <c r="B907" i="22" s="1"/>
  <c r="K1027" i="6"/>
  <c r="H1027" i="6" s="1"/>
  <c r="G1027" i="6"/>
  <c r="K1030" i="6"/>
  <c r="H1030" i="6" s="1"/>
  <c r="K1029" i="6"/>
  <c r="H1029" i="6" s="1"/>
  <c r="K1028" i="6"/>
  <c r="H1028" i="6" s="1"/>
  <c r="K1026" i="6"/>
  <c r="H1026" i="6" s="1"/>
  <c r="K1025" i="6"/>
  <c r="H1025" i="6" s="1"/>
  <c r="K1024" i="6"/>
  <c r="H1024" i="6" s="1"/>
  <c r="K1023" i="6"/>
  <c r="H1023" i="6" s="1"/>
  <c r="G1030" i="6"/>
  <c r="G1029" i="6"/>
  <c r="G1028" i="6"/>
  <c r="G1026" i="6"/>
  <c r="G1025" i="6"/>
  <c r="G1024" i="6"/>
  <c r="G1023" i="6"/>
  <c r="N901" i="22"/>
  <c r="K901" i="22"/>
  <c r="H901" i="22" s="1"/>
  <c r="G901" i="22"/>
  <c r="B901" i="22" a="1"/>
  <c r="B901" i="22" s="1"/>
  <c r="N904" i="22"/>
  <c r="N903" i="22"/>
  <c r="N902" i="22"/>
  <c r="N900" i="22"/>
  <c r="N899" i="22"/>
  <c r="G899" i="22"/>
  <c r="K899" i="22"/>
  <c r="H899" i="22" s="1"/>
  <c r="G900" i="22"/>
  <c r="K900" i="22"/>
  <c r="H900" i="22" s="1"/>
  <c r="G902" i="22"/>
  <c r="K902" i="22"/>
  <c r="H902" i="22" s="1"/>
  <c r="G903" i="22"/>
  <c r="K903" i="22"/>
  <c r="H903" i="22" s="1"/>
  <c r="G904" i="22"/>
  <c r="K904" i="22"/>
  <c r="H904" i="22" s="1"/>
  <c r="G905" i="22"/>
  <c r="K905" i="22"/>
  <c r="H905" i="22" s="1"/>
  <c r="G906" i="22"/>
  <c r="K906" i="22"/>
  <c r="H906" i="22" s="1"/>
  <c r="B906" i="22" a="1"/>
  <c r="B906" i="22" s="1"/>
  <c r="B905" i="22" a="1"/>
  <c r="B905" i="22" s="1"/>
  <c r="B904" i="22" a="1"/>
  <c r="B904" i="22" s="1"/>
  <c r="B903" i="22" a="1"/>
  <c r="B903" i="22" s="1"/>
  <c r="B902" i="22" a="1"/>
  <c r="B902" i="22" s="1"/>
  <c r="B900" i="22" a="1"/>
  <c r="B900" i="22" s="1"/>
  <c r="B899" i="22" a="1"/>
  <c r="B899" i="22" s="1"/>
  <c r="K1022" i="6"/>
  <c r="H1022" i="6" s="1"/>
  <c r="G1022" i="6"/>
  <c r="K1021" i="6"/>
  <c r="H1021" i="6" s="1"/>
  <c r="G1021" i="6"/>
  <c r="K1020" i="6"/>
  <c r="H1020" i="6" s="1"/>
  <c r="G1020" i="6"/>
  <c r="K1019" i="6"/>
  <c r="H1019" i="6" s="1"/>
  <c r="G1019" i="6"/>
  <c r="K1018" i="6"/>
  <c r="H1018" i="6" s="1"/>
  <c r="G1018" i="6"/>
  <c r="K1017" i="6"/>
  <c r="H1017" i="6" s="1"/>
  <c r="G1017" i="6"/>
  <c r="K1016" i="6"/>
  <c r="H1016" i="6" s="1"/>
  <c r="G1016" i="6"/>
  <c r="K1015" i="6"/>
  <c r="H1015" i="6" s="1"/>
  <c r="G1015" i="6"/>
  <c r="N897" i="22"/>
  <c r="N896" i="22"/>
  <c r="N895" i="22"/>
  <c r="N894" i="22"/>
  <c r="N893" i="22"/>
  <c r="N892" i="22"/>
  <c r="N891" i="22"/>
  <c r="N890" i="22"/>
  <c r="N889" i="22"/>
  <c r="N888" i="22"/>
  <c r="N887" i="22"/>
  <c r="N886" i="22"/>
  <c r="N885" i="22"/>
  <c r="N884" i="22"/>
  <c r="N883" i="22"/>
  <c r="N882" i="22"/>
  <c r="N881" i="22"/>
  <c r="N880" i="22"/>
  <c r="N879" i="22"/>
  <c r="N878" i="22"/>
  <c r="N877" i="22"/>
  <c r="N876" i="22"/>
  <c r="N875" i="22"/>
  <c r="N874" i="22"/>
  <c r="N873" i="22"/>
  <c r="N872" i="22"/>
  <c r="N871" i="22"/>
  <c r="N870" i="22"/>
  <c r="N869" i="22"/>
  <c r="N868" i="22"/>
  <c r="N867" i="22"/>
  <c r="N866" i="22"/>
  <c r="N865" i="22"/>
  <c r="N864" i="22"/>
  <c r="N863" i="22"/>
  <c r="N862" i="22"/>
  <c r="N861" i="22"/>
  <c r="N860" i="22"/>
  <c r="N859" i="22"/>
  <c r="N858" i="22"/>
  <c r="N857" i="22"/>
  <c r="N856" i="22"/>
  <c r="N855" i="22"/>
  <c r="N854" i="22"/>
  <c r="N852" i="22"/>
  <c r="N851" i="22"/>
  <c r="N850" i="22"/>
  <c r="N849" i="22"/>
  <c r="N848" i="22"/>
  <c r="N847" i="22"/>
  <c r="N846" i="22"/>
  <c r="N845" i="22"/>
  <c r="N844" i="22"/>
  <c r="N843" i="22"/>
  <c r="N842" i="22"/>
  <c r="N841" i="22"/>
  <c r="N840" i="22"/>
  <c r="N839" i="22"/>
  <c r="N838" i="22"/>
  <c r="N837" i="22"/>
  <c r="N836" i="22"/>
  <c r="N835" i="22"/>
  <c r="N834" i="22"/>
  <c r="N833" i="22"/>
  <c r="N832" i="22"/>
  <c r="N831" i="22"/>
  <c r="N830" i="22"/>
  <c r="N829" i="22"/>
  <c r="N828" i="22"/>
  <c r="N827" i="22"/>
  <c r="N826" i="22"/>
  <c r="N825" i="22"/>
  <c r="N824" i="22"/>
  <c r="N823" i="22"/>
  <c r="N822" i="22"/>
  <c r="N821" i="22"/>
  <c r="N820" i="22"/>
  <c r="N819" i="22"/>
  <c r="N818" i="22"/>
  <c r="N817" i="22"/>
  <c r="N816" i="22"/>
  <c r="N815" i="22"/>
  <c r="N814" i="22"/>
  <c r="N813" i="22"/>
  <c r="N812" i="22"/>
  <c r="N811" i="22"/>
  <c r="N810" i="22"/>
  <c r="N809" i="22"/>
  <c r="N808" i="22"/>
  <c r="N807" i="22"/>
  <c r="N806" i="22"/>
  <c r="N805" i="22"/>
  <c r="N804" i="22"/>
  <c r="N803" i="22"/>
  <c r="N802" i="22"/>
  <c r="N801" i="22"/>
  <c r="N800" i="22"/>
  <c r="N799" i="22"/>
  <c r="N798" i="22"/>
  <c r="N797" i="22"/>
  <c r="N796" i="22"/>
  <c r="N795" i="22"/>
  <c r="N794" i="22"/>
  <c r="N793" i="22"/>
  <c r="N792" i="22"/>
  <c r="N791" i="22"/>
  <c r="N790" i="22"/>
  <c r="N789" i="22"/>
  <c r="N788" i="22"/>
  <c r="N787" i="22"/>
  <c r="N786" i="22"/>
  <c r="N785" i="22"/>
  <c r="N784" i="22"/>
  <c r="N783" i="22"/>
  <c r="N782" i="22"/>
  <c r="N781" i="22"/>
  <c r="N780" i="22"/>
  <c r="N779" i="22"/>
  <c r="N778" i="22"/>
  <c r="N777" i="22"/>
  <c r="N776" i="22"/>
  <c r="N775" i="22"/>
  <c r="N774" i="22"/>
  <c r="N773" i="22"/>
  <c r="N772" i="22"/>
  <c r="N771" i="22"/>
  <c r="N770" i="22"/>
  <c r="N769" i="22"/>
  <c r="N768" i="22"/>
  <c r="N767" i="22"/>
  <c r="N766" i="22"/>
  <c r="N765" i="22"/>
  <c r="N764" i="22"/>
  <c r="N763" i="22"/>
  <c r="N762" i="22"/>
  <c r="N761" i="22"/>
  <c r="N760" i="22"/>
  <c r="N759" i="22"/>
  <c r="N758" i="22"/>
  <c r="N757" i="22"/>
  <c r="N756" i="22"/>
  <c r="N755" i="22"/>
  <c r="N754" i="22"/>
  <c r="N753" i="22"/>
  <c r="N752" i="22"/>
  <c r="N751" i="22"/>
  <c r="N750" i="22"/>
  <c r="N749" i="22"/>
  <c r="N748" i="22"/>
  <c r="N747" i="22"/>
  <c r="N746" i="22"/>
  <c r="N745" i="22"/>
  <c r="N744" i="22"/>
  <c r="N743" i="22"/>
  <c r="N742" i="22"/>
  <c r="N741" i="22"/>
  <c r="N740" i="22"/>
  <c r="N739" i="22"/>
  <c r="N738" i="22"/>
  <c r="N737" i="22"/>
  <c r="N736" i="22"/>
  <c r="N735" i="22"/>
  <c r="N734" i="22"/>
  <c r="N733" i="22"/>
  <c r="N732" i="22"/>
  <c r="N731" i="22"/>
  <c r="N730" i="22"/>
  <c r="N729" i="22"/>
  <c r="N728" i="22"/>
  <c r="N727" i="22"/>
  <c r="N726" i="22"/>
  <c r="N725" i="22"/>
  <c r="N724" i="22"/>
  <c r="N723" i="22"/>
  <c r="N722" i="22"/>
  <c r="N721" i="22"/>
  <c r="N720" i="22"/>
  <c r="N719" i="22"/>
  <c r="N718" i="22"/>
  <c r="N717" i="22"/>
  <c r="N716" i="22"/>
  <c r="N715" i="22"/>
  <c r="N714" i="22"/>
  <c r="N713" i="22"/>
  <c r="N712" i="22"/>
  <c r="N711" i="22"/>
  <c r="N710" i="22"/>
  <c r="N709" i="22"/>
  <c r="N708" i="22"/>
  <c r="N707" i="22"/>
  <c r="N706" i="22"/>
  <c r="N705" i="22"/>
  <c r="N704" i="22"/>
  <c r="N703" i="22"/>
  <c r="N702" i="22"/>
  <c r="N701" i="22"/>
  <c r="N700" i="22"/>
  <c r="N699" i="22"/>
  <c r="N698" i="22"/>
  <c r="N697" i="22"/>
  <c r="N696" i="22"/>
  <c r="N695" i="22"/>
  <c r="N694" i="22"/>
  <c r="N693" i="22"/>
  <c r="N692" i="22"/>
  <c r="N691" i="22"/>
  <c r="N690" i="22"/>
  <c r="N689" i="22"/>
  <c r="N688" i="22"/>
  <c r="N687" i="22"/>
  <c r="N686" i="22"/>
  <c r="N685" i="22"/>
  <c r="N684" i="22"/>
  <c r="N683" i="22"/>
  <c r="N682" i="22"/>
  <c r="N681" i="22"/>
  <c r="N680" i="22"/>
  <c r="N679" i="22"/>
  <c r="N678" i="22"/>
  <c r="N677" i="22"/>
  <c r="N676" i="22"/>
  <c r="N675" i="22"/>
  <c r="N674" i="22"/>
  <c r="N673" i="22"/>
  <c r="N672" i="22"/>
  <c r="N671" i="22"/>
  <c r="N670" i="22"/>
  <c r="N669" i="22"/>
  <c r="N668" i="22"/>
  <c r="N667" i="22"/>
  <c r="N666" i="22"/>
  <c r="N665" i="22"/>
  <c r="N664" i="22"/>
  <c r="N663" i="22"/>
  <c r="N662" i="22"/>
  <c r="N661" i="22"/>
  <c r="N660" i="22"/>
  <c r="N659" i="22"/>
  <c r="N658" i="22"/>
  <c r="N657" i="22"/>
  <c r="N656" i="22"/>
  <c r="N655" i="22"/>
  <c r="N654" i="22"/>
  <c r="N653" i="22"/>
  <c r="N652" i="22"/>
  <c r="N651" i="22"/>
  <c r="N650" i="22"/>
  <c r="N649" i="22"/>
  <c r="N648" i="22"/>
  <c r="N647" i="22"/>
  <c r="N646" i="22"/>
  <c r="N645" i="22"/>
  <c r="N644" i="22"/>
  <c r="N643" i="22"/>
  <c r="N642" i="22"/>
  <c r="N641" i="22"/>
  <c r="N640" i="22"/>
  <c r="N639" i="22"/>
  <c r="N638" i="22"/>
  <c r="N637" i="22"/>
  <c r="N636" i="22"/>
  <c r="N635" i="22"/>
  <c r="N634" i="22"/>
  <c r="N633" i="22"/>
  <c r="N632" i="22"/>
  <c r="N631" i="22"/>
  <c r="N630" i="22"/>
  <c r="N629" i="22"/>
  <c r="N628" i="22"/>
  <c r="N627" i="22"/>
  <c r="N626" i="22"/>
  <c r="N625" i="22"/>
  <c r="N624" i="22"/>
  <c r="N623" i="22"/>
  <c r="N622" i="22"/>
  <c r="N621" i="22"/>
  <c r="N620" i="22"/>
  <c r="N619" i="22"/>
  <c r="N618" i="22"/>
  <c r="N617" i="22"/>
  <c r="N616" i="22"/>
  <c r="N615" i="22"/>
  <c r="N614" i="22"/>
  <c r="N613" i="22"/>
  <c r="N612" i="22"/>
  <c r="N611" i="22"/>
  <c r="N610" i="22"/>
  <c r="N609" i="22"/>
  <c r="N608" i="22"/>
  <c r="N607" i="22"/>
  <c r="N606" i="22"/>
  <c r="N605" i="22"/>
  <c r="N604" i="22"/>
  <c r="N603" i="22"/>
  <c r="N602" i="22"/>
  <c r="N601" i="22"/>
  <c r="N600" i="22"/>
  <c r="N599" i="22"/>
  <c r="N598" i="22"/>
  <c r="N597" i="22"/>
  <c r="N596" i="22"/>
  <c r="N595" i="22"/>
  <c r="N594" i="22"/>
  <c r="N593" i="22"/>
  <c r="N592" i="22"/>
  <c r="N591" i="22"/>
  <c r="N590" i="22"/>
  <c r="N589" i="22"/>
  <c r="N588" i="22"/>
  <c r="N587" i="22"/>
  <c r="N586" i="22"/>
  <c r="N585" i="22"/>
  <c r="N584" i="22"/>
  <c r="N583" i="22"/>
  <c r="N582" i="22"/>
  <c r="N581" i="22"/>
  <c r="N580" i="22"/>
  <c r="N579" i="22"/>
  <c r="N578" i="22"/>
  <c r="N577" i="22"/>
  <c r="N576" i="22"/>
  <c r="N575" i="22"/>
  <c r="N574" i="22"/>
  <c r="N573" i="22"/>
  <c r="N572" i="22"/>
  <c r="N571" i="22"/>
  <c r="N570" i="22"/>
  <c r="N569" i="22"/>
  <c r="N568" i="22"/>
  <c r="N567" i="22"/>
  <c r="N566" i="22"/>
  <c r="N565" i="22"/>
  <c r="N564" i="22"/>
  <c r="N563" i="22"/>
  <c r="N562" i="22"/>
  <c r="N561" i="22"/>
  <c r="N560" i="22"/>
  <c r="N559" i="22"/>
  <c r="N558" i="22"/>
  <c r="N557" i="22"/>
  <c r="N556" i="22"/>
  <c r="N555" i="22"/>
  <c r="N554" i="22"/>
  <c r="N553" i="22"/>
  <c r="N552" i="22"/>
  <c r="N551" i="22"/>
  <c r="N550" i="22"/>
  <c r="N549" i="22"/>
  <c r="N548" i="22"/>
  <c r="N547" i="22"/>
  <c r="N546" i="22"/>
  <c r="N545" i="22"/>
  <c r="N544" i="22"/>
  <c r="N543" i="22"/>
  <c r="N542" i="22"/>
  <c r="N541" i="22"/>
  <c r="N540" i="22"/>
  <c r="N539" i="22"/>
  <c r="N538" i="22"/>
  <c r="N537" i="22"/>
  <c r="N536" i="22"/>
  <c r="N535" i="22"/>
  <c r="N534" i="22"/>
  <c r="N533" i="22"/>
  <c r="N532" i="22"/>
  <c r="N531" i="22"/>
  <c r="N530" i="22"/>
  <c r="N529" i="22"/>
  <c r="N528" i="22"/>
  <c r="N527" i="22"/>
  <c r="N526" i="22"/>
  <c r="N525" i="22"/>
  <c r="N524" i="22"/>
  <c r="N523" i="22"/>
  <c r="N522" i="22"/>
  <c r="N521" i="22"/>
  <c r="N520" i="22"/>
  <c r="N519" i="22"/>
  <c r="N518" i="22"/>
  <c r="N517" i="22"/>
  <c r="N516" i="22"/>
  <c r="N515" i="22"/>
  <c r="N514" i="22"/>
  <c r="N513" i="22"/>
  <c r="N512" i="22"/>
  <c r="N511" i="22"/>
  <c r="N510" i="22"/>
  <c r="N509" i="22"/>
  <c r="N508" i="22"/>
  <c r="N507" i="22"/>
  <c r="N506" i="22"/>
  <c r="N505" i="22"/>
  <c r="N504" i="22"/>
  <c r="N503" i="22"/>
  <c r="N502" i="22"/>
  <c r="N501" i="22"/>
  <c r="N500" i="22"/>
  <c r="N499" i="22"/>
  <c r="N498" i="22"/>
  <c r="N497" i="22"/>
  <c r="N496" i="22"/>
  <c r="N495" i="22"/>
  <c r="N494" i="22"/>
  <c r="N493" i="22"/>
  <c r="N492" i="22"/>
  <c r="N491" i="22"/>
  <c r="N490" i="22"/>
  <c r="N489" i="22"/>
  <c r="N488" i="22"/>
  <c r="N487" i="22"/>
  <c r="N486" i="22"/>
  <c r="N485" i="22"/>
  <c r="N484" i="22"/>
  <c r="N483" i="22"/>
  <c r="N482" i="22"/>
  <c r="N481" i="22"/>
  <c r="N480" i="22"/>
  <c r="N479" i="22"/>
  <c r="N478" i="22"/>
  <c r="N477" i="22"/>
  <c r="N476" i="22"/>
  <c r="N475" i="22"/>
  <c r="N474" i="22"/>
  <c r="N473" i="22"/>
  <c r="N472" i="22"/>
  <c r="N471" i="22"/>
  <c r="N470" i="22"/>
  <c r="N469" i="22"/>
  <c r="N468" i="22"/>
  <c r="N467" i="22"/>
  <c r="N466" i="22"/>
  <c r="N465" i="22"/>
  <c r="N464" i="22"/>
  <c r="N463" i="22"/>
  <c r="N462" i="22"/>
  <c r="N461" i="22"/>
  <c r="N460" i="22"/>
  <c r="N459" i="22"/>
  <c r="N458" i="22"/>
  <c r="N457" i="22"/>
  <c r="N456" i="22"/>
  <c r="N455" i="22"/>
  <c r="N454" i="22"/>
  <c r="N453" i="22"/>
  <c r="N452" i="22"/>
  <c r="N451" i="22"/>
  <c r="N450" i="22"/>
  <c r="N449" i="22"/>
  <c r="N448" i="22"/>
  <c r="N447" i="22"/>
  <c r="N446" i="22"/>
  <c r="N445" i="22"/>
  <c r="N444" i="22"/>
  <c r="N443" i="22"/>
  <c r="N442" i="22"/>
  <c r="N441" i="22"/>
  <c r="N440" i="22"/>
  <c r="N439" i="22"/>
  <c r="N438" i="22"/>
  <c r="N437" i="22"/>
  <c r="N436" i="22"/>
  <c r="N435" i="22"/>
  <c r="N434" i="22"/>
  <c r="N433" i="22"/>
  <c r="N432" i="22"/>
  <c r="N431" i="22"/>
  <c r="N430" i="22"/>
  <c r="N429" i="22"/>
  <c r="N428" i="22"/>
  <c r="N427" i="22"/>
  <c r="N426" i="22"/>
  <c r="N425" i="22"/>
  <c r="N424" i="22"/>
  <c r="N423" i="22"/>
  <c r="N422" i="22"/>
  <c r="N421" i="22"/>
  <c r="N420" i="22"/>
  <c r="N419" i="22"/>
  <c r="N418" i="22"/>
  <c r="N417" i="22"/>
  <c r="N416" i="22"/>
  <c r="N415" i="22"/>
  <c r="N414" i="22"/>
  <c r="N413" i="22"/>
  <c r="N412" i="22"/>
  <c r="N411" i="22"/>
  <c r="N410" i="22"/>
  <c r="N409" i="22"/>
  <c r="N408" i="22"/>
  <c r="N407" i="22"/>
  <c r="N406" i="22"/>
  <c r="N405" i="22"/>
  <c r="N404" i="22"/>
  <c r="N403" i="22"/>
  <c r="N402" i="22"/>
  <c r="N401" i="22"/>
  <c r="N400" i="22"/>
  <c r="N399" i="22"/>
  <c r="N398" i="22"/>
  <c r="N397" i="22"/>
  <c r="N396" i="22"/>
  <c r="N395" i="22"/>
  <c r="N394" i="22"/>
  <c r="N393" i="22"/>
  <c r="N392" i="22"/>
  <c r="N391" i="22"/>
  <c r="N390" i="22"/>
  <c r="N389" i="22"/>
  <c r="N388" i="22"/>
  <c r="N387" i="22"/>
  <c r="N386" i="22"/>
  <c r="N385" i="22"/>
  <c r="N384" i="22"/>
  <c r="N383" i="22"/>
  <c r="N382" i="22"/>
  <c r="N381" i="22"/>
  <c r="N380" i="22"/>
  <c r="N379" i="22"/>
  <c r="N378" i="22"/>
  <c r="N377" i="22"/>
  <c r="N376" i="22"/>
  <c r="N375" i="22"/>
  <c r="N374" i="22"/>
  <c r="N373" i="22"/>
  <c r="N372" i="22"/>
  <c r="N371" i="22"/>
  <c r="N370" i="22"/>
  <c r="N369" i="22"/>
  <c r="N368" i="22"/>
  <c r="N367" i="22"/>
  <c r="N366" i="22"/>
  <c r="N365" i="22"/>
  <c r="N364" i="22"/>
  <c r="N363" i="22"/>
  <c r="N362" i="22"/>
  <c r="N361" i="22"/>
  <c r="N360" i="22"/>
  <c r="N359" i="22"/>
  <c r="N358" i="22"/>
  <c r="N357" i="22"/>
  <c r="N356" i="22"/>
  <c r="N355" i="22"/>
  <c r="N354" i="22"/>
  <c r="N353" i="22"/>
  <c r="N352" i="22"/>
  <c r="N351" i="22"/>
  <c r="N350" i="22"/>
  <c r="N349" i="22"/>
  <c r="N348" i="22"/>
  <c r="N347" i="22"/>
  <c r="N346" i="22"/>
  <c r="N345" i="22"/>
  <c r="N344" i="22"/>
  <c r="N343" i="22"/>
  <c r="N342" i="22"/>
  <c r="N341" i="22"/>
  <c r="N340" i="22"/>
  <c r="N339" i="22"/>
  <c r="N338" i="22"/>
  <c r="N337" i="22"/>
  <c r="N336" i="22"/>
  <c r="N335" i="22"/>
  <c r="N334" i="22"/>
  <c r="N333" i="22"/>
  <c r="N332" i="22"/>
  <c r="N331" i="22"/>
  <c r="N330" i="22"/>
  <c r="N329" i="22"/>
  <c r="N328" i="22"/>
  <c r="N327" i="22"/>
  <c r="N326" i="22"/>
  <c r="N325" i="22"/>
  <c r="N324" i="22"/>
  <c r="N323" i="22"/>
  <c r="N322" i="22"/>
  <c r="N321" i="22"/>
  <c r="N320" i="22"/>
  <c r="N319" i="22"/>
  <c r="N318" i="22"/>
  <c r="N317" i="22"/>
  <c r="N316" i="22"/>
  <c r="N315" i="22"/>
  <c r="N314" i="22"/>
  <c r="N313" i="22"/>
  <c r="N312" i="22"/>
  <c r="N311" i="22"/>
  <c r="N310" i="22"/>
  <c r="N309" i="22"/>
  <c r="N308" i="22"/>
  <c r="N307" i="22"/>
  <c r="N306" i="22"/>
  <c r="N305" i="22"/>
  <c r="N304" i="22"/>
  <c r="N303" i="22"/>
  <c r="N302" i="22"/>
  <c r="N301" i="22"/>
  <c r="N300" i="22"/>
  <c r="N299" i="22"/>
  <c r="N298" i="22"/>
  <c r="N297" i="22"/>
  <c r="N296" i="22"/>
  <c r="N295" i="22"/>
  <c r="N294" i="22"/>
  <c r="N293" i="22"/>
  <c r="N292" i="22"/>
  <c r="N291" i="22"/>
  <c r="N290" i="22"/>
  <c r="N289" i="22"/>
  <c r="N288" i="22"/>
  <c r="N287" i="22"/>
  <c r="N286" i="22"/>
  <c r="N285" i="22"/>
  <c r="N284" i="22"/>
  <c r="N283" i="22"/>
  <c r="N282" i="22"/>
  <c r="N281" i="22"/>
  <c r="N280" i="22"/>
  <c r="N279" i="22"/>
  <c r="N278" i="22"/>
  <c r="N277" i="22"/>
  <c r="N276" i="22"/>
  <c r="N275" i="22"/>
  <c r="N274" i="22"/>
  <c r="N273" i="22"/>
  <c r="N272" i="22"/>
  <c r="N271" i="22"/>
  <c r="N270" i="22"/>
  <c r="N269" i="22"/>
  <c r="N268" i="22"/>
  <c r="N267" i="22"/>
  <c r="N266" i="22"/>
  <c r="N265" i="22"/>
  <c r="N264" i="22"/>
  <c r="N263" i="22"/>
  <c r="N262" i="22"/>
  <c r="N261" i="22"/>
  <c r="N260" i="22"/>
  <c r="N259" i="22"/>
  <c r="N258" i="22"/>
  <c r="N257" i="22"/>
  <c r="N256" i="22"/>
  <c r="N255" i="22"/>
  <c r="N254" i="22"/>
  <c r="N253" i="22"/>
  <c r="N252" i="22"/>
  <c r="N251" i="22"/>
  <c r="N250" i="22"/>
  <c r="N249" i="22"/>
  <c r="N248" i="22"/>
  <c r="N247" i="22"/>
  <c r="N246" i="22"/>
  <c r="N245" i="22"/>
  <c r="N244" i="22"/>
  <c r="N243" i="22"/>
  <c r="N242" i="22"/>
  <c r="N241" i="22"/>
  <c r="N240" i="22"/>
  <c r="N239" i="22"/>
  <c r="N238" i="22"/>
  <c r="N237" i="22"/>
  <c r="N236" i="22"/>
  <c r="N235" i="22"/>
  <c r="N234" i="22"/>
  <c r="N233" i="22"/>
  <c r="N232" i="22"/>
  <c r="N231" i="22"/>
  <c r="N230" i="22"/>
  <c r="N229" i="22"/>
  <c r="N228" i="22"/>
  <c r="N227" i="22"/>
  <c r="N226" i="22"/>
  <c r="N225" i="22"/>
  <c r="N224" i="22"/>
  <c r="N223" i="22"/>
  <c r="N222" i="22"/>
  <c r="N221" i="22"/>
  <c r="N220" i="22"/>
  <c r="N219" i="22"/>
  <c r="N218" i="22"/>
  <c r="N217" i="22"/>
  <c r="N216" i="22"/>
  <c r="N215" i="22"/>
  <c r="N214" i="22"/>
  <c r="N213" i="22"/>
  <c r="N212" i="22"/>
  <c r="N211" i="22"/>
  <c r="N210" i="22"/>
  <c r="N209" i="22"/>
  <c r="N208" i="22"/>
  <c r="N207" i="22"/>
  <c r="N206" i="22"/>
  <c r="N205" i="22"/>
  <c r="N204" i="22"/>
  <c r="N203" i="22"/>
  <c r="N202" i="22"/>
  <c r="N201" i="22"/>
  <c r="N200" i="22"/>
  <c r="N199" i="22"/>
  <c r="N198" i="22"/>
  <c r="N197" i="22"/>
  <c r="N196" i="22"/>
  <c r="N195" i="22"/>
  <c r="N194" i="22"/>
  <c r="N193" i="22"/>
  <c r="N192" i="22"/>
  <c r="N191" i="22"/>
  <c r="N190" i="22"/>
  <c r="N189" i="22"/>
  <c r="N188" i="22"/>
  <c r="N187" i="22"/>
  <c r="N186" i="22"/>
  <c r="N185" i="22"/>
  <c r="N184" i="22"/>
  <c r="N183" i="22"/>
  <c r="N182" i="22"/>
  <c r="N181" i="22"/>
  <c r="N180" i="22"/>
  <c r="N179" i="22"/>
  <c r="N178" i="22"/>
  <c r="N177" i="22"/>
  <c r="N176" i="22"/>
  <c r="N175" i="22"/>
  <c r="N174" i="22"/>
  <c r="N173" i="22"/>
  <c r="N172" i="22"/>
  <c r="N171" i="22"/>
  <c r="N170" i="22"/>
  <c r="N169" i="22"/>
  <c r="N168" i="22"/>
  <c r="N167" i="22"/>
  <c r="N166" i="22"/>
  <c r="N165" i="22"/>
  <c r="N164" i="22"/>
  <c r="N163" i="22"/>
  <c r="N162" i="22"/>
  <c r="N161" i="22"/>
  <c r="N160" i="22"/>
  <c r="N159" i="22"/>
  <c r="N158" i="22"/>
  <c r="N157" i="22"/>
  <c r="N156" i="22"/>
  <c r="N155" i="22"/>
  <c r="N154" i="22"/>
  <c r="N153" i="22"/>
  <c r="N152" i="22"/>
  <c r="N151" i="22"/>
  <c r="N150" i="22"/>
  <c r="N149" i="22"/>
  <c r="N148" i="22"/>
  <c r="N147" i="22"/>
  <c r="N146" i="22"/>
  <c r="N145" i="22"/>
  <c r="N144" i="22"/>
  <c r="N143" i="22"/>
  <c r="N142" i="22"/>
  <c r="N141" i="22"/>
  <c r="N140" i="22"/>
  <c r="N139" i="22"/>
  <c r="N138" i="22"/>
  <c r="N137" i="22"/>
  <c r="N136" i="22"/>
  <c r="N135" i="22"/>
  <c r="N134" i="22"/>
  <c r="N133" i="22"/>
  <c r="N132" i="22"/>
  <c r="N131" i="22"/>
  <c r="N130" i="22"/>
  <c r="N129" i="22"/>
  <c r="N128" i="22"/>
  <c r="N127" i="22"/>
  <c r="N126" i="22"/>
  <c r="N125" i="22"/>
  <c r="N124" i="22"/>
  <c r="N123" i="22"/>
  <c r="N122" i="22"/>
  <c r="N121" i="22"/>
  <c r="N120" i="22"/>
  <c r="N119" i="22"/>
  <c r="N118" i="22"/>
  <c r="N117" i="22"/>
  <c r="N116" i="22"/>
  <c r="N115" i="22"/>
  <c r="N114" i="22"/>
  <c r="N113" i="22"/>
  <c r="N112" i="22"/>
  <c r="N111" i="22"/>
  <c r="N110" i="22"/>
  <c r="N109" i="22"/>
  <c r="N108" i="22"/>
  <c r="N107" i="22"/>
  <c r="N106" i="22"/>
  <c r="N105" i="22"/>
  <c r="N104" i="22"/>
  <c r="N103" i="22"/>
  <c r="N102" i="22"/>
  <c r="N101" i="22"/>
  <c r="N100" i="22"/>
  <c r="N99" i="22"/>
  <c r="N98" i="22"/>
  <c r="N97" i="22"/>
  <c r="N96" i="22"/>
  <c r="N95" i="22"/>
  <c r="N94" i="22"/>
  <c r="N93" i="22"/>
  <c r="N92" i="22"/>
  <c r="N91" i="22"/>
  <c r="N90" i="22"/>
  <c r="N89" i="22"/>
  <c r="N88" i="22"/>
  <c r="N87" i="22"/>
  <c r="N86" i="22"/>
  <c r="N85" i="22"/>
  <c r="N84" i="22"/>
  <c r="N83" i="22"/>
  <c r="N82" i="22"/>
  <c r="N81" i="22"/>
  <c r="N80" i="22"/>
  <c r="N79" i="22"/>
  <c r="N78" i="22"/>
  <c r="N77" i="22"/>
  <c r="N76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1" i="22"/>
  <c r="N60" i="22"/>
  <c r="N59" i="22"/>
  <c r="N58" i="22"/>
  <c r="N57" i="22"/>
  <c r="N56" i="22"/>
  <c r="N55" i="22"/>
  <c r="N54" i="22"/>
  <c r="N53" i="22"/>
  <c r="N52" i="22"/>
  <c r="N51" i="22"/>
  <c r="N50" i="22"/>
  <c r="N49" i="22"/>
  <c r="N48" i="22"/>
  <c r="N47" i="22"/>
  <c r="N46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N31" i="22"/>
  <c r="N30" i="22"/>
  <c r="N29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N9" i="22"/>
  <c r="N8" i="22"/>
  <c r="N7" i="22"/>
  <c r="N6" i="22"/>
  <c r="N5" i="22"/>
  <c r="N4" i="22"/>
  <c r="N3" i="22"/>
  <c r="N2" i="22"/>
  <c r="N898" i="22"/>
  <c r="N1007" i="6"/>
  <c r="N1006" i="6"/>
  <c r="N1005" i="6"/>
  <c r="N1004" i="6"/>
  <c r="N1000" i="6"/>
  <c r="N999" i="6"/>
  <c r="N995" i="6"/>
  <c r="N994" i="6"/>
  <c r="N998" i="6"/>
  <c r="N997" i="6"/>
  <c r="N996" i="6"/>
  <c r="N988" i="6"/>
  <c r="N987" i="6"/>
  <c r="N993" i="6"/>
  <c r="N992" i="6"/>
  <c r="N991" i="6"/>
  <c r="N990" i="6"/>
  <c r="N989" i="6"/>
  <c r="N986" i="6"/>
  <c r="N985" i="6"/>
  <c r="N983" i="6"/>
  <c r="N982" i="6"/>
  <c r="N984" i="6"/>
  <c r="N981" i="6"/>
  <c r="N980" i="6"/>
  <c r="N979" i="6"/>
  <c r="N978" i="6"/>
  <c r="N977" i="6"/>
  <c r="N976" i="6"/>
  <c r="N972" i="6"/>
  <c r="N971" i="6"/>
  <c r="N975" i="6"/>
  <c r="N974" i="6"/>
  <c r="N973" i="6"/>
  <c r="N970" i="6"/>
  <c r="N969" i="6"/>
  <c r="N965" i="6"/>
  <c r="N964" i="6"/>
  <c r="N963" i="6"/>
  <c r="N968" i="6"/>
  <c r="N966" i="6"/>
  <c r="N962" i="6"/>
  <c r="N961" i="6"/>
  <c r="N960" i="6"/>
  <c r="N959" i="6"/>
  <c r="N958" i="6"/>
  <c r="N957" i="6"/>
  <c r="N956" i="6"/>
  <c r="N955" i="6"/>
  <c r="N949" i="6"/>
  <c r="N948" i="6"/>
  <c r="N947" i="6"/>
  <c r="N946" i="6"/>
  <c r="N945" i="6"/>
  <c r="N944" i="6"/>
  <c r="N943" i="6"/>
  <c r="N954" i="6"/>
  <c r="N953" i="6"/>
  <c r="N952" i="6"/>
  <c r="N951" i="6"/>
  <c r="N950" i="6"/>
  <c r="N940" i="6"/>
  <c r="N939" i="6"/>
  <c r="N942" i="6"/>
  <c r="N938" i="6"/>
  <c r="N937" i="6"/>
  <c r="N941" i="6"/>
  <c r="N936" i="6"/>
  <c r="N933" i="6"/>
  <c r="N932" i="6"/>
  <c r="N935" i="6"/>
  <c r="N934" i="6"/>
  <c r="N931" i="6"/>
  <c r="N930" i="6"/>
  <c r="N929" i="6"/>
  <c r="N928" i="6"/>
  <c r="N927" i="6"/>
  <c r="N926" i="6"/>
  <c r="N925" i="6"/>
  <c r="N924" i="6"/>
  <c r="N922" i="6"/>
  <c r="N921" i="6"/>
  <c r="N920" i="6"/>
  <c r="N919" i="6"/>
  <c r="N923" i="6"/>
  <c r="N918" i="6"/>
  <c r="N917" i="6"/>
  <c r="N916" i="6"/>
  <c r="N915" i="6"/>
  <c r="N914" i="6"/>
  <c r="N913" i="6"/>
  <c r="N912" i="6"/>
  <c r="N911" i="6"/>
  <c r="N905" i="6"/>
  <c r="N904" i="6"/>
  <c r="N903" i="6"/>
  <c r="N902" i="6"/>
  <c r="N901" i="6"/>
  <c r="N910" i="6"/>
  <c r="N909" i="6"/>
  <c r="N908" i="6"/>
  <c r="N907" i="6"/>
  <c r="N906" i="6"/>
  <c r="N900" i="6"/>
  <c r="N899" i="6"/>
  <c r="N898" i="6"/>
  <c r="N897" i="6"/>
  <c r="N896" i="6"/>
  <c r="N895" i="6"/>
  <c r="N894" i="6"/>
  <c r="N893" i="6"/>
  <c r="N892" i="6"/>
  <c r="N891" i="6"/>
  <c r="N890" i="6"/>
  <c r="N889" i="6"/>
  <c r="N888" i="6"/>
  <c r="N887" i="6"/>
  <c r="N886" i="6"/>
  <c r="N885" i="6"/>
  <c r="N884" i="6"/>
  <c r="N883" i="6"/>
  <c r="N882" i="6"/>
  <c r="N881" i="6"/>
  <c r="N880" i="6"/>
  <c r="N879" i="6"/>
  <c r="N878" i="6"/>
  <c r="N873" i="6"/>
  <c r="N872" i="6"/>
  <c r="N871" i="6"/>
  <c r="N877" i="6"/>
  <c r="N876" i="6"/>
  <c r="N875" i="6"/>
  <c r="N874" i="6"/>
  <c r="N870" i="6"/>
  <c r="N869" i="6"/>
  <c r="N868" i="6"/>
  <c r="N867" i="6"/>
  <c r="N863" i="6"/>
  <c r="N862" i="6"/>
  <c r="N866" i="6"/>
  <c r="N861" i="6"/>
  <c r="N860" i="6"/>
  <c r="N865" i="6"/>
  <c r="N864" i="6"/>
  <c r="N858" i="6"/>
  <c r="N857" i="6"/>
  <c r="N856" i="6"/>
  <c r="N855" i="6"/>
  <c r="N859" i="6"/>
  <c r="N854" i="6"/>
  <c r="N853" i="6"/>
  <c r="N852" i="6"/>
  <c r="N851" i="6"/>
  <c r="N850" i="6"/>
  <c r="N849" i="6"/>
  <c r="N847" i="6"/>
  <c r="N846" i="6"/>
  <c r="N845" i="6"/>
  <c r="N844" i="6"/>
  <c r="N848" i="6"/>
  <c r="N841" i="6"/>
  <c r="N840" i="6"/>
  <c r="N839" i="6"/>
  <c r="N838" i="6"/>
  <c r="N837" i="6"/>
  <c r="N843" i="6"/>
  <c r="N836" i="6"/>
  <c r="N835" i="6"/>
  <c r="N834" i="6"/>
  <c r="N842" i="6"/>
  <c r="N833" i="6"/>
  <c r="N832" i="6"/>
  <c r="N831" i="6"/>
  <c r="N830" i="6"/>
  <c r="N829" i="6"/>
  <c r="N828" i="6"/>
  <c r="N827" i="6"/>
  <c r="N826" i="6"/>
  <c r="N825" i="6"/>
  <c r="N824" i="6"/>
  <c r="N823" i="6"/>
  <c r="N822" i="6"/>
  <c r="N821" i="6"/>
  <c r="N820" i="6"/>
  <c r="N819" i="6"/>
  <c r="N818" i="6"/>
  <c r="N816" i="6"/>
  <c r="N817" i="6"/>
  <c r="N815" i="6"/>
  <c r="N814" i="6"/>
  <c r="N813" i="6"/>
  <c r="N812" i="6"/>
  <c r="N809" i="6"/>
  <c r="N808" i="6"/>
  <c r="N811" i="6"/>
  <c r="N807" i="6"/>
  <c r="N806" i="6"/>
  <c r="N810" i="6"/>
  <c r="N802" i="6"/>
  <c r="N801" i="6"/>
  <c r="N800" i="6"/>
  <c r="N799" i="6"/>
  <c r="N805" i="6"/>
  <c r="N798" i="6"/>
  <c r="N804" i="6"/>
  <c r="N803" i="6"/>
  <c r="N797" i="6"/>
  <c r="N796" i="6"/>
  <c r="N795" i="6"/>
  <c r="N792" i="6"/>
  <c r="N791" i="6"/>
  <c r="N790" i="6"/>
  <c r="N789" i="6"/>
  <c r="N794" i="6"/>
  <c r="N793" i="6"/>
  <c r="N788" i="6"/>
  <c r="N787" i="6"/>
  <c r="N786" i="6"/>
  <c r="N784" i="6"/>
  <c r="N783" i="6"/>
  <c r="N785" i="6"/>
  <c r="N782" i="6"/>
  <c r="N781" i="6"/>
  <c r="N780" i="6"/>
  <c r="N779" i="6"/>
  <c r="N778" i="6"/>
  <c r="N777" i="6"/>
  <c r="N776" i="6"/>
  <c r="N775" i="6"/>
  <c r="N774" i="6"/>
  <c r="N773" i="6"/>
  <c r="N772" i="6"/>
  <c r="N771" i="6"/>
  <c r="N770" i="6"/>
  <c r="N769" i="6"/>
  <c r="N768" i="6"/>
  <c r="N761" i="6"/>
  <c r="N760" i="6"/>
  <c r="N767" i="6"/>
  <c r="N766" i="6"/>
  <c r="N765" i="6"/>
  <c r="N764" i="6"/>
  <c r="N763" i="6"/>
  <c r="N762" i="6"/>
  <c r="N759" i="6"/>
  <c r="N758" i="6"/>
  <c r="N757" i="6"/>
  <c r="N756" i="6"/>
  <c r="N755" i="6"/>
  <c r="N754" i="6"/>
  <c r="N748" i="6"/>
  <c r="N753" i="6"/>
  <c r="N752" i="6"/>
  <c r="N751" i="6"/>
  <c r="N750" i="6"/>
  <c r="N749" i="6"/>
  <c r="N747" i="6"/>
  <c r="N746" i="6"/>
  <c r="N745" i="6"/>
  <c r="N744" i="6"/>
  <c r="N743" i="6"/>
  <c r="N742" i="6"/>
  <c r="N741" i="6"/>
  <c r="N740" i="6"/>
  <c r="N739" i="6"/>
  <c r="N738" i="6"/>
  <c r="N737" i="6"/>
  <c r="N736" i="6"/>
  <c r="N735" i="6"/>
  <c r="N734" i="6"/>
  <c r="N733" i="6"/>
  <c r="N732" i="6"/>
  <c r="N731" i="6"/>
  <c r="N730" i="6"/>
  <c r="N729" i="6"/>
  <c r="N728" i="6"/>
  <c r="N727" i="6"/>
  <c r="N726" i="6"/>
  <c r="N725" i="6"/>
  <c r="N724" i="6"/>
  <c r="N723" i="6"/>
  <c r="N722" i="6"/>
  <c r="N721" i="6"/>
  <c r="N720" i="6"/>
  <c r="N719" i="6"/>
  <c r="N718" i="6"/>
  <c r="N717" i="6"/>
  <c r="N716" i="6"/>
  <c r="N715" i="6"/>
  <c r="N714" i="6"/>
  <c r="N710" i="6"/>
  <c r="N713" i="6"/>
  <c r="N709" i="6"/>
  <c r="N708" i="6"/>
  <c r="N707" i="6"/>
  <c r="N712" i="6"/>
  <c r="N711" i="6"/>
  <c r="N703" i="6"/>
  <c r="N706" i="6"/>
  <c r="N705" i="6"/>
  <c r="N704" i="6"/>
  <c r="N702" i="6"/>
  <c r="N701" i="6"/>
  <c r="N700" i="6"/>
  <c r="N699" i="6"/>
  <c r="N698" i="6"/>
  <c r="N697" i="6"/>
  <c r="N696" i="6"/>
  <c r="N695" i="6"/>
  <c r="N692" i="6"/>
  <c r="N694" i="6"/>
  <c r="N693" i="6"/>
  <c r="N691" i="6"/>
  <c r="N690" i="6"/>
  <c r="N689" i="6"/>
  <c r="N688" i="6"/>
  <c r="N687" i="6"/>
  <c r="N686" i="6"/>
  <c r="N685" i="6"/>
  <c r="N684" i="6"/>
  <c r="N683" i="6"/>
  <c r="N682" i="6"/>
  <c r="N681" i="6"/>
  <c r="N680" i="6"/>
  <c r="N679" i="6"/>
  <c r="N678" i="6"/>
  <c r="N677" i="6"/>
  <c r="N676" i="6"/>
  <c r="N675" i="6"/>
  <c r="N674" i="6"/>
  <c r="N672" i="6"/>
  <c r="N671" i="6"/>
  <c r="N673" i="6"/>
  <c r="N670" i="6"/>
  <c r="N669" i="6"/>
  <c r="N668" i="6"/>
  <c r="N667" i="6"/>
  <c r="N666" i="6"/>
  <c r="N665" i="6"/>
  <c r="N664" i="6"/>
  <c r="N663" i="6"/>
  <c r="N662" i="6"/>
  <c r="N661" i="6"/>
  <c r="N659" i="6"/>
  <c r="N658" i="6"/>
  <c r="N657" i="6"/>
  <c r="N656" i="6"/>
  <c r="N660" i="6"/>
  <c r="N655" i="6"/>
  <c r="N654" i="6"/>
  <c r="N653" i="6"/>
  <c r="N652" i="6"/>
  <c r="N651" i="6"/>
  <c r="N650" i="6"/>
  <c r="N649" i="6"/>
  <c r="N648" i="6"/>
  <c r="N647" i="6"/>
  <c r="N646" i="6"/>
  <c r="N645" i="6"/>
  <c r="N644" i="6"/>
  <c r="N643" i="6"/>
  <c r="N642" i="6"/>
  <c r="N640" i="6"/>
  <c r="N639" i="6"/>
  <c r="N641" i="6"/>
  <c r="N630" i="6"/>
  <c r="N638" i="6"/>
  <c r="N637" i="6"/>
  <c r="N636" i="6"/>
  <c r="N635" i="6"/>
  <c r="N634" i="6"/>
  <c r="N633" i="6"/>
  <c r="N632" i="6"/>
  <c r="N631" i="6"/>
  <c r="N629" i="6"/>
  <c r="N628" i="6"/>
  <c r="N627" i="6"/>
  <c r="N626" i="6"/>
  <c r="N625" i="6"/>
  <c r="N624" i="6"/>
  <c r="N621" i="6"/>
  <c r="N623" i="6"/>
  <c r="N622" i="6"/>
  <c r="N620" i="6"/>
  <c r="N619" i="6"/>
  <c r="N618" i="6"/>
  <c r="N617" i="6"/>
  <c r="N616" i="6"/>
  <c r="N615" i="6"/>
  <c r="N614" i="6"/>
  <c r="N613" i="6"/>
  <c r="N612" i="6"/>
  <c r="N611" i="6"/>
  <c r="N610" i="6"/>
  <c r="N609" i="6"/>
  <c r="N608" i="6"/>
  <c r="N607" i="6"/>
  <c r="N606" i="6"/>
  <c r="N605" i="6"/>
  <c r="N604" i="6"/>
  <c r="N603" i="6"/>
  <c r="N602" i="6"/>
  <c r="N598" i="6"/>
  <c r="N597" i="6"/>
  <c r="N596" i="6"/>
  <c r="N595" i="6"/>
  <c r="N601" i="6"/>
  <c r="N600" i="6"/>
  <c r="N599" i="6"/>
  <c r="N591" i="6"/>
  <c r="N590" i="6"/>
  <c r="N594" i="6"/>
  <c r="N593" i="6"/>
  <c r="N592" i="6"/>
  <c r="N589" i="6"/>
  <c r="N588" i="6"/>
  <c r="N581" i="6"/>
  <c r="N580" i="6"/>
  <c r="N587" i="6"/>
  <c r="N586" i="6"/>
  <c r="N585" i="6"/>
  <c r="N584" i="6"/>
  <c r="N583" i="6"/>
  <c r="N582" i="6"/>
  <c r="N575" i="6"/>
  <c r="N574" i="6"/>
  <c r="N579" i="6"/>
  <c r="N578" i="6"/>
  <c r="N577" i="6"/>
  <c r="N576" i="6"/>
  <c r="N573" i="6"/>
  <c r="N572" i="6"/>
  <c r="N571" i="6"/>
  <c r="N570" i="6"/>
  <c r="N569" i="6"/>
  <c r="N568" i="6"/>
  <c r="N567" i="6"/>
  <c r="N566" i="6"/>
  <c r="N565" i="6"/>
  <c r="N564" i="6"/>
  <c r="N563" i="6"/>
  <c r="N562" i="6"/>
  <c r="N561" i="6"/>
  <c r="N560" i="6"/>
  <c r="N559" i="6"/>
  <c r="N558" i="6"/>
  <c r="N557" i="6"/>
  <c r="N556" i="6"/>
  <c r="N555" i="6"/>
  <c r="N554" i="6"/>
  <c r="N553" i="6"/>
  <c r="N552" i="6"/>
  <c r="N551" i="6"/>
  <c r="N550" i="6"/>
  <c r="N549" i="6"/>
  <c r="N548" i="6"/>
  <c r="N547" i="6"/>
  <c r="N546" i="6"/>
  <c r="N545" i="6"/>
  <c r="N544" i="6"/>
  <c r="N543" i="6"/>
  <c r="N542" i="6"/>
  <c r="N541" i="6"/>
  <c r="N540" i="6"/>
  <c r="N539" i="6"/>
  <c r="N538" i="6"/>
  <c r="N537" i="6"/>
  <c r="N536" i="6"/>
  <c r="N535" i="6"/>
  <c r="N534" i="6"/>
  <c r="N533" i="6"/>
  <c r="N532" i="6"/>
  <c r="N531" i="6"/>
  <c r="N530" i="6"/>
  <c r="N529" i="6"/>
  <c r="N528" i="6"/>
  <c r="N527" i="6"/>
  <c r="N526" i="6"/>
  <c r="N525" i="6"/>
  <c r="N524" i="6"/>
  <c r="N523" i="6"/>
  <c r="N522" i="6"/>
  <c r="N521" i="6"/>
  <c r="N520" i="6"/>
  <c r="N519" i="6"/>
  <c r="N516" i="6"/>
  <c r="N515" i="6"/>
  <c r="N514" i="6"/>
  <c r="N513" i="6"/>
  <c r="N518" i="6"/>
  <c r="N517" i="6"/>
  <c r="N512" i="6"/>
  <c r="N511" i="6"/>
  <c r="N510" i="6"/>
  <c r="N509" i="6"/>
  <c r="N508" i="6"/>
  <c r="N507" i="6"/>
  <c r="N506" i="6"/>
  <c r="N505" i="6"/>
  <c r="N504" i="6"/>
  <c r="N503" i="6"/>
  <c r="N500" i="6"/>
  <c r="N499" i="6"/>
  <c r="N498" i="6"/>
  <c r="N497" i="6"/>
  <c r="N496" i="6"/>
  <c r="N502" i="6"/>
  <c r="N501" i="6"/>
  <c r="N495" i="6"/>
  <c r="N494" i="6"/>
  <c r="N493" i="6"/>
  <c r="N492" i="6"/>
  <c r="N484" i="6"/>
  <c r="N483" i="6"/>
  <c r="N491" i="6"/>
  <c r="N490" i="6"/>
  <c r="N489" i="6"/>
  <c r="N488" i="6"/>
  <c r="N487" i="6"/>
  <c r="N486" i="6"/>
  <c r="N485" i="6"/>
  <c r="N482" i="6"/>
  <c r="N481" i="6"/>
  <c r="N480" i="6"/>
  <c r="N479" i="6"/>
  <c r="N478" i="6"/>
  <c r="N477" i="6"/>
  <c r="N474" i="6"/>
  <c r="N473" i="6"/>
  <c r="N476" i="6"/>
  <c r="N475" i="6"/>
  <c r="N472" i="6"/>
  <c r="N471" i="6"/>
  <c r="N470" i="6"/>
  <c r="N469" i="6"/>
  <c r="N468" i="6"/>
  <c r="N467" i="6"/>
  <c r="N466" i="6"/>
  <c r="N465" i="6"/>
  <c r="N464" i="6"/>
  <c r="N463" i="6"/>
  <c r="N462" i="6"/>
  <c r="N461" i="6"/>
  <c r="N460" i="6"/>
  <c r="N457" i="6"/>
  <c r="N459" i="6"/>
  <c r="N458" i="6"/>
  <c r="N456" i="6"/>
  <c r="N455" i="6"/>
  <c r="N454" i="6"/>
  <c r="N453" i="6"/>
  <c r="N452" i="6"/>
  <c r="N451" i="6"/>
  <c r="N450" i="6"/>
  <c r="N449" i="6"/>
  <c r="N448" i="6"/>
  <c r="N447" i="6"/>
  <c r="N446" i="6"/>
  <c r="N445" i="6"/>
  <c r="N444" i="6"/>
  <c r="N443" i="6"/>
  <c r="N442" i="6"/>
  <c r="N441" i="6"/>
  <c r="N440" i="6"/>
  <c r="N439" i="6"/>
  <c r="N438" i="6"/>
  <c r="N437" i="6"/>
  <c r="N436" i="6"/>
  <c r="N435" i="6"/>
  <c r="N431" i="6"/>
  <c r="N430" i="6"/>
  <c r="N434" i="6"/>
  <c r="N433" i="6"/>
  <c r="N432" i="6"/>
  <c r="N429" i="6"/>
  <c r="N428" i="6"/>
  <c r="N427" i="6"/>
  <c r="N426" i="6"/>
  <c r="N425" i="6"/>
  <c r="N424" i="6"/>
  <c r="N423" i="6"/>
  <c r="N422" i="6"/>
  <c r="N421" i="6"/>
  <c r="N420" i="6"/>
  <c r="N419" i="6"/>
  <c r="N418" i="6"/>
  <c r="N417" i="6"/>
  <c r="N416" i="6"/>
  <c r="N415" i="6"/>
  <c r="N414" i="6"/>
  <c r="N413" i="6"/>
  <c r="N412" i="6"/>
  <c r="N411" i="6"/>
  <c r="N410" i="6"/>
  <c r="N409" i="6"/>
  <c r="N408" i="6"/>
  <c r="N407" i="6"/>
  <c r="N406" i="6"/>
  <c r="N405" i="6"/>
  <c r="N404" i="6"/>
  <c r="N403" i="6"/>
  <c r="N397" i="6"/>
  <c r="N396" i="6"/>
  <c r="N402" i="6"/>
  <c r="N401" i="6"/>
  <c r="N400" i="6"/>
  <c r="N399" i="6"/>
  <c r="N398" i="6"/>
  <c r="N395" i="6"/>
  <c r="N394" i="6"/>
  <c r="N393" i="6"/>
  <c r="N392" i="6"/>
  <c r="N391" i="6"/>
  <c r="N390" i="6"/>
  <c r="N389" i="6"/>
  <c r="N388" i="6"/>
  <c r="N387" i="6"/>
  <c r="N386" i="6"/>
  <c r="N385" i="6"/>
  <c r="N384" i="6"/>
  <c r="N383" i="6"/>
  <c r="N382" i="6"/>
  <c r="N381" i="6"/>
  <c r="N380" i="6"/>
  <c r="N379" i="6"/>
  <c r="N378" i="6"/>
  <c r="N377" i="6"/>
  <c r="N376" i="6"/>
  <c r="N375" i="6"/>
  <c r="N374" i="6"/>
  <c r="N373" i="6"/>
  <c r="N372" i="6"/>
  <c r="N363" i="6"/>
  <c r="N362" i="6"/>
  <c r="N371" i="6"/>
  <c r="N370" i="6"/>
  <c r="N369" i="6"/>
  <c r="N368" i="6"/>
  <c r="N367" i="6"/>
  <c r="N366" i="6"/>
  <c r="N365" i="6"/>
  <c r="N364" i="6"/>
  <c r="N361" i="6"/>
  <c r="N360" i="6"/>
  <c r="N359" i="6"/>
  <c r="N358" i="6"/>
  <c r="N357" i="6"/>
  <c r="N356" i="6"/>
  <c r="N355" i="6"/>
  <c r="N354" i="6"/>
  <c r="N353" i="6"/>
  <c r="N352" i="6"/>
  <c r="N351" i="6"/>
  <c r="N350" i="6"/>
  <c r="N349" i="6"/>
  <c r="N348" i="6"/>
  <c r="N347" i="6"/>
  <c r="N346" i="6"/>
  <c r="N345" i="6"/>
  <c r="N344" i="6"/>
  <c r="N343" i="6"/>
  <c r="N342" i="6"/>
  <c r="N341" i="6"/>
  <c r="N340" i="6"/>
  <c r="N339" i="6"/>
  <c r="N338" i="6"/>
  <c r="N337" i="6"/>
  <c r="N336" i="6"/>
  <c r="N335" i="6"/>
  <c r="N334" i="6"/>
  <c r="N333" i="6"/>
  <c r="N332" i="6"/>
  <c r="N331" i="6"/>
  <c r="N330" i="6"/>
  <c r="N329" i="6"/>
  <c r="N328" i="6"/>
  <c r="N327" i="6"/>
  <c r="N326" i="6"/>
  <c r="N325" i="6"/>
  <c r="N324" i="6"/>
  <c r="N323" i="6"/>
  <c r="N322" i="6"/>
  <c r="N321" i="6"/>
  <c r="N320" i="6"/>
  <c r="N319" i="6"/>
  <c r="N318" i="6"/>
  <c r="N313" i="6"/>
  <c r="N312" i="6"/>
  <c r="N311" i="6"/>
  <c r="N310" i="6"/>
  <c r="N309" i="6"/>
  <c r="N317" i="6"/>
  <c r="N316" i="6"/>
  <c r="N315" i="6"/>
  <c r="N314" i="6"/>
  <c r="N308" i="6"/>
  <c r="N305" i="6"/>
  <c r="N304" i="6"/>
  <c r="N303" i="6"/>
  <c r="N302" i="6"/>
  <c r="N301" i="6"/>
  <c r="N300" i="6"/>
  <c r="N307" i="6"/>
  <c r="N306" i="6"/>
  <c r="N299" i="6"/>
  <c r="N298" i="6"/>
  <c r="N297" i="6"/>
  <c r="N296" i="6"/>
  <c r="N295" i="6"/>
  <c r="N294" i="6"/>
  <c r="N293" i="6"/>
  <c r="N292" i="6"/>
  <c r="N289" i="6"/>
  <c r="N288" i="6"/>
  <c r="N287" i="6"/>
  <c r="N291" i="6"/>
  <c r="N290" i="6"/>
  <c r="N286" i="6"/>
  <c r="N285" i="6"/>
  <c r="N284" i="6"/>
  <c r="N283" i="6"/>
  <c r="N282" i="6"/>
  <c r="N281" i="6"/>
  <c r="N280" i="6"/>
  <c r="N279" i="6"/>
  <c r="N278" i="6"/>
  <c r="N277" i="6"/>
  <c r="N276" i="6"/>
  <c r="N275" i="6"/>
  <c r="N274" i="6"/>
  <c r="N273" i="6"/>
  <c r="N272" i="6"/>
  <c r="N269" i="6"/>
  <c r="N268" i="6"/>
  <c r="N267" i="6"/>
  <c r="N271" i="6"/>
  <c r="N266" i="6"/>
  <c r="N265" i="6"/>
  <c r="N264" i="6"/>
  <c r="N263" i="6"/>
  <c r="N262" i="6"/>
  <c r="N261" i="6"/>
  <c r="N270" i="6"/>
  <c r="N260" i="6"/>
  <c r="N259" i="6"/>
  <c r="N258" i="6"/>
  <c r="N257" i="6"/>
  <c r="N256" i="6"/>
  <c r="N255" i="6"/>
  <c r="N254" i="6"/>
  <c r="N253" i="6"/>
  <c r="N252" i="6"/>
  <c r="N251" i="6"/>
  <c r="N250" i="6"/>
  <c r="N249" i="6"/>
  <c r="N248" i="6"/>
  <c r="N247" i="6"/>
  <c r="N246" i="6"/>
  <c r="N245" i="6"/>
  <c r="N244" i="6"/>
  <c r="N243" i="6"/>
  <c r="N242" i="6"/>
  <c r="N241" i="6"/>
  <c r="N240" i="6"/>
  <c r="N239" i="6"/>
  <c r="N238" i="6"/>
  <c r="N237" i="6"/>
  <c r="N236" i="6"/>
  <c r="N235" i="6"/>
  <c r="N234" i="6"/>
  <c r="N233" i="6"/>
  <c r="N232" i="6"/>
  <c r="N231" i="6"/>
  <c r="N230" i="6"/>
  <c r="N223" i="6"/>
  <c r="N222" i="6"/>
  <c r="N221" i="6"/>
  <c r="N220" i="6"/>
  <c r="N229" i="6"/>
  <c r="N228" i="6"/>
  <c r="N227" i="6"/>
  <c r="N226" i="6"/>
  <c r="N225" i="6"/>
  <c r="N224" i="6"/>
  <c r="N219" i="6"/>
  <c r="N218" i="6"/>
  <c r="N217" i="6"/>
  <c r="N214" i="6"/>
  <c r="N213" i="6"/>
  <c r="N212" i="6"/>
  <c r="N211" i="6"/>
  <c r="N210" i="6"/>
  <c r="N209" i="6"/>
  <c r="N208" i="6"/>
  <c r="N207" i="6"/>
  <c r="N216" i="6"/>
  <c r="N215" i="6"/>
  <c r="N206" i="6"/>
  <c r="N205" i="6"/>
  <c r="N204" i="6"/>
  <c r="N203" i="6"/>
  <c r="N202" i="6"/>
  <c r="N201" i="6"/>
  <c r="N200" i="6"/>
  <c r="N199" i="6"/>
  <c r="N198" i="6"/>
  <c r="N197" i="6"/>
  <c r="N196" i="6"/>
  <c r="N195" i="6"/>
  <c r="N194" i="6"/>
  <c r="N193" i="6"/>
  <c r="N192" i="6"/>
  <c r="N191" i="6"/>
  <c r="N190" i="6"/>
  <c r="N189" i="6"/>
  <c r="N188" i="6"/>
  <c r="N187" i="6"/>
  <c r="N186" i="6"/>
  <c r="N185" i="6"/>
  <c r="N184" i="6"/>
  <c r="N183" i="6"/>
  <c r="N182" i="6"/>
  <c r="N181" i="6"/>
  <c r="N180" i="6"/>
  <c r="N179" i="6"/>
  <c r="N178" i="6"/>
  <c r="N177" i="6"/>
  <c r="N176" i="6"/>
  <c r="N175" i="6"/>
  <c r="N174" i="6"/>
  <c r="N173" i="6"/>
  <c r="N172" i="6"/>
  <c r="N171" i="6"/>
  <c r="N170" i="6"/>
  <c r="N169" i="6"/>
  <c r="N168" i="6"/>
  <c r="N167" i="6"/>
  <c r="N166" i="6"/>
  <c r="N165" i="6"/>
  <c r="N164" i="6"/>
  <c r="N163" i="6"/>
  <c r="N162" i="6"/>
  <c r="N160" i="6"/>
  <c r="N159" i="6"/>
  <c r="N161" i="6"/>
  <c r="N158" i="6"/>
  <c r="N157" i="6"/>
  <c r="N156" i="6"/>
  <c r="N155" i="6"/>
  <c r="N154" i="6"/>
  <c r="N153" i="6"/>
  <c r="N152" i="6"/>
  <c r="N148" i="6"/>
  <c r="N147" i="6"/>
  <c r="N146" i="6"/>
  <c r="N145" i="6"/>
  <c r="N151" i="6"/>
  <c r="N150" i="6"/>
  <c r="N149" i="6"/>
  <c r="N141" i="6"/>
  <c r="N140" i="6"/>
  <c r="N139" i="6"/>
  <c r="N138" i="6"/>
  <c r="N137" i="6"/>
  <c r="N136" i="6"/>
  <c r="N144" i="6"/>
  <c r="N143" i="6"/>
  <c r="N142" i="6"/>
  <c r="N131" i="6"/>
  <c r="N130" i="6"/>
  <c r="N135" i="6"/>
  <c r="N134" i="6"/>
  <c r="N133" i="6"/>
  <c r="N129" i="6"/>
  <c r="N128" i="6"/>
  <c r="N132" i="6"/>
  <c r="N127" i="6"/>
  <c r="N126" i="6"/>
  <c r="N118" i="6"/>
  <c r="N117" i="6"/>
  <c r="N125" i="6"/>
  <c r="N124" i="6"/>
  <c r="N123" i="6"/>
  <c r="N122" i="6"/>
  <c r="N121" i="6"/>
  <c r="N120" i="6"/>
  <c r="N119" i="6"/>
  <c r="N116" i="6"/>
  <c r="N115" i="6"/>
  <c r="N114" i="6"/>
  <c r="N113" i="6"/>
  <c r="N112" i="6"/>
  <c r="N111" i="6"/>
  <c r="N110" i="6"/>
  <c r="N109" i="6"/>
  <c r="N108" i="6"/>
  <c r="N107" i="6"/>
  <c r="N106" i="6"/>
  <c r="N105" i="6"/>
  <c r="N104" i="6"/>
  <c r="N101" i="6"/>
  <c r="N100" i="6"/>
  <c r="N99" i="6"/>
  <c r="N98" i="6"/>
  <c r="N97" i="6"/>
  <c r="N103" i="6"/>
  <c r="N102" i="6"/>
  <c r="N96" i="6"/>
  <c r="N92" i="6"/>
  <c r="N91" i="6"/>
  <c r="N90" i="6"/>
  <c r="N89" i="6"/>
  <c r="N88" i="6"/>
  <c r="N87" i="6"/>
  <c r="N86" i="6"/>
  <c r="N85" i="6"/>
  <c r="N84" i="6"/>
  <c r="N83" i="6"/>
  <c r="N95" i="6"/>
  <c r="N94" i="6"/>
  <c r="N93" i="6"/>
  <c r="N82" i="6"/>
  <c r="N81" i="6"/>
  <c r="N78" i="6"/>
  <c r="N77" i="6"/>
  <c r="N76" i="6"/>
  <c r="N75" i="6"/>
  <c r="N74" i="6"/>
  <c r="N73" i="6"/>
  <c r="N72" i="6"/>
  <c r="N71" i="6"/>
  <c r="N70" i="6"/>
  <c r="N69" i="6"/>
  <c r="N80" i="6"/>
  <c r="N7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6" i="6"/>
  <c r="N45" i="6"/>
  <c r="N44" i="6"/>
  <c r="N43" i="6"/>
  <c r="N42" i="6"/>
  <c r="N41" i="6"/>
  <c r="N40" i="6"/>
  <c r="N39" i="6"/>
  <c r="N47" i="6"/>
  <c r="N37" i="6"/>
  <c r="N36" i="6"/>
  <c r="N35" i="6"/>
  <c r="N34" i="6"/>
  <c r="N33" i="6"/>
  <c r="N38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K898" i="22"/>
  <c r="H898" i="22" s="1"/>
  <c r="G898" i="22"/>
  <c r="B898" i="22" a="1"/>
  <c r="B898" i="22" s="1"/>
  <c r="G891" i="22"/>
  <c r="K891" i="22"/>
  <c r="H891" i="22" s="1"/>
  <c r="G892" i="22"/>
  <c r="K892" i="22"/>
  <c r="H892" i="22" s="1"/>
  <c r="G893" i="22"/>
  <c r="K893" i="22"/>
  <c r="H893" i="22" s="1"/>
  <c r="G894" i="22"/>
  <c r="K894" i="22"/>
  <c r="H894" i="22" s="1"/>
  <c r="G895" i="22"/>
  <c r="K895" i="22"/>
  <c r="H895" i="22" s="1"/>
  <c r="G896" i="22"/>
  <c r="K896" i="22"/>
  <c r="H896" i="22" s="1"/>
  <c r="G897" i="22"/>
  <c r="K897" i="22"/>
  <c r="H897" i="22" s="1"/>
  <c r="B897" i="22" a="1"/>
  <c r="B897" i="22" s="1"/>
  <c r="B896" i="22" a="1"/>
  <c r="B896" i="22" s="1"/>
  <c r="B895" i="22" a="1"/>
  <c r="B895" i="22" s="1"/>
  <c r="B894" i="22" a="1"/>
  <c r="B894" i="22" s="1"/>
  <c r="B893" i="22" a="1"/>
  <c r="B893" i="22" s="1"/>
  <c r="B892" i="22" a="1"/>
  <c r="B892" i="22" s="1"/>
  <c r="B891" i="22" a="1"/>
  <c r="B891" i="22" s="1"/>
  <c r="K890" i="22"/>
  <c r="H890" i="22" s="1"/>
  <c r="K889" i="22"/>
  <c r="H889" i="22" s="1"/>
  <c r="K888" i="22"/>
  <c r="H888" i="22" s="1"/>
  <c r="K887" i="22"/>
  <c r="H887" i="22" s="1"/>
  <c r="K886" i="22"/>
  <c r="H886" i="22" s="1"/>
  <c r="K885" i="22"/>
  <c r="H885" i="22" s="1"/>
  <c r="K884" i="22"/>
  <c r="H884" i="22" s="1"/>
  <c r="K883" i="22"/>
  <c r="H883" i="22" s="1"/>
  <c r="K882" i="22"/>
  <c r="H882" i="22" s="1"/>
  <c r="K881" i="22"/>
  <c r="H881" i="22" s="1"/>
  <c r="G890" i="22"/>
  <c r="G889" i="22"/>
  <c r="G888" i="22"/>
  <c r="G887" i="22"/>
  <c r="G886" i="22"/>
  <c r="G885" i="22"/>
  <c r="G884" i="22"/>
  <c r="G883" i="22"/>
  <c r="G882" i="22"/>
  <c r="G881" i="22"/>
  <c r="B890" i="22" a="1"/>
  <c r="B890" i="22" s="1"/>
  <c r="B889" i="22" a="1"/>
  <c r="B889" i="22" s="1"/>
  <c r="B888" i="22" a="1"/>
  <c r="B888" i="22" s="1"/>
  <c r="B887" i="22" a="1"/>
  <c r="B887" i="22" s="1"/>
  <c r="B886" i="22" a="1"/>
  <c r="B886" i="22" s="1"/>
  <c r="B885" i="22" a="1"/>
  <c r="B885" i="22" s="1"/>
  <c r="B884" i="22" a="1"/>
  <c r="B884" i="22" s="1"/>
  <c r="B883" i="22" a="1"/>
  <c r="B883" i="22" s="1"/>
  <c r="B882" i="22" a="1"/>
  <c r="B882" i="22" s="1"/>
  <c r="B881" i="22" a="1"/>
  <c r="B881" i="22" s="1"/>
  <c r="K1014" i="6"/>
  <c r="H1014" i="6" s="1"/>
  <c r="K1013" i="6"/>
  <c r="H1013" i="6" s="1"/>
  <c r="K1012" i="6"/>
  <c r="H1012" i="6" s="1"/>
  <c r="K1011" i="6"/>
  <c r="H1011" i="6" s="1"/>
  <c r="K1010" i="6"/>
  <c r="H1010" i="6" s="1"/>
  <c r="K1009" i="6"/>
  <c r="H1009" i="6" s="1"/>
  <c r="K1008" i="6"/>
  <c r="H1008" i="6" s="1"/>
  <c r="K1003" i="6"/>
  <c r="H1003" i="6" s="1"/>
  <c r="K1002" i="6"/>
  <c r="H1002" i="6" s="1"/>
  <c r="K1001" i="6"/>
  <c r="H1001" i="6" s="1"/>
  <c r="K1007" i="6"/>
  <c r="H1007" i="6" s="1"/>
  <c r="K1006" i="6"/>
  <c r="H1006" i="6" s="1"/>
  <c r="K1005" i="6"/>
  <c r="H1005" i="6" s="1"/>
  <c r="K1004" i="6"/>
  <c r="H1004" i="6" s="1"/>
  <c r="K1000" i="6"/>
  <c r="H1000" i="6" s="1"/>
  <c r="K999" i="6"/>
  <c r="H999" i="6" s="1"/>
  <c r="K995" i="6"/>
  <c r="H995" i="6" s="1"/>
  <c r="K994" i="6"/>
  <c r="H994" i="6" s="1"/>
  <c r="K998" i="6"/>
  <c r="H998" i="6" s="1"/>
  <c r="K997" i="6"/>
  <c r="H997" i="6" s="1"/>
  <c r="K996" i="6"/>
  <c r="H996" i="6" s="1"/>
  <c r="G1014" i="6"/>
  <c r="G1013" i="6"/>
  <c r="G1012" i="6"/>
  <c r="G1011" i="6"/>
  <c r="G1010" i="6"/>
  <c r="G1009" i="6"/>
  <c r="G1008" i="6"/>
  <c r="G1003" i="6"/>
  <c r="G1002" i="6"/>
  <c r="G1001" i="6"/>
  <c r="G1007" i="6"/>
  <c r="G1006" i="6"/>
  <c r="G1005" i="6"/>
  <c r="G1004" i="6"/>
  <c r="G1000" i="6"/>
  <c r="G999" i="6"/>
  <c r="G995" i="6"/>
  <c r="G994" i="6"/>
  <c r="G998" i="6"/>
  <c r="G997" i="6"/>
  <c r="G996" i="6"/>
  <c r="H27" i="18"/>
  <c r="D16" i="18"/>
  <c r="J13" i="18"/>
  <c r="F13" i="18"/>
  <c r="F12" i="18"/>
  <c r="K991" i="6"/>
  <c r="H991" i="6" s="1"/>
  <c r="G991" i="6"/>
  <c r="G876" i="22"/>
  <c r="G877" i="22"/>
  <c r="G878" i="22"/>
  <c r="G879" i="22"/>
  <c r="G880" i="22"/>
  <c r="K797" i="22"/>
  <c r="H797" i="22" s="1"/>
  <c r="K798" i="22"/>
  <c r="H798" i="22" s="1"/>
  <c r="K799" i="22"/>
  <c r="H799" i="22" s="1"/>
  <c r="K800" i="22"/>
  <c r="H800" i="22" s="1"/>
  <c r="K801" i="22"/>
  <c r="H801" i="22" s="1"/>
  <c r="K802" i="22"/>
  <c r="H802" i="22" s="1"/>
  <c r="K803" i="22"/>
  <c r="H803" i="22" s="1"/>
  <c r="K804" i="22"/>
  <c r="H804" i="22" s="1"/>
  <c r="K805" i="22"/>
  <c r="H805" i="22" s="1"/>
  <c r="K806" i="22"/>
  <c r="H806" i="22" s="1"/>
  <c r="K807" i="22"/>
  <c r="H807" i="22" s="1"/>
  <c r="K808" i="22"/>
  <c r="H808" i="22" s="1"/>
  <c r="K809" i="22"/>
  <c r="H809" i="22" s="1"/>
  <c r="K810" i="22"/>
  <c r="H810" i="22" s="1"/>
  <c r="K811" i="22"/>
  <c r="H811" i="22" s="1"/>
  <c r="K812" i="22"/>
  <c r="H812" i="22" s="1"/>
  <c r="K813" i="22"/>
  <c r="H813" i="22" s="1"/>
  <c r="K814" i="22"/>
  <c r="H814" i="22" s="1"/>
  <c r="K815" i="22"/>
  <c r="H815" i="22" s="1"/>
  <c r="K816" i="22"/>
  <c r="H816" i="22" s="1"/>
  <c r="K817" i="22"/>
  <c r="H817" i="22" s="1"/>
  <c r="K818" i="22"/>
  <c r="H818" i="22" s="1"/>
  <c r="K819" i="22"/>
  <c r="H819" i="22" s="1"/>
  <c r="K820" i="22"/>
  <c r="H820" i="22" s="1"/>
  <c r="K821" i="22"/>
  <c r="H821" i="22" s="1"/>
  <c r="K822" i="22"/>
  <c r="H822" i="22" s="1"/>
  <c r="K823" i="22"/>
  <c r="H823" i="22" s="1"/>
  <c r="K824" i="22"/>
  <c r="H824" i="22" s="1"/>
  <c r="K825" i="22"/>
  <c r="H825" i="22" s="1"/>
  <c r="K826" i="22"/>
  <c r="H826" i="22" s="1"/>
  <c r="K827" i="22"/>
  <c r="H827" i="22" s="1"/>
  <c r="K828" i="22"/>
  <c r="H828" i="22" s="1"/>
  <c r="K829" i="22"/>
  <c r="H829" i="22" s="1"/>
  <c r="K830" i="22"/>
  <c r="H830" i="22" s="1"/>
  <c r="K831" i="22"/>
  <c r="H831" i="22" s="1"/>
  <c r="K832" i="22"/>
  <c r="H832" i="22" s="1"/>
  <c r="K833" i="22"/>
  <c r="H833" i="22" s="1"/>
  <c r="K834" i="22"/>
  <c r="H834" i="22" s="1"/>
  <c r="K835" i="22"/>
  <c r="H835" i="22" s="1"/>
  <c r="K836" i="22"/>
  <c r="H836" i="22" s="1"/>
  <c r="K837" i="22"/>
  <c r="H837" i="22" s="1"/>
  <c r="K838" i="22"/>
  <c r="H838" i="22" s="1"/>
  <c r="K839" i="22"/>
  <c r="H839" i="22" s="1"/>
  <c r="K840" i="22"/>
  <c r="H840" i="22" s="1"/>
  <c r="K841" i="22"/>
  <c r="H841" i="22" s="1"/>
  <c r="K842" i="22"/>
  <c r="H842" i="22" s="1"/>
  <c r="K843" i="22"/>
  <c r="H843" i="22" s="1"/>
  <c r="K844" i="22"/>
  <c r="H844" i="22" s="1"/>
  <c r="K845" i="22"/>
  <c r="H845" i="22" s="1"/>
  <c r="K846" i="22"/>
  <c r="H846" i="22" s="1"/>
  <c r="K847" i="22"/>
  <c r="H847" i="22" s="1"/>
  <c r="K848" i="22"/>
  <c r="H848" i="22" s="1"/>
  <c r="K849" i="22"/>
  <c r="H849" i="22" s="1"/>
  <c r="K850" i="22"/>
  <c r="H850" i="22" s="1"/>
  <c r="K851" i="22"/>
  <c r="H851" i="22" s="1"/>
  <c r="K852" i="22"/>
  <c r="H852" i="22" s="1"/>
  <c r="K853" i="22"/>
  <c r="H853" i="22" s="1"/>
  <c r="K854" i="22"/>
  <c r="H854" i="22" s="1"/>
  <c r="K855" i="22"/>
  <c r="H855" i="22" s="1"/>
  <c r="K856" i="22"/>
  <c r="H856" i="22" s="1"/>
  <c r="K857" i="22"/>
  <c r="H857" i="22" s="1"/>
  <c r="K858" i="22"/>
  <c r="H858" i="22" s="1"/>
  <c r="K859" i="22"/>
  <c r="H859" i="22" s="1"/>
  <c r="K860" i="22"/>
  <c r="H860" i="22" s="1"/>
  <c r="K861" i="22"/>
  <c r="H861" i="22" s="1"/>
  <c r="K862" i="22"/>
  <c r="H862" i="22" s="1"/>
  <c r="K863" i="22"/>
  <c r="H863" i="22" s="1"/>
  <c r="K864" i="22"/>
  <c r="H864" i="22" s="1"/>
  <c r="K865" i="22"/>
  <c r="H865" i="22" s="1"/>
  <c r="K866" i="22"/>
  <c r="H866" i="22" s="1"/>
  <c r="K867" i="22"/>
  <c r="H867" i="22" s="1"/>
  <c r="K868" i="22"/>
  <c r="H868" i="22" s="1"/>
  <c r="K869" i="22"/>
  <c r="H869" i="22" s="1"/>
  <c r="K870" i="22"/>
  <c r="H870" i="22" s="1"/>
  <c r="K871" i="22"/>
  <c r="H871" i="22" s="1"/>
  <c r="K872" i="22"/>
  <c r="H872" i="22" s="1"/>
  <c r="K873" i="22"/>
  <c r="H873" i="22" s="1"/>
  <c r="K874" i="22"/>
  <c r="H874" i="22" s="1"/>
  <c r="K875" i="22"/>
  <c r="H875" i="22" s="1"/>
  <c r="K876" i="22"/>
  <c r="H876" i="22" s="1"/>
  <c r="K877" i="22"/>
  <c r="H877" i="22" s="1"/>
  <c r="K878" i="22"/>
  <c r="H878" i="22" s="1"/>
  <c r="K879" i="22"/>
  <c r="H879" i="22" s="1"/>
  <c r="K880" i="22"/>
  <c r="H880" i="22" s="1"/>
  <c r="K796" i="22"/>
  <c r="H796" i="22" s="1"/>
  <c r="B880" i="22" a="1"/>
  <c r="B880" i="22" s="1"/>
  <c r="B879" i="22" a="1"/>
  <c r="B879" i="22" s="1"/>
  <c r="B878" i="22" a="1"/>
  <c r="B878" i="22" s="1"/>
  <c r="B877" i="22" a="1"/>
  <c r="B877" i="22" s="1"/>
  <c r="B876" i="22" a="1"/>
  <c r="B876" i="22" s="1"/>
  <c r="K988" i="6"/>
  <c r="H988" i="6" s="1"/>
  <c r="K987" i="6"/>
  <c r="H987" i="6" s="1"/>
  <c r="K993" i="6"/>
  <c r="H993" i="6" s="1"/>
  <c r="K992" i="6"/>
  <c r="H992" i="6" s="1"/>
  <c r="K990" i="6"/>
  <c r="H990" i="6" s="1"/>
  <c r="K989" i="6"/>
  <c r="H989" i="6" s="1"/>
  <c r="G988" i="6"/>
  <c r="G987" i="6"/>
  <c r="G993" i="6"/>
  <c r="G992" i="6"/>
  <c r="G990" i="6"/>
  <c r="G989" i="6"/>
  <c r="E13" i="18"/>
  <c r="O25" i="21"/>
  <c r="N25" i="21"/>
  <c r="M25" i="21"/>
  <c r="O23" i="21"/>
  <c r="N23" i="21"/>
  <c r="M23" i="21"/>
  <c r="L25" i="21"/>
  <c r="L23" i="21"/>
  <c r="K25" i="21"/>
  <c r="K23" i="21"/>
  <c r="O21" i="21"/>
  <c r="N21" i="21"/>
  <c r="M21" i="21"/>
  <c r="L21" i="21"/>
  <c r="K21" i="21"/>
  <c r="J25" i="21"/>
  <c r="J23" i="21"/>
  <c r="J21" i="21"/>
  <c r="I25" i="21"/>
  <c r="I23" i="21"/>
  <c r="I21" i="21"/>
  <c r="H25" i="21"/>
  <c r="H23" i="21"/>
  <c r="H21" i="21"/>
  <c r="G25" i="21"/>
  <c r="G23" i="21"/>
  <c r="G21" i="21"/>
  <c r="F25" i="21"/>
  <c r="F23" i="21"/>
  <c r="F21" i="21"/>
  <c r="E25" i="21"/>
  <c r="E23" i="21"/>
  <c r="E21" i="21"/>
  <c r="D25" i="21"/>
  <c r="D23" i="21"/>
  <c r="D21" i="21"/>
  <c r="G27" i="18"/>
  <c r="G25" i="18"/>
  <c r="G23" i="18"/>
  <c r="O27" i="18"/>
  <c r="N27" i="18"/>
  <c r="M27" i="18"/>
  <c r="L27" i="18"/>
  <c r="J27" i="18"/>
  <c r="I27" i="18"/>
  <c r="F27" i="18"/>
  <c r="O25" i="18"/>
  <c r="N25" i="18"/>
  <c r="M25" i="18"/>
  <c r="L25" i="18"/>
  <c r="K25" i="18"/>
  <c r="J25" i="18"/>
  <c r="I25" i="18"/>
  <c r="H25" i="18"/>
  <c r="F25" i="18"/>
  <c r="D23" i="18"/>
  <c r="C27" i="5"/>
  <c r="C25" i="5"/>
  <c r="E27" i="18"/>
  <c r="E25" i="18"/>
  <c r="O23" i="18"/>
  <c r="N23" i="18"/>
  <c r="M23" i="18"/>
  <c r="L23" i="18"/>
  <c r="K23" i="18"/>
  <c r="J23" i="18"/>
  <c r="I23" i="18"/>
  <c r="H23" i="18"/>
  <c r="F23" i="18"/>
  <c r="E23" i="18"/>
  <c r="D27" i="18"/>
  <c r="D25" i="18"/>
  <c r="G10" i="18"/>
  <c r="E10" i="18"/>
  <c r="D10" i="18"/>
  <c r="F27" i="21"/>
  <c r="G27" i="21"/>
  <c r="H27" i="21"/>
  <c r="I27" i="21"/>
  <c r="J27" i="21"/>
  <c r="K27" i="21"/>
  <c r="L27" i="21"/>
  <c r="M27" i="21"/>
  <c r="N27" i="21"/>
  <c r="O27" i="21"/>
  <c r="D29" i="21"/>
  <c r="E29" i="21"/>
  <c r="F29" i="21"/>
  <c r="G29" i="21"/>
  <c r="H29" i="21"/>
  <c r="I29" i="21"/>
  <c r="J29" i="21"/>
  <c r="K29" i="21"/>
  <c r="L29" i="21"/>
  <c r="M29" i="21"/>
  <c r="N29" i="21"/>
  <c r="O29" i="21"/>
  <c r="D31" i="21"/>
  <c r="E31" i="21"/>
  <c r="F31" i="21"/>
  <c r="G31" i="21"/>
  <c r="H31" i="21"/>
  <c r="I31" i="21"/>
  <c r="J31" i="21"/>
  <c r="K31" i="21"/>
  <c r="L31" i="21"/>
  <c r="M31" i="21"/>
  <c r="N31" i="21"/>
  <c r="O31" i="21"/>
  <c r="D27" i="21"/>
  <c r="E27" i="21"/>
  <c r="C27" i="23"/>
  <c r="G972" i="6"/>
  <c r="G20" i="22"/>
  <c r="G2" i="22"/>
  <c r="G3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101" i="22"/>
  <c r="G102" i="22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G116" i="22"/>
  <c r="G117" i="22"/>
  <c r="G118" i="22"/>
  <c r="G119" i="22"/>
  <c r="G120" i="22"/>
  <c r="G121" i="22"/>
  <c r="G122" i="22"/>
  <c r="G123" i="22"/>
  <c r="G124" i="22"/>
  <c r="G125" i="22"/>
  <c r="G126" i="22"/>
  <c r="G127" i="22"/>
  <c r="G128" i="22"/>
  <c r="G129" i="22"/>
  <c r="G130" i="22"/>
  <c r="G131" i="22"/>
  <c r="G132" i="22"/>
  <c r="G133" i="22"/>
  <c r="G134" i="22"/>
  <c r="G135" i="22"/>
  <c r="G136" i="22"/>
  <c r="G137" i="22"/>
  <c r="G138" i="22"/>
  <c r="G139" i="22"/>
  <c r="G140" i="22"/>
  <c r="G141" i="22"/>
  <c r="G142" i="22"/>
  <c r="G143" i="22"/>
  <c r="G144" i="22"/>
  <c r="G145" i="22"/>
  <c r="G146" i="22"/>
  <c r="G147" i="22"/>
  <c r="G148" i="22"/>
  <c r="G149" i="22"/>
  <c r="G150" i="22"/>
  <c r="G151" i="22"/>
  <c r="G152" i="22"/>
  <c r="G153" i="22"/>
  <c r="G154" i="22"/>
  <c r="G155" i="22"/>
  <c r="G156" i="22"/>
  <c r="G157" i="22"/>
  <c r="G158" i="22"/>
  <c r="G159" i="22"/>
  <c r="G160" i="22"/>
  <c r="G161" i="22"/>
  <c r="G162" i="22"/>
  <c r="G163" i="22"/>
  <c r="G164" i="22"/>
  <c r="G165" i="22"/>
  <c r="G166" i="22"/>
  <c r="G167" i="22"/>
  <c r="G168" i="22"/>
  <c r="G169" i="22"/>
  <c r="G170" i="22"/>
  <c r="G171" i="22"/>
  <c r="G172" i="22"/>
  <c r="G173" i="22"/>
  <c r="G174" i="22"/>
  <c r="G175" i="22"/>
  <c r="G176" i="22"/>
  <c r="G177" i="22"/>
  <c r="G178" i="22"/>
  <c r="G179" i="22"/>
  <c r="G180" i="22"/>
  <c r="G181" i="22"/>
  <c r="G182" i="22"/>
  <c r="G183" i="22"/>
  <c r="G184" i="22"/>
  <c r="G185" i="22"/>
  <c r="G186" i="22"/>
  <c r="G187" i="22"/>
  <c r="G188" i="22"/>
  <c r="G189" i="22"/>
  <c r="G190" i="22"/>
  <c r="G191" i="22"/>
  <c r="G192" i="22"/>
  <c r="G193" i="22"/>
  <c r="G194" i="22"/>
  <c r="G195" i="22"/>
  <c r="G196" i="22"/>
  <c r="G197" i="22"/>
  <c r="G198" i="22"/>
  <c r="G199" i="22"/>
  <c r="G200" i="22"/>
  <c r="G201" i="22"/>
  <c r="G202" i="22"/>
  <c r="G203" i="22"/>
  <c r="G204" i="22"/>
  <c r="G205" i="22"/>
  <c r="G206" i="22"/>
  <c r="G207" i="22"/>
  <c r="G208" i="22"/>
  <c r="G209" i="22"/>
  <c r="G210" i="22"/>
  <c r="G211" i="22"/>
  <c r="G212" i="22"/>
  <c r="G213" i="22"/>
  <c r="G214" i="22"/>
  <c r="G215" i="22"/>
  <c r="G216" i="22"/>
  <c r="G217" i="22"/>
  <c r="G218" i="22"/>
  <c r="G219" i="22"/>
  <c r="G220" i="22"/>
  <c r="G221" i="22"/>
  <c r="G222" i="22"/>
  <c r="G223" i="22"/>
  <c r="G224" i="22"/>
  <c r="G225" i="22"/>
  <c r="G226" i="22"/>
  <c r="G227" i="22"/>
  <c r="G228" i="22"/>
  <c r="G229" i="22"/>
  <c r="G230" i="22"/>
  <c r="G231" i="22"/>
  <c r="G232" i="22"/>
  <c r="G233" i="22"/>
  <c r="G234" i="22"/>
  <c r="G235" i="22"/>
  <c r="G236" i="22"/>
  <c r="G237" i="22"/>
  <c r="G238" i="22"/>
  <c r="G239" i="22"/>
  <c r="G240" i="22"/>
  <c r="G241" i="22"/>
  <c r="G242" i="22"/>
  <c r="G243" i="22"/>
  <c r="G244" i="22"/>
  <c r="G245" i="22"/>
  <c r="G246" i="22"/>
  <c r="G247" i="22"/>
  <c r="G248" i="22"/>
  <c r="G249" i="22"/>
  <c r="G250" i="22"/>
  <c r="G251" i="22"/>
  <c r="G252" i="22"/>
  <c r="G253" i="22"/>
  <c r="G254" i="22"/>
  <c r="G255" i="22"/>
  <c r="G256" i="22"/>
  <c r="G257" i="22"/>
  <c r="G258" i="22"/>
  <c r="G259" i="22"/>
  <c r="G260" i="22"/>
  <c r="G261" i="22"/>
  <c r="G262" i="22"/>
  <c r="G263" i="22"/>
  <c r="G264" i="22"/>
  <c r="G265" i="22"/>
  <c r="G266" i="22"/>
  <c r="G267" i="22"/>
  <c r="G268" i="22"/>
  <c r="G269" i="22"/>
  <c r="G270" i="22"/>
  <c r="G271" i="22"/>
  <c r="G272" i="22"/>
  <c r="G273" i="22"/>
  <c r="G274" i="22"/>
  <c r="G275" i="22"/>
  <c r="G276" i="22"/>
  <c r="G277" i="22"/>
  <c r="G278" i="22"/>
  <c r="G279" i="22"/>
  <c r="G280" i="22"/>
  <c r="G281" i="22"/>
  <c r="G282" i="22"/>
  <c r="G283" i="22"/>
  <c r="G284" i="22"/>
  <c r="G285" i="22"/>
  <c r="G286" i="22"/>
  <c r="G287" i="22"/>
  <c r="G288" i="22"/>
  <c r="G289" i="22"/>
  <c r="G290" i="22"/>
  <c r="G291" i="22"/>
  <c r="G292" i="22"/>
  <c r="G293" i="22"/>
  <c r="G294" i="22"/>
  <c r="G295" i="22"/>
  <c r="G296" i="22"/>
  <c r="G297" i="22"/>
  <c r="G298" i="22"/>
  <c r="G299" i="22"/>
  <c r="G300" i="22"/>
  <c r="G301" i="22"/>
  <c r="G302" i="22"/>
  <c r="G303" i="22"/>
  <c r="G304" i="22"/>
  <c r="G305" i="22"/>
  <c r="G306" i="22"/>
  <c r="G307" i="22"/>
  <c r="G308" i="22"/>
  <c r="G309" i="22"/>
  <c r="G310" i="22"/>
  <c r="G311" i="22"/>
  <c r="G312" i="22"/>
  <c r="G313" i="22"/>
  <c r="G314" i="22"/>
  <c r="G315" i="22"/>
  <c r="G316" i="22"/>
  <c r="G317" i="22"/>
  <c r="G318" i="22"/>
  <c r="G319" i="22"/>
  <c r="G320" i="22"/>
  <c r="G321" i="22"/>
  <c r="G322" i="22"/>
  <c r="G323" i="22"/>
  <c r="G324" i="22"/>
  <c r="G325" i="22"/>
  <c r="G326" i="22"/>
  <c r="G327" i="22"/>
  <c r="G328" i="22"/>
  <c r="G329" i="22"/>
  <c r="G330" i="22"/>
  <c r="G331" i="22"/>
  <c r="G332" i="22"/>
  <c r="G333" i="22"/>
  <c r="G334" i="22"/>
  <c r="G335" i="22"/>
  <c r="G336" i="22"/>
  <c r="G337" i="22"/>
  <c r="G338" i="22"/>
  <c r="G339" i="22"/>
  <c r="G340" i="22"/>
  <c r="G341" i="22"/>
  <c r="G342" i="22"/>
  <c r="G343" i="22"/>
  <c r="G344" i="22"/>
  <c r="G345" i="22"/>
  <c r="G346" i="22"/>
  <c r="G347" i="22"/>
  <c r="G348" i="22"/>
  <c r="G349" i="22"/>
  <c r="G350" i="22"/>
  <c r="G351" i="22"/>
  <c r="G352" i="22"/>
  <c r="G353" i="22"/>
  <c r="G354" i="22"/>
  <c r="G355" i="22"/>
  <c r="G356" i="22"/>
  <c r="G357" i="22"/>
  <c r="G358" i="22"/>
  <c r="G359" i="22"/>
  <c r="G360" i="22"/>
  <c r="G361" i="22"/>
  <c r="G362" i="22"/>
  <c r="G363" i="22"/>
  <c r="G364" i="22"/>
  <c r="G365" i="22"/>
  <c r="G366" i="22"/>
  <c r="G367" i="22"/>
  <c r="G368" i="22"/>
  <c r="G369" i="22"/>
  <c r="G370" i="22"/>
  <c r="G371" i="22"/>
  <c r="G372" i="22"/>
  <c r="G373" i="22"/>
  <c r="G374" i="22"/>
  <c r="G375" i="22"/>
  <c r="G376" i="22"/>
  <c r="G377" i="22"/>
  <c r="G378" i="22"/>
  <c r="G379" i="22"/>
  <c r="G380" i="22"/>
  <c r="G381" i="22"/>
  <c r="G382" i="22"/>
  <c r="G383" i="22"/>
  <c r="G384" i="22"/>
  <c r="G385" i="22"/>
  <c r="G386" i="22"/>
  <c r="G387" i="22"/>
  <c r="G388" i="22"/>
  <c r="G389" i="22"/>
  <c r="G390" i="22"/>
  <c r="G391" i="22"/>
  <c r="G392" i="22"/>
  <c r="G393" i="22"/>
  <c r="G394" i="22"/>
  <c r="G395" i="22"/>
  <c r="G396" i="22"/>
  <c r="G397" i="22"/>
  <c r="G398" i="22"/>
  <c r="G399" i="22"/>
  <c r="G400" i="22"/>
  <c r="G401" i="22"/>
  <c r="G402" i="22"/>
  <c r="G403" i="22"/>
  <c r="G404" i="22"/>
  <c r="G405" i="22"/>
  <c r="G406" i="22"/>
  <c r="G407" i="22"/>
  <c r="G408" i="22"/>
  <c r="G409" i="22"/>
  <c r="G410" i="22"/>
  <c r="G411" i="22"/>
  <c r="G412" i="22"/>
  <c r="G413" i="22"/>
  <c r="G414" i="22"/>
  <c r="G415" i="22"/>
  <c r="G416" i="22"/>
  <c r="G417" i="22"/>
  <c r="G418" i="22"/>
  <c r="G419" i="22"/>
  <c r="G420" i="22"/>
  <c r="G421" i="22"/>
  <c r="G422" i="22"/>
  <c r="G423" i="22"/>
  <c r="G424" i="22"/>
  <c r="G425" i="22"/>
  <c r="G426" i="22"/>
  <c r="G427" i="22"/>
  <c r="G428" i="22"/>
  <c r="G429" i="22"/>
  <c r="G430" i="22"/>
  <c r="G431" i="22"/>
  <c r="G432" i="22"/>
  <c r="G433" i="22"/>
  <c r="G434" i="22"/>
  <c r="G435" i="22"/>
  <c r="G436" i="22"/>
  <c r="G437" i="22"/>
  <c r="G438" i="22"/>
  <c r="G439" i="22"/>
  <c r="G440" i="22"/>
  <c r="G441" i="22"/>
  <c r="G442" i="22"/>
  <c r="G443" i="22"/>
  <c r="G444" i="22"/>
  <c r="G445" i="22"/>
  <c r="G446" i="22"/>
  <c r="G447" i="22"/>
  <c r="G448" i="22"/>
  <c r="G449" i="22"/>
  <c r="G450" i="22"/>
  <c r="G451" i="22"/>
  <c r="G452" i="22"/>
  <c r="G453" i="22"/>
  <c r="G454" i="22"/>
  <c r="G455" i="22"/>
  <c r="G456" i="22"/>
  <c r="G457" i="22"/>
  <c r="G458" i="22"/>
  <c r="G459" i="22"/>
  <c r="G460" i="22"/>
  <c r="G461" i="22"/>
  <c r="G462" i="22"/>
  <c r="G463" i="22"/>
  <c r="G464" i="22"/>
  <c r="G465" i="22"/>
  <c r="G466" i="22"/>
  <c r="G467" i="22"/>
  <c r="G468" i="22"/>
  <c r="G469" i="22"/>
  <c r="G470" i="22"/>
  <c r="G471" i="22"/>
  <c r="G472" i="22"/>
  <c r="G473" i="22"/>
  <c r="G474" i="22"/>
  <c r="G475" i="22"/>
  <c r="G476" i="22"/>
  <c r="G477" i="22"/>
  <c r="G478" i="22"/>
  <c r="G479" i="22"/>
  <c r="G480" i="22"/>
  <c r="G481" i="22"/>
  <c r="G482" i="22"/>
  <c r="G483" i="22"/>
  <c r="G484" i="22"/>
  <c r="G485" i="22"/>
  <c r="G486" i="22"/>
  <c r="G487" i="22"/>
  <c r="G488" i="22"/>
  <c r="G489" i="22"/>
  <c r="G490" i="22"/>
  <c r="G491" i="22"/>
  <c r="G492" i="22"/>
  <c r="G493" i="22"/>
  <c r="G494" i="22"/>
  <c r="G495" i="22"/>
  <c r="G496" i="22"/>
  <c r="G497" i="22"/>
  <c r="G498" i="22"/>
  <c r="G499" i="22"/>
  <c r="G500" i="22"/>
  <c r="G501" i="22"/>
  <c r="G502" i="22"/>
  <c r="G503" i="22"/>
  <c r="G504" i="22"/>
  <c r="G505" i="22"/>
  <c r="G506" i="22"/>
  <c r="G507" i="22"/>
  <c r="G508" i="22"/>
  <c r="G509" i="22"/>
  <c r="G510" i="22"/>
  <c r="G511" i="22"/>
  <c r="G512" i="22"/>
  <c r="G513" i="22"/>
  <c r="G514" i="22"/>
  <c r="G515" i="22"/>
  <c r="G516" i="22"/>
  <c r="G517" i="22"/>
  <c r="G518" i="22"/>
  <c r="G519" i="22"/>
  <c r="G520" i="22"/>
  <c r="G521" i="22"/>
  <c r="G522" i="22"/>
  <c r="G523" i="22"/>
  <c r="G524" i="22"/>
  <c r="G525" i="22"/>
  <c r="G526" i="22"/>
  <c r="G527" i="22"/>
  <c r="G528" i="22"/>
  <c r="G529" i="22"/>
  <c r="G530" i="22"/>
  <c r="G531" i="22"/>
  <c r="G532" i="22"/>
  <c r="G533" i="22"/>
  <c r="G534" i="22"/>
  <c r="G535" i="22"/>
  <c r="G536" i="22"/>
  <c r="G537" i="22"/>
  <c r="G538" i="22"/>
  <c r="G539" i="22"/>
  <c r="G540" i="22"/>
  <c r="G541" i="22"/>
  <c r="G542" i="22"/>
  <c r="G543" i="22"/>
  <c r="G544" i="22"/>
  <c r="G545" i="22"/>
  <c r="G546" i="22"/>
  <c r="G547" i="22"/>
  <c r="G548" i="22"/>
  <c r="G549" i="22"/>
  <c r="G550" i="22"/>
  <c r="G551" i="22"/>
  <c r="G552" i="22"/>
  <c r="G553" i="22"/>
  <c r="G554" i="22"/>
  <c r="G555" i="22"/>
  <c r="G556" i="22"/>
  <c r="G557" i="22"/>
  <c r="G558" i="22"/>
  <c r="G559" i="22"/>
  <c r="G560" i="22"/>
  <c r="G561" i="22"/>
  <c r="G562" i="22"/>
  <c r="G563" i="22"/>
  <c r="G564" i="22"/>
  <c r="G565" i="22"/>
  <c r="G566" i="22"/>
  <c r="G567" i="22"/>
  <c r="G568" i="22"/>
  <c r="G569" i="22"/>
  <c r="G570" i="22"/>
  <c r="G571" i="22"/>
  <c r="G572" i="22"/>
  <c r="G573" i="22"/>
  <c r="G574" i="22"/>
  <c r="G575" i="22"/>
  <c r="G576" i="22"/>
  <c r="G577" i="22"/>
  <c r="G578" i="22"/>
  <c r="G579" i="22"/>
  <c r="G580" i="22"/>
  <c r="G581" i="22"/>
  <c r="G582" i="22"/>
  <c r="G583" i="22"/>
  <c r="G584" i="22"/>
  <c r="G585" i="22"/>
  <c r="G586" i="22"/>
  <c r="G587" i="22"/>
  <c r="G588" i="22"/>
  <c r="G589" i="22"/>
  <c r="G590" i="22"/>
  <c r="G591" i="22"/>
  <c r="G592" i="22"/>
  <c r="G593" i="22"/>
  <c r="G594" i="22"/>
  <c r="G595" i="22"/>
  <c r="G596" i="22"/>
  <c r="G597" i="22"/>
  <c r="G598" i="22"/>
  <c r="G599" i="22"/>
  <c r="G600" i="22"/>
  <c r="G601" i="22"/>
  <c r="G602" i="22"/>
  <c r="G603" i="22"/>
  <c r="G604" i="22"/>
  <c r="G605" i="22"/>
  <c r="G606" i="22"/>
  <c r="G607" i="22"/>
  <c r="G608" i="22"/>
  <c r="G609" i="22"/>
  <c r="G610" i="22"/>
  <c r="G611" i="22"/>
  <c r="G612" i="22"/>
  <c r="G613" i="22"/>
  <c r="G614" i="22"/>
  <c r="G615" i="22"/>
  <c r="G616" i="22"/>
  <c r="G617" i="22"/>
  <c r="G618" i="22"/>
  <c r="G619" i="22"/>
  <c r="G620" i="22"/>
  <c r="G621" i="22"/>
  <c r="G622" i="22"/>
  <c r="G623" i="22"/>
  <c r="G624" i="22"/>
  <c r="G625" i="22"/>
  <c r="G626" i="22"/>
  <c r="G627" i="22"/>
  <c r="G628" i="22"/>
  <c r="G629" i="22"/>
  <c r="G630" i="22"/>
  <c r="G631" i="22"/>
  <c r="G632" i="22"/>
  <c r="G633" i="22"/>
  <c r="G634" i="22"/>
  <c r="G635" i="22"/>
  <c r="G636" i="22"/>
  <c r="G637" i="22"/>
  <c r="G638" i="22"/>
  <c r="G639" i="22"/>
  <c r="G640" i="22"/>
  <c r="G641" i="22"/>
  <c r="G642" i="22"/>
  <c r="G643" i="22"/>
  <c r="G644" i="22"/>
  <c r="G645" i="22"/>
  <c r="G646" i="22"/>
  <c r="G647" i="22"/>
  <c r="G648" i="22"/>
  <c r="G649" i="22"/>
  <c r="G650" i="22"/>
  <c r="G651" i="22"/>
  <c r="G652" i="22"/>
  <c r="G653" i="22"/>
  <c r="G654" i="22"/>
  <c r="G655" i="22"/>
  <c r="G656" i="22"/>
  <c r="G657" i="22"/>
  <c r="G658" i="22"/>
  <c r="G659" i="22"/>
  <c r="G660" i="22"/>
  <c r="G661" i="22"/>
  <c r="G662" i="22"/>
  <c r="G663" i="22"/>
  <c r="G664" i="22"/>
  <c r="G665" i="22"/>
  <c r="G666" i="22"/>
  <c r="G667" i="22"/>
  <c r="G668" i="22"/>
  <c r="G669" i="22"/>
  <c r="G670" i="22"/>
  <c r="G671" i="22"/>
  <c r="G672" i="22"/>
  <c r="G673" i="22"/>
  <c r="G674" i="22"/>
  <c r="G675" i="22"/>
  <c r="G676" i="22"/>
  <c r="G677" i="22"/>
  <c r="G678" i="22"/>
  <c r="G679" i="22"/>
  <c r="G680" i="22"/>
  <c r="G681" i="22"/>
  <c r="G682" i="22"/>
  <c r="G683" i="22"/>
  <c r="G684" i="22"/>
  <c r="G685" i="22"/>
  <c r="G686" i="22"/>
  <c r="G687" i="22"/>
  <c r="G688" i="22"/>
  <c r="G689" i="22"/>
  <c r="G690" i="22"/>
  <c r="G691" i="22"/>
  <c r="G692" i="22"/>
  <c r="G693" i="22"/>
  <c r="G694" i="22"/>
  <c r="G695" i="22"/>
  <c r="G696" i="22"/>
  <c r="G697" i="22"/>
  <c r="G698" i="22"/>
  <c r="G699" i="22"/>
  <c r="G700" i="22"/>
  <c r="G701" i="22"/>
  <c r="G702" i="22"/>
  <c r="G703" i="22"/>
  <c r="G704" i="22"/>
  <c r="G705" i="22"/>
  <c r="G706" i="22"/>
  <c r="G707" i="22"/>
  <c r="G708" i="22"/>
  <c r="G709" i="22"/>
  <c r="G710" i="22"/>
  <c r="G711" i="22"/>
  <c r="G712" i="22"/>
  <c r="G713" i="22"/>
  <c r="G714" i="22"/>
  <c r="G715" i="22"/>
  <c r="G716" i="22"/>
  <c r="G717" i="22"/>
  <c r="G718" i="22"/>
  <c r="G719" i="22"/>
  <c r="G720" i="22"/>
  <c r="G721" i="22"/>
  <c r="G722" i="22"/>
  <c r="G723" i="22"/>
  <c r="G724" i="22"/>
  <c r="G725" i="22"/>
  <c r="G726" i="22"/>
  <c r="G727" i="22"/>
  <c r="G728" i="22"/>
  <c r="G729" i="22"/>
  <c r="G730" i="22"/>
  <c r="G731" i="22"/>
  <c r="G732" i="22"/>
  <c r="G733" i="22"/>
  <c r="G734" i="22"/>
  <c r="G735" i="22"/>
  <c r="G736" i="22"/>
  <c r="G737" i="22"/>
  <c r="G738" i="22"/>
  <c r="G739" i="22"/>
  <c r="G740" i="22"/>
  <c r="G741" i="22"/>
  <c r="G742" i="22"/>
  <c r="G743" i="22"/>
  <c r="G744" i="22"/>
  <c r="G745" i="22"/>
  <c r="G746" i="22"/>
  <c r="G747" i="22"/>
  <c r="G748" i="22"/>
  <c r="G749" i="22"/>
  <c r="G750" i="22"/>
  <c r="G751" i="22"/>
  <c r="G752" i="22"/>
  <c r="G753" i="22"/>
  <c r="G754" i="22"/>
  <c r="G755" i="22"/>
  <c r="G756" i="22"/>
  <c r="G757" i="22"/>
  <c r="G758" i="22"/>
  <c r="G759" i="22"/>
  <c r="G760" i="22"/>
  <c r="G761" i="22"/>
  <c r="G762" i="22"/>
  <c r="G763" i="22"/>
  <c r="G764" i="22"/>
  <c r="G765" i="22"/>
  <c r="G766" i="22"/>
  <c r="G767" i="22"/>
  <c r="G768" i="22"/>
  <c r="G769" i="22"/>
  <c r="G770" i="22"/>
  <c r="G771" i="22"/>
  <c r="G772" i="22"/>
  <c r="G773" i="22"/>
  <c r="G774" i="22"/>
  <c r="G775" i="22"/>
  <c r="G776" i="22"/>
  <c r="G777" i="22"/>
  <c r="G778" i="22"/>
  <c r="G779" i="22"/>
  <c r="G780" i="22"/>
  <c r="G781" i="22"/>
  <c r="G782" i="22"/>
  <c r="G783" i="22"/>
  <c r="G784" i="22"/>
  <c r="G785" i="22"/>
  <c r="G786" i="22"/>
  <c r="G787" i="22"/>
  <c r="G788" i="22"/>
  <c r="G789" i="22"/>
  <c r="G790" i="22"/>
  <c r="G791" i="22"/>
  <c r="G792" i="22"/>
  <c r="G793" i="22"/>
  <c r="G794" i="22"/>
  <c r="G795" i="22"/>
  <c r="G796" i="22"/>
  <c r="G797" i="22"/>
  <c r="G798" i="22"/>
  <c r="G799" i="22"/>
  <c r="G800" i="22"/>
  <c r="G801" i="22"/>
  <c r="G802" i="22"/>
  <c r="G803" i="22"/>
  <c r="G804" i="22"/>
  <c r="G805" i="22"/>
  <c r="G806" i="22"/>
  <c r="G807" i="22"/>
  <c r="G808" i="22"/>
  <c r="G809" i="22"/>
  <c r="G810" i="22"/>
  <c r="G811" i="22"/>
  <c r="G812" i="22"/>
  <c r="G813" i="22"/>
  <c r="G814" i="22"/>
  <c r="G815" i="22"/>
  <c r="G816" i="22"/>
  <c r="G817" i="22"/>
  <c r="G818" i="22"/>
  <c r="G819" i="22"/>
  <c r="G820" i="22"/>
  <c r="G821" i="22"/>
  <c r="G822" i="22"/>
  <c r="G823" i="22"/>
  <c r="G824" i="22"/>
  <c r="G825" i="22"/>
  <c r="G826" i="22"/>
  <c r="G827" i="22"/>
  <c r="G828" i="22"/>
  <c r="G829" i="22"/>
  <c r="G830" i="22"/>
  <c r="G831" i="22"/>
  <c r="G832" i="22"/>
  <c r="G833" i="22"/>
  <c r="G834" i="22"/>
  <c r="G835" i="22"/>
  <c r="G836" i="22"/>
  <c r="G837" i="22"/>
  <c r="G838" i="22"/>
  <c r="G839" i="22"/>
  <c r="G840" i="22"/>
  <c r="G841" i="22"/>
  <c r="G842" i="22"/>
  <c r="G843" i="22"/>
  <c r="G844" i="22"/>
  <c r="G845" i="22"/>
  <c r="G846" i="22"/>
  <c r="G847" i="22"/>
  <c r="G848" i="22"/>
  <c r="G849" i="22"/>
  <c r="G850" i="22"/>
  <c r="G851" i="22"/>
  <c r="G852" i="22"/>
  <c r="G853" i="22"/>
  <c r="G854" i="22"/>
  <c r="G855" i="22"/>
  <c r="G856" i="22"/>
  <c r="G857" i="22"/>
  <c r="G858" i="22"/>
  <c r="G859" i="22"/>
  <c r="G860" i="22"/>
  <c r="G861" i="22"/>
  <c r="G862" i="22"/>
  <c r="G863" i="22"/>
  <c r="G864" i="22"/>
  <c r="G865" i="22"/>
  <c r="G866" i="22"/>
  <c r="G867" i="22"/>
  <c r="G868" i="22"/>
  <c r="G869" i="22"/>
  <c r="G870" i="22"/>
  <c r="G871" i="22"/>
  <c r="G872" i="22"/>
  <c r="G873" i="22"/>
  <c r="G874" i="22"/>
  <c r="G875" i="22"/>
  <c r="G940" i="6"/>
  <c r="G986" i="6"/>
  <c r="G985" i="6"/>
  <c r="G983" i="6"/>
  <c r="G982" i="6"/>
  <c r="G984" i="6"/>
  <c r="G981" i="6"/>
  <c r="G980" i="6"/>
  <c r="G979" i="6"/>
  <c r="G978" i="6"/>
  <c r="G977" i="6"/>
  <c r="G976" i="6"/>
  <c r="G971" i="6"/>
  <c r="G975" i="6"/>
  <c r="G974" i="6"/>
  <c r="G973" i="6"/>
  <c r="G970" i="6"/>
  <c r="G969" i="6"/>
  <c r="G965" i="6"/>
  <c r="G964" i="6"/>
  <c r="G963" i="6"/>
  <c r="G968" i="6"/>
  <c r="G967" i="6"/>
  <c r="G966" i="6"/>
  <c r="G962" i="6"/>
  <c r="G961" i="6"/>
  <c r="G960" i="6"/>
  <c r="G959" i="6"/>
  <c r="G958" i="6"/>
  <c r="G957" i="6"/>
  <c r="G956" i="6"/>
  <c r="G955" i="6"/>
  <c r="G949" i="6"/>
  <c r="G948" i="6"/>
  <c r="G947" i="6"/>
  <c r="G946" i="6"/>
  <c r="G945" i="6"/>
  <c r="G944" i="6"/>
  <c r="G943" i="6"/>
  <c r="G954" i="6"/>
  <c r="G953" i="6"/>
  <c r="G952" i="6"/>
  <c r="G951" i="6"/>
  <c r="G950" i="6"/>
  <c r="G939" i="6"/>
  <c r="G942" i="6"/>
  <c r="G938" i="6"/>
  <c r="G937" i="6"/>
  <c r="G941" i="6"/>
  <c r="G936" i="6"/>
  <c r="G933" i="6"/>
  <c r="G932" i="6"/>
  <c r="G935" i="6"/>
  <c r="G934" i="6"/>
  <c r="G931" i="6"/>
  <c r="G930" i="6"/>
  <c r="G929" i="6"/>
  <c r="G928" i="6"/>
  <c r="G927" i="6"/>
  <c r="G926" i="6"/>
  <c r="G925" i="6"/>
  <c r="G924" i="6"/>
  <c r="G922" i="6"/>
  <c r="G921" i="6"/>
  <c r="G920" i="6"/>
  <c r="G919" i="6"/>
  <c r="G923" i="6"/>
  <c r="G918" i="6"/>
  <c r="G917" i="6"/>
  <c r="G916" i="6"/>
  <c r="G915" i="6"/>
  <c r="G914" i="6"/>
  <c r="G913" i="6"/>
  <c r="G912" i="6"/>
  <c r="G911" i="6"/>
  <c r="G905" i="6"/>
  <c r="G904" i="6"/>
  <c r="G903" i="6"/>
  <c r="G902" i="6"/>
  <c r="G901" i="6"/>
  <c r="G910" i="6"/>
  <c r="G909" i="6"/>
  <c r="G908" i="6"/>
  <c r="G907" i="6"/>
  <c r="G906" i="6"/>
  <c r="G900" i="6"/>
  <c r="G899" i="6"/>
  <c r="G898" i="6"/>
  <c r="G897" i="6"/>
  <c r="G896" i="6"/>
  <c r="G895" i="6"/>
  <c r="G894" i="6"/>
  <c r="G893" i="6"/>
  <c r="G892" i="6"/>
  <c r="G891" i="6"/>
  <c r="G890" i="6"/>
  <c r="G889" i="6"/>
  <c r="G888" i="6"/>
  <c r="G887" i="6"/>
  <c r="G886" i="6"/>
  <c r="G885" i="6"/>
  <c r="G884" i="6"/>
  <c r="G883" i="6"/>
  <c r="G882" i="6"/>
  <c r="G881" i="6"/>
  <c r="G880" i="6"/>
  <c r="G879" i="6"/>
  <c r="G878" i="6"/>
  <c r="G873" i="6"/>
  <c r="G872" i="6"/>
  <c r="G871" i="6"/>
  <c r="G877" i="6"/>
  <c r="G876" i="6"/>
  <c r="G875" i="6"/>
  <c r="G874" i="6"/>
  <c r="G870" i="6"/>
  <c r="G869" i="6"/>
  <c r="G868" i="6"/>
  <c r="G867" i="6"/>
  <c r="G863" i="6"/>
  <c r="G862" i="6"/>
  <c r="G866" i="6"/>
  <c r="G861" i="6"/>
  <c r="G860" i="6"/>
  <c r="G865" i="6"/>
  <c r="G864" i="6"/>
  <c r="K952" i="6"/>
  <c r="H952" i="6" s="1"/>
  <c r="O19" i="21"/>
  <c r="N19" i="21"/>
  <c r="M19" i="21"/>
  <c r="L19" i="21"/>
  <c r="I19" i="21"/>
  <c r="K19" i="21"/>
  <c r="J19" i="21"/>
  <c r="H19" i="21"/>
  <c r="G19" i="21"/>
  <c r="F19" i="21"/>
  <c r="O18" i="21"/>
  <c r="N18" i="21"/>
  <c r="M18" i="21"/>
  <c r="L18" i="21"/>
  <c r="K18" i="21"/>
  <c r="J18" i="21"/>
  <c r="I18" i="21"/>
  <c r="H18" i="21"/>
  <c r="G18" i="21"/>
  <c r="F18" i="21"/>
  <c r="D18" i="21"/>
  <c r="O17" i="21"/>
  <c r="N17" i="21"/>
  <c r="M17" i="21"/>
  <c r="L17" i="21"/>
  <c r="K17" i="21"/>
  <c r="J17" i="21"/>
  <c r="I17" i="21"/>
  <c r="H17" i="21"/>
  <c r="G17" i="21"/>
  <c r="F17" i="21"/>
  <c r="O16" i="21"/>
  <c r="N16" i="21"/>
  <c r="M16" i="21"/>
  <c r="L16" i="21"/>
  <c r="K16" i="21"/>
  <c r="J16" i="21"/>
  <c r="G16" i="21"/>
  <c r="I16" i="21"/>
  <c r="H16" i="21"/>
  <c r="F16" i="21"/>
  <c r="I15" i="21"/>
  <c r="O15" i="21"/>
  <c r="N15" i="21"/>
  <c r="M15" i="21"/>
  <c r="L15" i="21"/>
  <c r="K15" i="21"/>
  <c r="J15" i="21"/>
  <c r="H15" i="21"/>
  <c r="G15" i="21"/>
  <c r="F15" i="21"/>
  <c r="E19" i="21"/>
  <c r="E18" i="21"/>
  <c r="E17" i="21"/>
  <c r="E16" i="21"/>
  <c r="E15" i="21"/>
  <c r="D19" i="21"/>
  <c r="D17" i="21"/>
  <c r="D16" i="21"/>
  <c r="D15" i="21"/>
  <c r="N11" i="21"/>
  <c r="L11" i="21"/>
  <c r="I11" i="21"/>
  <c r="O11" i="21"/>
  <c r="M11" i="21"/>
  <c r="K11" i="21"/>
  <c r="J11" i="21"/>
  <c r="H11" i="21"/>
  <c r="O10" i="21"/>
  <c r="O9" i="21"/>
  <c r="O30" i="21" s="1"/>
  <c r="N9" i="21"/>
  <c r="N30" i="21" s="1"/>
  <c r="M9" i="21"/>
  <c r="L9" i="21"/>
  <c r="L30" i="21" s="1"/>
  <c r="K9" i="21"/>
  <c r="K30" i="21" s="1"/>
  <c r="J9" i="21"/>
  <c r="I9" i="21"/>
  <c r="H9" i="21"/>
  <c r="O8" i="21"/>
  <c r="N8" i="21"/>
  <c r="M8" i="21"/>
  <c r="L8" i="21"/>
  <c r="K8" i="21"/>
  <c r="J8" i="21"/>
  <c r="I8" i="21"/>
  <c r="H8" i="21"/>
  <c r="G11" i="21"/>
  <c r="E11" i="21"/>
  <c r="F11" i="21"/>
  <c r="G9" i="21"/>
  <c r="G8" i="21"/>
  <c r="J12" i="21"/>
  <c r="I12" i="21"/>
  <c r="H12" i="21"/>
  <c r="G12" i="21"/>
  <c r="F12" i="21"/>
  <c r="F9" i="21"/>
  <c r="F8" i="21"/>
  <c r="E12" i="21"/>
  <c r="E9" i="21"/>
  <c r="E30" i="21" s="1"/>
  <c r="E8" i="21"/>
  <c r="D11" i="21"/>
  <c r="D8" i="21"/>
  <c r="D9" i="21"/>
  <c r="K3" i="6"/>
  <c r="H3" i="6" s="1"/>
  <c r="K4" i="6"/>
  <c r="H4" i="6" s="1"/>
  <c r="K6" i="6"/>
  <c r="H6" i="6" s="1"/>
  <c r="K7" i="6"/>
  <c r="H7" i="6" s="1"/>
  <c r="K8" i="6"/>
  <c r="H8" i="6" s="1"/>
  <c r="K9" i="6"/>
  <c r="H9" i="6" s="1"/>
  <c r="K10" i="6"/>
  <c r="H10" i="6" s="1"/>
  <c r="K11" i="6"/>
  <c r="H11" i="6" s="1"/>
  <c r="K12" i="6"/>
  <c r="H12" i="6" s="1"/>
  <c r="K13" i="6"/>
  <c r="H13" i="6" s="1"/>
  <c r="K14" i="6"/>
  <c r="H14" i="6" s="1"/>
  <c r="K15" i="6"/>
  <c r="H15" i="6" s="1"/>
  <c r="K16" i="6"/>
  <c r="H16" i="6" s="1"/>
  <c r="K17" i="6"/>
  <c r="H17" i="6" s="1"/>
  <c r="K18" i="6"/>
  <c r="H18" i="6" s="1"/>
  <c r="K19" i="6"/>
  <c r="H19" i="6" s="1"/>
  <c r="K20" i="6"/>
  <c r="H20" i="6" s="1"/>
  <c r="K21" i="6"/>
  <c r="H21" i="6" s="1"/>
  <c r="K22" i="6"/>
  <c r="H22" i="6" s="1"/>
  <c r="K23" i="6"/>
  <c r="H23" i="6" s="1"/>
  <c r="K24" i="6"/>
  <c r="H24" i="6" s="1"/>
  <c r="K25" i="6"/>
  <c r="H25" i="6" s="1"/>
  <c r="K26" i="6"/>
  <c r="H26" i="6" s="1"/>
  <c r="K27" i="6"/>
  <c r="H27" i="6" s="1"/>
  <c r="K28" i="6"/>
  <c r="H28" i="6" s="1"/>
  <c r="K29" i="6"/>
  <c r="H29" i="6" s="1"/>
  <c r="K30" i="6"/>
  <c r="H30" i="6" s="1"/>
  <c r="K31" i="6"/>
  <c r="H31" i="6" s="1"/>
  <c r="K32" i="6"/>
  <c r="H32" i="6" s="1"/>
  <c r="K38" i="6"/>
  <c r="H38" i="6" s="1"/>
  <c r="K33" i="6"/>
  <c r="H33" i="6" s="1"/>
  <c r="K34" i="6"/>
  <c r="H34" i="6" s="1"/>
  <c r="K35" i="6"/>
  <c r="H35" i="6" s="1"/>
  <c r="K36" i="6"/>
  <c r="H36" i="6" s="1"/>
  <c r="K37" i="6"/>
  <c r="H37" i="6" s="1"/>
  <c r="K47" i="6"/>
  <c r="H47" i="6" s="1"/>
  <c r="K39" i="6"/>
  <c r="H39" i="6" s="1"/>
  <c r="K40" i="6"/>
  <c r="H40" i="6" s="1"/>
  <c r="K41" i="6"/>
  <c r="H41" i="6" s="1"/>
  <c r="K42" i="6"/>
  <c r="H42" i="6" s="1"/>
  <c r="K43" i="6"/>
  <c r="H43" i="6" s="1"/>
  <c r="K44" i="6"/>
  <c r="H44" i="6" s="1"/>
  <c r="K45" i="6"/>
  <c r="H45" i="6" s="1"/>
  <c r="K46" i="6"/>
  <c r="H46" i="6" s="1"/>
  <c r="K48" i="6"/>
  <c r="H48" i="6" s="1"/>
  <c r="K49" i="6"/>
  <c r="H49" i="6" s="1"/>
  <c r="K50" i="6"/>
  <c r="H50" i="6" s="1"/>
  <c r="K51" i="6"/>
  <c r="H51" i="6" s="1"/>
  <c r="K52" i="6"/>
  <c r="H52" i="6" s="1"/>
  <c r="K53" i="6"/>
  <c r="H53" i="6" s="1"/>
  <c r="K54" i="6"/>
  <c r="H54" i="6" s="1"/>
  <c r="K55" i="6"/>
  <c r="H55" i="6" s="1"/>
  <c r="K56" i="6"/>
  <c r="H56" i="6" s="1"/>
  <c r="K57" i="6"/>
  <c r="H57" i="6" s="1"/>
  <c r="K58" i="6"/>
  <c r="H58" i="6" s="1"/>
  <c r="K59" i="6"/>
  <c r="H59" i="6" s="1"/>
  <c r="K60" i="6"/>
  <c r="H60" i="6" s="1"/>
  <c r="K61" i="6"/>
  <c r="H61" i="6" s="1"/>
  <c r="K62" i="6"/>
  <c r="H62" i="6" s="1"/>
  <c r="K63" i="6"/>
  <c r="H63" i="6" s="1"/>
  <c r="K64" i="6"/>
  <c r="H64" i="6" s="1"/>
  <c r="K65" i="6"/>
  <c r="H65" i="6" s="1"/>
  <c r="K66" i="6"/>
  <c r="H66" i="6" s="1"/>
  <c r="K67" i="6"/>
  <c r="H67" i="6" s="1"/>
  <c r="K68" i="6"/>
  <c r="H68" i="6" s="1"/>
  <c r="K79" i="6"/>
  <c r="H79" i="6" s="1"/>
  <c r="K80" i="6"/>
  <c r="H80" i="6" s="1"/>
  <c r="K69" i="6"/>
  <c r="H69" i="6" s="1"/>
  <c r="K70" i="6"/>
  <c r="H70" i="6" s="1"/>
  <c r="K71" i="6"/>
  <c r="H71" i="6" s="1"/>
  <c r="K72" i="6"/>
  <c r="H72" i="6" s="1"/>
  <c r="K73" i="6"/>
  <c r="H73" i="6" s="1"/>
  <c r="K74" i="6"/>
  <c r="H74" i="6" s="1"/>
  <c r="K75" i="6"/>
  <c r="H75" i="6" s="1"/>
  <c r="K76" i="6"/>
  <c r="H76" i="6" s="1"/>
  <c r="K77" i="6"/>
  <c r="H77" i="6" s="1"/>
  <c r="K78" i="6"/>
  <c r="H78" i="6" s="1"/>
  <c r="K81" i="6"/>
  <c r="H81" i="6" s="1"/>
  <c r="K82" i="6"/>
  <c r="H82" i="6" s="1"/>
  <c r="K93" i="6"/>
  <c r="H93" i="6" s="1"/>
  <c r="K94" i="6"/>
  <c r="H94" i="6" s="1"/>
  <c r="K95" i="6"/>
  <c r="H95" i="6" s="1"/>
  <c r="K83" i="6"/>
  <c r="H83" i="6" s="1"/>
  <c r="K84" i="6"/>
  <c r="H84" i="6" s="1"/>
  <c r="K85" i="6"/>
  <c r="H85" i="6" s="1"/>
  <c r="K86" i="6"/>
  <c r="H86" i="6" s="1"/>
  <c r="K87" i="6"/>
  <c r="H87" i="6" s="1"/>
  <c r="K88" i="6"/>
  <c r="H88" i="6" s="1"/>
  <c r="K89" i="6"/>
  <c r="H89" i="6" s="1"/>
  <c r="K90" i="6"/>
  <c r="H90" i="6" s="1"/>
  <c r="K91" i="6"/>
  <c r="H91" i="6" s="1"/>
  <c r="K92" i="6"/>
  <c r="H92" i="6" s="1"/>
  <c r="K96" i="6"/>
  <c r="H96" i="6" s="1"/>
  <c r="K102" i="6"/>
  <c r="H102" i="6" s="1"/>
  <c r="K103" i="6"/>
  <c r="H103" i="6" s="1"/>
  <c r="K97" i="6"/>
  <c r="H97" i="6" s="1"/>
  <c r="K98" i="6"/>
  <c r="H98" i="6" s="1"/>
  <c r="K99" i="6"/>
  <c r="H99" i="6" s="1"/>
  <c r="K100" i="6"/>
  <c r="H100" i="6" s="1"/>
  <c r="K101" i="6"/>
  <c r="H101" i="6" s="1"/>
  <c r="K104" i="6"/>
  <c r="H104" i="6" s="1"/>
  <c r="K105" i="6"/>
  <c r="H105" i="6" s="1"/>
  <c r="K106" i="6"/>
  <c r="H106" i="6" s="1"/>
  <c r="K107" i="6"/>
  <c r="H107" i="6" s="1"/>
  <c r="K108" i="6"/>
  <c r="H108" i="6" s="1"/>
  <c r="K109" i="6"/>
  <c r="H109" i="6" s="1"/>
  <c r="K110" i="6"/>
  <c r="H110" i="6" s="1"/>
  <c r="K111" i="6"/>
  <c r="H111" i="6" s="1"/>
  <c r="K112" i="6"/>
  <c r="H112" i="6" s="1"/>
  <c r="K113" i="6"/>
  <c r="H113" i="6" s="1"/>
  <c r="K114" i="6"/>
  <c r="H114" i="6" s="1"/>
  <c r="K115" i="6"/>
  <c r="H115" i="6" s="1"/>
  <c r="K116" i="6"/>
  <c r="H116" i="6" s="1"/>
  <c r="K119" i="6"/>
  <c r="H119" i="6" s="1"/>
  <c r="K120" i="6"/>
  <c r="H120" i="6" s="1"/>
  <c r="K121" i="6"/>
  <c r="H121" i="6" s="1"/>
  <c r="K122" i="6"/>
  <c r="H122" i="6" s="1"/>
  <c r="K123" i="6"/>
  <c r="H123" i="6" s="1"/>
  <c r="K124" i="6"/>
  <c r="H124" i="6" s="1"/>
  <c r="K125" i="6"/>
  <c r="H125" i="6" s="1"/>
  <c r="K117" i="6"/>
  <c r="H117" i="6" s="1"/>
  <c r="K118" i="6"/>
  <c r="H118" i="6" s="1"/>
  <c r="K126" i="6"/>
  <c r="H126" i="6" s="1"/>
  <c r="K127" i="6"/>
  <c r="H127" i="6" s="1"/>
  <c r="K132" i="6"/>
  <c r="H132" i="6" s="1"/>
  <c r="K128" i="6"/>
  <c r="H128" i="6" s="1"/>
  <c r="K129" i="6"/>
  <c r="H129" i="6" s="1"/>
  <c r="K133" i="6"/>
  <c r="H133" i="6" s="1"/>
  <c r="K134" i="6"/>
  <c r="H134" i="6" s="1"/>
  <c r="K135" i="6"/>
  <c r="H135" i="6" s="1"/>
  <c r="K130" i="6"/>
  <c r="H130" i="6" s="1"/>
  <c r="K131" i="6"/>
  <c r="H131" i="6" s="1"/>
  <c r="K142" i="6"/>
  <c r="H142" i="6" s="1"/>
  <c r="K143" i="6"/>
  <c r="H143" i="6" s="1"/>
  <c r="K144" i="6"/>
  <c r="H144" i="6" s="1"/>
  <c r="K136" i="6"/>
  <c r="H136" i="6" s="1"/>
  <c r="K137" i="6"/>
  <c r="H137" i="6" s="1"/>
  <c r="K138" i="6"/>
  <c r="H138" i="6" s="1"/>
  <c r="K139" i="6"/>
  <c r="H139" i="6" s="1"/>
  <c r="K140" i="6"/>
  <c r="H140" i="6" s="1"/>
  <c r="K141" i="6"/>
  <c r="H141" i="6" s="1"/>
  <c r="K149" i="6"/>
  <c r="H149" i="6" s="1"/>
  <c r="K150" i="6"/>
  <c r="H150" i="6" s="1"/>
  <c r="K151" i="6"/>
  <c r="H151" i="6" s="1"/>
  <c r="K145" i="6"/>
  <c r="H145" i="6" s="1"/>
  <c r="K146" i="6"/>
  <c r="H146" i="6" s="1"/>
  <c r="K147" i="6"/>
  <c r="H147" i="6" s="1"/>
  <c r="K148" i="6"/>
  <c r="H148" i="6" s="1"/>
  <c r="K152" i="6"/>
  <c r="H152" i="6" s="1"/>
  <c r="K153" i="6"/>
  <c r="H153" i="6" s="1"/>
  <c r="K154" i="6"/>
  <c r="H154" i="6" s="1"/>
  <c r="K155" i="6"/>
  <c r="H155" i="6" s="1"/>
  <c r="K156" i="6"/>
  <c r="H156" i="6" s="1"/>
  <c r="K157" i="6"/>
  <c r="H157" i="6" s="1"/>
  <c r="K158" i="6"/>
  <c r="H158" i="6" s="1"/>
  <c r="K161" i="6"/>
  <c r="H161" i="6" s="1"/>
  <c r="K159" i="6"/>
  <c r="H159" i="6" s="1"/>
  <c r="K160" i="6"/>
  <c r="H160" i="6" s="1"/>
  <c r="K162" i="6"/>
  <c r="H162" i="6" s="1"/>
  <c r="K163" i="6"/>
  <c r="H163" i="6" s="1"/>
  <c r="K164" i="6"/>
  <c r="H164" i="6" s="1"/>
  <c r="K165" i="6"/>
  <c r="H165" i="6" s="1"/>
  <c r="K166" i="6"/>
  <c r="H166" i="6" s="1"/>
  <c r="K167" i="6"/>
  <c r="H167" i="6" s="1"/>
  <c r="K168" i="6"/>
  <c r="H168" i="6" s="1"/>
  <c r="K169" i="6"/>
  <c r="H169" i="6" s="1"/>
  <c r="K170" i="6"/>
  <c r="H170" i="6" s="1"/>
  <c r="K171" i="6"/>
  <c r="H171" i="6" s="1"/>
  <c r="K172" i="6"/>
  <c r="H172" i="6" s="1"/>
  <c r="K173" i="6"/>
  <c r="H173" i="6" s="1"/>
  <c r="K174" i="6"/>
  <c r="H174" i="6" s="1"/>
  <c r="K175" i="6"/>
  <c r="H175" i="6" s="1"/>
  <c r="K176" i="6"/>
  <c r="H176" i="6" s="1"/>
  <c r="K177" i="6"/>
  <c r="H177" i="6" s="1"/>
  <c r="K178" i="6"/>
  <c r="H178" i="6" s="1"/>
  <c r="K179" i="6"/>
  <c r="H179" i="6" s="1"/>
  <c r="K180" i="6"/>
  <c r="H180" i="6" s="1"/>
  <c r="K181" i="6"/>
  <c r="H181" i="6" s="1"/>
  <c r="K182" i="6"/>
  <c r="H182" i="6" s="1"/>
  <c r="K183" i="6"/>
  <c r="H183" i="6" s="1"/>
  <c r="K184" i="6"/>
  <c r="H184" i="6" s="1"/>
  <c r="K185" i="6"/>
  <c r="H185" i="6" s="1"/>
  <c r="K186" i="6"/>
  <c r="H186" i="6" s="1"/>
  <c r="K187" i="6"/>
  <c r="H187" i="6" s="1"/>
  <c r="K188" i="6"/>
  <c r="H188" i="6" s="1"/>
  <c r="K189" i="6"/>
  <c r="H189" i="6" s="1"/>
  <c r="K190" i="6"/>
  <c r="H190" i="6" s="1"/>
  <c r="K191" i="6"/>
  <c r="H191" i="6" s="1"/>
  <c r="K192" i="6"/>
  <c r="H192" i="6" s="1"/>
  <c r="K193" i="6"/>
  <c r="H193" i="6" s="1"/>
  <c r="K194" i="6"/>
  <c r="H194" i="6" s="1"/>
  <c r="K195" i="6"/>
  <c r="H195" i="6" s="1"/>
  <c r="K196" i="6"/>
  <c r="H196" i="6" s="1"/>
  <c r="K197" i="6"/>
  <c r="H197" i="6" s="1"/>
  <c r="K198" i="6"/>
  <c r="H198" i="6" s="1"/>
  <c r="K199" i="6"/>
  <c r="H199" i="6" s="1"/>
  <c r="K200" i="6"/>
  <c r="H200" i="6" s="1"/>
  <c r="K201" i="6"/>
  <c r="H201" i="6" s="1"/>
  <c r="K202" i="6"/>
  <c r="H202" i="6" s="1"/>
  <c r="K203" i="6"/>
  <c r="H203" i="6" s="1"/>
  <c r="K204" i="6"/>
  <c r="H204" i="6" s="1"/>
  <c r="K205" i="6"/>
  <c r="H205" i="6" s="1"/>
  <c r="K206" i="6"/>
  <c r="H206" i="6" s="1"/>
  <c r="K215" i="6"/>
  <c r="H215" i="6" s="1"/>
  <c r="K216" i="6"/>
  <c r="H216" i="6" s="1"/>
  <c r="K207" i="6"/>
  <c r="H207" i="6" s="1"/>
  <c r="K208" i="6"/>
  <c r="H208" i="6" s="1"/>
  <c r="K209" i="6"/>
  <c r="H209" i="6" s="1"/>
  <c r="K210" i="6"/>
  <c r="H210" i="6" s="1"/>
  <c r="K211" i="6"/>
  <c r="H211" i="6" s="1"/>
  <c r="K212" i="6"/>
  <c r="H212" i="6" s="1"/>
  <c r="K213" i="6"/>
  <c r="H213" i="6" s="1"/>
  <c r="K214" i="6"/>
  <c r="H214" i="6" s="1"/>
  <c r="K217" i="6"/>
  <c r="H217" i="6" s="1"/>
  <c r="K218" i="6"/>
  <c r="H218" i="6" s="1"/>
  <c r="K219" i="6"/>
  <c r="H219" i="6" s="1"/>
  <c r="K224" i="6"/>
  <c r="H224" i="6" s="1"/>
  <c r="K225" i="6"/>
  <c r="H225" i="6" s="1"/>
  <c r="K226" i="6"/>
  <c r="H226" i="6" s="1"/>
  <c r="K227" i="6"/>
  <c r="H227" i="6" s="1"/>
  <c r="K228" i="6"/>
  <c r="H228" i="6" s="1"/>
  <c r="K229" i="6"/>
  <c r="H229" i="6" s="1"/>
  <c r="K220" i="6"/>
  <c r="H220" i="6" s="1"/>
  <c r="K221" i="6"/>
  <c r="H221" i="6" s="1"/>
  <c r="K222" i="6"/>
  <c r="H222" i="6" s="1"/>
  <c r="K223" i="6"/>
  <c r="H223" i="6" s="1"/>
  <c r="K230" i="6"/>
  <c r="H230" i="6" s="1"/>
  <c r="K231" i="6"/>
  <c r="H231" i="6" s="1"/>
  <c r="K232" i="6"/>
  <c r="H232" i="6" s="1"/>
  <c r="K233" i="6"/>
  <c r="H233" i="6" s="1"/>
  <c r="K234" i="6"/>
  <c r="H234" i="6" s="1"/>
  <c r="K235" i="6"/>
  <c r="H235" i="6" s="1"/>
  <c r="K236" i="6"/>
  <c r="H236" i="6" s="1"/>
  <c r="K237" i="6"/>
  <c r="H237" i="6" s="1"/>
  <c r="K238" i="6"/>
  <c r="H238" i="6" s="1"/>
  <c r="K239" i="6"/>
  <c r="H239" i="6" s="1"/>
  <c r="K240" i="6"/>
  <c r="H240" i="6" s="1"/>
  <c r="K241" i="6"/>
  <c r="H241" i="6" s="1"/>
  <c r="K242" i="6"/>
  <c r="H242" i="6" s="1"/>
  <c r="K243" i="6"/>
  <c r="H243" i="6" s="1"/>
  <c r="K244" i="6"/>
  <c r="H244" i="6" s="1"/>
  <c r="K245" i="6"/>
  <c r="H245" i="6" s="1"/>
  <c r="K246" i="6"/>
  <c r="H246" i="6" s="1"/>
  <c r="K247" i="6"/>
  <c r="H247" i="6" s="1"/>
  <c r="K248" i="6"/>
  <c r="H248" i="6" s="1"/>
  <c r="K249" i="6"/>
  <c r="H249" i="6" s="1"/>
  <c r="K250" i="6"/>
  <c r="H250" i="6" s="1"/>
  <c r="K251" i="6"/>
  <c r="H251" i="6" s="1"/>
  <c r="K252" i="6"/>
  <c r="H252" i="6" s="1"/>
  <c r="K253" i="6"/>
  <c r="H253" i="6" s="1"/>
  <c r="K254" i="6"/>
  <c r="H254" i="6" s="1"/>
  <c r="K255" i="6"/>
  <c r="H255" i="6" s="1"/>
  <c r="K256" i="6"/>
  <c r="H256" i="6" s="1"/>
  <c r="K257" i="6"/>
  <c r="H257" i="6" s="1"/>
  <c r="K258" i="6"/>
  <c r="H258" i="6" s="1"/>
  <c r="K259" i="6"/>
  <c r="H259" i="6" s="1"/>
  <c r="K260" i="6"/>
  <c r="H260" i="6" s="1"/>
  <c r="K270" i="6"/>
  <c r="H270" i="6" s="1"/>
  <c r="K261" i="6"/>
  <c r="H261" i="6" s="1"/>
  <c r="K262" i="6"/>
  <c r="H262" i="6" s="1"/>
  <c r="K263" i="6"/>
  <c r="H263" i="6" s="1"/>
  <c r="K264" i="6"/>
  <c r="H264" i="6" s="1"/>
  <c r="K265" i="6"/>
  <c r="H265" i="6" s="1"/>
  <c r="K266" i="6"/>
  <c r="H266" i="6" s="1"/>
  <c r="K271" i="6"/>
  <c r="H271" i="6" s="1"/>
  <c r="K267" i="6"/>
  <c r="H267" i="6" s="1"/>
  <c r="K268" i="6"/>
  <c r="H268" i="6" s="1"/>
  <c r="K269" i="6"/>
  <c r="H269" i="6" s="1"/>
  <c r="K272" i="6"/>
  <c r="H272" i="6" s="1"/>
  <c r="K273" i="6"/>
  <c r="H273" i="6" s="1"/>
  <c r="K274" i="6"/>
  <c r="H274" i="6" s="1"/>
  <c r="K275" i="6"/>
  <c r="H275" i="6" s="1"/>
  <c r="K276" i="6"/>
  <c r="H276" i="6" s="1"/>
  <c r="K277" i="6"/>
  <c r="H277" i="6" s="1"/>
  <c r="K278" i="6"/>
  <c r="H278" i="6" s="1"/>
  <c r="K279" i="6"/>
  <c r="H279" i="6" s="1"/>
  <c r="K280" i="6"/>
  <c r="H280" i="6" s="1"/>
  <c r="K281" i="6"/>
  <c r="H281" i="6" s="1"/>
  <c r="K282" i="6"/>
  <c r="H282" i="6" s="1"/>
  <c r="K283" i="6"/>
  <c r="H283" i="6" s="1"/>
  <c r="K284" i="6"/>
  <c r="H284" i="6" s="1"/>
  <c r="K285" i="6"/>
  <c r="H285" i="6" s="1"/>
  <c r="K286" i="6"/>
  <c r="H286" i="6" s="1"/>
  <c r="K290" i="6"/>
  <c r="H290" i="6" s="1"/>
  <c r="K291" i="6"/>
  <c r="H291" i="6" s="1"/>
  <c r="K287" i="6"/>
  <c r="H287" i="6" s="1"/>
  <c r="K288" i="6"/>
  <c r="H288" i="6" s="1"/>
  <c r="K289" i="6"/>
  <c r="H289" i="6" s="1"/>
  <c r="K292" i="6"/>
  <c r="H292" i="6" s="1"/>
  <c r="K293" i="6"/>
  <c r="H293" i="6" s="1"/>
  <c r="K294" i="6"/>
  <c r="H294" i="6" s="1"/>
  <c r="K295" i="6"/>
  <c r="H295" i="6" s="1"/>
  <c r="K296" i="6"/>
  <c r="H296" i="6" s="1"/>
  <c r="K297" i="6"/>
  <c r="H297" i="6" s="1"/>
  <c r="K298" i="6"/>
  <c r="H298" i="6" s="1"/>
  <c r="K299" i="6"/>
  <c r="H299" i="6" s="1"/>
  <c r="K306" i="6"/>
  <c r="H306" i="6" s="1"/>
  <c r="K307" i="6"/>
  <c r="H307" i="6" s="1"/>
  <c r="K300" i="6"/>
  <c r="H300" i="6" s="1"/>
  <c r="K301" i="6"/>
  <c r="H301" i="6" s="1"/>
  <c r="K302" i="6"/>
  <c r="H302" i="6" s="1"/>
  <c r="K303" i="6"/>
  <c r="H303" i="6" s="1"/>
  <c r="K304" i="6"/>
  <c r="H304" i="6" s="1"/>
  <c r="K305" i="6"/>
  <c r="H305" i="6" s="1"/>
  <c r="K308" i="6"/>
  <c r="H308" i="6" s="1"/>
  <c r="K314" i="6"/>
  <c r="H314" i="6" s="1"/>
  <c r="K315" i="6"/>
  <c r="H315" i="6" s="1"/>
  <c r="K316" i="6"/>
  <c r="H316" i="6" s="1"/>
  <c r="K317" i="6"/>
  <c r="H317" i="6" s="1"/>
  <c r="K309" i="6"/>
  <c r="H309" i="6" s="1"/>
  <c r="K310" i="6"/>
  <c r="H310" i="6" s="1"/>
  <c r="K311" i="6"/>
  <c r="H311" i="6" s="1"/>
  <c r="K312" i="6"/>
  <c r="H312" i="6" s="1"/>
  <c r="K313" i="6"/>
  <c r="H313" i="6" s="1"/>
  <c r="K318" i="6"/>
  <c r="H318" i="6" s="1"/>
  <c r="K319" i="6"/>
  <c r="H319" i="6" s="1"/>
  <c r="K320" i="6"/>
  <c r="H320" i="6" s="1"/>
  <c r="K321" i="6"/>
  <c r="H321" i="6" s="1"/>
  <c r="K322" i="6"/>
  <c r="H322" i="6" s="1"/>
  <c r="K323" i="6"/>
  <c r="H323" i="6" s="1"/>
  <c r="K324" i="6"/>
  <c r="H324" i="6" s="1"/>
  <c r="K325" i="6"/>
  <c r="H325" i="6" s="1"/>
  <c r="K326" i="6"/>
  <c r="H326" i="6" s="1"/>
  <c r="K327" i="6"/>
  <c r="H327" i="6" s="1"/>
  <c r="K328" i="6"/>
  <c r="H328" i="6" s="1"/>
  <c r="K329" i="6"/>
  <c r="H329" i="6" s="1"/>
  <c r="K330" i="6"/>
  <c r="H330" i="6" s="1"/>
  <c r="K331" i="6"/>
  <c r="H331" i="6" s="1"/>
  <c r="K332" i="6"/>
  <c r="H332" i="6" s="1"/>
  <c r="K333" i="6"/>
  <c r="H333" i="6" s="1"/>
  <c r="K334" i="6"/>
  <c r="H334" i="6" s="1"/>
  <c r="K335" i="6"/>
  <c r="H335" i="6" s="1"/>
  <c r="K336" i="6"/>
  <c r="H336" i="6" s="1"/>
  <c r="K337" i="6"/>
  <c r="H337" i="6" s="1"/>
  <c r="K338" i="6"/>
  <c r="H338" i="6" s="1"/>
  <c r="K339" i="6"/>
  <c r="H339" i="6" s="1"/>
  <c r="K340" i="6"/>
  <c r="H340" i="6" s="1"/>
  <c r="K341" i="6"/>
  <c r="H341" i="6" s="1"/>
  <c r="K342" i="6"/>
  <c r="H342" i="6" s="1"/>
  <c r="K343" i="6"/>
  <c r="H343" i="6" s="1"/>
  <c r="K344" i="6"/>
  <c r="H344" i="6" s="1"/>
  <c r="K345" i="6"/>
  <c r="H345" i="6" s="1"/>
  <c r="K346" i="6"/>
  <c r="H346" i="6" s="1"/>
  <c r="K347" i="6"/>
  <c r="H347" i="6" s="1"/>
  <c r="K348" i="6"/>
  <c r="H348" i="6" s="1"/>
  <c r="K349" i="6"/>
  <c r="H349" i="6" s="1"/>
  <c r="K350" i="6"/>
  <c r="H350" i="6" s="1"/>
  <c r="K351" i="6"/>
  <c r="H351" i="6" s="1"/>
  <c r="K352" i="6"/>
  <c r="H352" i="6" s="1"/>
  <c r="K353" i="6"/>
  <c r="H353" i="6" s="1"/>
  <c r="K354" i="6"/>
  <c r="H354" i="6" s="1"/>
  <c r="K355" i="6"/>
  <c r="H355" i="6" s="1"/>
  <c r="K356" i="6"/>
  <c r="H356" i="6" s="1"/>
  <c r="K357" i="6"/>
  <c r="H357" i="6" s="1"/>
  <c r="K358" i="6"/>
  <c r="H358" i="6" s="1"/>
  <c r="K359" i="6"/>
  <c r="H359" i="6" s="1"/>
  <c r="K360" i="6"/>
  <c r="H360" i="6" s="1"/>
  <c r="K361" i="6"/>
  <c r="H361" i="6" s="1"/>
  <c r="K364" i="6"/>
  <c r="H364" i="6" s="1"/>
  <c r="K365" i="6"/>
  <c r="H365" i="6" s="1"/>
  <c r="K366" i="6"/>
  <c r="H366" i="6" s="1"/>
  <c r="K367" i="6"/>
  <c r="H367" i="6" s="1"/>
  <c r="K368" i="6"/>
  <c r="H368" i="6" s="1"/>
  <c r="K369" i="6"/>
  <c r="H369" i="6" s="1"/>
  <c r="K370" i="6"/>
  <c r="H370" i="6" s="1"/>
  <c r="K371" i="6"/>
  <c r="H371" i="6" s="1"/>
  <c r="K362" i="6"/>
  <c r="H362" i="6" s="1"/>
  <c r="K363" i="6"/>
  <c r="H363" i="6" s="1"/>
  <c r="K372" i="6"/>
  <c r="H372" i="6" s="1"/>
  <c r="K373" i="6"/>
  <c r="H373" i="6" s="1"/>
  <c r="K374" i="6"/>
  <c r="H374" i="6" s="1"/>
  <c r="K375" i="6"/>
  <c r="H375" i="6" s="1"/>
  <c r="K376" i="6"/>
  <c r="H376" i="6" s="1"/>
  <c r="K377" i="6"/>
  <c r="H377" i="6" s="1"/>
  <c r="K378" i="6"/>
  <c r="H378" i="6" s="1"/>
  <c r="K379" i="6"/>
  <c r="H379" i="6" s="1"/>
  <c r="K380" i="6"/>
  <c r="H380" i="6" s="1"/>
  <c r="K381" i="6"/>
  <c r="H381" i="6" s="1"/>
  <c r="K382" i="6"/>
  <c r="H382" i="6" s="1"/>
  <c r="K383" i="6"/>
  <c r="H383" i="6" s="1"/>
  <c r="K384" i="6"/>
  <c r="H384" i="6" s="1"/>
  <c r="K385" i="6"/>
  <c r="H385" i="6" s="1"/>
  <c r="K386" i="6"/>
  <c r="H386" i="6" s="1"/>
  <c r="K387" i="6"/>
  <c r="H387" i="6" s="1"/>
  <c r="K388" i="6"/>
  <c r="H388" i="6" s="1"/>
  <c r="K389" i="6"/>
  <c r="H389" i="6" s="1"/>
  <c r="K390" i="6"/>
  <c r="H390" i="6" s="1"/>
  <c r="K391" i="6"/>
  <c r="H391" i="6" s="1"/>
  <c r="K392" i="6"/>
  <c r="H392" i="6" s="1"/>
  <c r="K393" i="6"/>
  <c r="H393" i="6" s="1"/>
  <c r="K394" i="6"/>
  <c r="H394" i="6" s="1"/>
  <c r="K395" i="6"/>
  <c r="H395" i="6" s="1"/>
  <c r="K398" i="6"/>
  <c r="H398" i="6" s="1"/>
  <c r="K399" i="6"/>
  <c r="H399" i="6" s="1"/>
  <c r="K400" i="6"/>
  <c r="H400" i="6" s="1"/>
  <c r="K401" i="6"/>
  <c r="H401" i="6" s="1"/>
  <c r="K402" i="6"/>
  <c r="H402" i="6" s="1"/>
  <c r="K396" i="6"/>
  <c r="H396" i="6" s="1"/>
  <c r="K397" i="6"/>
  <c r="H397" i="6" s="1"/>
  <c r="K403" i="6"/>
  <c r="H403" i="6" s="1"/>
  <c r="K404" i="6"/>
  <c r="H404" i="6" s="1"/>
  <c r="K405" i="6"/>
  <c r="H405" i="6" s="1"/>
  <c r="K406" i="6"/>
  <c r="H406" i="6" s="1"/>
  <c r="K407" i="6"/>
  <c r="H407" i="6" s="1"/>
  <c r="K408" i="6"/>
  <c r="H408" i="6" s="1"/>
  <c r="K409" i="6"/>
  <c r="H409" i="6" s="1"/>
  <c r="K410" i="6"/>
  <c r="H410" i="6" s="1"/>
  <c r="K411" i="6"/>
  <c r="H411" i="6" s="1"/>
  <c r="K412" i="6"/>
  <c r="H412" i="6" s="1"/>
  <c r="K413" i="6"/>
  <c r="H413" i="6" s="1"/>
  <c r="K414" i="6"/>
  <c r="H414" i="6" s="1"/>
  <c r="K415" i="6"/>
  <c r="H415" i="6" s="1"/>
  <c r="K416" i="6"/>
  <c r="H416" i="6" s="1"/>
  <c r="K417" i="6"/>
  <c r="H417" i="6" s="1"/>
  <c r="K418" i="6"/>
  <c r="H418" i="6" s="1"/>
  <c r="K419" i="6"/>
  <c r="H419" i="6" s="1"/>
  <c r="K420" i="6"/>
  <c r="H420" i="6" s="1"/>
  <c r="K421" i="6"/>
  <c r="H421" i="6" s="1"/>
  <c r="K422" i="6"/>
  <c r="H422" i="6" s="1"/>
  <c r="K423" i="6"/>
  <c r="H423" i="6" s="1"/>
  <c r="K424" i="6"/>
  <c r="H424" i="6" s="1"/>
  <c r="K425" i="6"/>
  <c r="H425" i="6" s="1"/>
  <c r="K426" i="6"/>
  <c r="H426" i="6" s="1"/>
  <c r="K427" i="6"/>
  <c r="H427" i="6" s="1"/>
  <c r="K428" i="6"/>
  <c r="H428" i="6" s="1"/>
  <c r="K429" i="6"/>
  <c r="H429" i="6" s="1"/>
  <c r="K432" i="6"/>
  <c r="H432" i="6" s="1"/>
  <c r="K433" i="6"/>
  <c r="H433" i="6" s="1"/>
  <c r="K434" i="6"/>
  <c r="H434" i="6" s="1"/>
  <c r="K430" i="6"/>
  <c r="H430" i="6" s="1"/>
  <c r="K431" i="6"/>
  <c r="H431" i="6" s="1"/>
  <c r="K435" i="6"/>
  <c r="H435" i="6" s="1"/>
  <c r="K436" i="6"/>
  <c r="H436" i="6" s="1"/>
  <c r="K437" i="6"/>
  <c r="H437" i="6" s="1"/>
  <c r="K438" i="6"/>
  <c r="H438" i="6" s="1"/>
  <c r="K439" i="6"/>
  <c r="H439" i="6" s="1"/>
  <c r="K440" i="6"/>
  <c r="H440" i="6" s="1"/>
  <c r="K441" i="6"/>
  <c r="H441" i="6" s="1"/>
  <c r="K442" i="6"/>
  <c r="H442" i="6" s="1"/>
  <c r="K443" i="6"/>
  <c r="H443" i="6" s="1"/>
  <c r="K444" i="6"/>
  <c r="H444" i="6" s="1"/>
  <c r="K445" i="6"/>
  <c r="H445" i="6" s="1"/>
  <c r="K446" i="6"/>
  <c r="H446" i="6" s="1"/>
  <c r="K447" i="6"/>
  <c r="H447" i="6" s="1"/>
  <c r="K448" i="6"/>
  <c r="H448" i="6" s="1"/>
  <c r="K449" i="6"/>
  <c r="H449" i="6" s="1"/>
  <c r="K450" i="6"/>
  <c r="H450" i="6" s="1"/>
  <c r="K451" i="6"/>
  <c r="H451" i="6" s="1"/>
  <c r="K452" i="6"/>
  <c r="H452" i="6" s="1"/>
  <c r="K453" i="6"/>
  <c r="H453" i="6" s="1"/>
  <c r="K454" i="6"/>
  <c r="H454" i="6" s="1"/>
  <c r="K455" i="6"/>
  <c r="H455" i="6" s="1"/>
  <c r="K456" i="6"/>
  <c r="H456" i="6" s="1"/>
  <c r="K458" i="6"/>
  <c r="H458" i="6" s="1"/>
  <c r="K459" i="6"/>
  <c r="H459" i="6" s="1"/>
  <c r="K457" i="6"/>
  <c r="H457" i="6" s="1"/>
  <c r="K460" i="6"/>
  <c r="H460" i="6" s="1"/>
  <c r="K461" i="6"/>
  <c r="H461" i="6" s="1"/>
  <c r="K462" i="6"/>
  <c r="H462" i="6" s="1"/>
  <c r="K463" i="6"/>
  <c r="H463" i="6" s="1"/>
  <c r="K464" i="6"/>
  <c r="H464" i="6" s="1"/>
  <c r="K465" i="6"/>
  <c r="H465" i="6" s="1"/>
  <c r="K466" i="6"/>
  <c r="H466" i="6" s="1"/>
  <c r="K467" i="6"/>
  <c r="H467" i="6" s="1"/>
  <c r="K468" i="6"/>
  <c r="H468" i="6" s="1"/>
  <c r="K469" i="6"/>
  <c r="H469" i="6" s="1"/>
  <c r="K470" i="6"/>
  <c r="H470" i="6" s="1"/>
  <c r="K471" i="6"/>
  <c r="H471" i="6" s="1"/>
  <c r="K472" i="6"/>
  <c r="H472" i="6" s="1"/>
  <c r="K475" i="6"/>
  <c r="H475" i="6" s="1"/>
  <c r="K476" i="6"/>
  <c r="H476" i="6" s="1"/>
  <c r="K473" i="6"/>
  <c r="H473" i="6" s="1"/>
  <c r="K474" i="6"/>
  <c r="H474" i="6" s="1"/>
  <c r="K477" i="6"/>
  <c r="H477" i="6" s="1"/>
  <c r="K478" i="6"/>
  <c r="H478" i="6" s="1"/>
  <c r="K479" i="6"/>
  <c r="H479" i="6" s="1"/>
  <c r="K480" i="6"/>
  <c r="H480" i="6" s="1"/>
  <c r="K481" i="6"/>
  <c r="H481" i="6" s="1"/>
  <c r="K482" i="6"/>
  <c r="H482" i="6" s="1"/>
  <c r="K485" i="6"/>
  <c r="H485" i="6" s="1"/>
  <c r="K486" i="6"/>
  <c r="H486" i="6" s="1"/>
  <c r="K487" i="6"/>
  <c r="H487" i="6" s="1"/>
  <c r="K488" i="6"/>
  <c r="H488" i="6" s="1"/>
  <c r="K489" i="6"/>
  <c r="H489" i="6" s="1"/>
  <c r="K490" i="6"/>
  <c r="H490" i="6" s="1"/>
  <c r="K491" i="6"/>
  <c r="H491" i="6" s="1"/>
  <c r="K483" i="6"/>
  <c r="H483" i="6" s="1"/>
  <c r="K484" i="6"/>
  <c r="H484" i="6" s="1"/>
  <c r="K492" i="6"/>
  <c r="H492" i="6" s="1"/>
  <c r="K493" i="6"/>
  <c r="H493" i="6" s="1"/>
  <c r="K494" i="6"/>
  <c r="H494" i="6" s="1"/>
  <c r="K495" i="6"/>
  <c r="H495" i="6" s="1"/>
  <c r="K501" i="6"/>
  <c r="H501" i="6" s="1"/>
  <c r="K502" i="6"/>
  <c r="H502" i="6" s="1"/>
  <c r="K496" i="6"/>
  <c r="H496" i="6" s="1"/>
  <c r="K497" i="6"/>
  <c r="H497" i="6" s="1"/>
  <c r="K498" i="6"/>
  <c r="H498" i="6" s="1"/>
  <c r="K499" i="6"/>
  <c r="H499" i="6" s="1"/>
  <c r="K500" i="6"/>
  <c r="H500" i="6" s="1"/>
  <c r="K503" i="6"/>
  <c r="H503" i="6" s="1"/>
  <c r="K504" i="6"/>
  <c r="H504" i="6" s="1"/>
  <c r="K505" i="6"/>
  <c r="H505" i="6" s="1"/>
  <c r="K506" i="6"/>
  <c r="H506" i="6" s="1"/>
  <c r="K507" i="6"/>
  <c r="H507" i="6" s="1"/>
  <c r="K508" i="6"/>
  <c r="H508" i="6" s="1"/>
  <c r="K509" i="6"/>
  <c r="H509" i="6" s="1"/>
  <c r="K510" i="6"/>
  <c r="H510" i="6" s="1"/>
  <c r="K511" i="6"/>
  <c r="H511" i="6" s="1"/>
  <c r="K512" i="6"/>
  <c r="H512" i="6" s="1"/>
  <c r="K517" i="6"/>
  <c r="H517" i="6" s="1"/>
  <c r="K518" i="6"/>
  <c r="H518" i="6" s="1"/>
  <c r="K513" i="6"/>
  <c r="H513" i="6" s="1"/>
  <c r="K514" i="6"/>
  <c r="H514" i="6" s="1"/>
  <c r="K515" i="6"/>
  <c r="H515" i="6" s="1"/>
  <c r="K516" i="6"/>
  <c r="H516" i="6" s="1"/>
  <c r="K519" i="6"/>
  <c r="H519" i="6" s="1"/>
  <c r="K520" i="6"/>
  <c r="H520" i="6" s="1"/>
  <c r="K521" i="6"/>
  <c r="H521" i="6" s="1"/>
  <c r="K522" i="6"/>
  <c r="H522" i="6" s="1"/>
  <c r="K523" i="6"/>
  <c r="H523" i="6" s="1"/>
  <c r="K524" i="6"/>
  <c r="H524" i="6" s="1"/>
  <c r="K525" i="6"/>
  <c r="H525" i="6" s="1"/>
  <c r="K526" i="6"/>
  <c r="H526" i="6" s="1"/>
  <c r="K527" i="6"/>
  <c r="H527" i="6" s="1"/>
  <c r="K528" i="6"/>
  <c r="H528" i="6" s="1"/>
  <c r="K529" i="6"/>
  <c r="H529" i="6" s="1"/>
  <c r="K530" i="6"/>
  <c r="H530" i="6" s="1"/>
  <c r="K531" i="6"/>
  <c r="H531" i="6" s="1"/>
  <c r="K532" i="6"/>
  <c r="H532" i="6" s="1"/>
  <c r="K533" i="6"/>
  <c r="H533" i="6" s="1"/>
  <c r="K534" i="6"/>
  <c r="H534" i="6" s="1"/>
  <c r="K535" i="6"/>
  <c r="H535" i="6" s="1"/>
  <c r="K536" i="6"/>
  <c r="H536" i="6" s="1"/>
  <c r="K537" i="6"/>
  <c r="H537" i="6" s="1"/>
  <c r="K538" i="6"/>
  <c r="H538" i="6" s="1"/>
  <c r="K539" i="6"/>
  <c r="H539" i="6" s="1"/>
  <c r="K540" i="6"/>
  <c r="H540" i="6" s="1"/>
  <c r="K541" i="6"/>
  <c r="H541" i="6" s="1"/>
  <c r="K542" i="6"/>
  <c r="H542" i="6" s="1"/>
  <c r="K543" i="6"/>
  <c r="H543" i="6" s="1"/>
  <c r="K544" i="6"/>
  <c r="H544" i="6" s="1"/>
  <c r="K545" i="6"/>
  <c r="H545" i="6" s="1"/>
  <c r="K546" i="6"/>
  <c r="H546" i="6" s="1"/>
  <c r="K547" i="6"/>
  <c r="H547" i="6" s="1"/>
  <c r="K548" i="6"/>
  <c r="H548" i="6" s="1"/>
  <c r="K549" i="6"/>
  <c r="H549" i="6" s="1"/>
  <c r="K550" i="6"/>
  <c r="H550" i="6" s="1"/>
  <c r="K551" i="6"/>
  <c r="H551" i="6" s="1"/>
  <c r="K552" i="6"/>
  <c r="H552" i="6" s="1"/>
  <c r="K553" i="6"/>
  <c r="H553" i="6" s="1"/>
  <c r="K554" i="6"/>
  <c r="H554" i="6" s="1"/>
  <c r="K555" i="6"/>
  <c r="H555" i="6" s="1"/>
  <c r="K556" i="6"/>
  <c r="H556" i="6" s="1"/>
  <c r="K557" i="6"/>
  <c r="H557" i="6" s="1"/>
  <c r="K558" i="6"/>
  <c r="H558" i="6" s="1"/>
  <c r="K559" i="6"/>
  <c r="H559" i="6" s="1"/>
  <c r="K560" i="6"/>
  <c r="H560" i="6" s="1"/>
  <c r="K561" i="6"/>
  <c r="H561" i="6" s="1"/>
  <c r="K562" i="6"/>
  <c r="H562" i="6" s="1"/>
  <c r="K563" i="6"/>
  <c r="H563" i="6" s="1"/>
  <c r="K564" i="6"/>
  <c r="H564" i="6" s="1"/>
  <c r="K565" i="6"/>
  <c r="H565" i="6" s="1"/>
  <c r="K566" i="6"/>
  <c r="H566" i="6" s="1"/>
  <c r="K567" i="6"/>
  <c r="H567" i="6" s="1"/>
  <c r="K568" i="6"/>
  <c r="H568" i="6" s="1"/>
  <c r="K569" i="6"/>
  <c r="H569" i="6" s="1"/>
  <c r="K570" i="6"/>
  <c r="H570" i="6" s="1"/>
  <c r="K571" i="6"/>
  <c r="H571" i="6" s="1"/>
  <c r="K572" i="6"/>
  <c r="H572" i="6" s="1"/>
  <c r="K573" i="6"/>
  <c r="H573" i="6" s="1"/>
  <c r="K576" i="6"/>
  <c r="H576" i="6" s="1"/>
  <c r="K577" i="6"/>
  <c r="H577" i="6" s="1"/>
  <c r="K578" i="6"/>
  <c r="H578" i="6" s="1"/>
  <c r="K579" i="6"/>
  <c r="H579" i="6" s="1"/>
  <c r="K574" i="6"/>
  <c r="H574" i="6" s="1"/>
  <c r="K575" i="6"/>
  <c r="H575" i="6" s="1"/>
  <c r="K582" i="6"/>
  <c r="H582" i="6" s="1"/>
  <c r="K583" i="6"/>
  <c r="H583" i="6" s="1"/>
  <c r="K584" i="6"/>
  <c r="H584" i="6" s="1"/>
  <c r="K585" i="6"/>
  <c r="H585" i="6" s="1"/>
  <c r="K586" i="6"/>
  <c r="H586" i="6" s="1"/>
  <c r="K587" i="6"/>
  <c r="H587" i="6" s="1"/>
  <c r="K580" i="6"/>
  <c r="H580" i="6" s="1"/>
  <c r="K581" i="6"/>
  <c r="H581" i="6" s="1"/>
  <c r="K588" i="6"/>
  <c r="H588" i="6" s="1"/>
  <c r="K589" i="6"/>
  <c r="H589" i="6" s="1"/>
  <c r="K592" i="6"/>
  <c r="H592" i="6" s="1"/>
  <c r="K593" i="6"/>
  <c r="H593" i="6" s="1"/>
  <c r="K594" i="6"/>
  <c r="H594" i="6" s="1"/>
  <c r="K590" i="6"/>
  <c r="H590" i="6" s="1"/>
  <c r="K591" i="6"/>
  <c r="H591" i="6" s="1"/>
  <c r="K599" i="6"/>
  <c r="H599" i="6" s="1"/>
  <c r="K600" i="6"/>
  <c r="H600" i="6" s="1"/>
  <c r="K601" i="6"/>
  <c r="H601" i="6" s="1"/>
  <c r="K595" i="6"/>
  <c r="H595" i="6" s="1"/>
  <c r="K596" i="6"/>
  <c r="H596" i="6" s="1"/>
  <c r="K597" i="6"/>
  <c r="H597" i="6" s="1"/>
  <c r="K598" i="6"/>
  <c r="H598" i="6" s="1"/>
  <c r="K602" i="6"/>
  <c r="H602" i="6" s="1"/>
  <c r="K603" i="6"/>
  <c r="H603" i="6" s="1"/>
  <c r="K604" i="6"/>
  <c r="H604" i="6" s="1"/>
  <c r="K605" i="6"/>
  <c r="H605" i="6" s="1"/>
  <c r="K606" i="6"/>
  <c r="H606" i="6" s="1"/>
  <c r="K607" i="6"/>
  <c r="H607" i="6" s="1"/>
  <c r="K608" i="6"/>
  <c r="H608" i="6" s="1"/>
  <c r="K609" i="6"/>
  <c r="H609" i="6" s="1"/>
  <c r="K610" i="6"/>
  <c r="H610" i="6" s="1"/>
  <c r="K611" i="6"/>
  <c r="H611" i="6" s="1"/>
  <c r="K612" i="6"/>
  <c r="H612" i="6" s="1"/>
  <c r="K613" i="6"/>
  <c r="H613" i="6" s="1"/>
  <c r="K614" i="6"/>
  <c r="H614" i="6" s="1"/>
  <c r="K615" i="6"/>
  <c r="H615" i="6" s="1"/>
  <c r="K616" i="6"/>
  <c r="H616" i="6" s="1"/>
  <c r="K617" i="6"/>
  <c r="H617" i="6" s="1"/>
  <c r="K618" i="6"/>
  <c r="H618" i="6" s="1"/>
  <c r="K619" i="6"/>
  <c r="H619" i="6" s="1"/>
  <c r="K620" i="6"/>
  <c r="H620" i="6" s="1"/>
  <c r="K622" i="6"/>
  <c r="H622" i="6" s="1"/>
  <c r="K623" i="6"/>
  <c r="H623" i="6" s="1"/>
  <c r="K621" i="6"/>
  <c r="H621" i="6" s="1"/>
  <c r="K624" i="6"/>
  <c r="H624" i="6" s="1"/>
  <c r="K625" i="6"/>
  <c r="H625" i="6" s="1"/>
  <c r="K626" i="6"/>
  <c r="H626" i="6" s="1"/>
  <c r="K627" i="6"/>
  <c r="H627" i="6" s="1"/>
  <c r="K628" i="6"/>
  <c r="H628" i="6" s="1"/>
  <c r="K629" i="6"/>
  <c r="H629" i="6" s="1"/>
  <c r="K631" i="6"/>
  <c r="H631" i="6" s="1"/>
  <c r="K632" i="6"/>
  <c r="H632" i="6" s="1"/>
  <c r="K633" i="6"/>
  <c r="H633" i="6" s="1"/>
  <c r="K634" i="6"/>
  <c r="H634" i="6" s="1"/>
  <c r="K635" i="6"/>
  <c r="H635" i="6" s="1"/>
  <c r="K636" i="6"/>
  <c r="H636" i="6" s="1"/>
  <c r="K637" i="6"/>
  <c r="H637" i="6" s="1"/>
  <c r="K638" i="6"/>
  <c r="H638" i="6" s="1"/>
  <c r="K630" i="6"/>
  <c r="H630" i="6" s="1"/>
  <c r="K641" i="6"/>
  <c r="H641" i="6" s="1"/>
  <c r="K639" i="6"/>
  <c r="H639" i="6" s="1"/>
  <c r="K640" i="6"/>
  <c r="H640" i="6" s="1"/>
  <c r="K642" i="6"/>
  <c r="H642" i="6" s="1"/>
  <c r="K643" i="6"/>
  <c r="H643" i="6" s="1"/>
  <c r="K644" i="6"/>
  <c r="H644" i="6" s="1"/>
  <c r="K645" i="6"/>
  <c r="H645" i="6" s="1"/>
  <c r="K646" i="6"/>
  <c r="H646" i="6" s="1"/>
  <c r="K647" i="6"/>
  <c r="H647" i="6" s="1"/>
  <c r="K648" i="6"/>
  <c r="H648" i="6" s="1"/>
  <c r="K649" i="6"/>
  <c r="H649" i="6" s="1"/>
  <c r="K650" i="6"/>
  <c r="H650" i="6" s="1"/>
  <c r="K651" i="6"/>
  <c r="H651" i="6" s="1"/>
  <c r="K652" i="6"/>
  <c r="H652" i="6" s="1"/>
  <c r="K653" i="6"/>
  <c r="H653" i="6" s="1"/>
  <c r="K654" i="6"/>
  <c r="H654" i="6" s="1"/>
  <c r="K655" i="6"/>
  <c r="H655" i="6" s="1"/>
  <c r="K660" i="6"/>
  <c r="H660" i="6" s="1"/>
  <c r="K656" i="6"/>
  <c r="H656" i="6" s="1"/>
  <c r="K657" i="6"/>
  <c r="H657" i="6" s="1"/>
  <c r="K658" i="6"/>
  <c r="H658" i="6" s="1"/>
  <c r="K659" i="6"/>
  <c r="H659" i="6" s="1"/>
  <c r="K661" i="6"/>
  <c r="H661" i="6" s="1"/>
  <c r="K662" i="6"/>
  <c r="H662" i="6" s="1"/>
  <c r="K663" i="6"/>
  <c r="H663" i="6" s="1"/>
  <c r="K664" i="6"/>
  <c r="H664" i="6" s="1"/>
  <c r="K665" i="6"/>
  <c r="H665" i="6" s="1"/>
  <c r="K666" i="6"/>
  <c r="H666" i="6" s="1"/>
  <c r="K667" i="6"/>
  <c r="H667" i="6" s="1"/>
  <c r="K668" i="6"/>
  <c r="H668" i="6" s="1"/>
  <c r="K669" i="6"/>
  <c r="H669" i="6" s="1"/>
  <c r="K670" i="6"/>
  <c r="H670" i="6" s="1"/>
  <c r="K673" i="6"/>
  <c r="H673" i="6" s="1"/>
  <c r="K671" i="6"/>
  <c r="H671" i="6" s="1"/>
  <c r="K672" i="6"/>
  <c r="H672" i="6" s="1"/>
  <c r="K674" i="6"/>
  <c r="H674" i="6" s="1"/>
  <c r="K675" i="6"/>
  <c r="H675" i="6" s="1"/>
  <c r="K676" i="6"/>
  <c r="H676" i="6" s="1"/>
  <c r="K677" i="6"/>
  <c r="H677" i="6" s="1"/>
  <c r="K678" i="6"/>
  <c r="H678" i="6" s="1"/>
  <c r="K679" i="6"/>
  <c r="H679" i="6" s="1"/>
  <c r="K680" i="6"/>
  <c r="H680" i="6" s="1"/>
  <c r="K681" i="6"/>
  <c r="H681" i="6" s="1"/>
  <c r="K682" i="6"/>
  <c r="H682" i="6" s="1"/>
  <c r="K683" i="6"/>
  <c r="H683" i="6" s="1"/>
  <c r="K684" i="6"/>
  <c r="H684" i="6" s="1"/>
  <c r="K685" i="6"/>
  <c r="H685" i="6" s="1"/>
  <c r="K686" i="6"/>
  <c r="H686" i="6" s="1"/>
  <c r="K687" i="6"/>
  <c r="H687" i="6" s="1"/>
  <c r="K688" i="6"/>
  <c r="H688" i="6" s="1"/>
  <c r="K689" i="6"/>
  <c r="H689" i="6" s="1"/>
  <c r="K690" i="6"/>
  <c r="H690" i="6" s="1"/>
  <c r="K691" i="6"/>
  <c r="H691" i="6" s="1"/>
  <c r="K693" i="6"/>
  <c r="H693" i="6" s="1"/>
  <c r="K694" i="6"/>
  <c r="H694" i="6" s="1"/>
  <c r="K692" i="6"/>
  <c r="H692" i="6" s="1"/>
  <c r="K695" i="6"/>
  <c r="H695" i="6" s="1"/>
  <c r="K696" i="6"/>
  <c r="H696" i="6" s="1"/>
  <c r="K697" i="6"/>
  <c r="H697" i="6" s="1"/>
  <c r="K698" i="6"/>
  <c r="H698" i="6" s="1"/>
  <c r="K699" i="6"/>
  <c r="H699" i="6" s="1"/>
  <c r="K700" i="6"/>
  <c r="H700" i="6" s="1"/>
  <c r="K701" i="6"/>
  <c r="H701" i="6" s="1"/>
  <c r="K702" i="6"/>
  <c r="H702" i="6" s="1"/>
  <c r="K704" i="6"/>
  <c r="H704" i="6" s="1"/>
  <c r="K705" i="6"/>
  <c r="H705" i="6" s="1"/>
  <c r="K706" i="6"/>
  <c r="H706" i="6" s="1"/>
  <c r="K703" i="6"/>
  <c r="H703" i="6" s="1"/>
  <c r="K711" i="6"/>
  <c r="H711" i="6" s="1"/>
  <c r="K712" i="6"/>
  <c r="H712" i="6" s="1"/>
  <c r="K707" i="6"/>
  <c r="H707" i="6" s="1"/>
  <c r="K708" i="6"/>
  <c r="H708" i="6" s="1"/>
  <c r="K709" i="6"/>
  <c r="H709" i="6" s="1"/>
  <c r="K713" i="6"/>
  <c r="H713" i="6" s="1"/>
  <c r="K710" i="6"/>
  <c r="H710" i="6" s="1"/>
  <c r="K714" i="6"/>
  <c r="H714" i="6" s="1"/>
  <c r="K715" i="6"/>
  <c r="H715" i="6" s="1"/>
  <c r="K716" i="6"/>
  <c r="H716" i="6" s="1"/>
  <c r="K717" i="6"/>
  <c r="H717" i="6" s="1"/>
  <c r="K718" i="6"/>
  <c r="H718" i="6" s="1"/>
  <c r="K719" i="6"/>
  <c r="H719" i="6" s="1"/>
  <c r="K720" i="6"/>
  <c r="H720" i="6" s="1"/>
  <c r="K721" i="6"/>
  <c r="H721" i="6" s="1"/>
  <c r="K722" i="6"/>
  <c r="H722" i="6" s="1"/>
  <c r="K723" i="6"/>
  <c r="H723" i="6" s="1"/>
  <c r="K724" i="6"/>
  <c r="H724" i="6" s="1"/>
  <c r="K725" i="6"/>
  <c r="H725" i="6" s="1"/>
  <c r="K726" i="6"/>
  <c r="H726" i="6" s="1"/>
  <c r="K727" i="6"/>
  <c r="H727" i="6" s="1"/>
  <c r="K728" i="6"/>
  <c r="H728" i="6" s="1"/>
  <c r="K729" i="6"/>
  <c r="H729" i="6" s="1"/>
  <c r="K730" i="6"/>
  <c r="H730" i="6" s="1"/>
  <c r="K731" i="6"/>
  <c r="H731" i="6" s="1"/>
  <c r="K732" i="6"/>
  <c r="H732" i="6" s="1"/>
  <c r="K733" i="6"/>
  <c r="H733" i="6" s="1"/>
  <c r="K734" i="6"/>
  <c r="H734" i="6" s="1"/>
  <c r="K735" i="6"/>
  <c r="H735" i="6" s="1"/>
  <c r="K736" i="6"/>
  <c r="H736" i="6" s="1"/>
  <c r="K737" i="6"/>
  <c r="H737" i="6" s="1"/>
  <c r="K738" i="6"/>
  <c r="H738" i="6" s="1"/>
  <c r="K739" i="6"/>
  <c r="H739" i="6" s="1"/>
  <c r="K740" i="6"/>
  <c r="H740" i="6" s="1"/>
  <c r="K741" i="6"/>
  <c r="H741" i="6" s="1"/>
  <c r="K742" i="6"/>
  <c r="H742" i="6" s="1"/>
  <c r="K743" i="6"/>
  <c r="H743" i="6" s="1"/>
  <c r="K744" i="6"/>
  <c r="H744" i="6" s="1"/>
  <c r="K745" i="6"/>
  <c r="H745" i="6" s="1"/>
  <c r="K746" i="6"/>
  <c r="H746" i="6" s="1"/>
  <c r="K747" i="6"/>
  <c r="H747" i="6" s="1"/>
  <c r="K749" i="6"/>
  <c r="H749" i="6" s="1"/>
  <c r="K750" i="6"/>
  <c r="H750" i="6" s="1"/>
  <c r="K751" i="6"/>
  <c r="H751" i="6" s="1"/>
  <c r="K752" i="6"/>
  <c r="H752" i="6" s="1"/>
  <c r="K753" i="6"/>
  <c r="H753" i="6" s="1"/>
  <c r="K748" i="6"/>
  <c r="H748" i="6" s="1"/>
  <c r="K754" i="6"/>
  <c r="H754" i="6" s="1"/>
  <c r="K755" i="6"/>
  <c r="H755" i="6" s="1"/>
  <c r="K756" i="6"/>
  <c r="H756" i="6" s="1"/>
  <c r="K757" i="6"/>
  <c r="H757" i="6" s="1"/>
  <c r="K758" i="6"/>
  <c r="H758" i="6" s="1"/>
  <c r="K759" i="6"/>
  <c r="H759" i="6" s="1"/>
  <c r="K762" i="6"/>
  <c r="H762" i="6" s="1"/>
  <c r="K763" i="6"/>
  <c r="H763" i="6" s="1"/>
  <c r="K764" i="6"/>
  <c r="H764" i="6" s="1"/>
  <c r="K765" i="6"/>
  <c r="H765" i="6" s="1"/>
  <c r="K766" i="6"/>
  <c r="H766" i="6" s="1"/>
  <c r="K767" i="6"/>
  <c r="H767" i="6" s="1"/>
  <c r="K760" i="6"/>
  <c r="H760" i="6" s="1"/>
  <c r="K761" i="6"/>
  <c r="H761" i="6" s="1"/>
  <c r="K768" i="6"/>
  <c r="H768" i="6" s="1"/>
  <c r="K769" i="6"/>
  <c r="H769" i="6" s="1"/>
  <c r="K770" i="6"/>
  <c r="H770" i="6" s="1"/>
  <c r="K771" i="6"/>
  <c r="H771" i="6" s="1"/>
  <c r="K772" i="6"/>
  <c r="H772" i="6" s="1"/>
  <c r="K773" i="6"/>
  <c r="H773" i="6" s="1"/>
  <c r="K774" i="6"/>
  <c r="H774" i="6" s="1"/>
  <c r="K775" i="6"/>
  <c r="H775" i="6" s="1"/>
  <c r="K776" i="6"/>
  <c r="H776" i="6" s="1"/>
  <c r="K777" i="6"/>
  <c r="H777" i="6" s="1"/>
  <c r="K778" i="6"/>
  <c r="H778" i="6" s="1"/>
  <c r="K779" i="6"/>
  <c r="H779" i="6" s="1"/>
  <c r="K780" i="6"/>
  <c r="H780" i="6" s="1"/>
  <c r="K781" i="6"/>
  <c r="H781" i="6" s="1"/>
  <c r="K782" i="6"/>
  <c r="H782" i="6" s="1"/>
  <c r="K785" i="6"/>
  <c r="H785" i="6" s="1"/>
  <c r="K783" i="6"/>
  <c r="H783" i="6" s="1"/>
  <c r="K784" i="6"/>
  <c r="H784" i="6" s="1"/>
  <c r="K786" i="6"/>
  <c r="H786" i="6" s="1"/>
  <c r="K787" i="6"/>
  <c r="H787" i="6" s="1"/>
  <c r="K788" i="6"/>
  <c r="H788" i="6" s="1"/>
  <c r="K793" i="6"/>
  <c r="H793" i="6" s="1"/>
  <c r="K794" i="6"/>
  <c r="H794" i="6" s="1"/>
  <c r="K789" i="6"/>
  <c r="H789" i="6" s="1"/>
  <c r="K790" i="6"/>
  <c r="H790" i="6" s="1"/>
  <c r="K791" i="6"/>
  <c r="H791" i="6" s="1"/>
  <c r="K792" i="6"/>
  <c r="H792" i="6" s="1"/>
  <c r="K795" i="6"/>
  <c r="H795" i="6" s="1"/>
  <c r="K796" i="6"/>
  <c r="H796" i="6" s="1"/>
  <c r="K797" i="6"/>
  <c r="H797" i="6" s="1"/>
  <c r="K803" i="6"/>
  <c r="H803" i="6" s="1"/>
  <c r="K804" i="6"/>
  <c r="H804" i="6" s="1"/>
  <c r="K798" i="6"/>
  <c r="H798" i="6" s="1"/>
  <c r="K805" i="6"/>
  <c r="H805" i="6" s="1"/>
  <c r="K799" i="6"/>
  <c r="H799" i="6" s="1"/>
  <c r="K800" i="6"/>
  <c r="H800" i="6" s="1"/>
  <c r="K801" i="6"/>
  <c r="H801" i="6" s="1"/>
  <c r="K802" i="6"/>
  <c r="H802" i="6" s="1"/>
  <c r="K810" i="6"/>
  <c r="H810" i="6" s="1"/>
  <c r="K806" i="6"/>
  <c r="H806" i="6" s="1"/>
  <c r="K807" i="6"/>
  <c r="H807" i="6" s="1"/>
  <c r="K811" i="6"/>
  <c r="H811" i="6" s="1"/>
  <c r="K808" i="6"/>
  <c r="H808" i="6" s="1"/>
  <c r="K809" i="6"/>
  <c r="H809" i="6" s="1"/>
  <c r="K812" i="6"/>
  <c r="H812" i="6" s="1"/>
  <c r="K813" i="6"/>
  <c r="H813" i="6" s="1"/>
  <c r="K814" i="6"/>
  <c r="H814" i="6" s="1"/>
  <c r="K815" i="6"/>
  <c r="H815" i="6" s="1"/>
  <c r="K817" i="6"/>
  <c r="H817" i="6" s="1"/>
  <c r="K816" i="6"/>
  <c r="H816" i="6" s="1"/>
  <c r="K818" i="6"/>
  <c r="H818" i="6" s="1"/>
  <c r="K819" i="6"/>
  <c r="H819" i="6" s="1"/>
  <c r="K820" i="6"/>
  <c r="H820" i="6" s="1"/>
  <c r="K821" i="6"/>
  <c r="H821" i="6" s="1"/>
  <c r="K822" i="6"/>
  <c r="H822" i="6" s="1"/>
  <c r="K823" i="6"/>
  <c r="H823" i="6" s="1"/>
  <c r="K824" i="6"/>
  <c r="H824" i="6" s="1"/>
  <c r="K825" i="6"/>
  <c r="H825" i="6" s="1"/>
  <c r="K826" i="6"/>
  <c r="H826" i="6" s="1"/>
  <c r="K827" i="6"/>
  <c r="H827" i="6" s="1"/>
  <c r="K828" i="6"/>
  <c r="H828" i="6" s="1"/>
  <c r="K829" i="6"/>
  <c r="H829" i="6" s="1"/>
  <c r="K830" i="6"/>
  <c r="H830" i="6" s="1"/>
  <c r="K831" i="6"/>
  <c r="H831" i="6" s="1"/>
  <c r="K832" i="6"/>
  <c r="H832" i="6" s="1"/>
  <c r="K833" i="6"/>
  <c r="H833" i="6" s="1"/>
  <c r="K842" i="6"/>
  <c r="H842" i="6" s="1"/>
  <c r="K834" i="6"/>
  <c r="H834" i="6" s="1"/>
  <c r="K835" i="6"/>
  <c r="H835" i="6" s="1"/>
  <c r="K836" i="6"/>
  <c r="H836" i="6" s="1"/>
  <c r="K843" i="6"/>
  <c r="H843" i="6" s="1"/>
  <c r="K837" i="6"/>
  <c r="H837" i="6" s="1"/>
  <c r="K838" i="6"/>
  <c r="H838" i="6" s="1"/>
  <c r="K839" i="6"/>
  <c r="H839" i="6" s="1"/>
  <c r="K840" i="6"/>
  <c r="H840" i="6" s="1"/>
  <c r="K841" i="6"/>
  <c r="H841" i="6" s="1"/>
  <c r="K848" i="6"/>
  <c r="H848" i="6" s="1"/>
  <c r="K844" i="6"/>
  <c r="H844" i="6" s="1"/>
  <c r="K845" i="6"/>
  <c r="H845" i="6" s="1"/>
  <c r="K846" i="6"/>
  <c r="H846" i="6" s="1"/>
  <c r="K847" i="6"/>
  <c r="H847" i="6" s="1"/>
  <c r="K849" i="6"/>
  <c r="H849" i="6" s="1"/>
  <c r="K850" i="6"/>
  <c r="H850" i="6" s="1"/>
  <c r="K851" i="6"/>
  <c r="H851" i="6" s="1"/>
  <c r="K852" i="6"/>
  <c r="H852" i="6" s="1"/>
  <c r="K853" i="6"/>
  <c r="H853" i="6" s="1"/>
  <c r="K854" i="6"/>
  <c r="H854" i="6" s="1"/>
  <c r="K859" i="6"/>
  <c r="H859" i="6" s="1"/>
  <c r="K855" i="6"/>
  <c r="H855" i="6" s="1"/>
  <c r="K856" i="6"/>
  <c r="H856" i="6" s="1"/>
  <c r="K857" i="6"/>
  <c r="H857" i="6" s="1"/>
  <c r="K858" i="6"/>
  <c r="H858" i="6" s="1"/>
  <c r="K864" i="6"/>
  <c r="H864" i="6" s="1"/>
  <c r="K865" i="6"/>
  <c r="H865" i="6" s="1"/>
  <c r="K860" i="6"/>
  <c r="H860" i="6" s="1"/>
  <c r="K861" i="6"/>
  <c r="H861" i="6" s="1"/>
  <c r="K866" i="6"/>
  <c r="H866" i="6" s="1"/>
  <c r="K862" i="6"/>
  <c r="H862" i="6" s="1"/>
  <c r="K863" i="6"/>
  <c r="H863" i="6" s="1"/>
  <c r="K867" i="6"/>
  <c r="H867" i="6" s="1"/>
  <c r="K868" i="6"/>
  <c r="H868" i="6" s="1"/>
  <c r="K869" i="6"/>
  <c r="H869" i="6" s="1"/>
  <c r="K870" i="6"/>
  <c r="H870" i="6" s="1"/>
  <c r="K874" i="6"/>
  <c r="H874" i="6" s="1"/>
  <c r="K875" i="6"/>
  <c r="H875" i="6" s="1"/>
  <c r="K876" i="6"/>
  <c r="H876" i="6" s="1"/>
  <c r="K877" i="6"/>
  <c r="H877" i="6" s="1"/>
  <c r="K871" i="6"/>
  <c r="H871" i="6" s="1"/>
  <c r="K872" i="6"/>
  <c r="H872" i="6" s="1"/>
  <c r="K873" i="6"/>
  <c r="H873" i="6" s="1"/>
  <c r="K878" i="6"/>
  <c r="H878" i="6" s="1"/>
  <c r="K879" i="6"/>
  <c r="H879" i="6" s="1"/>
  <c r="K880" i="6"/>
  <c r="H880" i="6" s="1"/>
  <c r="K881" i="6"/>
  <c r="H881" i="6" s="1"/>
  <c r="K882" i="6"/>
  <c r="H882" i="6" s="1"/>
  <c r="K883" i="6"/>
  <c r="H883" i="6" s="1"/>
  <c r="K884" i="6"/>
  <c r="H884" i="6" s="1"/>
  <c r="K885" i="6"/>
  <c r="H885" i="6" s="1"/>
  <c r="K886" i="6"/>
  <c r="H886" i="6" s="1"/>
  <c r="K887" i="6"/>
  <c r="H887" i="6" s="1"/>
  <c r="K888" i="6"/>
  <c r="H888" i="6" s="1"/>
  <c r="K889" i="6"/>
  <c r="H889" i="6" s="1"/>
  <c r="K890" i="6"/>
  <c r="H890" i="6" s="1"/>
  <c r="K891" i="6"/>
  <c r="H891" i="6" s="1"/>
  <c r="K892" i="6"/>
  <c r="H892" i="6" s="1"/>
  <c r="K893" i="6"/>
  <c r="H893" i="6" s="1"/>
  <c r="K894" i="6"/>
  <c r="H894" i="6" s="1"/>
  <c r="K895" i="6"/>
  <c r="H895" i="6" s="1"/>
  <c r="K896" i="6"/>
  <c r="H896" i="6" s="1"/>
  <c r="K897" i="6"/>
  <c r="H897" i="6" s="1"/>
  <c r="K898" i="6"/>
  <c r="H898" i="6" s="1"/>
  <c r="K899" i="6"/>
  <c r="H899" i="6" s="1"/>
  <c r="K900" i="6"/>
  <c r="H900" i="6" s="1"/>
  <c r="K906" i="6"/>
  <c r="H906" i="6" s="1"/>
  <c r="K907" i="6"/>
  <c r="H907" i="6" s="1"/>
  <c r="K908" i="6"/>
  <c r="H908" i="6" s="1"/>
  <c r="K909" i="6"/>
  <c r="H909" i="6" s="1"/>
  <c r="K910" i="6"/>
  <c r="H910" i="6" s="1"/>
  <c r="K901" i="6"/>
  <c r="H901" i="6" s="1"/>
  <c r="K902" i="6"/>
  <c r="H902" i="6" s="1"/>
  <c r="K903" i="6"/>
  <c r="H903" i="6" s="1"/>
  <c r="K904" i="6"/>
  <c r="H904" i="6" s="1"/>
  <c r="K905" i="6"/>
  <c r="H905" i="6" s="1"/>
  <c r="K911" i="6"/>
  <c r="H911" i="6" s="1"/>
  <c r="K912" i="6"/>
  <c r="H912" i="6" s="1"/>
  <c r="K913" i="6"/>
  <c r="H913" i="6" s="1"/>
  <c r="K914" i="6"/>
  <c r="H914" i="6" s="1"/>
  <c r="K915" i="6"/>
  <c r="H915" i="6" s="1"/>
  <c r="K916" i="6"/>
  <c r="H916" i="6" s="1"/>
  <c r="K917" i="6"/>
  <c r="H917" i="6" s="1"/>
  <c r="K918" i="6"/>
  <c r="H918" i="6" s="1"/>
  <c r="K923" i="6"/>
  <c r="H923" i="6" s="1"/>
  <c r="K919" i="6"/>
  <c r="H919" i="6" s="1"/>
  <c r="K920" i="6"/>
  <c r="H920" i="6" s="1"/>
  <c r="K921" i="6"/>
  <c r="H921" i="6" s="1"/>
  <c r="K922" i="6"/>
  <c r="H922" i="6" s="1"/>
  <c r="K924" i="6"/>
  <c r="H924" i="6" s="1"/>
  <c r="K925" i="6"/>
  <c r="H925" i="6" s="1"/>
  <c r="K926" i="6"/>
  <c r="H926" i="6" s="1"/>
  <c r="K927" i="6"/>
  <c r="H927" i="6" s="1"/>
  <c r="K928" i="6"/>
  <c r="H928" i="6" s="1"/>
  <c r="K929" i="6"/>
  <c r="H929" i="6" s="1"/>
  <c r="K930" i="6"/>
  <c r="H930" i="6" s="1"/>
  <c r="K931" i="6"/>
  <c r="H931" i="6" s="1"/>
  <c r="K934" i="6"/>
  <c r="H934" i="6" s="1"/>
  <c r="K935" i="6"/>
  <c r="H935" i="6" s="1"/>
  <c r="K932" i="6"/>
  <c r="H932" i="6" s="1"/>
  <c r="K933" i="6"/>
  <c r="H933" i="6" s="1"/>
  <c r="K936" i="6"/>
  <c r="H936" i="6" s="1"/>
  <c r="K941" i="6"/>
  <c r="H941" i="6" s="1"/>
  <c r="K937" i="6"/>
  <c r="H937" i="6" s="1"/>
  <c r="K938" i="6"/>
  <c r="H938" i="6" s="1"/>
  <c r="K942" i="6"/>
  <c r="H942" i="6" s="1"/>
  <c r="K939" i="6"/>
  <c r="H939" i="6" s="1"/>
  <c r="K940" i="6"/>
  <c r="H940" i="6" s="1"/>
  <c r="K950" i="6"/>
  <c r="H950" i="6" s="1"/>
  <c r="K951" i="6"/>
  <c r="H951" i="6" s="1"/>
  <c r="K953" i="6"/>
  <c r="H953" i="6" s="1"/>
  <c r="K954" i="6"/>
  <c r="H954" i="6" s="1"/>
  <c r="K943" i="6"/>
  <c r="H943" i="6" s="1"/>
  <c r="K944" i="6"/>
  <c r="H944" i="6" s="1"/>
  <c r="K945" i="6"/>
  <c r="H945" i="6" s="1"/>
  <c r="K946" i="6"/>
  <c r="H946" i="6" s="1"/>
  <c r="K947" i="6"/>
  <c r="H947" i="6" s="1"/>
  <c r="K948" i="6"/>
  <c r="H948" i="6" s="1"/>
  <c r="K949" i="6"/>
  <c r="H949" i="6" s="1"/>
  <c r="K955" i="6"/>
  <c r="H955" i="6" s="1"/>
  <c r="K956" i="6"/>
  <c r="H956" i="6" s="1"/>
  <c r="K957" i="6"/>
  <c r="H957" i="6" s="1"/>
  <c r="K958" i="6"/>
  <c r="H958" i="6" s="1"/>
  <c r="K959" i="6"/>
  <c r="H959" i="6" s="1"/>
  <c r="K960" i="6"/>
  <c r="H960" i="6" s="1"/>
  <c r="K961" i="6"/>
  <c r="H961" i="6" s="1"/>
  <c r="K962" i="6"/>
  <c r="H962" i="6" s="1"/>
  <c r="K966" i="6"/>
  <c r="H966" i="6" s="1"/>
  <c r="K967" i="6"/>
  <c r="H967" i="6" s="1"/>
  <c r="K968" i="6"/>
  <c r="H968" i="6" s="1"/>
  <c r="K963" i="6"/>
  <c r="H963" i="6" s="1"/>
  <c r="K964" i="6"/>
  <c r="H964" i="6" s="1"/>
  <c r="K965" i="6"/>
  <c r="H965" i="6" s="1"/>
  <c r="K969" i="6"/>
  <c r="H969" i="6" s="1"/>
  <c r="K970" i="6"/>
  <c r="H970" i="6" s="1"/>
  <c r="K973" i="6"/>
  <c r="H973" i="6" s="1"/>
  <c r="K974" i="6"/>
  <c r="H974" i="6" s="1"/>
  <c r="K975" i="6"/>
  <c r="H975" i="6" s="1"/>
  <c r="K971" i="6"/>
  <c r="H971" i="6" s="1"/>
  <c r="K972" i="6"/>
  <c r="H972" i="6" s="1"/>
  <c r="K976" i="6"/>
  <c r="H976" i="6" s="1"/>
  <c r="K977" i="6"/>
  <c r="H977" i="6" s="1"/>
  <c r="K978" i="6"/>
  <c r="H978" i="6" s="1"/>
  <c r="K979" i="6"/>
  <c r="H979" i="6" s="1"/>
  <c r="K980" i="6"/>
  <c r="H980" i="6" s="1"/>
  <c r="K981" i="6"/>
  <c r="H981" i="6" s="1"/>
  <c r="K984" i="6"/>
  <c r="H984" i="6" s="1"/>
  <c r="K982" i="6"/>
  <c r="H982" i="6" s="1"/>
  <c r="K983" i="6"/>
  <c r="H983" i="6" s="1"/>
  <c r="K985" i="6"/>
  <c r="H985" i="6" s="1"/>
  <c r="K986" i="6"/>
  <c r="H986" i="6" s="1"/>
  <c r="K2" i="6"/>
  <c r="H2" i="6" s="1"/>
  <c r="B869" i="22" a="1"/>
  <c r="B869" i="22" s="1"/>
  <c r="B868" i="22" a="1"/>
  <c r="B868" i="22" s="1"/>
  <c r="B867" i="22" a="1"/>
  <c r="B867" i="22" s="1"/>
  <c r="B862" i="22" a="1"/>
  <c r="B862" i="22" s="1"/>
  <c r="J795" i="22"/>
  <c r="J794" i="22"/>
  <c r="J793" i="22"/>
  <c r="J792" i="22"/>
  <c r="J791" i="22"/>
  <c r="J790" i="22"/>
  <c r="J789" i="22"/>
  <c r="J788" i="22"/>
  <c r="J787" i="22"/>
  <c r="J786" i="22"/>
  <c r="J785" i="22"/>
  <c r="J784" i="22"/>
  <c r="J783" i="22"/>
  <c r="J782" i="22"/>
  <c r="J781" i="22"/>
  <c r="J780" i="22"/>
  <c r="J779" i="22"/>
  <c r="J778" i="22"/>
  <c r="J777" i="22"/>
  <c r="J776" i="22"/>
  <c r="J775" i="22"/>
  <c r="J774" i="22"/>
  <c r="J773" i="22"/>
  <c r="J772" i="22"/>
  <c r="J771" i="22"/>
  <c r="J770" i="22"/>
  <c r="J769" i="22"/>
  <c r="J768" i="22"/>
  <c r="J767" i="22"/>
  <c r="J766" i="22"/>
  <c r="J765" i="22"/>
  <c r="J764" i="22"/>
  <c r="J763" i="22"/>
  <c r="J762" i="22"/>
  <c r="J761" i="22"/>
  <c r="J760" i="22"/>
  <c r="J759" i="22"/>
  <c r="J758" i="22"/>
  <c r="J757" i="22"/>
  <c r="J756" i="22"/>
  <c r="J755" i="22"/>
  <c r="J754" i="22"/>
  <c r="J753" i="22"/>
  <c r="J752" i="22"/>
  <c r="J751" i="22"/>
  <c r="J750" i="22"/>
  <c r="J749" i="22"/>
  <c r="J748" i="22"/>
  <c r="J747" i="22"/>
  <c r="J746" i="22"/>
  <c r="J745" i="22"/>
  <c r="J744" i="22"/>
  <c r="J743" i="22"/>
  <c r="J742" i="22"/>
  <c r="J741" i="22"/>
  <c r="J740" i="22"/>
  <c r="J739" i="22"/>
  <c r="J738" i="22"/>
  <c r="J737" i="22"/>
  <c r="J736" i="22"/>
  <c r="J735" i="22"/>
  <c r="J734" i="22"/>
  <c r="J733" i="22"/>
  <c r="J732" i="22"/>
  <c r="J731" i="22"/>
  <c r="J730" i="22"/>
  <c r="J729" i="22"/>
  <c r="J728" i="22"/>
  <c r="J727" i="22"/>
  <c r="J726" i="22"/>
  <c r="J725" i="22"/>
  <c r="J724" i="22"/>
  <c r="J723" i="22"/>
  <c r="J722" i="22"/>
  <c r="J721" i="22"/>
  <c r="J720" i="22"/>
  <c r="J719" i="22"/>
  <c r="J718" i="22"/>
  <c r="J717" i="22"/>
  <c r="J716" i="22"/>
  <c r="J715" i="22"/>
  <c r="J714" i="22"/>
  <c r="J713" i="22"/>
  <c r="J712" i="22"/>
  <c r="J711" i="22"/>
  <c r="J710" i="22"/>
  <c r="J709" i="22"/>
  <c r="J708" i="22"/>
  <c r="J707" i="22"/>
  <c r="J706" i="22"/>
  <c r="J705" i="22"/>
  <c r="J704" i="22"/>
  <c r="J703" i="22"/>
  <c r="J702" i="22"/>
  <c r="J701" i="22"/>
  <c r="J700" i="22"/>
  <c r="J699" i="22"/>
  <c r="J698" i="22"/>
  <c r="J697" i="22"/>
  <c r="J696" i="22"/>
  <c r="J695" i="22"/>
  <c r="J694" i="22"/>
  <c r="J693" i="22"/>
  <c r="J692" i="22"/>
  <c r="J691" i="22"/>
  <c r="J690" i="22"/>
  <c r="J689" i="22"/>
  <c r="J688" i="22"/>
  <c r="J687" i="22"/>
  <c r="J686" i="22"/>
  <c r="J685" i="22"/>
  <c r="J684" i="22"/>
  <c r="J683" i="22"/>
  <c r="J682" i="22"/>
  <c r="J681" i="22"/>
  <c r="J680" i="22"/>
  <c r="J679" i="22"/>
  <c r="J678" i="22"/>
  <c r="J677" i="22"/>
  <c r="J676" i="22"/>
  <c r="J675" i="22"/>
  <c r="J674" i="22"/>
  <c r="J673" i="22"/>
  <c r="J672" i="22"/>
  <c r="J671" i="22"/>
  <c r="J670" i="22"/>
  <c r="J669" i="22"/>
  <c r="J668" i="22"/>
  <c r="J667" i="22"/>
  <c r="J666" i="22"/>
  <c r="J665" i="22"/>
  <c r="J664" i="22"/>
  <c r="J663" i="22"/>
  <c r="J662" i="22"/>
  <c r="J661" i="22"/>
  <c r="J660" i="22"/>
  <c r="J659" i="22"/>
  <c r="J658" i="22"/>
  <c r="J657" i="22"/>
  <c r="J656" i="22"/>
  <c r="J655" i="22"/>
  <c r="J654" i="22"/>
  <c r="J653" i="22"/>
  <c r="J652" i="22"/>
  <c r="J651" i="22"/>
  <c r="J650" i="22"/>
  <c r="J649" i="22"/>
  <c r="J648" i="22"/>
  <c r="J647" i="22"/>
  <c r="J646" i="22"/>
  <c r="J645" i="22"/>
  <c r="J644" i="22"/>
  <c r="J643" i="22"/>
  <c r="J642" i="22"/>
  <c r="J641" i="22"/>
  <c r="J640" i="22"/>
  <c r="J639" i="22"/>
  <c r="J638" i="22"/>
  <c r="J637" i="22"/>
  <c r="J636" i="22"/>
  <c r="J635" i="22"/>
  <c r="J634" i="22"/>
  <c r="J633" i="22"/>
  <c r="J632" i="22"/>
  <c r="J631" i="22"/>
  <c r="J630" i="22"/>
  <c r="J629" i="22"/>
  <c r="J628" i="22"/>
  <c r="J627" i="22"/>
  <c r="J626" i="22"/>
  <c r="J625" i="22"/>
  <c r="J624" i="22"/>
  <c r="J623" i="22"/>
  <c r="J622" i="22"/>
  <c r="J621" i="22"/>
  <c r="J620" i="22"/>
  <c r="J619" i="22"/>
  <c r="J618" i="22"/>
  <c r="J617" i="22"/>
  <c r="J616" i="22"/>
  <c r="J615" i="22"/>
  <c r="J614" i="22"/>
  <c r="J613" i="22"/>
  <c r="J612" i="22"/>
  <c r="J611" i="22"/>
  <c r="J610" i="22"/>
  <c r="J609" i="22"/>
  <c r="J608" i="22"/>
  <c r="J607" i="22"/>
  <c r="J606" i="22"/>
  <c r="J605" i="22"/>
  <c r="J604" i="22"/>
  <c r="J603" i="22"/>
  <c r="J602" i="22"/>
  <c r="J601" i="22"/>
  <c r="J600" i="22"/>
  <c r="J599" i="22"/>
  <c r="J598" i="22"/>
  <c r="J597" i="22"/>
  <c r="J596" i="22"/>
  <c r="J595" i="22"/>
  <c r="J594" i="22"/>
  <c r="J593" i="22"/>
  <c r="J592" i="22"/>
  <c r="J591" i="22"/>
  <c r="J590" i="22"/>
  <c r="J589" i="22"/>
  <c r="J588" i="22"/>
  <c r="J587" i="22"/>
  <c r="J586" i="22"/>
  <c r="J585" i="22"/>
  <c r="J584" i="22"/>
  <c r="J583" i="22"/>
  <c r="J582" i="22"/>
  <c r="J581" i="22"/>
  <c r="J580" i="22"/>
  <c r="J579" i="22"/>
  <c r="J578" i="22"/>
  <c r="J577" i="22"/>
  <c r="J576" i="22"/>
  <c r="J575" i="22"/>
  <c r="J574" i="22"/>
  <c r="J573" i="22"/>
  <c r="J572" i="22"/>
  <c r="J571" i="22"/>
  <c r="J570" i="22"/>
  <c r="J569" i="22"/>
  <c r="J568" i="22"/>
  <c r="J567" i="22"/>
  <c r="J566" i="22"/>
  <c r="J565" i="22"/>
  <c r="J564" i="22"/>
  <c r="J563" i="22"/>
  <c r="J562" i="22"/>
  <c r="J561" i="22"/>
  <c r="J560" i="22"/>
  <c r="J559" i="22"/>
  <c r="J558" i="22"/>
  <c r="J557" i="22"/>
  <c r="J556" i="22"/>
  <c r="J555" i="22"/>
  <c r="J554" i="22"/>
  <c r="J553" i="22"/>
  <c r="J552" i="22"/>
  <c r="J551" i="22"/>
  <c r="J550" i="22"/>
  <c r="J549" i="22"/>
  <c r="J548" i="22"/>
  <c r="J547" i="22"/>
  <c r="J546" i="22"/>
  <c r="J545" i="22"/>
  <c r="J544" i="22"/>
  <c r="J543" i="22"/>
  <c r="J542" i="22"/>
  <c r="J541" i="22"/>
  <c r="J540" i="22"/>
  <c r="J539" i="22"/>
  <c r="J538" i="22"/>
  <c r="J537" i="22"/>
  <c r="J536" i="22"/>
  <c r="J535" i="22"/>
  <c r="J534" i="22"/>
  <c r="J533" i="22"/>
  <c r="J532" i="22"/>
  <c r="J531" i="22"/>
  <c r="J530" i="22"/>
  <c r="J529" i="22"/>
  <c r="J528" i="22"/>
  <c r="J527" i="22"/>
  <c r="J526" i="22"/>
  <c r="J525" i="22"/>
  <c r="J524" i="22"/>
  <c r="J523" i="22"/>
  <c r="J522" i="22"/>
  <c r="J521" i="22"/>
  <c r="J520" i="22"/>
  <c r="J519" i="22"/>
  <c r="J518" i="22"/>
  <c r="J517" i="22"/>
  <c r="J516" i="22"/>
  <c r="J515" i="22"/>
  <c r="J514" i="22"/>
  <c r="J513" i="22"/>
  <c r="J512" i="22"/>
  <c r="J511" i="22"/>
  <c r="J510" i="22"/>
  <c r="J509" i="22"/>
  <c r="J508" i="22"/>
  <c r="J507" i="22"/>
  <c r="J506" i="22"/>
  <c r="J505" i="22"/>
  <c r="J504" i="22"/>
  <c r="J503" i="22"/>
  <c r="J502" i="22"/>
  <c r="J501" i="22"/>
  <c r="J500" i="22"/>
  <c r="J499" i="22"/>
  <c r="J498" i="22"/>
  <c r="J497" i="22"/>
  <c r="J496" i="22"/>
  <c r="J495" i="22"/>
  <c r="J494" i="22"/>
  <c r="J493" i="22"/>
  <c r="J492" i="22"/>
  <c r="J491" i="22"/>
  <c r="J490" i="22"/>
  <c r="J489" i="22"/>
  <c r="J488" i="22"/>
  <c r="J487" i="22"/>
  <c r="J486" i="22"/>
  <c r="J485" i="22"/>
  <c r="J484" i="22"/>
  <c r="J483" i="22"/>
  <c r="J482" i="22"/>
  <c r="J481" i="22"/>
  <c r="J480" i="22"/>
  <c r="J479" i="22"/>
  <c r="J478" i="22"/>
  <c r="J477" i="22"/>
  <c r="J476" i="22"/>
  <c r="J475" i="22"/>
  <c r="J474" i="22"/>
  <c r="J473" i="22"/>
  <c r="J472" i="22"/>
  <c r="J471" i="22"/>
  <c r="J470" i="22"/>
  <c r="J469" i="22"/>
  <c r="J468" i="22"/>
  <c r="J467" i="22"/>
  <c r="J466" i="22"/>
  <c r="J465" i="22"/>
  <c r="J464" i="22"/>
  <c r="J463" i="22"/>
  <c r="J462" i="22"/>
  <c r="J461" i="22"/>
  <c r="J460" i="22"/>
  <c r="J459" i="22"/>
  <c r="J458" i="22"/>
  <c r="J457" i="22"/>
  <c r="J456" i="22"/>
  <c r="J455" i="22"/>
  <c r="J454" i="22"/>
  <c r="J453" i="22"/>
  <c r="J452" i="22"/>
  <c r="J451" i="22"/>
  <c r="J450" i="22"/>
  <c r="J449" i="22"/>
  <c r="J448" i="22"/>
  <c r="J447" i="22"/>
  <c r="J446" i="22"/>
  <c r="J445" i="22"/>
  <c r="J444" i="22"/>
  <c r="J443" i="22"/>
  <c r="J442" i="22"/>
  <c r="J441" i="22"/>
  <c r="J440" i="22"/>
  <c r="J439" i="22"/>
  <c r="J438" i="22"/>
  <c r="J437" i="22"/>
  <c r="J436" i="22"/>
  <c r="J435" i="22"/>
  <c r="J434" i="22"/>
  <c r="J433" i="22"/>
  <c r="J432" i="22"/>
  <c r="J431" i="22"/>
  <c r="J430" i="22"/>
  <c r="J429" i="22"/>
  <c r="J428" i="22"/>
  <c r="J427" i="22"/>
  <c r="J426" i="22"/>
  <c r="J425" i="22"/>
  <c r="J424" i="22"/>
  <c r="J423" i="22"/>
  <c r="J422" i="22"/>
  <c r="J421" i="22"/>
  <c r="J420" i="22"/>
  <c r="J419" i="22"/>
  <c r="J418" i="22"/>
  <c r="J417" i="22"/>
  <c r="J416" i="22"/>
  <c r="J415" i="22"/>
  <c r="J414" i="22"/>
  <c r="J413" i="22"/>
  <c r="J412" i="22"/>
  <c r="J411" i="22"/>
  <c r="J410" i="22"/>
  <c r="J409" i="22"/>
  <c r="J408" i="22"/>
  <c r="J407" i="22"/>
  <c r="J406" i="22"/>
  <c r="J405" i="22"/>
  <c r="J404" i="22"/>
  <c r="J403" i="22"/>
  <c r="J402" i="22"/>
  <c r="J401" i="22"/>
  <c r="J400" i="22"/>
  <c r="J399" i="22"/>
  <c r="J398" i="22"/>
  <c r="J397" i="22"/>
  <c r="J396" i="22"/>
  <c r="J395" i="22"/>
  <c r="J394" i="22"/>
  <c r="J393" i="22"/>
  <c r="J392" i="22"/>
  <c r="J391" i="22"/>
  <c r="J390" i="22"/>
  <c r="J389" i="22"/>
  <c r="J388" i="22"/>
  <c r="J387" i="22"/>
  <c r="J386" i="22"/>
  <c r="J385" i="22"/>
  <c r="J384" i="22"/>
  <c r="J383" i="22"/>
  <c r="J382" i="22"/>
  <c r="J381" i="22"/>
  <c r="J380" i="22"/>
  <c r="J379" i="22"/>
  <c r="J378" i="22"/>
  <c r="J377" i="22"/>
  <c r="J376" i="22"/>
  <c r="J375" i="22"/>
  <c r="J374" i="22"/>
  <c r="J373" i="22"/>
  <c r="J372" i="22"/>
  <c r="J371" i="22"/>
  <c r="J370" i="22"/>
  <c r="J369" i="22"/>
  <c r="J368" i="22"/>
  <c r="J367" i="22"/>
  <c r="J366" i="22"/>
  <c r="J365" i="22"/>
  <c r="J364" i="22"/>
  <c r="J363" i="22"/>
  <c r="J362" i="22"/>
  <c r="J361" i="22"/>
  <c r="J360" i="22"/>
  <c r="J359" i="22"/>
  <c r="J358" i="22"/>
  <c r="J357" i="22"/>
  <c r="J356" i="22"/>
  <c r="J355" i="22"/>
  <c r="J354" i="22"/>
  <c r="J353" i="22"/>
  <c r="J352" i="22"/>
  <c r="J351" i="22"/>
  <c r="J350" i="22"/>
  <c r="J349" i="22"/>
  <c r="J348" i="22"/>
  <c r="J347" i="22"/>
  <c r="J346" i="22"/>
  <c r="J345" i="22"/>
  <c r="J344" i="22"/>
  <c r="J343" i="22"/>
  <c r="J342" i="22"/>
  <c r="J341" i="22"/>
  <c r="J340" i="22"/>
  <c r="J339" i="22"/>
  <c r="J338" i="22"/>
  <c r="J337" i="22"/>
  <c r="J336" i="22"/>
  <c r="J335" i="22"/>
  <c r="J334" i="22"/>
  <c r="J333" i="22"/>
  <c r="J332" i="22"/>
  <c r="J331" i="22"/>
  <c r="J330" i="22"/>
  <c r="J329" i="22"/>
  <c r="J328" i="22"/>
  <c r="J327" i="22"/>
  <c r="J326" i="22"/>
  <c r="J325" i="22"/>
  <c r="J324" i="22"/>
  <c r="J323" i="22"/>
  <c r="J322" i="22"/>
  <c r="J321" i="22"/>
  <c r="J320" i="22"/>
  <c r="J319" i="22"/>
  <c r="J318" i="22"/>
  <c r="J317" i="22"/>
  <c r="J316" i="22"/>
  <c r="J315" i="22"/>
  <c r="J314" i="22"/>
  <c r="J313" i="22"/>
  <c r="J312" i="22"/>
  <c r="J311" i="22"/>
  <c r="J310" i="22"/>
  <c r="J309" i="22"/>
  <c r="J308" i="22"/>
  <c r="J307" i="22"/>
  <c r="J306" i="22"/>
  <c r="J305" i="22"/>
  <c r="J304" i="22"/>
  <c r="J303" i="22"/>
  <c r="J302" i="22"/>
  <c r="J301" i="22"/>
  <c r="J300" i="22"/>
  <c r="J299" i="22"/>
  <c r="J298" i="22"/>
  <c r="J297" i="22"/>
  <c r="J296" i="22"/>
  <c r="J295" i="22"/>
  <c r="J294" i="22"/>
  <c r="J293" i="22"/>
  <c r="J292" i="22"/>
  <c r="J291" i="22"/>
  <c r="J290" i="22"/>
  <c r="J289" i="22"/>
  <c r="J288" i="22"/>
  <c r="J287" i="22"/>
  <c r="J286" i="22"/>
  <c r="J285" i="22"/>
  <c r="J284" i="22"/>
  <c r="J283" i="22"/>
  <c r="J282" i="22"/>
  <c r="J281" i="22"/>
  <c r="J280" i="22"/>
  <c r="J279" i="22"/>
  <c r="J278" i="22"/>
  <c r="J277" i="22"/>
  <c r="J276" i="22"/>
  <c r="J275" i="22"/>
  <c r="J274" i="22"/>
  <c r="J273" i="22"/>
  <c r="J272" i="22"/>
  <c r="J271" i="22"/>
  <c r="J270" i="22"/>
  <c r="J269" i="22"/>
  <c r="J268" i="22"/>
  <c r="J267" i="22"/>
  <c r="J266" i="22"/>
  <c r="J265" i="22"/>
  <c r="J264" i="22"/>
  <c r="J263" i="22"/>
  <c r="J262" i="22"/>
  <c r="J261" i="22"/>
  <c r="J260" i="22"/>
  <c r="J259" i="22"/>
  <c r="J258" i="22"/>
  <c r="J257" i="22"/>
  <c r="J256" i="22"/>
  <c r="J255" i="22"/>
  <c r="J254" i="22"/>
  <c r="J253" i="22"/>
  <c r="J252" i="22"/>
  <c r="J251" i="22"/>
  <c r="J250" i="22"/>
  <c r="J249" i="22"/>
  <c r="J248" i="22"/>
  <c r="J247" i="22"/>
  <c r="J246" i="22"/>
  <c r="J245" i="22"/>
  <c r="J244" i="22"/>
  <c r="J243" i="22"/>
  <c r="J242" i="22"/>
  <c r="J241" i="22"/>
  <c r="J240" i="22"/>
  <c r="J239" i="22"/>
  <c r="J238" i="22"/>
  <c r="J237" i="22"/>
  <c r="J236" i="22"/>
  <c r="J235" i="22"/>
  <c r="J234" i="22"/>
  <c r="J233" i="22"/>
  <c r="J232" i="22"/>
  <c r="J231" i="22"/>
  <c r="J230" i="22"/>
  <c r="J229" i="22"/>
  <c r="J228" i="22"/>
  <c r="J227" i="22"/>
  <c r="J226" i="22"/>
  <c r="J225" i="22"/>
  <c r="J224" i="22"/>
  <c r="J223" i="22"/>
  <c r="J222" i="22"/>
  <c r="J221" i="22"/>
  <c r="J220" i="22"/>
  <c r="J219" i="22"/>
  <c r="J218" i="22"/>
  <c r="J217" i="22"/>
  <c r="J216" i="22"/>
  <c r="J215" i="22"/>
  <c r="J214" i="22"/>
  <c r="J213" i="22"/>
  <c r="J212" i="22"/>
  <c r="J211" i="22"/>
  <c r="J210" i="22"/>
  <c r="J209" i="22"/>
  <c r="J208" i="22"/>
  <c r="J207" i="22"/>
  <c r="J206" i="22"/>
  <c r="J205" i="22"/>
  <c r="J204" i="22"/>
  <c r="J203" i="22"/>
  <c r="J202" i="22"/>
  <c r="J201" i="22"/>
  <c r="J200" i="22"/>
  <c r="J199" i="22"/>
  <c r="J198" i="22"/>
  <c r="J197" i="22"/>
  <c r="J196" i="22"/>
  <c r="J195" i="22"/>
  <c r="J194" i="22"/>
  <c r="J193" i="22"/>
  <c r="J192" i="22"/>
  <c r="J191" i="22"/>
  <c r="J190" i="22"/>
  <c r="J189" i="22"/>
  <c r="J188" i="22"/>
  <c r="J187" i="22"/>
  <c r="J186" i="22"/>
  <c r="J185" i="22"/>
  <c r="J184" i="22"/>
  <c r="J183" i="22"/>
  <c r="J182" i="22"/>
  <c r="J181" i="22"/>
  <c r="J180" i="22"/>
  <c r="J179" i="22"/>
  <c r="J178" i="22"/>
  <c r="J177" i="22"/>
  <c r="J176" i="22"/>
  <c r="J175" i="22"/>
  <c r="J174" i="22"/>
  <c r="J173" i="22"/>
  <c r="J172" i="22"/>
  <c r="J171" i="22"/>
  <c r="J170" i="22"/>
  <c r="J169" i="22"/>
  <c r="J168" i="22"/>
  <c r="J167" i="22"/>
  <c r="J166" i="22"/>
  <c r="J165" i="22"/>
  <c r="J164" i="22"/>
  <c r="J163" i="22"/>
  <c r="J162" i="22"/>
  <c r="J161" i="22"/>
  <c r="J160" i="22"/>
  <c r="J159" i="22"/>
  <c r="J158" i="22"/>
  <c r="J157" i="22"/>
  <c r="J156" i="22"/>
  <c r="J155" i="22"/>
  <c r="J154" i="22"/>
  <c r="J153" i="22"/>
  <c r="J152" i="22"/>
  <c r="J151" i="22"/>
  <c r="J150" i="22"/>
  <c r="J149" i="22"/>
  <c r="J148" i="22"/>
  <c r="J147" i="22"/>
  <c r="J146" i="22"/>
  <c r="J145" i="22"/>
  <c r="J144" i="22"/>
  <c r="J143" i="22"/>
  <c r="J142" i="22"/>
  <c r="J141" i="22"/>
  <c r="J140" i="22"/>
  <c r="J139" i="22"/>
  <c r="J138" i="22"/>
  <c r="J137" i="22"/>
  <c r="J136" i="22"/>
  <c r="J135" i="22"/>
  <c r="J134" i="22"/>
  <c r="J133" i="22"/>
  <c r="J132" i="22"/>
  <c r="J131" i="22"/>
  <c r="J130" i="22"/>
  <c r="J129" i="22"/>
  <c r="J128" i="22"/>
  <c r="J127" i="22"/>
  <c r="J126" i="22"/>
  <c r="J125" i="22"/>
  <c r="J124" i="22"/>
  <c r="J123" i="22"/>
  <c r="J122" i="22"/>
  <c r="J121" i="22"/>
  <c r="J120" i="22"/>
  <c r="J119" i="22"/>
  <c r="J118" i="22"/>
  <c r="J117" i="22"/>
  <c r="J116" i="22"/>
  <c r="J115" i="22"/>
  <c r="J114" i="22"/>
  <c r="J113" i="22"/>
  <c r="J112" i="22"/>
  <c r="J111" i="22"/>
  <c r="J110" i="22"/>
  <c r="J109" i="22"/>
  <c r="J108" i="22"/>
  <c r="J107" i="22"/>
  <c r="J106" i="22"/>
  <c r="J105" i="22"/>
  <c r="J104" i="22"/>
  <c r="J103" i="22"/>
  <c r="J102" i="22"/>
  <c r="J101" i="22"/>
  <c r="J100" i="22"/>
  <c r="J99" i="22"/>
  <c r="J98" i="22"/>
  <c r="J97" i="22"/>
  <c r="J96" i="22"/>
  <c r="J95" i="22"/>
  <c r="J94" i="22"/>
  <c r="J93" i="22"/>
  <c r="J92" i="22"/>
  <c r="J91" i="22"/>
  <c r="J90" i="22"/>
  <c r="J89" i="22"/>
  <c r="J88" i="22"/>
  <c r="J87" i="22"/>
  <c r="J86" i="22"/>
  <c r="J85" i="22"/>
  <c r="J84" i="22"/>
  <c r="J83" i="22"/>
  <c r="J82" i="22"/>
  <c r="J81" i="22"/>
  <c r="J80" i="22"/>
  <c r="J79" i="22"/>
  <c r="J78" i="22"/>
  <c r="J77" i="22"/>
  <c r="J76" i="22"/>
  <c r="J75" i="22"/>
  <c r="J74" i="22"/>
  <c r="J73" i="22"/>
  <c r="J72" i="22"/>
  <c r="J71" i="22"/>
  <c r="J70" i="22"/>
  <c r="J69" i="22"/>
  <c r="J68" i="22"/>
  <c r="J67" i="22"/>
  <c r="J66" i="22"/>
  <c r="J65" i="22"/>
  <c r="J64" i="22"/>
  <c r="J63" i="22"/>
  <c r="J62" i="22"/>
  <c r="J61" i="22"/>
  <c r="J60" i="22"/>
  <c r="J59" i="22"/>
  <c r="J58" i="22"/>
  <c r="J57" i="22"/>
  <c r="J56" i="22"/>
  <c r="J55" i="22"/>
  <c r="J54" i="22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B874" i="22" s="1" a="1"/>
  <c r="B874" i="22" s="1"/>
  <c r="I795" i="22"/>
  <c r="I794" i="22"/>
  <c r="I793" i="22"/>
  <c r="I792" i="22"/>
  <c r="I791" i="22"/>
  <c r="I790" i="22"/>
  <c r="I789" i="22"/>
  <c r="I788" i="22"/>
  <c r="I787" i="22"/>
  <c r="I786" i="22"/>
  <c r="I785" i="22"/>
  <c r="I784" i="22"/>
  <c r="I783" i="22"/>
  <c r="I782" i="22"/>
  <c r="I781" i="22"/>
  <c r="I780" i="22"/>
  <c r="I779" i="22"/>
  <c r="I778" i="22"/>
  <c r="I777" i="22"/>
  <c r="I776" i="22"/>
  <c r="I775" i="22"/>
  <c r="I774" i="22"/>
  <c r="I773" i="22"/>
  <c r="I772" i="22"/>
  <c r="I771" i="22"/>
  <c r="I770" i="22"/>
  <c r="I769" i="22"/>
  <c r="I768" i="22"/>
  <c r="I767" i="22"/>
  <c r="I766" i="22"/>
  <c r="I765" i="22"/>
  <c r="I764" i="22"/>
  <c r="I763" i="22"/>
  <c r="I762" i="22"/>
  <c r="I761" i="22"/>
  <c r="I760" i="22"/>
  <c r="I759" i="22"/>
  <c r="I758" i="22"/>
  <c r="I757" i="22"/>
  <c r="I756" i="22"/>
  <c r="I755" i="22"/>
  <c r="I754" i="22"/>
  <c r="I753" i="22"/>
  <c r="I752" i="22"/>
  <c r="I751" i="22"/>
  <c r="I750" i="22"/>
  <c r="I749" i="22"/>
  <c r="I748" i="22"/>
  <c r="I747" i="22"/>
  <c r="I746" i="22"/>
  <c r="I745" i="22"/>
  <c r="I744" i="22"/>
  <c r="I743" i="22"/>
  <c r="I742" i="22"/>
  <c r="I741" i="22"/>
  <c r="I740" i="22"/>
  <c r="I739" i="22"/>
  <c r="I738" i="22"/>
  <c r="I737" i="22"/>
  <c r="I736" i="22"/>
  <c r="I735" i="22"/>
  <c r="I734" i="22"/>
  <c r="I733" i="22"/>
  <c r="I732" i="22"/>
  <c r="I731" i="22"/>
  <c r="I730" i="22"/>
  <c r="I729" i="22"/>
  <c r="I728" i="22"/>
  <c r="I727" i="22"/>
  <c r="I726" i="22"/>
  <c r="I725" i="22"/>
  <c r="I724" i="22"/>
  <c r="I723" i="22"/>
  <c r="I722" i="22"/>
  <c r="I721" i="22"/>
  <c r="I720" i="22"/>
  <c r="I719" i="22"/>
  <c r="I718" i="22"/>
  <c r="I717" i="22"/>
  <c r="I716" i="22"/>
  <c r="I715" i="22"/>
  <c r="I714" i="22"/>
  <c r="I713" i="22"/>
  <c r="I712" i="22"/>
  <c r="I711" i="22"/>
  <c r="I710" i="22"/>
  <c r="I709" i="22"/>
  <c r="I708" i="22"/>
  <c r="I707" i="22"/>
  <c r="I706" i="22"/>
  <c r="I705" i="22"/>
  <c r="I704" i="22"/>
  <c r="I703" i="22"/>
  <c r="I702" i="22"/>
  <c r="I701" i="22"/>
  <c r="I700" i="22"/>
  <c r="I699" i="22"/>
  <c r="I698" i="22"/>
  <c r="I697" i="22"/>
  <c r="I696" i="22"/>
  <c r="I695" i="22"/>
  <c r="I694" i="22"/>
  <c r="I693" i="22"/>
  <c r="I692" i="22"/>
  <c r="I691" i="22"/>
  <c r="I690" i="22"/>
  <c r="I689" i="22"/>
  <c r="I688" i="22"/>
  <c r="I687" i="22"/>
  <c r="I686" i="22"/>
  <c r="I685" i="22"/>
  <c r="I684" i="22"/>
  <c r="I683" i="22"/>
  <c r="I682" i="22"/>
  <c r="I681" i="22"/>
  <c r="I680" i="22"/>
  <c r="I679" i="22"/>
  <c r="I678" i="22"/>
  <c r="I677" i="22"/>
  <c r="I676" i="22"/>
  <c r="I675" i="22"/>
  <c r="I674" i="22"/>
  <c r="I673" i="22"/>
  <c r="I672" i="22"/>
  <c r="I671" i="22"/>
  <c r="I670" i="22"/>
  <c r="I669" i="22"/>
  <c r="I668" i="22"/>
  <c r="I667" i="22"/>
  <c r="I666" i="22"/>
  <c r="I665" i="22"/>
  <c r="I664" i="22"/>
  <c r="I663" i="22"/>
  <c r="I662" i="22"/>
  <c r="I661" i="22"/>
  <c r="I660" i="22"/>
  <c r="I659" i="22"/>
  <c r="I658" i="22"/>
  <c r="I657" i="22"/>
  <c r="I656" i="22"/>
  <c r="I655" i="22"/>
  <c r="I654" i="22"/>
  <c r="I653" i="22"/>
  <c r="I652" i="22"/>
  <c r="I651" i="22"/>
  <c r="I650" i="22"/>
  <c r="I649" i="22"/>
  <c r="I648" i="22"/>
  <c r="I647" i="22"/>
  <c r="I646" i="22"/>
  <c r="I645" i="22"/>
  <c r="I644" i="22"/>
  <c r="I643" i="22"/>
  <c r="I642" i="22"/>
  <c r="I641" i="22"/>
  <c r="I640" i="22"/>
  <c r="I639" i="22"/>
  <c r="I638" i="22"/>
  <c r="I637" i="22"/>
  <c r="I636" i="22"/>
  <c r="I635" i="22"/>
  <c r="I634" i="22"/>
  <c r="I633" i="22"/>
  <c r="I632" i="22"/>
  <c r="I631" i="22"/>
  <c r="I630" i="22"/>
  <c r="I629" i="22"/>
  <c r="I628" i="22"/>
  <c r="I627" i="22"/>
  <c r="I626" i="22"/>
  <c r="I625" i="22"/>
  <c r="I624" i="22"/>
  <c r="I623" i="22"/>
  <c r="I622" i="22"/>
  <c r="I621" i="22"/>
  <c r="I620" i="22"/>
  <c r="I619" i="22"/>
  <c r="I618" i="22"/>
  <c r="I617" i="22"/>
  <c r="I616" i="22"/>
  <c r="I615" i="22"/>
  <c r="I614" i="22"/>
  <c r="I613" i="22"/>
  <c r="I612" i="22"/>
  <c r="I611" i="22"/>
  <c r="I610" i="22"/>
  <c r="I609" i="22"/>
  <c r="I608" i="22"/>
  <c r="I607" i="22"/>
  <c r="I606" i="22"/>
  <c r="I605" i="22"/>
  <c r="I604" i="22"/>
  <c r="I603" i="22"/>
  <c r="I602" i="22"/>
  <c r="I601" i="22"/>
  <c r="I600" i="22"/>
  <c r="I599" i="22"/>
  <c r="I598" i="22"/>
  <c r="I597" i="22"/>
  <c r="I596" i="22"/>
  <c r="I595" i="22"/>
  <c r="I594" i="22"/>
  <c r="I593" i="22"/>
  <c r="I592" i="22"/>
  <c r="I591" i="22"/>
  <c r="I590" i="22"/>
  <c r="I589" i="22"/>
  <c r="I588" i="22"/>
  <c r="I587" i="22"/>
  <c r="I586" i="22"/>
  <c r="I585" i="22"/>
  <c r="I584" i="22"/>
  <c r="I583" i="22"/>
  <c r="I582" i="22"/>
  <c r="I581" i="22"/>
  <c r="I580" i="22"/>
  <c r="I579" i="22"/>
  <c r="I578" i="22"/>
  <c r="I577" i="22"/>
  <c r="I576" i="22"/>
  <c r="I575" i="22"/>
  <c r="I574" i="22"/>
  <c r="I573" i="22"/>
  <c r="I572" i="22"/>
  <c r="I571" i="22"/>
  <c r="I570" i="22"/>
  <c r="I569" i="22"/>
  <c r="I568" i="22"/>
  <c r="I567" i="22"/>
  <c r="I566" i="22"/>
  <c r="I565" i="22"/>
  <c r="I564" i="22"/>
  <c r="I563" i="22"/>
  <c r="I562" i="22"/>
  <c r="I561" i="22"/>
  <c r="I560" i="22"/>
  <c r="I559" i="22"/>
  <c r="I558" i="22"/>
  <c r="I557" i="22"/>
  <c r="I556" i="22"/>
  <c r="I555" i="22"/>
  <c r="I554" i="22"/>
  <c r="I553" i="22"/>
  <c r="I552" i="22"/>
  <c r="I551" i="22"/>
  <c r="I550" i="22"/>
  <c r="I549" i="22"/>
  <c r="I548" i="22"/>
  <c r="I547" i="22"/>
  <c r="I546" i="22"/>
  <c r="I545" i="22"/>
  <c r="I544" i="22"/>
  <c r="I543" i="22"/>
  <c r="I542" i="22"/>
  <c r="I541" i="22"/>
  <c r="I540" i="22"/>
  <c r="I539" i="22"/>
  <c r="I538" i="22"/>
  <c r="I537" i="22"/>
  <c r="I536" i="22"/>
  <c r="I535" i="22"/>
  <c r="I534" i="22"/>
  <c r="I533" i="22"/>
  <c r="I532" i="22"/>
  <c r="I531" i="22"/>
  <c r="I530" i="22"/>
  <c r="I529" i="22"/>
  <c r="I528" i="22"/>
  <c r="I527" i="22"/>
  <c r="I526" i="22"/>
  <c r="I525" i="22"/>
  <c r="I524" i="22"/>
  <c r="I523" i="22"/>
  <c r="I522" i="22"/>
  <c r="I521" i="22"/>
  <c r="I520" i="22"/>
  <c r="I519" i="22"/>
  <c r="I518" i="22"/>
  <c r="I517" i="22"/>
  <c r="I516" i="22"/>
  <c r="I515" i="22"/>
  <c r="I514" i="22"/>
  <c r="I513" i="22"/>
  <c r="I512" i="22"/>
  <c r="I511" i="22"/>
  <c r="I510" i="22"/>
  <c r="I509" i="22"/>
  <c r="I508" i="22"/>
  <c r="I507" i="22"/>
  <c r="I506" i="22"/>
  <c r="I505" i="22"/>
  <c r="I504" i="22"/>
  <c r="I503" i="22"/>
  <c r="I502" i="22"/>
  <c r="I501" i="22"/>
  <c r="I500" i="22"/>
  <c r="I499" i="22"/>
  <c r="I498" i="22"/>
  <c r="I497" i="22"/>
  <c r="I496" i="22"/>
  <c r="I495" i="22"/>
  <c r="I494" i="22"/>
  <c r="I493" i="22"/>
  <c r="I492" i="22"/>
  <c r="I491" i="22"/>
  <c r="I490" i="22"/>
  <c r="I489" i="22"/>
  <c r="I488" i="22"/>
  <c r="I487" i="22"/>
  <c r="I486" i="22"/>
  <c r="I485" i="22"/>
  <c r="I484" i="22"/>
  <c r="I483" i="22"/>
  <c r="I482" i="22"/>
  <c r="I481" i="22"/>
  <c r="I480" i="22"/>
  <c r="I479" i="22"/>
  <c r="I478" i="22"/>
  <c r="I477" i="22"/>
  <c r="I476" i="22"/>
  <c r="I475" i="22"/>
  <c r="I474" i="22"/>
  <c r="I473" i="22"/>
  <c r="I472" i="22"/>
  <c r="I471" i="22"/>
  <c r="I470" i="22"/>
  <c r="I469" i="22"/>
  <c r="I468" i="22"/>
  <c r="I467" i="22"/>
  <c r="I466" i="22"/>
  <c r="I465" i="22"/>
  <c r="I464" i="22"/>
  <c r="I463" i="22"/>
  <c r="I462" i="22"/>
  <c r="I461" i="22"/>
  <c r="I460" i="22"/>
  <c r="I459" i="22"/>
  <c r="I458" i="22"/>
  <c r="I457" i="22"/>
  <c r="I456" i="22"/>
  <c r="I455" i="22"/>
  <c r="I454" i="22"/>
  <c r="I453" i="22"/>
  <c r="I452" i="22"/>
  <c r="I451" i="22"/>
  <c r="I450" i="22"/>
  <c r="I449" i="22"/>
  <c r="I448" i="22"/>
  <c r="I447" i="22"/>
  <c r="I446" i="22"/>
  <c r="I445" i="22"/>
  <c r="I444" i="22"/>
  <c r="I443" i="22"/>
  <c r="I442" i="22"/>
  <c r="I441" i="22"/>
  <c r="I440" i="22"/>
  <c r="I439" i="22"/>
  <c r="I438" i="22"/>
  <c r="I437" i="22"/>
  <c r="I436" i="22"/>
  <c r="I435" i="22"/>
  <c r="I434" i="22"/>
  <c r="I433" i="22"/>
  <c r="I432" i="22"/>
  <c r="I431" i="22"/>
  <c r="I430" i="22"/>
  <c r="I429" i="22"/>
  <c r="I428" i="22"/>
  <c r="I427" i="22"/>
  <c r="I426" i="22"/>
  <c r="I425" i="22"/>
  <c r="I424" i="22"/>
  <c r="I423" i="22"/>
  <c r="I422" i="22"/>
  <c r="I421" i="22"/>
  <c r="I420" i="22"/>
  <c r="I419" i="22"/>
  <c r="I418" i="22"/>
  <c r="I417" i="22"/>
  <c r="I416" i="22"/>
  <c r="I415" i="22"/>
  <c r="I414" i="22"/>
  <c r="I413" i="22"/>
  <c r="I412" i="22"/>
  <c r="I411" i="22"/>
  <c r="I410" i="22"/>
  <c r="I409" i="22"/>
  <c r="I408" i="22"/>
  <c r="I407" i="22"/>
  <c r="I406" i="22"/>
  <c r="I405" i="22"/>
  <c r="I404" i="22"/>
  <c r="I403" i="22"/>
  <c r="I402" i="22"/>
  <c r="I401" i="22"/>
  <c r="I400" i="22"/>
  <c r="I399" i="22"/>
  <c r="I398" i="22"/>
  <c r="I397" i="22"/>
  <c r="I396" i="22"/>
  <c r="I395" i="22"/>
  <c r="I394" i="22"/>
  <c r="I393" i="22"/>
  <c r="I392" i="22"/>
  <c r="I391" i="22"/>
  <c r="I390" i="22"/>
  <c r="I389" i="22"/>
  <c r="I388" i="22"/>
  <c r="I387" i="22"/>
  <c r="I386" i="22"/>
  <c r="I385" i="22"/>
  <c r="I384" i="22"/>
  <c r="I383" i="22"/>
  <c r="I382" i="22"/>
  <c r="I381" i="22"/>
  <c r="I380" i="22"/>
  <c r="I379" i="22"/>
  <c r="I378" i="22"/>
  <c r="I377" i="22"/>
  <c r="I376" i="22"/>
  <c r="I375" i="22"/>
  <c r="I374" i="22"/>
  <c r="I373" i="22"/>
  <c r="I372" i="22"/>
  <c r="I371" i="22"/>
  <c r="I370" i="22"/>
  <c r="I369" i="22"/>
  <c r="I368" i="22"/>
  <c r="I367" i="22"/>
  <c r="I366" i="22"/>
  <c r="I365" i="22"/>
  <c r="I364" i="22"/>
  <c r="I363" i="22"/>
  <c r="I362" i="22"/>
  <c r="I361" i="22"/>
  <c r="I360" i="22"/>
  <c r="I359" i="22"/>
  <c r="I358" i="22"/>
  <c r="I357" i="22"/>
  <c r="I356" i="22"/>
  <c r="I355" i="22"/>
  <c r="I354" i="22"/>
  <c r="I353" i="22"/>
  <c r="I352" i="22"/>
  <c r="I351" i="22"/>
  <c r="I350" i="22"/>
  <c r="I349" i="22"/>
  <c r="I348" i="22"/>
  <c r="I347" i="22"/>
  <c r="I346" i="22"/>
  <c r="I345" i="22"/>
  <c r="I344" i="22"/>
  <c r="I343" i="22"/>
  <c r="I342" i="22"/>
  <c r="I341" i="22"/>
  <c r="I340" i="22"/>
  <c r="I339" i="22"/>
  <c r="I338" i="22"/>
  <c r="I337" i="22"/>
  <c r="I336" i="22"/>
  <c r="I335" i="22"/>
  <c r="I334" i="22"/>
  <c r="I333" i="22"/>
  <c r="I332" i="22"/>
  <c r="I331" i="22"/>
  <c r="I330" i="22"/>
  <c r="I329" i="22"/>
  <c r="I328" i="22"/>
  <c r="I327" i="22"/>
  <c r="I326" i="22"/>
  <c r="I325" i="22"/>
  <c r="I324" i="22"/>
  <c r="I323" i="22"/>
  <c r="I322" i="22"/>
  <c r="I321" i="22"/>
  <c r="I320" i="22"/>
  <c r="I319" i="22"/>
  <c r="I318" i="22"/>
  <c r="I317" i="22"/>
  <c r="I316" i="22"/>
  <c r="I315" i="22"/>
  <c r="I314" i="22"/>
  <c r="I313" i="22"/>
  <c r="I312" i="22"/>
  <c r="I311" i="22"/>
  <c r="I310" i="22"/>
  <c r="I309" i="22"/>
  <c r="I308" i="22"/>
  <c r="I307" i="22"/>
  <c r="I306" i="22"/>
  <c r="I305" i="22"/>
  <c r="I304" i="22"/>
  <c r="I303" i="22"/>
  <c r="I302" i="22"/>
  <c r="I301" i="22"/>
  <c r="I300" i="22"/>
  <c r="I299" i="22"/>
  <c r="I298" i="22"/>
  <c r="I297" i="22"/>
  <c r="I296" i="22"/>
  <c r="I295" i="22"/>
  <c r="I294" i="22"/>
  <c r="I293" i="22"/>
  <c r="I292" i="22"/>
  <c r="I291" i="22"/>
  <c r="I290" i="22"/>
  <c r="I289" i="22"/>
  <c r="I288" i="22"/>
  <c r="I287" i="22"/>
  <c r="I286" i="22"/>
  <c r="I285" i="22"/>
  <c r="I284" i="22"/>
  <c r="I283" i="22"/>
  <c r="I282" i="22"/>
  <c r="I281" i="22"/>
  <c r="I280" i="22"/>
  <c r="I279" i="22"/>
  <c r="I278" i="22"/>
  <c r="I277" i="22"/>
  <c r="I276" i="22"/>
  <c r="I275" i="22"/>
  <c r="I274" i="22"/>
  <c r="I273" i="22"/>
  <c r="I272" i="22"/>
  <c r="I271" i="22"/>
  <c r="I270" i="22"/>
  <c r="I269" i="22"/>
  <c r="I268" i="22"/>
  <c r="I267" i="22"/>
  <c r="I266" i="22"/>
  <c r="I265" i="22"/>
  <c r="I264" i="22"/>
  <c r="I263" i="22"/>
  <c r="I262" i="22"/>
  <c r="I261" i="22"/>
  <c r="I260" i="22"/>
  <c r="I259" i="22"/>
  <c r="I258" i="22"/>
  <c r="I257" i="22"/>
  <c r="I256" i="22"/>
  <c r="I255" i="22"/>
  <c r="I254" i="22"/>
  <c r="I253" i="22"/>
  <c r="I252" i="22"/>
  <c r="I251" i="22"/>
  <c r="I250" i="22"/>
  <c r="I249" i="22"/>
  <c r="I248" i="22"/>
  <c r="I247" i="22"/>
  <c r="I246" i="22"/>
  <c r="I245" i="22"/>
  <c r="I244" i="22"/>
  <c r="I243" i="22"/>
  <c r="I242" i="22"/>
  <c r="I241" i="22"/>
  <c r="I240" i="22"/>
  <c r="I239" i="22"/>
  <c r="I238" i="22"/>
  <c r="I237" i="22"/>
  <c r="I236" i="22"/>
  <c r="I235" i="22"/>
  <c r="I234" i="22"/>
  <c r="I233" i="22"/>
  <c r="I232" i="22"/>
  <c r="I231" i="22"/>
  <c r="I230" i="22"/>
  <c r="I229" i="22"/>
  <c r="I228" i="22"/>
  <c r="I227" i="22"/>
  <c r="I226" i="22"/>
  <c r="I225" i="22"/>
  <c r="I224" i="22"/>
  <c r="I223" i="22"/>
  <c r="I222" i="22"/>
  <c r="I221" i="22"/>
  <c r="I220" i="22"/>
  <c r="I219" i="22"/>
  <c r="I218" i="22"/>
  <c r="I217" i="22"/>
  <c r="I216" i="22"/>
  <c r="I215" i="22"/>
  <c r="I214" i="22"/>
  <c r="I213" i="22"/>
  <c r="I212" i="22"/>
  <c r="I211" i="22"/>
  <c r="I210" i="22"/>
  <c r="I209" i="22"/>
  <c r="I208" i="22"/>
  <c r="I207" i="22"/>
  <c r="I206" i="22"/>
  <c r="I205" i="22"/>
  <c r="I204" i="22"/>
  <c r="I203" i="22"/>
  <c r="I202" i="22"/>
  <c r="I201" i="22"/>
  <c r="I200" i="22"/>
  <c r="I199" i="22"/>
  <c r="I198" i="22"/>
  <c r="I197" i="22"/>
  <c r="I196" i="22"/>
  <c r="I195" i="22"/>
  <c r="I194" i="22"/>
  <c r="I193" i="22"/>
  <c r="I192" i="22"/>
  <c r="I191" i="22"/>
  <c r="I190" i="22"/>
  <c r="I189" i="22"/>
  <c r="I188" i="22"/>
  <c r="I187" i="22"/>
  <c r="I186" i="22"/>
  <c r="I185" i="22"/>
  <c r="I184" i="22"/>
  <c r="I183" i="22"/>
  <c r="I182" i="22"/>
  <c r="I181" i="22"/>
  <c r="I180" i="22"/>
  <c r="I179" i="22"/>
  <c r="I178" i="22"/>
  <c r="I177" i="22"/>
  <c r="I176" i="22"/>
  <c r="I175" i="22"/>
  <c r="I174" i="22"/>
  <c r="I173" i="22"/>
  <c r="I172" i="22"/>
  <c r="I171" i="22"/>
  <c r="I170" i="22"/>
  <c r="I169" i="22"/>
  <c r="I168" i="22"/>
  <c r="I167" i="22"/>
  <c r="I166" i="22"/>
  <c r="I165" i="22"/>
  <c r="I164" i="22"/>
  <c r="I163" i="22"/>
  <c r="I162" i="22"/>
  <c r="I161" i="22"/>
  <c r="I160" i="22"/>
  <c r="I159" i="22"/>
  <c r="I158" i="22"/>
  <c r="I157" i="22"/>
  <c r="I156" i="22"/>
  <c r="I155" i="22"/>
  <c r="I154" i="22"/>
  <c r="I153" i="22"/>
  <c r="I152" i="22"/>
  <c r="I151" i="22"/>
  <c r="I150" i="22"/>
  <c r="I149" i="22"/>
  <c r="I148" i="22"/>
  <c r="I147" i="22"/>
  <c r="I146" i="22"/>
  <c r="I145" i="22"/>
  <c r="I144" i="22"/>
  <c r="I143" i="22"/>
  <c r="I142" i="22"/>
  <c r="I141" i="22"/>
  <c r="I140" i="22"/>
  <c r="I139" i="22"/>
  <c r="I138" i="22"/>
  <c r="I137" i="22"/>
  <c r="I136" i="22"/>
  <c r="I135" i="22"/>
  <c r="I134" i="22"/>
  <c r="I133" i="22"/>
  <c r="I132" i="22"/>
  <c r="I131" i="22"/>
  <c r="I130" i="22"/>
  <c r="I129" i="22"/>
  <c r="I128" i="22"/>
  <c r="I127" i="22"/>
  <c r="I126" i="22"/>
  <c r="I125" i="22"/>
  <c r="I124" i="22"/>
  <c r="I123" i="22"/>
  <c r="I122" i="22"/>
  <c r="I121" i="22"/>
  <c r="I120" i="22"/>
  <c r="I119" i="22"/>
  <c r="I118" i="22"/>
  <c r="I117" i="22"/>
  <c r="I116" i="22"/>
  <c r="I115" i="22"/>
  <c r="I114" i="22"/>
  <c r="I113" i="22"/>
  <c r="I112" i="22"/>
  <c r="I111" i="22"/>
  <c r="I110" i="22"/>
  <c r="I109" i="22"/>
  <c r="I108" i="22"/>
  <c r="I107" i="22"/>
  <c r="I106" i="22"/>
  <c r="I105" i="22"/>
  <c r="I104" i="22"/>
  <c r="I103" i="22"/>
  <c r="I102" i="22"/>
  <c r="I101" i="22"/>
  <c r="I100" i="22"/>
  <c r="I99" i="22"/>
  <c r="I98" i="22"/>
  <c r="I97" i="22"/>
  <c r="I96" i="22"/>
  <c r="I95" i="22"/>
  <c r="I94" i="22"/>
  <c r="I93" i="22"/>
  <c r="I92" i="22"/>
  <c r="I91" i="22"/>
  <c r="I90" i="22"/>
  <c r="I89" i="22"/>
  <c r="I88" i="22"/>
  <c r="I87" i="22"/>
  <c r="I86" i="22"/>
  <c r="I85" i="22"/>
  <c r="I84" i="22"/>
  <c r="I83" i="22"/>
  <c r="I82" i="22"/>
  <c r="I81" i="22"/>
  <c r="I80" i="22"/>
  <c r="I79" i="22"/>
  <c r="I78" i="22"/>
  <c r="I77" i="22"/>
  <c r="I76" i="22"/>
  <c r="I75" i="22"/>
  <c r="I74" i="22"/>
  <c r="I73" i="22"/>
  <c r="I72" i="22"/>
  <c r="I71" i="22"/>
  <c r="I70" i="22"/>
  <c r="I69" i="22"/>
  <c r="I68" i="22"/>
  <c r="I67" i="22"/>
  <c r="I66" i="22"/>
  <c r="I65" i="22"/>
  <c r="I64" i="22"/>
  <c r="I63" i="22"/>
  <c r="I62" i="22"/>
  <c r="I61" i="22"/>
  <c r="I60" i="22"/>
  <c r="I59" i="22"/>
  <c r="I58" i="22"/>
  <c r="I57" i="22"/>
  <c r="I56" i="22"/>
  <c r="I55" i="22"/>
  <c r="I54" i="22"/>
  <c r="I53" i="22"/>
  <c r="I52" i="22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13" i="22"/>
  <c r="I12" i="22"/>
  <c r="I11" i="22"/>
  <c r="I10" i="22"/>
  <c r="I9" i="22"/>
  <c r="I8" i="22"/>
  <c r="I7" i="22"/>
  <c r="I6" i="22"/>
  <c r="I5" i="22"/>
  <c r="I4" i="22"/>
  <c r="I3" i="22"/>
  <c r="I2" i="22"/>
  <c r="J9" i="18"/>
  <c r="J10" i="18"/>
  <c r="M89" i="18"/>
  <c r="J85" i="21" l="1"/>
  <c r="M85" i="21"/>
  <c r="L85" i="21"/>
  <c r="F85" i="21"/>
  <c r="P62" i="21"/>
  <c r="P84" i="21"/>
  <c r="P85" i="21" s="1"/>
  <c r="G85" i="21"/>
  <c r="P71" i="21"/>
  <c r="P73" i="21" s="1"/>
  <c r="P83" i="21"/>
  <c r="D85" i="21"/>
  <c r="D73" i="21"/>
  <c r="N64" i="21"/>
  <c r="K64" i="21"/>
  <c r="D61" i="21"/>
  <c r="N82" i="21"/>
  <c r="K82" i="21"/>
  <c r="H82" i="21"/>
  <c r="N79" i="21"/>
  <c r="K79" i="21"/>
  <c r="H79" i="21"/>
  <c r="N76" i="21"/>
  <c r="K76" i="21"/>
  <c r="H76" i="21"/>
  <c r="E67" i="21"/>
  <c r="P64" i="21"/>
  <c r="M64" i="21"/>
  <c r="J64" i="21"/>
  <c r="N85" i="21"/>
  <c r="K85" i="21"/>
  <c r="H85" i="21"/>
  <c r="E73" i="21"/>
  <c r="D67" i="21"/>
  <c r="G61" i="21"/>
  <c r="P65" i="21"/>
  <c r="P67" i="21" s="1"/>
  <c r="D76" i="21"/>
  <c r="P74" i="21"/>
  <c r="P76" i="21" s="1"/>
  <c r="D82" i="21"/>
  <c r="P80" i="21"/>
  <c r="P82" i="21"/>
  <c r="P59" i="21"/>
  <c r="P61" i="21" s="1"/>
  <c r="P68" i="21"/>
  <c r="P70" i="21" s="1"/>
  <c r="D79" i="21"/>
  <c r="P77" i="21"/>
  <c r="P79" i="21" s="1"/>
  <c r="E85" i="21"/>
  <c r="E82" i="21"/>
  <c r="E79" i="21"/>
  <c r="E76" i="21"/>
  <c r="B1477" i="22" a="1"/>
  <c r="B1477" i="22" s="1"/>
  <c r="B1481" i="22" a="1"/>
  <c r="B1481" i="22" s="1"/>
  <c r="B1484" i="22" a="1"/>
  <c r="B1484" i="22" s="1"/>
  <c r="B1489" i="22" a="1"/>
  <c r="B1489" i="22" s="1"/>
  <c r="B1492" i="22" a="1"/>
  <c r="B1492" i="22" s="1"/>
  <c r="B1495" i="22" a="1"/>
  <c r="B1495" i="22" s="1"/>
  <c r="B1498" i="22" a="1"/>
  <c r="B1498" i="22" s="1"/>
  <c r="B1501" i="22" a="1"/>
  <c r="B1501" i="22" s="1"/>
  <c r="B1504" i="22" a="1"/>
  <c r="B1504" i="22" s="1"/>
  <c r="B1505" i="22" a="1"/>
  <c r="B1505" i="22" s="1"/>
  <c r="B1508" i="22" a="1"/>
  <c r="B1508" i="22" s="1"/>
  <c r="B1515" i="22" a="1"/>
  <c r="B1515" i="22" s="1"/>
  <c r="B1527" i="22" a="1"/>
  <c r="B1527" i="22" s="1"/>
  <c r="B1523" i="22" a="1"/>
  <c r="B1523" i="22" s="1"/>
  <c r="P44" i="18"/>
  <c r="P50" i="18"/>
  <c r="P65" i="18"/>
  <c r="P68" i="18"/>
  <c r="B1780" i="22" a="1"/>
  <c r="B1780" i="22" s="1"/>
  <c r="B1779" i="22" a="1"/>
  <c r="B1779" i="22" s="1"/>
  <c r="G2004" i="6"/>
  <c r="B1751" i="22" a="1"/>
  <c r="B1751" i="22" s="1"/>
  <c r="B1750" i="22" a="1"/>
  <c r="B1750" i="22" s="1"/>
  <c r="B1749" i="22" a="1"/>
  <c r="B1749" i="22" s="1"/>
  <c r="B1748" i="22" a="1"/>
  <c r="B1748" i="22" s="1"/>
  <c r="B1747" i="22" a="1"/>
  <c r="B1747" i="22" s="1"/>
  <c r="B1746" i="22" a="1"/>
  <c r="B1746" i="22" s="1"/>
  <c r="B1745" i="22" a="1"/>
  <c r="B1745" i="22" s="1"/>
  <c r="B1744" i="22" a="1"/>
  <c r="B1744" i="22" s="1"/>
  <c r="B1743" i="22" a="1"/>
  <c r="B1743" i="22" s="1"/>
  <c r="B1742" i="22" a="1"/>
  <c r="B1742" i="22" s="1"/>
  <c r="B1741" i="22" a="1"/>
  <c r="B1741" i="22" s="1"/>
  <c r="B1740" i="22" a="1"/>
  <c r="B1740" i="22" s="1"/>
  <c r="B1739" i="22" a="1"/>
  <c r="B1739" i="22" s="1"/>
  <c r="B1738" i="22" a="1"/>
  <c r="B1738" i="22" s="1"/>
  <c r="B1737" i="22" a="1"/>
  <c r="B1737" i="22" s="1"/>
  <c r="B1736" i="22" a="1"/>
  <c r="B1736" i="22" s="1"/>
  <c r="B1735" i="22" a="1"/>
  <c r="B1735" i="22" s="1"/>
  <c r="B1734" i="22" a="1"/>
  <c r="B1734" i="22" s="1"/>
  <c r="B1733" i="22" a="1"/>
  <c r="B1733" i="22" s="1"/>
  <c r="B1732" i="22" a="1"/>
  <c r="B1732" i="22" s="1"/>
  <c r="B1731" i="22" a="1"/>
  <c r="B1731" i="22" s="1"/>
  <c r="B1730" i="22" a="1"/>
  <c r="B1730" i="22" s="1"/>
  <c r="B1729" i="22" a="1"/>
  <c r="B1729" i="22" s="1"/>
  <c r="B1561" i="22" a="1"/>
  <c r="B1561" i="22" s="1"/>
  <c r="B1567" i="22" a="1"/>
  <c r="B1567" i="22" s="1"/>
  <c r="B1784" i="22" a="1"/>
  <c r="B1784" i="22" s="1"/>
  <c r="B1783" i="22" a="1"/>
  <c r="B1783" i="22" s="1"/>
  <c r="B1782" i="22" a="1"/>
  <c r="B1782" i="22" s="1"/>
  <c r="B1781" i="22" a="1"/>
  <c r="B1781" i="22" s="1"/>
  <c r="B1778" i="22" a="1"/>
  <c r="B1778" i="22" s="1"/>
  <c r="B1777" i="22" a="1"/>
  <c r="B1777" i="22" s="1"/>
  <c r="B1776" i="22" a="1"/>
  <c r="B1776" i="22" s="1"/>
  <c r="B1775" i="22" a="1"/>
  <c r="B1775" i="22" s="1"/>
  <c r="B1774" i="22" a="1"/>
  <c r="B1774" i="22" s="1"/>
  <c r="B1773" i="22" a="1"/>
  <c r="B1773" i="22" s="1"/>
  <c r="B1772" i="22" a="1"/>
  <c r="B1772" i="22" s="1"/>
  <c r="B1771" i="22" a="1"/>
  <c r="B1771" i="22" s="1"/>
  <c r="B1770" i="22" a="1"/>
  <c r="B1770" i="22" s="1"/>
  <c r="B1769" i="22" a="1"/>
  <c r="B1769" i="22" s="1"/>
  <c r="B1768" i="22" a="1"/>
  <c r="B1768" i="22" s="1"/>
  <c r="B1767" i="22" a="1"/>
  <c r="B1767" i="22" s="1"/>
  <c r="B1766" i="22" a="1"/>
  <c r="B1766" i="22" s="1"/>
  <c r="B1765" i="22" a="1"/>
  <c r="B1765" i="22" s="1"/>
  <c r="B1764" i="22" a="1"/>
  <c r="B1764" i="22" s="1"/>
  <c r="B1763" i="22" a="1"/>
  <c r="B1763" i="22" s="1"/>
  <c r="B1762" i="22" a="1"/>
  <c r="B1762" i="22" s="1"/>
  <c r="B1761" i="22" a="1"/>
  <c r="B1761" i="22" s="1"/>
  <c r="B1760" i="22" a="1"/>
  <c r="B1760" i="22" s="1"/>
  <c r="B1759" i="22" a="1"/>
  <c r="B1759" i="22" s="1"/>
  <c r="B1758" i="22" a="1"/>
  <c r="B1758" i="22" s="1"/>
  <c r="B1757" i="22" a="1"/>
  <c r="B1757" i="22" s="1"/>
  <c r="B1756" i="22" a="1"/>
  <c r="B1756" i="22" s="1"/>
  <c r="B1755" i="22" a="1"/>
  <c r="B1755" i="22" s="1"/>
  <c r="B1754" i="22" a="1"/>
  <c r="B1754" i="22" s="1"/>
  <c r="B1753" i="22" a="1"/>
  <c r="B1753" i="22" s="1"/>
  <c r="B1752" i="22" a="1"/>
  <c r="B1752" i="22" s="1"/>
  <c r="B1992" i="6" a="1"/>
  <c r="B1992" i="6" s="1"/>
  <c r="B1989" i="6" a="1"/>
  <c r="B1989" i="6" s="1"/>
  <c r="B1993" i="6" a="1"/>
  <c r="B1993" i="6" s="1"/>
  <c r="B1664" i="22" a="1"/>
  <c r="B1664" i="22" s="1"/>
  <c r="B1657" i="22" a="1"/>
  <c r="B1657" i="22" s="1"/>
  <c r="B1658" i="22" a="1"/>
  <c r="B1658" i="22" s="1"/>
  <c r="B1659" i="22" a="1"/>
  <c r="B1659" i="22" s="1"/>
  <c r="B1660" i="22" a="1"/>
  <c r="B1660" i="22" s="1"/>
  <c r="B1661" i="22" a="1"/>
  <c r="B1661" i="22" s="1"/>
  <c r="B1564" i="22" a="1"/>
  <c r="B1564" i="22" s="1"/>
  <c r="B1568" i="22" a="1"/>
  <c r="B1568" i="22" s="1"/>
  <c r="B1562" i="22" a="1"/>
  <c r="B1562" i="22" s="1"/>
  <c r="B1566" i="22" a="1"/>
  <c r="B1566" i="22" s="1"/>
  <c r="B1572" i="22" a="1"/>
  <c r="B1572" i="22" s="1"/>
  <c r="B1688" i="22" a="1"/>
  <c r="B1688" i="22" s="1"/>
  <c r="B1691" i="22" a="1"/>
  <c r="B1691" i="22" s="1"/>
  <c r="B1628" i="22" a="1"/>
  <c r="B1628" i="22" s="1"/>
  <c r="B1631" i="22" a="1"/>
  <c r="B1631" i="22" s="1"/>
  <c r="B1634" i="22" a="1"/>
  <c r="B1634" i="22" s="1"/>
  <c r="B1637" i="22" a="1"/>
  <c r="B1637" i="22" s="1"/>
  <c r="B1640" i="22" a="1"/>
  <c r="B1640" i="22" s="1"/>
  <c r="B1643" i="22" a="1"/>
  <c r="B1643" i="22" s="1"/>
  <c r="B1646" i="22" a="1"/>
  <c r="B1646" i="22" s="1"/>
  <c r="B1649" i="22" a="1"/>
  <c r="B1649" i="22" s="1"/>
  <c r="B1652" i="22" a="1"/>
  <c r="B1652" i="22" s="1"/>
  <c r="B1655" i="22" a="1"/>
  <c r="B1655" i="22" s="1"/>
  <c r="B1698" i="22" a="1"/>
  <c r="B1698" i="22" s="1"/>
  <c r="B1697" i="22" a="1"/>
  <c r="B1697" i="22" s="1"/>
  <c r="B1696" i="22" a="1"/>
  <c r="B1696" i="22" s="1"/>
  <c r="B1695" i="22" a="1"/>
  <c r="B1695" i="22" s="1"/>
  <c r="B1694" i="22" a="1"/>
  <c r="B1694" i="22" s="1"/>
  <c r="B1693" i="22" a="1"/>
  <c r="B1693" i="22" s="1"/>
  <c r="B1692" i="22" a="1"/>
  <c r="B1692" i="22" s="1"/>
  <c r="B1687" i="22" a="1"/>
  <c r="B1687" i="22" s="1"/>
  <c r="B1686" i="22" a="1"/>
  <c r="B1686" i="22" s="1"/>
  <c r="B1685" i="22" a="1"/>
  <c r="B1685" i="22" s="1"/>
  <c r="B1684" i="22" a="1"/>
  <c r="B1684" i="22" s="1"/>
  <c r="B1683" i="22" a="1"/>
  <c r="B1683" i="22" s="1"/>
  <c r="B1682" i="22" a="1"/>
  <c r="B1682" i="22" s="1"/>
  <c r="B1681" i="22" a="1"/>
  <c r="B1681" i="22" s="1"/>
  <c r="B1680" i="22" a="1"/>
  <c r="B1680" i="22" s="1"/>
  <c r="B1679" i="22" a="1"/>
  <c r="B1679" i="22" s="1"/>
  <c r="B1678" i="22" a="1"/>
  <c r="B1678" i="22" s="1"/>
  <c r="B1677" i="22" a="1"/>
  <c r="B1677" i="22" s="1"/>
  <c r="B1676" i="22" a="1"/>
  <c r="B1676" i="22" s="1"/>
  <c r="B1675" i="22" a="1"/>
  <c r="B1675" i="22" s="1"/>
  <c r="B1674" i="22" a="1"/>
  <c r="B1674" i="22" s="1"/>
  <c r="B1673" i="22" a="1"/>
  <c r="B1673" i="22" s="1"/>
  <c r="B1672" i="22" a="1"/>
  <c r="B1672" i="22" s="1"/>
  <c r="B1671" i="22" a="1"/>
  <c r="B1671" i="22" s="1"/>
  <c r="B1670" i="22" a="1"/>
  <c r="B1670" i="22" s="1"/>
  <c r="B1669" i="22" a="1"/>
  <c r="B1669" i="22" s="1"/>
  <c r="B1668" i="22" a="1"/>
  <c r="B1668" i="22" s="1"/>
  <c r="B1667" i="22" a="1"/>
  <c r="B1667" i="22" s="1"/>
  <c r="B1689" i="22" a="1"/>
  <c r="B1689" i="22" s="1"/>
  <c r="B1626" i="22" a="1"/>
  <c r="B1626" i="22" s="1"/>
  <c r="B1629" i="22" a="1"/>
  <c r="B1629" i="22" s="1"/>
  <c r="B1632" i="22" a="1"/>
  <c r="B1632" i="22" s="1"/>
  <c r="B1635" i="22" a="1"/>
  <c r="B1635" i="22" s="1"/>
  <c r="B1638" i="22" a="1"/>
  <c r="B1638" i="22" s="1"/>
  <c r="B1641" i="22" a="1"/>
  <c r="B1641" i="22" s="1"/>
  <c r="B1644" i="22" a="1"/>
  <c r="B1644" i="22" s="1"/>
  <c r="B1647" i="22" a="1"/>
  <c r="B1647" i="22" s="1"/>
  <c r="B1650" i="22" a="1"/>
  <c r="B1650" i="22" s="1"/>
  <c r="B1653" i="22" a="1"/>
  <c r="B1653" i="22" s="1"/>
  <c r="B1656" i="22" a="1"/>
  <c r="B1656" i="22" s="1"/>
  <c r="B1662" i="22" a="1"/>
  <c r="B1662" i="22" s="1"/>
  <c r="B1665" i="22" a="1"/>
  <c r="B1665" i="22" s="1"/>
  <c r="B1511" i="22" a="1"/>
  <c r="B1511" i="22" s="1"/>
  <c r="B1513" i="22" a="1"/>
  <c r="B1513" i="22" s="1"/>
  <c r="B1516" i="22" a="1"/>
  <c r="B1516" i="22" s="1"/>
  <c r="B1526" i="22" a="1"/>
  <c r="B1526" i="22" s="1"/>
  <c r="B1528" i="22" a="1"/>
  <c r="B1528" i="22" s="1"/>
  <c r="B1571" i="22" a="1"/>
  <c r="B1571" i="22" s="1"/>
  <c r="B1569" i="22" a="1"/>
  <c r="B1569" i="22" s="1"/>
  <c r="B1565" i="22" a="1"/>
  <c r="B1565" i="22" s="1"/>
  <c r="B1690" i="22" a="1"/>
  <c r="B1690" i="22" s="1"/>
  <c r="B1627" i="22" a="1"/>
  <c r="B1627" i="22" s="1"/>
  <c r="B1630" i="22" a="1"/>
  <c r="B1630" i="22" s="1"/>
  <c r="B1633" i="22" a="1"/>
  <c r="B1633" i="22" s="1"/>
  <c r="B1636" i="22" a="1"/>
  <c r="B1636" i="22" s="1"/>
  <c r="B1639" i="22" a="1"/>
  <c r="B1639" i="22" s="1"/>
  <c r="B1642" i="22" a="1"/>
  <c r="B1642" i="22" s="1"/>
  <c r="B1645" i="22" a="1"/>
  <c r="B1645" i="22" s="1"/>
  <c r="B1648" i="22" a="1"/>
  <c r="B1648" i="22" s="1"/>
  <c r="B1651" i="22" a="1"/>
  <c r="B1651" i="22" s="1"/>
  <c r="B1654" i="22" a="1"/>
  <c r="B1654" i="22" s="1"/>
  <c r="B1663" i="22" a="1"/>
  <c r="B1663" i="22" s="1"/>
  <c r="B1666" i="22" a="1"/>
  <c r="B1666" i="22" s="1"/>
  <c r="B1728" i="22" a="1"/>
  <c r="B1728" i="22" s="1"/>
  <c r="B1727" i="22" a="1"/>
  <c r="B1727" i="22" s="1"/>
  <c r="B1726" i="22" a="1"/>
  <c r="B1726" i="22" s="1"/>
  <c r="B1725" i="22" a="1"/>
  <c r="B1725" i="22" s="1"/>
  <c r="B1724" i="22" a="1"/>
  <c r="B1724" i="22" s="1"/>
  <c r="B1723" i="22" a="1"/>
  <c r="B1723" i="22" s="1"/>
  <c r="B1722" i="22" a="1"/>
  <c r="B1722" i="22" s="1"/>
  <c r="B1721" i="22" a="1"/>
  <c r="B1721" i="22" s="1"/>
  <c r="B1720" i="22" a="1"/>
  <c r="B1720" i="22" s="1"/>
  <c r="B1719" i="22" a="1"/>
  <c r="B1719" i="22" s="1"/>
  <c r="B1718" i="22" a="1"/>
  <c r="B1718" i="22" s="1"/>
  <c r="B1717" i="22" a="1"/>
  <c r="B1717" i="22" s="1"/>
  <c r="B1716" i="22" a="1"/>
  <c r="B1716" i="22" s="1"/>
  <c r="B1715" i="22" a="1"/>
  <c r="B1715" i="22" s="1"/>
  <c r="B1714" i="22" a="1"/>
  <c r="B1714" i="22" s="1"/>
  <c r="B1713" i="22" a="1"/>
  <c r="B1713" i="22" s="1"/>
  <c r="B1712" i="22" a="1"/>
  <c r="B1712" i="22" s="1"/>
  <c r="B1711" i="22" a="1"/>
  <c r="B1711" i="22" s="1"/>
  <c r="B1710" i="22" a="1"/>
  <c r="B1710" i="22" s="1"/>
  <c r="B1709" i="22" a="1"/>
  <c r="B1709" i="22" s="1"/>
  <c r="B1708" i="22" a="1"/>
  <c r="B1708" i="22" s="1"/>
  <c r="B1707" i="22" a="1"/>
  <c r="B1707" i="22" s="1"/>
  <c r="B1706" i="22" a="1"/>
  <c r="B1706" i="22" s="1"/>
  <c r="B1705" i="22" a="1"/>
  <c r="B1705" i="22" s="1"/>
  <c r="B1704" i="22" a="1"/>
  <c r="B1704" i="22" s="1"/>
  <c r="B1703" i="22" a="1"/>
  <c r="B1703" i="22" s="1"/>
  <c r="B1702" i="22" a="1"/>
  <c r="B1702" i="22" s="1"/>
  <c r="B1701" i="22" a="1"/>
  <c r="B1701" i="22" s="1"/>
  <c r="B1700" i="22" a="1"/>
  <c r="B1700" i="22" s="1"/>
  <c r="B1699" i="22" a="1"/>
  <c r="B1699" i="22" s="1"/>
  <c r="J32" i="21"/>
  <c r="M32" i="21"/>
  <c r="O6" i="21" a="1"/>
  <c r="O6" i="21" s="1"/>
  <c r="O5" i="21" a="1"/>
  <c r="O5" i="21" s="1"/>
  <c r="B1607" i="22" a="1"/>
  <c r="B1607" i="22" s="1"/>
  <c r="B1606" i="22" a="1"/>
  <c r="B1606" i="22" s="1"/>
  <c r="B1605" i="22" a="1"/>
  <c r="B1605" i="22" s="1"/>
  <c r="B1625" i="22" a="1"/>
  <c r="B1625" i="22" s="1"/>
  <c r="B1624" i="22" a="1"/>
  <c r="B1624" i="22" s="1"/>
  <c r="B1623" i="22" a="1"/>
  <c r="B1623" i="22" s="1"/>
  <c r="B1622" i="22" a="1"/>
  <c r="B1622" i="22" s="1"/>
  <c r="B1621" i="22" a="1"/>
  <c r="B1621" i="22" s="1"/>
  <c r="B1620" i="22" a="1"/>
  <c r="B1620" i="22" s="1"/>
  <c r="B1619" i="22" a="1"/>
  <c r="B1619" i="22" s="1"/>
  <c r="B1618" i="22" a="1"/>
  <c r="B1618" i="22" s="1"/>
  <c r="B1617" i="22" a="1"/>
  <c r="B1617" i="22" s="1"/>
  <c r="B1616" i="22" a="1"/>
  <c r="B1616" i="22" s="1"/>
  <c r="B1615" i="22" a="1"/>
  <c r="B1615" i="22" s="1"/>
  <c r="B1614" i="22" a="1"/>
  <c r="B1614" i="22" s="1"/>
  <c r="B1613" i="22" a="1"/>
  <c r="B1613" i="22" s="1"/>
  <c r="B1612" i="22" a="1"/>
  <c r="B1612" i="22" s="1"/>
  <c r="B1611" i="22" a="1"/>
  <c r="B1611" i="22" s="1"/>
  <c r="B1610" i="22" a="1"/>
  <c r="B1610" i="22" s="1"/>
  <c r="B1609" i="22" a="1"/>
  <c r="B1609" i="22" s="1"/>
  <c r="B1608" i="22" a="1"/>
  <c r="B1608" i="22" s="1"/>
  <c r="B1601" i="22" a="1"/>
  <c r="B1601" i="22" s="1"/>
  <c r="B1602" i="22" a="1"/>
  <c r="B1602" i="22" s="1"/>
  <c r="B1603" i="22" a="1"/>
  <c r="B1603" i="22" s="1"/>
  <c r="B1604" i="22" a="1"/>
  <c r="B1604" i="22" s="1"/>
  <c r="B1598" i="22" a="1"/>
  <c r="B1598" i="22" s="1"/>
  <c r="B1600" i="22" a="1"/>
  <c r="B1600" i="22" s="1"/>
  <c r="B1586" i="22" a="1"/>
  <c r="B1586" i="22" s="1"/>
  <c r="B1570" i="22" a="1"/>
  <c r="B1570" i="22" s="1"/>
  <c r="B1579" i="22" a="1"/>
  <c r="B1579" i="22" s="1"/>
  <c r="B1578" i="22" a="1"/>
  <c r="B1578" i="22" s="1"/>
  <c r="B1577" i="22" a="1"/>
  <c r="B1577" i="22" s="1"/>
  <c r="B1576" i="22" a="1"/>
  <c r="B1576" i="22" s="1"/>
  <c r="B1575" i="22" a="1"/>
  <c r="B1575" i="22" s="1"/>
  <c r="B1574" i="22" a="1"/>
  <c r="B1574" i="22" s="1"/>
  <c r="B1573" i="22" a="1"/>
  <c r="B1573" i="22" s="1"/>
  <c r="N6" i="21" a="1"/>
  <c r="N6" i="21" s="1"/>
  <c r="N5" i="21" a="1"/>
  <c r="N5" i="21" s="1"/>
  <c r="M5" i="21" a="1"/>
  <c r="M5" i="21" s="1"/>
  <c r="C13" i="27"/>
  <c r="F13" i="27"/>
  <c r="I13" i="27"/>
  <c r="M13" i="27"/>
  <c r="E13" i="27"/>
  <c r="H13" i="27"/>
  <c r="K13" i="27"/>
  <c r="N13" i="27"/>
  <c r="D13" i="27"/>
  <c r="G13" i="27"/>
  <c r="J13" i="27"/>
  <c r="L13" i="27"/>
  <c r="O19" i="27"/>
  <c r="O22" i="27"/>
  <c r="O27" i="27"/>
  <c r="O24" i="27"/>
  <c r="O21" i="27"/>
  <c r="O17" i="27"/>
  <c r="O18" i="27"/>
  <c r="O38" i="27" s="1"/>
  <c r="O15" i="27"/>
  <c r="O26" i="27"/>
  <c r="O41" i="27" s="1"/>
  <c r="O23" i="27"/>
  <c r="O14" i="27"/>
  <c r="O16" i="27"/>
  <c r="O20" i="27"/>
  <c r="O25" i="27"/>
  <c r="M6" i="21" a="1"/>
  <c r="M6" i="21" s="1"/>
  <c r="L6" i="21" a="1"/>
  <c r="L6" i="21" s="1"/>
  <c r="L5" i="21" a="1"/>
  <c r="L5" i="21" s="1"/>
  <c r="K6" i="21" a="1"/>
  <c r="K6" i="21" s="1"/>
  <c r="K5" i="21" a="1"/>
  <c r="K5" i="21" s="1"/>
  <c r="P23" i="18"/>
  <c r="J5" i="21" a="1"/>
  <c r="J5" i="21" s="1"/>
  <c r="J6" i="21" a="1"/>
  <c r="J6" i="21" s="1"/>
  <c r="D5" i="21" a="1"/>
  <c r="D5" i="21" s="1"/>
  <c r="E5" i="21" a="1"/>
  <c r="E5" i="21" s="1"/>
  <c r="F5" i="21" a="1"/>
  <c r="F5" i="21" s="1"/>
  <c r="P11" i="21"/>
  <c r="O32" i="21"/>
  <c r="O28" i="21"/>
  <c r="L28" i="21"/>
  <c r="M30" i="21"/>
  <c r="J30" i="21"/>
  <c r="L32" i="21"/>
  <c r="E32" i="21"/>
  <c r="P27" i="21"/>
  <c r="N28" i="21"/>
  <c r="K28" i="21"/>
  <c r="N32" i="21"/>
  <c r="K32" i="21"/>
  <c r="M28" i="21"/>
  <c r="J28" i="21"/>
  <c r="P31" i="21"/>
  <c r="P29" i="21"/>
  <c r="E28" i="21"/>
  <c r="P25" i="21"/>
  <c r="P8" i="21"/>
  <c r="B866" i="22" a="1"/>
  <c r="B866" i="22" s="1"/>
  <c r="B865" i="22" a="1"/>
  <c r="B865" i="22" s="1"/>
  <c r="B864" i="22" a="1"/>
  <c r="B864" i="22" s="1"/>
  <c r="B863" i="22" a="1"/>
  <c r="B863" i="22" s="1"/>
  <c r="B861" i="22" a="1"/>
  <c r="B861" i="22" s="1"/>
  <c r="B860" i="22" a="1"/>
  <c r="B860" i="22" s="1"/>
  <c r="B859" i="22" a="1"/>
  <c r="B859" i="22" s="1"/>
  <c r="B858" i="22" a="1"/>
  <c r="B858" i="22" s="1"/>
  <c r="B857" i="22" a="1"/>
  <c r="B857" i="22" s="1"/>
  <c r="B856" i="22" a="1"/>
  <c r="B856" i="22" s="1"/>
  <c r="B855" i="22" a="1"/>
  <c r="B855" i="22" s="1"/>
  <c r="B854" i="22" a="1"/>
  <c r="B854" i="22" s="1"/>
  <c r="B853" i="22" a="1"/>
  <c r="B853" i="22" s="1"/>
  <c r="B852" i="22" a="1"/>
  <c r="B852" i="22" s="1"/>
  <c r="B851" i="22" a="1"/>
  <c r="B851" i="22" s="1"/>
  <c r="B850" i="22" a="1"/>
  <c r="B850" i="22" s="1"/>
  <c r="B849" i="22" a="1"/>
  <c r="B849" i="22" s="1"/>
  <c r="B848" i="22" a="1"/>
  <c r="B848" i="22" s="1"/>
  <c r="B833" i="22" a="1"/>
  <c r="B833" i="22" s="1"/>
  <c r="B825" i="22" a="1"/>
  <c r="B825" i="22" s="1"/>
  <c r="B812" i="22" a="1"/>
  <c r="B812" i="22" s="1"/>
  <c r="B803" i="22" a="1"/>
  <c r="B803" i="22" s="1"/>
  <c r="B802" i="22" a="1"/>
  <c r="B802" i="22" s="1"/>
  <c r="B801" i="22" a="1"/>
  <c r="B801" i="22" s="1"/>
  <c r="B800" i="22" a="1"/>
  <c r="B800" i="22" s="1"/>
  <c r="B797" i="22" a="1"/>
  <c r="B797" i="22" s="1"/>
  <c r="B834" i="22" a="1"/>
  <c r="B834" i="22" s="1"/>
  <c r="B827" i="22" a="1"/>
  <c r="B827" i="22" s="1"/>
  <c r="B826" i="22" a="1"/>
  <c r="B826" i="22" s="1"/>
  <c r="B821" i="22" a="1"/>
  <c r="B821" i="22" s="1"/>
  <c r="B847" i="22" a="1"/>
  <c r="B847" i="22" s="1"/>
  <c r="B846" i="22" a="1"/>
  <c r="B846" i="22" s="1"/>
  <c r="B845" i="22" a="1"/>
  <c r="B845" i="22" s="1"/>
  <c r="B844" i="22" a="1"/>
  <c r="B844" i="22" s="1"/>
  <c r="B820" i="22" a="1"/>
  <c r="B820" i="22" s="1"/>
  <c r="B819" i="22" a="1"/>
  <c r="B819" i="22" s="1"/>
  <c r="B818" i="22" a="1"/>
  <c r="B818" i="22" s="1"/>
  <c r="B817" i="22" a="1"/>
  <c r="B817" i="22" s="1"/>
  <c r="B816" i="22" a="1"/>
  <c r="B816" i="22" s="1"/>
  <c r="B815" i="22" a="1"/>
  <c r="B815" i="22" s="1"/>
  <c r="B814" i="22" a="1"/>
  <c r="B814" i="22" s="1"/>
  <c r="B813" i="22" a="1"/>
  <c r="B813" i="22" s="1"/>
  <c r="B811" i="22" a="1"/>
  <c r="B811" i="22" s="1"/>
  <c r="B810" i="22" a="1"/>
  <c r="B810" i="22" s="1"/>
  <c r="B843" i="22" a="1"/>
  <c r="B843" i="22" s="1"/>
  <c r="B842" i="22" a="1"/>
  <c r="B842" i="22" s="1"/>
  <c r="B841" i="22" a="1"/>
  <c r="B841" i="22" s="1"/>
  <c r="B840" i="22" a="1"/>
  <c r="B840" i="22" s="1"/>
  <c r="B839" i="22" a="1"/>
  <c r="B839" i="22" s="1"/>
  <c r="B838" i="22" a="1"/>
  <c r="B838" i="22" s="1"/>
  <c r="B837" i="22" a="1"/>
  <c r="B837" i="22" s="1"/>
  <c r="B836" i="22" a="1"/>
  <c r="B836" i="22" s="1"/>
  <c r="B835" i="22" a="1"/>
  <c r="B835" i="22" s="1"/>
  <c r="B798" i="22" a="1"/>
  <c r="B798" i="22" s="1"/>
  <c r="B832" i="22" a="1"/>
  <c r="B832" i="22" s="1"/>
  <c r="B831" i="22" a="1"/>
  <c r="B831" i="22" s="1"/>
  <c r="B830" i="22" a="1"/>
  <c r="B830" i="22" s="1"/>
  <c r="B829" i="22" a="1"/>
  <c r="B829" i="22" s="1"/>
  <c r="B828" i="22" a="1"/>
  <c r="B828" i="22" s="1"/>
  <c r="B824" i="22" a="1"/>
  <c r="B824" i="22" s="1"/>
  <c r="B823" i="22" a="1"/>
  <c r="B823" i="22" s="1"/>
  <c r="B822" i="22" a="1"/>
  <c r="B822" i="22" s="1"/>
  <c r="B799" i="22" a="1"/>
  <c r="B799" i="22" s="1"/>
  <c r="B809" i="22" a="1"/>
  <c r="B809" i="22" s="1"/>
  <c r="B808" i="22" a="1"/>
  <c r="B808" i="22" s="1"/>
  <c r="B806" i="22" a="1"/>
  <c r="B806" i="22" s="1"/>
  <c r="B796" i="22" a="1"/>
  <c r="B796" i="22" s="1"/>
  <c r="B807" i="22" a="1"/>
  <c r="B807" i="22" s="1"/>
  <c r="B804" i="22" a="1"/>
  <c r="B804" i="22" s="1"/>
  <c r="B805" i="22" a="1"/>
  <c r="B805" i="22" s="1"/>
  <c r="I5" i="21" a="1"/>
  <c r="I5" i="21" s="1"/>
  <c r="H5" i="21" a="1"/>
  <c r="H5" i="21" s="1"/>
  <c r="G5" i="21" a="1"/>
  <c r="G5" i="21" s="1"/>
  <c r="I6" i="21" a="1"/>
  <c r="I6" i="21" s="1"/>
  <c r="H6" i="21" a="1"/>
  <c r="H6" i="21" s="1"/>
  <c r="G6" i="21" a="1"/>
  <c r="G6" i="21" s="1"/>
  <c r="F6" i="21" a="1"/>
  <c r="F6" i="21" s="1"/>
  <c r="E6" i="21" a="1"/>
  <c r="E6" i="21" s="1"/>
  <c r="D6" i="21" a="1"/>
  <c r="D6" i="21" s="1"/>
  <c r="B873" i="22" a="1"/>
  <c r="B873" i="22" s="1"/>
  <c r="B872" i="22" a="1"/>
  <c r="B872" i="22" s="1"/>
  <c r="B875" i="22" a="1"/>
  <c r="B875" i="22" s="1"/>
  <c r="B871" i="22" a="1"/>
  <c r="B871" i="22" s="1"/>
  <c r="B870" i="22" a="1"/>
  <c r="B870" i="22" s="1"/>
  <c r="F22" i="21"/>
  <c r="I22" i="21"/>
  <c r="L22" i="21"/>
  <c r="O22" i="21"/>
  <c r="F24" i="21"/>
  <c r="I24" i="21"/>
  <c r="L24" i="21"/>
  <c r="P9" i="21"/>
  <c r="P10" i="21"/>
  <c r="P12" i="21"/>
  <c r="G91" i="21"/>
  <c r="N89" i="21"/>
  <c r="P16" i="21"/>
  <c r="P17" i="21"/>
  <c r="P18" i="21"/>
  <c r="P19" i="21"/>
  <c r="D22" i="21"/>
  <c r="J22" i="21"/>
  <c r="M22" i="21"/>
  <c r="D24" i="21"/>
  <c r="J24" i="21"/>
  <c r="M24" i="21"/>
  <c r="E22" i="21"/>
  <c r="H22" i="21"/>
  <c r="K22" i="21"/>
  <c r="N22" i="21"/>
  <c r="E24" i="21"/>
  <c r="H24" i="21"/>
  <c r="K24" i="21"/>
  <c r="N24" i="21"/>
  <c r="O24" i="21"/>
  <c r="E26" i="21"/>
  <c r="F26" i="21"/>
  <c r="H26" i="21"/>
  <c r="I26" i="21"/>
  <c r="J26" i="21"/>
  <c r="K26" i="21"/>
  <c r="L26" i="21"/>
  <c r="M26" i="21"/>
  <c r="N26" i="21"/>
  <c r="O26" i="21"/>
  <c r="G89" i="21"/>
  <c r="G90" i="21"/>
  <c r="N90" i="21"/>
  <c r="N91" i="21"/>
  <c r="G93" i="21"/>
  <c r="P23" i="21"/>
  <c r="D26" i="21"/>
  <c r="P15" i="21"/>
  <c r="P21" i="21"/>
  <c r="N93" i="21"/>
  <c r="G94" i="21"/>
  <c r="N94" i="21"/>
  <c r="G95" i="21"/>
  <c r="N95" i="21"/>
  <c r="G97" i="21"/>
  <c r="N97" i="21"/>
  <c r="N98" i="21"/>
  <c r="N99" i="21"/>
  <c r="G101" i="21"/>
  <c r="N101" i="21"/>
  <c r="G102" i="21"/>
  <c r="N102" i="21"/>
  <c r="G103" i="21"/>
  <c r="N103" i="21"/>
  <c r="G105" i="21"/>
  <c r="N105" i="21"/>
  <c r="G106" i="21"/>
  <c r="N106" i="21"/>
  <c r="G107" i="21"/>
  <c r="N107" i="21"/>
  <c r="E111" i="21"/>
  <c r="L111" i="21"/>
  <c r="E115" i="21"/>
  <c r="L115" i="21"/>
  <c r="E119" i="21"/>
  <c r="L119" i="21"/>
  <c r="O4" i="21" l="1"/>
  <c r="O13" i="21" s="1"/>
  <c r="O7" i="21"/>
  <c r="N4" i="21"/>
  <c r="N13" i="21" s="1"/>
  <c r="N7" i="21"/>
  <c r="O13" i="27"/>
  <c r="M7" i="21"/>
  <c r="M4" i="21"/>
  <c r="M13" i="21" s="1"/>
  <c r="L7" i="21"/>
  <c r="L4" i="21"/>
  <c r="L13" i="21" s="1"/>
  <c r="K7" i="21"/>
  <c r="K4" i="21"/>
  <c r="K13" i="21" s="1"/>
  <c r="P28" i="21"/>
  <c r="P22" i="21"/>
  <c r="P24" i="21"/>
  <c r="P26" i="21"/>
  <c r="P32" i="21"/>
  <c r="P30" i="21"/>
  <c r="I4" i="21"/>
  <c r="I13" i="21" s="1"/>
  <c r="G7" i="21"/>
  <c r="P5" i="21"/>
  <c r="F4" i="21"/>
  <c r="F13" i="21" s="1"/>
  <c r="D4" i="21"/>
  <c r="D13" i="21" s="1"/>
  <c r="F7" i="21"/>
  <c r="I7" i="21"/>
  <c r="J7" i="21"/>
  <c r="E7" i="21"/>
  <c r="P6" i="21"/>
  <c r="H7" i="21"/>
  <c r="J4" i="21"/>
  <c r="J13" i="21" s="1"/>
  <c r="G4" i="21"/>
  <c r="G13" i="21" s="1"/>
  <c r="H4" i="21"/>
  <c r="H13" i="21" s="1"/>
  <c r="E4" i="21"/>
  <c r="E13" i="21" s="1"/>
  <c r="D7" i="21"/>
  <c r="P7" i="21" l="1"/>
  <c r="P4" i="21"/>
  <c r="P13" i="21" s="1"/>
  <c r="K27" i="18" l="1"/>
  <c r="F10" i="18"/>
  <c r="H10" i="18"/>
  <c r="I10" i="18"/>
  <c r="I9" i="18"/>
  <c r="H9" i="18"/>
  <c r="G9" i="18"/>
  <c r="F9" i="18"/>
  <c r="E9" i="18"/>
  <c r="D9" i="18"/>
  <c r="D24" i="18" s="1"/>
  <c r="H13" i="18"/>
  <c r="K103" i="18"/>
  <c r="D99" i="18"/>
  <c r="K95" i="18"/>
  <c r="M91" i="18"/>
  <c r="F91" i="18"/>
  <c r="M90" i="18"/>
  <c r="F90" i="18"/>
  <c r="F89" i="18"/>
  <c r="M87" i="18"/>
  <c r="F87" i="18"/>
  <c r="F86" i="18"/>
  <c r="M82" i="18"/>
  <c r="M81" i="18"/>
  <c r="F79" i="18"/>
  <c r="M78" i="18"/>
  <c r="F78" i="18"/>
  <c r="M75" i="18"/>
  <c r="F75" i="18"/>
  <c r="F73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O19" i="18"/>
  <c r="N19" i="18"/>
  <c r="M19" i="18"/>
  <c r="L19" i="18"/>
  <c r="K19" i="18"/>
  <c r="I19" i="18"/>
  <c r="H19" i="18"/>
  <c r="G19" i="18"/>
  <c r="F19" i="18"/>
  <c r="E19" i="18"/>
  <c r="D19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O16" i="18"/>
  <c r="N16" i="18"/>
  <c r="M16" i="18"/>
  <c r="L16" i="18"/>
  <c r="K16" i="18"/>
  <c r="J16" i="18"/>
  <c r="I16" i="18"/>
  <c r="H16" i="18"/>
  <c r="G16" i="18"/>
  <c r="F16" i="18"/>
  <c r="E16" i="18"/>
  <c r="O13" i="18"/>
  <c r="N13" i="18"/>
  <c r="M13" i="18"/>
  <c r="L13" i="18"/>
  <c r="K13" i="18"/>
  <c r="I13" i="18"/>
  <c r="G13" i="18"/>
  <c r="O12" i="18"/>
  <c r="N12" i="18"/>
  <c r="M12" i="18"/>
  <c r="L12" i="18"/>
  <c r="K12" i="18"/>
  <c r="J12" i="18"/>
  <c r="I12" i="18"/>
  <c r="H12" i="18"/>
  <c r="G12" i="18"/>
  <c r="E12" i="18"/>
  <c r="D12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O10" i="18"/>
  <c r="N10" i="18"/>
  <c r="M10" i="18"/>
  <c r="L10" i="18"/>
  <c r="K10" i="18"/>
  <c r="O9" i="18"/>
  <c r="N9" i="18"/>
  <c r="M9" i="18"/>
  <c r="L9" i="18"/>
  <c r="K9" i="18"/>
  <c r="N74" i="18" l="1"/>
  <c r="N73" i="18"/>
  <c r="K8" i="18"/>
  <c r="P13" i="18"/>
  <c r="O28" i="18"/>
  <c r="N28" i="18"/>
  <c r="M28" i="18"/>
  <c r="L28" i="18"/>
  <c r="K28" i="18"/>
  <c r="P27" i="18"/>
  <c r="P25" i="18"/>
  <c r="J24" i="18"/>
  <c r="E8" i="18"/>
  <c r="F8" i="18"/>
  <c r="F24" i="18"/>
  <c r="G8" i="18"/>
  <c r="G24" i="18"/>
  <c r="I8" i="18"/>
  <c r="H24" i="18"/>
  <c r="I24" i="18"/>
  <c r="H8" i="18"/>
  <c r="E26" i="18"/>
  <c r="F26" i="18"/>
  <c r="G26" i="18"/>
  <c r="H26" i="18"/>
  <c r="I26" i="18"/>
  <c r="E28" i="18"/>
  <c r="F28" i="18"/>
  <c r="G28" i="18"/>
  <c r="H28" i="18"/>
  <c r="I28" i="18"/>
  <c r="D28" i="18"/>
  <c r="E24" i="18"/>
  <c r="K24" i="18"/>
  <c r="L24" i="18"/>
  <c r="M24" i="18"/>
  <c r="N24" i="18"/>
  <c r="O24" i="18"/>
  <c r="J26" i="18"/>
  <c r="J28" i="18"/>
  <c r="K26" i="18"/>
  <c r="L26" i="18"/>
  <c r="M26" i="18"/>
  <c r="N26" i="18"/>
  <c r="O26" i="18"/>
  <c r="D26" i="18"/>
  <c r="N89" i="18"/>
  <c r="N91" i="18"/>
  <c r="N82" i="18"/>
  <c r="O8" i="18"/>
  <c r="N83" i="18"/>
  <c r="P20" i="18"/>
  <c r="L8" i="18"/>
  <c r="G85" i="18"/>
  <c r="N85" i="18"/>
  <c r="N86" i="18"/>
  <c r="P17" i="18"/>
  <c r="G73" i="18"/>
  <c r="G87" i="18"/>
  <c r="J8" i="18"/>
  <c r="N87" i="18"/>
  <c r="G74" i="18"/>
  <c r="G89" i="18"/>
  <c r="P12" i="18"/>
  <c r="D8" i="18"/>
  <c r="P10" i="18"/>
  <c r="G75" i="18"/>
  <c r="G90" i="18"/>
  <c r="N8" i="18"/>
  <c r="P19" i="18"/>
  <c r="N75" i="18"/>
  <c r="N90" i="18"/>
  <c r="G77" i="18"/>
  <c r="G91" i="18"/>
  <c r="P9" i="18"/>
  <c r="P24" i="18" s="1"/>
  <c r="N77" i="18"/>
  <c r="P16" i="18"/>
  <c r="P21" i="18"/>
  <c r="G78" i="18"/>
  <c r="N78" i="18"/>
  <c r="G79" i="18"/>
  <c r="N79" i="18"/>
  <c r="P11" i="18"/>
  <c r="M8" i="18"/>
  <c r="P18" i="18"/>
  <c r="G81" i="18"/>
  <c r="N81" i="18"/>
  <c r="G86" i="18"/>
  <c r="P26" i="18" l="1"/>
  <c r="E103" i="18"/>
  <c r="P28" i="18"/>
  <c r="L99" i="18"/>
  <c r="L95" i="18"/>
  <c r="L103" i="18"/>
  <c r="E99" i="18"/>
  <c r="E95" i="18"/>
  <c r="P8" i="18"/>
  <c r="C137" i="5" l="1"/>
  <c r="G830" i="6" l="1"/>
  <c r="G831" i="6"/>
  <c r="G832" i="6"/>
  <c r="G833" i="6"/>
  <c r="G842" i="6"/>
  <c r="G834" i="6"/>
  <c r="G835" i="6"/>
  <c r="G836" i="6"/>
  <c r="G843" i="6"/>
  <c r="G837" i="6"/>
  <c r="G838" i="6"/>
  <c r="G839" i="6"/>
  <c r="G840" i="6"/>
  <c r="G841" i="6"/>
  <c r="G848" i="6"/>
  <c r="G844" i="6"/>
  <c r="G845" i="6"/>
  <c r="G846" i="6"/>
  <c r="G847" i="6"/>
  <c r="G849" i="6"/>
  <c r="G850" i="6"/>
  <c r="G851" i="6"/>
  <c r="G852" i="6"/>
  <c r="G853" i="6"/>
  <c r="G854" i="6"/>
  <c r="G859" i="6"/>
  <c r="G855" i="6"/>
  <c r="G856" i="6"/>
  <c r="G857" i="6"/>
  <c r="G858" i="6"/>
  <c r="G3" i="6" l="1"/>
  <c r="G6" i="6"/>
  <c r="G4" i="6"/>
  <c r="G5" i="6"/>
  <c r="G2" i="6"/>
  <c r="G12" i="6"/>
  <c r="G11" i="6"/>
  <c r="G10" i="6"/>
  <c r="G9" i="6"/>
  <c r="G8" i="6"/>
  <c r="G15" i="6"/>
  <c r="G14" i="6"/>
  <c r="G13" i="6"/>
  <c r="G16" i="6"/>
  <c r="G20" i="6"/>
  <c r="G22" i="6"/>
  <c r="G21" i="6"/>
  <c r="G17" i="6"/>
  <c r="G23" i="6"/>
  <c r="G18" i="6"/>
  <c r="G19" i="6"/>
  <c r="G26" i="6"/>
  <c r="G25" i="6"/>
  <c r="G24" i="6"/>
  <c r="G32" i="6"/>
  <c r="G27" i="6"/>
  <c r="G28" i="6"/>
  <c r="G29" i="6"/>
  <c r="G30" i="6"/>
  <c r="G31" i="6"/>
  <c r="G33" i="6"/>
  <c r="G36" i="6"/>
  <c r="G38" i="6"/>
  <c r="G37" i="6"/>
  <c r="G34" i="6"/>
  <c r="G35" i="6"/>
  <c r="G47" i="6"/>
  <c r="G48" i="6"/>
  <c r="G46" i="6"/>
  <c r="G45" i="6"/>
  <c r="G44" i="6"/>
  <c r="G40" i="6"/>
  <c r="G39" i="6"/>
  <c r="G41" i="6"/>
  <c r="G42" i="6"/>
  <c r="G43" i="6"/>
  <c r="G49" i="6"/>
  <c r="G54" i="6"/>
  <c r="G52" i="6"/>
  <c r="G51" i="6"/>
  <c r="G50" i="6"/>
  <c r="G53" i="6"/>
  <c r="G55" i="6"/>
  <c r="G60" i="6"/>
  <c r="G56" i="6"/>
  <c r="G58" i="6"/>
  <c r="G57" i="6"/>
  <c r="G59" i="6"/>
  <c r="G68" i="6"/>
  <c r="G63" i="6"/>
  <c r="G65" i="6"/>
  <c r="G64" i="6"/>
  <c r="G61" i="6"/>
  <c r="G66" i="6"/>
  <c r="G67" i="6"/>
  <c r="G62" i="6"/>
  <c r="G76" i="6"/>
  <c r="G81" i="6"/>
  <c r="G82" i="6"/>
  <c r="G75" i="6"/>
  <c r="G74" i="6"/>
  <c r="G73" i="6"/>
  <c r="G72" i="6"/>
  <c r="G69" i="6"/>
  <c r="G79" i="6"/>
  <c r="G80" i="6"/>
  <c r="G77" i="6"/>
  <c r="G78" i="6"/>
  <c r="G70" i="6"/>
  <c r="G71" i="6"/>
  <c r="G83" i="6"/>
  <c r="G94" i="6"/>
  <c r="G93" i="6"/>
  <c r="G95" i="6"/>
  <c r="G96" i="6"/>
  <c r="G84" i="6"/>
  <c r="G85" i="6"/>
  <c r="G86" i="6"/>
  <c r="G87" i="6"/>
  <c r="G88" i="6"/>
  <c r="G89" i="6"/>
  <c r="G90" i="6"/>
  <c r="G91" i="6"/>
  <c r="G92" i="6"/>
  <c r="G103" i="6"/>
  <c r="G102" i="6"/>
  <c r="G101" i="6"/>
  <c r="G100" i="6"/>
  <c r="G99" i="6"/>
  <c r="G97" i="6"/>
  <c r="G98" i="6"/>
  <c r="G107" i="6"/>
  <c r="G105" i="6"/>
  <c r="G104" i="6"/>
  <c r="G108" i="6"/>
  <c r="G106" i="6"/>
  <c r="G116" i="6"/>
  <c r="G115" i="6"/>
  <c r="G109" i="6"/>
  <c r="G114" i="6"/>
  <c r="G113" i="6"/>
  <c r="G110" i="6"/>
  <c r="G111" i="6"/>
  <c r="G112" i="6"/>
  <c r="G119" i="6"/>
  <c r="G123" i="6"/>
  <c r="G125" i="6"/>
  <c r="G124" i="6"/>
  <c r="G122" i="6"/>
  <c r="G121" i="6"/>
  <c r="G120" i="6"/>
  <c r="G118" i="6"/>
  <c r="G117" i="6"/>
  <c r="G127" i="6"/>
  <c r="G126" i="6"/>
  <c r="G128" i="6"/>
  <c r="G135" i="6"/>
  <c r="G133" i="6"/>
  <c r="G131" i="6"/>
  <c r="G132" i="6"/>
  <c r="G129" i="6"/>
  <c r="G134" i="6"/>
  <c r="G130" i="6"/>
  <c r="G142" i="6"/>
  <c r="G144" i="6"/>
  <c r="G143" i="6"/>
  <c r="G139" i="6"/>
  <c r="G140" i="6"/>
  <c r="G141" i="6"/>
  <c r="G136" i="6"/>
  <c r="G137" i="6"/>
  <c r="G138" i="6"/>
  <c r="G149" i="6"/>
  <c r="G151" i="6"/>
  <c r="G150" i="6"/>
  <c r="G148" i="6"/>
  <c r="G147" i="6"/>
  <c r="G146" i="6"/>
  <c r="G145" i="6"/>
  <c r="G154" i="6"/>
  <c r="G153" i="6"/>
  <c r="G152" i="6"/>
  <c r="G156" i="6"/>
  <c r="G155" i="6"/>
  <c r="G157" i="6"/>
  <c r="G158" i="6"/>
  <c r="G160" i="6"/>
  <c r="G162" i="6"/>
  <c r="G161" i="6"/>
  <c r="G166" i="6"/>
  <c r="G165" i="6"/>
  <c r="G159" i="6"/>
  <c r="G163" i="6"/>
  <c r="G164" i="6"/>
  <c r="G167" i="6"/>
  <c r="G168" i="6"/>
  <c r="G169" i="6"/>
  <c r="G170" i="6"/>
  <c r="G171" i="6"/>
  <c r="G176" i="6"/>
  <c r="G174" i="6"/>
  <c r="G173" i="6"/>
  <c r="G172" i="6"/>
  <c r="G178" i="6"/>
  <c r="G177" i="6"/>
  <c r="G175" i="6"/>
  <c r="G185" i="6"/>
  <c r="G183" i="6"/>
  <c r="G182" i="6"/>
  <c r="G181" i="6"/>
  <c r="G180" i="6"/>
  <c r="G179" i="6"/>
  <c r="G184" i="6"/>
  <c r="G195" i="6"/>
  <c r="G188" i="6"/>
  <c r="G187" i="6"/>
  <c r="G186" i="6"/>
  <c r="G194" i="6"/>
  <c r="G193" i="6"/>
  <c r="G192" i="6"/>
  <c r="G191" i="6"/>
  <c r="G190" i="6"/>
  <c r="G196" i="6"/>
  <c r="G197" i="6"/>
  <c r="G189" i="6"/>
  <c r="G203" i="6"/>
  <c r="G202" i="6"/>
  <c r="G201" i="6"/>
  <c r="G199" i="6"/>
  <c r="G198" i="6"/>
  <c r="G200" i="6"/>
  <c r="G204" i="6"/>
  <c r="G205" i="6"/>
  <c r="G206" i="6"/>
  <c r="G217" i="6"/>
  <c r="G213" i="6"/>
  <c r="G212" i="6"/>
  <c r="G211" i="6"/>
  <c r="G210" i="6"/>
  <c r="G209" i="6"/>
  <c r="G208" i="6"/>
  <c r="G207" i="6"/>
  <c r="G219" i="6"/>
  <c r="G218" i="6"/>
  <c r="G214" i="6"/>
  <c r="G215" i="6"/>
  <c r="G216" i="6"/>
  <c r="G227" i="6"/>
  <c r="G223" i="6"/>
  <c r="G222" i="6"/>
  <c r="G221" i="6"/>
  <c r="G220" i="6"/>
  <c r="G229" i="6"/>
  <c r="G228" i="6"/>
  <c r="G226" i="6"/>
  <c r="G224" i="6"/>
  <c r="G225" i="6"/>
  <c r="G234" i="6"/>
  <c r="G233" i="6"/>
  <c r="G232" i="6"/>
  <c r="G231" i="6"/>
  <c r="G230" i="6"/>
  <c r="G238" i="6"/>
  <c r="G237" i="6"/>
  <c r="G235" i="6"/>
  <c r="G236" i="6"/>
  <c r="G239" i="6"/>
  <c r="G240" i="6"/>
  <c r="G252" i="6"/>
  <c r="G251" i="6"/>
  <c r="G250" i="6"/>
  <c r="G249" i="6"/>
  <c r="G248" i="6"/>
  <c r="G247" i="6"/>
  <c r="G245" i="6"/>
  <c r="G244" i="6"/>
  <c r="G243" i="6"/>
  <c r="G242" i="6"/>
  <c r="G246" i="6"/>
  <c r="G241" i="6"/>
  <c r="G253" i="6"/>
  <c r="G255" i="6"/>
  <c r="G257" i="6"/>
  <c r="G256" i="6"/>
  <c r="G254" i="6"/>
  <c r="G259" i="6"/>
  <c r="G258" i="6"/>
  <c r="G268" i="6"/>
  <c r="G267" i="6"/>
  <c r="G266" i="6"/>
  <c r="G265" i="6"/>
  <c r="G264" i="6"/>
  <c r="G263" i="6"/>
  <c r="G262" i="6"/>
  <c r="G261" i="6"/>
  <c r="G270" i="6"/>
  <c r="G271" i="6"/>
  <c r="G260" i="6"/>
  <c r="G269" i="6"/>
  <c r="G275" i="6"/>
  <c r="G274" i="6"/>
  <c r="G273" i="6"/>
  <c r="G272" i="6"/>
  <c r="G283" i="6"/>
  <c r="G282" i="6"/>
  <c r="G281" i="6"/>
  <c r="G280" i="6"/>
  <c r="G279" i="6"/>
  <c r="G278" i="6"/>
  <c r="G277" i="6"/>
  <c r="G276" i="6"/>
  <c r="G290" i="6"/>
  <c r="G291" i="6"/>
  <c r="G286" i="6"/>
  <c r="G285" i="6"/>
  <c r="G289" i="6"/>
  <c r="G288" i="6"/>
  <c r="G287" i="6"/>
  <c r="G284" i="6"/>
  <c r="G297" i="6"/>
  <c r="G298" i="6"/>
  <c r="G295" i="6"/>
  <c r="G294" i="6"/>
  <c r="G292" i="6"/>
  <c r="G299" i="6"/>
  <c r="G293" i="6"/>
  <c r="G296" i="6"/>
  <c r="G304" i="6"/>
  <c r="G307" i="6"/>
  <c r="G306" i="6"/>
  <c r="G301" i="6"/>
  <c r="G305" i="6"/>
  <c r="G303" i="6"/>
  <c r="G302" i="6"/>
  <c r="G300" i="6"/>
  <c r="G317" i="6"/>
  <c r="G316" i="6"/>
  <c r="G308" i="6"/>
  <c r="G313" i="6"/>
  <c r="G312" i="6"/>
  <c r="G311" i="6"/>
  <c r="G314" i="6"/>
  <c r="G315" i="6"/>
  <c r="G309" i="6"/>
  <c r="G310" i="6"/>
  <c r="G321" i="6"/>
  <c r="G320" i="6"/>
  <c r="G319" i="6"/>
  <c r="G318" i="6"/>
  <c r="G322" i="6"/>
  <c r="G323" i="6"/>
  <c r="G331" i="6"/>
  <c r="G330" i="6"/>
  <c r="G329" i="6"/>
  <c r="G333" i="6"/>
  <c r="G332" i="6"/>
  <c r="G326" i="6"/>
  <c r="G325" i="6"/>
  <c r="G324" i="6"/>
  <c r="G327" i="6"/>
  <c r="G328" i="6"/>
  <c r="G336" i="6"/>
  <c r="G337" i="6"/>
  <c r="G335" i="6"/>
  <c r="G334" i="6"/>
  <c r="G344" i="6"/>
  <c r="G345" i="6"/>
  <c r="G346" i="6"/>
  <c r="G338" i="6"/>
  <c r="G342" i="6"/>
  <c r="G343" i="6"/>
  <c r="G341" i="6"/>
  <c r="G340" i="6"/>
  <c r="G339" i="6"/>
  <c r="G354" i="6"/>
  <c r="G352" i="6"/>
  <c r="G353" i="6"/>
  <c r="G355" i="6"/>
  <c r="G351" i="6"/>
  <c r="G350" i="6"/>
  <c r="G349" i="6"/>
  <c r="G348" i="6"/>
  <c r="G347" i="6"/>
  <c r="G356" i="6"/>
  <c r="G357" i="6"/>
  <c r="G364" i="6"/>
  <c r="G365" i="6"/>
  <c r="G366" i="6"/>
  <c r="G367" i="6"/>
  <c r="G362" i="6"/>
  <c r="G368" i="6"/>
  <c r="G360" i="6"/>
  <c r="G363" i="6"/>
  <c r="G359" i="6"/>
  <c r="G358" i="6"/>
  <c r="G371" i="6"/>
  <c r="G370" i="6"/>
  <c r="G369" i="6"/>
  <c r="G361" i="6"/>
  <c r="G373" i="6"/>
  <c r="G379" i="6"/>
  <c r="G372" i="6"/>
  <c r="G374" i="6"/>
  <c r="G375" i="6"/>
  <c r="G376" i="6"/>
  <c r="G377" i="6"/>
  <c r="G378" i="6"/>
  <c r="G384" i="6"/>
  <c r="G385" i="6"/>
  <c r="G383" i="6"/>
  <c r="G382" i="6"/>
  <c r="G380" i="6"/>
  <c r="G381" i="6"/>
  <c r="G389" i="6"/>
  <c r="G390" i="6"/>
  <c r="G394" i="6"/>
  <c r="G386" i="6"/>
  <c r="G392" i="6"/>
  <c r="G388" i="6"/>
  <c r="G393" i="6"/>
  <c r="G391" i="6"/>
  <c r="G387" i="6"/>
  <c r="G398" i="6"/>
  <c r="G399" i="6"/>
  <c r="G395" i="6"/>
  <c r="G402" i="6"/>
  <c r="G401" i="6"/>
  <c r="G400" i="6"/>
  <c r="G397" i="6"/>
  <c r="G396" i="6"/>
  <c r="G411" i="6"/>
  <c r="G403" i="6"/>
  <c r="G404" i="6"/>
  <c r="G405" i="6"/>
  <c r="G408" i="6"/>
  <c r="G407" i="6"/>
  <c r="G406" i="6"/>
  <c r="G410" i="6"/>
  <c r="G409" i="6"/>
  <c r="G415" i="6"/>
  <c r="G416" i="6"/>
  <c r="G412" i="6"/>
  <c r="G414" i="6"/>
  <c r="G413" i="6"/>
  <c r="G423" i="6"/>
  <c r="G424" i="6"/>
  <c r="G419" i="6"/>
  <c r="G422" i="6"/>
  <c r="G421" i="6"/>
  <c r="G420" i="6"/>
  <c r="G418" i="6"/>
  <c r="G417" i="6"/>
  <c r="G434" i="6"/>
  <c r="G432" i="6"/>
  <c r="G433" i="6"/>
  <c r="G431" i="6"/>
  <c r="G430" i="6"/>
  <c r="G429" i="6"/>
  <c r="G428" i="6"/>
  <c r="G427" i="6"/>
  <c r="G425" i="6"/>
  <c r="G426" i="6"/>
  <c r="G435" i="6"/>
  <c r="G436" i="6"/>
  <c r="G437" i="6"/>
  <c r="G439" i="6"/>
  <c r="G441" i="6"/>
  <c r="G438" i="6"/>
  <c r="G445" i="6"/>
  <c r="G444" i="6"/>
  <c r="G443" i="6"/>
  <c r="G447" i="6"/>
  <c r="G446" i="6"/>
  <c r="G442" i="6"/>
  <c r="G440" i="6"/>
  <c r="G453" i="6"/>
  <c r="G452" i="6"/>
  <c r="G451" i="6"/>
  <c r="G454" i="6"/>
  <c r="G450" i="6"/>
  <c r="G449" i="6"/>
  <c r="G448" i="6"/>
  <c r="G456" i="6"/>
  <c r="G455" i="6"/>
  <c r="G461" i="6"/>
  <c r="G459" i="6"/>
  <c r="G458" i="6"/>
  <c r="G457" i="6"/>
  <c r="G463" i="6"/>
  <c r="G462" i="6"/>
  <c r="G460" i="6"/>
  <c r="G464" i="6"/>
  <c r="G465" i="6"/>
  <c r="G469" i="6"/>
  <c r="G468" i="6"/>
  <c r="G467" i="6"/>
  <c r="G466" i="6"/>
  <c r="G471" i="6"/>
  <c r="G470" i="6"/>
  <c r="G472" i="6"/>
  <c r="G476" i="6"/>
  <c r="G475" i="6"/>
  <c r="G477" i="6"/>
  <c r="G474" i="6"/>
  <c r="G473" i="6"/>
  <c r="G481" i="6"/>
  <c r="G482" i="6"/>
  <c r="G478" i="6"/>
  <c r="G479" i="6"/>
  <c r="G480" i="6"/>
  <c r="G483" i="6"/>
  <c r="G489" i="6"/>
  <c r="G488" i="6"/>
  <c r="G485" i="6"/>
  <c r="G484" i="6"/>
  <c r="G486" i="6"/>
  <c r="G487" i="6"/>
  <c r="G491" i="6"/>
  <c r="G490" i="6"/>
  <c r="G499" i="6"/>
  <c r="G498" i="6"/>
  <c r="G501" i="6"/>
  <c r="G495" i="6"/>
  <c r="G494" i="6"/>
  <c r="G493" i="6"/>
  <c r="G500" i="6"/>
  <c r="G502" i="6"/>
  <c r="G492" i="6"/>
  <c r="G496" i="6"/>
  <c r="G497" i="6"/>
  <c r="G512" i="6"/>
  <c r="G503" i="6"/>
  <c r="G504" i="6"/>
  <c r="G505" i="6"/>
  <c r="G509" i="6"/>
  <c r="G508" i="6"/>
  <c r="G507" i="6"/>
  <c r="G506" i="6"/>
  <c r="G510" i="6"/>
  <c r="G511" i="6"/>
  <c r="G521" i="6"/>
  <c r="G520" i="6"/>
  <c r="G519" i="6"/>
  <c r="G518" i="6"/>
  <c r="G517" i="6"/>
  <c r="G516" i="6"/>
  <c r="G515" i="6"/>
  <c r="G514" i="6"/>
  <c r="G513" i="6"/>
  <c r="G524" i="6"/>
  <c r="G525" i="6"/>
  <c r="G523" i="6"/>
  <c r="G526" i="6"/>
  <c r="G522" i="6"/>
  <c r="G533" i="6"/>
  <c r="G535" i="6"/>
  <c r="G529" i="6"/>
  <c r="G528" i="6"/>
  <c r="G527" i="6"/>
  <c r="G534" i="6"/>
  <c r="G532" i="6"/>
  <c r="G531" i="6"/>
  <c r="G530" i="6"/>
  <c r="G536" i="6"/>
  <c r="G540" i="6"/>
  <c r="G538" i="6"/>
  <c r="G537" i="6"/>
  <c r="G543" i="6"/>
  <c r="G544" i="6"/>
  <c r="G545" i="6"/>
  <c r="G546" i="6"/>
  <c r="G541" i="6"/>
  <c r="G542" i="6"/>
  <c r="G539" i="6"/>
  <c r="G555" i="6"/>
  <c r="G550" i="6"/>
  <c r="G547" i="6"/>
  <c r="G549" i="6"/>
  <c r="G548" i="6"/>
  <c r="G554" i="6"/>
  <c r="G551" i="6"/>
  <c r="G552" i="6"/>
  <c r="G553" i="6"/>
  <c r="G558" i="6"/>
  <c r="G557" i="6"/>
  <c r="G556" i="6"/>
  <c r="G565" i="6"/>
  <c r="G560" i="6"/>
  <c r="G559" i="6"/>
  <c r="G562" i="6"/>
  <c r="G561" i="6"/>
  <c r="G564" i="6"/>
  <c r="G563" i="6"/>
  <c r="G567" i="6"/>
  <c r="G569" i="6"/>
  <c r="G568" i="6"/>
  <c r="G566" i="6"/>
  <c r="G570" i="6"/>
  <c r="G572" i="6"/>
  <c r="G571" i="6"/>
  <c r="G575" i="6"/>
  <c r="G579" i="6"/>
  <c r="G574" i="6"/>
  <c r="G576" i="6"/>
  <c r="G578" i="6"/>
  <c r="G577" i="6"/>
  <c r="G573" i="6"/>
  <c r="G587" i="6"/>
  <c r="G584" i="6"/>
  <c r="G583" i="6"/>
  <c r="G582" i="6"/>
  <c r="G581" i="6"/>
  <c r="G580" i="6"/>
  <c r="G585" i="6"/>
  <c r="G586" i="6"/>
  <c r="G593" i="6"/>
  <c r="G591" i="6"/>
  <c r="G592" i="6"/>
  <c r="G589" i="6"/>
  <c r="G588" i="6"/>
  <c r="G594" i="6"/>
  <c r="G590" i="6"/>
  <c r="G596" i="6"/>
  <c r="G595" i="6"/>
  <c r="G599" i="6"/>
  <c r="G601" i="6"/>
  <c r="G600" i="6"/>
  <c r="G602" i="6"/>
  <c r="G598" i="6"/>
  <c r="G597" i="6"/>
  <c r="G604" i="6"/>
  <c r="G603" i="6"/>
  <c r="G611" i="6"/>
  <c r="G610" i="6"/>
  <c r="G605" i="6"/>
  <c r="G608" i="6"/>
  <c r="G609" i="6"/>
  <c r="G606" i="6"/>
  <c r="G607" i="6"/>
  <c r="G619" i="6"/>
  <c r="G612" i="6"/>
  <c r="G615" i="6"/>
  <c r="G614" i="6"/>
  <c r="G613" i="6"/>
  <c r="G618" i="6"/>
  <c r="G617" i="6"/>
  <c r="G616" i="6"/>
  <c r="G623" i="6"/>
  <c r="G620" i="6"/>
  <c r="G622" i="6"/>
  <c r="G621" i="6"/>
  <c r="G626" i="6"/>
  <c r="G627" i="6"/>
  <c r="G624" i="6"/>
  <c r="G625" i="6"/>
  <c r="G629" i="6"/>
  <c r="G628" i="6"/>
  <c r="G637" i="6"/>
  <c r="G638" i="6"/>
  <c r="G630" i="6"/>
  <c r="G631" i="6"/>
  <c r="G635" i="6"/>
  <c r="G636" i="6"/>
  <c r="G632" i="6"/>
  <c r="G633" i="6"/>
  <c r="G634" i="6"/>
  <c r="G646" i="6"/>
  <c r="G645" i="6"/>
  <c r="G644" i="6"/>
  <c r="G647" i="6"/>
  <c r="G639" i="6"/>
  <c r="G643" i="6"/>
  <c r="G641" i="6"/>
  <c r="G642" i="6"/>
  <c r="G640" i="6"/>
  <c r="G649" i="6"/>
  <c r="G648" i="6"/>
  <c r="G650" i="6"/>
  <c r="G651" i="6"/>
  <c r="G662" i="6"/>
  <c r="G661" i="6"/>
  <c r="G658" i="6"/>
  <c r="G657" i="6"/>
  <c r="G652" i="6"/>
  <c r="G655" i="6"/>
  <c r="G654" i="6"/>
  <c r="G653" i="6"/>
  <c r="G659" i="6"/>
  <c r="G660" i="6"/>
  <c r="G656" i="6"/>
  <c r="G670" i="6"/>
  <c r="G663" i="6"/>
  <c r="G665" i="6"/>
  <c r="G664" i="6"/>
  <c r="G668" i="6"/>
  <c r="G669" i="6"/>
  <c r="G666" i="6"/>
  <c r="G667" i="6"/>
  <c r="G675" i="6"/>
  <c r="G680" i="6"/>
  <c r="G681" i="6"/>
  <c r="G682" i="6"/>
  <c r="G677" i="6"/>
  <c r="G678" i="6"/>
  <c r="G679" i="6"/>
  <c r="G676" i="6"/>
  <c r="G673" i="6"/>
  <c r="G674" i="6"/>
  <c r="G672" i="6"/>
  <c r="G671" i="6"/>
  <c r="G691" i="6"/>
  <c r="G690" i="6"/>
  <c r="G687" i="6"/>
  <c r="G685" i="6"/>
  <c r="G686" i="6"/>
  <c r="G689" i="6"/>
  <c r="G684" i="6"/>
  <c r="G683" i="6"/>
  <c r="G688" i="6"/>
  <c r="G696" i="6"/>
  <c r="G692" i="6"/>
  <c r="G695" i="6"/>
  <c r="G694" i="6"/>
  <c r="G693" i="6"/>
  <c r="G697" i="6"/>
  <c r="G702" i="6"/>
  <c r="G700" i="6"/>
  <c r="G699" i="6"/>
  <c r="G698" i="6"/>
  <c r="G701" i="6"/>
  <c r="G705" i="6"/>
  <c r="G706" i="6"/>
  <c r="G703" i="6"/>
  <c r="G704" i="6"/>
  <c r="G709" i="6"/>
  <c r="G708" i="6"/>
  <c r="G707" i="6"/>
  <c r="G713" i="6"/>
  <c r="G712" i="6"/>
  <c r="G710" i="6"/>
  <c r="G711" i="6"/>
  <c r="G715" i="6"/>
  <c r="G714" i="6"/>
  <c r="G718" i="6"/>
  <c r="G717" i="6"/>
  <c r="G716" i="6"/>
  <c r="G723" i="6"/>
  <c r="G722" i="6"/>
  <c r="G721" i="6"/>
  <c r="G720" i="6"/>
  <c r="G719" i="6"/>
  <c r="G725" i="6"/>
  <c r="G724" i="6"/>
  <c r="G726" i="6"/>
  <c r="G727" i="6"/>
  <c r="G728" i="6"/>
  <c r="G729" i="6"/>
  <c r="G735" i="6"/>
  <c r="G736" i="6"/>
  <c r="G734" i="6"/>
  <c r="G733" i="6"/>
  <c r="G732" i="6"/>
  <c r="G731" i="6"/>
  <c r="G730" i="6"/>
  <c r="G737" i="6"/>
  <c r="G738" i="6"/>
  <c r="G740" i="6"/>
  <c r="G739" i="6"/>
  <c r="G741" i="6"/>
  <c r="G742" i="6"/>
  <c r="G743" i="6"/>
  <c r="G744" i="6"/>
  <c r="G745" i="6"/>
  <c r="G746" i="6"/>
  <c r="G747" i="6"/>
  <c r="G748" i="6"/>
  <c r="G754" i="6"/>
  <c r="G753" i="6"/>
  <c r="G752" i="6"/>
  <c r="G751" i="6"/>
  <c r="G750" i="6"/>
  <c r="G749" i="6"/>
  <c r="G756" i="6"/>
  <c r="G759" i="6"/>
  <c r="G755" i="6"/>
  <c r="G758" i="6"/>
  <c r="G757" i="6"/>
  <c r="G766" i="6"/>
  <c r="G765" i="6"/>
  <c r="G764" i="6"/>
  <c r="G768" i="6"/>
  <c r="G761" i="6"/>
  <c r="G760" i="6"/>
  <c r="G767" i="6"/>
  <c r="G763" i="6"/>
  <c r="G762" i="6"/>
  <c r="G776" i="6"/>
  <c r="G775" i="6"/>
  <c r="G774" i="6"/>
  <c r="G773" i="6"/>
  <c r="G771" i="6"/>
  <c r="G772" i="6"/>
  <c r="G770" i="6"/>
  <c r="G769" i="6"/>
  <c r="G780" i="6"/>
  <c r="G782" i="6"/>
  <c r="G779" i="6"/>
  <c r="G778" i="6"/>
  <c r="G777" i="6"/>
  <c r="G781" i="6"/>
  <c r="G786" i="6"/>
  <c r="G785" i="6"/>
  <c r="G784" i="6"/>
  <c r="G783" i="6"/>
  <c r="G787" i="6"/>
  <c r="G788" i="6"/>
  <c r="G796" i="6"/>
  <c r="G795" i="6"/>
  <c r="G794" i="6"/>
  <c r="G793" i="6"/>
  <c r="G790" i="6"/>
  <c r="G789" i="6"/>
  <c r="G792" i="6"/>
  <c r="G791" i="6"/>
  <c r="G797" i="6"/>
  <c r="G804" i="6"/>
  <c r="G803" i="6"/>
  <c r="G802" i="6"/>
  <c r="G801" i="6"/>
  <c r="G800" i="6"/>
  <c r="G799" i="6"/>
  <c r="G798" i="6"/>
  <c r="G805" i="6"/>
  <c r="G812" i="6"/>
  <c r="G813" i="6"/>
  <c r="G810" i="6"/>
  <c r="G807" i="6"/>
  <c r="G806" i="6"/>
  <c r="G811" i="6"/>
  <c r="G809" i="6"/>
  <c r="G808" i="6"/>
  <c r="G816" i="6"/>
  <c r="G815" i="6"/>
  <c r="G814" i="6"/>
  <c r="G819" i="6"/>
  <c r="G818" i="6"/>
  <c r="G817" i="6"/>
  <c r="G822" i="6"/>
  <c r="G821" i="6"/>
  <c r="G820" i="6"/>
  <c r="G824" i="6"/>
  <c r="G823" i="6"/>
  <c r="G827" i="6"/>
  <c r="G826" i="6"/>
  <c r="G825" i="6"/>
  <c r="G829" i="6"/>
  <c r="G828" i="6"/>
  <c r="G7" i="6"/>
  <c r="C2" i="6" l="1"/>
  <c r="C283" i="6"/>
  <c r="C144" i="6"/>
  <c r="C26" i="6"/>
  <c r="C6" i="6"/>
  <c r="C55" i="6"/>
  <c r="C245" i="6"/>
  <c r="C165" i="6"/>
  <c r="C54" i="6"/>
  <c r="C201" i="6"/>
  <c r="C141" i="6"/>
  <c r="C30" i="6"/>
  <c r="C308" i="6"/>
  <c r="C99" i="6"/>
  <c r="C33" i="6"/>
  <c r="C332" i="6"/>
  <c r="C162" i="6"/>
  <c r="C126" i="6"/>
  <c r="C323" i="6"/>
  <c r="C232" i="6"/>
  <c r="C14" i="6"/>
  <c r="C224" i="6"/>
  <c r="C65" i="6"/>
  <c r="C267" i="6"/>
  <c r="C106" i="6"/>
  <c r="C77" i="6"/>
  <c r="C173" i="6"/>
  <c r="C215" i="6"/>
  <c r="C316" i="6"/>
  <c r="C194" i="6"/>
  <c r="C253" i="6"/>
  <c r="C113" i="6"/>
  <c r="C206" i="6"/>
  <c r="C242" i="6"/>
  <c r="C275" i="6"/>
  <c r="C291" i="6"/>
  <c r="C250" i="6"/>
  <c r="C46" i="6"/>
  <c r="C279" i="6"/>
  <c r="C41" i="6"/>
  <c r="C108" i="6"/>
  <c r="C311" i="6"/>
  <c r="C76" i="6"/>
  <c r="C73" i="6"/>
  <c r="C85" i="6"/>
  <c r="C74" i="6"/>
  <c r="C181" i="6"/>
  <c r="C320" i="6"/>
  <c r="C21" i="6"/>
  <c r="C192" i="6"/>
  <c r="C304" i="6"/>
  <c r="C306" i="6"/>
  <c r="C148" i="6"/>
  <c r="C19" i="6"/>
  <c r="C282" i="6"/>
  <c r="C24" i="6"/>
  <c r="C203" i="6"/>
  <c r="C13" i="6"/>
  <c r="C239" i="6"/>
  <c r="C318" i="6"/>
  <c r="C302" i="6"/>
  <c r="C129" i="6"/>
  <c r="C209" i="6"/>
  <c r="C136" i="6"/>
  <c r="C38" i="6"/>
  <c r="C254" i="6"/>
  <c r="C134" i="6"/>
  <c r="C262" i="6"/>
  <c r="C103" i="6"/>
  <c r="C119" i="6"/>
  <c r="C298" i="6"/>
  <c r="C168" i="6"/>
  <c r="C241" i="6"/>
  <c r="C212" i="6"/>
  <c r="C266" i="6"/>
  <c r="C252" i="6"/>
  <c r="C17" i="6"/>
  <c r="C177" i="6"/>
  <c r="C86" i="6"/>
  <c r="C121" i="6"/>
  <c r="C214" i="6"/>
  <c r="C317" i="6"/>
  <c r="C248" i="6"/>
  <c r="C303" i="6"/>
  <c r="C117" i="6"/>
  <c r="C131" i="6"/>
  <c r="C101" i="6"/>
  <c r="C321" i="6"/>
  <c r="C280" i="6"/>
  <c r="C122" i="6"/>
  <c r="C67" i="6"/>
  <c r="C294" i="6"/>
  <c r="C130" i="6"/>
  <c r="C138" i="6"/>
  <c r="C59" i="6"/>
  <c r="C229" i="6"/>
  <c r="C36" i="6"/>
  <c r="C71" i="6"/>
  <c r="C256" i="6"/>
  <c r="C219" i="6"/>
  <c r="C3" i="6"/>
  <c r="C53" i="6"/>
  <c r="C118" i="6"/>
  <c r="C244" i="6"/>
  <c r="C166" i="6"/>
  <c r="C95" i="6"/>
  <c r="C133" i="6"/>
  <c r="C22" i="6"/>
  <c r="C249" i="6"/>
  <c r="C223" i="6"/>
  <c r="C233" i="6"/>
  <c r="C169" i="6"/>
  <c r="C100" i="6"/>
  <c r="C140" i="6"/>
  <c r="C143" i="6"/>
  <c r="C297" i="6"/>
  <c r="C207" i="6"/>
  <c r="C11" i="6"/>
  <c r="C284" i="6"/>
  <c r="C307" i="6"/>
  <c r="C199" i="6"/>
  <c r="C58" i="6"/>
  <c r="C87" i="6"/>
  <c r="C261" i="6"/>
  <c r="C64" i="6"/>
  <c r="C97" i="6"/>
  <c r="C257" i="6"/>
  <c r="C96" i="6"/>
  <c r="C315" i="6"/>
  <c r="C175" i="6"/>
  <c r="C149" i="6"/>
  <c r="C222" i="6"/>
  <c r="C146" i="6"/>
  <c r="C167" i="6"/>
  <c r="C195" i="6"/>
  <c r="C324" i="6"/>
  <c r="C293" i="6"/>
  <c r="C218" i="6"/>
  <c r="C29" i="6"/>
  <c r="C174" i="6"/>
  <c r="C110" i="6"/>
  <c r="C79" i="6"/>
  <c r="C264" i="6"/>
  <c r="C198" i="6"/>
  <c r="C164" i="6"/>
  <c r="C124" i="6"/>
  <c r="C271" i="6"/>
  <c r="C325" i="6"/>
  <c r="C238" i="6"/>
  <c r="C105" i="6"/>
  <c r="C83" i="6"/>
  <c r="C296" i="6"/>
  <c r="C28" i="6"/>
  <c r="C56" i="6"/>
  <c r="C40" i="6"/>
  <c r="C81" i="6"/>
  <c r="C179" i="6"/>
  <c r="C270" i="6"/>
  <c r="C16" i="6"/>
  <c r="C231" i="6"/>
  <c r="C27" i="6"/>
  <c r="C228" i="6"/>
  <c r="C246" i="6"/>
  <c r="C288" i="6"/>
  <c r="C300" i="6"/>
  <c r="C18" i="6"/>
  <c r="C69" i="6"/>
  <c r="C176" i="6"/>
  <c r="C7" i="6"/>
  <c r="C230" i="6"/>
  <c r="C278" i="6"/>
  <c r="C31" i="6"/>
  <c r="C290" i="6"/>
  <c r="C240" i="6"/>
  <c r="C98" i="6"/>
  <c r="C273" i="6"/>
  <c r="C88" i="6"/>
  <c r="C251" i="6"/>
  <c r="C52" i="6"/>
  <c r="C287" i="6"/>
  <c r="C39" i="6"/>
  <c r="C63" i="6"/>
  <c r="C61" i="6"/>
  <c r="C68" i="6"/>
  <c r="C272" i="6"/>
  <c r="C314" i="6"/>
  <c r="C109" i="6"/>
  <c r="C299" i="6"/>
  <c r="C312" i="6"/>
  <c r="C66" i="6"/>
  <c r="C90" i="6"/>
  <c r="C211" i="6"/>
  <c r="C60" i="6"/>
  <c r="C94" i="6"/>
  <c r="C326" i="6"/>
  <c r="C128" i="6"/>
  <c r="C163" i="6"/>
  <c r="C62" i="6"/>
  <c r="C281" i="6"/>
  <c r="C292" i="6"/>
  <c r="C277" i="6"/>
  <c r="C75" i="6"/>
  <c r="C286" i="6"/>
  <c r="C236" i="6"/>
  <c r="C205" i="6"/>
  <c r="C333" i="6"/>
  <c r="C160" i="6"/>
  <c r="C221" i="6"/>
  <c r="C301" i="6"/>
  <c r="C274" i="6"/>
  <c r="C213" i="6"/>
  <c r="C32" i="6"/>
  <c r="C50" i="6"/>
  <c r="C217" i="6"/>
  <c r="C115" i="6"/>
  <c r="C145" i="6"/>
  <c r="C210" i="6"/>
  <c r="C57" i="6"/>
  <c r="C156" i="6"/>
  <c r="C255" i="6"/>
  <c r="C193" i="6"/>
  <c r="C237" i="6"/>
  <c r="C171" i="6"/>
  <c r="C47" i="6"/>
  <c r="C285" i="6"/>
  <c r="C34" i="6"/>
  <c r="C151" i="6"/>
  <c r="C51" i="6"/>
  <c r="C102" i="6"/>
  <c r="C82" i="6"/>
  <c r="C139" i="6"/>
  <c r="C93" i="6"/>
  <c r="C37" i="6"/>
  <c r="C4" i="6"/>
  <c r="C72" i="6"/>
  <c r="C180" i="6"/>
  <c r="C289" i="6"/>
  <c r="C111" i="6"/>
  <c r="C172" i="6"/>
  <c r="C310" i="6"/>
  <c r="C190" i="6"/>
  <c r="C263" i="6"/>
  <c r="C92" i="6"/>
  <c r="C208" i="6"/>
  <c r="C276" i="6"/>
  <c r="C155" i="6"/>
  <c r="C147" i="6"/>
  <c r="C9" i="6"/>
  <c r="C10" i="6"/>
  <c r="C135" i="6"/>
  <c r="C35" i="6"/>
  <c r="C189" i="6"/>
  <c r="C200" i="6"/>
  <c r="C268" i="6"/>
  <c r="C45" i="6"/>
  <c r="C305" i="6"/>
  <c r="C114" i="6"/>
  <c r="C125" i="6"/>
  <c r="C295" i="6"/>
  <c r="C48" i="6"/>
  <c r="C202" i="6"/>
  <c r="C220" i="6"/>
  <c r="C247" i="6"/>
  <c r="C43" i="6"/>
  <c r="C142" i="6"/>
  <c r="C226" i="6"/>
  <c r="C15" i="6"/>
  <c r="C104" i="6"/>
  <c r="C132" i="6"/>
  <c r="C170" i="6"/>
  <c r="C116" i="6"/>
  <c r="C150" i="6"/>
  <c r="C216" i="6"/>
  <c r="C84" i="6"/>
  <c r="C123" i="6"/>
  <c r="C204" i="6"/>
  <c r="C25" i="6"/>
  <c r="C127" i="6"/>
  <c r="C185" i="6"/>
  <c r="C8" i="6"/>
  <c r="C78" i="6"/>
  <c r="C89" i="6"/>
  <c r="C227" i="6"/>
  <c r="C137" i="6"/>
  <c r="C322" i="6"/>
  <c r="C260" i="6"/>
  <c r="C44" i="6"/>
  <c r="C42" i="6"/>
  <c r="C80" i="6"/>
  <c r="C309" i="6"/>
  <c r="C191" i="6"/>
  <c r="C265" i="6"/>
  <c r="C112" i="6"/>
  <c r="C91" i="6"/>
  <c r="C319" i="6"/>
  <c r="C120" i="6"/>
  <c r="C12" i="6"/>
  <c r="C159" i="6"/>
  <c r="C70" i="6"/>
  <c r="C234" i="6"/>
  <c r="C225" i="6"/>
  <c r="C235" i="6"/>
  <c r="C243" i="6"/>
  <c r="C182" i="6"/>
  <c r="C313" i="6"/>
  <c r="C20" i="6"/>
  <c r="B1951" i="6" l="1" a="1"/>
  <c r="B1951" i="6" s="1"/>
  <c r="B1928" i="6" a="1"/>
  <c r="B1928" i="6" s="1"/>
  <c r="B1909" i="6" a="1"/>
  <c r="B1909" i="6" s="1"/>
  <c r="B1884" i="6" a="1"/>
  <c r="B1884" i="6" s="1"/>
  <c r="B1861" i="6" a="1"/>
  <c r="B1861" i="6" s="1"/>
  <c r="B1860" i="6" a="1"/>
  <c r="B1860" i="6" s="1"/>
  <c r="B1822" i="6" a="1"/>
  <c r="B1822" i="6" s="1"/>
  <c r="B1821" i="6" a="1"/>
  <c r="B1821" i="6" s="1"/>
  <c r="B1820" i="6" a="1"/>
  <c r="B1820" i="6" s="1"/>
  <c r="B1819" i="6" a="1"/>
  <c r="B1819" i="6" s="1"/>
  <c r="B1818" i="6" a="1"/>
  <c r="B1818" i="6" s="1"/>
  <c r="B1817" i="6" a="1"/>
  <c r="B1817" i="6" s="1"/>
  <c r="B1778" i="6" a="1"/>
  <c r="B1778" i="6" s="1"/>
  <c r="B1784" i="6" a="1"/>
  <c r="B1784" i="6" s="1"/>
  <c r="B1771" i="6" a="1"/>
  <c r="B1771" i="6" s="1"/>
  <c r="B1740" i="6" a="1"/>
  <c r="B1740" i="6" s="1"/>
  <c r="B1749" i="6" a="1"/>
  <c r="B1749" i="6" s="1"/>
  <c r="B1748" i="6" a="1"/>
  <c r="B1748" i="6" s="1"/>
  <c r="B1750" i="6" a="1"/>
  <c r="B1750" i="6" s="1"/>
  <c r="B1742" i="6" a="1"/>
  <c r="B1742" i="6" s="1"/>
  <c r="B1708" i="6" a="1"/>
  <c r="B1708" i="6" s="1"/>
  <c r="B1710" i="6" a="1"/>
  <c r="B1710" i="6" s="1"/>
  <c r="B1704" i="6" a="1"/>
  <c r="B1704" i="6" s="1"/>
  <c r="B1703" i="6" a="1"/>
  <c r="B1703" i="6" s="1"/>
  <c r="B1702" i="6" a="1"/>
  <c r="B1702" i="6" s="1"/>
  <c r="B1701" i="6" a="1"/>
  <c r="B1701" i="6" s="1"/>
  <c r="B1700" i="6" a="1"/>
  <c r="B1700" i="6" s="1"/>
  <c r="B1699" i="6" a="1"/>
  <c r="B1699" i="6" s="1"/>
  <c r="B1698" i="6" a="1"/>
  <c r="B1698" i="6" s="1"/>
  <c r="B1697" i="6" a="1"/>
  <c r="B1697" i="6" s="1"/>
  <c r="B1695" i="6" a="1"/>
  <c r="B1695" i="6" s="1"/>
  <c r="B1688" i="6" a="1"/>
  <c r="B1688" i="6" s="1"/>
  <c r="B1684" i="6" a="1"/>
  <c r="B1684" i="6" s="1"/>
  <c r="B1674" i="6" a="1"/>
  <c r="B1674" i="6" s="1"/>
  <c r="B1647" i="6" a="1"/>
  <c r="B1647" i="6" s="1"/>
  <c r="B1629" i="6" a="1"/>
  <c r="B1629" i="6" s="1"/>
  <c r="B1601" i="6" a="1"/>
  <c r="B1601" i="6" s="1"/>
  <c r="B1573" i="6" a="1"/>
  <c r="B1573" i="6" s="1"/>
  <c r="B1572" i="6" a="1"/>
  <c r="B1572" i="6" s="1"/>
  <c r="B1571" i="6" a="1"/>
  <c r="B1571" i="6" s="1"/>
  <c r="B1578" i="6" a="1"/>
  <c r="B1578" i="6" s="1"/>
  <c r="B1577" i="6" a="1"/>
  <c r="B1577" i="6" s="1"/>
  <c r="B1570" i="6" a="1"/>
  <c r="B1570" i="6" s="1"/>
  <c r="B1568" i="6" a="1"/>
  <c r="B1568" i="6" s="1"/>
  <c r="B1564" i="6" a="1"/>
  <c r="B1564" i="6" s="1"/>
  <c r="B1565" i="6" a="1"/>
  <c r="B1565" i="6" s="1"/>
  <c r="B1569" i="6" a="1"/>
  <c r="B1569" i="6" s="1"/>
  <c r="B1567" i="6" a="1"/>
  <c r="B1567" i="6" s="1"/>
  <c r="B1566" i="6" a="1"/>
  <c r="B1566" i="6" s="1"/>
  <c r="B1561" i="6" a="1"/>
  <c r="B1561" i="6" s="1"/>
  <c r="B1557" i="6" a="1"/>
  <c r="B1557" i="6" s="1"/>
  <c r="B1532" i="6" a="1"/>
  <c r="B1532" i="6" s="1"/>
  <c r="B1509" i="6" a="1"/>
  <c r="B1509" i="6" s="1"/>
  <c r="B1489" i="6" a="1"/>
  <c r="B1489" i="6" s="1"/>
  <c r="B1488" i="6" a="1"/>
  <c r="B1488" i="6" s="1"/>
  <c r="B1495" i="6" a="1"/>
  <c r="B1495" i="6" s="1"/>
  <c r="B1472" i="6" a="1"/>
  <c r="B1472" i="6" s="1"/>
  <c r="B1473" i="6" a="1"/>
  <c r="B1473" i="6" s="1"/>
  <c r="B1474" i="6" a="1"/>
  <c r="B1474" i="6" s="1"/>
  <c r="B1471" i="6" a="1"/>
  <c r="B1471" i="6" s="1"/>
  <c r="B1445" i="6" a="1"/>
  <c r="B1445" i="6" s="1"/>
  <c r="B1337" i="6" a="1"/>
  <c r="B1337" i="6" s="1"/>
  <c r="B1348" i="6" a="1"/>
  <c r="B1348" i="6" s="1"/>
  <c r="B1347" i="6" a="1"/>
  <c r="B1347" i="6" s="1"/>
  <c r="B1346" i="6" a="1"/>
  <c r="B1346" i="6" s="1"/>
  <c r="B1345" i="6" a="1"/>
  <c r="B1345" i="6" s="1"/>
  <c r="B1344" i="6" a="1"/>
  <c r="B1344" i="6" s="1"/>
  <c r="B1343" i="6" a="1"/>
  <c r="B1343" i="6" s="1"/>
  <c r="B1342" i="6" a="1"/>
  <c r="B1342" i="6" s="1"/>
  <c r="B1341" i="6" a="1"/>
  <c r="B1341" i="6" s="1"/>
  <c r="B1340" i="6" a="1"/>
  <c r="B1340" i="6" s="1"/>
  <c r="B3035" i="6" a="1"/>
  <c r="B3035" i="6" s="1"/>
  <c r="B3034" i="6" a="1"/>
  <c r="B3034" i="6" s="1"/>
  <c r="B3033" i="6" a="1"/>
  <c r="B3033" i="6" s="1"/>
  <c r="B3032" i="6" a="1"/>
  <c r="B3032" i="6" s="1"/>
  <c r="B3031" i="6" a="1"/>
  <c r="B3031" i="6" s="1"/>
  <c r="B3030" i="6" a="1"/>
  <c r="B3030" i="6" s="1"/>
  <c r="B3029" i="6" a="1"/>
  <c r="B3029" i="6" s="1"/>
  <c r="B3028" i="6" a="1"/>
  <c r="B3028" i="6" s="1"/>
  <c r="B3027" i="6" a="1"/>
  <c r="B3027" i="6" s="1"/>
  <c r="B3026" i="6" a="1"/>
  <c r="B3026" i="6" s="1"/>
  <c r="B3025" i="6" a="1"/>
  <c r="B3025" i="6" s="1"/>
  <c r="B3024" i="6" a="1"/>
  <c r="B3024" i="6" s="1"/>
  <c r="B3023" i="6" a="1"/>
  <c r="B3023" i="6" s="1"/>
  <c r="B3022" i="6" a="1"/>
  <c r="B3022" i="6" s="1"/>
  <c r="B3021" i="6" a="1"/>
  <c r="B3021" i="6" s="1"/>
  <c r="B3020" i="6" a="1"/>
  <c r="B3020" i="6" s="1"/>
  <c r="B3019" i="6" a="1"/>
  <c r="B3019" i="6" s="1"/>
  <c r="B3016" i="6" a="1"/>
  <c r="B3016" i="6" s="1"/>
  <c r="B3013" i="6" a="1"/>
  <c r="B3013" i="6" s="1"/>
  <c r="B3010" i="6" a="1"/>
  <c r="B3010" i="6" s="1"/>
  <c r="B3007" i="6" a="1"/>
  <c r="B3007" i="6" s="1"/>
  <c r="B3004" i="6" a="1"/>
  <c r="B3004" i="6" s="1"/>
  <c r="B3001" i="6" a="1"/>
  <c r="B3001" i="6" s="1"/>
  <c r="B2998" i="6" a="1"/>
  <c r="B2998" i="6" s="1"/>
  <c r="B2995" i="6" a="1"/>
  <c r="B2995" i="6" s="1"/>
  <c r="B2992" i="6" a="1"/>
  <c r="B2992" i="6" s="1"/>
  <c r="B2989" i="6" a="1"/>
  <c r="B2989" i="6" s="1"/>
  <c r="B2986" i="6" a="1"/>
  <c r="B2986" i="6" s="1"/>
  <c r="B2983" i="6" a="1"/>
  <c r="B2983" i="6" s="1"/>
  <c r="B2980" i="6" a="1"/>
  <c r="B2980" i="6" s="1"/>
  <c r="B2977" i="6" a="1"/>
  <c r="B2977" i="6" s="1"/>
  <c r="B2974" i="6" a="1"/>
  <c r="B2974" i="6" s="1"/>
  <c r="B2971" i="6" a="1"/>
  <c r="B2971" i="6" s="1"/>
  <c r="B2968" i="6" a="1"/>
  <c r="B2968" i="6" s="1"/>
  <c r="B2965" i="6" a="1"/>
  <c r="B2965" i="6" s="1"/>
  <c r="B2962" i="6" a="1"/>
  <c r="B2962" i="6" s="1"/>
  <c r="B2959" i="6" a="1"/>
  <c r="B2959" i="6" s="1"/>
  <c r="B2956" i="6" a="1"/>
  <c r="B2956" i="6" s="1"/>
  <c r="B2953" i="6" a="1"/>
  <c r="B2953" i="6" s="1"/>
  <c r="B2950" i="6" a="1"/>
  <c r="B2950" i="6" s="1"/>
  <c r="B2947" i="6" a="1"/>
  <c r="B2947" i="6" s="1"/>
  <c r="B2944" i="6" a="1"/>
  <c r="B2944" i="6" s="1"/>
  <c r="B2941" i="6" a="1"/>
  <c r="B2941" i="6" s="1"/>
  <c r="B2938" i="6" a="1"/>
  <c r="B2938" i="6" s="1"/>
  <c r="B2935" i="6" a="1"/>
  <c r="B2935" i="6" s="1"/>
  <c r="B2932" i="6" a="1"/>
  <c r="B2932" i="6" s="1"/>
  <c r="B2929" i="6" a="1"/>
  <c r="B2929" i="6" s="1"/>
  <c r="B2926" i="6" a="1"/>
  <c r="B2926" i="6" s="1"/>
  <c r="B2923" i="6" a="1"/>
  <c r="B2923" i="6" s="1"/>
  <c r="B2920" i="6" a="1"/>
  <c r="B2920" i="6" s="1"/>
  <c r="B2917" i="6" a="1"/>
  <c r="B2917" i="6" s="1"/>
  <c r="B2914" i="6" a="1"/>
  <c r="B2914" i="6" s="1"/>
  <c r="B2911" i="6" a="1"/>
  <c r="B2911" i="6" s="1"/>
  <c r="B2908" i="6" a="1"/>
  <c r="B2908" i="6" s="1"/>
  <c r="B2905" i="6" a="1"/>
  <c r="B2905" i="6" s="1"/>
  <c r="B2902" i="6" a="1"/>
  <c r="B2902" i="6" s="1"/>
  <c r="B2899" i="6" a="1"/>
  <c r="B2899" i="6" s="1"/>
  <c r="B2896" i="6" a="1"/>
  <c r="B2896" i="6" s="1"/>
  <c r="B2893" i="6" a="1"/>
  <c r="B2893" i="6" s="1"/>
  <c r="B2890" i="6" a="1"/>
  <c r="B2890" i="6" s="1"/>
  <c r="B2887" i="6" a="1"/>
  <c r="B2887" i="6" s="1"/>
  <c r="B2884" i="6" a="1"/>
  <c r="B2884" i="6" s="1"/>
  <c r="B2881" i="6" a="1"/>
  <c r="B2881" i="6" s="1"/>
  <c r="B2878" i="6" a="1"/>
  <c r="B2878" i="6" s="1"/>
  <c r="B2875" i="6" a="1"/>
  <c r="B2875" i="6" s="1"/>
  <c r="B2872" i="6" a="1"/>
  <c r="B2872" i="6" s="1"/>
  <c r="B2869" i="6" a="1"/>
  <c r="B2869" i="6" s="1"/>
  <c r="B2866" i="6" a="1"/>
  <c r="B2866" i="6" s="1"/>
  <c r="B2863" i="6" a="1"/>
  <c r="B2863" i="6" s="1"/>
  <c r="B2860" i="6" a="1"/>
  <c r="B2860" i="6" s="1"/>
  <c r="B2857" i="6" a="1"/>
  <c r="B2857" i="6" s="1"/>
  <c r="B2854" i="6" a="1"/>
  <c r="B2854" i="6" s="1"/>
  <c r="B2851" i="6" a="1"/>
  <c r="B2851" i="6" s="1"/>
  <c r="B2848" i="6" a="1"/>
  <c r="B2848" i="6" s="1"/>
  <c r="B2845" i="6" a="1"/>
  <c r="B2845" i="6" s="1"/>
  <c r="B2842" i="6" a="1"/>
  <c r="B2842" i="6" s="1"/>
  <c r="B2839" i="6" a="1"/>
  <c r="B2839" i="6" s="1"/>
  <c r="B2836" i="6" a="1"/>
  <c r="B2836" i="6" s="1"/>
  <c r="B2833" i="6" a="1"/>
  <c r="B2833" i="6" s="1"/>
  <c r="B2830" i="6" a="1"/>
  <c r="B2830" i="6" s="1"/>
  <c r="B2827" i="6" a="1"/>
  <c r="B2827" i="6" s="1"/>
  <c r="B2824" i="6" a="1"/>
  <c r="B2824" i="6" s="1"/>
  <c r="B2821" i="6" a="1"/>
  <c r="B2821" i="6" s="1"/>
  <c r="B2818" i="6" a="1"/>
  <c r="B2818" i="6" s="1"/>
  <c r="B2815" i="6" a="1"/>
  <c r="B2815" i="6" s="1"/>
  <c r="B2812" i="6" a="1"/>
  <c r="B2812" i="6" s="1"/>
  <c r="B2809" i="6" a="1"/>
  <c r="B2809" i="6" s="1"/>
  <c r="B2806" i="6" a="1"/>
  <c r="B2806" i="6" s="1"/>
  <c r="B2803" i="6" a="1"/>
  <c r="B2803" i="6" s="1"/>
  <c r="B2800" i="6" a="1"/>
  <c r="B2800" i="6" s="1"/>
  <c r="B2797" i="6" a="1"/>
  <c r="B2797" i="6" s="1"/>
  <c r="B2794" i="6" a="1"/>
  <c r="B2794" i="6" s="1"/>
  <c r="B2791" i="6" a="1"/>
  <c r="B2791" i="6" s="1"/>
  <c r="B2788" i="6" a="1"/>
  <c r="B2788" i="6" s="1"/>
  <c r="B2785" i="6" a="1"/>
  <c r="B2785" i="6" s="1"/>
  <c r="B2782" i="6" a="1"/>
  <c r="B2782" i="6" s="1"/>
  <c r="B2779" i="6" a="1"/>
  <c r="B2779" i="6" s="1"/>
  <c r="B2776" i="6" a="1"/>
  <c r="B2776" i="6" s="1"/>
  <c r="B2773" i="6" a="1"/>
  <c r="B2773" i="6" s="1"/>
  <c r="B2770" i="6" a="1"/>
  <c r="B2770" i="6" s="1"/>
  <c r="B2767" i="6" a="1"/>
  <c r="B2767" i="6" s="1"/>
  <c r="B3018" i="6" a="1"/>
  <c r="B3018" i="6" s="1"/>
  <c r="B3015" i="6" a="1"/>
  <c r="B3015" i="6" s="1"/>
  <c r="B3012" i="6" a="1"/>
  <c r="B3012" i="6" s="1"/>
  <c r="B3009" i="6" a="1"/>
  <c r="B3009" i="6" s="1"/>
  <c r="B3006" i="6" a="1"/>
  <c r="B3006" i="6" s="1"/>
  <c r="B3003" i="6" a="1"/>
  <c r="B3003" i="6" s="1"/>
  <c r="B3000" i="6" a="1"/>
  <c r="B3000" i="6" s="1"/>
  <c r="B2997" i="6" a="1"/>
  <c r="B2997" i="6" s="1"/>
  <c r="B2994" i="6" a="1"/>
  <c r="B2994" i="6" s="1"/>
  <c r="B2991" i="6" a="1"/>
  <c r="B2991" i="6" s="1"/>
  <c r="B2988" i="6" a="1"/>
  <c r="B2988" i="6" s="1"/>
  <c r="B2985" i="6" a="1"/>
  <c r="B2985" i="6" s="1"/>
  <c r="B2982" i="6" a="1"/>
  <c r="B2982" i="6" s="1"/>
  <c r="B2979" i="6" a="1"/>
  <c r="B2979" i="6" s="1"/>
  <c r="B2976" i="6" a="1"/>
  <c r="B2976" i="6" s="1"/>
  <c r="B2973" i="6" a="1"/>
  <c r="B2973" i="6" s="1"/>
  <c r="B2970" i="6" a="1"/>
  <c r="B2970" i="6" s="1"/>
  <c r="B2967" i="6" a="1"/>
  <c r="B2967" i="6" s="1"/>
  <c r="B2964" i="6" a="1"/>
  <c r="B2964" i="6" s="1"/>
  <c r="B2961" i="6" a="1"/>
  <c r="B2961" i="6" s="1"/>
  <c r="B2958" i="6" a="1"/>
  <c r="B2958" i="6" s="1"/>
  <c r="B2955" i="6" a="1"/>
  <c r="B2955" i="6" s="1"/>
  <c r="B2952" i="6" a="1"/>
  <c r="B2952" i="6" s="1"/>
  <c r="B2949" i="6" a="1"/>
  <c r="B2949" i="6" s="1"/>
  <c r="B2946" i="6" a="1"/>
  <c r="B2946" i="6" s="1"/>
  <c r="B2943" i="6" a="1"/>
  <c r="B2943" i="6" s="1"/>
  <c r="B2940" i="6" a="1"/>
  <c r="B2940" i="6" s="1"/>
  <c r="B2937" i="6" a="1"/>
  <c r="B2937" i="6" s="1"/>
  <c r="B2934" i="6" a="1"/>
  <c r="B2934" i="6" s="1"/>
  <c r="B2931" i="6" a="1"/>
  <c r="B2931" i="6" s="1"/>
  <c r="B2928" i="6" a="1"/>
  <c r="B2928" i="6" s="1"/>
  <c r="B2925" i="6" a="1"/>
  <c r="B2925" i="6" s="1"/>
  <c r="B2922" i="6" a="1"/>
  <c r="B2922" i="6" s="1"/>
  <c r="B2919" i="6" a="1"/>
  <c r="B2919" i="6" s="1"/>
  <c r="B2916" i="6" a="1"/>
  <c r="B2916" i="6" s="1"/>
  <c r="B2913" i="6" a="1"/>
  <c r="B2913" i="6" s="1"/>
  <c r="B2910" i="6" a="1"/>
  <c r="B2910" i="6" s="1"/>
  <c r="B2907" i="6" a="1"/>
  <c r="B2907" i="6" s="1"/>
  <c r="B2904" i="6" a="1"/>
  <c r="B2904" i="6" s="1"/>
  <c r="B2901" i="6" a="1"/>
  <c r="B2901" i="6" s="1"/>
  <c r="B2898" i="6" a="1"/>
  <c r="B2898" i="6" s="1"/>
  <c r="B2895" i="6" a="1"/>
  <c r="B2895" i="6" s="1"/>
  <c r="B2892" i="6" a="1"/>
  <c r="B2892" i="6" s="1"/>
  <c r="B2889" i="6" a="1"/>
  <c r="B2889" i="6" s="1"/>
  <c r="B2886" i="6" a="1"/>
  <c r="B2886" i="6" s="1"/>
  <c r="B2883" i="6" a="1"/>
  <c r="B2883" i="6" s="1"/>
  <c r="B2880" i="6" a="1"/>
  <c r="B2880" i="6" s="1"/>
  <c r="B2877" i="6" a="1"/>
  <c r="B2877" i="6" s="1"/>
  <c r="B2874" i="6" a="1"/>
  <c r="B2874" i="6" s="1"/>
  <c r="B2871" i="6" a="1"/>
  <c r="B2871" i="6" s="1"/>
  <c r="B2868" i="6" a="1"/>
  <c r="B2868" i="6" s="1"/>
  <c r="B2865" i="6" a="1"/>
  <c r="B2865" i="6" s="1"/>
  <c r="B2862" i="6" a="1"/>
  <c r="B2862" i="6" s="1"/>
  <c r="B2859" i="6" a="1"/>
  <c r="B2859" i="6" s="1"/>
  <c r="B2856" i="6" a="1"/>
  <c r="B2856" i="6" s="1"/>
  <c r="B2853" i="6" a="1"/>
  <c r="B2853" i="6" s="1"/>
  <c r="B2850" i="6" a="1"/>
  <c r="B2850" i="6" s="1"/>
  <c r="B2847" i="6" a="1"/>
  <c r="B2847" i="6" s="1"/>
  <c r="B2844" i="6" a="1"/>
  <c r="B2844" i="6" s="1"/>
  <c r="B2841" i="6" a="1"/>
  <c r="B2841" i="6" s="1"/>
  <c r="B2838" i="6" a="1"/>
  <c r="B2838" i="6" s="1"/>
  <c r="B2835" i="6" a="1"/>
  <c r="B2835" i="6" s="1"/>
  <c r="B2832" i="6" a="1"/>
  <c r="B2832" i="6" s="1"/>
  <c r="B2829" i="6" a="1"/>
  <c r="B2829" i="6" s="1"/>
  <c r="B2826" i="6" a="1"/>
  <c r="B2826" i="6" s="1"/>
  <c r="B2823" i="6" a="1"/>
  <c r="B2823" i="6" s="1"/>
  <c r="B2820" i="6" a="1"/>
  <c r="B2820" i="6" s="1"/>
  <c r="B2817" i="6" a="1"/>
  <c r="B2817" i="6" s="1"/>
  <c r="B2814" i="6" a="1"/>
  <c r="B2814" i="6" s="1"/>
  <c r="B2811" i="6" a="1"/>
  <c r="B2811" i="6" s="1"/>
  <c r="B2808" i="6" a="1"/>
  <c r="B2808" i="6" s="1"/>
  <c r="B3017" i="6" a="1"/>
  <c r="B3017" i="6" s="1"/>
  <c r="B3014" i="6" a="1"/>
  <c r="B3014" i="6" s="1"/>
  <c r="B3011" i="6" a="1"/>
  <c r="B3011" i="6" s="1"/>
  <c r="B3008" i="6" a="1"/>
  <c r="B3008" i="6" s="1"/>
  <c r="B3005" i="6" a="1"/>
  <c r="B3005" i="6" s="1"/>
  <c r="B3002" i="6" a="1"/>
  <c r="B3002" i="6" s="1"/>
  <c r="B2999" i="6" a="1"/>
  <c r="B2999" i="6" s="1"/>
  <c r="B2996" i="6" a="1"/>
  <c r="B2996" i="6" s="1"/>
  <c r="B2993" i="6" a="1"/>
  <c r="B2993" i="6" s="1"/>
  <c r="B2990" i="6" a="1"/>
  <c r="B2990" i="6" s="1"/>
  <c r="B2987" i="6" a="1"/>
  <c r="B2987" i="6" s="1"/>
  <c r="B2984" i="6" a="1"/>
  <c r="B2984" i="6" s="1"/>
  <c r="B2981" i="6" a="1"/>
  <c r="B2981" i="6" s="1"/>
  <c r="B2978" i="6" a="1"/>
  <c r="B2978" i="6" s="1"/>
  <c r="B2975" i="6" a="1"/>
  <c r="B2975" i="6" s="1"/>
  <c r="B2972" i="6" a="1"/>
  <c r="B2972" i="6" s="1"/>
  <c r="B2969" i="6" a="1"/>
  <c r="B2969" i="6" s="1"/>
  <c r="B2966" i="6" a="1"/>
  <c r="B2966" i="6" s="1"/>
  <c r="B2963" i="6" a="1"/>
  <c r="B2963" i="6" s="1"/>
  <c r="B2960" i="6" a="1"/>
  <c r="B2960" i="6" s="1"/>
  <c r="B2957" i="6" a="1"/>
  <c r="B2957" i="6" s="1"/>
  <c r="B2954" i="6" a="1"/>
  <c r="B2954" i="6" s="1"/>
  <c r="B2951" i="6" a="1"/>
  <c r="B2951" i="6" s="1"/>
  <c r="B2948" i="6" a="1"/>
  <c r="B2948" i="6" s="1"/>
  <c r="B2945" i="6" a="1"/>
  <c r="B2945" i="6" s="1"/>
  <c r="B2942" i="6" a="1"/>
  <c r="B2942" i="6" s="1"/>
  <c r="B2939" i="6" a="1"/>
  <c r="B2939" i="6" s="1"/>
  <c r="B2936" i="6" a="1"/>
  <c r="B2936" i="6" s="1"/>
  <c r="B2933" i="6" a="1"/>
  <c r="B2933" i="6" s="1"/>
  <c r="B2930" i="6" a="1"/>
  <c r="B2930" i="6" s="1"/>
  <c r="B2927" i="6" a="1"/>
  <c r="B2927" i="6" s="1"/>
  <c r="B2924" i="6" a="1"/>
  <c r="B2924" i="6" s="1"/>
  <c r="B2921" i="6" a="1"/>
  <c r="B2921" i="6" s="1"/>
  <c r="B2918" i="6" a="1"/>
  <c r="B2918" i="6" s="1"/>
  <c r="B2915" i="6" a="1"/>
  <c r="B2915" i="6" s="1"/>
  <c r="B2912" i="6" a="1"/>
  <c r="B2912" i="6" s="1"/>
  <c r="B2909" i="6" a="1"/>
  <c r="B2909" i="6" s="1"/>
  <c r="B2906" i="6" a="1"/>
  <c r="B2906" i="6" s="1"/>
  <c r="B2903" i="6" a="1"/>
  <c r="B2903" i="6" s="1"/>
  <c r="B2900" i="6" a="1"/>
  <c r="B2900" i="6" s="1"/>
  <c r="B2897" i="6" a="1"/>
  <c r="B2897" i="6" s="1"/>
  <c r="B2894" i="6" a="1"/>
  <c r="B2894" i="6" s="1"/>
  <c r="B2891" i="6" a="1"/>
  <c r="B2891" i="6" s="1"/>
  <c r="B2888" i="6" a="1"/>
  <c r="B2888" i="6" s="1"/>
  <c r="B2885" i="6" a="1"/>
  <c r="B2885" i="6" s="1"/>
  <c r="B2882" i="6" a="1"/>
  <c r="B2882" i="6" s="1"/>
  <c r="B2879" i="6" a="1"/>
  <c r="B2879" i="6" s="1"/>
  <c r="B2876" i="6" a="1"/>
  <c r="B2876" i="6" s="1"/>
  <c r="B2873" i="6" a="1"/>
  <c r="B2873" i="6" s="1"/>
  <c r="B2870" i="6" a="1"/>
  <c r="B2870" i="6" s="1"/>
  <c r="B2867" i="6" a="1"/>
  <c r="B2867" i="6" s="1"/>
  <c r="B2864" i="6" a="1"/>
  <c r="B2864" i="6" s="1"/>
  <c r="B2861" i="6" a="1"/>
  <c r="B2861" i="6" s="1"/>
  <c r="B2858" i="6" a="1"/>
  <c r="B2858" i="6" s="1"/>
  <c r="B2855" i="6" a="1"/>
  <c r="B2855" i="6" s="1"/>
  <c r="B2852" i="6" a="1"/>
  <c r="B2852" i="6" s="1"/>
  <c r="B2849" i="6" a="1"/>
  <c r="B2849" i="6" s="1"/>
  <c r="B2846" i="6" a="1"/>
  <c r="B2846" i="6" s="1"/>
  <c r="B2843" i="6" a="1"/>
  <c r="B2843" i="6" s="1"/>
  <c r="B2840" i="6" a="1"/>
  <c r="B2840" i="6" s="1"/>
  <c r="B2837" i="6" a="1"/>
  <c r="B2837" i="6" s="1"/>
  <c r="B2834" i="6" a="1"/>
  <c r="B2834" i="6" s="1"/>
  <c r="B2831" i="6" a="1"/>
  <c r="B2831" i="6" s="1"/>
  <c r="B2828" i="6" a="1"/>
  <c r="B2828" i="6" s="1"/>
  <c r="B2825" i="6" a="1"/>
  <c r="B2825" i="6" s="1"/>
  <c r="B2822" i="6" a="1"/>
  <c r="B2822" i="6" s="1"/>
  <c r="B2819" i="6" a="1"/>
  <c r="B2819" i="6" s="1"/>
  <c r="B2816" i="6" a="1"/>
  <c r="B2816" i="6" s="1"/>
  <c r="B2813" i="6" a="1"/>
  <c r="B2813" i="6" s="1"/>
  <c r="B2805" i="6" a="1"/>
  <c r="B2805" i="6" s="1"/>
  <c r="B2801" i="6" a="1"/>
  <c r="B2801" i="6" s="1"/>
  <c r="B2796" i="6" a="1"/>
  <c r="B2796" i="6" s="1"/>
  <c r="B2792" i="6" a="1"/>
  <c r="B2792" i="6" s="1"/>
  <c r="B2787" i="6" a="1"/>
  <c r="B2787" i="6" s="1"/>
  <c r="B2783" i="6" a="1"/>
  <c r="B2783" i="6" s="1"/>
  <c r="B2778" i="6" a="1"/>
  <c r="B2778" i="6" s="1"/>
  <c r="B2774" i="6" a="1"/>
  <c r="B2774" i="6" s="1"/>
  <c r="B2769" i="6" a="1"/>
  <c r="B2769" i="6" s="1"/>
  <c r="B2765" i="6" a="1"/>
  <c r="B2765" i="6" s="1"/>
  <c r="B2762" i="6" a="1"/>
  <c r="B2762" i="6" s="1"/>
  <c r="B2759" i="6" a="1"/>
  <c r="B2759" i="6" s="1"/>
  <c r="B2756" i="6" a="1"/>
  <c r="B2756" i="6" s="1"/>
  <c r="B2753" i="6" a="1"/>
  <c r="B2753" i="6" s="1"/>
  <c r="B2750" i="6" a="1"/>
  <c r="B2750" i="6" s="1"/>
  <c r="B2747" i="6" a="1"/>
  <c r="B2747" i="6" s="1"/>
  <c r="B2744" i="6" a="1"/>
  <c r="B2744" i="6" s="1"/>
  <c r="B2741" i="6" a="1"/>
  <c r="B2741" i="6" s="1"/>
  <c r="B2738" i="6" a="1"/>
  <c r="B2738" i="6" s="1"/>
  <c r="B2735" i="6" a="1"/>
  <c r="B2735" i="6" s="1"/>
  <c r="B2732" i="6" a="1"/>
  <c r="B2732" i="6" s="1"/>
  <c r="B2729" i="6" a="1"/>
  <c r="B2729" i="6" s="1"/>
  <c r="B2726" i="6" a="1"/>
  <c r="B2726" i="6" s="1"/>
  <c r="B2723" i="6" a="1"/>
  <c r="B2723" i="6" s="1"/>
  <c r="B2720" i="6" a="1"/>
  <c r="B2720" i="6" s="1"/>
  <c r="B2717" i="6" a="1"/>
  <c r="B2717" i="6" s="1"/>
  <c r="B2714" i="6" a="1"/>
  <c r="B2714" i="6" s="1"/>
  <c r="B2711" i="6" a="1"/>
  <c r="B2711" i="6" s="1"/>
  <c r="B2708" i="6" a="1"/>
  <c r="B2708" i="6" s="1"/>
  <c r="B2705" i="6" a="1"/>
  <c r="B2705" i="6" s="1"/>
  <c r="B2702" i="6" a="1"/>
  <c r="B2702" i="6" s="1"/>
  <c r="B2699" i="6" a="1"/>
  <c r="B2699" i="6" s="1"/>
  <c r="B2696" i="6" a="1"/>
  <c r="B2696" i="6" s="1"/>
  <c r="B2693" i="6" a="1"/>
  <c r="B2693" i="6" s="1"/>
  <c r="B2690" i="6" a="1"/>
  <c r="B2690" i="6" s="1"/>
  <c r="B2687" i="6" a="1"/>
  <c r="B2687" i="6" s="1"/>
  <c r="B2684" i="6" a="1"/>
  <c r="B2684" i="6" s="1"/>
  <c r="B2681" i="6" a="1"/>
  <c r="B2681" i="6" s="1"/>
  <c r="B2678" i="6" a="1"/>
  <c r="B2678" i="6" s="1"/>
  <c r="B2675" i="6" a="1"/>
  <c r="B2675" i="6" s="1"/>
  <c r="B2672" i="6" a="1"/>
  <c r="B2672" i="6" s="1"/>
  <c r="B2669" i="6" a="1"/>
  <c r="B2669" i="6" s="1"/>
  <c r="B2666" i="6" a="1"/>
  <c r="B2666" i="6" s="1"/>
  <c r="B2663" i="6" a="1"/>
  <c r="B2663" i="6" s="1"/>
  <c r="B2660" i="6" a="1"/>
  <c r="B2660" i="6" s="1"/>
  <c r="B2657" i="6" a="1"/>
  <c r="B2657" i="6" s="1"/>
  <c r="B2654" i="6" a="1"/>
  <c r="B2654" i="6" s="1"/>
  <c r="B2651" i="6" a="1"/>
  <c r="B2651" i="6" s="1"/>
  <c r="B2648" i="6" a="1"/>
  <c r="B2648" i="6" s="1"/>
  <c r="B2645" i="6" a="1"/>
  <c r="B2645" i="6" s="1"/>
  <c r="B2642" i="6" a="1"/>
  <c r="B2642" i="6" s="1"/>
  <c r="B2639" i="6" a="1"/>
  <c r="B2639" i="6" s="1"/>
  <c r="B2636" i="6" a="1"/>
  <c r="B2636" i="6" s="1"/>
  <c r="B2633" i="6" a="1"/>
  <c r="B2633" i="6" s="1"/>
  <c r="B2630" i="6" a="1"/>
  <c r="B2630" i="6" s="1"/>
  <c r="B2627" i="6" a="1"/>
  <c r="B2627" i="6" s="1"/>
  <c r="B2624" i="6" a="1"/>
  <c r="B2624" i="6" s="1"/>
  <c r="B2621" i="6" a="1"/>
  <c r="B2621" i="6" s="1"/>
  <c r="B2618" i="6" a="1"/>
  <c r="B2618" i="6" s="1"/>
  <c r="B2615" i="6" a="1"/>
  <c r="B2615" i="6" s="1"/>
  <c r="B2613" i="6" a="1"/>
  <c r="B2613" i="6" s="1"/>
  <c r="B2610" i="6" a="1"/>
  <c r="B2610" i="6" s="1"/>
  <c r="B2607" i="6" a="1"/>
  <c r="B2607" i="6" s="1"/>
  <c r="B2604" i="6" a="1"/>
  <c r="B2604" i="6" s="1"/>
  <c r="B2601" i="6" a="1"/>
  <c r="B2601" i="6" s="1"/>
  <c r="B2598" i="6" a="1"/>
  <c r="B2598" i="6" s="1"/>
  <c r="B2595" i="6" a="1"/>
  <c r="B2595" i="6" s="1"/>
  <c r="B2592" i="6" a="1"/>
  <c r="B2592" i="6" s="1"/>
  <c r="B2589" i="6" a="1"/>
  <c r="B2589" i="6" s="1"/>
  <c r="B2586" i="6" a="1"/>
  <c r="B2586" i="6" s="1"/>
  <c r="B2583" i="6" a="1"/>
  <c r="B2583" i="6" s="1"/>
  <c r="B2580" i="6" a="1"/>
  <c r="B2580" i="6" s="1"/>
  <c r="B2577" i="6" a="1"/>
  <c r="B2577" i="6" s="1"/>
  <c r="B2574" i="6" a="1"/>
  <c r="B2574" i="6" s="1"/>
  <c r="B2571" i="6" a="1"/>
  <c r="B2571" i="6" s="1"/>
  <c r="B2568" i="6" a="1"/>
  <c r="B2568" i="6" s="1"/>
  <c r="B2565" i="6" a="1"/>
  <c r="B2565" i="6" s="1"/>
  <c r="B2562" i="6" a="1"/>
  <c r="B2562" i="6" s="1"/>
  <c r="B2559" i="6" a="1"/>
  <c r="B2559" i="6" s="1"/>
  <c r="B2556" i="6" a="1"/>
  <c r="B2556" i="6" s="1"/>
  <c r="B2553" i="6" a="1"/>
  <c r="B2553" i="6" s="1"/>
  <c r="B2550" i="6" a="1"/>
  <c r="B2550" i="6" s="1"/>
  <c r="B2547" i="6" a="1"/>
  <c r="B2547" i="6" s="1"/>
  <c r="B2544" i="6" a="1"/>
  <c r="B2544" i="6" s="1"/>
  <c r="B2541" i="6" a="1"/>
  <c r="B2541" i="6" s="1"/>
  <c r="B2810" i="6" a="1"/>
  <c r="B2810" i="6" s="1"/>
  <c r="B2804" i="6" a="1"/>
  <c r="B2804" i="6" s="1"/>
  <c r="B2799" i="6" a="1"/>
  <c r="B2799" i="6" s="1"/>
  <c r="B2795" i="6" a="1"/>
  <c r="B2795" i="6" s="1"/>
  <c r="B2790" i="6" a="1"/>
  <c r="B2790" i="6" s="1"/>
  <c r="B2786" i="6" a="1"/>
  <c r="B2786" i="6" s="1"/>
  <c r="B2781" i="6" a="1"/>
  <c r="B2781" i="6" s="1"/>
  <c r="B2777" i="6" a="1"/>
  <c r="B2777" i="6" s="1"/>
  <c r="B2772" i="6" a="1"/>
  <c r="B2772" i="6" s="1"/>
  <c r="B2768" i="6" a="1"/>
  <c r="B2768" i="6" s="1"/>
  <c r="B2764" i="6" a="1"/>
  <c r="B2764" i="6" s="1"/>
  <c r="B2761" i="6" a="1"/>
  <c r="B2761" i="6" s="1"/>
  <c r="B2758" i="6" a="1"/>
  <c r="B2758" i="6" s="1"/>
  <c r="B2755" i="6" a="1"/>
  <c r="B2755" i="6" s="1"/>
  <c r="B2752" i="6" a="1"/>
  <c r="B2752" i="6" s="1"/>
  <c r="B2749" i="6" a="1"/>
  <c r="B2749" i="6" s="1"/>
  <c r="B2746" i="6" a="1"/>
  <c r="B2746" i="6" s="1"/>
  <c r="B2743" i="6" a="1"/>
  <c r="B2743" i="6" s="1"/>
  <c r="B2740" i="6" a="1"/>
  <c r="B2740" i="6" s="1"/>
  <c r="B2737" i="6" a="1"/>
  <c r="B2737" i="6" s="1"/>
  <c r="B2734" i="6" a="1"/>
  <c r="B2734" i="6" s="1"/>
  <c r="B2731" i="6" a="1"/>
  <c r="B2731" i="6" s="1"/>
  <c r="B2728" i="6" a="1"/>
  <c r="B2728" i="6" s="1"/>
  <c r="B2725" i="6" a="1"/>
  <c r="B2725" i="6" s="1"/>
  <c r="B2722" i="6" a="1"/>
  <c r="B2722" i="6" s="1"/>
  <c r="B2719" i="6" a="1"/>
  <c r="B2719" i="6" s="1"/>
  <c r="B2716" i="6" a="1"/>
  <c r="B2716" i="6" s="1"/>
  <c r="B2713" i="6" a="1"/>
  <c r="B2713" i="6" s="1"/>
  <c r="B2710" i="6" a="1"/>
  <c r="B2710" i="6" s="1"/>
  <c r="B2707" i="6" a="1"/>
  <c r="B2707" i="6" s="1"/>
  <c r="B2704" i="6" a="1"/>
  <c r="B2704" i="6" s="1"/>
  <c r="B2701" i="6" a="1"/>
  <c r="B2701" i="6" s="1"/>
  <c r="B2698" i="6" a="1"/>
  <c r="B2698" i="6" s="1"/>
  <c r="B2695" i="6" a="1"/>
  <c r="B2695" i="6" s="1"/>
  <c r="B2692" i="6" a="1"/>
  <c r="B2692" i="6" s="1"/>
  <c r="B2689" i="6" a="1"/>
  <c r="B2689" i="6" s="1"/>
  <c r="B2686" i="6" a="1"/>
  <c r="B2686" i="6" s="1"/>
  <c r="B2683" i="6" a="1"/>
  <c r="B2683" i="6" s="1"/>
  <c r="B2680" i="6" a="1"/>
  <c r="B2680" i="6" s="1"/>
  <c r="B2677" i="6" a="1"/>
  <c r="B2677" i="6" s="1"/>
  <c r="B2674" i="6" a="1"/>
  <c r="B2674" i="6" s="1"/>
  <c r="B2671" i="6" a="1"/>
  <c r="B2671" i="6" s="1"/>
  <c r="B2668" i="6" a="1"/>
  <c r="B2668" i="6" s="1"/>
  <c r="B2665" i="6" a="1"/>
  <c r="B2665" i="6" s="1"/>
  <c r="B2662" i="6" a="1"/>
  <c r="B2662" i="6" s="1"/>
  <c r="B2659" i="6" a="1"/>
  <c r="B2659" i="6" s="1"/>
  <c r="B2656" i="6" a="1"/>
  <c r="B2656" i="6" s="1"/>
  <c r="B2653" i="6" a="1"/>
  <c r="B2653" i="6" s="1"/>
  <c r="B2650" i="6" a="1"/>
  <c r="B2650" i="6" s="1"/>
  <c r="B2647" i="6" a="1"/>
  <c r="B2647" i="6" s="1"/>
  <c r="B2644" i="6" a="1"/>
  <c r="B2644" i="6" s="1"/>
  <c r="B2641" i="6" a="1"/>
  <c r="B2641" i="6" s="1"/>
  <c r="B2638" i="6" a="1"/>
  <c r="B2638" i="6" s="1"/>
  <c r="B2635" i="6" a="1"/>
  <c r="B2635" i="6" s="1"/>
  <c r="B2632" i="6" a="1"/>
  <c r="B2632" i="6" s="1"/>
  <c r="B2629" i="6" a="1"/>
  <c r="B2629" i="6" s="1"/>
  <c r="B2626" i="6" a="1"/>
  <c r="B2626" i="6" s="1"/>
  <c r="B2623" i="6" a="1"/>
  <c r="B2623" i="6" s="1"/>
  <c r="B2620" i="6" a="1"/>
  <c r="B2620" i="6" s="1"/>
  <c r="B2617" i="6" a="1"/>
  <c r="B2617" i="6" s="1"/>
  <c r="B2614" i="6" a="1"/>
  <c r="B2614" i="6" s="1"/>
  <c r="B2612" i="6" a="1"/>
  <c r="B2612" i="6" s="1"/>
  <c r="B2609" i="6" a="1"/>
  <c r="B2609" i="6" s="1"/>
  <c r="B2606" i="6" a="1"/>
  <c r="B2606" i="6" s="1"/>
  <c r="B2603" i="6" a="1"/>
  <c r="B2603" i="6" s="1"/>
  <c r="B2600" i="6" a="1"/>
  <c r="B2600" i="6" s="1"/>
  <c r="B2597" i="6" a="1"/>
  <c r="B2597" i="6" s="1"/>
  <c r="B2594" i="6" a="1"/>
  <c r="B2594" i="6" s="1"/>
  <c r="B2591" i="6" a="1"/>
  <c r="B2591" i="6" s="1"/>
  <c r="B2588" i="6" a="1"/>
  <c r="B2588" i="6" s="1"/>
  <c r="B2585" i="6" a="1"/>
  <c r="B2585" i="6" s="1"/>
  <c r="B2582" i="6" a="1"/>
  <c r="B2582" i="6" s="1"/>
  <c r="B2579" i="6" a="1"/>
  <c r="B2579" i="6" s="1"/>
  <c r="B2576" i="6" a="1"/>
  <c r="B2576" i="6" s="1"/>
  <c r="B2807" i="6" a="1"/>
  <c r="B2807" i="6" s="1"/>
  <c r="B2802" i="6" a="1"/>
  <c r="B2802" i="6" s="1"/>
  <c r="B2798" i="6" a="1"/>
  <c r="B2798" i="6" s="1"/>
  <c r="B2793" i="6" a="1"/>
  <c r="B2793" i="6" s="1"/>
  <c r="B2789" i="6" a="1"/>
  <c r="B2789" i="6" s="1"/>
  <c r="B2784" i="6" a="1"/>
  <c r="B2784" i="6" s="1"/>
  <c r="B2780" i="6" a="1"/>
  <c r="B2780" i="6" s="1"/>
  <c r="B2775" i="6" a="1"/>
  <c r="B2775" i="6" s="1"/>
  <c r="B2771" i="6" a="1"/>
  <c r="B2771" i="6" s="1"/>
  <c r="B2766" i="6" a="1"/>
  <c r="B2766" i="6" s="1"/>
  <c r="B2763" i="6" a="1"/>
  <c r="B2763" i="6" s="1"/>
  <c r="B2760" i="6" a="1"/>
  <c r="B2760" i="6" s="1"/>
  <c r="B2757" i="6" a="1"/>
  <c r="B2757" i="6" s="1"/>
  <c r="B2754" i="6" a="1"/>
  <c r="B2754" i="6" s="1"/>
  <c r="B2751" i="6" a="1"/>
  <c r="B2751" i="6" s="1"/>
  <c r="B2748" i="6" a="1"/>
  <c r="B2748" i="6" s="1"/>
  <c r="B2745" i="6" a="1"/>
  <c r="B2745" i="6" s="1"/>
  <c r="B2742" i="6" a="1"/>
  <c r="B2742" i="6" s="1"/>
  <c r="B2739" i="6" a="1"/>
  <c r="B2739" i="6" s="1"/>
  <c r="B2736" i="6" a="1"/>
  <c r="B2736" i="6" s="1"/>
  <c r="B2733" i="6" a="1"/>
  <c r="B2733" i="6" s="1"/>
  <c r="B2730" i="6" a="1"/>
  <c r="B2730" i="6" s="1"/>
  <c r="B2727" i="6" a="1"/>
  <c r="B2727" i="6" s="1"/>
  <c r="B2724" i="6" a="1"/>
  <c r="B2724" i="6" s="1"/>
  <c r="B2721" i="6" a="1"/>
  <c r="B2721" i="6" s="1"/>
  <c r="B2718" i="6" a="1"/>
  <c r="B2718" i="6" s="1"/>
  <c r="B2715" i="6" a="1"/>
  <c r="B2715" i="6" s="1"/>
  <c r="B2712" i="6" a="1"/>
  <c r="B2712" i="6" s="1"/>
  <c r="B2709" i="6" a="1"/>
  <c r="B2709" i="6" s="1"/>
  <c r="B2706" i="6" a="1"/>
  <c r="B2706" i="6" s="1"/>
  <c r="B2703" i="6" a="1"/>
  <c r="B2703" i="6" s="1"/>
  <c r="B2700" i="6" a="1"/>
  <c r="B2700" i="6" s="1"/>
  <c r="B2697" i="6" a="1"/>
  <c r="B2697" i="6" s="1"/>
  <c r="B2694" i="6" a="1"/>
  <c r="B2694" i="6" s="1"/>
  <c r="B2691" i="6" a="1"/>
  <c r="B2691" i="6" s="1"/>
  <c r="B2688" i="6" a="1"/>
  <c r="B2688" i="6" s="1"/>
  <c r="B2685" i="6" a="1"/>
  <c r="B2685" i="6" s="1"/>
  <c r="B2682" i="6" a="1"/>
  <c r="B2682" i="6" s="1"/>
  <c r="B2679" i="6" a="1"/>
  <c r="B2679" i="6" s="1"/>
  <c r="B2676" i="6" a="1"/>
  <c r="B2676" i="6" s="1"/>
  <c r="B2673" i="6" a="1"/>
  <c r="B2673" i="6" s="1"/>
  <c r="B2670" i="6" a="1"/>
  <c r="B2670" i="6" s="1"/>
  <c r="B2667" i="6" a="1"/>
  <c r="B2667" i="6" s="1"/>
  <c r="B2664" i="6" a="1"/>
  <c r="B2664" i="6" s="1"/>
  <c r="B2661" i="6" a="1"/>
  <c r="B2661" i="6" s="1"/>
  <c r="B2658" i="6" a="1"/>
  <c r="B2658" i="6" s="1"/>
  <c r="B2655" i="6" a="1"/>
  <c r="B2655" i="6" s="1"/>
  <c r="B2652" i="6" a="1"/>
  <c r="B2652" i="6" s="1"/>
  <c r="B2649" i="6" a="1"/>
  <c r="B2649" i="6" s="1"/>
  <c r="B2646" i="6" a="1"/>
  <c r="B2646" i="6" s="1"/>
  <c r="B2643" i="6" a="1"/>
  <c r="B2643" i="6" s="1"/>
  <c r="B2640" i="6" a="1"/>
  <c r="B2640" i="6" s="1"/>
  <c r="B2637" i="6" a="1"/>
  <c r="B2637" i="6" s="1"/>
  <c r="B2634" i="6" a="1"/>
  <c r="B2634" i="6" s="1"/>
  <c r="B2631" i="6" a="1"/>
  <c r="B2631" i="6" s="1"/>
  <c r="B2628" i="6" a="1"/>
  <c r="B2628" i="6" s="1"/>
  <c r="B2625" i="6" a="1"/>
  <c r="B2625" i="6" s="1"/>
  <c r="B2622" i="6" a="1"/>
  <c r="B2622" i="6" s="1"/>
  <c r="B2619" i="6" a="1"/>
  <c r="B2619" i="6" s="1"/>
  <c r="B2616" i="6" a="1"/>
  <c r="B2616" i="6" s="1"/>
  <c r="B2611" i="6" a="1"/>
  <c r="B2611" i="6" s="1"/>
  <c r="B2608" i="6" a="1"/>
  <c r="B2608" i="6" s="1"/>
  <c r="B2605" i="6" a="1"/>
  <c r="B2605" i="6" s="1"/>
  <c r="B2602" i="6" a="1"/>
  <c r="B2602" i="6" s="1"/>
  <c r="B2599" i="6" a="1"/>
  <c r="B2599" i="6" s="1"/>
  <c r="B2596" i="6" a="1"/>
  <c r="B2596" i="6" s="1"/>
  <c r="B2593" i="6" a="1"/>
  <c r="B2593" i="6" s="1"/>
  <c r="B2590" i="6" a="1"/>
  <c r="B2590" i="6" s="1"/>
  <c r="B2587" i="6" a="1"/>
  <c r="B2587" i="6" s="1"/>
  <c r="B2584" i="6" a="1"/>
  <c r="B2584" i="6" s="1"/>
  <c r="B2581" i="6" a="1"/>
  <c r="B2581" i="6" s="1"/>
  <c r="B2578" i="6" a="1"/>
  <c r="B2578" i="6" s="1"/>
  <c r="B2575" i="6" a="1"/>
  <c r="B2575" i="6" s="1"/>
  <c r="B2572" i="6" a="1"/>
  <c r="B2572" i="6" s="1"/>
  <c r="B2569" i="6" a="1"/>
  <c r="B2569" i="6" s="1"/>
  <c r="B2566" i="6" a="1"/>
  <c r="B2566" i="6" s="1"/>
  <c r="B2563" i="6" a="1"/>
  <c r="B2563" i="6" s="1"/>
  <c r="B2560" i="6" a="1"/>
  <c r="B2560" i="6" s="1"/>
  <c r="B2557" i="6" a="1"/>
  <c r="B2557" i="6" s="1"/>
  <c r="B2554" i="6" a="1"/>
  <c r="B2554" i="6" s="1"/>
  <c r="B2551" i="6" a="1"/>
  <c r="B2551" i="6" s="1"/>
  <c r="B2548" i="6" a="1"/>
  <c r="B2548" i="6" s="1"/>
  <c r="B2545" i="6" a="1"/>
  <c r="B2545" i="6" s="1"/>
  <c r="B2542" i="6" a="1"/>
  <c r="B2542" i="6" s="1"/>
  <c r="B2573" i="6" a="1"/>
  <c r="B2573" i="6" s="1"/>
  <c r="B2564" i="6" a="1"/>
  <c r="B2564" i="6" s="1"/>
  <c r="B2555" i="6" a="1"/>
  <c r="B2555" i="6" s="1"/>
  <c r="B2546" i="6" a="1"/>
  <c r="B2546" i="6" s="1"/>
  <c r="B2539" i="6" a="1"/>
  <c r="B2539" i="6" s="1"/>
  <c r="B2536" i="6" a="1"/>
  <c r="B2536" i="6" s="1"/>
  <c r="B2533" i="6" a="1"/>
  <c r="B2533" i="6" s="1"/>
  <c r="B2530" i="6" a="1"/>
  <c r="B2530" i="6" s="1"/>
  <c r="B2527" i="6" a="1"/>
  <c r="B2527" i="6" s="1"/>
  <c r="B2524" i="6" a="1"/>
  <c r="B2524" i="6" s="1"/>
  <c r="B2521" i="6" a="1"/>
  <c r="B2521" i="6" s="1"/>
  <c r="B2518" i="6" a="1"/>
  <c r="B2518" i="6" s="1"/>
  <c r="B2515" i="6" a="1"/>
  <c r="B2515" i="6" s="1"/>
  <c r="B2512" i="6" a="1"/>
  <c r="B2512" i="6" s="1"/>
  <c r="B2509" i="6" a="1"/>
  <c r="B2509" i="6" s="1"/>
  <c r="B2506" i="6" a="1"/>
  <c r="B2506" i="6" s="1"/>
  <c r="B2503" i="6" a="1"/>
  <c r="B2503" i="6" s="1"/>
  <c r="B2500" i="6" a="1"/>
  <c r="B2500" i="6" s="1"/>
  <c r="B2497" i="6" a="1"/>
  <c r="B2497" i="6" s="1"/>
  <c r="B2494" i="6" a="1"/>
  <c r="B2494" i="6" s="1"/>
  <c r="B2491" i="6" a="1"/>
  <c r="B2491" i="6" s="1"/>
  <c r="B2488" i="6" a="1"/>
  <c r="B2488" i="6" s="1"/>
  <c r="B2485" i="6" a="1"/>
  <c r="B2485" i="6" s="1"/>
  <c r="B2482" i="6" a="1"/>
  <c r="B2482" i="6" s="1"/>
  <c r="B2479" i="6" a="1"/>
  <c r="B2479" i="6" s="1"/>
  <c r="B2476" i="6" a="1"/>
  <c r="B2476" i="6" s="1"/>
  <c r="B2473" i="6" a="1"/>
  <c r="B2473" i="6" s="1"/>
  <c r="B2470" i="6" a="1"/>
  <c r="B2470" i="6" s="1"/>
  <c r="B2467" i="6" a="1"/>
  <c r="B2467" i="6" s="1"/>
  <c r="B2464" i="6" a="1"/>
  <c r="B2464" i="6" s="1"/>
  <c r="B2461" i="6" a="1"/>
  <c r="B2461" i="6" s="1"/>
  <c r="B2458" i="6" a="1"/>
  <c r="B2458" i="6" s="1"/>
  <c r="B2455" i="6" a="1"/>
  <c r="B2455" i="6" s="1"/>
  <c r="B2452" i="6" a="1"/>
  <c r="B2452" i="6" s="1"/>
  <c r="B2449" i="6" a="1"/>
  <c r="B2449" i="6" s="1"/>
  <c r="B2446" i="6" a="1"/>
  <c r="B2446" i="6" s="1"/>
  <c r="B2443" i="6" a="1"/>
  <c r="B2443" i="6" s="1"/>
  <c r="B2440" i="6" a="1"/>
  <c r="B2440" i="6" s="1"/>
  <c r="B2437" i="6" a="1"/>
  <c r="B2437" i="6" s="1"/>
  <c r="B2434" i="6" a="1"/>
  <c r="B2434" i="6" s="1"/>
  <c r="B2431" i="6" a="1"/>
  <c r="B2431" i="6" s="1"/>
  <c r="B2428" i="6" a="1"/>
  <c r="B2428" i="6" s="1"/>
  <c r="B2425" i="6" a="1"/>
  <c r="B2425" i="6" s="1"/>
  <c r="B2422" i="6" a="1"/>
  <c r="B2422" i="6" s="1"/>
  <c r="B2419" i="6" a="1"/>
  <c r="B2419" i="6" s="1"/>
  <c r="B2416" i="6" a="1"/>
  <c r="B2416" i="6" s="1"/>
  <c r="B2413" i="6" a="1"/>
  <c r="B2413" i="6" s="1"/>
  <c r="B2410" i="6" a="1"/>
  <c r="B2410" i="6" s="1"/>
  <c r="B2407" i="6" a="1"/>
  <c r="B2407" i="6" s="1"/>
  <c r="B2404" i="6" a="1"/>
  <c r="B2404" i="6" s="1"/>
  <c r="B2401" i="6" a="1"/>
  <c r="B2401" i="6" s="1"/>
  <c r="B2398" i="6" a="1"/>
  <c r="B2398" i="6" s="1"/>
  <c r="B2395" i="6" a="1"/>
  <c r="B2395" i="6" s="1"/>
  <c r="B2392" i="6" a="1"/>
  <c r="B2392" i="6" s="1"/>
  <c r="B2389" i="6" a="1"/>
  <c r="B2389" i="6" s="1"/>
  <c r="B2386" i="6" a="1"/>
  <c r="B2386" i="6" s="1"/>
  <c r="B2383" i="6" a="1"/>
  <c r="B2383" i="6" s="1"/>
  <c r="B2380" i="6" a="1"/>
  <c r="B2380" i="6" s="1"/>
  <c r="B2377" i="6" a="1"/>
  <c r="B2377" i="6" s="1"/>
  <c r="B2374" i="6" a="1"/>
  <c r="B2374" i="6" s="1"/>
  <c r="B2371" i="6" a="1"/>
  <c r="B2371" i="6" s="1"/>
  <c r="B2368" i="6" a="1"/>
  <c r="B2368" i="6" s="1"/>
  <c r="B2365" i="6" a="1"/>
  <c r="B2365" i="6" s="1"/>
  <c r="B2362" i="6" a="1"/>
  <c r="B2362" i="6" s="1"/>
  <c r="B2359" i="6" a="1"/>
  <c r="B2359" i="6" s="1"/>
  <c r="B2356" i="6" a="1"/>
  <c r="B2356" i="6" s="1"/>
  <c r="B2353" i="6" a="1"/>
  <c r="B2353" i="6" s="1"/>
  <c r="B2350" i="6" a="1"/>
  <c r="B2350" i="6" s="1"/>
  <c r="B2347" i="6" a="1"/>
  <c r="B2347" i="6" s="1"/>
  <c r="B2344" i="6" a="1"/>
  <c r="B2344" i="6" s="1"/>
  <c r="B2341" i="6" a="1"/>
  <c r="B2341" i="6" s="1"/>
  <c r="B2338" i="6" a="1"/>
  <c r="B2338" i="6" s="1"/>
  <c r="B2335" i="6" a="1"/>
  <c r="B2335" i="6" s="1"/>
  <c r="B2332" i="6" a="1"/>
  <c r="B2332" i="6" s="1"/>
  <c r="B2329" i="6" a="1"/>
  <c r="B2329" i="6" s="1"/>
  <c r="B2326" i="6" a="1"/>
  <c r="B2326" i="6" s="1"/>
  <c r="B2323" i="6" a="1"/>
  <c r="B2323" i="6" s="1"/>
  <c r="B2320" i="6" a="1"/>
  <c r="B2320" i="6" s="1"/>
  <c r="B2317" i="6" a="1"/>
  <c r="B2317" i="6" s="1"/>
  <c r="B2314" i="6" a="1"/>
  <c r="B2314" i="6" s="1"/>
  <c r="B2311" i="6" a="1"/>
  <c r="B2311" i="6" s="1"/>
  <c r="B2308" i="6" a="1"/>
  <c r="B2308" i="6" s="1"/>
  <c r="B2305" i="6" a="1"/>
  <c r="B2305" i="6" s="1"/>
  <c r="B2302" i="6" a="1"/>
  <c r="B2302" i="6" s="1"/>
  <c r="B2299" i="6" a="1"/>
  <c r="B2299" i="6" s="1"/>
  <c r="B2296" i="6" a="1"/>
  <c r="B2296" i="6" s="1"/>
  <c r="B2293" i="6" a="1"/>
  <c r="B2293" i="6" s="1"/>
  <c r="B2290" i="6" a="1"/>
  <c r="B2290" i="6" s="1"/>
  <c r="B2287" i="6" a="1"/>
  <c r="B2287" i="6" s="1"/>
  <c r="B2284" i="6" a="1"/>
  <c r="B2284" i="6" s="1"/>
  <c r="B2282" i="6" a="1"/>
  <c r="B2282" i="6" s="1"/>
  <c r="B2280" i="6" a="1"/>
  <c r="B2280" i="6" s="1"/>
  <c r="B2277" i="6" a="1"/>
  <c r="B2277" i="6" s="1"/>
  <c r="B2274" i="6" a="1"/>
  <c r="B2274" i="6" s="1"/>
  <c r="B2271" i="6" a="1"/>
  <c r="B2271" i="6" s="1"/>
  <c r="B2268" i="6" a="1"/>
  <c r="B2268" i="6" s="1"/>
  <c r="B2265" i="6" a="1"/>
  <c r="B2265" i="6" s="1"/>
  <c r="B2262" i="6" a="1"/>
  <c r="B2262" i="6" s="1"/>
  <c r="B2259" i="6" a="1"/>
  <c r="B2259" i="6" s="1"/>
  <c r="B2570" i="6" a="1"/>
  <c r="B2570" i="6" s="1"/>
  <c r="B2561" i="6" a="1"/>
  <c r="B2561" i="6" s="1"/>
  <c r="B2552" i="6" a="1"/>
  <c r="B2552" i="6" s="1"/>
  <c r="B2543" i="6" a="1"/>
  <c r="B2543" i="6" s="1"/>
  <c r="B2538" i="6" a="1"/>
  <c r="B2538" i="6" s="1"/>
  <c r="B2535" i="6" a="1"/>
  <c r="B2535" i="6" s="1"/>
  <c r="B2532" i="6" a="1"/>
  <c r="B2532" i="6" s="1"/>
  <c r="B2529" i="6" a="1"/>
  <c r="B2529" i="6" s="1"/>
  <c r="B2526" i="6" a="1"/>
  <c r="B2526" i="6" s="1"/>
  <c r="B2523" i="6" a="1"/>
  <c r="B2523" i="6" s="1"/>
  <c r="B2520" i="6" a="1"/>
  <c r="B2520" i="6" s="1"/>
  <c r="B2517" i="6" a="1"/>
  <c r="B2517" i="6" s="1"/>
  <c r="B2514" i="6" a="1"/>
  <c r="B2514" i="6" s="1"/>
  <c r="B2511" i="6" a="1"/>
  <c r="B2511" i="6" s="1"/>
  <c r="B2508" i="6" a="1"/>
  <c r="B2508" i="6" s="1"/>
  <c r="B2505" i="6" a="1"/>
  <c r="B2505" i="6" s="1"/>
  <c r="B2502" i="6" a="1"/>
  <c r="B2502" i="6" s="1"/>
  <c r="B2499" i="6" a="1"/>
  <c r="B2499" i="6" s="1"/>
  <c r="B2496" i="6" a="1"/>
  <c r="B2496" i="6" s="1"/>
  <c r="B2493" i="6" a="1"/>
  <c r="B2493" i="6" s="1"/>
  <c r="B2490" i="6" a="1"/>
  <c r="B2490" i="6" s="1"/>
  <c r="B2487" i="6" a="1"/>
  <c r="B2487" i="6" s="1"/>
  <c r="B2484" i="6" a="1"/>
  <c r="B2484" i="6" s="1"/>
  <c r="B2481" i="6" a="1"/>
  <c r="B2481" i="6" s="1"/>
  <c r="B2478" i="6" a="1"/>
  <c r="B2478" i="6" s="1"/>
  <c r="B2475" i="6" a="1"/>
  <c r="B2475" i="6" s="1"/>
  <c r="B2472" i="6" a="1"/>
  <c r="B2472" i="6" s="1"/>
  <c r="B2469" i="6" a="1"/>
  <c r="B2469" i="6" s="1"/>
  <c r="B2466" i="6" a="1"/>
  <c r="B2466" i="6" s="1"/>
  <c r="B2463" i="6" a="1"/>
  <c r="B2463" i="6" s="1"/>
  <c r="B2460" i="6" a="1"/>
  <c r="B2460" i="6" s="1"/>
  <c r="B2457" i="6" a="1"/>
  <c r="B2457" i="6" s="1"/>
  <c r="B2454" i="6" a="1"/>
  <c r="B2454" i="6" s="1"/>
  <c r="B2451" i="6" a="1"/>
  <c r="B2451" i="6" s="1"/>
  <c r="B2448" i="6" a="1"/>
  <c r="B2448" i="6" s="1"/>
  <c r="B2445" i="6" a="1"/>
  <c r="B2445" i="6" s="1"/>
  <c r="B2442" i="6" a="1"/>
  <c r="B2442" i="6" s="1"/>
  <c r="B2439" i="6" a="1"/>
  <c r="B2439" i="6" s="1"/>
  <c r="B2436" i="6" a="1"/>
  <c r="B2436" i="6" s="1"/>
  <c r="B2433" i="6" a="1"/>
  <c r="B2433" i="6" s="1"/>
  <c r="B2430" i="6" a="1"/>
  <c r="B2430" i="6" s="1"/>
  <c r="B2427" i="6" a="1"/>
  <c r="B2427" i="6" s="1"/>
  <c r="B2424" i="6" a="1"/>
  <c r="B2424" i="6" s="1"/>
  <c r="B2421" i="6" a="1"/>
  <c r="B2421" i="6" s="1"/>
  <c r="B2418" i="6" a="1"/>
  <c r="B2418" i="6" s="1"/>
  <c r="B2415" i="6" a="1"/>
  <c r="B2415" i="6" s="1"/>
  <c r="B2412" i="6" a="1"/>
  <c r="B2412" i="6" s="1"/>
  <c r="B2409" i="6" a="1"/>
  <c r="B2409" i="6" s="1"/>
  <c r="B2406" i="6" a="1"/>
  <c r="B2406" i="6" s="1"/>
  <c r="B2403" i="6" a="1"/>
  <c r="B2403" i="6" s="1"/>
  <c r="B2400" i="6" a="1"/>
  <c r="B2400" i="6" s="1"/>
  <c r="B2397" i="6" a="1"/>
  <c r="B2397" i="6" s="1"/>
  <c r="B2394" i="6" a="1"/>
  <c r="B2394" i="6" s="1"/>
  <c r="B2391" i="6" a="1"/>
  <c r="B2391" i="6" s="1"/>
  <c r="B2388" i="6" a="1"/>
  <c r="B2388" i="6" s="1"/>
  <c r="B2385" i="6" a="1"/>
  <c r="B2385" i="6" s="1"/>
  <c r="B2382" i="6" a="1"/>
  <c r="B2382" i="6" s="1"/>
  <c r="B2379" i="6" a="1"/>
  <c r="B2379" i="6" s="1"/>
  <c r="B2376" i="6" a="1"/>
  <c r="B2376" i="6" s="1"/>
  <c r="B2373" i="6" a="1"/>
  <c r="B2373" i="6" s="1"/>
  <c r="B2370" i="6" a="1"/>
  <c r="B2370" i="6" s="1"/>
  <c r="B2367" i="6" a="1"/>
  <c r="B2367" i="6" s="1"/>
  <c r="B2364" i="6" a="1"/>
  <c r="B2364" i="6" s="1"/>
  <c r="B2361" i="6" a="1"/>
  <c r="B2361" i="6" s="1"/>
  <c r="B2358" i="6" a="1"/>
  <c r="B2358" i="6" s="1"/>
  <c r="B2355" i="6" a="1"/>
  <c r="B2355" i="6" s="1"/>
  <c r="B2352" i="6" a="1"/>
  <c r="B2352" i="6" s="1"/>
  <c r="B2349" i="6" a="1"/>
  <c r="B2349" i="6" s="1"/>
  <c r="B2346" i="6" a="1"/>
  <c r="B2346" i="6" s="1"/>
  <c r="B2343" i="6" a="1"/>
  <c r="B2343" i="6" s="1"/>
  <c r="B2340" i="6" a="1"/>
  <c r="B2340" i="6" s="1"/>
  <c r="B2337" i="6" a="1"/>
  <c r="B2337" i="6" s="1"/>
  <c r="B2334" i="6" a="1"/>
  <c r="B2334" i="6" s="1"/>
  <c r="B2331" i="6" a="1"/>
  <c r="B2331" i="6" s="1"/>
  <c r="B2328" i="6" a="1"/>
  <c r="B2328" i="6" s="1"/>
  <c r="B2325" i="6" a="1"/>
  <c r="B2325" i="6" s="1"/>
  <c r="B2322" i="6" a="1"/>
  <c r="B2322" i="6" s="1"/>
  <c r="B2319" i="6" a="1"/>
  <c r="B2319" i="6" s="1"/>
  <c r="B2316" i="6" a="1"/>
  <c r="B2316" i="6" s="1"/>
  <c r="B2313" i="6" a="1"/>
  <c r="B2313" i="6" s="1"/>
  <c r="B2310" i="6" a="1"/>
  <c r="B2310" i="6" s="1"/>
  <c r="B2307" i="6" a="1"/>
  <c r="B2307" i="6" s="1"/>
  <c r="B2304" i="6" a="1"/>
  <c r="B2304" i="6" s="1"/>
  <c r="B2301" i="6" a="1"/>
  <c r="B2301" i="6" s="1"/>
  <c r="B2298" i="6" a="1"/>
  <c r="B2298" i="6" s="1"/>
  <c r="B2567" i="6" a="1"/>
  <c r="B2567" i="6" s="1"/>
  <c r="B2558" i="6" a="1"/>
  <c r="B2558" i="6" s="1"/>
  <c r="B2549" i="6" a="1"/>
  <c r="B2549" i="6" s="1"/>
  <c r="B2540" i="6" a="1"/>
  <c r="B2540" i="6" s="1"/>
  <c r="B2537" i="6" a="1"/>
  <c r="B2537" i="6" s="1"/>
  <c r="B2534" i="6" a="1"/>
  <c r="B2534" i="6" s="1"/>
  <c r="B2531" i="6" a="1"/>
  <c r="B2531" i="6" s="1"/>
  <c r="B2528" i="6" a="1"/>
  <c r="B2528" i="6" s="1"/>
  <c r="B2525" i="6" a="1"/>
  <c r="B2525" i="6" s="1"/>
  <c r="B2522" i="6" a="1"/>
  <c r="B2522" i="6" s="1"/>
  <c r="B2519" i="6" a="1"/>
  <c r="B2519" i="6" s="1"/>
  <c r="B2516" i="6" a="1"/>
  <c r="B2516" i="6" s="1"/>
  <c r="B2513" i="6" a="1"/>
  <c r="B2513" i="6" s="1"/>
  <c r="B2510" i="6" a="1"/>
  <c r="B2510" i="6" s="1"/>
  <c r="B2507" i="6" a="1"/>
  <c r="B2507" i="6" s="1"/>
  <c r="B2504" i="6" a="1"/>
  <c r="B2504" i="6" s="1"/>
  <c r="B2501" i="6" a="1"/>
  <c r="B2501" i="6" s="1"/>
  <c r="B2498" i="6" a="1"/>
  <c r="B2498" i="6" s="1"/>
  <c r="B2495" i="6" a="1"/>
  <c r="B2495" i="6" s="1"/>
  <c r="B2492" i="6" a="1"/>
  <c r="B2492" i="6" s="1"/>
  <c r="B2489" i="6" a="1"/>
  <c r="B2489" i="6" s="1"/>
  <c r="B2486" i="6" a="1"/>
  <c r="B2486" i="6" s="1"/>
  <c r="B2483" i="6" a="1"/>
  <c r="B2483" i="6" s="1"/>
  <c r="B2480" i="6" a="1"/>
  <c r="B2480" i="6" s="1"/>
  <c r="B2477" i="6" a="1"/>
  <c r="B2477" i="6" s="1"/>
  <c r="B2474" i="6" a="1"/>
  <c r="B2474" i="6" s="1"/>
  <c r="B2471" i="6" a="1"/>
  <c r="B2471" i="6" s="1"/>
  <c r="B2468" i="6" a="1"/>
  <c r="B2468" i="6" s="1"/>
  <c r="B2465" i="6" a="1"/>
  <c r="B2465" i="6" s="1"/>
  <c r="B2462" i="6" a="1"/>
  <c r="B2462" i="6" s="1"/>
  <c r="B2459" i="6" a="1"/>
  <c r="B2459" i="6" s="1"/>
  <c r="B2456" i="6" a="1"/>
  <c r="B2456" i="6" s="1"/>
  <c r="B2453" i="6" a="1"/>
  <c r="B2453" i="6" s="1"/>
  <c r="B2450" i="6" a="1"/>
  <c r="B2450" i="6" s="1"/>
  <c r="B2447" i="6" a="1"/>
  <c r="B2447" i="6" s="1"/>
  <c r="B2444" i="6" a="1"/>
  <c r="B2444" i="6" s="1"/>
  <c r="B2441" i="6" a="1"/>
  <c r="B2441" i="6" s="1"/>
  <c r="B2438" i="6" a="1"/>
  <c r="B2438" i="6" s="1"/>
  <c r="B2435" i="6" a="1"/>
  <c r="B2435" i="6" s="1"/>
  <c r="B2432" i="6" a="1"/>
  <c r="B2432" i="6" s="1"/>
  <c r="B2429" i="6" a="1"/>
  <c r="B2429" i="6" s="1"/>
  <c r="B2426" i="6" a="1"/>
  <c r="B2426" i="6" s="1"/>
  <c r="B2423" i="6" a="1"/>
  <c r="B2423" i="6" s="1"/>
  <c r="B2420" i="6" a="1"/>
  <c r="B2420" i="6" s="1"/>
  <c r="B2417" i="6" a="1"/>
  <c r="B2417" i="6" s="1"/>
  <c r="B2414" i="6" a="1"/>
  <c r="B2414" i="6" s="1"/>
  <c r="B2411" i="6" a="1"/>
  <c r="B2411" i="6" s="1"/>
  <c r="B2408" i="6" a="1"/>
  <c r="B2408" i="6" s="1"/>
  <c r="B2405" i="6" a="1"/>
  <c r="B2405" i="6" s="1"/>
  <c r="B2402" i="6" a="1"/>
  <c r="B2402" i="6" s="1"/>
  <c r="B2399" i="6" a="1"/>
  <c r="B2399" i="6" s="1"/>
  <c r="B2396" i="6" a="1"/>
  <c r="B2396" i="6" s="1"/>
  <c r="B2393" i="6" a="1"/>
  <c r="B2393" i="6" s="1"/>
  <c r="B2390" i="6" a="1"/>
  <c r="B2390" i="6" s="1"/>
  <c r="B2387" i="6" a="1"/>
  <c r="B2387" i="6" s="1"/>
  <c r="B2384" i="6" a="1"/>
  <c r="B2384" i="6" s="1"/>
  <c r="B2381" i="6" a="1"/>
  <c r="B2381" i="6" s="1"/>
  <c r="B2378" i="6" a="1"/>
  <c r="B2378" i="6" s="1"/>
  <c r="B2375" i="6" a="1"/>
  <c r="B2375" i="6" s="1"/>
  <c r="B2372" i="6" a="1"/>
  <c r="B2372" i="6" s="1"/>
  <c r="B2369" i="6" a="1"/>
  <c r="B2369" i="6" s="1"/>
  <c r="B2366" i="6" a="1"/>
  <c r="B2366" i="6" s="1"/>
  <c r="B2363" i="6" a="1"/>
  <c r="B2363" i="6" s="1"/>
  <c r="B2360" i="6" a="1"/>
  <c r="B2360" i="6" s="1"/>
  <c r="B2357" i="6" a="1"/>
  <c r="B2357" i="6" s="1"/>
  <c r="B2354" i="6" a="1"/>
  <c r="B2354" i="6" s="1"/>
  <c r="B2351" i="6" a="1"/>
  <c r="B2351" i="6" s="1"/>
  <c r="B2348" i="6" a="1"/>
  <c r="B2348" i="6" s="1"/>
  <c r="B2345" i="6" a="1"/>
  <c r="B2345" i="6" s="1"/>
  <c r="B2342" i="6" a="1"/>
  <c r="B2342" i="6" s="1"/>
  <c r="B2339" i="6" a="1"/>
  <c r="B2339" i="6" s="1"/>
  <c r="B2336" i="6" a="1"/>
  <c r="B2336" i="6" s="1"/>
  <c r="B2333" i="6" a="1"/>
  <c r="B2333" i="6" s="1"/>
  <c r="B2330" i="6" a="1"/>
  <c r="B2330" i="6" s="1"/>
  <c r="B2327" i="6" a="1"/>
  <c r="B2327" i="6" s="1"/>
  <c r="B2324" i="6" a="1"/>
  <c r="B2324" i="6" s="1"/>
  <c r="B2321" i="6" a="1"/>
  <c r="B2321" i="6" s="1"/>
  <c r="B2318" i="6" a="1"/>
  <c r="B2318" i="6" s="1"/>
  <c r="B2315" i="6" a="1"/>
  <c r="B2315" i="6" s="1"/>
  <c r="B2312" i="6" a="1"/>
  <c r="B2312" i="6" s="1"/>
  <c r="B2309" i="6" a="1"/>
  <c r="B2309" i="6" s="1"/>
  <c r="B2306" i="6" a="1"/>
  <c r="B2306" i="6" s="1"/>
  <c r="B2303" i="6" a="1"/>
  <c r="B2303" i="6" s="1"/>
  <c r="B2300" i="6" a="1"/>
  <c r="B2300" i="6" s="1"/>
  <c r="B2297" i="6" a="1"/>
  <c r="B2297" i="6" s="1"/>
  <c r="B2294" i="6" a="1"/>
  <c r="B2294" i="6" s="1"/>
  <c r="B2291" i="6" a="1"/>
  <c r="B2291" i="6" s="1"/>
  <c r="B2288" i="6" a="1"/>
  <c r="B2288" i="6" s="1"/>
  <c r="B2285" i="6" a="1"/>
  <c r="B2285" i="6" s="1"/>
  <c r="B2278" i="6" a="1"/>
  <c r="B2278" i="6" s="1"/>
  <c r="B2275" i="6" a="1"/>
  <c r="B2275" i="6" s="1"/>
  <c r="B2272" i="6" a="1"/>
  <c r="B2272" i="6" s="1"/>
  <c r="B2269" i="6" a="1"/>
  <c r="B2269" i="6" s="1"/>
  <c r="B2266" i="6" a="1"/>
  <c r="B2266" i="6" s="1"/>
  <c r="B2263" i="6" a="1"/>
  <c r="B2263" i="6" s="1"/>
  <c r="B2260" i="6" a="1"/>
  <c r="B2260" i="6" s="1"/>
  <c r="B2257" i="6" a="1"/>
  <c r="B2257" i="6" s="1"/>
  <c r="B2295" i="6" a="1"/>
  <c r="B2295" i="6" s="1"/>
  <c r="B2283" i="6" a="1"/>
  <c r="B2283" i="6" s="1"/>
  <c r="B2273" i="6" a="1"/>
  <c r="B2273" i="6" s="1"/>
  <c r="B2261" i="6" a="1"/>
  <c r="B2261" i="6" s="1"/>
  <c r="B2254" i="6" a="1"/>
  <c r="B2254" i="6" s="1"/>
  <c r="B2250" i="6" a="1"/>
  <c r="B2250" i="6" s="1"/>
  <c r="B2246" i="6" a="1"/>
  <c r="B2246" i="6" s="1"/>
  <c r="B2242" i="6" a="1"/>
  <c r="B2242" i="6" s="1"/>
  <c r="B2238" i="6" a="1"/>
  <c r="B2238" i="6" s="1"/>
  <c r="B2234" i="6" a="1"/>
  <c r="B2234" i="6" s="1"/>
  <c r="B2230" i="6" a="1"/>
  <c r="B2230" i="6" s="1"/>
  <c r="B2226" i="6" a="1"/>
  <c r="B2226" i="6" s="1"/>
  <c r="B2222" i="6" a="1"/>
  <c r="B2222" i="6" s="1"/>
  <c r="B2218" i="6" a="1"/>
  <c r="B2218" i="6" s="1"/>
  <c r="B2214" i="6" a="1"/>
  <c r="B2214" i="6" s="1"/>
  <c r="B2210" i="6" a="1"/>
  <c r="B2210" i="6" s="1"/>
  <c r="B2206" i="6" a="1"/>
  <c r="B2206" i="6" s="1"/>
  <c r="B2202" i="6" a="1"/>
  <c r="B2202" i="6" s="1"/>
  <c r="B2198" i="6" a="1"/>
  <c r="B2198" i="6" s="1"/>
  <c r="B2194" i="6" a="1"/>
  <c r="B2194" i="6" s="1"/>
  <c r="B2190" i="6" a="1"/>
  <c r="B2190" i="6" s="1"/>
  <c r="B2186" i="6" a="1"/>
  <c r="B2186" i="6" s="1"/>
  <c r="B2182" i="6" a="1"/>
  <c r="B2182" i="6" s="1"/>
  <c r="B2178" i="6" a="1"/>
  <c r="B2178" i="6" s="1"/>
  <c r="B2174" i="6" a="1"/>
  <c r="B2174" i="6" s="1"/>
  <c r="B2170" i="6" a="1"/>
  <c r="B2170" i="6" s="1"/>
  <c r="B2166" i="6" a="1"/>
  <c r="B2166" i="6" s="1"/>
  <c r="B2162" i="6" a="1"/>
  <c r="B2162" i="6" s="1"/>
  <c r="B2158" i="6" a="1"/>
  <c r="B2158" i="6" s="1"/>
  <c r="B2154" i="6" a="1"/>
  <c r="B2154" i="6" s="1"/>
  <c r="B2150" i="6" a="1"/>
  <c r="B2150" i="6" s="1"/>
  <c r="B2146" i="6" a="1"/>
  <c r="B2146" i="6" s="1"/>
  <c r="B2142" i="6" a="1"/>
  <c r="B2142" i="6" s="1"/>
  <c r="B2138" i="6" a="1"/>
  <c r="B2138" i="6" s="1"/>
  <c r="B2134" i="6" a="1"/>
  <c r="B2134" i="6" s="1"/>
  <c r="B2130" i="6" a="1"/>
  <c r="B2130" i="6" s="1"/>
  <c r="B2126" i="6" a="1"/>
  <c r="B2126" i="6" s="1"/>
  <c r="B2122" i="6" a="1"/>
  <c r="B2122" i="6" s="1"/>
  <c r="B2118" i="6" a="1"/>
  <c r="B2118" i="6" s="1"/>
  <c r="B2114" i="6" a="1"/>
  <c r="B2114" i="6" s="1"/>
  <c r="B2110" i="6" a="1"/>
  <c r="B2110" i="6" s="1"/>
  <c r="B2106" i="6" a="1"/>
  <c r="B2106" i="6" s="1"/>
  <c r="B2102" i="6" a="1"/>
  <c r="B2102" i="6" s="1"/>
  <c r="B2098" i="6" a="1"/>
  <c r="B2098" i="6" s="1"/>
  <c r="B2094" i="6" a="1"/>
  <c r="B2094" i="6" s="1"/>
  <c r="B2090" i="6" a="1"/>
  <c r="B2090" i="6" s="1"/>
  <c r="B2086" i="6" a="1"/>
  <c r="B2086" i="6" s="1"/>
  <c r="B2082" i="6" a="1"/>
  <c r="B2082" i="6" s="1"/>
  <c r="B2078" i="6" a="1"/>
  <c r="B2078" i="6" s="1"/>
  <c r="B2074" i="6" a="1"/>
  <c r="B2074" i="6" s="1"/>
  <c r="B2070" i="6" a="1"/>
  <c r="B2070" i="6" s="1"/>
  <c r="B2066" i="6" a="1"/>
  <c r="B2066" i="6" s="1"/>
  <c r="B2062" i="6" a="1"/>
  <c r="B2062" i="6" s="1"/>
  <c r="B2058" i="6" a="1"/>
  <c r="B2058" i="6" s="1"/>
  <c r="B2054" i="6" a="1"/>
  <c r="B2054" i="6" s="1"/>
  <c r="B2050" i="6" a="1"/>
  <c r="B2050" i="6" s="1"/>
  <c r="B2046" i="6" a="1"/>
  <c r="B2046" i="6" s="1"/>
  <c r="B2042" i="6" a="1"/>
  <c r="B2042" i="6" s="1"/>
  <c r="B2038" i="6" a="1"/>
  <c r="B2038" i="6" s="1"/>
  <c r="B2034" i="6" a="1"/>
  <c r="B2034" i="6" s="1"/>
  <c r="B2030" i="6" a="1"/>
  <c r="B2030" i="6" s="1"/>
  <c r="B2026" i="6" a="1"/>
  <c r="B2026" i="6" s="1"/>
  <c r="B2022" i="6" a="1"/>
  <c r="B2022" i="6" s="1"/>
  <c r="B2018" i="6" a="1"/>
  <c r="B2018" i="6" s="1"/>
  <c r="B2014" i="6" a="1"/>
  <c r="B2014" i="6" s="1"/>
  <c r="B2010" i="6" a="1"/>
  <c r="B2010" i="6" s="1"/>
  <c r="B2006" i="6" a="1"/>
  <c r="B2006" i="6" s="1"/>
  <c r="B2002" i="6" a="1"/>
  <c r="B2002" i="6" s="1"/>
  <c r="B1998" i="6" a="1"/>
  <c r="B1998" i="6" s="1"/>
  <c r="B1994" i="6" a="1"/>
  <c r="B1994" i="6" s="1"/>
  <c r="B1990" i="6" a="1"/>
  <c r="B1990" i="6" s="1"/>
  <c r="B1985" i="6" a="1"/>
  <c r="B1985" i="6" s="1"/>
  <c r="B1981" i="6" a="1"/>
  <c r="B1981" i="6" s="1"/>
  <c r="B1977" i="6" a="1"/>
  <c r="B1977" i="6" s="1"/>
  <c r="B1973" i="6" a="1"/>
  <c r="B1973" i="6" s="1"/>
  <c r="B1969" i="6" a="1"/>
  <c r="B1969" i="6" s="1"/>
  <c r="B1965" i="6" a="1"/>
  <c r="B1965" i="6" s="1"/>
  <c r="B1961" i="6" a="1"/>
  <c r="B1961" i="6" s="1"/>
  <c r="B1957" i="6" a="1"/>
  <c r="B1957" i="6" s="1"/>
  <c r="B1953" i="6" a="1"/>
  <c r="B1953" i="6" s="1"/>
  <c r="B1948" i="6" a="1"/>
  <c r="B1948" i="6" s="1"/>
  <c r="B1944" i="6" a="1"/>
  <c r="B1944" i="6" s="1"/>
  <c r="B1940" i="6" a="1"/>
  <c r="B1940" i="6" s="1"/>
  <c r="B1936" i="6" a="1"/>
  <c r="B1936" i="6" s="1"/>
  <c r="B1932" i="6" a="1"/>
  <c r="B1932" i="6" s="1"/>
  <c r="B1924" i="6" a="1"/>
  <c r="B1924" i="6" s="1"/>
  <c r="B1920" i="6" a="1"/>
  <c r="B1920" i="6" s="1"/>
  <c r="B1916" i="6" a="1"/>
  <c r="B1916" i="6" s="1"/>
  <c r="B1912" i="6" a="1"/>
  <c r="B1912" i="6" s="1"/>
  <c r="B1907" i="6" a="1"/>
  <c r="B1907" i="6" s="1"/>
  <c r="B1903" i="6" a="1"/>
  <c r="B1903" i="6" s="1"/>
  <c r="B1899" i="6" a="1"/>
  <c r="B1899" i="6" s="1"/>
  <c r="B1895" i="6" a="1"/>
  <c r="B1895" i="6" s="1"/>
  <c r="B1891" i="6" a="1"/>
  <c r="B1891" i="6" s="1"/>
  <c r="B1887" i="6" a="1"/>
  <c r="B1887" i="6" s="1"/>
  <c r="B1882" i="6" a="1"/>
  <c r="B1882" i="6" s="1"/>
  <c r="B1875" i="6" a="1"/>
  <c r="B1875" i="6" s="1"/>
  <c r="B1874" i="6" a="1"/>
  <c r="B1874" i="6" s="1"/>
  <c r="B1870" i="6" a="1"/>
  <c r="B1870" i="6" s="1"/>
  <c r="B1866" i="6" a="1"/>
  <c r="B1866" i="6" s="1"/>
  <c r="B1862" i="6" a="1"/>
  <c r="B1862" i="6" s="1"/>
  <c r="B1858" i="6" a="1"/>
  <c r="B1858" i="6" s="1"/>
  <c r="B1854" i="6" a="1"/>
  <c r="B1854" i="6" s="1"/>
  <c r="B1850" i="6" a="1"/>
  <c r="B1850" i="6" s="1"/>
  <c r="B1846" i="6" a="1"/>
  <c r="B1846" i="6" s="1"/>
  <c r="B2292" i="6" a="1"/>
  <c r="B2292" i="6" s="1"/>
  <c r="B2281" i="6" a="1"/>
  <c r="B2281" i="6" s="1"/>
  <c r="B2270" i="6" a="1"/>
  <c r="B2270" i="6" s="1"/>
  <c r="B2258" i="6" a="1"/>
  <c r="B2258" i="6" s="1"/>
  <c r="B2253" i="6" a="1"/>
  <c r="B2253" i="6" s="1"/>
  <c r="B2249" i="6" a="1"/>
  <c r="B2249" i="6" s="1"/>
  <c r="B2245" i="6" a="1"/>
  <c r="B2245" i="6" s="1"/>
  <c r="B2241" i="6" a="1"/>
  <c r="B2241" i="6" s="1"/>
  <c r="B2237" i="6" a="1"/>
  <c r="B2237" i="6" s="1"/>
  <c r="B2233" i="6" a="1"/>
  <c r="B2233" i="6" s="1"/>
  <c r="B2229" i="6" a="1"/>
  <c r="B2229" i="6" s="1"/>
  <c r="B2225" i="6" a="1"/>
  <c r="B2225" i="6" s="1"/>
  <c r="B2221" i="6" a="1"/>
  <c r="B2221" i="6" s="1"/>
  <c r="B2217" i="6" a="1"/>
  <c r="B2217" i="6" s="1"/>
  <c r="B2213" i="6" a="1"/>
  <c r="B2213" i="6" s="1"/>
  <c r="B2209" i="6" a="1"/>
  <c r="B2209" i="6" s="1"/>
  <c r="B2205" i="6" a="1"/>
  <c r="B2205" i="6" s="1"/>
  <c r="B2201" i="6" a="1"/>
  <c r="B2201" i="6" s="1"/>
  <c r="B2197" i="6" a="1"/>
  <c r="B2197" i="6" s="1"/>
  <c r="B2193" i="6" a="1"/>
  <c r="B2193" i="6" s="1"/>
  <c r="B2189" i="6" a="1"/>
  <c r="B2189" i="6" s="1"/>
  <c r="B2185" i="6" a="1"/>
  <c r="B2185" i="6" s="1"/>
  <c r="B2181" i="6" a="1"/>
  <c r="B2181" i="6" s="1"/>
  <c r="B2177" i="6" a="1"/>
  <c r="B2177" i="6" s="1"/>
  <c r="B2173" i="6" a="1"/>
  <c r="B2173" i="6" s="1"/>
  <c r="B2169" i="6" a="1"/>
  <c r="B2169" i="6" s="1"/>
  <c r="B2165" i="6" a="1"/>
  <c r="B2165" i="6" s="1"/>
  <c r="B2161" i="6" a="1"/>
  <c r="B2161" i="6" s="1"/>
  <c r="B2157" i="6" a="1"/>
  <c r="B2157" i="6" s="1"/>
  <c r="B2153" i="6" a="1"/>
  <c r="B2153" i="6" s="1"/>
  <c r="B2149" i="6" a="1"/>
  <c r="B2149" i="6" s="1"/>
  <c r="B2145" i="6" a="1"/>
  <c r="B2145" i="6" s="1"/>
  <c r="B2141" i="6" a="1"/>
  <c r="B2141" i="6" s="1"/>
  <c r="B2137" i="6" a="1"/>
  <c r="B2137" i="6" s="1"/>
  <c r="B2133" i="6" a="1"/>
  <c r="B2133" i="6" s="1"/>
  <c r="B2129" i="6" a="1"/>
  <c r="B2129" i="6" s="1"/>
  <c r="B2125" i="6" a="1"/>
  <c r="B2125" i="6" s="1"/>
  <c r="B2121" i="6" a="1"/>
  <c r="B2121" i="6" s="1"/>
  <c r="B2117" i="6" a="1"/>
  <c r="B2117" i="6" s="1"/>
  <c r="B2113" i="6" a="1"/>
  <c r="B2113" i="6" s="1"/>
  <c r="B2109" i="6" a="1"/>
  <c r="B2109" i="6" s="1"/>
  <c r="B2105" i="6" a="1"/>
  <c r="B2105" i="6" s="1"/>
  <c r="B2101" i="6" a="1"/>
  <c r="B2101" i="6" s="1"/>
  <c r="B2097" i="6" a="1"/>
  <c r="B2097" i="6" s="1"/>
  <c r="B2093" i="6" a="1"/>
  <c r="B2093" i="6" s="1"/>
  <c r="B2089" i="6" a="1"/>
  <c r="B2089" i="6" s="1"/>
  <c r="B2085" i="6" a="1"/>
  <c r="B2085" i="6" s="1"/>
  <c r="B2081" i="6" a="1"/>
  <c r="B2081" i="6" s="1"/>
  <c r="B2077" i="6" a="1"/>
  <c r="B2077" i="6" s="1"/>
  <c r="B2073" i="6" a="1"/>
  <c r="B2073" i="6" s="1"/>
  <c r="B2069" i="6" a="1"/>
  <c r="B2069" i="6" s="1"/>
  <c r="B2065" i="6" a="1"/>
  <c r="B2065" i="6" s="1"/>
  <c r="B2061" i="6" a="1"/>
  <c r="B2061" i="6" s="1"/>
  <c r="B2057" i="6" a="1"/>
  <c r="B2057" i="6" s="1"/>
  <c r="B2053" i="6" a="1"/>
  <c r="B2053" i="6" s="1"/>
  <c r="B2049" i="6" a="1"/>
  <c r="B2049" i="6" s="1"/>
  <c r="B2045" i="6" a="1"/>
  <c r="B2045" i="6" s="1"/>
  <c r="B2041" i="6" a="1"/>
  <c r="B2041" i="6" s="1"/>
  <c r="B2037" i="6" a="1"/>
  <c r="B2037" i="6" s="1"/>
  <c r="B2033" i="6" a="1"/>
  <c r="B2033" i="6" s="1"/>
  <c r="B2029" i="6" a="1"/>
  <c r="B2029" i="6" s="1"/>
  <c r="B2025" i="6" a="1"/>
  <c r="B2025" i="6" s="1"/>
  <c r="B2021" i="6" a="1"/>
  <c r="B2021" i="6" s="1"/>
  <c r="B2017" i="6" a="1"/>
  <c r="B2017" i="6" s="1"/>
  <c r="B2013" i="6" a="1"/>
  <c r="B2013" i="6" s="1"/>
  <c r="B2009" i="6" a="1"/>
  <c r="B2009" i="6" s="1"/>
  <c r="B2005" i="6" a="1"/>
  <c r="B2005" i="6" s="1"/>
  <c r="B2001" i="6" a="1"/>
  <c r="B2001" i="6" s="1"/>
  <c r="B1997" i="6" a="1"/>
  <c r="B1997" i="6" s="1"/>
  <c r="B1988" i="6" a="1"/>
  <c r="B1988" i="6" s="1"/>
  <c r="B1984" i="6" a="1"/>
  <c r="B1984" i="6" s="1"/>
  <c r="B1980" i="6" a="1"/>
  <c r="B1980" i="6" s="1"/>
  <c r="B1976" i="6" a="1"/>
  <c r="B1976" i="6" s="1"/>
  <c r="B1972" i="6" a="1"/>
  <c r="B1972" i="6" s="1"/>
  <c r="B1968" i="6" a="1"/>
  <c r="B1968" i="6" s="1"/>
  <c r="B1964" i="6" a="1"/>
  <c r="B1964" i="6" s="1"/>
  <c r="B1960" i="6" a="1"/>
  <c r="B1960" i="6" s="1"/>
  <c r="B1956" i="6" a="1"/>
  <c r="B1956" i="6" s="1"/>
  <c r="B1952" i="6" a="1"/>
  <c r="B1952" i="6" s="1"/>
  <c r="B1947" i="6" a="1"/>
  <c r="B1947" i="6" s="1"/>
  <c r="B1943" i="6" a="1"/>
  <c r="B1943" i="6" s="1"/>
  <c r="B1939" i="6" a="1"/>
  <c r="B1939" i="6" s="1"/>
  <c r="B1935" i="6" a="1"/>
  <c r="B1935" i="6" s="1"/>
  <c r="B1931" i="6" a="1"/>
  <c r="B1931" i="6" s="1"/>
  <c r="B1927" i="6" a="1"/>
  <c r="B1927" i="6" s="1"/>
  <c r="B1923" i="6" a="1"/>
  <c r="B1923" i="6" s="1"/>
  <c r="B1919" i="6" a="1"/>
  <c r="B1919" i="6" s="1"/>
  <c r="B1915" i="6" a="1"/>
  <c r="B1915" i="6" s="1"/>
  <c r="B1911" i="6" a="1"/>
  <c r="B1911" i="6" s="1"/>
  <c r="B1906" i="6" a="1"/>
  <c r="B1906" i="6" s="1"/>
  <c r="B1902" i="6" a="1"/>
  <c r="B1902" i="6" s="1"/>
  <c r="B1894" i="6" a="1"/>
  <c r="B1894" i="6" s="1"/>
  <c r="B1890" i="6" a="1"/>
  <c r="B1890" i="6" s="1"/>
  <c r="B1886" i="6" a="1"/>
  <c r="B1886" i="6" s="1"/>
  <c r="B1881" i="6" a="1"/>
  <c r="B1881" i="6" s="1"/>
  <c r="B1878" i="6" a="1"/>
  <c r="B1878" i="6" s="1"/>
  <c r="B1873" i="6" a="1"/>
  <c r="B1873" i="6" s="1"/>
  <c r="B1869" i="6" a="1"/>
  <c r="B1869" i="6" s="1"/>
  <c r="B1865" i="6" a="1"/>
  <c r="B1865" i="6" s="1"/>
  <c r="B1857" i="6" a="1"/>
  <c r="B1857" i="6" s="1"/>
  <c r="B1853" i="6" a="1"/>
  <c r="B1853" i="6" s="1"/>
  <c r="B1849" i="6" a="1"/>
  <c r="B1849" i="6" s="1"/>
  <c r="B1845" i="6" a="1"/>
  <c r="B1845" i="6" s="1"/>
  <c r="B1841" i="6" a="1"/>
  <c r="B1841" i="6" s="1"/>
  <c r="B1837" i="6" a="1"/>
  <c r="B1837" i="6" s="1"/>
  <c r="B1833" i="6" a="1"/>
  <c r="B1833" i="6" s="1"/>
  <c r="B1829" i="6" a="1"/>
  <c r="B1829" i="6" s="1"/>
  <c r="B2289" i="6" a="1"/>
  <c r="B2289" i="6" s="1"/>
  <c r="B2279" i="6" a="1"/>
  <c r="B2279" i="6" s="1"/>
  <c r="B2267" i="6" a="1"/>
  <c r="B2267" i="6" s="1"/>
  <c r="B2256" i="6" a="1"/>
  <c r="B2256" i="6" s="1"/>
  <c r="B2252" i="6" a="1"/>
  <c r="B2252" i="6" s="1"/>
  <c r="B2248" i="6" a="1"/>
  <c r="B2248" i="6" s="1"/>
  <c r="B2244" i="6" a="1"/>
  <c r="B2244" i="6" s="1"/>
  <c r="B2240" i="6" a="1"/>
  <c r="B2240" i="6" s="1"/>
  <c r="B2236" i="6" a="1"/>
  <c r="B2236" i="6" s="1"/>
  <c r="B2232" i="6" a="1"/>
  <c r="B2232" i="6" s="1"/>
  <c r="B2228" i="6" a="1"/>
  <c r="B2228" i="6" s="1"/>
  <c r="B2224" i="6" a="1"/>
  <c r="B2224" i="6" s="1"/>
  <c r="B2220" i="6" a="1"/>
  <c r="B2220" i="6" s="1"/>
  <c r="B2216" i="6" a="1"/>
  <c r="B2216" i="6" s="1"/>
  <c r="B2212" i="6" a="1"/>
  <c r="B2212" i="6" s="1"/>
  <c r="B2208" i="6" a="1"/>
  <c r="B2208" i="6" s="1"/>
  <c r="B2204" i="6" a="1"/>
  <c r="B2204" i="6" s="1"/>
  <c r="B2200" i="6" a="1"/>
  <c r="B2200" i="6" s="1"/>
  <c r="B2196" i="6" a="1"/>
  <c r="B2196" i="6" s="1"/>
  <c r="B2192" i="6" a="1"/>
  <c r="B2192" i="6" s="1"/>
  <c r="B2188" i="6" a="1"/>
  <c r="B2188" i="6" s="1"/>
  <c r="B2184" i="6" a="1"/>
  <c r="B2184" i="6" s="1"/>
  <c r="B2180" i="6" a="1"/>
  <c r="B2180" i="6" s="1"/>
  <c r="B2176" i="6" a="1"/>
  <c r="B2176" i="6" s="1"/>
  <c r="B2172" i="6" a="1"/>
  <c r="B2172" i="6" s="1"/>
  <c r="B2168" i="6" a="1"/>
  <c r="B2168" i="6" s="1"/>
  <c r="B2164" i="6" a="1"/>
  <c r="B2164" i="6" s="1"/>
  <c r="B2160" i="6" a="1"/>
  <c r="B2160" i="6" s="1"/>
  <c r="B2156" i="6" a="1"/>
  <c r="B2156" i="6" s="1"/>
  <c r="B2152" i="6" a="1"/>
  <c r="B2152" i="6" s="1"/>
  <c r="B2148" i="6" a="1"/>
  <c r="B2148" i="6" s="1"/>
  <c r="B2144" i="6" a="1"/>
  <c r="B2144" i="6" s="1"/>
  <c r="B2140" i="6" a="1"/>
  <c r="B2140" i="6" s="1"/>
  <c r="B2136" i="6" a="1"/>
  <c r="B2136" i="6" s="1"/>
  <c r="B2132" i="6" a="1"/>
  <c r="B2132" i="6" s="1"/>
  <c r="B2128" i="6" a="1"/>
  <c r="B2128" i="6" s="1"/>
  <c r="B2124" i="6" a="1"/>
  <c r="B2124" i="6" s="1"/>
  <c r="B2120" i="6" a="1"/>
  <c r="B2120" i="6" s="1"/>
  <c r="B2116" i="6" a="1"/>
  <c r="B2116" i="6" s="1"/>
  <c r="B2112" i="6" a="1"/>
  <c r="B2112" i="6" s="1"/>
  <c r="B2108" i="6" a="1"/>
  <c r="B2108" i="6" s="1"/>
  <c r="B2104" i="6" a="1"/>
  <c r="B2104" i="6" s="1"/>
  <c r="B2100" i="6" a="1"/>
  <c r="B2100" i="6" s="1"/>
  <c r="B2096" i="6" a="1"/>
  <c r="B2096" i="6" s="1"/>
  <c r="B2092" i="6" a="1"/>
  <c r="B2092" i="6" s="1"/>
  <c r="B2088" i="6" a="1"/>
  <c r="B2088" i="6" s="1"/>
  <c r="B2084" i="6" a="1"/>
  <c r="B2084" i="6" s="1"/>
  <c r="B2080" i="6" a="1"/>
  <c r="B2080" i="6" s="1"/>
  <c r="B2076" i="6" a="1"/>
  <c r="B2076" i="6" s="1"/>
  <c r="B2072" i="6" a="1"/>
  <c r="B2072" i="6" s="1"/>
  <c r="B2068" i="6" a="1"/>
  <c r="B2068" i="6" s="1"/>
  <c r="B2064" i="6" a="1"/>
  <c r="B2064" i="6" s="1"/>
  <c r="B2060" i="6" a="1"/>
  <c r="B2060" i="6" s="1"/>
  <c r="B2056" i="6" a="1"/>
  <c r="B2056" i="6" s="1"/>
  <c r="B2052" i="6" a="1"/>
  <c r="B2052" i="6" s="1"/>
  <c r="B2048" i="6" a="1"/>
  <c r="B2048" i="6" s="1"/>
  <c r="B2044" i="6" a="1"/>
  <c r="B2044" i="6" s="1"/>
  <c r="B2040" i="6" a="1"/>
  <c r="B2040" i="6" s="1"/>
  <c r="B2036" i="6" a="1"/>
  <c r="B2036" i="6" s="1"/>
  <c r="B2032" i="6" a="1"/>
  <c r="B2032" i="6" s="1"/>
  <c r="B2028" i="6" a="1"/>
  <c r="B2028" i="6" s="1"/>
  <c r="B2024" i="6" a="1"/>
  <c r="B2024" i="6" s="1"/>
  <c r="B2020" i="6" a="1"/>
  <c r="B2020" i="6" s="1"/>
  <c r="B2016" i="6" a="1"/>
  <c r="B2016" i="6" s="1"/>
  <c r="B2012" i="6" a="1"/>
  <c r="B2012" i="6" s="1"/>
  <c r="B2008" i="6" a="1"/>
  <c r="B2008" i="6" s="1"/>
  <c r="B2004" i="6" a="1"/>
  <c r="B2004" i="6" s="1"/>
  <c r="B2000" i="6" a="1"/>
  <c r="B2000" i="6" s="1"/>
  <c r="B1996" i="6" a="1"/>
  <c r="B1996" i="6" s="1"/>
  <c r="B1987" i="6" a="1"/>
  <c r="B1987" i="6" s="1"/>
  <c r="B1983" i="6" a="1"/>
  <c r="B1983" i="6" s="1"/>
  <c r="B1979" i="6" a="1"/>
  <c r="B1979" i="6" s="1"/>
  <c r="B1975" i="6" a="1"/>
  <c r="B1975" i="6" s="1"/>
  <c r="B1971" i="6" a="1"/>
  <c r="B1971" i="6" s="1"/>
  <c r="B1967" i="6" a="1"/>
  <c r="B1967" i="6" s="1"/>
  <c r="B1963" i="6" a="1"/>
  <c r="B1963" i="6" s="1"/>
  <c r="B1959" i="6" a="1"/>
  <c r="B1959" i="6" s="1"/>
  <c r="B1955" i="6" a="1"/>
  <c r="B1955" i="6" s="1"/>
  <c r="B1950" i="6" a="1"/>
  <c r="B1950" i="6" s="1"/>
  <c r="B1946" i="6" a="1"/>
  <c r="B1946" i="6" s="1"/>
  <c r="B1942" i="6" a="1"/>
  <c r="B1942" i="6" s="1"/>
  <c r="B1938" i="6" a="1"/>
  <c r="B1938" i="6" s="1"/>
  <c r="B1934" i="6" a="1"/>
  <c r="B1934" i="6" s="1"/>
  <c r="B1930" i="6" a="1"/>
  <c r="B1930" i="6" s="1"/>
  <c r="B1926" i="6" a="1"/>
  <c r="B1926" i="6" s="1"/>
  <c r="B1922" i="6" a="1"/>
  <c r="B1922" i="6" s="1"/>
  <c r="B1918" i="6" a="1"/>
  <c r="B1918" i="6" s="1"/>
  <c r="B1914" i="6" a="1"/>
  <c r="B1914" i="6" s="1"/>
  <c r="B1910" i="6" a="1"/>
  <c r="B1910" i="6" s="1"/>
  <c r="B1905" i="6" a="1"/>
  <c r="B1905" i="6" s="1"/>
  <c r="B1901" i="6" a="1"/>
  <c r="B1901" i="6" s="1"/>
  <c r="B1897" i="6" a="1"/>
  <c r="B1897" i="6" s="1"/>
  <c r="B1893" i="6" a="1"/>
  <c r="B1893" i="6" s="1"/>
  <c r="B1889" i="6" a="1"/>
  <c r="B1889" i="6" s="1"/>
  <c r="B1885" i="6" a="1"/>
  <c r="B1885" i="6" s="1"/>
  <c r="B1880" i="6" a="1"/>
  <c r="B1880" i="6" s="1"/>
  <c r="B1877" i="6" a="1"/>
  <c r="B1877" i="6" s="1"/>
  <c r="B1872" i="6" a="1"/>
  <c r="B1872" i="6" s="1"/>
  <c r="B1868" i="6" a="1"/>
  <c r="B1868" i="6" s="1"/>
  <c r="B1864" i="6" a="1"/>
  <c r="B1864" i="6" s="1"/>
  <c r="B1856" i="6" a="1"/>
  <c r="B1856" i="6" s="1"/>
  <c r="B1852" i="6" a="1"/>
  <c r="B1852" i="6" s="1"/>
  <c r="B1848" i="6" a="1"/>
  <c r="B1848" i="6" s="1"/>
  <c r="B2286" i="6" a="1"/>
  <c r="B2286" i="6" s="1"/>
  <c r="B2276" i="6" a="1"/>
  <c r="B2276" i="6" s="1"/>
  <c r="B2264" i="6" a="1"/>
  <c r="B2264" i="6" s="1"/>
  <c r="B2255" i="6" a="1"/>
  <c r="B2255" i="6" s="1"/>
  <c r="B2251" i="6" a="1"/>
  <c r="B2251" i="6" s="1"/>
  <c r="B2247" i="6" a="1"/>
  <c r="B2247" i="6" s="1"/>
  <c r="B2243" i="6" a="1"/>
  <c r="B2243" i="6" s="1"/>
  <c r="B2239" i="6" a="1"/>
  <c r="B2239" i="6" s="1"/>
  <c r="B2235" i="6" a="1"/>
  <c r="B2235" i="6" s="1"/>
  <c r="B2231" i="6" a="1"/>
  <c r="B2231" i="6" s="1"/>
  <c r="B2227" i="6" a="1"/>
  <c r="B2227" i="6" s="1"/>
  <c r="B2223" i="6" a="1"/>
  <c r="B2223" i="6" s="1"/>
  <c r="B2219" i="6" a="1"/>
  <c r="B2219" i="6" s="1"/>
  <c r="B2215" i="6" a="1"/>
  <c r="B2215" i="6" s="1"/>
  <c r="B2211" i="6" a="1"/>
  <c r="B2211" i="6" s="1"/>
  <c r="B2207" i="6" a="1"/>
  <c r="B2207" i="6" s="1"/>
  <c r="B2203" i="6" a="1"/>
  <c r="B2203" i="6" s="1"/>
  <c r="B2199" i="6" a="1"/>
  <c r="B2199" i="6" s="1"/>
  <c r="B2195" i="6" a="1"/>
  <c r="B2195" i="6" s="1"/>
  <c r="B2191" i="6" a="1"/>
  <c r="B2191" i="6" s="1"/>
  <c r="B2187" i="6" a="1"/>
  <c r="B2187" i="6" s="1"/>
  <c r="B2183" i="6" a="1"/>
  <c r="B2183" i="6" s="1"/>
  <c r="B2179" i="6" a="1"/>
  <c r="B2179" i="6" s="1"/>
  <c r="B2175" i="6" a="1"/>
  <c r="B2175" i="6" s="1"/>
  <c r="B2171" i="6" a="1"/>
  <c r="B2171" i="6" s="1"/>
  <c r="B2167" i="6" a="1"/>
  <c r="B2167" i="6" s="1"/>
  <c r="B2163" i="6" a="1"/>
  <c r="B2163" i="6" s="1"/>
  <c r="B2159" i="6" a="1"/>
  <c r="B2159" i="6" s="1"/>
  <c r="B2155" i="6" a="1"/>
  <c r="B2155" i="6" s="1"/>
  <c r="B2151" i="6" a="1"/>
  <c r="B2151" i="6" s="1"/>
  <c r="B2147" i="6" a="1"/>
  <c r="B2147" i="6" s="1"/>
  <c r="B2143" i="6" a="1"/>
  <c r="B2143" i="6" s="1"/>
  <c r="B2139" i="6" a="1"/>
  <c r="B2139" i="6" s="1"/>
  <c r="B2135" i="6" a="1"/>
  <c r="B2135" i="6" s="1"/>
  <c r="B2131" i="6" a="1"/>
  <c r="B2131" i="6" s="1"/>
  <c r="B2127" i="6" a="1"/>
  <c r="B2127" i="6" s="1"/>
  <c r="B2123" i="6" a="1"/>
  <c r="B2123" i="6" s="1"/>
  <c r="B2119" i="6" a="1"/>
  <c r="B2119" i="6" s="1"/>
  <c r="B2115" i="6" a="1"/>
  <c r="B2115" i="6" s="1"/>
  <c r="B2111" i="6" a="1"/>
  <c r="B2111" i="6" s="1"/>
  <c r="B2107" i="6" a="1"/>
  <c r="B2107" i="6" s="1"/>
  <c r="B2103" i="6" a="1"/>
  <c r="B2103" i="6" s="1"/>
  <c r="B2099" i="6" a="1"/>
  <c r="B2099" i="6" s="1"/>
  <c r="B2095" i="6" a="1"/>
  <c r="B2095" i="6" s="1"/>
  <c r="B2091" i="6" a="1"/>
  <c r="B2091" i="6" s="1"/>
  <c r="B2087" i="6" a="1"/>
  <c r="B2087" i="6" s="1"/>
  <c r="B2083" i="6" a="1"/>
  <c r="B2083" i="6" s="1"/>
  <c r="B2079" i="6" a="1"/>
  <c r="B2079" i="6" s="1"/>
  <c r="B2075" i="6" a="1"/>
  <c r="B2075" i="6" s="1"/>
  <c r="B2071" i="6" a="1"/>
  <c r="B2071" i="6" s="1"/>
  <c r="B2067" i="6" a="1"/>
  <c r="B2067" i="6" s="1"/>
  <c r="B2063" i="6" a="1"/>
  <c r="B2063" i="6" s="1"/>
  <c r="B2059" i="6" a="1"/>
  <c r="B2059" i="6" s="1"/>
  <c r="B2055" i="6" a="1"/>
  <c r="B2055" i="6" s="1"/>
  <c r="B2051" i="6" a="1"/>
  <c r="B2051" i="6" s="1"/>
  <c r="B2047" i="6" a="1"/>
  <c r="B2047" i="6" s="1"/>
  <c r="B2043" i="6" a="1"/>
  <c r="B2043" i="6" s="1"/>
  <c r="B2039" i="6" a="1"/>
  <c r="B2039" i="6" s="1"/>
  <c r="B2035" i="6" a="1"/>
  <c r="B2035" i="6" s="1"/>
  <c r="B2031" i="6" a="1"/>
  <c r="B2031" i="6" s="1"/>
  <c r="B2027" i="6" a="1"/>
  <c r="B2027" i="6" s="1"/>
  <c r="B2023" i="6" a="1"/>
  <c r="B2023" i="6" s="1"/>
  <c r="B2019" i="6" a="1"/>
  <c r="B2019" i="6" s="1"/>
  <c r="B2015" i="6" a="1"/>
  <c r="B2015" i="6" s="1"/>
  <c r="B2011" i="6" a="1"/>
  <c r="B2011" i="6" s="1"/>
  <c r="B2007" i="6" a="1"/>
  <c r="B2007" i="6" s="1"/>
  <c r="B2003" i="6" a="1"/>
  <c r="B2003" i="6" s="1"/>
  <c r="B1999" i="6" a="1"/>
  <c r="B1999" i="6" s="1"/>
  <c r="B1995" i="6" a="1"/>
  <c r="B1995" i="6" s="1"/>
  <c r="B1991" i="6" a="1"/>
  <c r="B1991" i="6" s="1"/>
  <c r="B1986" i="6" a="1"/>
  <c r="B1986" i="6" s="1"/>
  <c r="B1982" i="6" a="1"/>
  <c r="B1982" i="6" s="1"/>
  <c r="B1978" i="6" a="1"/>
  <c r="B1978" i="6" s="1"/>
  <c r="B1974" i="6" a="1"/>
  <c r="B1974" i="6" s="1"/>
  <c r="B1970" i="6" a="1"/>
  <c r="B1970" i="6" s="1"/>
  <c r="B1966" i="6" a="1"/>
  <c r="B1966" i="6" s="1"/>
  <c r="B1962" i="6" a="1"/>
  <c r="B1962" i="6" s="1"/>
  <c r="B1958" i="6" a="1"/>
  <c r="B1958" i="6" s="1"/>
  <c r="B1954" i="6" a="1"/>
  <c r="B1954" i="6" s="1"/>
  <c r="B1949" i="6" a="1"/>
  <c r="B1949" i="6" s="1"/>
  <c r="B1945" i="6" a="1"/>
  <c r="B1945" i="6" s="1"/>
  <c r="B1941" i="6" a="1"/>
  <c r="B1941" i="6" s="1"/>
  <c r="B1937" i="6" a="1"/>
  <c r="B1937" i="6" s="1"/>
  <c r="B1933" i="6" a="1"/>
  <c r="B1933" i="6" s="1"/>
  <c r="B1929" i="6" a="1"/>
  <c r="B1929" i="6" s="1"/>
  <c r="B1925" i="6" a="1"/>
  <c r="B1925" i="6" s="1"/>
  <c r="B1908" i="6" a="1"/>
  <c r="B1908" i="6" s="1"/>
  <c r="B1896" i="6" a="1"/>
  <c r="B1896" i="6" s="1"/>
  <c r="B1879" i="6" a="1"/>
  <c r="B1879" i="6" s="1"/>
  <c r="B1863" i="6" a="1"/>
  <c r="B1863" i="6" s="1"/>
  <c r="B1847" i="6" a="1"/>
  <c r="B1847" i="6" s="1"/>
  <c r="B1840" i="6" a="1"/>
  <c r="B1840" i="6" s="1"/>
  <c r="B1835" i="6" a="1"/>
  <c r="B1835" i="6" s="1"/>
  <c r="B1830" i="6" a="1"/>
  <c r="B1830" i="6" s="1"/>
  <c r="B1825" i="6" a="1"/>
  <c r="B1825" i="6" s="1"/>
  <c r="B1815" i="6" a="1"/>
  <c r="B1815" i="6" s="1"/>
  <c r="B1811" i="6" a="1"/>
  <c r="B1811" i="6" s="1"/>
  <c r="B1807" i="6" a="1"/>
  <c r="B1807" i="6" s="1"/>
  <c r="B1803" i="6" a="1"/>
  <c r="B1803" i="6" s="1"/>
  <c r="B1799" i="6" a="1"/>
  <c r="B1799" i="6" s="1"/>
  <c r="B1795" i="6" a="1"/>
  <c r="B1795" i="6" s="1"/>
  <c r="B1791" i="6" a="1"/>
  <c r="B1791" i="6" s="1"/>
  <c r="B1787" i="6" a="1"/>
  <c r="B1787" i="6" s="1"/>
  <c r="B1782" i="6" a="1"/>
  <c r="B1782" i="6" s="1"/>
  <c r="B1777" i="6" a="1"/>
  <c r="B1777" i="6" s="1"/>
  <c r="B1773" i="6" a="1"/>
  <c r="B1773" i="6" s="1"/>
  <c r="B1769" i="6" a="1"/>
  <c r="B1769" i="6" s="1"/>
  <c r="B1765" i="6" a="1"/>
  <c r="B1765" i="6" s="1"/>
  <c r="B1761" i="6" a="1"/>
  <c r="B1761" i="6" s="1"/>
  <c r="B1757" i="6" a="1"/>
  <c r="B1757" i="6" s="1"/>
  <c r="B1753" i="6" a="1"/>
  <c r="B1753" i="6" s="1"/>
  <c r="B1745" i="6" a="1"/>
  <c r="B1745" i="6" s="1"/>
  <c r="B1739" i="6" a="1"/>
  <c r="B1739" i="6" s="1"/>
  <c r="B1735" i="6" a="1"/>
  <c r="B1735" i="6" s="1"/>
  <c r="B1731" i="6" a="1"/>
  <c r="B1731" i="6" s="1"/>
  <c r="B1727" i="6" a="1"/>
  <c r="B1727" i="6" s="1"/>
  <c r="B1723" i="6" a="1"/>
  <c r="B1723" i="6" s="1"/>
  <c r="B1719" i="6" a="1"/>
  <c r="B1719" i="6" s="1"/>
  <c r="B1715" i="6" a="1"/>
  <c r="B1715" i="6" s="1"/>
  <c r="B1711" i="6" a="1"/>
  <c r="B1711" i="6" s="1"/>
  <c r="B1705" i="6" a="1"/>
  <c r="B1705" i="6" s="1"/>
  <c r="B1692" i="6" a="1"/>
  <c r="B1692" i="6" s="1"/>
  <c r="B1687" i="6" a="1"/>
  <c r="B1687" i="6" s="1"/>
  <c r="B1683" i="6" a="1"/>
  <c r="B1683" i="6" s="1"/>
  <c r="B1679" i="6" a="1"/>
  <c r="B1679" i="6" s="1"/>
  <c r="B1675" i="6" a="1"/>
  <c r="B1675" i="6" s="1"/>
  <c r="B1670" i="6" a="1"/>
  <c r="B1670" i="6" s="1"/>
  <c r="B1666" i="6" a="1"/>
  <c r="B1666" i="6" s="1"/>
  <c r="B1662" i="6" a="1"/>
  <c r="B1662" i="6" s="1"/>
  <c r="B1658" i="6" a="1"/>
  <c r="B1658" i="6" s="1"/>
  <c r="B1654" i="6" a="1"/>
  <c r="B1654" i="6" s="1"/>
  <c r="B1650" i="6" a="1"/>
  <c r="B1650" i="6" s="1"/>
  <c r="B1645" i="6" a="1"/>
  <c r="B1645" i="6" s="1"/>
  <c r="B1641" i="6" a="1"/>
  <c r="B1641" i="6" s="1"/>
  <c r="B1637" i="6" a="1"/>
  <c r="B1637" i="6" s="1"/>
  <c r="B1633" i="6" a="1"/>
  <c r="B1633" i="6" s="1"/>
  <c r="B1628" i="6" a="1"/>
  <c r="B1628" i="6" s="1"/>
  <c r="B1624" i="6" a="1"/>
  <c r="B1624" i="6" s="1"/>
  <c r="B1620" i="6" a="1"/>
  <c r="B1620" i="6" s="1"/>
  <c r="B1616" i="6" a="1"/>
  <c r="B1616" i="6" s="1"/>
  <c r="B1612" i="6" a="1"/>
  <c r="B1612" i="6" s="1"/>
  <c r="B1608" i="6" a="1"/>
  <c r="B1608" i="6" s="1"/>
  <c r="B1604" i="6" a="1"/>
  <c r="B1604" i="6" s="1"/>
  <c r="B1599" i="6" a="1"/>
  <c r="B1599" i="6" s="1"/>
  <c r="B1595" i="6" a="1"/>
  <c r="B1595" i="6" s="1"/>
  <c r="B1591" i="6" a="1"/>
  <c r="B1591" i="6" s="1"/>
  <c r="B1587" i="6" a="1"/>
  <c r="B1587" i="6" s="1"/>
  <c r="B1583" i="6" a="1"/>
  <c r="B1583" i="6" s="1"/>
  <c r="B1579" i="6" a="1"/>
  <c r="B1579" i="6" s="1"/>
  <c r="B1562" i="6" a="1"/>
  <c r="B1562" i="6" s="1"/>
  <c r="B1552" i="6" a="1"/>
  <c r="B1552" i="6" s="1"/>
  <c r="B1555" i="6" a="1"/>
  <c r="B1555" i="6" s="1"/>
  <c r="B1545" i="6" a="1"/>
  <c r="B1545" i="6" s="1"/>
  <c r="B1541" i="6" a="1"/>
  <c r="B1541" i="6" s="1"/>
  <c r="B1537" i="6" a="1"/>
  <c r="B1537" i="6" s="1"/>
  <c r="B1533" i="6" a="1"/>
  <c r="B1533" i="6" s="1"/>
  <c r="B1527" i="6" a="1"/>
  <c r="B1527" i="6" s="1"/>
  <c r="B1523" i="6" a="1"/>
  <c r="B1523" i="6" s="1"/>
  <c r="B1519" i="6" a="1"/>
  <c r="B1519" i="6" s="1"/>
  <c r="B1515" i="6" a="1"/>
  <c r="B1515" i="6" s="1"/>
  <c r="B1511" i="6" a="1"/>
  <c r="B1511" i="6" s="1"/>
  <c r="B1506" i="6" a="1"/>
  <c r="B1506" i="6" s="1"/>
  <c r="B1501" i="6" a="1"/>
  <c r="B1501" i="6" s="1"/>
  <c r="B1497" i="6" a="1"/>
  <c r="B1497" i="6" s="1"/>
  <c r="B1493" i="6" a="1"/>
  <c r="B1493" i="6" s="1"/>
  <c r="B1531" i="6" a="1"/>
  <c r="B1531" i="6" s="1"/>
  <c r="B1486" i="6" a="1"/>
  <c r="B1486" i="6" s="1"/>
  <c r="B1483" i="6" a="1"/>
  <c r="B1483" i="6" s="1"/>
  <c r="B1479" i="6" a="1"/>
  <c r="B1479" i="6" s="1"/>
  <c r="B1475" i="6" a="1"/>
  <c r="B1475" i="6" s="1"/>
  <c r="B1470" i="6" a="1"/>
  <c r="B1470" i="6" s="1"/>
  <c r="B1466" i="6" a="1"/>
  <c r="B1466" i="6" s="1"/>
  <c r="B1462" i="6" a="1"/>
  <c r="B1462" i="6" s="1"/>
  <c r="B1458" i="6" a="1"/>
  <c r="B1458" i="6" s="1"/>
  <c r="B1453" i="6" a="1"/>
  <c r="B1453" i="6" s="1"/>
  <c r="B1450" i="6" a="1"/>
  <c r="B1450" i="6" s="1"/>
  <c r="B1446" i="6" a="1"/>
  <c r="B1446" i="6" s="1"/>
  <c r="B1441" i="6" a="1"/>
  <c r="B1441" i="6" s="1"/>
  <c r="B1437" i="6" a="1"/>
  <c r="B1437" i="6" s="1"/>
  <c r="B1433" i="6" a="1"/>
  <c r="B1433" i="6" s="1"/>
  <c r="B1429" i="6" a="1"/>
  <c r="B1429" i="6" s="1"/>
  <c r="B1425" i="6" a="1"/>
  <c r="B1425" i="6" s="1"/>
  <c r="B1421" i="6" a="1"/>
  <c r="B1421" i="6" s="1"/>
  <c r="B1417" i="6" a="1"/>
  <c r="B1417" i="6" s="1"/>
  <c r="B1413" i="6" a="1"/>
  <c r="B1413" i="6" s="1"/>
  <c r="B1409" i="6" a="1"/>
  <c r="B1409" i="6" s="1"/>
  <c r="B1405" i="6" a="1"/>
  <c r="B1405" i="6" s="1"/>
  <c r="B1401" i="6" a="1"/>
  <c r="B1401" i="6" s="1"/>
  <c r="B1397" i="6" a="1"/>
  <c r="B1397" i="6" s="1"/>
  <c r="B1921" i="6" a="1"/>
  <c r="B1921" i="6" s="1"/>
  <c r="B1904" i="6" a="1"/>
  <c r="B1904" i="6" s="1"/>
  <c r="B1892" i="6" a="1"/>
  <c r="B1892" i="6" s="1"/>
  <c r="B1876" i="6" a="1"/>
  <c r="B1876" i="6" s="1"/>
  <c r="B1859" i="6" a="1"/>
  <c r="B1859" i="6" s="1"/>
  <c r="B1844" i="6" a="1"/>
  <c r="B1844" i="6" s="1"/>
  <c r="B1839" i="6" a="1"/>
  <c r="B1839" i="6" s="1"/>
  <c r="B1834" i="6" a="1"/>
  <c r="B1834" i="6" s="1"/>
  <c r="B1828" i="6" a="1"/>
  <c r="B1828" i="6" s="1"/>
  <c r="B1824" i="6" a="1"/>
  <c r="B1824" i="6" s="1"/>
  <c r="B1814" i="6" a="1"/>
  <c r="B1814" i="6" s="1"/>
  <c r="B1810" i="6" a="1"/>
  <c r="B1810" i="6" s="1"/>
  <c r="B1806" i="6" a="1"/>
  <c r="B1806" i="6" s="1"/>
  <c r="B1802" i="6" a="1"/>
  <c r="B1802" i="6" s="1"/>
  <c r="B1798" i="6" a="1"/>
  <c r="B1798" i="6" s="1"/>
  <c r="B1794" i="6" a="1"/>
  <c r="B1794" i="6" s="1"/>
  <c r="B1790" i="6" a="1"/>
  <c r="B1790" i="6" s="1"/>
  <c r="B1786" i="6" a="1"/>
  <c r="B1786" i="6" s="1"/>
  <c r="B1781" i="6" a="1"/>
  <c r="B1781" i="6" s="1"/>
  <c r="B1776" i="6" a="1"/>
  <c r="B1776" i="6" s="1"/>
  <c r="B1772" i="6" a="1"/>
  <c r="B1772" i="6" s="1"/>
  <c r="B1768" i="6" a="1"/>
  <c r="B1768" i="6" s="1"/>
  <c r="B1764" i="6" a="1"/>
  <c r="B1764" i="6" s="1"/>
  <c r="B1760" i="6" a="1"/>
  <c r="B1760" i="6" s="1"/>
  <c r="B1756" i="6" a="1"/>
  <c r="B1756" i="6" s="1"/>
  <c r="B1752" i="6" a="1"/>
  <c r="B1752" i="6" s="1"/>
  <c r="B1744" i="6" a="1"/>
  <c r="B1744" i="6" s="1"/>
  <c r="B1738" i="6" a="1"/>
  <c r="B1738" i="6" s="1"/>
  <c r="B1734" i="6" a="1"/>
  <c r="B1734" i="6" s="1"/>
  <c r="B1730" i="6" a="1"/>
  <c r="B1730" i="6" s="1"/>
  <c r="B1726" i="6" a="1"/>
  <c r="B1726" i="6" s="1"/>
  <c r="B1722" i="6" a="1"/>
  <c r="B1722" i="6" s="1"/>
  <c r="B1718" i="6" a="1"/>
  <c r="B1718" i="6" s="1"/>
  <c r="B1713" i="6" a="1"/>
  <c r="B1713" i="6" s="1"/>
  <c r="B1709" i="6" a="1"/>
  <c r="B1709" i="6" s="1"/>
  <c r="B1696" i="6" a="1"/>
  <c r="B1696" i="6" s="1"/>
  <c r="B1691" i="6" a="1"/>
  <c r="B1691" i="6" s="1"/>
  <c r="B1686" i="6" a="1"/>
  <c r="B1686" i="6" s="1"/>
  <c r="B1682" i="6" a="1"/>
  <c r="B1682" i="6" s="1"/>
  <c r="B1678" i="6" a="1"/>
  <c r="B1678" i="6" s="1"/>
  <c r="B1673" i="6" a="1"/>
  <c r="B1673" i="6" s="1"/>
  <c r="B1669" i="6" a="1"/>
  <c r="B1669" i="6" s="1"/>
  <c r="B1665" i="6" a="1"/>
  <c r="B1665" i="6" s="1"/>
  <c r="B1661" i="6" a="1"/>
  <c r="B1661" i="6" s="1"/>
  <c r="B1657" i="6" a="1"/>
  <c r="B1657" i="6" s="1"/>
  <c r="B1653" i="6" a="1"/>
  <c r="B1653" i="6" s="1"/>
  <c r="B1649" i="6" a="1"/>
  <c r="B1649" i="6" s="1"/>
  <c r="B1644" i="6" a="1"/>
  <c r="B1644" i="6" s="1"/>
  <c r="B1640" i="6" a="1"/>
  <c r="B1640" i="6" s="1"/>
  <c r="B1636" i="6" a="1"/>
  <c r="B1636" i="6" s="1"/>
  <c r="B1632" i="6" a="1"/>
  <c r="B1632" i="6" s="1"/>
  <c r="B1627" i="6" a="1"/>
  <c r="B1627" i="6" s="1"/>
  <c r="B1623" i="6" a="1"/>
  <c r="B1623" i="6" s="1"/>
  <c r="B1619" i="6" a="1"/>
  <c r="B1619" i="6" s="1"/>
  <c r="B1615" i="6" a="1"/>
  <c r="B1615" i="6" s="1"/>
  <c r="B1611" i="6" a="1"/>
  <c r="B1611" i="6" s="1"/>
  <c r="B1607" i="6" a="1"/>
  <c r="B1607" i="6" s="1"/>
  <c r="B1603" i="6" a="1"/>
  <c r="B1603" i="6" s="1"/>
  <c r="B1598" i="6" a="1"/>
  <c r="B1598" i="6" s="1"/>
  <c r="B1594" i="6" a="1"/>
  <c r="B1594" i="6" s="1"/>
  <c r="B1590" i="6" a="1"/>
  <c r="B1590" i="6" s="1"/>
  <c r="B1586" i="6" a="1"/>
  <c r="B1586" i="6" s="1"/>
  <c r="B1582" i="6" a="1"/>
  <c r="B1582" i="6" s="1"/>
  <c r="B1576" i="6" a="1"/>
  <c r="B1576" i="6" s="1"/>
  <c r="B1560" i="6" a="1"/>
  <c r="B1560" i="6" s="1"/>
  <c r="B1556" i="6" a="1"/>
  <c r="B1556" i="6" s="1"/>
  <c r="B1551" i="6" a="1"/>
  <c r="B1551" i="6" s="1"/>
  <c r="B1548" i="6" a="1"/>
  <c r="B1548" i="6" s="1"/>
  <c r="B1544" i="6" a="1"/>
  <c r="B1544" i="6" s="1"/>
  <c r="B1540" i="6" a="1"/>
  <c r="B1540" i="6" s="1"/>
  <c r="B1536" i="6" a="1"/>
  <c r="B1536" i="6" s="1"/>
  <c r="B1530" i="6" a="1"/>
  <c r="B1530" i="6" s="1"/>
  <c r="B1526" i="6" a="1"/>
  <c r="B1526" i="6" s="1"/>
  <c r="B1522" i="6" a="1"/>
  <c r="B1522" i="6" s="1"/>
  <c r="B1518" i="6" a="1"/>
  <c r="B1518" i="6" s="1"/>
  <c r="B1514" i="6" a="1"/>
  <c r="B1514" i="6" s="1"/>
  <c r="B1510" i="6" a="1"/>
  <c r="B1510" i="6" s="1"/>
  <c r="B1505" i="6" a="1"/>
  <c r="B1505" i="6" s="1"/>
  <c r="B1500" i="6" a="1"/>
  <c r="B1500" i="6" s="1"/>
  <c r="B1496" i="6" a="1"/>
  <c r="B1496" i="6" s="1"/>
  <c r="B1492" i="6" a="1"/>
  <c r="B1492" i="6" s="1"/>
  <c r="B1485" i="6" a="1"/>
  <c r="B1485" i="6" s="1"/>
  <c r="B1482" i="6" a="1"/>
  <c r="B1482" i="6" s="1"/>
  <c r="B1478" i="6" a="1"/>
  <c r="B1478" i="6" s="1"/>
  <c r="B1469" i="6" a="1"/>
  <c r="B1469" i="6" s="1"/>
  <c r="B1465" i="6" a="1"/>
  <c r="B1465" i="6" s="1"/>
  <c r="B1461" i="6" a="1"/>
  <c r="B1461" i="6" s="1"/>
  <c r="B1457" i="6" a="1"/>
  <c r="B1457" i="6" s="1"/>
  <c r="B1455" i="6" a="1"/>
  <c r="B1455" i="6" s="1"/>
  <c r="B1449" i="6" a="1"/>
  <c r="B1449" i="6" s="1"/>
  <c r="B1444" i="6" a="1"/>
  <c r="B1444" i="6" s="1"/>
  <c r="B1440" i="6" a="1"/>
  <c r="B1440" i="6" s="1"/>
  <c r="B1436" i="6" a="1"/>
  <c r="B1436" i="6" s="1"/>
  <c r="B1432" i="6" a="1"/>
  <c r="B1432" i="6" s="1"/>
  <c r="B1428" i="6" a="1"/>
  <c r="B1428" i="6" s="1"/>
  <c r="B1424" i="6" a="1"/>
  <c r="B1424" i="6" s="1"/>
  <c r="B1420" i="6" a="1"/>
  <c r="B1420" i="6" s="1"/>
  <c r="B1416" i="6" a="1"/>
  <c r="B1416" i="6" s="1"/>
  <c r="B1412" i="6" a="1"/>
  <c r="B1412" i="6" s="1"/>
  <c r="B1408" i="6" a="1"/>
  <c r="B1408" i="6" s="1"/>
  <c r="B1404" i="6" a="1"/>
  <c r="B1404" i="6" s="1"/>
  <c r="B1400" i="6" a="1"/>
  <c r="B1400" i="6" s="1"/>
  <c r="B1917" i="6" a="1"/>
  <c r="B1917" i="6" s="1"/>
  <c r="B1900" i="6" a="1"/>
  <c r="B1900" i="6" s="1"/>
  <c r="B1888" i="6" a="1"/>
  <c r="B1888" i="6" s="1"/>
  <c r="B1871" i="6" a="1"/>
  <c r="B1871" i="6" s="1"/>
  <c r="B1855" i="6" a="1"/>
  <c r="B1855" i="6" s="1"/>
  <c r="B1843" i="6" a="1"/>
  <c r="B1843" i="6" s="1"/>
  <c r="B1838" i="6" a="1"/>
  <c r="B1838" i="6" s="1"/>
  <c r="B1832" i="6" a="1"/>
  <c r="B1832" i="6" s="1"/>
  <c r="B1827" i="6" a="1"/>
  <c r="B1827" i="6" s="1"/>
  <c r="B1823" i="6" a="1"/>
  <c r="B1823" i="6" s="1"/>
  <c r="B1813" i="6" a="1"/>
  <c r="B1813" i="6" s="1"/>
  <c r="B1809" i="6" a="1"/>
  <c r="B1809" i="6" s="1"/>
  <c r="B1805" i="6" a="1"/>
  <c r="B1805" i="6" s="1"/>
  <c r="B1801" i="6" a="1"/>
  <c r="B1801" i="6" s="1"/>
  <c r="B1797" i="6" a="1"/>
  <c r="B1797" i="6" s="1"/>
  <c r="B1793" i="6" a="1"/>
  <c r="B1793" i="6" s="1"/>
  <c r="B1789" i="6" a="1"/>
  <c r="B1789" i="6" s="1"/>
  <c r="B1785" i="6" a="1"/>
  <c r="B1785" i="6" s="1"/>
  <c r="B1780" i="6" a="1"/>
  <c r="B1780" i="6" s="1"/>
  <c r="B1775" i="6" a="1"/>
  <c r="B1775" i="6" s="1"/>
  <c r="B1767" i="6" a="1"/>
  <c r="B1767" i="6" s="1"/>
  <c r="B1763" i="6" a="1"/>
  <c r="B1763" i="6" s="1"/>
  <c r="B1759" i="6" a="1"/>
  <c r="B1759" i="6" s="1"/>
  <c r="B1755" i="6" a="1"/>
  <c r="B1755" i="6" s="1"/>
  <c r="B1751" i="6" a="1"/>
  <c r="B1751" i="6" s="1"/>
  <c r="B1747" i="6" a="1"/>
  <c r="B1747" i="6" s="1"/>
  <c r="B1743" i="6" a="1"/>
  <c r="B1743" i="6" s="1"/>
  <c r="B1737" i="6" a="1"/>
  <c r="B1737" i="6" s="1"/>
  <c r="B1733" i="6" a="1"/>
  <c r="B1733" i="6" s="1"/>
  <c r="B1729" i="6" a="1"/>
  <c r="B1729" i="6" s="1"/>
  <c r="B1725" i="6" a="1"/>
  <c r="B1725" i="6" s="1"/>
  <c r="B1721" i="6" a="1"/>
  <c r="B1721" i="6" s="1"/>
  <c r="B1717" i="6" a="1"/>
  <c r="B1717" i="6" s="1"/>
  <c r="B1714" i="6" a="1"/>
  <c r="B1714" i="6" s="1"/>
  <c r="B1707" i="6" a="1"/>
  <c r="B1707" i="6" s="1"/>
  <c r="B1694" i="6" a="1"/>
  <c r="B1694" i="6" s="1"/>
  <c r="B1690" i="6" a="1"/>
  <c r="B1690" i="6" s="1"/>
  <c r="B1685" i="6" a="1"/>
  <c r="B1685" i="6" s="1"/>
  <c r="B1681" i="6" a="1"/>
  <c r="B1681" i="6" s="1"/>
  <c r="B1677" i="6" a="1"/>
  <c r="B1677" i="6" s="1"/>
  <c r="B1672" i="6" a="1"/>
  <c r="B1672" i="6" s="1"/>
  <c r="B1668" i="6" a="1"/>
  <c r="B1668" i="6" s="1"/>
  <c r="B1664" i="6" a="1"/>
  <c r="B1664" i="6" s="1"/>
  <c r="B1660" i="6" a="1"/>
  <c r="B1660" i="6" s="1"/>
  <c r="B1656" i="6" a="1"/>
  <c r="B1656" i="6" s="1"/>
  <c r="B1652" i="6" a="1"/>
  <c r="B1652" i="6" s="1"/>
  <c r="B1648" i="6" a="1"/>
  <c r="B1648" i="6" s="1"/>
  <c r="B1643" i="6" a="1"/>
  <c r="B1643" i="6" s="1"/>
  <c r="B1639" i="6" a="1"/>
  <c r="B1639" i="6" s="1"/>
  <c r="B1635" i="6" a="1"/>
  <c r="B1635" i="6" s="1"/>
  <c r="B1631" i="6" a="1"/>
  <c r="B1631" i="6" s="1"/>
  <c r="B1626" i="6" a="1"/>
  <c r="B1626" i="6" s="1"/>
  <c r="B1622" i="6" a="1"/>
  <c r="B1622" i="6" s="1"/>
  <c r="B1618" i="6" a="1"/>
  <c r="B1618" i="6" s="1"/>
  <c r="B1614" i="6" a="1"/>
  <c r="B1614" i="6" s="1"/>
  <c r="B1610" i="6" a="1"/>
  <c r="B1610" i="6" s="1"/>
  <c r="B1606" i="6" a="1"/>
  <c r="B1606" i="6" s="1"/>
  <c r="B1602" i="6" a="1"/>
  <c r="B1602" i="6" s="1"/>
  <c r="B1597" i="6" a="1"/>
  <c r="B1597" i="6" s="1"/>
  <c r="B1593" i="6" a="1"/>
  <c r="B1593" i="6" s="1"/>
  <c r="B1589" i="6" a="1"/>
  <c r="B1589" i="6" s="1"/>
  <c r="B1585" i="6" a="1"/>
  <c r="B1585" i="6" s="1"/>
  <c r="B1581" i="6" a="1"/>
  <c r="B1581" i="6" s="1"/>
  <c r="B1575" i="6" a="1"/>
  <c r="B1575" i="6" s="1"/>
  <c r="B1559" i="6" a="1"/>
  <c r="B1559" i="6" s="1"/>
  <c r="B1554" i="6" a="1"/>
  <c r="B1554" i="6" s="1"/>
  <c r="B1550" i="6" a="1"/>
  <c r="B1550" i="6" s="1"/>
  <c r="B1547" i="6" a="1"/>
  <c r="B1547" i="6" s="1"/>
  <c r="B1543" i="6" a="1"/>
  <c r="B1543" i="6" s="1"/>
  <c r="B1539" i="6" a="1"/>
  <c r="B1539" i="6" s="1"/>
  <c r="B1535" i="6" a="1"/>
  <c r="B1535" i="6" s="1"/>
  <c r="B1529" i="6" a="1"/>
  <c r="B1529" i="6" s="1"/>
  <c r="B1525" i="6" a="1"/>
  <c r="B1525" i="6" s="1"/>
  <c r="B1521" i="6" a="1"/>
  <c r="B1521" i="6" s="1"/>
  <c r="B1517" i="6" a="1"/>
  <c r="B1517" i="6" s="1"/>
  <c r="B1513" i="6" a="1"/>
  <c r="B1513" i="6" s="1"/>
  <c r="B1508" i="6" a="1"/>
  <c r="B1508" i="6" s="1"/>
  <c r="B1504" i="6" a="1"/>
  <c r="B1504" i="6" s="1"/>
  <c r="B1499" i="6" a="1"/>
  <c r="B1499" i="6" s="1"/>
  <c r="B1491" i="6" a="1"/>
  <c r="B1491" i="6" s="1"/>
  <c r="B1502" i="6" a="1"/>
  <c r="B1502" i="6" s="1"/>
  <c r="B1481" i="6" a="1"/>
  <c r="B1481" i="6" s="1"/>
  <c r="B1477" i="6" a="1"/>
  <c r="B1477" i="6" s="1"/>
  <c r="B1468" i="6" a="1"/>
  <c r="B1468" i="6" s="1"/>
  <c r="B1464" i="6" a="1"/>
  <c r="B1464" i="6" s="1"/>
  <c r="B1460" i="6" a="1"/>
  <c r="B1460" i="6" s="1"/>
  <c r="B1456" i="6" a="1"/>
  <c r="B1456" i="6" s="1"/>
  <c r="B1452" i="6" a="1"/>
  <c r="B1452" i="6" s="1"/>
  <c r="B1448" i="6" a="1"/>
  <c r="B1448" i="6" s="1"/>
  <c r="B1443" i="6" a="1"/>
  <c r="B1443" i="6" s="1"/>
  <c r="B1439" i="6" a="1"/>
  <c r="B1439" i="6" s="1"/>
  <c r="B1435" i="6" a="1"/>
  <c r="B1435" i="6" s="1"/>
  <c r="B1431" i="6" a="1"/>
  <c r="B1431" i="6" s="1"/>
  <c r="B1427" i="6" a="1"/>
  <c r="B1427" i="6" s="1"/>
  <c r="B1423" i="6" a="1"/>
  <c r="B1423" i="6" s="1"/>
  <c r="B1419" i="6" a="1"/>
  <c r="B1419" i="6" s="1"/>
  <c r="B1415" i="6" a="1"/>
  <c r="B1415" i="6" s="1"/>
  <c r="B1411" i="6" a="1"/>
  <c r="B1411" i="6" s="1"/>
  <c r="B1407" i="6" a="1"/>
  <c r="B1407" i="6" s="1"/>
  <c r="B1403" i="6" a="1"/>
  <c r="B1403" i="6" s="1"/>
  <c r="B1399" i="6" a="1"/>
  <c r="B1399" i="6" s="1"/>
  <c r="B1395" i="6" a="1"/>
  <c r="B1395" i="6" s="1"/>
  <c r="B1913" i="6" a="1"/>
  <c r="B1913" i="6" s="1"/>
  <c r="B1898" i="6" a="1"/>
  <c r="B1898" i="6" s="1"/>
  <c r="B1883" i="6" a="1"/>
  <c r="B1883" i="6" s="1"/>
  <c r="B1867" i="6" a="1"/>
  <c r="B1867" i="6" s="1"/>
  <c r="B1851" i="6" a="1"/>
  <c r="B1851" i="6" s="1"/>
  <c r="B1842" i="6" a="1"/>
  <c r="B1842" i="6" s="1"/>
  <c r="B1836" i="6" a="1"/>
  <c r="B1836" i="6" s="1"/>
  <c r="B1831" i="6" a="1"/>
  <c r="B1831" i="6" s="1"/>
  <c r="B1826" i="6" a="1"/>
  <c r="B1826" i="6" s="1"/>
  <c r="B1816" i="6" a="1"/>
  <c r="B1816" i="6" s="1"/>
  <c r="B1812" i="6" a="1"/>
  <c r="B1812" i="6" s="1"/>
  <c r="B1808" i="6" a="1"/>
  <c r="B1808" i="6" s="1"/>
  <c r="B1804" i="6" a="1"/>
  <c r="B1804" i="6" s="1"/>
  <c r="B1800" i="6" a="1"/>
  <c r="B1800" i="6" s="1"/>
  <c r="B1796" i="6" a="1"/>
  <c r="B1796" i="6" s="1"/>
  <c r="B1792" i="6" a="1"/>
  <c r="B1792" i="6" s="1"/>
  <c r="B1788" i="6" a="1"/>
  <c r="B1788" i="6" s="1"/>
  <c r="B1783" i="6" a="1"/>
  <c r="B1783" i="6" s="1"/>
  <c r="B1779" i="6" a="1"/>
  <c r="B1779" i="6" s="1"/>
  <c r="B1774" i="6" a="1"/>
  <c r="B1774" i="6" s="1"/>
  <c r="B1770" i="6" a="1"/>
  <c r="B1770" i="6" s="1"/>
  <c r="B1766" i="6" a="1"/>
  <c r="B1766" i="6" s="1"/>
  <c r="B1762" i="6" a="1"/>
  <c r="B1762" i="6" s="1"/>
  <c r="B1758" i="6" a="1"/>
  <c r="B1758" i="6" s="1"/>
  <c r="B1754" i="6" a="1"/>
  <c r="B1754" i="6" s="1"/>
  <c r="B1746" i="6" a="1"/>
  <c r="B1746" i="6" s="1"/>
  <c r="B1741" i="6" a="1"/>
  <c r="B1741" i="6" s="1"/>
  <c r="B1736" i="6" a="1"/>
  <c r="B1736" i="6" s="1"/>
  <c r="B1732" i="6" a="1"/>
  <c r="B1732" i="6" s="1"/>
  <c r="B1728" i="6" a="1"/>
  <c r="B1728" i="6" s="1"/>
  <c r="B1724" i="6" a="1"/>
  <c r="B1724" i="6" s="1"/>
  <c r="B1720" i="6" a="1"/>
  <c r="B1720" i="6" s="1"/>
  <c r="B1716" i="6" a="1"/>
  <c r="B1716" i="6" s="1"/>
  <c r="B1712" i="6" a="1"/>
  <c r="B1712" i="6" s="1"/>
  <c r="B1706" i="6" a="1"/>
  <c r="B1706" i="6" s="1"/>
  <c r="B1693" i="6" a="1"/>
  <c r="B1693" i="6" s="1"/>
  <c r="B1689" i="6" a="1"/>
  <c r="B1689" i="6" s="1"/>
  <c r="B1680" i="6" a="1"/>
  <c r="B1680" i="6" s="1"/>
  <c r="B1676" i="6" a="1"/>
  <c r="B1676" i="6" s="1"/>
  <c r="B1671" i="6" a="1"/>
  <c r="B1671" i="6" s="1"/>
  <c r="B1667" i="6" a="1"/>
  <c r="B1667" i="6" s="1"/>
  <c r="B1663" i="6" a="1"/>
  <c r="B1663" i="6" s="1"/>
  <c r="B1659" i="6" a="1"/>
  <c r="B1659" i="6" s="1"/>
  <c r="B1655" i="6" a="1"/>
  <c r="B1655" i="6" s="1"/>
  <c r="B1651" i="6" a="1"/>
  <c r="B1651" i="6" s="1"/>
  <c r="B1646" i="6" a="1"/>
  <c r="B1646" i="6" s="1"/>
  <c r="B1642" i="6" a="1"/>
  <c r="B1642" i="6" s="1"/>
  <c r="B1638" i="6" a="1"/>
  <c r="B1638" i="6" s="1"/>
  <c r="B1634" i="6" a="1"/>
  <c r="B1634" i="6" s="1"/>
  <c r="B1630" i="6" a="1"/>
  <c r="B1630" i="6" s="1"/>
  <c r="B1625" i="6" a="1"/>
  <c r="B1625" i="6" s="1"/>
  <c r="B1621" i="6" a="1"/>
  <c r="B1621" i="6" s="1"/>
  <c r="B1617" i="6" a="1"/>
  <c r="B1617" i="6" s="1"/>
  <c r="B1613" i="6" a="1"/>
  <c r="B1613" i="6" s="1"/>
  <c r="B1609" i="6" a="1"/>
  <c r="B1609" i="6" s="1"/>
  <c r="B1605" i="6" a="1"/>
  <c r="B1605" i="6" s="1"/>
  <c r="B1600" i="6" a="1"/>
  <c r="B1600" i="6" s="1"/>
  <c r="B1596" i="6" a="1"/>
  <c r="B1596" i="6" s="1"/>
  <c r="B1592" i="6" a="1"/>
  <c r="B1592" i="6" s="1"/>
  <c r="B1588" i="6" a="1"/>
  <c r="B1588" i="6" s="1"/>
  <c r="B1584" i="6" a="1"/>
  <c r="B1584" i="6" s="1"/>
  <c r="B1580" i="6" a="1"/>
  <c r="B1580" i="6" s="1"/>
  <c r="B1574" i="6" a="1"/>
  <c r="B1574" i="6" s="1"/>
  <c r="B1563" i="6" a="1"/>
  <c r="B1563" i="6" s="1"/>
  <c r="B1558" i="6" a="1"/>
  <c r="B1558" i="6" s="1"/>
  <c r="B1553" i="6" a="1"/>
  <c r="B1553" i="6" s="1"/>
  <c r="B1549" i="6" a="1"/>
  <c r="B1549" i="6" s="1"/>
  <c r="B1546" i="6" a="1"/>
  <c r="B1546" i="6" s="1"/>
  <c r="B1542" i="6" a="1"/>
  <c r="B1542" i="6" s="1"/>
  <c r="B1538" i="6" a="1"/>
  <c r="B1538" i="6" s="1"/>
  <c r="B1534" i="6" a="1"/>
  <c r="B1534" i="6" s="1"/>
  <c r="B1528" i="6" a="1"/>
  <c r="B1528" i="6" s="1"/>
  <c r="B1524" i="6" a="1"/>
  <c r="B1524" i="6" s="1"/>
  <c r="B1520" i="6" a="1"/>
  <c r="B1520" i="6" s="1"/>
  <c r="B1516" i="6" a="1"/>
  <c r="B1516" i="6" s="1"/>
  <c r="B1512" i="6" a="1"/>
  <c r="B1512" i="6" s="1"/>
  <c r="B1507" i="6" a="1"/>
  <c r="B1507" i="6" s="1"/>
  <c r="B1503" i="6" a="1"/>
  <c r="B1503" i="6" s="1"/>
  <c r="B1498" i="6" a="1"/>
  <c r="B1498" i="6" s="1"/>
  <c r="B1494" i="6" a="1"/>
  <c r="B1494" i="6" s="1"/>
  <c r="B1490" i="6" a="1"/>
  <c r="B1490" i="6" s="1"/>
  <c r="B1487" i="6" a="1"/>
  <c r="B1487" i="6" s="1"/>
  <c r="B1484" i="6" a="1"/>
  <c r="B1484" i="6" s="1"/>
  <c r="B1480" i="6" a="1"/>
  <c r="B1480" i="6" s="1"/>
  <c r="B1476" i="6" a="1"/>
  <c r="B1476" i="6" s="1"/>
  <c r="B1467" i="6" a="1"/>
  <c r="B1467" i="6" s="1"/>
  <c r="B1463" i="6" a="1"/>
  <c r="B1463" i="6" s="1"/>
  <c r="B1459" i="6" a="1"/>
  <c r="B1459" i="6" s="1"/>
  <c r="B1454" i="6" a="1"/>
  <c r="B1454" i="6" s="1"/>
  <c r="B1451" i="6" a="1"/>
  <c r="B1451" i="6" s="1"/>
  <c r="B1447" i="6" a="1"/>
  <c r="B1447" i="6" s="1"/>
  <c r="B1442" i="6" a="1"/>
  <c r="B1442" i="6" s="1"/>
  <c r="B1438" i="6" a="1"/>
  <c r="B1438" i="6" s="1"/>
  <c r="B1434" i="6" a="1"/>
  <c r="B1434" i="6" s="1"/>
  <c r="B1430" i="6" a="1"/>
  <c r="B1430" i="6" s="1"/>
  <c r="B1426" i="6" a="1"/>
  <c r="B1426" i="6" s="1"/>
  <c r="B1422" i="6" a="1"/>
  <c r="B1422" i="6" s="1"/>
  <c r="B1418" i="6" a="1"/>
  <c r="B1418" i="6" s="1"/>
  <c r="B1414" i="6" a="1"/>
  <c r="B1414" i="6" s="1"/>
  <c r="B1410" i="6" a="1"/>
  <c r="B1410" i="6" s="1"/>
  <c r="B1406" i="6" a="1"/>
  <c r="B1406" i="6" s="1"/>
  <c r="B1402" i="6" a="1"/>
  <c r="B1402" i="6" s="1"/>
  <c r="B1398" i="6" a="1"/>
  <c r="B1398" i="6" s="1"/>
  <c r="B3064" i="6" a="1"/>
  <c r="B3064" i="6" s="1"/>
  <c r="B3063" i="6" a="1"/>
  <c r="B3063" i="6" s="1"/>
  <c r="B3062" i="6" a="1"/>
  <c r="B3062" i="6" s="1"/>
  <c r="B3061" i="6" a="1"/>
  <c r="B3061" i="6" s="1"/>
  <c r="B3060" i="6" a="1"/>
  <c r="B3060" i="6" s="1"/>
  <c r="B3059" i="6" a="1"/>
  <c r="B3059" i="6" s="1"/>
  <c r="B3058" i="6" a="1"/>
  <c r="B3058" i="6" s="1"/>
  <c r="B3057" i="6" a="1"/>
  <c r="B3057" i="6" s="1"/>
  <c r="B3056" i="6" a="1"/>
  <c r="B3056" i="6" s="1"/>
  <c r="B3055" i="6" a="1"/>
  <c r="B3055" i="6" s="1"/>
  <c r="B3054" i="6" a="1"/>
  <c r="B3054" i="6" s="1"/>
  <c r="B3053" i="6" a="1"/>
  <c r="B3053" i="6" s="1"/>
  <c r="B3052" i="6" a="1"/>
  <c r="B3052" i="6" s="1"/>
  <c r="B3051" i="6" a="1"/>
  <c r="B3051" i="6" s="1"/>
  <c r="B3050" i="6" a="1"/>
  <c r="B3050" i="6" s="1"/>
  <c r="B3049" i="6" a="1"/>
  <c r="B3049" i="6" s="1"/>
  <c r="B3048" i="6" a="1"/>
  <c r="B3048" i="6" s="1"/>
  <c r="B3047" i="6" a="1"/>
  <c r="B3047" i="6" s="1"/>
  <c r="B3046" i="6" a="1"/>
  <c r="B3046" i="6" s="1"/>
  <c r="B3045" i="6" a="1"/>
  <c r="B3045" i="6" s="1"/>
  <c r="B3044" i="6" a="1"/>
  <c r="B3044" i="6" s="1"/>
  <c r="B3043" i="6" a="1"/>
  <c r="B3043" i="6" s="1"/>
  <c r="B3042" i="6" a="1"/>
  <c r="B3042" i="6" s="1"/>
  <c r="B3041" i="6" a="1"/>
  <c r="B3041" i="6" s="1"/>
  <c r="B3040" i="6" a="1"/>
  <c r="B3040" i="6" s="1"/>
  <c r="B3039" i="6" a="1"/>
  <c r="B3039" i="6" s="1"/>
  <c r="B3038" i="6" a="1"/>
  <c r="B3038" i="6" s="1"/>
  <c r="B3037" i="6" a="1"/>
  <c r="B3037" i="6" s="1"/>
  <c r="B3036" i="6" a="1"/>
  <c r="B3036" i="6" s="1"/>
  <c r="K5" i="6"/>
  <c r="H5" i="6" s="1"/>
  <c r="P14" i="18" l="1"/>
  <c r="B1300" i="6" a="1"/>
  <c r="B1300" i="6" s="1"/>
  <c r="B1355" i="6" a="1"/>
  <c r="B1355" i="6" s="1"/>
  <c r="B1298" i="6" a="1"/>
  <c r="B1298" i="6" s="1"/>
  <c r="B1333" i="6" a="1"/>
  <c r="B1333" i="6" s="1"/>
  <c r="B1201" i="6" a="1"/>
  <c r="B1201" i="6" s="1"/>
  <c r="B1362" i="6" a="1"/>
  <c r="B1362" i="6" s="1"/>
  <c r="B1299" i="6" a="1"/>
  <c r="B1299" i="6" s="1"/>
  <c r="B1144" i="6" a="1"/>
  <c r="B1144" i="6" s="1"/>
  <c r="B1374" i="6" a="1"/>
  <c r="B1374" i="6" s="1"/>
  <c r="B1317" i="6" a="1"/>
  <c r="B1317" i="6" s="1"/>
  <c r="B1227" i="6" a="1"/>
  <c r="B1227" i="6" s="1"/>
  <c r="B1290" i="6" a="1"/>
  <c r="B1290" i="6" s="1"/>
  <c r="B1387" i="6" a="1"/>
  <c r="B1387" i="6" s="1"/>
  <c r="B1244" i="6" a="1"/>
  <c r="B1244" i="6" s="1"/>
  <c r="B1166" i="6" a="1"/>
  <c r="B1166" i="6" s="1"/>
  <c r="B1385" i="6" a="1"/>
  <c r="B1385" i="6" s="1"/>
  <c r="B1313" i="6" a="1"/>
  <c r="B1313" i="6" s="1"/>
  <c r="B1210" i="6" a="1"/>
  <c r="B1210" i="6" s="1"/>
  <c r="B1286" i="6" a="1"/>
  <c r="B1286" i="6" s="1"/>
  <c r="B1230" i="6" a="1"/>
  <c r="B1230" i="6" s="1"/>
  <c r="B1302" i="6" a="1"/>
  <c r="B1302" i="6" s="1"/>
  <c r="B1199" i="6" a="1"/>
  <c r="B1199" i="6" s="1"/>
  <c r="B1335" i="6" a="1"/>
  <c r="B1335" i="6" s="1"/>
  <c r="B1234" i="6" a="1"/>
  <c r="B1234" i="6" s="1"/>
  <c r="B1139" i="6" a="1"/>
  <c r="B1139" i="6" s="1"/>
  <c r="B1149" i="6" a="1"/>
  <c r="B1149" i="6" s="1"/>
  <c r="B1171" i="6" a="1"/>
  <c r="B1171" i="6" s="1"/>
  <c r="B1235" i="6" a="1"/>
  <c r="B1235" i="6" s="1"/>
  <c r="B1101" i="6" a="1"/>
  <c r="B1101" i="6" s="1"/>
  <c r="B1338" i="6" a="1"/>
  <c r="B1338" i="6" s="1"/>
  <c r="B1233" i="6" a="1"/>
  <c r="B1233" i="6" s="1"/>
  <c r="B1384" i="6" a="1"/>
  <c r="B1384" i="6" s="1"/>
  <c r="B1263" i="6" a="1"/>
  <c r="B1263" i="6" s="1"/>
  <c r="B1363" i="6" a="1"/>
  <c r="B1363" i="6" s="1"/>
  <c r="B1289" i="6" a="1"/>
  <c r="B1289" i="6" s="1"/>
  <c r="B1195" i="6" a="1"/>
  <c r="B1195" i="6" s="1"/>
  <c r="B1301" i="6" a="1"/>
  <c r="B1301" i="6" s="1"/>
  <c r="B1243" i="6" a="1"/>
  <c r="B1243" i="6" s="1"/>
  <c r="B1151" i="6" a="1"/>
  <c r="B1151" i="6" s="1"/>
  <c r="B1105" i="6" a="1"/>
  <c r="B1105" i="6" s="1"/>
  <c r="B1184" i="6" a="1"/>
  <c r="B1184" i="6" s="1"/>
  <c r="B1104" i="6" a="1"/>
  <c r="B1104" i="6" s="1"/>
  <c r="B1268" i="6" a="1"/>
  <c r="B1268" i="6" s="1"/>
  <c r="B1080" i="6" a="1"/>
  <c r="B1080" i="6" s="1"/>
  <c r="B1169" i="6" a="1"/>
  <c r="B1169" i="6" s="1"/>
  <c r="B997" i="6" a="1"/>
  <c r="B997" i="6" s="1"/>
  <c r="B1368" i="6" a="1"/>
  <c r="B1368" i="6" s="1"/>
  <c r="B1083" i="6" a="1"/>
  <c r="B1083" i="6" s="1"/>
  <c r="B1331" i="6" a="1"/>
  <c r="B1331" i="6" s="1"/>
  <c r="B1163" i="6" a="1"/>
  <c r="B1163" i="6" s="1"/>
  <c r="B1334" i="6" a="1"/>
  <c r="B1334" i="6" s="1"/>
  <c r="B1330" i="6" a="1"/>
  <c r="B1330" i="6" s="1"/>
  <c r="B1295" i="6" a="1"/>
  <c r="B1295" i="6" s="1"/>
  <c r="B1232" i="6" a="1"/>
  <c r="B1232" i="6" s="1"/>
  <c r="B1041" i="6" a="1"/>
  <c r="B1041" i="6" s="1"/>
  <c r="B1270" i="6" a="1"/>
  <c r="B1270" i="6" s="1"/>
  <c r="B1392" i="6" a="1"/>
  <c r="B1392" i="6" s="1"/>
  <c r="B1251" i="6" a="1"/>
  <c r="B1251" i="6" s="1"/>
  <c r="B1336" i="6" a="1"/>
  <c r="B1336" i="6" s="1"/>
  <c r="B1285" i="6" a="1"/>
  <c r="B1285" i="6" s="1"/>
  <c r="B1203" i="6" a="1"/>
  <c r="B1203" i="6" s="1"/>
  <c r="B1259" i="6" a="1"/>
  <c r="B1259" i="6" s="1"/>
  <c r="B1043" i="6" a="1"/>
  <c r="B1043" i="6" s="1"/>
  <c r="B1370" i="6" a="1"/>
  <c r="B1370" i="6" s="1"/>
  <c r="B1252" i="6" a="1"/>
  <c r="B1252" i="6" s="1"/>
  <c r="B1332" i="6" a="1"/>
  <c r="B1332" i="6" s="1"/>
  <c r="B1274" i="6" a="1"/>
  <c r="B1274" i="6" s="1"/>
  <c r="B1353" i="6" a="1"/>
  <c r="B1353" i="6" s="1"/>
  <c r="B1240" i="6" a="1"/>
  <c r="B1240" i="6" s="1"/>
  <c r="B1386" i="6" a="1"/>
  <c r="B1386" i="6" s="1"/>
  <c r="B1276" i="6" a="1"/>
  <c r="B1276" i="6" s="1"/>
  <c r="B1182" i="6" a="1"/>
  <c r="B1182" i="6" s="1"/>
  <c r="B1126" i="6" a="1"/>
  <c r="B1126" i="6" s="1"/>
  <c r="B1072" i="6" a="1"/>
  <c r="B1072" i="6" s="1"/>
  <c r="B1296" i="6" a="1"/>
  <c r="B1296" i="6" s="1"/>
  <c r="B1223" i="6" a="1"/>
  <c r="B1223" i="6" s="1"/>
  <c r="B1393" i="6" a="1"/>
  <c r="B1393" i="6" s="1"/>
  <c r="B1275" i="6" a="1"/>
  <c r="B1275" i="6" s="1"/>
  <c r="B1218" i="6" a="1"/>
  <c r="B1218" i="6" s="1"/>
  <c r="B1316" i="6" a="1"/>
  <c r="B1316" i="6" s="1"/>
  <c r="B1213" i="6" a="1"/>
  <c r="B1213" i="6" s="1"/>
  <c r="B1349" i="6" a="1"/>
  <c r="B1349" i="6" s="1"/>
  <c r="B1236" i="6" a="1"/>
  <c r="B1236" i="6" s="1"/>
  <c r="B1352" i="6" a="1"/>
  <c r="B1352" i="6" s="1"/>
  <c r="B1284" i="6" a="1"/>
  <c r="B1284" i="6" s="1"/>
  <c r="B1190" i="6" a="1"/>
  <c r="B1190" i="6" s="1"/>
  <c r="B1162" i="6" a="1"/>
  <c r="B1162" i="6" s="1"/>
  <c r="B1086" i="6" a="1"/>
  <c r="B1086" i="6" s="1"/>
  <c r="B1224" i="6" a="1"/>
  <c r="B1224" i="6" s="1"/>
  <c r="B1032" i="6" a="1"/>
  <c r="B1032" i="6" s="1"/>
  <c r="B1351" i="6" a="1"/>
  <c r="B1351" i="6" s="1"/>
  <c r="B1360" i="6" a="1"/>
  <c r="B1360" i="6" s="1"/>
  <c r="B1256" i="6" a="1"/>
  <c r="B1256" i="6" s="1"/>
  <c r="B1377" i="6" a="1"/>
  <c r="B1377" i="6" s="1"/>
  <c r="B1324" i="6" a="1"/>
  <c r="B1324" i="6" s="1"/>
  <c r="B1237" i="6" a="1"/>
  <c r="B1237" i="6" s="1"/>
  <c r="B1319" i="6" a="1"/>
  <c r="B1319" i="6" s="1"/>
  <c r="B1229" i="6" a="1"/>
  <c r="B1229" i="6" s="1"/>
  <c r="B1145" i="6" a="1"/>
  <c r="B1145" i="6" s="1"/>
  <c r="B1040" i="6" a="1"/>
  <c r="B1040" i="6" s="1"/>
  <c r="B1291" i="6" a="1"/>
  <c r="B1291" i="6" s="1"/>
  <c r="B1388" i="6" a="1"/>
  <c r="B1388" i="6" s="1"/>
  <c r="B1320" i="6" a="1"/>
  <c r="B1320" i="6" s="1"/>
  <c r="B1217" i="6" a="1"/>
  <c r="B1217" i="6" s="1"/>
  <c r="B1281" i="6" a="1"/>
  <c r="B1281" i="6" s="1"/>
  <c r="B1225" i="6" a="1"/>
  <c r="B1225" i="6" s="1"/>
  <c r="B1318" i="6" a="1"/>
  <c r="B1318" i="6" s="1"/>
  <c r="B1219" i="6" a="1"/>
  <c r="B1219" i="6" s="1"/>
  <c r="B1170" i="6" a="1"/>
  <c r="B1170" i="6" s="1"/>
  <c r="B1128" i="6" a="1"/>
  <c r="B1128" i="6" s="1"/>
  <c r="B1148" i="6" a="1"/>
  <c r="B1148" i="6" s="1"/>
  <c r="B1293" i="6" a="1"/>
  <c r="B1293" i="6" s="1"/>
  <c r="B1081" i="6" a="1"/>
  <c r="B1081" i="6" s="1"/>
  <c r="B1321" i="6" a="1"/>
  <c r="B1321" i="6" s="1"/>
  <c r="B1262" i="6" a="1"/>
  <c r="B1262" i="6" s="1"/>
  <c r="B1369" i="6" a="1"/>
  <c r="B1369" i="6" s="1"/>
  <c r="B1255" i="6" a="1"/>
  <c r="B1255" i="6" s="1"/>
  <c r="B1391" i="6" a="1"/>
  <c r="B1391" i="6" s="1"/>
  <c r="B1277" i="6" a="1"/>
  <c r="B1277" i="6" s="1"/>
  <c r="B1394" i="6" a="1"/>
  <c r="B1394" i="6" s="1"/>
  <c r="B1326" i="6" a="1"/>
  <c r="B1326" i="6" s="1"/>
  <c r="B1228" i="6" a="1"/>
  <c r="B1228" i="6" s="1"/>
  <c r="B1135" i="6" a="1"/>
  <c r="B1135" i="6" s="1"/>
  <c r="B1142" i="6" a="1"/>
  <c r="B1142" i="6" s="1"/>
  <c r="B1161" i="6" a="1"/>
  <c r="B1161" i="6" s="1"/>
  <c r="B1090" i="6" a="1"/>
  <c r="B1090" i="6" s="1"/>
  <c r="B1186" i="6" a="1"/>
  <c r="B1186" i="6" s="1"/>
  <c r="B1063" i="6" a="1"/>
  <c r="B1063" i="6" s="1"/>
  <c r="B1049" i="6" a="1"/>
  <c r="B1049" i="6" s="1"/>
  <c r="B1108" i="6" a="1"/>
  <c r="B1108" i="6" s="1"/>
  <c r="B1173" i="6" a="1"/>
  <c r="B1173" i="6" s="1"/>
  <c r="B1016" i="6" a="1"/>
  <c r="B1016" i="6" s="1"/>
  <c r="B982" i="6" a="1"/>
  <c r="B982" i="6" s="1"/>
  <c r="B1273" i="6" a="1"/>
  <c r="B1273" i="6" s="1"/>
  <c r="B1304" i="6" a="1"/>
  <c r="B1304" i="6" s="1"/>
  <c r="B1214" i="6" a="1"/>
  <c r="B1214" i="6" s="1"/>
  <c r="B1278" i="6" a="1"/>
  <c r="B1278" i="6" s="1"/>
  <c r="B1372" i="6" a="1"/>
  <c r="B1372" i="6" s="1"/>
  <c r="B1272" i="6" a="1"/>
  <c r="B1272" i="6" s="1"/>
  <c r="B1191" i="6" a="1"/>
  <c r="B1191" i="6" s="1"/>
  <c r="B1247" i="6" a="1"/>
  <c r="B1247" i="6" s="1"/>
  <c r="B1131" i="6" a="1"/>
  <c r="B1131" i="6" s="1"/>
  <c r="B1356" i="6" a="1"/>
  <c r="B1356" i="6" s="1"/>
  <c r="B1238" i="6" a="1"/>
  <c r="B1238" i="6" s="1"/>
  <c r="B1373" i="6" a="1"/>
  <c r="B1373" i="6" s="1"/>
  <c r="B1261" i="6" a="1"/>
  <c r="B1261" i="6" s="1"/>
  <c r="B1327" i="6" a="1"/>
  <c r="B1327" i="6" s="1"/>
  <c r="B1269" i="6" a="1"/>
  <c r="B1269" i="6" s="1"/>
  <c r="B1371" i="6" a="1"/>
  <c r="B1371" i="6" s="1"/>
  <c r="B1264" i="6" a="1"/>
  <c r="B1264" i="6" s="1"/>
  <c r="B1206" i="6" a="1"/>
  <c r="B1206" i="6" s="1"/>
  <c r="B1193" i="6" a="1"/>
  <c r="B1193" i="6" s="1"/>
  <c r="B1055" i="6" a="1"/>
  <c r="B1055" i="6" s="1"/>
  <c r="B1127" i="6" a="1"/>
  <c r="B1127" i="6" s="1"/>
  <c r="B1165" i="6" a="1"/>
  <c r="B1165" i="6" s="1"/>
  <c r="B1378" i="6" a="1"/>
  <c r="B1378" i="6" s="1"/>
  <c r="B1309" i="6" a="1"/>
  <c r="B1309" i="6" s="1"/>
  <c r="B1205" i="6" a="1"/>
  <c r="B1205" i="6" s="1"/>
  <c r="B1303" i="6" a="1"/>
  <c r="B1303" i="6" s="1"/>
  <c r="B1241" i="6" a="1"/>
  <c r="B1241" i="6" s="1"/>
  <c r="B1323" i="6" a="1"/>
  <c r="B1323" i="6" s="1"/>
  <c r="B1220" i="6" a="1"/>
  <c r="B1220" i="6" s="1"/>
  <c r="B1379" i="6" a="1"/>
  <c r="B1379" i="6" s="1"/>
  <c r="B1271" i="6" a="1"/>
  <c r="B1271" i="6" s="1"/>
  <c r="B1178" i="6" a="1"/>
  <c r="B1178" i="6" s="1"/>
  <c r="B1123" i="6" a="1"/>
  <c r="B1123" i="6" s="1"/>
  <c r="B1067" i="6" a="1"/>
  <c r="B1067" i="6" s="1"/>
  <c r="B1154" i="6" a="1"/>
  <c r="B1154" i="6" s="1"/>
  <c r="B1095" i="6" a="1"/>
  <c r="B1095" i="6" s="1"/>
  <c r="B1118" i="6" a="1"/>
  <c r="B1118" i="6" s="1"/>
  <c r="B1013" i="6" a="1"/>
  <c r="B1013" i="6" s="1"/>
  <c r="B1329" i="6" a="1"/>
  <c r="B1329" i="6" s="1"/>
  <c r="B1038" i="6" a="1"/>
  <c r="B1038" i="6" s="1"/>
  <c r="B1307" i="6" a="1"/>
  <c r="B1307" i="6" s="1"/>
  <c r="B1044" i="6" a="1"/>
  <c r="B1044" i="6" s="1"/>
  <c r="B1283" i="6" a="1"/>
  <c r="B1283" i="6" s="1"/>
  <c r="B1359" i="6" a="1"/>
  <c r="B1359" i="6" s="1"/>
  <c r="B1266" i="6" a="1"/>
  <c r="B1266" i="6" s="1"/>
  <c r="B1358" i="6" a="1"/>
  <c r="B1358" i="6" s="1"/>
  <c r="B1260" i="6" a="1"/>
  <c r="B1260" i="6" s="1"/>
  <c r="B1297" i="6" a="1"/>
  <c r="B1297" i="6" s="1"/>
  <c r="B1037" i="6" a="1"/>
  <c r="B1037" i="6" s="1"/>
  <c r="B1222" i="6" a="1"/>
  <c r="B1222" i="6" s="1"/>
  <c r="B1315" i="6" a="1"/>
  <c r="B1315" i="6" s="1"/>
  <c r="B1305" i="6" a="1"/>
  <c r="B1305" i="6" s="1"/>
  <c r="B1249" i="6" a="1"/>
  <c r="B1249" i="6" s="1"/>
  <c r="B1155" i="6" a="1"/>
  <c r="B1155" i="6" s="1"/>
  <c r="B1111" i="6" a="1"/>
  <c r="B1111" i="6" s="1"/>
  <c r="B1192" i="6" a="1"/>
  <c r="B1192" i="6" s="1"/>
  <c r="B1258" i="6" a="1"/>
  <c r="B1258" i="6" s="1"/>
  <c r="B1042" i="6" a="1"/>
  <c r="B1042" i="6" s="1"/>
  <c r="B1364" i="6" a="1"/>
  <c r="B1364" i="6" s="1"/>
  <c r="B1246" i="6" a="1"/>
  <c r="B1246" i="6" s="1"/>
  <c r="B1350" i="6" a="1"/>
  <c r="B1350" i="6" s="1"/>
  <c r="B1282" i="6" a="1"/>
  <c r="B1282" i="6" s="1"/>
  <c r="B1376" i="6" a="1"/>
  <c r="B1376" i="6" s="1"/>
  <c r="B1265" i="6" a="1"/>
  <c r="B1265" i="6" s="1"/>
  <c r="B1208" i="6" a="1"/>
  <c r="B1208" i="6" s="1"/>
  <c r="B1314" i="6" a="1"/>
  <c r="B1314" i="6" s="1"/>
  <c r="B1215" i="6" a="1"/>
  <c r="B1215" i="6" s="1"/>
  <c r="B1164" i="6" a="1"/>
  <c r="B1164" i="6" s="1"/>
  <c r="B1122" i="6" a="1"/>
  <c r="B1122" i="6" s="1"/>
  <c r="B1121" i="6" a="1"/>
  <c r="B1121" i="6" s="1"/>
  <c r="B1310" i="6" a="1"/>
  <c r="B1310" i="6" s="1"/>
  <c r="B1147" i="6" a="1"/>
  <c r="B1147" i="6" s="1"/>
  <c r="B1033" i="6" a="1"/>
  <c r="B1033" i="6" s="1"/>
  <c r="B1073" i="6" a="1"/>
  <c r="B1073" i="6" s="1"/>
  <c r="B1102" i="6" a="1"/>
  <c r="B1102" i="6" s="1"/>
  <c r="B1092" i="6" a="1"/>
  <c r="B1092" i="6" s="1"/>
  <c r="B1207" i="6" a="1"/>
  <c r="B1207" i="6" s="1"/>
  <c r="B1366" i="6" a="1"/>
  <c r="B1366" i="6" s="1"/>
  <c r="B1248" i="6" a="1"/>
  <c r="B1248" i="6" s="1"/>
  <c r="B1389" i="6" a="1"/>
  <c r="B1389" i="6" s="1"/>
  <c r="B1242" i="6" a="1"/>
  <c r="B1242" i="6" s="1"/>
  <c r="B1312" i="6" a="1"/>
  <c r="B1312" i="6" s="1"/>
  <c r="B1221" i="6" a="1"/>
  <c r="B1221" i="6" s="1"/>
  <c r="B1306" i="6" a="1"/>
  <c r="B1306" i="6" s="1"/>
  <c r="B1216" i="6" a="1"/>
  <c r="B1216" i="6" s="1"/>
  <c r="B1231" i="6" a="1"/>
  <c r="B1231" i="6" s="1"/>
  <c r="B1279" i="6" a="1"/>
  <c r="B1279" i="6" s="1"/>
  <c r="B1308" i="6" a="1"/>
  <c r="B1308" i="6" s="1"/>
  <c r="B1381" i="6" a="1"/>
  <c r="B1381" i="6" s="1"/>
  <c r="B1212" i="6" a="1"/>
  <c r="B1212" i="6" s="1"/>
  <c r="B1294" i="6" a="1"/>
  <c r="B1294" i="6" s="1"/>
  <c r="B1082" i="6" a="1"/>
  <c r="B1082" i="6" s="1"/>
  <c r="B1325" i="6" a="1"/>
  <c r="B1325" i="6" s="1"/>
  <c r="B1267" i="6" a="1"/>
  <c r="B1267" i="6" s="1"/>
  <c r="B1354" i="6" a="1"/>
  <c r="B1354" i="6" s="1"/>
  <c r="B1245" i="6" a="1"/>
  <c r="B1245" i="6" s="1"/>
  <c r="B1367" i="6" a="1"/>
  <c r="B1367" i="6" s="1"/>
  <c r="B1254" i="6" a="1"/>
  <c r="B1254" i="6" s="1"/>
  <c r="B1357" i="6" a="1"/>
  <c r="B1357" i="6" s="1"/>
  <c r="B1288" i="6" a="1"/>
  <c r="B1288" i="6" s="1"/>
  <c r="B1194" i="6" a="1"/>
  <c r="B1194" i="6" s="1"/>
  <c r="B1172" i="6" a="1"/>
  <c r="B1172" i="6" s="1"/>
  <c r="B1091" i="6" a="1"/>
  <c r="B1091" i="6" s="1"/>
  <c r="B1109" i="6" a="1"/>
  <c r="B1109" i="6" s="1"/>
  <c r="B1143" i="6" a="1"/>
  <c r="B1143" i="6" s="1"/>
  <c r="B1039" i="6" a="1"/>
  <c r="B1039" i="6" s="1"/>
  <c r="B1287" i="6" a="1"/>
  <c r="B1287" i="6" s="1"/>
  <c r="B1396" i="6" a="1"/>
  <c r="B1396" i="6" s="1"/>
  <c r="B1328" i="6" a="1"/>
  <c r="B1328" i="6" s="1"/>
  <c r="B1226" i="6" a="1"/>
  <c r="B1226" i="6" s="1"/>
  <c r="B1311" i="6" a="1"/>
  <c r="B1311" i="6" s="1"/>
  <c r="B1250" i="6" a="1"/>
  <c r="B1250" i="6" s="1"/>
  <c r="B1365" i="6" a="1"/>
  <c r="B1365" i="6" s="1"/>
  <c r="B1257" i="6" a="1"/>
  <c r="B1257" i="6" s="1"/>
  <c r="B1202" i="6" a="1"/>
  <c r="B1202" i="6" s="1"/>
  <c r="B1185" i="6" a="1"/>
  <c r="B1185" i="6" s="1"/>
  <c r="B1059" i="6" a="1"/>
  <c r="B1059" i="6" s="1"/>
  <c r="B1179" i="6" a="1"/>
  <c r="B1179" i="6" s="1"/>
  <c r="B1100" i="6" a="1"/>
  <c r="B1100" i="6" s="1"/>
  <c r="B1026" i="6" a="1"/>
  <c r="B1026" i="6" s="1"/>
  <c r="B1074" i="6" a="1"/>
  <c r="B1074" i="6" s="1"/>
  <c r="B1075" i="6" a="1"/>
  <c r="B1075" i="6" s="1"/>
  <c r="B1004" i="6" a="1"/>
  <c r="B1004" i="6" s="1"/>
  <c r="B1106" i="6" a="1"/>
  <c r="B1106" i="6" s="1"/>
  <c r="B1036" i="6" a="1"/>
  <c r="B1036" i="6" s="1"/>
  <c r="B1003" i="6" a="1"/>
  <c r="B1003" i="6" s="1"/>
  <c r="B986" i="6" a="1"/>
  <c r="B986" i="6" s="1"/>
  <c r="B972" i="6" a="1"/>
  <c r="B972" i="6" s="1"/>
  <c r="B935" i="6" a="1"/>
  <c r="B935" i="6" s="1"/>
  <c r="B954" i="6" a="1"/>
  <c r="B954" i="6" s="1"/>
  <c r="B933" i="6" a="1"/>
  <c r="B933" i="6" s="1"/>
  <c r="B1130" i="6" a="1"/>
  <c r="B1130" i="6" s="1"/>
  <c r="B1061" i="6" a="1"/>
  <c r="B1061" i="6" s="1"/>
  <c r="B1183" i="6" a="1"/>
  <c r="B1183" i="6" s="1"/>
  <c r="B1046" i="6" a="1"/>
  <c r="B1046" i="6" s="1"/>
  <c r="B1084" i="6" a="1"/>
  <c r="B1084" i="6" s="1"/>
  <c r="B1187" i="6" a="1"/>
  <c r="B1187" i="6" s="1"/>
  <c r="B1053" i="6" a="1"/>
  <c r="B1053" i="6" s="1"/>
  <c r="B1002" i="6" a="1"/>
  <c r="B1002" i="6" s="1"/>
  <c r="B996" i="6" a="1"/>
  <c r="B996" i="6" s="1"/>
  <c r="B971" i="6" a="1"/>
  <c r="B971" i="6" s="1"/>
  <c r="B934" i="6" a="1"/>
  <c r="B934" i="6" s="1"/>
  <c r="B919" i="6" a="1"/>
  <c r="B919" i="6" s="1"/>
  <c r="B932" i="6" a="1"/>
  <c r="B932" i="6" s="1"/>
  <c r="B1375" i="6" a="1"/>
  <c r="B1375" i="6" s="1"/>
  <c r="B1198" i="6" a="1"/>
  <c r="B1198" i="6" s="1"/>
  <c r="B1085" i="6" a="1"/>
  <c r="B1085" i="6" s="1"/>
  <c r="B1153" i="6" a="1"/>
  <c r="B1153" i="6" s="1"/>
  <c r="B1079" i="6" a="1"/>
  <c r="B1079" i="6" s="1"/>
  <c r="B1107" i="6" a="1"/>
  <c r="B1107" i="6" s="1"/>
  <c r="B1157" i="6" a="1"/>
  <c r="B1157" i="6" s="1"/>
  <c r="B1078" i="6" a="1"/>
  <c r="B1078" i="6" s="1"/>
  <c r="B1011" i="6" a="1"/>
  <c r="B1011" i="6" s="1"/>
  <c r="B993" i="6" a="1"/>
  <c r="B993" i="6" s="1"/>
  <c r="B980" i="6" a="1"/>
  <c r="B980" i="6" s="1"/>
  <c r="B957" i="6" a="1"/>
  <c r="B957" i="6" s="1"/>
  <c r="B946" i="6" a="1"/>
  <c r="B946" i="6" s="1"/>
  <c r="B938" i="6" a="1"/>
  <c r="B938" i="6" s="1"/>
  <c r="B887" i="6" a="1"/>
  <c r="B887" i="6" s="1"/>
  <c r="B868" i="6" a="1"/>
  <c r="B868" i="6" s="1"/>
  <c r="B877" i="6" a="1"/>
  <c r="B877" i="6" s="1"/>
  <c r="B156" i="6" a="1"/>
  <c r="B156" i="6" s="1"/>
  <c r="B177" i="6" a="1"/>
  <c r="B177" i="6" s="1"/>
  <c r="B179" i="6" a="1"/>
  <c r="B179" i="6" s="1"/>
  <c r="B291" i="6" a="1"/>
  <c r="B291" i="6" s="1"/>
  <c r="B94" i="6" a="1"/>
  <c r="B94" i="6" s="1"/>
  <c r="B216" i="6" a="1"/>
  <c r="B216" i="6" s="1"/>
  <c r="B31" i="6" a="1"/>
  <c r="B31" i="6" s="1"/>
  <c r="B253" i="6" a="1"/>
  <c r="B253" i="6" s="1"/>
  <c r="B223" i="6" a="1"/>
  <c r="B223" i="6" s="1"/>
  <c r="B54" i="6" a="1"/>
  <c r="B54" i="6" s="1"/>
  <c r="B109" i="6" a="1"/>
  <c r="B109" i="6" s="1"/>
  <c r="B893" i="6" a="1"/>
  <c r="B893" i="6" s="1"/>
  <c r="B889" i="6" a="1"/>
  <c r="B889" i="6" s="1"/>
  <c r="B966" i="6" a="1"/>
  <c r="B966" i="6" s="1"/>
  <c r="B920" i="6" a="1"/>
  <c r="B920" i="6" s="1"/>
  <c r="B951" i="6" a="1"/>
  <c r="B951" i="6" s="1"/>
  <c r="B1253" i="6" a="1"/>
  <c r="B1253" i="6" s="1"/>
  <c r="B1134" i="6" a="1"/>
  <c r="B1134" i="6" s="1"/>
  <c r="B1034" i="6" a="1"/>
  <c r="B1034" i="6" s="1"/>
  <c r="B1103" i="6" a="1"/>
  <c r="B1103" i="6" s="1"/>
  <c r="B1132" i="6" a="1"/>
  <c r="B1132" i="6" s="1"/>
  <c r="B1065" i="6" a="1"/>
  <c r="B1065" i="6" s="1"/>
  <c r="B1110" i="6" a="1"/>
  <c r="B1110" i="6" s="1"/>
  <c r="B1015" i="6" a="1"/>
  <c r="B1015" i="6" s="1"/>
  <c r="B1006" i="6" a="1"/>
  <c r="B1006" i="6" s="1"/>
  <c r="B984" i="6" a="1"/>
  <c r="B984" i="6" s="1"/>
  <c r="B961" i="6" a="1"/>
  <c r="B961" i="6" s="1"/>
  <c r="B929" i="6" a="1"/>
  <c r="B929" i="6" s="1"/>
  <c r="B950" i="6" a="1"/>
  <c r="B950" i="6" s="1"/>
  <c r="B879" i="6" a="1"/>
  <c r="B879" i="6" s="1"/>
  <c r="B1322" i="6" a="1"/>
  <c r="B1322" i="6" s="1"/>
  <c r="B1077" i="6" a="1"/>
  <c r="B1077" i="6" s="1"/>
  <c r="B1047" i="6" a="1"/>
  <c r="B1047" i="6" s="1"/>
  <c r="B1133" i="6" a="1"/>
  <c r="B1133" i="6" s="1"/>
  <c r="B1175" i="6" a="1"/>
  <c r="B1175" i="6" s="1"/>
  <c r="B1045" i="6" a="1"/>
  <c r="B1045" i="6" s="1"/>
  <c r="B1129" i="6" a="1"/>
  <c r="B1129" i="6" s="1"/>
  <c r="B1020" i="6" a="1"/>
  <c r="B1020" i="6" s="1"/>
  <c r="B999" i="6" a="1"/>
  <c r="B999" i="6" s="1"/>
  <c r="B989" i="6" a="1"/>
  <c r="B989" i="6" s="1"/>
  <c r="B964" i="6" a="1"/>
  <c r="B964" i="6" s="1"/>
  <c r="B925" i="6" a="1"/>
  <c r="B925" i="6" s="1"/>
  <c r="B943" i="6" a="1"/>
  <c r="B943" i="6" s="1"/>
  <c r="B918" i="6" a="1"/>
  <c r="B918" i="6" s="1"/>
  <c r="B875" i="6" a="1"/>
  <c r="B875" i="6" s="1"/>
  <c r="B886" i="6" a="1"/>
  <c r="B886" i="6" s="1"/>
  <c r="B307" i="6" a="1"/>
  <c r="B307" i="6" s="1"/>
  <c r="B125" i="6" a="1"/>
  <c r="B125" i="6" s="1"/>
  <c r="B126" i="6" a="1"/>
  <c r="B126" i="6" s="1"/>
  <c r="B145" i="6" a="1"/>
  <c r="B145" i="6" s="1"/>
  <c r="B266" i="6" a="1"/>
  <c r="B266" i="6" s="1"/>
  <c r="B167" i="6" a="1"/>
  <c r="B167" i="6" s="1"/>
  <c r="B206" i="6" a="1"/>
  <c r="B206" i="6" s="1"/>
  <c r="B213" i="6" a="1"/>
  <c r="B213" i="6" s="1"/>
  <c r="B309" i="6" a="1"/>
  <c r="B309" i="6" s="1"/>
  <c r="B312" i="6" a="1"/>
  <c r="B312" i="6" s="1"/>
  <c r="B320" i="6" a="1"/>
  <c r="B320" i="6" s="1"/>
  <c r="B257" i="6" a="1"/>
  <c r="B257" i="6" s="1"/>
  <c r="B902" i="6" a="1"/>
  <c r="B902" i="6" s="1"/>
  <c r="B909" i="6" a="1"/>
  <c r="B909" i="6" s="1"/>
  <c r="B1141" i="6" a="1"/>
  <c r="B1141" i="6" s="1"/>
  <c r="B1361" i="6" a="1"/>
  <c r="B1361" i="6" s="1"/>
  <c r="B1116" i="6" a="1"/>
  <c r="B1116" i="6" s="1"/>
  <c r="B1023" i="6" a="1"/>
  <c r="B1023" i="6" s="1"/>
  <c r="B1146" i="6" a="1"/>
  <c r="B1146" i="6" s="1"/>
  <c r="B1188" i="6" a="1"/>
  <c r="B1188" i="6" s="1"/>
  <c r="B1054" i="6" a="1"/>
  <c r="B1054" i="6" s="1"/>
  <c r="B1150" i="6" a="1"/>
  <c r="B1150" i="6" s="1"/>
  <c r="B1031" i="6" a="1"/>
  <c r="B1031" i="6" s="1"/>
  <c r="B1007" i="6" a="1"/>
  <c r="B1007" i="6" s="1"/>
  <c r="B988" i="6" a="1"/>
  <c r="B988" i="6" s="1"/>
  <c r="B974" i="6" a="1"/>
  <c r="B974" i="6" s="1"/>
  <c r="B930" i="6" a="1"/>
  <c r="B930" i="6" s="1"/>
  <c r="B949" i="6" a="1"/>
  <c r="B949" i="6" s="1"/>
  <c r="B1390" i="6" a="1"/>
  <c r="B1390" i="6" s="1"/>
  <c r="B1156" i="6" a="1"/>
  <c r="B1156" i="6" s="1"/>
  <c r="B1096" i="6" a="1"/>
  <c r="B1096" i="6" s="1"/>
  <c r="B1160" i="6" a="1"/>
  <c r="B1160" i="6" s="1"/>
  <c r="B1035" i="6" a="1"/>
  <c r="B1035" i="6" s="1"/>
  <c r="B1113" i="6" a="1"/>
  <c r="B1113" i="6" s="1"/>
  <c r="B1167" i="6" a="1"/>
  <c r="B1167" i="6" s="1"/>
  <c r="B1030" i="6" a="1"/>
  <c r="B1030" i="6" s="1"/>
  <c r="B1012" i="6" a="1"/>
  <c r="B1012" i="6" s="1"/>
  <c r="B987" i="6" a="1"/>
  <c r="B987" i="6" s="1"/>
  <c r="B973" i="6" a="1"/>
  <c r="B973" i="6" s="1"/>
  <c r="B958" i="6" a="1"/>
  <c r="B958" i="6" s="1"/>
  <c r="B947" i="6" a="1"/>
  <c r="B947" i="6" s="1"/>
  <c r="B917" i="6" a="1"/>
  <c r="B917" i="6" s="1"/>
  <c r="B904" i="6" a="1"/>
  <c r="B904" i="6" s="1"/>
  <c r="B1159" i="6" a="1"/>
  <c r="B1159" i="6" s="1"/>
  <c r="B1066" i="6" a="1"/>
  <c r="B1066" i="6" s="1"/>
  <c r="B1200" i="6" a="1"/>
  <c r="B1200" i="6" s="1"/>
  <c r="B1069" i="6" a="1"/>
  <c r="B1069" i="6" s="1"/>
  <c r="B1094" i="6" a="1"/>
  <c r="B1094" i="6" s="1"/>
  <c r="B1024" i="6" a="1"/>
  <c r="B1024" i="6" s="1"/>
  <c r="B1064" i="6" a="1"/>
  <c r="B1064" i="6" s="1"/>
  <c r="B1008" i="6" a="1"/>
  <c r="B1008" i="6" s="1"/>
  <c r="B998" i="6" a="1"/>
  <c r="B998" i="6" s="1"/>
  <c r="B976" i="6" a="1"/>
  <c r="B976" i="6" s="1"/>
  <c r="B948" i="6" a="1"/>
  <c r="B948" i="6" s="1"/>
  <c r="B921" i="6" a="1"/>
  <c r="B921" i="6" s="1"/>
  <c r="B936" i="6" a="1"/>
  <c r="B936" i="6" s="1"/>
  <c r="B895" i="6" a="1"/>
  <c r="B895" i="6" s="1"/>
  <c r="B890" i="6" a="1"/>
  <c r="B890" i="6" s="1"/>
  <c r="B234" i="6" a="1"/>
  <c r="B234" i="6" s="1"/>
  <c r="B16" i="6" a="1"/>
  <c r="B16" i="6" s="1"/>
  <c r="B62" i="6" a="1"/>
  <c r="B62" i="6" s="1"/>
  <c r="B36" i="6" a="1"/>
  <c r="B36" i="6" s="1"/>
  <c r="B45" i="6" a="1"/>
  <c r="B45" i="6" s="1"/>
  <c r="B33" i="6" a="1"/>
  <c r="B33" i="6" s="1"/>
  <c r="B50" i="6" a="1"/>
  <c r="B50" i="6" s="1"/>
  <c r="B169" i="6" a="1"/>
  <c r="B169" i="6" s="1"/>
  <c r="B83" i="6" a="1"/>
  <c r="B83" i="6" s="1"/>
  <c r="B192" i="6" a="1"/>
  <c r="B192" i="6" s="1"/>
  <c r="B51" i="6" a="1"/>
  <c r="B51" i="6" s="1"/>
  <c r="B42" i="6" a="1"/>
  <c r="B42" i="6" s="1"/>
  <c r="B871" i="6" a="1"/>
  <c r="B871" i="6" s="1"/>
  <c r="B962" i="6" a="1"/>
  <c r="B962" i="6" s="1"/>
  <c r="B959" i="6" a="1"/>
  <c r="B959" i="6" s="1"/>
  <c r="B927" i="6" a="1"/>
  <c r="B927" i="6" s="1"/>
  <c r="B939" i="6" a="1"/>
  <c r="B939" i="6" s="1"/>
  <c r="B1211" i="6" a="1"/>
  <c r="B1211" i="6" s="1"/>
  <c r="B1097" i="6" a="1"/>
  <c r="B1097" i="6" s="1"/>
  <c r="B1060" i="6" a="1"/>
  <c r="B1060" i="6" s="1"/>
  <c r="B1089" i="6" a="1"/>
  <c r="B1089" i="6" s="1"/>
  <c r="B1181" i="6" a="1"/>
  <c r="B1181" i="6" s="1"/>
  <c r="B1052" i="6" a="1"/>
  <c r="B1052" i="6" s="1"/>
  <c r="B1087" i="6" a="1"/>
  <c r="B1087" i="6" s="1"/>
  <c r="B1021" i="6" a="1"/>
  <c r="B1021" i="6" s="1"/>
  <c r="B1000" i="6" a="1"/>
  <c r="B1000" i="6" s="1"/>
  <c r="B978" i="6" a="1"/>
  <c r="B978" i="6" s="1"/>
  <c r="B965" i="6" a="1"/>
  <c r="B965" i="6" s="1"/>
  <c r="B926" i="6" a="1"/>
  <c r="B926" i="6" s="1"/>
  <c r="B942" i="6" a="1"/>
  <c r="B942" i="6" s="1"/>
  <c r="B913" i="6" a="1"/>
  <c r="B913" i="6" s="1"/>
  <c r="B1280" i="6" a="1"/>
  <c r="B1280" i="6" s="1"/>
  <c r="B1177" i="6" a="1"/>
  <c r="B1177" i="6" s="1"/>
  <c r="B1048" i="6" a="1"/>
  <c r="B1048" i="6" s="1"/>
  <c r="B1114" i="6" a="1"/>
  <c r="B1114" i="6" s="1"/>
  <c r="B1152" i="6" a="1"/>
  <c r="B1152" i="6" s="1"/>
  <c r="B1076" i="6" a="1"/>
  <c r="B1076" i="6" s="1"/>
  <c r="B1112" i="6" a="1"/>
  <c r="B1112" i="6" s="1"/>
  <c r="B1017" i="6" a="1"/>
  <c r="B1017" i="6" s="1"/>
  <c r="B1001" i="6" a="1"/>
  <c r="B1001" i="6" s="1"/>
  <c r="B983" i="6" a="1"/>
  <c r="B983" i="6" s="1"/>
  <c r="B967" i="6" a="1"/>
  <c r="B967" i="6" s="1"/>
  <c r="B931" i="6" a="1"/>
  <c r="B931" i="6" s="1"/>
  <c r="B952" i="6" a="1"/>
  <c r="B952" i="6" s="1"/>
  <c r="B911" i="6" a="1"/>
  <c r="B911" i="6" s="1"/>
  <c r="B876" i="6" a="1"/>
  <c r="B876" i="6" s="1"/>
  <c r="B908" i="6" a="1"/>
  <c r="B908" i="6" s="1"/>
  <c r="B318" i="6" a="1"/>
  <c r="B318" i="6" s="1"/>
  <c r="B256" i="6" a="1"/>
  <c r="B256" i="6" s="1"/>
  <c r="B25" i="6" a="1"/>
  <c r="B25" i="6" s="1"/>
  <c r="B81" i="6" a="1"/>
  <c r="B81" i="6" s="1"/>
  <c r="B326" i="6" a="1"/>
  <c r="B326" i="6" s="1"/>
  <c r="B212" i="6" a="1"/>
  <c r="B212" i="6" s="1"/>
  <c r="B265" i="6" a="1"/>
  <c r="B265" i="6" s="1"/>
  <c r="B306" i="6" a="1"/>
  <c r="B306" i="6" s="1"/>
  <c r="B82" i="6" a="1"/>
  <c r="B82" i="6" s="1"/>
  <c r="B315" i="6" a="1"/>
  <c r="B315" i="6" s="1"/>
  <c r="B176" i="6" a="1"/>
  <c r="B176" i="6" s="1"/>
  <c r="B134" i="6" a="1"/>
  <c r="B134" i="6" s="1"/>
  <c r="B898" i="6" a="1"/>
  <c r="B898" i="6" s="1"/>
  <c r="B1062" i="6" a="1"/>
  <c r="B1062" i="6" s="1"/>
  <c r="B1125" i="6" a="1"/>
  <c r="B1125" i="6" s="1"/>
  <c r="B1168" i="6" a="1"/>
  <c r="B1168" i="6" s="1"/>
  <c r="B1088" i="6" a="1"/>
  <c r="B1088" i="6" s="1"/>
  <c r="B1124" i="6" a="1"/>
  <c r="B1124" i="6" s="1"/>
  <c r="B1022" i="6" a="1"/>
  <c r="B1022" i="6" s="1"/>
  <c r="B1010" i="6" a="1"/>
  <c r="B1010" i="6" s="1"/>
  <c r="B992" i="6" a="1"/>
  <c r="B992" i="6" s="1"/>
  <c r="B969" i="6" a="1"/>
  <c r="B969" i="6" s="1"/>
  <c r="B956" i="6" a="1"/>
  <c r="B956" i="6" s="1"/>
  <c r="B945" i="6" a="1"/>
  <c r="B945" i="6" s="1"/>
  <c r="B1339" i="6" a="1"/>
  <c r="B1339" i="6" s="1"/>
  <c r="B1174" i="6" a="1"/>
  <c r="B1174" i="6" s="1"/>
  <c r="B1071" i="6" a="1"/>
  <c r="B1071" i="6" s="1"/>
  <c r="B1140" i="6" a="1"/>
  <c r="B1140" i="6" s="1"/>
  <c r="B1070" i="6" a="1"/>
  <c r="B1070" i="6" s="1"/>
  <c r="B1098" i="6" a="1"/>
  <c r="B1098" i="6" s="1"/>
  <c r="B1137" i="6" a="1"/>
  <c r="B1137" i="6" s="1"/>
  <c r="B1068" i="6" a="1"/>
  <c r="B1068" i="6" s="1"/>
  <c r="B1009" i="6" a="1"/>
  <c r="B1009" i="6" s="1"/>
  <c r="B990" i="6" a="1"/>
  <c r="B990" i="6" s="1"/>
  <c r="B977" i="6" a="1"/>
  <c r="B977" i="6" s="1"/>
  <c r="B955" i="6" a="1"/>
  <c r="B955" i="6" s="1"/>
  <c r="B944" i="6" a="1"/>
  <c r="B944" i="6" s="1"/>
  <c r="B941" i="6" a="1"/>
  <c r="B941" i="6" s="1"/>
  <c r="B896" i="6" a="1"/>
  <c r="B896" i="6" s="1"/>
  <c r="B1209" i="6" a="1"/>
  <c r="B1209" i="6" s="1"/>
  <c r="B1115" i="6" a="1"/>
  <c r="B1115" i="6" s="1"/>
  <c r="B1176" i="6" a="1"/>
  <c r="B1176" i="6" s="1"/>
  <c r="B1027" i="6" a="1"/>
  <c r="B1027" i="6" s="1"/>
  <c r="B1119" i="6" a="1"/>
  <c r="B1119" i="6" s="1"/>
  <c r="B1180" i="6" a="1"/>
  <c r="B1180" i="6" s="1"/>
  <c r="B1051" i="6" a="1"/>
  <c r="B1051" i="6" s="1"/>
  <c r="B1014" i="6" a="1"/>
  <c r="B1014" i="6" s="1"/>
  <c r="B991" i="6" a="1"/>
  <c r="B991" i="6" s="1"/>
  <c r="B975" i="6" a="1"/>
  <c r="B975" i="6" s="1"/>
  <c r="B960" i="6" a="1"/>
  <c r="B960" i="6" s="1"/>
  <c r="B923" i="6" a="1"/>
  <c r="B923" i="6" s="1"/>
  <c r="B916" i="6" a="1"/>
  <c r="B916" i="6" s="1"/>
  <c r="B878" i="6" a="1"/>
  <c r="B878" i="6" s="1"/>
  <c r="B910" i="6" a="1"/>
  <c r="B910" i="6" s="1"/>
  <c r="B310" i="6" a="1"/>
  <c r="B310" i="6" s="1"/>
  <c r="B185" i="6" a="1"/>
  <c r="B185" i="6" s="1"/>
  <c r="B218" i="6" a="1"/>
  <c r="B218" i="6" s="1"/>
  <c r="B250" i="6" a="1"/>
  <c r="B250" i="6" s="1"/>
  <c r="B229" i="6" a="1"/>
  <c r="B229" i="6" s="1"/>
  <c r="B268" i="6" a="1"/>
  <c r="B268" i="6" s="1"/>
  <c r="B28" i="6" a="1"/>
  <c r="B28" i="6" s="1"/>
  <c r="B93" i="6" a="1"/>
  <c r="B93" i="6" s="1"/>
  <c r="B67" i="6" a="1"/>
  <c r="B67" i="6" s="1"/>
  <c r="B191" i="6" a="1"/>
  <c r="B191" i="6" s="1"/>
  <c r="B103" i="6" a="1"/>
  <c r="B103" i="6" s="1"/>
  <c r="B147" i="6" a="1"/>
  <c r="B147" i="6" s="1"/>
  <c r="B872" i="6" a="1"/>
  <c r="B872" i="6" s="1"/>
  <c r="B1189" i="6" a="1"/>
  <c r="B1189" i="6" s="1"/>
  <c r="B1058" i="6" a="1"/>
  <c r="B1058" i="6" s="1"/>
  <c r="B1138" i="6" a="1"/>
  <c r="B1138" i="6" s="1"/>
  <c r="B1196" i="6" a="1"/>
  <c r="B1196" i="6" s="1"/>
  <c r="B1056" i="6" a="1"/>
  <c r="B1056" i="6" s="1"/>
  <c r="B1019" i="6" a="1"/>
  <c r="B1019" i="6" s="1"/>
  <c r="B995" i="6" a="1"/>
  <c r="B995" i="6" s="1"/>
  <c r="B979" i="6" a="1"/>
  <c r="B979" i="6" s="1"/>
  <c r="B963" i="6" a="1"/>
  <c r="B963" i="6" s="1"/>
  <c r="B924" i="6" a="1"/>
  <c r="B924" i="6" s="1"/>
  <c r="B937" i="6" a="1"/>
  <c r="B937" i="6" s="1"/>
  <c r="B1292" i="6" a="1"/>
  <c r="B1292" i="6" s="1"/>
  <c r="B1204" i="6" a="1"/>
  <c r="B1204" i="6" s="1"/>
  <c r="B1029" i="6" a="1"/>
  <c r="B1029" i="6" s="1"/>
  <c r="B1120" i="6" a="1"/>
  <c r="B1120" i="6" s="1"/>
  <c r="B1158" i="6" a="1"/>
  <c r="B1158" i="6" s="1"/>
  <c r="B1050" i="6" a="1"/>
  <c r="B1050" i="6" s="1"/>
  <c r="B1117" i="6" a="1"/>
  <c r="B1117" i="6" s="1"/>
  <c r="B1018" i="6" a="1"/>
  <c r="B1018" i="6" s="1"/>
  <c r="B994" i="6" a="1"/>
  <c r="B994" i="6" s="1"/>
  <c r="B985" i="6" a="1"/>
  <c r="B985" i="6" s="1"/>
  <c r="B968" i="6" a="1"/>
  <c r="B968" i="6" s="1"/>
  <c r="B922" i="6" a="1"/>
  <c r="B922" i="6" s="1"/>
  <c r="B953" i="6" a="1"/>
  <c r="B953" i="6" s="1"/>
  <c r="B880" i="6" a="1"/>
  <c r="B880" i="6" s="1"/>
  <c r="B1239" i="6" a="1"/>
  <c r="B1239" i="6" s="1"/>
  <c r="B1136" i="6" a="1"/>
  <c r="B1136" i="6" s="1"/>
  <c r="B1028" i="6" a="1"/>
  <c r="B1028" i="6" s="1"/>
  <c r="B1099" i="6" a="1"/>
  <c r="B1099" i="6" s="1"/>
  <c r="B1197" i="6" a="1"/>
  <c r="B1197" i="6" s="1"/>
  <c r="B1057" i="6" a="1"/>
  <c r="B1057" i="6" s="1"/>
  <c r="B1093" i="6" a="1"/>
  <c r="B1093" i="6" s="1"/>
  <c r="B1025" i="6" a="1"/>
  <c r="B1025" i="6" s="1"/>
  <c r="B1005" i="6" a="1"/>
  <c r="B1005" i="6" s="1"/>
  <c r="B981" i="6" a="1"/>
  <c r="B981" i="6" s="1"/>
  <c r="B970" i="6" a="1"/>
  <c r="B970" i="6" s="1"/>
  <c r="B928" i="6" a="1"/>
  <c r="B928" i="6" s="1"/>
  <c r="B940" i="6" a="1"/>
  <c r="B940" i="6" s="1"/>
  <c r="B915" i="6" a="1"/>
  <c r="B915" i="6" s="1"/>
  <c r="B874" i="6" a="1"/>
  <c r="B874" i="6" s="1"/>
  <c r="B882" i="6" a="1"/>
  <c r="B882" i="6" s="1"/>
  <c r="B287" i="6" a="1"/>
  <c r="B287" i="6" s="1"/>
  <c r="B279" i="6" a="1"/>
  <c r="B279" i="6" s="1"/>
  <c r="B210" i="6" a="1"/>
  <c r="B210" i="6" s="1"/>
  <c r="B204" i="6" a="1"/>
  <c r="B204" i="6" s="1"/>
  <c r="B195" i="6" a="1"/>
  <c r="B195" i="6" s="1"/>
  <c r="B99" i="6" a="1"/>
  <c r="B99" i="6" s="1"/>
  <c r="B130" i="6" a="1"/>
  <c r="B130" i="6" s="1"/>
  <c r="B116" i="6" a="1"/>
  <c r="B116" i="6" s="1"/>
  <c r="B230" i="6" a="1"/>
  <c r="B230" i="6" s="1"/>
  <c r="B10" i="6" a="1"/>
  <c r="B10" i="6" s="1"/>
  <c r="B22" i="6" a="1"/>
  <c r="B22" i="6" s="1"/>
  <c r="B914" i="6" a="1"/>
  <c r="B914" i="6" s="1"/>
  <c r="B900" i="6" a="1"/>
  <c r="B900" i="6" s="1"/>
  <c r="B295" i="6" a="1"/>
  <c r="B295" i="6" s="1"/>
  <c r="B281" i="6" a="1"/>
  <c r="B281" i="6" s="1"/>
  <c r="B8" i="6" a="1"/>
  <c r="B8" i="6" s="1"/>
  <c r="B255" i="6" a="1"/>
  <c r="B255" i="6" s="1"/>
  <c r="B885" i="6" a="1"/>
  <c r="B885" i="6" s="1"/>
  <c r="B870" i="6" a="1"/>
  <c r="B870" i="6" s="1"/>
  <c r="B881" i="6" a="1"/>
  <c r="B881" i="6" s="1"/>
  <c r="B219" i="6" a="1"/>
  <c r="B219" i="6" s="1"/>
  <c r="B86" i="6" a="1"/>
  <c r="B86" i="6" s="1"/>
  <c r="B13" i="6" a="1"/>
  <c r="B13" i="6" s="1"/>
  <c r="B17" i="6" a="1"/>
  <c r="B17" i="6" s="1"/>
  <c r="B252" i="6" a="1"/>
  <c r="B252" i="6" s="1"/>
  <c r="B282" i="6" a="1"/>
  <c r="B282" i="6" s="1"/>
  <c r="B19" i="6" a="1"/>
  <c r="B19" i="6" s="1"/>
  <c r="B241" i="6" a="1"/>
  <c r="B241" i="6" s="1"/>
  <c r="B294" i="6" a="1"/>
  <c r="B294" i="6" s="1"/>
  <c r="B298" i="6" a="1"/>
  <c r="B298" i="6" s="1"/>
  <c r="B122" i="6" a="1"/>
  <c r="B122" i="6" s="1"/>
  <c r="B249" i="6" a="1"/>
  <c r="B249" i="6" s="1"/>
  <c r="B321" i="6" a="1"/>
  <c r="B321" i="6" s="1"/>
  <c r="B133" i="6" a="1"/>
  <c r="B133" i="6" s="1"/>
  <c r="B97" i="6" a="1"/>
  <c r="B97" i="6" s="1"/>
  <c r="B912" i="6" a="1"/>
  <c r="B912" i="6" s="1"/>
  <c r="B899" i="6" a="1"/>
  <c r="B899" i="6" s="1"/>
  <c r="B897" i="6" a="1"/>
  <c r="B897" i="6" s="1"/>
  <c r="B48" i="6" a="1"/>
  <c r="B48" i="6" s="1"/>
  <c r="B172" i="6" a="1"/>
  <c r="B172" i="6" s="1"/>
  <c r="B57" i="6" a="1"/>
  <c r="B57" i="6" s="1"/>
  <c r="B289" i="6" a="1"/>
  <c r="B289" i="6" s="1"/>
  <c r="B180" i="6" a="1"/>
  <c r="B180" i="6" s="1"/>
  <c r="B115" i="6" a="1"/>
  <c r="B115" i="6" s="1"/>
  <c r="B217" i="6" a="1"/>
  <c r="B217" i="6" s="1"/>
  <c r="B37" i="6" a="1"/>
  <c r="B37" i="6" s="1"/>
  <c r="B189" i="6" a="1"/>
  <c r="B189" i="6" s="1"/>
  <c r="B139" i="6" a="1"/>
  <c r="B139" i="6" s="1"/>
  <c r="B135" i="6" a="1"/>
  <c r="B135" i="6" s="1"/>
  <c r="B132" i="6" a="1"/>
  <c r="B132" i="6" s="1"/>
  <c r="B9" i="6" a="1"/>
  <c r="B9" i="6" s="1"/>
  <c r="B15" i="6" a="1"/>
  <c r="B15" i="6" s="1"/>
  <c r="B260" i="6" a="1"/>
  <c r="B260" i="6" s="1"/>
  <c r="B142" i="6" a="1"/>
  <c r="B142" i="6" s="1"/>
  <c r="B124" i="6" a="1"/>
  <c r="B124" i="6" s="1"/>
  <c r="B247" i="6" a="1"/>
  <c r="B247" i="6" s="1"/>
  <c r="B65" i="6" a="1"/>
  <c r="B65" i="6" s="1"/>
  <c r="B3" i="6" a="1"/>
  <c r="B3" i="6" s="1"/>
  <c r="B427" i="6" a="1"/>
  <c r="B427" i="6" s="1"/>
  <c r="B747" i="6" a="1"/>
  <c r="B747" i="6" s="1"/>
  <c r="B432" i="6" a="1"/>
  <c r="B432" i="6" s="1"/>
  <c r="B671" i="6" a="1"/>
  <c r="B671" i="6" s="1"/>
  <c r="B251" i="6" a="1"/>
  <c r="B251" i="6" s="1"/>
  <c r="B163" i="6" a="1"/>
  <c r="B163" i="6" s="1"/>
  <c r="B128" i="6" a="1"/>
  <c r="B128" i="6" s="1"/>
  <c r="B98" i="6" a="1"/>
  <c r="B98" i="6" s="1"/>
  <c r="B240" i="6" a="1"/>
  <c r="B240" i="6" s="1"/>
  <c r="B60" i="6" a="1"/>
  <c r="B60" i="6" s="1"/>
  <c r="B32" i="6" a="1"/>
  <c r="B32" i="6" s="1"/>
  <c r="B90" i="6" a="1"/>
  <c r="B90" i="6" s="1"/>
  <c r="B274" i="6" a="1"/>
  <c r="B274" i="6" s="1"/>
  <c r="B102" i="6" a="1"/>
  <c r="B102" i="6" s="1"/>
  <c r="B221" i="6" a="1"/>
  <c r="B221" i="6" s="1"/>
  <c r="B151" i="6" a="1"/>
  <c r="B151" i="6" s="1"/>
  <c r="B155" i="6" a="1"/>
  <c r="B155" i="6" s="1"/>
  <c r="B285" i="6" a="1"/>
  <c r="B285" i="6" s="1"/>
  <c r="B903" i="6" a="1"/>
  <c r="B903" i="6" s="1"/>
  <c r="B869" i="6" a="1"/>
  <c r="B869" i="6" s="1"/>
  <c r="B906" i="6" a="1"/>
  <c r="B906" i="6" s="1"/>
  <c r="B121" i="6" a="1"/>
  <c r="B121" i="6" s="1"/>
  <c r="B239" i="6" a="1"/>
  <c r="B239" i="6" s="1"/>
  <c r="B46" i="6" a="1"/>
  <c r="B46" i="6" s="1"/>
  <c r="B203" i="6" a="1"/>
  <c r="B203" i="6" s="1"/>
  <c r="B24" i="6" a="1"/>
  <c r="B24" i="6" s="1"/>
  <c r="B275" i="6" a="1"/>
  <c r="B275" i="6" s="1"/>
  <c r="B242" i="6" a="1"/>
  <c r="B242" i="6" s="1"/>
  <c r="B148" i="6" a="1"/>
  <c r="B148" i="6" s="1"/>
  <c r="B168" i="6" a="1"/>
  <c r="B168" i="6" s="1"/>
  <c r="B304" i="6" a="1"/>
  <c r="B304" i="6" s="1"/>
  <c r="B119" i="6" a="1"/>
  <c r="B119" i="6" s="1"/>
  <c r="B280" i="6" a="1"/>
  <c r="B280" i="6" s="1"/>
  <c r="B262" i="6" a="1"/>
  <c r="B262" i="6" s="1"/>
  <c r="B101" i="6" a="1"/>
  <c r="B101" i="6" s="1"/>
  <c r="B95" i="6" a="1"/>
  <c r="B95" i="6" s="1"/>
  <c r="B117" i="6" a="1"/>
  <c r="B117" i="6" s="1"/>
  <c r="B272" i="6" a="1"/>
  <c r="B272" i="6" s="1"/>
  <c r="B68" i="6" a="1"/>
  <c r="B68" i="6" s="1"/>
  <c r="B220" i="6" a="1"/>
  <c r="B220" i="6" s="1"/>
  <c r="B224" i="6" a="1"/>
  <c r="B224" i="6" s="1"/>
  <c r="B507" i="6" a="1"/>
  <c r="B507" i="6" s="1"/>
  <c r="B749" i="6" a="1"/>
  <c r="B749" i="6" s="1"/>
  <c r="B589" i="6" a="1"/>
  <c r="B589" i="6" s="1"/>
  <c r="B510" i="6" a="1"/>
  <c r="B510" i="6" s="1"/>
  <c r="B451" i="6" a="1"/>
  <c r="B451" i="6" s="1"/>
  <c r="B153" i="6" a="1"/>
  <c r="B153" i="6" s="1"/>
  <c r="B867" i="6" a="1"/>
  <c r="B867" i="6" s="1"/>
  <c r="B41" i="6" a="1"/>
  <c r="B41" i="6" s="1"/>
  <c r="B323" i="6" a="1"/>
  <c r="B323" i="6" s="1"/>
  <c r="B159" i="6" a="1"/>
  <c r="B159" i="6" s="1"/>
  <c r="B162" i="6" a="1"/>
  <c r="B162" i="6" s="1"/>
  <c r="B332" i="6" a="1"/>
  <c r="B332" i="6" s="1"/>
  <c r="B319" i="6" a="1"/>
  <c r="B319" i="6" s="1"/>
  <c r="B91" i="6" a="1"/>
  <c r="B91" i="6" s="1"/>
  <c r="B308" i="6" a="1"/>
  <c r="B308" i="6" s="1"/>
  <c r="B113" i="6" a="1"/>
  <c r="B113" i="6" s="1"/>
  <c r="B141" i="6" a="1"/>
  <c r="B141" i="6" s="1"/>
  <c r="B194" i="6" a="1"/>
  <c r="B194" i="6" s="1"/>
  <c r="B21" i="6" a="1"/>
  <c r="B21" i="6" s="1"/>
  <c r="B215" i="6" a="1"/>
  <c r="B215" i="6" s="1"/>
  <c r="B181" i="6" a="1"/>
  <c r="B181" i="6" s="1"/>
  <c r="B254" i="6" a="1"/>
  <c r="B254" i="6" s="1"/>
  <c r="B905" i="6" a="1"/>
  <c r="B905" i="6" s="1"/>
  <c r="B892" i="6" a="1"/>
  <c r="B892" i="6" s="1"/>
  <c r="B883" i="6" a="1"/>
  <c r="B883" i="6" s="1"/>
  <c r="B292" i="6" a="1"/>
  <c r="B292" i="6" s="1"/>
  <c r="B52" i="6" a="1"/>
  <c r="B52" i="6" s="1"/>
  <c r="B270" i="6" a="1"/>
  <c r="B270" i="6" s="1"/>
  <c r="B88" i="6" a="1"/>
  <c r="B88" i="6" s="1"/>
  <c r="B273" i="6" a="1"/>
  <c r="B273" i="6" s="1"/>
  <c r="B40" i="6" a="1"/>
  <c r="B40" i="6" s="1"/>
  <c r="B56" i="6" a="1"/>
  <c r="B56" i="6" s="1"/>
  <c r="B290" i="6" a="1"/>
  <c r="B290" i="6" s="1"/>
  <c r="B211" i="6" a="1"/>
  <c r="B211" i="6" s="1"/>
  <c r="B278" i="6" a="1"/>
  <c r="B278" i="6" s="1"/>
  <c r="B66" i="6" a="1"/>
  <c r="B66" i="6" s="1"/>
  <c r="B301" i="6" a="1"/>
  <c r="B301" i="6" s="1"/>
  <c r="B299" i="6" a="1"/>
  <c r="B299" i="6" s="1"/>
  <c r="B160" i="6" a="1"/>
  <c r="B160" i="6" s="1"/>
  <c r="B34" i="6" a="1"/>
  <c r="B34" i="6" s="1"/>
  <c r="B205" i="6" a="1"/>
  <c r="B205" i="6" s="1"/>
  <c r="B244" i="6" a="1"/>
  <c r="B244" i="6" s="1"/>
  <c r="B61" i="6" a="1"/>
  <c r="B61" i="6" s="1"/>
  <c r="B202" i="6" a="1"/>
  <c r="B202" i="6" s="1"/>
  <c r="B14" i="6" a="1"/>
  <c r="B14" i="6" s="1"/>
  <c r="B348" i="6" a="1"/>
  <c r="B348" i="6" s="1"/>
  <c r="B828" i="6" a="1"/>
  <c r="B828" i="6" s="1"/>
  <c r="B592" i="6" a="1"/>
  <c r="B592" i="6" s="1"/>
  <c r="B611" i="6" a="1"/>
  <c r="B611" i="6" s="1"/>
  <c r="B901" i="6" a="1"/>
  <c r="B901" i="6" s="1"/>
  <c r="B907" i="6" a="1"/>
  <c r="B907" i="6" s="1"/>
  <c r="B231" i="6" a="1"/>
  <c r="B231" i="6" s="1"/>
  <c r="B29" i="6" a="1"/>
  <c r="B29" i="6" s="1"/>
  <c r="B11" i="6" a="1"/>
  <c r="B11" i="6" s="1"/>
  <c r="B293" i="6" a="1"/>
  <c r="B293" i="6" s="1"/>
  <c r="B324" i="6" a="1"/>
  <c r="B324" i="6" s="1"/>
  <c r="B143" i="6" a="1"/>
  <c r="B143" i="6" s="1"/>
  <c r="B140" i="6" a="1"/>
  <c r="B140" i="6" s="1"/>
  <c r="B146" i="6" a="1"/>
  <c r="B146" i="6" s="1"/>
  <c r="B296" i="6" a="1"/>
  <c r="B296" i="6" s="1"/>
  <c r="B149" i="6" a="1"/>
  <c r="B149" i="6" s="1"/>
  <c r="B105" i="6" a="1"/>
  <c r="B105" i="6" s="1"/>
  <c r="B7" i="6" a="1"/>
  <c r="B7" i="6" s="1"/>
  <c r="B325" i="6" a="1"/>
  <c r="B325" i="6" s="1"/>
  <c r="B69" i="6" a="1"/>
  <c r="B69" i="6" s="1"/>
  <c r="B314" i="6" a="1"/>
  <c r="B314" i="6" s="1"/>
  <c r="B300" i="6" a="1"/>
  <c r="B300" i="6" s="1"/>
  <c r="B894" i="6" a="1"/>
  <c r="B894" i="6" s="1"/>
  <c r="B888" i="6" a="1"/>
  <c r="B888" i="6" s="1"/>
  <c r="B313" i="6" a="1"/>
  <c r="B313" i="6" s="1"/>
  <c r="B232" i="6" a="1"/>
  <c r="B232" i="6" s="1"/>
  <c r="B127" i="6" a="1"/>
  <c r="B127" i="6" s="1"/>
  <c r="B12" i="6" a="1"/>
  <c r="B12" i="6" s="1"/>
  <c r="B120" i="6" a="1"/>
  <c r="B120" i="6" s="1"/>
  <c r="B123" i="6" a="1"/>
  <c r="B123" i="6" s="1"/>
  <c r="B84" i="6" a="1"/>
  <c r="B84" i="6" s="1"/>
  <c r="B112" i="6" a="1"/>
  <c r="B112" i="6" s="1"/>
  <c r="B182" i="6" a="1"/>
  <c r="B182" i="6" s="1"/>
  <c r="B30" i="6" a="1"/>
  <c r="B30" i="6" s="1"/>
  <c r="B70" i="6" a="1"/>
  <c r="B70" i="6" s="1"/>
  <c r="B201" i="6" a="1"/>
  <c r="B201" i="6" s="1"/>
  <c r="B316" i="6" a="1"/>
  <c r="B316" i="6" s="1"/>
  <c r="B165" i="6" a="1"/>
  <c r="B165" i="6" s="1"/>
  <c r="B173" i="6" a="1"/>
  <c r="B173" i="6" s="1"/>
  <c r="B74" i="6" a="1"/>
  <c r="B74" i="6" s="1"/>
  <c r="B106" i="6" a="1"/>
  <c r="B106" i="6" s="1"/>
  <c r="B85" i="6" a="1"/>
  <c r="B85" i="6" s="1"/>
  <c r="B118" i="6" a="1"/>
  <c r="B118" i="6" s="1"/>
  <c r="B63" i="6" a="1"/>
  <c r="B63" i="6" s="1"/>
  <c r="B347" i="6" a="1"/>
  <c r="B347" i="6" s="1"/>
  <c r="B581" i="6" a="1"/>
  <c r="B581" i="6" s="1"/>
  <c r="B349" i="6" a="1"/>
  <c r="B349" i="6" s="1"/>
  <c r="B829" i="6" a="1"/>
  <c r="B829" i="6" s="1"/>
  <c r="B670" i="6" a="1"/>
  <c r="B670" i="6" s="1"/>
  <c r="B691" i="6" a="1"/>
  <c r="B691" i="6" s="1"/>
  <c r="B111" i="6" a="1"/>
  <c r="B111" i="6" s="1"/>
  <c r="B114" i="6" a="1"/>
  <c r="B114" i="6" s="1"/>
  <c r="B305" i="6" a="1"/>
  <c r="B305" i="6" s="1"/>
  <c r="B72" i="6" a="1"/>
  <c r="B72" i="6" s="1"/>
  <c r="B4" i="6" a="1"/>
  <c r="B4" i="6" s="1"/>
  <c r="B200" i="6" a="1"/>
  <c r="B200" i="6" s="1"/>
  <c r="B150" i="6" a="1"/>
  <c r="B150" i="6" s="1"/>
  <c r="B35" i="6" a="1"/>
  <c r="B35" i="6" s="1"/>
  <c r="B170" i="6" a="1"/>
  <c r="B170" i="6" s="1"/>
  <c r="B80" i="6" a="1"/>
  <c r="B80" i="6" s="1"/>
  <c r="B104" i="6" a="1"/>
  <c r="B104" i="6" s="1"/>
  <c r="B44" i="6" a="1"/>
  <c r="B44" i="6" s="1"/>
  <c r="B20" i="6" a="1"/>
  <c r="B20" i="6" s="1"/>
  <c r="B55" i="6" a="1"/>
  <c r="B55" i="6" s="1"/>
  <c r="B873" i="6" a="1"/>
  <c r="B873" i="6" s="1"/>
  <c r="B891" i="6" a="1"/>
  <c r="B891" i="6" s="1"/>
  <c r="B884" i="6" a="1"/>
  <c r="B884" i="6" s="1"/>
  <c r="B174" i="6" a="1"/>
  <c r="B174" i="6" s="1"/>
  <c r="B284" i="6" a="1"/>
  <c r="B284" i="6" s="1"/>
  <c r="B71" i="6" a="1"/>
  <c r="B71" i="6" s="1"/>
  <c r="B207" i="6" a="1"/>
  <c r="B207" i="6" s="1"/>
  <c r="B297" i="6" a="1"/>
  <c r="B297" i="6" s="1"/>
  <c r="B59" i="6" a="1"/>
  <c r="B59" i="6" s="1"/>
  <c r="B138" i="6" a="1"/>
  <c r="B138" i="6" s="1"/>
  <c r="B100" i="6" a="1"/>
  <c r="B100" i="6" s="1"/>
  <c r="B222" i="6" a="1"/>
  <c r="B222" i="6" s="1"/>
  <c r="B233" i="6" a="1"/>
  <c r="B233" i="6" s="1"/>
  <c r="B175" i="6" a="1"/>
  <c r="B175" i="6" s="1"/>
  <c r="B238" i="6" a="1"/>
  <c r="B238" i="6" s="1"/>
  <c r="B96" i="6" a="1"/>
  <c r="B96" i="6" s="1"/>
  <c r="B271" i="6" a="1"/>
  <c r="B271" i="6" s="1"/>
  <c r="B18" i="6" a="1"/>
  <c r="B18" i="6" s="1"/>
  <c r="B164" i="6" a="1"/>
  <c r="B164" i="6" s="1"/>
  <c r="B43" i="6" a="1"/>
  <c r="B43" i="6" s="1"/>
  <c r="B267" i="6" a="1"/>
  <c r="B267" i="6" s="1"/>
  <c r="B53" i="6" a="1"/>
  <c r="B53" i="6" s="1"/>
  <c r="B39" i="6" a="1"/>
  <c r="B39" i="6" s="1"/>
  <c r="B667" i="6" a="1"/>
  <c r="B667" i="6" s="1"/>
  <c r="B588" i="6" a="1"/>
  <c r="B588" i="6" s="1"/>
  <c r="B429" i="6" a="1"/>
  <c r="B429" i="6" s="1"/>
  <c r="B830" i="6" a="1"/>
  <c r="B830" i="6" s="1"/>
  <c r="B771" i="6" a="1"/>
  <c r="B771" i="6" s="1"/>
  <c r="B434" i="6" a="1"/>
  <c r="B434" i="6" s="1"/>
  <c r="B413" i="6" a="1"/>
  <c r="B413" i="6" s="1"/>
  <c r="B653" i="6" a="1"/>
  <c r="B653" i="6" s="1"/>
  <c r="B614" i="6" a="1"/>
  <c r="B614" i="6" s="1"/>
  <c r="B335" i="6" a="1"/>
  <c r="B335" i="6" s="1"/>
  <c r="B866" i="6" a="1"/>
  <c r="B866" i="6" s="1"/>
  <c r="B245" i="6" a="1"/>
  <c r="B245" i="6" s="1"/>
  <c r="B26" i="6" a="1"/>
  <c r="B26" i="6" s="1"/>
  <c r="B248" i="6" a="1"/>
  <c r="B248" i="6" s="1"/>
  <c r="B27" i="6" a="1"/>
  <c r="B27" i="6" s="1"/>
  <c r="B369" i="6" a="1"/>
  <c r="B369" i="6" s="1"/>
  <c r="B370" i="6" a="1"/>
  <c r="B370" i="6" s="1"/>
  <c r="B608" i="6" a="1"/>
  <c r="B608" i="6" s="1"/>
  <c r="B609" i="6" a="1"/>
  <c r="B609" i="6" s="1"/>
  <c r="B849" i="6" a="1"/>
  <c r="B849" i="6" s="1"/>
  <c r="B850" i="6" a="1"/>
  <c r="B850" i="6" s="1"/>
  <c r="B471" i="6" a="1"/>
  <c r="B471" i="6" s="1"/>
  <c r="B452" i="6" a="1"/>
  <c r="B452" i="6" s="1"/>
  <c r="B693" i="6" a="1"/>
  <c r="B693" i="6" s="1"/>
  <c r="B672" i="6" a="1"/>
  <c r="B672" i="6" s="1"/>
  <c r="B154" i="6" a="1"/>
  <c r="B154" i="6" s="1"/>
  <c r="B355" i="6" a="1"/>
  <c r="B355" i="6" s="1"/>
  <c r="B599" i="6" a="1"/>
  <c r="B599" i="6" s="1"/>
  <c r="B556" i="6" a="1"/>
  <c r="B556" i="6" s="1"/>
  <c r="B796" i="6" a="1"/>
  <c r="B796" i="6" s="1"/>
  <c r="B136" i="6" a="1"/>
  <c r="B136" i="6" s="1"/>
  <c r="B264" i="6" a="1"/>
  <c r="B264" i="6" s="1"/>
  <c r="B193" i="6" a="1"/>
  <c r="B193" i="6" s="1"/>
  <c r="B187" i="6" a="1"/>
  <c r="B187" i="6" s="1"/>
  <c r="B188" i="6" a="1"/>
  <c r="B188" i="6" s="1"/>
  <c r="B548" i="6" a="1"/>
  <c r="B548" i="6" s="1"/>
  <c r="B549" i="6" a="1"/>
  <c r="B549" i="6" s="1"/>
  <c r="B793" i="6" a="1"/>
  <c r="B793" i="6" s="1"/>
  <c r="B794" i="6" a="1"/>
  <c r="B794" i="6" s="1"/>
  <c r="B411" i="6" a="1"/>
  <c r="B411" i="6" s="1"/>
  <c r="B392" i="6" a="1"/>
  <c r="B392" i="6" s="1"/>
  <c r="B633" i="6" a="1"/>
  <c r="B633" i="6" s="1"/>
  <c r="B613" i="6" a="1"/>
  <c r="B613" i="6" s="1"/>
  <c r="B853" i="6" a="1"/>
  <c r="B853" i="6" s="1"/>
  <c r="B842" i="6" a="1"/>
  <c r="B842" i="6" s="1"/>
  <c r="B535" i="6" a="1"/>
  <c r="B535" i="6" s="1"/>
  <c r="B501" i="6" a="1"/>
  <c r="B501" i="6" s="1"/>
  <c r="B736" i="6" a="1"/>
  <c r="B736" i="6" s="1"/>
  <c r="B333" i="6" a="1"/>
  <c r="B333" i="6" s="1"/>
  <c r="B137" i="6" a="1"/>
  <c r="B137" i="6" s="1"/>
  <c r="B76" i="6" a="1"/>
  <c r="B76" i="6" s="1"/>
  <c r="B58" i="6" a="1"/>
  <c r="B58" i="6" s="1"/>
  <c r="B407" i="6" a="1"/>
  <c r="B407" i="6" s="1"/>
  <c r="B647" i="6" a="1"/>
  <c r="B647" i="6" s="1"/>
  <c r="B648" i="6" a="1"/>
  <c r="B648" i="6" s="1"/>
  <c r="B428" i="6" a="1"/>
  <c r="B428" i="6" s="1"/>
  <c r="B668" i="6" a="1"/>
  <c r="B668" i="6" s="1"/>
  <c r="B669" i="6" a="1"/>
  <c r="B669" i="6" s="1"/>
  <c r="B350" i="6" a="1"/>
  <c r="B350" i="6" s="1"/>
  <c r="B863" i="6" a="1"/>
  <c r="B863" i="6" s="1"/>
  <c r="B531" i="6" a="1"/>
  <c r="B531" i="6" s="1"/>
  <c r="B512" i="6" a="1"/>
  <c r="B512" i="6" s="1"/>
  <c r="B753" i="6" a="1"/>
  <c r="B753" i="6" s="1"/>
  <c r="B733" i="6" a="1"/>
  <c r="B733" i="6" s="1"/>
  <c r="B374" i="6" a="1"/>
  <c r="B374" i="6" s="1"/>
  <c r="B415" i="6" a="1"/>
  <c r="B415" i="6" s="1"/>
  <c r="B655" i="6" a="1"/>
  <c r="B655" i="6" s="1"/>
  <c r="B131" i="6" a="1"/>
  <c r="B131" i="6" s="1"/>
  <c r="B208" i="6" a="1"/>
  <c r="B208" i="6" s="1"/>
  <c r="B144" i="6" a="1"/>
  <c r="B144" i="6" s="1"/>
  <c r="B317" i="6" a="1"/>
  <c r="B317" i="6" s="1"/>
  <c r="B447" i="6" a="1"/>
  <c r="B447" i="6" s="1"/>
  <c r="B687" i="6" a="1"/>
  <c r="B687" i="6" s="1"/>
  <c r="B688" i="6" a="1"/>
  <c r="B688" i="6" s="1"/>
  <c r="B371" i="6" a="1"/>
  <c r="B371" i="6" s="1"/>
  <c r="B362" i="6" a="1"/>
  <c r="B362" i="6" s="1"/>
  <c r="B610" i="6" a="1"/>
  <c r="B610" i="6" s="1"/>
  <c r="B551" i="6" a="1"/>
  <c r="B551" i="6" s="1"/>
  <c r="B789" i="6" a="1"/>
  <c r="B789" i="6" s="1"/>
  <c r="B772" i="6" a="1"/>
  <c r="B772" i="6" s="1"/>
  <c r="B430" i="6" a="1"/>
  <c r="B430" i="6" s="1"/>
  <c r="B394" i="6" a="1"/>
  <c r="B394" i="6" s="1"/>
  <c r="B635" i="6" a="1"/>
  <c r="B635" i="6" s="1"/>
  <c r="B675" i="6" a="1"/>
  <c r="B675" i="6" s="1"/>
  <c r="B196" i="6" a="1"/>
  <c r="B196" i="6" s="1"/>
  <c r="B226" i="6" a="1"/>
  <c r="B226" i="6" s="1"/>
  <c r="B322" i="6" a="1"/>
  <c r="B322" i="6" s="1"/>
  <c r="B209" i="6" a="1"/>
  <c r="B209" i="6" s="1"/>
  <c r="B79" i="6" a="1"/>
  <c r="B79" i="6" s="1"/>
  <c r="B387" i="6" a="1"/>
  <c r="B387" i="6" s="1"/>
  <c r="B627" i="6" a="1"/>
  <c r="B627" i="6" s="1"/>
  <c r="B628" i="6" a="1"/>
  <c r="B628" i="6" s="1"/>
  <c r="B49" i="6" a="1"/>
  <c r="B49" i="6" s="1"/>
  <c r="B23" i="6" a="1"/>
  <c r="B23" i="6" s="1"/>
  <c r="B550" i="6" a="1"/>
  <c r="B550" i="6" s="1"/>
  <c r="B484" i="6" a="1"/>
  <c r="B484" i="6" s="1"/>
  <c r="B731" i="6" a="1"/>
  <c r="B731" i="6" s="1"/>
  <c r="B713" i="6" a="1"/>
  <c r="B713" i="6" s="1"/>
  <c r="B373" i="6" a="1"/>
  <c r="B373" i="6" s="1"/>
  <c r="B334" i="6" a="1"/>
  <c r="B334" i="6" s="1"/>
  <c r="B576" i="6" a="1"/>
  <c r="B576" i="6" s="1"/>
  <c r="B615" i="6" a="1"/>
  <c r="B615" i="6" s="1"/>
  <c r="B859" i="6" a="1"/>
  <c r="B859" i="6" s="1"/>
  <c r="B817" i="6" a="1"/>
  <c r="B817" i="6" s="1"/>
  <c r="B458" i="6" a="1"/>
  <c r="B458" i="6" s="1"/>
  <c r="B236" i="6" a="1"/>
  <c r="B236" i="6" s="1"/>
  <c r="B227" i="6" a="1"/>
  <c r="B227" i="6" s="1"/>
  <c r="B311" i="6" a="1"/>
  <c r="B311" i="6" s="1"/>
  <c r="B199" i="6" a="1"/>
  <c r="B199" i="6" s="1"/>
  <c r="B727" i="6" a="1"/>
  <c r="B727" i="6" s="1"/>
  <c r="B408" i="6" a="1"/>
  <c r="B408" i="6" s="1"/>
  <c r="B2" i="6" a="1"/>
  <c r="B2" i="6" s="1"/>
  <c r="B832" i="6" a="1"/>
  <c r="B832" i="6" s="1"/>
  <c r="B493" i="6" a="1"/>
  <c r="B493" i="6" s="1"/>
  <c r="B454" i="6" a="1"/>
  <c r="B454" i="6" s="1"/>
  <c r="B692" i="6" a="1"/>
  <c r="B692" i="6" s="1"/>
  <c r="B735" i="6" a="1"/>
  <c r="B735" i="6" s="1"/>
  <c r="B376" i="6" a="1"/>
  <c r="B376" i="6" s="1"/>
  <c r="B288" i="6" a="1"/>
  <c r="B288" i="6" s="1"/>
  <c r="B92" i="6" a="1"/>
  <c r="B92" i="6" s="1"/>
  <c r="B283" i="6" a="1"/>
  <c r="B283" i="6" s="1"/>
  <c r="B214" i="6" a="1"/>
  <c r="B214" i="6" s="1"/>
  <c r="B761" i="6" a="1"/>
  <c r="B761" i="6" s="1"/>
  <c r="B448" i="6" a="1"/>
  <c r="B448" i="6" s="1"/>
  <c r="B449" i="6" a="1"/>
  <c r="B449" i="6" s="1"/>
  <c r="B689" i="6" a="1"/>
  <c r="B689" i="6" s="1"/>
  <c r="B690" i="6" a="1"/>
  <c r="B690" i="6" s="1"/>
  <c r="B269" i="6" a="1"/>
  <c r="B269" i="6" s="1"/>
  <c r="B814" i="6" a="1"/>
  <c r="B814" i="6" s="1"/>
  <c r="B532" i="6" a="1"/>
  <c r="B532" i="6" s="1"/>
  <c r="B517" i="6" a="1"/>
  <c r="B517" i="6" s="1"/>
  <c r="B748" i="6" a="1"/>
  <c r="B748" i="6" s="1"/>
  <c r="B714" i="6" a="1"/>
  <c r="B714" i="6" s="1"/>
  <c r="B435" i="6" a="1"/>
  <c r="B435" i="6" s="1"/>
  <c r="B398" i="6" a="1"/>
  <c r="B398" i="6" s="1"/>
  <c r="B637" i="6" a="1"/>
  <c r="B637" i="6" s="1"/>
  <c r="B47" i="6" a="1"/>
  <c r="B47" i="6" s="1"/>
  <c r="B243" i="6" a="1"/>
  <c r="B243" i="6" s="1"/>
  <c r="B129" i="6" a="1"/>
  <c r="B129" i="6" s="1"/>
  <c r="B110" i="6" a="1"/>
  <c r="B110" i="6" s="1"/>
  <c r="B711" i="6" a="1"/>
  <c r="B711" i="6" s="1"/>
  <c r="B388" i="6" a="1"/>
  <c r="B388" i="6" s="1"/>
  <c r="B389" i="6" a="1"/>
  <c r="B389" i="6" s="1"/>
  <c r="B629" i="6" a="1"/>
  <c r="B629" i="6" s="1"/>
  <c r="B631" i="6" a="1"/>
  <c r="B631" i="6" s="1"/>
  <c r="B851" i="6" a="1"/>
  <c r="B851" i="6" s="1"/>
  <c r="B809" i="6" a="1"/>
  <c r="B809" i="6" s="1"/>
  <c r="B472" i="6" a="1"/>
  <c r="B472" i="6" s="1"/>
  <c r="B453" i="6" a="1"/>
  <c r="B453" i="6" s="1"/>
  <c r="B694" i="6" a="1"/>
  <c r="B694" i="6" s="1"/>
  <c r="B654" i="6" a="1"/>
  <c r="B654" i="6" s="1"/>
  <c r="B375" i="6" a="1"/>
  <c r="B375" i="6" s="1"/>
  <c r="B336" i="6" a="1"/>
  <c r="B336" i="6" s="1"/>
  <c r="B578" i="6" a="1"/>
  <c r="B578" i="6" s="1"/>
  <c r="B537" i="6" a="1"/>
  <c r="B537" i="6" s="1"/>
  <c r="B276" i="6" a="1"/>
  <c r="B276" i="6" s="1"/>
  <c r="B286" i="6" a="1"/>
  <c r="B286" i="6" s="1"/>
  <c r="B89" i="6" a="1"/>
  <c r="B89" i="6" s="1"/>
  <c r="B108" i="6" a="1"/>
  <c r="B108" i="6" s="1"/>
  <c r="B489" i="6" a="1"/>
  <c r="B489" i="6" s="1"/>
  <c r="B490" i="6" a="1"/>
  <c r="B490" i="6" s="1"/>
  <c r="B827" i="6" a="1"/>
  <c r="B827" i="6" s="1"/>
  <c r="B508" i="6" a="1"/>
  <c r="B508" i="6" s="1"/>
  <c r="B509" i="6" a="1"/>
  <c r="B509" i="6" s="1"/>
  <c r="B750" i="6" a="1"/>
  <c r="B750" i="6" s="1"/>
  <c r="B751" i="6" a="1"/>
  <c r="B751" i="6" s="1"/>
  <c r="B363" i="6" a="1"/>
  <c r="B363" i="6" s="1"/>
  <c r="B352" i="6" a="1"/>
  <c r="B352" i="6" s="1"/>
  <c r="B594" i="6" a="1"/>
  <c r="B594" i="6" s="1"/>
  <c r="B573" i="6" a="1"/>
  <c r="B573" i="6" s="1"/>
  <c r="B813" i="6" a="1"/>
  <c r="B813" i="6" s="1"/>
  <c r="B774" i="6" a="1"/>
  <c r="B774" i="6" s="1"/>
  <c r="B495" i="6" a="1"/>
  <c r="B495" i="6" s="1"/>
  <c r="B456" i="6" a="1"/>
  <c r="B456" i="6" s="1"/>
  <c r="B64" i="6" a="1"/>
  <c r="B64" i="6" s="1"/>
  <c r="B246" i="6" a="1"/>
  <c r="B246" i="6" s="1"/>
  <c r="B263" i="6" a="1"/>
  <c r="B263" i="6" s="1"/>
  <c r="B107" i="6" a="1"/>
  <c r="B107" i="6" s="1"/>
  <c r="B527" i="6" a="1"/>
  <c r="B527" i="6" s="1"/>
  <c r="B528" i="6" a="1"/>
  <c r="B528" i="6" s="1"/>
  <c r="B768" i="6" a="1"/>
  <c r="B768" i="6" s="1"/>
  <c r="B769" i="6" a="1"/>
  <c r="B769" i="6" s="1"/>
  <c r="B450" i="6" a="1"/>
  <c r="B450" i="6" s="1"/>
  <c r="B391" i="6" a="1"/>
  <c r="B391" i="6" s="1"/>
  <c r="B632" i="6" a="1"/>
  <c r="B632" i="6" s="1"/>
  <c r="B612" i="6" a="1"/>
  <c r="B612" i="6" s="1"/>
  <c r="B852" i="6" a="1"/>
  <c r="B852" i="6" s="1"/>
  <c r="B833" i="6" a="1"/>
  <c r="B833" i="6" s="1"/>
  <c r="B476" i="6" a="1"/>
  <c r="B476" i="6" s="1"/>
  <c r="B513" i="6" a="1"/>
  <c r="B513" i="6" s="1"/>
  <c r="B755" i="6" a="1"/>
  <c r="B755" i="6" s="1"/>
  <c r="B716" i="6" a="1"/>
  <c r="B716" i="6" s="1"/>
  <c r="B77" i="6" a="1"/>
  <c r="B77" i="6" s="1"/>
  <c r="B171" i="6" a="1"/>
  <c r="B171" i="6" s="1"/>
  <c r="B235" i="6" a="1"/>
  <c r="B235" i="6" s="1"/>
  <c r="B302" i="6" a="1"/>
  <c r="B302" i="6" s="1"/>
  <c r="B467" i="6" a="1"/>
  <c r="B467" i="6" s="1"/>
  <c r="B468" i="6" a="1"/>
  <c r="B468" i="6" s="1"/>
  <c r="B712" i="6" a="1"/>
  <c r="B712" i="6" s="1"/>
  <c r="B707" i="6" a="1"/>
  <c r="B707" i="6" s="1"/>
  <c r="B390" i="6" a="1"/>
  <c r="B390" i="6" s="1"/>
  <c r="B331" i="6" a="1"/>
  <c r="B331" i="6" s="1"/>
  <c r="B571" i="6" a="1"/>
  <c r="B571" i="6" s="1"/>
  <c r="B552" i="6" a="1"/>
  <c r="B552" i="6" s="1"/>
  <c r="B790" i="6" a="1"/>
  <c r="B790" i="6" s="1"/>
  <c r="B773" i="6" a="1"/>
  <c r="B773" i="6" s="1"/>
  <c r="B414" i="6" a="1"/>
  <c r="B414" i="6" s="1"/>
  <c r="B455" i="6" a="1"/>
  <c r="B455" i="6" s="1"/>
  <c r="B695" i="6" a="1"/>
  <c r="B695" i="6" s="1"/>
  <c r="B660" i="6" a="1"/>
  <c r="B660" i="6" s="1"/>
  <c r="B157" i="6" a="1"/>
  <c r="B157" i="6" s="1"/>
  <c r="B38" i="6" a="1"/>
  <c r="B38" i="6" s="1"/>
  <c r="B261" i="6" a="1"/>
  <c r="B261" i="6" s="1"/>
  <c r="B75" i="6" a="1"/>
  <c r="B75" i="6" s="1"/>
  <c r="B78" i="6" a="1"/>
  <c r="B78" i="6" s="1"/>
  <c r="B567" i="6" a="1"/>
  <c r="B567" i="6" s="1"/>
  <c r="B806" i="6" a="1"/>
  <c r="B806" i="6" s="1"/>
  <c r="B861" i="6" a="1"/>
  <c r="B861" i="6" s="1"/>
  <c r="B534" i="6" a="1"/>
  <c r="B534" i="6" s="1"/>
  <c r="B577" i="6" a="1"/>
  <c r="B577" i="6" s="1"/>
  <c r="B815" i="6" a="1"/>
  <c r="B815" i="6" s="1"/>
  <c r="B6" i="6" a="1"/>
  <c r="B6" i="6" s="1"/>
  <c r="B303" i="6" a="1"/>
  <c r="B303" i="6" s="1"/>
  <c r="B228" i="6" a="1"/>
  <c r="B228" i="6" s="1"/>
  <c r="B190" i="6" a="1"/>
  <c r="B190" i="6" s="1"/>
  <c r="B607" i="6" a="1"/>
  <c r="B607" i="6" s="1"/>
  <c r="B846" i="6" a="1"/>
  <c r="B846" i="6" s="1"/>
  <c r="B847" i="6" a="1"/>
  <c r="B847" i="6" s="1"/>
  <c r="B529" i="6" a="1"/>
  <c r="B529" i="6" s="1"/>
  <c r="B530" i="6" a="1"/>
  <c r="B530" i="6" s="1"/>
  <c r="B770" i="6" a="1"/>
  <c r="B770" i="6" s="1"/>
  <c r="B709" i="6" a="1"/>
  <c r="B709" i="6" s="1"/>
  <c r="B372" i="6" a="1"/>
  <c r="B372" i="6" s="1"/>
  <c r="B353" i="6" a="1"/>
  <c r="B353" i="6" s="1"/>
  <c r="B590" i="6" a="1"/>
  <c r="B590" i="6" s="1"/>
  <c r="B554" i="6" a="1"/>
  <c r="B554" i="6" s="1"/>
  <c r="B792" i="6" a="1"/>
  <c r="B792" i="6" s="1"/>
  <c r="B834" i="6" a="1"/>
  <c r="B834" i="6" s="1"/>
  <c r="B474" i="6" a="1"/>
  <c r="B474" i="6" s="1"/>
  <c r="B166" i="6" a="1"/>
  <c r="B166" i="6" s="1"/>
  <c r="B198" i="6" a="1"/>
  <c r="B198" i="6" s="1"/>
  <c r="B237" i="6" a="1"/>
  <c r="B237" i="6" s="1"/>
  <c r="B225" i="6" a="1"/>
  <c r="B225" i="6" s="1"/>
  <c r="B547" i="6" a="1"/>
  <c r="B547" i="6" s="1"/>
  <c r="B787" i="6" a="1"/>
  <c r="B787" i="6" s="1"/>
  <c r="B788" i="6" a="1"/>
  <c r="B788" i="6" s="1"/>
  <c r="B469" i="6" a="1"/>
  <c r="B469" i="6" s="1"/>
  <c r="B470" i="6" a="1"/>
  <c r="B470" i="6" s="1"/>
  <c r="B708" i="6" a="1"/>
  <c r="B708" i="6" s="1"/>
  <c r="B651" i="6" a="1"/>
  <c r="B651" i="6" s="1"/>
  <c r="B858" i="6" a="1"/>
  <c r="B858" i="6" s="1"/>
  <c r="B854" i="6" a="1"/>
  <c r="B854" i="6" s="1"/>
  <c r="B533" i="6" a="1"/>
  <c r="B533" i="6" s="1"/>
  <c r="B494" i="6" a="1"/>
  <c r="B494" i="6" s="1"/>
  <c r="B734" i="6" a="1"/>
  <c r="B734" i="6" s="1"/>
  <c r="B775" i="6" a="1"/>
  <c r="B775" i="6" s="1"/>
  <c r="B416" i="6" a="1"/>
  <c r="B416" i="6" s="1"/>
  <c r="B377" i="6" a="1"/>
  <c r="B377" i="6" s="1"/>
  <c r="B617" i="6" a="1"/>
  <c r="B617" i="6" s="1"/>
  <c r="B73" i="6" a="1"/>
  <c r="B73" i="6" s="1"/>
  <c r="B87" i="6" a="1"/>
  <c r="B87" i="6" s="1"/>
  <c r="B277" i="6" a="1"/>
  <c r="B277" i="6" s="1"/>
  <c r="B327" i="6" a="1"/>
  <c r="B327" i="6" s="1"/>
  <c r="B328" i="6" a="1"/>
  <c r="B328" i="6" s="1"/>
  <c r="B568" i="6" a="1"/>
  <c r="B568" i="6" s="1"/>
  <c r="B491" i="6" a="1"/>
  <c r="B491" i="6" s="1"/>
  <c r="B330" i="6" a="1"/>
  <c r="B330" i="6" s="1"/>
  <c r="B570" i="6" a="1"/>
  <c r="B570" i="6" s="1"/>
  <c r="B351" i="6" a="1"/>
  <c r="B351" i="6" s="1"/>
  <c r="B593" i="6" a="1"/>
  <c r="B593" i="6" s="1"/>
  <c r="B412" i="6" a="1"/>
  <c r="B412" i="6" s="1"/>
  <c r="B652" i="6" a="1"/>
  <c r="B652" i="6" s="1"/>
  <c r="B475" i="6" a="1"/>
  <c r="B475" i="6" s="1"/>
  <c r="B710" i="6" a="1"/>
  <c r="B710" i="6" s="1"/>
  <c r="B518" i="6" a="1"/>
  <c r="B518" i="6" s="1"/>
  <c r="B5" i="6" a="1"/>
  <c r="B5" i="6" s="1"/>
  <c r="B728" i="6" a="1"/>
  <c r="B728" i="6" s="1"/>
  <c r="B329" i="6" a="1"/>
  <c r="B329" i="6" s="1"/>
  <c r="B729" i="6" a="1"/>
  <c r="B729" i="6" s="1"/>
  <c r="B410" i="6" a="1"/>
  <c r="B410" i="6" s="1"/>
  <c r="B808" i="6" a="1"/>
  <c r="B808" i="6" s="1"/>
  <c r="B433" i="6" a="1"/>
  <c r="B433" i="6" s="1"/>
  <c r="B831" i="6" a="1"/>
  <c r="B831" i="6" s="1"/>
  <c r="B492" i="6" a="1"/>
  <c r="B492" i="6" s="1"/>
  <c r="B865" i="6" a="1"/>
  <c r="B865" i="6" s="1"/>
  <c r="B553" i="6" a="1"/>
  <c r="B553" i="6" s="1"/>
  <c r="B354" i="6" a="1"/>
  <c r="B354" i="6" s="1"/>
  <c r="B638" i="6" a="1"/>
  <c r="B638" i="6" s="1"/>
  <c r="B569" i="6" a="1"/>
  <c r="B569" i="6" s="1"/>
  <c r="B811" i="6" a="1"/>
  <c r="B811" i="6" s="1"/>
  <c r="B650" i="6" a="1"/>
  <c r="B650" i="6" s="1"/>
  <c r="B843" i="6" a="1"/>
  <c r="B843" i="6" s="1"/>
  <c r="B673" i="6" a="1"/>
  <c r="B673" i="6" s="1"/>
  <c r="B152" i="6" a="1"/>
  <c r="B152" i="6" s="1"/>
  <c r="B732" i="6" a="1"/>
  <c r="B732" i="6" s="1"/>
  <c r="B393" i="6" a="1"/>
  <c r="B393" i="6" s="1"/>
  <c r="B791" i="6" a="1"/>
  <c r="B791" i="6" s="1"/>
  <c r="B431" i="6" a="1"/>
  <c r="B431" i="6" s="1"/>
  <c r="B674" i="6" a="1"/>
  <c r="B674" i="6" s="1"/>
  <c r="B715" i="6" a="1"/>
  <c r="B715" i="6" s="1"/>
  <c r="B807" i="6" a="1"/>
  <c r="B807" i="6" s="1"/>
  <c r="B409" i="6" a="1"/>
  <c r="B409" i="6" s="1"/>
  <c r="B649" i="6" a="1"/>
  <c r="B649" i="6" s="1"/>
  <c r="B483" i="6" a="1"/>
  <c r="B483" i="6" s="1"/>
  <c r="B730" i="6" a="1"/>
  <c r="B730" i="6" s="1"/>
  <c r="B511" i="6" a="1"/>
  <c r="B511" i="6" s="1"/>
  <c r="B752" i="6" a="1"/>
  <c r="B752" i="6" s="1"/>
  <c r="B572" i="6" a="1"/>
  <c r="B572" i="6" s="1"/>
  <c r="B812" i="6" a="1"/>
  <c r="B812" i="6" s="1"/>
  <c r="B634" i="6" a="1"/>
  <c r="B634" i="6" s="1"/>
  <c r="B836" i="6" a="1"/>
  <c r="B836" i="6" s="1"/>
  <c r="B356" i="6" a="1"/>
  <c r="B356" i="6" s="1"/>
  <c r="B358" i="6" a="1"/>
  <c r="B358" i="6" s="1"/>
  <c r="B161" i="6" a="1"/>
  <c r="B161" i="6" s="1"/>
  <c r="B596" i="6" a="1"/>
  <c r="B596" i="6" s="1"/>
  <c r="B582" i="6" a="1"/>
  <c r="B582" i="6" s="1"/>
  <c r="B361" i="6" a="1"/>
  <c r="B361" i="6" s="1"/>
  <c r="B342" i="6" a="1"/>
  <c r="B342" i="6" s="1"/>
  <c r="B642" i="6" a="1"/>
  <c r="B642" i="6" s="1"/>
  <c r="B585" i="6" a="1"/>
  <c r="B585" i="6" s="1"/>
  <c r="B344" i="6" a="1"/>
  <c r="B344" i="6" s="1"/>
  <c r="B848" i="6" a="1"/>
  <c r="B848" i="6" s="1"/>
  <c r="B625" i="6" a="1"/>
  <c r="B625" i="6" s="1"/>
  <c r="B580" i="6" a="1"/>
  <c r="B580" i="6" s="1"/>
  <c r="B676" i="6" a="1"/>
  <c r="B676" i="6" s="1"/>
  <c r="B757" i="6" a="1"/>
  <c r="B757" i="6" s="1"/>
  <c r="B478" i="6" a="1"/>
  <c r="B478" i="6" s="1"/>
  <c r="B419" i="6" a="1"/>
  <c r="B419" i="6" s="1"/>
  <c r="B719" i="6" a="1"/>
  <c r="B719" i="6" s="1"/>
  <c r="B700" i="6" a="1"/>
  <c r="B700" i="6" s="1"/>
  <c r="B481" i="6" a="1"/>
  <c r="B481" i="6" s="1"/>
  <c r="B462" i="6" a="1"/>
  <c r="B462" i="6" s="1"/>
  <c r="B764" i="6" a="1"/>
  <c r="B764" i="6" s="1"/>
  <c r="B704" i="6" a="1"/>
  <c r="B704" i="6" s="1"/>
  <c r="B464" i="6" a="1"/>
  <c r="B464" i="6" s="1"/>
  <c r="B445" i="6" a="1"/>
  <c r="B445" i="6" s="1"/>
  <c r="B745" i="6" a="1"/>
  <c r="B745" i="6" s="1"/>
  <c r="B703" i="6" a="1"/>
  <c r="B703" i="6" s="1"/>
  <c r="B786" i="6" a="1"/>
  <c r="B786" i="6" s="1"/>
  <c r="B557" i="6" a="1"/>
  <c r="B557" i="6" s="1"/>
  <c r="B178" i="6" a="1"/>
  <c r="B178" i="6" s="1"/>
  <c r="B803" i="6" a="1"/>
  <c r="B803" i="6" s="1"/>
  <c r="B539" i="6" a="1"/>
  <c r="B539" i="6" s="1"/>
  <c r="B520" i="6" a="1"/>
  <c r="B520" i="6" s="1"/>
  <c r="B820" i="6" a="1"/>
  <c r="B820" i="6" s="1"/>
  <c r="B805" i="6" a="1"/>
  <c r="B805" i="6" s="1"/>
  <c r="B584" i="6" a="1"/>
  <c r="B584" i="6" s="1"/>
  <c r="B523" i="6" a="1"/>
  <c r="B523" i="6" s="1"/>
  <c r="B823" i="6" a="1"/>
  <c r="B823" i="6" s="1"/>
  <c r="B586" i="6" a="1"/>
  <c r="B586" i="6" s="1"/>
  <c r="B186" i="6" a="1"/>
  <c r="B186" i="6" s="1"/>
  <c r="B555" i="6" a="1"/>
  <c r="B555" i="6" s="1"/>
  <c r="B795" i="6" a="1"/>
  <c r="B795" i="6" s="1"/>
  <c r="B357" i="6" a="1"/>
  <c r="B357" i="6" s="1"/>
  <c r="B737" i="6" a="1"/>
  <c r="B737" i="6" s="1"/>
  <c r="B657" i="6" a="1"/>
  <c r="B657" i="6" s="1"/>
  <c r="B401" i="6" a="1"/>
  <c r="B401" i="6" s="1"/>
  <c r="B380" i="6" a="1"/>
  <c r="B380" i="6" s="1"/>
  <c r="B680" i="6" a="1"/>
  <c r="B680" i="6" s="1"/>
  <c r="B661" i="6" a="1"/>
  <c r="B661" i="6" s="1"/>
  <c r="B442" i="6" a="1"/>
  <c r="B442" i="6" s="1"/>
  <c r="B383" i="6" a="1"/>
  <c r="B383" i="6" s="1"/>
  <c r="B683" i="6" a="1"/>
  <c r="B683" i="6" s="1"/>
  <c r="B644" i="6" a="1"/>
  <c r="B644" i="6" s="1"/>
  <c r="B425" i="6" a="1"/>
  <c r="B425" i="6" s="1"/>
  <c r="B386" i="6" a="1"/>
  <c r="B386" i="6" s="1"/>
  <c r="B686" i="6" a="1"/>
  <c r="B686" i="6" s="1"/>
  <c r="B515" i="6" a="1"/>
  <c r="B515" i="6" s="1"/>
  <c r="B158" i="6" a="1"/>
  <c r="B158" i="6" s="1"/>
  <c r="B778" i="6" a="1"/>
  <c r="B778" i="6" s="1"/>
  <c r="B519" i="6" a="1"/>
  <c r="B519" i="6" s="1"/>
  <c r="B498" i="6" a="1"/>
  <c r="B498" i="6" s="1"/>
  <c r="B798" i="6" a="1"/>
  <c r="B798" i="6" s="1"/>
  <c r="B781" i="6" a="1"/>
  <c r="B781" i="6" s="1"/>
  <c r="B562" i="6" a="1"/>
  <c r="B562" i="6" s="1"/>
  <c r="B503" i="6" a="1"/>
  <c r="B503" i="6" s="1"/>
  <c r="B800" i="6" a="1"/>
  <c r="B800" i="6" s="1"/>
  <c r="B766" i="6" a="1"/>
  <c r="B766" i="6" s="1"/>
  <c r="B545" i="6" a="1"/>
  <c r="B545" i="6" s="1"/>
  <c r="B506" i="6" a="1"/>
  <c r="B506" i="6" s="1"/>
  <c r="B810" i="6" a="1"/>
  <c r="B810" i="6" s="1"/>
  <c r="B857" i="6" a="1"/>
  <c r="B857" i="6" s="1"/>
  <c r="B677" i="6" a="1"/>
  <c r="B677" i="6" s="1"/>
  <c r="B595" i="6" a="1"/>
  <c r="B595" i="6" s="1"/>
  <c r="B339" i="6" a="1"/>
  <c r="B339" i="6" s="1"/>
  <c r="B837" i="6" a="1"/>
  <c r="B837" i="6" s="1"/>
  <c r="B620" i="6" a="1"/>
  <c r="B620" i="6" s="1"/>
  <c r="B598" i="6" a="1"/>
  <c r="B598" i="6" s="1"/>
  <c r="B382" i="6" a="1"/>
  <c r="B382" i="6" s="1"/>
  <c r="B183" i="6" a="1"/>
  <c r="B183" i="6" s="1"/>
  <c r="B621" i="6" a="1"/>
  <c r="B621" i="6" s="1"/>
  <c r="B565" i="6" a="1"/>
  <c r="B565" i="6" s="1"/>
  <c r="B591" i="6" a="1"/>
  <c r="B591" i="6" s="1"/>
  <c r="B754" i="6" a="1"/>
  <c r="B754" i="6" s="1"/>
  <c r="B395" i="6" a="1"/>
  <c r="B395" i="6" s="1"/>
  <c r="B636" i="6" a="1"/>
  <c r="B636" i="6" s="1"/>
  <c r="B616" i="6" a="1"/>
  <c r="B616" i="6" s="1"/>
  <c r="B502" i="6" a="1"/>
  <c r="B502" i="6" s="1"/>
  <c r="B459" i="6" a="1"/>
  <c r="B459" i="6" s="1"/>
  <c r="B758" i="6" a="1"/>
  <c r="B758" i="6" s="1"/>
  <c r="B699" i="6" a="1"/>
  <c r="B699" i="6" s="1"/>
  <c r="B480" i="6" a="1"/>
  <c r="B480" i="6" s="1"/>
  <c r="B461" i="6" a="1"/>
  <c r="B461" i="6" s="1"/>
  <c r="B763" i="6" a="1"/>
  <c r="B763" i="6" s="1"/>
  <c r="B742" i="6" a="1"/>
  <c r="B742" i="6" s="1"/>
  <c r="B485" i="6" a="1"/>
  <c r="B485" i="6" s="1"/>
  <c r="B444" i="6" a="1"/>
  <c r="B444" i="6" s="1"/>
  <c r="B744" i="6" a="1"/>
  <c r="B744" i="6" s="1"/>
  <c r="B725" i="6" a="1"/>
  <c r="B725" i="6" s="1"/>
  <c r="B488" i="6" a="1"/>
  <c r="B488" i="6" s="1"/>
  <c r="B855" i="6" a="1"/>
  <c r="B855" i="6" s="1"/>
  <c r="B656" i="6" a="1"/>
  <c r="B656" i="6" s="1"/>
  <c r="B574" i="6" a="1"/>
  <c r="B574" i="6" s="1"/>
  <c r="B259" i="6" a="1"/>
  <c r="B259" i="6" s="1"/>
  <c r="B819" i="6" a="1"/>
  <c r="B819" i="6" s="1"/>
  <c r="B597" i="6" a="1"/>
  <c r="B597" i="6" s="1"/>
  <c r="B583" i="6" a="1"/>
  <c r="B583" i="6" s="1"/>
  <c r="B364" i="6" a="1"/>
  <c r="B364" i="6" s="1"/>
  <c r="B860" i="6" a="1"/>
  <c r="B860" i="6" s="1"/>
  <c r="B603" i="6" a="1"/>
  <c r="B603" i="6" s="1"/>
  <c r="B564" i="6" a="1"/>
  <c r="B564" i="6" s="1"/>
  <c r="B345" i="6" a="1"/>
  <c r="B345" i="6" s="1"/>
  <c r="B844" i="6" a="1"/>
  <c r="B844" i="6" s="1"/>
  <c r="B606" i="6" a="1"/>
  <c r="B606" i="6" s="1"/>
  <c r="B514" i="6" a="1"/>
  <c r="B514" i="6" s="1"/>
  <c r="B417" i="6" a="1"/>
  <c r="B417" i="6" s="1"/>
  <c r="B400" i="6" a="1"/>
  <c r="B400" i="6" s="1"/>
  <c r="B698" i="6" a="1"/>
  <c r="B698" i="6" s="1"/>
  <c r="B641" i="6" a="1"/>
  <c r="B641" i="6" s="1"/>
  <c r="B420" i="6" a="1"/>
  <c r="B420" i="6" s="1"/>
  <c r="B396" i="6" a="1"/>
  <c r="B396" i="6" s="1"/>
  <c r="B701" i="6" a="1"/>
  <c r="B701" i="6" s="1"/>
  <c r="B682" i="6" a="1"/>
  <c r="B682" i="6" s="1"/>
  <c r="B423" i="6" a="1"/>
  <c r="B423" i="6" s="1"/>
  <c r="B384" i="6" a="1"/>
  <c r="B384" i="6" s="1"/>
  <c r="B783" i="6" a="1"/>
  <c r="B783" i="6" s="1"/>
  <c r="B665" i="6" a="1"/>
  <c r="B665" i="6" s="1"/>
  <c r="B473" i="6" a="1"/>
  <c r="B473" i="6" s="1"/>
  <c r="B856" i="6" a="1"/>
  <c r="B856" i="6" s="1"/>
  <c r="B835" i="6" a="1"/>
  <c r="B835" i="6" s="1"/>
  <c r="B864" i="6" a="1"/>
  <c r="B864" i="6" s="1"/>
  <c r="B558" i="6" a="1"/>
  <c r="B558" i="6" s="1"/>
  <c r="B497" i="6" a="1"/>
  <c r="B497" i="6" s="1"/>
  <c r="B804" i="6" a="1"/>
  <c r="B804" i="6" s="1"/>
  <c r="B780" i="6" a="1"/>
  <c r="B780" i="6" s="1"/>
  <c r="B561" i="6" a="1"/>
  <c r="B561" i="6" s="1"/>
  <c r="B542" i="6" a="1"/>
  <c r="B542" i="6" s="1"/>
  <c r="B840" i="6" a="1"/>
  <c r="B840" i="6" s="1"/>
  <c r="B785" i="6" a="1"/>
  <c r="B785" i="6" s="1"/>
  <c r="B544" i="6" a="1"/>
  <c r="B544" i="6" s="1"/>
  <c r="B525" i="6" a="1"/>
  <c r="B525" i="6" s="1"/>
  <c r="B825" i="6" a="1"/>
  <c r="B825" i="6" s="1"/>
  <c r="B436" i="6" a="1"/>
  <c r="B436" i="6" s="1"/>
  <c r="B399" i="6" a="1"/>
  <c r="B399" i="6" s="1"/>
  <c r="B378" i="6" a="1"/>
  <c r="B378" i="6" s="1"/>
  <c r="B678" i="6" a="1"/>
  <c r="B678" i="6" s="1"/>
  <c r="B619" i="6" a="1"/>
  <c r="B619" i="6" s="1"/>
  <c r="B402" i="6" a="1"/>
  <c r="B402" i="6" s="1"/>
  <c r="B381" i="6" a="1"/>
  <c r="B381" i="6" s="1"/>
  <c r="B681" i="6" a="1"/>
  <c r="B681" i="6" s="1"/>
  <c r="B662" i="6" a="1"/>
  <c r="B662" i="6" s="1"/>
  <c r="B403" i="6" a="1"/>
  <c r="B403" i="6" s="1"/>
  <c r="B366" i="6" a="1"/>
  <c r="B366" i="6" s="1"/>
  <c r="B664" i="6" a="1"/>
  <c r="B664" i="6" s="1"/>
  <c r="B645" i="6" a="1"/>
  <c r="B645" i="6" s="1"/>
  <c r="B406" i="6" a="1"/>
  <c r="B406" i="6" s="1"/>
  <c r="B466" i="6" a="1"/>
  <c r="B466" i="6" s="1"/>
  <c r="B696" i="6" a="1"/>
  <c r="B696" i="6" s="1"/>
  <c r="B777" i="6" a="1"/>
  <c r="B777" i="6" s="1"/>
  <c r="B496" i="6" a="1"/>
  <c r="B496" i="6" s="1"/>
  <c r="B439" i="6" a="1"/>
  <c r="B439" i="6" s="1"/>
  <c r="B739" i="6" a="1"/>
  <c r="B739" i="6" s="1"/>
  <c r="B720" i="6" a="1"/>
  <c r="B720" i="6" s="1"/>
  <c r="B499" i="6" a="1"/>
  <c r="B499" i="6" s="1"/>
  <c r="B482" i="6" a="1"/>
  <c r="B482" i="6" s="1"/>
  <c r="B782" i="6" a="1"/>
  <c r="B782" i="6" s="1"/>
  <c r="B723" i="6" a="1"/>
  <c r="B723" i="6" s="1"/>
  <c r="B486" i="6" a="1"/>
  <c r="B486" i="6" s="1"/>
  <c r="B367" i="6" a="1"/>
  <c r="B367" i="6" s="1"/>
  <c r="B726" i="6" a="1"/>
  <c r="B726" i="6" s="1"/>
  <c r="B426" i="6" a="1"/>
  <c r="B426" i="6" s="1"/>
  <c r="B626" i="6" a="1"/>
  <c r="B626" i="6" s="1"/>
  <c r="B746" i="6" a="1"/>
  <c r="B746" i="6" s="1"/>
  <c r="B536" i="6" a="1"/>
  <c r="B536" i="6" s="1"/>
  <c r="B437" i="6" a="1"/>
  <c r="B437" i="6" s="1"/>
  <c r="B797" i="6" a="1"/>
  <c r="B797" i="6" s="1"/>
  <c r="B516" i="6" a="1"/>
  <c r="B516" i="6" s="1"/>
  <c r="B818" i="6" a="1"/>
  <c r="B818" i="6" s="1"/>
  <c r="B559" i="6" a="1"/>
  <c r="B559" i="6" s="1"/>
  <c r="B340" i="6" a="1"/>
  <c r="B340" i="6" s="1"/>
  <c r="B639" i="6" a="1"/>
  <c r="B639" i="6" s="1"/>
  <c r="B421" i="6" a="1"/>
  <c r="B421" i="6" s="1"/>
  <c r="B721" i="6" a="1"/>
  <c r="B721" i="6" s="1"/>
  <c r="B500" i="6" a="1"/>
  <c r="B500" i="6" s="1"/>
  <c r="B799" i="6" a="1"/>
  <c r="B799" i="6" s="1"/>
  <c r="B543" i="6" a="1"/>
  <c r="B543" i="6" s="1"/>
  <c r="B841" i="6" a="1"/>
  <c r="B841" i="6" s="1"/>
  <c r="B604" i="6" a="1"/>
  <c r="B604" i="6" s="1"/>
  <c r="B385" i="6" a="1"/>
  <c r="B385" i="6" s="1"/>
  <c r="B685" i="6" a="1"/>
  <c r="B685" i="6" s="1"/>
  <c r="B446" i="6" a="1"/>
  <c r="B446" i="6" s="1"/>
  <c r="B845" i="6" a="1"/>
  <c r="B845" i="6" s="1"/>
  <c r="B776" i="6" a="1"/>
  <c r="B776" i="6" s="1"/>
  <c r="B601" i="6" a="1"/>
  <c r="B601" i="6" s="1"/>
  <c r="B338" i="6" a="1"/>
  <c r="B338" i="6" s="1"/>
  <c r="B630" i="6" a="1"/>
  <c r="B630" i="6" s="1"/>
  <c r="B379" i="6" a="1"/>
  <c r="B379" i="6" s="1"/>
  <c r="B679" i="6" a="1"/>
  <c r="B679" i="6" s="1"/>
  <c r="B460" i="6" a="1"/>
  <c r="B460" i="6" s="1"/>
  <c r="B762" i="6" a="1"/>
  <c r="B762" i="6" s="1"/>
  <c r="B541" i="6" a="1"/>
  <c r="B541" i="6" s="1"/>
  <c r="B839" i="6" a="1"/>
  <c r="B839" i="6" s="1"/>
  <c r="B623" i="6" a="1"/>
  <c r="B623" i="6" s="1"/>
  <c r="B365" i="6" a="1"/>
  <c r="B365" i="6" s="1"/>
  <c r="B663" i="6" a="1"/>
  <c r="B663" i="6" s="1"/>
  <c r="B424" i="6" a="1"/>
  <c r="B424" i="6" s="1"/>
  <c r="B724" i="6" a="1"/>
  <c r="B724" i="6" s="1"/>
  <c r="B505" i="6" a="1"/>
  <c r="B505" i="6" s="1"/>
  <c r="B802" i="6" a="1"/>
  <c r="B802" i="6" s="1"/>
  <c r="B1383" i="6" a="1"/>
  <c r="B1383" i="6" s="1"/>
  <c r="B684" i="6" a="1"/>
  <c r="B684" i="6" s="1"/>
  <c r="B465" i="6" a="1"/>
  <c r="B465" i="6" s="1"/>
  <c r="B767" i="6" a="1"/>
  <c r="B767" i="6" s="1"/>
  <c r="B526" i="6" a="1"/>
  <c r="B526" i="6" s="1"/>
  <c r="B826" i="6" a="1"/>
  <c r="B826" i="6" s="1"/>
  <c r="B760" i="6" a="1"/>
  <c r="B760" i="6" s="1"/>
  <c r="B197" i="6" a="1"/>
  <c r="B197" i="6" s="1"/>
  <c r="B697" i="6" a="1"/>
  <c r="B697" i="6" s="1"/>
  <c r="B418" i="6" a="1"/>
  <c r="B418" i="6" s="1"/>
  <c r="B718" i="6" a="1"/>
  <c r="B718" i="6" s="1"/>
  <c r="B457" i="6" a="1"/>
  <c r="B457" i="6" s="1"/>
  <c r="B759" i="6" a="1"/>
  <c r="B759" i="6" s="1"/>
  <c r="B540" i="6" a="1"/>
  <c r="B540" i="6" s="1"/>
  <c r="B838" i="6" a="1"/>
  <c r="B838" i="6" s="1"/>
  <c r="B622" i="6" a="1"/>
  <c r="B622" i="6" s="1"/>
  <c r="B397" i="6" a="1"/>
  <c r="B397" i="6" s="1"/>
  <c r="B702" i="6" a="1"/>
  <c r="B702" i="6" s="1"/>
  <c r="B443" i="6" a="1"/>
  <c r="B443" i="6" s="1"/>
  <c r="B743" i="6" a="1"/>
  <c r="B743" i="6" s="1"/>
  <c r="B504" i="6" a="1"/>
  <c r="B504" i="6" s="1"/>
  <c r="B801" i="6" a="1"/>
  <c r="B801" i="6" s="1"/>
  <c r="B587" i="6" a="1"/>
  <c r="B587" i="6" s="1"/>
  <c r="B346" i="6" a="1"/>
  <c r="B346" i="6" s="1"/>
  <c r="B646" i="6" a="1"/>
  <c r="B646" i="6" s="1"/>
  <c r="B600" i="6" a="1"/>
  <c r="B600" i="6" s="1"/>
  <c r="B477" i="6" a="1"/>
  <c r="B477" i="6" s="1"/>
  <c r="B816" i="6" a="1"/>
  <c r="B816" i="6" s="1"/>
  <c r="B538" i="6" a="1"/>
  <c r="B538" i="6" s="1"/>
  <c r="B862" i="6" a="1"/>
  <c r="B862" i="6" s="1"/>
  <c r="B575" i="6" a="1"/>
  <c r="B575" i="6" s="1"/>
  <c r="B360" i="6" a="1"/>
  <c r="B360" i="6" s="1"/>
  <c r="B659" i="6" a="1"/>
  <c r="B659" i="6" s="1"/>
  <c r="B441" i="6" a="1"/>
  <c r="B441" i="6" s="1"/>
  <c r="B741" i="6" a="1"/>
  <c r="B741" i="6" s="1"/>
  <c r="B522" i="6" a="1"/>
  <c r="B522" i="6" s="1"/>
  <c r="B822" i="6" a="1"/>
  <c r="B822" i="6" s="1"/>
  <c r="B563" i="6" a="1"/>
  <c r="B563" i="6" s="1"/>
  <c r="B184" i="6" a="1"/>
  <c r="B184" i="6" s="1"/>
  <c r="B624" i="6" a="1"/>
  <c r="B624" i="6" s="1"/>
  <c r="B405" i="6" a="1"/>
  <c r="B405" i="6" s="1"/>
  <c r="B706" i="6" a="1"/>
  <c r="B706" i="6" s="1"/>
  <c r="B1380" i="6" a="1"/>
  <c r="B1380" i="6" s="1"/>
  <c r="B368" i="6" a="1"/>
  <c r="B368" i="6" s="1"/>
  <c r="B756" i="6" a="1"/>
  <c r="B756" i="6" s="1"/>
  <c r="B579" i="6" a="1"/>
  <c r="B579" i="6" s="1"/>
  <c r="B258" i="6" a="1"/>
  <c r="B258" i="6" s="1"/>
  <c r="B618" i="6" a="1"/>
  <c r="B618" i="6" s="1"/>
  <c r="B359" i="6" a="1"/>
  <c r="B359" i="6" s="1"/>
  <c r="B658" i="6" a="1"/>
  <c r="B658" i="6" s="1"/>
  <c r="B440" i="6" a="1"/>
  <c r="B440" i="6" s="1"/>
  <c r="B740" i="6" a="1"/>
  <c r="B740" i="6" s="1"/>
  <c r="B521" i="6" a="1"/>
  <c r="B521" i="6" s="1"/>
  <c r="B821" i="6" a="1"/>
  <c r="B821" i="6" s="1"/>
  <c r="B602" i="6" a="1"/>
  <c r="B602" i="6" s="1"/>
  <c r="B343" i="6" a="1"/>
  <c r="B343" i="6" s="1"/>
  <c r="B643" i="6" a="1"/>
  <c r="B643" i="6" s="1"/>
  <c r="B404" i="6" a="1"/>
  <c r="B404" i="6" s="1"/>
  <c r="B705" i="6" a="1"/>
  <c r="B705" i="6" s="1"/>
  <c r="B487" i="6" a="1"/>
  <c r="B487" i="6" s="1"/>
  <c r="B784" i="6" a="1"/>
  <c r="B784" i="6" s="1"/>
  <c r="B546" i="6" a="1"/>
  <c r="B546" i="6" s="1"/>
  <c r="B566" i="6" a="1"/>
  <c r="B566" i="6" s="1"/>
  <c r="B337" i="6" a="1"/>
  <c r="B337" i="6" s="1"/>
  <c r="B717" i="6" a="1"/>
  <c r="B717" i="6" s="1"/>
  <c r="B438" i="6" a="1"/>
  <c r="B438" i="6" s="1"/>
  <c r="B738" i="6" a="1"/>
  <c r="B738" i="6" s="1"/>
  <c r="B479" i="6" a="1"/>
  <c r="B479" i="6" s="1"/>
  <c r="B779" i="6" a="1"/>
  <c r="B779" i="6" s="1"/>
  <c r="B560" i="6" a="1"/>
  <c r="B560" i="6" s="1"/>
  <c r="B341" i="6" a="1"/>
  <c r="B341" i="6" s="1"/>
  <c r="B640" i="6" a="1"/>
  <c r="B640" i="6" s="1"/>
  <c r="B422" i="6" a="1"/>
  <c r="B422" i="6" s="1"/>
  <c r="B722" i="6" a="1"/>
  <c r="B722" i="6" s="1"/>
  <c r="B463" i="6" a="1"/>
  <c r="B463" i="6" s="1"/>
  <c r="B765" i="6" a="1"/>
  <c r="B765" i="6" s="1"/>
  <c r="B524" i="6" a="1"/>
  <c r="B524" i="6" s="1"/>
  <c r="B824" i="6" a="1"/>
  <c r="B824" i="6" s="1"/>
  <c r="B605" i="6" a="1"/>
  <c r="B605" i="6" s="1"/>
  <c r="B666" i="6" a="1"/>
  <c r="B666" i="6" s="1"/>
  <c r="B1382" i="6" a="1"/>
  <c r="B1382" i="6" s="1"/>
  <c r="O58" i="18" a="1"/>
  <c r="O58" i="18" s="1"/>
  <c r="O60" i="18" s="1"/>
  <c r="E55" i="18" a="1"/>
  <c r="E55" i="18" s="1"/>
  <c r="E57" i="18" s="1"/>
  <c r="H61" i="18" a="1"/>
  <c r="H61" i="18" s="1"/>
  <c r="H63" i="18" s="1"/>
  <c r="M52" i="18" a="1"/>
  <c r="M52" i="18" s="1"/>
  <c r="M54" i="18" s="1"/>
  <c r="K52" i="18" a="1"/>
  <c r="K52" i="18" s="1"/>
  <c r="K54" i="18" s="1"/>
  <c r="Y4" i="26" a="1"/>
  <c r="Y4" i="26" s="1"/>
  <c r="J4" i="26" a="1"/>
  <c r="J4" i="26" s="1"/>
  <c r="T4" i="26" a="1"/>
  <c r="T4" i="26" s="1"/>
  <c r="B7" i="26" a="1"/>
  <c r="B7" i="26" s="1"/>
  <c r="AE4" i="26" a="1"/>
  <c r="AE4" i="26" s="1"/>
  <c r="AG4" i="26" a="1"/>
  <c r="AG4" i="26" s="1"/>
  <c r="AL4" i="26" a="1"/>
  <c r="AL4" i="26" s="1"/>
  <c r="B21" i="26" a="1"/>
  <c r="B21" i="26" s="1"/>
  <c r="K4" i="26" a="1"/>
  <c r="K4" i="26" s="1"/>
  <c r="AM4" i="26" a="1"/>
  <c r="AM4" i="26" s="1"/>
  <c r="AB4" i="26" a="1"/>
  <c r="AB4" i="26" s="1"/>
  <c r="B17" i="26" a="1"/>
  <c r="B17" i="26" s="1"/>
  <c r="AV4" i="26" a="1"/>
  <c r="AV4" i="26" s="1"/>
  <c r="R4" i="26" a="1"/>
  <c r="R4" i="26" s="1"/>
  <c r="V4" i="26" a="1"/>
  <c r="V4" i="26" s="1"/>
  <c r="B9" i="26" a="1"/>
  <c r="B9" i="26" s="1"/>
  <c r="C45" i="27"/>
  <c r="C45" i="27" a="1"/>
  <c r="C37" i="27" a="1"/>
  <c r="C37" i="27" s="1"/>
  <c r="C43" i="27" a="1"/>
  <c r="C43" i="27" s="1"/>
  <c r="C34" i="27" a="1"/>
  <c r="C34" i="27" s="1"/>
  <c r="C46" i="27"/>
  <c r="C46" i="27" a="1"/>
  <c r="C35" i="27" a="1"/>
  <c r="C35" i="27" s="1"/>
  <c r="L67" i="18" a="1"/>
  <c r="L67" i="18" s="1"/>
  <c r="L69" i="18" s="1"/>
  <c r="L49" i="18" a="1"/>
  <c r="L49" i="18" s="1"/>
  <c r="L51" i="18" s="1"/>
  <c r="G67" i="18" a="1"/>
  <c r="G67" i="18" s="1"/>
  <c r="G69" i="18" s="1"/>
  <c r="F52" i="18" a="1"/>
  <c r="F52" i="18" s="1"/>
  <c r="F54" i="18" s="1"/>
  <c r="K49" i="18" a="1"/>
  <c r="K49" i="18" s="1"/>
  <c r="K51" i="18" s="1"/>
  <c r="I4" i="26" a="1"/>
  <c r="I4" i="26" s="1"/>
  <c r="AK4" i="26" a="1"/>
  <c r="AK4" i="26" s="1"/>
  <c r="B5" i="26" a="1"/>
  <c r="B5" i="26" s="1"/>
  <c r="AY4" i="26" a="1"/>
  <c r="AY4" i="26" s="1"/>
  <c r="BA4" i="26" a="1"/>
  <c r="BA4" i="26" s="1"/>
  <c r="AN4" i="26" a="1"/>
  <c r="AN4" i="26" s="1"/>
  <c r="B8" i="26" a="1"/>
  <c r="B8" i="26" s="1"/>
  <c r="C30" i="27" a="1"/>
  <c r="C30" i="27" s="1"/>
  <c r="C36" i="27"/>
  <c r="C36" i="27" a="1"/>
  <c r="C42" i="27"/>
  <c r="C42" i="27" a="1"/>
  <c r="C48" i="27" a="1"/>
  <c r="C48" i="27" s="1"/>
  <c r="I64" i="18"/>
  <c r="I66" i="18" s="1"/>
  <c r="I64" i="18" a="1"/>
  <c r="K58" i="18"/>
  <c r="K60" i="18" s="1"/>
  <c r="K58" i="18" a="1"/>
  <c r="L61" i="18" a="1"/>
  <c r="L61" i="18" s="1"/>
  <c r="L63" i="18" s="1"/>
  <c r="K61" i="18" a="1"/>
  <c r="K61" i="18" s="1"/>
  <c r="K63" i="18" s="1"/>
  <c r="E61" i="18" a="1"/>
  <c r="E61" i="18" s="1"/>
  <c r="E63" i="18" s="1"/>
  <c r="AW4" i="26"/>
  <c r="AW4" i="26" a="1"/>
  <c r="M4" i="26"/>
  <c r="M4" i="26" a="1"/>
  <c r="AA4" i="26" a="1"/>
  <c r="AA4" i="26" s="1"/>
  <c r="B11" i="26"/>
  <c r="B11" i="26" a="1"/>
  <c r="F4" i="26"/>
  <c r="F4" i="26" a="1"/>
  <c r="AJ4" i="26" a="1"/>
  <c r="AJ4" i="26" s="1"/>
  <c r="G4" i="26"/>
  <c r="G4" i="26" a="1"/>
  <c r="B22" i="26" a="1"/>
  <c r="B22" i="26" s="1"/>
  <c r="AC4" i="26" a="1"/>
  <c r="AC4" i="26" s="1"/>
  <c r="P4" i="26"/>
  <c r="P4" i="26" a="1"/>
  <c r="AR4" i="26" a="1"/>
  <c r="AR4" i="26" s="1"/>
  <c r="B20" i="26" a="1"/>
  <c r="B20" i="26" s="1"/>
  <c r="AI4" i="26"/>
  <c r="AI4" i="26" a="1"/>
  <c r="AH4" i="26" a="1"/>
  <c r="AH4" i="26" s="1"/>
  <c r="C4" i="26" a="1"/>
  <c r="C4" i="26" s="1"/>
  <c r="B14" i="26"/>
  <c r="B14" i="26" a="1"/>
  <c r="O46" i="18"/>
  <c r="O48" i="18" s="1"/>
  <c r="O46" i="18" a="1"/>
  <c r="H67" i="18"/>
  <c r="H69" i="18" s="1"/>
  <c r="H67" i="18" a="1"/>
  <c r="G58" i="18"/>
  <c r="G60" i="18" s="1"/>
  <c r="G58" i="18" a="1"/>
  <c r="D52" i="18" a="1"/>
  <c r="D52" i="18" s="1"/>
  <c r="O67" i="18" a="1"/>
  <c r="O67" i="18" s="1"/>
  <c r="O69" i="18" s="1"/>
  <c r="L64" i="18" a="1"/>
  <c r="L64" i="18" s="1"/>
  <c r="L66" i="18" s="1"/>
  <c r="N67" i="18" a="1"/>
  <c r="N67" i="18" s="1"/>
  <c r="N69" i="18" s="1"/>
  <c r="N49" i="18" a="1"/>
  <c r="N49" i="18" s="1"/>
  <c r="N51" i="18" s="1"/>
  <c r="AD4" i="26"/>
  <c r="AD4" i="26" a="1"/>
  <c r="AS4" i="26"/>
  <c r="AS4" i="26" a="1"/>
  <c r="B16" i="26"/>
  <c r="B16" i="26" a="1"/>
  <c r="Z4" i="26"/>
  <c r="Z4" i="26" a="1"/>
  <c r="W4" i="26" a="1"/>
  <c r="W4" i="26" s="1"/>
  <c r="AO4" i="26" a="1"/>
  <c r="AO4" i="26" s="1"/>
  <c r="B4" i="26" a="1"/>
  <c r="B4" i="26" s="1"/>
  <c r="C39" i="27" a="1"/>
  <c r="C39" i="27" s="1"/>
  <c r="C33" i="27"/>
  <c r="C33" i="27" a="1"/>
  <c r="C49" i="27" a="1"/>
  <c r="C49" i="27" s="1"/>
  <c r="C50" i="27" a="1"/>
  <c r="C50" i="27" s="1"/>
  <c r="E64" i="18" a="1"/>
  <c r="E64" i="18" s="1"/>
  <c r="E66" i="18" s="1"/>
  <c r="H64" i="18" a="1"/>
  <c r="H64" i="18" s="1"/>
  <c r="H66" i="18" s="1"/>
  <c r="E58" i="18" a="1"/>
  <c r="E58" i="18" s="1"/>
  <c r="E60" i="18" s="1"/>
  <c r="H49" i="18" a="1"/>
  <c r="H49" i="18" s="1"/>
  <c r="H51" i="18" s="1"/>
  <c r="B12" i="26" a="1"/>
  <c r="B12" i="26" s="1"/>
  <c r="AQ4" i="26" a="1"/>
  <c r="AQ4" i="26" s="1"/>
  <c r="AP4" i="26" a="1"/>
  <c r="AP4" i="26" s="1"/>
  <c r="AZ4" i="26" a="1"/>
  <c r="AZ4" i="26" s="1"/>
  <c r="B19" i="26" a="1"/>
  <c r="B19" i="26" s="1"/>
  <c r="E4" i="26" a="1"/>
  <c r="E4" i="26" s="1"/>
  <c r="AU4" i="26" a="1"/>
  <c r="AU4" i="26" s="1"/>
  <c r="AT4" i="26" a="1"/>
  <c r="AT4" i="26" s="1"/>
  <c r="B6" i="26" a="1"/>
  <c r="B6" i="26" s="1"/>
  <c r="AX4" i="26" a="1"/>
  <c r="AX4" i="26" s="1"/>
  <c r="U4" i="26" a="1"/>
  <c r="U4" i="26" s="1"/>
  <c r="AF4" i="26" a="1"/>
  <c r="AF4" i="26" s="1"/>
  <c r="B10" i="26" a="1"/>
  <c r="B10" i="26" s="1"/>
  <c r="L4" i="26" a="1"/>
  <c r="L4" i="26" s="1"/>
  <c r="Q4" i="26" a="1"/>
  <c r="Q4" i="26" s="1"/>
  <c r="B18" i="26" a="1"/>
  <c r="B18" i="26" s="1"/>
  <c r="B15" i="26" a="1"/>
  <c r="B15" i="26" s="1"/>
  <c r="C40" i="27" a="1"/>
  <c r="C40" i="27" s="1"/>
  <c r="C31" i="27"/>
  <c r="C31" i="27" a="1"/>
  <c r="C44" i="27" a="1"/>
  <c r="C44" i="27" s="1"/>
  <c r="C47" i="27" a="1"/>
  <c r="C47" i="27" s="1"/>
  <c r="C32" i="27"/>
  <c r="C32" i="27" a="1"/>
  <c r="D48" i="18"/>
  <c r="N46" i="18" a="1"/>
  <c r="N46" i="18" s="1"/>
  <c r="N48" i="18" s="1"/>
  <c r="N58" i="18" a="1"/>
  <c r="N58" i="18" s="1"/>
  <c r="N60" i="18" s="1"/>
  <c r="M49" i="18" a="1"/>
  <c r="M49" i="18" s="1"/>
  <c r="M51" i="18" s="1"/>
  <c r="K67" i="18" a="1"/>
  <c r="K67" i="18" s="1"/>
  <c r="K69" i="18" s="1"/>
  <c r="H58" i="18" a="1"/>
  <c r="H58" i="18" s="1"/>
  <c r="H60" i="18" s="1"/>
  <c r="J67" i="18" a="1"/>
  <c r="J67" i="18" s="1"/>
  <c r="J69" i="18" s="1"/>
  <c r="N61" i="18" a="1"/>
  <c r="N61" i="18" s="1"/>
  <c r="N63" i="18" s="1"/>
  <c r="S4" i="26"/>
  <c r="S4" i="26" a="1"/>
  <c r="D4" i="26"/>
  <c r="D4" i="26" a="1"/>
  <c r="X4" i="26"/>
  <c r="X4" i="26" a="1"/>
  <c r="B13" i="26"/>
  <c r="B13" i="26" a="1"/>
  <c r="O4" i="26"/>
  <c r="O4" i="26" a="1"/>
  <c r="N4" i="26"/>
  <c r="N4" i="26" a="1"/>
  <c r="H4" i="26"/>
  <c r="H4" i="26" a="1"/>
  <c r="G2012" i="6"/>
  <c r="F5" i="18" s="1" a="1"/>
  <c r="F5" i="18" s="1"/>
  <c r="M46" i="18"/>
  <c r="M48" i="18" s="1"/>
  <c r="M46" i="18" a="1"/>
  <c r="F67" i="18"/>
  <c r="F69" i="18" s="1"/>
  <c r="F67" i="18" a="1"/>
  <c r="N66" i="18"/>
  <c r="N64" i="18"/>
  <c r="N64" i="18" a="1"/>
  <c r="F64" i="18" a="1"/>
  <c r="F64" i="18" s="1"/>
  <c r="F66" i="18" s="1"/>
  <c r="J58" i="18"/>
  <c r="J60" i="18" s="1"/>
  <c r="J58" i="18" a="1"/>
  <c r="G64" i="18"/>
  <c r="G66" i="18" s="1"/>
  <c r="G64" i="18" a="1"/>
  <c r="G49" i="18"/>
  <c r="G51" i="18" s="1"/>
  <c r="G49" i="18" a="1"/>
  <c r="I51" i="18"/>
  <c r="I49" i="18"/>
  <c r="I49" i="18" a="1"/>
  <c r="I67" i="18" a="1"/>
  <c r="I67" i="18" s="1"/>
  <c r="I69" i="18" s="1"/>
  <c r="F61" i="18" a="1"/>
  <c r="F61" i="18" s="1"/>
  <c r="F63" i="18" s="1"/>
  <c r="K55" i="18" a="1"/>
  <c r="K55" i="18" s="1"/>
  <c r="K57" i="18" s="1"/>
  <c r="F58" i="18" a="1"/>
  <c r="F58" i="18" s="1"/>
  <c r="F60" i="18" s="1"/>
  <c r="M61" i="18" a="1"/>
  <c r="M61" i="18" s="1"/>
  <c r="M63" i="18" s="1"/>
  <c r="O49" i="18" a="1"/>
  <c r="O49" i="18" s="1"/>
  <c r="O51" i="18" s="1"/>
  <c r="D49" i="18" a="1"/>
  <c r="D49" i="18" s="1"/>
  <c r="O66" i="18"/>
  <c r="O64" i="18"/>
  <c r="O64" i="18" a="1"/>
  <c r="I61" i="18" a="1"/>
  <c r="I61" i="18" s="1"/>
  <c r="I63" i="18" s="1"/>
  <c r="J49" i="18" a="1"/>
  <c r="J49" i="18" s="1"/>
  <c r="J51" i="18" s="1"/>
  <c r="D67" i="18" a="1"/>
  <c r="D67" i="18" s="1"/>
  <c r="J52" i="18"/>
  <c r="J54" i="18" s="1"/>
  <c r="J52" i="18" a="1"/>
  <c r="J55" i="18"/>
  <c r="J57" i="18" s="1"/>
  <c r="J55" i="18" a="1"/>
  <c r="I58" i="18"/>
  <c r="I60" i="18" s="1"/>
  <c r="I58" i="18" a="1"/>
  <c r="I55" i="18"/>
  <c r="I57" i="18" s="1"/>
  <c r="I55" i="18" a="1"/>
  <c r="O55" i="18"/>
  <c r="O57" i="18" s="1"/>
  <c r="O55" i="18" a="1"/>
  <c r="E67" i="18" a="1"/>
  <c r="E67" i="18" s="1"/>
  <c r="E69" i="18" s="1"/>
  <c r="J64" i="18" a="1"/>
  <c r="J64" i="18" s="1"/>
  <c r="J66" i="18" s="1"/>
  <c r="G61" i="18"/>
  <c r="G63" i="18" s="1"/>
  <c r="G61" i="18" a="1"/>
  <c r="M64" i="18"/>
  <c r="M66" i="18" s="1"/>
  <c r="M64" i="18" a="1"/>
  <c r="O61" i="18"/>
  <c r="O63" i="18" s="1"/>
  <c r="O61" i="18" a="1"/>
  <c r="O52" i="18" a="1"/>
  <c r="O52" i="18" s="1"/>
  <c r="O54" i="18" s="1"/>
  <c r="K64" i="18" a="1"/>
  <c r="K64" i="18" s="1"/>
  <c r="K66" i="18" s="1"/>
  <c r="D64" i="18" a="1"/>
  <c r="D64" i="18" s="1"/>
  <c r="D58" i="18" a="1"/>
  <c r="D58" i="18" s="1"/>
  <c r="L52" i="18" a="1"/>
  <c r="L52" i="18" s="1"/>
  <c r="L54" i="18" s="1"/>
  <c r="D43" i="18" a="1"/>
  <c r="D43" i="18" s="1"/>
  <c r="E49" i="18"/>
  <c r="E51" i="18" s="1"/>
  <c r="E49" i="18" a="1"/>
  <c r="M67" i="18"/>
  <c r="M69" i="18" s="1"/>
  <c r="M67" i="18" a="1"/>
  <c r="H55" i="18"/>
  <c r="H57" i="18" s="1"/>
  <c r="H55" i="18" a="1"/>
  <c r="N55" i="18"/>
  <c r="N57" i="18" s="1"/>
  <c r="N55" i="18" a="1"/>
  <c r="J61" i="18"/>
  <c r="J63" i="18" s="1"/>
  <c r="J61" i="18" a="1"/>
  <c r="M58" i="18" a="1"/>
  <c r="M58" i="18" s="1"/>
  <c r="M60" i="18" s="1"/>
  <c r="D55" i="18" a="1"/>
  <c r="D55" i="18" s="1"/>
  <c r="D57" i="18" s="1"/>
  <c r="D61" i="18" a="1"/>
  <c r="D61" i="18" s="1"/>
  <c r="P61" i="18" s="1"/>
  <c r="P63" i="18" s="1"/>
  <c r="I52" i="18" a="1"/>
  <c r="I52" i="18" s="1"/>
  <c r="I54" i="18" s="1"/>
  <c r="G55" i="18" a="1"/>
  <c r="G55" i="18" s="1"/>
  <c r="G57" i="18" s="1"/>
  <c r="M55" i="18" a="1"/>
  <c r="M55" i="18" s="1"/>
  <c r="M57" i="18" s="1"/>
  <c r="L55" i="18" a="1"/>
  <c r="L55" i="18" s="1"/>
  <c r="L57" i="18" s="1"/>
  <c r="L58" i="18" a="1"/>
  <c r="L58" i="18" s="1"/>
  <c r="L60" i="18" s="1"/>
  <c r="K46" i="18" a="1"/>
  <c r="K46" i="18" s="1"/>
  <c r="K48" i="18" s="1"/>
  <c r="G43" i="18" a="1"/>
  <c r="G43" i="18" s="1"/>
  <c r="G45" i="18" s="1"/>
  <c r="L46" i="18" a="1"/>
  <c r="L46" i="18" s="1"/>
  <c r="L48" i="18" s="1"/>
  <c r="E46" i="18" a="1"/>
  <c r="E46" i="18" s="1"/>
  <c r="E48" i="18" s="1"/>
  <c r="J43" i="18"/>
  <c r="J45" i="18" s="1"/>
  <c r="J43" i="18" a="1"/>
  <c r="G46" i="18" a="1"/>
  <c r="G46" i="18" s="1"/>
  <c r="G48" i="18" s="1"/>
  <c r="O43" i="18"/>
  <c r="O45" i="18" s="1"/>
  <c r="O43" i="18" a="1"/>
  <c r="N43" i="18" a="1"/>
  <c r="N43" i="18" s="1"/>
  <c r="N45" i="18" s="1"/>
  <c r="H46" i="18"/>
  <c r="H48" i="18" s="1"/>
  <c r="H46" i="18" a="1"/>
  <c r="K43" i="18" a="1"/>
  <c r="K43" i="18" s="1"/>
  <c r="K45" i="18" s="1"/>
  <c r="I46" i="18"/>
  <c r="I48" i="18" s="1"/>
  <c r="I46" i="18" a="1"/>
  <c r="H43" i="18" a="1"/>
  <c r="H43" i="18" s="1"/>
  <c r="H45" i="18" s="1"/>
  <c r="L43" i="18"/>
  <c r="L45" i="18" s="1"/>
  <c r="L43" i="18" a="1"/>
  <c r="E43" i="18" a="1"/>
  <c r="E43" i="18" s="1"/>
  <c r="E45" i="18" s="1"/>
  <c r="F46" i="18"/>
  <c r="F48" i="18" s="1"/>
  <c r="F46" i="18" a="1"/>
  <c r="J46" i="18" a="1"/>
  <c r="J46" i="18" s="1"/>
  <c r="J48" i="18" s="1"/>
  <c r="I43" i="18"/>
  <c r="I45" i="18" s="1"/>
  <c r="I43" i="18" a="1"/>
  <c r="M45" i="18"/>
  <c r="M43" i="18" a="1"/>
  <c r="M43" i="18" s="1"/>
  <c r="F43" i="18"/>
  <c r="F45" i="18" s="1"/>
  <c r="F43" i="18" a="1"/>
  <c r="J35" i="27"/>
  <c r="J35" i="27" a="1"/>
  <c r="H43" i="27"/>
  <c r="H43" i="27" a="1"/>
  <c r="N43" i="27"/>
  <c r="N43" i="27" a="1"/>
  <c r="N50" i="27"/>
  <c r="N50" i="27" a="1"/>
  <c r="I48" i="27"/>
  <c r="I48" i="27" a="1"/>
  <c r="M46" i="27"/>
  <c r="M46" i="27" a="1"/>
  <c r="D37" i="27"/>
  <c r="D37" i="27" a="1"/>
  <c r="L50" i="27"/>
  <c r="L50" i="27" a="1"/>
  <c r="D42" i="27"/>
  <c r="D42" i="27" a="1"/>
  <c r="I50" i="27"/>
  <c r="I50" i="27" a="1"/>
  <c r="D39" i="27"/>
  <c r="D39" i="27" a="1"/>
  <c r="K50" i="27"/>
  <c r="K50" i="27" a="1"/>
  <c r="D49" i="27"/>
  <c r="D49" i="27" a="1"/>
  <c r="H47" i="27"/>
  <c r="H47" i="27" a="1"/>
  <c r="E43" i="27"/>
  <c r="E43" i="27" a="1"/>
  <c r="F50" i="27"/>
  <c r="F50" i="27" a="1"/>
  <c r="H35" i="27"/>
  <c r="H35" i="27" a="1"/>
  <c r="D40" i="27"/>
  <c r="D40" i="27" a="1"/>
  <c r="J43" i="27"/>
  <c r="J43" i="27" a="1"/>
  <c r="J50" i="27"/>
  <c r="J50" i="27" a="1"/>
  <c r="L49" i="27"/>
  <c r="L49" i="27" a="1"/>
  <c r="N48" i="27" a="1"/>
  <c r="N48" i="27" s="1"/>
  <c r="E48" i="27"/>
  <c r="E48" i="27" a="1"/>
  <c r="G47" i="27" a="1"/>
  <c r="G47" i="27" s="1"/>
  <c r="I46" i="27"/>
  <c r="I46" i="27" a="1"/>
  <c r="K45" i="27" a="1"/>
  <c r="K45" i="27" s="1"/>
  <c r="M44" i="27" a="1"/>
  <c r="M44" i="27" s="1"/>
  <c r="N42" i="27" a="1"/>
  <c r="N42" i="27" s="1"/>
  <c r="E42" i="27" a="1"/>
  <c r="E42" i="27" s="1"/>
  <c r="F55" i="18" a="1"/>
  <c r="F55" i="18" s="1"/>
  <c r="P55" i="18" s="1"/>
  <c r="P57" i="18" s="1"/>
  <c r="H52" i="18" a="1"/>
  <c r="H52" i="18" s="1"/>
  <c r="D43" i="27"/>
  <c r="D43" i="27" a="1"/>
  <c r="H50" i="27" a="1"/>
  <c r="H50" i="27" s="1"/>
  <c r="J49" i="27"/>
  <c r="J49" i="27" a="1"/>
  <c r="N47" i="27" a="1"/>
  <c r="N47" i="27" s="1"/>
  <c r="I35" i="27" a="1"/>
  <c r="I35" i="27" s="1"/>
  <c r="L43" i="27" a="1"/>
  <c r="L43" i="27" s="1"/>
  <c r="L48" i="27" a="1"/>
  <c r="L48" i="27" s="1"/>
  <c r="E47" i="27" a="1"/>
  <c r="E47" i="27" s="1"/>
  <c r="G46" i="27"/>
  <c r="G46" i="27" a="1"/>
  <c r="I45" i="27" a="1"/>
  <c r="I45" i="27" s="1"/>
  <c r="K44" i="27"/>
  <c r="K44" i="27" a="1"/>
  <c r="G35" i="27" a="1"/>
  <c r="G35" i="27" s="1"/>
  <c r="K43" i="27" a="1"/>
  <c r="K43" i="27" s="1"/>
  <c r="G52" i="18" a="1"/>
  <c r="G52" i="18" s="1"/>
  <c r="E35" i="27" a="1"/>
  <c r="E35" i="27" s="1"/>
  <c r="D44" i="27" a="1"/>
  <c r="D44" i="27" s="1"/>
  <c r="M43" i="27"/>
  <c r="M43" i="27" a="1"/>
  <c r="G50" i="27" a="1"/>
  <c r="G50" i="27" s="1"/>
  <c r="I49" i="27" a="1"/>
  <c r="I49" i="27" s="1"/>
  <c r="K48" i="27" a="1"/>
  <c r="K48" i="27" s="1"/>
  <c r="M47" i="27" a="1"/>
  <c r="M47" i="27" s="1"/>
  <c r="D47" i="27" a="1"/>
  <c r="D47" i="27" s="1"/>
  <c r="F46" i="27" a="1"/>
  <c r="F46" i="27" s="1"/>
  <c r="H45" i="27" a="1"/>
  <c r="H45" i="27" s="1"/>
  <c r="J44" i="27"/>
  <c r="J44" i="27" a="1"/>
  <c r="K42" i="27" a="1"/>
  <c r="K42" i="27" s="1"/>
  <c r="L40" i="27" a="1"/>
  <c r="L40" i="27" s="1"/>
  <c r="N52" i="18" a="1"/>
  <c r="N52" i="18" s="1"/>
  <c r="D35" i="27" a="1"/>
  <c r="D35" i="27" s="1"/>
  <c r="F43" i="27" a="1"/>
  <c r="F43" i="27" s="1"/>
  <c r="G49" i="27"/>
  <c r="G49" i="27" a="1"/>
  <c r="K47" i="27" a="1"/>
  <c r="K47" i="27" s="1"/>
  <c r="D46" i="27"/>
  <c r="D46" i="27" a="1"/>
  <c r="F45" i="27" a="1"/>
  <c r="F45" i="27" s="1"/>
  <c r="H44" i="27" a="1"/>
  <c r="H44" i="27" s="1"/>
  <c r="E52" i="18" a="1"/>
  <c r="E52" i="18" s="1"/>
  <c r="F35" i="27" a="1"/>
  <c r="F35" i="27" s="1"/>
  <c r="E50" i="27" a="1"/>
  <c r="E50" i="27" s="1"/>
  <c r="K35" i="27"/>
  <c r="K35" i="27" a="1"/>
  <c r="D36" i="27" a="1"/>
  <c r="D36" i="27" s="1"/>
  <c r="G43" i="27" a="1"/>
  <c r="G43" i="27" s="1"/>
  <c r="M50" i="27" a="1"/>
  <c r="M50" i="27" s="1"/>
  <c r="D50" i="27" a="1"/>
  <c r="D50" i="27" s="1"/>
  <c r="F49" i="27" a="1"/>
  <c r="F49" i="27" s="1"/>
  <c r="H48" i="27" a="1"/>
  <c r="H48" i="27" s="1"/>
  <c r="J47" i="27" a="1"/>
  <c r="J47" i="27" s="1"/>
  <c r="L46" i="27"/>
  <c r="L46" i="27" a="1"/>
  <c r="N45" i="27" a="1"/>
  <c r="N45" i="27" s="1"/>
  <c r="E45" i="27" a="1"/>
  <c r="E45" i="27" s="1"/>
  <c r="G44" i="27" a="1"/>
  <c r="G44" i="27" s="1"/>
  <c r="H42" i="27" a="1"/>
  <c r="H42" i="27" s="1"/>
  <c r="I40" i="27" a="1"/>
  <c r="I40" i="27" s="1"/>
  <c r="F49" i="18" a="1"/>
  <c r="F49" i="18" s="1"/>
  <c r="L35" i="27" a="1"/>
  <c r="L35" i="27" s="1"/>
  <c r="I43" i="27"/>
  <c r="I43" i="27" a="1"/>
  <c r="M49" i="27" a="1"/>
  <c r="M49" i="27" s="1"/>
  <c r="F48" i="27" a="1"/>
  <c r="F48" i="27" s="1"/>
  <c r="J46" i="27" a="1"/>
  <c r="J46" i="27" s="1"/>
  <c r="L45" i="27" a="1"/>
  <c r="L45" i="27" s="1"/>
  <c r="N44" i="27" a="1"/>
  <c r="N44" i="27" s="1"/>
  <c r="Y5" i="26" a="1"/>
  <c r="Y5" i="26" s="1"/>
  <c r="Y7" i="26" a="1"/>
  <c r="Y7" i="26" s="1"/>
  <c r="V6" i="26"/>
  <c r="V6" i="26" a="1"/>
  <c r="X8" i="26" a="1"/>
  <c r="X8" i="26" s="1"/>
  <c r="Q7" i="26" a="1"/>
  <c r="Q7" i="26" s="1"/>
  <c r="AM7" i="26" a="1"/>
  <c r="AM7" i="26" s="1"/>
  <c r="V5" i="26" a="1"/>
  <c r="V5" i="26" s="1"/>
  <c r="L9" i="26" a="1"/>
  <c r="L9" i="26" s="1"/>
  <c r="U7" i="26" a="1"/>
  <c r="U7" i="26" s="1"/>
  <c r="AK5" i="26" a="1"/>
  <c r="AK5" i="26" s="1"/>
  <c r="Y6" i="26"/>
  <c r="Y6" i="26" a="1"/>
  <c r="H7" i="26" a="1"/>
  <c r="H7" i="26" s="1"/>
  <c r="AD9" i="26" a="1"/>
  <c r="AD9" i="26" s="1"/>
  <c r="D8" i="26" a="1"/>
  <c r="D8" i="26" s="1"/>
  <c r="AE12" i="26" a="1"/>
  <c r="AE12" i="26" s="1"/>
  <c r="E15" i="26" a="1"/>
  <c r="E15" i="26" s="1"/>
  <c r="AZ9" i="26" a="1"/>
  <c r="AZ9" i="26" s="1"/>
  <c r="N7" i="26" a="1"/>
  <c r="N7" i="26" s="1"/>
  <c r="AL9" i="26"/>
  <c r="AL9" i="26" a="1"/>
  <c r="AQ8" i="26" a="1"/>
  <c r="AQ8" i="26" s="1"/>
  <c r="AF5" i="26" a="1"/>
  <c r="AF5" i="26" s="1"/>
  <c r="H5" i="26" a="1"/>
  <c r="H5" i="26" s="1"/>
  <c r="AT5" i="26" a="1"/>
  <c r="AT5" i="26" s="1"/>
  <c r="AP8" i="26" a="1"/>
  <c r="AP8" i="26" s="1"/>
  <c r="M5" i="26" a="1"/>
  <c r="M5" i="26" s="1"/>
  <c r="BA6" i="26" a="1"/>
  <c r="BA6" i="26" s="1"/>
  <c r="AG6" i="26"/>
  <c r="AG6" i="26" a="1"/>
  <c r="AA7" i="26" a="1"/>
  <c r="AA7" i="26" s="1"/>
  <c r="AG5" i="26" a="1"/>
  <c r="AG5" i="26" s="1"/>
  <c r="U6" i="26" a="1"/>
  <c r="U6" i="26" s="1"/>
  <c r="T9" i="26" a="1"/>
  <c r="T9" i="26" s="1"/>
  <c r="Y8" i="26" a="1"/>
  <c r="Y8" i="26" s="1"/>
  <c r="S6" i="26" a="1"/>
  <c r="S6" i="26" s="1"/>
  <c r="Q8" i="26" a="1"/>
  <c r="Q8" i="26" s="1"/>
  <c r="U10" i="26"/>
  <c r="U10" i="26" a="1"/>
  <c r="AT11" i="26" a="1"/>
  <c r="AT11" i="26" s="1"/>
  <c r="E11" i="26" a="1"/>
  <c r="E11" i="26" s="1"/>
  <c r="AL8" i="26" a="1"/>
  <c r="AL8" i="26" s="1"/>
  <c r="AP10" i="26" a="1"/>
  <c r="AP10" i="26" s="1"/>
  <c r="S12" i="26" a="1"/>
  <c r="S12" i="26" s="1"/>
  <c r="T7" i="26" a="1"/>
  <c r="T7" i="26" s="1"/>
  <c r="J5" i="26" a="1"/>
  <c r="J5" i="26" s="1"/>
  <c r="O8" i="26"/>
  <c r="O8" i="26" a="1"/>
  <c r="AN9" i="26" a="1"/>
  <c r="AN9" i="26" s="1"/>
  <c r="AM13" i="26" a="1"/>
  <c r="AM13" i="26" s="1"/>
  <c r="D7" i="26" a="1"/>
  <c r="D7" i="26" s="1"/>
  <c r="T10" i="26" a="1"/>
  <c r="T10" i="26" s="1"/>
  <c r="X12" i="26" a="1"/>
  <c r="X12" i="26" s="1"/>
  <c r="H14" i="26" a="1"/>
  <c r="H14" i="26" s="1"/>
  <c r="L5" i="26" a="1"/>
  <c r="L5" i="26" s="1"/>
  <c r="AX5" i="26"/>
  <c r="AX5" i="26" a="1"/>
  <c r="Q12" i="26" a="1"/>
  <c r="Q12" i="26" s="1"/>
  <c r="J9" i="26" a="1"/>
  <c r="J9" i="26" s="1"/>
  <c r="F17" i="26" a="1"/>
  <c r="F17" i="26" s="1"/>
  <c r="AH17" i="26" a="1"/>
  <c r="AH17" i="26" s="1"/>
  <c r="AX17" i="26" a="1"/>
  <c r="AX17" i="26" s="1"/>
  <c r="U18" i="26" a="1"/>
  <c r="U18" i="26" s="1"/>
  <c r="AJ20" i="26" a="1"/>
  <c r="AJ20" i="26" s="1"/>
  <c r="AU12" i="26"/>
  <c r="AU12" i="26" a="1"/>
  <c r="AQ5" i="26" a="1"/>
  <c r="AQ5" i="26" s="1"/>
  <c r="AU10" i="26" a="1"/>
  <c r="AU10" i="26" s="1"/>
  <c r="P12" i="26" a="1"/>
  <c r="P12" i="26" s="1"/>
  <c r="D13" i="26" a="1"/>
  <c r="D13" i="26" s="1"/>
  <c r="AS5" i="26" a="1"/>
  <c r="AS5" i="26" s="1"/>
  <c r="Z7" i="26" a="1"/>
  <c r="Z7" i="26" s="1"/>
  <c r="X11" i="26" a="1"/>
  <c r="X11" i="26" s="1"/>
  <c r="AO6" i="26"/>
  <c r="AO6" i="26" a="1"/>
  <c r="AV6" i="26" a="1"/>
  <c r="AV6" i="26" s="1"/>
  <c r="W6" i="26" a="1"/>
  <c r="W6" i="26" s="1"/>
  <c r="AF8" i="26" a="1"/>
  <c r="AF8" i="26" s="1"/>
  <c r="AK7" i="26" a="1"/>
  <c r="AK7" i="26" s="1"/>
  <c r="M7" i="26" a="1"/>
  <c r="M7" i="26" s="1"/>
  <c r="I6" i="26" a="1"/>
  <c r="I6" i="26" s="1"/>
  <c r="AS6" i="26" a="1"/>
  <c r="AS6" i="26" s="1"/>
  <c r="AX8" i="26"/>
  <c r="AX8" i="26" a="1"/>
  <c r="G8" i="26" a="1"/>
  <c r="G8" i="26" s="1"/>
  <c r="W5" i="26" a="1"/>
  <c r="W5" i="26" s="1"/>
  <c r="Q15" i="26" a="1"/>
  <c r="Q15" i="26" s="1"/>
  <c r="T11" i="26" a="1"/>
  <c r="T11" i="26" s="1"/>
  <c r="AT6" i="26" a="1"/>
  <c r="AT6" i="26" s="1"/>
  <c r="F8" i="26" a="1"/>
  <c r="F8" i="26" s="1"/>
  <c r="C6" i="26" a="1"/>
  <c r="C6" i="26" s="1"/>
  <c r="Q5" i="26"/>
  <c r="Q5" i="26" a="1"/>
  <c r="X7" i="26" a="1"/>
  <c r="X7" i="26" s="1"/>
  <c r="AU6" i="26" a="1"/>
  <c r="AU6" i="26" s="1"/>
  <c r="N8" i="26" a="1"/>
  <c r="N8" i="26" s="1"/>
  <c r="AP11" i="26" a="1"/>
  <c r="AP11" i="26" s="1"/>
  <c r="AY7" i="26" a="1"/>
  <c r="AY7" i="26" s="1"/>
  <c r="Q6" i="26" a="1"/>
  <c r="Q6" i="26" s="1"/>
  <c r="AC6" i="26" a="1"/>
  <c r="AC6" i="26" s="1"/>
  <c r="X6" i="26"/>
  <c r="X6" i="26" a="1"/>
  <c r="AU5" i="26" a="1"/>
  <c r="AU5" i="26" s="1"/>
  <c r="AC5" i="26" a="1"/>
  <c r="AC5" i="26" s="1"/>
  <c r="AX11" i="26" a="1"/>
  <c r="AX11" i="26" s="1"/>
  <c r="C8" i="26" a="1"/>
  <c r="C8" i="26" s="1"/>
  <c r="AC10" i="26" a="1"/>
  <c r="AC10" i="26" s="1"/>
  <c r="AG12" i="26" a="1"/>
  <c r="AG12" i="26" s="1"/>
  <c r="T14" i="26" a="1"/>
  <c r="T14" i="26" s="1"/>
  <c r="AM5" i="26"/>
  <c r="AM5" i="26" a="1"/>
  <c r="AX10" i="26" a="1"/>
  <c r="AX10" i="26" s="1"/>
  <c r="AQ7" i="26" a="1"/>
  <c r="AQ7" i="26" s="1"/>
  <c r="AU14" i="26" a="1"/>
  <c r="AU14" i="26" s="1"/>
  <c r="W8" i="26" a="1"/>
  <c r="W8" i="26" s="1"/>
  <c r="AA10" i="26" a="1"/>
  <c r="AA10" i="26" s="1"/>
  <c r="AZ11" i="26" a="1"/>
  <c r="AZ11" i="26" s="1"/>
  <c r="AD5" i="26" a="1"/>
  <c r="AD5" i="26" s="1"/>
  <c r="AF12" i="26"/>
  <c r="AF12" i="26" a="1"/>
  <c r="Y9" i="26" a="1"/>
  <c r="Y9" i="26" s="1"/>
  <c r="AM12" i="26" a="1"/>
  <c r="AM12" i="26" s="1"/>
  <c r="AY6" i="26" a="1"/>
  <c r="AY6" i="26" s="1"/>
  <c r="AO7" i="26" a="1"/>
  <c r="AO7" i="26" s="1"/>
  <c r="AS9" i="26" a="1"/>
  <c r="AS9" i="26" s="1"/>
  <c r="V11" i="26" a="1"/>
  <c r="V11" i="26" s="1"/>
  <c r="AY13" i="26" a="1"/>
  <c r="AY13" i="26" s="1"/>
  <c r="S14" i="26"/>
  <c r="S14" i="26" a="1"/>
  <c r="AH19" i="26" a="1"/>
  <c r="AH19" i="26" s="1"/>
  <c r="E20" i="26" a="1"/>
  <c r="E20" i="26" s="1"/>
  <c r="AQ12" i="26" a="1"/>
  <c r="AQ12" i="26" s="1"/>
  <c r="C7" i="26" a="1"/>
  <c r="C7" i="26" s="1"/>
  <c r="Z10" i="26" a="1"/>
  <c r="Z10" i="26" s="1"/>
  <c r="AW9" i="26" a="1"/>
  <c r="AW9" i="26" s="1"/>
  <c r="I7" i="26" a="1"/>
  <c r="I7" i="26" s="1"/>
  <c r="C12" i="26"/>
  <c r="C12" i="26" a="1"/>
  <c r="N11" i="26" a="1"/>
  <c r="N11" i="26" s="1"/>
  <c r="AL14" i="26" a="1"/>
  <c r="AL14" i="26" s="1"/>
  <c r="AO5" i="26" a="1"/>
  <c r="AO5" i="26" s="1"/>
  <c r="BA5" i="26" a="1"/>
  <c r="BA5" i="26" s="1"/>
  <c r="U5" i="26" a="1"/>
  <c r="U5" i="26" s="1"/>
  <c r="AF11" i="26" a="1"/>
  <c r="AF11" i="26" s="1"/>
  <c r="AJ14" i="26" a="1"/>
  <c r="AJ14" i="26" s="1"/>
  <c r="AF6" i="26"/>
  <c r="AF6" i="26" a="1"/>
  <c r="V7" i="26" a="1"/>
  <c r="V7" i="26" s="1"/>
  <c r="S10" i="26" a="1"/>
  <c r="S10" i="26" s="1"/>
  <c r="AJ7" i="26" a="1"/>
  <c r="AJ7" i="26" s="1"/>
  <c r="K6" i="26" a="1"/>
  <c r="K6" i="26" s="1"/>
  <c r="AZ6" i="26" a="1"/>
  <c r="AZ6" i="26" s="1"/>
  <c r="H6" i="26" a="1"/>
  <c r="H6" i="26" s="1"/>
  <c r="E9" i="26" a="1"/>
  <c r="E9" i="26" s="1"/>
  <c r="F11" i="26"/>
  <c r="F11" i="26" a="1"/>
  <c r="E8" i="26" a="1"/>
  <c r="E8" i="26" s="1"/>
  <c r="C10" i="26" a="1"/>
  <c r="C10" i="26" s="1"/>
  <c r="E10" i="26" a="1"/>
  <c r="E10" i="26" s="1"/>
  <c r="AR10" i="26" a="1"/>
  <c r="AR10" i="26" s="1"/>
  <c r="M12" i="26" a="1"/>
  <c r="M12" i="26" s="1"/>
  <c r="AK6" i="26" a="1"/>
  <c r="AK6" i="26" s="1"/>
  <c r="M6" i="26" a="1"/>
  <c r="M6" i="26" s="1"/>
  <c r="AW6" i="26"/>
  <c r="AW6" i="26" a="1"/>
  <c r="AV7" i="26" a="1"/>
  <c r="AV7" i="26" s="1"/>
  <c r="D6" i="26" a="1"/>
  <c r="D6" i="26" s="1"/>
  <c r="AW5" i="26" a="1"/>
  <c r="AW5" i="26" s="1"/>
  <c r="AJ10" i="26" a="1"/>
  <c r="AJ10" i="26" s="1"/>
  <c r="R5" i="26" a="1"/>
  <c r="R5" i="26" s="1"/>
  <c r="I8" i="26" a="1"/>
  <c r="I8" i="26" s="1"/>
  <c r="AH9" i="26" a="1"/>
  <c r="AH9" i="26" s="1"/>
  <c r="I13" i="26"/>
  <c r="I13" i="26" a="1"/>
  <c r="AD8" i="26" a="1"/>
  <c r="AD8" i="26" s="1"/>
  <c r="G10" i="26" a="1"/>
  <c r="G10" i="26" s="1"/>
  <c r="R15" i="26" a="1"/>
  <c r="R15" i="26" s="1"/>
  <c r="AI10" i="26" a="1"/>
  <c r="AI10" i="26" s="1"/>
  <c r="AB7" i="26" a="1"/>
  <c r="AB7" i="26" s="1"/>
  <c r="AC14" i="26"/>
  <c r="AC14" i="26" a="1"/>
  <c r="AE6" i="26" a="1"/>
  <c r="AE6" i="26" s="1"/>
  <c r="H8" i="26"/>
  <c r="H8" i="26" a="1"/>
  <c r="L10" i="26" a="1"/>
  <c r="L10" i="26" s="1"/>
  <c r="AK11" i="26" a="1"/>
  <c r="AK11" i="26" s="1"/>
  <c r="C14" i="26" a="1"/>
  <c r="C14" i="26" s="1"/>
  <c r="E14" i="26" a="1"/>
  <c r="E14" i="26" s="1"/>
  <c r="BA9" i="26" a="1"/>
  <c r="BA9" i="26" s="1"/>
  <c r="I12" i="26"/>
  <c r="I12" i="26" a="1"/>
  <c r="AL13" i="26" a="1"/>
  <c r="AL13" i="26" s="1"/>
  <c r="AS15" i="26"/>
  <c r="AS15" i="26" a="1"/>
  <c r="M16" i="26" a="1"/>
  <c r="M16" i="26" s="1"/>
  <c r="V21" i="26" a="1"/>
  <c r="V21" i="26" s="1"/>
  <c r="W22" i="26" a="1"/>
  <c r="W22" i="26" s="1"/>
  <c r="AK10" i="26" a="1"/>
  <c r="AK10" i="26" s="1"/>
  <c r="AI8" i="26" a="1"/>
  <c r="AI8" i="26" s="1"/>
  <c r="AN7" i="26"/>
  <c r="AN7" i="26" a="1"/>
  <c r="C13" i="26" a="1"/>
  <c r="C13" i="26" s="1"/>
  <c r="AK12" i="26"/>
  <c r="AK12" i="26" a="1"/>
  <c r="AI5" i="26" a="1"/>
  <c r="AI5" i="26" s="1"/>
  <c r="AS10" i="26" a="1"/>
  <c r="AS10" i="26" s="1"/>
  <c r="AG15" i="26" a="1"/>
  <c r="AG15" i="26" s="1"/>
  <c r="G6" i="26" a="1"/>
  <c r="G6" i="26" s="1"/>
  <c r="Z8" i="26" a="1"/>
  <c r="Z8" i="26" s="1"/>
  <c r="AQ9" i="26"/>
  <c r="AQ9" i="26" a="1"/>
  <c r="AA6" i="26" a="1"/>
  <c r="AA6" i="26" s="1"/>
  <c r="AI12" i="26"/>
  <c r="AI12" i="26" a="1"/>
  <c r="N14" i="26" a="1"/>
  <c r="N14" i="26" s="1"/>
  <c r="AH14" i="26" a="1"/>
  <c r="AH14" i="26" s="1"/>
  <c r="AJ18" i="26" a="1"/>
  <c r="AJ18" i="26" s="1"/>
  <c r="G11" i="26" a="1"/>
  <c r="G11" i="26" s="1"/>
  <c r="I11" i="26" a="1"/>
  <c r="I11" i="26" s="1"/>
  <c r="AV5" i="26"/>
  <c r="AV5" i="26" a="1"/>
  <c r="AL6" i="26" a="1"/>
  <c r="AL6" i="26" s="1"/>
  <c r="AD11" i="26"/>
  <c r="AD11" i="26" a="1"/>
  <c r="K5" i="26" a="1"/>
  <c r="K5" i="26" s="1"/>
  <c r="K9" i="26" a="1"/>
  <c r="K9" i="26" s="1"/>
  <c r="AB10" i="26" a="1"/>
  <c r="AB10" i="26" s="1"/>
  <c r="AJ8" i="26" a="1"/>
  <c r="AJ8" i="26" s="1"/>
  <c r="K15" i="26" a="1"/>
  <c r="K15" i="26" s="1"/>
  <c r="U8" i="26"/>
  <c r="U8" i="26" a="1"/>
  <c r="AI14" i="26" a="1"/>
  <c r="AI14" i="26" s="1"/>
  <c r="AW14" i="26"/>
  <c r="AW14" i="26" a="1"/>
  <c r="AY18" i="26" a="1"/>
  <c r="AY18" i="26" s="1"/>
  <c r="AO13" i="26" a="1"/>
  <c r="AO13" i="26" s="1"/>
  <c r="W9" i="26" a="1"/>
  <c r="W9" i="26" s="1"/>
  <c r="H16" i="26" a="1"/>
  <c r="H16" i="26" s="1"/>
  <c r="H12" i="26" a="1"/>
  <c r="H12" i="26" s="1"/>
  <c r="AH6" i="26"/>
  <c r="AH6" i="26" a="1"/>
  <c r="U9" i="26" a="1"/>
  <c r="U9" i="26" s="1"/>
  <c r="AT10" i="26"/>
  <c r="AT10" i="26" a="1"/>
  <c r="P6" i="26" a="1"/>
  <c r="P6" i="26" s="1"/>
  <c r="F9" i="26" a="1"/>
  <c r="F9" i="26" s="1"/>
  <c r="AB12" i="26" a="1"/>
  <c r="AB12" i="26" s="1"/>
  <c r="AV14" i="26" a="1"/>
  <c r="AV14" i="26" s="1"/>
  <c r="P22" i="26" a="1"/>
  <c r="P22" i="26" s="1"/>
  <c r="AZ18" i="26"/>
  <c r="AZ18" i="26" a="1"/>
  <c r="Q14" i="26" a="1"/>
  <c r="Q14" i="26" s="1"/>
  <c r="S7" i="26"/>
  <c r="S7" i="26" a="1"/>
  <c r="AL5" i="26" a="1"/>
  <c r="AL5" i="26" s="1"/>
  <c r="M8" i="26" a="1"/>
  <c r="M8" i="26" s="1"/>
  <c r="AR6" i="26" a="1"/>
  <c r="AR6" i="26" s="1"/>
  <c r="BA10" i="26" a="1"/>
  <c r="BA10" i="26" s="1"/>
  <c r="V12" i="26" a="1"/>
  <c r="V12" i="26" s="1"/>
  <c r="AD10" i="26"/>
  <c r="AD10" i="26" a="1"/>
  <c r="F14" i="26" a="1"/>
  <c r="F14" i="26" s="1"/>
  <c r="K8" i="26"/>
  <c r="K8" i="26" a="1"/>
  <c r="AB9" i="26" a="1"/>
  <c r="AB9" i="26" s="1"/>
  <c r="L16" i="26" a="1"/>
  <c r="L16" i="26" s="1"/>
  <c r="AW19" i="26" a="1"/>
  <c r="AW19" i="26" s="1"/>
  <c r="AY20" i="26" a="1"/>
  <c r="AY20" i="26" s="1"/>
  <c r="AB6" i="26" a="1"/>
  <c r="AB6" i="26" s="1"/>
  <c r="R7" i="26"/>
  <c r="R7" i="26" a="1"/>
  <c r="Q11" i="26" a="1"/>
  <c r="Q11" i="26" s="1"/>
  <c r="AH12" i="26"/>
  <c r="AH12" i="26" a="1"/>
  <c r="AL11" i="26" a="1"/>
  <c r="AL11" i="26" s="1"/>
  <c r="BA12" i="26" a="1"/>
  <c r="BA12" i="26" s="1"/>
  <c r="T6" i="26" a="1"/>
  <c r="T6" i="26" s="1"/>
  <c r="O11" i="26" a="1"/>
  <c r="O11" i="26" s="1"/>
  <c r="AE5" i="26" a="1"/>
  <c r="AE5" i="26" s="1"/>
  <c r="AR8" i="26"/>
  <c r="AR8" i="26" a="1"/>
  <c r="M10" i="26" a="1"/>
  <c r="M10" i="26" s="1"/>
  <c r="AC8" i="26"/>
  <c r="AC8" i="26" a="1"/>
  <c r="AT9" i="26" a="1"/>
  <c r="AT9" i="26" s="1"/>
  <c r="AA16" i="26" a="1"/>
  <c r="AA16" i="26" s="1"/>
  <c r="M20" i="26" a="1"/>
  <c r="M20" i="26" s="1"/>
  <c r="I22" i="26" a="1"/>
  <c r="I22" i="26" s="1"/>
  <c r="H10" i="26" a="1"/>
  <c r="H10" i="26" s="1"/>
  <c r="AI11" i="26" a="1"/>
  <c r="AI11" i="26" s="1"/>
  <c r="AB8" i="26" a="1"/>
  <c r="AB8" i="26" s="1"/>
  <c r="M11" i="26"/>
  <c r="M11" i="26" a="1"/>
  <c r="AR5" i="26" a="1"/>
  <c r="AR5" i="26" s="1"/>
  <c r="H13" i="26" a="1"/>
  <c r="H13" i="26" s="1"/>
  <c r="R11" i="26" a="1"/>
  <c r="R11" i="26" s="1"/>
  <c r="AO12" i="26" a="1"/>
  <c r="AO12" i="26" s="1"/>
  <c r="D12" i="26" a="1"/>
  <c r="D12" i="26" s="1"/>
  <c r="AU8" i="26" a="1"/>
  <c r="AU8" i="26" s="1"/>
  <c r="AY10" i="26" a="1"/>
  <c r="AY10" i="26" s="1"/>
  <c r="AP16" i="26"/>
  <c r="AP16" i="26" a="1"/>
  <c r="E17" i="26" a="1"/>
  <c r="E17" i="26" s="1"/>
  <c r="X22" i="26" a="1"/>
  <c r="X22" i="26" s="1"/>
  <c r="AD12" i="26" a="1"/>
  <c r="AD12" i="26" s="1"/>
  <c r="AX7" i="26" a="1"/>
  <c r="AX7" i="26" s="1"/>
  <c r="AU15" i="26" a="1"/>
  <c r="AU15" i="26" s="1"/>
  <c r="AA8" i="26"/>
  <c r="AA8" i="26" a="1"/>
  <c r="AR14" i="26" a="1"/>
  <c r="AR14" i="26" s="1"/>
  <c r="AV8" i="26"/>
  <c r="AV8" i="26" a="1"/>
  <c r="AC15" i="26" a="1"/>
  <c r="AC15" i="26" s="1"/>
  <c r="AT7" i="26" a="1"/>
  <c r="AT7" i="26" s="1"/>
  <c r="P7" i="26" a="1"/>
  <c r="P7" i="26" s="1"/>
  <c r="AL10" i="26" a="1"/>
  <c r="AL10" i="26" s="1"/>
  <c r="G12" i="26" a="1"/>
  <c r="G12" i="26" s="1"/>
  <c r="C16" i="26" a="1"/>
  <c r="C16" i="26" s="1"/>
  <c r="O10" i="26" a="1"/>
  <c r="O10" i="26" s="1"/>
  <c r="AP12" i="26"/>
  <c r="AP12" i="26" a="1"/>
  <c r="AB16" i="26" a="1"/>
  <c r="AB16" i="26" s="1"/>
  <c r="T20" i="26"/>
  <c r="T20" i="26" a="1"/>
  <c r="T13" i="26" a="1"/>
  <c r="T13" i="26" s="1"/>
  <c r="J8" i="26" a="1"/>
  <c r="J8" i="26" s="1"/>
  <c r="D10" i="26" a="1"/>
  <c r="D10" i="26" s="1"/>
  <c r="C15" i="26" a="1"/>
  <c r="C15" i="26" s="1"/>
  <c r="AE8" i="26" a="1"/>
  <c r="AE8" i="26" s="1"/>
  <c r="J7" i="26" a="1"/>
  <c r="J7" i="26" s="1"/>
  <c r="W11" i="26" a="1"/>
  <c r="W11" i="26" s="1"/>
  <c r="AL12" i="26"/>
  <c r="AL12" i="26" a="1"/>
  <c r="AN6" i="26" a="1"/>
  <c r="AN6" i="26" s="1"/>
  <c r="AV10" i="26"/>
  <c r="AV10" i="26" a="1"/>
  <c r="AV15" i="26" a="1"/>
  <c r="AV15" i="26" s="1"/>
  <c r="AY5" i="26" a="1"/>
  <c r="AY5" i="26" s="1"/>
  <c r="AG10" i="26" a="1"/>
  <c r="AG10" i="26" s="1"/>
  <c r="U14" i="26" a="1"/>
  <c r="U14" i="26" s="1"/>
  <c r="AQ16" i="26" a="1"/>
  <c r="AQ16" i="26" s="1"/>
  <c r="AI20" i="26" a="1"/>
  <c r="AI20" i="26" s="1"/>
  <c r="M9" i="26" a="1"/>
  <c r="M9" i="26" s="1"/>
  <c r="AP6" i="26"/>
  <c r="AP6" i="26" a="1"/>
  <c r="AN10" i="26" a="1"/>
  <c r="AN10" i="26" s="1"/>
  <c r="X5" i="26"/>
  <c r="X5" i="26" a="1"/>
  <c r="AF7" i="26" a="1"/>
  <c r="AF7" i="26" s="1"/>
  <c r="AC9" i="26" a="1"/>
  <c r="AC9" i="26" s="1"/>
  <c r="AG11" i="26" a="1"/>
  <c r="AG11" i="26" s="1"/>
  <c r="N9" i="26" a="1"/>
  <c r="N9" i="26" s="1"/>
  <c r="AO15" i="26" a="1"/>
  <c r="AO15" i="26" s="1"/>
  <c r="AZ7" i="26" a="1"/>
  <c r="AZ7" i="26" s="1"/>
  <c r="N15" i="26" a="1"/>
  <c r="N15" i="26" s="1"/>
  <c r="AR18" i="26"/>
  <c r="AR18" i="26" a="1"/>
  <c r="K19" i="26" a="1"/>
  <c r="K19" i="26" s="1"/>
  <c r="AE9" i="26"/>
  <c r="AE9" i="26" a="1"/>
  <c r="F13" i="26" a="1"/>
  <c r="F13" i="26" s="1"/>
  <c r="R6" i="26"/>
  <c r="R6" i="26" a="1"/>
  <c r="N10" i="26" a="1"/>
  <c r="N10" i="26" s="1"/>
  <c r="O5" i="26" a="1"/>
  <c r="O5" i="26" s="1"/>
  <c r="H9" i="26" a="1"/>
  <c r="H9" i="26" s="1"/>
  <c r="Y10" i="26" a="1"/>
  <c r="Y10" i="26" s="1"/>
  <c r="E7" i="26" a="1"/>
  <c r="E7" i="26" s="1"/>
  <c r="AG8" i="26"/>
  <c r="AG8" i="26" a="1"/>
  <c r="AX14" i="26" a="1"/>
  <c r="AX14" i="26" s="1"/>
  <c r="F5" i="26"/>
  <c r="F5" i="26" a="1"/>
  <c r="AE7" i="26" a="1"/>
  <c r="AE7" i="26" s="1"/>
  <c r="W10" i="26"/>
  <c r="W10" i="26" a="1"/>
  <c r="AN11" i="26" a="1"/>
  <c r="AN11" i="26" s="1"/>
  <c r="AN12" i="26" a="1"/>
  <c r="AN12" i="26" s="1"/>
  <c r="AK21" i="26" a="1"/>
  <c r="AK21" i="26" s="1"/>
  <c r="J13" i="26" a="1"/>
  <c r="J13" i="26" s="1"/>
  <c r="AS8" i="26" a="1"/>
  <c r="AS8" i="26" s="1"/>
  <c r="Z15" i="26"/>
  <c r="Z15" i="26" a="1"/>
  <c r="R9" i="26" a="1"/>
  <c r="R9" i="26" s="1"/>
  <c r="K16" i="26"/>
  <c r="K16" i="26" a="1"/>
  <c r="C9" i="26" a="1"/>
  <c r="C9" i="26" s="1"/>
  <c r="P8" i="26"/>
  <c r="P8" i="26" a="1"/>
  <c r="AP7" i="26" a="1"/>
  <c r="AP7" i="26" s="1"/>
  <c r="H11" i="26" a="1"/>
  <c r="H11" i="26" s="1"/>
  <c r="Y12" i="26" a="1"/>
  <c r="Y12" i="26" s="1"/>
  <c r="AO10" i="26" a="1"/>
  <c r="AO10" i="26" s="1"/>
  <c r="J12" i="26" a="1"/>
  <c r="J12" i="26" s="1"/>
  <c r="G13" i="26"/>
  <c r="G13" i="26" a="1"/>
  <c r="AZ21" i="26" a="1"/>
  <c r="AZ21" i="26" s="1"/>
  <c r="AK14" i="26"/>
  <c r="AK14" i="26" a="1"/>
  <c r="AZ5" i="26" a="1"/>
  <c r="AZ5" i="26" s="1"/>
  <c r="D14" i="26" a="1"/>
  <c r="D14" i="26" s="1"/>
  <c r="O9" i="26" a="1"/>
  <c r="O9" i="26" s="1"/>
  <c r="O7" i="26" a="1"/>
  <c r="O7" i="26" s="1"/>
  <c r="AV11" i="26" a="1"/>
  <c r="AV11" i="26" s="1"/>
  <c r="C11" i="26" a="1"/>
  <c r="C11" i="26" s="1"/>
  <c r="AH8" i="26" a="1"/>
  <c r="AH8" i="26" s="1"/>
  <c r="N16" i="26"/>
  <c r="N16" i="26" a="1"/>
  <c r="G5" i="26" a="1"/>
  <c r="G5" i="26" s="1"/>
  <c r="Z11" i="26"/>
  <c r="Z11" i="26" a="1"/>
  <c r="S8" i="26" a="1"/>
  <c r="S8" i="26" s="1"/>
  <c r="K11" i="26" a="1"/>
  <c r="K11" i="26" s="1"/>
  <c r="O16" i="26" a="1"/>
  <c r="O16" i="26" s="1"/>
  <c r="V13" i="26" a="1"/>
  <c r="V13" i="26" s="1"/>
  <c r="AX20" i="26" a="1"/>
  <c r="AX20" i="26" s="1"/>
  <c r="P16" i="26" a="1"/>
  <c r="P16" i="26" s="1"/>
  <c r="AB5" i="26" a="1"/>
  <c r="AB5" i="26" s="1"/>
  <c r="AM6" i="26"/>
  <c r="AM6" i="26" a="1"/>
  <c r="Z12" i="26" a="1"/>
  <c r="Z12" i="26" s="1"/>
  <c r="AM10" i="26"/>
  <c r="AM10" i="26" a="1"/>
  <c r="AY14" i="26" a="1"/>
  <c r="AY14" i="26" s="1"/>
  <c r="L11" i="26" a="1"/>
  <c r="L11" i="26" s="1"/>
  <c r="I5" i="26" a="1"/>
  <c r="I5" i="26" s="1"/>
  <c r="AO8" i="26" a="1"/>
  <c r="AO8" i="26" s="1"/>
  <c r="J10" i="26" a="1"/>
  <c r="J10" i="26" s="1"/>
  <c r="R8" i="26" a="1"/>
  <c r="R8" i="26" s="1"/>
  <c r="AF14" i="26" a="1"/>
  <c r="AF14" i="26" s="1"/>
  <c r="Z5" i="26"/>
  <c r="Z5" i="26" a="1"/>
  <c r="AA12" i="26" a="1"/>
  <c r="AA12" i="26" s="1"/>
  <c r="R14" i="26"/>
  <c r="R14" i="26" a="1"/>
  <c r="N18" i="26" a="1"/>
  <c r="N18" i="26" s="1"/>
  <c r="AL22" i="26" a="1"/>
  <c r="AL22" i="26" s="1"/>
  <c r="AC16" i="26" a="1"/>
  <c r="AC16" i="26" s="1"/>
  <c r="S5" i="26" a="1"/>
  <c r="S5" i="26" s="1"/>
  <c r="BA8" i="26" a="1"/>
  <c r="BA8" i="26" s="1"/>
  <c r="V10" i="26" a="1"/>
  <c r="V10" i="26" s="1"/>
  <c r="Z9" i="26" a="1"/>
  <c r="Z9" i="26" s="1"/>
  <c r="AQ10" i="26"/>
  <c r="AQ10" i="26" a="1"/>
  <c r="AY8" i="26" a="1"/>
  <c r="AY8" i="26" s="1"/>
  <c r="AF15" i="26"/>
  <c r="AF15" i="26" a="1"/>
  <c r="D16" i="26" a="1"/>
  <c r="D16" i="26" s="1"/>
  <c r="AW7" i="26" a="1"/>
  <c r="AW7" i="26" s="1"/>
  <c r="L7" i="26" a="1"/>
  <c r="L7" i="26" s="1"/>
  <c r="AH7" i="26" a="1"/>
  <c r="AH7" i="26" s="1"/>
  <c r="AG14" i="26" a="1"/>
  <c r="AG14" i="26" s="1"/>
  <c r="AC18" i="26" a="1"/>
  <c r="AC18" i="26" s="1"/>
  <c r="G18" i="26" a="1"/>
  <c r="G18" i="26" s="1"/>
  <c r="AV9" i="26"/>
  <c r="AV9" i="26" a="1"/>
  <c r="AA11" i="26" a="1"/>
  <c r="AA11" i="26" s="1"/>
  <c r="AX12" i="26"/>
  <c r="AX12" i="26" a="1"/>
  <c r="AO16" i="26" a="1"/>
  <c r="AO16" i="26" s="1"/>
  <c r="AO11" i="26" a="1"/>
  <c r="AO11" i="26" s="1"/>
  <c r="AE10" i="26" a="1"/>
  <c r="AE10" i="26" s="1"/>
  <c r="AD7" i="26" a="1"/>
  <c r="AD7" i="26" s="1"/>
  <c r="AM8" i="26" a="1"/>
  <c r="AM8" i="26" s="1"/>
  <c r="P10" i="26" a="1"/>
  <c r="P10" i="26" s="1"/>
  <c r="P15" i="26" a="1"/>
  <c r="P15" i="26" s="1"/>
  <c r="AB20" i="26"/>
  <c r="AB20" i="26" a="1"/>
  <c r="R10" i="26" a="1"/>
  <c r="R10" i="26" s="1"/>
  <c r="AQ11" i="26"/>
  <c r="AQ11" i="26" a="1"/>
  <c r="D15" i="26" a="1"/>
  <c r="D15" i="26" s="1"/>
  <c r="F10" i="26" a="1"/>
  <c r="F10" i="26" s="1"/>
  <c r="S9" i="26" a="1"/>
  <c r="S9" i="26" s="1"/>
  <c r="AX13" i="26" a="1"/>
  <c r="AX13" i="26" s="1"/>
  <c r="D9" i="26" a="1"/>
  <c r="D9" i="26" s="1"/>
  <c r="K7" i="26" a="1"/>
  <c r="K7" i="26" s="1"/>
  <c r="E13" i="26" a="1"/>
  <c r="E13" i="26" s="1"/>
  <c r="AC11" i="26"/>
  <c r="AC11" i="26" a="1"/>
  <c r="U11" i="26" a="1"/>
  <c r="U11" i="26" s="1"/>
  <c r="AH10" i="26"/>
  <c r="AH10" i="26" a="1"/>
  <c r="AR15" i="26" a="1"/>
  <c r="AR15" i="26" s="1"/>
  <c r="O15" i="26" a="1"/>
  <c r="O15" i="26" s="1"/>
  <c r="AK13" i="26" a="1"/>
  <c r="AK13" i="26" s="1"/>
  <c r="T17" i="26" a="1"/>
  <c r="T17" i="26" s="1"/>
  <c r="AQ20" i="26" a="1"/>
  <c r="AQ20" i="26" s="1"/>
  <c r="Z19" i="26"/>
  <c r="Z19" i="26" a="1"/>
  <c r="L19" i="26" a="1"/>
  <c r="L19" i="26" s="1"/>
  <c r="AL17" i="26"/>
  <c r="AL17" i="26" a="1"/>
  <c r="E6" i="26" a="1"/>
  <c r="E6" i="26" s="1"/>
  <c r="AU7" i="26"/>
  <c r="AU7" i="26" a="1"/>
  <c r="W12" i="26" a="1"/>
  <c r="W12" i="26" s="1"/>
  <c r="O12" i="26" a="1"/>
  <c r="O12" i="26" s="1"/>
  <c r="AB11" i="26" a="1"/>
  <c r="AB11" i="26" s="1"/>
  <c r="U17" i="26" a="1"/>
  <c r="U17" i="26" s="1"/>
  <c r="T8" i="26" a="1"/>
  <c r="T8" i="26" s="1"/>
  <c r="L8" i="26"/>
  <c r="L8" i="26" a="1"/>
  <c r="AJ12" i="26" a="1"/>
  <c r="AJ12" i="26" s="1"/>
  <c r="AW11" i="26"/>
  <c r="AW11" i="26" a="1"/>
  <c r="X13" i="26" a="1"/>
  <c r="X13" i="26" s="1"/>
  <c r="AI6" i="26"/>
  <c r="AI6" i="26" a="1"/>
  <c r="AH5" i="26" a="1"/>
  <c r="AH5" i="26" s="1"/>
  <c r="Q10" i="26" a="1"/>
  <c r="Q10" i="26" s="1"/>
  <c r="I10" i="26" a="1"/>
  <c r="I10" i="26" s="1"/>
  <c r="V9" i="26" a="1"/>
  <c r="V9" i="26" s="1"/>
  <c r="BA13" i="26" a="1"/>
  <c r="BA13" i="26" s="1"/>
  <c r="D5" i="26"/>
  <c r="D5" i="26" a="1"/>
  <c r="G7" i="26" a="1"/>
  <c r="G7" i="26" s="1"/>
  <c r="AJ5" i="26"/>
  <c r="AJ5" i="26" a="1"/>
  <c r="Z6" i="26" a="1"/>
  <c r="Z6" i="26" s="1"/>
  <c r="AU11" i="26"/>
  <c r="AU11" i="26" a="1"/>
  <c r="Q13" i="26" a="1"/>
  <c r="Q13" i="26" s="1"/>
  <c r="AD15" i="26" a="1"/>
  <c r="AD15" i="26" s="1"/>
  <c r="S19" i="26" a="1"/>
  <c r="S19" i="26" s="1"/>
  <c r="AO19" i="26" a="1"/>
  <c r="AO19" i="26" s="1"/>
  <c r="V14" i="26" a="1"/>
  <c r="V14" i="26" s="1"/>
  <c r="AU18" i="26"/>
  <c r="AU18" i="26" a="1"/>
  <c r="Q21" i="26" a="1"/>
  <c r="Q21" i="26" s="1"/>
  <c r="AM20" i="26"/>
  <c r="AM20" i="26" a="1"/>
  <c r="X14" i="26" a="1"/>
  <c r="X14" i="26" s="1"/>
  <c r="AQ13" i="26"/>
  <c r="AQ13" i="26" a="1"/>
  <c r="M21" i="26" a="1"/>
  <c r="M21" i="26" s="1"/>
  <c r="AO20" i="26" a="1"/>
  <c r="AO20" i="26" s="1"/>
  <c r="AT22" i="26" a="1"/>
  <c r="AT22" i="26" s="1"/>
  <c r="L17" i="26" a="1"/>
  <c r="L17" i="26" s="1"/>
  <c r="AB14" i="26" a="1"/>
  <c r="AB14" i="26" s="1"/>
  <c r="V20" i="26"/>
  <c r="V20" i="26" a="1"/>
  <c r="W21" i="26" a="1"/>
  <c r="W21" i="26" s="1"/>
  <c r="R22" i="26"/>
  <c r="R22" i="26" a="1"/>
  <c r="X16" i="26" a="1"/>
  <c r="X16" i="26" s="1"/>
  <c r="Q17" i="26"/>
  <c r="Q17" i="26" a="1"/>
  <c r="R18" i="26" a="1"/>
  <c r="R18" i="26" s="1"/>
  <c r="I19" i="26" a="1"/>
  <c r="I19" i="26" s="1"/>
  <c r="AE20" i="26" a="1"/>
  <c r="AE20" i="26" s="1"/>
  <c r="AF21" i="26" a="1"/>
  <c r="AF21" i="26" s="1"/>
  <c r="AA22" i="26" a="1"/>
  <c r="AA22" i="26" s="1"/>
  <c r="AM14" i="26"/>
  <c r="AM14" i="26" a="1"/>
  <c r="AK15" i="26" a="1"/>
  <c r="AK15" i="26" s="1"/>
  <c r="AB21" i="26"/>
  <c r="AB21" i="26" a="1"/>
  <c r="AC22" i="26" a="1"/>
  <c r="AC22" i="26" s="1"/>
  <c r="AY22" i="26"/>
  <c r="AY22" i="26" a="1"/>
  <c r="AS13" i="26" a="1"/>
  <c r="AS13" i="26" s="1"/>
  <c r="AQ14" i="26" a="1"/>
  <c r="AQ14" i="26" s="1"/>
  <c r="AK20" i="26" a="1"/>
  <c r="AK20" i="26" s="1"/>
  <c r="AL21" i="26" a="1"/>
  <c r="AL21" i="26" s="1"/>
  <c r="AG22" i="26" a="1"/>
  <c r="AG22" i="26" s="1"/>
  <c r="AM16" i="26"/>
  <c r="AM16" i="26" a="1"/>
  <c r="AF17" i="26" a="1"/>
  <c r="AF17" i="26" s="1"/>
  <c r="W20" i="26"/>
  <c r="W20" i="26" a="1"/>
  <c r="R21" i="26" a="1"/>
  <c r="R21" i="26" s="1"/>
  <c r="AA13" i="26"/>
  <c r="AA13" i="26" a="1"/>
  <c r="Y14" i="26" a="1"/>
  <c r="Y14" i="26" s="1"/>
  <c r="S20" i="26" a="1"/>
  <c r="S20" i="26" s="1"/>
  <c r="AW17" i="26" a="1"/>
  <c r="AW17" i="26" s="1"/>
  <c r="AR7" i="26" a="1"/>
  <c r="AR7" i="26" s="1"/>
  <c r="T12" i="26" a="1"/>
  <c r="T12" i="26" s="1"/>
  <c r="L12" i="26"/>
  <c r="L12" i="26" a="1"/>
  <c r="Y11" i="26" a="1"/>
  <c r="Y11" i="26" s="1"/>
  <c r="R17" i="26"/>
  <c r="R17" i="26" a="1"/>
  <c r="E5" i="26" a="1"/>
  <c r="E5" i="26" s="1"/>
  <c r="N6" i="26"/>
  <c r="N6" i="26" a="1"/>
  <c r="AR9" i="26" a="1"/>
  <c r="AR9" i="26" s="1"/>
  <c r="AJ9" i="26" a="1"/>
  <c r="AJ9" i="26" s="1"/>
  <c r="AW8" i="26" a="1"/>
  <c r="AW8" i="26" s="1"/>
  <c r="Z13" i="26" a="1"/>
  <c r="Z13" i="26" s="1"/>
  <c r="C5" i="26" a="1"/>
  <c r="C5" i="26" s="1"/>
  <c r="F7" i="26"/>
  <c r="F7" i="26" a="1"/>
  <c r="AJ6" i="26" a="1"/>
  <c r="AJ6" i="26" s="1"/>
  <c r="AA5" i="26"/>
  <c r="AA5" i="26" a="1"/>
  <c r="AC7" i="26" a="1"/>
  <c r="AC7" i="26" s="1"/>
  <c r="BA11" i="26" a="1"/>
  <c r="BA11" i="26" s="1"/>
  <c r="AS11" i="26" a="1"/>
  <c r="AS11" i="26" s="1"/>
  <c r="J11" i="26" a="1"/>
  <c r="J11" i="26" s="1"/>
  <c r="AL16" i="26" a="1"/>
  <c r="AL16" i="26" s="1"/>
  <c r="AI7" i="26" a="1"/>
  <c r="AI7" i="26" s="1"/>
  <c r="K12" i="26" a="1"/>
  <c r="K12" i="26" s="1"/>
  <c r="AY11" i="26"/>
  <c r="AY11" i="26" a="1"/>
  <c r="P11" i="26" a="1"/>
  <c r="P11" i="26" s="1"/>
  <c r="AR16" i="26"/>
  <c r="AR16" i="26" a="1"/>
  <c r="AN5" i="26" a="1"/>
  <c r="AN5" i="26" s="1"/>
  <c r="AF9" i="26" a="1"/>
  <c r="AF9" i="26" s="1"/>
  <c r="X9" i="26" a="1"/>
  <c r="X9" i="26" s="1"/>
  <c r="AK8" i="26" a="1"/>
  <c r="AK8" i="26" s="1"/>
  <c r="K13" i="26" a="1"/>
  <c r="K13" i="26" s="1"/>
  <c r="AL7" i="26" a="1"/>
  <c r="AL7" i="26" s="1"/>
  <c r="N12" i="26" a="1"/>
  <c r="N12" i="26" s="1"/>
  <c r="F12" i="26"/>
  <c r="F12" i="26" a="1"/>
  <c r="S11" i="26" a="1"/>
  <c r="S11" i="26" s="1"/>
  <c r="C17" i="26"/>
  <c r="C17" i="26" a="1"/>
  <c r="W7" i="26" a="1"/>
  <c r="W7" i="26" s="1"/>
  <c r="AN8" i="26" a="1"/>
  <c r="AN8" i="26" s="1"/>
  <c r="Z16" i="26" a="1"/>
  <c r="Z16" i="26" s="1"/>
  <c r="AT15" i="26" a="1"/>
  <c r="AT15" i="26" s="1"/>
  <c r="G21" i="26" a="1"/>
  <c r="G21" i="26" s="1"/>
  <c r="AS16" i="26" a="1"/>
  <c r="AS16" i="26" s="1"/>
  <c r="AW15" i="26" a="1"/>
  <c r="AW15" i="26" s="1"/>
  <c r="X18" i="26"/>
  <c r="X18" i="26" a="1"/>
  <c r="AT17" i="26" a="1"/>
  <c r="AT17" i="26" s="1"/>
  <c r="AF16" i="26"/>
  <c r="AF16" i="26" a="1"/>
  <c r="AY15" i="26" a="1"/>
  <c r="AY15" i="26" s="1"/>
  <c r="T18" i="26" a="1"/>
  <c r="T18" i="26" s="1"/>
  <c r="AK22" i="26" a="1"/>
  <c r="AK22" i="26" s="1"/>
  <c r="L20" i="26" a="1"/>
  <c r="L20" i="26" s="1"/>
  <c r="K14" i="26" a="1"/>
  <c r="K14" i="26" s="1"/>
  <c r="AJ16" i="26" a="1"/>
  <c r="AJ16" i="26" s="1"/>
  <c r="G16" i="26" a="1"/>
  <c r="G16" i="26" s="1"/>
  <c r="AT21" i="26"/>
  <c r="AT21" i="26" a="1"/>
  <c r="AZ17" i="26" a="1"/>
  <c r="AZ17" i="26" s="1"/>
  <c r="BA16" i="26"/>
  <c r="BA16" i="26" a="1"/>
  <c r="AU17" i="26" a="1"/>
  <c r="AU17" i="26" s="1"/>
  <c r="AO18" i="26" a="1"/>
  <c r="AO18" i="26" s="1"/>
  <c r="AL19" i="26" a="1"/>
  <c r="AL19" i="26" s="1"/>
  <c r="AG20" i="26" a="1"/>
  <c r="AG20" i="26" s="1"/>
  <c r="D22" i="26" a="1"/>
  <c r="D22" i="26" s="1"/>
  <c r="J18" i="26" a="1"/>
  <c r="J18" i="26" s="1"/>
  <c r="T15" i="26" a="1"/>
  <c r="T15" i="26" s="1"/>
  <c r="R16" i="26"/>
  <c r="R16" i="26" a="1"/>
  <c r="K17" i="26" a="1"/>
  <c r="K17" i="26" s="1"/>
  <c r="L18" i="26"/>
  <c r="L18" i="26" a="1"/>
  <c r="C19" i="26" a="1"/>
  <c r="C19" i="26" s="1"/>
  <c r="Z14" i="26" a="1"/>
  <c r="Z14" i="26" s="1"/>
  <c r="X15" i="26" a="1"/>
  <c r="X15" i="26" s="1"/>
  <c r="V16" i="26" a="1"/>
  <c r="V16" i="26" s="1"/>
  <c r="J22" i="26" a="1"/>
  <c r="J22" i="26" s="1"/>
  <c r="P18" i="26" a="1"/>
  <c r="P18" i="26" s="1"/>
  <c r="O17" i="26" a="1"/>
  <c r="O17" i="26" s="1"/>
  <c r="AZ12" i="26"/>
  <c r="AZ12" i="26" a="1"/>
  <c r="AU21" i="26" a="1"/>
  <c r="AU21" i="26" s="1"/>
  <c r="AN22" i="26"/>
  <c r="AN22" i="26" a="1"/>
  <c r="F15" i="26" a="1"/>
  <c r="F15" i="26" s="1"/>
  <c r="AZ15" i="26" a="1"/>
  <c r="AZ15" i="26" s="1"/>
  <c r="AQ21" i="26" a="1"/>
  <c r="AQ21" i="26" s="1"/>
  <c r="AP20" i="26" a="1"/>
  <c r="AP20" i="26" s="1"/>
  <c r="R12" i="26" a="1"/>
  <c r="R12" i="26" s="1"/>
  <c r="AE11" i="26" a="1"/>
  <c r="AE11" i="26" s="1"/>
  <c r="AG17" i="26" a="1"/>
  <c r="AG17" i="26" s="1"/>
  <c r="T5" i="26"/>
  <c r="T5" i="26" a="1"/>
  <c r="AD6" i="26" a="1"/>
  <c r="AD6" i="26" s="1"/>
  <c r="L6" i="26"/>
  <c r="L6" i="26" a="1"/>
  <c r="AX6" i="26" a="1"/>
  <c r="AX6" i="26" s="1"/>
  <c r="Q9" i="26" a="1"/>
  <c r="Q9" i="26" s="1"/>
  <c r="I9" i="26" a="1"/>
  <c r="I9" i="26" s="1"/>
  <c r="V8" i="26" a="1"/>
  <c r="V8" i="26" s="1"/>
  <c r="AR12" i="26" a="1"/>
  <c r="AR12" i="26" s="1"/>
  <c r="U13" i="26" a="1"/>
  <c r="U13" i="26" s="1"/>
  <c r="D17" i="26" a="1"/>
  <c r="D17" i="26" s="1"/>
  <c r="AE15" i="26"/>
  <c r="AE15" i="26" a="1"/>
  <c r="D19" i="26" a="1"/>
  <c r="D19" i="26" s="1"/>
  <c r="AE22" i="26"/>
  <c r="AE22" i="26" a="1"/>
  <c r="N21" i="26" a="1"/>
  <c r="N21" i="26" s="1"/>
  <c r="AD16" i="26" a="1"/>
  <c r="AD16" i="26" s="1"/>
  <c r="AQ6" i="26" a="1"/>
  <c r="AQ6" i="26" s="1"/>
  <c r="AP5" i="26" a="1"/>
  <c r="AP5" i="26" s="1"/>
  <c r="K10" i="26" a="1"/>
  <c r="K10" i="26" s="1"/>
  <c r="AY9" i="26" a="1"/>
  <c r="AY9" i="26" s="1"/>
  <c r="P9" i="26" a="1"/>
  <c r="P9" i="26" s="1"/>
  <c r="AU13" i="26"/>
  <c r="AU13" i="26" a="1"/>
  <c r="N5" i="26" a="1"/>
  <c r="N5" i="26" s="1"/>
  <c r="AF10" i="26"/>
  <c r="AF10" i="26" a="1"/>
  <c r="X10" i="26" a="1"/>
  <c r="X10" i="26" s="1"/>
  <c r="AK9" i="26" a="1"/>
  <c r="AK9" i="26" s="1"/>
  <c r="W14" i="26" a="1"/>
  <c r="W14" i="26" s="1"/>
  <c r="D11" i="26" a="1"/>
  <c r="D11" i="26" s="1"/>
  <c r="BA7" i="26" a="1"/>
  <c r="BA7" i="26" s="1"/>
  <c r="AC12" i="26" a="1"/>
  <c r="AC12" i="26" s="1"/>
  <c r="U12" i="26" a="1"/>
  <c r="U12" i="26" s="1"/>
  <c r="AH11" i="26"/>
  <c r="AH11" i="26" a="1"/>
  <c r="AJ17" i="26" a="1"/>
  <c r="AJ17" i="26" s="1"/>
  <c r="P5" i="26"/>
  <c r="P5" i="26" a="1"/>
  <c r="AA9" i="26" a="1"/>
  <c r="AA9" i="26" s="1"/>
  <c r="AZ10" i="26" a="1"/>
  <c r="AZ10" i="26" s="1"/>
  <c r="S17" i="26" a="1"/>
  <c r="S17" i="26" s="1"/>
  <c r="AI17" i="26" a="1"/>
  <c r="AI17" i="26" s="1"/>
  <c r="AC21" i="26" a="1"/>
  <c r="AC21" i="26" s="1"/>
  <c r="G19" i="26" a="1"/>
  <c r="G19" i="26" s="1"/>
  <c r="P20" i="26" a="1"/>
  <c r="P20" i="26" s="1"/>
  <c r="AR19" i="26"/>
  <c r="AR19" i="26" a="1"/>
  <c r="L22" i="26" a="1"/>
  <c r="L22" i="26" s="1"/>
  <c r="AS12" i="26"/>
  <c r="AS12" i="26" a="1"/>
  <c r="V15" i="26" a="1"/>
  <c r="V15" i="26" s="1"/>
  <c r="AN19" i="26" a="1"/>
  <c r="AN19" i="26" s="1"/>
  <c r="N22" i="26" a="1"/>
  <c r="N22" i="26" s="1"/>
  <c r="AJ21" i="26" a="1"/>
  <c r="AJ21" i="26" s="1"/>
  <c r="AD13" i="26" a="1"/>
  <c r="AD13" i="26" s="1"/>
  <c r="AW12" i="26" a="1"/>
  <c r="AW12" i="26" s="1"/>
  <c r="AC17" i="26" a="1"/>
  <c r="AC17" i="26" s="1"/>
  <c r="AD18" i="26"/>
  <c r="AD18" i="26" a="1"/>
  <c r="U19" i="26" a="1"/>
  <c r="U19" i="26" s="1"/>
  <c r="R13" i="26"/>
  <c r="R13" i="26" a="1"/>
  <c r="P14" i="26" a="1"/>
  <c r="P14" i="26" s="1"/>
  <c r="J20" i="26" a="1"/>
  <c r="J20" i="26" s="1"/>
  <c r="K21" i="26" a="1"/>
  <c r="K21" i="26" s="1"/>
  <c r="F22" i="26" a="1"/>
  <c r="F22" i="26" s="1"/>
  <c r="AM18" i="26" a="1"/>
  <c r="AM18" i="26" s="1"/>
  <c r="AD19" i="26" a="1"/>
  <c r="AD19" i="26" s="1"/>
  <c r="AU16" i="26" a="1"/>
  <c r="AU16" i="26" s="1"/>
  <c r="AN17" i="26"/>
  <c r="AN17" i="26" a="1"/>
  <c r="AI18" i="26" a="1"/>
  <c r="AI18" i="26" s="1"/>
  <c r="AF19" i="26"/>
  <c r="AF19" i="26" a="1"/>
  <c r="AA20" i="26" a="1"/>
  <c r="AA20" i="26" s="1"/>
  <c r="BA15" i="26" a="1"/>
  <c r="BA15" i="26" s="1"/>
  <c r="AY16" i="26" a="1"/>
  <c r="AY16" i="26" s="1"/>
  <c r="AR17" i="26" a="1"/>
  <c r="AR17" i="26" s="1"/>
  <c r="AS18" i="26" a="1"/>
  <c r="AS18" i="26" s="1"/>
  <c r="AJ19" i="26" a="1"/>
  <c r="AJ19" i="26" s="1"/>
  <c r="AG13" i="26" a="1"/>
  <c r="AG13" i="26" s="1"/>
  <c r="AE14" i="26"/>
  <c r="AE14" i="26" a="1"/>
  <c r="Y18" i="26" a="1"/>
  <c r="Y18" i="26" s="1"/>
  <c r="AI15" i="26"/>
  <c r="AI15" i="26" a="1"/>
  <c r="AG16" i="26" a="1"/>
  <c r="AG16" i="26" s="1"/>
  <c r="Z17" i="26" a="1"/>
  <c r="Z17" i="26" s="1"/>
  <c r="AA18" i="26" a="1"/>
  <c r="AA18" i="26" s="1"/>
  <c r="N13" i="26" a="1"/>
  <c r="N13" i="26" s="1"/>
  <c r="AO9" i="26" a="1"/>
  <c r="AO9" i="26" s="1"/>
  <c r="AG9" i="26" a="1"/>
  <c r="AG9" i="26" s="1"/>
  <c r="AT8" i="26" a="1"/>
  <c r="AT8" i="26" s="1"/>
  <c r="W13" i="26"/>
  <c r="W13" i="26" a="1"/>
  <c r="J6" i="26" a="1"/>
  <c r="J6" i="26" s="1"/>
  <c r="AU9" i="26"/>
  <c r="AU9" i="26" a="1"/>
  <c r="AM9" i="26" a="1"/>
  <c r="AM9" i="26" s="1"/>
  <c r="AZ8" i="26" a="1"/>
  <c r="AZ8" i="26" s="1"/>
  <c r="AF13" i="26" a="1"/>
  <c r="AF13" i="26" s="1"/>
  <c r="E16" i="26" a="1"/>
  <c r="E16" i="26" s="1"/>
  <c r="AS7" i="26" a="1"/>
  <c r="AS7" i="26" s="1"/>
  <c r="AR11" i="26" a="1"/>
  <c r="AR11" i="26" s="1"/>
  <c r="AJ11" i="26" a="1"/>
  <c r="AJ11" i="26" s="1"/>
  <c r="AW10" i="26"/>
  <c r="AW10" i="26" a="1"/>
  <c r="W16" i="26" a="1"/>
  <c r="W16" i="26" s="1"/>
  <c r="O6" i="26"/>
  <c r="O6" i="26" a="1"/>
  <c r="F6" i="26" a="1"/>
  <c r="F6" i="26" s="1"/>
  <c r="AX9" i="26" a="1"/>
  <c r="AX9" i="26" s="1"/>
  <c r="AP9" i="26" a="1"/>
  <c r="AP9" i="26" s="1"/>
  <c r="G9" i="26" a="1"/>
  <c r="G9" i="26" s="1"/>
  <c r="AI13" i="26" a="1"/>
  <c r="AI13" i="26" s="1"/>
  <c r="AI9" i="26" a="1"/>
  <c r="AI9" i="26" s="1"/>
  <c r="AM11" i="26" a="1"/>
  <c r="AM11" i="26" s="1"/>
  <c r="AJ13" i="26"/>
  <c r="AJ13" i="26" a="1"/>
  <c r="AZ13" i="26" a="1"/>
  <c r="AZ13" i="26" s="1"/>
  <c r="F18" i="26"/>
  <c r="F18" i="26" a="1"/>
  <c r="AA19" i="26" a="1"/>
  <c r="AA19" i="26" s="1"/>
  <c r="W17" i="26" a="1"/>
  <c r="W17" i="26" s="1"/>
  <c r="AN21" i="26" a="1"/>
  <c r="AN21" i="26" s="1"/>
  <c r="O19" i="26" a="1"/>
  <c r="O19" i="26" s="1"/>
  <c r="BA14" i="26" a="1"/>
  <c r="BA14" i="26" s="1"/>
  <c r="Y17" i="26" a="1"/>
  <c r="Y17" i="26" s="1"/>
  <c r="AW16" i="26" a="1"/>
  <c r="AW16" i="26" s="1"/>
  <c r="Q19" i="26"/>
  <c r="Q19" i="26" a="1"/>
  <c r="AQ18" i="26" a="1"/>
  <c r="AQ18" i="26" s="1"/>
  <c r="AL15" i="26"/>
  <c r="AL15" i="26" a="1"/>
  <c r="I15" i="26" a="1"/>
  <c r="I15" i="26" s="1"/>
  <c r="BA18" i="26" a="1"/>
  <c r="BA18" i="26" s="1"/>
  <c r="AX19" i="26" a="1"/>
  <c r="AX19" i="26" s="1"/>
  <c r="AS20" i="26" a="1"/>
  <c r="AS20" i="26" s="1"/>
  <c r="AS14" i="26" a="1"/>
  <c r="AS14" i="26" s="1"/>
  <c r="AQ15" i="26" a="1"/>
  <c r="AQ15" i="26" s="1"/>
  <c r="AH21" i="26" a="1"/>
  <c r="AH21" i="26" s="1"/>
  <c r="AI22" i="26"/>
  <c r="AI22" i="26" a="1"/>
  <c r="BA22" i="26" a="1"/>
  <c r="BA22" i="26" s="1"/>
  <c r="H20" i="26"/>
  <c r="H20" i="26" a="1"/>
  <c r="C21" i="26" a="1"/>
  <c r="C21" i="26" s="1"/>
  <c r="L13" i="26" a="1"/>
  <c r="L13" i="26" s="1"/>
  <c r="J14" i="26" a="1"/>
  <c r="J14" i="26" s="1"/>
  <c r="D20" i="26" a="1"/>
  <c r="D20" i="26" s="1"/>
  <c r="E21" i="26" a="1"/>
  <c r="E21" i="26" s="1"/>
  <c r="AY21" i="26" a="1"/>
  <c r="AY21" i="26" s="1"/>
  <c r="AA17" i="26" a="1"/>
  <c r="AA17" i="26" s="1"/>
  <c r="P13" i="26"/>
  <c r="P13" i="26" a="1"/>
  <c r="M19" i="26" a="1"/>
  <c r="M19" i="26" s="1"/>
  <c r="N20" i="26"/>
  <c r="N20" i="26" a="1"/>
  <c r="I21" i="26" a="1"/>
  <c r="I21" i="26" s="1"/>
  <c r="L15" i="26" a="1"/>
  <c r="L15" i="26" s="1"/>
  <c r="J16" i="26" a="1"/>
  <c r="J16" i="26" s="1"/>
  <c r="AS19" i="26" a="1"/>
  <c r="AS19" i="26" s="1"/>
  <c r="I17" i="26" a="1"/>
  <c r="I17" i="26" s="1"/>
  <c r="AT12" i="26" a="1"/>
  <c r="AT12" i="26" s="1"/>
  <c r="AX18" i="26" a="1"/>
  <c r="AX18" i="26" s="1"/>
  <c r="AU19" i="26"/>
  <c r="AU19" i="26" a="1"/>
  <c r="T16" i="26" a="1"/>
  <c r="T16" i="26" s="1"/>
  <c r="Y20" i="26"/>
  <c r="Y20" i="26" a="1"/>
  <c r="AG18" i="26" a="1"/>
  <c r="AG18" i="26" s="1"/>
  <c r="Z21" i="26" a="1"/>
  <c r="Z21" i="26" s="1"/>
  <c r="X19" i="26" a="1"/>
  <c r="X19" i="26" s="1"/>
  <c r="U22" i="26" a="1"/>
  <c r="U22" i="26" s="1"/>
  <c r="V18" i="26" a="1"/>
  <c r="V18" i="26" s="1"/>
  <c r="O21" i="26" a="1"/>
  <c r="O21" i="26" s="1"/>
  <c r="G17" i="26" a="1"/>
  <c r="G17" i="26" s="1"/>
  <c r="AZ14" i="26"/>
  <c r="AZ14" i="26" a="1"/>
  <c r="BA17" i="26" a="1"/>
  <c r="BA17" i="26" s="1"/>
  <c r="AT20" i="26"/>
  <c r="AT20" i="26" a="1"/>
  <c r="S13" i="26" a="1"/>
  <c r="S13" i="26" s="1"/>
  <c r="Y16" i="26" a="1"/>
  <c r="Y16" i="26" s="1"/>
  <c r="P19" i="26" a="1"/>
  <c r="P19" i="26" s="1"/>
  <c r="AV18" i="26" a="1"/>
  <c r="AV18" i="26" s="1"/>
  <c r="T21" i="26" a="1"/>
  <c r="T21" i="26" s="1"/>
  <c r="R19" i="26" a="1"/>
  <c r="R19" i="26" s="1"/>
  <c r="O22" i="26" a="1"/>
  <c r="O22" i="26" s="1"/>
  <c r="AO14" i="26"/>
  <c r="AO14" i="26" a="1"/>
  <c r="AP17" i="26" a="1"/>
  <c r="AP17" i="26" s="1"/>
  <c r="AM15" i="26"/>
  <c r="AM15" i="26" a="1"/>
  <c r="AE13" i="26" a="1"/>
  <c r="AE13" i="26" s="1"/>
  <c r="AK16" i="26" a="1"/>
  <c r="AK16" i="26" s="1"/>
  <c r="AB19" i="26" a="1"/>
  <c r="AB19" i="26" s="1"/>
  <c r="Y22" i="26" a="1"/>
  <c r="Y22" i="26" s="1"/>
  <c r="AC20" i="26" a="1"/>
  <c r="AC20" i="26" s="1"/>
  <c r="AE18" i="26" a="1"/>
  <c r="AE18" i="26" s="1"/>
  <c r="X21" i="26" a="1"/>
  <c r="X21" i="26" s="1"/>
  <c r="AD17" i="26"/>
  <c r="AD17" i="26" a="1"/>
  <c r="AA15" i="26" a="1"/>
  <c r="AA15" i="26" s="1"/>
  <c r="L21" i="26"/>
  <c r="L21" i="26" a="1"/>
  <c r="E12" i="26" a="1"/>
  <c r="E12" i="26" s="1"/>
  <c r="AG7" i="26" a="1"/>
  <c r="AG7" i="26" s="1"/>
  <c r="AW21" i="26" a="1"/>
  <c r="AW21" i="26" s="1"/>
  <c r="BA19" i="26" a="1"/>
  <c r="BA19" i="26" s="1"/>
  <c r="D18" i="26" a="1"/>
  <c r="D18" i="26" s="1"/>
  <c r="AV20" i="26" a="1"/>
  <c r="AV20" i="26" s="1"/>
  <c r="AR21" i="26" a="1"/>
  <c r="AR21" i="26" s="1"/>
  <c r="AP19" i="26"/>
  <c r="AP19" i="26" a="1"/>
  <c r="AM22" i="26" a="1"/>
  <c r="AM22" i="26" s="1"/>
  <c r="Y13" i="26"/>
  <c r="Y13" i="26" a="1"/>
  <c r="AE16" i="26" a="1"/>
  <c r="AE16" i="26" s="1"/>
  <c r="V19" i="26" a="1"/>
  <c r="V19" i="26" s="1"/>
  <c r="S22" i="26" a="1"/>
  <c r="S22" i="26" s="1"/>
  <c r="AT14" i="26" a="1"/>
  <c r="AT14" i="26" s="1"/>
  <c r="AV17" i="26" a="1"/>
  <c r="AV17" i="26" s="1"/>
  <c r="L14" i="26" a="1"/>
  <c r="L14" i="26" s="1"/>
  <c r="M17" i="26" a="1"/>
  <c r="M17" i="26" s="1"/>
  <c r="J15" i="26"/>
  <c r="J15" i="26" a="1"/>
  <c r="H18" i="26" a="1"/>
  <c r="H18" i="26" s="1"/>
  <c r="AZ20" i="26"/>
  <c r="AZ20" i="26" a="1"/>
  <c r="E19" i="26" a="1"/>
  <c r="E19" i="26" s="1"/>
  <c r="BA21" i="26" a="1"/>
  <c r="BA21" i="26" s="1"/>
  <c r="AY19" i="26" a="1"/>
  <c r="AY19" i="26" s="1"/>
  <c r="AP22" i="26" a="1"/>
  <c r="AP22" i="26" s="1"/>
  <c r="AV13" i="26" a="1"/>
  <c r="AV13" i="26" s="1"/>
  <c r="M22" i="26" a="1"/>
  <c r="M22" i="26" s="1"/>
  <c r="AO21" i="26" a="1"/>
  <c r="AO21" i="26" s="1"/>
  <c r="AK18" i="26"/>
  <c r="AK18" i="26" a="1"/>
  <c r="AR22" i="26" a="1"/>
  <c r="AR22" i="26" s="1"/>
  <c r="S15" i="26"/>
  <c r="S15" i="26" a="1"/>
  <c r="AK19" i="26" a="1"/>
  <c r="AK19" i="26" s="1"/>
  <c r="N19" i="26" a="1"/>
  <c r="N19" i="26" s="1"/>
  <c r="AN18" i="26" a="1"/>
  <c r="AN18" i="26" s="1"/>
  <c r="AS22" i="26" a="1"/>
  <c r="AS22" i="26" s="1"/>
  <c r="AP13" i="26" a="1"/>
  <c r="AP13" i="26" s="1"/>
  <c r="M13" i="26" a="1"/>
  <c r="M13" i="26" s="1"/>
  <c r="AO17" i="26" a="1"/>
  <c r="AO17" i="26" s="1"/>
  <c r="G22" i="26"/>
  <c r="G22" i="26" a="1"/>
  <c r="AI21" i="26" a="1"/>
  <c r="AI21" i="26" s="1"/>
  <c r="F21" i="26"/>
  <c r="F21" i="26" a="1"/>
  <c r="H15" i="26" a="1"/>
  <c r="H15" i="26" s="1"/>
  <c r="AA14" i="26" a="1"/>
  <c r="AA14" i="26" s="1"/>
  <c r="AT13" i="26" a="1"/>
  <c r="AT13" i="26" s="1"/>
  <c r="W18" i="26" a="1"/>
  <c r="W18" i="26" s="1"/>
  <c r="AY17" i="26" a="1"/>
  <c r="AY17" i="26" s="1"/>
  <c r="Q22" i="26" a="1"/>
  <c r="Q22" i="26" s="1"/>
  <c r="AM21" i="26" a="1"/>
  <c r="AM21" i="26" s="1"/>
  <c r="O14" i="26"/>
  <c r="O14" i="26" a="1"/>
  <c r="AH13" i="26" a="1"/>
  <c r="AH13" i="26" s="1"/>
  <c r="AN16" i="26"/>
  <c r="AN16" i="26" a="1"/>
  <c r="E22" i="26" a="1"/>
  <c r="E22" i="26" s="1"/>
  <c r="C20" i="26" a="1"/>
  <c r="C20" i="26" s="1"/>
  <c r="G14" i="26" a="1"/>
  <c r="G14" i="26" s="1"/>
  <c r="H17" i="26" a="1"/>
  <c r="H17" i="26" s="1"/>
  <c r="Z22" i="26" a="1"/>
  <c r="Z22" i="26" s="1"/>
  <c r="Q16" i="26" a="1"/>
  <c r="Q16" i="26" s="1"/>
  <c r="I14" i="26" a="1"/>
  <c r="I14" i="26" s="1"/>
  <c r="Y19" i="26"/>
  <c r="Y19" i="26" a="1"/>
  <c r="V22" i="26" a="1"/>
  <c r="V22" i="26" s="1"/>
  <c r="AX21" i="26"/>
  <c r="AX21" i="26" a="1"/>
  <c r="AV19" i="26" a="1"/>
  <c r="AV19" i="26" s="1"/>
  <c r="AP14" i="26" a="1"/>
  <c r="AP14" i="26" s="1"/>
  <c r="AQ17" i="26" a="1"/>
  <c r="AQ17" i="26" s="1"/>
  <c r="O18" i="26" a="1"/>
  <c r="O18" i="26" s="1"/>
  <c r="H21" i="26" a="1"/>
  <c r="H21" i="26" s="1"/>
  <c r="AD14" i="26" a="1"/>
  <c r="AD14" i="26" s="1"/>
  <c r="AE17" i="26" a="1"/>
  <c r="AE17" i="26" s="1"/>
  <c r="AT19" i="26"/>
  <c r="AT19" i="26" a="1"/>
  <c r="R20" i="26" a="1"/>
  <c r="R20" i="26" s="1"/>
  <c r="AV22" i="26"/>
  <c r="AV22" i="26" a="1"/>
  <c r="AN20" i="26" a="1"/>
  <c r="AN20" i="26" s="1"/>
  <c r="Q20" i="26" a="1"/>
  <c r="Q20" i="26" s="1"/>
  <c r="AM19" i="26" a="1"/>
  <c r="AM19" i="26" s="1"/>
  <c r="H22" i="26" a="1"/>
  <c r="H22" i="26" s="1"/>
  <c r="AD21" i="26" a="1"/>
  <c r="AD21" i="26" s="1"/>
  <c r="AN13" i="26" a="1"/>
  <c r="AN13" i="26" s="1"/>
  <c r="Q18" i="26" a="1"/>
  <c r="Q18" i="26" s="1"/>
  <c r="AH22" i="26"/>
  <c r="AH22" i="26" a="1"/>
  <c r="K22" i="26" a="1"/>
  <c r="K22" i="26" s="1"/>
  <c r="AG21" i="26"/>
  <c r="AG21" i="26" a="1"/>
  <c r="X17" i="26" a="1"/>
  <c r="X17" i="26" s="1"/>
  <c r="AV16" i="26" a="1"/>
  <c r="AV16" i="26" s="1"/>
  <c r="S16" i="26" a="1"/>
  <c r="S16" i="26" s="1"/>
  <c r="AH20" i="26" a="1"/>
  <c r="AH20" i="26" s="1"/>
  <c r="K20" i="26" a="1"/>
  <c r="K20" i="26" s="1"/>
  <c r="AG19" i="26" a="1"/>
  <c r="AG19" i="26" s="1"/>
  <c r="AC13" i="26" a="1"/>
  <c r="AC13" i="26" s="1"/>
  <c r="AV12" i="26"/>
  <c r="AV12" i="26" a="1"/>
  <c r="AB17" i="26" a="1"/>
  <c r="AB17" i="26" s="1"/>
  <c r="AZ16" i="26"/>
  <c r="AZ16" i="26" a="1"/>
  <c r="P21" i="26" a="1"/>
  <c r="P21" i="26" s="1"/>
  <c r="AR20" i="26" a="1"/>
  <c r="AR20" i="26" s="1"/>
  <c r="O20" i="26" a="1"/>
  <c r="O20" i="26" s="1"/>
  <c r="AS17" i="26" a="1"/>
  <c r="AS17" i="26" s="1"/>
  <c r="P17" i="26" a="1"/>
  <c r="P17" i="26" s="1"/>
  <c r="K18" i="26" a="1"/>
  <c r="K18" i="26" s="1"/>
  <c r="D21" i="26" a="1"/>
  <c r="D21" i="26" s="1"/>
  <c r="AA21" i="26"/>
  <c r="AA21" i="26" a="1"/>
  <c r="U20" i="26" a="1"/>
  <c r="U20" i="26" s="1"/>
  <c r="AF18" i="26"/>
  <c r="AF18" i="26" a="1"/>
  <c r="Y21" i="26" a="1"/>
  <c r="Y21" i="26" s="1"/>
  <c r="AJ15" i="26" a="1"/>
  <c r="AJ15" i="26" s="1"/>
  <c r="AB13" i="26" a="1"/>
  <c r="AB13" i="26" s="1"/>
  <c r="U21" i="26" a="1"/>
  <c r="U21" i="26" s="1"/>
  <c r="AR13" i="26" a="1"/>
  <c r="AR13" i="26" s="1"/>
  <c r="M14" i="26" a="1"/>
  <c r="M14" i="26" s="1"/>
  <c r="N17" i="26" a="1"/>
  <c r="N17" i="26" s="1"/>
  <c r="AF22" i="26"/>
  <c r="AF22" i="26" a="1"/>
  <c r="AD20" i="26" a="1"/>
  <c r="AD20" i="26" s="1"/>
  <c r="AW13" i="26"/>
  <c r="AW13" i="26" a="1"/>
  <c r="S21" i="26" a="1"/>
  <c r="S21" i="26" s="1"/>
  <c r="W19" i="26" a="1"/>
  <c r="W19" i="26" s="1"/>
  <c r="S18" i="26" a="1"/>
  <c r="S18" i="26" s="1"/>
  <c r="AJ22" i="26" a="1"/>
  <c r="AJ22" i="26" s="1"/>
  <c r="F20" i="26" a="1"/>
  <c r="F20" i="26" s="1"/>
  <c r="V17" i="26" a="1"/>
  <c r="V17" i="26" s="1"/>
  <c r="AT16" i="26" a="1"/>
  <c r="AT16" i="26" s="1"/>
  <c r="J21" i="26"/>
  <c r="J21" i="26" a="1"/>
  <c r="AL20" i="26" a="1"/>
  <c r="AL20" i="26" s="1"/>
  <c r="I20" i="26"/>
  <c r="I20" i="26" a="1"/>
  <c r="AX15" i="26" a="1"/>
  <c r="AX15" i="26" s="1"/>
  <c r="U15" i="26" a="1"/>
  <c r="U15" i="26" s="1"/>
  <c r="AN14" i="26" a="1"/>
  <c r="AN14" i="26" s="1"/>
  <c r="J19" i="26" a="1"/>
  <c r="J19" i="26" s="1"/>
  <c r="AP18" i="26" a="1"/>
  <c r="AP18" i="26" s="1"/>
  <c r="M18" i="26"/>
  <c r="M18" i="26" a="1"/>
  <c r="AD22" i="26"/>
  <c r="AD22" i="26" a="1"/>
  <c r="AI16" i="26" a="1"/>
  <c r="AI16" i="26" s="1"/>
  <c r="F16" i="26" a="1"/>
  <c r="F16" i="26" s="1"/>
  <c r="Y15" i="26" a="1"/>
  <c r="Y15" i="26" s="1"/>
  <c r="AQ19" i="26"/>
  <c r="AQ19" i="26" a="1"/>
  <c r="T19" i="26"/>
  <c r="T19" i="26" a="1"/>
  <c r="AT18" i="26" a="1"/>
  <c r="AT18" i="26" s="1"/>
  <c r="AU22" i="26" a="1"/>
  <c r="AU22" i="26" s="1"/>
  <c r="AP15" i="26" a="1"/>
  <c r="AP15" i="26" s="1"/>
  <c r="AB22" i="26"/>
  <c r="AB22" i="26" a="1"/>
  <c r="AF20" i="26"/>
  <c r="AF20" i="26" a="1"/>
  <c r="AS21" i="26" a="1"/>
  <c r="AS21" i="26" s="1"/>
  <c r="AK17" i="26" a="1"/>
  <c r="AK17" i="26" s="1"/>
  <c r="I18" i="26" a="1"/>
  <c r="I18" i="26" s="1"/>
  <c r="BA20" i="26"/>
  <c r="BA20" i="26" a="1"/>
  <c r="X20" i="26"/>
  <c r="X20" i="26" a="1"/>
  <c r="AX22" i="26" a="1"/>
  <c r="AX22" i="26" s="1"/>
  <c r="G15" i="26" a="1"/>
  <c r="G15" i="26" s="1"/>
  <c r="E18" i="26" a="1"/>
  <c r="E18" i="26" s="1"/>
  <c r="Z20" i="26"/>
  <c r="Z20" i="26" a="1"/>
  <c r="W15" i="26"/>
  <c r="W15" i="26" a="1"/>
  <c r="O13" i="26" a="1"/>
  <c r="O13" i="26" s="1"/>
  <c r="AL18" i="26" a="1"/>
  <c r="AL18" i="26" s="1"/>
  <c r="AE21" i="26" a="1"/>
  <c r="AE21" i="26" s="1"/>
  <c r="C22" i="26"/>
  <c r="C22" i="26" a="1"/>
  <c r="AY12" i="26"/>
  <c r="AY12" i="26" a="1"/>
  <c r="AU20" i="26" a="1"/>
  <c r="AU20" i="26" s="1"/>
  <c r="AW18" i="26" a="1"/>
  <c r="AW18" i="26" s="1"/>
  <c r="G31" i="27" a="1"/>
  <c r="G31" i="27" s="1"/>
  <c r="M31" i="27"/>
  <c r="M31" i="27" a="1"/>
  <c r="M15" i="26"/>
  <c r="M15" i="26" a="1"/>
  <c r="AE19" i="26" a="1"/>
  <c r="AE19" i="26" s="1"/>
  <c r="H19" i="26" a="1"/>
  <c r="H19" i="26" s="1"/>
  <c r="AH18" i="26" a="1"/>
  <c r="AH18" i="26" s="1"/>
  <c r="AQ22" i="26"/>
  <c r="AQ22" i="26" a="1"/>
  <c r="AW22" i="26"/>
  <c r="AW22" i="26" a="1"/>
  <c r="AH15" i="26" a="1"/>
  <c r="AH15" i="26" s="1"/>
  <c r="AZ19" i="26" a="1"/>
  <c r="AZ19" i="26" s="1"/>
  <c r="AC19" i="26" a="1"/>
  <c r="AC19" i="26" s="1"/>
  <c r="AV21" i="26"/>
  <c r="AV21" i="26" a="1"/>
  <c r="AM17" i="26"/>
  <c r="AM17" i="26" a="1"/>
  <c r="J17" i="26" a="1"/>
  <c r="J17" i="26" s="1"/>
  <c r="AH16" i="26" a="1"/>
  <c r="AH16" i="26" s="1"/>
  <c r="AW20" i="26" a="1"/>
  <c r="AW20" i="26" s="1"/>
  <c r="AB18" i="26"/>
  <c r="AB18" i="26" a="1"/>
  <c r="AO22" i="26"/>
  <c r="AO22" i="26" a="1"/>
  <c r="AX16" i="26" a="1"/>
  <c r="AX16" i="26" s="1"/>
  <c r="U16" i="26" a="1"/>
  <c r="U16" i="26" s="1"/>
  <c r="AN15" i="26" a="1"/>
  <c r="AN15" i="26" s="1"/>
  <c r="G20" i="26"/>
  <c r="G20" i="26" a="1"/>
  <c r="AI19" i="26"/>
  <c r="AI19" i="26" a="1"/>
  <c r="F19" i="26" a="1"/>
  <c r="F19" i="26" s="1"/>
  <c r="AZ22" i="26" a="1"/>
  <c r="AZ22" i="26" s="1"/>
  <c r="I16" i="26" a="1"/>
  <c r="I16" i="26" s="1"/>
  <c r="AB15" i="26"/>
  <c r="AB15" i="26" a="1"/>
  <c r="Z18" i="26"/>
  <c r="Z18" i="26" a="1"/>
  <c r="C18" i="26" a="1"/>
  <c r="C18" i="26" s="1"/>
  <c r="T22" i="26" a="1"/>
  <c r="T22" i="26" s="1"/>
  <c r="AP21" i="26" a="1"/>
  <c r="AP21" i="26" s="1"/>
  <c r="F30" i="27"/>
  <c r="F30" i="27" a="1"/>
  <c r="E32" i="27"/>
  <c r="E32" i="27" a="1"/>
  <c r="K32" i="27" a="1"/>
  <c r="K32" i="27" s="1"/>
  <c r="G34" i="27" a="1"/>
  <c r="G34" i="27" s="1"/>
  <c r="I30" i="27" a="1"/>
  <c r="I30" i="27" s="1"/>
  <c r="D31" i="27" a="1"/>
  <c r="D31" i="27" s="1"/>
  <c r="N32" i="27"/>
  <c r="N32" i="27" a="1"/>
  <c r="I33" i="27" a="1"/>
  <c r="I33" i="27" s="1"/>
  <c r="L33" i="27" a="1"/>
  <c r="L33" i="27" s="1"/>
  <c r="J34" i="27" a="1"/>
  <c r="J34" i="27" s="1"/>
  <c r="I36" i="27" a="1"/>
  <c r="I36" i="27" s="1"/>
  <c r="L37" i="27"/>
  <c r="L37" i="27" a="1"/>
  <c r="F40" i="27" a="1"/>
  <c r="F40" i="27" s="1"/>
  <c r="J30" i="27" a="1"/>
  <c r="J30" i="27" s="1"/>
  <c r="H31" i="27" a="1"/>
  <c r="H31" i="27" s="1"/>
  <c r="F32" i="27" a="1"/>
  <c r="F32" i="27" s="1"/>
  <c r="D33" i="27"/>
  <c r="D33" i="27" a="1"/>
  <c r="M33" i="27" a="1"/>
  <c r="M33" i="27" s="1"/>
  <c r="K34" i="27" a="1"/>
  <c r="K34" i="27" s="1"/>
  <c r="J36" i="27" a="1"/>
  <c r="J36" i="27" s="1"/>
  <c r="N37" i="27" a="1"/>
  <c r="N37" i="27" s="1"/>
  <c r="G40" i="27"/>
  <c r="G40" i="27" a="1"/>
  <c r="E30" i="27" a="1"/>
  <c r="E30" i="27" s="1"/>
  <c r="N30" i="27" a="1"/>
  <c r="N30" i="27" s="1"/>
  <c r="L31" i="27" a="1"/>
  <c r="L31" i="27" s="1"/>
  <c r="J32" i="27" a="1"/>
  <c r="J32" i="27" s="1"/>
  <c r="H33" i="27"/>
  <c r="H33" i="27" a="1"/>
  <c r="F34" i="27" a="1"/>
  <c r="F34" i="27" s="1"/>
  <c r="E36" i="27"/>
  <c r="E36" i="27" a="1"/>
  <c r="F37" i="27" a="1"/>
  <c r="F37" i="27" s="1"/>
  <c r="J39" i="27" a="1"/>
  <c r="J39" i="27" s="1"/>
  <c r="I42" i="27"/>
  <c r="I42" i="27" a="1"/>
  <c r="G37" i="27" a="1"/>
  <c r="G37" i="27" s="1"/>
  <c r="F39" i="27" a="1"/>
  <c r="F39" i="27" s="1"/>
  <c r="E40" i="27" a="1"/>
  <c r="E40" i="27" s="1"/>
  <c r="N40" i="27" a="1"/>
  <c r="N40" i="27" s="1"/>
  <c r="M42" i="27"/>
  <c r="M42" i="27" a="1"/>
  <c r="L44" i="27" a="1"/>
  <c r="L44" i="27" s="1"/>
  <c r="J45" i="27" a="1"/>
  <c r="J45" i="27" s="1"/>
  <c r="H46" i="27" a="1"/>
  <c r="H46" i="27" s="1"/>
  <c r="F47" i="27" a="1"/>
  <c r="F47" i="27" s="1"/>
  <c r="F36" i="27"/>
  <c r="F36" i="27" a="1"/>
  <c r="H37" i="27" a="1"/>
  <c r="H37" i="27" s="1"/>
  <c r="K39" i="27"/>
  <c r="K39" i="27" a="1"/>
  <c r="L42" i="27" a="1"/>
  <c r="L42" i="27" s="1"/>
  <c r="G30" i="27"/>
  <c r="G30" i="27" a="1"/>
  <c r="E31" i="27"/>
  <c r="E31" i="27" a="1"/>
  <c r="N31" i="27" a="1"/>
  <c r="N31" i="27" s="1"/>
  <c r="L32" i="27" a="1"/>
  <c r="L32" i="27" s="1"/>
  <c r="J33" i="27" a="1"/>
  <c r="J33" i="27" s="1"/>
  <c r="H34" i="27"/>
  <c r="H34" i="27" a="1"/>
  <c r="G36" i="27"/>
  <c r="G36" i="27" a="1"/>
  <c r="I37" i="27" a="1"/>
  <c r="I37" i="27" s="1"/>
  <c r="M39" i="27" a="1"/>
  <c r="M39" i="27" s="1"/>
  <c r="E44" i="27" a="1"/>
  <c r="E44" i="27" s="1"/>
  <c r="K30" i="27" a="1"/>
  <c r="K30" i="27" s="1"/>
  <c r="I31" i="27"/>
  <c r="I31" i="27" a="1"/>
  <c r="G32" i="27" a="1"/>
  <c r="G32" i="27" s="1"/>
  <c r="E33" i="27" a="1"/>
  <c r="E33" i="27" s="1"/>
  <c r="N33" i="27" a="1"/>
  <c r="N33" i="27" s="1"/>
  <c r="L34" i="27"/>
  <c r="L34" i="27" a="1"/>
  <c r="L36" i="27"/>
  <c r="L36" i="27" a="1"/>
  <c r="E39" i="27" a="1"/>
  <c r="E39" i="27" s="1"/>
  <c r="J40" i="27" a="1"/>
  <c r="J40" i="27" s="1"/>
  <c r="N36" i="27" a="1"/>
  <c r="N36" i="27" s="1"/>
  <c r="M37" i="27"/>
  <c r="M37" i="27" a="1"/>
  <c r="L39" i="27"/>
  <c r="L39" i="27" a="1"/>
  <c r="K40" i="27" a="1"/>
  <c r="K40" i="27" s="1"/>
  <c r="J42" i="27" a="1"/>
  <c r="J42" i="27" s="1"/>
  <c r="I44" i="27" a="1"/>
  <c r="I44" i="27" s="1"/>
  <c r="G45" i="27"/>
  <c r="G45" i="27" a="1"/>
  <c r="E46" i="27"/>
  <c r="E46" i="27" a="1"/>
  <c r="N46" i="27"/>
  <c r="N46" i="27" a="1"/>
  <c r="L47" i="27" a="1"/>
  <c r="L47" i="27" s="1"/>
  <c r="L30" i="27" a="1"/>
  <c r="L30" i="27" s="1"/>
  <c r="J31" i="27" a="1"/>
  <c r="J31" i="27" s="1"/>
  <c r="H32" i="27"/>
  <c r="H32" i="27" a="1"/>
  <c r="F33" i="27" a="1"/>
  <c r="F33" i="27" s="1"/>
  <c r="D34" i="27" a="1"/>
  <c r="D34" i="27" s="1"/>
  <c r="M34" i="27" a="1"/>
  <c r="M34" i="27" s="1"/>
  <c r="M36" i="27" a="1"/>
  <c r="M36" i="27" s="1"/>
  <c r="G39" i="27"/>
  <c r="G39" i="27" a="1"/>
  <c r="M40" i="27" a="1"/>
  <c r="M40" i="27" s="1"/>
  <c r="D30" i="27" a="1"/>
  <c r="D30" i="27" s="1"/>
  <c r="M30" i="27" a="1"/>
  <c r="M30" i="27" s="1"/>
  <c r="K31" i="27" a="1"/>
  <c r="K31" i="27" s="1"/>
  <c r="I32" i="27"/>
  <c r="I32" i="27" a="1"/>
  <c r="G33" i="27" a="1"/>
  <c r="G33" i="27" s="1"/>
  <c r="E34" i="27" a="1"/>
  <c r="E34" i="27" s="1"/>
  <c r="N34" i="27" a="1"/>
  <c r="N34" i="27" s="1"/>
  <c r="E37" i="27" a="1"/>
  <c r="E37" i="27" s="1"/>
  <c r="H39" i="27"/>
  <c r="H39" i="27" a="1"/>
  <c r="F42" i="27" a="1"/>
  <c r="F42" i="27" s="1"/>
  <c r="H30" i="27" a="1"/>
  <c r="H30" i="27" s="1"/>
  <c r="F31" i="27" a="1"/>
  <c r="F31" i="27" s="1"/>
  <c r="D32" i="27" a="1"/>
  <c r="D32" i="27" s="1"/>
  <c r="O32" i="27" s="1"/>
  <c r="M32" i="27"/>
  <c r="M32" i="27" a="1"/>
  <c r="K33" i="27" a="1"/>
  <c r="K33" i="27" s="1"/>
  <c r="I34" i="27" a="1"/>
  <c r="I34" i="27" s="1"/>
  <c r="H36" i="27" a="1"/>
  <c r="H36" i="27" s="1"/>
  <c r="K37" i="27" a="1"/>
  <c r="K37" i="27" s="1"/>
  <c r="N39" i="27"/>
  <c r="N39" i="27" a="1"/>
  <c r="K36" i="27" a="1"/>
  <c r="K36" i="27" s="1"/>
  <c r="J37" i="27" a="1"/>
  <c r="J37" i="27" s="1"/>
  <c r="I39" i="27" a="1"/>
  <c r="I39" i="27" s="1"/>
  <c r="H40" i="27" a="1"/>
  <c r="H40" i="27" s="1"/>
  <c r="G42" i="27"/>
  <c r="G42" i="27" a="1"/>
  <c r="F44" i="27" a="1"/>
  <c r="F44" i="27" s="1"/>
  <c r="D45" i="27" a="1"/>
  <c r="D45" i="27" s="1"/>
  <c r="M45" i="27" a="1"/>
  <c r="M45" i="27" s="1"/>
  <c r="K46" i="27" a="1"/>
  <c r="K46" i="27" s="1"/>
  <c r="I47" i="27"/>
  <c r="I47" i="27" a="1"/>
  <c r="D48" i="27" a="1"/>
  <c r="D48" i="27" s="1"/>
  <c r="G48" i="27" a="1"/>
  <c r="G48" i="27" s="1"/>
  <c r="J48" i="27" a="1"/>
  <c r="J48" i="27" s="1"/>
  <c r="M48" i="27" a="1"/>
  <c r="M48" i="27" s="1"/>
  <c r="E49" i="27"/>
  <c r="E49" i="27" a="1"/>
  <c r="H49" i="27" a="1"/>
  <c r="H49" i="27" s="1"/>
  <c r="K49" i="27" a="1"/>
  <c r="K49" i="27" s="1"/>
  <c r="N49" i="27" a="1"/>
  <c r="N49" i="27" s="1"/>
  <c r="BB16" i="26" l="1"/>
  <c r="O23" i="26"/>
  <c r="S23" i="26"/>
  <c r="Z23" i="26"/>
  <c r="N23" i="26"/>
  <c r="X23" i="26"/>
  <c r="D23" i="26"/>
  <c r="BB13" i="26"/>
  <c r="AD23" i="26"/>
  <c r="H23" i="26"/>
  <c r="AS23" i="26"/>
  <c r="D60" i="18"/>
  <c r="P58" i="18"/>
  <c r="P60" i="18" s="1"/>
  <c r="P49" i="18"/>
  <c r="P51" i="18" s="1"/>
  <c r="D51" i="18"/>
  <c r="E5" i="27"/>
  <c r="O49" i="27"/>
  <c r="O42" i="27"/>
  <c r="O37" i="27"/>
  <c r="D63" i="18"/>
  <c r="D66" i="18"/>
  <c r="P64" i="18"/>
  <c r="P66" i="18" s="1"/>
  <c r="O47" i="27"/>
  <c r="P43" i="18"/>
  <c r="P45" i="18" s="1"/>
  <c r="D45" i="18"/>
  <c r="P67" i="18"/>
  <c r="P69" i="18" s="1"/>
  <c r="D69" i="18"/>
  <c r="O44" i="27"/>
  <c r="E5" i="18" a="1"/>
  <c r="E5" i="18" s="1"/>
  <c r="L5" i="18" a="1"/>
  <c r="L5" i="18" s="1"/>
  <c r="D6" i="18" a="1"/>
  <c r="D6" i="18" s="1"/>
  <c r="D5" i="18" a="1"/>
  <c r="D5" i="18" s="1"/>
  <c r="I6" i="18" a="1"/>
  <c r="I6" i="18" s="1"/>
  <c r="M5" i="18" a="1"/>
  <c r="M5" i="18" s="1"/>
  <c r="K5" i="18" a="1"/>
  <c r="K5" i="18" s="1"/>
  <c r="O40" i="27"/>
  <c r="BB15" i="26"/>
  <c r="L23" i="26"/>
  <c r="U23" i="26"/>
  <c r="AT23" i="26"/>
  <c r="BB19" i="26"/>
  <c r="AQ23" i="26"/>
  <c r="J6" i="18" a="1"/>
  <c r="J6" i="18" s="1"/>
  <c r="BB4" i="26"/>
  <c r="P52" i="18"/>
  <c r="P54" i="18" s="1"/>
  <c r="C23" i="26"/>
  <c r="BB22" i="26"/>
  <c r="AJ23" i="26"/>
  <c r="N5" i="18" a="1"/>
  <c r="N5" i="18" s="1"/>
  <c r="E6" i="18" a="1"/>
  <c r="E6" i="18" s="1"/>
  <c r="L6" i="18" a="1"/>
  <c r="L6" i="18" s="1"/>
  <c r="P48" i="18"/>
  <c r="BB18" i="26"/>
  <c r="BB10" i="26"/>
  <c r="AX23" i="26"/>
  <c r="AU23" i="26"/>
  <c r="AZ23" i="26"/>
  <c r="BB12" i="26"/>
  <c r="O33" i="27"/>
  <c r="AO23" i="26"/>
  <c r="AH23" i="26"/>
  <c r="BB20" i="26"/>
  <c r="M6" i="18" a="1"/>
  <c r="M6" i="18" s="1"/>
  <c r="I5" i="18" a="1"/>
  <c r="I5" i="18" s="1"/>
  <c r="F6" i="18" a="1"/>
  <c r="F6" i="18" s="1"/>
  <c r="F7" i="18" s="1"/>
  <c r="K6" i="18" a="1"/>
  <c r="K6" i="18" s="1"/>
  <c r="H6" i="18" a="1"/>
  <c r="H6" i="18" s="1"/>
  <c r="O5" i="18" a="1"/>
  <c r="O5" i="18" s="1"/>
  <c r="G5" i="18" a="1"/>
  <c r="G5" i="18" s="1"/>
  <c r="H5" i="18" a="1"/>
  <c r="H5" i="18" s="1"/>
  <c r="O6" i="18" a="1"/>
  <c r="O6" i="18" s="1"/>
  <c r="J5" i="18" a="1"/>
  <c r="J5" i="18" s="1"/>
  <c r="G6" i="18" a="1"/>
  <c r="G6" i="18" s="1"/>
  <c r="N6" i="18" a="1"/>
  <c r="N6" i="18" s="1"/>
  <c r="O31" i="27"/>
  <c r="Q23" i="26"/>
  <c r="AF23" i="26"/>
  <c r="BB6" i="26"/>
  <c r="E23" i="26"/>
  <c r="AP23" i="26"/>
  <c r="O50" i="27"/>
  <c r="O39" i="27"/>
  <c r="W23" i="26"/>
  <c r="AR23" i="26"/>
  <c r="AC23" i="26"/>
  <c r="AA23" i="26"/>
  <c r="BB14" i="26"/>
  <c r="AI23" i="26"/>
  <c r="P23" i="26"/>
  <c r="G23" i="26"/>
  <c r="BB11" i="26"/>
  <c r="AW23" i="26"/>
  <c r="O30" i="27"/>
  <c r="AN23" i="26"/>
  <c r="BB5" i="26"/>
  <c r="O45" i="27"/>
  <c r="R23" i="26"/>
  <c r="AB23" i="26"/>
  <c r="BB21" i="26"/>
  <c r="AE23" i="26"/>
  <c r="J23" i="26"/>
  <c r="B23" i="26"/>
  <c r="F23" i="26"/>
  <c r="M23" i="26"/>
  <c r="BA23" i="26"/>
  <c r="AK23" i="26"/>
  <c r="O46" i="27"/>
  <c r="O43" i="27"/>
  <c r="BB9" i="26"/>
  <c r="AV23" i="26"/>
  <c r="AM23" i="26"/>
  <c r="AL23" i="26"/>
  <c r="BB7" i="26"/>
  <c r="Y23" i="26"/>
  <c r="O48" i="27"/>
  <c r="O36" i="27"/>
  <c r="BB8" i="26"/>
  <c r="AY23" i="26"/>
  <c r="I23" i="26"/>
  <c r="O35" i="27"/>
  <c r="O34" i="27"/>
  <c r="V23" i="26"/>
  <c r="BB17" i="26"/>
  <c r="K23" i="26"/>
  <c r="AG23" i="26"/>
  <c r="T23" i="26"/>
  <c r="H7" i="18" l="1"/>
  <c r="G5" i="27"/>
  <c r="I7" i="18"/>
  <c r="H5" i="27"/>
  <c r="L5" i="27"/>
  <c r="M7" i="18"/>
  <c r="F5" i="27"/>
  <c r="G7" i="18"/>
  <c r="L6" i="27"/>
  <c r="L4" i="27" s="1"/>
  <c r="M4" i="18"/>
  <c r="M14" i="18" s="1"/>
  <c r="L4" i="18"/>
  <c r="L14" i="18" s="1"/>
  <c r="K6" i="27"/>
  <c r="H6" i="27"/>
  <c r="H4" i="27" s="1"/>
  <c r="I4" i="18"/>
  <c r="I14" i="18" s="1"/>
  <c r="N4" i="18"/>
  <c r="N14" i="18" s="1"/>
  <c r="M6" i="27"/>
  <c r="O7" i="18"/>
  <c r="N5" i="27"/>
  <c r="N7" i="27" s="1"/>
  <c r="E4" i="18"/>
  <c r="E14" i="18" s="1"/>
  <c r="D6" i="27"/>
  <c r="D7" i="18"/>
  <c r="P5" i="18"/>
  <c r="O5" i="27" s="1"/>
  <c r="C5" i="27"/>
  <c r="H4" i="18"/>
  <c r="H14" i="18" s="1"/>
  <c r="G6" i="27"/>
  <c r="G4" i="27" s="1"/>
  <c r="M5" i="27"/>
  <c r="M7" i="27" s="1"/>
  <c r="N7" i="18"/>
  <c r="J4" i="18"/>
  <c r="J14" i="18" s="1"/>
  <c r="I6" i="27"/>
  <c r="I4" i="27" s="1"/>
  <c r="D4" i="18"/>
  <c r="D14" i="18" s="1"/>
  <c r="P6" i="18"/>
  <c r="O6" i="27" s="1"/>
  <c r="C6" i="27"/>
  <c r="C4" i="27" s="1"/>
  <c r="G4" i="18"/>
  <c r="G14" i="18" s="1"/>
  <c r="F6" i="27"/>
  <c r="F4" i="27" s="1"/>
  <c r="BB23" i="26"/>
  <c r="J7" i="18"/>
  <c r="I5" i="27"/>
  <c r="K4" i="18"/>
  <c r="K14" i="18" s="1"/>
  <c r="J6" i="27"/>
  <c r="J4" i="27" s="1"/>
  <c r="K5" i="27"/>
  <c r="K7" i="27" s="1"/>
  <c r="L7" i="18"/>
  <c r="N6" i="27"/>
  <c r="O4" i="18"/>
  <c r="O14" i="18" s="1"/>
  <c r="E6" i="27"/>
  <c r="E4" i="27" s="1"/>
  <c r="F4" i="18"/>
  <c r="F14" i="18" s="1"/>
  <c r="K7" i="18"/>
  <c r="J5" i="27"/>
  <c r="E7" i="18"/>
  <c r="D5" i="27"/>
  <c r="D7" i="27" s="1"/>
  <c r="M51" i="27" l="1"/>
  <c r="M28" i="27"/>
  <c r="D4" i="27"/>
  <c r="O4" i="27" s="1"/>
  <c r="H7" i="27"/>
  <c r="F7" i="27"/>
  <c r="K51" i="27"/>
  <c r="K28" i="27"/>
  <c r="N28" i="27"/>
  <c r="N51" i="27"/>
  <c r="K4" i="27"/>
  <c r="E7" i="27"/>
  <c r="G7" i="27"/>
  <c r="C7" i="27"/>
  <c r="N4" i="27"/>
  <c r="I7" i="27"/>
  <c r="M4" i="27"/>
  <c r="D28" i="27"/>
  <c r="D51" i="27"/>
  <c r="J7" i="27"/>
  <c r="P7" i="18"/>
  <c r="L7" i="27"/>
  <c r="H51" i="27" l="1"/>
  <c r="H28" i="27"/>
  <c r="E28" i="27"/>
  <c r="E51" i="27"/>
  <c r="F28" i="27"/>
  <c r="F51" i="27"/>
  <c r="L51" i="27"/>
  <c r="L28" i="27"/>
  <c r="I51" i="27"/>
  <c r="I28" i="27"/>
  <c r="J51" i="27"/>
  <c r="J28" i="27"/>
  <c r="C28" i="27"/>
  <c r="C51" i="27"/>
  <c r="O7" i="27"/>
  <c r="G51" i="27"/>
  <c r="G28" i="27"/>
  <c r="O28" i="27" l="1"/>
  <c r="P28" i="27" s="1"/>
  <c r="P15" i="27"/>
  <c r="P20" i="27"/>
  <c r="P14" i="27"/>
  <c r="P17" i="27"/>
  <c r="P19" i="27"/>
  <c r="P13" i="27"/>
  <c r="P22" i="27"/>
  <c r="P18" i="27"/>
  <c r="P24" i="27"/>
  <c r="P21" i="27"/>
  <c r="P25" i="27"/>
  <c r="O51" i="27"/>
  <c r="P51" i="27" s="1"/>
  <c r="P16" i="27"/>
  <c r="P23" i="27"/>
  <c r="P27" i="27"/>
  <c r="P26" i="27"/>
  <c r="P32" i="27"/>
  <c r="P30" i="27"/>
  <c r="P46" i="27"/>
  <c r="P37" i="27"/>
  <c r="P33" i="27"/>
  <c r="P49" i="27"/>
  <c r="P40" i="27"/>
  <c r="P50" i="27"/>
  <c r="P39" i="27"/>
  <c r="P42" i="27"/>
  <c r="P45" i="27"/>
  <c r="P47" i="27"/>
  <c r="P31" i="27"/>
  <c r="P44" i="27"/>
  <c r="P36" i="27"/>
  <c r="P43" i="27"/>
  <c r="P34" i="27"/>
  <c r="P48" i="2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<sst xmlns="http://schemas.openxmlformats.org/spreadsheetml/2006/main" count="56235" uniqueCount="7079">
  <si>
    <t>가압검사</t>
  </si>
  <si>
    <t>제조품질검사</t>
  </si>
  <si>
    <t>의미</t>
  </si>
  <si>
    <t>Scrubber 제조 완료 후 각 Line 및 Chamber, Tank에 대해 헬륨(He)을 사용하여
정해진 기준범위의 압력조건에서 누설여부를 확인하는 검사</t>
  </si>
  <si>
    <t>Scrubber 제조 완료 후 출하 전 품질팀 검사에 앞서 제조단계에서 수행하는 종합 품질검사로
Burning을 제외한 Scrubber의 모든 기능, 외관, 사양에 대해 최종 확인하는 검사</t>
  </si>
  <si>
    <t>목적</t>
  </si>
  <si>
    <t>1. Scrubber 내부 기밀성을 확보하여 유해가스·연료가스 누설로 인한 안전사고를 예방한다.
2. 헬륨(He)을 사용해 미세 누설까지 검출하여 품질 신뢰성을 확보한다.</t>
  </si>
  <si>
    <t>1. U/I 프로그램 설치, PLC 세팅, 전장 I/O Check 등 주요 동작 기능을 점검한다.
2. Pump 구동 및 Water Line 누수 여부를 확인하여 기밀성을 확보한다.
3. 명판·라벨·스티커 등 외관 식별 표시와 작업 품질을 최종 확인한다.</t>
  </si>
  <si>
    <t>검사 항목</t>
  </si>
  <si>
    <t>1. Chamber 가압검사 (0.112~0.120 Bar / 15분 / +0.000~0.001 )</t>
  </si>
  <si>
    <t>1. 전장 판넬 내부 라벨 확인 ( 부품, 판넬, 덕트 일치 확인 )</t>
  </si>
  <si>
    <t>2. 오배선, 배선체결상태 확인</t>
  </si>
  <si>
    <t>2. Utility Line 가압검사 ( PCW, BCW, GN2, CDA, SPRINKLER / 6.0 Bar 이상 / 15분 / +0.00~0.01 )</t>
  </si>
  <si>
    <t>3. 넘버링 튜브, P&amp;ID 라벨 스티커 확인</t>
  </si>
  <si>
    <t>4. 접지 연결상태 확인 및 접지스티커 부착</t>
  </si>
  <si>
    <t>3. LNG, O2 Line 가압검사 ( 5.6 Bar 이상 / 30분 / +0.00~0.01 )</t>
  </si>
  <si>
    <t>5. 체결 부위 I-marking, 메달 및 Tag 연결상태 확인</t>
  </si>
  <si>
    <t>6. AC 노드락 와셔 체결상태 확인 및 각종 스프링 와셔 압착 상태 확인</t>
  </si>
  <si>
    <t>4. 명판 검사 ( 부착된 명판이 명판관리시트내 도면 Spec과 일치하는지 여부 확인 )</t>
  </si>
  <si>
    <t>7. 각종 센서 및 전장 파츠 정상 작동 확인</t>
  </si>
  <si>
    <t>8. Water Line 펌프 구동시켜 Water Leak여부 확인</t>
  </si>
  <si>
    <t>가압 불량 조치 정의</t>
    <phoneticPr fontId="7" type="noConversion"/>
  </si>
  <si>
    <t>제조품질 불량 조치 정의</t>
  </si>
  <si>
    <t>①</t>
    <phoneticPr fontId="7" type="noConversion"/>
  </si>
  <si>
    <t>재체결</t>
    <phoneticPr fontId="7" type="noConversion"/>
  </si>
  <si>
    <r>
      <rPr>
        <sz val="9"/>
        <color rgb="FF000000"/>
        <rFont val="맑은 고딕"/>
        <scheme val="minor"/>
      </rPr>
      <t xml:space="preserve">단순한 조임 불량, 미완체결 등 재체결시 LEAK가 잡히는 경우
</t>
    </r>
    <r>
      <rPr>
        <b/>
        <sz val="9"/>
        <color rgb="FF0000FF"/>
        <rFont val="맑은 고딕"/>
        <scheme val="minor"/>
      </rPr>
      <t xml:space="preserve">기존 ASSY나 부품을 유지한 채 풀었다 다시 조이는 작업
</t>
    </r>
    <r>
      <rPr>
        <sz val="9"/>
        <color rgb="FF000000"/>
        <rFont val="맑은 고딕"/>
        <scheme val="minor"/>
      </rPr>
      <t>예시) 클램프, 너트 등 체결이 제대로 되어있지 않은경우</t>
    </r>
  </si>
  <si>
    <t>재체결</t>
  </si>
  <si>
    <r>
      <rPr>
        <sz val="9"/>
        <color rgb="FF000000"/>
        <rFont val="Calibri"/>
        <scheme val="minor"/>
      </rPr>
      <t xml:space="preserve">단순한 체결 불량, 미완체결, 정상체결 등 재체결시 정상 작동하는 경우
</t>
    </r>
    <r>
      <rPr>
        <b/>
        <sz val="9"/>
        <color rgb="FF0000FF"/>
        <rFont val="Calibri"/>
        <scheme val="minor"/>
      </rPr>
      <t xml:space="preserve">기존 ASSY나 부품을 유지한 채 풀었다 다시 조이는 작업
</t>
    </r>
    <r>
      <rPr>
        <sz val="9"/>
        <color rgb="FF000000"/>
        <rFont val="Calibri"/>
        <scheme val="minor"/>
      </rPr>
      <t>예시) Clamp 체결불량, Fitting류 체결불량, Connector 체결불량 등</t>
    </r>
  </si>
  <si>
    <t>▼</t>
    <phoneticPr fontId="7" type="noConversion"/>
  </si>
  <si>
    <t>②</t>
    <phoneticPr fontId="7" type="noConversion"/>
  </si>
  <si>
    <t>재작업</t>
  </si>
  <si>
    <r>
      <rPr>
        <sz val="9"/>
        <color rgb="FF000000"/>
        <rFont val="맑은 고딕"/>
        <scheme val="minor"/>
      </rPr>
      <t xml:space="preserve">특정 부분의 LEAK가 재체결만으로 LEAK가 잡히지 않거나,
정상적인 기준 방식으로 조립이 되어있지 않는 경우
</t>
    </r>
    <r>
      <rPr>
        <b/>
        <sz val="9"/>
        <color rgb="FF0000FF"/>
        <rFont val="맑은 고딕"/>
        <scheme val="minor"/>
      </rPr>
      <t xml:space="preserve">기존 ASSY를 분해 후, 정상 방식으로 재작업을 하는 작업
</t>
    </r>
    <r>
      <rPr>
        <sz val="9"/>
        <color rgb="FF000000"/>
        <rFont val="맑은 고딕"/>
        <scheme val="minor"/>
      </rPr>
      <t>예시) 역방향 체결, 조립 및 파트 누락, 구리스 락타이트 부족</t>
    </r>
  </si>
  <si>
    <r>
      <rPr>
        <sz val="9"/>
        <color rgb="FF000000"/>
        <rFont val="Calibri"/>
        <scheme val="minor"/>
      </rPr>
      <t xml:space="preserve">잘못된 작업으로 인해 기능 이상을 불러 정상 기준으로 다시 재작업 하는 경우
</t>
    </r>
    <r>
      <rPr>
        <b/>
        <sz val="9"/>
        <color rgb="FF0000FF"/>
        <rFont val="Calibri"/>
        <scheme val="minor"/>
      </rPr>
      <t xml:space="preserve">실물이 도면과 상이하거나, 작업이 누락이 된 경우
</t>
    </r>
    <r>
      <rPr>
        <sz val="9"/>
        <color rgb="FF000000"/>
        <rFont val="Calibri"/>
        <scheme val="minor"/>
      </rPr>
      <t>예시) 교차연결, 역방향 조립, 오배선, 작업 누락, 튜브 삽입불량 등</t>
    </r>
  </si>
  <si>
    <t>③</t>
    <phoneticPr fontId="7" type="noConversion"/>
  </si>
  <si>
    <t>재조립</t>
    <phoneticPr fontId="7" type="noConversion"/>
  </si>
  <si>
    <r>
      <t xml:space="preserve">특정부분의 LEAK가 재체결, 재작업으로도 LEAK가 잡히지 않거나,
조립 과정에서 파트가 파손되는 경우
</t>
    </r>
    <r>
      <rPr>
        <b/>
        <sz val="9"/>
        <color rgb="FF0000FF"/>
        <rFont val="맑은 고딕"/>
        <family val="3"/>
        <charset val="129"/>
        <scheme val="minor"/>
      </rPr>
      <t>기존 ASSY중 파손 및 LEAK가 지속되는 파트를 교체후 재조립하는 작업</t>
    </r>
    <r>
      <rPr>
        <sz val="9"/>
        <color theme="1"/>
        <rFont val="맑은 고딕"/>
        <family val="3"/>
        <charset val="129"/>
        <scheme val="minor"/>
      </rPr>
      <t xml:space="preserve">
예시) 나사선 마모, 조립과정에서 파트 손상, O-RING 씹힘</t>
    </r>
    <phoneticPr fontId="7" type="noConversion"/>
  </si>
  <si>
    <t>식별 조치</t>
  </si>
  <si>
    <r>
      <rPr>
        <b/>
        <sz val="9"/>
        <color rgb="FF0000FF"/>
        <rFont val="Malgun Gothic"/>
      </rPr>
      <t>외관상으로 구분</t>
    </r>
    <r>
      <rPr>
        <sz val="9"/>
        <color rgb="FF000000"/>
        <rFont val="Malgun Gothic"/>
      </rPr>
      <t>되는 불량을 조치하는 작업
예시) I-Marking, 라벨, 스티커, 넘버링 튜브 등</t>
    </r>
  </si>
  <si>
    <t>④</t>
    <phoneticPr fontId="7" type="noConversion"/>
  </si>
  <si>
    <t>Teflon 작업</t>
    <phoneticPr fontId="7" type="noConversion"/>
  </si>
  <si>
    <r>
      <rPr>
        <sz val="9"/>
        <color rgb="FF000000"/>
        <rFont val="맑은 고딕"/>
        <scheme val="minor"/>
      </rPr>
      <t xml:space="preserve">자체 Sealing만으로 LEAK가 잡히지 않는 경우
정상적인 기준 바퀴수로 체결했으나, Leak가 잡히지 않는경우
분해 후, </t>
    </r>
    <r>
      <rPr>
        <b/>
        <sz val="9"/>
        <color rgb="FF0000FF"/>
        <rFont val="맑은 고딕"/>
        <scheme val="minor"/>
      </rPr>
      <t>추가 Teflon 작업 실시</t>
    </r>
  </si>
  <si>
    <t>⑤</t>
  </si>
  <si>
    <t>파트교체</t>
    <phoneticPr fontId="7" type="noConversion"/>
  </si>
  <si>
    <r>
      <t xml:space="preserve">품질 불량으로 인하여 LEAK가 지속적으로 발생되어 작업으로 해결되지않거나,
He을 보증하지 않는 파트에 대해서 </t>
    </r>
    <r>
      <rPr>
        <b/>
        <sz val="9"/>
        <color rgb="FF0000FF"/>
        <rFont val="맑은 고딕"/>
        <family val="3"/>
        <charset val="129"/>
        <scheme val="minor"/>
      </rPr>
      <t>파트교체를 하는 경우</t>
    </r>
    <r>
      <rPr>
        <sz val="9"/>
        <color theme="1"/>
        <rFont val="맑은 고딕"/>
        <family val="3"/>
        <charset val="129"/>
        <scheme val="minor"/>
      </rPr>
      <t xml:space="preserve">
예시) SpeedController, 원터치 피팅, 부적합 파트</t>
    </r>
    <phoneticPr fontId="7" type="noConversion"/>
  </si>
  <si>
    <t>⑤</t>
    <phoneticPr fontId="7" type="noConversion"/>
  </si>
  <si>
    <t>파트교체</t>
  </si>
  <si>
    <r>
      <rPr>
        <sz val="9"/>
        <color rgb="FF000000"/>
        <rFont val="맑은 고딕"/>
        <scheme val="minor"/>
      </rPr>
      <t xml:space="preserve">파트 자체의 문제 혹은 파손으로 인해 </t>
    </r>
    <r>
      <rPr>
        <b/>
        <sz val="9"/>
        <color rgb="FF0000FF"/>
        <rFont val="맑은 고딕"/>
        <scheme val="minor"/>
      </rPr>
      <t xml:space="preserve">파트를 교체하는 경우
</t>
    </r>
    <r>
      <rPr>
        <sz val="9"/>
        <color rgb="FF000000"/>
        <rFont val="맑은 고딕"/>
        <scheme val="minor"/>
      </rPr>
      <t>예시) 용접부 Leak, H/J Controller 이상 등</t>
    </r>
  </si>
  <si>
    <t>QMS 비고 작성 정의</t>
  </si>
  <si>
    <t>불량 파트에 대한 설명 기준</t>
    <phoneticPr fontId="7" type="noConversion"/>
  </si>
  <si>
    <t>제조</t>
  </si>
  <si>
    <t>외주사 귀책</t>
  </si>
  <si>
    <t>외주사의 작업 불량으로 불량이 발생한 경우</t>
  </si>
  <si>
    <t>Y FITTING 알파벳 기준</t>
    <phoneticPr fontId="7" type="noConversion"/>
  </si>
  <si>
    <t>PXG 기준</t>
    <phoneticPr fontId="7" type="noConversion"/>
  </si>
  <si>
    <t>제조(재작업)</t>
  </si>
  <si>
    <t>귀책 없음</t>
  </si>
  <si>
    <t>외주사가 정상적으로 작업하였으나, 
불량발생으로 재작업 한 경우</t>
  </si>
  <si>
    <t>제조
(He미보증)</t>
  </si>
  <si>
    <t>가압 검사 진행중 He미보증 파트에서 Leak가 발생한 경우</t>
  </si>
  <si>
    <t>제조
(Water Leak)</t>
  </si>
  <si>
    <t>제조품질검사 진행중 Water Line에서 Leak가 발생한경우</t>
  </si>
  <si>
    <t>품질</t>
  </si>
  <si>
    <t>품질 귀책</t>
  </si>
  <si>
    <t>파트 자체의 문제 혹은 파손으로 품질팀에서 조치한 경우</t>
  </si>
  <si>
    <t>불량 등록 양식</t>
  </si>
  <si>
    <t>품번</t>
  </si>
  <si>
    <t>품명</t>
  </si>
  <si>
    <t>상세불량내용
( ① 재질, 크기 / ② 부위 / ③ 불량내용 )</t>
  </si>
  <si>
    <t>불량 위치
( ① LINE / ② P&amp;ID / ③ 상세위치 )</t>
  </si>
  <si>
    <t>ADJUSTABLE ELBOW</t>
  </si>
  <si>
    <t>ADJUSTABLE ELBOW FITTING NUT LEAK (1/4", IN단, 미완체결)</t>
  </si>
  <si>
    <t>　</t>
  </si>
  <si>
    <t>ADJUSTABLE ELBOW FITTING NUT LEAK (1/4", OUT단, 미완체결)</t>
  </si>
  <si>
    <t>ADJUSTABLE ELBOW FITTING NUT LEAK (1/4", IN단, 체결이상 무)</t>
  </si>
  <si>
    <t>ADJUSTABLE ELBOW FITTING NUT LEAK (1/4", OUT단, 체결이상 무)</t>
  </si>
  <si>
    <t>ADJUSTABLE ELBOW FITTING NUT LEAK (1/4", IN단, FERRULE 미삽입)</t>
  </si>
  <si>
    <t>ADJUSTABLE ELBOW FITTING NUT LEAK (1/4", OUT단, FERRULE 미삽입)</t>
  </si>
  <si>
    <t>ADJUSTABLE ELBOW FITTING NUT LEAK (1/4", IN단, FERRULE 물림X)</t>
  </si>
  <si>
    <t>ADJUSTABLE ELBOW FITTING NUT LEAK (1/4", OUT단, FERRULE 물림X)</t>
  </si>
  <si>
    <t>ADJUSTABLE ELBOW FITTING NUT LEAK (3/8", IN단, 미완체결)</t>
  </si>
  <si>
    <t>ADJUSTABLE ELBOW FITTING NUT LEAK (3/8", OUT단, 미완체결)</t>
  </si>
  <si>
    <t>ADJUSTABLE ELBOW FITTING NUT LEAK (3/8", IN단, 체결이상 무)</t>
  </si>
  <si>
    <t>ADJUSTABLE ELBOW FITTING NUT LEAK (3/8", OUT단, 체결이상 무)</t>
  </si>
  <si>
    <t>ADJUSTABLE ELBOW FITTING NUT LEAK (3/8", IN단, FERRULE 미삽입)</t>
  </si>
  <si>
    <t>ADJUSTABLE ELBOW FITTING NUT LEAK (3/8", OUT단, FERRULE 미삽입)</t>
  </si>
  <si>
    <t>ADJUSTABLE ELBOW FITTING NUT LEAK (3/8", IN단, FERRULE 물림X)</t>
  </si>
  <si>
    <t>ADJUSTABLE ELBOW FITTING NUT LEAK (3/8", OUT단, FERRULE 물림X)</t>
  </si>
  <si>
    <t>ADJUSTABLE ELBOW FITTING NUT LEAK (1/2", IN단, 미완체결)</t>
  </si>
  <si>
    <t>ADJUSTABLE ELBOW FITTING NUT LEAK (1/2", OUT단, 미완체결)</t>
  </si>
  <si>
    <t>ADJUSTABLE ELBOW FITTING NUT LEAK (1/2", IN단, 체결이상 무)</t>
  </si>
  <si>
    <t>ADJUSTABLE ELBOW FITTING NUT LEAK (1/2", OUT단, 체결이상 무)</t>
  </si>
  <si>
    <t>ADJUSTABLE ELBOW FITTING NUT LEAK (1/2", IN단, FERRULE 미삽입)</t>
  </si>
  <si>
    <t>ADJUSTABLE ELBOW FITTING NUT LEAK (1/2", OUT단, FERRULE 미삽입)</t>
  </si>
  <si>
    <t>ADJUSTABLE ELBOW FITTING NUT LEAK (1/2", IN단, FERRULE 물림X)</t>
  </si>
  <si>
    <t>ADJUSTABLE ELBOW FITTING NUT LEAK (1/2", OUT단, FERRULE 물림X)</t>
  </si>
  <si>
    <t>ADJUSTABLE ELBOW FITTING NUT LEAK (3/4", IN단, 미완체결)</t>
  </si>
  <si>
    <t>ADJUSTABLE ELBOW FITTING NUT LEAK (3/4", OUT단, 미완체결)</t>
  </si>
  <si>
    <t>ADJUSTABLE ELBOW FITTING NUT LEAK (3/4", IN단, 체결이상 무)</t>
  </si>
  <si>
    <t>ADJUSTABLE ELBOW FITTING NUT LEAK (3/4", OUT단, 체결이상 무)</t>
  </si>
  <si>
    <t>ADJUSTABLE ELBOW FITTING NUT LEAK (3/4", IN단, FERRULE 미삽입)</t>
  </si>
  <si>
    <t>ADJUSTABLE ELBOW FITTING NUT LEAK (3/4", OUT단, FERRULE 미삽입)</t>
  </si>
  <si>
    <t>ADJUSTABLE ELBOW FITTING NUT LEAK (3/4", IN단, FERRULE 물림X)</t>
  </si>
  <si>
    <t>ADJUSTABLE ELBOW FITTING NUT LEAK (3/4", OUT단, FERRULE 물림X)</t>
  </si>
  <si>
    <t>BALL VALVE</t>
  </si>
  <si>
    <t>BALL VALVE MEDAL 누락 (6mm)</t>
  </si>
  <si>
    <t>BALL VALVE MEDAL 오부착 (6mm)</t>
  </si>
  <si>
    <t>BALL VALVE P&amp;ID 스티커 누락 (6mm)</t>
  </si>
  <si>
    <t>BALL VALVE P&amp;ID 스티커 오부착 (6mm)</t>
  </si>
  <si>
    <t>BALL VALVE I-MARKING 누락 (6mm)</t>
  </si>
  <si>
    <t>BALL VALVE FITTING NUT LEAK (6mm, IN단, 미완체결)</t>
  </si>
  <si>
    <t>BALL VALVE FITTING NUT LEAK (6mm, IN단, 체결이상 무)</t>
  </si>
  <si>
    <t>BALL VALVE FITTING NUT LEAK (6mm, IN단, FERRULE 물림X)</t>
  </si>
  <si>
    <t>BALL VALVE FITTING NUT LEAK (6mm, IN단, FERRULE 미삽입)</t>
  </si>
  <si>
    <t>BALL VALVE FITTING NUT LEAK (6mm, OUT단, 미완체결)</t>
  </si>
  <si>
    <t>BALL VALVE FITTING NUT LEAK (6mm, OUT단, 체결이상 무)</t>
  </si>
  <si>
    <t>BALL VALVE FITTING NUT LEAK (6mm, OUT단, FERRULE 물림X)</t>
  </si>
  <si>
    <t>BALL VALVE FITTING NUT LEAK (6mm, OUT단, FERRULE 미삽입)</t>
  </si>
  <si>
    <t>BALL VALVE MEDAL 누락 (1/4")</t>
  </si>
  <si>
    <t>BALL VALVE MEDAL 오부착 (1/4")</t>
  </si>
  <si>
    <t>BALL VALVE P&amp;ID 스티커 누락 (1/4")</t>
  </si>
  <si>
    <t>BALL VALVE P&amp;ID 스티커 오부착 (1/4")</t>
  </si>
  <si>
    <t>BALL VALVE I-MARKING 누락 (1/4")</t>
  </si>
  <si>
    <t>BALL VALVE FITTING NUT LEAK (1/4", IN단, 미완체결)</t>
  </si>
  <si>
    <t>BALL VALVE FITTING NUT LEAK (1/4", IN단, 체결이상 무)</t>
  </si>
  <si>
    <t>BALL VALVE FITTING NUT LEAK (1/4", IN단, FERRULE 물림X)</t>
  </si>
  <si>
    <t>BALL VALVE FITTING NUT LEAK (1/4", IN단, FERRULE 미삽입)</t>
  </si>
  <si>
    <t>BALL VALVE FITTING NUT LEAK (1/4", OUT단, FERRULE 물림X)</t>
  </si>
  <si>
    <t>BALL VALVE FITTING NUT LEAK (1/4", OUT단, FERRULE 미삽입)</t>
  </si>
  <si>
    <t>BALL VALVE FITTING NUT LEAK (1/4", OUT단, 미완체결)</t>
  </si>
  <si>
    <t>BALL VALVE FITTING NUT LEAK (1/4", OUT단, 체결이상 무)</t>
  </si>
  <si>
    <t>BALL VALVE MEDAL 누락 (3/8")</t>
  </si>
  <si>
    <t>BALL VALVE MEDAL 오부착 (3/8")</t>
  </si>
  <si>
    <t>BALL VALVE P&amp;ID 스티커 누락 (3/8")</t>
  </si>
  <si>
    <t>BALL VALVE P&amp;ID 스티커 오부착 (3/8")</t>
  </si>
  <si>
    <t>BALL VALVE I-MARKING 누락 (3/8")</t>
  </si>
  <si>
    <t>BALL VALVE FITTING NUT LEAK (3/8", IN단, 미완체결)</t>
  </si>
  <si>
    <t>BALL VALVE FITTING NUT LEAK (3/8", IN단, 체결이상 무)</t>
  </si>
  <si>
    <t>BALL VALVE FITTING NUT LEAK (3/8", IN단, FERRULE 물림X)</t>
  </si>
  <si>
    <t>BALL VALVE FITTING NUT LEAK (3/8", IN단, FERRULE 미삽입)</t>
  </si>
  <si>
    <t>BALL VALVE FITTING NUT LEAK (3/8", OUT단, FERRULE 물림X)</t>
  </si>
  <si>
    <t>BALL VALVE FITTING NUT LEAK (3/8", OUT단, FERRULE 미삽입)</t>
  </si>
  <si>
    <t>BALL VALVE FITTING NUT LEAK (3/8", OUT단, 미완체결)</t>
  </si>
  <si>
    <t>BALL VALVE FITTING NUT LEAK (3/8", OUT단, 체결이상 무)</t>
  </si>
  <si>
    <t>BULKHEAD UNION</t>
  </si>
  <si>
    <t>BULKHEAD UNION FITTING NUT LEAK (1/4", IN단, 미완체결)</t>
  </si>
  <si>
    <t>BULKHEAD UNION FITTING NUT LEAK (1/4", IN단, 체결이상 무)</t>
  </si>
  <si>
    <t>BULKHEAD UNION FITTING NUT LEAK (1/4", IN단, FERRULE 물림X)</t>
  </si>
  <si>
    <t>BULKHEAD UNION FITTING NUT LEAK (1/4", IN단, FERRULE 미삽입)</t>
  </si>
  <si>
    <t>BULKHEAD UNION FITTING NUT LEAK (1/4", OUT단, 미완체결)</t>
  </si>
  <si>
    <t>BULKHEAD UNION FITTING NUT LEAK (1/4", OUT단, 체결이상 무)</t>
  </si>
  <si>
    <t>BULKHEAD UNION FITTING NUT LEAK (1/4", OUT단, FERRULE 물림X)</t>
  </si>
  <si>
    <t>BULKHEAD UNION FITTING NUT LEAK (1/4", OUT단, FERRULE 미삽입)</t>
  </si>
  <si>
    <t>BULKHEAD UNION P&amp;ID 스티커 누락 (1/4")</t>
  </si>
  <si>
    <t>BULKHEAD UNION P&amp;ID 스티커 오부착 (1/4")</t>
  </si>
  <si>
    <t>BULKHEAD UNION 풀림 (1/4")</t>
  </si>
  <si>
    <t>BULKHEAD UNION FITTING NUT LEAK (3/8", IN단, 미완체결)</t>
  </si>
  <si>
    <t>BULKHEAD UNION FITTING NUT LEAK (3/8", IN단, 체결이상 무)</t>
  </si>
  <si>
    <t>BULKHEAD UNION FITTING NUT LEAK (3/8", IN단, FERRULE 물림X)</t>
  </si>
  <si>
    <t>BULKHEAD UNION FITTING NUT LEAK (3/8", IN단, FERRULE 미삽입)</t>
  </si>
  <si>
    <t>BULKHEAD UNION FITTING NUT LEAK (3/8", OUT단, 미완체결)</t>
  </si>
  <si>
    <t>BULKHEAD UNION FITTING NUT LEAK (3/8", OUT단, 체결이상 무)</t>
  </si>
  <si>
    <t>BULKHEAD UNION FITTING NUT LEAK (3/8", OUT단, FERRULE 물림X)</t>
  </si>
  <si>
    <t>BULKHEAD UNION P&amp;ID 스티커 누락 (3/8")</t>
  </si>
  <si>
    <t>BULKHEAD UNION P&amp;ID 스티커 오부착 (3/8")</t>
  </si>
  <si>
    <t>BULKHEAD UNION 풀림 (3/8")</t>
  </si>
  <si>
    <t>BULKHEAD UNION FITTING NUT LEAK (1/2", IN단, 미완체결)</t>
  </si>
  <si>
    <t>BULKHEAD UNION FITTING NUT LEAK (1/2", IN단, 체결이상 무)</t>
  </si>
  <si>
    <t>BULKHEAD UNION FITTING NUT LEAK (1/2", IN단, FERRULE 물림X)</t>
  </si>
  <si>
    <t>BULKHEAD UNION FITTING NUT LEAK (1/2", IN단, FERRULE 미삽입)</t>
  </si>
  <si>
    <t>BULKHEAD UNION FITTING NUT LEAK (1/2", OUT단, 미완체결)</t>
  </si>
  <si>
    <t>BULKHEAD UNION FITTING NUT LEAK (1/2", OUT단, 체결이상 무)</t>
  </si>
  <si>
    <t>BULKHEAD UNION FITTING NUT LEAK (1/2", OUT단, FERRULE 물림X)</t>
  </si>
  <si>
    <t>BULKHEAD UNION P&amp;ID 스티커 누락 (1/2")</t>
  </si>
  <si>
    <t>BULKHEAD UNION P&amp;ID 스티커 오부착 (1/2")</t>
  </si>
  <si>
    <t>BULKHEAD UNION 풀림 (1/2")</t>
  </si>
  <si>
    <t>BULKHEAD UNION FITTING NUT LEAK (3/4", IN단, 미완체결)</t>
  </si>
  <si>
    <t>BULKHEAD UNION FITTING NUT LEAK (3/4", IN단, 체결이상 무)</t>
  </si>
  <si>
    <t>BULKHEAD UNION FITTING NUT LEAK (3/4", IN단, FERRULE 물림X)</t>
  </si>
  <si>
    <t>BULKHEAD UNION FITTING NUT LEAK (3/4", IN단, FERRULE 미삽입)</t>
  </si>
  <si>
    <t>BULKHEAD UNION FITTING NUT LEAK (3/4", OUT단, 미완체결)</t>
  </si>
  <si>
    <t>BULKHEAD UNION FITTING NUT LEAK (3/4", OUT단, 체결이상 무)</t>
  </si>
  <si>
    <t>BULKHEAD UNION FITTING NUT LEAK (3/4", OUT단, FERRULE 물림X)</t>
  </si>
  <si>
    <t>BULKHEAD UNION P&amp;ID 스티커 누락 (3/4")</t>
  </si>
  <si>
    <t>BULKHEAD UNION P&amp;ID 스티커 오부착 (3/4")</t>
  </si>
  <si>
    <t>BULKHEAD UNION 풀림 (3/4")</t>
  </si>
  <si>
    <t>BULKHEAD UNION FITTING NUT LEAK (1", IN단, 미완체결)</t>
  </si>
  <si>
    <t>BULKHEAD UNION FITTING NUT LEAK (1", IN단, 체결이상 무)</t>
  </si>
  <si>
    <t>BULKHEAD UNION FITTING NUT LEAK (1", IN단, FERRULE 물림X)</t>
  </si>
  <si>
    <t>BULKHEAD UNION FITTING NUT LEAK (1", IN단, FERRULE 미삽입)</t>
  </si>
  <si>
    <t>BULKHEAD UNION FITTING NUT LEAK (1", OUT단, 미완체결)</t>
  </si>
  <si>
    <t>BULKHEAD UNION FITTING NUT LEAK (1", OUT단, 체결이상 무)</t>
  </si>
  <si>
    <t>BULKHEAD UNION FITTING NUT LEAK (1", OUT단, FERRULE 물림X)</t>
  </si>
  <si>
    <t>BULKHEAD UNION P&amp;ID 스티커 누락 (1")</t>
  </si>
  <si>
    <t>BULKHEAD UNION P&amp;ID 스티커 오부착 (1")</t>
  </si>
  <si>
    <t>BULKHEAD UNION 풀림 (1")</t>
  </si>
  <si>
    <t>CENTER O-RING</t>
  </si>
  <si>
    <t>O-RING 이탈 (PVC, EPDM, NW25, BLK)</t>
  </si>
  <si>
    <t>O-RING 씹힘 (PVC, EPDM, NW25, BLK)</t>
  </si>
  <si>
    <t>O-RING 누락 (PVC, EPDM, NW25, BLK)</t>
  </si>
  <si>
    <t>O-RING 이탈 (PVC, EPDM, NW40, BLK)</t>
  </si>
  <si>
    <t>O-RING 씹힘 (PVC, EPDM, NW40, BLK)</t>
  </si>
  <si>
    <t>O-RING 누락 (PVC, EPDM, NW40, BLK)</t>
  </si>
  <si>
    <t>O-RING 이탈 (PVC, EPDM, NW50, BLK)</t>
  </si>
  <si>
    <t>O-RING 씹힘 (PVC, EPDM, NW50, BLK)</t>
  </si>
  <si>
    <t>O-RING 누락 (PVC, EPDM, NW50, BLK)</t>
  </si>
  <si>
    <t>O-RING 이탈 (PVC, EPDM, 125A, BLK)</t>
  </si>
  <si>
    <t>O-RING 씹힘 (PVC, EPDM, 125A, BLK)</t>
  </si>
  <si>
    <t>O-RING 누락 (PVC, EPDM, 125A, BLK)</t>
  </si>
  <si>
    <t>O-RING 이탈 (FKM-F, NW25, BRW)</t>
  </si>
  <si>
    <t>O-RING 씹힘 (FKM-F, NW25, BRW)</t>
  </si>
  <si>
    <t>O-RING 누락 (FKM-F, NW25, BRW)</t>
  </si>
  <si>
    <t>O-RING 이탈 (FKM-F, NW40, BRW)</t>
  </si>
  <si>
    <t>O-RING 씹힘 (FKM-F, NW40, BRW)</t>
  </si>
  <si>
    <t>O-RING 누락 (FKM-F, NW40, BRW)</t>
  </si>
  <si>
    <t>O-RING 이탈 (FKM-F, NW50, BRW)</t>
  </si>
  <si>
    <t>O-RING 씹힘 (FKM-F, NW50, BRW)</t>
  </si>
  <si>
    <t>O-RING 누락 (FKM-F, NW50, BRW)</t>
  </si>
  <si>
    <t>O-RING 이탈 (FFKM, NW25, BLK)</t>
  </si>
  <si>
    <t>O-RING 씹힘 (FFKM, NW25, BLK)</t>
  </si>
  <si>
    <t>O-RING 누락 (FFKM, NW25, BLK)</t>
  </si>
  <si>
    <t>O-RING 이탈 (FFKM, NW40, BLK)</t>
  </si>
  <si>
    <t>O-RING 씹힘 (FFKM, NW40, BLK)</t>
  </si>
  <si>
    <t>O-RING 누락 (FFKM, NW40, BLK)</t>
  </si>
  <si>
    <t>O-RING 이탈 (FFKM, NW50, BLK)</t>
  </si>
  <si>
    <t>O-RING 씹힘 (FFKM, NW50, BLK)</t>
  </si>
  <si>
    <t>O-RING 누락 (FFKM, NW50, BLK)</t>
  </si>
  <si>
    <t>CHECK VALVE</t>
  </si>
  <si>
    <t>CHECK VALVE FITTING NUT LEAK (6mm, IN단, 미완체결)</t>
  </si>
  <si>
    <t>CHECK VALVE FITTING NUT LEAK (6mm, IN단, 체결이상 무)</t>
  </si>
  <si>
    <t>CHECK VALVE FITTING NUT LEAK (6mm, IN단, FERRULE 미삽입)</t>
  </si>
  <si>
    <t>CHECK VALVE FITTING NUT LEAK (6mm, IN단, FERRULE 물림X)</t>
  </si>
  <si>
    <t>CHECK VALVE FITTING NUT LEAK (6mm, OUT단, 미완체결)</t>
  </si>
  <si>
    <t>CHECK VALVE FITTING NUT LEAK (6mm, OUT단, 체결이상 무)</t>
  </si>
  <si>
    <t>CHECK VALVE FITTING NUT LEAK (6mm, OUT단, FERRULE 물림X)</t>
  </si>
  <si>
    <t>CHECK VALVE FITTING NUT LEAK (6mm, OUT단, FERRULE 미삽입)</t>
  </si>
  <si>
    <t>CHECK VALVE 역방향 조립 (6mm)</t>
  </si>
  <si>
    <t>CHECK VALVE IN 스티커 미부착 (6mm)</t>
  </si>
  <si>
    <t>CHECK VALVE OUT 스티커 미부착 (6mm)</t>
  </si>
  <si>
    <t>CHECK VALVE IN-OUT 스티커 교차부착 (6mm)</t>
  </si>
  <si>
    <t>CHECK VALVE P&amp;ID 스티커 미부착 (6mm)</t>
  </si>
  <si>
    <t>CHECK VALVE P&amp;ID 스티커 오부착 (6mm)</t>
  </si>
  <si>
    <t>CHECK VALVE FITTING NUT LEAK (1/4", IN단, 미완체결)</t>
  </si>
  <si>
    <t>CHECK VALVE FITTING NUT LEAK (1/4", IN단, 체결이상 무)</t>
  </si>
  <si>
    <t>CHECK VALVE FITTING NUT LEAK (1/4", IN단, FERRULE 미삽입)</t>
  </si>
  <si>
    <t>CHECK VALVE FITTING NUT LEAK (1/4", IN단, FERRULE 물림X)</t>
  </si>
  <si>
    <t>CHECK VALVE FITTING NUT LEAK (1/4", OUT단, 미완체결)</t>
  </si>
  <si>
    <t>CHECK VALVE FITTING NUT LEAK (1/4", OUT단, 체결이상 무)</t>
  </si>
  <si>
    <t>CHECK VALVE FITTING NUT LEAK (1/4", OUT단, FERRULE 물림X)</t>
  </si>
  <si>
    <t>CHECK VALVE FITTING NUT LEAK (1/4", OUT단, FERRULE 미삽입)</t>
  </si>
  <si>
    <t>CHECK VALVE 역방향 조립 (1/4")</t>
  </si>
  <si>
    <t>CHECK VALVE IN 스티커 미부착 (1/4")</t>
  </si>
  <si>
    <t>CHECK VALVE OUT 스티커 미부착 (1/4")</t>
  </si>
  <si>
    <t>CHECK VALVE IN-OUT 스티커 교차부착 (1/4")</t>
  </si>
  <si>
    <t>CHECK VALVE P&amp;ID 스티커 미부착 (1/4")</t>
  </si>
  <si>
    <t>CHECK VALVE P&amp;ID 스티커 오부착 (1/4")</t>
  </si>
  <si>
    <t>CLAMP</t>
  </si>
  <si>
    <t>NW 25 CLAMP 체결불량 (알류미늄/미완체결)</t>
  </si>
  <si>
    <t>NW 25 CLAMP 체결불량 (알류미늄/사선체결)</t>
  </si>
  <si>
    <t>NW 25 CLAMP 체결부 LEAK (알류미늄/체결이상 무)</t>
  </si>
  <si>
    <t>NW 40 CLAMP 체결불량 (알류미늄/미완체결)</t>
  </si>
  <si>
    <t>NW 40 CLAMP 체결불량 (알류미늄/사선체결)</t>
  </si>
  <si>
    <t>NW 40 CLAMP 체결부 LEAK (알류미늄/체결이상 무)</t>
  </si>
  <si>
    <t>NW 50 CLAMP 체결불량 (알류미늄/미완체결)</t>
  </si>
  <si>
    <t>NW 50 CLAMP 체결불량 (알류미늄/사선체결)</t>
  </si>
  <si>
    <t>NW 50 CLAMP 체결부 LEAK (알류미늄/체결이상 무)</t>
  </si>
  <si>
    <t>NW 40 CLAMP 체결불량 (고강도/사선체결)</t>
  </si>
  <si>
    <t>NW 40 CLAMP I-MARKING 누락 (고강도)</t>
  </si>
  <si>
    <t>NW 40 CLAMP 체결부 LEAK (고강도/체결이상 무)</t>
  </si>
  <si>
    <t>NW 50 CLAMP 체결불량 (고강도/사선체결)</t>
  </si>
  <si>
    <t>NW 50 CLAMP I-MARKING 누락 (고강도)</t>
  </si>
  <si>
    <t>NW 50 CLAMP 체결부 LEAK (고강도/체결이상 무)</t>
  </si>
  <si>
    <t>5" (125A) CLAMP 체결불량 (미완체결)</t>
  </si>
  <si>
    <t>5" (125A) CLAMP 체결불량 (사선체결)</t>
  </si>
  <si>
    <t>5" (125A) CLAMP I-MARKING 누락</t>
  </si>
  <si>
    <t>5" (125A) CLAMP 체결부 LEAK (체결이상 무)</t>
  </si>
  <si>
    <t>NW 25 CLAMP 체결불량 (TOGGLE/미완체결)</t>
  </si>
  <si>
    <t>NW 25 CLAMP 체결불량 (TOGGLE/핀미삽입)</t>
  </si>
  <si>
    <t>NW 25 CLAMP 체결부 LEAK (TOGGLE/체결이상 무)</t>
  </si>
  <si>
    <t>NW 40 CLAMP 체결불량 (TOGGLE/미완체결)</t>
  </si>
  <si>
    <t>NW 40 CLAMP 체결불량 (TOGGLE/핀미삽입)</t>
  </si>
  <si>
    <t>NW 40 CLAMP 체결부 LEAK (TOGGLE/체결이상 무)</t>
  </si>
  <si>
    <t>NW 50 CLAMP 체결불량 (TOGGLE/미완체결)</t>
  </si>
  <si>
    <t>NW 50 CLAMP 체결불량 (TOGGLE/핀미삽입)</t>
  </si>
  <si>
    <t>NW 50 CLAMP 체결부 LEAK (TOGGLE/체결이상 무)</t>
  </si>
  <si>
    <t>CLAW CLAMP</t>
  </si>
  <si>
    <t>CLAW CLAMP 체결불량(미완체결)</t>
  </si>
  <si>
    <t>CLAW CLAMP I-MARKING 누락</t>
  </si>
  <si>
    <t>DIFFERENT UNION TEE</t>
  </si>
  <si>
    <t>DIFFERENT UNION TEE LEAK (우레탄, 10, 좌측상단)</t>
  </si>
  <si>
    <t>DIFFERENT UNION TEE LEAK (우레탄, 10, 우측상단)</t>
  </si>
  <si>
    <t>DIFFERENT UNION TEE LEAK (우레탄, 08, 하단)</t>
  </si>
  <si>
    <t>DIFFERENT UNION TEE LEAK (PFA, 10, 좌측상단)</t>
  </si>
  <si>
    <t>DIFFERENT UNION TEE LEAK (PFA, 10, 우측상단)</t>
  </si>
  <si>
    <t>DIFFERENT UNION TEE LEAK (PFA, 08, 하단)</t>
  </si>
  <si>
    <t>DIFFERENT UNION TEE LEAK (우레탄, 10, 좌측상단, 삽입부족)</t>
  </si>
  <si>
    <t>DIFFERENT UNION TEE LEAK (우레탄, 10, 우측상단, 삽입부족)</t>
  </si>
  <si>
    <t>DIFFERENT UNION TEE LEAK (우레탄, 08, 하단, 삽입부족)</t>
  </si>
  <si>
    <t>DIFFERENT UNION TEE LEAK (PFA, 10, 좌측상단, 삽입부족)</t>
  </si>
  <si>
    <t>DIFFERENT UNION TEE LEAK (PFA, 10, 우측상단, 삽입부족)</t>
  </si>
  <si>
    <t>DIFFERENT UNION TEE LEAK (PFA, 08, 하단, 삽입부족)</t>
  </si>
  <si>
    <t>DIFFERENT UNION TEE LEAK (우레탄, 10, 좌측상단, 미삽입)</t>
  </si>
  <si>
    <t>DIFFERENT UNION TEE LEAK (우레탄, 10, 우측상단, 미삽입)</t>
  </si>
  <si>
    <t>DIFFERENT UNION TEE LEAK (우레탄, 08, 하단, 미삽입)</t>
  </si>
  <si>
    <t>DIFFERENT UNION TEE LEAK (PFA, 10, 좌측상단, 미삽입)</t>
  </si>
  <si>
    <t>DIFFERENT UNION TEE LEAK (PFA, 10, 우측상단, 미삽입)</t>
  </si>
  <si>
    <t>DIFFERENT UNION TEE LEAK (PFA, 08, 하단, 미삽입)</t>
  </si>
  <si>
    <t>DIFFERENT UNION TEE LEAK (우레탄, 10, 좌측상단, TUBE컷팅불량)</t>
  </si>
  <si>
    <t>DIFFERENT UNION TEE LEAK (우레탄, 10, 우측상단, TUBE컷팅불량)</t>
  </si>
  <si>
    <t>DIFFERENT UNION TEE LEAK (우레탄, 08, 하단, TUBE컷팅불량)</t>
  </si>
  <si>
    <t>DIFFERENT UNION TEE LEAK (PFA, 10, 좌측상단, TUBE컷팅불량)</t>
  </si>
  <si>
    <t>DIFFERENT UNION TEE LEAK (PFA, 10, 우측상단, TUBE컷팅불량)</t>
  </si>
  <si>
    <t>DIFFERENT UNION TEE LEAK (PFA, 08, 하단, TUBE컷팅불량)</t>
  </si>
  <si>
    <t>DIFFERENT UNION TEE BODY LEAK</t>
  </si>
  <si>
    <t>DOUBLE REDUCER Y</t>
  </si>
  <si>
    <t>DOUBLE REDUCER Y LEAK (6mm, 우레탄, 삽입부족)</t>
  </si>
  <si>
    <t>DOUBLE REDUCER Y LEAK (6mm, 우레탄, 미삽입)</t>
  </si>
  <si>
    <t>DOUBLE REDUCER Y LEAK (6mm, 우레탄, TUBE 컷팅불량)</t>
  </si>
  <si>
    <t>DOUBLE REDUCER Y LEAK (6mm, PFA, 삽입부족)</t>
  </si>
  <si>
    <t>DOUBLE REDUCER Y LEAK (6mm, PFA, 미삽입)</t>
  </si>
  <si>
    <t>DOUBLE REDUCER Y LEAK (6mm, PFA, TUBE 컷팅불량)</t>
  </si>
  <si>
    <t>DOUBLE REDUCER Y LEAK (4mm, 우레탄, 삽입부족)</t>
  </si>
  <si>
    <t>DOUBLE REDUCER Y LEAK (4mm, 우레탄, 미삽입)</t>
  </si>
  <si>
    <t>DOUBLE REDUCER Y LEAK (4mm, 우레탄, TUBE 컷팅불량)</t>
  </si>
  <si>
    <t>DOUBLE REDUCER Y LEAK (4mm, PFA, 삽입부족)</t>
  </si>
  <si>
    <t>DOUBLE REDUCER Y LEAK (4mm, PFA, 미삽입)</t>
  </si>
  <si>
    <t>DOUBLE REDUCER Y LEAK (4mm, PFA, TUBE 컷팅불량)</t>
  </si>
  <si>
    <t>DOUBLE REDUCER Y BODY LEAK (6mm, 4mm)</t>
  </si>
  <si>
    <t>DOUBLE REDUCER Y LEAK (6mm, PFA)</t>
  </si>
  <si>
    <t>DOUBLE REDUCER Y LEAK (6mm, 우레탄)</t>
  </si>
  <si>
    <t>DOUBLE REDUCER Y LEAK (4mm, PFA)</t>
  </si>
  <si>
    <t>DOUBLE REDUCER Y LEAK (4mm, 우레탄)</t>
  </si>
  <si>
    <t>FEMALE BRANCH TEE</t>
  </si>
  <si>
    <t>FEMALE BRANCH TEE FITTING NUT LEAK(1/4", 좌측상단, 미완체결)</t>
  </si>
  <si>
    <t>FEMALE BRANCH TEE FITTING NUT LEAK(1/4", 좌측상단, 체결이상 무)</t>
  </si>
  <si>
    <t>FEMALE BRANCH TEE FITTING NUT LEAK(1/4", 좌측상단, FERRULE 물림X)</t>
  </si>
  <si>
    <t>FEMALE BRANCH TEE FITTING NUT LEAK(1/4", 좌측상단, FERRULE 미삽입)</t>
  </si>
  <si>
    <t>FEMALE BRANCH TEE FITTING NUT LEAK(1/4", 우측상단, 미완체결)</t>
  </si>
  <si>
    <t>FEMALE BRANCH TEE FITTING NUT LEAK(1/4", 우측상단, 체결이상 무)</t>
  </si>
  <si>
    <t>FEMALE BRANCH TEE FITTING NUT LEAK(1/4", 우측상단, FERRULE 물림X)</t>
  </si>
  <si>
    <t>FEMALE BRANCH TEE FITTING NUT LEAK(1/4", 우측상단, FERRULE 미삽입)</t>
  </si>
  <si>
    <t>FEMALE BRANCH TEE FITTING NUT LEAK(1/8", 하단, 미완체결)</t>
  </si>
  <si>
    <t>FEMALE BRANCH TEE FITTING NUT LEAK(1/8", 하단, 체결이상 무)</t>
  </si>
  <si>
    <t>FEMALE BRANCH TEE TEFLON부 LEAK(1/8", 하단)</t>
  </si>
  <si>
    <t>FEMALE BRANCH TEE TEFLON부 LEAK(1/8", 하단, TEFLON 미작업)</t>
  </si>
  <si>
    <t>FEMALE BRANCH TEE I-MARKING 누락(1/8", 하단)</t>
  </si>
  <si>
    <t>FEMALE BRANCH TEE I-MARKING 누락(1/4", 좌측상단)</t>
  </si>
  <si>
    <t>FEMALE BRANCH TEE I-MARKING 누락(1/4", 우측상단)</t>
  </si>
  <si>
    <t>FEMALE CONNECTOR</t>
  </si>
  <si>
    <t>FEMALE CONNECTOR FITTING NUT LEAK(1/2", IN단, 미완체결)</t>
  </si>
  <si>
    <t>FEMALE CONNECTOR FITTING NUT LEAK(1/2", OUT단, 미완체결)</t>
  </si>
  <si>
    <t>FEMALE CONNECTOR FITTING NUT LEAK(1/2", IN단, 체결이상 무)</t>
  </si>
  <si>
    <t>FEMALE CONNECTOR FITTING NUT LEAK(1/2", OUT단, 체결이상 무)</t>
  </si>
  <si>
    <t>FEMALE CONNECTOR FITTING NUT LEAK(1/2", IN단, FERRULE 물림X)</t>
  </si>
  <si>
    <t>FEMALE CONNECTOR FITTING NUT LEAK(1/2", OUT단, FERRULE 물림X)</t>
  </si>
  <si>
    <t>FEMALE CONNECTOR I-MARKING 누락(1/2", IN단)</t>
  </si>
  <si>
    <t>FEMALE CONNECTOR I-MARKING 누락(1/2", OUT단)</t>
  </si>
  <si>
    <t>FEMALE CONNECTOR TEFLON부 LEAK(PT3/4, IN단, 미완체결)</t>
  </si>
  <si>
    <t>FEMALE CONNECTOR TEFLON부 LEAK(PT3/4, OUT단, 미완체결)</t>
  </si>
  <si>
    <t>FEMALE CONNECTOR TEFLON부 LEAK(PT3/4, IN단, 체결이상 무)</t>
  </si>
  <si>
    <t>FEMALE CONNECTOR TEFLON부 LEAK(PT3/4, OUT단, 체결이상 무)</t>
  </si>
  <si>
    <t>FEMALE CONNECTOR TEFLON부 LEAK(PT3/4, IN단, TEFLON 미작업)</t>
  </si>
  <si>
    <t>FEMALE CONNECTOR I-MARKING 누락(PT3/4, IN단)</t>
  </si>
  <si>
    <t>FEMALE CONNECTOR I-MARKING 누락(PT3/4, OUT단)</t>
  </si>
  <si>
    <t>FEMALE CONNECTOR TEFLON부 LEAK(PT1/2, IN단, 미완체결)</t>
  </si>
  <si>
    <t>FEMALE CONNECTOR TEFLON부 LEAK(PT1/2, OUT단, 미완체결)</t>
  </si>
  <si>
    <t>FEMALE CONNECTOR TEFLON부 LEAK(PT1/2, IN단, 체결이상 무)</t>
  </si>
  <si>
    <t>FEMALE CONNECTOR TEFLON부 LEAK(PT1/2, OUT단, 체결이상 무)</t>
  </si>
  <si>
    <t>FEMALE CONNECTOR TEFLON부 LEAK(PT1/2, IN단, TEFLON 미작업)</t>
  </si>
  <si>
    <t>FEMALE CONNECTOR I-MARKING 누락(PT1/2, IN단)</t>
  </si>
  <si>
    <t>FEMALE CONNECTOR I-MARKING 누락(PT1/2, OUT단)</t>
  </si>
  <si>
    <t>HEAT EXCHANGER</t>
  </si>
  <si>
    <t>HEAT EXCHANGER 스티커 미부착 (COLD)</t>
  </si>
  <si>
    <t>HEAT EXCHANGER 스티커 미부착 (HOT)</t>
  </si>
  <si>
    <t>HEAT EXCHANGER 스티커 오부착 (COLD/교차부착)</t>
  </si>
  <si>
    <t>HEAT EXCHANGER 스티커 오부착 (HOT/교차부착)</t>
  </si>
  <si>
    <t>HEAT EXCHANGER NUT부 LEAK (미완체결)</t>
  </si>
  <si>
    <t>HEAT EXCHANGER NUT부 LEAK (체결이상 무)</t>
  </si>
  <si>
    <t>HEAT EXCHANGER 오장착</t>
  </si>
  <si>
    <t>HEAT EXCHANGER BRACKET</t>
  </si>
  <si>
    <t>HEAT EXCHANGER BRACKET CABINET 고정볼트 미체결</t>
  </si>
  <si>
    <t>HEAT EXCHANGER BRACKET CABINET 고정볼트 체결불량</t>
  </si>
  <si>
    <t>HEAT EXCHANGER BRACKET CABINET 고정볼트 I-MARKING 누락</t>
  </si>
  <si>
    <t>HEAT EXCHANGER COVER</t>
  </si>
  <si>
    <t>HEAT EXCHANGER BRACKET COVER 고정볼트 미체결</t>
  </si>
  <si>
    <t>HEAT EXCHANGER BRACKET COVER 고정볼트 체결불량</t>
  </si>
  <si>
    <t>HEAT EXCHANGER BRACKET COVER 고정볼트 I-MARKING 누락</t>
  </si>
  <si>
    <t>KEY OPERATION VALVE</t>
  </si>
  <si>
    <t>KEY OPERATION VALVE KEY 누락 (3/8")</t>
  </si>
  <si>
    <t>KEY OPERATION VALVE MEDAL 누락 (3/8")</t>
  </si>
  <si>
    <t>KEY OPERATION VALVE MEDAL 오부착 (3/8")</t>
  </si>
  <si>
    <t>KEY OPERATION VALVE P&amp;ID 스티커 누락 (3/8")</t>
  </si>
  <si>
    <t>KEY OPERATION VALVE P&amp;ID 스티커 오부착 (3/8")</t>
  </si>
  <si>
    <t>KEY OPERATION VALVE I-MARKING 누락 (3/8")</t>
  </si>
  <si>
    <t>KEY OPERATION VALVE FITTING NUT LEAK (미완체결, 3/8", IN)</t>
  </si>
  <si>
    <t>KEY OPERATION VALVE FITTING NUT LEAK (체결이상 무, 3/8", IN)</t>
  </si>
  <si>
    <t>KEY OPERATION VALVE FITTING NUT LEAK (미완체결, 3/8", OUT)</t>
  </si>
  <si>
    <t>KEY OPERATION VALVE FITTING NUT LEAK (체결이상 무, 3/8", OUT)</t>
  </si>
  <si>
    <t>KEY OPERATION VALVE KEY 누락 (1/2")</t>
  </si>
  <si>
    <t>KEY OPERATION VALVE MEDAL 누락 (1/2")</t>
  </si>
  <si>
    <t>KEY OPERATION VALVE MEDAL 오부착 (1/2")</t>
  </si>
  <si>
    <t>KEY OPERATION VALVE P&amp;ID 스티커 누락 (1/2")</t>
  </si>
  <si>
    <t>KEY OPERATION VALVE P&amp;ID 스티커 오부착 (1/2")</t>
  </si>
  <si>
    <t>KEY OPERATION VALVE I-MARKING 누락 (1/2")</t>
  </si>
  <si>
    <t>KEY OPERATION VALVE FITTING NUT LEAK (미완체결, 1/2", IN)</t>
  </si>
  <si>
    <t>KEY OPERATION VALVE FITTING NUT LEAK (체결이상 무, 1/2", IN)</t>
  </si>
  <si>
    <t>KEY OPERATION VALVE FITTING NUT LEAK (미완체결, 1/2", OUT)</t>
  </si>
  <si>
    <t>KEY OPERATION VALVE FITTING NUT LEAK (체결이상 무, 1/2", OUT)</t>
  </si>
  <si>
    <t>MALE ADAPTER</t>
  </si>
  <si>
    <t>MALE ADAPTER LOCTITE부 LEAK(PT3/8, IN단, 미완체결)</t>
  </si>
  <si>
    <t>MALE ADAPTER LOCTITE부 LEAK(PT3/8, OUT단, 미완체결)</t>
  </si>
  <si>
    <t>MALE ADAPTER LOCTITE부 LEAK(PT3/8, IN단, 체결이상 무)</t>
  </si>
  <si>
    <t>MALE ADAPTER LOCTITE부 LEAK(PT3/8, OUT단, 체결이상 무)</t>
  </si>
  <si>
    <t>MALE ADAPTER LOCTITE부 LEAK(PT3/8, IN단, LOCTITE 미작업)</t>
  </si>
  <si>
    <t>MALE ADAPTER I-MARKING 누락(PT3/8, IN단)</t>
  </si>
  <si>
    <t>MALE ADAPTER I-MARKING 누락(PT3/8, OUT단)</t>
  </si>
  <si>
    <t>MALE ADAPTER FITTING NUT LEAK(1/2", IN단, 미완체결)</t>
  </si>
  <si>
    <t>MALE ADAPTER FITTING NUT LEAK(1/2", OUT단, 미완체결)</t>
  </si>
  <si>
    <t>MALE ADAPTER FITTING NUT LEAK(1/2", IN단, 체결이상 무)</t>
  </si>
  <si>
    <t>MALE ADAPTER FITTING NUT LEAK(1/2", OUT단, 체결이상 무)</t>
  </si>
  <si>
    <t>MALE ADAPTER FITTING NUT LEAK(1/2", IN단, FERRULE 물림X)</t>
  </si>
  <si>
    <t>MALE ADAPTER FITTING NUT LEAK(1/2", OUT단, FERRULE 물림X)</t>
  </si>
  <si>
    <t>MALE ADAPTER I-MARKING 누락(1/2", IN단)</t>
  </si>
  <si>
    <t>MALE ADAPTER I-MARKING 누락(1/2", OUT단)</t>
  </si>
  <si>
    <t>MALE ADAPTER LOCTITE부 LEAK(PT3/4, IN단, 미완체결)</t>
  </si>
  <si>
    <t>MALE ADAPTER LOCTITE부 LEAK(PT3/4, OUT단, 미완체결)</t>
  </si>
  <si>
    <t>MALE ADAPTER LOCTITE부 LEAK(PT3/4, IN단, 체결이상 무)</t>
  </si>
  <si>
    <t>MALE ADAPTER LOCTITE부 LEAK(PT3/4, OUT단, 체결이상 무)</t>
  </si>
  <si>
    <t>MALE ADAPTER LOCTITE부 LEAK(PT3/4, IN단, LOCTITE 미작업)</t>
  </si>
  <si>
    <t>MALE ADAPTER I-MARKING 누락(PT3/4, IN단)</t>
  </si>
  <si>
    <t>MALE ADAPTER I-MARKING 누락(PT3/4, OUT단)</t>
  </si>
  <si>
    <t>MALE ADAPTER FITTING NUT LEAK(3/4", IN단, 미완체결)</t>
  </si>
  <si>
    <t>MALE ADAPTER FITTING NUT LEAK(3/4", OUT단, 미완체결)</t>
  </si>
  <si>
    <t>MALE ADAPTER FITTING NUT LEAK(3/4", IN단, 체결이상 무)</t>
  </si>
  <si>
    <t>MALE ADAPTER FITTING NUT LEAK(3/4", OUT단, 체결이상 무)</t>
  </si>
  <si>
    <t>MALE ADAPTER FITTING NUT LEAK(3/4", IN단, FERRULE 물림X)</t>
  </si>
  <si>
    <t>MALE ADAPTER FITTING NUT LEAK(3/4", OUT단, FERRULE 물림X)</t>
  </si>
  <si>
    <t>MALE ADAPTER I-MARKING 누락(3/4", IN단)</t>
  </si>
  <si>
    <t>MALE ADAPTER I-MARKING 누락(3/4", OUT단)</t>
  </si>
  <si>
    <t>MALE BANJO</t>
  </si>
  <si>
    <t>MALE BANJO LEAK (우레탄, 8mm, 삽입부족)</t>
  </si>
  <si>
    <t>MALE BANJO LEAK (우레탄, 8mm, 미삽입)</t>
  </si>
  <si>
    <t>MALE BANJO LEAK (우레탄, 8mm, TUBE 컷팅불량)</t>
  </si>
  <si>
    <t>MALE BANJO LEAK (PFA, 8mm, 삽입부족)</t>
  </si>
  <si>
    <t>MALE BANJO LEAK (PFA, 8mm, 미삽입)</t>
  </si>
  <si>
    <t>MALE BANJO LEAK (PFA, 8mm, TUBE 컷팅불량)</t>
  </si>
  <si>
    <t>MALE BANJO TEFLON부 LEAK (PT1/4, TEFLON 미작업)</t>
  </si>
  <si>
    <t>MALE BANJO TEFLON부 LEAK (PT1/4, 미완체결)</t>
  </si>
  <si>
    <t>MALE BANJO TEFLON부 LEAK (PT1/4, 체결이상 무)</t>
  </si>
  <si>
    <t>MALE BANJO BODY LEAK (8mm, PT1/4)</t>
  </si>
  <si>
    <t>MALE BANJO LEAK (우레탄, 6mm, 삽입부족)</t>
  </si>
  <si>
    <t>MALE BANJO LEAK (우레탄, 6mm, 미삽입)</t>
  </si>
  <si>
    <t>MALE BANJO LEAK (우레탄, 6mm, TUBE 컷팅불량)</t>
  </si>
  <si>
    <t>MALE BANJO LEAK (PFA, 6mm, 삽입부족)</t>
  </si>
  <si>
    <t>MALE BANJO LEAK (PFA, 6mm, 미삽입)</t>
  </si>
  <si>
    <t>MALE BANJO LEAK (PFA, 6mm, TUBE 컷팅불량)</t>
  </si>
  <si>
    <t>MALE BANJO BODY LEAK (6mm, PT1/4)</t>
  </si>
  <si>
    <t>MALE BANJO LEAK (우레탄, 10mm, 삽입부족)</t>
  </si>
  <si>
    <t>MALE BANJO LEAK (우레탄, 10mm, 미삽입)</t>
  </si>
  <si>
    <t>MALE BANJO LEAK (우레탄, 10mm, TUBE 컷팅불량)</t>
  </si>
  <si>
    <t>MALE BANJO LEAK (PFA, 10mm, 삽입부족)</t>
  </si>
  <si>
    <t>MALE BANJO LEAK (PFA, 10mm, 미삽입)</t>
  </si>
  <si>
    <t>MALE BANJO LEAK (PFA, 10mm, TUBE 컷팅불량)</t>
  </si>
  <si>
    <t>MALE BANJO BODY LEAK (10mm, PT1/4)</t>
  </si>
  <si>
    <t>MALE BANJO LEAK (우레탄, 12mm, 삽입부족)</t>
  </si>
  <si>
    <t>MALE BANJO LEAK (우레탄, 12mm, 미삽입)</t>
  </si>
  <si>
    <t>MALE BANJO LEAK (우레탄, 12mm, TUBE 컷팅불량)</t>
  </si>
  <si>
    <t>MALE BANJO LEAK (PFA, 12mm, 삽입부족)</t>
  </si>
  <si>
    <t>MALE BANJO LEAK (PFA, 12mm, 미삽입)</t>
  </si>
  <si>
    <t>MALE BANJO LEAK (PFA, 12mm, TUBE 컷팅불량)</t>
  </si>
  <si>
    <t>MALE BANJO TEFLON부 LEAK (PT1/2, TEFLON 미작업)</t>
  </si>
  <si>
    <t>MALE BANJO TEFLON부 LEAK (PT1/2, 미완체결)</t>
  </si>
  <si>
    <t>MALE BANJO TEFLON부 LEAK (PT1/2, 체결이상 무)</t>
  </si>
  <si>
    <t>MALE BANJO BODY LEAK (12mm, PT1/2)</t>
  </si>
  <si>
    <t>MALE CONNECTOR</t>
  </si>
  <si>
    <t>MALE CONNECTOR FITTING NUT LEAK (1/2", PVDF, 삽입부족)</t>
  </si>
  <si>
    <t>MALE CONNECTOR FITTING NUT LEAK (1/2", PVDF, 미삽입)</t>
  </si>
  <si>
    <t>MALE CONNECTOR FITTING NUT LEAK (1/2", PVDF, TUBE 컷팅불량)</t>
  </si>
  <si>
    <t>MALE CONNECTOR FITTING NUT LEAK (1/2", PVDF, 미완체결)</t>
  </si>
  <si>
    <t>MALE CONNECTOR FITTING NUT LEAK (1/2", PVDF, 체결이상 무)</t>
  </si>
  <si>
    <t>MALE CONNECTOR FITTING NUT LEAK (1/2", PVDF, FERRULE 물림X)</t>
  </si>
  <si>
    <t>MALE CONNECTOR FITTING NUT LEAK (1/2", PVDF, FERRULE 미삽입)</t>
  </si>
  <si>
    <t>MALE CONNECTOR TEFLON부 LEAK (NPT1/2, PVDF, 미완체결)</t>
  </si>
  <si>
    <t>MALE CONNECTOR TEFLON부 LEAK (NPT1/2, PVDF, 체결이상 무)</t>
  </si>
  <si>
    <t>MALE CONNECTOR TEFLON부 LEAK (NPT1/2, PVDF, TEFLON 미작업)</t>
  </si>
  <si>
    <t>MALE CONNECTOR FITTING NUT LEAK (과체결로 인한 파손)</t>
  </si>
  <si>
    <t>MALE CONNECTOR I-MARKING 누락 (1/2", NPT1/2, PVDF)</t>
  </si>
  <si>
    <t>MALE CONNECTOR FITTING NUT LEAK (1/4", PVDF, 삽입부족)</t>
  </si>
  <si>
    <t>MALE CONNECTOR FITTING NUT LEAK (1/4", PVDF, 미삽입)</t>
  </si>
  <si>
    <t>MALE CONNECTOR FITTING NUT LEAK (1/4", PVDF, TUBE 컷팅불량)</t>
  </si>
  <si>
    <t>MALE CONNECTOR FITTING NUT LEAK (1/4", PVDF, 미완체결)</t>
  </si>
  <si>
    <t>MALE CONNECTOR FITTING NUT LEAK (1/4", PVDF, 체결이상 무)</t>
  </si>
  <si>
    <t>MALE CONNECTOR FITTING NUT LEAK (1/4", PVDF, FERRULE 물림X)</t>
  </si>
  <si>
    <t>MALE CONNECTOR FITTING NUT LEAK (1/4", PVDF, FERRULE 미삽입)</t>
  </si>
  <si>
    <t>MALE CONNECTOR TEFLON부 LEAK (NPT1/4, PVDF, 미완체결)</t>
  </si>
  <si>
    <t>MALE CONNECTOR TEFLON부 LEAK (NPT1/4, PVDF, 체결이상 무)</t>
  </si>
  <si>
    <t>MALE CONNECTOR TEFLON부 LEAK (NPT1/4, PVDF, TEFLON 미작업)</t>
  </si>
  <si>
    <t>MALE CONNECTOR I-MARKING 누락 (1/4", NPT1/4, PVDF)</t>
  </si>
  <si>
    <t>MALE CONNECTOR FITTING NUT LEAK (8mm, SUS, 삽입부족)</t>
  </si>
  <si>
    <t>MALE CONNECTOR FITTING NUT LEAK (8mm, SUS, 미삽입)</t>
  </si>
  <si>
    <t>MALE CONNECTOR FITTING NUT LEAK (8mm, SUS, TUBE 컷팅불량)</t>
  </si>
  <si>
    <t>MALE CONNECTOR TEFLON부 LEAK (PT3/8, SUS, 미완체결)</t>
  </si>
  <si>
    <t>MALE CONNECTOR TEFLON부 LEAK (PT3/8, SUS, 체결이상 무)</t>
  </si>
  <si>
    <t>MALE CONNECTOR TEFLON부 LEAK (PT3/8, SUS, TEFLON 미작업)</t>
  </si>
  <si>
    <t>MALE CONNECTOR FITTING NUT LEAK (3/8", PVDF, 삽입부족)</t>
  </si>
  <si>
    <t>MALE CONNECTOR FITTING NUT LEAK (3/8", PVDF, 미삽입)</t>
  </si>
  <si>
    <t>MALE CONNECTOR FITTING NUT LEAK (3/8", PVDF, TUBE 컷팅불량)</t>
  </si>
  <si>
    <t>MALE CONNECTOR FITTING NUT LEAK (3/8", PVDF, 미완체결)</t>
  </si>
  <si>
    <t>MALE CONNECTOR FITTING NUT LEAK (3/8", PVDF, 체결이상 무)</t>
  </si>
  <si>
    <t>MALE CONNECTOR FITTING NUT LEAK (3/8", PVDF, FERRULE 물림X)</t>
  </si>
  <si>
    <t>MALE CONNECTOR FITTING NUT LEAK (3/8", PVDF, FERRULE 미삽입)</t>
  </si>
  <si>
    <t>MALE CONNECTOR TEFLON부 LEAK (NPT3/8, PVDF, 미완체결)</t>
  </si>
  <si>
    <t>MALE CONNECTOR TEFLON부 LEAK (NPT3/8, PVDF, 체결이상 무)</t>
  </si>
  <si>
    <t>MALE CONNECTOR TEFLON부 LEAK (NPT3/8, PVDF, TEFLON 미작업)</t>
  </si>
  <si>
    <t>MALE CONNECTOR I-MARKING 누락 (3/8", NPT3/8, PVDF)</t>
  </si>
  <si>
    <t>MALE CONNECTOR FITTING NUT LEAK (1/4", SUS, 삽입부족)</t>
  </si>
  <si>
    <t>MALE CONNECTOR FITTING NUT LEAK (1/4", SUS, 미삽입)</t>
  </si>
  <si>
    <t>MALE CONNECTOR FITTING NUT LEAK (1/4", SUS, TUBE 컷팅불량)</t>
  </si>
  <si>
    <t>MALE CONNECTOR FITTING NUT LEAK (1/4", SUS, 미완체결)</t>
  </si>
  <si>
    <t>MALE CONNECTOR FITTING NUT LEAK (1/4", SUS, 체결이상 무)</t>
  </si>
  <si>
    <t>MALE CONNECTOR FITTING NUT LEAK (1/4", SUS, FERRULE 물림X)</t>
  </si>
  <si>
    <t>MALE CONNECTOR FITTING NUT LEAK (1/4", SUS, FERRULE 미삽입)</t>
  </si>
  <si>
    <t>MALE CONNECTOR TEFLON부 LEAK (NPT1/8, SUS, 미완체결)</t>
  </si>
  <si>
    <t>MALE CONNECTOR TEFLON부 LEAK (NPT1/8, SUS, 체결이상 무)</t>
  </si>
  <si>
    <t>MALE CONNECTOR TEFLON부 LEAK (NPT1/8, SUS, TEFLON 미작업)</t>
  </si>
  <si>
    <t>MALE CONNECTOR I-MARKING 누락 (1/4", NPT1/8, SUS)</t>
  </si>
  <si>
    <t>MALE CONNECTOR FITTING NUT LEAK (3/4", SUS, 삽입부족)</t>
  </si>
  <si>
    <t>MALE CONNECTOR FITTING NUT LEAK (3/4", SUS, 미삽입)</t>
  </si>
  <si>
    <t>MALE CONNECTOR FITTING NUT LEAK (3/4", SUS, TUBE 컷팅불량)</t>
  </si>
  <si>
    <t>MALE CONNECTOR FITTING NUT LEAK (3/4", SUS, 미완체결)</t>
  </si>
  <si>
    <t>MALE CONNECTOR FITTING NUT LEAK (3/4", SUS, 체결이상 무)</t>
  </si>
  <si>
    <t>MALE CONNECTOR FITTING NUT LEAK (3/4", SUS, FERRULE 물림X)</t>
  </si>
  <si>
    <t>MALE CONNECTOR FITTING NUT LEAK (3/4", SUS, FERRULE 미삽입)</t>
  </si>
  <si>
    <t>MALE CONNECTOR LOCTITE부 LEAK (NPT3/4, SUS, 미완체결)</t>
  </si>
  <si>
    <t>MALE CONNECTOR LOCTITE부 LEAK (NPT3/4, SUS, 체결이상 무)</t>
  </si>
  <si>
    <t>MALE CONNECTOR LOCTITE부 LEAK (NPT3/4, SUS, LOCTITE 미작업)</t>
  </si>
  <si>
    <t>MALE CONNECTOR I-MARKING 누락 (3/4", NPT3/4, SUS)</t>
  </si>
  <si>
    <t>MALE CONNECTOR FITTING NUT LEAK (1/2", SUS, 삽입부족)</t>
  </si>
  <si>
    <t>MALE CONNECTOR FITTING NUT LEAK (1/2", SUS, 미삽입)</t>
  </si>
  <si>
    <t>MALE CONNECTOR FITTING NUT LEAK (1/2", SUS, TUBE 컷팅불량)</t>
  </si>
  <si>
    <t>MALE CONNECTOR FITTING NUT LEAK (1/2", SUS, 미완체결)</t>
  </si>
  <si>
    <t>MALE CONNECTOR FITTING NUT LEAK (1/2", SUS, 체결이상 무)</t>
  </si>
  <si>
    <t>MALE CONNECTOR FITTING NUT LEAK (1/2", SUS, FERRULE 물림X)</t>
  </si>
  <si>
    <t>MALE CONNECTOR FITTING NUT LEAK (1/2", SUS, FERRULE 미삽입)</t>
  </si>
  <si>
    <t>MALE CONNECTOR LOCTITE부 LEAK (NPT3/8, SUS, 미완체결)</t>
  </si>
  <si>
    <t>MALE CONNECTOR LOCTITE부 LEAK (NPT3/8, SUS, 체결이상 무)</t>
  </si>
  <si>
    <t>MALE CONNECTOR LOCTITE부 LEAK (NPT3/8, SUS, LOCTITE 미작업)</t>
  </si>
  <si>
    <t>MALE CONNECTOR I-MARKING 누락 (1/2", NPT3/8, SUS)</t>
  </si>
  <si>
    <t>MALE CONNECTOR LOCTITE부 LEAK (NPT1/4, SUS, 미완체결)</t>
  </si>
  <si>
    <t>MALE CONNECTOR LOCTITE부 LEAK (NPT1/4, SUS, 체결이상 무)</t>
  </si>
  <si>
    <t>MALE CONNECTOR LOCTITE부 LEAK (NPT1/4, SUS, LOCTITE 미작업)</t>
  </si>
  <si>
    <t>MALE CONNECTOR I-MARKING 누락 (1/4", NPT1/4, SUS)</t>
  </si>
  <si>
    <t>MALE CONNECTOR LOCTITE부 LEAK (PT3/8", SUS, 미완체결)</t>
  </si>
  <si>
    <t>MALE CONNECTOR LOCTITE부 LEAK (PT3/8", SUS, 체결이상 무)</t>
  </si>
  <si>
    <t>MALE CONNECTOR LOCTITE부 LEAK (PT3/8", SUS, LOCTITE 미작업)</t>
  </si>
  <si>
    <t>MALE CONNECTOR I-MARKING 누락 (1/4", PT3/8", SUS)</t>
  </si>
  <si>
    <t>MALE CONNECTOR FITTING NUT LEAK (6mm, SUS, 삽입부족)</t>
  </si>
  <si>
    <t>MALE CONNECTOR FITTING NUT LEAK (6mm, SUS, 미삽입)</t>
  </si>
  <si>
    <t>MALE CONNECTOR FITTING NUT LEAK (6mm, SUS, TUBE 컷팅불량)</t>
  </si>
  <si>
    <t>MALE CONNECTOR TEFLON부 LEAK (PT1/4, SUS, 미완체결)</t>
  </si>
  <si>
    <t>MALE CONNECTOR TEFLON부 LEAK (PT1/4, SUS, 체결이상 무)</t>
  </si>
  <si>
    <t>MALE CONNECTOR TEFLON부 LEAK (PT1/4, SUS, TEFLON 미작업)</t>
  </si>
  <si>
    <t>MALE CONNECTOR I-MARKING 누락 (1/4", NPT3/8, PVDF)</t>
  </si>
  <si>
    <t>MALE ELBOW</t>
  </si>
  <si>
    <t>MALE ELBOW FITTING NUT LEAK (1/2", PVDF, 삽입부족)</t>
  </si>
  <si>
    <t>MALE ELBOW FITTING NUT LEAK (1/2", PVDF, 미삽입)</t>
  </si>
  <si>
    <t>MALE ELBOW FITTING NUT LEAK (1/2", PVDF, TUBE 컷팅불량)</t>
  </si>
  <si>
    <t>MALE ELBOW FITTING NUT LEAK (1/2", PVDF, 미완체결)</t>
  </si>
  <si>
    <t>MALE ELBOW FITTING NUT LEAK (1/2", PVDF, 체결이상 무)</t>
  </si>
  <si>
    <t>MALE ELBOW FITTING NUT LEAK (1/2", PVDF, FERRULE 물림X)</t>
  </si>
  <si>
    <t>MALE ELBOW FITTING NUT LEAK (1/2", PVDF, FERRULE 미삽입)</t>
  </si>
  <si>
    <t>MALE ELBOW TEFLON부 LEAK (NPT3/8, PVDF, 미완체결)</t>
  </si>
  <si>
    <t>MALE ELBOW TEFLON부 LEAK (NPT3/8, PVDF, 체결이상 무)</t>
  </si>
  <si>
    <t>MALE ELBOW TEFLON부 LEAK (NPT3/8, PVDF, TEFLON 미작업)</t>
  </si>
  <si>
    <t>MALE ELBOW FITTING NUT LEAK (과체결로 인한 파손)</t>
  </si>
  <si>
    <t>MALE ELBOW I-MARKING 누락 (1/2", NPT3/8, PVDF)</t>
  </si>
  <si>
    <t>MALE ELBOW TEFLON부 LEAK (NPT1/2, PVDF, 미완체결)</t>
  </si>
  <si>
    <t>MALE ELBOW TEFLON부 LEAK (NPT1/2, PVDF, 체결이상 무)</t>
  </si>
  <si>
    <t>MALE ELBOW TEFLON부 LEAK (NPT1/2, PVDF, TEFLON 미작업)</t>
  </si>
  <si>
    <t>MALE ELBOW I-MARKING 누락 (1/2", NPT1/2, PVDF)</t>
  </si>
  <si>
    <t>MALE ELBOW FITTING NUT LEAK (3/8", PVDF, 삽입부족)</t>
  </si>
  <si>
    <t>MALE ELBOW FITTING NUT LEAK (3/8", PVDF, 미삽입)</t>
  </si>
  <si>
    <t>MALE ELBOW FITTING NUT LEAK (3/8", PVDF, TUBE 컷팅불량)</t>
  </si>
  <si>
    <t>MALE ELBOW FITTING NUT LEAK (3/8", PVDF, 미완체결)</t>
  </si>
  <si>
    <t>MALE ELBOW FITTING NUT LEAK (3/8", PVDF, 체결이상 무)</t>
  </si>
  <si>
    <t>MALE ELBOW FITTING NUT LEAK (3/8", PVDF, FERRULE 물림X)</t>
  </si>
  <si>
    <t>MALE ELBOW FITTING NUT LEAK (3/8", PVDF, FERRULE 미삽입)</t>
  </si>
  <si>
    <t>MALE ELBOW TEFLON부 LEAK (NPT1/4, PVDF, 미완체결)</t>
  </si>
  <si>
    <t>MALE ELBOW TEFLON부 LEAK (NPT1/4, PVDF, 체결이상 무)</t>
  </si>
  <si>
    <t>MALE ELBOW TEFLON부 LEAK (NPT1/4, PVDF, TEFLON 미작업)</t>
  </si>
  <si>
    <t>MALE ELBOW I-MARKING 누락 (3/8", NPT1/4, PVDF)</t>
  </si>
  <si>
    <t>MALE ELBOW FITTING NUT LEAK (3/4", SUS, 삽입부족)</t>
  </si>
  <si>
    <t>MALE ELBOW FITTING NUT LEAK (3/4", SUS, 미삽입)</t>
  </si>
  <si>
    <t>MALE ELBOW FITTING NUT LEAK (3/4", SUS, TUBE 컷팅불량)</t>
  </si>
  <si>
    <t>MALE ELBOW FITTING NUT LEAK (3/4", SUS, 미완체결)</t>
  </si>
  <si>
    <t>MALE ELBOW FITTING NUT LEAK (3/4", SUS, 체결이상 무)</t>
  </si>
  <si>
    <t>MALE ELBOW FITTING NUT LEAK (3/4", SUS, FERRULE 물림X)</t>
  </si>
  <si>
    <t>MALE ELBOW FITTING NUT LEAK (3/4", SUS, FERRULE 미삽입)</t>
  </si>
  <si>
    <t>MALE ELBOW LOCTITE부 LEAK (PT3/4, SUS, 미완체결)</t>
  </si>
  <si>
    <t>MALE ELBOW LOCTITE부 LEAK (PT3/4, SUS, 체결이상 무)</t>
  </si>
  <si>
    <t>MALE ELBOW LOCTITE부 LEAK (PT3/4, SUS, LOCTITE 미작업)</t>
  </si>
  <si>
    <t>MALE ELBOW I-MARKING 누락 (3/4", PT3/4, SUS)</t>
  </si>
  <si>
    <t>MALE ELBOW FITTING NUT LEAK (1/2", SUS, 삽입부족)</t>
  </si>
  <si>
    <t>MALE ELBOW FITTING NUT LEAK (1/2", SUS, 미삽입)</t>
  </si>
  <si>
    <t>MALE ELBOW FITTING NUT LEAK (1/2", SUS, TUBE 컷팅불량)</t>
  </si>
  <si>
    <t>MALE ELBOW FITTING NUT LEAK (1/2", SUS, 미완체결)</t>
  </si>
  <si>
    <t>MALE ELBOW FITTING NUT LEAK (1/2", SUS, 체결이상 무)</t>
  </si>
  <si>
    <t>MALE ELBOW FITTING NUT LEAK (1/2", SUS, FERRULE 물림X)</t>
  </si>
  <si>
    <t>MALE ELBOW FITTING NUT LEAK (1/2", SUS, FERRULE 미삽입)</t>
  </si>
  <si>
    <t>MALE ELBOW LOCTITE부 LEAK (PT1/2, SUS, 미완체결)</t>
  </si>
  <si>
    <t>MALE ELBOW LOCTITE부 LEAK (PT1/2, SUS, 체결이상 무)</t>
  </si>
  <si>
    <t>MALE ELBOW LOCTITE부 LEAK (PT1/2, SUS, LOCTITE 미작업)</t>
  </si>
  <si>
    <t>MALE ELBOW I-MARKING 누락 (1/2", PT1/2, SUS)</t>
  </si>
  <si>
    <t>MALE ELBOW FITTING NUT LEAK (3/8", PP, 삽입부족)</t>
  </si>
  <si>
    <t>MALE ELBOW FITTING NUT LEAK (3/8", PP, 미삽입)</t>
  </si>
  <si>
    <t>MALE ELBOW FITTING NUT LEAK (3/8", PP, TUBE 컷팅불량)</t>
  </si>
  <si>
    <t>MALE ELBOW FITTING NUT LEAK (3/8", PP, 미완체결)</t>
  </si>
  <si>
    <t>MALE ELBOW FITTING NUT LEAK (3/8", PP, 체결이상 무)</t>
  </si>
  <si>
    <t>MALE ELBOW FITTING NUT LEAK (3/8", PP, FERRULE 물림X)</t>
  </si>
  <si>
    <t>MALE ELBOW FITTING NUT LEAK (3/8", PP, FERRULE 미삽입)</t>
  </si>
  <si>
    <t>MALE ELBOW TEFLON부 LEAK (NPT1/4, PP, 미완체결)</t>
  </si>
  <si>
    <t>MALE ELBOW TEFLON부 LEAK (NPT1/4, PP, 체결이상 무)</t>
  </si>
  <si>
    <t>MALE ELBOW TEFLON부 LEAK (NPT1/4, PP, TEFLON 미작업)</t>
  </si>
  <si>
    <t>MALE ELBOW I-MARKING 누락 (3/8", NPT1/4, PP)</t>
  </si>
  <si>
    <t>MALE ELBOW LEAK (10mm, SUS, 삽입부족)</t>
  </si>
  <si>
    <t>MALE ELBOW LEAK (10mm, SUS, 미삽입)</t>
  </si>
  <si>
    <t>MALE ELBOW LEAK (10mm, SUS, TUBE 컷팅불량)</t>
  </si>
  <si>
    <t>MALE ELBOW TEFLON부 LEAK (PT1/4", SUS, 미완체결)</t>
  </si>
  <si>
    <t>MALE ELBOW TEFLON부 LEAK (PT1/4", SUS, 체결이상 무)</t>
  </si>
  <si>
    <t>MALE ELBOW TEFLON부 LEAK (PT1/4", SUS, TEFLON 미작업)</t>
  </si>
  <si>
    <t>MALE ELBOW I-MARKING 누락 (10mm, PT1/4", SUS)</t>
  </si>
  <si>
    <t>MALE ELBOW I-MARKING 누락 (3/8", NPT3/8, PVDF)</t>
  </si>
  <si>
    <t>MALE STARIGHT</t>
  </si>
  <si>
    <t>MALE STRAIGHT 삽입부 LEAK (8mm, SUS, 삽입부족)</t>
  </si>
  <si>
    <t>MALE STRAIGHT 삽입부 LEAK (8mm, SUS, 미삽입)</t>
  </si>
  <si>
    <t>MALE STRAIGHT 삽입부 LEAK (8mm, SUS, TUBE 컷팅불량)</t>
  </si>
  <si>
    <t>MALE STRAIGHT TEFLON부 LEAK (PT1/2, SUS, 미완체결)</t>
  </si>
  <si>
    <t>MALE STRAIGHT TEFLON부 LEAK (PT1/2, SUS, 체결이상 무)</t>
  </si>
  <si>
    <t>MALE STRAIGHT TEFLON부 LEAK (PT1/2, SUS, TEFLON 미작업)</t>
  </si>
  <si>
    <t>MALE STARIGHT LEAK (과체결로 인한 파손)</t>
  </si>
  <si>
    <t>MALE STARIGHT I-MARKING 누락 (8mm, PT1/2, SUS)</t>
  </si>
  <si>
    <t>MALE STRAIGHT 삽입부 LEAK (12mm, SUS, 삽입부족)</t>
  </si>
  <si>
    <t>MALE STRAIGHT 삽입부 LEAK (12mm, SUS, 미삽입)</t>
  </si>
  <si>
    <t>MALE STRAIGHT 삽입부 LEAK (12mm, SUS, TUBE 컷팅불량)</t>
  </si>
  <si>
    <t>MALE STARIGHT I-MARKING 누락 (12mm, PT1/2, SUS)</t>
  </si>
  <si>
    <t>MALE STRAIGHT 삽입부 LEAK (10mm, SUS, 삽입부족)</t>
  </si>
  <si>
    <t>MALE STRAIGHT 삽입부 LEAK (10mm, SUS, 미삽입)</t>
  </si>
  <si>
    <t>MALE STRAIGHT 삽입부 LEAK (10mm, SUS, TUBE 컷팅불량)</t>
  </si>
  <si>
    <t>MALE STRAIGHT TEFLON부 LEAK (PT3/8, SUS, 미완체결)</t>
  </si>
  <si>
    <t>MALE STRAIGHT TEFLON부 LEAK (PT3/8, SUS, 체결이상 무)</t>
  </si>
  <si>
    <t>MALE STRAIGHT TEFLON부 LEAK (PT3/8, SUS, TEFLON 미작업)</t>
  </si>
  <si>
    <t>MALE STARIGHT I-MARKING 누락 (10mm, PT3/8, SUS)</t>
  </si>
  <si>
    <t>NUT</t>
  </si>
  <si>
    <t>NUT LEAK (LEVEL SENSOR, PP, 미완체결)</t>
  </si>
  <si>
    <t>NUT LEAK (LEVEL SENSOR, PP, 체결이상 무)</t>
  </si>
  <si>
    <t>NUT LEAK (LEVEL SENSOR, PP, 체결불량)</t>
  </si>
  <si>
    <t>NUT I-MARKING 누락 (LEVEL SENSOR, PP)</t>
  </si>
  <si>
    <t>NUT LEAK (1/4", SUS, 미완체결)</t>
  </si>
  <si>
    <t>NUT LEAK (1/4", SUS, 체결이상 무)</t>
  </si>
  <si>
    <t>NUT LEAK (1/4", SUS, 체결불량)</t>
  </si>
  <si>
    <t>NUT I-MARKING 누락 (1/4", SUS)</t>
  </si>
  <si>
    <t>NUT LEAK (3/8", SUS, 미완체결)</t>
  </si>
  <si>
    <t>NUT LEAK (3/8", SUS, 체결이상 무)</t>
  </si>
  <si>
    <t>NUT LEAK (3/8", SUS, 체결불량)</t>
  </si>
  <si>
    <t>NUT I-MARKING 누락 (3/8", SUS)</t>
  </si>
  <si>
    <t>NUT LEAK (1/2", SUS, 미완체결)</t>
  </si>
  <si>
    <t>NUT LEAK (1/2", SUS, 체결이상 무)</t>
  </si>
  <si>
    <t>NUT LEAK (1/2", SUS, 체결불량)</t>
  </si>
  <si>
    <t>NUT I-MARKING 누락 (1/2", SUS)</t>
  </si>
  <si>
    <t>NUT LEAK (3/4", SUS, 미완체결)</t>
  </si>
  <si>
    <t>NUT LEAK (3/4", SUS, 체결이상 무)</t>
  </si>
  <si>
    <t>NUT LEAK (3/4", SUS, 체결불량)</t>
  </si>
  <si>
    <t>NUT I-MARKING 누락 (3/4", SUS)</t>
  </si>
  <si>
    <t>NUT LEAK (1", SUS, 미완체결)</t>
  </si>
  <si>
    <t>NUT LEAK (1", SUS, 체결이상 무)</t>
  </si>
  <si>
    <t>NUT LEAK (1", SUS, 체결불량)</t>
  </si>
  <si>
    <t>NUT I-MARKING 누락 (1", SUS)</t>
  </si>
  <si>
    <t>NUT LEAK (6mm, SUS, 미완체결)</t>
  </si>
  <si>
    <t>NUT LEAK (6mm, SUS, 체결이상 무)</t>
  </si>
  <si>
    <t>NUT LEAK (6mm, SUS, 체결불량)</t>
  </si>
  <si>
    <t>NUT I-MARKING 누락 (6mm, SUS)</t>
  </si>
  <si>
    <t>O-RING</t>
  </si>
  <si>
    <t>O-RING 이탈 (10A, SWIRL GUIDE, FKM, BLK)</t>
  </si>
  <si>
    <t>O-RING 누락 (10A, SWIRL GUIDE, FKM, BLK)</t>
  </si>
  <si>
    <t>O-RING 씹힘 (10A, SWIRL GUIDE, FKM, BLK)</t>
  </si>
  <si>
    <t>O-RING 이탈 (DRAIN NUT, FKM, BLK)</t>
  </si>
  <si>
    <t>O-RING 누락 (DRAIN NUT, FKM, BLK)</t>
  </si>
  <si>
    <t>O-RING 씹힘 (DRAIN NUT, FKM, BLK)</t>
  </si>
  <si>
    <t>O-RING 이탈 (40A, LEVEL SENSOR)</t>
  </si>
  <si>
    <t>O-RING 누락 (40A, LEVEL SENSOR)</t>
  </si>
  <si>
    <t>O-RING 씹힘 (40A, LEVEL SENSOR)</t>
  </si>
  <si>
    <t>O-RING 이탈 (FKM, BLK)</t>
  </si>
  <si>
    <t>O-RING 누락 (FKM, BLK)</t>
  </si>
  <si>
    <t>O-RING 씹힘 (FKM, BLK)</t>
  </si>
  <si>
    <t>O-RING 이탈 (25A, EPDM, BLK)</t>
  </si>
  <si>
    <t>O-RING 누락 (25A, EPDM, BLK)</t>
  </si>
  <si>
    <t>O-RING 씹힘 (25A, EPDM, BLK)</t>
  </si>
  <si>
    <t>PLUG</t>
  </si>
  <si>
    <t>PLUG LEAK (1/4", SUS, 미완체결)</t>
  </si>
  <si>
    <t>PLUG LEAK (1/4", SUS, 체결이상 무)</t>
  </si>
  <si>
    <t>PLUG LEAK (1/4", SUS, 체결불량)</t>
  </si>
  <si>
    <t>PLUG LEAK (1/4", SUS, 누락)</t>
  </si>
  <si>
    <t>PLUG I-MARKING 누락 (1/4", SUS)</t>
  </si>
  <si>
    <t>PLUG LEAK (3/8", SUS, 미완체결)</t>
  </si>
  <si>
    <t>PLUG LEAK (3/8", SUS, 체결이상 무)</t>
  </si>
  <si>
    <t>PLUG LEAK (3/8", SUS, 체결불량)</t>
  </si>
  <si>
    <t>PLUG LEAK (3/8", SUS, 누락)</t>
  </si>
  <si>
    <t>PLUG I-MARKING 누락 (3/8", SUS)</t>
  </si>
  <si>
    <t>PLUG LEAK (1/2", SUS, 미완체결)</t>
  </si>
  <si>
    <t>PLUG LEAK (1/2", SUS, 체결이상 무)</t>
  </si>
  <si>
    <t>PLUG LEAK (1/2", SUS, 체결불량)</t>
  </si>
  <si>
    <t>PLUG LEAK (1/2", SUS, 누락)</t>
  </si>
  <si>
    <t>PLUG I-MARKING 누락 (1/2", SUS)</t>
  </si>
  <si>
    <t>PLUG LEAK (3/4", SUS, 미완체결)</t>
  </si>
  <si>
    <t>PLUG LEAK (3/4", SUS, 체결이상 무)</t>
  </si>
  <si>
    <t>PLUG LEAK (3/4", SUS, 체결불량)</t>
  </si>
  <si>
    <t>PLUG LEAK (3/4", SUS, 누락)</t>
  </si>
  <si>
    <t>PLUG I-MARKING 누락 (3/4", SUS)</t>
  </si>
  <si>
    <t>PLUG LEAK (1", SUS, 미완체결)</t>
  </si>
  <si>
    <t>PLUG LEAK (1", SUS, 체결이상 무)</t>
  </si>
  <si>
    <t>PLUG LEAK (1", SUS, 체결불량)</t>
  </si>
  <si>
    <t>PLUG LEAK (1", SUS, 누락)</t>
  </si>
  <si>
    <t>PLUG I-MARKING 누락 (1", SUS)</t>
  </si>
  <si>
    <t>PLUG LEAK (6mm, SUS, 미완체결)</t>
  </si>
  <si>
    <t>PLUG LEAK (6mm, SUS, 체결이상 무)</t>
  </si>
  <si>
    <t>PLUG LEAK (6mm, SUS, 체결불량)</t>
  </si>
  <si>
    <t>PLUG LEAK (6mm, SUS, 누락)</t>
  </si>
  <si>
    <t>PLUG I-MARKING 누락 (6mm, SUS)</t>
  </si>
  <si>
    <t>PLUG LEAK (6mm, PP, 미완체결)</t>
  </si>
  <si>
    <t>PLUG LEAK (6mm, PP, 체결이상 무)</t>
  </si>
  <si>
    <t>PLUG LEAK (6mm, PP, 체결불량)</t>
  </si>
  <si>
    <t>PLUG LEAK (6mm, PP, 누락)</t>
  </si>
  <si>
    <t>PLUG LEAK (8mm, PP, 미완체결)</t>
  </si>
  <si>
    <t>PLUG LEAK (8mm, PP, 체결이상 무)</t>
  </si>
  <si>
    <t>PLUG LEAK (8mm, PP, 체결불량)</t>
  </si>
  <si>
    <t>PLUG LEAK (8mm, PP, 누락)</t>
  </si>
  <si>
    <t>REDUCER DOUBLE Y UNION</t>
  </si>
  <si>
    <t>REDUCER DOUBLE Y UNION LEAK (6mm, 우레탄, 삽입부족)</t>
  </si>
  <si>
    <t>REDUCER DOUBLE Y UNION LEAK (6mm, 우레탄, 미삽입)</t>
  </si>
  <si>
    <t>REDUCER DOUBLE Y UNION LEAK (6mm, 우레탄, TUBE 컷팅불량)</t>
  </si>
  <si>
    <t>REDUCER DOUBLE Y UNION LEAK (6mm, PFA, 삽입부족)</t>
  </si>
  <si>
    <t>REDUCER DOUBLE Y UNION LEAK (6mm, PFA, 미삽입)</t>
  </si>
  <si>
    <t>REDUCER DOUBLE Y UNION LEAK (6mm, PFA, TUBE 컷팅불량)</t>
  </si>
  <si>
    <t>REDUCER DOUBLE Y UNION LEAK (8mm, 우레탄, 삽입부족)</t>
  </si>
  <si>
    <t>REDUCER DOUBLE Y UNION LEAK (8mm, 우레탄, 미삽입)</t>
  </si>
  <si>
    <t>REDUCER DOUBLE Y UNION LEAK (8mm, 우레탄, TUBE 컷팅불량)</t>
  </si>
  <si>
    <t>REDUCER DOUBLE Y UNION LEAK (8mm, PFA, 삽입부족)</t>
  </si>
  <si>
    <t>REDUCER DOUBLE Y UNION LEAK (8mm, PFA, 미삽입)</t>
  </si>
  <si>
    <t>REDUCER DOUBLE Y UNION LEAK (8mm, PFA, TUBE 컷팅불량)</t>
  </si>
  <si>
    <t>REDUCER DOUBLE Y UNION BODY LEAK (6mm, 8mm)</t>
  </si>
  <si>
    <t>REDUCER DOUBLE Y UNION LEAK (6mm, PFA)</t>
  </si>
  <si>
    <t>REDUCER DOUBLE Y UNION LEAK (6mm, 우레탄)</t>
  </si>
  <si>
    <t>REDUCER DOUBLE Y UNION LEAK (8mm, PFA)</t>
  </si>
  <si>
    <t>REDUCER DOUBLE Y UNION LEAK (8mm, 우레탄)</t>
  </si>
  <si>
    <t>REDUCER Y</t>
  </si>
  <si>
    <t>REDUCER Y LEAK (6mm, 우레탄, 삽입부족)</t>
  </si>
  <si>
    <t>REDUCER Y LEAK (6mm, 우레탄, 미삽입)</t>
  </si>
  <si>
    <t>REDUCER Y LEAK (6mm, 우레탄, TUBE 컷팅불량)</t>
  </si>
  <si>
    <t>REDUCER Y LEAK (6mm, PFA, 삽입부족)</t>
  </si>
  <si>
    <t>REDUCER Y LEAK (6mm, PFA, 미삽입)</t>
  </si>
  <si>
    <t>REDUCER Y LEAK (6mm, PFA, TUBE 컷팅불량)</t>
  </si>
  <si>
    <t>REDUCER Y LEAK (4mm, 우레탄, 삽입부족)</t>
  </si>
  <si>
    <t>REDUCER Y LEAK (4mm, 우레탄, 미삽입)</t>
  </si>
  <si>
    <t>REDUCER Y LEAK (4mm, 우레탄, TUBE 컷팅불량)</t>
  </si>
  <si>
    <t>REDUCER Y LEAK (4mm, PFA, 삽입부족)</t>
  </si>
  <si>
    <t>REDUCER Y LEAK (4mm, PFA, 미삽입)</t>
  </si>
  <si>
    <t>REDUCER Y LEAK (4mm, PFA, TUBE 컷팅불량)</t>
  </si>
  <si>
    <t>REDUCER Y BODY LEAK (6mm, 4mm)</t>
  </si>
  <si>
    <t>REDUCER Y LEAK (6mm, PFA)</t>
  </si>
  <si>
    <t>REDUCER Y LEAK (6mm, 우레탄)</t>
  </si>
  <si>
    <t>REDUCER Y LEAK (4mm, PFA)</t>
  </si>
  <si>
    <t>REDUCER Y LEAK (4mm, 우레탄)</t>
  </si>
  <si>
    <t>REDUCER Y LEAK (8mm, 우레탄, 삽입부족)</t>
  </si>
  <si>
    <t>REDUCER Y LEAK (8mm, 우레탄, 미삽입)</t>
  </si>
  <si>
    <t>REDUCER Y LEAK (8mm, 우레탄, TUBE 컷팅불량)</t>
  </si>
  <si>
    <t>REDUCER Y LEAK (8mm, PFA, 삽입부족)</t>
  </si>
  <si>
    <t>REDUCER Y LEAK (8mm, PFA, 미삽입)</t>
  </si>
  <si>
    <t>REDUCER Y LEAK (8mm, PFA, TUBE 컷팅불량)</t>
  </si>
  <si>
    <t>REDUCER Y BODY LEAK (6mm, 8mm)</t>
  </si>
  <si>
    <t>REDUCER Y LEAK (8mm, PFA)</t>
  </si>
  <si>
    <t>REDUCER Y LEAK (8mm, 우레탄)</t>
  </si>
  <si>
    <t>REDUCER Y LEAK (10mm, 우레탄, 삽입부족)</t>
  </si>
  <si>
    <t>REDUCER Y LEAK (10mm, 우레탄, 미삽입)</t>
  </si>
  <si>
    <t>REDUCER Y LEAK (10mm, 우레탄, TUBE 컷팅불량)</t>
  </si>
  <si>
    <t>REDUCER Y LEAK (10mm, PFA, 삽입부족)</t>
  </si>
  <si>
    <t>REDUCER Y LEAK (10mm, PFA, 미삽입)</t>
  </si>
  <si>
    <t>REDUCER Y LEAK (10mm, PFA, TUBE 컷팅불량)</t>
  </si>
  <si>
    <t>REDUCER Y BODY LEAK (10mm, 8mm)</t>
  </si>
  <si>
    <t>REDUCER Y LEAK (10mm, PFA)</t>
  </si>
  <si>
    <t>REDUCER Y LEAK (10mm, 우레탄)</t>
  </si>
  <si>
    <t>REDUCER Y LEAK (12mm, 우레탄, 삽입부족)</t>
  </si>
  <si>
    <t>REDUCER Y LEAK (12mm, 우레탄, 미삽입)</t>
  </si>
  <si>
    <t>REDUCER Y LEAK (12mm, 우레탄, TUBE 컷팅불량)</t>
  </si>
  <si>
    <t>REDUCER Y LEAK (12mm, PFA, 삽입부족)</t>
  </si>
  <si>
    <t>REDUCER Y LEAK (12mm, PFA, 미삽입)</t>
  </si>
  <si>
    <t>REDUCER Y LEAK (12mm, PFA, TUBE 컷팅불량)</t>
  </si>
  <si>
    <t>REDUCER Y BODY LEAK (12mm, 8mm)</t>
  </si>
  <si>
    <t>REDUCER Y LEAK (12mm, PFA)</t>
  </si>
  <si>
    <t>REDUCER Y LEAK (12mm, 우레탄)</t>
  </si>
  <si>
    <t>REDUCER Y BODY LEAK (12mm, 10mm)</t>
  </si>
  <si>
    <t>REDUCING UNION</t>
  </si>
  <si>
    <t>REDUCING UNION FITTING NUT LEAK (1/2", PVDF, 삽입부족)</t>
  </si>
  <si>
    <t>REDUCING UNION FITTING NUT LEAK (1/2", PVDF, 미삽입)</t>
  </si>
  <si>
    <t>REDUCING UNION FITTING NUT LEAK (1/2", PVDF, TUBE 컷팅불량)</t>
  </si>
  <si>
    <t>REDUCING UNION FITTING NUT LEAK (1/2", PVDF, 미완체결)</t>
  </si>
  <si>
    <t>REDUCING UNION FITTING NUT LEAK (1/2", PVDF, 체결이상 무)</t>
  </si>
  <si>
    <t>REDUCING UNION FITTING NUT LEAK (1/2", PVDF, FERRULE 물림X)</t>
  </si>
  <si>
    <t>REDUCING UNION FITTING NUT LEAK (1/2", PVDF, FERRULE 미삽입)</t>
  </si>
  <si>
    <t>REDUCING UNION FITTING NUT LEAK (3/8", PVDF, 삽입부족)</t>
  </si>
  <si>
    <t>REDUCING UNION FITTING NUT LEAK (3/8", PVDF, 미삽입)</t>
  </si>
  <si>
    <t>REDUCING UNION FITTING NUT LEAK (3/8", PVDF, TUBE 컷팅불량)</t>
  </si>
  <si>
    <t>REDUCING UNION FITTING NUT LEAK (3/8", PVDF, 미완체결)</t>
  </si>
  <si>
    <t>REDUCING UNION FITTING NUT LEAK (3/8", PVDF, 체결이상 무)</t>
  </si>
  <si>
    <t>REDUCING UNION FITTING NUT LEAK (3/8", PVDF, FERRULE 물림X)</t>
  </si>
  <si>
    <t>REDUCING UNION FITTING NUT LEAK (3/8", PVDF, FERRULE 미삽입)</t>
  </si>
  <si>
    <t>REDUCING UNION FITTING NUT LEAK (과체결로 인한 파손)</t>
  </si>
  <si>
    <t>REDUCING UNION I-MARKING 누락 (1/2", 3/8", PVDF)</t>
  </si>
  <si>
    <t>REDUCING UNION TEE</t>
  </si>
  <si>
    <t>REDUCING UNION TEE FITTING NUT LEAK (1/2", PP, 삽입부족, 하단부)</t>
  </si>
  <si>
    <t>REDUCING UNION TEE FITTING NUT LEAK (1/2", PP, 미삽입, 하단부)</t>
  </si>
  <si>
    <t>REDUCING UNION TEE FITTING NUT LEAK (1/2", PP, TUBE 컷팅불량, 하단부)</t>
  </si>
  <si>
    <t>REDUCING UNION TEE FITTING NUT LEAK (1/2", PP, 미완체결, 하단부)</t>
  </si>
  <si>
    <t>REDUCING UNION TEE FITTING NUT LEAK (1/2", PP, 체결이상 무, 하단부)</t>
  </si>
  <si>
    <t>REDUCING UNION TEE FITTING NUT LEAK (1/2", PP, FERRULE 물림X, 하단부)</t>
  </si>
  <si>
    <t>REDUCING UNION TEE FITTING NUT LEAK (1/2", PP, FERRULE 미삽입, 하단부)</t>
  </si>
  <si>
    <t>REDUCING UNION TEE FITTING NUT LEAK (3/8", PP, 삽입부족, 좌측상단)</t>
  </si>
  <si>
    <t>REDUCING UNION TEE FITTING NUT LEAK (3/8", PP, 미삽입, 좌측상단)</t>
  </si>
  <si>
    <t>REDUCING UNION TEE FITTING NUT LEAK (3/8", PP, TUBE 컷팅불량, 좌측상단)</t>
  </si>
  <si>
    <t>REDUCING UNION TEE FITTING NUT LEAK (3/8", PP, 미완체결, 좌측상단)</t>
  </si>
  <si>
    <t>REDUCING UNION TEE FITTING NUT LEAK (3/8", PP, 체결이상 무, 좌측상단)</t>
  </si>
  <si>
    <t>REDUCING UNION TEE FITTING NUT LEAK (3/8", PP, FERRULE 물림X, 좌측상단)</t>
  </si>
  <si>
    <t>REDUCING UNION TEE FITTING NUT LEAK (3/8", PP, FERRULE 미삽입, 좌측상단)</t>
  </si>
  <si>
    <t>REDUCING UNION TEE FITTING NUT LEAK (3/8", PP, 삽입부족, 우측상단)</t>
  </si>
  <si>
    <t>REDUCING UNION TEE FITTING NUT LEAK (3/8", PP, 미삽입, 우측상단)</t>
  </si>
  <si>
    <t>REDUCING UNION TEE FITTING NUT LEAK (3/8", PP, TUBE 컷팅불량, 우측상단)</t>
  </si>
  <si>
    <t>REDUCING UNION TEE FITTING NUT LEAK (3/8", PP, 미완체결, 우측상단)</t>
  </si>
  <si>
    <t>REDUCING UNION TEE FITTING NUT LEAK (3/8", PP, 체결이상 무, 우측상단)</t>
  </si>
  <si>
    <t>REDUCING UNION TEE FITTING NUT LEAK (3/8", PP, FERRULE 물림X, 우측상단)</t>
  </si>
  <si>
    <t>REDUCING UNION TEE FITTING NUT LEAK (3/8", PP, FERRULE 미삽입, 우측상단)</t>
  </si>
  <si>
    <t>REDUCING UNION TEE FITTING NUT LEAK (과체결로 인한 파손)</t>
  </si>
  <si>
    <t>REDUCING UNION TEE I-MARKING 누락 (3/8"-3/8"-1/2", PP)</t>
  </si>
  <si>
    <t>REDUCING UNION TEE FITTING NUT LEAK (1/4", SUS, 삽입부족, 하단부)</t>
  </si>
  <si>
    <t>REDUCING UNION TEE FITTING NUT LEAK (1/4", SUS, 미삽입, 하단부)</t>
  </si>
  <si>
    <t>REDUCING UNION TEE FITTING NUT LEAK (1/4", SUS, TUBE 컷팅불량, 하단부)</t>
  </si>
  <si>
    <t>REDUCING UNION TEE FITTING NUT LEAK (1/4", SUS, 미완체결, 하단부)</t>
  </si>
  <si>
    <t>REDUCING UNION TEE FITTING NUT LEAK (1/4", SUS, 체결이상 무, 하단부)</t>
  </si>
  <si>
    <t>REDUCING UNION TEE FITTING NUT LEAK (1/4", SUS, FERRULE 물림X, 하단부)</t>
  </si>
  <si>
    <t>REDUCING UNION TEE FITTING NUT LEAK (1/4", SUS, FERRULE 미삽입, 하단부)</t>
  </si>
  <si>
    <t>REDUCING UNION TEE FITTING NUT LEAK (3/8", SUS, 삽입부족, 좌측상단)</t>
  </si>
  <si>
    <t>REDUCING UNION TEE FITTING NUT LEAK (3/8", SUS, 미삽입, 좌측상단)</t>
  </si>
  <si>
    <t>REDUCING UNION TEE FITTING NUT LEAK (3/8", SUS, TUBE 컷팅불량, 좌측상단)</t>
  </si>
  <si>
    <t>REDUCING UNION TEE FITTING NUT LEAK (3/8", SUS, 미완체결, 좌측상단)</t>
  </si>
  <si>
    <t>REDUCING UNION TEE FITTING NUT LEAK (3/8", SUS, 체결이상 무, 좌측상단)</t>
  </si>
  <si>
    <t>REDUCING UNION TEE FITTING NUT LEAK (3/8", SUS, FERRULE 물림X, 좌측상단)</t>
  </si>
  <si>
    <t>REDUCING UNION TEE FITTING NUT LEAK (3/8", SUS, FERRULE 미삽입, 좌측상단)</t>
  </si>
  <si>
    <t>REDUCING UNION TEE FITTING NUT LEAK (3/8", SUS, 삽입부족, 우측상단)</t>
  </si>
  <si>
    <t>REDUCING UNION TEE FITTING NUT LEAK (3/8", SUS, 미삽입, 우측상단)</t>
  </si>
  <si>
    <t>REDUCING UNION TEE FITTING NUT LEAK (3/8", SUS, TUBE 컷팅불량, 우측상단)</t>
  </si>
  <si>
    <t>REDUCING UNION TEE FITTING NUT LEAK (3/8", SUS, 미완체결, 우측상단)</t>
  </si>
  <si>
    <t>REDUCING UNION TEE FITTING NUT LEAK (3/8", SUS, 체결이상 무, 우측상단)</t>
  </si>
  <si>
    <t>REDUCING UNION TEE FITTING NUT LEAK (3/8", SUS, FERRULE 물림X, 우측상단)</t>
  </si>
  <si>
    <t>REDUCING UNION TEE FITTING NUT LEAK (3/8", SUS, FERRULE 미삽입, 우측상단)</t>
  </si>
  <si>
    <t>REDUCING UNION TEE I-MARKING 누락 (3/8"-3/8"-1/4", SUS)</t>
  </si>
  <si>
    <t>REDUCING UNION TEE FITTING NUT LEAK (1/2", SUS, 삽입부족, 좌측상단)</t>
  </si>
  <si>
    <t>REDUCING UNION TEE FITTING NUT LEAK (1/2", SUS, 미삽입, 좌측상단)</t>
  </si>
  <si>
    <t>REDUCING UNION TEE FITTING NUT LEAK (1/2", SUS, TUBE 컷팅불량, 좌측상단)</t>
  </si>
  <si>
    <t>REDUCING UNION TEE FITTING NUT LEAK (1/2", SUS, 미완체결, 좌측상단)</t>
  </si>
  <si>
    <t>REDUCING UNION TEE FITTING NUT LEAK (1/2", SUS, 체결이상 무, 좌측상단)</t>
  </si>
  <si>
    <t>REDUCING UNION TEE FITTING NUT LEAK (1/2", SUS, FERRULE 물림X, 좌측상단)</t>
  </si>
  <si>
    <t>REDUCING UNION TEE FITTING NUT LEAK (1/2", SUS, FERRULE 미삽입, 좌측상단)</t>
  </si>
  <si>
    <t>REDUCING UNION TEE FITTING NUT LEAK (1/2", SUS, 삽입부족, 우측상단)</t>
  </si>
  <si>
    <t>REDUCING UNION TEE FITTING NUT LEAK (1/2", SUS, 미삽입, 우측상단)</t>
  </si>
  <si>
    <t>REDUCING UNION TEE FITTING NUT LEAK (1/2", SUS, TUBE 컷팅불량, 우측상단)</t>
  </si>
  <si>
    <t>REDUCING UNION TEE FITTING NUT LEAK (1/2", SUS, 미완체결, 우측상단)</t>
  </si>
  <si>
    <t>REDUCING UNION TEE FITTING NUT LEAK (1/2", SUS, 체결이상 무, 우측상단)</t>
  </si>
  <si>
    <t>REDUCING UNION TEE FITTING NUT LEAK (1/2", SUS, FERRULE 물림X, 우측상단)</t>
  </si>
  <si>
    <t>REDUCING UNION TEE FITTING NUT LEAK (1/2", SUS, FERRULE 미삽입, 우측상단)</t>
  </si>
  <si>
    <t>REDUCING UNION TEE I-MARKING 누락 (1/2"-1/2"-1/4", SUS)</t>
  </si>
  <si>
    <t>REDUCING UNION TEE FITTING NUT LEAK (3/8", SUS, 삽입부족, 하단부)</t>
  </si>
  <si>
    <t>REDUCING UNION TEE FITTING NUT LEAK (3/8", SUS, 미삽입, 하단부)</t>
  </si>
  <si>
    <t>REDUCING UNION TEE FITTING NUT LEAK (3/8", SUS, TUBE 컷팅불량, 하단부)</t>
  </si>
  <si>
    <t>REDUCING UNION TEE FITTING NUT LEAK (3/8", SUS, 미완체결, 하단부)</t>
  </si>
  <si>
    <t>REDUCING UNION TEE FITTING NUT LEAK (3/8", SUS, 체결이상 무, 하단부)</t>
  </si>
  <si>
    <t>REDUCING UNION TEE FITTING NUT LEAK (3/8", SUS, FERRULE 물림X, 하단부)</t>
  </si>
  <si>
    <t>REDUCING UNION TEE FITTING NUT LEAK (3/8", SUS, FERRULE 미삽입, 하단부)</t>
  </si>
  <si>
    <t>REDUCING UNION TEE I-MARKING 누락 (1/2"-1/2"-3/8", SUS)</t>
  </si>
  <si>
    <t>REDUCING UNION TEE FITTING NUT LEAK (3/4", SUS, 삽입부족, 좌측상단)</t>
  </si>
  <si>
    <t>REDUCING UNION TEE FITTING NUT LEAK (3/4", SUS, 미삽입, 좌측상단)</t>
  </si>
  <si>
    <t>REDUCING UNION TEE FITTING NUT LEAK (3/4", SUS, TUBE 컷팅불량, 좌측상단)</t>
  </si>
  <si>
    <t>REDUCING UNION TEE FITTING NUT LEAK (3/4", SUS, 미완체결, 좌측상단)</t>
  </si>
  <si>
    <t>REDUCING UNION TEE FITTING NUT LEAK (3/4", SUS, 체결이상 무, 좌측상단)</t>
  </si>
  <si>
    <t>REDUCING UNION TEE FITTING NUT LEAK (3/4", SUS, FERRULE 물림X, 좌측상단)</t>
  </si>
  <si>
    <t>REDUCING UNION TEE FITTING NUT LEAK (3/4", SUS, FERRULE 미삽입, 좌측상단)</t>
  </si>
  <si>
    <t>REDUCING UNION TEE FITTING NUT LEAK (3/4", SUS, 삽입부족, 우측상단)</t>
  </si>
  <si>
    <t>REDUCING UNION TEE FITTING NUT LEAK (3/4", SUS, 미삽입, 우측상단)</t>
  </si>
  <si>
    <t>REDUCING UNION TEE FITTING NUT LEAK (3/4", SUS, TUBE 컷팅불량, 우측상단)</t>
  </si>
  <si>
    <t>REDUCING UNION TEE FITTING NUT LEAK (3/4", SUS, 미완체결, 우측상단)</t>
  </si>
  <si>
    <t>REDUCING UNION TEE FITTING NUT LEAK (3/4", SUS, 체결이상 무, 우측상단)</t>
  </si>
  <si>
    <t>REDUCING UNION TEE FITTING NUT LEAK (3/4", SUS, FERRULE 물림X, 우측상단)</t>
  </si>
  <si>
    <t>REDUCING UNION TEE FITTING NUT LEAK (3/4", SUS, FERRULE 미삽입, 우측상단)</t>
  </si>
  <si>
    <t>REDUCING UNION TEE I-MARKING 누락 (3/4"-3/4"-3/8", SUS)</t>
  </si>
  <si>
    <t>REDUCING UNION TEE FITTING NUT LEAK (1/2", SUS, 삽입부족, 하단부)</t>
  </si>
  <si>
    <t>REDUCING UNION TEE FITTING NUT LEAK (1/2", SUS, 미삽입, 하단부)</t>
  </si>
  <si>
    <t>REDUCING UNION TEE FITTING NUT LEAK (1/2", SUS, TUBE 컷팅불량, 하단부)</t>
  </si>
  <si>
    <t>REDUCING UNION TEE FITTING NUT LEAK (1/2", SUS, 미완체결, 하단부)</t>
  </si>
  <si>
    <t>REDUCING UNION TEE FITTING NUT LEAK (1/2", SUS, 체결이상 무, 하단부)</t>
  </si>
  <si>
    <t>REDUCING UNION TEE FITTING NUT LEAK (1/2", SUS, FERRULE 물림X, 하단부)</t>
  </si>
  <si>
    <t>REDUCING UNION TEE FITTING NUT LEAK (1/2", SUS, FERRULE 미삽입, 하단부)</t>
  </si>
  <si>
    <t>REDUCING UNION TEE I-MARKING 누락 (3/4"-3/4"-1/2", SUS)</t>
  </si>
  <si>
    <t>REDUCING UNION TEE FITTING NUT LEAK (6mm, SUS, 삽입부족, 하단부)</t>
  </si>
  <si>
    <t>REDUCING UNION TEE FITTING NUT LEAK (6mm, SUS, 미삽입, 하단부)</t>
  </si>
  <si>
    <t>REDUCING UNION TEE FITTING NUT LEAK (6mm, SUS, TUBE 컷팅불량, 하단부)</t>
  </si>
  <si>
    <t>REDUCING UNION TEE FITTING NUT LEAK (6mm, SUS, 미완체결, 하단부)</t>
  </si>
  <si>
    <t>REDUCING UNION TEE FITTING NUT LEAK (6mm, SUS, 체결이상 무, 하단부)</t>
  </si>
  <si>
    <t>REDUCING UNION TEE FITTING NUT LEAK (6mm, SUS, FERRULE 물림X, 하단부)</t>
  </si>
  <si>
    <t>REDUCING UNION TEE FITTING NUT LEAK (6mm, SUS, FERRULE 미삽입, 하단부)</t>
  </si>
  <si>
    <t>REDUCING UNION TEE I-MARKING 누락 (3/8"-3/8"-6mm, SUS)</t>
  </si>
  <si>
    <t>REDUCING UNION TEE I-MARKING 누락 (3/4"-3/4"-1/4", SUS)</t>
  </si>
  <si>
    <t>REDUCING UNION TEE FITTING NUT LEAK (1/4", SUS, 삽입부족, 좌측상단)</t>
  </si>
  <si>
    <t>REDUCING UNION TEE FITTING NUT LEAK (1/4", SUS, 미삽입, 좌측상단)</t>
  </si>
  <si>
    <t>REDUCING UNION TEE FITTING NUT LEAK (1/4", SUS, TUBE 컷팅불량, 좌측상단)</t>
  </si>
  <si>
    <t>REDUCING UNION TEE FITTING NUT LEAK (1/4", SUS, 미완체결, 좌측상단)</t>
  </si>
  <si>
    <t>REDUCING UNION TEE FITTING NUT LEAK (1/4", SUS, 체결이상 무, 좌측상단)</t>
  </si>
  <si>
    <t>REDUCING UNION TEE FITTING NUT LEAK (1/4", SUS, FERRULE 물림X, 좌측상단)</t>
  </si>
  <si>
    <t>REDUCING UNION TEE FITTING NUT LEAK (1/4", SUS, FERRULE 미삽입, 좌측상단)</t>
  </si>
  <si>
    <t>REDUCING UNION TEE FITTING NUT LEAK (1/4", SUS, 삽입부족, 우측상단)</t>
  </si>
  <si>
    <t>REDUCING UNION TEE FITTING NUT LEAK (1/4", SUS, 미삽입, 우측상단)</t>
  </si>
  <si>
    <t>REDUCING UNION TEE FITTING NUT LEAK (1/4", SUS, TUBE 컷팅불량, 우측상단)</t>
  </si>
  <si>
    <t>REDUCING UNION TEE FITTING NUT LEAK (1/4", SUS, 미완체결, 우측상단)</t>
  </si>
  <si>
    <t>REDUCING UNION TEE FITTING NUT LEAK (1/4", SUS, 체결이상 무, 우측상단)</t>
  </si>
  <si>
    <t>REDUCING UNION TEE FITTING NUT LEAK (1/4", SUS, FERRULE 물림X, 우측상단)</t>
  </si>
  <si>
    <t>REDUCING UNION TEE FITTING NUT LEAK (1/4", SUS, FERRULE 미삽입, 우측상단)</t>
  </si>
  <si>
    <t>REDUCING UNION TEE I-MARKING 누락 (1/4"-1/4"-3/8", SUS)</t>
  </si>
  <si>
    <t>SPEED CONTROLLER</t>
  </si>
  <si>
    <t>SPEED CONTROLLER LEAK (PFA, IN단, 삽입부족)</t>
  </si>
  <si>
    <t>SPEED CONTROLLER LEAK (PFA, IN단, 미삽입)</t>
  </si>
  <si>
    <t>SPEED CONTROLLER LEAK (PFA, IN단, TUBE 컷팅불량)</t>
  </si>
  <si>
    <t>SPEED CONTROLLER LEAK (PFA, OUT단, 삽입부족)</t>
  </si>
  <si>
    <t>SPEED CONTROLLER LEAK (PFA, OUT단, 미삽입)</t>
  </si>
  <si>
    <t>SPEED CONTROLLER LEAK (PFA, OUT단, TUBE 컷팅불량)</t>
  </si>
  <si>
    <t>SPEED CONTROLLER LEAK (PFA, IN단)</t>
  </si>
  <si>
    <t>SPEED CONTROLLER LEAK (PFA, OUT단)</t>
  </si>
  <si>
    <t>SPEED CONTROLLER LEAK (우레탄, IN단, 삽입부족)</t>
  </si>
  <si>
    <t>SPEED CONTROLLER LEAK (우레탄, IN단, 미삽입)</t>
  </si>
  <si>
    <t>SPEED CONTROLLER LEAK (우레탄, IN단, TUBE 컷팅불량)</t>
  </si>
  <si>
    <t>SPEED CONTROLLER LEAK (우레탄, OUT단, 삽입부족)</t>
  </si>
  <si>
    <t>SPEED CONTROLLER LEAK (우레탄, OUT단, 미삽입)</t>
  </si>
  <si>
    <t>SPEED CONTROLLER LEAK (우레탄, OUT단, TUBE 컷팅불량)</t>
  </si>
  <si>
    <t>SPEED CONTROLLER LEAK (우레탄, IN단)</t>
  </si>
  <si>
    <t>SPEED CONTROLLER LEAK (우레탄, OUT단)</t>
  </si>
  <si>
    <t>SPEED CONTROLLER BODY LEAK</t>
  </si>
  <si>
    <t>SPEED CONTROLLER 역방향 조립</t>
  </si>
  <si>
    <t>SPEED CONTROLLER 기준값 미일치</t>
  </si>
  <si>
    <t>SPEED CONTROLLER 과체결로 인한 파손</t>
  </si>
  <si>
    <t>SPRINGKLER</t>
  </si>
  <si>
    <t>SPRINKLER TEFLON부 LEAK (TEFLON 미작업)</t>
  </si>
  <si>
    <t>SPRINKLER TEFLON부 LEAK (TEFLON 부족)</t>
  </si>
  <si>
    <t>SPRINKLER TEFLON부 LEAK (미완체결)</t>
  </si>
  <si>
    <t>SPRINKLER TEFLON부 LEAK (체결이상 무)</t>
  </si>
  <si>
    <t>TEE PIPE WELD ASSY</t>
  </si>
  <si>
    <t>TEE PIPE WELD ASSY FITTING NUT LEAK (3/4", SUS, 미완체결, 하단부)</t>
  </si>
  <si>
    <t>TEE PIPE WELD ASSY FITTING NUT LEAK (3/4", SUS, 체결이상 무, 하단부)</t>
  </si>
  <si>
    <t>TEE PIPE WELD ASSY FITTING NUT LEAK (3/4", SUS, FERRULE 물림X, 하단부)</t>
  </si>
  <si>
    <t>TEE PIPE WELD ASSY FITTING NUT LEAK (3/4", SUS, FERRULE 미삽입, 하단부)</t>
  </si>
  <si>
    <t>TEE PIPE WELD ASSY FITTING NUT LEAK (3/4", SUS, 미완체결, 좌측상단)</t>
  </si>
  <si>
    <t>TEE PIPE WELD ASSY FITTING NUT LEAK (3/4", SUS, 체결이상 무, 좌측상단)</t>
  </si>
  <si>
    <t>TEE PIPE WELD ASSY FITTING NUT LEAK (3/4", SUS, FERRULE 물림X, 좌측상단)</t>
  </si>
  <si>
    <t>TEE PIPE WELD ASSY FITTING NUT LEAK (3/4", SUS, FERRULE 미삽입, 좌측상단)</t>
  </si>
  <si>
    <t>TEE PIPE WELD ASSY FITTING NUT LEAK (3/4", SUS, 미완체결, 우측상단)</t>
  </si>
  <si>
    <t>TEE PIPE WELD ASSY FITTING NUT LEAK (3/4", SUS, 체결이상 무, 우측상단)</t>
  </si>
  <si>
    <t>TEE PIPE WELD ASSY FITTING NUT LEAK (3/4", SUS, FERRULE 물림X, 우측상단)</t>
  </si>
  <si>
    <t>TEE PIPE WELD ASSY FITTING NUT LEAK (3/4", SUS, FERRULE 미삽입, 우측상단)</t>
  </si>
  <si>
    <t>TEE PIPE WELD ASSY I-MARKING 누락 (3/4"-3/4"-3/4", SUS)</t>
  </si>
  <si>
    <t>TEE PIPE WELD ASSY FITTING NUT LEAK (1/2", SUS, 미완체결, 하단부)</t>
  </si>
  <si>
    <t>TEE PIPE WELD ASSY FITTING NUT LEAK (1/2", SUS, 체결이상 무, 하단부)</t>
  </si>
  <si>
    <t>TEE PIPE WELD ASSY FITTING NUT LEAK (1/2", SUS, FERRULE 물림X, 하단부)</t>
  </si>
  <si>
    <t>TEE PIPE WELD ASSY FITTING NUT LEAK (1/2", SUS, FERRULE 미삽입, 하단부)</t>
  </si>
  <si>
    <t>TEE PIPE WELD ASSY FITTING NUT LEAK (1/2", SUS, 미완체결, 우측상단)</t>
  </si>
  <si>
    <t>TEE PIPE WELD ASSY FITTING NUT LEAK (1/2", SUS, 체결이상 무, 우측상단)</t>
  </si>
  <si>
    <t>TEE PIPE WELD ASSY FITTING NUT LEAK (1/2", SUS, FERRULE 물림X, 우측상단)</t>
  </si>
  <si>
    <t>TEE PIPE WELD ASSY FITTING NUT LEAK (1/2", SUS, FERRULE 미삽입, 우측상단)</t>
  </si>
  <si>
    <t>TEE PIPE WELD ASSY I-MARKING 누락 (1/2"-1/2"-3/4", SUS)</t>
  </si>
  <si>
    <t>UNEQUAL UNION Y</t>
  </si>
  <si>
    <t>UNEQUAL UNION Y LEAK (8mm, 우레탄, 삽입부족)</t>
  </si>
  <si>
    <t>UNEQUAL UNION Y LEAK (8mm, 우레탄, 미삽입)</t>
  </si>
  <si>
    <t>UNEQUAL UNION Y LEAK (8mm, 우레탄, TUBE 컷팅불량)</t>
  </si>
  <si>
    <t>UNEQUAL UNION Y LEAK (8mm, PFA, 삽입부족)</t>
  </si>
  <si>
    <t>UNEQUAL UNION Y LEAK (8mm, PFA, 미삽입)</t>
  </si>
  <si>
    <t>UNEQUAL UNION Y LEAK (8mm, PFA, TUBE 컷팅불량)</t>
  </si>
  <si>
    <t>UNEQUAL UNION Y LEAK (6mm, 우레탄, 삽입부족)</t>
  </si>
  <si>
    <t>UNEQUAL UNION Y LEAK (6mm, 우레탄, 미삽입)</t>
  </si>
  <si>
    <t>UNEQUAL UNION Y LEAK (6mm, 우레탄, TUBE 컷팅불량)</t>
  </si>
  <si>
    <t>UNEQUAL UNION Y LEAK (6mm, PFA, 삽입부족)</t>
  </si>
  <si>
    <t>UNEQUAL UNION Y LEAK (6mm, PFA, 미삽입)</t>
  </si>
  <si>
    <t>UNEQUAL UNION Y LEAK (6mm, PFA, TUBE 컷팅불량)</t>
  </si>
  <si>
    <t>UNEQUAL UNION Y BODY LEAK (8mm, 6mm)</t>
  </si>
  <si>
    <t>UNEQUAL UNION Y LEAK (8mm, PFA)</t>
  </si>
  <si>
    <t>UNEQUAL UNION Y LEAK (8mm, 우레탄)</t>
  </si>
  <si>
    <t>UNEQUAL UNION Y LEAK (6mm, PFA)</t>
  </si>
  <si>
    <t>UNEQUAL UNION Y LEAK (6mm, 우레탄)</t>
  </si>
  <si>
    <t>UNEQUAL UNION Y LEAK (10mm, 우레탄, 삽입부족)</t>
  </si>
  <si>
    <t>UNEQUAL UNION Y LEAK (10mm, 우레탄, 미삽입)</t>
  </si>
  <si>
    <t>UNEQUAL UNION Y LEAK (10mm, 우레탄, TUBE 컷팅불량)</t>
  </si>
  <si>
    <t>UNEQUAL UNION Y LEAK (10mm, PFA, 삽입부족)</t>
  </si>
  <si>
    <t>UNEQUAL UNION Y LEAK (10mm, PFA, 미삽입)</t>
  </si>
  <si>
    <t>UNEQUAL UNION Y LEAK (10mm, PFA, TUBE 컷팅불량)</t>
  </si>
  <si>
    <t>UNEQUAL UNION Y BODY LEAK (8mm, 10mm)</t>
  </si>
  <si>
    <t>UNEQUAL UNION Y LEAK (10mm, PFA)</t>
  </si>
  <si>
    <t>UNEQUAL UNION Y LEAK (10mm, 우레탄)</t>
  </si>
  <si>
    <t>UNION</t>
  </si>
  <si>
    <t>UNION FITTING NUT LEAK (1/4", IN단, 미완체결)</t>
  </si>
  <si>
    <t>UNION FITTING NUT LEAK (1/4", IN단, 체결이상 무)</t>
  </si>
  <si>
    <t>UNION FITTING NUT LEAK (1/4", IN단, FERRULE 물림X)</t>
  </si>
  <si>
    <t>UNION FITTING NUT LEAK (1/4", IN단, FERRULE 미삽입)</t>
  </si>
  <si>
    <t>UNION FITTING NUT LEAK (1/4", OUT단, 미완체결)</t>
  </si>
  <si>
    <t>UNION FITTING NUT LEAK (1/4", OUT단, 체결이상 무)</t>
  </si>
  <si>
    <t>UNION FITTING NUT LEAK (1/4", OUT단, FERRULE 물림X)</t>
  </si>
  <si>
    <t>UNION I-MARKING 누락 (1/4")</t>
  </si>
  <si>
    <t>UNION FITTING NUT LEAK (3/8", IN단, 미완체결)</t>
  </si>
  <si>
    <t>UNION FITTING NUT LEAK (3/8", IN단, 체결이상 무)</t>
  </si>
  <si>
    <t>UNION FITTING NUT LEAK (3/8", IN단, FERRULE 물림X)</t>
  </si>
  <si>
    <t>UNION FITTING NUT LEAK (3/8", IN단, FERRULE 미삽입)</t>
  </si>
  <si>
    <t>UNION FITTING NUT LEAK (3/8", OUT단, 미완체결)</t>
  </si>
  <si>
    <t>UNION FITTING NUT LEAK (3/8", OUT단, 체결이상 무)</t>
  </si>
  <si>
    <t>UNION FITTING NUT LEAK (3/8", OUT단, FERRULE 물림X)</t>
  </si>
  <si>
    <t>UNION I-MARKING 누락 (3/8")</t>
  </si>
  <si>
    <t>UNION FITTING NUT LEAK (1/2", IN단, 미완체결)</t>
  </si>
  <si>
    <t>UNION FITTING NUT LEAK (1/2", IN단, 체결이상 무)</t>
  </si>
  <si>
    <t>UNION FITTING NUT LEAK (1/2", IN단, FERRULE 물림X)</t>
  </si>
  <si>
    <t>UNION FITTING NUT LEAK (1/2", IN단, FERRULE 미삽입)</t>
  </si>
  <si>
    <t>UNION FITTING NUT LEAK (1/2", OUT단, 미완체결)</t>
  </si>
  <si>
    <t>UNION FITTING NUT LEAK (1/2", OUT단, 체결이상 무)</t>
  </si>
  <si>
    <t>UNION FITTING NUT LEAK (1/2", OUT단, FERRULE 물림X)</t>
  </si>
  <si>
    <t>UNION I-MARKING 누락 (1/2")</t>
  </si>
  <si>
    <t>UNION FITTING NUT LEAK (3/4", IN단, 미완체결)</t>
  </si>
  <si>
    <t>UNION FITTING NUT LEAK (3/4", IN단, 체결이상 무)</t>
  </si>
  <si>
    <t>UNION FITTING NUT LEAK (3/4", IN단, FERRULE 물림X)</t>
  </si>
  <si>
    <t>UNION FITTING NUT LEAK (3/4", IN단, FERRULE 미삽입)</t>
  </si>
  <si>
    <t>UNION FITTING NUT LEAK (3/4", OUT단, 미완체결)</t>
  </si>
  <si>
    <t>UNION FITTING NUT LEAK (3/4", OUT단, 체결이상 무)</t>
  </si>
  <si>
    <t>UNION FITTING NUT LEAK (3/4", OUT단, FERRULE 물림X)</t>
  </si>
  <si>
    <t>UNION I-MARKING 누락 (3/4")</t>
  </si>
  <si>
    <t>UNION FITTING NUT LEAK (1", IN단, 미완체결)</t>
  </si>
  <si>
    <t>UNION FITTING NUT LEAK (1", IN단, 체결이상 무)</t>
  </si>
  <si>
    <t>UNION FITTING NUT LEAK (1", IN단, FERRULE 물림X)</t>
  </si>
  <si>
    <t>UNION FITTING NUT LEAK (1", IN단, FERRULE 미삽입)</t>
  </si>
  <si>
    <t>UNION FITTING NUT LEAK (1", OUT단, 미완체결)</t>
  </si>
  <si>
    <t>UNION FITTING NUT LEAK (1", OUT단, 체결이상 무)</t>
  </si>
  <si>
    <t>UNION FITTING NUT LEAK (1", OUT단, FERRULE 물림X)</t>
  </si>
  <si>
    <t>UNION I-MARKING 누락 (1")</t>
  </si>
  <si>
    <t>UNION ELBOW</t>
  </si>
  <si>
    <t>UNION ELBOW FITTING NUT LEAK (1/4", SUS, IN, 미완체결)</t>
  </si>
  <si>
    <t>UNION ELBOW FITTING NUT LEAK (1/4", SUS, IN, 체결이상 무)</t>
  </si>
  <si>
    <t>UNION ELBOW FITTING NUT LEAK (1/4", SUS, IN, FERRULE 물림X)</t>
  </si>
  <si>
    <t>UNION ELBOW FITTING NUT LEAK (1/4", SUS, IN, FERRULE 미삽입)</t>
  </si>
  <si>
    <t>UNION ELBOW FITTOUTG NUT LEAK (1/4", SUS, OUT, 미완체결)</t>
  </si>
  <si>
    <t>UNION ELBOW FITTOUTG NUT LEAK (1/4", SUS, OUT, 체결이상 무)</t>
  </si>
  <si>
    <t>UNION ELBOW FITTOUTG NUT LEAK (1/4", SUS, OUT, FERRULE 물림X)</t>
  </si>
  <si>
    <t>UNION ELBOW FITTOUTG NUT LEAK (1/4", SUS, OUT, FERRULE 미삽입)</t>
  </si>
  <si>
    <t>UNION ELBOW I-MARKING 누락 (1/4", SUS)</t>
  </si>
  <si>
    <t>UNION ELBOW FITTING NUT LEAK (3/8", SUS, IN, 미완체결)</t>
  </si>
  <si>
    <t>UNION ELBOW FITTING NUT LEAK (3/8", SUS, IN, 체결이상 무)</t>
  </si>
  <si>
    <t>UNION ELBOW FITTING NUT LEAK (3/8", SUS, IN, FERRULE 물림X)</t>
  </si>
  <si>
    <t>UNION ELBOW FITTING NUT LEAK (3/8", SUS, IN, FERRULE 미삽입)</t>
  </si>
  <si>
    <t>UNION ELBOW FITTOUTG NUT LEAK (3/8", SUS, OUT, 미완체결)</t>
  </si>
  <si>
    <t>UNION ELBOW FITTOUTG NUT LEAK (3/8", SUS, OUT, 체결이상 무)</t>
  </si>
  <si>
    <t>UNION ELBOW FITTOUTG NUT LEAK (3/8", SUS, OUT, FERRULE 물림X)</t>
  </si>
  <si>
    <t>UNION ELBOW FITTOUTG NUT LEAK (3/8", SUS, OUT, FERRULE 미삽입)</t>
  </si>
  <si>
    <t>UNION ELBOW I-MARKING 누락 (3/8", SUS)</t>
  </si>
  <si>
    <t>UNION ELBOW FITTING NUT LEAK (1/2", SUS, IN, 미완체결)</t>
  </si>
  <si>
    <t>UNION ELBOW FITTING NUT LEAK (1/2", SUS, IN, 체결이상 무)</t>
  </si>
  <si>
    <t>UNION ELBOW FITTING NUT LEAK (1/2", SUS, IN, FERRULE 물림X)</t>
  </si>
  <si>
    <t>UNION ELBOW FITTING NUT LEAK (1/2", SUS, IN, FERRULE 미삽입)</t>
  </si>
  <si>
    <t>UNION ELBOW FITTOUTG NUT LEAK (1/2", SUS, OUT, 미완체결)</t>
  </si>
  <si>
    <t>UNION ELBOW FITTOUTG NUT LEAK (1/2", SUS, OUT, 체결이상 무)</t>
  </si>
  <si>
    <t>UNION ELBOW FITTOUTG NUT LEAK (1/2", SUS, OUT, FERRULE 물림X)</t>
  </si>
  <si>
    <t>UNION ELBOW FITTOUTG NUT LEAK (1/2", SUS, OUT, FERRULE 미삽입)</t>
  </si>
  <si>
    <t>UNION ELBOW I-MARKING 누락 (1/2", SUS)</t>
  </si>
  <si>
    <t>UNION ELBOW FITTING NUT LEAK (3/4", SUS, IN, 미완체결)</t>
  </si>
  <si>
    <t>UNION ELBOW FITTING NUT LEAK (3/4", SUS, IN, 체결이상 무)</t>
  </si>
  <si>
    <t>UNION ELBOW FITTING NUT LEAK (3/4", SUS, IN, FERRULE 물림X)</t>
  </si>
  <si>
    <t>UNION ELBOW FITTING NUT LEAK (3/4", SUS, IN, FERRULE 미삽입)</t>
  </si>
  <si>
    <t>UNION ELBOW FITTOUTG NUT LEAK (3/4", SUS, OUT, 미완체결)</t>
  </si>
  <si>
    <t>UNION ELBOW FITTOUTG NUT LEAK (3/4", SUS, OUT, 체결이상 무)</t>
  </si>
  <si>
    <t>UNION ELBOW FITTOUTG NUT LEAK (3/4", SUS, OUT, FERRULE 물림X)</t>
  </si>
  <si>
    <t>UNION ELBOW FITTOUTG NUT LEAK (3/4", SUS, OUT, FERRULE 미삽입)</t>
  </si>
  <si>
    <t>UNION ELBOW I-MARKING 누락 (3/4", SUS)</t>
  </si>
  <si>
    <t>UNION ELBOW FITTING NUT LEAK (6mm, SUS, IN, 미완체결)</t>
  </si>
  <si>
    <t>UNION ELBOW FITTING NUT LEAK (6mm, SUS, IN, 체결이상 무)</t>
  </si>
  <si>
    <t>UNION ELBOW FITTING NUT LEAK (6mm, SUS, IN, FERRULE 물림X)</t>
  </si>
  <si>
    <t>UNION ELBOW FITTING NUT LEAK (6mm, SUS, IN, FERRULE 미삽입)</t>
  </si>
  <si>
    <t>UNION ELBOW FITTOUTG NUT LEAK (6mm, SUS, OUT, 미완체결)</t>
  </si>
  <si>
    <t>UNION ELBOW FITTOUTG NUT LEAK (6mm, SUS, OUT, 체결이상 무)</t>
  </si>
  <si>
    <t>UNION ELBOW FITTOUTG NUT LEAK (6mm, SUS, OUT, FERRULE 물림X)</t>
  </si>
  <si>
    <t>UNION ELBOW FITTOUTG NUT LEAK (6mm, SUS, OUT, FERRULE 미삽입)</t>
  </si>
  <si>
    <t>UNION ELBOW I-MARKING 누락 (6mm, SUS)</t>
  </si>
  <si>
    <t>UNION ELBOW FITTING NUT LEAK (1/2", PVDF, IN, 미완체결)</t>
  </si>
  <si>
    <t>UNION ELBOW FITTING NUT LEAK (1/2", PVDF, IN, 체결이상 무)</t>
  </si>
  <si>
    <t>UNION ELBOW FITTING NUT LEAK (1/2", PVDF, IN, FERRULE 물림X)</t>
  </si>
  <si>
    <t>UNION ELBOW FITTING NUT LEAK (1/2", PVDF, IN, FERRULE 미삽입)</t>
  </si>
  <si>
    <t>UNION ELBOW FITTOUTG NUT LEAK (1/2", PVDF, OUT, 미완체결)</t>
  </si>
  <si>
    <t>UNION ELBOW FITTOUTG NUT LEAK (1/2", PVDF, OUT, 체결이상 무)</t>
  </si>
  <si>
    <t>UNION ELBOW FITTOUTG NUT LEAK (1/2", PVDF, OUT, FERRULE 물림X)</t>
  </si>
  <si>
    <t>UNION ELBOW FITTOUTG NUT LEAK (1/2", PVDF, OUT, FERRULE 미삽입)</t>
  </si>
  <si>
    <t>UNION ELBOW I-MARKING 누락 (1/2", PVDF)</t>
  </si>
  <si>
    <t>UNION NUT</t>
  </si>
  <si>
    <t>UNION NUT LEAK (20A, PP, 미완체결)</t>
  </si>
  <si>
    <t>UNION NUT LEAK (20A, PP, 체결이상 무)</t>
  </si>
  <si>
    <t>UNION NUT LEAK (20A, PP, 사선체결)</t>
  </si>
  <si>
    <t>UNION NUT LEAK (20A, PP, 나사선 파손)</t>
  </si>
  <si>
    <t>UNION NUT LEAK (20A, PP, BODY 파손)</t>
  </si>
  <si>
    <t>UNION NUT I-MARKING 누락 (20A, PP)</t>
  </si>
  <si>
    <t>UNION NUT LEAK (20A, PVC, 미완체결)</t>
  </si>
  <si>
    <t>UNION NUT LEAK (20A, PVC, 체결이상 무)</t>
  </si>
  <si>
    <t>UNION NUT LEAK (20A, PVC, 사선체결)</t>
  </si>
  <si>
    <t>UNION NUT LEAK (20A, PVC, 나사선 파손)</t>
  </si>
  <si>
    <t>UNION NUT LEAK (20A, PVC, BODY 파손)</t>
  </si>
  <si>
    <t>UNION NUT I-MARKING 누락 (20A, PVC)</t>
  </si>
  <si>
    <t>UNION STRAIGHT</t>
  </si>
  <si>
    <t>UNION STRAIGHT LEAK (6mm, PFA, IN단, 삽입부족)</t>
  </si>
  <si>
    <t>UNION STRAIGHT LEAK (6mm, PFA, IN단, 미삽입)</t>
  </si>
  <si>
    <t>UNION STRAIGHT LEAK (6mm, PFA, IN단, TUBE 컷팅불량)</t>
  </si>
  <si>
    <t>UNION STRAIGHT LEAK (6mm, PFA, OUT단, 삽입부족)</t>
  </si>
  <si>
    <t>UNION STRAIGHT LEAK (6mm, PFA, OUT단, 미삽입)</t>
  </si>
  <si>
    <t>UNION STRAIGHT LEAK (6mm, PFA, OUT단, TUBE 컷팅불량)</t>
  </si>
  <si>
    <t>UNION STRAIGHT LEAK (6mm, PFA, IN단)</t>
  </si>
  <si>
    <t>UNION STRAIGHT LEAK (6mm, PFA, OUT단)</t>
  </si>
  <si>
    <t>UNION STRAIGHT LEAK (6mm, 우레탄, IN단, 삽입부족)</t>
  </si>
  <si>
    <t>UNION STRAIGHT LEAK (6mm, 우레탄, IN단, 미삽입)</t>
  </si>
  <si>
    <t>UNION STRAIGHT LEAK (6mm, 우레탄, IN단, TUBE 컷팅불량)</t>
  </si>
  <si>
    <t>UNION STRAIGHT LEAK (6mm, 우레탄, OUT단, 삽입부족)</t>
  </si>
  <si>
    <t>UNION STRAIGHT LEAK (6mm, 우레탄, OUT단, 미삽입)</t>
  </si>
  <si>
    <t>UNION STRAIGHT LEAK (6mm, 우레탄, OUT단, TUBE 컷팅불량)</t>
  </si>
  <si>
    <t>UNION STRAIGHT LEAK (6mm, 우레탄, IN단)</t>
  </si>
  <si>
    <t>UNION STRAIGHT LEAK (6mm, 우레탄, OUT단)</t>
  </si>
  <si>
    <t>UNION STRAIGHT BODY LEAK</t>
  </si>
  <si>
    <t>UNION STRAIGHT LEAK (8mm, PFA, IN단, 삽입부족)</t>
  </si>
  <si>
    <t>UNION STRAIGHT LEAK (8mm, PFA, IN단, 미삽입)</t>
  </si>
  <si>
    <t>UNION STRAIGHT LEAK (8mm, PFA, IN단, TUBE 컷팅불량)</t>
  </si>
  <si>
    <t>UNION STRAIGHT LEAK (8mm, PFA, OUT단, 삽입부족)</t>
  </si>
  <si>
    <t>UNION STRAIGHT LEAK (8mm, PFA, OUT단, 미삽입)</t>
  </si>
  <si>
    <t>UNION STRAIGHT LEAK (8mm, PFA, OUT단, TUBE 컷팅불량)</t>
  </si>
  <si>
    <t>UNION STRAIGHT LEAK (8mm, PFA, IN단)</t>
  </si>
  <si>
    <t>UNION STRAIGHT LEAK (8mm, PFA, OUT단)</t>
  </si>
  <si>
    <t>UNION STRAIGHT LEAK (8mm, 우레탄, IN단, 삽입부족)</t>
  </si>
  <si>
    <t>UNION STRAIGHT LEAK (8mm, 우레탄, IN단, 미삽입)</t>
  </si>
  <si>
    <t>UNION STRAIGHT LEAK (8mm, 우레탄, IN단, TUBE 컷팅불량)</t>
  </si>
  <si>
    <t>UNION STRAIGHT LEAK (8mm, 우레탄, OUT단, 삽입부족)</t>
  </si>
  <si>
    <t>UNION STRAIGHT LEAK (8mm, 우레탄, OUT단, 미삽입)</t>
  </si>
  <si>
    <t>UNION STRAIGHT LEAK (8mm, 우레탄, OUT단, TUBE 컷팅불량)</t>
  </si>
  <si>
    <t>UNION STRAIGHT LEAK (8mm, 우레탄, IN단)</t>
  </si>
  <si>
    <t>UNION STRAIGHT LEAK (8mm, 우레탄, OUT단)</t>
  </si>
  <si>
    <t>UNION TEE</t>
  </si>
  <si>
    <t>UNION TEE FITTING NUT LEAK (1/4", SUS, 미완체결, 하단부)</t>
  </si>
  <si>
    <t>UNION TEE FITTING NUT LEAK (1/4", SUS, 체결이상 무, 하단부)</t>
  </si>
  <si>
    <t>UNION TEE FITTING NUT LEAK (1/4", SUS, FERRULE 물림X, 하단부)</t>
  </si>
  <si>
    <t>UNION TEE FITTING NUT LEAK (1/4", SUS, FERRULE 미삽입, 하단부)</t>
  </si>
  <si>
    <t>UNION TEE FITTING NUT LEAK (1/4", SUS, 미완체결, 좌측상단)</t>
  </si>
  <si>
    <t>UNION TEE FITTING NUT LEAK (1/4", SUS, 체결이상 무, 좌측상단)</t>
  </si>
  <si>
    <t>UNION TEE FITTING NUT LEAK (1/4", SUS, FERRULE 물림X, 좌측상단)</t>
  </si>
  <si>
    <t>UNION TEE FITTING NUT LEAK (1/4", SUS, FERRULE 미삽입, 좌측상단)</t>
  </si>
  <si>
    <t>UNION TEE FITTING NUT LEAK (1/4", SUS, 미완체결, 우측상단)</t>
  </si>
  <si>
    <t>UNION TEE FITTING NUT LEAK (1/4", SUS, 체결이상 무, 우측상단)</t>
  </si>
  <si>
    <t>UNION TEE FITTING NUT LEAK (1/4", SUS, FERRULE 물림X, 우측상단)</t>
  </si>
  <si>
    <t>UNION TEE FITTING NUT LEAK (1/4", SUS, FERRULE 미삽입, 우측상단)</t>
  </si>
  <si>
    <t>UNION TEE I-MARKING 누락 (1/4", SUS)</t>
  </si>
  <si>
    <t>UNION TEE FITTING NUT LEAK (3/8", SUS, 미완체결, 하단부)</t>
  </si>
  <si>
    <t>UNION TEE FITTING NUT LEAK (3/8", SUS, 체결이상 무, 하단부)</t>
  </si>
  <si>
    <t>UNION TEE FITTING NUT LEAK (3/8", SUS, FERRULE 물림X, 하단부)</t>
  </si>
  <si>
    <t>UNION TEE FITTING NUT LEAK (3/8", SUS, FERRULE 미삽입, 하단부)</t>
  </si>
  <si>
    <t>UNION TEE FITTING NUT LEAK (3/8", SUS, 미완체결, 좌측상단)</t>
  </si>
  <si>
    <t>UNION TEE FITTING NUT LEAK (3/8", SUS, 체결이상 무, 좌측상단)</t>
  </si>
  <si>
    <t>UNION TEE FITTING NUT LEAK (3/8", SUS, FERRULE 물림X, 좌측상단)</t>
  </si>
  <si>
    <t>UNION TEE FITTING NUT LEAK (3/8", SUS, FERRULE 미삽입, 좌측상단)</t>
  </si>
  <si>
    <t>UNION TEE FITTING NUT LEAK (3/8", SUS, 미완체결, 우측상단)</t>
  </si>
  <si>
    <t>UNION TEE FITTING NUT LEAK (3/8", SUS, 체결이상 무, 우측상단)</t>
  </si>
  <si>
    <t>UNION TEE FITTING NUT LEAK (3/8", SUS, FERRULE 물림X, 우측상단)</t>
  </si>
  <si>
    <t>UNION TEE FITTING NUT LEAK (3/8", SUS, FERRULE 미삽입, 우측상단)</t>
  </si>
  <si>
    <t>UNION TEE I-MARKING 누락 (3/8", SUS)</t>
  </si>
  <si>
    <t>UNION TEE FITTING NUT LEAK (1/2", SUS, 미완체결, 하단부)</t>
  </si>
  <si>
    <t>UNION TEE FITTING NUT LEAK (1/2", SUS, 체결이상 무, 하단부)</t>
  </si>
  <si>
    <t>UNION TEE FITTING NUT LEAK (1/2", SUS, FERRULE 물림X, 하단부)</t>
  </si>
  <si>
    <t>UNION TEE FITTING NUT LEAK (1/2", SUS, FERRULE 미삽입, 하단부)</t>
  </si>
  <si>
    <t>UNION TEE FITTING NUT LEAK (1/2", SUS, 미완체결, 좌측상단)</t>
  </si>
  <si>
    <t>UNION TEE FITTING NUT LEAK (1/2", SUS, 체결이상 무, 좌측상단)</t>
  </si>
  <si>
    <t>UNION TEE FITTING NUT LEAK (1/2", SUS, FERRULE 물림X, 좌측상단)</t>
  </si>
  <si>
    <t>UNION TEE FITTING NUT LEAK (1/2", SUS, FERRULE 미삽입, 좌측상단)</t>
  </si>
  <si>
    <t>UNION TEE FITTING NUT LEAK (1/2", SUS, 미완체결, 우측상단)</t>
  </si>
  <si>
    <t>UNION TEE FITTING NUT LEAK (1/2", SUS, 체결이상 무, 우측상단)</t>
  </si>
  <si>
    <t>UNION TEE FITTING NUT LEAK (1/2", SUS, FERRULE 물림X, 우측상단)</t>
  </si>
  <si>
    <t>UNION TEE FITTING NUT LEAK (1/2", SUS, FERRULE 미삽입, 우측상단)</t>
  </si>
  <si>
    <t>UNION TEE I-MARKING 누락 (1/2", SUS)</t>
  </si>
  <si>
    <t>UNION TEE FITTING NUT LEAK (3/4", SUS, 미완체결, 하단부)</t>
  </si>
  <si>
    <t>UNION TEE FITTING NUT LEAK (3/4", SUS, 체결이상 무, 하단부)</t>
  </si>
  <si>
    <t>UNION TEE FITTING NUT LEAK (3/4", SUS, FERRULE 물림X, 하단부)</t>
  </si>
  <si>
    <t>UNION TEE FITTING NUT LEAK (3/4", SUS, FERRULE 미삽입, 하단부)</t>
  </si>
  <si>
    <t>UNION TEE FITTING NUT LEAK (3/4", SUS, 미완체결, 좌측상단)</t>
  </si>
  <si>
    <t>UNION TEE FITTING NUT LEAK (3/4", SUS, 체결이상 무, 좌측상단)</t>
  </si>
  <si>
    <t>UNION TEE FITTING NUT LEAK (3/4", SUS, FERRULE 물림X, 좌측상단)</t>
  </si>
  <si>
    <t>UNION TEE FITTING NUT LEAK (3/4", SUS, FERRULE 미삽입, 좌측상단)</t>
  </si>
  <si>
    <t>UNION TEE FITTING NUT LEAK (3/4", SUS, 미완체결, 우측상단)</t>
  </si>
  <si>
    <t>UNION TEE FITTING NUT LEAK (3/4", SUS, 체결이상 무, 우측상단)</t>
  </si>
  <si>
    <t>UNION TEE FITTING NUT LEAK (3/4", SUS, FERRULE 물림X, 우측상단)</t>
  </si>
  <si>
    <t>UNION TEE FITTING NUT LEAK (3/4", SUS, FERRULE 미삽입, 우측상단)</t>
  </si>
  <si>
    <t>UNION TEE I-MARKING 누락 (3/4", SUS)</t>
  </si>
  <si>
    <t>UNION TEE FITTING NUT LEAK (3/8", PP, 삽입부족, 하단부)</t>
  </si>
  <si>
    <t>UNION TEE FITTING NUT LEAK (3/8", PP, 미삽입, 하단부)</t>
  </si>
  <si>
    <t>UNION TEE FITTING NUT LEAK (3/8", PP, TUBE 컷팅불량, 하단부)</t>
  </si>
  <si>
    <t>UNION TEE FITTING NUT LEAK (3/8", PP, 미완체결, 하단부)</t>
  </si>
  <si>
    <t>UNION TEE FITTING NUT LEAK (3/8", PP, 체결이상 무, 하단부)</t>
  </si>
  <si>
    <t>UNION TEE FITTING NUT LEAK (3/8", PP, FERRULE 물림X, 하단부)</t>
  </si>
  <si>
    <t>UNION TEE FITTING NUT LEAK (3/8", PP, FERRULE 미삽입, 하단부)</t>
  </si>
  <si>
    <t>UNION TEE FITTING NUT LEAK (3/8", PP, 삽입부족, 좌측상단)</t>
  </si>
  <si>
    <t>UNION TEE FITTING NUT LEAK (3/8", PP, 미삽입, 좌측상단)</t>
  </si>
  <si>
    <t>UNION TEE FITTING NUT LEAK (3/8", PP, TUBE 컷팅불량, 좌측상단)</t>
  </si>
  <si>
    <t>UNION TEE FITTING NUT LEAK (3/8", PP, 미완체결, 좌측상단)</t>
  </si>
  <si>
    <t>UNION TEE FITTING NUT LEAK (3/8", PP, 체결이상 무, 좌측상단)</t>
  </si>
  <si>
    <t>UNION TEE FITTING NUT LEAK (3/8", PP, FERRULE 물림X, 좌측상단)</t>
  </si>
  <si>
    <t>UNION TEE FITTING NUT LEAK (3/8", PP, FERRULE 미삽입, 좌측상단)</t>
  </si>
  <si>
    <t>UNION TEE FITTING NUT LEAK (3/8", PP, 삽입부족, 우측상단)</t>
  </si>
  <si>
    <t>UNION TEE FITTING NUT LEAK (3/8", PP, 미삽입, 우측상단)</t>
  </si>
  <si>
    <t>UNION TEE FITTING NUT LEAK (3/8", PP, TUBE 컷팅불량, 우측상단)</t>
  </si>
  <si>
    <t>UNION TEE FITTING NUT LEAK (3/8", PP, 미완체결, 우측상단)</t>
  </si>
  <si>
    <t>UNION TEE FITTING NUT LEAK (3/8", PP, 체결이상 무, 우측상단)</t>
  </si>
  <si>
    <t>UNION TEE FITTING NUT LEAK (3/8", PP, FERRULE 물림X, 우측상단)</t>
  </si>
  <si>
    <t>UNION TEE FITTING NUT LEAK (3/8", PP, FERRULE 미삽입, 우측상단)</t>
  </si>
  <si>
    <t>UNION TEE FITTING NUT LEAK (과체결로 인한 파손)</t>
  </si>
  <si>
    <t>UNION TEE I-MARKING 누락 (3/8", PP)</t>
  </si>
  <si>
    <t>UNION TEE FITTING NUT LEAK (1/2", PP, 삽입부족, 하단부)</t>
  </si>
  <si>
    <t>UNION TEE FITTING NUT LEAK (1/2", PP, 미삽입, 하단부)</t>
  </si>
  <si>
    <t>UNION TEE FITTING NUT LEAK (1/2", PP, TUBE 컷팅불량, 하단부)</t>
  </si>
  <si>
    <t>UNION TEE FITTING NUT LEAK (1/2", PP, 미완체결, 하단부)</t>
  </si>
  <si>
    <t>UNION TEE FITTING NUT LEAK (1/2", PP, 체결이상 무, 하단부)</t>
  </si>
  <si>
    <t>UNION TEE FITTING NUT LEAK (1/2", PP, FERRULE 물림X, 하단부)</t>
  </si>
  <si>
    <t>UNION TEE FITTING NUT LEAK (1/2", PP, FERRULE 미삽입, 하단부)</t>
  </si>
  <si>
    <t>UNION TEE FITTING NUT LEAK (1/2", PP, 삽입부족, 좌측상단)</t>
  </si>
  <si>
    <t>UNION TEE FITTING NUT LEAK (1/2", PP, 미삽입, 좌측상단)</t>
  </si>
  <si>
    <t>UNION TEE FITTING NUT LEAK (1/2", PP, TUBE 컷팅불량, 좌측상단)</t>
  </si>
  <si>
    <t>UNION TEE FITTING NUT LEAK (1/2", PP, 미완체결, 좌측상단)</t>
  </si>
  <si>
    <t>UNION TEE FITTING NUT LEAK (1/2", PP, 체결이상 무, 좌측상단)</t>
  </si>
  <si>
    <t>UNION TEE FITTING NUT LEAK (1/2", PP, FERRULE 물림X, 좌측상단)</t>
  </si>
  <si>
    <t>UNION TEE FITTING NUT LEAK (1/2", PP, FERRULE 미삽입, 좌측상단)</t>
  </si>
  <si>
    <t>UNION TEE FITTING NUT LEAK (1/2", PP, 삽입부족, 우측상단)</t>
  </si>
  <si>
    <t>UNION TEE FITTING NUT LEAK (1/2", PP, 미삽입, 우측상단)</t>
  </si>
  <si>
    <t>UNION TEE FITTING NUT LEAK (1/2", PP, TUBE 컷팅불량, 우측상단)</t>
  </si>
  <si>
    <t>UNION TEE FITTING NUT LEAK (1/2", PP, 미완체결, 우측상단)</t>
  </si>
  <si>
    <t>UNION TEE FITTING NUT LEAK (1/2", PP, 체결이상 무, 우측상단)</t>
  </si>
  <si>
    <t>UNION TEE FITTING NUT LEAK (1/2", PP, FERRULE 물림X, 우측상단)</t>
  </si>
  <si>
    <t>UNION TEE FITTING NUT LEAK (1/2", PP, FERRULE 미삽입, 우측상단)</t>
  </si>
  <si>
    <t>UNION TEE I-MARKING 누락 (1/2", PP)</t>
  </si>
  <si>
    <t>UNION TEE FITTING NUT LEAK (3/8", PVDF, 삽입부족, 하단부)</t>
  </si>
  <si>
    <t>UNION TEE FITTING NUT LEAK (3/8", PVDF, 미삽입, 하단부)</t>
  </si>
  <si>
    <t>UNION TEE FITTING NUT LEAK (3/8", PVDF, TUBE 컷팅불량, 하단부)</t>
  </si>
  <si>
    <t>UNION TEE FITTING NUT LEAK (3/8", PVDF, 미완체결, 하단부)</t>
  </si>
  <si>
    <t>UNION TEE FITTING NUT LEAK (3/8", PVDF, 체결이상 무, 하단부)</t>
  </si>
  <si>
    <t>UNION TEE FITTING NUT LEAK (3/8", PVDF, FERRULE 물림X, 하단부)</t>
  </si>
  <si>
    <t>UNION TEE FITTING NUT LEAK (3/8", PVDF, FERRULE 미삽입, 하단부)</t>
  </si>
  <si>
    <t>UNION TEE FITTING NUT LEAK (3/8", PVDF, 삽입부족, 좌측상단)</t>
  </si>
  <si>
    <t>UNION TEE FITTING NUT LEAK (3/8", PVDF, 미삽입, 좌측상단)</t>
  </si>
  <si>
    <t>UNION TEE FITTING NUT LEAK (3/8", PVDF, TUBE 컷팅불량, 좌측상단)</t>
  </si>
  <si>
    <t>UNION TEE FITTING NUT LEAK (3/8", PVDF, 미완체결, 좌측상단)</t>
  </si>
  <si>
    <t>UNION TEE FITTING NUT LEAK (3/8", PVDF, 체결이상 무, 좌측상단)</t>
  </si>
  <si>
    <t>UNION TEE FITTING NUT LEAK (3/8", PVDF, FERRULE 물림X, 좌측상단)</t>
  </si>
  <si>
    <t>UNION TEE FITTING NUT LEAK (3/8", PVDF, FERRULE 미삽입, 좌측상단)</t>
  </si>
  <si>
    <t>UNION TEE FITTING NUT LEAK (3/8", PVDF, 삽입부족, 우측상단)</t>
  </si>
  <si>
    <t>UNION TEE FITTING NUT LEAK (3/8", PVDF, 미삽입, 우측상단)</t>
  </si>
  <si>
    <t>UNION TEE FITTING NUT LEAK (3/8", PVDF, TUBE 컷팅불량, 우측상단)</t>
  </si>
  <si>
    <t>UNION TEE FITTING NUT LEAK (3/8", PVDF, 미완체결, 우측상단)</t>
  </si>
  <si>
    <t>UNION TEE FITTING NUT LEAK (3/8", PVDF, 체결이상 무, 우측상단)</t>
  </si>
  <si>
    <t>UNION TEE FITTING NUT LEAK (3/8", PVDF, FERRULE 물림X, 우측상단)</t>
  </si>
  <si>
    <t>UNION TEE FITTING NUT LEAK (3/8", PVDF, FERRULE 미삽입, 우측상단)</t>
  </si>
  <si>
    <t>UNION TEE I-MARKING 누락 (3/8", PVDF)</t>
  </si>
  <si>
    <t>UNION TEE FITTING NUT LEAK (1/2", PVDF, 삽입부족, 하단부)</t>
  </si>
  <si>
    <t>UNION TEE FITTING NUT LEAK (1/2", PVDF, 미삽입, 하단부)</t>
  </si>
  <si>
    <t>UNION TEE FITTING NUT LEAK (1/2", PVDF, TUBE 컷팅불량, 하단부)</t>
  </si>
  <si>
    <t>UNION TEE FITTING NUT LEAK (1/2", PVDF, 미완체결, 하단부)</t>
  </si>
  <si>
    <t>UNION TEE FITTING NUT LEAK (1/2", PVDF, 체결이상 무, 하단부)</t>
  </si>
  <si>
    <t>UNION TEE FITTING NUT LEAK (1/2", PVDF, FERRULE 물림X, 하단부)</t>
  </si>
  <si>
    <t>UNION TEE FITTING NUT LEAK (1/2", PVDF, FERRULE 미삽입, 하단부)</t>
  </si>
  <si>
    <t>UNION TEE FITTING NUT LEAK (1/2", PVDF, 삽입부족, 좌측상단)</t>
  </si>
  <si>
    <t>UNION TEE FITTING NUT LEAK (1/2", PVDF, 미삽입, 좌측상단)</t>
  </si>
  <si>
    <t>UNION TEE FITTING NUT LEAK (1/2", PVDF, TUBE 컷팅불량, 좌측상단)</t>
  </si>
  <si>
    <t>UNION TEE FITTING NUT LEAK (1/2", PVDF, 미완체결, 좌측상단)</t>
  </si>
  <si>
    <t>UNION TEE FITTING NUT LEAK (1/2", PVDF, 체결이상 무, 좌측상단)</t>
  </si>
  <si>
    <t>UNION TEE FITTING NUT LEAK (1/2", PVDF, FERRULE 물림X, 좌측상단)</t>
  </si>
  <si>
    <t>UNION TEE FITTING NUT LEAK (1/2", PVDF, FERRULE 미삽입, 좌측상단)</t>
  </si>
  <si>
    <t>UNION TEE FITTING NUT LEAK (1/2", PVDF, 삽입부족, 우측상단)</t>
  </si>
  <si>
    <t>UNION TEE FITTING NUT LEAK (1/2", PVDF, 미삽입, 우측상단)</t>
  </si>
  <si>
    <t>UNION TEE FITTING NUT LEAK (1/2", PVDF, TUBE 컷팅불량, 우측상단)</t>
  </si>
  <si>
    <t>UNION TEE FITTING NUT LEAK (1/2", PVDF, 미완체결, 우측상단)</t>
  </si>
  <si>
    <t>UNION TEE FITTING NUT LEAK (1/2", PVDF, 체결이상 무, 우측상단)</t>
  </si>
  <si>
    <t>UNION TEE FITTING NUT LEAK (1/2", PVDF, FERRULE 물림X, 우측상단)</t>
  </si>
  <si>
    <t>UNION TEE FITTING NUT LEAK (1/2", PVDF, FERRULE 미삽입, 우측상단)</t>
  </si>
  <si>
    <t>UNION TEE I-MARKING 누락 (1/2", PVDF)</t>
  </si>
  <si>
    <t>UNION TEE LEAK (6mm, PFA, 하단, 삽입부족)</t>
  </si>
  <si>
    <t>UNION TEE LEAK (6mm, PFA, 하단, 미삽입)</t>
  </si>
  <si>
    <t>UNION TEE LEAK (6mm, PFA, 하단, TUBE 컷팅불량)</t>
  </si>
  <si>
    <t>UNION TEE LEAK (6mm, PFA, 우측상단, 삽입부족)</t>
  </si>
  <si>
    <t>UNION TEE LEAK (6mm, PFA, 우측상단, 미삽입)</t>
  </si>
  <si>
    <t>UNION TEE LEAK (6mm, PFA, 우측상단, TUBE 컷팅불량)</t>
  </si>
  <si>
    <t>UNION TEE LEAK (6mm, PFA, 좌측상단, 삽입부족)</t>
  </si>
  <si>
    <t>UNION TEE LEAK (6mm, PFA, 좌측상단, 미삽입)</t>
  </si>
  <si>
    <t>UNION TEE LEAK (6mm, PFA, 좌측상단, TUBE 컷팅불량)</t>
  </si>
  <si>
    <t>UNION TEE LEAK (6mm, PFA, 하단)</t>
  </si>
  <si>
    <t>UNION TEE LEAK (6mm, PFA, 우측상단)</t>
  </si>
  <si>
    <t>UNION TEE LEAK (6mm, PFA, 좌측상단)</t>
  </si>
  <si>
    <t>UNION TEE LEAK (6mm, 우레탄, 하단, 삽입부족)</t>
  </si>
  <si>
    <t>UNION TEE LEAK (6mm, 우레탄, 하단, 미삽입)</t>
  </si>
  <si>
    <t>UNION TEE LEAK (6mm, 우레탄, 하단, TUBE 컷팅불량)</t>
  </si>
  <si>
    <t>UNION TEE LEAK (6mm, 우레탄, 우측상단, 삽입부족)</t>
  </si>
  <si>
    <t>UNION TEE LEAK (6mm, 우레탄, 우측상단, 미삽입)</t>
  </si>
  <si>
    <t>UNION TEE LEAK (6mm, 우레탄, 우측상단, TUBE 컷팅불량)</t>
  </si>
  <si>
    <t>UNION TEE LEAK (6mm, 우레탄, 좌측상단, 삽입부족)</t>
  </si>
  <si>
    <t>UNION TEE LEAK (6mm, 우레탄, 좌측상단, 미삽입)</t>
  </si>
  <si>
    <t>UNION TEE LEAK (6mm, 우레탄, 좌측상단, TUBE 컷팅불량)</t>
  </si>
  <si>
    <t>UNION TEE LEAK (6mm, 우레탄, 하단)</t>
  </si>
  <si>
    <t>UNION TEE LEAK (6mm, 우레탄, 우측상단)</t>
  </si>
  <si>
    <t>UNION TEE LEAK (6mm, 우레탄, 좌측상단)</t>
  </si>
  <si>
    <t>UNION TEE BODY LEAK (6mm)</t>
  </si>
  <si>
    <t>UNION TEE LEAK (8mm, PFA, 하단, 삽입부족)</t>
  </si>
  <si>
    <t>UNION TEE LEAK (8mm, PFA, 하단, 미삽입)</t>
  </si>
  <si>
    <t>UNION TEE LEAK (8mm, PFA, 하단, TUBE 컷팅불량)</t>
  </si>
  <si>
    <t>UNION TEE LEAK (8mm, PFA, 우측상단, 삽입부족)</t>
  </si>
  <si>
    <t>UNION TEE LEAK (8mm, PFA, 우측상단, 미삽입)</t>
  </si>
  <si>
    <t>UNION TEE LEAK (8mm, PFA, 우측상단, TUBE 컷팅불량)</t>
  </si>
  <si>
    <t>UNION TEE LEAK (8mm, PFA, 좌측상단, 삽입부족)</t>
  </si>
  <si>
    <t>UNION TEE LEAK (8mm, PFA, 좌측상단, 미삽입)</t>
  </si>
  <si>
    <t>UNION TEE LEAK (8mm, PFA, 좌측상단, TUBE 컷팅불량)</t>
  </si>
  <si>
    <t>UNION TEE LEAK (8mm, PFA, 하단)</t>
  </si>
  <si>
    <t>UNION TEE LEAK (8mm, PFA, 우측상단)</t>
  </si>
  <si>
    <t>UNION TEE LEAK (8mm, PFA, 좌측상단)</t>
  </si>
  <si>
    <t>UNION TEE LEAK (8mm, 우레탄, 하단, 삽입부족)</t>
  </si>
  <si>
    <t>UNION TEE LEAK (8mm, 우레탄, 하단, 미삽입)</t>
  </si>
  <si>
    <t>UNION TEE LEAK (8mm, 우레탄, 하단, TUBE 컷팅불량)</t>
  </si>
  <si>
    <t>UNION TEE LEAK (8mm, 우레탄, 우측상단, 삽입부족)</t>
  </si>
  <si>
    <t>UNION TEE LEAK (8mm, 우레탄, 우측상단, 미삽입)</t>
  </si>
  <si>
    <t>UNION TEE LEAK (8mm, 우레탄, 우측상단, TUBE 컷팅불량)</t>
  </si>
  <si>
    <t>UNION TEE LEAK (8mm, 우레탄, 좌측상단, 삽입부족)</t>
  </si>
  <si>
    <t>UNION TEE LEAK (8mm, 우레탄, 좌측상단, 미삽입)</t>
  </si>
  <si>
    <t>UNION TEE LEAK (8mm, 우레탄, 좌측상단, TUBE 컷팅불량)</t>
  </si>
  <si>
    <t>UNION TEE LEAK (8mm, 우레탄, 하단)</t>
  </si>
  <si>
    <t>UNION TEE LEAK (8mm, 우레탄, 우측상단)</t>
  </si>
  <si>
    <t>UNION TEE LEAK (8mm, 우레탄, 좌측상단)</t>
  </si>
  <si>
    <t>UNION TEE BODY LEAK (8mm)</t>
  </si>
  <si>
    <t>UNION Y</t>
  </si>
  <si>
    <t>UNION Y LEAK (6mm, 우레탄, 삽입부족)</t>
  </si>
  <si>
    <t>UNION Y LEAK (6mm, 우레탄, 미삽입)</t>
  </si>
  <si>
    <t>UNION Y LEAK (6mm, 우레탄, TUBE 컷팅불량)</t>
  </si>
  <si>
    <t>UNION Y LEAK (6mm, PFA, 삽입부족)</t>
  </si>
  <si>
    <t>UNION Y LEAK (6mm, PFA, 미삽입)</t>
  </si>
  <si>
    <t>UNION Y LEAK (6mm, PFA, TUBE 컷팅불량)</t>
  </si>
  <si>
    <t>UNION Y BODY LEAK (6mm)</t>
  </si>
  <si>
    <t>UNION Y LEAK (6mm, 우레탄)</t>
  </si>
  <si>
    <t>UNION Y LEAK (6mm, PFA)</t>
  </si>
  <si>
    <t>UNION Y LEAK (8mm, 우레탄, 삽입부족)</t>
  </si>
  <si>
    <t>UNION Y LEAK (8mm, 우레탄, 미삽입)</t>
  </si>
  <si>
    <t>UNION Y LEAK (8mm, 우레탄, TUBE 컷팅불량)</t>
  </si>
  <si>
    <t>UNION Y LEAK (8mm, PFA, 삽입부족)</t>
  </si>
  <si>
    <t>UNION Y LEAK (8mm, PFA, 미삽입)</t>
  </si>
  <si>
    <t>UNION Y LEAK (8mm, PFA, TUBE 컷팅불량)</t>
  </si>
  <si>
    <t>UNION Y BODY LEAK (8mm)</t>
  </si>
  <si>
    <t>UNION Y LEAK (8mm, 우레탄)</t>
  </si>
  <si>
    <t>UNION Y LEAK (8mm, PFA)</t>
  </si>
  <si>
    <t>UNION Y LEAK (10mm, 우레탄, 삽입부족)</t>
  </si>
  <si>
    <t>UNION Y LEAK (10mm, 우레탄, 미삽입)</t>
  </si>
  <si>
    <t>UNION Y LEAK (10mm, 우레탄, TUBE 컷팅불량)</t>
  </si>
  <si>
    <t>UNION Y LEAK (10mm, PFA, 삽입부족)</t>
  </si>
  <si>
    <t>UNION Y LEAK (10mm, PFA, 미삽입)</t>
  </si>
  <si>
    <t>UNION Y LEAK (10mm, PFA, TUBE 컷팅불량)</t>
  </si>
  <si>
    <t>UNION Y BODY LEAK (10mm)</t>
  </si>
  <si>
    <t>UNION Y LEAK (10mm, 우레탄)</t>
  </si>
  <si>
    <t>UNION Y LEAK (10mm, PFA)</t>
  </si>
  <si>
    <t>UNION Y LEAK (12mm, 우레탄, 삽입부족)</t>
  </si>
  <si>
    <t>UNION Y LEAK (12mm, 우레탄, 미삽입)</t>
  </si>
  <si>
    <t>UNION Y LEAK (12mm, 우레탄, TUBE 컷팅불량)</t>
  </si>
  <si>
    <t>UNION Y LEAK (12mm, PFA, 삽입부족)</t>
  </si>
  <si>
    <t>UNION Y LEAK (12mm, PFA, 미삽입)</t>
  </si>
  <si>
    <t>UNION Y LEAK (12mm, PFA, TUBE 컷팅불량)</t>
  </si>
  <si>
    <t>UNION Y BODY LEAK (12mm)</t>
  </si>
  <si>
    <t>UNION Y LEAK (12mm, 우레탄)</t>
  </si>
  <si>
    <t>UNION Y LEAK (12mm, PFA)</t>
  </si>
  <si>
    <t>가압 성적서 작성 기준</t>
  </si>
  <si>
    <t>고객사</t>
  </si>
  <si>
    <t>MODEL</t>
  </si>
  <si>
    <t>TYPE</t>
  </si>
  <si>
    <t>LNG</t>
  </si>
  <si>
    <t>CHAMBER</t>
  </si>
  <si>
    <t>UTILITY</t>
  </si>
  <si>
    <t>SPRINKLER</t>
  </si>
  <si>
    <t>ASM</t>
  </si>
  <si>
    <t>GAIA</t>
  </si>
  <si>
    <t>BURN WET</t>
  </si>
  <si>
    <t>O</t>
  </si>
  <si>
    <t>PV</t>
  </si>
  <si>
    <t>IVAS</t>
  </si>
  <si>
    <t>BAZM</t>
  </si>
  <si>
    <t>SAS</t>
  </si>
  <si>
    <t>PLASMA</t>
  </si>
  <si>
    <t>DRAGON</t>
  </si>
  <si>
    <t>CSOT</t>
  </si>
  <si>
    <t>SCS</t>
  </si>
  <si>
    <t>CXMT</t>
  </si>
  <si>
    <t>O3 Destructor</t>
  </si>
  <si>
    <t>DRY</t>
  </si>
  <si>
    <t>SDC</t>
  </si>
  <si>
    <t>GF</t>
  </si>
  <si>
    <t>SEC</t>
  </si>
  <si>
    <t>HD에너지솔루션</t>
  </si>
  <si>
    <t>HEFEI ASH</t>
  </si>
  <si>
    <t>SEUL</t>
  </si>
  <si>
    <t>SK-HYNIX</t>
  </si>
  <si>
    <t>GALLANT</t>
  </si>
  <si>
    <t>TEK</t>
  </si>
  <si>
    <t>IVO</t>
  </si>
  <si>
    <t>TEL</t>
  </si>
  <si>
    <t>JUHE</t>
  </si>
  <si>
    <t>KIOXIA</t>
  </si>
  <si>
    <t>TIANMA</t>
  </si>
  <si>
    <r>
      <t>MICRON TW</t>
    </r>
    <r>
      <rPr>
        <b/>
        <sz val="9"/>
        <color rgb="FF000000"/>
        <rFont val="맑은 고딕"/>
        <family val="3"/>
        <charset val="129"/>
      </rPr>
      <t xml:space="preserve">
( 번체 必 )</t>
    </r>
  </si>
  <si>
    <t>PIPING 성적서</t>
  </si>
  <si>
    <t>VEONIS</t>
  </si>
  <si>
    <t>SWS</t>
  </si>
  <si>
    <t>WET</t>
  </si>
  <si>
    <t>MICRON SG</t>
  </si>
  <si>
    <t>WINBOND</t>
  </si>
  <si>
    <t>MICRON JP</t>
  </si>
  <si>
    <t>O (+ 배관 성적서)</t>
  </si>
  <si>
    <t>YMTC</t>
  </si>
  <si>
    <t>HOT N2 MODULE</t>
  </si>
  <si>
    <t>-</t>
  </si>
  <si>
    <t>MICRON BOISE</t>
  </si>
  <si>
    <t>유진테크</t>
  </si>
  <si>
    <t>MICRON VA</t>
  </si>
  <si>
    <t>기타고객사</t>
  </si>
  <si>
    <t>NEXCHIP</t>
  </si>
  <si>
    <t>PSMC</t>
  </si>
  <si>
    <t>ORIGIN</t>
  </si>
  <si>
    <t>PST</t>
  </si>
  <si>
    <t>25年 제조품질검사 불량 월분석 Chart</t>
  </si>
  <si>
    <t>구분</t>
    <phoneticPr fontId="7" type="noConversion"/>
  </si>
  <si>
    <t>1월</t>
    <phoneticPr fontId="8" type="noConversion"/>
  </si>
  <si>
    <t>2월</t>
    <phoneticPr fontId="8" type="noConversion"/>
  </si>
  <si>
    <t>3월</t>
    <phoneticPr fontId="8" type="noConversion"/>
  </si>
  <si>
    <t>4월</t>
    <phoneticPr fontId="8" type="noConversion"/>
  </si>
  <si>
    <t>5월</t>
    <phoneticPr fontId="8" type="noConversion"/>
  </si>
  <si>
    <t>6월</t>
    <phoneticPr fontId="7" type="noConversion"/>
  </si>
  <si>
    <t>7월</t>
    <phoneticPr fontId="8" type="noConversion"/>
  </si>
  <si>
    <t>8월</t>
    <phoneticPr fontId="8" type="noConversion"/>
  </si>
  <si>
    <t>9월</t>
    <phoneticPr fontId="8" type="noConversion"/>
  </si>
  <si>
    <t>10월</t>
    <phoneticPr fontId="8" type="noConversion"/>
  </si>
  <si>
    <t>11월</t>
    <phoneticPr fontId="8" type="noConversion"/>
  </si>
  <si>
    <t>12월</t>
    <phoneticPr fontId="8" type="noConversion"/>
  </si>
  <si>
    <t>총합</t>
    <phoneticPr fontId="7" type="noConversion"/>
  </si>
  <si>
    <t>검사 Ch수</t>
    <phoneticPr fontId="8" type="noConversion"/>
  </si>
  <si>
    <t>SINGLE</t>
    <phoneticPr fontId="8" type="noConversion"/>
  </si>
  <si>
    <t>DUAL</t>
    <phoneticPr fontId="8" type="noConversion"/>
  </si>
  <si>
    <t>검사 총 대수</t>
    <phoneticPr fontId="8" type="noConversion"/>
  </si>
  <si>
    <t>기구 불량건수</t>
    <phoneticPr fontId="7" type="noConversion"/>
  </si>
  <si>
    <t>전장 불량건수</t>
    <phoneticPr fontId="7" type="noConversion"/>
  </si>
  <si>
    <t>품질 불량건수</t>
    <phoneticPr fontId="7" type="noConversion"/>
  </si>
  <si>
    <t>Water Leak건수</t>
  </si>
  <si>
    <t>불량 건수</t>
    <phoneticPr fontId="7" type="noConversion"/>
  </si>
  <si>
    <r>
      <t xml:space="preserve">CH당 불량률
</t>
    </r>
    <r>
      <rPr>
        <b/>
        <sz val="6"/>
        <rFont val="맑은 고딕"/>
        <family val="3"/>
        <charset val="129"/>
        <scheme val="major"/>
      </rPr>
      <t>( 불량건수 / CH수)</t>
    </r>
    <phoneticPr fontId="7" type="noConversion"/>
  </si>
  <si>
    <t>불량조치 유형 별 건수</t>
    <phoneticPr fontId="7" type="noConversion"/>
  </si>
  <si>
    <t>재작업</t>
    <phoneticPr fontId="7" type="noConversion"/>
  </si>
  <si>
    <t>외주사별 불량률</t>
  </si>
  <si>
    <t>BAT</t>
    <phoneticPr fontId="7" type="noConversion"/>
  </si>
  <si>
    <t>FNI</t>
    <phoneticPr fontId="7" type="noConversion"/>
  </si>
  <si>
    <t>TMS(기구)</t>
  </si>
  <si>
    <t>C&amp;A</t>
  </si>
  <si>
    <t>P&amp;S</t>
  </si>
  <si>
    <t>TMS(전장)</t>
  </si>
  <si>
    <t>모델별 불량률</t>
  </si>
  <si>
    <t xml:space="preserve">GAIA-I </t>
  </si>
  <si>
    <t>검사 대수</t>
  </si>
  <si>
    <t>불량 건수</t>
  </si>
  <si>
    <t>불량률</t>
  </si>
  <si>
    <t>GAIA-I DUAL</t>
  </si>
  <si>
    <t>GAIA-II</t>
  </si>
  <si>
    <t>GAIA-II DUAL</t>
  </si>
  <si>
    <t>GAIA-P</t>
  </si>
  <si>
    <t>GAIA-P DUAL</t>
  </si>
  <si>
    <t>DRAGON DUAL</t>
  </si>
  <si>
    <t>SWS-I</t>
  </si>
  <si>
    <t>조치 유형별 TOP 3</t>
    <phoneticPr fontId="7" type="noConversion"/>
  </si>
  <si>
    <t>1분기</t>
    <phoneticPr fontId="7" type="noConversion"/>
  </si>
  <si>
    <t>2분기</t>
    <phoneticPr fontId="7" type="noConversion"/>
  </si>
  <si>
    <t>부품명</t>
    <phoneticPr fontId="7" type="noConversion"/>
  </si>
  <si>
    <t>발생건수</t>
    <phoneticPr fontId="7" type="noConversion"/>
  </si>
  <si>
    <t>불량 점유율</t>
    <phoneticPr fontId="7" type="noConversion"/>
  </si>
  <si>
    <t>주요 위치 및 원인</t>
    <phoneticPr fontId="7" type="noConversion"/>
  </si>
  <si>
    <r>
      <t xml:space="preserve">재체결
</t>
    </r>
    <r>
      <rPr>
        <b/>
        <sz val="9"/>
        <color theme="1"/>
        <rFont val="맑은 고딕"/>
        <family val="3"/>
        <charset val="129"/>
        <scheme val="major"/>
      </rPr>
      <t>(클램프 포함)</t>
    </r>
    <phoneticPr fontId="7" type="noConversion"/>
  </si>
  <si>
    <t>CLAMP</t>
    <phoneticPr fontId="7" type="noConversion"/>
  </si>
  <si>
    <t>INLET, BYPASS, EXHAUST 체결불량</t>
    <phoneticPr fontId="7" type="noConversion"/>
  </si>
  <si>
    <t>MALE ELBOW</t>
    <phoneticPr fontId="7" type="noConversion"/>
  </si>
  <si>
    <t>BCW JACO FITTING</t>
    <phoneticPr fontId="7" type="noConversion"/>
  </si>
  <si>
    <t>BCW JACO FITTING 체결불량</t>
    <phoneticPr fontId="7" type="noConversion"/>
  </si>
  <si>
    <t>REDUCING UNION TEE</t>
    <phoneticPr fontId="7" type="noConversion"/>
  </si>
  <si>
    <t>PFA 부 2건, U/T Line 3건</t>
  </si>
  <si>
    <t>BULKHEAD UNION</t>
    <phoneticPr fontId="7" type="noConversion"/>
  </si>
  <si>
    <t>UTILITY Line 미완체결</t>
  </si>
  <si>
    <t>UNION ELBOW</t>
    <phoneticPr fontId="7" type="noConversion"/>
  </si>
  <si>
    <t>PFA 2건, PCW 2건</t>
    <phoneticPr fontId="7" type="noConversion"/>
  </si>
  <si>
    <t>MALE CONNECTOR</t>
    <phoneticPr fontId="7" type="noConversion"/>
  </si>
  <si>
    <t>PCW FLOW SENSOR 구리스 부족</t>
    <phoneticPr fontId="7" type="noConversion"/>
  </si>
  <si>
    <t>TUBE 삽입 불량</t>
    <phoneticPr fontId="7" type="noConversion"/>
  </si>
  <si>
    <t>PNEUMATIC VALVE</t>
    <phoneticPr fontId="7" type="noConversion"/>
  </si>
  <si>
    <t>O2 Line 역방향 조립</t>
  </si>
  <si>
    <t>O-RING</t>
    <phoneticPr fontId="7" type="noConversion"/>
  </si>
  <si>
    <t>DRAIN Line 조립불량</t>
  </si>
  <si>
    <t>MALE ADAPTER</t>
    <phoneticPr fontId="7" type="noConversion"/>
  </si>
  <si>
    <t>PCW Line 구리스 부족</t>
  </si>
  <si>
    <t>MALE BANJO, MALE STRAIGHT</t>
    <phoneticPr fontId="7" type="noConversion"/>
  </si>
  <si>
    <t>TUBE 컷팅 불량</t>
    <phoneticPr fontId="7" type="noConversion"/>
  </si>
  <si>
    <t>Ferrule 찢어짐</t>
    <phoneticPr fontId="7" type="noConversion"/>
  </si>
  <si>
    <t>조립 불량으로 O-RING 찢어짐</t>
    <phoneticPr fontId="7" type="noConversion"/>
  </si>
  <si>
    <t>TEE PIPE WELD ASSY</t>
    <phoneticPr fontId="7" type="noConversion"/>
  </si>
  <si>
    <t xml:space="preserve">체결 및 갭게이지 이상무 </t>
    <phoneticPr fontId="7" type="noConversion"/>
  </si>
  <si>
    <t>N2 , 파트 자체 Teflon Sealing 한계</t>
    <phoneticPr fontId="7" type="noConversion"/>
  </si>
  <si>
    <t>파트 자체 Teflon Sealing 한계</t>
    <phoneticPr fontId="7" type="noConversion"/>
  </si>
  <si>
    <t>SPRINKLER</t>
    <phoneticPr fontId="7" type="noConversion"/>
  </si>
  <si>
    <t>MALE BANJO</t>
    <phoneticPr fontId="7" type="noConversion"/>
  </si>
  <si>
    <t>SPEED CONTROLLER</t>
    <phoneticPr fontId="7" type="noConversion"/>
  </si>
  <si>
    <t>PFA 29건, 우레탄 7건, Body 2건</t>
    <phoneticPr fontId="7" type="noConversion"/>
  </si>
  <si>
    <t>PFA 24건, 우레탄 12건</t>
    <phoneticPr fontId="7" type="noConversion"/>
  </si>
  <si>
    <t>REDUCER DOUBLE Y UNION</t>
    <phoneticPr fontId="7" type="noConversion"/>
  </si>
  <si>
    <t>PFA 1건, 08부 2건, 06부 6건</t>
    <phoneticPr fontId="7" type="noConversion"/>
  </si>
  <si>
    <t>PFA 2건, 08부 1건, 06부 6건</t>
    <phoneticPr fontId="7" type="noConversion"/>
  </si>
  <si>
    <t>UNEQUAL UNION Y</t>
    <phoneticPr fontId="7" type="noConversion"/>
  </si>
  <si>
    <t>08부 4건, 06부 4건, Body 1건</t>
    <phoneticPr fontId="7" type="noConversion"/>
  </si>
  <si>
    <t>REDUCER Y</t>
    <phoneticPr fontId="7" type="noConversion"/>
  </si>
  <si>
    <t>12부 1건, 06부 1건</t>
    <phoneticPr fontId="7" type="noConversion"/>
  </si>
  <si>
    <t xml:space="preserve"> 부품별 불량 TOP 3</t>
    <phoneticPr fontId="7" type="noConversion"/>
  </si>
  <si>
    <t>상세사항</t>
    <phoneticPr fontId="7" type="noConversion"/>
  </si>
  <si>
    <t>MALE 
CONNECTOR</t>
    <phoneticPr fontId="7" type="noConversion"/>
  </si>
  <si>
    <t>주요 원인</t>
    <phoneticPr fontId="7" type="noConversion"/>
  </si>
  <si>
    <t>파트 자체 Teflon SEALING 한계 및 Loctite 부족</t>
    <phoneticPr fontId="7" type="noConversion"/>
  </si>
  <si>
    <t>O-Ring 씹힘 및 변형, O-ring 조립불량</t>
    <phoneticPr fontId="7" type="noConversion"/>
  </si>
  <si>
    <t>발생 위치</t>
    <phoneticPr fontId="7" type="noConversion"/>
  </si>
  <si>
    <t>GN2 Line, PCW Line, PT부</t>
  </si>
  <si>
    <t>Level Sensor 내부 및 DRAIN Line</t>
  </si>
  <si>
    <t>방지 대책</t>
    <phoneticPr fontId="7" type="noConversion"/>
  </si>
  <si>
    <t>조립 시 크기별 테프론 체결 및 추가 Loctite 도포</t>
    <phoneticPr fontId="7" type="noConversion"/>
  </si>
  <si>
    <t>조립 시 내부 O-Ring상태 확인 및 과체결 주의</t>
    <phoneticPr fontId="7" type="noConversion"/>
  </si>
  <si>
    <r>
      <t xml:space="preserve">CLAMP
</t>
    </r>
    <r>
      <rPr>
        <b/>
        <sz val="9"/>
        <color theme="1"/>
        <rFont val="맑은 고딕"/>
        <family val="3"/>
        <charset val="129"/>
        <scheme val="major"/>
      </rPr>
      <t>(CHAIN CLAMP포함)</t>
    </r>
    <phoneticPr fontId="7" type="noConversion"/>
  </si>
  <si>
    <t>Flange면 틀어짐 및 체결 불량</t>
    <phoneticPr fontId="7" type="noConversion"/>
  </si>
  <si>
    <t>TUBE 삽입 불량 및 체결 강도에 따른 불량</t>
    <phoneticPr fontId="7" type="noConversion"/>
  </si>
  <si>
    <t>Chamber 배관 및 Exhaust 연결부</t>
    <phoneticPr fontId="7" type="noConversion"/>
  </si>
  <si>
    <t>BCW Line, Manifold 연결부, NUT부</t>
    <phoneticPr fontId="7" type="noConversion"/>
  </si>
  <si>
    <t>클램프 체결 시 면 상태 및 O-ring 상태 확인</t>
    <phoneticPr fontId="7" type="noConversion"/>
  </si>
  <si>
    <t>TUBE 삽입 정도 확인 및 기준 체결 방법 교육</t>
    <phoneticPr fontId="7" type="noConversion"/>
  </si>
  <si>
    <t>REDUCING 
UNION TEE</t>
    <phoneticPr fontId="7" type="noConversion"/>
  </si>
  <si>
    <t>미완체결 및 체결 불량</t>
    <phoneticPr fontId="7" type="noConversion"/>
  </si>
  <si>
    <t>BCW Line, 파트 NUT부</t>
  </si>
  <si>
    <t>PFA튜브 삽입 부 및 GAS Line</t>
    <phoneticPr fontId="7" type="noConversion"/>
  </si>
  <si>
    <t>방지 대책</t>
  </si>
  <si>
    <t>과체결 주의 및 품질팀 JACO社 외 대체품 발굴</t>
    <phoneticPr fontId="7" type="noConversion"/>
  </si>
  <si>
    <t xml:space="preserve">2차 촉수 검사 진행 </t>
    <phoneticPr fontId="7" type="noConversion"/>
  </si>
  <si>
    <t xml:space="preserve">        </t>
  </si>
  <si>
    <t>오더번호</t>
    <phoneticPr fontId="8" type="noConversion"/>
  </si>
  <si>
    <t>중복 검사 개수</t>
    <phoneticPr fontId="8" type="noConversion"/>
  </si>
  <si>
    <t>품번</t>
    <phoneticPr fontId="8" type="noConversion"/>
  </si>
  <si>
    <t>S/N</t>
    <phoneticPr fontId="8" type="noConversion"/>
  </si>
  <si>
    <t>고객사</t>
    <phoneticPr fontId="8" type="noConversion"/>
  </si>
  <si>
    <t>MODEL</t>
    <phoneticPr fontId="8" type="noConversion"/>
  </si>
  <si>
    <t>주</t>
  </si>
  <si>
    <t>월</t>
    <phoneticPr fontId="8" type="noConversion"/>
  </si>
  <si>
    <t>일</t>
    <phoneticPr fontId="8" type="noConversion"/>
  </si>
  <si>
    <t>검사일자</t>
  </si>
  <si>
    <t>기구</t>
    <phoneticPr fontId="8" type="noConversion"/>
  </si>
  <si>
    <t>전장</t>
  </si>
  <si>
    <t>불량 여부</t>
    <phoneticPr fontId="8" type="noConversion"/>
  </si>
  <si>
    <t>불량 종류</t>
    <phoneticPr fontId="8" type="noConversion"/>
  </si>
  <si>
    <t>불량라인</t>
    <phoneticPr fontId="8" type="noConversion"/>
  </si>
  <si>
    <t>파트 품번</t>
    <phoneticPr fontId="8" type="noConversion"/>
  </si>
  <si>
    <t>불량 품명</t>
    <phoneticPr fontId="8" type="noConversion"/>
  </si>
  <si>
    <t>불량 내용</t>
    <phoneticPr fontId="8" type="noConversion"/>
  </si>
  <si>
    <t>불량 위치</t>
    <phoneticPr fontId="8" type="noConversion"/>
  </si>
  <si>
    <t>비고</t>
    <phoneticPr fontId="8" type="noConversion"/>
  </si>
  <si>
    <t>GPWS-0450</t>
  </si>
  <si>
    <t>GPWS-0444</t>
  </si>
  <si>
    <t>DBW-3573</t>
  </si>
  <si>
    <t>DRAGON LE DUAL</t>
  </si>
  <si>
    <t>DBW-3574</t>
  </si>
  <si>
    <t>GBWS-5147</t>
  </si>
  <si>
    <t>GBWS-5195</t>
  </si>
  <si>
    <t>MICRON TW</t>
  </si>
  <si>
    <t>GBWS-5196</t>
  </si>
  <si>
    <t>GBWS-5193</t>
  </si>
  <si>
    <t>WS-0099</t>
  </si>
  <si>
    <t>GBWS-5139</t>
  </si>
  <si>
    <t>GBWS-5182</t>
  </si>
  <si>
    <t>GAIA-I</t>
  </si>
  <si>
    <t>GBWS-5183</t>
  </si>
  <si>
    <t>GBWS-5184</t>
  </si>
  <si>
    <t>GBWS-5185</t>
  </si>
  <si>
    <t>GPWS-0451</t>
  </si>
  <si>
    <t>GBWS-5197</t>
  </si>
  <si>
    <t>DBW-3578</t>
  </si>
  <si>
    <t>GBWS-5198</t>
  </si>
  <si>
    <t>GBWS-5194</t>
  </si>
  <si>
    <t>GBWS-5201</t>
  </si>
  <si>
    <t>GBWS-5202</t>
  </si>
  <si>
    <t>GBWS-5203</t>
  </si>
  <si>
    <t>GBWS-5192</t>
  </si>
  <si>
    <t>GBWS-5215</t>
  </si>
  <si>
    <t>GBWS-5216</t>
  </si>
  <si>
    <t>GBWS-5065</t>
  </si>
  <si>
    <t>GBWS-5199</t>
  </si>
  <si>
    <t>GBWS-5200</t>
  </si>
  <si>
    <t>DBW-3579</t>
  </si>
  <si>
    <t>DBW-3580</t>
  </si>
  <si>
    <t>GBWS-5152</t>
  </si>
  <si>
    <t>DBW-3581</t>
  </si>
  <si>
    <t>GPWS-0452</t>
  </si>
  <si>
    <t>GBWS-5204</t>
  </si>
  <si>
    <t>DBW-3584</t>
  </si>
  <si>
    <t>DRAGON LE</t>
  </si>
  <si>
    <t>DBW-3585</t>
  </si>
  <si>
    <t>DBW-3582</t>
  </si>
  <si>
    <t>DBW-3583</t>
  </si>
  <si>
    <t>GBWS-5206</t>
  </si>
  <si>
    <t>GBWS-5217</t>
  </si>
  <si>
    <t>GBWS-5218</t>
  </si>
  <si>
    <t>GBWS-5219</t>
  </si>
  <si>
    <t>GBWS-5220</t>
  </si>
  <si>
    <t>GBWS-5221</t>
  </si>
  <si>
    <t>GBWS-5222</t>
  </si>
  <si>
    <t>GBWS-5214</t>
  </si>
  <si>
    <t>GBWS-5205</t>
  </si>
  <si>
    <t>GBWS-5208</t>
  </si>
  <si>
    <t>GBWS-5210</t>
  </si>
  <si>
    <t>GBWS-5212</t>
  </si>
  <si>
    <t>GBWS-5213</t>
  </si>
  <si>
    <t>GBWS-5230</t>
  </si>
  <si>
    <t>GBWS-5231</t>
  </si>
  <si>
    <t>GBWS-5223</t>
  </si>
  <si>
    <t>DBW-3587</t>
  </si>
  <si>
    <t>DBW-3588</t>
  </si>
  <si>
    <t>GBWS-5209</t>
  </si>
  <si>
    <t>GBWS-5232</t>
  </si>
  <si>
    <t>GBWS-5211</t>
  </si>
  <si>
    <t>GBWS-5226</t>
  </si>
  <si>
    <t>GBWS-5233</t>
  </si>
  <si>
    <t>GBWS-5234</t>
  </si>
  <si>
    <t>GBWS-5235</t>
  </si>
  <si>
    <t>GBWS-5236</t>
  </si>
  <si>
    <t>GBWS-5239</t>
  </si>
  <si>
    <t>GBWS-5240</t>
  </si>
  <si>
    <t>GBWS-5241</t>
  </si>
  <si>
    <t>GBWS-5242</t>
  </si>
  <si>
    <t>GBWS-5249</t>
  </si>
  <si>
    <t>GBWS-5250</t>
  </si>
  <si>
    <t>GBWS-5237</t>
  </si>
  <si>
    <t>GBWS-5238</t>
  </si>
  <si>
    <t>DBW-3591</t>
  </si>
  <si>
    <t>GBWS-5225</t>
  </si>
  <si>
    <t>GBWS-5227</t>
  </si>
  <si>
    <t>GBWS-5228</t>
  </si>
  <si>
    <t>DBW-3586</t>
  </si>
  <si>
    <t>DBW-3592</t>
  </si>
  <si>
    <t>DBW-3589</t>
  </si>
  <si>
    <t>DBW-3590</t>
  </si>
  <si>
    <t>GBWS-5243</t>
  </si>
  <si>
    <t>GBWS-5244</t>
  </si>
  <si>
    <t>GBWS-5245</t>
  </si>
  <si>
    <t>GBWS-5246</t>
  </si>
  <si>
    <t>GBWS-5247</t>
  </si>
  <si>
    <t>GBWS-5248</t>
  </si>
  <si>
    <t>GPWS-0453</t>
  </si>
  <si>
    <t>GPWS-0454</t>
  </si>
  <si>
    <t>GBWS-5261</t>
  </si>
  <si>
    <t>GBWS-5252</t>
  </si>
  <si>
    <t>GBWS-5251</t>
  </si>
  <si>
    <t>DBW-3593</t>
  </si>
  <si>
    <t>DBW-3594</t>
  </si>
  <si>
    <t>GBWS-5277</t>
  </si>
  <si>
    <t>GPWS-0455</t>
  </si>
  <si>
    <t>GBWS-5265</t>
  </si>
  <si>
    <t>DBW-3595</t>
  </si>
  <si>
    <t>DBW-3596</t>
  </si>
  <si>
    <t>GBWS-5264</t>
  </si>
  <si>
    <t>GBWS-5268</t>
  </si>
  <si>
    <t>GBWS-5275</t>
  </si>
  <si>
    <t>GBWS-5266</t>
  </si>
  <si>
    <t>GBWS-5267</t>
  </si>
  <si>
    <t>GBWS-5269</t>
  </si>
  <si>
    <t>GBWS-5270</t>
  </si>
  <si>
    <t>GBWS-5271</t>
  </si>
  <si>
    <t>GBWS-5253</t>
  </si>
  <si>
    <t>GBWS-5254</t>
  </si>
  <si>
    <t>GBWS-5278</t>
  </si>
  <si>
    <t>GBWS-5281</t>
  </si>
  <si>
    <t>GBWS-5272</t>
  </si>
  <si>
    <t>GBWS-5273</t>
  </si>
  <si>
    <t>GBWS-5274</t>
  </si>
  <si>
    <t>GBWS-5255</t>
  </si>
  <si>
    <t>GBWS-5256</t>
  </si>
  <si>
    <t>GBWS-5224</t>
  </si>
  <si>
    <t>DBW-3597</t>
  </si>
  <si>
    <t>DBW-3598</t>
  </si>
  <si>
    <t>GBWS-5276</t>
  </si>
  <si>
    <t>GBWS-5282</t>
  </si>
  <si>
    <t>GBWS-5283</t>
  </si>
  <si>
    <t>GBWS-5284</t>
  </si>
  <si>
    <t>GBWS-5285</t>
  </si>
  <si>
    <t>GBWS-5257</t>
  </si>
  <si>
    <t>GBWS-5258</t>
  </si>
  <si>
    <t>GBWS-5259</t>
  </si>
  <si>
    <t>GBWS-5260</t>
  </si>
  <si>
    <t>GBWS-5207</t>
  </si>
  <si>
    <t>GBWS-5279</t>
  </si>
  <si>
    <t>GPWS-0456</t>
  </si>
  <si>
    <t>GPWS-0457</t>
  </si>
  <si>
    <t>GBWS-5286</t>
  </si>
  <si>
    <t>GPWS-0458</t>
  </si>
  <si>
    <t>HD 에너지솔루션</t>
  </si>
  <si>
    <t>GPWS-0459</t>
  </si>
  <si>
    <t>GPWS-0460</t>
  </si>
  <si>
    <t>GBWS-5294</t>
  </si>
  <si>
    <t>GBWS-5295</t>
  </si>
  <si>
    <t>DBW-3599</t>
  </si>
  <si>
    <t>GBWS-5292</t>
  </si>
  <si>
    <t>GBWS-5287</t>
  </si>
  <si>
    <t>GBWS-5288</t>
  </si>
  <si>
    <t>GBWS-5289</t>
  </si>
  <si>
    <t>GBWS-5291</t>
  </si>
  <si>
    <t>GBWS-5300</t>
  </si>
  <si>
    <t>GBWS-5301</t>
  </si>
  <si>
    <t>GBWS-5302</t>
  </si>
  <si>
    <t>GBWS-5303</t>
  </si>
  <si>
    <t>GBWS-5280</t>
  </si>
  <si>
    <t>GBWS-5293</t>
  </si>
  <si>
    <t>GBWS-5290</t>
  </si>
  <si>
    <t>GBWS-5296</t>
  </si>
  <si>
    <t>GBWS-5297</t>
  </si>
  <si>
    <t>GBWS-5298</t>
  </si>
  <si>
    <t>GBWS-5299</t>
  </si>
  <si>
    <t>GPWS-0461</t>
  </si>
  <si>
    <t>GPWS-0462</t>
  </si>
  <si>
    <t>GPWS-0463</t>
  </si>
  <si>
    <t>GPWS-0464</t>
  </si>
  <si>
    <t>GPWS-0465</t>
  </si>
  <si>
    <t>GPWS-0466</t>
  </si>
  <si>
    <t>GBWS-5308</t>
  </si>
  <si>
    <t>GBWS-5309</t>
  </si>
  <si>
    <t>GBWS-5316</t>
  </si>
  <si>
    <t>GBWS-5317</t>
  </si>
  <si>
    <t>GBWS-5322</t>
  </si>
  <si>
    <t>GBWS-5323</t>
  </si>
  <si>
    <t>GBWS-5324</t>
  </si>
  <si>
    <t>GBWS-5325</t>
  </si>
  <si>
    <t>GBWS-5310</t>
  </si>
  <si>
    <t>GBWS-5311</t>
  </si>
  <si>
    <t>GBWS-5305</t>
  </si>
  <si>
    <t>DBW-3600</t>
  </si>
  <si>
    <t>DBW-3601</t>
  </si>
  <si>
    <t>GBWS-5262</t>
  </si>
  <si>
    <t>GBWS-5263</t>
  </si>
  <si>
    <t>GBWS-5312</t>
  </si>
  <si>
    <t>GBWS-5313</t>
  </si>
  <si>
    <t>GBWS-5314</t>
  </si>
  <si>
    <t>GBWS-5315</t>
  </si>
  <si>
    <t>GBWS-5306</t>
  </si>
  <si>
    <t>GBWS-5304</t>
  </si>
  <si>
    <t>GBWS-5326</t>
  </si>
  <si>
    <t>GBWS-5327</t>
  </si>
  <si>
    <t>GBWS-5328</t>
  </si>
  <si>
    <t>GBWS-5329</t>
  </si>
  <si>
    <t>GBWS-5318</t>
  </si>
  <si>
    <t>GBWS-5319</t>
  </si>
  <si>
    <t>GBWS-5320</t>
  </si>
  <si>
    <t>GBWS-5321</t>
  </si>
  <si>
    <t>GBWS-5330</t>
  </si>
  <si>
    <t>GBWS-5331</t>
  </si>
  <si>
    <t>GBWS-5332</t>
  </si>
  <si>
    <t>GBWS-5333</t>
  </si>
  <si>
    <t>GBWS-5334</t>
  </si>
  <si>
    <t>GBWS-5335</t>
  </si>
  <si>
    <t>DBW-3602</t>
  </si>
  <si>
    <t>GBWS-5339</t>
  </si>
  <si>
    <t>GBWS-5340</t>
  </si>
  <si>
    <t>GBWS-5341</t>
  </si>
  <si>
    <t>GBWS-5342</t>
  </si>
  <si>
    <t>GBWS-5343</t>
  </si>
  <si>
    <t>GBWS-5344</t>
  </si>
  <si>
    <t>GBWS-5338</t>
  </si>
  <si>
    <t>GBWS-5345</t>
  </si>
  <si>
    <t>GBWS-5346</t>
  </si>
  <si>
    <t>GBWS-5347</t>
  </si>
  <si>
    <t>GBWS-5336</t>
  </si>
  <si>
    <t>GBWS-5337</t>
  </si>
  <si>
    <t>WS-0100</t>
  </si>
  <si>
    <t>GBWS-5351</t>
  </si>
  <si>
    <t>GBWS-5352</t>
  </si>
  <si>
    <t>GBWS-5348</t>
  </si>
  <si>
    <t>GBWS-5353</t>
  </si>
  <si>
    <t>GBWS-5354</t>
  </si>
  <si>
    <t>GBWS-5355</t>
  </si>
  <si>
    <t>GBWS-5356</t>
  </si>
  <si>
    <t>GBWS-4995</t>
  </si>
  <si>
    <t>GBWS-5089</t>
  </si>
  <si>
    <t>GBWS-5090</t>
  </si>
  <si>
    <t>GPWS-0467</t>
  </si>
  <si>
    <t>GBWS-5364</t>
  </si>
  <si>
    <t>GBWS-5365</t>
  </si>
  <si>
    <t>GBWS-5359</t>
  </si>
  <si>
    <t>GBWS-5357</t>
  </si>
  <si>
    <t>GBWS-5358</t>
  </si>
  <si>
    <t>GBWS-5366</t>
  </si>
  <si>
    <t>GBWS-5367</t>
  </si>
  <si>
    <t>GBWS-5398</t>
  </si>
  <si>
    <t>WS-0101</t>
  </si>
  <si>
    <t>GBWS-5368</t>
  </si>
  <si>
    <t>GBWS-5378</t>
  </si>
  <si>
    <t>GBWS-5379</t>
  </si>
  <si>
    <t>GBWS-5380</t>
  </si>
  <si>
    <t>GBWS-5369</t>
  </si>
  <si>
    <t>GBWS-5370</t>
  </si>
  <si>
    <t>GBWS-5371</t>
  </si>
  <si>
    <t>GBWS-5372</t>
  </si>
  <si>
    <t>GBWS-5362</t>
  </si>
  <si>
    <t>GBWS-5349</t>
  </si>
  <si>
    <t>GBWS-5350</t>
  </si>
  <si>
    <t>GBWS-5381</t>
  </si>
  <si>
    <t>GBWS-5382</t>
  </si>
  <si>
    <t>GBWS-5383</t>
  </si>
  <si>
    <t>GBWS-5384</t>
  </si>
  <si>
    <t>GPWS-0468</t>
  </si>
  <si>
    <t>GPWS-0469</t>
  </si>
  <si>
    <t>GPWS-0470</t>
  </si>
  <si>
    <t>GBWS-5390</t>
  </si>
  <si>
    <t>NAURA</t>
  </si>
  <si>
    <t>GBWS-5360</t>
  </si>
  <si>
    <t>GBWS-5361</t>
  </si>
  <si>
    <t>GBWS-5363</t>
  </si>
  <si>
    <t>GBWS-5374</t>
  </si>
  <si>
    <t>DBW-3605</t>
  </si>
  <si>
    <t>GBWS-5307</t>
  </si>
  <si>
    <t>DBW-3609</t>
  </si>
  <si>
    <t>GBWS-5386</t>
  </si>
  <si>
    <t>GBWS-5387</t>
  </si>
  <si>
    <t>GBWS-5388</t>
  </si>
  <si>
    <t>GBWS-5389</t>
  </si>
  <si>
    <t>GBWS-5394</t>
  </si>
  <si>
    <t>GBWS-5395</t>
  </si>
  <si>
    <t>GBWS-5396</t>
  </si>
  <si>
    <t>GBWS-5397</t>
  </si>
  <si>
    <t>GPWS-0473</t>
  </si>
  <si>
    <t>GPWS-0474</t>
  </si>
  <si>
    <t>GPWS-0475</t>
  </si>
  <si>
    <t>GPWS-0476</t>
  </si>
  <si>
    <t>GBWS-5399</t>
  </si>
  <si>
    <t>GBWS-5400</t>
  </si>
  <si>
    <t>DBW-3606</t>
  </si>
  <si>
    <t>DBW-3607</t>
  </si>
  <si>
    <t>DBW-3603</t>
  </si>
  <si>
    <t>DBW-3604</t>
  </si>
  <si>
    <t>DBW-3608</t>
  </si>
  <si>
    <t>GBWS-5391</t>
  </si>
  <si>
    <t>GBWS-5392</t>
  </si>
  <si>
    <t>GPWS-0477</t>
  </si>
  <si>
    <t>GPWS-0478</t>
  </si>
  <si>
    <t>GPWS-0479</t>
  </si>
  <si>
    <t>GPWS-0480</t>
  </si>
  <si>
    <t>GPWS-0471</t>
  </si>
  <si>
    <t>GPWS-0472</t>
  </si>
  <si>
    <t>GPWS-0489</t>
  </si>
  <si>
    <t>GPWS-0490</t>
  </si>
  <si>
    <t>GPWS-0491</t>
  </si>
  <si>
    <t>GPWS-0485</t>
  </si>
  <si>
    <t>GPWS-0486</t>
  </si>
  <si>
    <t>GPWS-0487</t>
  </si>
  <si>
    <t>GPWS-0488</t>
  </si>
  <si>
    <t>GPWS-0492</t>
  </si>
  <si>
    <t>GPWS-0493</t>
  </si>
  <si>
    <t>GBWS-5401</t>
  </si>
  <si>
    <t>GPWS-0481</t>
  </si>
  <si>
    <t>GPWS-0482</t>
  </si>
  <si>
    <t>GPWS-0483</t>
  </si>
  <si>
    <t>GPWS-0484</t>
  </si>
  <si>
    <t>GBWS-5403</t>
  </si>
  <si>
    <t>GBWS-5404</t>
  </si>
  <si>
    <t>GBWS-5405</t>
  </si>
  <si>
    <t>GBWS-5407</t>
  </si>
  <si>
    <t>GBWS-5408</t>
  </si>
  <si>
    <t>GBWS-5421</t>
  </si>
  <si>
    <t>GBWS-5422</t>
  </si>
  <si>
    <t>GBWS-5423</t>
  </si>
  <si>
    <t>GPWS-0502</t>
  </si>
  <si>
    <t>GPWS-0503</t>
  </si>
  <si>
    <t>GPWS-0504</t>
  </si>
  <si>
    <t>GPWS-0505</t>
  </si>
  <si>
    <t>GPWS-0494</t>
  </si>
  <si>
    <t>GPWS-0495</t>
  </si>
  <si>
    <t>GBWS-5409</t>
  </si>
  <si>
    <t>GBWS-5410</t>
  </si>
  <si>
    <t>GBWS-5412</t>
  </si>
  <si>
    <t>GBWS-5413</t>
  </si>
  <si>
    <t>GBWS-5420</t>
  </si>
  <si>
    <t>GBWS-5414</t>
  </si>
  <si>
    <t>GBWS-5415</t>
  </si>
  <si>
    <t>GPWS-0496</t>
  </si>
  <si>
    <t>GPWS-0497</t>
  </si>
  <si>
    <t>GBWS-5424</t>
  </si>
  <si>
    <t>DBW-3610</t>
  </si>
  <si>
    <t>GBWS-5430</t>
  </si>
  <si>
    <t>GBWS-5432</t>
  </si>
  <si>
    <t>GBWS-5433</t>
  </si>
  <si>
    <t>GBWS-5434</t>
  </si>
  <si>
    <t>WS-0102</t>
  </si>
  <si>
    <t>DBW-3612</t>
  </si>
  <si>
    <t>DRAGON AB DUAL</t>
  </si>
  <si>
    <t>DBW-3613</t>
  </si>
  <si>
    <t>GPWS-0498</t>
  </si>
  <si>
    <t>GPWS-0499</t>
  </si>
  <si>
    <t>GBWS-5431</t>
  </si>
  <si>
    <t>GBWS-5441</t>
  </si>
  <si>
    <t>GBWS-5442</t>
  </si>
  <si>
    <t>GBWS-5427</t>
  </si>
  <si>
    <t>GPWS-0500</t>
  </si>
  <si>
    <t>GBWS-5435</t>
  </si>
  <si>
    <t>GBWS-5436</t>
  </si>
  <si>
    <t>GBWS-5437</t>
  </si>
  <si>
    <t>GBWS-5438</t>
  </si>
  <si>
    <t>GBWS-5439</t>
  </si>
  <si>
    <t>GBWS-5440</t>
  </si>
  <si>
    <t>WS-0103</t>
  </si>
  <si>
    <t>WS-0104</t>
  </si>
  <si>
    <t>GBWS-5444</t>
  </si>
  <si>
    <t>GBWS-5445</t>
  </si>
  <si>
    <t>GPWS-0511</t>
  </si>
  <si>
    <t>GPWS-0512</t>
  </si>
  <si>
    <t>GPWS-0513</t>
  </si>
  <si>
    <t>GBWS-5402</t>
  </si>
  <si>
    <t>DBW-3614</t>
  </si>
  <si>
    <t>DBW-3615</t>
  </si>
  <si>
    <t>GBWS-5446</t>
  </si>
  <si>
    <t>GBWS-5447</t>
  </si>
  <si>
    <t>GPWS-0514</t>
  </si>
  <si>
    <t>GBWS-5443</t>
  </si>
  <si>
    <t>DBW-3611</t>
  </si>
  <si>
    <t>GBWS-5426</t>
  </si>
  <si>
    <t>GBWS-5452</t>
  </si>
  <si>
    <t>GBWS-5453</t>
  </si>
  <si>
    <t>GBWS-5454</t>
  </si>
  <si>
    <t>GBWS-5455</t>
  </si>
  <si>
    <t>GPWS-0528</t>
  </si>
  <si>
    <t>GPWS-0515</t>
  </si>
  <si>
    <t>GPWS-0524</t>
  </si>
  <si>
    <t>GBWS-5458</t>
  </si>
  <si>
    <t>GBWS-5406</t>
  </si>
  <si>
    <t>GPWS-0526</t>
  </si>
  <si>
    <t>GPWS-0527</t>
  </si>
  <si>
    <t>GPWS-0523</t>
  </si>
  <si>
    <t>DBW-3616</t>
  </si>
  <si>
    <t>DBW-3617</t>
  </si>
  <si>
    <t>GBWS-5425</t>
  </si>
  <si>
    <t>WS-0105</t>
  </si>
  <si>
    <t>GBWS-5418</t>
  </si>
  <si>
    <t>GBWS-5419</t>
  </si>
  <si>
    <t>GBWS-5411</t>
  </si>
  <si>
    <t>GPWS-0516</t>
  </si>
  <si>
    <t>GBWS-5448</t>
  </si>
  <si>
    <t>GBWS-5449</t>
  </si>
  <si>
    <t>GBWS-5450</t>
  </si>
  <si>
    <t>GPWS-0529</t>
  </si>
  <si>
    <t>GPWS-0530</t>
  </si>
  <si>
    <t>GBWS-5456</t>
  </si>
  <si>
    <t>GBWS-5428</t>
  </si>
  <si>
    <t>GBWS-5429</t>
  </si>
  <si>
    <t>GBWS-5459</t>
  </si>
  <si>
    <t>GBWS-5460</t>
  </si>
  <si>
    <t>GBWS-5467</t>
  </si>
  <si>
    <t>GBWS-5468</t>
  </si>
  <si>
    <t>GPWS-0531</t>
  </si>
  <si>
    <t>GPWS-0532</t>
  </si>
  <si>
    <t>GPWS-0533</t>
  </si>
  <si>
    <t>GBWS-5465</t>
  </si>
  <si>
    <t>GBWS-5466</t>
  </si>
  <si>
    <t>GBWS-5461</t>
  </si>
  <si>
    <t>GPWS-0539</t>
  </si>
  <si>
    <t>GPWS-0540</t>
  </si>
  <si>
    <t>GBWS-5462</t>
  </si>
  <si>
    <t>GBWS-5463</t>
  </si>
  <si>
    <t>GBWS-5464</t>
  </si>
  <si>
    <t>DBW-3618</t>
  </si>
  <si>
    <t>GPWS-0517</t>
  </si>
  <si>
    <t>GBWS-5373</t>
  </si>
  <si>
    <t>GPWS-0525</t>
  </si>
  <si>
    <t>GPWS-0501</t>
  </si>
  <si>
    <t>GPWS-0534</t>
  </si>
  <si>
    <t>GPWS-0535</t>
  </si>
  <si>
    <t>DBW-3619</t>
  </si>
  <si>
    <t>GPWS-0541</t>
  </si>
  <si>
    <t>GPWS-0518</t>
  </si>
  <si>
    <t>GPWS-0519</t>
  </si>
  <si>
    <t>GBWS-5470</t>
  </si>
  <si>
    <t>GBWS-5471</t>
  </si>
  <si>
    <t>GPWS-0546</t>
  </si>
  <si>
    <t>GBWS-5479</t>
  </si>
  <si>
    <t>GBWS-5472</t>
  </si>
  <si>
    <t>GBWS-5473</t>
  </si>
  <si>
    <t>GBWS-5474</t>
  </si>
  <si>
    <t>DBW-3620</t>
  </si>
  <si>
    <t>DBW-3621</t>
  </si>
  <si>
    <t>DBW-3622</t>
  </si>
  <si>
    <t>DBW-3623</t>
  </si>
  <si>
    <t>GBWS-5475</t>
  </si>
  <si>
    <t>GBWS-5476</t>
  </si>
  <si>
    <t>GPWS-0506</t>
  </si>
  <si>
    <t>GPWS-0507</t>
  </si>
  <si>
    <t>GPWS-0508</t>
  </si>
  <si>
    <t>GPWS-0538</t>
  </si>
  <si>
    <t>GBWS-5491</t>
  </si>
  <si>
    <t>GBWS-5492</t>
  </si>
  <si>
    <t>GBWS-5483</t>
  </si>
  <si>
    <t>GBWS-5484</t>
  </si>
  <si>
    <t>GPWS-0509</t>
  </si>
  <si>
    <t>GPWS-0510</t>
  </si>
  <si>
    <t>DBW-3624</t>
  </si>
  <si>
    <t>GBWS-5493</t>
  </si>
  <si>
    <t>DBW-3625</t>
  </si>
  <si>
    <t>GBWS-5480</t>
  </si>
  <si>
    <t>GBWS-5481</t>
  </si>
  <si>
    <t>GBWS-5482</t>
  </si>
  <si>
    <t>GBWS-5489</t>
  </si>
  <si>
    <t>GBWS-5490</t>
  </si>
  <si>
    <t>GBWS-5485</t>
  </si>
  <si>
    <t>GBWS-5486</t>
  </si>
  <si>
    <t>GBWS-5487</t>
  </si>
  <si>
    <t>GBWS-5488</t>
  </si>
  <si>
    <t>GBWS-5494</t>
  </si>
  <si>
    <t>GBWS-5477</t>
  </si>
  <si>
    <t>GBWS-5478</t>
  </si>
  <si>
    <t>GBWS-5495</t>
  </si>
  <si>
    <t>GBWS-5498</t>
  </si>
  <si>
    <t>GBWS-5375</t>
  </si>
  <si>
    <t>GPWS-0520</t>
  </si>
  <si>
    <t>GPWS-0521</t>
  </si>
  <si>
    <t>GPWS-0522</t>
  </si>
  <si>
    <t>GPWS-0547</t>
  </si>
  <si>
    <t>GPWS-0548</t>
  </si>
  <si>
    <t>GPWS-0549</t>
  </si>
  <si>
    <t>GBWS-5496</t>
  </si>
  <si>
    <t>GBWS-5497</t>
  </si>
  <si>
    <t>GPWS-0552</t>
  </si>
  <si>
    <t>GPWS-0553</t>
  </si>
  <si>
    <t>GPWS-0554</t>
  </si>
  <si>
    <t>GBWS-5507</t>
  </si>
  <si>
    <t>GBWS-5516</t>
  </si>
  <si>
    <t>DBW-3628</t>
  </si>
  <si>
    <t>DBW-3629</t>
  </si>
  <si>
    <t>GPWS-0544</t>
  </si>
  <si>
    <t>GBWS-5376</t>
  </si>
  <si>
    <t>GBWS-5501</t>
  </si>
  <si>
    <t>GBWS-5502</t>
  </si>
  <si>
    <t>GBWS-5503</t>
  </si>
  <si>
    <t>GBWS-5500</t>
  </si>
  <si>
    <t>GBWS-5499</t>
  </si>
  <si>
    <t>GBWS-5505</t>
  </si>
  <si>
    <t>GPWS-0545</t>
  </si>
  <si>
    <t>GBWS-5504</t>
  </si>
  <si>
    <t>GBWS-5506</t>
  </si>
  <si>
    <t>GPWS-0555</t>
  </si>
  <si>
    <t>GPWS-0556</t>
  </si>
  <si>
    <t>GBWS-5508</t>
  </si>
  <si>
    <t>GBWS-5509</t>
  </si>
  <si>
    <t>GBWS-5517</t>
  </si>
  <si>
    <t>GPWS-0542</t>
  </si>
  <si>
    <t>GPWS-0543</t>
  </si>
  <si>
    <t>GBWS-5510</t>
  </si>
  <si>
    <t>GBWS-5511</t>
  </si>
  <si>
    <t>GPWS-0550</t>
  </si>
  <si>
    <t>GPWS-0551</t>
  </si>
  <si>
    <t>GBWS-5512</t>
  </si>
  <si>
    <t>GBWS-5513</t>
  </si>
  <si>
    <t>GBWS-5514</t>
  </si>
  <si>
    <t>GPWS-0536</t>
  </si>
  <si>
    <t>DBW-3630</t>
  </si>
  <si>
    <t>DBW-3631</t>
  </si>
  <si>
    <t>GBWS-5518</t>
  </si>
  <si>
    <t>GBWS-5519</t>
  </si>
  <si>
    <t>GBWS-5515</t>
  </si>
  <si>
    <t>GBWS-5522</t>
  </si>
  <si>
    <t>GBWS-5523</t>
  </si>
  <si>
    <t>GBWS-5524</t>
  </si>
  <si>
    <t>GBWS-5520</t>
  </si>
  <si>
    <t>GBWS-5521</t>
  </si>
  <si>
    <t>DBW-3634</t>
  </si>
  <si>
    <t>DBW-3635</t>
  </si>
  <si>
    <t>GBWS-5537</t>
  </si>
  <si>
    <t>DBW-3632</t>
  </si>
  <si>
    <t>DBW-3633</t>
  </si>
  <si>
    <t>GBWS-5550</t>
  </si>
  <si>
    <t>GBWS-5551</t>
  </si>
  <si>
    <t>GPWS-0557</t>
  </si>
  <si>
    <t>GBWS-5529</t>
  </si>
  <si>
    <t>GBWS-5530</t>
  </si>
  <si>
    <t>GBWS-5533</t>
  </si>
  <si>
    <t>GBWS-5534</t>
  </si>
  <si>
    <t>GBWS-5531</t>
  </si>
  <si>
    <t>GBWS-5532</t>
  </si>
  <si>
    <t>GBWS-5525</t>
  </si>
  <si>
    <t>GBWS-5545</t>
  </si>
  <si>
    <t>GBWS-5538</t>
  </si>
  <si>
    <t>GBWS-5539</t>
  </si>
  <si>
    <t>GBWS-5543</t>
  </si>
  <si>
    <t>GBWS-5544</t>
  </si>
  <si>
    <t>GBWS-5558</t>
  </si>
  <si>
    <t>GBWS-5559</t>
  </si>
  <si>
    <t>GPWS-0558</t>
  </si>
  <si>
    <t>GBWS-5540</t>
  </si>
  <si>
    <t>GBWS-5541</t>
  </si>
  <si>
    <t>GBWS-5542</t>
  </si>
  <si>
    <t>GBWS-5526</t>
  </si>
  <si>
    <t>GBWS-5528</t>
  </si>
  <si>
    <t>GBWS-5552</t>
  </si>
  <si>
    <t>GBWS-5556</t>
  </si>
  <si>
    <t>GBWS-5557</t>
  </si>
  <si>
    <t>GBWS-5553</t>
  </si>
  <si>
    <t>GBWS-5554</t>
  </si>
  <si>
    <t>DBW-3636</t>
  </si>
  <si>
    <t>DBW-3637</t>
  </si>
  <si>
    <t>WS-0106</t>
  </si>
  <si>
    <t>GBWS-5527</t>
  </si>
  <si>
    <t>GBWS-5547</t>
  </si>
  <si>
    <t>GBWS-5560</t>
  </si>
  <si>
    <t>GBWS-5561</t>
  </si>
  <si>
    <t>GBWS-5562</t>
  </si>
  <si>
    <t>GBWS-5546</t>
  </si>
  <si>
    <t>GBWS-5571</t>
  </si>
  <si>
    <t>GBWS-5572</t>
  </si>
  <si>
    <t>GBWS-5563</t>
  </si>
  <si>
    <t>GBWS-5564</t>
  </si>
  <si>
    <t>GBWS-5565</t>
  </si>
  <si>
    <t>GBWS-5575</t>
  </si>
  <si>
    <t>GBWS-5570</t>
  </si>
  <si>
    <t>GBWS-5582</t>
  </si>
  <si>
    <t>GBWS-5573</t>
  </si>
  <si>
    <t>GBWS-5579</t>
  </si>
  <si>
    <t>GBWS-5580</t>
  </si>
  <si>
    <t>GBWS-5578</t>
  </si>
  <si>
    <t>DBW-3639</t>
  </si>
  <si>
    <t>WS-0107</t>
  </si>
  <si>
    <t>DBW-3640</t>
  </si>
  <si>
    <t>DBW-3641</t>
  </si>
  <si>
    <t>GBWS-5586</t>
  </si>
  <si>
    <t>GBWS-5576</t>
  </si>
  <si>
    <t>GBWS-5577</t>
  </si>
  <si>
    <t>GBWS-5535</t>
  </si>
  <si>
    <t>GBWS-5536</t>
  </si>
  <si>
    <t>GBWS-5567</t>
  </si>
  <si>
    <t>GBWS-5568</t>
  </si>
  <si>
    <t>DBW-3638</t>
  </si>
  <si>
    <t>GBWS-5585</t>
  </si>
  <si>
    <t>GBWS-5602</t>
  </si>
  <si>
    <t>GBWS-5581</t>
  </si>
  <si>
    <t>GBWS-5393</t>
  </si>
  <si>
    <t>GBWS-5583</t>
  </si>
  <si>
    <t>GBWS-5584</t>
  </si>
  <si>
    <t>DBW-3642</t>
  </si>
  <si>
    <t>DBW-3643</t>
  </si>
  <si>
    <t>DBW-3644</t>
  </si>
  <si>
    <t>GPWS-0559</t>
  </si>
  <si>
    <t>DBW-3645</t>
  </si>
  <si>
    <t>DBW-3646</t>
  </si>
  <si>
    <t>DBW-3651</t>
  </si>
  <si>
    <t>DBW-3652</t>
  </si>
  <si>
    <t>DBW-3649</t>
  </si>
  <si>
    <t>GPWS-0560</t>
  </si>
  <si>
    <t>GPWS-0561</t>
  </si>
  <si>
    <t>GBWS-5548</t>
  </si>
  <si>
    <t>GBWS-5587</t>
  </si>
  <si>
    <t>DBW-3650</t>
  </si>
  <si>
    <t>GBWS-5593</t>
  </si>
  <si>
    <t>GBWS-5594</t>
  </si>
  <si>
    <t>GBWS-5595</t>
  </si>
  <si>
    <t>GBWS-5603</t>
  </si>
  <si>
    <t>GBWS-5591</t>
  </si>
  <si>
    <t>GBWS-5592</t>
  </si>
  <si>
    <t>GBWS-5588</t>
  </si>
  <si>
    <t>GBWS-5566</t>
  </si>
  <si>
    <t>DBW-3654</t>
  </si>
  <si>
    <t>PIOTECH</t>
  </si>
  <si>
    <t>DRAGON AB</t>
  </si>
  <si>
    <t>GBWS-5605</t>
  </si>
  <si>
    <t>GBWS-5606</t>
  </si>
  <si>
    <t>GBWS-5607</t>
  </si>
  <si>
    <t>GBWS-5596</t>
  </si>
  <si>
    <t>GBWS-5597</t>
  </si>
  <si>
    <t>GBWS-5630</t>
  </si>
  <si>
    <t>GBWS-5574</t>
  </si>
  <si>
    <t>GBWS-5604</t>
  </si>
  <si>
    <t>GBWS-5610</t>
  </si>
  <si>
    <t>GBWS-5569</t>
  </si>
  <si>
    <t>GBWS-5598</t>
  </si>
  <si>
    <t>GBWS-5599</t>
  </si>
  <si>
    <t>DBW-3653</t>
  </si>
  <si>
    <t>GBWS-5608</t>
  </si>
  <si>
    <t>GBWS-5609</t>
  </si>
  <si>
    <t>GBWS-5589</t>
  </si>
  <si>
    <t>GBWS-5600</t>
  </si>
  <si>
    <t>GBWS-5601</t>
  </si>
  <si>
    <t>GBWS-5611</t>
  </si>
  <si>
    <t>DBW-3655</t>
  </si>
  <si>
    <t>BETONE</t>
  </si>
  <si>
    <t>DBW-3647</t>
  </si>
  <si>
    <t>DBW-3648</t>
  </si>
  <si>
    <t>GBWS-5549</t>
  </si>
  <si>
    <t>GBWS-5617</t>
  </si>
  <si>
    <t>GBWS-5618</t>
  </si>
  <si>
    <t>GBWS-5612</t>
  </si>
  <si>
    <t>GBWS-5457</t>
  </si>
  <si>
    <t>GBWS-5619</t>
  </si>
  <si>
    <t>GBWS-5620</t>
  </si>
  <si>
    <t>GBWS-5613</t>
  </si>
  <si>
    <t>GBWS-5626</t>
  </si>
  <si>
    <t>GBWS-5614</t>
  </si>
  <si>
    <t>GBWS-5615</t>
  </si>
  <si>
    <t>DBW-3656</t>
  </si>
  <si>
    <t>DBW-3657</t>
  </si>
  <si>
    <t>GBWS-5621</t>
  </si>
  <si>
    <t>GBWS-5622</t>
  </si>
  <si>
    <t>GBWS-5623</t>
  </si>
  <si>
    <t>GBWS-5624</t>
  </si>
  <si>
    <t>GBWS-5625</t>
  </si>
  <si>
    <t>GBWS-5627</t>
  </si>
  <si>
    <t>GBWS-5638</t>
  </si>
  <si>
    <t>GBWS-5634</t>
  </si>
  <si>
    <t>GBWS-5628</t>
  </si>
  <si>
    <t>GBWS-5629</t>
  </si>
  <si>
    <t>GBWS-5636</t>
  </si>
  <si>
    <t>GBWS-5639</t>
  </si>
  <si>
    <t>GBWS-5640</t>
  </si>
  <si>
    <t>GBWS-5631</t>
  </si>
  <si>
    <t>GBWS-5632</t>
  </si>
  <si>
    <t>GBWS-5633</t>
  </si>
  <si>
    <t>GBWS-5645</t>
  </si>
  <si>
    <t>GBWS-5377</t>
  </si>
  <si>
    <t>GBWS-5641</t>
  </si>
  <si>
    <t>GBWS-5642</t>
  </si>
  <si>
    <t>GBWS-5650</t>
  </si>
  <si>
    <t>GBWS-5646</t>
  </si>
  <si>
    <t>GBWS-5635</t>
  </si>
  <si>
    <t>GBWS-5652</t>
  </si>
  <si>
    <t>GBWS-5644</t>
  </si>
  <si>
    <t>GBWS-5649</t>
  </si>
  <si>
    <t>DBW-3659</t>
  </si>
  <si>
    <t>GBWS-5653</t>
  </si>
  <si>
    <t>GBWS-5658</t>
  </si>
  <si>
    <t>GBWS-5616</t>
  </si>
  <si>
    <t>GBWS-5667</t>
  </si>
  <si>
    <t>GBWS-5668</t>
  </si>
  <si>
    <t>GBWS-5695</t>
  </si>
  <si>
    <t>GBWS-5654</t>
  </si>
  <si>
    <t>GBWS-5655</t>
  </si>
  <si>
    <t>GBWS-5647</t>
  </si>
  <si>
    <t>GBWS-5451</t>
  </si>
  <si>
    <t>GBWS-5651</t>
  </si>
  <si>
    <t>GBWS-5659</t>
  </si>
  <si>
    <t>GBWS-5660</t>
  </si>
  <si>
    <t>GBWS-5698</t>
  </si>
  <si>
    <t>GPWS-0563</t>
  </si>
  <si>
    <t>GBWS-5696</t>
  </si>
  <si>
    <t>GBWS-5697</t>
  </si>
  <si>
    <t>GBWS-5669</t>
  </si>
  <si>
    <t>AMAT</t>
  </si>
  <si>
    <t>GBWS-5670</t>
  </si>
  <si>
    <t>GBWS-5656</t>
  </si>
  <si>
    <t>GPWS-0565</t>
  </si>
  <si>
    <t>GPWS-0566</t>
  </si>
  <si>
    <t>GBWS-5661</t>
  </si>
  <si>
    <t>GBWS-5662</t>
  </si>
  <si>
    <t>GBWS-5663</t>
  </si>
  <si>
    <t>GBWS-5664</t>
  </si>
  <si>
    <t>GBWS-5678</t>
  </si>
  <si>
    <t>GBWS-5665</t>
  </si>
  <si>
    <t>DBW-3658</t>
  </si>
  <si>
    <t>GPWS-0564</t>
  </si>
  <si>
    <t>GBWS-5673</t>
  </si>
  <si>
    <t>GBWS-5648</t>
  </si>
  <si>
    <t>GBWS-5701</t>
  </si>
  <si>
    <t>GBWS-5702</t>
  </si>
  <si>
    <t>GBWS-5679</t>
  </si>
  <si>
    <t>GBWS-5676</t>
  </si>
  <si>
    <t>GBWS-5677</t>
  </si>
  <si>
    <t>GBWS-5687</t>
  </si>
  <si>
    <t>GBWS-5690</t>
  </si>
  <si>
    <t>GBWS-5691</t>
  </si>
  <si>
    <t>GBWS-5674</t>
  </si>
  <si>
    <t>GBWS-5675</t>
  </si>
  <si>
    <t>GBWS-5666</t>
  </si>
  <si>
    <t>GBWS-5671</t>
  </si>
  <si>
    <t>GBWS-5672</t>
  </si>
  <si>
    <t>GBWS-5686</t>
  </si>
  <si>
    <t>GBWS-5684</t>
  </si>
  <si>
    <t>GBWS-5685</t>
  </si>
  <si>
    <t>GBWS-5681</t>
  </si>
  <si>
    <t>GBWS-5682</t>
  </si>
  <si>
    <t>GBWS-5683</t>
  </si>
  <si>
    <t>GBWS-5688</t>
  </si>
  <si>
    <t>GBWS-5689</t>
  </si>
  <si>
    <t>GBWS-5704</t>
  </si>
  <si>
    <t>GBWS-5705</t>
  </si>
  <si>
    <t>WS-0108</t>
  </si>
  <si>
    <t>WS-0109</t>
  </si>
  <si>
    <t>GBWS-5680</t>
  </si>
  <si>
    <t>GBWS-5692</t>
  </si>
  <si>
    <t>GBWS-5693</t>
  </si>
  <si>
    <t>GBWS-5694</t>
  </si>
  <si>
    <t>DBW-3660</t>
  </si>
  <si>
    <t>GBWS-5643</t>
  </si>
  <si>
    <t>WS-0110</t>
  </si>
  <si>
    <t>GBWS-5706</t>
  </si>
  <si>
    <t>GBWS-5707</t>
  </si>
  <si>
    <t>GBWS-5708</t>
  </si>
  <si>
    <t>GBWS-5709</t>
  </si>
  <si>
    <t>GBWS-5703</t>
  </si>
  <si>
    <t>GBWS-5710</t>
  </si>
  <si>
    <t>GBWS-5711</t>
  </si>
  <si>
    <t>WS-0112</t>
  </si>
  <si>
    <t>WS-0111</t>
  </si>
  <si>
    <t>GBWS-5699</t>
  </si>
  <si>
    <t>GBWS-5637</t>
  </si>
  <si>
    <t>GBWS-4878</t>
  </si>
  <si>
    <t>GBWS-5715</t>
  </si>
  <si>
    <t>GBWS-5716</t>
  </si>
  <si>
    <t>GBWS-5722</t>
  </si>
  <si>
    <t>GBWS-5723</t>
  </si>
  <si>
    <t>GPWS-0567</t>
  </si>
  <si>
    <t>GBWS-5657</t>
  </si>
  <si>
    <t>GBWS-5717</t>
  </si>
  <si>
    <t>GBWS-5724</t>
  </si>
  <si>
    <t>GBWS-5725</t>
  </si>
  <si>
    <t>GBWS-5730</t>
  </si>
  <si>
    <t>GBWS-5700</t>
  </si>
  <si>
    <t>GBWS-5718</t>
  </si>
  <si>
    <t>GBWS-5719</t>
  </si>
  <si>
    <t>GBWS-5720</t>
  </si>
  <si>
    <t>WS-0113</t>
  </si>
  <si>
    <t>GBWS-5712</t>
  </si>
  <si>
    <t>GBWS-5728</t>
  </si>
  <si>
    <t>DBW-3661</t>
  </si>
  <si>
    <t>DBW-3662</t>
  </si>
  <si>
    <t>GBWS-5731</t>
  </si>
  <si>
    <t>GBWS-5732</t>
  </si>
  <si>
    <t>GBWS-5721</t>
  </si>
  <si>
    <t>GBWS-5738</t>
  </si>
  <si>
    <t>GBWS-5737</t>
  </si>
  <si>
    <t>GBWS-5735</t>
  </si>
  <si>
    <t>DBW-3663</t>
  </si>
  <si>
    <t>DBW-3664</t>
  </si>
  <si>
    <t>GBWS-5739</t>
  </si>
  <si>
    <t>GBWS-5729</t>
  </si>
  <si>
    <t>GBWS-5743</t>
  </si>
  <si>
    <t>GBWS-5733</t>
  </si>
  <si>
    <t>GBWS-5747</t>
  </si>
  <si>
    <t>GBWS-5744</t>
  </si>
  <si>
    <t>GBWS-5736</t>
  </si>
  <si>
    <t>DBW-3665</t>
  </si>
  <si>
    <t>DBW-3666</t>
  </si>
  <si>
    <t>GBWS-5740</t>
  </si>
  <si>
    <t>GBWS-5741</t>
  </si>
  <si>
    <t>GBWS-5742</t>
  </si>
  <si>
    <t>GBWS-5745</t>
    <phoneticPr fontId="8" type="noConversion"/>
  </si>
  <si>
    <t>SEC</t>
    <phoneticPr fontId="8" type="noConversion"/>
  </si>
  <si>
    <t>GAIA-II DUAL</t>
    <phoneticPr fontId="8" type="noConversion"/>
  </si>
  <si>
    <t>TMS</t>
    <phoneticPr fontId="8" type="noConversion"/>
  </si>
  <si>
    <t>기구</t>
  </si>
  <si>
    <t>PCW-R</t>
  </si>
  <si>
    <t>열교환기 PCW-R 방향 스티커 역방향 부착</t>
  </si>
  <si>
    <t>W.CIR</t>
  </si>
  <si>
    <t>순환 라인 튜브 꺾임</t>
  </si>
  <si>
    <t>GBWS-5746</t>
  </si>
  <si>
    <t>O2, LNG</t>
  </si>
  <si>
    <t>MFC 브라켓 고정 볼트 아이마킹 누락</t>
  </si>
  <si>
    <t>PCW</t>
  </si>
  <si>
    <t>MV500 메달 오장착</t>
  </si>
  <si>
    <t>GBWS-5748</t>
    <phoneticPr fontId="8" type="noConversion"/>
  </si>
  <si>
    <t>MICRON VA</t>
    <phoneticPr fontId="8" type="noConversion"/>
  </si>
  <si>
    <t>GAIA-I</t>
    <phoneticPr fontId="8" type="noConversion"/>
  </si>
  <si>
    <t>FNI</t>
    <phoneticPr fontId="8" type="noConversion"/>
  </si>
  <si>
    <t>GBWS-5749</t>
  </si>
  <si>
    <t>C&amp;A</t>
    <phoneticPr fontId="8" type="noConversion"/>
  </si>
  <si>
    <t>REACTOR CLOW CLAMP 미완체결</t>
  </si>
  <si>
    <t>H/J 케이블 정리 불량으로 인한 장력 발생</t>
  </si>
  <si>
    <t>GBWS-5750</t>
  </si>
  <si>
    <t>GBWS-5751</t>
  </si>
  <si>
    <t>P&amp;S</t>
    <phoneticPr fontId="8" type="noConversion"/>
  </si>
  <si>
    <t>GBWS-5752</t>
  </si>
  <si>
    <t>GBWS-5753</t>
  </si>
  <si>
    <t>FNI</t>
  </si>
  <si>
    <t>TMS</t>
  </si>
  <si>
    <t>GBWS-5754</t>
  </si>
  <si>
    <t>GBWS-5782</t>
  </si>
  <si>
    <t>BAT</t>
  </si>
  <si>
    <t>GBWS-5778</t>
  </si>
  <si>
    <t>GBWS-5779</t>
  </si>
  <si>
    <t>GBWS-5780</t>
  </si>
  <si>
    <t>WET NOZZLE TEFLON부 LEAK</t>
  </si>
  <si>
    <t>GBWS-5781</t>
  </si>
  <si>
    <t>GBWS-5784</t>
  </si>
  <si>
    <t>WS-0114</t>
  </si>
  <si>
    <t>GBWS-5726</t>
  </si>
  <si>
    <t>GBWS-5727</t>
  </si>
  <si>
    <t>GBWS-5756</t>
  </si>
  <si>
    <t>GBWS-5794</t>
  </si>
  <si>
    <t>GBWS-5786</t>
  </si>
  <si>
    <t>GBWS-5787</t>
  </si>
  <si>
    <t>GBWS-5788</t>
  </si>
  <si>
    <t>TOWEL LAMP 경광등 순서 오류 (오부착)</t>
  </si>
  <si>
    <t>GBWS-5785</t>
  </si>
  <si>
    <t>GBWS-5789</t>
  </si>
  <si>
    <t>GBWS-5796</t>
  </si>
  <si>
    <t>CDA</t>
  </si>
  <si>
    <t>SOLENOID VALVE</t>
  </si>
  <si>
    <t>다연조 Solenoid Valve 브라켓 고정 Bolt I-marking 누락</t>
  </si>
  <si>
    <t>Normal Open 메달 및 태그 누락</t>
  </si>
  <si>
    <t>GBWS-5797</t>
  </si>
  <si>
    <t>DBW-3669</t>
  </si>
  <si>
    <t>MALE ELBOW Fitting Nut LEAK(TEFLON)</t>
  </si>
  <si>
    <t>GBWS-5807</t>
  </si>
  <si>
    <t>GBWS-5803</t>
  </si>
  <si>
    <t>GBWS-5804</t>
  </si>
  <si>
    <t>GBWS-5783</t>
  </si>
  <si>
    <t>GBWS-5795</t>
  </si>
  <si>
    <t>GBWS-5798</t>
  </si>
  <si>
    <t>GBWS-5799</t>
  </si>
  <si>
    <t>GPWS-0569</t>
  </si>
  <si>
    <t>GBWS-5808</t>
  </si>
  <si>
    <t>GBWS-5809</t>
  </si>
  <si>
    <t>GBWS-5800</t>
  </si>
  <si>
    <t>GBWS-5810</t>
  </si>
  <si>
    <t>GBWS-5811</t>
  </si>
  <si>
    <t>GBWS-5734</t>
  </si>
  <si>
    <t>GBWS-5755</t>
  </si>
  <si>
    <t>GBWS-5759</t>
  </si>
  <si>
    <t>GBWS-5760</t>
  </si>
  <si>
    <t>DBW-3667</t>
  </si>
  <si>
    <t>DBW-3668</t>
  </si>
  <si>
    <t>GBWS-5792</t>
  </si>
  <si>
    <t>REGULATOR</t>
  </si>
  <si>
    <t>CDA Line Regulator IN, OUT 스티커 부착 누락</t>
  </si>
  <si>
    <t>GBWS-5793</t>
  </si>
  <si>
    <t>GBWS-5814</t>
  </si>
  <si>
    <t>GBWS-5815</t>
  </si>
  <si>
    <t>N2</t>
  </si>
  <si>
    <t>N2 Purge Ball Valve P&amp;ID 스티커 오부착</t>
  </si>
  <si>
    <t>GPWS-0568</t>
  </si>
  <si>
    <t>PCW-S Line P&amp;ID 스티커 미부착</t>
  </si>
  <si>
    <t>GBWS-5801</t>
  </si>
  <si>
    <t>GBWS-5802</t>
  </si>
  <si>
    <t>GBWS-5812</t>
  </si>
  <si>
    <t>GBWS-5813</t>
  </si>
  <si>
    <t>SUS TUBE</t>
  </si>
  <si>
    <t>PCW SUS TUBE 클리닝 미진행</t>
  </si>
  <si>
    <t>GBWS-5757</t>
  </si>
  <si>
    <t>GBWS-5758</t>
  </si>
  <si>
    <t>GBWS-5821</t>
  </si>
  <si>
    <t>GBWS-5790</t>
  </si>
  <si>
    <t>REGULATOR P&amp;ID 스티커 미부착</t>
  </si>
  <si>
    <t>GBWS-5831</t>
  </si>
  <si>
    <t>GBWS-5832</t>
  </si>
  <si>
    <t>GBWS-5791</t>
  </si>
  <si>
    <t>REACTOR</t>
  </si>
  <si>
    <t>CLAW CLAMP I-marking 누락</t>
  </si>
  <si>
    <t>CABINET</t>
  </si>
  <si>
    <t>WATER TANK FRAME</t>
  </si>
  <si>
    <t>WATER TANK FRAME 볼트 스프링와셔 미압착</t>
  </si>
  <si>
    <t>MALE CONNECTOR TEFLON부 LEAK</t>
  </si>
  <si>
    <t>DOOR</t>
  </si>
  <si>
    <t>ELECTRIC_SAFETY_DOOR SWITCH</t>
  </si>
  <si>
    <t>DOOR SWITCH 수평 불일치 장착</t>
  </si>
  <si>
    <t>GBWS-5833</t>
  </si>
  <si>
    <t>GBWS-5817</t>
  </si>
  <si>
    <t>PISCO SpeedController Test</t>
  </si>
  <si>
    <t>GBWS-5822</t>
  </si>
  <si>
    <t>GBWS-5816</t>
  </si>
  <si>
    <t>DBW-3670</t>
  </si>
  <si>
    <t>GBWS-5818</t>
  </si>
  <si>
    <t>GPWS-0537</t>
  </si>
  <si>
    <t>GBWS-5823</t>
  </si>
  <si>
    <t>CHAMBER(GN2)</t>
  </si>
  <si>
    <t>N.SCR 110 Speed Controller 역방향 조립</t>
  </si>
  <si>
    <t>GBWS-5834</t>
  </si>
  <si>
    <t>GIAA-I</t>
  </si>
  <si>
    <t>GBWS-5835</t>
  </si>
  <si>
    <t>GBWS-5824</t>
  </si>
  <si>
    <t>GBWS-5805</t>
  </si>
  <si>
    <t>GBWS-5806</t>
  </si>
  <si>
    <t>GBWS-5836</t>
  </si>
  <si>
    <t>BUNNER GAS NOZZLE COVER</t>
  </si>
  <si>
    <t>BUNNER GAS NOZZLE COVER 휨으로 , Ignition 불가</t>
  </si>
  <si>
    <t>RIGHT</t>
  </si>
  <si>
    <t>확인중</t>
  </si>
  <si>
    <t>GBWS-5837</t>
  </si>
  <si>
    <t>O2</t>
  </si>
  <si>
    <t>MFC</t>
  </si>
  <si>
    <t>D-SUB CONNECTOR 볼트 불량으로 고정불가 , 파트교체</t>
  </si>
  <si>
    <t>GBWS-5761</t>
  </si>
  <si>
    <t>MALE ELBOW TEFLON부 LEAK</t>
  </si>
  <si>
    <t>GBWS-5762</t>
  </si>
  <si>
    <t>GBWS-5838</t>
  </si>
  <si>
    <t>GBWS-5839</t>
  </si>
  <si>
    <t>GBWS-5840</t>
  </si>
  <si>
    <t>GBWS-5841</t>
  </si>
  <si>
    <t>GBWS-5848</t>
  </si>
  <si>
    <t>GBWS-5849</t>
  </si>
  <si>
    <t>DRAIN</t>
  </si>
  <si>
    <t>PUMP NUT</t>
  </si>
  <si>
    <t>PUMP NUT WATER LEAK</t>
  </si>
  <si>
    <t>GBWS-5850</t>
  </si>
  <si>
    <t>GBWS-5819</t>
  </si>
  <si>
    <t>GBWS-5763</t>
  </si>
  <si>
    <t>GBWS-5829</t>
  </si>
  <si>
    <t>GBWS-5830</t>
  </si>
  <si>
    <t>GBWS-5857</t>
  </si>
  <si>
    <t>PCW, BCW</t>
  </si>
  <si>
    <t>KEY 미삽입</t>
  </si>
  <si>
    <t>GBWS-5858</t>
  </si>
  <si>
    <t>3WAY V/V</t>
  </si>
  <si>
    <t xml:space="preserve">3WAY ACTUATOR VALVE </t>
  </si>
  <si>
    <t>브라켓 고정 볼트 I-MARKING 누락</t>
  </si>
  <si>
    <t>GBWS-5842</t>
  </si>
  <si>
    <t>GBWS-5843</t>
  </si>
  <si>
    <t>GBWS-5845</t>
  </si>
  <si>
    <t>O2 P&amp;ID 스티커 누락</t>
  </si>
  <si>
    <t>GBWS-5844</t>
  </si>
  <si>
    <t>GBWS-5416</t>
  </si>
  <si>
    <t>GBWS-5853</t>
  </si>
  <si>
    <t>GBWS-5854</t>
  </si>
  <si>
    <t>GBWS-5851</t>
  </si>
  <si>
    <t>GBWS-5852</t>
  </si>
  <si>
    <t>GBWS-5859</t>
  </si>
  <si>
    <t>GBWS-5860</t>
  </si>
  <si>
    <t>GBWS-5855</t>
  </si>
  <si>
    <t>PRESSURE SWITCH</t>
  </si>
  <si>
    <t>TUBE 가열하여 연결하는 과정에서 녹은 부분이 HOLE에 막혀 정상 작동되지않음</t>
  </si>
  <si>
    <t>GBWS-5856</t>
  </si>
  <si>
    <t>WS-0115</t>
  </si>
  <si>
    <t>DBW-3675</t>
  </si>
  <si>
    <t>SENSOR</t>
  </si>
  <si>
    <t>UV-IR SENSOR</t>
  </si>
  <si>
    <t>UV-IR SENSOR 라벨 오부착( 실물 : EVDO3, 정상 : UVDO3 )</t>
  </si>
  <si>
    <t>DBW-3676</t>
  </si>
  <si>
    <t>GBWS-5825</t>
  </si>
  <si>
    <t>REACTOR CLAW CLAMP 미완체결</t>
  </si>
  <si>
    <t>GBWS-5826</t>
  </si>
  <si>
    <t>GBWS-5764</t>
  </si>
  <si>
    <t>GBWS-5827</t>
  </si>
  <si>
    <t>GBWS-5828</t>
  </si>
  <si>
    <t>GBWS-5862</t>
  </si>
  <si>
    <t>GBWS-5861</t>
  </si>
  <si>
    <t>GBWS-5868</t>
  </si>
  <si>
    <t>GBWS-8888</t>
  </si>
  <si>
    <t>GST</t>
  </si>
  <si>
    <t>GBWS-5870</t>
  </si>
  <si>
    <t>GBWS-5871</t>
  </si>
  <si>
    <t>GBWS-5884</t>
  </si>
  <si>
    <t>GBWS-5885</t>
  </si>
  <si>
    <t>FLOW SENSOR</t>
  </si>
  <si>
    <t>TEFLON 자동 권선 TEST 장비(10바퀴)</t>
  </si>
  <si>
    <t>GBWS-5886</t>
  </si>
  <si>
    <t>BCW</t>
  </si>
  <si>
    <t>BCW P&amp;ID 스티커 누락</t>
  </si>
  <si>
    <t>TEFLON 자동 권선 TEST 장비(7바퀴)</t>
  </si>
  <si>
    <t>GBWS-5869</t>
  </si>
  <si>
    <t>GBWS-5879</t>
  </si>
  <si>
    <t>NW25 CLAMP 핀 미체결</t>
  </si>
  <si>
    <t>GBWS-5881</t>
  </si>
  <si>
    <t>GBWS-5883</t>
  </si>
  <si>
    <t>GBWS-5872</t>
  </si>
  <si>
    <t>GBWS-5873</t>
  </si>
  <si>
    <t>GBWS-5874</t>
  </si>
  <si>
    <t>GBWS-5880</t>
  </si>
  <si>
    <t>GBWS-5882</t>
  </si>
  <si>
    <t>GBWS-5875</t>
  </si>
  <si>
    <t>GBWS-5876</t>
  </si>
  <si>
    <t>SCREW SCRAPER N2 PURGE UNION ELBOW I-MARKING 누락</t>
  </si>
  <si>
    <t>EXHAUST CLAW CLAMP I-MARKING 누락</t>
  </si>
  <si>
    <t>GBWS-5877</t>
  </si>
  <si>
    <t>GBWS-5864</t>
  </si>
  <si>
    <t>GBWS-5865</t>
  </si>
  <si>
    <t>GBWS-5866</t>
  </si>
  <si>
    <t>1/2" PFA TUBE 꺾임</t>
  </si>
  <si>
    <t>GBWS-5867</t>
  </si>
  <si>
    <t>GBWS-5896</t>
  </si>
  <si>
    <t>GBWS-5890</t>
  </si>
  <si>
    <t>GBWS-5891</t>
  </si>
  <si>
    <t>H/J</t>
  </si>
  <si>
    <t>INLET #2 H/J CONNECTOR 미체결</t>
  </si>
  <si>
    <t>13105880</t>
  </si>
  <si>
    <t>CIR WATER MANIFOLD</t>
  </si>
  <si>
    <t>CIR WATER MANIFOLD MALE CONNECTOR 연결부 TUBE 꺾임</t>
  </si>
  <si>
    <t>GBWS-5892</t>
  </si>
  <si>
    <t>CIR WATER MANIFOLD MALE CONNECTOR Teflon 체결부 LEAK</t>
  </si>
  <si>
    <t>GBWS-5895</t>
  </si>
  <si>
    <t>WS-0116</t>
  </si>
  <si>
    <t>GBWS-5887</t>
  </si>
  <si>
    <t>GBWS-5888</t>
  </si>
  <si>
    <t>GBWS-5893</t>
  </si>
  <si>
    <t>GBWS-5894</t>
  </si>
  <si>
    <t>STS TUBE</t>
  </si>
  <si>
    <t>1/2" STS TUBE 펜자국 미클리닝</t>
  </si>
  <si>
    <t>LEFT WET NOZZLE MALE ELBOW TEFLON부 LEAK</t>
  </si>
  <si>
    <t>GBWS-5899</t>
  </si>
  <si>
    <t>GBWS-5900</t>
  </si>
  <si>
    <t>GBWS-5901</t>
  </si>
  <si>
    <t>GBWS-5769</t>
  </si>
  <si>
    <t>QUENCH FLOW SENSOR P&amp;ID 라벨 오부착</t>
  </si>
  <si>
    <t>BRAZED PLATE HEAT EXCHANGER 고정 볼트 I-MARKING 누락</t>
  </si>
  <si>
    <t>GBWS-5897</t>
  </si>
  <si>
    <t>GBWS-5898</t>
  </si>
  <si>
    <t>GBWS-5820</t>
  </si>
  <si>
    <t>GBWS-5878</t>
  </si>
  <si>
    <t>GBWS-5889</t>
  </si>
  <si>
    <t>PANEL</t>
  </si>
  <si>
    <t xml:space="preserve">	12100403</t>
  </si>
  <si>
    <t>ELECTRIC_CB/ CP_CP</t>
  </si>
  <si>
    <t>LED LAMP CP 라벨 스티커 입력 불량 (줄맞춤)</t>
  </si>
  <si>
    <t>ELECTRIC_TERMINAL BLOCK_ASSEMBLY</t>
  </si>
  <si>
    <t>DOOR SWITCH TB 라벨 스티커 입력 불량 (줄맞춤)</t>
  </si>
  <si>
    <t>GBWS-5770</t>
  </si>
  <si>
    <t>GBWS-5902</t>
  </si>
  <si>
    <t>GPWS-0570</t>
  </si>
  <si>
    <t>GPWS-0571</t>
  </si>
  <si>
    <t>GBWS-5905</t>
  </si>
  <si>
    <t>GBWS-5914</t>
  </si>
  <si>
    <t>GBWS-5903</t>
  </si>
  <si>
    <t>GBWS-5904</t>
  </si>
  <si>
    <t>125A CLAMP I-MARKING 누락</t>
  </si>
  <si>
    <t>GBWS-5912</t>
  </si>
  <si>
    <t>GBWS-5913</t>
  </si>
  <si>
    <t>CIR WATER 방향스티커 테이프 미부착</t>
  </si>
  <si>
    <t>GBWS-5908</t>
  </si>
  <si>
    <t>GBWS-5906</t>
  </si>
  <si>
    <t>GBWS-5907</t>
  </si>
  <si>
    <t>WS-0117</t>
  </si>
  <si>
    <t>센서 커넥터 방수캡 미장착</t>
  </si>
  <si>
    <t>DBW-3680</t>
  </si>
  <si>
    <t>GBWS-5918</t>
  </si>
  <si>
    <t>6연조 Solenoid Valve 브라켓 고정 Bolt I-marking 누락</t>
  </si>
  <si>
    <t>W.CIR LINE MANIFOLD MALE CONNECTOR 체결부 LEAK (TEFLON부)</t>
  </si>
  <si>
    <t>GBWS-5919</t>
  </si>
  <si>
    <t>GBWS-5915</t>
  </si>
  <si>
    <t>GBWS-5916</t>
  </si>
  <si>
    <t>GBWS-5917</t>
  </si>
  <si>
    <t>GBWS-5929</t>
  </si>
  <si>
    <t>GBWS-5930</t>
  </si>
  <si>
    <t>GBWS-5920</t>
  </si>
  <si>
    <t>GBWS-5921</t>
  </si>
  <si>
    <t>GBWS-5909</t>
  </si>
  <si>
    <t>GBWS-5910</t>
  </si>
  <si>
    <t>QUENCH NOZZLE MALE ELBOW FITTING NUT WATER LEAK (TEFLON부)</t>
  </si>
  <si>
    <t>GBWS-5911</t>
  </si>
  <si>
    <t>WET TOWER MALE ELBOW FITTING NUT WATER LEAK (TEFLON부)</t>
  </si>
  <si>
    <t>GPWS-0572</t>
  </si>
  <si>
    <t>GBWS-5931</t>
  </si>
  <si>
    <t>GBWS-5932</t>
  </si>
  <si>
    <t>GBWS-5933</t>
  </si>
  <si>
    <t>MANIFOLD MALE ELBOW TEFLON부 LEAK</t>
  </si>
  <si>
    <t>GBWS-5934</t>
  </si>
  <si>
    <t>GBWS-5935</t>
  </si>
  <si>
    <t>GBWS-5936</t>
  </si>
  <si>
    <t>GBWS-5928</t>
  </si>
  <si>
    <t>DBW-3671</t>
  </si>
  <si>
    <t>SINGLE</t>
  </si>
  <si>
    <t>DBW-3672</t>
  </si>
  <si>
    <t>RESISTIVITY SENSOR</t>
  </si>
  <si>
    <t>RESISTVITY SENSOR I-Marking 누락</t>
  </si>
  <si>
    <t>GBWS-5941</t>
  </si>
  <si>
    <t>WS-0118</t>
  </si>
  <si>
    <t>SENSOR_LEAK_DIGITAL</t>
  </si>
  <si>
    <t>SENSOR_LEAK_DIGITAL 역방향 조립</t>
  </si>
  <si>
    <t>GBWS-5922</t>
  </si>
  <si>
    <t>DUAL</t>
  </si>
  <si>
    <t>전장 하네스</t>
  </si>
  <si>
    <t>Cable Tie</t>
  </si>
  <si>
    <t>Cable Tie Cutting 누락</t>
  </si>
  <si>
    <t>Right</t>
  </si>
  <si>
    <t>DBW-3673</t>
  </si>
  <si>
    <t>GBWS-5937</t>
  </si>
  <si>
    <t>눈관리</t>
  </si>
  <si>
    <t>VCR FLEXIBLE TUBE</t>
  </si>
  <si>
    <t>VCR FLEXIBLE TUBE I-Marking 누락</t>
  </si>
  <si>
    <t>GBWS-5417</t>
  </si>
  <si>
    <t>DBW-3677</t>
  </si>
  <si>
    <t>DOOR STAY 사용 주의 Sticker</t>
  </si>
  <si>
    <t>DOOR STAY 사용 주의 Sticker 접착부 손상 / 입고 시 불량품 입고 의심</t>
  </si>
  <si>
    <t>DBW-3678</t>
  </si>
  <si>
    <t>DBW-3679</t>
  </si>
  <si>
    <t>GBWS-5940</t>
  </si>
  <si>
    <t>GPWS-0573</t>
  </si>
  <si>
    <t>대덕전자</t>
  </si>
  <si>
    <t>GBWS-5942</t>
  </si>
  <si>
    <t>GBWS-5943</t>
  </si>
  <si>
    <t>W.CIR LINE UNION TEE FIITTING NUT 체결부 LEAK</t>
  </si>
  <si>
    <t>W.CIR LINE MANIFOLD MALE ELBOW 체결부 LEAK (TEFLON부)</t>
  </si>
  <si>
    <t>GBWS-5938</t>
  </si>
  <si>
    <t>GBWS-5939</t>
  </si>
  <si>
    <t>GBWS-5923</t>
  </si>
  <si>
    <t>GBWS-5958</t>
  </si>
  <si>
    <t>W.CIR LINE MALE ELBOW FITTING NUT 체결부 LEAK</t>
  </si>
  <si>
    <t>GBWS-5959</t>
  </si>
  <si>
    <t>PAB SENSOR 하단 BALL VALVE BURNER PLATE와 간섭으로 인해 CLOSE불가</t>
  </si>
  <si>
    <t>LEFT</t>
  </si>
  <si>
    <t>GBWS-5949</t>
  </si>
  <si>
    <t>GBWS-5964</t>
  </si>
  <si>
    <t>GBWS-5965</t>
  </si>
  <si>
    <t>GBWS-5948</t>
  </si>
  <si>
    <t>GBWS-5950</t>
  </si>
  <si>
    <t>WS-0119</t>
  </si>
  <si>
    <t>GBWS-5960</t>
  </si>
  <si>
    <t>GBWS-5954</t>
  </si>
  <si>
    <t>GBWS-5955</t>
  </si>
  <si>
    <t xml:space="preserve">W.CIR LINE UNION TEE FITTING NUT 좌측 상단 LEAK </t>
  </si>
  <si>
    <t>IGNITION</t>
  </si>
  <si>
    <t>IGNITION TRANSFORMER BOX</t>
  </si>
  <si>
    <t>IGNITION BOX CONNECTOR I-marking 누락</t>
  </si>
  <si>
    <t>GBWS-5961</t>
  </si>
  <si>
    <t>W.CIR LINE MALE ELBOW FITTING NUT 테프론 체결부 LEAK</t>
  </si>
  <si>
    <t>GBWS-5962</t>
  </si>
  <si>
    <t>GBWS-5966</t>
  </si>
  <si>
    <t>GBWS-5972</t>
  </si>
  <si>
    <t>GBWS-5956</t>
  </si>
  <si>
    <t>FAN 눈관리 스티커 오부착</t>
  </si>
  <si>
    <t>GBWS-5957</t>
  </si>
  <si>
    <t xml:space="preserve">W.CIR LINE UNION TEE FITTING NUT 하단 LEAK </t>
  </si>
  <si>
    <t>GBWS-5944</t>
  </si>
  <si>
    <t>GBWS-5945</t>
  </si>
  <si>
    <t>ELBOW EXHAUST NOZZLE 체결 MALE ELBOW FITTING NUT 테프론부 LEAK</t>
  </si>
  <si>
    <t>GBWS-5977</t>
  </si>
  <si>
    <t>GBWS-5969</t>
  </si>
  <si>
    <t>GBWS-5975</t>
  </si>
  <si>
    <t>W.CIR LINE MANIFOLD MALE ELBOW 체결부 LEAK (NUT부)</t>
  </si>
  <si>
    <t>DBW-3681</t>
  </si>
  <si>
    <t>DBW-3682</t>
  </si>
  <si>
    <t>GBWS-5987</t>
  </si>
  <si>
    <t>DBW-3684</t>
  </si>
  <si>
    <t>DBW-3685</t>
  </si>
  <si>
    <t>GBWS-5978</t>
  </si>
  <si>
    <t>GBWS-5973</t>
  </si>
  <si>
    <t>DBW-3683</t>
  </si>
  <si>
    <t>SOLENOID BLOCK VAVLE</t>
  </si>
  <si>
    <t>SOLENOID BLOCK VAVLE 라벨링 작업 불량</t>
  </si>
  <si>
    <t>GBWS-5979</t>
  </si>
  <si>
    <t>GBWS-5980</t>
  </si>
  <si>
    <t>GBWS-5996</t>
  </si>
  <si>
    <t>GBWS-5997</t>
  </si>
  <si>
    <t>GBWS-5974</t>
  </si>
  <si>
    <t>W.CIR LINE REDUCING UNION 08부 NUT LEAK</t>
  </si>
  <si>
    <t>GBWS-5985</t>
  </si>
  <si>
    <t>GBWS-5986</t>
  </si>
  <si>
    <t>GBWS-5990</t>
  </si>
  <si>
    <t>GBWS-5995</t>
  </si>
  <si>
    <t>GBWS-5771</t>
  </si>
  <si>
    <t>WS-0121</t>
  </si>
  <si>
    <t>WS-0120</t>
  </si>
  <si>
    <t>GBWS-5988</t>
  </si>
  <si>
    <t>GBWS-5989</t>
  </si>
  <si>
    <t>GBWS-5991</t>
  </si>
  <si>
    <t>GBWS-6003</t>
  </si>
  <si>
    <t>GBWS-6004</t>
  </si>
  <si>
    <t>GBWS-5998</t>
  </si>
  <si>
    <t>RELAY</t>
  </si>
  <si>
    <t>ELECTRIC_RY, TIMER_CONTROL RELAY</t>
  </si>
  <si>
    <t>CONTROL RELAY KRF60A 오배선 (정상 KRF10A배선, 실물 KRF60A배선)</t>
  </si>
  <si>
    <t>GBWS-5999</t>
  </si>
  <si>
    <t>GBWS-6000</t>
  </si>
  <si>
    <t>FLOW SENSOR CONNECTOR 체결 MALE ELBOW WATER LEAK</t>
  </si>
  <si>
    <t>W.CIR LINE MANIFOLD MALE ELBOW 체결부 LEAK (테프론부)</t>
  </si>
  <si>
    <t>GBWS-5992</t>
  </si>
  <si>
    <t>GBWS-5993</t>
  </si>
  <si>
    <t>GBWS-6005</t>
  </si>
  <si>
    <t>GBWS-6006</t>
  </si>
  <si>
    <t>QUENCH NOZZLE 체결 MALE ELBOW WATER LEAK(NUT부)</t>
  </si>
  <si>
    <t>COLD IN,OUT HOT IN,OUT 스티커 오부착</t>
  </si>
  <si>
    <t>GBWS-6001</t>
  </si>
  <si>
    <t>NOZZLE FLANGE 체결부 MALE ELBOW Water Leak (Teflon부)</t>
  </si>
  <si>
    <t>GBWS-6002</t>
  </si>
  <si>
    <t>W.CIR LINE MANIFOLD MALE CONNECTOR 체결부 Water LEAK (테프론부)</t>
  </si>
  <si>
    <t>GBWS-6012</t>
  </si>
  <si>
    <t>GBWS-6013</t>
  </si>
  <si>
    <t>GBWS-6007</t>
  </si>
  <si>
    <t>CLAW CLAMP 미완체결</t>
  </si>
  <si>
    <t>GBWS-6008</t>
  </si>
  <si>
    <t>GBWS-5994</t>
  </si>
  <si>
    <t>GBWS-6021</t>
  </si>
  <si>
    <t>GBWS-6010</t>
  </si>
  <si>
    <t>GBWS-6011</t>
  </si>
  <si>
    <t>GBWS-6014</t>
  </si>
  <si>
    <t>GBWS-6015</t>
  </si>
  <si>
    <t>GBWS-6024</t>
  </si>
  <si>
    <t>GBWS-5976</t>
  </si>
  <si>
    <t>GBWS-6023</t>
  </si>
  <si>
    <t>GBWS-6016</t>
  </si>
  <si>
    <t>GBWS-5765</t>
  </si>
  <si>
    <t>GBWS-5766</t>
  </si>
  <si>
    <t>DBW-3674</t>
  </si>
  <si>
    <t>GBWS-6025</t>
  </si>
  <si>
    <t>GBWS-6019</t>
  </si>
  <si>
    <t>GBWS-6020</t>
  </si>
  <si>
    <t>GBWS-5947</t>
  </si>
  <si>
    <t>ELECTRIC DOOR KEY 체결 후 I-MARKING 누락</t>
  </si>
  <si>
    <t>GBWS-5767</t>
  </si>
  <si>
    <t>GBWS-5768</t>
  </si>
  <si>
    <t>WS-0123</t>
  </si>
  <si>
    <t>GBWS-6036</t>
  </si>
  <si>
    <t>GBWS-6017</t>
  </si>
  <si>
    <t>GBWS-6022</t>
  </si>
  <si>
    <t>PLC</t>
  </si>
  <si>
    <t>AUTOMATION_PLC_ETC</t>
  </si>
  <si>
    <t>PLC OUTPUT BOARD TBDO100/1A:6/17 오배선</t>
  </si>
  <si>
    <t>GBWS-6034</t>
  </si>
  <si>
    <t>HEAT EXCHANGER COLD IN, OUT 스티커 교차부착</t>
  </si>
  <si>
    <t>GBWS-6035</t>
  </si>
  <si>
    <t>DBW-3686</t>
  </si>
  <si>
    <t>COOLING BODY</t>
  </si>
  <si>
    <t>COOLING BODY CABINET 고정볼트 미완체결</t>
  </si>
  <si>
    <t>GBWS-6026</t>
  </si>
  <si>
    <t>GBWS-5970</t>
  </si>
  <si>
    <t>BCW HOT OUT부 NUT 체결불량으로인한 WATER LEAK</t>
  </si>
  <si>
    <t>GBWS-5971</t>
  </si>
  <si>
    <t>DOOR ↔ CABINET 접지스티커 누락</t>
  </si>
  <si>
    <t>GBWS-6027</t>
  </si>
  <si>
    <t>GBWS-6028</t>
  </si>
  <si>
    <t>EXHAUST</t>
  </si>
  <si>
    <t>GBWS-6037</t>
  </si>
  <si>
    <t>QUENCH LINE MALE ELBOW 테프론부 LEAK</t>
  </si>
  <si>
    <t>SWRIL LINE MALE ELBOW 테프론부 LEAK</t>
  </si>
  <si>
    <t>GBWS-6038</t>
  </si>
  <si>
    <t>WET LINE MALE ELBOW NUT부 LEAK</t>
  </si>
  <si>
    <t>QUENCH LINE MALE ELBOW NUT부 LEAK</t>
  </si>
  <si>
    <t>DBW-3687</t>
  </si>
  <si>
    <t>GBWS-6029</t>
  </si>
  <si>
    <t>GBWS-6030</t>
  </si>
  <si>
    <t>GBWS-6031</t>
  </si>
  <si>
    <t>GBWS-5946</t>
  </si>
  <si>
    <t>GBWS-6042</t>
  </si>
  <si>
    <t>GBWS-6043</t>
  </si>
  <si>
    <t>GBWS-6039</t>
  </si>
  <si>
    <t>GBWS-6018</t>
  </si>
  <si>
    <t>GBWS-6033</t>
  </si>
  <si>
    <t>GBWS-5968</t>
  </si>
  <si>
    <t>GBWS-6048</t>
  </si>
  <si>
    <t>WET LINE MALE ELBOW TEFLON부 LEAK</t>
  </si>
  <si>
    <t>GBWS-6049</t>
  </si>
  <si>
    <t>QUENCH LINE MALE ELBOW TEFLON부 LEAK</t>
  </si>
  <si>
    <t>GBWS-6050</t>
  </si>
  <si>
    <t>SWIRL LINE MALE ELBOW TEFLON부 LEAK</t>
  </si>
  <si>
    <t>GBWS-6051</t>
  </si>
  <si>
    <t>WS-0122</t>
  </si>
  <si>
    <t>GPWS-0574</t>
  </si>
  <si>
    <t>GBWS-6046</t>
  </si>
  <si>
    <t>GBWS-6047</t>
  </si>
  <si>
    <t>GBWS-6032</t>
  </si>
  <si>
    <t>UNION ELBOW FITTING NUT LEAK</t>
  </si>
  <si>
    <t>GBWS-5951</t>
  </si>
  <si>
    <t>CIR WATER MANIFOLD MALE CONNECTOR TEFLON부 LEAK</t>
  </si>
  <si>
    <t>GBWS-5952</t>
  </si>
  <si>
    <t>GBWS-5953</t>
  </si>
  <si>
    <t>GBWS-6066</t>
  </si>
  <si>
    <t>PNEUMATIC VALVE</t>
  </si>
  <si>
    <t>BCW LINE PNEUMATIC VALVE IN스티커 누락</t>
  </si>
  <si>
    <t>GBWS-6045</t>
  </si>
  <si>
    <t>GBWS-6056</t>
  </si>
  <si>
    <t>HEAT EXCHANGER COVER 고정 BOLT I-MARKING 누락</t>
  </si>
  <si>
    <t>GBWS-5963</t>
  </si>
  <si>
    <t>GBWS-5924</t>
  </si>
  <si>
    <t>GBWS-5925</t>
  </si>
  <si>
    <t>GBWS-5926</t>
  </si>
  <si>
    <t>GBWS-5927</t>
  </si>
  <si>
    <t>GBWS-6052</t>
  </si>
  <si>
    <t>GBWS-6041</t>
  </si>
  <si>
    <t>GBWS-6062</t>
  </si>
  <si>
    <t>GBWS-6063</t>
  </si>
  <si>
    <t>GBWS-6055</t>
  </si>
  <si>
    <t>NG</t>
  </si>
  <si>
    <t>REACTOR 고정 볼트</t>
  </si>
  <si>
    <t>REACTOR 고정 볼트 미완체결</t>
  </si>
  <si>
    <t>Left</t>
  </si>
  <si>
    <t>GBWS-6064</t>
  </si>
  <si>
    <t>GBWS-6058</t>
  </si>
  <si>
    <t>GBWS-6059</t>
  </si>
  <si>
    <t>WET TOWER NOZZLE MALE ELBOW NUT부 LEAK</t>
  </si>
  <si>
    <t>GBWS-6060</t>
  </si>
  <si>
    <t>WET TANK LEVEL 범위 안내 스티커</t>
  </si>
  <si>
    <t>TANK LEVEL RANGE 안내 스티커 부착 누락</t>
  </si>
  <si>
    <t>CDA FLOW 스티커</t>
  </si>
  <si>
    <t>CDA FLOW 스티커 훼손</t>
  </si>
  <si>
    <t>SUS TUBE CLEANING 미흡</t>
  </si>
  <si>
    <t>GBWS-6061</t>
  </si>
  <si>
    <t>GBWS-6071</t>
  </si>
  <si>
    <t>GBWS-6067</t>
  </si>
  <si>
    <t>오조립</t>
  </si>
  <si>
    <t>WET TANK 고정볼트</t>
  </si>
  <si>
    <t>WET TANK 고정볼트 미완체결</t>
  </si>
  <si>
    <t>GBWS-6068</t>
  </si>
  <si>
    <t>DRAIN LINE CABINET 고정볼트</t>
  </si>
  <si>
    <t>DRAIN LINE CABINET 고정볼트 I-MARKING 누락</t>
  </si>
  <si>
    <t>GBWS-6070</t>
  </si>
  <si>
    <t>WS-0125</t>
  </si>
  <si>
    <t>GBWS-6081</t>
  </si>
  <si>
    <t>GBWS-6072</t>
  </si>
  <si>
    <t>CIR WATER MANIFOLD MALE ELBOW TEFLON부 LEAK</t>
  </si>
  <si>
    <t>GBWS-6053</t>
  </si>
  <si>
    <t>GBWS-6054</t>
  </si>
  <si>
    <t>WS-0124</t>
  </si>
  <si>
    <t>GBWS-6088</t>
  </si>
  <si>
    <t>GBWS-6065</t>
  </si>
  <si>
    <t>GBWS-6078</t>
  </si>
  <si>
    <t>GBWS-6079</t>
  </si>
  <si>
    <t>GBWS-6080</t>
  </si>
  <si>
    <t>GBWS-6075</t>
  </si>
  <si>
    <t>GBWS-6083</t>
  </si>
  <si>
    <t>GBWS-6095</t>
  </si>
  <si>
    <t>DBW-3688</t>
  </si>
  <si>
    <t>DBW-3689</t>
  </si>
  <si>
    <t>DBW-3690</t>
  </si>
  <si>
    <t>DBW-3691</t>
  </si>
  <si>
    <t>GBWS-6057</t>
  </si>
  <si>
    <t>GBWS-6093</t>
  </si>
  <si>
    <t>WET TOWET NOZZLE MALE ELBOW TEFLON부 LEAK</t>
  </si>
  <si>
    <t>GBWS-6105</t>
  </si>
  <si>
    <t>QUENCH NOZZLE MALE ELBOW NUT부, Teflon부 I-Marking 누락</t>
  </si>
  <si>
    <t>GBWS-6098</t>
  </si>
  <si>
    <t>GBWS-6092</t>
  </si>
  <si>
    <t>TBDR</t>
  </si>
  <si>
    <t>ELECTRIC TERMINAL BLOCK ASSENBLY</t>
  </si>
  <si>
    <t>ELECTRIC TERMINAL BLOCK ASSENBLY 2/11 배선 미삽입</t>
  </si>
  <si>
    <t>WS-0126</t>
  </si>
  <si>
    <t>GBWS-6103</t>
  </si>
  <si>
    <t>GBWS-6104</t>
  </si>
  <si>
    <t>GBWS-6094</t>
  </si>
  <si>
    <t>GBWS-6097</t>
  </si>
  <si>
    <t>GBWS-6102</t>
  </si>
  <si>
    <t>GBWS-6082</t>
  </si>
  <si>
    <t>GPWS-0576</t>
  </si>
  <si>
    <t>GPWS-0577</t>
  </si>
  <si>
    <t>GBWS-6100</t>
  </si>
  <si>
    <t>GBWS-6101</t>
  </si>
  <si>
    <t>GBWS-6111</t>
  </si>
  <si>
    <t>GBWS-6112</t>
  </si>
  <si>
    <t>GBWS-6113</t>
  </si>
  <si>
    <t>UTILTIY</t>
  </si>
  <si>
    <t>WET LINE UNION TEE FITTING NUT 하단 NUT부 LEAK</t>
  </si>
  <si>
    <t>REGULATOR IN,OUT 스티커 누락</t>
  </si>
  <si>
    <t>GBWS-5846</t>
  </si>
  <si>
    <t>GBWS-6117</t>
  </si>
  <si>
    <t>GBWS-5863</t>
  </si>
  <si>
    <t>DRAIN LINE</t>
  </si>
  <si>
    <t>RIGHT DRAIN LINE CABINET 고정 볼트 I-MARKING 누락</t>
  </si>
  <si>
    <t>오배선</t>
  </si>
  <si>
    <t>정상 : TBDI2/3:1/11 실물 : TBDI2/3:1/12위치에 배선</t>
  </si>
  <si>
    <t>전장판넬</t>
  </si>
  <si>
    <t>MCCB</t>
  </si>
  <si>
    <t>MCCB OK 스티커 누락</t>
  </si>
  <si>
    <t>GBWS-6114</t>
  </si>
  <si>
    <t>GBWS-6109</t>
  </si>
  <si>
    <t>GBWS-6115</t>
  </si>
  <si>
    <t>GBWS-6116</t>
  </si>
  <si>
    <t>GBWS-6133</t>
  </si>
  <si>
    <t>TEMP SWITCH</t>
  </si>
  <si>
    <t>REACTOR TEMP SWITCH I-MARKING 누락</t>
  </si>
  <si>
    <t>GBWS-6134</t>
  </si>
  <si>
    <t>GBWS-6106</t>
  </si>
  <si>
    <t>GBWS-6119</t>
  </si>
  <si>
    <t>GPWS-0578</t>
  </si>
  <si>
    <t>정상 : NORMAL CLOSE / 실물 : NORMAL OPEN</t>
  </si>
  <si>
    <t>GPWS-0579</t>
  </si>
  <si>
    <t>GPWS-0580</t>
  </si>
  <si>
    <t>GBWS-6135</t>
  </si>
  <si>
    <t>GBWS-6121</t>
  </si>
  <si>
    <t>GBWS-6108</t>
  </si>
  <si>
    <t>GPWS-0581</t>
  </si>
  <si>
    <t>DRAIN LINE CABINET 고정볼트 돌출길이 부족</t>
  </si>
  <si>
    <t>GN2</t>
  </si>
  <si>
    <t>REGULATOR I-MARKING 누락</t>
  </si>
  <si>
    <t>TANK</t>
  </si>
  <si>
    <t>SWAP CONNECTOR BRACKET</t>
  </si>
  <si>
    <t>SWAP CONNECTOR BRACKET I-MARKING 누락</t>
  </si>
  <si>
    <t>접지</t>
  </si>
  <si>
    <t>GROUND BAR</t>
  </si>
  <si>
    <t>GROUND BAR 볼트 I-MARKING 누락</t>
  </si>
  <si>
    <t>GBWS-6136</t>
  </si>
  <si>
    <t>다연조 솔레노이드 밸브 PLUG 미장착</t>
  </si>
  <si>
    <t>GBWS-6137</t>
  </si>
  <si>
    <t>BCW LINE PNEUMATIC VALVE 밑단 MALE ADAPTER WATER LEAK</t>
  </si>
  <si>
    <t>GBWS-6099</t>
  </si>
  <si>
    <t>GPWS-0582</t>
  </si>
  <si>
    <t>GPWS-0583</t>
  </si>
  <si>
    <t>GPWS-0584</t>
  </si>
  <si>
    <t>SENSOR_PRESSURE_DIGITAL</t>
  </si>
  <si>
    <t>튜빙 오류 (고압 부분에 연결)</t>
  </si>
  <si>
    <t>GPWS-0585</t>
  </si>
  <si>
    <t>GBWS-6153</t>
  </si>
  <si>
    <t>GBWS-6084</t>
  </si>
  <si>
    <t>QUENCH</t>
  </si>
  <si>
    <t>GBWS-6085</t>
  </si>
  <si>
    <t>GPWS-0586</t>
  </si>
  <si>
    <t>GPWS-0587</t>
  </si>
  <si>
    <t>GPWS-0588</t>
  </si>
  <si>
    <t>GPWS-0589</t>
  </si>
  <si>
    <t>GBWS-6140</t>
  </si>
  <si>
    <t>GBWS-6143</t>
  </si>
  <si>
    <t>GBWS-6144</t>
  </si>
  <si>
    <t>GBWS-6089</t>
  </si>
  <si>
    <t>GBWS-6148</t>
  </si>
  <si>
    <t>GBWS-6149</t>
  </si>
  <si>
    <t>GPWS-0590</t>
  </si>
  <si>
    <t>GPWS-0591</t>
  </si>
  <si>
    <t>SPEED CONTROLLER 역방향 체결</t>
  </si>
  <si>
    <t>N.V140B</t>
  </si>
  <si>
    <t>GBWS-6147</t>
  </si>
  <si>
    <t>GBWS-6090</t>
  </si>
  <si>
    <t>GBWS-6138</t>
  </si>
  <si>
    <t>LEFT QUENCH NOZZLE MALE ELBOW TEFLON부 WATER LEAK</t>
  </si>
  <si>
    <t>GBWS-6124</t>
  </si>
  <si>
    <t>QUENCH LINE MANIFOLD체결 MALE ELBOW TEFLON부 WATER LEAK</t>
  </si>
  <si>
    <t>GBWS-6122</t>
  </si>
  <si>
    <t>GBWS-6141</t>
  </si>
  <si>
    <t>GBWS-6142</t>
  </si>
  <si>
    <t>DBW-3692</t>
  </si>
  <si>
    <t>DBW-3693</t>
  </si>
  <si>
    <t>GPWS-0592</t>
  </si>
  <si>
    <t>GPWS-0593</t>
  </si>
  <si>
    <t>GBWS-6076</t>
  </si>
  <si>
    <t>GBWS-6077</t>
  </si>
  <si>
    <t>GBWS-6044</t>
  </si>
  <si>
    <t>GBWS-6009</t>
  </si>
  <si>
    <t>GBWS-6145</t>
  </si>
  <si>
    <t>GBWS-6146</t>
  </si>
  <si>
    <t>SWIRL LINE FLOW SENSOR 체결 MALE CONNECTOR NUT부 LEAK</t>
  </si>
  <si>
    <t>GBWS-6125</t>
  </si>
  <si>
    <t>WET LINE MANIFOLD체결 MALE ELBOW TEFLON부 WATER LEAK</t>
  </si>
  <si>
    <t>GBWS-6126</t>
  </si>
  <si>
    <t>GBWS-6123</t>
  </si>
  <si>
    <t>SWIRL LINE MANIFOLD체결 MALE ELBOW TEFLON부 WATER LEAK</t>
  </si>
  <si>
    <t>GBWS-6073</t>
  </si>
  <si>
    <t>GBWS-6074</t>
  </si>
  <si>
    <t>GBWS-6155</t>
  </si>
  <si>
    <t>GBWS-6131</t>
  </si>
  <si>
    <t>GBWS-6091</t>
  </si>
  <si>
    <t>GBWS-6156</t>
  </si>
  <si>
    <t>선가동, P&amp;S CAPA</t>
  </si>
  <si>
    <t>GBWS-6164</t>
  </si>
  <si>
    <t>GBWS-6154</t>
  </si>
  <si>
    <t>GBWS-6161</t>
  </si>
  <si>
    <t>GBWS-6157</t>
  </si>
  <si>
    <t>GBWS-6158</t>
  </si>
  <si>
    <t>DBW-3694</t>
  </si>
  <si>
    <t>DBW-3695</t>
  </si>
  <si>
    <t>GBWS-6159</t>
  </si>
  <si>
    <t>GBWS-6160</t>
  </si>
  <si>
    <t>PCW-S(L), PCW-R(L) 방향스티커 교차부착</t>
  </si>
  <si>
    <t>GBWS-6132</t>
  </si>
  <si>
    <t>GBWS-5981</t>
  </si>
  <si>
    <t>WET LINE MANIFOLD MALE ELBOW TEFLON부 WATER LEAK</t>
  </si>
  <si>
    <t>GBWS-5982</t>
  </si>
  <si>
    <t>GBWS-6175</t>
  </si>
  <si>
    <t>GBWS-6176</t>
  </si>
  <si>
    <t>GBWS-6171</t>
  </si>
  <si>
    <t>GBWS-6172</t>
  </si>
  <si>
    <t>GBWS-6168</t>
  </si>
  <si>
    <t>CABINET PRESSURE SWITCH 튜빙작업 누락</t>
  </si>
  <si>
    <t>GBWS-6118</t>
  </si>
  <si>
    <t>CHABMER</t>
  </si>
  <si>
    <t>GAIA WET CHAMBER BODY</t>
  </si>
  <si>
    <t>RIGHT WET CHAMBER BODY TANK 고정볼트 I-MARKING누락</t>
  </si>
  <si>
    <t>GBWS-6167</t>
  </si>
  <si>
    <t>INLET #1 H/J CONNECTOR 오체결 (정상: Ch15, 현상: Ch14)</t>
  </si>
  <si>
    <t>GBWS-6177</t>
  </si>
  <si>
    <t>GBWS-6173</t>
  </si>
  <si>
    <t>GBWS-6174</t>
  </si>
  <si>
    <t>GBWS-6178</t>
  </si>
  <si>
    <t>RIGHT REACTOR WET NOZZLE MALE ELBOW TEFLON부 LEAK</t>
  </si>
  <si>
    <t>GBWS-6179</t>
  </si>
  <si>
    <t>GBWS-6169</t>
  </si>
  <si>
    <t>GBWS-6170</t>
  </si>
  <si>
    <t>DBW-3696</t>
  </si>
  <si>
    <t>GBWS-6069</t>
  </si>
  <si>
    <t>GBWS-6107</t>
  </si>
  <si>
    <t>GBWS-6040</t>
  </si>
  <si>
    <t>GBWS-6096</t>
  </si>
  <si>
    <t>WS-0127</t>
  </si>
  <si>
    <t>터미널 보드 오배선</t>
  </si>
  <si>
    <t>GBWS-5229</t>
  </si>
  <si>
    <t>GBWS-6120</t>
  </si>
  <si>
    <t>센서</t>
  </si>
  <si>
    <t>넘버링 튜브 오기입</t>
  </si>
  <si>
    <t>GBWS-6087</t>
  </si>
  <si>
    <t>QUENCH LINE UNION TEE FITTING NUT LEAK (우측상단)</t>
  </si>
  <si>
    <t>GBWS-6185</t>
  </si>
  <si>
    <t>넘버링튜브</t>
  </si>
  <si>
    <t>넘버링 튜브 방향 오류 ( YV501 역방향)</t>
  </si>
  <si>
    <t>GBWS-6186</t>
  </si>
  <si>
    <t>WET NOZZLE MALE ELBOW FITTIGN NUT LEAK (Teflon부)</t>
  </si>
  <si>
    <t>GBWS-6184</t>
  </si>
  <si>
    <t>GBWS-6162</t>
  </si>
  <si>
    <t>GBWS-6183</t>
  </si>
  <si>
    <t>GBWS-6086</t>
  </si>
  <si>
    <t>QUENCH LINE MALE ELBOW FITTIGN NUT LEAK (Teflon부)</t>
  </si>
  <si>
    <t>GBWS-5847</t>
  </si>
  <si>
    <t>GBWS-6198</t>
  </si>
  <si>
    <t>GBWS-6180</t>
  </si>
  <si>
    <t>GBWS-6181</t>
  </si>
  <si>
    <t>Right Inlet #2 Scraper TUBE 교차연결 ( OPEN ↔ CLOSE )</t>
  </si>
  <si>
    <t>BCW LINE PNEUMATIC VALVE P&amp;ID스티커 오부착 (정상 YV530, 실물 YB530)</t>
  </si>
  <si>
    <t>GN2 LINE REGULATOR RANGE 스티커 오부착</t>
  </si>
  <si>
    <t>GBWS-6190</t>
  </si>
  <si>
    <t>GBWS-6191</t>
  </si>
  <si>
    <t>GBWS-6192</t>
  </si>
  <si>
    <t>GBWS-6207</t>
  </si>
  <si>
    <t>GBWS-6194</t>
  </si>
  <si>
    <t>GBWS-5967</t>
  </si>
  <si>
    <t>GBWS-6209</t>
  </si>
  <si>
    <t>3-WAY V/V INLET #2 MALE BANJO 체결부 LEAK (6mm, PT1/4)</t>
  </si>
  <si>
    <t>GBWS-6199</t>
  </si>
  <si>
    <t>GBWS-6195</t>
  </si>
  <si>
    <t>GBWS-6216</t>
  </si>
  <si>
    <t>GBWS-6193</t>
  </si>
  <si>
    <t>PCW LINE L,R 교차부착</t>
  </si>
  <si>
    <t>GBWS-6200</t>
  </si>
  <si>
    <t>GPWS-0595</t>
  </si>
  <si>
    <t>GBWS-6206</t>
  </si>
  <si>
    <t>GBWS-6208</t>
  </si>
  <si>
    <t>GBWS-6196</t>
  </si>
  <si>
    <t>GBWS-6197</t>
  </si>
  <si>
    <t>GPWS-0594</t>
  </si>
  <si>
    <t>GBWS-6212</t>
  </si>
  <si>
    <t>GBWS-6201</t>
  </si>
  <si>
    <t xml:space="preserve">RIGHT DRAIN LINE CABINET BULKHEAD 밑단 체결 LEAK </t>
  </si>
  <si>
    <t>RIGHT QUENCH NOZZLE MALE ELBOW TEFLON부 LEAK</t>
  </si>
  <si>
    <t>GBWS-6217</t>
  </si>
  <si>
    <t>GBWS-6187</t>
  </si>
  <si>
    <t>GBWS-6238</t>
  </si>
  <si>
    <t>GBWS-6239</t>
  </si>
  <si>
    <t>GBWS-6233</t>
  </si>
  <si>
    <t>GBWS-6210</t>
  </si>
  <si>
    <t>GBWS-6211</t>
  </si>
  <si>
    <t>GBWS-6218</t>
  </si>
  <si>
    <t>GBWS-6189</t>
  </si>
  <si>
    <t>WS-0129</t>
  </si>
  <si>
    <t>3WAY V/V 다연조 SOLENOID VALVE NC/NO교차연결</t>
  </si>
  <si>
    <t>GBWS-6182</t>
  </si>
  <si>
    <t>GBWS-6188</t>
  </si>
  <si>
    <t>GBWS-6214</t>
  </si>
  <si>
    <t>GBWS-6215</t>
  </si>
  <si>
    <t>GBWS-6220</t>
  </si>
  <si>
    <t>GBWS-6221</t>
  </si>
  <si>
    <t>GBWS-6255</t>
  </si>
  <si>
    <t>GBWS-6256</t>
  </si>
  <si>
    <t>GBWS-6257</t>
  </si>
  <si>
    <t>GBWS-6258</t>
  </si>
  <si>
    <t>GBWS-6246</t>
  </si>
  <si>
    <t>GBWS-6247</t>
  </si>
  <si>
    <t>GBWS-6251</t>
  </si>
  <si>
    <t>GBWS-6252</t>
  </si>
  <si>
    <t>GBWS-6213</t>
  </si>
  <si>
    <t>GBWS-6204</t>
  </si>
  <si>
    <t>GBWS-6205</t>
  </si>
  <si>
    <t>GBWS-6241</t>
  </si>
  <si>
    <t>GBWS-6242</t>
  </si>
  <si>
    <t>WS-0128</t>
  </si>
  <si>
    <t>제조품질검사 간소화검사 시작</t>
  </si>
  <si>
    <t>GBWS-6260</t>
  </si>
  <si>
    <t>GPWS-0596</t>
  </si>
  <si>
    <t>GPWS-0597</t>
  </si>
  <si>
    <t>GBWS-6223</t>
  </si>
  <si>
    <t>GBWS-6261</t>
  </si>
  <si>
    <t>DBW-3697</t>
  </si>
  <si>
    <t>DBW-3698</t>
  </si>
  <si>
    <t>REDUCING UNION TEE FITTING NUT 우측 상단 LEAK</t>
  </si>
  <si>
    <t>GPWS-0598</t>
  </si>
  <si>
    <t>GPWS-0599</t>
  </si>
  <si>
    <t>GBWS-6240</t>
  </si>
  <si>
    <t>GBWS-6230</t>
  </si>
  <si>
    <t>GBWS-6231</t>
  </si>
  <si>
    <t>GBWS-6232</t>
  </si>
  <si>
    <t>GBA-0137</t>
  </si>
  <si>
    <t>GALLANT-A</t>
  </si>
  <si>
    <t>GBWS-6234</t>
  </si>
  <si>
    <t>GBWS-6235</t>
  </si>
  <si>
    <t>GBWS-6219</t>
  </si>
  <si>
    <t>GBWS-6243</t>
  </si>
  <si>
    <t>UNION TEE FITTING NUT 우측 상단 WATER LEAK</t>
  </si>
  <si>
    <t>GBWS-6226</t>
  </si>
  <si>
    <t>GBWS-6227</t>
  </si>
  <si>
    <t>GBWS-6249</t>
  </si>
  <si>
    <t>GBWS-6250</t>
  </si>
  <si>
    <t>GBWS-5983</t>
  </si>
  <si>
    <t>GBWS-6237</t>
  </si>
  <si>
    <t>DRAIN LINE BRACKET CAP</t>
  </si>
  <si>
    <t>DRAIN LINE BRACKET 고정 볼트 체결 누락</t>
  </si>
  <si>
    <t>GBWS-6248</t>
  </si>
  <si>
    <t>GBWS-6236</t>
  </si>
  <si>
    <t>GBWS-6224</t>
  </si>
  <si>
    <t>GBWS-6225</t>
  </si>
  <si>
    <t>GPWS-0600</t>
  </si>
  <si>
    <t>GBWS-6253</t>
  </si>
  <si>
    <t>GBWS-6254</t>
  </si>
  <si>
    <t>GBWS-6262</t>
  </si>
  <si>
    <t>GBWS-6263</t>
  </si>
  <si>
    <t>GBWS-6165</t>
  </si>
  <si>
    <t>WS-0131</t>
  </si>
  <si>
    <t>GPWS-0601</t>
  </si>
  <si>
    <t>GPWS-0602</t>
  </si>
  <si>
    <t>GBWS-6259</t>
  </si>
  <si>
    <t>WS-0130</t>
  </si>
  <si>
    <t>GBWS-6296</t>
  </si>
  <si>
    <t>GBWS-5984</t>
  </si>
  <si>
    <t>PCV820 CDA LINE 방향스티커 누락</t>
  </si>
  <si>
    <t>GBWS-6273</t>
  </si>
  <si>
    <t>GBWS-6228</t>
  </si>
  <si>
    <t>GBWS-6229</t>
  </si>
  <si>
    <t>GBWS-6275</t>
  </si>
  <si>
    <t>GBWS-6276</t>
  </si>
  <si>
    <t>GBWS-6274</t>
  </si>
  <si>
    <t>GBWS-6297</t>
  </si>
  <si>
    <t>GBWS-6298</t>
  </si>
  <si>
    <t>CIR WATER FILTER</t>
  </si>
  <si>
    <t>RIGHT CIR WATER FILTER WATER LEAK (Bolt 체결 불량)</t>
  </si>
  <si>
    <t>GBWS-6311</t>
  </si>
  <si>
    <t>GBWS-6285</t>
  </si>
  <si>
    <t>WS-0132</t>
  </si>
  <si>
    <t>GPWS-0603</t>
  </si>
  <si>
    <t>GPWS-0604</t>
  </si>
  <si>
    <t>SWIRL GUIDE MALE ELBOW NUT부 WATER LEAK</t>
  </si>
  <si>
    <t>GPWS-0605</t>
  </si>
  <si>
    <t>GBWS-6294</t>
  </si>
  <si>
    <t>GBWS-6295</t>
  </si>
  <si>
    <t>WS-0133</t>
  </si>
  <si>
    <t>WS-0134</t>
  </si>
  <si>
    <t>GBWS-6270</t>
  </si>
  <si>
    <t>GBWS-6271</t>
  </si>
  <si>
    <t>GBWS-6272</t>
  </si>
  <si>
    <t>DBW-3699</t>
  </si>
  <si>
    <t>DBW-3700</t>
  </si>
  <si>
    <t>GBWS-6290</t>
  </si>
  <si>
    <t>GBWS-6291</t>
  </si>
  <si>
    <t>GBWS-6288</t>
  </si>
  <si>
    <t>WS-0135</t>
  </si>
  <si>
    <t>GBWS-6322</t>
  </si>
  <si>
    <t>GBWS-6323</t>
  </si>
  <si>
    <t>GBWS-6324</t>
  </si>
  <si>
    <t>GBWS-6292</t>
  </si>
  <si>
    <t>GBWS-6279</t>
  </si>
  <si>
    <t>GBWS-6267</t>
  </si>
  <si>
    <t>GBWS-6264</t>
  </si>
  <si>
    <t>GBWS-6277</t>
  </si>
  <si>
    <t>GBWS-6289</t>
  </si>
  <si>
    <t>GBWS-6299</t>
  </si>
  <si>
    <t>GBWS-6300</t>
  </si>
  <si>
    <t>GBWS-6305</t>
  </si>
  <si>
    <t>GBWS-6268</t>
  </si>
  <si>
    <t>GBWS-6269</t>
  </si>
  <si>
    <t>GBWS-6293</t>
  </si>
  <si>
    <t>GBWS-6301</t>
  </si>
  <si>
    <t>GPWS-0608</t>
  </si>
  <si>
    <t>GBWS-6265</t>
  </si>
  <si>
    <t>GBWS-6306</t>
  </si>
  <si>
    <t>GBWS-6307</t>
  </si>
  <si>
    <t>GPWS-0606</t>
  </si>
  <si>
    <t>GPWS-0607</t>
  </si>
  <si>
    <t>GBWS-6302</t>
  </si>
  <si>
    <t>GBWS-6308</t>
  </si>
  <si>
    <t>GPWS-0614</t>
  </si>
  <si>
    <t>GPWS-0615</t>
  </si>
  <si>
    <t>SWIRL LINE MALE ELBOW NUT부 WATER LEAK</t>
  </si>
  <si>
    <t>GBWS-6266</t>
  </si>
  <si>
    <t>GPWS-0612</t>
  </si>
  <si>
    <t>GBWS-6286</t>
  </si>
  <si>
    <t>GBWS-6316</t>
  </si>
  <si>
    <t>SWIRL LINE MANIFOLD 체결 TEFLON부 WATER LEAK</t>
  </si>
  <si>
    <t>GBWS-6317</t>
  </si>
  <si>
    <t>QUENCH LINE MANIFOLD 체결 TEFLON부 WATER LEAK</t>
  </si>
  <si>
    <t>GBWS-6315</t>
  </si>
  <si>
    <t>WET LINE MANIFOLD 체결 TEFLON부 WATER LEAK</t>
  </si>
  <si>
    <t>GBWS-6309</t>
  </si>
  <si>
    <t>WET NOZZLE NUT부 WATER LEAK</t>
  </si>
  <si>
    <t>GBWS-6310</t>
  </si>
  <si>
    <t>GPWS-0619</t>
  </si>
  <si>
    <t>GBWS-6278</t>
  </si>
  <si>
    <t>DBW-3701</t>
  </si>
  <si>
    <t>DBW-3702</t>
  </si>
  <si>
    <t>GBWS-6314</t>
  </si>
  <si>
    <t>GBWS-6318</t>
  </si>
  <si>
    <t>GPWS-0613</t>
  </si>
  <si>
    <t>GPWS-0609</t>
  </si>
  <si>
    <t>GPWS-0610</t>
  </si>
  <si>
    <t>GPWS-0611</t>
  </si>
  <si>
    <t>GBWS-6332</t>
  </si>
  <si>
    <t>GBWS-6333</t>
  </si>
  <si>
    <t>GPWS-0620</t>
  </si>
  <si>
    <t>GBWS-6202</t>
  </si>
  <si>
    <t>GBWS-6203</t>
  </si>
  <si>
    <t>GBWS-6329</t>
  </si>
  <si>
    <t>GBWS-6330</t>
  </si>
  <si>
    <t>GBWS-6327</t>
  </si>
  <si>
    <t>GBWS-6328</t>
  </si>
  <si>
    <t>GBWS-6352</t>
  </si>
  <si>
    <t>GBWS-6331</t>
  </si>
  <si>
    <t>GBWS-6336</t>
  </si>
  <si>
    <t>GBWS-6334</t>
  </si>
  <si>
    <t>GBWS-6335</t>
  </si>
  <si>
    <t>GPWS-0616</t>
  </si>
  <si>
    <t>GPWS-0617</t>
  </si>
  <si>
    <t>GBWS-6353</t>
  </si>
  <si>
    <t>GBWS-6282</t>
  </si>
  <si>
    <t>GBWS-6325</t>
  </si>
  <si>
    <t>GBWS-6320</t>
  </si>
  <si>
    <t>고밀도</t>
  </si>
  <si>
    <t>GBWS-6321</t>
  </si>
  <si>
    <t>GBWS-6326</t>
  </si>
  <si>
    <t>GPWS-0618</t>
  </si>
  <si>
    <t>GBWS-6244</t>
  </si>
  <si>
    <t>GBWS-6303</t>
  </si>
  <si>
    <t>GBWS-6337</t>
  </si>
  <si>
    <t>WS-0136</t>
  </si>
  <si>
    <t>GBWS-6342</t>
  </si>
  <si>
    <t>GBWS-6341</t>
  </si>
  <si>
    <t>GBWS-6339</t>
  </si>
  <si>
    <t>GBWS-6338</t>
  </si>
  <si>
    <t>DRAIN LINE TE630A TEFLON부 WATER LEAK</t>
  </si>
  <si>
    <t>DRAIN LINE TE630 TEFLON부 WATER LEAK</t>
  </si>
  <si>
    <t>GBWS-6340</t>
  </si>
  <si>
    <t>GPWS-0622</t>
  </si>
  <si>
    <t>GPWS-0623</t>
  </si>
  <si>
    <t>GPWS-0624</t>
  </si>
  <si>
    <t>GBWS-6344</t>
  </si>
  <si>
    <t>GBWS-6347</t>
  </si>
  <si>
    <t>GBWS-6348</t>
  </si>
  <si>
    <t>GBWS-6349</t>
  </si>
  <si>
    <t>QUENCH LINE NOZZLE TEFLON부 WATER LEAK</t>
  </si>
  <si>
    <t>GBWS-6304</t>
  </si>
  <si>
    <t>GBWS-6356</t>
  </si>
  <si>
    <t>GBWS-6357</t>
  </si>
  <si>
    <t>GBWS-6379</t>
  </si>
  <si>
    <t>GBWS-6343</t>
  </si>
  <si>
    <t>GBWS-6350</t>
  </si>
  <si>
    <t>DBW-3703</t>
  </si>
  <si>
    <t>WET LINE CIR LINE MALE ELBOW TEFLON부 LEAK</t>
  </si>
  <si>
    <t>DBW-3704</t>
  </si>
  <si>
    <t>GBWS-6351</t>
  </si>
  <si>
    <t>GBWS-6354</t>
  </si>
  <si>
    <t>GBWS-6355</t>
  </si>
  <si>
    <t>GBWS-6358</t>
  </si>
  <si>
    <t>GBWS-6359</t>
  </si>
  <si>
    <t>GBWS-6370</t>
  </si>
  <si>
    <t>GBWS-6371</t>
  </si>
  <si>
    <t>GBWS-6365</t>
  </si>
  <si>
    <t>GBWS-6378</t>
  </si>
  <si>
    <t>GBWS-6345</t>
  </si>
  <si>
    <t>GBWS-6346</t>
  </si>
  <si>
    <t>GBWS-6360</t>
  </si>
  <si>
    <t>GBWS-6363</t>
  </si>
  <si>
    <t>DBW-3705</t>
  </si>
  <si>
    <t>GBWS-6364</t>
  </si>
  <si>
    <t>GBWS-6375</t>
  </si>
  <si>
    <t>GBWS-6376</t>
  </si>
  <si>
    <t>WET LINE UNION TEE 좌측 상단 NUT WATER LEAK</t>
  </si>
  <si>
    <t>WET LINE FLOW SENSOR CONNECTOR 체결 NUT부 WATER LEAK</t>
  </si>
  <si>
    <t>GBWS-6366</t>
  </si>
  <si>
    <t>GBWS-6367</t>
  </si>
  <si>
    <t>DBW-3706</t>
  </si>
  <si>
    <t>DBW-3707</t>
  </si>
  <si>
    <t>DBW-3708</t>
  </si>
  <si>
    <t>DBW-3709</t>
  </si>
  <si>
    <t>GBWS-6139</t>
  </si>
  <si>
    <t>GBWS-6280</t>
  </si>
  <si>
    <t>GBWS-6281</t>
  </si>
  <si>
    <t>QUENCH LINE UNION TEE 좌측 상단 NUT WATER LEAK</t>
  </si>
  <si>
    <t>GBWS-6382</t>
  </si>
  <si>
    <t>GBWS-6383</t>
  </si>
  <si>
    <t>QUENCH LINE UNION TEE 하단 NUT부 WATER LEAK</t>
  </si>
  <si>
    <t>QUENCH LINE FLOW SENSOR CONNECTOR 체결 NUT부 WATER LEAK</t>
  </si>
  <si>
    <t>DBW-3710</t>
  </si>
  <si>
    <t>GBWS-6385</t>
  </si>
  <si>
    <t>GBWS-6361</t>
  </si>
  <si>
    <t>GBWS-6362</t>
  </si>
  <si>
    <t>GBWS-6386</t>
  </si>
  <si>
    <t>GBWS-6400</t>
  </si>
  <si>
    <t>GBWS-6393</t>
  </si>
  <si>
    <t>GBWS-6394</t>
  </si>
  <si>
    <t>GBWS-6163</t>
  </si>
  <si>
    <t>GBWS-6392</t>
  </si>
  <si>
    <t>GBWS-6384</t>
  </si>
  <si>
    <t>MALE ELBOW WET LINE MANIFOLD TEFLON부 LEAK</t>
  </si>
  <si>
    <t>GBWS-6403</t>
  </si>
  <si>
    <t>GBWS-6373</t>
  </si>
  <si>
    <t>GBWS-6374</t>
  </si>
  <si>
    <t>GBWS-6395</t>
  </si>
  <si>
    <t>GBWS-6396</t>
  </si>
  <si>
    <t>GBWS-6397</t>
  </si>
  <si>
    <t>WS-0137</t>
  </si>
  <si>
    <t>GPWS-0627</t>
  </si>
  <si>
    <t>GBWS-6368</t>
  </si>
  <si>
    <t>GBWS-6369</t>
  </si>
  <si>
    <t>DBW-3711</t>
  </si>
  <si>
    <t>GBWS-6399</t>
  </si>
  <si>
    <t>GBWS-6319</t>
  </si>
  <si>
    <t>GBWS-6402</t>
  </si>
  <si>
    <t>GPWS-0629</t>
  </si>
  <si>
    <t>GBWS-6398</t>
  </si>
  <si>
    <t>SWIRL GUIDE 작업 이후 MALE ELBOW 미체결</t>
  </si>
  <si>
    <t>GBWS-6387</t>
  </si>
  <si>
    <t>GBWS-6388</t>
  </si>
  <si>
    <t>GBWS-6389</t>
  </si>
  <si>
    <t>GBWS-6404</t>
  </si>
  <si>
    <t>GPWS-0630</t>
  </si>
  <si>
    <t>GPWS-0631</t>
  </si>
  <si>
    <t>MINI CHILLER BCW OUT단 NUT 체결강도부족</t>
  </si>
  <si>
    <t>GBWS-6401</t>
  </si>
  <si>
    <t>GPWS-0628</t>
  </si>
  <si>
    <t>GBWS-6405</t>
  </si>
  <si>
    <t>GBWS-6380</t>
  </si>
  <si>
    <t>GBWS-6381</t>
  </si>
  <si>
    <t>GPWS-0632</t>
  </si>
  <si>
    <t>GPWS-0633</t>
  </si>
  <si>
    <t>GPWS-0625</t>
  </si>
  <si>
    <t>GPWS-0626</t>
  </si>
  <si>
    <t>GBWS-6408</t>
  </si>
  <si>
    <t>GBWS-6245</t>
  </si>
  <si>
    <t>GPWS-0639</t>
  </si>
  <si>
    <t>WET LINE FLOW SENSOR CONNECTOR 체결 TEFLON부 WATER LEAK</t>
  </si>
  <si>
    <t>QUENCH LINE FLOW SENSOR CONNECTOR 체결 TEFLON부 WATER LEAK</t>
  </si>
  <si>
    <t>GPWS-0640</t>
  </si>
  <si>
    <t>GBWS-6414</t>
  </si>
  <si>
    <t>WET LINE MANIFOLD 체결 NUT부 WATER LEAK</t>
  </si>
  <si>
    <t>라벨스티커</t>
  </si>
  <si>
    <t>YVD06A&lt;-&gt;YVD07A 교차 부착</t>
  </si>
  <si>
    <t>BCW FLOW STICKER 역방향 부착</t>
  </si>
  <si>
    <t>GBWS-6422</t>
  </si>
  <si>
    <t>GBWS-6406</t>
  </si>
  <si>
    <t>QUENCH LINE NOZZLE 체결 NUT부 WATER LEAK</t>
  </si>
  <si>
    <t>GBA-0138</t>
  </si>
  <si>
    <t>GBA-0139</t>
  </si>
  <si>
    <t>GBA-0140</t>
  </si>
  <si>
    <t>GBWS-6166</t>
  </si>
  <si>
    <t>GBA-0141</t>
  </si>
  <si>
    <t>GBA-0142</t>
  </si>
  <si>
    <t>GBA-0143</t>
  </si>
  <si>
    <t>GBWS-6377</t>
  </si>
  <si>
    <t>GBWS-6417</t>
  </si>
  <si>
    <t>GBWS-6418</t>
  </si>
  <si>
    <t>GBWS-6284</t>
  </si>
  <si>
    <t>GBWS-6283</t>
  </si>
  <si>
    <t>GBWS-6415</t>
  </si>
  <si>
    <t>GBWS-6409</t>
  </si>
  <si>
    <t>GPWS-0634</t>
  </si>
  <si>
    <t>PAB</t>
  </si>
  <si>
    <t>RIGHT PAB SENSOR 체결 BALL VALVE MEDAL 누락</t>
  </si>
  <si>
    <t>GPWS-0635</t>
  </si>
  <si>
    <t>GBWS-6410</t>
  </si>
  <si>
    <t>GBWS-6411</t>
  </si>
  <si>
    <t>GBWS-6413</t>
  </si>
  <si>
    <t>GPWS-0636</t>
  </si>
  <si>
    <t>LEFT QUENCH ↔ WET 교차조립 (FLOW SENSOR 시작 WET - 체결 QUENCH)</t>
  </si>
  <si>
    <t>LEFT QUENCH ↔ WET 교차조립 (FLOW SENSOR 시작 QUENCH - 체결 WET)</t>
  </si>
  <si>
    <t>RIGHT QUENCH ↔ WET 교차조립 (FLOW SENSOR 시작 WET - 체결 QUENCH)</t>
  </si>
  <si>
    <t>RIGHT QUENCH ↔ WET 교차조립 (FLOW SENSOR 시작 QUENCH - 체결 WET)</t>
  </si>
  <si>
    <t>RIGHT WET LINE MALE ELBOW FITTING NUT TEFLON부 LEAK</t>
  </si>
  <si>
    <t>LEFT VENTURI LINE MALE ELBOW FITTING NUT TEFLON부 LEAK</t>
  </si>
  <si>
    <t>LEFT WET LINE MALE ELBOW FITTING NUT TEFLON부 LEAK</t>
  </si>
  <si>
    <t>LEFT QUENCH LINE MALE ELBOW FITTING NUT TEFLON부 LEAK</t>
  </si>
  <si>
    <t>GPWS-0637</t>
  </si>
  <si>
    <t>RIGHT QUENCH LINE MALE ELBOW FITTING NUT NUT부 LEAK</t>
  </si>
  <si>
    <t>RIGHT VENTURI LINE MALE ELBOW FITTING NUT TEFLON부 LEAK</t>
  </si>
  <si>
    <t>GBWS-6421</t>
  </si>
  <si>
    <t>RIGHT SWIRL LINE FLOW SENSOR CONNECTOR 체결 MALE ELBOW NUT부 WATER LEAK</t>
  </si>
  <si>
    <t>LEFT QUENCH ↔ WET 교차조립 (FLOW SENSOR 시작 WET - 체결 QUENCH</t>
  </si>
  <si>
    <t>LEFT QUENCH ↔ WET 교차조립 (FLOW SENSOR 시작 QUENCH - 체결 WET</t>
  </si>
  <si>
    <t>GBWS-6426</t>
  </si>
  <si>
    <t>GBWS-6412</t>
  </si>
  <si>
    <t>GBWS-6424</t>
  </si>
  <si>
    <t>GBWS-6425</t>
  </si>
  <si>
    <t>GBWS-6416</t>
  </si>
  <si>
    <t>DBW-3712</t>
  </si>
  <si>
    <t>DBW-3713</t>
  </si>
  <si>
    <t>QUENCH LINE MANIFOLD 체결 MALE ELBOW TEFLON부 WATER LEAK</t>
  </si>
  <si>
    <t>GBWS-6436</t>
  </si>
  <si>
    <t>GBWS-6437</t>
  </si>
  <si>
    <t>GBWS-6435</t>
  </si>
  <si>
    <t>GBWS-6427</t>
  </si>
  <si>
    <t>GBWS-6433</t>
  </si>
  <si>
    <t>GBWS-6434</t>
  </si>
  <si>
    <t>GBWS-6312</t>
  </si>
  <si>
    <t>SWIRL LINE 분기 UNION TEE 우측 상단 NUT부 WATER LEAK</t>
  </si>
  <si>
    <t>GBWS-6313</t>
  </si>
  <si>
    <t>GBWS-6438</t>
  </si>
  <si>
    <t xml:space="preserve">LEFT WET LINE FLOW SENSOR CONNECTOR 체결부 MALE ELBOW TEFLON부 LEAK </t>
  </si>
  <si>
    <t>GBWS-6110</t>
  </si>
  <si>
    <t>GPWS-0643</t>
  </si>
  <si>
    <t xml:space="preserve">RIGHT VENTURI LINE FLOW SENSOR CONNECTOR 체결부 MALE ELBOW TEFLON부 LEAK </t>
  </si>
  <si>
    <t xml:space="preserve">RIGHT QUENCH LINE FLOW SENSOR CONNECTOR 체결부 MALE ELBOW TEFLON부 LEAK </t>
  </si>
  <si>
    <t>GPWS-0638</t>
  </si>
  <si>
    <t xml:space="preserve">RIGHT WET LINE FLOW SENSOR CONNECTOR 체결부 MALE ELBOW TEFLON부 LEAK </t>
  </si>
  <si>
    <t>GBWS-6441</t>
  </si>
  <si>
    <t>R. WET LINE 분기 UNION TEE 하단 NUT부 LEAK</t>
  </si>
  <si>
    <t>GBWS-6442</t>
  </si>
  <si>
    <t>L. QUENCH LINE REACTOR NOZZLE 체결부 MALE ELBOW NUT부 LEAK</t>
  </si>
  <si>
    <t>GBWS-6443</t>
  </si>
  <si>
    <t>GBWS-6430</t>
  </si>
  <si>
    <t>GBWS-6431</t>
  </si>
  <si>
    <t xml:space="preserve">R. WET LINE MANIFOLD 체결부 MALE CONNECTOR TEFLON부 LEAK </t>
  </si>
  <si>
    <t xml:space="preserve">R. QUENCH LINE MANIFOLD 체결부 MALE CONNECTOR TEFLON부 LEAK </t>
  </si>
  <si>
    <t>GBWS-6439</t>
  </si>
  <si>
    <t>GBWS-6508</t>
  </si>
  <si>
    <t>LAMP</t>
  </si>
  <si>
    <t>TOWER LAMP</t>
  </si>
  <si>
    <t>TOWER LAMP 스티커 미부착</t>
  </si>
  <si>
    <t>GBWS-6419</t>
  </si>
  <si>
    <t>GBWS-6507</t>
  </si>
  <si>
    <t>CONTROLLER_TEMP</t>
  </si>
  <si>
    <t>H/J CONTROLLER 좌/우 교차연결</t>
  </si>
  <si>
    <t>GPWS-0644</t>
  </si>
  <si>
    <t xml:space="preserve"> WET LINE MALE ELBOW TEFLON부 LEAK (NPT1/2, PVDF, 체결이상 무)</t>
  </si>
  <si>
    <t>GPWS-0645</t>
  </si>
  <si>
    <t>GPWS-0646</t>
  </si>
  <si>
    <t>QUENCH LINE MALE ELBOW TEFLON부 LEAK (NPT1/2, PVDF, 체결이상 무)</t>
  </si>
  <si>
    <t>GBWS-6428</t>
  </si>
  <si>
    <t xml:space="preserve">L. QUENCH LINE MANIFOLD 체결부 MALE CONNECTOR TEFLON부 LEAK </t>
  </si>
  <si>
    <t xml:space="preserve">L. WET LINE MANIFOLD 체결부 MALE CONNECTOR TEFLON부 LEAK </t>
  </si>
  <si>
    <t>GBWS-6429</t>
  </si>
  <si>
    <t xml:space="preserve">L. SWIRL LINE MANIFOLD 체결부 MALE CONNECTOR TEFLON부 LEAK </t>
  </si>
  <si>
    <t>GBWS-6432</t>
  </si>
  <si>
    <t>GBWS-6444</t>
  </si>
  <si>
    <t>GBWS-6453</t>
  </si>
  <si>
    <t>GBWS-6150</t>
  </si>
  <si>
    <t>GBWS-6457</t>
  </si>
  <si>
    <t>GBWS-6458</t>
  </si>
  <si>
    <t>GBWS-6454</t>
  </si>
  <si>
    <t>GBWS-6510</t>
  </si>
  <si>
    <t>GBWS-6511</t>
  </si>
  <si>
    <t>GPWS-0647</t>
  </si>
  <si>
    <t>GPWS-0648</t>
  </si>
  <si>
    <t>GBWS-6420</t>
  </si>
  <si>
    <t>GBWS-6287</t>
  </si>
  <si>
    <t>GBWS-6452</t>
  </si>
  <si>
    <t>GBWS-6455</t>
  </si>
  <si>
    <t>GPWS-0652</t>
  </si>
  <si>
    <t>COVER</t>
  </si>
  <si>
    <t>TORCH COVER</t>
  </si>
  <si>
    <t>TORCH COVER 장착누락</t>
  </si>
  <si>
    <t>GPWS-0641</t>
  </si>
  <si>
    <t>GPWS-0642</t>
  </si>
  <si>
    <t>GBWS-6423</t>
  </si>
  <si>
    <t>L. SWIRL LINE MANIFOLD 체결부 MALE CONNECTOR NUT부 LEAK</t>
  </si>
  <si>
    <t>R. WET LINE MANIFOLD 체결부 MALE CONNECTOR TEFLON부 LEAK</t>
  </si>
  <si>
    <t>GBWS-6445</t>
  </si>
  <si>
    <t>GBWS-6463</t>
  </si>
  <si>
    <t>H/J CONNECTOR CH14↔CH15 교차연결</t>
  </si>
  <si>
    <t>GBWS-6464</t>
  </si>
  <si>
    <t>DRAIN LINE TE630 NUT부 WATER LEAK</t>
  </si>
  <si>
    <t>GBWS-6446</t>
  </si>
  <si>
    <t>GBWS-6448</t>
  </si>
  <si>
    <t>GBWS-6449</t>
  </si>
  <si>
    <t>L. QUENCH LINE MANIFOLD 체결부 MALE CONNECTOR TEFLON부 LEAK</t>
  </si>
  <si>
    <t>L. WET LINE MANIFOLD 체결부 MALE CONNECTOR TEFLON부 LEAK</t>
  </si>
  <si>
    <t>R. SWIRL LINE MANIFOLD 체결부 MALE CONNECTOR TEFLON부 LEAK</t>
  </si>
  <si>
    <t>GBWS-6509</t>
  </si>
  <si>
    <t>L. WET LINE MANIFOLD 체결부 MALE ELBOW TEFLON부 LEAK</t>
  </si>
  <si>
    <t>GBWS-6456</t>
  </si>
  <si>
    <t>DS-0098</t>
  </si>
  <si>
    <t>테크센트</t>
  </si>
  <si>
    <t>SDS-500</t>
  </si>
  <si>
    <t>GBWS-6447</t>
  </si>
  <si>
    <t>GBWS-6470</t>
  </si>
  <si>
    <t>L.DRAIN LINE TE630 TEFLON부 WATER LEAK</t>
  </si>
  <si>
    <t>GBWS-6471</t>
  </si>
  <si>
    <t>GBWS-6440</t>
  </si>
  <si>
    <t>GBWS-6465</t>
  </si>
  <si>
    <t>GBWS-6466</t>
  </si>
  <si>
    <t>R.DRAIN LINE TE630A TEFLON부 WATER LEAK</t>
  </si>
  <si>
    <t>GBWS-6467</t>
  </si>
  <si>
    <t>NO</t>
  </si>
  <si>
    <t>제품S/N</t>
  </si>
  <si>
    <t>제품코드</t>
  </si>
  <si>
    <t>제품명</t>
  </si>
  <si>
    <t>협력사(기구)명</t>
  </si>
  <si>
    <t>협력사(전장)명</t>
  </si>
  <si>
    <t>검출단계</t>
  </si>
  <si>
    <t>대분류</t>
  </si>
  <si>
    <t>중분류</t>
  </si>
  <si>
    <t>Chamber</t>
  </si>
  <si>
    <t>발생일</t>
  </si>
  <si>
    <t>부품코드</t>
  </si>
  <si>
    <t>상세불량내용</t>
  </si>
  <si>
    <t>불량위치</t>
    <phoneticPr fontId="7" type="noConversion"/>
  </si>
  <si>
    <t>상세조치내용</t>
  </si>
  <si>
    <t>비고</t>
  </si>
  <si>
    <t>조치자(외주)</t>
  </si>
  <si>
    <t>작업자</t>
  </si>
  <si>
    <t>FNI 기구</t>
  </si>
  <si>
    <t>C&amp;A 전장</t>
  </si>
  <si>
    <t>기구작업불량</t>
  </si>
  <si>
    <t>Leak</t>
  </si>
  <si>
    <t>MALE ELBOW (PP)</t>
  </si>
  <si>
    <t>MALE ELBOW Fitting nut Water Leak (Teflon부)</t>
  </si>
  <si>
    <t>Swirl Line ManiFold Teflon부 Leak</t>
  </si>
  <si>
    <t>Teflon 작업</t>
  </si>
  <si>
    <t>제조(Water Leak)</t>
  </si>
  <si>
    <t>이동민TMS</t>
  </si>
  <si>
    <t>BAT 기구</t>
  </si>
  <si>
    <t>P&amp;S 전장</t>
  </si>
  <si>
    <t>Swirl Line Manifold Teflon부 Leak</t>
  </si>
  <si>
    <t>UNION ELBOW Fitting nut Water Leak (IN단)</t>
  </si>
  <si>
    <t>UNION ELBOW IN단 Water Leak</t>
  </si>
  <si>
    <t>전장작업불량</t>
  </si>
  <si>
    <t>LEAK SENSOR</t>
  </si>
  <si>
    <t>넘버링튜브 오부착</t>
  </si>
  <si>
    <t>Leak Sensor WLSF10A 넘버링튜브 오기</t>
  </si>
  <si>
    <t>오권석P&amp;S</t>
  </si>
  <si>
    <t>GAIA-P20</t>
  </si>
  <si>
    <t>부품불량</t>
  </si>
  <si>
    <t>조립불량</t>
  </si>
  <si>
    <t>POWER SUPPLY</t>
  </si>
  <si>
    <t>POWER 조절 Dial 누락</t>
  </si>
  <si>
    <t>POWER SUPPLY POWER Dial 누락</t>
  </si>
  <si>
    <t>TMS 전장</t>
  </si>
  <si>
    <t>동작불량</t>
  </si>
  <si>
    <t>Flow Sensor 유량값 출력 불량</t>
  </si>
  <si>
    <t>Swirl 유량값 출력 불량</t>
  </si>
  <si>
    <t>핀빠짐</t>
  </si>
  <si>
    <t>AUTOMATION_USER INTERFACE_TOUCH SCREEN</t>
  </si>
  <si>
    <t>Touch Screen, PLC 간 통신 불가</t>
  </si>
  <si>
    <t>전장 D-sub Cable 납땜 불량으로 인한 통신 불가</t>
  </si>
  <si>
    <t>백상걸C&amp;A</t>
  </si>
  <si>
    <t>외관불량</t>
  </si>
  <si>
    <t>Manifold Socket 연결 Pipe 색상 상이</t>
  </si>
  <si>
    <t>CIR WATER Manifold Socket 연결 Pipe 색상 상이(정상: PP Ivory, 실물: PP Clear)</t>
  </si>
  <si>
    <t>Heat Exchanger 내부 판 조립오류</t>
  </si>
  <si>
    <t>열교환기 내부 판 조립 오류</t>
  </si>
  <si>
    <t>GAS DETECTOR</t>
  </si>
  <si>
    <t>Gas Detector 내부 카트리지 누락으로 디스플레이 미출력</t>
  </si>
  <si>
    <t>Gas Detector 내부 카트리지 누락</t>
  </si>
  <si>
    <t>ELECTRIC_SW/ LAMP/ BZ_TOWER LAMP</t>
  </si>
  <si>
    <t>경광등 Buzzer 소리 상이</t>
  </si>
  <si>
    <t>GAIA-I SINGLE</t>
  </si>
  <si>
    <t>PNEU VALVE</t>
  </si>
  <si>
    <t>Pneu Valve 공압 BANJO 조립 불량</t>
  </si>
  <si>
    <t>Drain Line 공압 밸브 반조 조립 위치 불량</t>
  </si>
  <si>
    <t>ELECTRIC_CB/ CP_MMS</t>
  </si>
  <si>
    <t>MMS L1상 도통 불가</t>
  </si>
  <si>
    <t>COCK VALVE</t>
  </si>
  <si>
    <t>Cock Vavle Handle Body Water Leak</t>
  </si>
  <si>
    <t>Right Circulation Filter Box Cock Vavle Handle 부 Leak 발생</t>
  </si>
  <si>
    <t>H/J Controller 13~18Ch ErS 발생</t>
  </si>
  <si>
    <t>H/J Controller 13~18Ch ErS 발생 / 내부 Board Cable 교체 후 정상동작 확인</t>
  </si>
  <si>
    <t>CIR WATER Manifold 용접부 Leak</t>
  </si>
  <si>
    <t>Left Circulation WATER Manifold 용접부 Leak</t>
  </si>
  <si>
    <t>TMS 기구</t>
  </si>
  <si>
    <t>MALE ELBOW Fitting Nut Water Leak</t>
  </si>
  <si>
    <t>Drain Line Male Elbow fitting nut Water Leak</t>
  </si>
  <si>
    <t>REGULATOR IN, OUT TUBE 교차 연결</t>
  </si>
  <si>
    <t>CDA Line Regulator 튜빙 교차 연결(In, Out)</t>
  </si>
  <si>
    <t>서명환FNI</t>
  </si>
  <si>
    <t>Swirl Line Male Elbow Fitting nut water Leak</t>
  </si>
  <si>
    <t>ELECTRIC_TRANSFORMER_ETC</t>
  </si>
  <si>
    <t>Left Ignition Box 내 Ignition Transformer Part 내부 단선</t>
  </si>
  <si>
    <t>H/J Controller 11Ch ErH 발생</t>
  </si>
  <si>
    <t>Right H/J Controller 11Ch ErH 발생 / Controller 내부 14Pin FIAT Cable 교체 후 정상동작 확인</t>
  </si>
  <si>
    <t>MALE ELBOW Fitting nut Water Leak (IN단)</t>
  </si>
  <si>
    <t>Left Circulation Filter Box Cock Vavle Handle 부 Leak 발생</t>
  </si>
  <si>
    <t>Heating Jacket Connetcor 미체결</t>
  </si>
  <si>
    <t>Heating Jacket Ch. 1, 2, 3 Connetcor 미체결</t>
  </si>
  <si>
    <t>박종범BAT</t>
  </si>
  <si>
    <t>MALE ELBOW Fitting nut Water Leak (OUT단)</t>
  </si>
  <si>
    <t>Ch11 전류값 Reading 불가, ErH 발생</t>
  </si>
  <si>
    <t>ELECTRIC_FAN_DC FAN</t>
  </si>
  <si>
    <t>ELECTRIC_FAN_DC FAN 파트 접점 출력 불량</t>
  </si>
  <si>
    <t>H/J Controller 6Ch ErH 발생</t>
  </si>
  <si>
    <t>Ch.6 전류값 Reading 불가, ErH 발생</t>
  </si>
  <si>
    <t>리액터 클로 클램프 미완체결</t>
  </si>
  <si>
    <t>자체조치</t>
  </si>
  <si>
    <t>김경민TMS</t>
  </si>
  <si>
    <t>　CONTROLLER_TEMP</t>
  </si>
  <si>
    <t>H/J 케이블 묶음 장력 발생</t>
  </si>
  <si>
    <t>H/J 케이블 묶음 장력 발생으로 케이블 재배치</t>
  </si>
  <si>
    <t>이영식FNI</t>
  </si>
  <si>
    <t>MFC BRACKET</t>
  </si>
  <si>
    <t>MFC BRACKET 고정 볼트 아이마킹 누락</t>
  </si>
  <si>
    <t>O2, LNG Line MFC Bracket 고정 볼트 아이마킹 누락</t>
  </si>
  <si>
    <t>KEY OPERATION VALVE 메달 오부착</t>
  </si>
  <si>
    <t>MV500 메달 오류 ( 정상 : Normal Open / 실물 : Normal Close )</t>
  </si>
  <si>
    <t>GBWS-5745</t>
  </si>
  <si>
    <t>HEAT EXCHANGER PCW-R 스티커 방향 오부착</t>
  </si>
  <si>
    <t>PFA TUBE</t>
  </si>
  <si>
    <t>PFA TUBE 꺾임</t>
  </si>
  <si>
    <t>순환 라인 PFA 튜브 꺾임</t>
  </si>
  <si>
    <t>Wet 노즐 Teflon부 리크</t>
  </si>
  <si>
    <t>MMS R상 통전 불량</t>
  </si>
  <si>
    <t>다연조 Solenoid Valve Bracket 고정 Bolt I-marking 누락</t>
  </si>
  <si>
    <t>정인규BAT</t>
  </si>
  <si>
    <t>부품누락</t>
  </si>
  <si>
    <t>Lng, O2, CDA, GN2 Line Normal Open 메달 및 태그 누락 4POINT</t>
  </si>
  <si>
    <t>우미현BAT</t>
  </si>
  <si>
    <t>사양불일치</t>
  </si>
  <si>
    <t>TOWER LAMP 오장착</t>
  </si>
  <si>
    <t>TOWER LAMP 경광등 순서 오류 (실물 빨초노 - 도면 빨노초)</t>
  </si>
  <si>
    <t>김주용TMS</t>
  </si>
  <si>
    <t>MALE ELBOW Fitting nut Water Leak (NUT부)</t>
  </si>
  <si>
    <t>Swirl Line Manifold MALE ELBOW NUT부 Leak</t>
  </si>
  <si>
    <t>HJ CONTROLLER BRACKET</t>
  </si>
  <si>
    <t>HJ CONTROLLER BRACKET 휨 현상</t>
  </si>
  <si>
    <t>HEAT EXCHANGER 스티커 오부착</t>
  </si>
  <si>
    <t>HEAT EXCHANGER PCW COLD IN, OUT 스티커 오부착</t>
  </si>
  <si>
    <t>지화TMS</t>
  </si>
  <si>
    <t>GAUGE CONNECTOR</t>
  </si>
  <si>
    <t>PRESSURE SENSOR 스티커 부착 누락</t>
  </si>
  <si>
    <t>PRESSURE SENSOR 스티커 부착 누락(PD700, PD700A)</t>
  </si>
  <si>
    <t>이영자FNI</t>
  </si>
  <si>
    <t>Ball Valve 스티커 오부착</t>
  </si>
  <si>
    <t>Regulator 스티커 부착 누락</t>
  </si>
  <si>
    <t>최진우BAT</t>
  </si>
  <si>
    <t>정대한BAT</t>
  </si>
  <si>
    <t>000000016221</t>
  </si>
  <si>
    <t>1200852000</t>
  </si>
  <si>
    <t>Touch Screen 실금 발생</t>
  </si>
  <si>
    <t>Touc Screen 실금 발생으로 파트교체 진행</t>
  </si>
  <si>
    <t>김대진GST</t>
  </si>
  <si>
    <t>PCW Line P&amp;ID 스티커 미부착</t>
  </si>
  <si>
    <t>MALE CONNECTOR (PP)</t>
  </si>
  <si>
    <t>MALE CONNECTOR Fitting nut Water Leak (Teflon부)</t>
  </si>
  <si>
    <t>이선만TMS</t>
  </si>
  <si>
    <t>WATER TANK FRAME BOLT 체결 불량</t>
  </si>
  <si>
    <t>WATER TANK FRAME BOLT SPRING WASHER 체결 불량</t>
  </si>
  <si>
    <t>윤춘국FNI</t>
  </si>
  <si>
    <t>DOOR SWITCH 장착 불량</t>
  </si>
  <si>
    <t>Door Switch 미수평 장착으로 인해 Door Close 불가</t>
  </si>
  <si>
    <t>김인욱C&amp;A</t>
  </si>
  <si>
    <t>Reactor Claw Clamp 체결 후 I-marking 누락 전 POINT</t>
  </si>
  <si>
    <t>N2 Line Regulator 스티커 미부착</t>
  </si>
  <si>
    <t>Speed Controller 역방향 조립</t>
  </si>
  <si>
    <t>SpeedController N.SCR110 역방향 조립</t>
  </si>
  <si>
    <t>MFC D-SUB CONNECTOR 볼트 불량</t>
  </si>
  <si>
    <t>O2 MFC D-SUB CONNECTOR 고정 볼트 불량</t>
  </si>
  <si>
    <t>김선교TMS</t>
  </si>
  <si>
    <t>BURNER GAS NOZZLE COVER</t>
  </si>
  <si>
    <t>BUNNER GAS NOZZLE COVER 휨으로 인한 IGNITION 불가</t>
  </si>
  <si>
    <t>MALE CONNECTOR Fitting NUT Water Leak (Teflon부)</t>
  </si>
  <si>
    <t>DRAIN LINE PUMP NUT 체결불량으로 인한 WATER LEAK</t>
  </si>
  <si>
    <t>MALE ELBOW Fitting nut Water Leak (TEFLON)</t>
  </si>
  <si>
    <t>Swirl Line Manifold MALE ELBOW TEFLON부 Leak</t>
  </si>
  <si>
    <t>3WAY ACTUATOR VALVE</t>
  </si>
  <si>
    <t xml:space="preserve">3WAY ACTUATOR VALVE I-marking 누락 </t>
  </si>
  <si>
    <t>3WAY ACTUATOR VALVE 브라켓 고정 볼트 I-marking 누락</t>
  </si>
  <si>
    <t>간연웅BAT</t>
  </si>
  <si>
    <t>O2 LINE P&amp;ID 스티커 누락</t>
  </si>
  <si>
    <t>O2 LINE MAIN V/V 상단 P&amp;ID 스티커 누락</t>
  </si>
  <si>
    <t>KEY OPERATION VALVE KEY 누락</t>
  </si>
  <si>
    <t>PCW, BCW LINE KEY OPERATION VALVE KEY 누락</t>
  </si>
  <si>
    <t>김용수FNI</t>
  </si>
  <si>
    <t>UV IR SENSOR 스티커 오부착</t>
  </si>
  <si>
    <t xml:space="preserve">UV IR SENSOR 스티커 오부착 (실물:EVD03 정상:UVD03) </t>
  </si>
  <si>
    <t>Left RS-485 통신 Cale 불량</t>
  </si>
  <si>
    <t>LEFT RS 통신 CABLE 불량으로 인한 대체품 교체</t>
  </si>
  <si>
    <t>BCW LINE P&amp;ID 스티커 누락</t>
  </si>
  <si>
    <t>BCW LINE MAIN V/V 상단 P&amp;ID 스티커 누락</t>
  </si>
  <si>
    <t>FLOW SENSOR 연결 MALE ELBOW 테프론부 LEAK (테프론자동권선Test,7바퀴)</t>
  </si>
  <si>
    <t>이성균TMS</t>
  </si>
  <si>
    <t>FLOW SENSOR 연결 MALE ELBOW 테프론부 LEAK (테프론자동권선Test,10바퀴)</t>
  </si>
  <si>
    <t>작업누락</t>
  </si>
  <si>
    <t>CLAMP(NW25) 핀 미체결</t>
  </si>
  <si>
    <t>TOGGLE CLAMP 핀 미체결</t>
  </si>
  <si>
    <t xml:space="preserve">Reactor Claw Clamp 체결 후 I-marking 누락 </t>
  </si>
  <si>
    <t>UNION ELBOW I-marking 누락</t>
  </si>
  <si>
    <t>SCREW SCRAPER N2 PURGE UNION ELBOW I-marking 누락</t>
  </si>
  <si>
    <t>윤청용BAT</t>
  </si>
  <si>
    <t>MALE CONNECTOR FITTING NUT WATER LEAK(Teflon부)</t>
  </si>
  <si>
    <t xml:space="preserve"> CIR WATER MANIFOLD MALE CONNECTOR Teflon 체결부 LEAK </t>
  </si>
  <si>
    <t>홍용천FNI</t>
  </si>
  <si>
    <t>1/2" STS TUBE 클리닝 미진행</t>
  </si>
  <si>
    <t>LEFT, RIGHT O2 LINE 펜자국 클리닝 미진행</t>
  </si>
  <si>
    <t>서정원FNI</t>
  </si>
  <si>
    <t>LEFT WET NOZZLE MALE ELBOW Teflon부 Water leak</t>
  </si>
  <si>
    <t>HEAT EXCHANGER BRACKET 고정 볼트 I-MARKING 누락</t>
  </si>
  <si>
    <t xml:space="preserve"> BRAZED PLATE HEAT EXCHANGER BRACKET 고정 볼트 I-MARKING 누락</t>
  </si>
  <si>
    <t>임동국BAT</t>
  </si>
  <si>
    <t>FLOW SENSOR P&amp;ID 라벨 오부착</t>
  </si>
  <si>
    <t>QUENCH FLOW SENSOR P&amp;ID 라벨 오부착 (FD670 / FD660 교차부착)</t>
  </si>
  <si>
    <t xml:space="preserve">CIR WATER MANIFOLD MALE CONNECTOR Teflon 체결부 LEAK </t>
  </si>
  <si>
    <t>H/J CONNECTOR 미체결</t>
  </si>
  <si>
    <t>박천일FNI</t>
  </si>
  <si>
    <t>ELECTRIC_TERMINAL BLOCK_COVER</t>
  </si>
  <si>
    <t>DOOR SWITCH TB 라벨 스티커 입력 불량</t>
  </si>
  <si>
    <t>DOOR SWITCH TB (실물 DOOR SWITC H TB , 도면 DOOR SWITCH TB ) 줄맞춤</t>
  </si>
  <si>
    <t>우강TMS</t>
  </si>
  <si>
    <t>LED LAMP CP 라벨 스티커 입력 불량</t>
  </si>
  <si>
    <t>LED LAMP CP (실물CPD2 20 도면 CPD 220) 줄맞춤</t>
  </si>
  <si>
    <t>BRAZED PLATE HEAT EXCHANGER BRACKET 고정 볼트 I-MARKING 누락</t>
  </si>
  <si>
    <t>H/J Error 통신 상시 On</t>
  </si>
  <si>
    <t>통신 부분 내부 Jump 장착 오류로 인한 상시 발생</t>
  </si>
  <si>
    <t>공급사(품질)</t>
  </si>
  <si>
    <t>FLOW SENSOR ORIFICE CONNECTOR</t>
  </si>
  <si>
    <t>Swirl Line 유량 약 1LPM 저하 발생</t>
  </si>
  <si>
    <t>공급사 현장 조치(Hole 수정)</t>
  </si>
  <si>
    <t xml:space="preserve">125A ELBOW EXHAUST CLAMP I-MARKING 누락 </t>
  </si>
  <si>
    <t>간영웅BAT</t>
  </si>
  <si>
    <t>CIR WATER LINE 방향스티커 테이프 미부착</t>
  </si>
  <si>
    <t>CIR WATER LINE 방향스티커 부착후 테이핑 작업 미실시</t>
  </si>
  <si>
    <t>WET 1000</t>
  </si>
  <si>
    <t>에프앤아이(FnI)</t>
  </si>
  <si>
    <t>(주)씨앤에이시스템</t>
  </si>
  <si>
    <t>I/O TEST이후 SENSOR BOX SENSOR CABLE 방수캡 미착용</t>
  </si>
  <si>
    <t>WET TOWER MALE ELBOW Teflon부 Water leak</t>
  </si>
  <si>
    <t>이용TMS</t>
  </si>
  <si>
    <t>QUENCH NOZZLE MALE ELBOW Teflon부 Water Leak</t>
  </si>
  <si>
    <t>MALE ELBOW FITTING NUT WATER LEAK(TEFLON부)</t>
  </si>
  <si>
    <t>MANIFOLD MALE ELBOW TEFLON 체결부 WATER LEAK</t>
  </si>
  <si>
    <t>설정오류</t>
  </si>
  <si>
    <t>CABLE TIE</t>
  </si>
  <si>
    <t>Cable Tie 체결 후 Cutting 누락</t>
  </si>
  <si>
    <t>전장 하네스부 Cable Tie 체결 후 Cutting 누락</t>
  </si>
  <si>
    <t>RESISTIVITY SENSOR I-Marking 누락</t>
  </si>
  <si>
    <t>PCW-R RESISTIVITY SENSOR I-Marking 누락</t>
  </si>
  <si>
    <t>LNG VCR FLEXIBLE TUBE I-Marking 누락</t>
  </si>
  <si>
    <t>배홍범TMS</t>
  </si>
  <si>
    <t>SENSOR_LEVEL_DIGITAL</t>
  </si>
  <si>
    <t>SENSOR_LEVEL_DIGITAL 방향 오조립</t>
  </si>
  <si>
    <t>WET TANK SENSOR_LEVEL_DIGITAL 방향 오조립</t>
  </si>
  <si>
    <t>정지성C&amp;A</t>
  </si>
  <si>
    <t>DOOR STAY 사용 주의 스티커</t>
  </si>
  <si>
    <t>DOOR STAY 사용 주의 스티커 접착면 불량</t>
  </si>
  <si>
    <t>전면 DOOR STAY 사용 주의 스티커 접착면 불량</t>
  </si>
  <si>
    <t>UNION TEE Fitting Nut WATER LEAK (NUT부)</t>
  </si>
  <si>
    <t>Swirl Line UNION TEE WATER LEAK(NUT부)</t>
  </si>
  <si>
    <t>QUENCH NOZZLE MALE ELBOW NUT부 Water Leak</t>
  </si>
  <si>
    <t>PAB SENSOR BALL VALVE 간섭으로 인한 OPEN CLOSE불가</t>
  </si>
  <si>
    <t>PE140 / HV140 PAB 하단 BALL VALV BURNER PLATE와 간섭 발생</t>
  </si>
  <si>
    <t>IGNITION TRANSFORMER BOX CONNECTOR I-Marking 누락</t>
  </si>
  <si>
    <t>Right Chamber IGNITION TRANSFORMER BOX CONNECTOR I-Marking 누락</t>
  </si>
  <si>
    <t>강기준P&amp;S</t>
  </si>
  <si>
    <t>UNION TEE FITTING NUT WATER LEAK</t>
  </si>
  <si>
    <t>UNION TEE 왼쪽 상단 FITTING NUT WATER LEAK</t>
  </si>
  <si>
    <t>허용길BAT</t>
  </si>
  <si>
    <t>WET NOZZLE MALE ELBOW Teflon부 WATER Leak</t>
  </si>
  <si>
    <t xml:space="preserve">DOOR 상하 FAN 눈관리 스티커 오부착 </t>
  </si>
  <si>
    <t>김춘동BAT</t>
  </si>
  <si>
    <t xml:space="preserve">UNION TEE FITTING NUT WATER LEAK </t>
  </si>
  <si>
    <t>DRAIN LINE BRACKET</t>
  </si>
  <si>
    <t>DRAIN LINE BRACKET 볼트 I-MARKING 누락</t>
  </si>
  <si>
    <t>RIGHT CHAMBER DRAIN LINE BRACKET 볼트 I-MARKING 누락</t>
  </si>
  <si>
    <t>MANIFOLD WET LINE MALE ELBOW FITTING NUT WATER LEAK (NUT부)</t>
  </si>
  <si>
    <t>ELBOW EXHAUST NOZZLE 체결 MALE ELBOW FITTING NUT WATER LEAK</t>
  </si>
  <si>
    <t>WET NOZZLE MALE ELBOW NUT부 WATER Leak</t>
  </si>
  <si>
    <t>다연조 SOLENOID VALVE 라벨링 부착 오류</t>
  </si>
  <si>
    <t>정상 : 왼쪽부터 YV811~815 실물 : 왼쪽부터 YV815~811</t>
  </si>
  <si>
    <t>REDUCING UNION FITTING NUT WATER LEAK (08부)</t>
  </si>
  <si>
    <t>WET LINE REDUCING UNION NUT부 LEAK (06-08 08부)</t>
  </si>
  <si>
    <t>Qeunch Line MANIFOLD Teflon부 water Leak</t>
  </si>
  <si>
    <t>Swirl LINE FLOW SENSOR CONNECTOR 체결 MALE ELBOW Water Leak</t>
  </si>
  <si>
    <t>WET LINE FLOW SENSOR CONNECTOR 체결 MALE ELBOW Water Leak</t>
  </si>
  <si>
    <t xml:space="preserve">CONTROL RELAY 오배선 </t>
  </si>
  <si>
    <t>정상 : KRF10A으로 배선, 실물 : KRF60A으로 배선</t>
  </si>
  <si>
    <t>정민호P&amp;S</t>
  </si>
  <si>
    <t>주용범P&amp;S</t>
  </si>
  <si>
    <t>MANIFOLD MALE CONNECTOR TEFLON 체결부 WATER LEAK</t>
  </si>
  <si>
    <t>리액터 CLAW CLAMP 미완체결 (손흔들림)</t>
  </si>
  <si>
    <t>QUENCH LINE NOZZLE MALE ELBOW NUT부 WATER LEAK</t>
  </si>
  <si>
    <t>NOZZLE FLANGE 체결부 MALE ELBOW WATER LEAK</t>
  </si>
  <si>
    <t>HEAT EXCHANGER IN, OUT 스티커 오부착</t>
  </si>
  <si>
    <t>KEY OPERATION VALVE 메달 누락</t>
  </si>
  <si>
    <t xml:space="preserve">BCW LINE MV500 KEY OPERATION VALVE MEDAL 누락 </t>
  </si>
  <si>
    <t>LEFT DOOR ELECTRIC DOOR KEY 체결 후 I-MARKING 누락</t>
  </si>
  <si>
    <t>정상 위치 : 6/17 불량 위치 : 6/16</t>
  </si>
  <si>
    <t>이운P&amp;S</t>
  </si>
  <si>
    <t>HEAT EXCHANGER PCW COLD IN, OUT 스티커 교차부착</t>
  </si>
  <si>
    <t>WET TOWER ELBOW EXHASUT 체결 125A CLAMP I-MARKING 누락</t>
  </si>
  <si>
    <t>COOLING BODY 고정볼트 미완체결</t>
  </si>
  <si>
    <t>LEFT CHAMBER COOLING BODY CABINET 고정 볼트 미완체결 (와샤압착X)</t>
  </si>
  <si>
    <t>HEAT EXCHANGER BCW LINE NUT 체결불량으로 인한 WATER LEAK</t>
  </si>
  <si>
    <t>HEAT EXCHANGER BCW HOT OUT부 NUT 체결불량으로 인한 WATER LEAK</t>
  </si>
  <si>
    <t>CABINET 접지 스티커 누락</t>
  </si>
  <si>
    <t>임영대C&amp;A</t>
  </si>
  <si>
    <t>MALE ELBOW FITTING NUT WATER LEAK (TEFLON부)</t>
  </si>
  <si>
    <t>SWIRL LINE WATER MANIFOLD 체결 MALE ELBOW TEFLON부 WATER LEAK</t>
  </si>
  <si>
    <t>MALE ELBOW FITTING NUT WATER LEAK (NUT부)</t>
  </si>
  <si>
    <t>QUENCH LINE WATER MANIFOLD 체결 MALE ELBOW NUT부 WATER LEAK</t>
  </si>
  <si>
    <t>WET LINE WATER MANIFOLD 체결 MALE ELBOW NUT부 WATER LEAK</t>
  </si>
  <si>
    <t>QUENCH LINE WATER MANIFOLD 체결 MALE ELBOW TEFLON부 WATER LEAK</t>
  </si>
  <si>
    <t>WET LINE WATER MANIFOLD 체결 MALE ELBOW TEFLON부 WATER LEAK</t>
  </si>
  <si>
    <t>UNION ELBOW FITTIN NUT WATER LEAK</t>
  </si>
  <si>
    <t>UNION ELBOW FITTING NUT IN단 LEAK</t>
  </si>
  <si>
    <t>GAIA-I_NEXCHIP</t>
  </si>
  <si>
    <t>PNEUMATIC VALVE IN 스티커 누락</t>
  </si>
  <si>
    <t>BCW LINE V520 PNEUMATIC VALVE IN스티커 누락</t>
  </si>
  <si>
    <t>HEAT EXCHANGER COVER I-MARKING 누락</t>
  </si>
  <si>
    <t>RIGHT PCW 미니 열교환기 고정 볼트 I-MARKING 누락</t>
  </si>
  <si>
    <t>LEFT PCW 미니 열교환기 고정 볼트 I-MARKING 누락</t>
  </si>
  <si>
    <t>WET Line MANIFOLD Teflon부 water Leak</t>
  </si>
  <si>
    <t>SWIRL Line MANIFOLD Teflon부 water Leak</t>
  </si>
  <si>
    <t>RIGHT QUENCH NOZZLE MALE ELBOW NUT부 LEAK</t>
  </si>
  <si>
    <t>이윤호TMS</t>
  </si>
  <si>
    <t>SUS TUBE 클리닝 미진행</t>
  </si>
  <si>
    <t>이승진FNI</t>
  </si>
  <si>
    <t>CDA 방향스티커 훼손</t>
  </si>
  <si>
    <t>CDA LINE 방향 스티커 훼손으로 인한 교체</t>
  </si>
  <si>
    <t>RIGHT WET TOWER MALE ELBOW NUT부 LEAK</t>
  </si>
  <si>
    <t>QUENCH Line MANIFOLD Teflon부 water Leak</t>
  </si>
  <si>
    <t>REACTOR CABINET 고정볼트 미완체결</t>
  </si>
  <si>
    <t>REACTOR 고정볼트 미완체결로 인한 I-MARKING 틀어짐</t>
  </si>
  <si>
    <t>DRAIN LINE CABINET 고정볼트 I-Marking 누락</t>
  </si>
  <si>
    <t>WET TANK 고정 볼트 미완체결</t>
  </si>
  <si>
    <t>채은철BAT</t>
  </si>
  <si>
    <t>MALE ELBOW Fitting Water Leak(Teflon부)</t>
  </si>
  <si>
    <t>RIGHT QUENCH NOZZLE MALE ELBOW I-Marking 누락</t>
  </si>
  <si>
    <t>MALE ELBOW I-Marking 누락</t>
  </si>
  <si>
    <t>MALE ELBOW Fitting Nut Water Leak (Teflon부)</t>
  </si>
  <si>
    <t>RIGHT WET TOWER MALE ELBOW Teflon부 Leak</t>
  </si>
  <si>
    <t>배선누락</t>
  </si>
  <si>
    <t>TBDR30A:2/11 배선 누락</t>
  </si>
  <si>
    <t>TERMINAL BLOCK TBDR30A:2/11 배선 누락</t>
  </si>
  <si>
    <t>조성호C&amp;A</t>
  </si>
  <si>
    <t>C.WIR Line MALE ELBOW Teflon부 Water Leak</t>
  </si>
  <si>
    <t>김범곤BAT</t>
  </si>
  <si>
    <t>CDA LINE REGULATOR IN,OUT 스티커 누락</t>
  </si>
  <si>
    <t>김군BAT</t>
  </si>
  <si>
    <t>UNION TEE FITTING NUT WATER LEAK (NUT부)</t>
  </si>
  <si>
    <t>WET LINE UNION TEE 하단 NUT부 WATER LEAK</t>
  </si>
  <si>
    <t>Terminal Board 오배선</t>
  </si>
  <si>
    <t>최광학TMS</t>
  </si>
  <si>
    <t>DRAIN LINE-1</t>
  </si>
  <si>
    <t>김원동BAT</t>
  </si>
  <si>
    <t>MCCB 좌측 검사확인 OK 스티커 누락</t>
  </si>
  <si>
    <t>김상명TMS</t>
  </si>
  <si>
    <t>VENTURY LINE FLOW SENSOR CONNECTOR 체결 TEFLON부 Water Leak</t>
  </si>
  <si>
    <t>PCW LINE BALL VALVE MEDAL 오장착</t>
  </si>
  <si>
    <t>TEMP SWITCH I-MARKING 누락</t>
  </si>
  <si>
    <t>PLUG 장착누락</t>
  </si>
  <si>
    <t>다연조 솔레노이드 밸브 미사용 PORT에 PLUG 미장착</t>
  </si>
  <si>
    <t>오해동P&amp;S</t>
  </si>
  <si>
    <t>REGULATOR 고정 볼트 I-MARKING 누락</t>
  </si>
  <si>
    <t>PCV401 REGULATOR CAIBNET 고정 볼트 I-MARKING 누락</t>
  </si>
  <si>
    <t>DRAIN-04</t>
  </si>
  <si>
    <t>CABINET 고정 볼트 삽입부족</t>
  </si>
  <si>
    <t>MALE ADAPTER FIITNG NUT WATER LEAK</t>
  </si>
  <si>
    <t>BCW LINE PNEUMATIC VALVE 체결 MALE ADAPTER NUT부 WATER LEAK</t>
  </si>
  <si>
    <t xml:space="preserve">EXHAUST PRESSURE SWITCH TUBE 오조립 </t>
  </si>
  <si>
    <t xml:space="preserve">EXHAUST PRESSURE SWITCH TUBE 오조립 [정상(음압) 실물(양압)] </t>
  </si>
  <si>
    <t>반경태BAT</t>
  </si>
  <si>
    <t>N.V140B 역방향 조립</t>
  </si>
  <si>
    <t>QUENCH NOZZLE MALE ELBOW TEFLON부 WATER LEAK</t>
  </si>
  <si>
    <t>MALE ELBOW Fitting nut Water Leak (TEFLON부)</t>
  </si>
  <si>
    <t>MANIFOLD QUENCH LINE MALE ELBOW FITTING NUT WATER LEAK (TEFLON부)</t>
  </si>
  <si>
    <t>MALE CONNECTOR FITTING NUT WATER LEAK (Teflon부)</t>
  </si>
  <si>
    <t>Right Swirl line flow sesnor 체결 Male Connector Nut부 WATER LEAK</t>
  </si>
  <si>
    <t>EXHAUST 125A CLAMP 볼트 I-MARKING 누락</t>
  </si>
  <si>
    <t>MANIFOLD WET LINE MALE ELBOW FITTING NUT WATER LEAK (TEFLON부)</t>
  </si>
  <si>
    <t>MANIFOLD SWIRL LINE MALE ELBOW FITTING NUT WATER LEAK (TEFLON부)</t>
  </si>
  <si>
    <t>HEAT EXCHANGER FLOW 방향 스티커 교차부착</t>
  </si>
  <si>
    <t>PCW-S(L), PCW-R(L) HEAT EXCHANGER FLOW 방향스티커 교차부착</t>
  </si>
  <si>
    <t>김정일BAT</t>
  </si>
  <si>
    <t>PRESSURE SWITCH TUBE 작업 누락</t>
  </si>
  <si>
    <t>CABINET PRESSURE SWITCH LEFT,RIGHT 작업누락</t>
  </si>
  <si>
    <t>WET CHAMBER BODY 고정볼트 I-MARKING 누락</t>
  </si>
  <si>
    <t>RIGHT WET CHAMBER BODY TANK 고정 볼트 I-MARKING누락</t>
  </si>
  <si>
    <t>RIGHT REACTOR WET NOZZLE MALE ELBOW FITTING NUT WATER LEAK (Teflon부)</t>
  </si>
  <si>
    <t>H/J CONNECTOR 오체결</t>
  </si>
  <si>
    <t>LEFT INLET #1 H/J CONNECTOR 오체결 (정상 : Ch15 / 실물 : Ch:14)</t>
  </si>
  <si>
    <t>정상 : TBDO100 / 1:1/15 삽입 / 실물 : TBDO100 / 1:1/16 삽입</t>
  </si>
  <si>
    <t>넘버링 튜브 오부착</t>
  </si>
  <si>
    <t>정상 : TE630 / 실물 : TE630A</t>
  </si>
  <si>
    <t>성길용C&amp;A</t>
  </si>
  <si>
    <t>UNION TEE Fitting Nut WATER LEAK (NUT부, PP)</t>
  </si>
  <si>
    <t>SOLENOID VAVLE</t>
  </si>
  <si>
    <t>넘버링 튜브 오부착 (방향)</t>
  </si>
  <si>
    <t>SOLENOID VALVE 삽입 YV501 넘버링 튜브 오부착 (방향 반대)</t>
  </si>
  <si>
    <t>MALE ELBOW FITTING NUT WATER LEAK (TEFLON부,PP)</t>
  </si>
  <si>
    <t>WET NOZZLE MALE ELBOW FITTING NUT WATER LEAK (Teflon부)</t>
  </si>
  <si>
    <t>REGULATOR RANGE 스티커 오부착</t>
  </si>
  <si>
    <t>RIGHT GN2 LINE REGULATOR RANGE 스티커 오부착</t>
  </si>
  <si>
    <t>PNEUMATIC VALVE P&amp;ID 스티커 오부착</t>
  </si>
  <si>
    <t>BCW LINE PNEUMATIC VALVE P&amp;ID 스티커 오부착 (정상 : YV530, 실물 : YB530)</t>
  </si>
  <si>
    <t>SCRAPER TUBE 교차연결</t>
  </si>
  <si>
    <t>RIGHT INLET #2 SCRAPER 튜브 교차연결 ( OPEN ↔ CLOSE )</t>
  </si>
  <si>
    <t>MALE BANJO 체결부 LEAK (6mm, PT1/4")</t>
  </si>
  <si>
    <t>INLET #2 3-WAY VALVE V-120AC MALE BANJO 체결부 LEAK</t>
  </si>
  <si>
    <t>HEAT EXCHANGER PCW LINE 방향스티커 교차부착 (L↔R)</t>
  </si>
  <si>
    <t>PCW-S(L)↔PCW-S(R) / PCW-R(L) ↔ PCW-R(R)</t>
  </si>
  <si>
    <t>MALE ELBOW FITTING NUT WATER LEAK (TEFLON부, PP)</t>
  </si>
  <si>
    <t>이윤호BAT</t>
  </si>
  <si>
    <t>QUENCH NOZZLE MALE ELBOW FITTING NUT WATER LEAK (Teflon부)</t>
  </si>
  <si>
    <t>UNION NUT LEAK (20A, PP)</t>
  </si>
  <si>
    <t>DRAIN LINE BULKHEAD 밑단 UNION NUT 체결부 O-RING 이탈</t>
  </si>
  <si>
    <t>SOLENOID VALVE TUBE 교차연결</t>
  </si>
  <si>
    <t>3WAY V/V 구동 SOLENOID VALVE OPEN↔CLOSE 교차연결</t>
  </si>
  <si>
    <t>손국권FNI</t>
  </si>
  <si>
    <t>REDUCING UNION TEE FITTING NUT LEAK (3/8˝ 3/8˝ 1/2˝, PP,  우측상단)</t>
  </si>
  <si>
    <t>SWIRL LINE / 3/8"부 / 우측상단</t>
  </si>
  <si>
    <t>UNION TEE Fitting Nut WATER LEAK (NUT부, PVPF, 1/2")</t>
  </si>
  <si>
    <t>SWIRL LINE / 우측상단 / 1/2"</t>
  </si>
  <si>
    <t>DRAIN LINE BRACKET CAP, BODY 미조립</t>
  </si>
  <si>
    <t>전우민FNI</t>
  </si>
  <si>
    <t>CIR WATER FILTER 체결부 Water Leak / 볼트 체결 강도 부족</t>
  </si>
  <si>
    <t>DRAIN LINE / FLT 600A / CIR WATER FILTER 체결부 볼트 체결강도 불량</t>
  </si>
  <si>
    <t>REGULATOR CDA 방향스티커 누락</t>
  </si>
  <si>
    <t>CDA LINE / PCV820</t>
  </si>
  <si>
    <t>MALE ELBOW FITTING NUT WATER LEAK (NUT, PP, TUBE삽입 부족)</t>
  </si>
  <si>
    <t>SWIRL GUIDE LINE WATER LEAK ( NUT부)</t>
  </si>
  <si>
    <t>MALE ELBOW FITTING NUT WATER LEAK (NUT, PP)</t>
  </si>
  <si>
    <t>MALE ELBOW FITTING NUT WATER LEAK (NUT, PP, 1/2")</t>
  </si>
  <si>
    <t xml:space="preserve">SWIRL LINE MANIFOLD / NUT부 </t>
  </si>
  <si>
    <t>MALE ELBOW FITTING NUT WATER LEAK (TEFLON부,PP,1/2")</t>
  </si>
  <si>
    <t xml:space="preserve">MANIFOLD / QUENCH LINE </t>
  </si>
  <si>
    <t xml:space="preserve">MANIFOLD / SWIRL LINE </t>
  </si>
  <si>
    <t>공정검사</t>
  </si>
  <si>
    <t>Drain Nut 부 Water Leak 발생</t>
  </si>
  <si>
    <t>Drain Nut</t>
  </si>
  <si>
    <t>Right PCW-S(R) Sticker 오부착</t>
  </si>
  <si>
    <t>실물 : PCW-S(L) /  정상 :PCW-S(R)</t>
  </si>
  <si>
    <t>Left KRIF110.1 및 Right KRIF110.1A, KRIF130.3A 부 A2 배선 누락</t>
  </si>
  <si>
    <t>Left Dry Pump#1 및 Right Dry Pump#3 Relay단</t>
  </si>
  <si>
    <t>Right O2 MFC Flow 불가(실물 : 3/V3, 3G3 / 정상 : 3/V2, 3G2)</t>
  </si>
  <si>
    <t>Right O2 MFC Module부 배선</t>
  </si>
  <si>
    <t xml:space="preserve">MANIFOLD / WET LINE </t>
  </si>
  <si>
    <t>MALE ELBOW FITTING NUT WATER LEAK (NUT,PP)</t>
  </si>
  <si>
    <t>WET NOZZLE / NUT부</t>
  </si>
  <si>
    <t>INLET #4 3-WAY VALVE 자켓 불완전 체결</t>
  </si>
  <si>
    <t>Water Proof Connector I-MARKING 누락</t>
  </si>
  <si>
    <t xml:space="preserve"> Left Drain 공압 Fitting  오체결 (위 아래 바뀜)</t>
  </si>
  <si>
    <t>MANIFOLD / SWIRL LINE</t>
  </si>
  <si>
    <t>MANIFOLD / WET LINE</t>
  </si>
  <si>
    <t>MANIFOLD / QUENCH LINE</t>
  </si>
  <si>
    <t>QUENCH LINE NOZZLE / IN</t>
  </si>
  <si>
    <t>MALE CONNECTOR FITTING NUT WATER LEAK (Teflon부,NPT1/4")</t>
  </si>
  <si>
    <t>DRAIN LINE / FE630A</t>
  </si>
  <si>
    <t>DRAIN LINE / FE630</t>
  </si>
  <si>
    <t>Right Exhaust Pressure Alarm 발생(Analog Module 內 오체결)</t>
  </si>
  <si>
    <t>Right Analog Module</t>
  </si>
  <si>
    <t>Left SV800↔SV810 오체결</t>
  </si>
  <si>
    <t>Left SV800</t>
  </si>
  <si>
    <t>MALE ELBOW FITTING NUT LEAK (TEFLON부,PP)</t>
  </si>
  <si>
    <t>CIR LINE / WET LINE</t>
  </si>
  <si>
    <t>MANIFOLD / SWRIL LINE</t>
  </si>
  <si>
    <t>MALE ELOBW FITTING NUT WATER LEAK (TEFLON부,PP)</t>
  </si>
  <si>
    <t>UNION TEE (PP)</t>
  </si>
  <si>
    <t>UNION TEE FITTING NUT WATER LEAK (NUT부,PVPF,1/2"))</t>
  </si>
  <si>
    <t>좌측 상단 / WET LINE / NUT부</t>
  </si>
  <si>
    <t>WET FLOW SENSOR CONNECTOR / NUT부</t>
  </si>
  <si>
    <t>MALE CONNCTOR FITTING NUT WATER LEAK (NUT부,PP)</t>
  </si>
  <si>
    <t>QUENCH FLOW SENCOR CONNECTOR / NUT부</t>
  </si>
  <si>
    <t>이선균TMS</t>
  </si>
  <si>
    <t>하단부 / QUENCH LINE / NUT부</t>
  </si>
  <si>
    <t>UNION TEE FITTING NUT WATER LEAK (NUT부,PVPF,1/2")</t>
  </si>
  <si>
    <t>좌측 상단 / QUENCH LINE / NUT부</t>
  </si>
  <si>
    <t>최동호TMS</t>
  </si>
  <si>
    <t>ADJUSTABLE ELBOW FITTING NUT LEAK (1/4" / NUT부/체결강도부족)</t>
  </si>
  <si>
    <t xml:space="preserve">MINI CHILLER BCW OUT부 </t>
  </si>
  <si>
    <t>MALE ELBOW FITTING NUT WATER LEAK (NUT부,PP)</t>
  </si>
  <si>
    <t>SWIRL GUIDE MALE ELBOW / SWIRL LINE</t>
  </si>
  <si>
    <t>FLOW SENCOR CONNECTOR / QUENCH LINE</t>
  </si>
  <si>
    <t>FLOW SENCOR CONNECTOR / WET LINE</t>
  </si>
  <si>
    <t>FLOW SENSOR CONNECTOR / QUENCH LINE</t>
  </si>
  <si>
    <t>FLOW SENSOR CONNECTOR / WET LINE</t>
  </si>
  <si>
    <t>QUENCH LINE / IN단</t>
  </si>
  <si>
    <t>QUENCH LINE / NUT부 / IN단</t>
  </si>
  <si>
    <t>MALE CONNECTOR FITTING NUT WATER LEAK (Teflon부,NPT1/2,PVDF))</t>
  </si>
  <si>
    <t>QUENCH LINE / FLOW SENSOR CONNECTOR / IN단</t>
  </si>
  <si>
    <t>MALE CONNECTOR FITTING NUT WATER LEAK (NUT부,1/2,PVDF)</t>
  </si>
  <si>
    <t>WET LINE / MANIFOLD / OUT단</t>
  </si>
  <si>
    <t>YVD06A↔YVD07A 라벨스티커 교차 부착</t>
  </si>
  <si>
    <t>실물 : YVD06A, YVD07A / 정상 : YVD07A, YVD06A</t>
  </si>
  <si>
    <t xml:space="preserve">EXHAUST WATER NOZZLE부 BCW FLOW STICKER 역방향 부착 </t>
  </si>
  <si>
    <t>실물 : BCW→ / 정상 : BCW←</t>
  </si>
  <si>
    <t>BALL VALVE 메달 누락</t>
  </si>
  <si>
    <t xml:space="preserve">PAB SENSOR 체결부 </t>
  </si>
  <si>
    <t>UNION TEE QUENCH ↔ WET LINE 교차조립 (1/2",PVDF)</t>
  </si>
  <si>
    <t>FLOW SENSOR 시작 QUENCH - 체결 WET</t>
  </si>
  <si>
    <t>FLOW SENSOR 시작 WET - 체결 QUENCH</t>
  </si>
  <si>
    <t>FLOW SENSOR CONNECTOR / VENTURI LINE</t>
  </si>
  <si>
    <t xml:space="preserve">QUENCH LINE / NOZZLE </t>
  </si>
  <si>
    <t>FLOW SENSOR CONNECTOR / SWIRL LINE</t>
  </si>
  <si>
    <t>UNION TEE FITTING NUT WATER LEAK (NUT부, PP, 3/8")</t>
  </si>
  <si>
    <t>SWIRL LINE / 분기점 TEE 우측 상단</t>
  </si>
  <si>
    <t>IN단 / QUENCH LINE</t>
  </si>
  <si>
    <t>TEE 하단부 / WET LINE 분기</t>
  </si>
  <si>
    <t>CIR WATER MANIFOLD / WET LINE</t>
  </si>
  <si>
    <t>CIR WATER MANIFOLD / QUENCH LINE</t>
  </si>
  <si>
    <t>H/J CONTROLLER CABLE 좌우 교차연결</t>
  </si>
  <si>
    <t>이일호FNI</t>
  </si>
  <si>
    <t>CIR WATER MANIFOLD / SWIRL LINE</t>
  </si>
  <si>
    <t>TORCH COVER 장착 누락</t>
  </si>
  <si>
    <t>불완전체결</t>
  </si>
  <si>
    <t>MALE CONNECTOR FITTING NUT WATER LEAK (NUT부,1/4")</t>
  </si>
  <si>
    <t>DRAIN LINE / TE630</t>
  </si>
  <si>
    <t>H/J CONNECTOR 오체결(교차연결)</t>
  </si>
  <si>
    <t>정상 : Ch15 / 실물 : Ch:14</t>
  </si>
  <si>
    <t>25年 가압검사 불량 월분석 Chart</t>
  </si>
  <si>
    <t>He 미보증 제외</t>
    <phoneticPr fontId="7" type="noConversion"/>
  </si>
  <si>
    <t>He 미보증 건수</t>
    <phoneticPr fontId="7" type="noConversion"/>
  </si>
  <si>
    <t>재체결(클램프)</t>
    <phoneticPr fontId="7" type="noConversion"/>
  </si>
  <si>
    <t>기구 외주사별 불량률</t>
    <phoneticPr fontId="7" type="noConversion"/>
  </si>
  <si>
    <t>TMS</t>
    <phoneticPr fontId="7" type="noConversion"/>
  </si>
  <si>
    <t>PFA 부 3건, U/T Line 3건</t>
  </si>
  <si>
    <t>MALE STRAIGHT</t>
  </si>
  <si>
    <t>PFA 26건, 우레탄 12건</t>
  </si>
  <si>
    <t>PFA 2건, 08부 1건, 06부 8건</t>
  </si>
  <si>
    <t>08부 4건, 06부 2건, Body 1건</t>
  </si>
  <si>
    <t>전장</t>
    <phoneticPr fontId="8" type="noConversion"/>
  </si>
  <si>
    <t>불량 여부</t>
  </si>
  <si>
    <t>WS-0099</t>
    <phoneticPr fontId="8" type="noConversion"/>
  </si>
  <si>
    <t>MICRON TW</t>
    <phoneticPr fontId="8" type="noConversion"/>
  </si>
  <si>
    <t>SWS-I</t>
    <phoneticPr fontId="8" type="noConversion"/>
  </si>
  <si>
    <t>BAT</t>
    <phoneticPr fontId="8" type="noConversion"/>
  </si>
  <si>
    <t>SpeedController</t>
    <phoneticPr fontId="8" type="noConversion"/>
  </si>
  <si>
    <t>스피드컨트롤러 LEAK</t>
    <phoneticPr fontId="8" type="noConversion"/>
  </si>
  <si>
    <t>N.PE130</t>
    <phoneticPr fontId="8" type="noConversion"/>
  </si>
  <si>
    <t>IVAS-263</t>
    <phoneticPr fontId="8" type="noConversion"/>
  </si>
  <si>
    <t>PV</t>
    <phoneticPr fontId="8" type="noConversion"/>
  </si>
  <si>
    <t>IVAS</t>
    <phoneticPr fontId="8" type="noConversion"/>
  </si>
  <si>
    <t>GBWS-5196</t>
    <phoneticPr fontId="8" type="noConversion"/>
  </si>
  <si>
    <t>GAIA-I DUAL</t>
    <phoneticPr fontId="8" type="noConversion"/>
  </si>
  <si>
    <t>GBWS-5195</t>
    <phoneticPr fontId="8" type="noConversion"/>
  </si>
  <si>
    <t>GBWS-5193</t>
    <phoneticPr fontId="8" type="noConversion"/>
  </si>
  <si>
    <t>GBWS-5139</t>
    <phoneticPr fontId="8" type="noConversion"/>
  </si>
  <si>
    <t>MICRON JP</t>
    <phoneticPr fontId="8" type="noConversion"/>
  </si>
  <si>
    <t>GPWS-0451</t>
    <phoneticPr fontId="8" type="noConversion"/>
  </si>
  <si>
    <t>BAZM</t>
    <phoneticPr fontId="8" type="noConversion"/>
  </si>
  <si>
    <t>GAIA-P</t>
    <phoneticPr fontId="8" type="noConversion"/>
  </si>
  <si>
    <t>Union Elbow</t>
    <phoneticPr fontId="8" type="noConversion"/>
  </si>
  <si>
    <t>자코 엘보우 FITTING NUT LEAK</t>
    <phoneticPr fontId="8" type="noConversion"/>
  </si>
  <si>
    <t>GBWS-5185</t>
    <phoneticPr fontId="8" type="noConversion"/>
  </si>
  <si>
    <t>GBWS-5184</t>
    <phoneticPr fontId="8" type="noConversion"/>
  </si>
  <si>
    <t>GBWS-5183</t>
    <phoneticPr fontId="8" type="noConversion"/>
  </si>
  <si>
    <t>GBWS-5182</t>
    <phoneticPr fontId="8" type="noConversion"/>
  </si>
  <si>
    <t>GBWS-5198</t>
    <phoneticPr fontId="8" type="noConversion"/>
  </si>
  <si>
    <t>GBWS-5197</t>
    <phoneticPr fontId="8" type="noConversion"/>
  </si>
  <si>
    <t>GBWS-5194</t>
    <phoneticPr fontId="8" type="noConversion"/>
  </si>
  <si>
    <t>DBW-3578</t>
    <phoneticPr fontId="8" type="noConversion"/>
  </si>
  <si>
    <t>DRAGON LE DUAL</t>
    <phoneticPr fontId="8" type="noConversion"/>
  </si>
  <si>
    <t>REDUCING DOUBLE Y UNION</t>
    <phoneticPr fontId="8" type="noConversion"/>
  </si>
  <si>
    <t>1-4 PXG LEAK</t>
    <phoneticPr fontId="8" type="noConversion"/>
  </si>
  <si>
    <t>GN2 LINE</t>
    <phoneticPr fontId="8" type="noConversion"/>
  </si>
  <si>
    <t>GBWS-5203</t>
    <phoneticPr fontId="8" type="noConversion"/>
  </si>
  <si>
    <t>YMTC</t>
    <phoneticPr fontId="8" type="noConversion"/>
  </si>
  <si>
    <t>스크래퍼 FITTING LEAK</t>
    <phoneticPr fontId="8" type="noConversion"/>
  </si>
  <si>
    <t>좌측 챔버</t>
    <phoneticPr fontId="8" type="noConversion"/>
  </si>
  <si>
    <t>GBWS-5202</t>
    <phoneticPr fontId="8" type="noConversion"/>
  </si>
  <si>
    <t>우측챔버 GN2 LINE</t>
    <phoneticPr fontId="8" type="noConversion"/>
  </si>
  <si>
    <t>UNEQUAL UNION</t>
    <phoneticPr fontId="8" type="noConversion"/>
  </si>
  <si>
    <t>Y FITTING LEAK</t>
    <phoneticPr fontId="8" type="noConversion"/>
  </si>
  <si>
    <t>C.BE101</t>
    <phoneticPr fontId="8" type="noConversion"/>
  </si>
  <si>
    <t>GBWS-5201</t>
    <phoneticPr fontId="8" type="noConversion"/>
  </si>
  <si>
    <t>GBWS-5200</t>
    <phoneticPr fontId="8" type="noConversion"/>
  </si>
  <si>
    <t>GBWS-5199</t>
    <phoneticPr fontId="8" type="noConversion"/>
  </si>
  <si>
    <t>GBWS-5192</t>
    <phoneticPr fontId="8" type="noConversion"/>
  </si>
  <si>
    <t>FCV-V140AB</t>
    <phoneticPr fontId="8" type="noConversion"/>
  </si>
  <si>
    <t>GBWS-5216</t>
    <phoneticPr fontId="8" type="noConversion"/>
  </si>
  <si>
    <t xml:space="preserve">스피드컨트롤러 LEAK </t>
    <phoneticPr fontId="8" type="noConversion"/>
  </si>
  <si>
    <t>N1</t>
    <phoneticPr fontId="8" type="noConversion"/>
  </si>
  <si>
    <t>GBWS-5215</t>
    <phoneticPr fontId="8" type="noConversion"/>
  </si>
  <si>
    <t>GBWS-5065</t>
    <phoneticPr fontId="8" type="noConversion"/>
  </si>
  <si>
    <t>GBWS-5152</t>
    <phoneticPr fontId="8" type="noConversion"/>
  </si>
  <si>
    <t>FCV-V110P</t>
    <phoneticPr fontId="8" type="noConversion"/>
  </si>
  <si>
    <t>DBW-3581</t>
    <phoneticPr fontId="8" type="noConversion"/>
  </si>
  <si>
    <t>CENTRIFUGAL PUMP</t>
  </si>
  <si>
    <t>PUMP 체결부 LEAK</t>
    <phoneticPr fontId="8" type="noConversion"/>
  </si>
  <si>
    <t>DBW-3580</t>
    <phoneticPr fontId="8" type="noConversion"/>
  </si>
  <si>
    <t>TUBE REDUCER 패럴 파손으로 인한LEAK</t>
    <phoneticPr fontId="8" type="noConversion"/>
  </si>
  <si>
    <t>GN2 LINE Y FITTING 우측</t>
    <phoneticPr fontId="8" type="noConversion"/>
  </si>
  <si>
    <t>테프론 체결부 LEAK</t>
    <phoneticPr fontId="8" type="noConversion"/>
  </si>
  <si>
    <t>좌측 챔버 PCW LINE</t>
    <phoneticPr fontId="8" type="noConversion"/>
  </si>
  <si>
    <t>DBW-3579</t>
    <phoneticPr fontId="8" type="noConversion"/>
  </si>
  <si>
    <t>DBW-3585</t>
    <phoneticPr fontId="8" type="noConversion"/>
  </si>
  <si>
    <t>DRAGON LE</t>
    <phoneticPr fontId="8" type="noConversion"/>
  </si>
  <si>
    <t>DBW-3584</t>
    <phoneticPr fontId="8" type="noConversion"/>
  </si>
  <si>
    <t>자코 UNION LEAK</t>
    <phoneticPr fontId="8" type="noConversion"/>
  </si>
  <si>
    <t>CIR WATER, FD629</t>
    <phoneticPr fontId="8" type="noConversion"/>
  </si>
  <si>
    <t>N.110</t>
    <phoneticPr fontId="8" type="noConversion"/>
  </si>
  <si>
    <t>DBW-3583</t>
    <phoneticPr fontId="8" type="noConversion"/>
  </si>
  <si>
    <t>DBW-3582</t>
    <phoneticPr fontId="8" type="noConversion"/>
  </si>
  <si>
    <t>G9</t>
    <phoneticPr fontId="8" type="noConversion"/>
  </si>
  <si>
    <t>GBWS-5274</t>
    <phoneticPr fontId="8" type="noConversion"/>
  </si>
  <si>
    <t>N34</t>
    <phoneticPr fontId="8" type="noConversion"/>
  </si>
  <si>
    <t>Main N2 반조 Elbow 테퓨론부 Leak</t>
    <phoneticPr fontId="8" type="noConversion"/>
  </si>
  <si>
    <t>N31</t>
    <phoneticPr fontId="8" type="noConversion"/>
  </si>
  <si>
    <t>N2</t>
    <phoneticPr fontId="8" type="noConversion"/>
  </si>
  <si>
    <t>Sprinkler Male Connector 테퓨론부 Leak</t>
    <phoneticPr fontId="8" type="noConversion"/>
  </si>
  <si>
    <t>GBWS-5217</t>
    <phoneticPr fontId="8" type="noConversion"/>
  </si>
  <si>
    <t>GPWS-0452</t>
    <phoneticPr fontId="8" type="noConversion"/>
  </si>
  <si>
    <t>GAIA-P DUAL</t>
    <phoneticPr fontId="8" type="noConversion"/>
  </si>
  <si>
    <t>GBWS-5206</t>
    <phoneticPr fontId="8" type="noConversion"/>
  </si>
  <si>
    <t>MICRON SG</t>
    <phoneticPr fontId="8" type="noConversion"/>
  </si>
  <si>
    <t>GBWS-5205</t>
    <phoneticPr fontId="8" type="noConversion"/>
  </si>
  <si>
    <t>GBWS-5214</t>
    <phoneticPr fontId="8" type="noConversion"/>
  </si>
  <si>
    <t>배관 클램프 미완체결</t>
    <phoneticPr fontId="8" type="noConversion"/>
  </si>
  <si>
    <t>GBWS-5213</t>
    <phoneticPr fontId="8" type="noConversion"/>
  </si>
  <si>
    <t>DRAIN LINE FITTING LEAK</t>
    <phoneticPr fontId="8" type="noConversion"/>
  </si>
  <si>
    <t>GBWS-5212</t>
    <phoneticPr fontId="8" type="noConversion"/>
  </si>
  <si>
    <t>공압 T FITTING LEAK</t>
    <phoneticPr fontId="8" type="noConversion"/>
  </si>
  <si>
    <t>GBWS-5210</t>
    <phoneticPr fontId="8" type="noConversion"/>
  </si>
  <si>
    <t>미니 열교환기 PCW LINE 체결불량</t>
    <phoneticPr fontId="8" type="noConversion"/>
  </si>
  <si>
    <t>좌측 챔버 미니열교환기</t>
    <phoneticPr fontId="8" type="noConversion"/>
  </si>
  <si>
    <t>GBWS-5208</t>
    <phoneticPr fontId="8" type="noConversion"/>
  </si>
  <si>
    <t>배관 클램프 오링 이탈</t>
    <phoneticPr fontId="8" type="noConversion"/>
  </si>
  <si>
    <t>GBWS-5231</t>
    <phoneticPr fontId="8" type="noConversion"/>
  </si>
  <si>
    <t>GBWS-5230</t>
    <phoneticPr fontId="8" type="noConversion"/>
  </si>
  <si>
    <t>이류체 Teflon 체결부 Leak ( 재작업 )</t>
    <phoneticPr fontId="8" type="noConversion"/>
  </si>
  <si>
    <t>GBWS-5223</t>
    <phoneticPr fontId="8" type="noConversion"/>
  </si>
  <si>
    <t>LNG , O2 Manual Valve Fitting Nut 미완체결</t>
    <phoneticPr fontId="8" type="noConversion"/>
  </si>
  <si>
    <t>R. / HV200A , HV300A</t>
    <phoneticPr fontId="8" type="noConversion"/>
  </si>
  <si>
    <t>DBW-3588</t>
    <phoneticPr fontId="8" type="noConversion"/>
  </si>
  <si>
    <t>BCW Jaco Fitting Nut Leak ( 추가체결 )</t>
    <phoneticPr fontId="8" type="noConversion"/>
  </si>
  <si>
    <t>L.</t>
    <phoneticPr fontId="8" type="noConversion"/>
  </si>
  <si>
    <t>DBW-3587</t>
    <phoneticPr fontId="8" type="noConversion"/>
  </si>
  <si>
    <t>GBWS-5236</t>
    <phoneticPr fontId="8" type="noConversion"/>
  </si>
  <si>
    <t>배관 연결 N2 Fitting Nut 미완체결</t>
    <phoneticPr fontId="8" type="noConversion"/>
  </si>
  <si>
    <t>GBWS-5235</t>
    <phoneticPr fontId="8" type="noConversion"/>
  </si>
  <si>
    <t>N.34</t>
    <phoneticPr fontId="8" type="noConversion"/>
  </si>
  <si>
    <t>GBWS-5234</t>
    <phoneticPr fontId="8" type="noConversion"/>
  </si>
  <si>
    <t>GBWS-5233</t>
    <phoneticPr fontId="8" type="noConversion"/>
  </si>
  <si>
    <t>Male Connector Teflon (추가체결)</t>
    <phoneticPr fontId="8" type="noConversion"/>
  </si>
  <si>
    <t>Speed Controller Manifold</t>
    <phoneticPr fontId="8" type="noConversion"/>
  </si>
  <si>
    <t>GBWS-5232</t>
    <phoneticPr fontId="8" type="noConversion"/>
  </si>
  <si>
    <t>R. N.V130PA</t>
    <phoneticPr fontId="8" type="noConversion"/>
  </si>
  <si>
    <t>GBWS-5226</t>
    <phoneticPr fontId="8" type="noConversion"/>
  </si>
  <si>
    <t>Mani N2 Male Connector Leak(재조립)</t>
    <phoneticPr fontId="8" type="noConversion"/>
  </si>
  <si>
    <t>Mani N2 Male Connector</t>
    <phoneticPr fontId="8" type="noConversion"/>
  </si>
  <si>
    <t>GBWS-5211</t>
    <phoneticPr fontId="8" type="noConversion"/>
  </si>
  <si>
    <t>BCW Bulkhead 하단부 Fitting Nut Leak
튜브 꺾임으로 튜브교체</t>
    <phoneticPr fontId="8" type="noConversion"/>
  </si>
  <si>
    <t>BCW Bulkhead Fitting Nut</t>
    <phoneticPr fontId="8" type="noConversion"/>
  </si>
  <si>
    <t>GBWS-5209</t>
    <phoneticPr fontId="8" type="noConversion"/>
  </si>
  <si>
    <t>GAIA-II</t>
    <phoneticPr fontId="8" type="noConversion"/>
  </si>
  <si>
    <t>GBWS-5249</t>
    <phoneticPr fontId="8" type="noConversion"/>
  </si>
  <si>
    <t>N.31</t>
    <phoneticPr fontId="8" type="noConversion"/>
  </si>
  <si>
    <t>Wet Tank Leak</t>
    <phoneticPr fontId="8" type="noConversion"/>
  </si>
  <si>
    <t xml:space="preserve"> </t>
    <phoneticPr fontId="8" type="noConversion"/>
  </si>
  <si>
    <t>PCW Union Tee 상단 Fitting Nut Leak</t>
    <phoneticPr fontId="8" type="noConversion"/>
  </si>
  <si>
    <t>GBWS-5239</t>
    <phoneticPr fontId="8" type="noConversion"/>
  </si>
  <si>
    <t>GBWS-5237</t>
    <phoneticPr fontId="8" type="noConversion"/>
  </si>
  <si>
    <t>N.130P</t>
    <phoneticPr fontId="8" type="noConversion"/>
  </si>
  <si>
    <t>N.140P</t>
    <phoneticPr fontId="8" type="noConversion"/>
  </si>
  <si>
    <t>SWC-0003</t>
    <phoneticPr fontId="8" type="noConversion"/>
  </si>
  <si>
    <t>SOOPIA-C DUAL</t>
    <phoneticPr fontId="8" type="noConversion"/>
  </si>
  <si>
    <t xml:space="preserve">Reactor AIR ATOMIZING NOZZLE Clamp 
체결부 용접부 Leak </t>
    <phoneticPr fontId="8" type="noConversion"/>
  </si>
  <si>
    <t xml:space="preserve">R Ball Valve (One Torch) Handle 부 Leak </t>
    <phoneticPr fontId="8" type="noConversion"/>
  </si>
  <si>
    <t>R.</t>
    <phoneticPr fontId="8" type="noConversion"/>
  </si>
  <si>
    <t>GBWS-5225</t>
    <phoneticPr fontId="8" type="noConversion"/>
  </si>
  <si>
    <t>DBW-3591</t>
    <phoneticPr fontId="8" type="noConversion"/>
  </si>
  <si>
    <t>DBW-3589</t>
    <phoneticPr fontId="8" type="noConversion"/>
  </si>
  <si>
    <t>Chain Clamp 체결 불량</t>
    <phoneticPr fontId="8" type="noConversion"/>
  </si>
  <si>
    <t>스피드컨트롤러 LEAK 우레탄튜브 삽입부</t>
    <phoneticPr fontId="8" type="noConversion"/>
  </si>
  <si>
    <t>G27</t>
    <phoneticPr fontId="8" type="noConversion"/>
  </si>
  <si>
    <t>G11</t>
    <phoneticPr fontId="8" type="noConversion"/>
  </si>
  <si>
    <t>Union PXG Leak</t>
    <phoneticPr fontId="8" type="noConversion"/>
  </si>
  <si>
    <t>Level Sensor O-ring 체결부 Leak</t>
    <phoneticPr fontId="8" type="noConversion"/>
  </si>
  <si>
    <t>Jaco Union Fitting Nut Leak</t>
    <phoneticPr fontId="8" type="noConversion"/>
  </si>
  <si>
    <t>Jaco Union Elbow Fitting Nut Leak</t>
    <phoneticPr fontId="8" type="noConversion"/>
  </si>
  <si>
    <t>N.SCR 110</t>
    <phoneticPr fontId="8" type="noConversion"/>
  </si>
  <si>
    <t>GBWS-5227</t>
    <phoneticPr fontId="8" type="noConversion"/>
  </si>
  <si>
    <t>DBW-3592</t>
    <phoneticPr fontId="8" type="noConversion"/>
  </si>
  <si>
    <t>DBW-3586</t>
    <phoneticPr fontId="8" type="noConversion"/>
  </si>
  <si>
    <t>반조 Elbow Fitting 체결부</t>
    <phoneticPr fontId="8" type="noConversion"/>
  </si>
  <si>
    <t>Temp Sensor T01 PFA Tube 미연결</t>
    <phoneticPr fontId="8" type="noConversion"/>
  </si>
  <si>
    <t>T01</t>
    <phoneticPr fontId="8" type="noConversion"/>
  </si>
  <si>
    <t>GBWS-5243</t>
    <phoneticPr fontId="8" type="noConversion"/>
  </si>
  <si>
    <t>GBWS-5247</t>
    <phoneticPr fontId="8" type="noConversion"/>
  </si>
  <si>
    <t>GPWS-0453</t>
    <phoneticPr fontId="8" type="noConversion"/>
  </si>
  <si>
    <t>GBWS-5261</t>
    <phoneticPr fontId="8" type="noConversion"/>
  </si>
  <si>
    <t>GBWS-5252</t>
    <phoneticPr fontId="8" type="noConversion"/>
  </si>
  <si>
    <t>GBWS-5251</t>
    <phoneticPr fontId="8" type="noConversion"/>
  </si>
  <si>
    <t>GPWS-0455</t>
    <phoneticPr fontId="8" type="noConversion"/>
  </si>
  <si>
    <t>GBWS-5265</t>
    <phoneticPr fontId="8" type="noConversion"/>
  </si>
  <si>
    <t>MICRON BOISE</t>
    <phoneticPr fontId="8" type="noConversion"/>
  </si>
  <si>
    <t xml:space="preserve">BYPASS#4 Clamp 체결 불량 </t>
    <phoneticPr fontId="8" type="noConversion"/>
  </si>
  <si>
    <t>GBWS-5264</t>
    <phoneticPr fontId="8" type="noConversion"/>
  </si>
  <si>
    <t>N.SCR-110A</t>
    <phoneticPr fontId="8" type="noConversion"/>
  </si>
  <si>
    <t>미니 열교환기 BCW Female Connector 불량</t>
    <phoneticPr fontId="8" type="noConversion"/>
  </si>
  <si>
    <t>스피드컨트롤러 LEAK PFA튜브 삽입부</t>
    <phoneticPr fontId="8" type="noConversion"/>
  </si>
  <si>
    <t>DBW-3595</t>
    <phoneticPr fontId="8" type="noConversion"/>
  </si>
  <si>
    <t>BCW Manifold Jaco Fitting Nut 미완체결</t>
    <phoneticPr fontId="8" type="noConversion"/>
  </si>
  <si>
    <t>DBW-3593</t>
    <phoneticPr fontId="8" type="noConversion"/>
  </si>
  <si>
    <t>GBWS-5253</t>
    <phoneticPr fontId="8" type="noConversion"/>
  </si>
  <si>
    <t>GBWS-5275</t>
    <phoneticPr fontId="8" type="noConversion"/>
  </si>
  <si>
    <t>GBWS-5269</t>
    <phoneticPr fontId="8" type="noConversion"/>
  </si>
  <si>
    <t>GBWS-5268</t>
    <phoneticPr fontId="8" type="noConversion"/>
  </si>
  <si>
    <t>GBWS-5266</t>
    <phoneticPr fontId="8" type="noConversion"/>
  </si>
  <si>
    <t>SOS-0339</t>
  </si>
  <si>
    <t>O3 Destructor</t>
    <phoneticPr fontId="8" type="noConversion"/>
  </si>
  <si>
    <t>SOS-0338</t>
    <phoneticPr fontId="8" type="noConversion"/>
  </si>
  <si>
    <t>GBWS-5277</t>
    <phoneticPr fontId="8" type="noConversion"/>
  </si>
  <si>
    <t>PCW Elbow Union08 Fitting Nut Leak</t>
    <phoneticPr fontId="8" type="noConversion"/>
  </si>
  <si>
    <t>PCW Flow Sensor 하단부 Fitting Nut Leak</t>
    <phoneticPr fontId="8" type="noConversion"/>
  </si>
  <si>
    <t>GBWS-5255</t>
    <phoneticPr fontId="8" type="noConversion"/>
  </si>
  <si>
    <t>GBWS-5281</t>
    <phoneticPr fontId="8" type="noConversion"/>
  </si>
  <si>
    <t xml:space="preserve">BYPASS#4 3Way V/V 하단부 Clamp 체결 불량 </t>
    <phoneticPr fontId="8" type="noConversion"/>
  </si>
  <si>
    <t>GBWS-5272</t>
    <phoneticPr fontId="8" type="noConversion"/>
  </si>
  <si>
    <t xml:space="preserve"> UNEQUAL UNION</t>
    <phoneticPr fontId="8" type="noConversion"/>
  </si>
  <si>
    <t xml:space="preserve"> N2 Unequal Union Y Leak</t>
    <phoneticPr fontId="8" type="noConversion"/>
  </si>
  <si>
    <t>BCW Jaco Fitting Nut Leak</t>
    <phoneticPr fontId="8" type="noConversion"/>
  </si>
  <si>
    <t>DBW-3597</t>
    <phoneticPr fontId="8" type="noConversion"/>
  </si>
  <si>
    <t>GBWS-5276</t>
    <phoneticPr fontId="8" type="noConversion"/>
  </si>
  <si>
    <t>GBWS-5224</t>
    <phoneticPr fontId="8" type="noConversion"/>
  </si>
  <si>
    <t>N.PE120A</t>
    <phoneticPr fontId="8" type="noConversion"/>
  </si>
  <si>
    <t>GBWS-5207</t>
    <phoneticPr fontId="8" type="noConversion"/>
  </si>
  <si>
    <t>N.130B</t>
    <phoneticPr fontId="8" type="noConversion"/>
  </si>
  <si>
    <t>GBWS-5257</t>
    <phoneticPr fontId="8" type="noConversion"/>
  </si>
  <si>
    <t>GBWS-5284</t>
    <phoneticPr fontId="8" type="noConversion"/>
  </si>
  <si>
    <t>GBWS-5282</t>
    <phoneticPr fontId="8" type="noConversion"/>
  </si>
  <si>
    <t>HD에너지솔루션</t>
    <phoneticPr fontId="8" type="noConversion"/>
  </si>
  <si>
    <t>GPWS-0458</t>
    <phoneticPr fontId="8" type="noConversion"/>
  </si>
  <si>
    <t>BCW Air Sol V/V Male Connector 체결부 Leak</t>
    <phoneticPr fontId="8" type="noConversion"/>
  </si>
  <si>
    <t>GPWS-0456</t>
    <phoneticPr fontId="8" type="noConversion"/>
  </si>
  <si>
    <t>GBWS-5279</t>
    <phoneticPr fontId="8" type="noConversion"/>
  </si>
  <si>
    <t>Main N2 Elbow Union Fitting Nut Leak</t>
    <phoneticPr fontId="8" type="noConversion"/>
  </si>
  <si>
    <t>N.SCR-150</t>
    <phoneticPr fontId="8" type="noConversion"/>
  </si>
  <si>
    <t>Exhaust Clamp(125A) Leak</t>
    <phoneticPr fontId="8" type="noConversion"/>
  </si>
  <si>
    <t>GBWS-5294</t>
    <phoneticPr fontId="8" type="noConversion"/>
  </si>
  <si>
    <t>GBWS-5298</t>
    <phoneticPr fontId="8" type="noConversion"/>
  </si>
  <si>
    <t>GBWS-5291</t>
    <phoneticPr fontId="8" type="noConversion"/>
  </si>
  <si>
    <t>N.SCR-130</t>
    <phoneticPr fontId="8" type="noConversion"/>
  </si>
  <si>
    <t>N.V-150P</t>
    <phoneticPr fontId="8" type="noConversion"/>
  </si>
  <si>
    <t>GBWS-5287</t>
    <phoneticPr fontId="8" type="noConversion"/>
  </si>
  <si>
    <t>DBW-3599</t>
    <phoneticPr fontId="8" type="noConversion"/>
  </si>
  <si>
    <t>UNEQUAL UNION Y0806 08튜브 삽입부</t>
    <phoneticPr fontId="8" type="noConversion"/>
  </si>
  <si>
    <t>H/H Sensor 체결부 Leak</t>
    <phoneticPr fontId="8" type="noConversion"/>
  </si>
  <si>
    <t xml:space="preserve">Exhaust Chain Clamp Leak </t>
    <phoneticPr fontId="8" type="noConversion"/>
  </si>
  <si>
    <t>Exhaust Chain Clamp 체결강도 부족 Leak</t>
    <phoneticPr fontId="8" type="noConversion"/>
  </si>
  <si>
    <t>GBWS-5300</t>
    <phoneticPr fontId="8" type="noConversion"/>
  </si>
  <si>
    <t>GBWS-5293</t>
    <phoneticPr fontId="8" type="noConversion"/>
  </si>
  <si>
    <t>GBWS-5290</t>
    <phoneticPr fontId="8" type="noConversion"/>
  </si>
  <si>
    <t>N2 Male Connector(공압튜브) 체결부 Leak</t>
    <phoneticPr fontId="8" type="noConversion"/>
  </si>
  <si>
    <t>GBWS-5280</t>
    <phoneticPr fontId="8" type="noConversion"/>
  </si>
  <si>
    <t>PCW Fitting Nut 미완체결 Leak</t>
    <phoneticPr fontId="8" type="noConversion"/>
  </si>
  <si>
    <t>GPWS-0463</t>
    <phoneticPr fontId="8" type="noConversion"/>
  </si>
  <si>
    <t>SK-HYNIX</t>
    <phoneticPr fontId="8" type="noConversion"/>
  </si>
  <si>
    <t>GPWS-0462</t>
    <phoneticPr fontId="8" type="noConversion"/>
  </si>
  <si>
    <t>GPWS-0461</t>
    <phoneticPr fontId="8" type="noConversion"/>
  </si>
  <si>
    <t>GBWS-5299</t>
    <phoneticPr fontId="8" type="noConversion"/>
  </si>
  <si>
    <t>GBWS-5297</t>
    <phoneticPr fontId="8" type="noConversion"/>
  </si>
  <si>
    <t>LNG LINE BALL V/V FITTING NUT LEAK</t>
    <phoneticPr fontId="8" type="noConversion"/>
  </si>
  <si>
    <t>HV200A</t>
    <phoneticPr fontId="8" type="noConversion"/>
  </si>
  <si>
    <t>GBWS-5296</t>
    <phoneticPr fontId="8" type="noConversion"/>
  </si>
  <si>
    <t>GPWS-0464</t>
    <phoneticPr fontId="8" type="noConversion"/>
  </si>
  <si>
    <t>Speed Controller 체결부 미완체결</t>
    <phoneticPr fontId="8" type="noConversion"/>
  </si>
  <si>
    <t>GBWS-5316</t>
    <phoneticPr fontId="8" type="noConversion"/>
  </si>
  <si>
    <t>GBWS-5308</t>
    <phoneticPr fontId="8" type="noConversion"/>
  </si>
  <si>
    <t>GBWS-5306</t>
    <phoneticPr fontId="8" type="noConversion"/>
  </si>
  <si>
    <t>GBWS-5285</t>
    <phoneticPr fontId="8" type="noConversion"/>
  </si>
  <si>
    <t>Process#3 배관 Clamp Leak</t>
    <phoneticPr fontId="8" type="noConversion"/>
  </si>
  <si>
    <t>PCW Quick Coupler 테퓨론부 Leak</t>
    <phoneticPr fontId="8" type="noConversion"/>
  </si>
  <si>
    <t>GBWS-5322</t>
    <phoneticPr fontId="8" type="noConversion"/>
  </si>
  <si>
    <t>GBWS-5305</t>
    <phoneticPr fontId="8" type="noConversion"/>
  </si>
  <si>
    <t>DBW-3600</t>
    <phoneticPr fontId="8" type="noConversion"/>
  </si>
  <si>
    <t>BCW Jaco Fitting Nut 페럴 찢어짐 Leak</t>
    <phoneticPr fontId="8" type="noConversion"/>
  </si>
  <si>
    <t>SCR110 , SCR130A</t>
    <phoneticPr fontId="8" type="noConversion"/>
  </si>
  <si>
    <t>YV127</t>
    <phoneticPr fontId="8" type="noConversion"/>
  </si>
  <si>
    <t>GBWS-5318</t>
    <phoneticPr fontId="8" type="noConversion"/>
  </si>
  <si>
    <t>GBWS-5312</t>
    <phoneticPr fontId="8" type="noConversion"/>
  </si>
  <si>
    <t>스피드 컨트롤러 Leak PFA Tube 삽입부</t>
    <phoneticPr fontId="8" type="noConversion"/>
  </si>
  <si>
    <t>GBWS-5330</t>
    <phoneticPr fontId="8" type="noConversion"/>
  </si>
  <si>
    <t>Exhaust 연결 BCW Fitting Nut Leak</t>
    <phoneticPr fontId="8" type="noConversion"/>
  </si>
  <si>
    <t>GBWS-5304</t>
    <phoneticPr fontId="8" type="noConversion"/>
  </si>
  <si>
    <t>GBWS-5262</t>
    <phoneticPr fontId="8" type="noConversion"/>
  </si>
  <si>
    <t>GBWS-5326</t>
    <phoneticPr fontId="8" type="noConversion"/>
  </si>
  <si>
    <t>N2 Male Connector 체결부 Leak / 테퓨론작업 추가</t>
    <phoneticPr fontId="8" type="noConversion"/>
  </si>
  <si>
    <t>N.BE101A</t>
    <phoneticPr fontId="8" type="noConversion"/>
  </si>
  <si>
    <t>GBWS-5333</t>
    <phoneticPr fontId="8" type="noConversion"/>
  </si>
  <si>
    <t>GBWS-5331</t>
    <phoneticPr fontId="8" type="noConversion"/>
  </si>
  <si>
    <t>SCS</t>
    <phoneticPr fontId="8" type="noConversion"/>
  </si>
  <si>
    <t>GBWS-5342</t>
    <phoneticPr fontId="8" type="noConversion"/>
  </si>
  <si>
    <t>GBWS-5339</t>
    <phoneticPr fontId="8" type="noConversion"/>
  </si>
  <si>
    <t>O2 주입 Bulkhead Union Fitting Nut 미완체결</t>
    <phoneticPr fontId="8" type="noConversion"/>
  </si>
  <si>
    <t>GBWS-5338</t>
    <phoneticPr fontId="8" type="noConversion"/>
  </si>
  <si>
    <t>스피드 컨트롤러 Leak 우레탄 Tube 삽입부</t>
    <phoneticPr fontId="8" type="noConversion"/>
  </si>
  <si>
    <t>GBWS-5336</t>
    <phoneticPr fontId="8" type="noConversion"/>
  </si>
  <si>
    <t>DBW-3602</t>
    <phoneticPr fontId="8" type="noConversion"/>
  </si>
  <si>
    <t>공압 Union Y Leak</t>
    <phoneticPr fontId="8" type="noConversion"/>
  </si>
  <si>
    <t>WS-0101</t>
    <phoneticPr fontId="8" type="noConversion"/>
  </si>
  <si>
    <t>Sky Seal Leak</t>
  </si>
  <si>
    <t>WS-0100</t>
    <phoneticPr fontId="8" type="noConversion"/>
  </si>
  <si>
    <t>N2 PXG Leak</t>
    <phoneticPr fontId="8" type="noConversion"/>
  </si>
  <si>
    <t>GBWS-5353</t>
    <phoneticPr fontId="8" type="noConversion"/>
  </si>
  <si>
    <t>GBWS-5348</t>
    <phoneticPr fontId="8" type="noConversion"/>
  </si>
  <si>
    <t>GBWS-5345</t>
    <phoneticPr fontId="8" type="noConversion"/>
  </si>
  <si>
    <t>IVAS-264</t>
    <phoneticPr fontId="8" type="noConversion"/>
  </si>
  <si>
    <t>MALE BANJO</t>
    <phoneticPr fontId="8" type="noConversion"/>
  </si>
  <si>
    <t>LNG 연결 N2 반조 Elbow Tube 삽입 강도 부족 Leak</t>
    <phoneticPr fontId="8" type="noConversion"/>
  </si>
  <si>
    <t>GBWS-5366</t>
    <phoneticPr fontId="8" type="noConversion"/>
  </si>
  <si>
    <t>GBWS-5352</t>
    <phoneticPr fontId="8" type="noConversion"/>
  </si>
  <si>
    <t>GBWS-5351</t>
    <phoneticPr fontId="8" type="noConversion"/>
  </si>
  <si>
    <t>GBWS-5089</t>
    <phoneticPr fontId="8" type="noConversion"/>
  </si>
  <si>
    <t>GPWS-0467</t>
    <phoneticPr fontId="8" type="noConversion"/>
  </si>
  <si>
    <t>배관 Manual Valve 조립 누락</t>
    <phoneticPr fontId="8" type="noConversion"/>
  </si>
  <si>
    <t>GBWS-5364</t>
    <phoneticPr fontId="8" type="noConversion"/>
  </si>
  <si>
    <t>GBWS-5360</t>
    <phoneticPr fontId="8" type="noConversion"/>
  </si>
  <si>
    <t>GBWS-5358</t>
    <phoneticPr fontId="8" type="noConversion"/>
  </si>
  <si>
    <t>GBWS-5357</t>
    <phoneticPr fontId="8" type="noConversion"/>
  </si>
  <si>
    <t>GBWS-4995</t>
    <phoneticPr fontId="8" type="noConversion"/>
  </si>
  <si>
    <t>GBWS-5398</t>
    <phoneticPr fontId="8" type="noConversion"/>
  </si>
  <si>
    <t>N.SCR 130</t>
    <phoneticPr fontId="8" type="noConversion"/>
  </si>
  <si>
    <t>GBWS-5359</t>
    <phoneticPr fontId="8" type="noConversion"/>
  </si>
  <si>
    <t>MALE ADAPTER</t>
    <phoneticPr fontId="8" type="noConversion"/>
  </si>
  <si>
    <t>PCW® Flow Sensor 하단 Male Connector 구리스 도포부 Leak</t>
    <phoneticPr fontId="8" type="noConversion"/>
  </si>
  <si>
    <t>SOS-0343</t>
  </si>
  <si>
    <t>SOS-0342</t>
  </si>
  <si>
    <t>SOS-0341</t>
  </si>
  <si>
    <t>SOS-0340</t>
    <phoneticPr fontId="8" type="noConversion"/>
  </si>
  <si>
    <t>GBWS-5378</t>
    <phoneticPr fontId="8" type="noConversion"/>
  </si>
  <si>
    <t>GBWS-5369</t>
    <phoneticPr fontId="8" type="noConversion"/>
  </si>
  <si>
    <t>GBWS-5368</t>
    <phoneticPr fontId="8" type="noConversion"/>
  </si>
  <si>
    <t>Union Y 0810 Body Leak</t>
    <phoneticPr fontId="8" type="noConversion"/>
  </si>
  <si>
    <t>GPWS-0468</t>
    <phoneticPr fontId="8" type="noConversion"/>
  </si>
  <si>
    <t>GBWS-5381</t>
    <phoneticPr fontId="8" type="noConversion"/>
  </si>
  <si>
    <t>GBWS-5390</t>
    <phoneticPr fontId="8" type="noConversion"/>
  </si>
  <si>
    <t>NAURA</t>
    <phoneticPr fontId="8" type="noConversion"/>
  </si>
  <si>
    <t>GBWS-5384</t>
    <phoneticPr fontId="8" type="noConversion"/>
  </si>
  <si>
    <t>Speed Controller PFA Tube 삽입부 Leak</t>
    <phoneticPr fontId="8" type="noConversion"/>
  </si>
  <si>
    <t>GBWS-5386</t>
    <phoneticPr fontId="8" type="noConversion"/>
  </si>
  <si>
    <t>GBWS-5374</t>
    <phoneticPr fontId="8" type="noConversion"/>
  </si>
  <si>
    <t>N.140B</t>
    <phoneticPr fontId="8" type="noConversion"/>
  </si>
  <si>
    <t>GBWS-5307</t>
    <phoneticPr fontId="8" type="noConversion"/>
  </si>
  <si>
    <t>DBW-3609</t>
    <phoneticPr fontId="8" type="noConversion"/>
  </si>
  <si>
    <t>DBW-3605</t>
    <phoneticPr fontId="8" type="noConversion"/>
  </si>
  <si>
    <t>Union Y 0608 Tube 삽입부 Leak</t>
    <phoneticPr fontId="8" type="noConversion"/>
  </si>
  <si>
    <t>Screw Scrapper</t>
    <phoneticPr fontId="8" type="noConversion"/>
  </si>
  <si>
    <t>N2 Purge Line PFA Tube Cutting 불량</t>
    <phoneticPr fontId="8" type="noConversion"/>
  </si>
  <si>
    <t>N.SCR140</t>
    <phoneticPr fontId="8" type="noConversion"/>
  </si>
  <si>
    <t>GPWS-0473</t>
    <phoneticPr fontId="8" type="noConversion"/>
  </si>
  <si>
    <t>O2 Pnuematic Valve Pilot 역방향 조립</t>
    <phoneticPr fontId="8" type="noConversion"/>
  </si>
  <si>
    <t>YV301</t>
    <phoneticPr fontId="8" type="noConversion"/>
  </si>
  <si>
    <t>GBWS-5394</t>
    <phoneticPr fontId="8" type="noConversion"/>
  </si>
  <si>
    <t>GPWS-0475</t>
    <phoneticPr fontId="8" type="noConversion"/>
  </si>
  <si>
    <t>SOS-0346</t>
    <phoneticPr fontId="8" type="noConversion"/>
  </si>
  <si>
    <t>DBW-3607</t>
    <phoneticPr fontId="8" type="noConversion"/>
  </si>
  <si>
    <t>YV106</t>
    <phoneticPr fontId="8" type="noConversion"/>
  </si>
  <si>
    <t>DBW-3606</t>
    <phoneticPr fontId="8" type="noConversion"/>
  </si>
  <si>
    <t>DBW-3603</t>
    <phoneticPr fontId="8" type="noConversion"/>
  </si>
  <si>
    <t>Adjustable Elbow</t>
    <phoneticPr fontId="8" type="noConversion"/>
  </si>
  <si>
    <t>PCW-R EDJUSTABLE ELBOW Fitting Nut 체결부 Leak</t>
    <phoneticPr fontId="8" type="noConversion"/>
  </si>
  <si>
    <t>N10</t>
    <phoneticPr fontId="8" type="noConversion"/>
  </si>
  <si>
    <t>GBWS-5399</t>
    <phoneticPr fontId="8" type="noConversion"/>
  </si>
  <si>
    <t>DBW-3608</t>
    <phoneticPr fontId="8" type="noConversion"/>
  </si>
  <si>
    <t>NUT</t>
    <phoneticPr fontId="8" type="noConversion"/>
  </si>
  <si>
    <t>PCW-R 열교환기 연결 PP Nut Leak</t>
    <phoneticPr fontId="8" type="noConversion"/>
  </si>
  <si>
    <t>GPWS-0477</t>
    <phoneticPr fontId="8" type="noConversion"/>
  </si>
  <si>
    <t>GBWS-5391</t>
    <phoneticPr fontId="8" type="noConversion"/>
  </si>
  <si>
    <t>GBWS-5385</t>
    <phoneticPr fontId="8" type="noConversion"/>
  </si>
  <si>
    <t>GPWS-0489</t>
    <phoneticPr fontId="8" type="noConversion"/>
  </si>
  <si>
    <t>PCW® Reducing Union Tee Fitting Nut 체결강도 부족</t>
    <phoneticPr fontId="8" type="noConversion"/>
  </si>
  <si>
    <t>PCW(S) Flow Sensor  Out단 Male Connector 락타이트 부족</t>
    <phoneticPr fontId="8" type="noConversion"/>
  </si>
  <si>
    <t>PCW® Check Valve Out단 연결 Male Adapter 락타이트 부족</t>
    <phoneticPr fontId="8" type="noConversion"/>
  </si>
  <si>
    <t>PCW(S) Flow Sensor In단 Male Connector 락타이트 부족</t>
    <phoneticPr fontId="8" type="noConversion"/>
  </si>
  <si>
    <t>GPWS-0485</t>
    <phoneticPr fontId="8" type="noConversion"/>
  </si>
  <si>
    <t>GPWS-0471</t>
    <phoneticPr fontId="8" type="noConversion"/>
  </si>
  <si>
    <t>GPWS-0492</t>
    <phoneticPr fontId="8" type="noConversion"/>
  </si>
  <si>
    <t>GBWS-5401</t>
    <phoneticPr fontId="8" type="noConversion"/>
  </si>
  <si>
    <t>GBWS-5392</t>
    <phoneticPr fontId="8" type="noConversion"/>
  </si>
  <si>
    <t>UNION NUT_20A_20A PP</t>
    <phoneticPr fontId="8" type="noConversion"/>
  </si>
  <si>
    <t>DRAIN Line Union Nut 내부 O-ring 씹힘으로 Leak</t>
    <phoneticPr fontId="8" type="noConversion"/>
  </si>
  <si>
    <t>GPWS-0481</t>
    <phoneticPr fontId="8" type="noConversion"/>
  </si>
  <si>
    <t>MALE CONNECTOR</t>
    <phoneticPr fontId="8" type="noConversion"/>
  </si>
  <si>
    <t>Main N2 Male Connector Teflon (추가체결)</t>
    <phoneticPr fontId="8" type="noConversion"/>
  </si>
  <si>
    <t>Left</t>
    <phoneticPr fontId="8" type="noConversion"/>
  </si>
  <si>
    <t>Right</t>
    <phoneticPr fontId="8" type="noConversion"/>
  </si>
  <si>
    <t>UNION ELBOW UE06M</t>
    <phoneticPr fontId="8" type="noConversion"/>
  </si>
  <si>
    <t>UNION ELBOW 06M Fitting Nut 체결불량 Leak</t>
    <phoneticPr fontId="8" type="noConversion"/>
  </si>
  <si>
    <t>PUMP NUT 25A</t>
    <phoneticPr fontId="8" type="noConversion"/>
  </si>
  <si>
    <t>PUMP NUT 25A 체결강도 부족 Leak</t>
    <phoneticPr fontId="8" type="noConversion"/>
  </si>
  <si>
    <t>GBWS-5403</t>
    <phoneticPr fontId="8" type="noConversion"/>
  </si>
  <si>
    <t>GPWS-0501</t>
    <phoneticPr fontId="8" type="noConversion"/>
  </si>
  <si>
    <t>N2 SpeedController N.V130P OUT단 PFA튜브 삽입부 Leak</t>
    <phoneticPr fontId="8" type="noConversion"/>
  </si>
  <si>
    <t>N.V130P</t>
    <phoneticPr fontId="8" type="noConversion"/>
  </si>
  <si>
    <t>GBWS-5421</t>
    <phoneticPr fontId="8" type="noConversion"/>
  </si>
  <si>
    <t>PLUG-IN REDUCER TRIPLE BRANCH</t>
    <phoneticPr fontId="8" type="noConversion"/>
  </si>
  <si>
    <t>PLUG-IN REDUCER TRIPLE BRANCH Tube 삽입부 Leak</t>
    <phoneticPr fontId="8" type="noConversion"/>
  </si>
  <si>
    <t>GBWS-5407</t>
    <phoneticPr fontId="8" type="noConversion"/>
  </si>
  <si>
    <t>ADJUSTABLE ELBOW Fitting Nut Leak (재체결)</t>
    <phoneticPr fontId="8" type="noConversion"/>
  </si>
  <si>
    <t>N2 SpeedController N50 IN단 우레탄튜브 삽입부 Leak</t>
    <phoneticPr fontId="8" type="noConversion"/>
  </si>
  <si>
    <t>N50</t>
    <phoneticPr fontId="8" type="noConversion"/>
  </si>
  <si>
    <t>SOS-0345</t>
  </si>
  <si>
    <t>SH</t>
    <phoneticPr fontId="8" type="noConversion"/>
  </si>
  <si>
    <t>SOS-0344</t>
    <phoneticPr fontId="8" type="noConversion"/>
  </si>
  <si>
    <t>CHECK VALVE</t>
    <phoneticPr fontId="8" type="noConversion"/>
  </si>
  <si>
    <t>N2 Purge N.PE120 Check Valve Fitting 체결 누락</t>
    <phoneticPr fontId="8" type="noConversion"/>
  </si>
  <si>
    <t>GPWS-0494</t>
    <phoneticPr fontId="8" type="noConversion"/>
  </si>
  <si>
    <t>TEFLON GASKET</t>
    <phoneticPr fontId="8" type="noConversion"/>
  </si>
  <si>
    <t>Main N2 Pressure Sensor TEFLON GASKET 체결부 Leak</t>
    <phoneticPr fontId="8" type="noConversion"/>
  </si>
  <si>
    <t>GBWS-5409</t>
    <phoneticPr fontId="8" type="noConversion"/>
  </si>
  <si>
    <t>GBWS-5420</t>
    <phoneticPr fontId="8" type="noConversion"/>
  </si>
  <si>
    <t>FEMALE CONNECTOR</t>
    <phoneticPr fontId="8" type="noConversion"/>
  </si>
  <si>
    <t>BCW 열관기 FEMALE CONNECTOR Fitting Nut Leak</t>
    <phoneticPr fontId="8" type="noConversion"/>
  </si>
  <si>
    <t>MFC</t>
    <phoneticPr fontId="8" type="noConversion"/>
  </si>
  <si>
    <t>MFC 상단 Fitting Nut Leak(재체결)</t>
    <phoneticPr fontId="8" type="noConversion"/>
  </si>
  <si>
    <t>N2 SpeedController N.V140B OUT단 PFA튜브 삽입부 Leak</t>
    <phoneticPr fontId="8" type="noConversion"/>
  </si>
  <si>
    <t>N.V140B</t>
    <phoneticPr fontId="8" type="noConversion"/>
  </si>
  <si>
    <t>GBWS-5412</t>
    <phoneticPr fontId="8" type="noConversion"/>
  </si>
  <si>
    <t>GPWS-0496</t>
    <phoneticPr fontId="8" type="noConversion"/>
  </si>
  <si>
    <t>UNEQUAL UNION(Y) 파손 Leak</t>
    <phoneticPr fontId="8" type="noConversion"/>
  </si>
  <si>
    <t>GBWS-5424</t>
    <phoneticPr fontId="8" type="noConversion"/>
  </si>
  <si>
    <t>UNION ELBOW</t>
    <phoneticPr fontId="8" type="noConversion"/>
  </si>
  <si>
    <t>UNION ELBOW Fitting Nut 미완체결</t>
    <phoneticPr fontId="8" type="noConversion"/>
  </si>
  <si>
    <t>SpeedController N1A Out단 PFA Tube 삽입부 Leak</t>
  </si>
  <si>
    <t>N1A</t>
    <phoneticPr fontId="8" type="noConversion"/>
  </si>
  <si>
    <t>REDUCING DOUBLE Y UNION(PXG) 0806 06Tube 삽입부 Leak</t>
    <phoneticPr fontId="8" type="noConversion"/>
  </si>
  <si>
    <t>SpeedController N10A Out단 PFA Tube 삽입부 Leak</t>
  </si>
  <si>
    <t>N10A</t>
    <phoneticPr fontId="8" type="noConversion"/>
  </si>
  <si>
    <t>DBW-3610</t>
    <phoneticPr fontId="8" type="noConversion"/>
  </si>
  <si>
    <t>SpeedController YV126 In단 우레탄튜브 삽입부 Leak</t>
  </si>
  <si>
    <t>YV126</t>
    <phoneticPr fontId="8" type="noConversion"/>
  </si>
  <si>
    <t>WS-0102</t>
    <phoneticPr fontId="8" type="noConversion"/>
  </si>
  <si>
    <t>GLSS PIPE</t>
    <phoneticPr fontId="8" type="noConversion"/>
  </si>
  <si>
    <t>CLAW CLAMP로 조이는 도중 용접부 LEAK</t>
    <phoneticPr fontId="8" type="noConversion"/>
  </si>
  <si>
    <t>UNION TEE</t>
    <phoneticPr fontId="8" type="noConversion"/>
  </si>
  <si>
    <t>UNION TEE Ferrule 불량</t>
    <phoneticPr fontId="8" type="noConversion"/>
  </si>
  <si>
    <t>GBWS-5434</t>
    <phoneticPr fontId="8" type="noConversion"/>
  </si>
  <si>
    <t>GBWS-5433</t>
    <phoneticPr fontId="8" type="noConversion"/>
  </si>
  <si>
    <t>GBWS-5432</t>
    <phoneticPr fontId="8" type="noConversion"/>
  </si>
  <si>
    <t>CLAMP</t>
    <phoneticPr fontId="8" type="noConversion"/>
  </si>
  <si>
    <t>CLAMP 오링 이탈</t>
    <phoneticPr fontId="8" type="noConversion"/>
  </si>
  <si>
    <t>GBWS-5430</t>
    <phoneticPr fontId="8" type="noConversion"/>
  </si>
  <si>
    <t>UNION Y 08</t>
    <phoneticPr fontId="8" type="noConversion"/>
  </si>
  <si>
    <t>UNION Y 08 Body 파손으로 인한 Leak</t>
    <phoneticPr fontId="8" type="noConversion"/>
  </si>
  <si>
    <t>GPWS-0498</t>
    <phoneticPr fontId="8" type="noConversion"/>
  </si>
  <si>
    <t>GBWS-5442</t>
    <phoneticPr fontId="8" type="noConversion"/>
  </si>
  <si>
    <t>GBWS-5441</t>
    <phoneticPr fontId="8" type="noConversion"/>
  </si>
  <si>
    <t>KEY OPERATION VALVE Fitting Nut Leak/갭게이지 이상무</t>
    <phoneticPr fontId="8" type="noConversion"/>
  </si>
  <si>
    <t>GBWS-5431</t>
    <phoneticPr fontId="8" type="noConversion"/>
  </si>
  <si>
    <t>GBWS-5427</t>
    <phoneticPr fontId="8" type="noConversion"/>
  </si>
  <si>
    <t>PUMP NUT 25A 체결불량 Leak</t>
    <phoneticPr fontId="8" type="noConversion"/>
  </si>
  <si>
    <t>DRAGON AB DUAL</t>
    <phoneticPr fontId="8" type="noConversion"/>
  </si>
  <si>
    <t>DBW-3612</t>
    <phoneticPr fontId="8" type="noConversion"/>
  </si>
  <si>
    <t>MALE ELBOW Nut Tube 삽입불량</t>
    <phoneticPr fontId="8" type="noConversion"/>
  </si>
  <si>
    <t>GPWS-0500</t>
    <phoneticPr fontId="8" type="noConversion"/>
  </si>
  <si>
    <t>GBWS-5435</t>
    <phoneticPr fontId="8" type="noConversion"/>
  </si>
  <si>
    <t>GBWS-5443</t>
    <phoneticPr fontId="8" type="noConversion"/>
  </si>
  <si>
    <t xml:space="preserve">GAIA-I DUAL </t>
    <phoneticPr fontId="8" type="noConversion"/>
  </si>
  <si>
    <t>REDUCING DOUBLE Y UNION</t>
  </si>
  <si>
    <t>N2 REDUCING DOUBLE Y UNION 우레탄튜브 삽입부 Leak</t>
    <phoneticPr fontId="8" type="noConversion"/>
  </si>
  <si>
    <t>GBWS-5437</t>
    <phoneticPr fontId="8" type="noConversion"/>
  </si>
  <si>
    <t>MAGENETIC PUMP</t>
    <phoneticPr fontId="8" type="noConversion"/>
  </si>
  <si>
    <t>MAGENETIC PUMP INLET 내부 PACKING 누락</t>
    <phoneticPr fontId="8" type="noConversion"/>
  </si>
  <si>
    <t>SpeedController N120B IN단 PFA Tube 삽입부 Leak</t>
    <phoneticPr fontId="8" type="noConversion"/>
  </si>
  <si>
    <t>N120B</t>
    <phoneticPr fontId="8" type="noConversion"/>
  </si>
  <si>
    <t>WS-0103</t>
    <phoneticPr fontId="8" type="noConversion"/>
  </si>
  <si>
    <t>GPWS-0511</t>
    <phoneticPr fontId="8" type="noConversion"/>
  </si>
  <si>
    <t>GBWS-5444</t>
    <phoneticPr fontId="8" type="noConversion"/>
  </si>
  <si>
    <t>GBWS-5402</t>
    <phoneticPr fontId="8" type="noConversion"/>
  </si>
  <si>
    <t>BULKHEAD UNION</t>
    <phoneticPr fontId="8" type="noConversion"/>
  </si>
  <si>
    <t>GN2 주입 BULKHEAD UNION 08 하단부 Fittng Nut Leak /
 재조립 시에도 동일증상으로 Nut 및 SUS TUBE교체</t>
    <phoneticPr fontId="8" type="noConversion"/>
  </si>
  <si>
    <t>GPWS-0514</t>
    <phoneticPr fontId="8" type="noConversion"/>
  </si>
  <si>
    <t>GBWS-5446</t>
    <phoneticPr fontId="8" type="noConversion"/>
  </si>
  <si>
    <t>SpeedController PD101 OUT단 우레탄튜브 삽입부 Leak</t>
    <phoneticPr fontId="8" type="noConversion"/>
  </si>
  <si>
    <t>PD101</t>
    <phoneticPr fontId="8" type="noConversion"/>
  </si>
  <si>
    <t>DBW-3614</t>
    <phoneticPr fontId="8" type="noConversion"/>
  </si>
  <si>
    <t>GPWS-0524</t>
    <phoneticPr fontId="8" type="noConversion"/>
  </si>
  <si>
    <t>GPWS-0515</t>
    <phoneticPr fontId="8" type="noConversion"/>
  </si>
  <si>
    <t>UNION TEE TUBE 삽입불량 LEAK</t>
    <phoneticPr fontId="8" type="noConversion"/>
  </si>
  <si>
    <t>GBWS-5452</t>
    <phoneticPr fontId="8" type="noConversion"/>
  </si>
  <si>
    <t>GBWS-5426</t>
    <phoneticPr fontId="8" type="noConversion"/>
  </si>
  <si>
    <t>CXMT</t>
    <phoneticPr fontId="8" type="noConversion"/>
  </si>
  <si>
    <t>AIR MODULE</t>
  </si>
  <si>
    <t>AIR MODULE Tube 삽입부 Leak로 파트교체</t>
    <phoneticPr fontId="8" type="noConversion"/>
  </si>
  <si>
    <t>DBW-3611</t>
    <phoneticPr fontId="8" type="noConversion"/>
  </si>
  <si>
    <t>O-RING</t>
    <phoneticPr fontId="8" type="noConversion"/>
  </si>
  <si>
    <t>SWIRL GUIDE AIR NOZZLE O-RING 씹힘으로 Leak</t>
    <phoneticPr fontId="8" type="noConversion"/>
  </si>
  <si>
    <t>GPWS-0528</t>
    <phoneticPr fontId="8" type="noConversion"/>
  </si>
  <si>
    <t>유진테크</t>
    <phoneticPr fontId="8" type="noConversion"/>
  </si>
  <si>
    <t>GPWS-0527</t>
    <phoneticPr fontId="8" type="noConversion"/>
  </si>
  <si>
    <t>GPWS-0526</t>
    <phoneticPr fontId="8" type="noConversion"/>
  </si>
  <si>
    <t>GPWS-0523</t>
    <phoneticPr fontId="8" type="noConversion"/>
  </si>
  <si>
    <t>DBW-3616</t>
    <phoneticPr fontId="8" type="noConversion"/>
  </si>
  <si>
    <t>GBWS-5458</t>
    <phoneticPr fontId="8" type="noConversion"/>
  </si>
  <si>
    <t>GBWS-5411</t>
    <phoneticPr fontId="8" type="noConversion"/>
  </si>
  <si>
    <t>GBWS-5406</t>
    <phoneticPr fontId="8" type="noConversion"/>
  </si>
  <si>
    <t>GBWS-5425</t>
    <phoneticPr fontId="8" type="noConversion"/>
  </si>
  <si>
    <t>GBWS-5418</t>
    <phoneticPr fontId="8" type="noConversion"/>
  </si>
  <si>
    <t>INLET PIPE SCRAPER01</t>
    <phoneticPr fontId="8" type="noConversion"/>
  </si>
  <si>
    <t>INLET PIPE SCRAPER01 Body Crack Leak</t>
    <phoneticPr fontId="8" type="noConversion"/>
  </si>
  <si>
    <t>WS-0105</t>
    <phoneticPr fontId="8" type="noConversion"/>
  </si>
  <si>
    <t>REDUCING DOUBLE Y UNION0806 08PFA Tube 삽입부 Leak</t>
    <phoneticPr fontId="8" type="noConversion"/>
  </si>
  <si>
    <t>GPWS-0529</t>
    <phoneticPr fontId="8" type="noConversion"/>
  </si>
  <si>
    <t>GPWS-0516</t>
    <phoneticPr fontId="8" type="noConversion"/>
  </si>
  <si>
    <t>VEONIS</t>
    <phoneticPr fontId="8" type="noConversion"/>
  </si>
  <si>
    <t>GBWS-5456</t>
    <phoneticPr fontId="8" type="noConversion"/>
  </si>
  <si>
    <t>GBWS-5448</t>
    <phoneticPr fontId="8" type="noConversion"/>
  </si>
  <si>
    <t>GBWS-5428</t>
    <phoneticPr fontId="8" type="noConversion"/>
  </si>
  <si>
    <t>GPWS-0531</t>
    <phoneticPr fontId="8" type="noConversion"/>
  </si>
  <si>
    <t>GBWS-5467</t>
    <phoneticPr fontId="8" type="noConversion"/>
  </si>
  <si>
    <t>GBWS-5466</t>
    <phoneticPr fontId="8" type="noConversion"/>
  </si>
  <si>
    <t>GBWS-5465</t>
    <phoneticPr fontId="8" type="noConversion"/>
  </si>
  <si>
    <t>SCREW SCRAPPER</t>
    <phoneticPr fontId="8" type="noConversion"/>
  </si>
  <si>
    <t>SCREW SCRAPPER 장착 반조 ELBOW O-ring 이탈 Leak</t>
    <phoneticPr fontId="8" type="noConversion"/>
  </si>
  <si>
    <t>GBWS-5459</t>
    <phoneticPr fontId="8" type="noConversion"/>
  </si>
  <si>
    <t>BULKHEAD UNION Fitting Nut 미완체결 Leak</t>
    <phoneticPr fontId="8" type="noConversion"/>
  </si>
  <si>
    <t>GPWS-0517</t>
    <phoneticPr fontId="8" type="noConversion"/>
  </si>
  <si>
    <t>SDC</t>
    <phoneticPr fontId="8" type="noConversion"/>
  </si>
  <si>
    <t>GPWS-0539</t>
    <phoneticPr fontId="8" type="noConversion"/>
  </si>
  <si>
    <t>SpeedController Out 단 우레탄튜브 삽입부 Leak N.V140B</t>
    <phoneticPr fontId="8" type="noConversion"/>
  </si>
  <si>
    <t>GBWS-5461</t>
    <phoneticPr fontId="8" type="noConversion"/>
  </si>
  <si>
    <t>DBW-3618</t>
    <phoneticPr fontId="8" type="noConversion"/>
  </si>
  <si>
    <t>UNEQUAL UNION Y0806 06튜브 삽입부 Leak</t>
    <phoneticPr fontId="8" type="noConversion"/>
  </si>
  <si>
    <t>UNION Y</t>
    <phoneticPr fontId="8" type="noConversion"/>
  </si>
  <si>
    <t>UNION Y 10 우레탄튜브 삽입부 Leak</t>
    <phoneticPr fontId="8" type="noConversion"/>
  </si>
  <si>
    <t>GPWS-0535</t>
    <phoneticPr fontId="8" type="noConversion"/>
  </si>
  <si>
    <t>GPWS-0534</t>
    <phoneticPr fontId="8" type="noConversion"/>
  </si>
  <si>
    <t>GPWS-0525</t>
    <phoneticPr fontId="8" type="noConversion"/>
  </si>
  <si>
    <t>GBWS-5373</t>
    <phoneticPr fontId="8" type="noConversion"/>
  </si>
  <si>
    <t>GPWS-0518</t>
    <phoneticPr fontId="8" type="noConversion"/>
  </si>
  <si>
    <t>GPWS-0546</t>
    <phoneticPr fontId="8" type="noConversion"/>
  </si>
  <si>
    <t>GPWS-0541</t>
    <phoneticPr fontId="8" type="noConversion"/>
  </si>
  <si>
    <t>MALE CONNECTOR FITTING NUT 체결강도부족</t>
    <phoneticPr fontId="8" type="noConversion"/>
  </si>
  <si>
    <t>NEXCHIP</t>
    <phoneticPr fontId="8" type="noConversion"/>
  </si>
  <si>
    <t>GBWS-5470</t>
    <phoneticPr fontId="8" type="noConversion"/>
  </si>
  <si>
    <t>KEY OPERATION VALVE</t>
    <phoneticPr fontId="8" type="noConversion"/>
  </si>
  <si>
    <t>KEY OPERATION VALVE Fitting Nut Ferrule 삽입불량 Leak</t>
    <phoneticPr fontId="8" type="noConversion"/>
  </si>
  <si>
    <t>SpeedController Out 단 우레탄튜브 삽입부 Leak N.V150B</t>
    <phoneticPr fontId="8" type="noConversion"/>
  </si>
  <si>
    <t>REDUCING DOUBLE Y UNION0806 06 우레탄Tube 삽입부 Leak</t>
    <phoneticPr fontId="8" type="noConversion"/>
  </si>
  <si>
    <t>DBW-3619</t>
    <phoneticPr fontId="8" type="noConversion"/>
  </si>
  <si>
    <t>MALE CONNECTOR FITTING NUT Ferrule 찢어짐 Leak</t>
    <phoneticPr fontId="8" type="noConversion"/>
  </si>
  <si>
    <t>REDUCER Y</t>
    <phoneticPr fontId="8" type="noConversion"/>
  </si>
  <si>
    <t>REDUCER Y 12우레탄튜브 삽입부 Leak</t>
    <phoneticPr fontId="8" type="noConversion"/>
  </si>
  <si>
    <t>DBW-3627</t>
  </si>
  <si>
    <t>SpeedController Out 단 우레탄튜브 삽입부 Leak PD101</t>
    <phoneticPr fontId="8" type="noConversion"/>
  </si>
  <si>
    <t>DBW-3626</t>
    <phoneticPr fontId="8" type="noConversion"/>
  </si>
  <si>
    <t>GBWS-5479</t>
    <phoneticPr fontId="8" type="noConversion"/>
  </si>
  <si>
    <t>SpeedController Out 단 우레탄튜브 삽입부 Leak N.V120P</t>
    <phoneticPr fontId="8" type="noConversion"/>
  </si>
  <si>
    <t>SpeedController Out 단 우레탄튜브 삽입부 Leak N.PE101A</t>
    <phoneticPr fontId="8" type="noConversion"/>
  </si>
  <si>
    <t>GBWS-5472</t>
    <phoneticPr fontId="8" type="noConversion"/>
  </si>
  <si>
    <t>GPWS-0538</t>
    <phoneticPr fontId="8" type="noConversion"/>
  </si>
  <si>
    <t>GPWS-0506</t>
    <phoneticPr fontId="8" type="noConversion"/>
  </si>
  <si>
    <t>CHAIN CLAMP</t>
    <phoneticPr fontId="8" type="noConversion"/>
  </si>
  <si>
    <t>CHAIN CLAMP 체결강도 부족 Leak</t>
    <phoneticPr fontId="8" type="noConversion"/>
  </si>
  <si>
    <t>SpeedController Out 단 PFA 삽입부 Leak G11</t>
    <phoneticPr fontId="8" type="noConversion"/>
  </si>
  <si>
    <t>REDUCING DOUBLE Y UNION 0806 06우레탄튜브 삽입부 Leak</t>
    <phoneticPr fontId="8" type="noConversion"/>
  </si>
  <si>
    <t>Quench Flange 삽입 O-Ring 씹힘 Leak</t>
    <phoneticPr fontId="8" type="noConversion"/>
  </si>
  <si>
    <t>DBW-3620</t>
    <phoneticPr fontId="8" type="noConversion"/>
  </si>
  <si>
    <t>BALL VALVE</t>
    <phoneticPr fontId="8" type="noConversion"/>
  </si>
  <si>
    <t>N2 BALL VALVE 역방향 조립 Vent</t>
    <phoneticPr fontId="8" type="noConversion"/>
  </si>
  <si>
    <t>GBWS-5475</t>
    <phoneticPr fontId="8" type="noConversion"/>
  </si>
  <si>
    <t>GPWS-0509</t>
    <phoneticPr fontId="8" type="noConversion"/>
  </si>
  <si>
    <t>GBWS-5493</t>
    <phoneticPr fontId="8" type="noConversion"/>
  </si>
  <si>
    <t>JUHE</t>
    <phoneticPr fontId="8" type="noConversion"/>
  </si>
  <si>
    <t>GBWS-5491</t>
    <phoneticPr fontId="8" type="noConversion"/>
  </si>
  <si>
    <t>GBWS-5484</t>
    <phoneticPr fontId="8" type="noConversion"/>
  </si>
  <si>
    <t>GBWS-5483</t>
    <phoneticPr fontId="8" type="noConversion"/>
  </si>
  <si>
    <t>DBW-3625</t>
    <phoneticPr fontId="8" type="noConversion"/>
  </si>
  <si>
    <t>REDUCING UNION Y</t>
    <phoneticPr fontId="8" type="noConversion"/>
  </si>
  <si>
    <t>REDUCING UNION Y Tube 꺽임으로 삽입부 Leak</t>
    <phoneticPr fontId="8" type="noConversion"/>
  </si>
  <si>
    <t>FLEXIBLE TUBE</t>
    <phoneticPr fontId="8" type="noConversion"/>
  </si>
  <si>
    <t>FLEXIBLE TUBE 조립 누락</t>
    <phoneticPr fontId="8" type="noConversion"/>
  </si>
  <si>
    <t>DBW-3624</t>
    <phoneticPr fontId="8" type="noConversion"/>
  </si>
  <si>
    <t>GBWS-5485</t>
    <phoneticPr fontId="8" type="noConversion"/>
  </si>
  <si>
    <t>GBWS-5489</t>
    <phoneticPr fontId="8" type="noConversion"/>
  </si>
  <si>
    <t>GBWS-5482</t>
    <phoneticPr fontId="8" type="noConversion"/>
  </si>
  <si>
    <t>GBWS-5480</t>
    <phoneticPr fontId="8" type="noConversion"/>
  </si>
  <si>
    <t>GBWS-5498</t>
    <phoneticPr fontId="8" type="noConversion"/>
  </si>
  <si>
    <t>GBWS-5495</t>
    <phoneticPr fontId="8" type="noConversion"/>
  </si>
  <si>
    <t>SpeedController Out 단 우레탄튜브 삽입부 Leak N.BE101</t>
    <phoneticPr fontId="8" type="noConversion"/>
  </si>
  <si>
    <t>GBWS-5494</t>
    <phoneticPr fontId="8" type="noConversion"/>
  </si>
  <si>
    <t>SpeedController Out 단 우레탄튜브 삽입부 Leak N.V120B</t>
    <phoneticPr fontId="8" type="noConversion"/>
  </si>
  <si>
    <t>GBWS-5478</t>
    <phoneticPr fontId="8" type="noConversion"/>
  </si>
  <si>
    <t>Exhaust Flange 틀어짐으로 CLAMP 부 Leak</t>
    <phoneticPr fontId="8" type="noConversion"/>
  </si>
  <si>
    <t>GBWS-5477</t>
    <phoneticPr fontId="8" type="noConversion"/>
  </si>
  <si>
    <t>GPWS-0547</t>
    <phoneticPr fontId="8" type="noConversion"/>
  </si>
  <si>
    <t>GPWS-0520</t>
    <phoneticPr fontId="8" type="noConversion"/>
  </si>
  <si>
    <t>BYPASS#4 3Wayvalve CLAMP 체결불량 Leak</t>
    <phoneticPr fontId="8" type="noConversion"/>
  </si>
  <si>
    <t>GBWS-5496</t>
    <phoneticPr fontId="8" type="noConversion"/>
  </si>
  <si>
    <t>GBWS-5375</t>
    <phoneticPr fontId="8" type="noConversion"/>
  </si>
  <si>
    <t xml:space="preserve">GN2 주입 BULKHEAD UNION 08 하단부 Fittng Nut Leak 체결강도부족 </t>
    <phoneticPr fontId="8" type="noConversion"/>
  </si>
  <si>
    <t>SpeedController Out 단 PFA튜브 삽입부 Leak N1</t>
    <phoneticPr fontId="8" type="noConversion"/>
  </si>
  <si>
    <t>GPWS-0552</t>
    <phoneticPr fontId="8" type="noConversion"/>
  </si>
  <si>
    <t>GBWS-5516</t>
    <phoneticPr fontId="8" type="noConversion"/>
  </si>
  <si>
    <t>SpeedController Out 단 PFA튜브 삽입부 Leak N.PE120</t>
    <phoneticPr fontId="8" type="noConversion"/>
  </si>
  <si>
    <t>GBWS-5507</t>
    <phoneticPr fontId="8" type="noConversion"/>
  </si>
  <si>
    <t>ADJUSTABLE ELBOW</t>
    <phoneticPr fontId="8" type="noConversion"/>
  </si>
  <si>
    <t>ADJUSTABLE ELBOW Fitting Nut 미완체결</t>
    <phoneticPr fontId="8" type="noConversion"/>
  </si>
  <si>
    <t>UNION Y 12</t>
    <phoneticPr fontId="8" type="noConversion"/>
  </si>
  <si>
    <t>TUBE SPLICER 체결부 Leak</t>
    <phoneticPr fontId="8" type="noConversion"/>
  </si>
  <si>
    <t>DBW-3628</t>
    <phoneticPr fontId="8" type="noConversion"/>
  </si>
  <si>
    <t>SpeedController Out 단 PFA튜브 삽입부 Leak SCR110A</t>
    <phoneticPr fontId="8" type="noConversion"/>
  </si>
  <si>
    <t>UNION Y 08 우레탄튜브 삽입부 Leak</t>
    <phoneticPr fontId="8" type="noConversion"/>
  </si>
  <si>
    <t>LEVEL SENSOR NUT 체결 Leak</t>
    <phoneticPr fontId="8" type="noConversion"/>
  </si>
  <si>
    <t>GPWS-0544</t>
    <phoneticPr fontId="8" type="noConversion"/>
  </si>
  <si>
    <t>GBWS-5502</t>
    <phoneticPr fontId="8" type="noConversion"/>
  </si>
  <si>
    <t>GBWS-5501</t>
    <phoneticPr fontId="8" type="noConversion"/>
  </si>
  <si>
    <t>GBWS-5500</t>
    <phoneticPr fontId="8" type="noConversion"/>
  </si>
  <si>
    <t>SpeedController Out 단 PFA튜브 삽입부 Leak N.V140PA</t>
    <phoneticPr fontId="8" type="noConversion"/>
  </si>
  <si>
    <t>SpeedController Out 단 PFA튜브 삽입부 Leak N.V160B</t>
    <phoneticPr fontId="8" type="noConversion"/>
  </si>
  <si>
    <t>DRAIN Line Nut 내부 O-ring 씹힘으로 Leak</t>
    <phoneticPr fontId="8" type="noConversion"/>
  </si>
  <si>
    <t>GBWS-5499</t>
    <phoneticPr fontId="8" type="noConversion"/>
  </si>
  <si>
    <t>GBWS-5376</t>
    <phoneticPr fontId="8" type="noConversion"/>
  </si>
  <si>
    <t>SpeedController Out 단 PFA튜브 삽입부 Leak N.PE140</t>
    <phoneticPr fontId="8" type="noConversion"/>
  </si>
  <si>
    <t>GPWS-0545</t>
    <phoneticPr fontId="8" type="noConversion"/>
  </si>
  <si>
    <t>GBWS-5504</t>
    <phoneticPr fontId="8" type="noConversion"/>
  </si>
  <si>
    <t>GBWS-550</t>
    <phoneticPr fontId="8" type="noConversion"/>
  </si>
  <si>
    <t>SOS-0348</t>
  </si>
  <si>
    <t>SOS-0347</t>
    <phoneticPr fontId="8" type="noConversion"/>
  </si>
  <si>
    <t>GPWS-0555</t>
    <phoneticPr fontId="8" type="noConversion"/>
  </si>
  <si>
    <t>GBWS-5508</t>
    <phoneticPr fontId="8" type="noConversion"/>
  </si>
  <si>
    <t>GBWS-5506</t>
    <phoneticPr fontId="8" type="noConversion"/>
  </si>
  <si>
    <t>GPWS-0551</t>
    <phoneticPr fontId="8" type="noConversion"/>
  </si>
  <si>
    <t>GPWS-0550</t>
    <phoneticPr fontId="8" type="noConversion"/>
  </si>
  <si>
    <t>SpeedController Out 단 PFA튜브 삽입부 Leak N12</t>
    <phoneticPr fontId="8" type="noConversion"/>
  </si>
  <si>
    <t>GPWS-0542</t>
    <phoneticPr fontId="8" type="noConversion"/>
  </si>
  <si>
    <t>GBWS-5517</t>
    <phoneticPr fontId="8" type="noConversion"/>
  </si>
  <si>
    <t>GBWS-5510</t>
    <phoneticPr fontId="8" type="noConversion"/>
  </si>
  <si>
    <t>GPWS-0536</t>
    <phoneticPr fontId="8" type="noConversion"/>
  </si>
  <si>
    <t>DBW-3630</t>
    <phoneticPr fontId="8" type="noConversion"/>
  </si>
  <si>
    <t>DRAIN FILLTER BOX 체결부 O-RING 씹힘 Leak</t>
    <phoneticPr fontId="8" type="noConversion"/>
  </si>
  <si>
    <t>GBWS-5518</t>
    <phoneticPr fontId="8" type="noConversion"/>
  </si>
  <si>
    <t>GBWS-5512</t>
    <phoneticPr fontId="8" type="noConversion"/>
  </si>
  <si>
    <t>REDUCER Y 06 Tube 삽입부 내부 이물집 삽입 Leak</t>
    <phoneticPr fontId="8" type="noConversion"/>
  </si>
  <si>
    <t>GBWS-5220</t>
    <phoneticPr fontId="8" type="noConversion"/>
  </si>
  <si>
    <t>GBWS-5522</t>
    <phoneticPr fontId="8" type="noConversion"/>
  </si>
  <si>
    <t>GBWS-5519</t>
    <phoneticPr fontId="8" type="noConversion"/>
  </si>
  <si>
    <t>SpeedController Out 단 PFA튜브 삽입부 Leak N.V140P</t>
    <phoneticPr fontId="8" type="noConversion"/>
  </si>
  <si>
    <t>SpeedController Out 단 PFA튜브 삽입부 Leak N.PE110</t>
    <phoneticPr fontId="8" type="noConversion"/>
  </si>
  <si>
    <t>GBWS-5515</t>
    <phoneticPr fontId="8" type="noConversion"/>
  </si>
  <si>
    <t>UNION TEE PFA Tube 삽입정도 부족 Leak W.511A</t>
    <phoneticPr fontId="8" type="noConversion"/>
  </si>
  <si>
    <t>GBWS-5550</t>
    <phoneticPr fontId="8" type="noConversion"/>
  </si>
  <si>
    <t>DBW-3632</t>
    <phoneticPr fontId="8" type="noConversion"/>
  </si>
  <si>
    <t>MALE ELBOW</t>
    <phoneticPr fontId="8" type="noConversion"/>
  </si>
  <si>
    <t>MALE ELBOW Jaco Fitting Nut Tube 삽입 정도부족 Leak</t>
    <phoneticPr fontId="8" type="noConversion"/>
  </si>
  <si>
    <t>GBWS-5537</t>
    <phoneticPr fontId="8" type="noConversion"/>
  </si>
  <si>
    <t>SpeedController Out 단 PFA튜브 삽입부 Leak N.V120PA</t>
    <phoneticPr fontId="8" type="noConversion"/>
  </si>
  <si>
    <t>DBW-3634</t>
    <phoneticPr fontId="8" type="noConversion"/>
  </si>
  <si>
    <t>GBWS-5531</t>
    <phoneticPr fontId="8" type="noConversion"/>
  </si>
  <si>
    <t>GBWS-5529</t>
    <phoneticPr fontId="8" type="noConversion"/>
  </si>
  <si>
    <t>GPWS-0557</t>
    <phoneticPr fontId="8" type="noConversion"/>
  </si>
  <si>
    <t>GBWS-5533</t>
    <phoneticPr fontId="8" type="noConversion"/>
  </si>
  <si>
    <t>GBWS-5525</t>
    <phoneticPr fontId="8" type="noConversion"/>
  </si>
  <si>
    <t>GBWS-5558</t>
    <phoneticPr fontId="8" type="noConversion"/>
  </si>
  <si>
    <t>GBWS-5545</t>
    <phoneticPr fontId="8" type="noConversion"/>
  </si>
  <si>
    <t>REACTOR PU</t>
    <phoneticPr fontId="8" type="noConversion"/>
  </si>
  <si>
    <t>REACTOR PU 용접부 CRACK Leak</t>
    <phoneticPr fontId="8" type="noConversion"/>
  </si>
  <si>
    <t>MALE BANJO 삽입 우레탄튜브 CUTTING 불량</t>
    <phoneticPr fontId="8" type="noConversion"/>
  </si>
  <si>
    <t>GBWS-5543</t>
    <phoneticPr fontId="8" type="noConversion"/>
  </si>
  <si>
    <t>SpeedController Out 단 PFA튜브 삽입부 Leak N.V150B</t>
    <phoneticPr fontId="8" type="noConversion"/>
  </si>
  <si>
    <t>PAB SENSOR 연결 UNION ELBOW Tube 삽입 정도 불량 Leak(Ferrule 덜물림)</t>
    <phoneticPr fontId="8" type="noConversion"/>
  </si>
  <si>
    <t>GBWS-5538</t>
    <phoneticPr fontId="8" type="noConversion"/>
  </si>
  <si>
    <t>GPWS-0558</t>
    <phoneticPr fontId="8" type="noConversion"/>
  </si>
  <si>
    <t xml:space="preserve">GAIA-P DUAL </t>
    <phoneticPr fontId="8" type="noConversion"/>
  </si>
  <si>
    <t>GBWS-5553</t>
    <phoneticPr fontId="8" type="noConversion"/>
  </si>
  <si>
    <t>GBWS-5552</t>
    <phoneticPr fontId="8" type="noConversion"/>
  </si>
  <si>
    <t>GBWS-5540</t>
    <phoneticPr fontId="8" type="noConversion"/>
  </si>
  <si>
    <t>GBWS-5526</t>
    <phoneticPr fontId="8" type="noConversion"/>
  </si>
  <si>
    <t>WS-0106</t>
    <phoneticPr fontId="8" type="noConversion"/>
  </si>
  <si>
    <t>GBWS-5528</t>
    <phoneticPr fontId="8" type="noConversion"/>
  </si>
  <si>
    <t>GBWS-5557</t>
    <phoneticPr fontId="8" type="noConversion"/>
  </si>
  <si>
    <t>GBWS-5556</t>
    <phoneticPr fontId="8" type="noConversion"/>
  </si>
  <si>
    <t>REDUCING UNION TEE</t>
    <phoneticPr fontId="8" type="noConversion"/>
  </si>
  <si>
    <t>REDUCING UNION TEE PFA 삽입 Fitting Nut 미완체결 Leak</t>
    <phoneticPr fontId="8" type="noConversion"/>
  </si>
  <si>
    <t>SpeedController Out 단 PFA튜브 삽입부 Leak PD122</t>
    <phoneticPr fontId="8" type="noConversion"/>
  </si>
  <si>
    <t>MALE STRAIGHT</t>
    <phoneticPr fontId="8" type="noConversion"/>
  </si>
  <si>
    <t>MALE STRAIGHT 삽입 우레탄튜브 CUTTING 불량</t>
    <phoneticPr fontId="8" type="noConversion"/>
  </si>
  <si>
    <t>DBW-3636</t>
    <phoneticPr fontId="8" type="noConversion"/>
  </si>
  <si>
    <t>BAND CLAMP</t>
    <phoneticPr fontId="8" type="noConversion"/>
  </si>
  <si>
    <t>BAND CLAMP 사선 체결 체결불량 Leak</t>
    <phoneticPr fontId="8" type="noConversion"/>
  </si>
  <si>
    <t>SpeedController Out 단 PFA튜브 삽입부 Leak YV108</t>
    <phoneticPr fontId="8" type="noConversion"/>
  </si>
  <si>
    <t>GBWS-5572</t>
    <phoneticPr fontId="8" type="noConversion"/>
  </si>
  <si>
    <t>GBWS-5571</t>
    <phoneticPr fontId="8" type="noConversion"/>
  </si>
  <si>
    <t>GBWS-5527</t>
    <phoneticPr fontId="8" type="noConversion"/>
  </si>
  <si>
    <t>GBWS-5562</t>
    <phoneticPr fontId="8" type="noConversion"/>
  </si>
  <si>
    <t xml:space="preserve">기구 </t>
    <phoneticPr fontId="8" type="noConversion"/>
  </si>
  <si>
    <t xml:space="preserve"> PCW-S BULKHEAD UNION Fitting Nut 체결강도부족 Leak</t>
    <phoneticPr fontId="8" type="noConversion"/>
  </si>
  <si>
    <t>PCW-S UNION ELBOW IN단 Fitting Nut 체결강도부족 Leak</t>
    <phoneticPr fontId="8" type="noConversion"/>
  </si>
  <si>
    <t>SPRINKLER Teflon 작업부 Leak</t>
    <phoneticPr fontId="8" type="noConversion"/>
  </si>
  <si>
    <t>GBWS-5560</t>
    <phoneticPr fontId="8" type="noConversion"/>
  </si>
  <si>
    <t>INLET#3 RIGHT N2 Purge Checkvalve Fitting Nut 체결강도부족 Leak</t>
    <phoneticPr fontId="8" type="noConversion"/>
  </si>
  <si>
    <t>GBWS-5547</t>
    <phoneticPr fontId="8" type="noConversion"/>
  </si>
  <si>
    <t>GBWS-5546</t>
    <phoneticPr fontId="8" type="noConversion"/>
  </si>
  <si>
    <t>GBWS-5574</t>
    <phoneticPr fontId="8" type="noConversion"/>
  </si>
  <si>
    <t>Cabinet 휨 Issue로 Wet Tank 재작업 , 용접부 Leak</t>
    <phoneticPr fontId="8" type="noConversion"/>
  </si>
  <si>
    <t>GBWS-5582</t>
    <phoneticPr fontId="8" type="noConversion"/>
  </si>
  <si>
    <t>GBWS-5573</t>
    <phoneticPr fontId="8" type="noConversion"/>
  </si>
  <si>
    <t>GBWS-5570</t>
    <phoneticPr fontId="8" type="noConversion"/>
  </si>
  <si>
    <t>GBWS-5563</t>
    <phoneticPr fontId="8" type="noConversion"/>
  </si>
  <si>
    <t>SpeedController IN 단 우레탄튜브 삽입부 Leak N.PE140</t>
    <phoneticPr fontId="8" type="noConversion"/>
  </si>
  <si>
    <t>GBWS-5555</t>
    <phoneticPr fontId="8" type="noConversion"/>
  </si>
  <si>
    <t>GBWS-5579</t>
    <phoneticPr fontId="8" type="noConversion"/>
  </si>
  <si>
    <t>MALE BANJO Regulator 체결부 체결강도부족 Leak</t>
    <phoneticPr fontId="8" type="noConversion"/>
  </si>
  <si>
    <t>GBWS-5578</t>
    <phoneticPr fontId="8" type="noConversion"/>
  </si>
  <si>
    <t>DBW-3639</t>
    <phoneticPr fontId="8" type="noConversion"/>
  </si>
  <si>
    <t>WS-0107</t>
    <phoneticPr fontId="8" type="noConversion"/>
  </si>
  <si>
    <t>GPWS-0495</t>
    <phoneticPr fontId="8" type="noConversion"/>
  </si>
  <si>
    <t>GBWS-5576</t>
    <phoneticPr fontId="8" type="noConversion"/>
  </si>
  <si>
    <t>N2 MALE ELBOW Teflon 부족, 추가 작업</t>
    <phoneticPr fontId="8" type="noConversion"/>
  </si>
  <si>
    <t>DBW-3640</t>
    <phoneticPr fontId="8" type="noConversion"/>
  </si>
  <si>
    <t>GBWS-5586</t>
    <phoneticPr fontId="8" type="noConversion"/>
  </si>
  <si>
    <t>계약변경</t>
    <phoneticPr fontId="8" type="noConversion"/>
  </si>
  <si>
    <t>GPWS-0483</t>
    <phoneticPr fontId="8" type="noConversion"/>
  </si>
  <si>
    <t>GBWS-5585</t>
    <phoneticPr fontId="8" type="noConversion"/>
  </si>
  <si>
    <t>UNION ELBOW Fitting Nut Leak/
BYPASS#4 PE140 PFA 튜브 삽입부 Fitting Nut 체결강도부족 Leak</t>
    <phoneticPr fontId="8" type="noConversion"/>
  </si>
  <si>
    <t>GBWS-5567</t>
    <phoneticPr fontId="8" type="noConversion"/>
  </si>
  <si>
    <t>Speed Controller Leak (PFA) / N.PE110 Out 단 PFA튜브 삽입부</t>
    <phoneticPr fontId="8" type="noConversion"/>
  </si>
  <si>
    <t>REDUCING UNION TEE(06M) Fitting Nut Leak / 
N.PE140 PFA 튜브 삽입부 Fitting Nut 체결강도부족 Leak</t>
    <phoneticPr fontId="8" type="noConversion"/>
  </si>
  <si>
    <t>GBWS-5535</t>
    <phoneticPr fontId="8" type="noConversion"/>
  </si>
  <si>
    <t>Speed Controller Leak (PFA) / N.V110P Out 단 PFA튜브 삽입부</t>
    <phoneticPr fontId="8" type="noConversion"/>
  </si>
  <si>
    <t>Speed Controller Leak (PFA) / N.V130A Out 단 PFA튜브 삽입부</t>
    <phoneticPr fontId="8" type="noConversion"/>
  </si>
  <si>
    <t>DBW-3638</t>
    <phoneticPr fontId="8" type="noConversion"/>
  </si>
  <si>
    <t>O-Ring 조립 불량 / Level Sensor 내부 O-Ring 조립 불량으로 Leak</t>
    <phoneticPr fontId="8" type="noConversion"/>
  </si>
  <si>
    <t>GBWS-5583</t>
    <phoneticPr fontId="8" type="noConversion"/>
  </si>
  <si>
    <t>GBWS-5602</t>
    <phoneticPr fontId="8" type="noConversion"/>
  </si>
  <si>
    <t>GBWS-5581</t>
    <phoneticPr fontId="8" type="noConversion"/>
  </si>
  <si>
    <t>GBWS-5393</t>
    <phoneticPr fontId="8" type="noConversion"/>
  </si>
  <si>
    <t>CDA Male Connector Teflon 부족 / Main CDA Male Connector 테퓨론부 Leak / 
파트 테퓨론 밀림 의심 , 테퓨론 추가작업 후 재조립</t>
    <phoneticPr fontId="8" type="noConversion"/>
  </si>
  <si>
    <t>O-Ring 변형 / 
Swirl Guide 후면부 Nozzle 체결부 체결볼트 과체결로 O-ring  P14 FKM 변형 Leak</t>
    <phoneticPr fontId="8" type="noConversion"/>
  </si>
  <si>
    <t>MALE ELBOW JACO FITTING NUT 체결불량 / 
Manifold 연결 MALE ELBOW KQ2H08-03NS Jaco Fitting Nut 체결 강도 부족 Leak</t>
    <phoneticPr fontId="8" type="noConversion"/>
  </si>
  <si>
    <t>O-Ring 변형 / 
Swirl Guide 전면부 Nozzle 체결부 체결볼트 과체결로 O-ring P14 FKM 변형 Leak</t>
    <phoneticPr fontId="8" type="noConversion"/>
  </si>
  <si>
    <t>O-Ring 조립 불량 / Level Sensor 내부 O-Ring G50 조립 불량으로 Leak</t>
    <phoneticPr fontId="8" type="noConversion"/>
  </si>
  <si>
    <t>DBW-3642</t>
    <phoneticPr fontId="8" type="noConversion"/>
  </si>
  <si>
    <t>O-Ring 변형 / 
Swirl Guide 후면부 Nozzle 체결부 체결볼트 과체결로 O-ring P14 FKM 변형 Leak</t>
    <phoneticPr fontId="8" type="noConversion"/>
  </si>
  <si>
    <t>O-Ring 씹힘 / 
Bunner GAS Nozzle Top 체결부 O-Ring AS568 119 FKM 씹힘 Leak</t>
    <phoneticPr fontId="8" type="noConversion"/>
  </si>
  <si>
    <t>DBW-3651</t>
    <phoneticPr fontId="8" type="noConversion"/>
  </si>
  <si>
    <t>MALE ELBOW JACO FITTING NUT 나사산파손 / 
Manifold 연결 MALE ELBOW KQ2H08-03NS Jaco Fitting Nut 과체결로 나사산파손 Leak</t>
    <phoneticPr fontId="8" type="noConversion"/>
  </si>
  <si>
    <t>DBW-3649</t>
    <phoneticPr fontId="8" type="noConversion"/>
  </si>
  <si>
    <t>MALE ELBOW JACO FITTING NUT Leak / 
Manifold 연결 MALE ELBOW KQ2H08-03NS Jaco Fitting Nut Leak / 재조립 및 추가체결 후 이상 없음 확인</t>
    <phoneticPr fontId="8" type="noConversion"/>
  </si>
  <si>
    <t>PCW-S MALE ELBOW Teflon 부족
 / Heat Exchanger 조립 PCW-S IN단 MALE ELBOW ME08-08R 테퓨론부족 Leak</t>
    <phoneticPr fontId="8" type="noConversion"/>
  </si>
  <si>
    <t>DBW-3645</t>
    <phoneticPr fontId="8" type="noConversion"/>
  </si>
  <si>
    <t>N2 REDUCING DOUBLE Y UNION 08 우레탄튜브 삽입부 Leak
 / REDUCING DOUBLE Y UNION PXG 08-06 08 우레탄튜브 삽입불량  Leak</t>
    <phoneticPr fontId="8" type="noConversion"/>
  </si>
  <si>
    <t>GPWS-0559</t>
    <phoneticPr fontId="8" type="noConversion"/>
  </si>
  <si>
    <t>SEUL</t>
    <phoneticPr fontId="8" type="noConversion"/>
  </si>
  <si>
    <t>GPWS-0560</t>
    <phoneticPr fontId="8" type="noConversion"/>
  </si>
  <si>
    <t>GBWS-5587</t>
    <phoneticPr fontId="8" type="noConversion"/>
  </si>
  <si>
    <t>GBWS-5548</t>
    <phoneticPr fontId="8" type="noConversion"/>
  </si>
  <si>
    <t xml:space="preserve">Level Sensor 체결 Nut Leak / Level Sensor 체결 Nut G2 1/4 PP(WHITE) Leak
 / TMS 모듈 가압시 이상없음 확인, 가압공정 재체결 시 이상없음 확인 </t>
    <phoneticPr fontId="8" type="noConversion"/>
  </si>
  <si>
    <t>GBWS-5603</t>
    <phoneticPr fontId="8" type="noConversion"/>
  </si>
  <si>
    <t>O-Ring 씹힘 / Temp Sensor SOKET 체결 O-RING AS568 015 씹힘 Leak</t>
    <phoneticPr fontId="8" type="noConversion"/>
  </si>
  <si>
    <t>GBWS-5593</t>
    <phoneticPr fontId="8" type="noConversion"/>
  </si>
  <si>
    <t>GBWS-5591</t>
    <phoneticPr fontId="8" type="noConversion"/>
  </si>
  <si>
    <t>UNION TEE Fitting Nut Leak / 
UNION TEE 70-8-K-PG 하단 JACO Fitting Nut 체결강도부족 , 가압 시 탈거 후 원복누락</t>
    <phoneticPr fontId="8" type="noConversion"/>
  </si>
  <si>
    <t>DBW-3654</t>
    <phoneticPr fontId="8" type="noConversion"/>
  </si>
  <si>
    <t>DRAGON AB</t>
    <phoneticPr fontId="8" type="noConversion"/>
  </si>
  <si>
    <t>GBWS-5596</t>
    <phoneticPr fontId="8" type="noConversion"/>
  </si>
  <si>
    <t>GBWS-5588</t>
    <phoneticPr fontId="8" type="noConversion"/>
  </si>
  <si>
    <t>GBWS-5566</t>
    <phoneticPr fontId="8" type="noConversion"/>
  </si>
  <si>
    <t>GBWS-5605</t>
    <phoneticPr fontId="8" type="noConversion"/>
  </si>
  <si>
    <t>GPWS-0562</t>
    <phoneticPr fontId="8" type="noConversion"/>
  </si>
  <si>
    <t>GBWS-5630</t>
    <phoneticPr fontId="8" type="noConversion"/>
  </si>
  <si>
    <t>GBWS-5610</t>
    <phoneticPr fontId="8" type="noConversion"/>
  </si>
  <si>
    <t>GBWS-5604</t>
    <phoneticPr fontId="8" type="noConversion"/>
  </si>
  <si>
    <t>GBWS-5598</t>
    <phoneticPr fontId="8" type="noConversion"/>
  </si>
  <si>
    <t>GBWS-5569</t>
    <phoneticPr fontId="8" type="noConversion"/>
  </si>
  <si>
    <t>GBWS-5609</t>
    <phoneticPr fontId="8" type="noConversion"/>
  </si>
  <si>
    <t>GBWS-5608</t>
    <phoneticPr fontId="8" type="noConversion"/>
  </si>
  <si>
    <t>GBWS-5600</t>
    <phoneticPr fontId="8" type="noConversion"/>
  </si>
  <si>
    <t>GBWS-5589</t>
    <phoneticPr fontId="8" type="noConversion"/>
  </si>
  <si>
    <t>N2 REDUCING DOUBLE Y UNION 06 우레탄튜브 삽입부 Leak
 / REDUCING DOUBLE Y UNION PXG 08-06 06 우레탄튜브 삽입부 내부 O-ring 이탈</t>
    <phoneticPr fontId="8" type="noConversion"/>
  </si>
  <si>
    <t>GBWS-5549</t>
    <phoneticPr fontId="8" type="noConversion"/>
  </si>
  <si>
    <t>DBW-3655</t>
    <phoneticPr fontId="8" type="noConversion"/>
  </si>
  <si>
    <t>DBW-3653</t>
    <phoneticPr fontId="8" type="noConversion"/>
  </si>
  <si>
    <t>TUBE SPLICER</t>
    <phoneticPr fontId="8" type="noConversion"/>
  </si>
  <si>
    <t>TUBE SPLICER 삽입부 Leak / 
TUBE SPLICER PU12 Leak / 재조립 후 이상 없음 확인</t>
    <phoneticPr fontId="8" type="noConversion"/>
  </si>
  <si>
    <t>O2 Line REDUCING UNION TEE Fitting Nut Leak / 
O2 Line REDUCING UNION TEE RT08-08-04 04 Fitting Nut 미완체결 Leak</t>
    <phoneticPr fontId="8" type="noConversion"/>
  </si>
  <si>
    <t>LNG Line REDUCING UNION TEE Fitting Nut Leak / 
LNG Line REDUCING UNION TEE RT08-08-06 06 Fitting Nut 미완체결 Leak</t>
    <phoneticPr fontId="8" type="noConversion"/>
  </si>
  <si>
    <t>GBWS-5617</t>
    <phoneticPr fontId="8" type="noConversion"/>
  </si>
  <si>
    <t>GBWS-5612</t>
    <phoneticPr fontId="8" type="noConversion"/>
  </si>
  <si>
    <t xml:space="preserve"> MALE ELBOW JACO Fitting Nut Leak /
MALE ELBOW 40-8-6-K-PG Fitting Nut Leak / 이동 및 조립과정 중 풀림 의심</t>
    <phoneticPr fontId="8" type="noConversion"/>
  </si>
  <si>
    <t>GBWS-5611</t>
    <phoneticPr fontId="8" type="noConversion"/>
  </si>
  <si>
    <t xml:space="preserve">CDA 주입 BULKHEAD UNION 하단부 Fitting Nut Leak /
CDA 주입 BULKHEAD UNION BU 08 하단부 Fitting Nut Leak </t>
    <phoneticPr fontId="8" type="noConversion"/>
  </si>
  <si>
    <t>N2 TUBE SPLICER PU 12 삽입부 Leak / Diaphram Valve 간섭으로 인한 틀어짐 의심</t>
    <phoneticPr fontId="8" type="noConversion"/>
  </si>
  <si>
    <t>DBW-3647</t>
    <phoneticPr fontId="8" type="noConversion"/>
  </si>
  <si>
    <t>PCW-S 주입 BULKHEAD UNION Fitting Nut Leak / 
PCW-S 주입 BULKHEAD UNION BU 12 하단부 Fitting Nut Leak</t>
    <phoneticPr fontId="8" type="noConversion"/>
  </si>
  <si>
    <t>GBWS-5614</t>
    <phoneticPr fontId="8" type="noConversion"/>
  </si>
  <si>
    <t>GBWS-5613</t>
    <phoneticPr fontId="8" type="noConversion"/>
  </si>
  <si>
    <t>GBWS-5457</t>
    <phoneticPr fontId="8" type="noConversion"/>
  </si>
  <si>
    <t>Speed Controller Leak (우레탄) / N.PE700 Out 단 우레탄튜브 삽입부</t>
    <phoneticPr fontId="8" type="noConversion"/>
  </si>
  <si>
    <t>Speed Controller Leak (우레탄) / N.120B IN 단 우레탄튜브 삽입부</t>
    <phoneticPr fontId="8" type="noConversion"/>
  </si>
  <si>
    <t>Speed Controller Leak (우레탄) / N.SCR-130 IN 단 우레탄튜브 삽입부</t>
    <phoneticPr fontId="8" type="noConversion"/>
  </si>
  <si>
    <t>Speed Controller Leak (우레탄) / N.SCR-110 IN 단 우레탄튜브 삽입부</t>
    <phoneticPr fontId="8" type="noConversion"/>
  </si>
  <si>
    <t>Speed Controller Leak (우레탄) / N.SCR-130A IN 단 우레탄튜브 삽입부</t>
    <phoneticPr fontId="8" type="noConversion"/>
  </si>
  <si>
    <t>Speed Controller Leak (우레탄) / N.SCR-120BA IN 단 우레탄튜브 삽입부</t>
    <phoneticPr fontId="8" type="noConversion"/>
  </si>
  <si>
    <t>GBWS-5590</t>
    <phoneticPr fontId="8" type="noConversion"/>
  </si>
  <si>
    <t>GAIA-ADVANCE DUAL</t>
    <phoneticPr fontId="8" type="noConversion"/>
  </si>
  <si>
    <t xml:space="preserve"> ADJUSTABLE ELBOW Fitting Nut 미완체결 Leak /
PCW-S 열교환기 연결 ADJUSTABLE ELBOW 08 Fitting Nut 미완체결 Leak</t>
    <phoneticPr fontId="8" type="noConversion"/>
  </si>
  <si>
    <t xml:space="preserve">DRAGON LE </t>
    <phoneticPr fontId="8" type="noConversion"/>
  </si>
  <si>
    <t>CHAIN CLAMP 체결부 Leak /
QUENCH TEE , COOLING BODY 연결 CHAIN CLAMP NW125-CC 체결부 Leak / 이동 과정에서 틀어짐 의심</t>
    <phoneticPr fontId="8" type="noConversion"/>
  </si>
  <si>
    <t>GBWS-5625</t>
    <phoneticPr fontId="8" type="noConversion"/>
  </si>
  <si>
    <t>GBWS-5623</t>
    <phoneticPr fontId="8" type="noConversion"/>
  </si>
  <si>
    <t>GBWS-5621</t>
    <phoneticPr fontId="8" type="noConversion"/>
  </si>
  <si>
    <t>DBW-3656</t>
    <phoneticPr fontId="8" type="noConversion"/>
  </si>
  <si>
    <t>GBWS-5638</t>
    <phoneticPr fontId="8" type="noConversion"/>
  </si>
  <si>
    <t>GBWS-5634</t>
    <phoneticPr fontId="8" type="noConversion"/>
  </si>
  <si>
    <t>GBWS-5628</t>
    <phoneticPr fontId="8" type="noConversion"/>
  </si>
  <si>
    <t>GBWS-5627</t>
    <phoneticPr fontId="8" type="noConversion"/>
  </si>
  <si>
    <t>GBWS-5632</t>
    <phoneticPr fontId="8" type="noConversion"/>
  </si>
  <si>
    <t>GBWS-5644</t>
    <phoneticPr fontId="8" type="noConversion"/>
  </si>
  <si>
    <t>GBWS-5639</t>
    <phoneticPr fontId="8" type="noConversion"/>
  </si>
  <si>
    <t>GBWS-5636</t>
    <phoneticPr fontId="8" type="noConversion"/>
  </si>
  <si>
    <t>Speed Controller Leak (PFA) / N.PE140 Out 단 우레탄튜브 삽입부</t>
    <phoneticPr fontId="8" type="noConversion"/>
  </si>
  <si>
    <t>GBWS-5635</t>
    <phoneticPr fontId="8" type="noConversion"/>
  </si>
  <si>
    <t>GBWS-5631</t>
    <phoneticPr fontId="8" type="noConversion"/>
  </si>
  <si>
    <t>GBWS-5652</t>
    <phoneticPr fontId="8" type="noConversion"/>
  </si>
  <si>
    <t>GBWS-5650</t>
    <phoneticPr fontId="8" type="noConversion"/>
  </si>
  <si>
    <t>GBWS-5646</t>
    <phoneticPr fontId="8" type="noConversion"/>
  </si>
  <si>
    <t>GBWS-5641</t>
    <phoneticPr fontId="8" type="noConversion"/>
  </si>
  <si>
    <t>GBWS-5616</t>
    <phoneticPr fontId="8" type="noConversion"/>
  </si>
  <si>
    <t>MALE CONNECTOR Fitting Nut Leak /
Flow Sensor FD530A IN단 MALE CONNECTOR 08-06R Fitting Nut 체결강도 부족 Leak</t>
    <phoneticPr fontId="8" type="noConversion"/>
  </si>
  <si>
    <t>GBWS-5377</t>
    <phoneticPr fontId="8" type="noConversion"/>
  </si>
  <si>
    <t>MALE ELBOW Fitting Nut Leak / 
Sensor Plate 조립 BCW MALE ELBOW 08-06R Fitting Nut 체결강도 부족 Leak</t>
    <phoneticPr fontId="8" type="noConversion"/>
  </si>
  <si>
    <t>GBWS-5667</t>
    <phoneticPr fontId="8" type="noConversion"/>
  </si>
  <si>
    <t>GBWS-5658</t>
    <phoneticPr fontId="8" type="noConversion"/>
  </si>
  <si>
    <t>GBWS-5649</t>
    <phoneticPr fontId="8" type="noConversion"/>
  </si>
  <si>
    <t>KEY OPERATION VALVE Fitting Nut Leak
CDA KEY OPERATION VALVE V81C-D-6T-KB-S Fitting Nut Leak</t>
    <phoneticPr fontId="8" type="noConversion"/>
  </si>
  <si>
    <t>GBWS-5451</t>
    <phoneticPr fontId="8" type="noConversion"/>
  </si>
  <si>
    <t>DBW-3659</t>
    <phoneticPr fontId="8" type="noConversion"/>
  </si>
  <si>
    <t>REDUCING Fitting Nut Leak /
O2 REDUCING UNION TEE RT08-08-04 08 Fitting Nut 체결강도 부족 Leak</t>
    <phoneticPr fontId="8" type="noConversion"/>
  </si>
  <si>
    <t>GBWS-5654</t>
    <phoneticPr fontId="8" type="noConversion"/>
  </si>
  <si>
    <t>GBWS-5695</t>
    <phoneticPr fontId="8" type="noConversion"/>
  </si>
  <si>
    <t>GBWS-5651</t>
    <phoneticPr fontId="8" type="noConversion"/>
  </si>
  <si>
    <t>FEMALE CONNECTOR Fitting Nut Leak /
HeatExchanger 연결 PCW-R FEMALE CONNECTOR FC08-12R Fitting Nut 체결강도 부족 Leak</t>
    <phoneticPr fontId="8" type="noConversion"/>
  </si>
  <si>
    <t>GBWS-5647</t>
    <phoneticPr fontId="8" type="noConversion"/>
  </si>
  <si>
    <t>DBW-3658</t>
    <phoneticPr fontId="8" type="noConversion"/>
  </si>
  <si>
    <t>KIOXIA</t>
    <phoneticPr fontId="8" type="noConversion"/>
  </si>
  <si>
    <t>GBWS-5696</t>
    <phoneticPr fontId="8" type="noConversion"/>
  </si>
  <si>
    <t>AMAT</t>
    <phoneticPr fontId="8" type="noConversion"/>
  </si>
  <si>
    <t>GBWS-5669</t>
    <phoneticPr fontId="8" type="noConversion"/>
  </si>
  <si>
    <t>GPWS-0563</t>
    <phoneticPr fontId="8" type="noConversion"/>
  </si>
  <si>
    <t>GBWS-5698</t>
    <phoneticPr fontId="8" type="noConversion"/>
  </si>
  <si>
    <t>GBWS-5659</t>
    <phoneticPr fontId="8" type="noConversion"/>
  </si>
  <si>
    <t>GBWS-5656</t>
    <phoneticPr fontId="8" type="noConversion"/>
  </si>
  <si>
    <t>GBWS-5678</t>
    <phoneticPr fontId="8" type="noConversion"/>
  </si>
  <si>
    <t>GBWS-5661</t>
    <phoneticPr fontId="8" type="noConversion"/>
  </si>
  <si>
    <t>GPWS-0565</t>
    <phoneticPr fontId="8" type="noConversion"/>
  </si>
  <si>
    <t>GBWS-5665</t>
    <phoneticPr fontId="8" type="noConversion"/>
  </si>
  <si>
    <t>GBWS-5701</t>
    <phoneticPr fontId="8" type="noConversion"/>
  </si>
  <si>
    <t>GBWS-5676</t>
    <phoneticPr fontId="8" type="noConversion"/>
  </si>
  <si>
    <t>GPWS-0564</t>
    <phoneticPr fontId="8" type="noConversion"/>
  </si>
  <si>
    <t>GBWS-5679</t>
    <phoneticPr fontId="8" type="noConversion"/>
  </si>
  <si>
    <t>GBWS-5673</t>
    <phoneticPr fontId="8" type="noConversion"/>
  </si>
  <si>
    <t>GBWS-5648</t>
    <phoneticPr fontId="8" type="noConversion"/>
  </si>
  <si>
    <t>TEL</t>
    <phoneticPr fontId="8" type="noConversion"/>
  </si>
  <si>
    <t>PCW</t>
    <phoneticPr fontId="8" type="noConversion"/>
  </si>
  <si>
    <t>TEE PIPE WELD ASSY</t>
    <phoneticPr fontId="8" type="noConversion"/>
  </si>
  <si>
    <t>TEE PIPE WELD ASSY Fitting Nut Leak /
PCW-S TEE PIPE WELD ASSY 상단 우측 Fitting Nut Leak , 체결강도 이상없음 /
재체결 후에도 Leak 발생으로 11100477 ADJUST ELBOW 파트교체</t>
    <phoneticPr fontId="8" type="noConversion"/>
  </si>
  <si>
    <t>CHAMBER(N2)</t>
    <phoneticPr fontId="8" type="noConversion"/>
  </si>
  <si>
    <t>Speed Controller Leak (PFA) / N.VE140B Out 단 PFA튜브 삽입부 내부 Packing 씹힘</t>
    <phoneticPr fontId="8" type="noConversion"/>
  </si>
  <si>
    <t>GBWS-5690</t>
    <phoneticPr fontId="8" type="noConversion"/>
  </si>
  <si>
    <t>GBWS-5686</t>
    <phoneticPr fontId="8" type="noConversion"/>
  </si>
  <si>
    <t>GBWS-5687</t>
    <phoneticPr fontId="8" type="noConversion"/>
  </si>
  <si>
    <t>Speed Controller Leak (PFA) / N.SCR-130A Out 단 PFA튜브 삽입부 내부 Packing 씹힘</t>
    <phoneticPr fontId="8" type="noConversion"/>
  </si>
  <si>
    <t>GBWS-5674</t>
    <phoneticPr fontId="8" type="noConversion"/>
  </si>
  <si>
    <t>GBWS-5671</t>
    <phoneticPr fontId="8" type="noConversion"/>
  </si>
  <si>
    <t>GBWS-5666</t>
    <phoneticPr fontId="8" type="noConversion"/>
  </si>
  <si>
    <t>GBWS-5688</t>
    <phoneticPr fontId="8" type="noConversion"/>
  </si>
  <si>
    <t>GBWS-5683</t>
    <phoneticPr fontId="8" type="noConversion"/>
  </si>
  <si>
    <t>Speed Controller Leak (우레탄) / N.V140PA In 단 우레탄튜브 삽입부 내부 Packing 씹힘</t>
    <phoneticPr fontId="8" type="noConversion"/>
  </si>
  <si>
    <t>GBWS-5681</t>
    <phoneticPr fontId="8" type="noConversion"/>
  </si>
  <si>
    <t>GBWS-5704</t>
    <phoneticPr fontId="8" type="noConversion"/>
  </si>
  <si>
    <t>WS-0108</t>
    <phoneticPr fontId="8" type="noConversion"/>
  </si>
  <si>
    <t>N2 REDUCING DOUBLE Y UNION 06 우레탄튜브 삽입부 Leak
 / REDUCING DOUBLE Y UNION PXG 08-06 06 (4) 우레탄튜브 삽입부 내부 O-ring 이탈</t>
    <phoneticPr fontId="8" type="noConversion"/>
  </si>
  <si>
    <t>CHAMBER</t>
    <phoneticPr fontId="8" type="noConversion"/>
  </si>
  <si>
    <t>EXHAUST MIDDLE PIPE</t>
    <phoneticPr fontId="8" type="noConversion"/>
  </si>
  <si>
    <t>EXHAUST MIDDLE PIPE Claw Clamp 체결부 용접부 Leak / 조립중 파손 의심</t>
    <phoneticPr fontId="8" type="noConversion"/>
  </si>
  <si>
    <t>GBWS-5692</t>
    <phoneticPr fontId="8" type="noConversion"/>
  </si>
  <si>
    <t>WS-0109</t>
    <phoneticPr fontId="8" type="noConversion"/>
  </si>
  <si>
    <t>GLSS PIPE Claw Clamp 체결부 용접부 Leak / 조립중 파손 의심</t>
    <phoneticPr fontId="8" type="noConversion"/>
  </si>
  <si>
    <t>EXHAUST TOP PIPE</t>
    <phoneticPr fontId="8" type="noConversion"/>
  </si>
  <si>
    <t>EXHAUST TOP PIPE Claw Clamp 체결부 용접부 Leak / 조립중 파손 의심</t>
    <phoneticPr fontId="8" type="noConversion"/>
  </si>
  <si>
    <t>WS-0110</t>
    <phoneticPr fontId="8" type="noConversion"/>
  </si>
  <si>
    <t>INLET PLATE 배관 연결부 O-RING부 Sealing 불가</t>
    <phoneticPr fontId="8" type="noConversion"/>
  </si>
  <si>
    <t>MALE ELBOW Teflon 부족 Leak/
전면부 Swril Guide 조립 MALE ELBOW 40-6-4-K-PG Teflon 부족 Leak</t>
    <phoneticPr fontId="8" type="noConversion"/>
  </si>
  <si>
    <t>GBWS-5680</t>
    <phoneticPr fontId="8" type="noConversion"/>
  </si>
  <si>
    <t>DBW-3660</t>
    <phoneticPr fontId="8" type="noConversion"/>
  </si>
  <si>
    <t>GBWS-5706</t>
    <phoneticPr fontId="8" type="noConversion"/>
  </si>
  <si>
    <t>GBWS-5643</t>
    <phoneticPr fontId="8" type="noConversion"/>
  </si>
  <si>
    <t>GBWS-5703</t>
    <phoneticPr fontId="8" type="noConversion"/>
  </si>
  <si>
    <t>GBWS-5710</t>
    <phoneticPr fontId="8" type="noConversion"/>
  </si>
  <si>
    <t xml:space="preserve">GAIA-I </t>
    <phoneticPr fontId="8" type="noConversion"/>
  </si>
  <si>
    <t>WS-0112</t>
    <phoneticPr fontId="8" type="noConversion"/>
  </si>
  <si>
    <t>N2 REDUCING DOUBLE Y UNION 06 PFA튜브 삽입부 Leak
 / REDUCING DOUBLE Y UNION PXG 08-06 06 (4) N.V110B PFA튜브 삽입부 Leak</t>
    <phoneticPr fontId="8" type="noConversion"/>
  </si>
  <si>
    <t>WS-0111</t>
    <phoneticPr fontId="8" type="noConversion"/>
  </si>
  <si>
    <t>GBA-0133</t>
    <phoneticPr fontId="8" type="noConversion"/>
  </si>
  <si>
    <t>IVO</t>
    <phoneticPr fontId="8" type="noConversion"/>
  </si>
  <si>
    <t>GALLANT-A</t>
    <phoneticPr fontId="8" type="noConversion"/>
  </si>
  <si>
    <t>GBWS-5713</t>
    <phoneticPr fontId="8" type="noConversion"/>
  </si>
  <si>
    <t>GBWS-5714</t>
  </si>
  <si>
    <t>GBWS-5699</t>
    <phoneticPr fontId="8" type="noConversion"/>
  </si>
  <si>
    <t>Speed Controller Leak (PFA) / N4A Out 단 PFA튜브 삽입부 내부 Packing 씹힘</t>
    <phoneticPr fontId="8" type="noConversion"/>
  </si>
  <si>
    <t>GBWS-5722</t>
    <phoneticPr fontId="8" type="noConversion"/>
  </si>
  <si>
    <t>GBWS-5724</t>
    <phoneticPr fontId="8" type="noConversion"/>
  </si>
  <si>
    <t>GBWS-5637</t>
    <phoneticPr fontId="8" type="noConversion"/>
  </si>
  <si>
    <t>Speed Controller Leak (PFA) / N.PE120 Out 단 PFA튜브 삽입부 내부 Packing 씹힘</t>
    <phoneticPr fontId="8" type="noConversion"/>
  </si>
  <si>
    <t>GBWS-4878</t>
    <phoneticPr fontId="8" type="noConversion"/>
  </si>
  <si>
    <t>3WAY HEATING VALVE</t>
    <phoneticPr fontId="8" type="noConversion"/>
  </si>
  <si>
    <t>3WAY HEATING VALVE 내부 Leak ( Open 상태이나 Close부 내부 Ball Leak</t>
    <phoneticPr fontId="8" type="noConversion"/>
  </si>
  <si>
    <t>GPWS-0567</t>
    <phoneticPr fontId="8" type="noConversion"/>
  </si>
  <si>
    <t>GBWS-5717</t>
    <phoneticPr fontId="7" type="noConversion"/>
  </si>
  <si>
    <t>JUHE</t>
    <phoneticPr fontId="7" type="noConversion"/>
  </si>
  <si>
    <t>GAIA-I DUAL</t>
    <phoneticPr fontId="7" type="noConversion"/>
  </si>
  <si>
    <t>GBWS-5657</t>
    <phoneticPr fontId="7" type="noConversion"/>
  </si>
  <si>
    <t>기구</t>
    <phoneticPr fontId="7" type="noConversion"/>
  </si>
  <si>
    <t>CDA</t>
    <phoneticPr fontId="7" type="noConversion"/>
  </si>
  <si>
    <t>MALE BANJO 우레탄튜브 삽입부 Leak /
 MALE BANJO GPH8-41 우레탄튜브 삽입부 내부 이물질로 인한 Leak</t>
    <phoneticPr fontId="7" type="noConversion"/>
  </si>
  <si>
    <t>N2 REDUCING DOUBLE Y UNION 06 우레탄튜브 삽입부 Leak
 / REDUCING DOUBLE Y UNION PXG 08-06 06 (3) 우레탄튜브 삽입부 Leak</t>
    <phoneticPr fontId="8" type="noConversion"/>
  </si>
  <si>
    <t>DBW-3661</t>
    <phoneticPr fontId="7" type="noConversion"/>
  </si>
  <si>
    <t>SEC</t>
    <phoneticPr fontId="7" type="noConversion"/>
  </si>
  <si>
    <t>DRAGON LE</t>
    <phoneticPr fontId="7" type="noConversion"/>
  </si>
  <si>
    <t>WS-0113</t>
    <phoneticPr fontId="7" type="noConversion"/>
  </si>
  <si>
    <t>MICRON VA</t>
    <phoneticPr fontId="7" type="noConversion"/>
  </si>
  <si>
    <t>SWS-I</t>
    <phoneticPr fontId="7" type="noConversion"/>
  </si>
  <si>
    <t>CHAMBER</t>
    <phoneticPr fontId="7" type="noConversion"/>
  </si>
  <si>
    <t>COOLING BODY</t>
    <phoneticPr fontId="7" type="noConversion"/>
  </si>
  <si>
    <t>COOLING BODY 용접부 Crack Leak /
PVC-CLAWCLAMP 체결 부위 , 파손 위험 높음</t>
    <phoneticPr fontId="7" type="noConversion"/>
  </si>
  <si>
    <t>GBWS-5730</t>
    <phoneticPr fontId="7" type="noConversion"/>
  </si>
  <si>
    <t>GBWS-5718</t>
    <phoneticPr fontId="7" type="noConversion"/>
  </si>
  <si>
    <t>MICRON TW</t>
    <phoneticPr fontId="7" type="noConversion"/>
  </si>
  <si>
    <t>SCREW SCRAPPER N2 Purge 라인 BANJO PFA Tube 삽입부 Leak /
SCREW SCRAPPER N2 Purge BANJO PFA Tube 삽입부 Leak (N.SCR-150A)</t>
    <phoneticPr fontId="7" type="noConversion"/>
  </si>
  <si>
    <t>GBWS-5719</t>
    <phoneticPr fontId="7" type="noConversion"/>
  </si>
  <si>
    <t>YMTC</t>
    <phoneticPr fontId="7" type="noConversion"/>
  </si>
  <si>
    <t>MALE BANJO 나사산 체결부 Feflon 부 Leak / 
MALE BANJO PH10-02 PT 나사산 체결부 Leak , Teflon 작업</t>
    <phoneticPr fontId="7" type="noConversion"/>
  </si>
  <si>
    <t>GBWS-5712</t>
    <phoneticPr fontId="7" type="noConversion"/>
  </si>
  <si>
    <t>C&amp;A</t>
    <phoneticPr fontId="7" type="noConversion"/>
  </si>
  <si>
    <t>GBWS-5728</t>
    <phoneticPr fontId="7" type="noConversion"/>
  </si>
  <si>
    <t>P&amp;S</t>
    <phoneticPr fontId="7" type="noConversion"/>
  </si>
  <si>
    <t>GBWS-5700</t>
    <phoneticPr fontId="7" type="noConversion"/>
  </si>
  <si>
    <t>GAIA-II DUAL</t>
    <phoneticPr fontId="7" type="noConversion"/>
  </si>
  <si>
    <t>GBWS-5731</t>
    <phoneticPr fontId="7" type="noConversion"/>
  </si>
  <si>
    <t>GAIA-I</t>
    <phoneticPr fontId="7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</si>
  <si>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BWS-5721</t>
    </r>
    <phoneticPr fontId="7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</si>
  <si>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ICRON JP</t>
    </r>
    <phoneticPr fontId="7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</si>
  <si>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AIA-I DUAL</t>
    </r>
    <phoneticPr fontId="7" type="noConversion"/>
  </si>
  <si>
    <r>
      <t>F</t>
    </r>
    <r>
      <rPr>
        <sz val="11"/>
        <color theme="1"/>
        <rFont val="맑은 고딕"/>
        <family val="2"/>
        <charset val="129"/>
        <scheme val="minor"/>
      </rPr>
      <t>NI</t>
    </r>
    <phoneticPr fontId="7" type="noConversion"/>
  </si>
  <si>
    <r>
      <t>T</t>
    </r>
    <r>
      <rPr>
        <sz val="11"/>
        <color theme="1"/>
        <rFont val="맑은 고딕"/>
        <family val="2"/>
        <charset val="129"/>
        <scheme val="minor"/>
      </rPr>
      <t>MS</t>
    </r>
    <phoneticPr fontId="7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</si>
  <si>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BWS-5738</t>
    </r>
    <phoneticPr fontId="7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</si>
  <si>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ICRON SG</t>
    </r>
    <phoneticPr fontId="7" type="noConversion"/>
  </si>
  <si>
    <r>
      <t>C</t>
    </r>
    <r>
      <rPr>
        <sz val="11"/>
        <color theme="1"/>
        <rFont val="맑은 고딕"/>
        <family val="2"/>
        <charset val="129"/>
        <scheme val="minor"/>
      </rPr>
      <t>&amp;A</t>
    </r>
    <phoneticPr fontId="7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</si>
  <si>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BWS-5737</t>
    </r>
    <phoneticPr fontId="7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</si>
  <si>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AT</t>
    </r>
    <phoneticPr fontId="7" type="noConversion"/>
  </si>
  <si>
    <r>
      <t>P</t>
    </r>
    <r>
      <rPr>
        <sz val="11"/>
        <color theme="1"/>
        <rFont val="맑은 고딕"/>
        <family val="2"/>
        <charset val="129"/>
        <scheme val="minor"/>
      </rPr>
      <t>&amp;S</t>
    </r>
    <phoneticPr fontId="7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</si>
  <si>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BWS-5735</t>
    </r>
    <phoneticPr fontId="7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</si>
  <si>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ICRON TW</t>
    </r>
    <phoneticPr fontId="7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</si>
  <si>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AIA-I</t>
    </r>
    <phoneticPr fontId="7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</si>
  <si>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BWS-5736</t>
    </r>
  </si>
  <si>
    <r>
      <t>C</t>
    </r>
    <r>
      <rPr>
        <sz val="11"/>
        <color theme="1"/>
        <rFont val="맑은 고딕"/>
        <family val="2"/>
        <charset val="129"/>
        <scheme val="minor"/>
      </rPr>
      <t>HAMBER</t>
    </r>
    <phoneticPr fontId="7" type="noConversion"/>
  </si>
  <si>
    <r>
      <t>I</t>
    </r>
    <r>
      <rPr>
        <sz val="11"/>
        <color theme="1"/>
        <rFont val="맑은 고딕"/>
        <family val="2"/>
        <charset val="129"/>
        <scheme val="minor"/>
      </rPr>
      <t>NLET PIPE LINE 1</t>
    </r>
    <phoneticPr fontId="7" type="noConversion"/>
  </si>
  <si>
    <r>
      <t>I</t>
    </r>
    <r>
      <rPr>
        <sz val="11"/>
        <color theme="1"/>
        <rFont val="맑은 고딕"/>
        <family val="2"/>
        <charset val="129"/>
        <scheme val="minor"/>
      </rPr>
      <t>NLET PIPE LINE 1 PAB PORT 표면 불량 Leak</t>
    </r>
    <phoneticPr fontId="7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</si>
  <si>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BW-3663</t>
    </r>
    <phoneticPr fontId="7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</si>
  <si>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EC</t>
    </r>
    <phoneticPr fontId="7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</si>
  <si>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RAGON LE</t>
    </r>
    <phoneticPr fontId="7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</si>
  <si>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PRINKLER</t>
    </r>
    <phoneticPr fontId="7" type="noConversion"/>
  </si>
  <si>
    <t>SPRINKLER</t>
    <phoneticPr fontId="8" type="noConversion"/>
  </si>
  <si>
    <t>SPRINKLER Teflon 작업부 Leak /
SPRINKLER PT부 Teflon 체결부 Leak , Teflon 재작업</t>
    <phoneticPr fontId="8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</si>
  <si>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BW-3664</t>
    </r>
  </si>
  <si>
    <r>
      <t>G</t>
    </r>
    <r>
      <rPr>
        <sz val="11"/>
        <color theme="1"/>
        <rFont val="맑은 고딕"/>
        <family val="2"/>
        <charset val="129"/>
        <scheme val="minor"/>
      </rPr>
      <t>BWS-5739</t>
    </r>
    <phoneticPr fontId="7" type="noConversion"/>
  </si>
  <si>
    <r>
      <t>Y</t>
    </r>
    <r>
      <rPr>
        <sz val="11"/>
        <color theme="1"/>
        <rFont val="맑은 고딕"/>
        <family val="2"/>
        <charset val="129"/>
        <scheme val="minor"/>
      </rPr>
      <t>MTC</t>
    </r>
    <phoneticPr fontId="7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</si>
  <si>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BWS-5729</t>
    </r>
    <phoneticPr fontId="7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</si>
  <si>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BWS-5743</t>
    </r>
    <phoneticPr fontId="7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</si>
  <si>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BWS-5733</t>
    </r>
    <phoneticPr fontId="7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</si>
  <si>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BWS-5747</t>
    </r>
    <phoneticPr fontId="7" type="noConversion"/>
  </si>
  <si>
    <t>MICRON JP</t>
    <phoneticPr fontId="7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</si>
  <si>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BWS-5744</t>
    </r>
    <phoneticPr fontId="7" type="noConversion"/>
  </si>
  <si>
    <t>Speed Controller Leak (PFA) / N.PE150A Out 단 PFA튜브 삽입부 내부 Packing 씹힘</t>
    <phoneticPr fontId="8" type="noConversion"/>
  </si>
  <si>
    <t>DBW-3665</t>
    <phoneticPr fontId="7" type="noConversion"/>
  </si>
  <si>
    <t>DBW-3666</t>
    <phoneticPr fontId="7" type="noConversion"/>
  </si>
  <si>
    <t>GBWS-5740</t>
    <phoneticPr fontId="8" type="noConversion"/>
  </si>
  <si>
    <t>GBWS-5741</t>
    <phoneticPr fontId="8" type="noConversion"/>
  </si>
  <si>
    <t>GBWS-5742</t>
    <phoneticPr fontId="8" type="noConversion"/>
  </si>
  <si>
    <t>GBWS-5746</t>
    <phoneticPr fontId="8" type="noConversion"/>
  </si>
  <si>
    <t>PCW(R)</t>
    <phoneticPr fontId="8" type="noConversion"/>
  </si>
  <si>
    <t>ADJUSTABLE ELBOW OUT단 FITTING NUT 미완체결 12-12</t>
    <phoneticPr fontId="8" type="noConversion"/>
  </si>
  <si>
    <t>REDUCING UNION TEE (12) 우측 FITTING NUT 미완체결 12-12-04</t>
    <phoneticPr fontId="8" type="noConversion"/>
  </si>
  <si>
    <t>Speed Controller Leak (PFA) / N31A Out 단 PFA튜브 삽입부 내부 Packing 씹힘</t>
    <phoneticPr fontId="8" type="noConversion"/>
  </si>
  <si>
    <t>BCW</t>
    <phoneticPr fontId="8" type="noConversion"/>
  </si>
  <si>
    <t>REDUCING UNION</t>
    <phoneticPr fontId="8" type="noConversion"/>
  </si>
  <si>
    <t xml:space="preserve">REDUCING UNION FITTING NUT Leak / BCW FLEXIBLE TUBE부 04 fitting nut 미완체결  </t>
    <phoneticPr fontId="8" type="noConversion"/>
  </si>
  <si>
    <t>LEVEL SENSOR NUT 체결 Leak</t>
  </si>
  <si>
    <t>DRAIN NUT 내부 O-RING 씹힘</t>
  </si>
  <si>
    <t>BELLOWS INLET PIPE</t>
  </si>
  <si>
    <t>BELLOWS INLET PIPE N2 PURGE 연결 NUT 미체결</t>
  </si>
  <si>
    <t>SpeedController</t>
  </si>
  <si>
    <t>SpeedController leak(우레탄)</t>
  </si>
  <si>
    <t xml:space="preserve">CDA Line BULKHEAD UNION 하단 NUT LEAK </t>
  </si>
  <si>
    <t>CDA Line MALE BANJO 튜브 체결불량</t>
  </si>
  <si>
    <t>O-Ring</t>
  </si>
  <si>
    <t>PCW Line 가압 중 Torch N2 Line으로 Leak확인 ( O-Ring 손상 )</t>
  </si>
  <si>
    <t>HNM-0041</t>
  </si>
  <si>
    <t>FLOW SWITCH</t>
  </si>
  <si>
    <t>N2 FLOW SWITCH BODY LEAK</t>
  </si>
  <si>
    <t>HNM-0042</t>
  </si>
  <si>
    <t>HNM-0043</t>
  </si>
  <si>
    <t>HNM-0044</t>
  </si>
  <si>
    <t>HNM-0045</t>
  </si>
  <si>
    <t>HNM-0046</t>
  </si>
  <si>
    <t>BCW REGULATOR BODY 체결부 LEAK (내부 O-RING 파손으로 인한 오링교체)</t>
  </si>
  <si>
    <t>GN2 REDUUCER DOUBLE Y UNION (06) LEAK</t>
  </si>
  <si>
    <t>CDA Line SOLENOID VALVE 역방향 조립</t>
  </si>
  <si>
    <t>SpeedController leak(PFA)</t>
  </si>
  <si>
    <t xml:space="preserve">REDUCING UNION TEE 12-12-04 (12) IN단 FITTING NUT LEAK </t>
  </si>
  <si>
    <t>KEY OPERATION VALVE IN단 FITTING NUT LEAK</t>
  </si>
  <si>
    <t>2WAY ACTUATOR VALVE</t>
  </si>
  <si>
    <t>2WAY ACTUATOR VALVE 눈관리 교차 부착(V200A↔V210A)</t>
  </si>
  <si>
    <t xml:space="preserve">상세조치내용 : 식별조치 </t>
  </si>
  <si>
    <t>DRAIN NUT 내부 O-RING 씹힘으로 인한 LEAK</t>
  </si>
  <si>
    <t>SENSOR_ETC</t>
  </si>
  <si>
    <t>LEVEL SENSOR 내부 O-RING 체결부 체결강도부족 LEAK</t>
  </si>
  <si>
    <t>CHAMBER(N2)</t>
  </si>
  <si>
    <t>N2 REDUCING DOUBLE Y UNION (3) Leak (우레탄)</t>
  </si>
  <si>
    <t>SpeedController LEAK(우레탄) 
/ REDUCING DOUBLE Y UNION Leak로 우레탄튜브 교체 , 탈거 및 재조립 후 Leak 확인</t>
  </si>
  <si>
    <t>N2 REDUCING DOUBLE Y UNION Body Crack Leak</t>
  </si>
  <si>
    <t>SENSOR BOX</t>
  </si>
  <si>
    <t>LEVEL SENSOR NUT 체결불량으로 인한 LEAK</t>
  </si>
  <si>
    <t>REACTOR 125A CLAMP 내부 O-RING 씹힘으로 인한 LEAK</t>
  </si>
  <si>
    <t>JACO MALE ELBOW NUT부 LEAK</t>
  </si>
  <si>
    <t>AIR MANIFOLD SPEED CONTROLLER BODY LEAK</t>
  </si>
  <si>
    <t>LNG LINE UNION TEE 하단부(06) LEAK</t>
  </si>
  <si>
    <t>PCW-S</t>
  </si>
  <si>
    <t>REDUCING UNION TEE (04)  Fittung Nut 체결 강도 부족 Leak</t>
  </si>
  <si>
    <t>FEMALE NUT</t>
  </si>
  <si>
    <t>VCR FEMALE NUT 미완체결 Leak</t>
  </si>
  <si>
    <t>SPEED CONTROLLER LEAK (PFA)</t>
  </si>
  <si>
    <t>DIFFRENT UNION TEE</t>
  </si>
  <si>
    <t>DIFFERENT UNION TEE (08) Leak (우레탄)</t>
  </si>
  <si>
    <t>REDUCING DOUBLE Y UNION (06) Leak (우레탄)</t>
  </si>
  <si>
    <t>DIFFERENT UNION TEE (10) Leak (우레탄)</t>
  </si>
  <si>
    <t>MOTOR SCRAPPER</t>
  </si>
  <si>
    <t>MOTOR SCRAPPER 구리스 도포부 Leak</t>
  </si>
  <si>
    <t>MALE ELBOW LOCTITE 부족으로 인한 LEAK</t>
  </si>
  <si>
    <t>SPEED CONTROLLER LEAK (우레탄)</t>
  </si>
  <si>
    <t>N2 REDUCER DOUBLE Y UNION (3) Leak (우레탄)</t>
  </si>
  <si>
    <t>CHAMBER(CDA)</t>
  </si>
  <si>
    <t>CDA REDUCER Y LEAK (PFA)</t>
  </si>
  <si>
    <t>N2 UNION TEE 하단 BODY LEAK (우레탄)</t>
  </si>
  <si>
    <t>N2 REDUCER DOUBLE Y UNION (2) Leak (우레탄)</t>
  </si>
  <si>
    <t>PCW LINE REDUCING UNION TEE 12-12-08 08부 미완체결</t>
  </si>
  <si>
    <t>ORG-080501</t>
  </si>
  <si>
    <t>GAIA ORIGIN</t>
  </si>
  <si>
    <t>ORG-080502</t>
  </si>
  <si>
    <t>ORG-080503</t>
  </si>
  <si>
    <t>ORG-080504</t>
  </si>
  <si>
    <t>ORG-080505</t>
  </si>
  <si>
    <t>ORG-080506</t>
  </si>
  <si>
    <t>ORG-080507</t>
  </si>
  <si>
    <t>ORG-080508</t>
  </si>
  <si>
    <t>SOS-0351</t>
  </si>
  <si>
    <t>SH</t>
  </si>
  <si>
    <t>SCREW CYLINDER SCRAPER</t>
  </si>
  <si>
    <t>SCREW CYLINDER SCRAPER 장착 원터치 반조 삽입 튜브 삽입불량으로 인한 LEAK</t>
  </si>
  <si>
    <t>SCREW CYLINDER SCRAPER 장착 원터치 반조 삽입 튜브 커팅불량으로 인한 LEAK</t>
  </si>
  <si>
    <t>PCW-R LINE 방향 스티커 오부착</t>
  </si>
  <si>
    <t>CHECK VALVE FITTING NUT LEAK 체결불량</t>
  </si>
  <si>
    <t>SOS-0352</t>
  </si>
  <si>
    <t>SOS-0353</t>
  </si>
  <si>
    <t>SPEED CONTROLLE LEAK (PFA) / N12 / 이상없음, 끝단 Cutting 후 재삽입</t>
  </si>
  <si>
    <t>REDUCER DOUBLE Y UNION (4) Leak (우레탄)</t>
  </si>
  <si>
    <t>PLUG IN REDUCER</t>
  </si>
  <si>
    <t>PLUG IN LEDUCER 삽입부 Leak / 이상 없음 , 재체결</t>
  </si>
  <si>
    <t>SOS-0354</t>
  </si>
  <si>
    <t>CIR WATER LINE-1</t>
  </si>
  <si>
    <t>CIR WATER LINE-I 내부 O-Ring 씹힘 Leak</t>
  </si>
  <si>
    <t>MALE CONNECTOR 미완체결 Leak</t>
  </si>
  <si>
    <t>REDUCER DOUBLE Y UNION (3) Leak (PFA)</t>
  </si>
  <si>
    <t>UNION TEE 상단 우측 Fitting Nut Leak</t>
  </si>
  <si>
    <t>ADJUSTABLE ELBOW IN단 Fitting Nut Leak</t>
  </si>
  <si>
    <t>SPEEDCONTROLLER 삽입불량 LEAK (PFA)</t>
  </si>
  <si>
    <t>LEVEL SENSOR</t>
  </si>
  <si>
    <t>LEVEL H/H SENSOR 체결부 Leak</t>
  </si>
  <si>
    <t>QEUNCH LINE MALE ELBOW FITTING NUT LEAK (NUT부)</t>
  </si>
  <si>
    <t>UNION TEE 우측 상단 FITTIN NUT LEAK</t>
  </si>
  <si>
    <t>GN2(CHAMBER)</t>
  </si>
  <si>
    <t>N.V130PA SPEED CONTROLLER LEAK (우레탄)</t>
  </si>
  <si>
    <t>N.V140B SPEED CONTROLLER LEAK (우레탄)</t>
  </si>
  <si>
    <t>MALE NUT</t>
  </si>
  <si>
    <t>LNG MALE NUT FERRULE 미체결</t>
  </si>
  <si>
    <t>UNION ELBOW IN단 FITTING NUT LEAK (TEE PIPE WELD ASSY)</t>
  </si>
  <si>
    <t>TEE 좌측상단 FITTING NUT LEAK (비저항센서 체결부)</t>
  </si>
  <si>
    <t>CENTER O-RING 체결 불량으로 오링찍힘 LEAK</t>
  </si>
  <si>
    <t>N2 REDUCER DOUBLE Y UNION (1,06) Leak (우레탄)</t>
  </si>
  <si>
    <t>SPEED CONTROLLER LEAK (BODY)</t>
  </si>
  <si>
    <t>AIR MANIFOLD 교체</t>
  </si>
  <si>
    <t>REDUCING UNION TEE T좌측 상단 08부 LEAK</t>
  </si>
  <si>
    <t>TEE PIPE WELD ASSY T좌측 상단 08부 LEAK</t>
  </si>
  <si>
    <t>RIGHT CHAMBER BULKHEAD UNION OUT단 LEAK</t>
  </si>
  <si>
    <t>LNG, O2 LINE 스티커 교차부착</t>
  </si>
  <si>
    <t>INLET</t>
  </si>
  <si>
    <t>UNION ELBOW NUT부 미완체결</t>
  </si>
  <si>
    <t>MALE CONNECTOR NUT부 미완체결</t>
  </si>
  <si>
    <t>LEVEL SENSOR NUT부 LEAK</t>
  </si>
  <si>
    <t>REDUCER DOUBLE Y UNION LEAK (우레탄 08-06 / 08부)</t>
  </si>
  <si>
    <t>REDUCER Y LEAK (우레탄 08-06 / 08부)</t>
  </si>
  <si>
    <t>ORG-082901</t>
  </si>
  <si>
    <t>GAIA-ORIGIN</t>
  </si>
  <si>
    <t>ORG-082902</t>
  </si>
  <si>
    <t>ORG-082903</t>
  </si>
  <si>
    <t>ORG-082910</t>
  </si>
  <si>
    <t>GAIA-ORIGIN DUO</t>
  </si>
  <si>
    <t>ORG-082904</t>
  </si>
  <si>
    <t>ORG-082905</t>
  </si>
  <si>
    <t>ORG-082906</t>
  </si>
  <si>
    <t>ORG-082907</t>
  </si>
  <si>
    <t>ORG-082908</t>
  </si>
  <si>
    <t>ORG-082909</t>
  </si>
  <si>
    <t>PCW-S(L)</t>
  </si>
  <si>
    <t>ADJUSTABLE ELBOW FITTING NUT OUT단 미완체결</t>
  </si>
  <si>
    <t>PCW-S(R)</t>
  </si>
  <si>
    <t>LNG LINE BULKHEAD UNION NUT부 미체결 (OUT단)</t>
  </si>
  <si>
    <t>IVAS-266</t>
  </si>
  <si>
    <t>ADJUSTABLE ELBOW FITTING NUT IN단 미완체결</t>
  </si>
  <si>
    <t>125A CLAMP I-Marking 누락</t>
  </si>
  <si>
    <t>BCW DRAIN HOSE 연결 소켓체결부 O-Ring 누락</t>
  </si>
  <si>
    <t>REDUCING UNION TEE 우측 상단 FITTING NUT LEAK</t>
  </si>
  <si>
    <t>MALE ELBOW FITTING NUT부 LEAK</t>
  </si>
  <si>
    <t>MALE CONNECTOR PFA 삽입부 FITTING NUT LEAK</t>
  </si>
  <si>
    <t>UNION ELBOW PFA 삽입부 FITTING NUT LEAK</t>
  </si>
  <si>
    <t>P.P MALE CONNECTOR FITTING NUT부 LEAK</t>
  </si>
  <si>
    <t>BULKHEAD UNION FITTING NUT부 LEAK</t>
  </si>
  <si>
    <t>LEVEL H/H SENSOR 체결부 LEAK</t>
  </si>
  <si>
    <t>DIFFRENT UNION TEE 하단부 Tube 삽입정도부족 LEAK</t>
  </si>
  <si>
    <t>ORG-5918-6</t>
  </si>
  <si>
    <t>ORG-5918-7</t>
  </si>
  <si>
    <t>ORG-5918-8</t>
  </si>
  <si>
    <t>ORG-5918-9</t>
  </si>
  <si>
    <t>ORG-6028</t>
  </si>
  <si>
    <t>ORG-6028-1</t>
  </si>
  <si>
    <t>ORG-6028-2</t>
  </si>
  <si>
    <t>ORG-6028-3</t>
  </si>
  <si>
    <t>ORG-6028-4</t>
  </si>
  <si>
    <t>UNION Y BODY CRACK LEAK</t>
  </si>
  <si>
    <t>REDUCER DOUBLE Y UNION (4) Leak</t>
  </si>
  <si>
    <t>ADJUSTABLE ELBOW OUT단 FITTING NUT 미체결</t>
  </si>
  <si>
    <t>UNION TEE 하단부 FITTING NUT 미완체결</t>
  </si>
  <si>
    <t>HNM-0050</t>
  </si>
  <si>
    <t>HNM-0051</t>
  </si>
  <si>
    <t>HNM-0052</t>
  </si>
  <si>
    <t>#2 3WAY ACTUATOR VALVE 상단 우측 CLAMP 미완체결</t>
  </si>
  <si>
    <t>AIR MANIFOLD</t>
  </si>
  <si>
    <t>AIR MANIFOLD MALE STRAIGHT 체결부 LEAK</t>
  </si>
  <si>
    <t>LEVEL SENSOR BCW Line MALE ELBOW IN단 FITTING NUT LEAK</t>
  </si>
  <si>
    <t>IVAS-267</t>
  </si>
  <si>
    <t>DRAIN LINE PUMP NUT LEAK</t>
  </si>
  <si>
    <t>LEVEL SENSOR NUT LEAK (손풀림)</t>
  </si>
  <si>
    <t>PCW LINE MALE CONNECTOR OUT단 NUT 미완체결</t>
  </si>
  <si>
    <t>PE140 UNION ELBOW FITTING NUT 미완체결</t>
  </si>
  <si>
    <t>ORG-5918-10</t>
  </si>
  <si>
    <t>ORG-5918-11</t>
  </si>
  <si>
    <t>ORG-5918-12</t>
  </si>
  <si>
    <t>ORG-5918-13</t>
  </si>
  <si>
    <t>ORG-5918-14</t>
  </si>
  <si>
    <t>ORG-5918-15</t>
  </si>
  <si>
    <t>ORG-5918-16</t>
  </si>
  <si>
    <t>ORG-6028-5</t>
  </si>
  <si>
    <t>ORG-6028-6</t>
  </si>
  <si>
    <t>ORG-6028-7</t>
  </si>
  <si>
    <t>ORG-6028-8</t>
  </si>
  <si>
    <t>ORG-6028-9</t>
  </si>
  <si>
    <t>ORG-6028-10-10</t>
  </si>
  <si>
    <t>ORG-6028-10-1</t>
  </si>
  <si>
    <t>ORG-6028-10-2</t>
  </si>
  <si>
    <t>ORG-6028-10-3</t>
  </si>
  <si>
    <t>ORG-6028-10-4</t>
  </si>
  <si>
    <t>ORG-6028-10-5</t>
  </si>
  <si>
    <t>ORG-6028-10-6</t>
  </si>
  <si>
    <t>ORG-6028-10-7</t>
  </si>
  <si>
    <t>ORG-6028-10-8</t>
  </si>
  <si>
    <t>ORG-6028-10-9</t>
  </si>
  <si>
    <t>N3</t>
  </si>
  <si>
    <t>N14</t>
  </si>
  <si>
    <t>N.V110B</t>
  </si>
  <si>
    <t>N.PE140</t>
  </si>
  <si>
    <t>N34</t>
  </si>
  <si>
    <t>N.V130B</t>
  </si>
  <si>
    <t>N.V120B</t>
  </si>
  <si>
    <t>SOS-0355</t>
  </si>
  <si>
    <t>SOS-0356</t>
  </si>
  <si>
    <t>SOS-0357</t>
  </si>
  <si>
    <t>REDUCING UNION TEE FITTING NUT LEAK 좌측상단 (손풀림X)</t>
  </si>
  <si>
    <t>FEMALE BRANCH TEE 체결불량 우측상단 (손풀림)</t>
  </si>
  <si>
    <t>N10</t>
  </si>
  <si>
    <t>HNM-0047</t>
  </si>
  <si>
    <t>HNM-0048</t>
  </si>
  <si>
    <t>HNM-0049</t>
  </si>
  <si>
    <t>CDA LINE MALE STRAIGHT 우레탄 TUBE 삽입부 LEAK</t>
  </si>
  <si>
    <t>GPWS-0575</t>
  </si>
  <si>
    <t>GAIA-P-II DUAL</t>
  </si>
  <si>
    <t>MALE BANJO 자체 SEALING부 LEAK (TEFLON 작업 미실시)</t>
  </si>
  <si>
    <t>버너부 PCW-R(L) UNION FITTING NUT OUT단 LEAK 1/4"</t>
  </si>
  <si>
    <t>REDUCING UNION TEE FITTING NUT LEAK(손풀림) 우측 상단</t>
  </si>
  <si>
    <t>SPEED CONTROLLER LEAK (PFA삽입부) / N.SCR-110 OUT단</t>
  </si>
  <si>
    <t>SPEED CONTROLLER LEAK (PFA삽입부) / N48</t>
  </si>
  <si>
    <t>SPEED CONTROLLER LEAK (PFA삽입부) / N.BE101 OUT단</t>
  </si>
  <si>
    <t>CHAMBER SCRAPER N2 PURGE단 UNION ELBOW FITTING NUT LEAK IN단</t>
  </si>
  <si>
    <t>PCW-S LINE UNION ELBOW FITTING NUT LEAK OUT단</t>
  </si>
  <si>
    <t>LNG LINE UNION TEE 미완체결로 인한 LEAK (1/4", 좌측상단)</t>
  </si>
  <si>
    <t>SPEED CONTROLLER LEAK (PFA삽입부) / N.V150PA OUT단</t>
  </si>
  <si>
    <t>SPEED CONTROLLER LEAK (PFA삽입부) / N.V120BA OUT단</t>
  </si>
  <si>
    <t>ORG-5995-5-1</t>
  </si>
  <si>
    <t>ORG-5995-5-2</t>
  </si>
  <si>
    <t>ORG-5995-5-3</t>
  </si>
  <si>
    <t>ORG-6028-9-1</t>
  </si>
  <si>
    <t>ORG-6028-9-2</t>
  </si>
  <si>
    <t>ORG-6028-10</t>
  </si>
  <si>
    <t>ORG-6028-11</t>
  </si>
  <si>
    <t>ORG-6028-12-1</t>
  </si>
  <si>
    <t>ORG-6028-12-2</t>
  </si>
  <si>
    <t>ORG-6028-13</t>
  </si>
  <si>
    <t>ORG-6028-14</t>
  </si>
  <si>
    <t>ORG-6028-15</t>
  </si>
  <si>
    <t>ORG-6028-16</t>
  </si>
  <si>
    <t>PXG (3) FITTING NUT LEAK</t>
  </si>
  <si>
    <t xml:space="preserve">N2 LINE LNG 이류체 CHECK VALVE OUT단 LEAK (손풀림) </t>
  </si>
  <si>
    <t>UNION ELBOW FITTING NUT LEAK IN단</t>
  </si>
  <si>
    <t>ORG-5995-7</t>
  </si>
  <si>
    <t>ORG-5995-8-01</t>
  </si>
  <si>
    <t>ORG-5995-8-02</t>
  </si>
  <si>
    <t>ORG-5995-8-03</t>
  </si>
  <si>
    <t>ORG-5995-8-04</t>
  </si>
  <si>
    <t>ORG-5995-8-05</t>
  </si>
  <si>
    <t>ORG-5995-8-06</t>
  </si>
  <si>
    <t>ORG-6028-17</t>
  </si>
  <si>
    <t>ORG-6028-18</t>
  </si>
  <si>
    <t>ORG-6028-19-01</t>
  </si>
  <si>
    <t>ORG-6028-19-02</t>
  </si>
  <si>
    <t>ORG-6028-20</t>
  </si>
  <si>
    <t>ORG-6028-21</t>
  </si>
  <si>
    <t>ORG-6028-21-01</t>
  </si>
  <si>
    <t>ORG-6028-22</t>
  </si>
  <si>
    <t xml:space="preserve">PE160A UNION ELOBW OUT단 FITTING NUT LEAK (미완체결) </t>
  </si>
  <si>
    <t>LNG 연결 CHECK VALVE OUT단 FITTNG NUT LEAK</t>
  </si>
  <si>
    <t>CHECK VALVE IN단 FITTING NUT LEAK</t>
  </si>
  <si>
    <t>UNION ELBOW FITTING NUT LEAK (패럴고정X, 나사선마모)</t>
  </si>
  <si>
    <t>MALE BANJO 우레탄튜브 삽입부 LEAK</t>
  </si>
  <si>
    <t>UNION STRAIGHT 우레탄튜브 삽입부 LEAK</t>
  </si>
  <si>
    <t>GBA-0134</t>
  </si>
  <si>
    <t>GBA-0135</t>
  </si>
  <si>
    <t>GBA-0136</t>
  </si>
  <si>
    <t>SPEED CONTROLLER LEAK (우레탄삽입부) / N.V140PA IN단</t>
  </si>
  <si>
    <t>LNG LINE VCR FLEXIBLE TUBE 버너부 체결불량</t>
  </si>
  <si>
    <t>SWIRL LINE MALE ELBOW 미체결</t>
  </si>
  <si>
    <t>LEVEL SENSOR BOX</t>
  </si>
  <si>
    <t>내부 용접으로 이후 LEVEL SENSOR BOX 재체결간 O-RING 씹힘</t>
  </si>
  <si>
    <t>UNION STRAIGHT PFA 삽입부 LEAK OUT단</t>
  </si>
  <si>
    <t>N2, CDA LINE TUBE 교차삽입</t>
  </si>
  <si>
    <t>MWCWS-0002</t>
  </si>
  <si>
    <t>MiTHAs</t>
  </si>
  <si>
    <t>SPEED CONTROLLER LEAK (우레탄삽입부) / N30 OUT단</t>
  </si>
  <si>
    <t>SPEED CONTROLLER LEAK (PFA) / N.SCR-110A</t>
  </si>
  <si>
    <t>GBWS-6222</t>
  </si>
  <si>
    <t>KEY OPERATION VALVE FITTING NUT LEAK(IN단)</t>
  </si>
  <si>
    <t>SOS-0358</t>
  </si>
  <si>
    <t>N.PE110 UNION ELOBW OUT단 FITTING NUT LEAK</t>
  </si>
  <si>
    <t>SPEED CONTROLLER LEAK (PFA) / N.PE110 / OUT</t>
  </si>
  <si>
    <t>SPEED CONTROLLER LEAK (PFA) / N.V130B / OUT</t>
  </si>
  <si>
    <t>우측 상단 FITTING NUT IN단 LEAK</t>
  </si>
  <si>
    <t>좌측 상단 UNION TEE FITTING NUT LEAK</t>
  </si>
  <si>
    <t>MALE CONNECTOR NUT부 OUT단 (Ferrule 없음)</t>
  </si>
  <si>
    <t>SOS-0360</t>
  </si>
  <si>
    <t>SOS-0359</t>
  </si>
  <si>
    <t>SOS-0361</t>
  </si>
  <si>
    <t>ORG-6028-23</t>
  </si>
  <si>
    <t>ORG-6028-24</t>
  </si>
  <si>
    <t>ORG-6028-24-1</t>
  </si>
  <si>
    <t>ORG-6028-25</t>
  </si>
  <si>
    <t>ORG-6028-26</t>
  </si>
  <si>
    <t>ORG-6028-27-1</t>
  </si>
  <si>
    <t>ORG-6028-28</t>
  </si>
  <si>
    <t>ORG-6028-29</t>
  </si>
  <si>
    <t>ORG-6028-29-1</t>
  </si>
  <si>
    <t>ORG-6028-33</t>
  </si>
  <si>
    <t>SPEED CONTROLLER LEAK (PFA) / N.BE101A / OUT</t>
  </si>
  <si>
    <t>FLAME SENSOR PORT TOP</t>
  </si>
  <si>
    <t>PORT TOP 흔들림 발생</t>
  </si>
  <si>
    <t>BCW LINE BULKHEAD UNION FITTING NUT LEAK / OUT</t>
  </si>
  <si>
    <t>MALE CONNECTOR FITTING NUT LEAK (NUT부)</t>
  </si>
  <si>
    <t>WET LINE UNION TEE FITTING NUT LEAK / 하단</t>
  </si>
  <si>
    <t>BCW LINE BRAZED PLATE HEAT EXCHANGER IN단 NUT부 LEAK</t>
  </si>
  <si>
    <t>DIFFERENT UNION TEE 하단 8mm 부 LEAK</t>
  </si>
  <si>
    <t>MALE BANJO C.820A TUBE 삽입부족</t>
  </si>
  <si>
    <t>UNION TEE FITTING NUT 하단 LEAK (미완체결, I-MARKING 누락)</t>
  </si>
  <si>
    <t>LEVEL SENSOR 체결 UNION ELBOW IN단 PFA TUBE 삽입부 , 체결강도 부족</t>
  </si>
  <si>
    <t>UNION ELBOW IN단 NUT LEAK (미완체결, I-MARKING 누락)</t>
  </si>
  <si>
    <t>SPEED CONTROLLER LEAK (PFA) / N.V140P / OUT</t>
  </si>
  <si>
    <t>SPEED CONTROLLER LEAK (PFA) / N.SCR-140 / OUT</t>
  </si>
  <si>
    <t>PXG (3) FITTING Body Crack</t>
  </si>
  <si>
    <t>CLAMP 체결불량 LEAK (사선체결, CENTER O-RING 파손으로 교체)</t>
  </si>
  <si>
    <t>PFA / N34 / OUT</t>
  </si>
  <si>
    <t>NW50 PROCESS PIPE</t>
  </si>
  <si>
    <t>INLET#3 PIPE면 틀어짐으로 인한 LEAK</t>
  </si>
  <si>
    <t>PFA / N.V150BA / OUT</t>
  </si>
  <si>
    <t>TEE 좌측 상단 미완체결 LEAK</t>
  </si>
  <si>
    <t>GN2 LINE BULKHEAD UNION OUT단 NUT부 LEAK</t>
  </si>
  <si>
    <t>SENSOR BOX MALE CONNECTOR LEAK ( 1/4",NPT3/8 ) TEFLON부</t>
  </si>
  <si>
    <t>PFA / N.SCR-130A / OUT</t>
  </si>
  <si>
    <t>UNION Y 좌측상단 LEAK</t>
  </si>
  <si>
    <t>PFA / N.BE101 / OUT</t>
  </si>
  <si>
    <t>HEATING PIPE INLET FLANGE</t>
  </si>
  <si>
    <t>INLET #1 FLANGE 체결부 LEAK</t>
  </si>
  <si>
    <t>ORG-6028-30</t>
  </si>
  <si>
    <t>ORG-6028-30-1</t>
  </si>
  <si>
    <t>ORG-6028-14-1</t>
  </si>
  <si>
    <t>ORG-6028-31</t>
  </si>
  <si>
    <t>ORG-6028-32</t>
  </si>
  <si>
    <t>ORG-6028-32-1</t>
  </si>
  <si>
    <t>ORG-6028-32-2</t>
  </si>
  <si>
    <t>ORG-6028-32-3</t>
  </si>
  <si>
    <t>ORG-6028-32-4</t>
  </si>
  <si>
    <t>PFA / N.PE130 / OUT</t>
  </si>
  <si>
    <t>PFA / N.SCR-110 / OUT</t>
  </si>
  <si>
    <t>GPWS-0612 SWAP</t>
  </si>
  <si>
    <t>GPWS-0613 SWAP</t>
  </si>
  <si>
    <t>OUT단 / NUT 손풀림</t>
  </si>
  <si>
    <t>N.V120P / IN단 / NUT 손풀림</t>
  </si>
  <si>
    <t xml:space="preserve">3/8"xNPT3/8(PVDF) / IN단 / NUT 손풀림 </t>
  </si>
  <si>
    <t>GPWS-0614 SWAP</t>
  </si>
  <si>
    <t>O2 LINE UNION ELBOW FITTING NUT LEAK</t>
  </si>
  <si>
    <t>GPWS-0615 SWAP</t>
  </si>
  <si>
    <t>PFA / N.SCR-140 / OUT</t>
  </si>
  <si>
    <t>PFA / N.V130P / OUT</t>
  </si>
  <si>
    <t>PFA / N.SCR-110A / OUT</t>
  </si>
  <si>
    <t>우레탄 / N.SCR-120A / IN</t>
  </si>
  <si>
    <t>NW50 / PROCESS #4 / 3WAY ACTUATOR VALVE 체결부 / 체결불량</t>
  </si>
  <si>
    <t>OUT단 / NUT 손풀림 X</t>
  </si>
  <si>
    <t>PFA / N.PE160A / OUT</t>
  </si>
  <si>
    <t>IVAS-268</t>
  </si>
  <si>
    <t>TUBE 미삽입 / C860</t>
  </si>
  <si>
    <t>IVAS-269</t>
  </si>
  <si>
    <t>1/2", 1/2", 1/4" / 1/4" PLUG 미완체결</t>
  </si>
  <si>
    <t>CHECK VALVE 오장착 정상 6mm / 실물 1/4"</t>
  </si>
  <si>
    <t>TUBE 미완삽입</t>
  </si>
  <si>
    <t>GBWS-6390</t>
  </si>
  <si>
    <t>GBWS-6391</t>
  </si>
  <si>
    <t>BU-12 3/4" / IN단 / NUT 손풀림</t>
  </si>
  <si>
    <t>SPEEDCONTROLLER</t>
  </si>
  <si>
    <t>PFA / N31 / OUT단</t>
  </si>
  <si>
    <t>NW50 / BYPASS#2 / BUNNER 체결부 / 손풀림</t>
  </si>
  <si>
    <t>MALE BANJO AIR LEAK (체결상태 이상무)</t>
  </si>
  <si>
    <t>REDUCING UNION TEE FITTING NUT LEAK 좌측 상단 / 체결강도 부족</t>
  </si>
  <si>
    <t>PFA / N.150BA / OUT단</t>
  </si>
  <si>
    <t>IVAS-239</t>
  </si>
  <si>
    <t>IVAS-270</t>
  </si>
  <si>
    <t>125A O-RING 이탈</t>
  </si>
  <si>
    <t>WET TOWER</t>
  </si>
  <si>
    <t>GUIDE CENTER O-RING NW200</t>
  </si>
  <si>
    <t>WET TOWER - VENTURI TOWER 체결부 사이 LEAK</t>
  </si>
  <si>
    <t>MALE ELBOW NUT부 LEAK / 1/2"xNPT1/2 / PVDF</t>
  </si>
  <si>
    <t>SOS-0362</t>
  </si>
  <si>
    <t>EXHAUST BALL VALVE OUT단 PLUG 미장착</t>
  </si>
  <si>
    <t>재고설비 (6개월이상)</t>
  </si>
  <si>
    <t>UNION ELBOW FITTING NUT LEAK / IN</t>
  </si>
  <si>
    <t>REDUCING UNION TEE FITTING NUT LEAK / 좌측상단</t>
  </si>
  <si>
    <t>MALE BANJO TEFLON부 LEAK</t>
  </si>
  <si>
    <t>UNION ELBOW FITTING NUT LEAK (3/8", PE110A)</t>
  </si>
  <si>
    <t>GBWS-6407</t>
  </si>
  <si>
    <t>INLET #4 BURNER 체결 CLAMP LEAK</t>
  </si>
  <si>
    <t>BULKHEAD UNION FITTING NUT LEAK (3/8", 손풀림)</t>
  </si>
  <si>
    <t>ADJUSTABLE ELBOW FITTING NUT LEAK (PD120A, NUT부, 손풀림, 3/8")</t>
  </si>
  <si>
    <t>RIGHT BYPASS #4 CLAMP 사선체결로인한 LEAK</t>
  </si>
  <si>
    <t>CHABMER(GN2)</t>
  </si>
  <si>
    <t>N.V150B PFA 삽입부 LEAK</t>
  </si>
  <si>
    <t>N.V120BA 우레탄 삽입부 LEAK</t>
  </si>
  <si>
    <t>PCW-S SMPS MAIN BALL VALVE 전단 ELBOW LEAK (체결강도부족)</t>
  </si>
  <si>
    <t>PCW-S BRAZED PLATE HEAT EXCHANGER 체결부 LEAK (손풀림)</t>
  </si>
  <si>
    <t>N.V140PA PFA 삽입부 LEAK</t>
  </si>
  <si>
    <t>N.SCR-130 PFA 삽입부 LEAK</t>
  </si>
  <si>
    <t>IVAS-271</t>
  </si>
  <si>
    <t>R. BCW LINE / IN단</t>
  </si>
  <si>
    <t>GSD</t>
  </si>
  <si>
    <t>SENSOR_GAS DETECTOR_DIGITAL</t>
  </si>
  <si>
    <t>SENSOR_GAS DETECTOR_DIGITAL TUBE 삽입부족으로 인한 LEAK</t>
  </si>
  <si>
    <t>N53A PFA 삽입부 LEAK / OUT</t>
  </si>
  <si>
    <t>N10A PFA 삽입부 LEAK / OUT</t>
  </si>
  <si>
    <t>N10A PFA 삽입부 LEAK</t>
  </si>
  <si>
    <t>N51 PFA 삽입부 LEAK</t>
  </si>
  <si>
    <t>N31 PFA 삽입부 LEAK</t>
  </si>
  <si>
    <t>DBW-3714</t>
  </si>
  <si>
    <t>GBWS-6481</t>
  </si>
  <si>
    <t>GBWS-6482</t>
  </si>
  <si>
    <t>GBWS-6468</t>
  </si>
  <si>
    <t>GBWS-6469</t>
  </si>
  <si>
    <t>GBWS-6480</t>
  </si>
  <si>
    <t>GBW-0287</t>
  </si>
  <si>
    <t>No</t>
  </si>
  <si>
    <t/>
  </si>
  <si>
    <t>41200085</t>
  </si>
  <si>
    <t>1100201000</t>
  </si>
  <si>
    <t>BCW Jaco Fitting Nut Leak(UNION ELBOW)</t>
    <phoneticPr fontId="7" type="noConversion"/>
  </si>
  <si>
    <t>JACO Fitting Nut (UNION ELBOW)</t>
    <phoneticPr fontId="7" type="noConversion"/>
  </si>
  <si>
    <t>41000514</t>
  </si>
  <si>
    <t>1110126700</t>
  </si>
  <si>
    <t>CENTRIFUGAL PUMP</t>
    <phoneticPr fontId="7" type="noConversion"/>
  </si>
  <si>
    <t>CENTRIFUGAL PUMP 볼트 체결불량</t>
    <phoneticPr fontId="7" type="noConversion"/>
  </si>
  <si>
    <t>CENTRIFUGAL PUMP WPIV-1560-G3-B-IE3 볼트 체결부 Leak</t>
    <phoneticPr fontId="7" type="noConversion"/>
  </si>
  <si>
    <t>1100872500</t>
  </si>
  <si>
    <t>PP Nut Leak</t>
    <phoneticPr fontId="7" type="noConversion"/>
  </si>
  <si>
    <t>HEAT EXCHANGER CAM030x30-SMO254-06T-PVC32A_ARK</t>
  </si>
  <si>
    <t>41000590</t>
  </si>
  <si>
    <t>DRAGON AB SINGLE</t>
  </si>
  <si>
    <t>1100228300</t>
  </si>
  <si>
    <t>Speed Controller Leak (Body)</t>
    <phoneticPr fontId="7" type="noConversion"/>
  </si>
  <si>
    <t>G9 스피드 컨트롤러 교체</t>
  </si>
  <si>
    <t>제조(He미보증)</t>
  </si>
  <si>
    <t>BAT 박종범</t>
  </si>
  <si>
    <t>41200007</t>
  </si>
  <si>
    <t>N2 MALE BANJO Teflon 부족</t>
    <phoneticPr fontId="7" type="noConversion"/>
  </si>
  <si>
    <t>Main N2 반조 Elbow 테퓨론부 Leak</t>
    <phoneticPr fontId="7" type="noConversion"/>
  </si>
  <si>
    <t>Speed Controller Leak (PFA)</t>
    <phoneticPr fontId="7" type="noConversion"/>
  </si>
  <si>
    <t>N34 스피드 컨트롤러 교체</t>
  </si>
  <si>
    <t>Speed Controller Leak (Body)</t>
  </si>
  <si>
    <t>N1, N2 스피드 컨트롤러 교체</t>
  </si>
  <si>
    <t>Sprinkler Teflon 부족</t>
    <phoneticPr fontId="7" type="noConversion"/>
  </si>
  <si>
    <t>Sprinkler Male Connector Teflon 체결부 Leak</t>
  </si>
  <si>
    <t>41200075</t>
  </si>
  <si>
    <t>1110045500</t>
  </si>
  <si>
    <t>O-Ring 이탈</t>
    <phoneticPr fontId="7" type="noConversion"/>
  </si>
  <si>
    <t>CENTER O-RING MEX70B(FKM-F BROWN) NW40이탈</t>
  </si>
  <si>
    <t>1310502700</t>
  </si>
  <si>
    <t>O-Ring 씹힘</t>
    <phoneticPr fontId="7" type="noConversion"/>
  </si>
  <si>
    <t>CIR WATER LINE PP Nut 내부 O-Ring 체결 불량, 재조립</t>
    <phoneticPr fontId="7" type="noConversion"/>
  </si>
  <si>
    <t>1100359600</t>
  </si>
  <si>
    <t>CLAMP(NW40) 체결불량</t>
  </si>
  <si>
    <t>배관 히팅자켓 해체 및 배관 탈거후 클램프 재체결</t>
    <phoneticPr fontId="7" type="noConversion"/>
  </si>
  <si>
    <t>박호BAT</t>
  </si>
  <si>
    <t>41200076</t>
  </si>
  <si>
    <t>BCW 열교환기 FEMALE CONNECTOR Fitting Nut Leak</t>
    <phoneticPr fontId="7" type="noConversion"/>
  </si>
  <si>
    <t xml:space="preserve">BRAZED PLATE HEAT EXCHANGER </t>
    <phoneticPr fontId="7" type="noConversion"/>
  </si>
  <si>
    <t>전대한BAT</t>
  </si>
  <si>
    <t>1110179900</t>
  </si>
  <si>
    <t>UNION TEE Tube 삽입부 Leak</t>
    <phoneticPr fontId="7" type="noConversion"/>
  </si>
  <si>
    <t>UNION TEE KQ2T08-00A_KQ2G Tube 삽입부 Leak</t>
  </si>
  <si>
    <t>41100320</t>
  </si>
  <si>
    <t>1110078300</t>
  </si>
  <si>
    <t>LNG LINE KEY OPERATION VALVE NUT LEAK</t>
    <phoneticPr fontId="7" type="noConversion"/>
  </si>
  <si>
    <t>LNG Line KEY OPERATION VALVE V81C-D-6T-KB-S(HV200A) Fitting Nut 미완체결</t>
  </si>
  <si>
    <t>배홍범BAT</t>
  </si>
  <si>
    <t>O2 LINE KEY OPERATION VALVE NUT LEAK</t>
    <phoneticPr fontId="7" type="noConversion"/>
  </si>
  <si>
    <t>O2 Line KEY OPERATION VALVE V81C-D-6T-KB-S(HV300A) Fitting Nut 미완체결</t>
  </si>
  <si>
    <t>배홈범BAT</t>
  </si>
  <si>
    <t>BCW Jaco Fitting Nut Leak(ELBOW)</t>
    <phoneticPr fontId="7" type="noConversion"/>
  </si>
  <si>
    <t>1100261800</t>
  </si>
  <si>
    <t>REDUCER Y(12) 체결부 Leak</t>
    <phoneticPr fontId="7" type="noConversion"/>
  </si>
  <si>
    <t>UNION Y 12부 체결부 Leak</t>
    <phoneticPr fontId="7" type="noConversion"/>
  </si>
  <si>
    <t>41200095</t>
  </si>
  <si>
    <t>1300519100</t>
  </si>
  <si>
    <t>VENTURI NOZZLE FLANGE</t>
  </si>
  <si>
    <t>VENTURI NOZZLE FLANGE CAP Teflon 부족</t>
    <phoneticPr fontId="7" type="noConversion"/>
  </si>
  <si>
    <t>VENTURI NOZZLE FLANGE CAP 체결간 Teflon 부 Leak</t>
  </si>
  <si>
    <t>1100008800</t>
  </si>
  <si>
    <t>BCW BULKHEAD UNION Fitting Nut Leak(튜브 길이 부족)</t>
  </si>
  <si>
    <t>BCW BULKHEAD UNION BU-08 하단부 Fitting Nut Leak / 튜브 길이 부족</t>
  </si>
  <si>
    <t>41200005</t>
  </si>
  <si>
    <t>1100750700</t>
  </si>
  <si>
    <t>CHECK VALVE 미완체결</t>
    <phoneticPr fontId="7" type="noConversion"/>
  </si>
  <si>
    <t>CHECK VALVE SS-IHCV-06M-1PSI Nut 미완체결로 인한 Leak</t>
  </si>
  <si>
    <t>MALE CONNECTOR (SUS)</t>
  </si>
  <si>
    <t>N2 Male Connector Teflon 부족</t>
    <phoneticPr fontId="7" type="noConversion"/>
  </si>
  <si>
    <t>Main N2 연결 Male Connector Fitting 체결부 Leak / 체결강도 이상 없음</t>
  </si>
  <si>
    <t>1100579100</t>
  </si>
  <si>
    <t>MALE STRAIGHT 체결불량</t>
    <phoneticPr fontId="7" type="noConversion"/>
  </si>
  <si>
    <t>N2 Speed Controller Manifold 연결 MALE STRAIGHT PC 08-04 체결 강도 부족 Leak</t>
  </si>
  <si>
    <t>N.34 / PFA Tube 삽입부</t>
    <phoneticPr fontId="7" type="noConversion"/>
  </si>
  <si>
    <t>41200038</t>
  </si>
  <si>
    <t>Speed Controller Leak (PFA)</t>
  </si>
  <si>
    <t>N.V130PA / PFA Tube 체결부</t>
  </si>
  <si>
    <t>PCW LINE REDUCING Union Tee Fitting Nut Leak</t>
    <phoneticPr fontId="7" type="noConversion"/>
  </si>
  <si>
    <t>PCW Line Union Tee(080806) 상단 Fitting Nut Leak(갭게이지 및 페럴 이상없음 , 파트교체)</t>
    <phoneticPr fontId="7" type="noConversion"/>
  </si>
  <si>
    <t>41200006</t>
  </si>
  <si>
    <t>PFA Tube 삽입부</t>
  </si>
  <si>
    <t>동세웅FNI</t>
  </si>
  <si>
    <t>41100448</t>
  </si>
  <si>
    <t>Speed Controller Leak (우레탄)</t>
    <phoneticPr fontId="7" type="noConversion"/>
  </si>
  <si>
    <t>N.130A , N.140A / 우레탄 Tube 삽입부</t>
  </si>
  <si>
    <t>41200103</t>
  </si>
  <si>
    <t>CHAIN CLAMP</t>
    <phoneticPr fontId="7" type="noConversion"/>
  </si>
  <si>
    <t>Chain Clamp 체결 불량</t>
    <phoneticPr fontId="7" type="noConversion"/>
  </si>
  <si>
    <t>Exhaust 연결 Chain Clamp 체결 불량</t>
  </si>
  <si>
    <t>김광FNI</t>
  </si>
  <si>
    <t>PNUEMATIC V/V 체결 부 MALE BANJO 체결부 Leak (파트교체)</t>
    <phoneticPr fontId="7" type="noConversion"/>
  </si>
  <si>
    <t>LNG 끝단 N2 연결 공압Sol V/V 연결 반조 Elbow Fitting 체결부 Leak(파트교체)</t>
    <phoneticPr fontId="7" type="noConversion"/>
  </si>
  <si>
    <t>41000588</t>
  </si>
  <si>
    <t>BCW Jaco Elbow Union Fitting Nut Leak</t>
  </si>
  <si>
    <t>파손</t>
  </si>
  <si>
    <t>Level Sensor O-ring 체결부 Leak</t>
  </si>
  <si>
    <t>1100273700</t>
  </si>
  <si>
    <t>N2 REDUCING DOUBLE Y UNION(06) 삽입부 LEAK</t>
    <phoneticPr fontId="7" type="noConversion"/>
  </si>
  <si>
    <t>N2 REDUCING DOUBLE Y UNION(PXG) 06 Leak</t>
    <phoneticPr fontId="7" type="noConversion"/>
  </si>
  <si>
    <t>김용춘FNI</t>
  </si>
  <si>
    <t>REDUCING DOUBLE Y UNION 0806 06Tube 삽입부 Leak</t>
  </si>
  <si>
    <t>윤광성FNI</t>
  </si>
  <si>
    <t>N.SCR110 / PFA Tube 삽입부</t>
    <phoneticPr fontId="7" type="noConversion"/>
  </si>
  <si>
    <t>G11 / PFATube 삽입부</t>
  </si>
  <si>
    <t>G27 / PFATube 삽입부</t>
  </si>
  <si>
    <t>Temp Sensor T01 PFA Tube 미연결</t>
    <phoneticPr fontId="7" type="noConversion"/>
  </si>
  <si>
    <t>Temp Sensor T01 PFA Tube 미연결</t>
  </si>
  <si>
    <t>1310537900</t>
  </si>
  <si>
    <t>BURNER SCRAPER LINE-01</t>
  </si>
  <si>
    <t>Pipe Tee 배관 Crack으로 인한 Leak 발생</t>
  </si>
  <si>
    <t>대체품 교체</t>
  </si>
  <si>
    <t>41200087</t>
  </si>
  <si>
    <t>CLAMP(NW50) 체결불량</t>
    <phoneticPr fontId="7" type="noConversion"/>
  </si>
  <si>
    <t>BYPASS#4 Clamp 체결부 Flange 면 틀어짐으로 인한 Leak</t>
  </si>
  <si>
    <t>41000556</t>
  </si>
  <si>
    <t>FEMALE CONNECTOR</t>
    <phoneticPr fontId="7" type="noConversion"/>
  </si>
  <si>
    <t>미니열교환기 BCW 연결 Female Connector 나사산 파손으로 인해 파트교체(미니 열교환기 , Female Connector 4ea)</t>
    <phoneticPr fontId="7" type="noConversion"/>
  </si>
  <si>
    <t>41200008</t>
  </si>
  <si>
    <t>FLOW SENSOR CONNECTOR</t>
    <phoneticPr fontId="7" type="noConversion"/>
  </si>
  <si>
    <t>FLOW SENSOR CONNECTOR LEAK</t>
    <phoneticPr fontId="7" type="noConversion"/>
  </si>
  <si>
    <t>BCW Flow Sensor Connector 미완체결</t>
    <phoneticPr fontId="7" type="noConversion"/>
  </si>
  <si>
    <t>N.SCR-110A / 우레탄 Tube 삽입부</t>
  </si>
  <si>
    <t>BYPASS#4 3Way V/V 하단부 Flange 틀어짐으로 인한 Clamp Leak</t>
  </si>
  <si>
    <t>김광 FNI</t>
  </si>
  <si>
    <t>PCW Flow Sensor OUT단 Male Connector Fitting Nut Leak</t>
    <phoneticPr fontId="7" type="noConversion"/>
  </si>
  <si>
    <t>MALE PIPE WELD ELBOW</t>
    <phoneticPr fontId="7" type="noConversion"/>
  </si>
  <si>
    <t>PCW MALE PIPE WELD ELBOW NUT 미완체결</t>
    <phoneticPr fontId="7" type="noConversion"/>
  </si>
  <si>
    <t>PCW Sus Tube Fitting Nut Leak</t>
  </si>
  <si>
    <t>N.140V / PFA Tube 삽입부</t>
    <phoneticPr fontId="7" type="noConversion"/>
  </si>
  <si>
    <t>BCW Jaco Fitting Nut Leak(UNION)</t>
    <phoneticPr fontId="7" type="noConversion"/>
  </si>
  <si>
    <t>N.PE120A</t>
  </si>
  <si>
    <t>41200088</t>
  </si>
  <si>
    <t>N.V130B / PFA Tube 삽입부</t>
    <phoneticPr fontId="7" type="noConversion"/>
  </si>
  <si>
    <t>박연파FNI</t>
  </si>
  <si>
    <t>1100668900</t>
  </si>
  <si>
    <t>N2 LINE UNEQUAL UNION Y 삽입부 LEAK(08)</t>
    <phoneticPr fontId="7" type="noConversion"/>
  </si>
  <si>
    <t>UNEQUAL UNION Y 0806 Leak</t>
  </si>
  <si>
    <t>41200104</t>
  </si>
  <si>
    <t>ADJUSTABLE ELBOW</t>
    <phoneticPr fontId="7" type="noConversion"/>
  </si>
  <si>
    <t>N2 ADJUSTABLE ELBOW Fitting Nut Leak</t>
    <phoneticPr fontId="7" type="noConversion"/>
  </si>
  <si>
    <t>Main N2 Elbow Union Fitting Nut Leak</t>
  </si>
  <si>
    <t>41200061</t>
  </si>
  <si>
    <t>BCW Air Sol V/V 연결 Male Connector Leak</t>
  </si>
  <si>
    <t>41100317</t>
  </si>
  <si>
    <t>N.SCR-150 / PFA TUBE 삽입부</t>
    <phoneticPr fontId="7" type="noConversion"/>
  </si>
  <si>
    <t>황호BAT</t>
  </si>
  <si>
    <t>41000584</t>
  </si>
  <si>
    <t>41100375</t>
  </si>
  <si>
    <t>Exhaust Clamp(125A) 체결불량</t>
    <phoneticPr fontId="7" type="noConversion"/>
  </si>
  <si>
    <t>LEVEL SENSOR</t>
    <phoneticPr fontId="7" type="noConversion"/>
  </si>
  <si>
    <t>H/H Sensor 체결부 Leak</t>
  </si>
  <si>
    <t>N.SCR-130 / PFA TUBE 삽입부</t>
    <phoneticPr fontId="7" type="noConversion"/>
  </si>
  <si>
    <t>N.V150P / PFA Tube 삽입부</t>
    <phoneticPr fontId="7" type="noConversion"/>
  </si>
  <si>
    <t>Unequal Union Y 08Tube 삽입부 Leak</t>
  </si>
  <si>
    <t>1100009000</t>
  </si>
  <si>
    <t>PCW BULK HEAD UNION Fitting Nut LEAK(체결불량)</t>
    <phoneticPr fontId="7" type="noConversion"/>
  </si>
  <si>
    <t>PCW BULKHEAD UNION BU-12 Fitting Nut 미완체결</t>
  </si>
  <si>
    <t>N2 Male Connector(공압) 체결부 Leak</t>
  </si>
  <si>
    <t>조동래BAT</t>
  </si>
  <si>
    <t>41100372</t>
  </si>
  <si>
    <t>LNG LINE KEY OPERATION VALVE KEY OPERATION VALVE NUT LEAK (HV 200A)</t>
    <phoneticPr fontId="7" type="noConversion"/>
  </si>
  <si>
    <t>CLAMP(NW40) 체결불량</t>
    <phoneticPr fontId="7" type="noConversion"/>
  </si>
  <si>
    <t>Process#3 배관 Clamp NW40 Leak</t>
  </si>
  <si>
    <t>1100407300</t>
  </si>
  <si>
    <t>Exhaust Clamp(125A) Leak - 벤츄리 확인을 위한 재작업, 해당부 탈착시 O-ring 확인 어려움</t>
  </si>
  <si>
    <t>1110093500</t>
  </si>
  <si>
    <t>Speed Controller 미완체결</t>
    <phoneticPr fontId="7" type="noConversion"/>
  </si>
  <si>
    <t>N2 Manifold 조립부</t>
    <phoneticPr fontId="7" type="noConversion"/>
  </si>
  <si>
    <t>41000587</t>
  </si>
  <si>
    <t>1100138300</t>
  </si>
  <si>
    <t>BCW Male Elbow PP Nut 페럴파손 LEAK</t>
    <phoneticPr fontId="7" type="noConversion"/>
  </si>
  <si>
    <t>BCW Male Elbow 40-6-4-P-PG Nut 페럴찢어짐으로 인한 Leak(페럴교체)</t>
    <phoneticPr fontId="7" type="noConversion"/>
  </si>
  <si>
    <t>QUICK COUPLER</t>
    <phoneticPr fontId="7" type="noConversion"/>
  </si>
  <si>
    <t>PCW Quick Coupler 테퓨론부 Leak</t>
  </si>
  <si>
    <t>허문용FNI</t>
  </si>
  <si>
    <t>41200047</t>
  </si>
  <si>
    <t>1110179500</t>
  </si>
  <si>
    <t>N2 Male Connector KQ2H08-03NS Teflon 체결부 Leak</t>
  </si>
  <si>
    <t>N2 Male Connector Teflon KQ2H08-03NS 체결부 Leak</t>
  </si>
  <si>
    <t>N.BE101A / PFA Tube 삽입부</t>
    <phoneticPr fontId="7" type="noConversion"/>
  </si>
  <si>
    <t>41200118</t>
  </si>
  <si>
    <t>O2 BULK HEAD UNION Fitting Nut LEAK(체결불량)</t>
    <phoneticPr fontId="7" type="noConversion"/>
  </si>
  <si>
    <t>O2 주입 Bulkhead Union Fitting Nut 미완체결 Leak</t>
  </si>
  <si>
    <t>N2 Purge MALE PIPE WELD ELBOW NUT 미완체결</t>
    <phoneticPr fontId="7" type="noConversion"/>
  </si>
  <si>
    <t>작업불량 미완체결</t>
    <phoneticPr fontId="7" type="noConversion"/>
  </si>
  <si>
    <t>N.PE130 / 우레탄Tube 삽입부</t>
  </si>
  <si>
    <t>41100435</t>
  </si>
  <si>
    <t>N2 REDUCING DOUBLE Y UNION(08) 삽입부 ELAK</t>
    <phoneticPr fontId="7" type="noConversion"/>
  </si>
  <si>
    <t>REDUCING DOUBLE Y UNION(PXG) 08 06  08Tube 삽입부 Leak</t>
  </si>
  <si>
    <t>41200033</t>
  </si>
  <si>
    <t>1100219800</t>
  </si>
  <si>
    <t>LNG 연결 N2 MALE BANJO PH 08-02 Tube 삽입부 불량</t>
    <phoneticPr fontId="7" type="noConversion"/>
  </si>
  <si>
    <t>41200096</t>
  </si>
  <si>
    <t>1100379400</t>
  </si>
  <si>
    <t>BALL VALVE 미체결</t>
    <phoneticPr fontId="7" type="noConversion"/>
  </si>
  <si>
    <t>배관 연결 BALL VALVE SS-BL-04TR-1(BLACK) 조립 누락</t>
    <phoneticPr fontId="7" type="noConversion"/>
  </si>
  <si>
    <t>이은학FNI</t>
  </si>
  <si>
    <t>41100334</t>
  </si>
  <si>
    <t>1100143400</t>
  </si>
  <si>
    <t>PCW(R) LINE Male Adapter 구리스 도포 부족</t>
    <phoneticPr fontId="7" type="noConversion"/>
  </si>
  <si>
    <t>PCW(R) Flow Sensor 하단부 Male Adapter MA12-12R 락타이트 도포 부 Leak</t>
  </si>
  <si>
    <t>N.SCR130 / 우레탄Tube 삽입부</t>
  </si>
  <si>
    <t>41200108</t>
  </si>
  <si>
    <t>1100727700</t>
  </si>
  <si>
    <t>N2 LINE UNEQUAL UNION Y BODY LEAK</t>
    <phoneticPr fontId="7" type="noConversion"/>
  </si>
  <si>
    <t>Union Y Fitting Body Leak</t>
  </si>
  <si>
    <t>제조(He미보증)</t>
    <phoneticPr fontId="7" type="noConversion"/>
  </si>
  <si>
    <t>N.V140B / PFA Tube 삽입부</t>
    <phoneticPr fontId="7" type="noConversion"/>
  </si>
  <si>
    <t>41100668</t>
  </si>
  <si>
    <t>Union Y 0806 08Tube 삽입부 Leak</t>
  </si>
  <si>
    <t>41200084</t>
  </si>
  <si>
    <t>1110092700</t>
  </si>
  <si>
    <t>O2 LINE Pnuematic Valve 역방향 조립</t>
    <phoneticPr fontId="7" type="noConversion"/>
  </si>
  <si>
    <t>O2 Pnuematic Valve VNB104AS-8A Pilot 역방향 조립</t>
  </si>
  <si>
    <t>1100886200</t>
  </si>
  <si>
    <t>SCREW SCRAPER</t>
  </si>
  <si>
    <t>N2 N.SCR-140 Screw Scrapper 반조 연결 PFA Tube Cutting 불량으로 Leak</t>
  </si>
  <si>
    <t>41200074</t>
  </si>
  <si>
    <t>PCW-R ADJUSTABLE ELBOW Fitting Nut Leak</t>
    <phoneticPr fontId="7" type="noConversion"/>
  </si>
  <si>
    <t>PCW-R ADJUSTABLE ELBOW Fitting Nut Ferrule 조립부 Leak (NUT, FERRULE 교체)</t>
    <phoneticPr fontId="7" type="noConversion"/>
  </si>
  <si>
    <t>OUT단 PFA Tube 삽입부</t>
    <phoneticPr fontId="7" type="noConversion"/>
  </si>
  <si>
    <t>YV106 / PFA Tube 삽입부(In)</t>
    <phoneticPr fontId="7" type="noConversion"/>
  </si>
  <si>
    <t>GPWS-0487</t>
    <phoneticPr fontId="7" type="noConversion"/>
  </si>
  <si>
    <t>PCW(R) Check Valve Out 단 연결 Male AdapterMA 12-12R 구리스 도포 부족</t>
    <phoneticPr fontId="7" type="noConversion"/>
  </si>
  <si>
    <t>1100031100</t>
  </si>
  <si>
    <t>PCW Flow Sensor OUT단 MALE CONNECTOR 구리스 도포 부족</t>
    <phoneticPr fontId="7" type="noConversion"/>
  </si>
  <si>
    <t>PCW(S) Flow Sensor  Out단 Male Connector 락타이트 부족</t>
  </si>
  <si>
    <t>PCW Flow Sensor IN단 MALE CONNECTOR 구리스 도포 부족</t>
    <phoneticPr fontId="7" type="noConversion"/>
  </si>
  <si>
    <t>PCW Flow Sensor In단 조립 MALE CONNECTOR MC12-12R 구리스 도포 부족 Leak</t>
  </si>
  <si>
    <t>1100020000</t>
  </si>
  <si>
    <t>PCW(R) LINE REDUCING UNION TEE Fitting Nut 체결불량</t>
    <phoneticPr fontId="7" type="noConversion"/>
  </si>
  <si>
    <t>PCW(R) REDUCING UNION TEE RT12-12-06 Fitting Nut 체결강도부족 Leak</t>
  </si>
  <si>
    <t>41200101</t>
  </si>
  <si>
    <t>Main N2 Male Connector KQ2H08-03NS Teflon 조립부 Leak ( Teflon 코팅 후 입고 파트)</t>
  </si>
  <si>
    <t>1120021700</t>
  </si>
  <si>
    <t>PUMP NUT 25A 체결불량</t>
    <phoneticPr fontId="7" type="noConversion"/>
  </si>
  <si>
    <t>PUMP NUT 25A 체결강도 부족 Leak</t>
  </si>
  <si>
    <t>1100013600</t>
  </si>
  <si>
    <t>UNION ELBOW UE06M Fitting Nut 체결불량 Leak</t>
  </si>
  <si>
    <t>1110017500</t>
  </si>
  <si>
    <t>Drain Line UNION NUT _20A_20A PP 내부 O-Ring 체결불량 Leak</t>
  </si>
  <si>
    <t>41200080</t>
  </si>
  <si>
    <t>1110047700</t>
  </si>
  <si>
    <t>ADJUSTABLE ELBOW Fitting Nut Leak(재작업)</t>
    <phoneticPr fontId="7" type="noConversion"/>
  </si>
  <si>
    <t>ADJUSTABLE ELBOW Fitting Nut Leak(갭게이지 이상 무 , 체결강도 이상 무)</t>
  </si>
  <si>
    <t>유승민FNI</t>
  </si>
  <si>
    <t>1110154900</t>
  </si>
  <si>
    <t>PLUG-IN REDUCER TRIPLE BRANCH</t>
  </si>
  <si>
    <t>PLUG-IN REDUCER TRIPLE BRANCH(08) 삽입부 Leak</t>
    <phoneticPr fontId="7" type="noConversion"/>
  </si>
  <si>
    <t>PLUG-IN REDUCER TRIPLE BRANCH Tube 삽입부 Leak</t>
  </si>
  <si>
    <t>N.V130P / OUT단 PFA Tube 삽입부</t>
    <phoneticPr fontId="7" type="noConversion"/>
  </si>
  <si>
    <t>N50 / IN단 우레탄 Tube 삽입부</t>
    <phoneticPr fontId="7" type="noConversion"/>
  </si>
  <si>
    <t>N2 CHECK VALVE Fitting Nut 미체결</t>
    <phoneticPr fontId="7" type="noConversion"/>
  </si>
  <si>
    <t>N2 Purge N.PE120 CHECK VALVE Fitting Nut 체결 누락</t>
  </si>
  <si>
    <t>41200119</t>
  </si>
  <si>
    <t>1100091600</t>
  </si>
  <si>
    <t>BCW 열교환기 연결 FEMALE ADAPTER Fitting Nut Leak / 체결 상태 이상 없음</t>
  </si>
  <si>
    <t>Main N2 Male Connector 테퓨론부 Leak / 파트 테퓨론 밀림 의심 , 테퓨론 추가작업 후 재조립</t>
  </si>
  <si>
    <t>N.V140B / OUT단 PFA Tube 삽입부</t>
    <phoneticPr fontId="7" type="noConversion"/>
  </si>
  <si>
    <t>41200027</t>
  </si>
  <si>
    <t>TEFLON GASKET</t>
  </si>
  <si>
    <t>N2 Pressure Sensor TEFLON GASKET Leak</t>
    <phoneticPr fontId="7" type="noConversion"/>
  </si>
  <si>
    <t>N2 Pressure Sensor TEFLON GASKET 사용 부 Leak / 재조립 후 이상없음 확인</t>
    <phoneticPr fontId="7" type="noConversion"/>
  </si>
  <si>
    <t>N10A / Out단 PFA Tube 삽입부</t>
    <phoneticPr fontId="7" type="noConversion"/>
  </si>
  <si>
    <t>N1A / Out단 PFA Tube 삽입부</t>
    <phoneticPr fontId="7" type="noConversion"/>
  </si>
  <si>
    <t>YV126 / In단 우레탄Tube 삽입부</t>
    <phoneticPr fontId="7" type="noConversion"/>
  </si>
  <si>
    <t>N2 LINE UNEQUAL UNION Y 삽입부 파손 LEAK(06)</t>
    <phoneticPr fontId="7" type="noConversion"/>
  </si>
  <si>
    <t>N2 UNEQUAL UNION Y0806 06튜브 삽입부 파손으로 인한 Leak</t>
  </si>
  <si>
    <t>1100012700</t>
  </si>
  <si>
    <t>PCW UNION ELBOW 08 Fitting Nut 체결 누락</t>
  </si>
  <si>
    <t>41200036</t>
  </si>
  <si>
    <t>1100618100</t>
  </si>
  <si>
    <t>125A Clamp 내부 O-Ring 이탈로 인한 Leak</t>
  </si>
  <si>
    <t>41100502</t>
  </si>
  <si>
    <t>N2 Male Connector Teflon 부 밀림으로 Leak 의심 , Teflon 추가 작업 후 재조립</t>
  </si>
  <si>
    <t>41100696</t>
  </si>
  <si>
    <t>1100233000</t>
  </si>
  <si>
    <t>BCW Male Elbow PP Nut 미페럴체결 LEAK</t>
    <phoneticPr fontId="7" type="noConversion"/>
  </si>
  <si>
    <t>MALE ELBOW Nut Tube 삽입불량 / Ferrule 재조립 후 가압 페럴없음</t>
    <phoneticPr fontId="7" type="noConversion"/>
  </si>
  <si>
    <t>한대성TMS</t>
  </si>
  <si>
    <t>PUMP NUT 25A 사선체결Leak</t>
  </si>
  <si>
    <t>1100257900</t>
  </si>
  <si>
    <t>UNION Y(08) Body Crack Leak</t>
    <phoneticPr fontId="7" type="noConversion"/>
  </si>
  <si>
    <t>UNION Y 08 Body Crack으로 Leak</t>
  </si>
  <si>
    <t>41200046</t>
  </si>
  <si>
    <t>REDUCER DOUBLE Y UNION 06Tube 삽입부 Leak</t>
  </si>
  <si>
    <t>GN2 BULK HEAD UNION Fitting Nut LEAK(재작업)</t>
    <phoneticPr fontId="7" type="noConversion"/>
  </si>
  <si>
    <t>GN2 주입 BULKHEAD UNION 08 하단부 Fittng Nut Leak / 재조립 시에도 동일증상으로 Nut 및 SUS TUBE교체</t>
  </si>
  <si>
    <t>1110082800</t>
  </si>
  <si>
    <t>MAGNETIC PUMP</t>
  </si>
  <si>
    <t>Pump Inlet 내부 Sealing 누락</t>
  </si>
  <si>
    <t>Sealing 파츠 장착 후 재조립</t>
  </si>
  <si>
    <t>41200025</t>
  </si>
  <si>
    <t>PD101 / OUT단 PFA Tube 삽입부</t>
    <phoneticPr fontId="7" type="noConversion"/>
  </si>
  <si>
    <t>N.V120B / IN단 PFA Tube 삽입부</t>
    <phoneticPr fontId="7" type="noConversion"/>
  </si>
  <si>
    <t>41100566</t>
  </si>
  <si>
    <t>1100579200</t>
  </si>
  <si>
    <t>AIR MODULE Tube 삽입부 Leak로 파트교체</t>
  </si>
  <si>
    <t>1100214300</t>
  </si>
  <si>
    <t>SWIRL GUIDE AIR NOZZLE O-RING 씹힘으로 Leak</t>
  </si>
  <si>
    <t>이대균TMS</t>
  </si>
  <si>
    <t>1100196600</t>
  </si>
  <si>
    <t>UNION TEE Fitting Nut (PP) Tube 삽입불량 LEAK</t>
    <phoneticPr fontId="7" type="noConversion"/>
  </si>
  <si>
    <t>CIR WATER LINE UNION TEE Fitting Nut (PP) Tube 삽입불량 LEAK</t>
  </si>
  <si>
    <t>41200120</t>
  </si>
  <si>
    <t>REDUCING DOUBLE Y UNION(PXG)0806 06Tube 삽입부 Leak 3point</t>
  </si>
  <si>
    <t>1310538000</t>
  </si>
  <si>
    <t>INLET PIPE SCRAPER01</t>
  </si>
  <si>
    <t>Pipe Body Crack으로 인한 Leak 발생</t>
  </si>
  <si>
    <t>N2 REDUCING DOUBLE Y UNION(08) PFA튜브 삽입부 ELAK</t>
    <phoneticPr fontId="7" type="noConversion"/>
  </si>
  <si>
    <t>N2 REDUCING DOUBLE Y UNION0806 08 PFA Tube 삽입부 불량 Leak</t>
  </si>
  <si>
    <t>GN2 BULK HEAD UNION Fitting Nut LEAK(체결불량)</t>
    <phoneticPr fontId="7" type="noConversion"/>
  </si>
  <si>
    <t>GN2 BULK HEAD UNION 하단부 Fitting Nut 미완체결</t>
  </si>
  <si>
    <t>N.V140B / Out단 우레탄Tube 삽입부</t>
    <phoneticPr fontId="7" type="noConversion"/>
  </si>
  <si>
    <t>N2 LINE UNEQUAL UNION Y 삽입부 LEAK(06)</t>
    <phoneticPr fontId="7" type="noConversion"/>
  </si>
  <si>
    <t>UNEQUAL UNION Y0806 06튜브 삽입부 Leak</t>
  </si>
  <si>
    <t>1100258000</t>
  </si>
  <si>
    <t>UNION Y(10) 삽입부 Leak</t>
    <phoneticPr fontId="7" type="noConversion"/>
  </si>
  <si>
    <t>UNION Y 10 우레탄튜브 삽입부 Leak</t>
  </si>
  <si>
    <t>41100697</t>
  </si>
  <si>
    <t>1110226000</t>
  </si>
  <si>
    <t>KEY OPERATION VALVE Fitting Nut Ferrule 삽입불량 Leak</t>
    <phoneticPr fontId="7" type="noConversion"/>
  </si>
  <si>
    <t>KEY OPERATION VALVE Fitting Nut Ferrule 삽입불량 Leak</t>
  </si>
  <si>
    <t>1100839700</t>
  </si>
  <si>
    <t>MALE CONNECTOR FITTING NUT Ferrule 찢어짐 Leak</t>
  </si>
  <si>
    <t>41000598</t>
  </si>
  <si>
    <t>MALE CONNECTOR JACO FITTING NUT 체결불량</t>
    <phoneticPr fontId="7" type="noConversion"/>
  </si>
  <si>
    <t>Sensor Box 연결 Jaco Fitting Nut 체결 강도 부족 Leak</t>
  </si>
  <si>
    <t>REDUCING DOUBLE Y UNION 0806 06 우레탄튜브 삽입부 Leak</t>
    <phoneticPr fontId="7" type="noConversion"/>
  </si>
  <si>
    <t>REDUCER Y(12) 삽입부 Leak</t>
    <phoneticPr fontId="7" type="noConversion"/>
  </si>
  <si>
    <t>REDUCER Y 12우레탄튜브 삽입부 Leak</t>
  </si>
  <si>
    <t>N.V150B / Out단 PFA Tube 삽입부</t>
    <phoneticPr fontId="7" type="noConversion"/>
  </si>
  <si>
    <t>PD101 / Out 단 우레탄튜브 삽입부</t>
    <phoneticPr fontId="7" type="noConversion"/>
  </si>
  <si>
    <t>N.V120P / In 단 우레탄튜브 삽입부</t>
    <phoneticPr fontId="7" type="noConversion"/>
  </si>
  <si>
    <t>강장춘FNI</t>
  </si>
  <si>
    <t>N.PE101A / In 단 우레탄튜브 삽입부</t>
    <phoneticPr fontId="7" type="noConversion"/>
  </si>
  <si>
    <t>1100408200</t>
  </si>
  <si>
    <t>N2 BALL VALVE 역방향 조립</t>
  </si>
  <si>
    <t>41000589</t>
  </si>
  <si>
    <t>1100616800</t>
  </si>
  <si>
    <t>CHAIN CLAMP</t>
  </si>
  <si>
    <t>CHAIN CLAMP 체결강도 부족 Leak</t>
  </si>
  <si>
    <t>1100676900</t>
  </si>
  <si>
    <t>Quench Flange 삽입 O-Ring 씹힘 Leak</t>
    <phoneticPr fontId="7" type="noConversion"/>
  </si>
  <si>
    <t>재조립</t>
  </si>
  <si>
    <t>G11 / Out 단 PFA 삽입부</t>
    <phoneticPr fontId="7" type="noConversion"/>
  </si>
  <si>
    <t>41200137</t>
  </si>
  <si>
    <t>1110005800</t>
  </si>
  <si>
    <t>LED 정상 점등되나 Flow 미작동</t>
  </si>
  <si>
    <t>1110143900</t>
  </si>
  <si>
    <t>FLEXIBLE TUBE</t>
  </si>
  <si>
    <t>O2 FLEXIBLE TUBE 미완체결</t>
    <phoneticPr fontId="7" type="noConversion"/>
  </si>
  <si>
    <t>O2 FLEXIBLE TUBE 버너부 체결 누락</t>
  </si>
  <si>
    <t>1110224700</t>
  </si>
  <si>
    <t>REDUCING UNION Y</t>
  </si>
  <si>
    <t>REDUCING UNION Y(12) 튜브 꺾임 Leak</t>
    <phoneticPr fontId="7" type="noConversion"/>
  </si>
  <si>
    <t>REDUCING UNION Y 1012 12부 튜브 꺾임으로 Leak / 곡률반경 초과</t>
  </si>
  <si>
    <t>41200048</t>
  </si>
  <si>
    <t>Exhaust Flange 틀어짐으로 CLAMP 부 Leak</t>
  </si>
  <si>
    <t>41200125</t>
  </si>
  <si>
    <t>N.BE101 / Out 단 우레탄튜브 삽입부</t>
    <phoneticPr fontId="7" type="noConversion"/>
  </si>
  <si>
    <t>41200124</t>
  </si>
  <si>
    <t>N.V120B / Out 단 우레탄튜브 삽입부</t>
    <phoneticPr fontId="7" type="noConversion"/>
  </si>
  <si>
    <t>GN2 BULKHEAD UNION(08) OUT단 Fittng Nut LEAK</t>
    <phoneticPr fontId="7" type="noConversion"/>
  </si>
  <si>
    <t>GN2 주입 BULKHEAD UNION 08 하단부 Fittng Nut Leak 체결강도부족</t>
  </si>
  <si>
    <t>1100366400</t>
  </si>
  <si>
    <t>BYPASS#4 3Wayvalve CLAMP 체결불량 Leak</t>
  </si>
  <si>
    <t>PCW-R ADJUSTABLE ELBOW Fitting Nut 미완체결</t>
    <phoneticPr fontId="7" type="noConversion"/>
  </si>
  <si>
    <t>ADJUSTABLE ELBOW Fitting Nut 미완체결</t>
    <phoneticPr fontId="7" type="noConversion"/>
  </si>
  <si>
    <t>1300136900</t>
  </si>
  <si>
    <t>LEVEL SENSOR P.P NUT 체결불량</t>
    <phoneticPr fontId="7" type="noConversion"/>
  </si>
  <si>
    <t>LEVEL SENSOR NUT 체결 Leak</t>
    <phoneticPr fontId="7" type="noConversion"/>
  </si>
  <si>
    <t>LEVEL SENSOR P.P NUT 체결불량</t>
  </si>
  <si>
    <t>SCR110A / Out 단 PFA튜브 삽입부</t>
    <phoneticPr fontId="7" type="noConversion"/>
  </si>
  <si>
    <t>41200121</t>
  </si>
  <si>
    <t>N1 / Out 단 PFA튜브 삽입부</t>
    <phoneticPr fontId="7" type="noConversion"/>
  </si>
  <si>
    <t>UNION Y(08) 상단 우측 삽입부 Leak</t>
    <phoneticPr fontId="7" type="noConversion"/>
  </si>
  <si>
    <t>UNION Y 08 우레탄튜브 삽입부 Leak</t>
  </si>
  <si>
    <t>1100258100</t>
  </si>
  <si>
    <t>UNION Y(12) 하단 삽입부 Leak</t>
    <phoneticPr fontId="7" type="noConversion"/>
  </si>
  <si>
    <t>UNION Y 12 TUBE SPLICER 체결부 Leak</t>
  </si>
  <si>
    <t>1100300100</t>
  </si>
  <si>
    <t>DRAIN Line Nut 내부 O-ring 씹힘으로 Leak</t>
  </si>
  <si>
    <t>N.V140PA / Out 단 PFA튜브 삽입부</t>
    <phoneticPr fontId="7" type="noConversion"/>
  </si>
  <si>
    <t>N.V160B / Out 단 PFA튜브 삽입부</t>
    <phoneticPr fontId="7" type="noConversion"/>
  </si>
  <si>
    <t>N.PE140 / Out 단 PFA튜브 삽입부</t>
    <phoneticPr fontId="7" type="noConversion"/>
  </si>
  <si>
    <t>41200123</t>
  </si>
  <si>
    <t>O-ring 조립 불량</t>
    <phoneticPr fontId="7" type="noConversion"/>
  </si>
  <si>
    <t>DRAIN Line Nut 내부 O-ring 조립 불량으로 Leak</t>
  </si>
  <si>
    <t>N12 / Out 단 PFA튜브 삽입부</t>
    <phoneticPr fontId="7" type="noConversion"/>
  </si>
  <si>
    <t>41100695</t>
  </si>
  <si>
    <t>1100007200</t>
  </si>
  <si>
    <t>DRAIN FILLTER BOX 체결부 O-RING 조립 불량으로 인한 Leak</t>
  </si>
  <si>
    <t>1100261500</t>
  </si>
  <si>
    <t>REDUCER Y(06) 삽입부 Leak</t>
    <phoneticPr fontId="7" type="noConversion"/>
  </si>
  <si>
    <t>REDUCER Y 06 Tube 삽입부 내부 이물집 삽입 Leak</t>
  </si>
  <si>
    <t>N.V140P /  Out 단 PFA튜브 삽입부</t>
    <phoneticPr fontId="7" type="noConversion"/>
  </si>
  <si>
    <t>N.PE110 / Out 단 PFA튜브 삽입부</t>
    <phoneticPr fontId="7" type="noConversion"/>
  </si>
  <si>
    <t>MALE ELBOW Jaco Fitting Nut Tube 삽입 정도부족 Leak</t>
  </si>
  <si>
    <t>1100196400</t>
  </si>
  <si>
    <t>N.V120PA / Out 단 PFA튜브 삽입부</t>
    <phoneticPr fontId="7" type="noConversion"/>
  </si>
  <si>
    <t>41100564</t>
  </si>
  <si>
    <t>MALE BANJO 삽입 우레탄튜브 CUTTING 불량</t>
  </si>
  <si>
    <t>1100012400</t>
  </si>
  <si>
    <t>UNION ELBOW Tube 삽입 불량 Leak(Ferrule 덜물림)</t>
    <phoneticPr fontId="7" type="noConversion"/>
  </si>
  <si>
    <t>PAB SENSOR 연결 UNION ELBOW Tube 삽입 정도 불량 Leak(Ferrule 덜물림)</t>
  </si>
  <si>
    <t>N.V150B / Out 단 PFA튜브 삽입부</t>
    <phoneticPr fontId="7" type="noConversion"/>
  </si>
  <si>
    <t>1100637600</t>
  </si>
  <si>
    <t>BAND CLAMP</t>
  </si>
  <si>
    <t>BAND CLAMP 체결불량</t>
    <phoneticPr fontId="7" type="noConversion"/>
  </si>
  <si>
    <t>BAND CLAMP 사선 체결 Leak</t>
    <phoneticPr fontId="7" type="noConversion"/>
  </si>
  <si>
    <t>1100188100</t>
  </si>
  <si>
    <t>MALE STRAIGHT 삽입 우레탄튜브 CUTTING 불량</t>
  </si>
  <si>
    <t>41200122</t>
  </si>
  <si>
    <t>1100020100</t>
  </si>
  <si>
    <t>REDUCING UNION TEE PFA 삽입 Fitting Nut 미완체결 Leak</t>
  </si>
  <si>
    <t>PD122 / Out 단 PFA튜브 삽입부</t>
    <phoneticPr fontId="7" type="noConversion"/>
  </si>
  <si>
    <t>YV108 / Out 단 PFA튜브 삽입부</t>
    <phoneticPr fontId="7" type="noConversion"/>
  </si>
  <si>
    <t>PCW-S BULKHEAD UNION(10) IN단 Fitting Nut Leak</t>
    <phoneticPr fontId="7" type="noConversion"/>
  </si>
  <si>
    <t>PCW-S BULKHEAD Fitting Nut IN단 Fitting Nut 체결강도부족 Leak</t>
  </si>
  <si>
    <t>N2 Purge Checkvalve Fitting Nut Leak</t>
    <phoneticPr fontId="7" type="noConversion"/>
  </si>
  <si>
    <t>INLET#3 RIGHT N2 Purge Checkvalve Fitting Nut 체결강도부족 Leak</t>
    <phoneticPr fontId="7" type="noConversion"/>
  </si>
  <si>
    <t>PCW-S UNION ELBOW IN단 Fitting Nut 체결불량</t>
    <phoneticPr fontId="7" type="noConversion"/>
  </si>
  <si>
    <t>PCW-S UNION ELBOW IN단 Fitting Nut 체결강도부족 Leak</t>
  </si>
  <si>
    <t>1100364300</t>
  </si>
  <si>
    <t>SPRINKLER Teflon 작업부 Leak</t>
  </si>
  <si>
    <t>41200034</t>
  </si>
  <si>
    <t>1100220100</t>
  </si>
  <si>
    <t>Regulator 체결 MALE BANJO 체결부 LEAK / MALE BANJO PH10-02 Regulator 체결부 Leak</t>
    <phoneticPr fontId="7" type="noConversion"/>
  </si>
  <si>
    <t>DBW-3641</t>
    <phoneticPr fontId="7" type="noConversion"/>
  </si>
  <si>
    <t>DRAGON AB</t>
    <phoneticPr fontId="7" type="noConversion"/>
  </si>
  <si>
    <t>TMS 기구</t>
    <phoneticPr fontId="7" type="noConversion"/>
  </si>
  <si>
    <t>P&amp;S 전장</t>
    <phoneticPr fontId="7" type="noConversion"/>
  </si>
  <si>
    <t>가압검사</t>
    <phoneticPr fontId="7" type="noConversion"/>
  </si>
  <si>
    <t>1100194700</t>
  </si>
  <si>
    <t>MALE ELBOW (SUS)</t>
  </si>
  <si>
    <t>N2 MALE ELBOW Teflon 부족</t>
  </si>
  <si>
    <t>Main N2 MALE ELBOW PL10-02 Teflon 조립부 Leak (Teflon 코팅 후 입고파트)</t>
    <phoneticPr fontId="7" type="noConversion"/>
  </si>
  <si>
    <t>GBWS-5576</t>
    <phoneticPr fontId="7" type="noConversion"/>
  </si>
  <si>
    <t>41100338</t>
  </si>
  <si>
    <t>BAT 기구</t>
    <phoneticPr fontId="7" type="noConversion"/>
  </si>
  <si>
    <t>1100012200</t>
  </si>
  <si>
    <t>PCW Bunner 연결부 UNION ELBOW Fitting Nut LEAK</t>
    <phoneticPr fontId="7" type="noConversion"/>
  </si>
  <si>
    <t>UNION ELBOW 04 Fitting Nut 체결강도부족 Leak</t>
    <phoneticPr fontId="7" type="noConversion"/>
  </si>
  <si>
    <t>Right</t>
    <phoneticPr fontId="7" type="noConversion"/>
  </si>
  <si>
    <t>1110066000</t>
  </si>
  <si>
    <t>O-Ring 조립 불량</t>
  </si>
  <si>
    <t>Level Sensor 내부 O-Ring 조립 불량으로 Leak</t>
    <phoneticPr fontId="7" type="noConversion"/>
  </si>
  <si>
    <t>1100020500</t>
  </si>
  <si>
    <t xml:space="preserve">REDUCING UNION TEE(06M) Fitting Nut Leak </t>
  </si>
  <si>
    <t>N.PE140 PFA 튜브 삽입부 Fitting Nut 체결강도부족 Leak</t>
    <phoneticPr fontId="7" type="noConversion"/>
  </si>
  <si>
    <t>허청학BAT</t>
  </si>
  <si>
    <t>UNION ELBOW Fitting Nut Leak</t>
  </si>
  <si>
    <t>BYPASS#4 PE140 PFA 튜브 삽입부 Fitting Nut 체결강도부족 Leak</t>
    <phoneticPr fontId="7" type="noConversion"/>
  </si>
  <si>
    <t>N.PE110 Out 단 PFA튜브 삽입부</t>
    <phoneticPr fontId="7" type="noConversion"/>
  </si>
  <si>
    <t>N.V130A Out 단 PFA튜브 삽입부</t>
    <phoneticPr fontId="7" type="noConversion"/>
  </si>
  <si>
    <t>N.V110P Out 단 PFA튜브 삽입부</t>
  </si>
  <si>
    <t>FNI 기구</t>
    <phoneticPr fontId="7" type="noConversion"/>
  </si>
  <si>
    <t>TMS 전장</t>
    <phoneticPr fontId="7" type="noConversion"/>
  </si>
  <si>
    <t>CDA Male Connector Teflon 부족</t>
    <phoneticPr fontId="7" type="noConversion"/>
  </si>
  <si>
    <t>CDA Male Connector Teflon 부족 / Main CDA Male Connector 테퓨론부 Leak / 파트 테퓨론 밀림 의심 , 테퓨론 추가작업 후 재조립</t>
    <phoneticPr fontId="8" type="noConversion"/>
  </si>
  <si>
    <t>MALE ELBOW JACO FITTING NUT 체결불량</t>
    <phoneticPr fontId="7" type="noConversion"/>
  </si>
  <si>
    <t>Manifold 연결 MALE ELBOW KQ2H08-03NS Jaco Fitting Nut 체결 강도 부족 Leak</t>
    <phoneticPr fontId="7" type="noConversion"/>
  </si>
  <si>
    <t>O-Ring 조립 불량</t>
    <phoneticPr fontId="7" type="noConversion"/>
  </si>
  <si>
    <t>Level Sensor 내부 O-Ring G50 조립 불량으로 Leak</t>
    <phoneticPr fontId="7" type="noConversion"/>
  </si>
  <si>
    <t>O-Ring 변형</t>
    <phoneticPr fontId="7" type="noConversion"/>
  </si>
  <si>
    <t>Swirl Guide 후면부 Nozzle 체결부 체결볼트 과체결로 O-ring  P14 FKM 변형 Leak</t>
    <phoneticPr fontId="7" type="noConversion"/>
  </si>
  <si>
    <t>Swirl Guide 전면부 Nozzle 체결부 체결볼트 과체결로 O-ring P14 FKM 변형 Leak</t>
    <phoneticPr fontId="7" type="noConversion"/>
  </si>
  <si>
    <t>1100042400</t>
  </si>
  <si>
    <t>Bunner GAS Nozzle Top 체결부 O-Ring AS568 119 FKM 씹힘 Leak</t>
    <phoneticPr fontId="7" type="noConversion"/>
  </si>
  <si>
    <t>Swirl Guide 후면부 Nozzle 체결부 체결볼트 과체결로 O-ring P14 FKM 변형 Leak</t>
    <phoneticPr fontId="7" type="noConversion"/>
  </si>
  <si>
    <t>C&amp;A 전장</t>
    <phoneticPr fontId="7" type="noConversion"/>
  </si>
  <si>
    <t>1100064100</t>
  </si>
  <si>
    <t>PCW-S MALE ELBOW Teflon 부족</t>
    <phoneticPr fontId="7" type="noConversion"/>
  </si>
  <si>
    <t>Heat Exchanger 조립 PCW-S IN단 MALE ELBOW ME08-08R 테퓨론부족 Leak</t>
    <phoneticPr fontId="7" type="noConversion"/>
  </si>
  <si>
    <t>박춘광FNI</t>
  </si>
  <si>
    <t>MALE ELBOW JACO FITTING NUT Leak</t>
    <phoneticPr fontId="7" type="noConversion"/>
  </si>
  <si>
    <t>Manifold 연결 MALE ELBOW KQ2H08-03NS Jaco Fitting Nut Leak / 재조립</t>
    <phoneticPr fontId="7" type="noConversion"/>
  </si>
  <si>
    <t>최윤철P&amp;S</t>
  </si>
  <si>
    <t>MALE ELBOW JACO FITTING NUT 나사산파손</t>
    <phoneticPr fontId="7" type="noConversion"/>
  </si>
  <si>
    <t>Manifold 연결 MALE ELBOW KQ2H08-03NS Jaco Fitting Nut 과체결로 나사산파손</t>
    <phoneticPr fontId="7" type="noConversion"/>
  </si>
  <si>
    <t>N2 REDUCING DOUBLE Y UNION 08 우레탄튜브 삽입부 Leak</t>
    <phoneticPr fontId="7" type="noConversion"/>
  </si>
  <si>
    <t>REDUCING DOUBLE Y UNION PXG 08-06 08 우레탄튜브 삽입불량 Leak</t>
  </si>
  <si>
    <t>41200039</t>
  </si>
  <si>
    <t>NUT</t>
    <phoneticPr fontId="7" type="noConversion"/>
  </si>
  <si>
    <t>Level Sensor 체결 Nut Leak</t>
    <phoneticPr fontId="7" type="noConversion"/>
  </si>
  <si>
    <t>Level Sensor 체결 Nut G2 1/4 PP(WHITE) Leak  / TMS 모듈 가압시 이상없음 확인, 가압공정 재체결</t>
    <phoneticPr fontId="7" type="noConversion"/>
  </si>
  <si>
    <t>41200147</t>
  </si>
  <si>
    <t>UNION TEE Fitting Nut Leak</t>
  </si>
  <si>
    <t>UNION TEE 70-8-K-PG 하단 JACO Fitting Nut 체결강도부족 , 가압 시 탈거 후 원복누락</t>
    <phoneticPr fontId="7" type="noConversion"/>
  </si>
  <si>
    <t>1100230800</t>
  </si>
  <si>
    <t xml:space="preserve">O-Ring 씹힘 </t>
  </si>
  <si>
    <t>Temp Sensor SOKET 체결 O-RING AS568 015 씹힘 Leak</t>
    <phoneticPr fontId="7" type="noConversion"/>
  </si>
  <si>
    <t>TANK BODY</t>
  </si>
  <si>
    <t>Tank 가공면 상태 불량으로 Leak 발생</t>
  </si>
  <si>
    <t>현장 조치(가공면 재작업 및 O-ring 교체)</t>
  </si>
  <si>
    <t>MALE ELBOW JACO FITTING NUT Leak</t>
  </si>
  <si>
    <t xml:space="preserve"> Manifold 연결 MALE ELBOW KQ2H08-03NS Jaco Fitting Nut Leak / 재조립</t>
    <phoneticPr fontId="7" type="noConversion"/>
  </si>
  <si>
    <t>1100527400</t>
  </si>
  <si>
    <t>TUBE SPLICER</t>
  </si>
  <si>
    <t>TUBE SPLICER 삽입부 Leak</t>
    <phoneticPr fontId="7" type="noConversion"/>
  </si>
  <si>
    <t>TUBE SPLICER PU12 Leak / 재조립 후 이상 없음 확인</t>
    <phoneticPr fontId="7" type="noConversion"/>
  </si>
  <si>
    <t>1100019700</t>
  </si>
  <si>
    <t>O2 Line REDUCING UNION TEE Fitting Nut Leak</t>
    <phoneticPr fontId="7" type="noConversion"/>
  </si>
  <si>
    <t>O2 Line REDUCING UNION TEE RT08-08-04 04 Fitting Nut 미완체결 Leak</t>
    <phoneticPr fontId="7" type="noConversion"/>
  </si>
  <si>
    <t>1100019800</t>
  </si>
  <si>
    <t>LNG Line REDUCING UNION TEE Fitting Nut Leak</t>
  </si>
  <si>
    <t>LNG Line REDUCING UNION TEE RT08-08-06 06Fitting Nut 미완체결 Leak</t>
    <phoneticPr fontId="7" type="noConversion"/>
  </si>
  <si>
    <t xml:space="preserve">N2 REDUCING DOUBLE Y UNION 06 우레탄튜브 삽입부 Leak </t>
    <phoneticPr fontId="7" type="noConversion"/>
  </si>
  <si>
    <t>REDUCING DOUBLE Y UNION PXG 08-06 06 우레탄튜브 삽입부 내부 O-Ring 이탈</t>
    <phoneticPr fontId="7" type="noConversion"/>
  </si>
  <si>
    <t>41200149</t>
  </si>
  <si>
    <t>CDA 주입 BULKHEAD UNION 하단부 Fitting Nut Leak</t>
    <phoneticPr fontId="7" type="noConversion"/>
  </si>
  <si>
    <t>CDA 주입 BULKHEAD UNION BU 08 하단부 Fitting Nut Leak</t>
    <phoneticPr fontId="7" type="noConversion"/>
  </si>
  <si>
    <t>41000585</t>
  </si>
  <si>
    <t>1100196200</t>
  </si>
  <si>
    <t>MALE ELBOW JACO Fitting Nut Leak</t>
    <phoneticPr fontId="7" type="noConversion"/>
  </si>
  <si>
    <t>MALE ELBOW 40-8-6-K-PG Fitting Nut Leak / 이동 및 조립과정 중 풀림 의심</t>
    <phoneticPr fontId="7" type="noConversion"/>
  </si>
  <si>
    <t>N2 TUBE SPLICER PU 12 삽입부 Leak</t>
    <phoneticPr fontId="7" type="noConversion"/>
  </si>
  <si>
    <t>Diaphram Valve 간섭으로 인한 틀어짐 의심</t>
    <phoneticPr fontId="7" type="noConversion"/>
  </si>
  <si>
    <t>41200113</t>
  </si>
  <si>
    <t>N.SCR-130A IN 단 우레탄튜브 삽입부</t>
    <phoneticPr fontId="7" type="noConversion"/>
  </si>
  <si>
    <t>N.SCR-110 IN 단 우레탄튜브 삽입부</t>
    <phoneticPr fontId="7" type="noConversion"/>
  </si>
  <si>
    <t xml:space="preserve">Speed Controller Leak (우레탄) </t>
    <phoneticPr fontId="7" type="noConversion"/>
  </si>
  <si>
    <t>N.SCR-130 IN 단 우레탄튜브 삽입부</t>
    <phoneticPr fontId="7" type="noConversion"/>
  </si>
  <si>
    <t>N.PE700 Out 단 우레탄튜브 삽입부</t>
    <phoneticPr fontId="7" type="noConversion"/>
  </si>
  <si>
    <t>N.120B IN 단 우레탄튜브 삽입부</t>
    <phoneticPr fontId="7" type="noConversion"/>
  </si>
  <si>
    <t>N.SCR-120BA IN 단 우레탄튜브 삽입부</t>
    <phoneticPr fontId="7" type="noConversion"/>
  </si>
  <si>
    <t>GBWS-5590</t>
  </si>
  <si>
    <t>41200055</t>
  </si>
  <si>
    <t>GAIA-ADVANCE</t>
  </si>
  <si>
    <t>1110077600</t>
  </si>
  <si>
    <t>ADJUSTABLE ELBOW Fitting Nut 미완체결 Leak</t>
    <phoneticPr fontId="7" type="noConversion"/>
  </si>
  <si>
    <t>PCW-S 열교환기 연결 ADJUSTABLE ELBOW 08 Fitting Nut 미완체결 Leak</t>
    <phoneticPr fontId="7" type="noConversion"/>
  </si>
  <si>
    <t xml:space="preserve">CHAIN CLAMP 체결부 Leak </t>
    <phoneticPr fontId="7" type="noConversion"/>
  </si>
  <si>
    <t>QUENCH TEE , COOLING BODY 연결 CHAIN CLAMP NW125-CC 체결부 Leak / 이동 과정에서 틀어짐 의심</t>
    <phoneticPr fontId="7" type="noConversion"/>
  </si>
  <si>
    <t>PCW-S 주입 BULKHEAD UNION Fitting Nut Leak</t>
    <phoneticPr fontId="7" type="noConversion"/>
  </si>
  <si>
    <t>PCW-S 주입 BULKHEAD UNION BU 12 하단부 Fitting Nut Leak</t>
    <phoneticPr fontId="7" type="noConversion"/>
  </si>
  <si>
    <t>N.PE140 Out 단 PFA튜브 삽입부</t>
    <phoneticPr fontId="7" type="noConversion"/>
  </si>
  <si>
    <t>1100064000</t>
  </si>
  <si>
    <t>FITTING_TUBE FITTING_MALE ELBOW</t>
  </si>
  <si>
    <t>MALE ELBOW Fitting Nut Leak</t>
    <phoneticPr fontId="7" type="noConversion"/>
  </si>
  <si>
    <t>Sensor Plate 조립 BCW MALE ELBOW 08-06R Fitting Nut 체결강도 부족 Leak</t>
    <phoneticPr fontId="7" type="noConversion"/>
  </si>
  <si>
    <t>41000516</t>
  </si>
  <si>
    <t>1100030300</t>
  </si>
  <si>
    <t>MALE CONNECTOR Fitting Nut Leak</t>
    <phoneticPr fontId="7" type="noConversion"/>
  </si>
  <si>
    <t>Flow Sensor FD530A IN단 MALE CONNECTOR 08-06R Fitting Nut 체결강도 부족 Leak</t>
    <phoneticPr fontId="7" type="noConversion"/>
  </si>
  <si>
    <t>41200131</t>
  </si>
  <si>
    <t xml:space="preserve">KEY OPERATION VALVE Leak </t>
    <phoneticPr fontId="7" type="noConversion"/>
  </si>
  <si>
    <t>CDA KEY OPERATION VALVE V81C-D-6T-KB-S Fitting Nut Leak</t>
    <phoneticPr fontId="7" type="noConversion"/>
  </si>
  <si>
    <t>REDUCING Fitting Nut Leak</t>
  </si>
  <si>
    <t>O2 REDUCING UNION TEE RT08-08-04 08 Fitting Nut 체결강도 부족 Leak</t>
    <phoneticPr fontId="7" type="noConversion"/>
  </si>
  <si>
    <t>41200157</t>
  </si>
  <si>
    <t>FEMALE CONNECTOR Fitting Nut Leak</t>
    <phoneticPr fontId="7" type="noConversion"/>
  </si>
  <si>
    <t xml:space="preserve"> HeatExchanger 연결 PCW-R FEMALE CONNECTOR FC08-12R Fitting Nut 체결강도 부족 Leak</t>
    <phoneticPr fontId="7" type="noConversion"/>
  </si>
  <si>
    <t>41200156</t>
  </si>
  <si>
    <t>1310609300</t>
  </si>
  <si>
    <t>TEE PIPE WELD ASSY Fitting Nut Leak</t>
  </si>
  <si>
    <t>PCW-S TEE PIPE WELD ASSY 상단 우측 Fitting Nut Leak , 체결강도 이상없음 /
재체결 후에도 Leak 발생으로 11100477 ADJUST ELBOW 파트교체</t>
  </si>
  <si>
    <t>41200129</t>
  </si>
  <si>
    <t>N.V140B Out 단 PFA튜브 삽입부 내부 Packing 씹힘</t>
    <phoneticPr fontId="7" type="noConversion"/>
  </si>
  <si>
    <t>N.SCR-130A Out 단 PFA튜브 삽입부 내부 Packing 씹힘</t>
    <phoneticPr fontId="7" type="noConversion"/>
  </si>
  <si>
    <t>박주성FNI</t>
  </si>
  <si>
    <t>N.V140PA In 단 우레탄튜브 삽입부 내부 Packing 씹힘</t>
    <phoneticPr fontId="7" type="noConversion"/>
  </si>
  <si>
    <t>REDUCING DOUBLE Y UNION PXG 08-06 06 (4) 우레탄튜브 삽입부 내부 O-ring 이탈</t>
    <phoneticPr fontId="7" type="noConversion"/>
  </si>
  <si>
    <t>Body Leak</t>
  </si>
  <si>
    <t xml:space="preserve">N2 REDUCING DOUBLE Y UNION 06 PFA튜브 삽입부 Leak </t>
    <phoneticPr fontId="7" type="noConversion"/>
  </si>
  <si>
    <t>REDUCING DOUBLE Y UNION PXG 08-06 06 (4) N.V110B PFA튜브 삽입부 Leak</t>
    <phoneticPr fontId="7" type="noConversion"/>
  </si>
  <si>
    <t>41200136</t>
  </si>
  <si>
    <t>1100196300</t>
  </si>
  <si>
    <t>MALE ELBOW Teflon 부족 Leak</t>
  </si>
  <si>
    <t>전면부 Swril Guide 조립 MALE ELBOW 40-6-4-K-PG Teflon 부족 Leak</t>
    <phoneticPr fontId="7" type="noConversion"/>
  </si>
  <si>
    <t xml:space="preserve">Speed Controller Leak (PFA) </t>
    <phoneticPr fontId="7" type="noConversion"/>
  </si>
  <si>
    <t>N4A Out 단 PFA튜브 삽입부 내부 Packing 씹힘</t>
    <phoneticPr fontId="7" type="noConversion"/>
  </si>
  <si>
    <t>N.PE120 Out 단 PFA튜브 삽입부 내부 Packing 씹힘</t>
    <phoneticPr fontId="7" type="noConversion"/>
  </si>
  <si>
    <t xml:space="preserve">MALE BANJO 우레탄튜브 삽입부 Leak </t>
    <phoneticPr fontId="7" type="noConversion"/>
  </si>
  <si>
    <t>MALE BANJO GPH8-41 우레탄튜브 삽입부 내부 이물질로 인한 Leak</t>
    <phoneticPr fontId="7" type="noConversion"/>
  </si>
  <si>
    <t>REDUCING DOUBLE Y UNION PXG 08-06 06 (3) 우레탄튜브 삽입부 Leak</t>
    <phoneticPr fontId="7" type="noConversion"/>
  </si>
  <si>
    <t xml:space="preserve">N2 REDUCING DOUBLE Y UNION 06 우레탄튜브 삽입부 Leak </t>
  </si>
  <si>
    <t>REDUCING DOUBLE Y UNION PXG 08-06 06 (3) 우레탄튜브 삽입부 Leak</t>
  </si>
  <si>
    <t xml:space="preserve">MALE BANJO 나사산 체결부 Feflon 부 Leak </t>
    <phoneticPr fontId="7" type="noConversion"/>
  </si>
  <si>
    <t>MALE BANJO PH10-02 PT 나사산 체결부 Leak , MALE BANJO 교체</t>
    <phoneticPr fontId="7" type="noConversion"/>
  </si>
  <si>
    <t>SCREW SCRAPPER N2 Purge 라인 BANJO PFA Tube 삽입부 Leak</t>
    <phoneticPr fontId="7" type="noConversion"/>
  </si>
  <si>
    <t>SCREW SCRAPPER N2 Purge BANJO PFA Tube 삽입부 Leak</t>
    <phoneticPr fontId="7" type="noConversion"/>
  </si>
  <si>
    <t xml:space="preserve">SPRINKLER Teflon 작업부 Leak
</t>
    <phoneticPr fontId="7" type="noConversion"/>
  </si>
  <si>
    <t>SPRINKLER PT부 Teflon 체결부 Leak , Teflon 재작업</t>
    <phoneticPr fontId="7" type="noConversion"/>
  </si>
  <si>
    <t>N.PE150A Out 단 PFA튜브 삽입부 내부 Packing 씹힘</t>
    <phoneticPr fontId="7" type="noConversion"/>
  </si>
  <si>
    <t>ADJUSTABALE ELBOW OUT단 Leak</t>
    <phoneticPr fontId="7" type="noConversion"/>
  </si>
  <si>
    <t>ADJUSTABALE ELBOW Fitting Nut 12-12 OUT단 미완체결 Leak</t>
    <phoneticPr fontId="7" type="noConversion"/>
  </si>
  <si>
    <t>N31A Out단 PFA튜브 삽입부</t>
    <phoneticPr fontId="7" type="noConversion"/>
  </si>
  <si>
    <t>1100008500</t>
  </si>
  <si>
    <t>REDCUING UNION Leak</t>
    <phoneticPr fontId="7" type="noConversion"/>
  </si>
  <si>
    <t>REDCUING UNION Fitting NUT 04-04 Flexible Tube단 미완체결 Leak</t>
  </si>
  <si>
    <t>1100020600</t>
  </si>
  <si>
    <t>REDUCING UNION TEE 우측 상단 Leak</t>
  </si>
  <si>
    <t>REDUCING UNION TEE Fitting Nut 12-12-04 우측 상단 미완체결 Leak</t>
  </si>
  <si>
    <t>Speed Controller Leak (우레탄)</t>
  </si>
  <si>
    <t>N.SCR110A IN단 우레탄튜브 삽입부 내부 Packing 씹힘</t>
  </si>
  <si>
    <t>LEVEL SENSOR NUT 체결 LEAK</t>
  </si>
  <si>
    <t>LEVEL SENSOR NUT 체결부 미세LEAK</t>
  </si>
  <si>
    <t>O-RING 씹힘</t>
  </si>
  <si>
    <t>DRAIN 내부 O-RING 씹힘으로 인한 LEAK</t>
  </si>
  <si>
    <t>LEVEL SENSOR NUT 체결 불량</t>
  </si>
  <si>
    <t xml:space="preserve">BELLOWS INLET PIPE N2 PURGE 연결 NUT 미체결 </t>
  </si>
  <si>
    <t>BELLOWS INLET PIPE N2 PURGE 연결 NUT 미체결 (N7)</t>
  </si>
  <si>
    <t>BAT박종범</t>
  </si>
  <si>
    <t xml:space="preserve">CDA Line BULKHEAD UNION 하단 NUT LEAK  </t>
  </si>
  <si>
    <t>BULKHEAD UNION 하단 NUT LEAK (체결상태이상무)</t>
  </si>
  <si>
    <t>Speed Controller LEAK(우레탄)</t>
  </si>
  <si>
    <t xml:space="preserve"> N31 Speed Controller LEAK(우레탄) 내부패킹씹</t>
  </si>
  <si>
    <t>CDA Line Male Banjo 우레탄 튜브 삽입 불량</t>
  </si>
  <si>
    <t xml:space="preserve"> CDA, N2(이류체) MALE BANJO 우레탄 튜브(C.820) 삽입불량</t>
  </si>
  <si>
    <t>O-RING 변형</t>
  </si>
  <si>
    <t>PCW Line 가압중 Torch N2 Line으로 Leak 확인</t>
  </si>
  <si>
    <t>BCW LINE REGULATOR BODY 체결부 LEAK</t>
  </si>
  <si>
    <t>BCW LINE REGULATOR 내부 O-RING파손으로 인한 LEAK</t>
  </si>
  <si>
    <r>
      <t xml:space="preserve"> N2 REDUCING DOUBLE Y UNION (3) Leak (</t>
    </r>
    <r>
      <rPr>
        <sz val="11"/>
        <color rgb="FF000000"/>
        <rFont val="Malgun Gothic"/>
        <family val="3"/>
        <charset val="129"/>
      </rPr>
      <t>우레탄</t>
    </r>
    <r>
      <rPr>
        <sz val="11"/>
        <color rgb="FF000000"/>
        <rFont val="Aptos Narrow"/>
        <family val="2"/>
      </rPr>
      <t xml:space="preserve">) / </t>
    </r>
    <r>
      <rPr>
        <sz val="11"/>
        <color rgb="FF000000"/>
        <rFont val="Malgun Gothic"/>
        <family val="3"/>
        <charset val="129"/>
      </rPr>
      <t>내부</t>
    </r>
    <r>
      <rPr>
        <sz val="11"/>
        <color rgb="FF000000"/>
        <rFont val="Aptos Narrow"/>
        <family val="2"/>
      </rPr>
      <t xml:space="preserve"> Packing </t>
    </r>
    <r>
      <rPr>
        <sz val="11"/>
        <color rgb="FF000000"/>
        <rFont val="Malgun Gothic"/>
        <family val="3"/>
        <charset val="129"/>
      </rPr>
      <t>씹힘</t>
    </r>
  </si>
  <si>
    <t>CDA Line Solenoid Valve 역방향 조립</t>
  </si>
  <si>
    <t>CDA Line SV-800 Solenoid Valve 역방향 조립</t>
  </si>
  <si>
    <t>N.SCR110 - PFA Tube 체결부</t>
  </si>
  <si>
    <t>KEY OPERATION VALVE (In단) Fitting NUT Leak</t>
  </si>
  <si>
    <t>황진충FNI</t>
  </si>
  <si>
    <t>REDUCING UNION TEE (12,IN단) Fitting Nut Leak</t>
  </si>
  <si>
    <t>REDUCING UNION TEE (12-12-04) 12 In단 Leak</t>
  </si>
  <si>
    <t>SENSOR 내부 O-RING 조립부 체결 강도 부족</t>
  </si>
  <si>
    <t>LEVEL SENSOR 내부 O-RING 조립부 체결 강도 부족으로 인한 LEAK</t>
  </si>
  <si>
    <t>2WAY ACTUATOY VALVE 눈관리 교차 부착 (V200A↔V210A)</t>
  </si>
  <si>
    <t>LNG Line 2WAY ACTUATOY VALVE 눈관리 교차 부착 (V200A↔V210A)</t>
  </si>
  <si>
    <t>REDUCING DOUBLE Y UNION (3) Leak (우레탄)</t>
  </si>
  <si>
    <t>N2 REDUCING DOUBLE Y UNION (3) Leak (우레탄) / 내부 Packing 씹힘</t>
  </si>
  <si>
    <t xml:space="preserve">Speed Controller Leak(우레탄) </t>
  </si>
  <si>
    <t>N1 - 우레탄 Tube 체결부 / REDUCING DOUBLE Y UNION Leak로 우레탄튜브 교체 , 탈거 및 재조립 후 Leak 확인</t>
  </si>
  <si>
    <t>REDUCING DOUBLE Y UNION Leak</t>
  </si>
  <si>
    <t xml:space="preserve">DRAIN LINE PUMP NUT LEAK </t>
  </si>
  <si>
    <t>DRAIN LINE PUMP NUT부 체결불량으로 인한 LEAK</t>
  </si>
  <si>
    <t>LEVEL SENSOR P.P NUT 체결불량으로 인한 LEAK</t>
  </si>
  <si>
    <t xml:space="preserve">Speed Controller Leak (Body) </t>
  </si>
  <si>
    <t>AIR MANIFOLD N8 SPEED CONTROLLER FITTING 과체결로 인한 BODY LEAK</t>
  </si>
  <si>
    <t>O-Ring 씹힘</t>
  </si>
  <si>
    <t>MALE ELBOW JACO FITTING NUT부 Leak</t>
  </si>
  <si>
    <t xml:space="preserve"> W.CIR MANIFOLD MALE ELBOW JACO FITTING NUT Leak</t>
  </si>
  <si>
    <t>LNG Line REDUCING UNION TEE 04-04-06 06(부) LEAK</t>
  </si>
  <si>
    <t>AIR MANIFOLD N11 SPEED CONTROLLER FITTING 과체결로 인한 BODY LEAK</t>
  </si>
  <si>
    <t xml:space="preserve">Speed Controller Leak (PFA) </t>
  </si>
  <si>
    <t>N.V120 - PFA Tube 체결부</t>
  </si>
  <si>
    <t xml:space="preserve"> N.SCR110A IN단 우레탄튜브 삽입부 내부 Packing 씹힘</t>
  </si>
  <si>
    <t>MALE ELBOW LOCTITE 부족 Leak</t>
  </si>
  <si>
    <t>열교환기 COLD OUT PCW MALE ELBOW LEAK</t>
  </si>
  <si>
    <t xml:space="preserve"> N2 REDUCING DOUBLE Y UNION (3) Leak</t>
  </si>
  <si>
    <t>N.V120B OUT단 PFA Tube 체결부</t>
  </si>
  <si>
    <t>REDUCING DOUBLE Y UNION Leak (우레탄)</t>
  </si>
  <si>
    <t>N2 REDUCING DOUBLE Y UNION (2) Leak</t>
  </si>
  <si>
    <t xml:space="preserve">UNION TEE LEAK(BODY) </t>
  </si>
  <si>
    <t>N2 LINE N.V140 UNION TEE BODY LEAK</t>
  </si>
  <si>
    <t>REDUCER Y LEAK (06,PFA)</t>
  </si>
  <si>
    <t>C.BE101A CDA LINE REDUCER Y LEAK</t>
  </si>
  <si>
    <t>C.BE101 CDA LINE REDUCER Y LEAK</t>
  </si>
  <si>
    <t xml:space="preserve"> N.PE120A OUT단 PFA Tube 체결부</t>
  </si>
  <si>
    <t>REDUCING UNION TEE FITTING NUT LEAK</t>
  </si>
  <si>
    <t>LEVEL SENSOR P.P NUT LEAK</t>
  </si>
  <si>
    <t xml:space="preserve"> LEVEL SENSOR P.P NUT 체결불량으로 인한 LEAK</t>
  </si>
  <si>
    <t>SCREW SCRAPER BANJO ELBOW TUBE 삽입부 LEAK(PFA)</t>
  </si>
  <si>
    <t>SCREW CYLINDER SCRAPER 장착 원터치 반조 삽입 튜브 삽입불량</t>
  </si>
  <si>
    <t>SCREW CYLINDER SCRAPER 장착 원터치 반조 삽입 튜브 컷팅불량</t>
  </si>
  <si>
    <t>AIR ATOMIZING NOZZLE</t>
  </si>
  <si>
    <t>Nozzle Leak</t>
  </si>
  <si>
    <t>WET NOZZLE 이류체 부분 LEAK</t>
  </si>
  <si>
    <t>허제GST</t>
  </si>
  <si>
    <t>EXHAUST BELLOWS</t>
  </si>
  <si>
    <t>Exhaust Bellows 표면 찢어짐으로 인한 Leak</t>
  </si>
  <si>
    <t>Exhaust Bellows 표면 찢어짐으로 인한 Leak 발생으로 파트교체 후 재조립 진행</t>
  </si>
  <si>
    <t>박승록GST</t>
  </si>
  <si>
    <t>LEVEL SENSOR P.P NUT LEAK (손풀림)</t>
  </si>
  <si>
    <t>CHECK VALVE FITTING NUT LEAK (PFA 삽입부, 체결불량)</t>
  </si>
  <si>
    <t xml:space="preserve">INLET #1 N2 PURGE (N.V110P) CHECK VALVE 체결 불량 </t>
  </si>
  <si>
    <t>PCW-S 방향스티커 오부착</t>
  </si>
  <si>
    <t>PCW-R LINE에 PCW-S LINE 방향스티커 부착</t>
  </si>
  <si>
    <t>REDUCER DOUBLE Y UNION LEAK (우레탄)</t>
  </si>
  <si>
    <t>N2 REDUCING DOUBLE Y UNION (4) Leak</t>
  </si>
  <si>
    <t>N.12 OUT단 PFA Tube 체결부 Leak  / (끝단 Cutting 후 재삽입 시 이상업음 확인)</t>
  </si>
  <si>
    <t>PLUG IN REDUCER Leak</t>
  </si>
  <si>
    <t>PLUG IN REDUCER 삽입부 Leak</t>
  </si>
  <si>
    <t>CIR WATER LINE-I</t>
  </si>
  <si>
    <t>DRAIN LINE CIR WATER LINE-I 내부 O-Ring 씹힘으로 Leak</t>
  </si>
  <si>
    <t xml:space="preserve"> N.PE130 OUT단 PFA Tube 체결부</t>
  </si>
  <si>
    <t>Screw Scraper Body Leak</t>
  </si>
  <si>
    <t>Male Connector Fitting Nut Leak (손풀림)</t>
  </si>
  <si>
    <t>Exhaust Temp Sensor 고정 Male Connector Fitting Nut 체결불량으로 인한 Leak</t>
  </si>
  <si>
    <t>REDUCER DOUBLE Y UNION LEAK (PFA)</t>
  </si>
  <si>
    <t>REDUCER DOUBLE Y UNION LEAK (3) Leak / 내부 확인 시 이상 없음</t>
  </si>
  <si>
    <t xml:space="preserve"> CDA UNION TEE 상단 우측 Fitting Nut Leak</t>
  </si>
  <si>
    <t>N2 ADJUSTABLE ELBOW IN단 Fitting Nut Leak</t>
  </si>
  <si>
    <t>N.30 OUT단 PFA Tube 삽입 정도 부족 Leak</t>
  </si>
  <si>
    <t>LEVEL SENSOR(H/H) 체결부 Leak</t>
  </si>
  <si>
    <t>LEVEL SENSOR(H/H) 체결부 Leak  /  살짝 풀었다가 기존 아이마킹 정도까지 재체결</t>
  </si>
  <si>
    <t>QUENCH NOZZLE MALE ELBOW NUT부 Leak</t>
  </si>
  <si>
    <t>G28 IN단 PFA 삽입부 LEAK</t>
  </si>
  <si>
    <t>UNION TEE FITTING NUT LEAK</t>
  </si>
  <si>
    <t>WET LINE UNION TEE 우측 상단 FITTING NUT LEAK</t>
  </si>
  <si>
    <t xml:space="preserve">Speed Controller Leak (우레탄) </t>
  </si>
  <si>
    <t>N.V130PA IN단 우레탄 튜브 삽입부 LEAK</t>
  </si>
  <si>
    <t>윤석우FNI</t>
  </si>
  <si>
    <t>N.V140B IN단 우레탄 튜브 삽입부 LEAK</t>
  </si>
  <si>
    <t>TEE PIPE WELD ASSY 좌측 상단 FITTING NUT LEAK</t>
  </si>
  <si>
    <t>TEE PIPE WELD ASSY 비저항 센서 체결부 FITTIN NUT LEAK</t>
  </si>
  <si>
    <t xml:space="preserve">UNION ELBOW IN단 FITTIN NUT LEAK </t>
  </si>
  <si>
    <t>UNION ELBOW IN단 TEE PIPE WELD ASSY 체결부 LEAK</t>
  </si>
  <si>
    <t>MALE NUT FERRULE 체결상태 불량 (미체결)</t>
  </si>
  <si>
    <t>LNG LINE BURNER방향 MALE NUT 체결 불량으로 인한 FERRULE 미체결</t>
  </si>
  <si>
    <t>EXHAUST MIDDLE과 ELBOW EXHAUST 체결 125A CLAMP내부 O-RING 씹힘(작업불량)</t>
  </si>
  <si>
    <t>오동혁FNI</t>
  </si>
  <si>
    <t>N10A OUT단 PFA 튜브 삽입부 LEAK</t>
  </si>
  <si>
    <t>N34A OUT단 PFA 튜브 삽입부 LEAK</t>
  </si>
  <si>
    <t>REDUCER DOUBLE Y UNION (1) Leak (우레탄)</t>
  </si>
  <si>
    <t>REDUCER DOUBLE Y UNION (1,06) LEAK / 내부 오링 이탈</t>
  </si>
  <si>
    <t>BULKHEAD UNION 내부 FERRULE 누락으로 인한 LEAK</t>
  </si>
  <si>
    <t>BCW LINE BULKHEAD UNION OUT단 NUT  내부 FERRULE 누락</t>
  </si>
  <si>
    <t>REDUCING UNION TEE 좌측 상단 NUT LEAK</t>
  </si>
  <si>
    <t>TEE PIPE WELD ASSY FITTIN NUT LEAK</t>
  </si>
  <si>
    <t>MALE PIPE WELD CONNECTOR 미완체결</t>
  </si>
  <si>
    <t>N8 AIR MANIFOD SPEED CONTROLLER 과체결로 인한 파손</t>
  </si>
  <si>
    <t>N1 AIR MANIFOLD SPEED CONTROLLER  PFA 컷팅불량</t>
  </si>
  <si>
    <t>N10 AIR MANIFOD SPEED CONTROLLER 과체결로 인한 파손</t>
  </si>
  <si>
    <t>LNG,O2 방향 스티커 교차부착</t>
  </si>
  <si>
    <t>RIGHT CHAMBER BALL VALVE 앞단</t>
  </si>
  <si>
    <t>N11 AIR MANIFOD SPEED CONTROLLER 과체결로 인한 파손</t>
  </si>
  <si>
    <t>LEVEL SENSOR P.P NUT LEAK (손풀림X)</t>
  </si>
  <si>
    <t>윤문빈C&amp;A</t>
  </si>
  <si>
    <t>BULKHEAD UNION NUT부 미완체결 NUT</t>
  </si>
  <si>
    <t>LNG LINE BULKHEAD UNION NUT부 미완체결</t>
  </si>
  <si>
    <t>ADJUSTABLE ELBOW FITTING NUT 미완체결</t>
  </si>
  <si>
    <t>PCW-S(L) ADJUSTABLE ELBOW FITTING NUT OUT단 미완체결</t>
  </si>
  <si>
    <t>PCW-S(R) ADJUSTABLE ELBOW FITTING NUT OUT단 미완체결</t>
  </si>
  <si>
    <t>BURNER CDA LINE ADJUSTABLE ELBOW IN단 NUT 미완체결</t>
  </si>
  <si>
    <t>N34 IN단 SPEED CONTROLLER 우레탄 TUBE 체결불량</t>
  </si>
  <si>
    <t>N1A OUT단 PFA TUBE 삽입부 LEAK</t>
  </si>
  <si>
    <t>125A CLMAP 체결 후 I-Marking 누락</t>
  </si>
  <si>
    <t>O-Ring 누락</t>
  </si>
  <si>
    <t xml:space="preserve">Exhaust Drain Socket 체결부 O-Ring 누락 </t>
  </si>
  <si>
    <t>N31 OUT단 PFA TUBE 삽입부 LEAK</t>
  </si>
  <si>
    <t>MALE ELBOW FITTING NUT LEAK (NUT부)</t>
  </si>
  <si>
    <t>QEUNCH LINE MALE ELBOW FITTING NUT LEAK (NUT부) / 1바퀴 추가체결</t>
  </si>
  <si>
    <t>UNION ELBOW FITTING NUT LEAK (NUT부)</t>
  </si>
  <si>
    <t>N.V140PA UNION ELBOW PFA TUBE 체결부 LEAK</t>
  </si>
  <si>
    <t>SUS MALE CONNECTOR PFA TUBE 체결부 LEAK</t>
  </si>
  <si>
    <t>CHAMBER REDUCING UNION TEE 우측 상단 FITTING NUT LEAK</t>
  </si>
  <si>
    <t>N.SCR-150 IN단 SPEED CONTROLLER 우레탄 TUBE삽입부 LEAK</t>
  </si>
  <si>
    <t>EXHAUST PU 체결 MALE CONNECTOR NUT부 LEAK(과체결로 인한 파손)</t>
  </si>
  <si>
    <t>Quench Port 부 Leak</t>
  </si>
  <si>
    <t>BULKHEAD UNION FITTING NUT LEAK</t>
  </si>
  <si>
    <t>PCW LINE BULKHEAD UNION IN단 FITTING NUT LEAK</t>
  </si>
  <si>
    <t>DIFFRENT UNION TEE 하단부 LEAK</t>
  </si>
  <si>
    <t>DIFFRENT UNION TEE 하단부 Tube 삽입정도부족 Leak</t>
  </si>
  <si>
    <t>SpeedCotroller Leak (PFA)</t>
  </si>
  <si>
    <t>N.V120B Out단 SPEEDCONTROLLER PFA Tube 체결부 Leak</t>
  </si>
  <si>
    <t>REDUCER DOUBLE Y UNION (4) Leak/내부 Packing 씹힘</t>
  </si>
  <si>
    <t>UNION Y Body Crack Leak</t>
  </si>
  <si>
    <t>N.V140P OUT단 PFA 삽입부 Leak</t>
  </si>
  <si>
    <t>N.SCR-130 OUT단 PFA 삽입부 Leak</t>
  </si>
  <si>
    <t>N4 OUT단 PFA 삽입부 Leak</t>
  </si>
  <si>
    <t>ADJUSTABLE ELBOW Fitting Nut 미체결</t>
  </si>
  <si>
    <t>PCW-S 열교환기 IN단 ADJUSTABLE ELBOW Fitting Nut 미체결</t>
  </si>
  <si>
    <t>UNION TEE Fitting Nut 미완체결</t>
  </si>
  <si>
    <t>BCW UNION TEE 하단부 Fitting Nut 미완체결</t>
  </si>
  <si>
    <t>ADJUTABLE ELBOW Fitting Nut 미체결</t>
  </si>
  <si>
    <t>PCW-S 열교환기 IN단 연결 ADJUTABLE ELBOW Fitting Nut 미체결</t>
  </si>
  <si>
    <t>N.PE700A IN단 우레탄 삽입부 Leak / 내부 고정핀 이탙</t>
  </si>
  <si>
    <t>N.V120BA OUT단 PFA 삽입부 Leak</t>
  </si>
  <si>
    <t>N.V130PA OUT단 PFA 삽입부 Leak</t>
  </si>
  <si>
    <t>CLAMP 미완체결</t>
  </si>
  <si>
    <t>V120 3WAY ACTUATOR VALVE 상단 우측 CLAMP 미완체결 (손풀림)</t>
  </si>
  <si>
    <t>황영일FNI</t>
  </si>
  <si>
    <t>LEVEL SENSOR BCW UNION ELBOW Fitting Nut Leak</t>
  </si>
  <si>
    <t>LEVEL SENSOR BCW UNION ELBOW IN단 Fitting Nut Leak</t>
  </si>
  <si>
    <t>MALE CONNECTOR FITTING NUT LEAK (미완쳬결)</t>
  </si>
  <si>
    <t>PCW LINE MALE CONNECTOR OUT단 NUT 미완체결로 인한 LEAK</t>
  </si>
  <si>
    <t>이영남BAT</t>
  </si>
  <si>
    <t>N.V140BA OUT단 PFA삽입부 LEAK</t>
  </si>
  <si>
    <t>김응천BAT</t>
  </si>
  <si>
    <t>UNION ELBOW FITTING NUT LEAK (미완쳬결)</t>
  </si>
  <si>
    <t>PE140 UNION ELBOW IN단 NUT 미완체결로인한 LEAK</t>
  </si>
  <si>
    <t>PUMP NUT 미완체결로 인한 LEAK</t>
  </si>
  <si>
    <t>DRAIN LINE PUMP NUT 미완체결로 인한 LEAK</t>
  </si>
  <si>
    <t>Check Valve 역류 현상</t>
  </si>
  <si>
    <t>Speed Controller Leak (BODY)</t>
  </si>
  <si>
    <t>N3 SPEEDCONTROLLER BODY와 AIR MANIFOLD 체결부 사이 LEAK</t>
  </si>
  <si>
    <t>N14 PFA 삽입부 TUBE 컷팅불량</t>
  </si>
  <si>
    <t>N.PE140 OUT단 PFA삽입부 LEAK</t>
  </si>
  <si>
    <t>N.V110B OUT단 PFA삽입부 LEAK</t>
  </si>
  <si>
    <t>PCW (S) Port Leak</t>
  </si>
  <si>
    <t>Ferrule 교체 후 재조립</t>
  </si>
  <si>
    <t>N34 PFA 삽입부 OUT단 LEAK</t>
  </si>
  <si>
    <t>N.V120B OUT단 PFA삽입부 LEAK</t>
  </si>
  <si>
    <t>N.V130B OUT단 PFA삽입부 LEAK</t>
  </si>
  <si>
    <t>Regulator Body Leak</t>
  </si>
  <si>
    <t>BCW LINE REDUCING UNION TEE FITTING NUT 좌측상단 LEAK</t>
  </si>
  <si>
    <t>N10 OUT단 PFA삽입부 LEAK</t>
  </si>
  <si>
    <t>심영수BAT</t>
  </si>
  <si>
    <t>FEMALE BRANCH TEE FITTING NUT LEAK(손풀림)</t>
  </si>
  <si>
    <t>PD700A FEMALE BRANCH TEE FITTING NUT 우측상단 LEAK (미완체결)</t>
  </si>
  <si>
    <t>WET TANK WELDMENT</t>
  </si>
  <si>
    <t>Tank 상판 측면 용접부 Leak</t>
  </si>
  <si>
    <t>Tank 현장 용접조치</t>
  </si>
  <si>
    <t>MALE STRAIGHT 우레탄 TUBE 삽입부 LEAK</t>
  </si>
  <si>
    <t>CDA LINE FLOW SENSOR 체결 MALE STRAIGHT 우레탄 TUBE 삽입부 LEAK</t>
  </si>
  <si>
    <t>UNION FITTING NUT LEAK (1/4",SUS)</t>
  </si>
  <si>
    <t>버너 PCW-R(L) UNION OUT단 FITTING NUT LEAK</t>
  </si>
  <si>
    <t>김정영BAT</t>
  </si>
  <si>
    <t>N2 LINE CHECK VALVE OUT단 LEAK (체결불량)</t>
  </si>
  <si>
    <t>N2 LINE LNG 이류체 CHECK VALVE OUT단 FITTING NUT 체결불량으로 인한 LEAK</t>
  </si>
  <si>
    <t>REDUCING UNION TEE FITTING NUT LEAK (손풀림 3/8",SUS)</t>
  </si>
  <si>
    <t>버너부 CDA LINE REDUCING UNION TEE 미완체결로 인한 LEAK</t>
  </si>
  <si>
    <t>MALE BANJO TEFLON부 LEAK (TEFLON 작업 미실시)</t>
  </si>
  <si>
    <t>N2 LINE MALE BANJO TEFLON부 LEAK (TEFLON 작업 미실시)</t>
  </si>
  <si>
    <t>N48 AIR MANIFOLD PFA삽입부 LEAK</t>
  </si>
  <si>
    <t>N.BE101 OUT단 PFA삽입부 LEAK</t>
  </si>
  <si>
    <t>N.SCR-110 OUT단 PFA삽입부 LEAK</t>
  </si>
  <si>
    <t>WATER TANK WELDMENT</t>
  </si>
  <si>
    <t>BURNER HOUSING</t>
  </si>
  <si>
    <t>Burner Housing 용접부 Leak 발생</t>
  </si>
  <si>
    <t>Right Chamber Burner Housing 용접부</t>
  </si>
  <si>
    <t>N.V120BA OUT단 PFA삽입부 LEAK</t>
  </si>
  <si>
    <t>N.V150PA OUT단 PFA삽입부 LEAK</t>
  </si>
  <si>
    <t>UNION TEE FITTING NUT (미완체결)</t>
  </si>
  <si>
    <t>LNG LINE UNION TEE FTTING NUT LEKA (미완체결, 1/4", 좌측상단)</t>
  </si>
  <si>
    <t>UNION ELBOW FRONT FERRULE 누락으로 인한 LEAK</t>
  </si>
  <si>
    <t>PCW-S LINE UNION ELBOW FRONT FERRULE 누락으로 인한 LEAK (1/4",OUT단)</t>
  </si>
  <si>
    <t>UNION ELBOW FITTING NUT LEAK (06, IN단)</t>
  </si>
  <si>
    <t>N.SCR-130 N2 PURGE LINE UNION ELBOW FITTING NUT LEAK (IN단)</t>
  </si>
  <si>
    <t>REDUCER DOUBLE Y UNION (3) Leak/내부 Packing 씹힘</t>
  </si>
  <si>
    <t>UNION ELBOW FITTING NUT LEAK (3/8", IN단))</t>
  </si>
  <si>
    <t xml:space="preserve">PAB SENSOR PE120A UNION ELBOW IN단 FITTING NUT LEAK </t>
  </si>
  <si>
    <t>REDUCER DOUBLE Y UNION (3) Leak / 내부 Packing 씹힘</t>
  </si>
  <si>
    <t>UNION ELBOW FITTING NUT LEAK (3/8", OUT단))</t>
  </si>
  <si>
    <t>PE160A UNION ELBOW FITTING NUT LEAK (미완체결)</t>
  </si>
  <si>
    <t>CHECK VALVE FITTING NUT LEAK (1/4", OUT단)</t>
  </si>
  <si>
    <t>N2 LINE LNG 연결부 CHECK VALVE FITTING NUT OUT단 LEAK (손풀림X,SUS TUBE돌아감)</t>
  </si>
  <si>
    <t>UNION ELBOW FITTING NUT LEAK ( SUS, 1/2" )</t>
  </si>
  <si>
    <t>BCW LINE UNION ELBOW FITTING NUT IN단 LEAK (패럴 고정X, 나사선마모)</t>
  </si>
  <si>
    <t>CHECK VALVE FITTING NUT LEAK ( 6mm, IN단 )</t>
  </si>
  <si>
    <t>CV462A CHECK VALVE FITTING NUT LEAK IN단 (체결불량)</t>
  </si>
  <si>
    <t>UNION STRAIGHT LEAK (우레탄, 6mm)</t>
  </si>
  <si>
    <t>PE700A CH1 우레탄 튜브 삽입부 IN단 LEAK (체결불량)</t>
  </si>
  <si>
    <t>PE700 CH1 우레탄 튜브 삽입부 IN단 LEAK (체결불량)</t>
  </si>
  <si>
    <t>MALE BANJO LEAK (PFA ,8mm, PT1/4")</t>
  </si>
  <si>
    <t>EJECTOR 체결 MALE BANJO PFA 삽입부 OUT단 LEAK (체결불량)</t>
  </si>
  <si>
    <t>UNION STRAIGHT LEAK (PFA, 6mm)</t>
  </si>
  <si>
    <t>PE700 CH1 PFA 튜브 삽입부 OUT단 LEAK (체결불량)</t>
  </si>
  <si>
    <t>LEVEL SENSOR BOX CABINET 체결부 LEAK</t>
  </si>
  <si>
    <t>내부용접 이후 LEVEL SENSOR BOX 재체결간 O-RING 씹힘</t>
  </si>
  <si>
    <t>MALE ELBOW FITTING NUT LEAK(1/2"×NPT1/2,PVDF)</t>
  </si>
  <si>
    <t>SWIRL LINE FLOW SENSOR 체결부 MALE ELBOW FITTING NUT 미체결</t>
  </si>
  <si>
    <t>N2, CDA LINE TUBE 교차연결</t>
  </si>
  <si>
    <t>N2, CDA LINE REGULATOR 전단 TUBE 교차연결</t>
  </si>
  <si>
    <t>VCR FLEXIBLE TUBE 미체결로인한 LEAK</t>
  </si>
  <si>
    <t>LNG LINE BURNER부 VCR FLEXIBLE TUBE 미체결로 인한 LEAK</t>
  </si>
  <si>
    <t>N.V140PA/IN단</t>
  </si>
  <si>
    <t>N30 / OUT단 / 삽입 정도 불량</t>
  </si>
  <si>
    <t>N.SCR-110A / OUT</t>
  </si>
  <si>
    <t>KEY OPERATION VALVE FITTING NUT LEAK (미완체결, 3/8")</t>
  </si>
  <si>
    <t>O2 LINE, IN단</t>
  </si>
  <si>
    <t>UNION ELBOW FITTING NUT LEAK (1/4", OUT단))</t>
  </si>
  <si>
    <t>PE110 UNION ELBOW FITTING NUT LEAK (체결강도 이상무)</t>
  </si>
  <si>
    <t>UNION ELBOW FITTING NUT LEAK (6mm, OUT단)</t>
  </si>
  <si>
    <t>N.V130B / OUT단</t>
  </si>
  <si>
    <t>N.V130B / OUT</t>
  </si>
  <si>
    <t>N.PE110 / OUT</t>
  </si>
  <si>
    <t>PCW-R LINE 상단 우측 FITTING NUT LEAK (체결강도 이상무)</t>
  </si>
  <si>
    <t>SPRINKLER TEFLON 체결부 LEAK</t>
  </si>
  <si>
    <t>SPRINKLER FEMALE ADAPTER TEFLON 체결부 LEAK</t>
  </si>
  <si>
    <t>UNION TEE FITTING NUT LEAK (1/2",PVDF, 내부 FERRULE SET 없음)</t>
  </si>
  <si>
    <t>QUENCH LINE / 좌측 상단</t>
  </si>
  <si>
    <t>MALE CONNECTOR FITTING NUT LEAK (FERRULE 미장착, 6mm부)</t>
  </si>
  <si>
    <t>PE700A CH1 / MALE CONNECTOR NUT부 / OUT단</t>
  </si>
  <si>
    <t>BULKHEAD UNION FITTING NUT LEAK (1/2")</t>
  </si>
  <si>
    <t>BCW LINE CABINET 상부연결부 / OUT</t>
  </si>
  <si>
    <t>N.BE110A / OUT</t>
  </si>
  <si>
    <t>이태훈FNI</t>
  </si>
  <si>
    <t>FLAME SENSOR PORT TOP 흔들림</t>
  </si>
  <si>
    <t>LEFT CHAMBER PORT TOP</t>
  </si>
  <si>
    <t>UNION TEE FITTING NUT LEAK (1/2",PVDF)</t>
  </si>
  <si>
    <t>WET LINE / 하단</t>
  </si>
  <si>
    <t>MALE CONNECTOR FITTING NUT LEAK (1/4", NUT)</t>
  </si>
  <si>
    <t>EXHAUST DRAIN LINE / NUT부</t>
  </si>
  <si>
    <t>FEMALE CONNECTOR FITTING NUT LEAK (1/2",PT3/4,미체결)</t>
  </si>
  <si>
    <t>BCW LINE BRAZED PLATE HEAT EXCHANGER / IN단 / NUT부</t>
  </si>
  <si>
    <t>MALE BANJO LEAK (6mm, PT1/4, TUBE삽입부족)</t>
  </si>
  <si>
    <t>EXHAUST DRAIN LINE / 6mm PFA 삽입부 / OUT단</t>
  </si>
  <si>
    <t xml:space="preserve">DIFFERENT UNION TEE LEAK (우레탄, 10mm, 8mm) </t>
  </si>
  <si>
    <t>UNION TEE 체결부 / T 하단 8mm 삽입부</t>
  </si>
  <si>
    <t>UNION ELBOW FITTING NUT LEAK (미완체결, SUS, 1/2")</t>
  </si>
  <si>
    <t>LEVEL SENSOR / IN단 / 1/2"</t>
  </si>
  <si>
    <t>UNION TEE Fitting Nut LEAK (미완체결 ,PVPF, 1/2")</t>
  </si>
  <si>
    <t>SWIRL LINE / 하단 / 1/2"</t>
  </si>
  <si>
    <t>CLAMP 사선체결 / CENTER O-RING 파손</t>
  </si>
  <si>
    <t>DRAIN PIPE WET OUT단 / CLAMP 사선체결</t>
  </si>
  <si>
    <t>REDUCER DOUBLE Y UNION LEAK (Body)</t>
  </si>
  <si>
    <t>REDUCER DOUBLE Y UNION LEAK / Body Crack</t>
  </si>
  <si>
    <t>UNION ELBOW FITTING NUT LEAK (미완체결, 6mm부)</t>
  </si>
  <si>
    <t>N.V130BA / UNION ELBOW NUT부 / IN단</t>
  </si>
  <si>
    <t>N.SCR-140 / OUT</t>
  </si>
  <si>
    <t>N.V140P / OUT</t>
  </si>
  <si>
    <t>N34 / OUT</t>
  </si>
  <si>
    <t>NW50 PROCESS PIPE 클램프 오체결 (면불일치)</t>
  </si>
  <si>
    <t>INLET#3 / 3WAY ACTUATOR VALVE와 체결부</t>
  </si>
  <si>
    <t>N.V150VA / OUT</t>
  </si>
  <si>
    <t>MALE CONNECTOR FITTING NUT LEAK ( 1/4",NPT3/8 ,Teflon부)</t>
  </si>
  <si>
    <t>SENSOR BOX BCW LINE OUT단 / NPT3/8부</t>
  </si>
  <si>
    <t>GN2 LINE CABINET 상부연결부 / OUT</t>
  </si>
  <si>
    <t>PCW-R LINE 좌측 상단 FITTING NUT LEAK (미완체결)</t>
  </si>
  <si>
    <t>N.SCR-130A / OUT</t>
  </si>
  <si>
    <t>UNION Y LEAK (6mm)</t>
  </si>
  <si>
    <t>GN2 LINE / 좌측상단 / OUT단</t>
  </si>
  <si>
    <t>N.BE101 / OUT단</t>
  </si>
  <si>
    <t>HEATING PIPE INLET FLANGE 체결부 LEAK (체결상태 이상무)</t>
  </si>
  <si>
    <t>INLET #1 / FLANGE 볼트 체결부 LEAK</t>
  </si>
  <si>
    <t>N.PE130 / OUT단</t>
  </si>
  <si>
    <t>N.SCR-110 / OUT단</t>
  </si>
  <si>
    <t>MALE CONNECTOR FITTIGN NUT LEAK (3/8"×NPT3/8(PVDF), NUT 손풀림)</t>
  </si>
  <si>
    <t>SENSOR BOX NW25 CLAMP 체결부 / IN단 / NUT부</t>
  </si>
  <si>
    <t>CHECK VALVE FITTIGN NUT LEAK (3/8",NUT 손풀림)</t>
  </si>
  <si>
    <t>N.V120P / IN단 / NUT부</t>
  </si>
  <si>
    <t>BULKHEAD UNION FITTIGN NUT LEAK (1/2",NUT 손풀림)</t>
  </si>
  <si>
    <t>CDA LINE / OUT단 / NUT부</t>
  </si>
  <si>
    <t>UNION ELBOW FITTING NUT LEAK (1/2",OUT)</t>
  </si>
  <si>
    <t>O2 LINE / OUT단</t>
  </si>
  <si>
    <t>자체제작</t>
  </si>
  <si>
    <t>N.V130P / OUT</t>
  </si>
  <si>
    <t>N.BE101 / OUT</t>
  </si>
  <si>
    <t>N.PE160A / OUT</t>
  </si>
  <si>
    <t>PUMP NUT(25A) LEAK (O-RING 이탈)</t>
  </si>
  <si>
    <t>DRAIN LINE / OUT</t>
  </si>
  <si>
    <t>고기남BAT</t>
  </si>
  <si>
    <t>N.SCR-120A / IN</t>
  </si>
  <si>
    <t>CLAMP(NW50) 체결불량</t>
  </si>
  <si>
    <t>PROCESS #4 / 3WAY ACTUTATOR VALVE 체결부</t>
  </si>
  <si>
    <t>TUBE 미삽입으로 인한 LEAK</t>
  </si>
  <si>
    <t>CDA LINE / C860</t>
  </si>
  <si>
    <t>REDUCING UNION TEE PLUG 미완체결 (08-08-04 / SUS)</t>
  </si>
  <si>
    <t>BCW LINE / 08-08-04 / 04부 PLUG 미완체결</t>
  </si>
  <si>
    <t>정명걸FNI</t>
  </si>
  <si>
    <t>MALE BANJO LEAK (PH08-02/ TUBE 삽입부족</t>
  </si>
  <si>
    <t>EJECTOR 조립 MALE BANJO / 8mm PFA 삽입부</t>
  </si>
  <si>
    <t>BULKHEAD UNION FITTING NUT LEAK (3/4",NUT 손풀림)</t>
  </si>
  <si>
    <t>PCW LINE / IN</t>
  </si>
  <si>
    <t>N31 / OUT</t>
  </si>
  <si>
    <t>제조(He 미보증)</t>
  </si>
  <si>
    <t>CLAMP(NW50) 체결불량 (손풀림)</t>
  </si>
  <si>
    <t>BYPASS#2 / Bunner Plate 체결부</t>
  </si>
  <si>
    <t>REDUCING UNION TEE FITTING NUT LEAK (체결강도부족,SUS)</t>
  </si>
  <si>
    <t>BCW LINE / 좌측상단 / IN단</t>
  </si>
  <si>
    <t>MALE BANJO AIR LEAK</t>
  </si>
  <si>
    <t>INLET #1 / OPEN</t>
  </si>
  <si>
    <t>N.V150BA / OUT</t>
  </si>
  <si>
    <t>O-RING 씹힘으로 CLAMP 사선체결 (125A)</t>
  </si>
  <si>
    <t>EXHAUST 체결 125A CLAMP내부 O-RING 씹힘(작업불량)</t>
  </si>
  <si>
    <t>WET TOWER - VENTURI TOWER 연결 부 LEAK</t>
  </si>
  <si>
    <t>CIR WATER / OUT</t>
  </si>
  <si>
    <t>BULKHEAD UNION Fitting Nut Leak(1/2", 체결 강도 부족)</t>
  </si>
  <si>
    <t>BCW LINE / IN단</t>
  </si>
  <si>
    <t>PLUG 미장착 (04)</t>
  </si>
  <si>
    <t xml:space="preserve">EXHAUST / BALL VALVE OUT단 </t>
  </si>
  <si>
    <t xml:space="preserve">UNION ELBOW Fitting Nut Leak </t>
  </si>
  <si>
    <t>LNG LINE / UNION ELBOW IN단</t>
  </si>
  <si>
    <t>REDUCING UNION TEE Fitting Nut Leak</t>
  </si>
  <si>
    <t>O2 LINE / REDUCING UNION TEE 좌측 상단</t>
  </si>
  <si>
    <t>PCW LINE / IN단</t>
  </si>
  <si>
    <t>ADJUSTABLE ELBOW FITTING NUT LEAK (3/8", 손풀림)</t>
  </si>
  <si>
    <t>PAB SENSOR / PD120A / IN단</t>
  </si>
  <si>
    <t>UNION ELBOW FITTING NUT LEAK (3/8", 손풀림X)</t>
  </si>
  <si>
    <t>PE110A / OUT단</t>
  </si>
  <si>
    <t>INLET#4 BURNER 체결부 / 면틀어짐</t>
  </si>
  <si>
    <t>BYPASS#4 3WAY VALVE 체결부 / 면틀어짐</t>
  </si>
  <si>
    <t>N.V150B / OUT단</t>
  </si>
  <si>
    <t>N.V120BA / OUT단</t>
  </si>
  <si>
    <t>PCW-S LINE / BRAZED PLATE HEAT EXCHANGER 체결부</t>
  </si>
  <si>
    <t>PCW-S(R) LINE / SMPS 체결 MAIN BALL VALVE 전단</t>
  </si>
  <si>
    <t>N.V140PA / OUT단</t>
  </si>
  <si>
    <t>N.SCR130 / OUT단</t>
  </si>
  <si>
    <t>N.SCR-130 / OUT</t>
  </si>
  <si>
    <t>KEY OPERATION VALVE FITTING NUT LEAK (체결강도부족, 1/2", IN)</t>
  </si>
  <si>
    <t>BCW / HV-500A</t>
  </si>
  <si>
    <t>N51 / OUT</t>
  </si>
  <si>
    <t>N10A / OUT</t>
  </si>
  <si>
    <t>N53A / OUT</t>
  </si>
  <si>
    <t>SENSOR_GAS DETECTOR_DIGITAL TUBE 삽입부 LEAK (TUBE 삽입부족, PFA)</t>
  </si>
  <si>
    <t>GSD12A OUT</t>
  </si>
  <si>
    <r>
      <rPr>
        <b/>
        <sz val="18"/>
        <color rgb="FFFFFFFF"/>
        <rFont val="Malgun Gothic"/>
        <family val="3"/>
        <charset val="129"/>
      </rPr>
      <t xml:space="preserve">24年 </t>
    </r>
    <r>
      <rPr>
        <b/>
        <sz val="18"/>
        <color rgb="FFF4B084"/>
        <rFont val="Malgun Gothic"/>
        <family val="3"/>
        <charset val="129"/>
      </rPr>
      <t>가압검사</t>
    </r>
    <r>
      <rPr>
        <b/>
        <sz val="18"/>
        <color rgb="FFFFFFFF"/>
        <rFont val="Malgun Gothic"/>
        <family val="3"/>
        <charset val="129"/>
      </rPr>
      <t xml:space="preserve"> 불량 월분석 Chart</t>
    </r>
  </si>
  <si>
    <t>구분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</si>
  <si>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</si>
  <si>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</si>
  <si>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</si>
  <si>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</si>
  <si>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</si>
  <si>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</si>
  <si>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</si>
  <si>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</si>
  <si>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</si>
  <si>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</si>
  <si>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</si>
  <si>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</si>
  <si>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평균</t>
  </si>
  <si>
    <t>Total</t>
  </si>
  <si>
    <t>검사 Ch수</t>
  </si>
  <si>
    <t>총 대수</t>
  </si>
  <si>
    <t>171대</t>
  </si>
  <si>
    <t>2018대</t>
  </si>
  <si>
    <t>He 미보증</t>
  </si>
  <si>
    <t>27건</t>
  </si>
  <si>
    <t>40건</t>
  </si>
  <si>
    <t>48건</t>
  </si>
  <si>
    <t>63건</t>
  </si>
  <si>
    <t>46건</t>
  </si>
  <si>
    <t>43건</t>
  </si>
  <si>
    <t>32건</t>
  </si>
  <si>
    <t>1건</t>
  </si>
  <si>
    <t>2건</t>
  </si>
  <si>
    <t>0건</t>
  </si>
  <si>
    <t>31건</t>
  </si>
  <si>
    <t>He 미보증 제외</t>
  </si>
  <si>
    <t>71건</t>
  </si>
  <si>
    <t>74건</t>
  </si>
  <si>
    <t>104건</t>
  </si>
  <si>
    <t>57건</t>
  </si>
  <si>
    <t>83건</t>
  </si>
  <si>
    <t>36건</t>
  </si>
  <si>
    <t>25건</t>
  </si>
  <si>
    <t>28건</t>
  </si>
  <si>
    <t>37건</t>
  </si>
  <si>
    <t>21건</t>
  </si>
  <si>
    <t>14건</t>
  </si>
  <si>
    <t>12건</t>
  </si>
  <si>
    <t>47건</t>
  </si>
  <si>
    <t>불량수</t>
  </si>
  <si>
    <t>98건</t>
  </si>
  <si>
    <t>114건</t>
  </si>
  <si>
    <t>152건</t>
  </si>
  <si>
    <t>120건</t>
  </si>
  <si>
    <t>129건</t>
  </si>
  <si>
    <t>82건</t>
  </si>
  <si>
    <t>52건</t>
  </si>
  <si>
    <t>69건</t>
  </si>
  <si>
    <t>22건</t>
  </si>
  <si>
    <t>16건</t>
  </si>
  <si>
    <t>Ch당 불량률
(He 미보증 포함)</t>
  </si>
  <si>
    <t>Ch당 불량률
(He 미보증 제외)</t>
  </si>
  <si>
    <t>25年 검사수량</t>
  </si>
  <si>
    <t>검사 시간</t>
  </si>
  <si>
    <t>SINGLE TIME</t>
  </si>
  <si>
    <t>DUAL TIME</t>
  </si>
  <si>
    <t>AVARAGE TIME</t>
  </si>
  <si>
    <t>고객사별 대수</t>
  </si>
  <si>
    <t>비중</t>
  </si>
  <si>
    <t>MICRON (JP제외)</t>
  </si>
  <si>
    <t>그 외 고객사</t>
  </si>
  <si>
    <t>모델</t>
  </si>
  <si>
    <t>모델별 대수</t>
  </si>
  <si>
    <t>MICRON GAIA-I 대수</t>
  </si>
  <si>
    <t>MICRON JP 대수
(GAIA / 360m ↑)</t>
  </si>
  <si>
    <t>SK-HYNIX 대수
(GAIA-P / 120m ↑)</t>
  </si>
  <si>
    <t>O3</t>
  </si>
  <si>
    <t>기타 모델</t>
  </si>
  <si>
    <t>가압검사 주간실적</t>
  </si>
  <si>
    <t>1W</t>
  </si>
  <si>
    <t>2W</t>
  </si>
  <si>
    <t>3W</t>
  </si>
  <si>
    <t>4W</t>
  </si>
  <si>
    <t>5W</t>
  </si>
  <si>
    <t>6W</t>
  </si>
  <si>
    <t>7W</t>
  </si>
  <si>
    <t>8W</t>
  </si>
  <si>
    <t>9W</t>
  </si>
  <si>
    <t>10W</t>
  </si>
  <si>
    <t>11W</t>
  </si>
  <si>
    <t>12W</t>
  </si>
  <si>
    <t>13W</t>
  </si>
  <si>
    <t>14W</t>
  </si>
  <si>
    <t>15W</t>
  </si>
  <si>
    <t>16W</t>
  </si>
  <si>
    <t>17W</t>
  </si>
  <si>
    <t>18W</t>
  </si>
  <si>
    <t>19W</t>
  </si>
  <si>
    <t>20W</t>
  </si>
  <si>
    <t>21W</t>
  </si>
  <si>
    <t>22W</t>
  </si>
  <si>
    <t>23W</t>
  </si>
  <si>
    <t>24W</t>
  </si>
  <si>
    <t>25W</t>
  </si>
  <si>
    <t>26W</t>
  </si>
  <si>
    <t>27W</t>
  </si>
  <si>
    <t>28W</t>
  </si>
  <si>
    <t>29W</t>
  </si>
  <si>
    <t>30W</t>
  </si>
  <si>
    <t>31W</t>
  </si>
  <si>
    <t>32W</t>
  </si>
  <si>
    <t>33W</t>
  </si>
  <si>
    <t>34W</t>
  </si>
  <si>
    <t>35W</t>
  </si>
  <si>
    <t>36W</t>
  </si>
  <si>
    <t>37W</t>
  </si>
  <si>
    <t>38W</t>
  </si>
  <si>
    <t>39W</t>
  </si>
  <si>
    <t>40W</t>
  </si>
  <si>
    <t>41W</t>
  </si>
  <si>
    <t>42W</t>
  </si>
  <si>
    <t>43W</t>
  </si>
  <si>
    <t>44W</t>
  </si>
  <si>
    <t>45W</t>
  </si>
  <si>
    <t>46W</t>
  </si>
  <si>
    <t>47W</t>
  </si>
  <si>
    <t>48W</t>
  </si>
  <si>
    <t>49W</t>
  </si>
  <si>
    <t>50W</t>
  </si>
  <si>
    <t>51W</t>
  </si>
  <si>
    <t>52W</t>
  </si>
  <si>
    <t>합산</t>
  </si>
  <si>
    <t>대수</t>
  </si>
  <si>
    <t>GALLANT-C</t>
  </si>
  <si>
    <t>SOOPIA-C DUAL</t>
  </si>
  <si>
    <t>총합계</t>
  </si>
  <si>
    <t>제품사양</t>
  </si>
  <si>
    <t>고객사명</t>
  </si>
  <si>
    <t>협력사(반제품)명</t>
  </si>
  <si>
    <t>담당자</t>
  </si>
  <si>
    <t>등록일</t>
  </si>
  <si>
    <t>J13108705-25090247</t>
  </si>
  <si>
    <t>ETC4</t>
  </si>
  <si>
    <t>Orgin</t>
  </si>
  <si>
    <t>김대진1</t>
  </si>
  <si>
    <t>J13108705-25090039</t>
  </si>
  <si>
    <t>J13108705-25090245</t>
  </si>
  <si>
    <t>J13200236-25090244</t>
  </si>
  <si>
    <t>J13200236-25090242</t>
  </si>
  <si>
    <t>J13200236-25080337</t>
  </si>
  <si>
    <t>J13200236-25090243</t>
  </si>
  <si>
    <t>J13108462-25090250</t>
  </si>
  <si>
    <t>J13108462-25090249</t>
  </si>
  <si>
    <t>박준혁</t>
  </si>
  <si>
    <t>박정환1</t>
  </si>
  <si>
    <t>MICRON ID</t>
  </si>
  <si>
    <t>MICRON F6 VA</t>
  </si>
  <si>
    <t>O3 DSTR CH3</t>
  </si>
  <si>
    <t>SEC MEMORY</t>
  </si>
  <si>
    <t>MICRON F16_TW</t>
  </si>
  <si>
    <t>GABWD-500</t>
  </si>
  <si>
    <t>LAYOUT</t>
  </si>
  <si>
    <t>J13108705-25090246</t>
  </si>
  <si>
    <t>전연호</t>
  </si>
  <si>
    <t>J13108462-25090248</t>
  </si>
  <si>
    <t>J13108462-25080311</t>
  </si>
  <si>
    <t>J13108462-25080375</t>
  </si>
  <si>
    <t>MICRON F11 GAIA-I SINGLE</t>
  </si>
  <si>
    <t>MICRON F16 TW</t>
  </si>
  <si>
    <t>MICRON F11</t>
  </si>
  <si>
    <t>GABWD-3000</t>
  </si>
  <si>
    <t>YMTC4,NW50</t>
  </si>
  <si>
    <t>J13108462-25080671</t>
  </si>
  <si>
    <t>J13108705-25080381</t>
  </si>
  <si>
    <t>J13108462-25080327</t>
  </si>
  <si>
    <t>J13108462-25080344</t>
  </si>
  <si>
    <t>J13108462-25080379</t>
  </si>
  <si>
    <t>J13108462-25080378</t>
  </si>
  <si>
    <t>J13108705-25080380</t>
  </si>
  <si>
    <t>이상권</t>
  </si>
  <si>
    <t>J13108705-25080382</t>
  </si>
  <si>
    <t>J13108705-25080383</t>
  </si>
  <si>
    <t>ETC5</t>
  </si>
  <si>
    <t>SK hynix</t>
  </si>
  <si>
    <t>DABWD-500</t>
  </si>
  <si>
    <t>MICRON GAIA-I SINGLE</t>
  </si>
  <si>
    <t>SEC_MEMORY CVD/MOLD</t>
  </si>
  <si>
    <t>GABAS-6000</t>
  </si>
  <si>
    <t>MITHAS</t>
  </si>
  <si>
    <t>MWCWS-0001</t>
  </si>
  <si>
    <t>GABWS-1000</t>
  </si>
  <si>
    <t>MWCWS-0004</t>
  </si>
  <si>
    <t>ETC</t>
  </si>
  <si>
    <t>인텔向</t>
  </si>
  <si>
    <t>Intel Corporation</t>
  </si>
  <si>
    <t>MWCWS-0003</t>
  </si>
  <si>
    <t>DLBWS-500</t>
  </si>
  <si>
    <t>NW40, 6PORT, TORCH, STD REACTOR</t>
  </si>
  <si>
    <t>DRBWD-500</t>
  </si>
  <si>
    <t>GBWS-6152</t>
  </si>
  <si>
    <t>GBWS-6151</t>
  </si>
  <si>
    <t>GBWS-6130</t>
  </si>
  <si>
    <t>GBWS-6129</t>
  </si>
  <si>
    <t>GBWS-6128</t>
  </si>
  <si>
    <t>GBWS-6127</t>
  </si>
  <si>
    <t>SEUL PTE. LTD.</t>
  </si>
  <si>
    <t>iVAS GAIA-I DUAL</t>
  </si>
  <si>
    <t>GABWS-500</t>
  </si>
  <si>
    <t>DLBWD-500</t>
  </si>
  <si>
    <t>MICRON F10</t>
  </si>
  <si>
    <t>MICRON F15 JP / O</t>
  </si>
  <si>
    <t>GAPWS-20</t>
  </si>
  <si>
    <t>MICRON TW NW50 4PORT</t>
  </si>
  <si>
    <t>MICRON F10 SG</t>
  </si>
  <si>
    <t>GBWS-6372</t>
  </si>
  <si>
    <t>SEC FOUNDRY</t>
  </si>
  <si>
    <t>J13108462-25090278</t>
  </si>
  <si>
    <t>J13108462-25100218</t>
  </si>
  <si>
    <t>J13108462-25090301</t>
  </si>
  <si>
    <t>J13108705-25090302</t>
  </si>
  <si>
    <t>J13108705-25090300</t>
  </si>
  <si>
    <t>J13108705-25090307</t>
  </si>
  <si>
    <t>J13108705-25090305</t>
  </si>
  <si>
    <t>J13108705-25090304</t>
  </si>
  <si>
    <t>J13108705-25090306</t>
  </si>
  <si>
    <t>J13108705-25090303</t>
  </si>
  <si>
    <t>SDC_A4 DRY</t>
  </si>
  <si>
    <t>ET-16312</t>
  </si>
  <si>
    <t>EES-08-P</t>
  </si>
  <si>
    <t>EES-08-PA_3CH</t>
  </si>
  <si>
    <t>제조2</t>
  </si>
  <si>
    <t>ES-16311</t>
  </si>
  <si>
    <t>EES-08-D</t>
  </si>
  <si>
    <t>EES-08-SA</t>
  </si>
  <si>
    <t>주식회사 세인(법인)</t>
  </si>
  <si>
    <t>ES-16310</t>
  </si>
  <si>
    <t>ES-16309</t>
  </si>
  <si>
    <t>ET-16308</t>
  </si>
  <si>
    <t>ES-16307</t>
  </si>
  <si>
    <t>ES-16306</t>
  </si>
  <si>
    <t>ES-16305</t>
  </si>
  <si>
    <t>ET-16304</t>
  </si>
  <si>
    <t>ES-16303</t>
  </si>
  <si>
    <t>ES-16302</t>
  </si>
  <si>
    <t>ES-16301</t>
  </si>
  <si>
    <t>ET-16300</t>
  </si>
  <si>
    <t>티큐텍</t>
  </si>
  <si>
    <t>ES-16299</t>
  </si>
  <si>
    <t>테스텍</t>
  </si>
  <si>
    <t>ES-16298</t>
  </si>
  <si>
    <t>ES-16297</t>
  </si>
  <si>
    <t>ET-16296</t>
  </si>
  <si>
    <t>ES-16295</t>
  </si>
  <si>
    <t>ES-16294</t>
  </si>
  <si>
    <t>ES-16293</t>
  </si>
  <si>
    <t>ET-16292</t>
  </si>
  <si>
    <t>EES-08-PL 3CH</t>
  </si>
  <si>
    <t>ES-16291</t>
  </si>
  <si>
    <t>EES-08-DL</t>
  </si>
  <si>
    <t>ES-16290</t>
  </si>
  <si>
    <t>ES-16289</t>
  </si>
  <si>
    <t>ET-16288</t>
  </si>
  <si>
    <t>EES-06-P</t>
  </si>
  <si>
    <t>EES-06-PL 3CH</t>
  </si>
  <si>
    <t>ES-16287</t>
  </si>
  <si>
    <t>EES-06-DL</t>
  </si>
  <si>
    <t>ES-16286</t>
  </si>
  <si>
    <t>ES-16285</t>
  </si>
  <si>
    <t>ET-16284</t>
  </si>
  <si>
    <t>ES-16283</t>
  </si>
  <si>
    <t>ES-16282</t>
  </si>
  <si>
    <t>ES-16281</t>
  </si>
  <si>
    <t>ET-15140</t>
  </si>
  <si>
    <t>EES-08-PA</t>
  </si>
  <si>
    <t>EES-08-PA_3CH_SEC</t>
  </si>
  <si>
    <t>ET-16280</t>
  </si>
  <si>
    <t>ES-16279</t>
  </si>
  <si>
    <t>ES-16278</t>
  </si>
  <si>
    <t>ES-16277</t>
  </si>
  <si>
    <t>ET-16276</t>
  </si>
  <si>
    <t>ES-16275</t>
  </si>
  <si>
    <t>ES-16274</t>
  </si>
  <si>
    <t>ES-16273</t>
  </si>
  <si>
    <t>ET-16272</t>
  </si>
  <si>
    <t>ES-16271</t>
  </si>
  <si>
    <t>ES-16270</t>
  </si>
  <si>
    <t>ES-16269</t>
  </si>
  <si>
    <t>ET-16268</t>
  </si>
  <si>
    <t>ES-16265</t>
  </si>
  <si>
    <t>ES-16266</t>
  </si>
  <si>
    <t>ES-16267</t>
  </si>
  <si>
    <t>ES-16261</t>
  </si>
  <si>
    <t>ES-16263</t>
  </si>
  <si>
    <t>ES-16262</t>
  </si>
  <si>
    <t>ET-16264</t>
  </si>
  <si>
    <t>ET-16260</t>
  </si>
  <si>
    <t>ES-16259</t>
  </si>
  <si>
    <t>ES-16258</t>
  </si>
  <si>
    <t>ES-16257</t>
  </si>
  <si>
    <t>ET-16256</t>
  </si>
  <si>
    <t>ES-16255</t>
  </si>
  <si>
    <t>ES-16254</t>
  </si>
  <si>
    <t>ES-16253</t>
  </si>
  <si>
    <t>ET-16252</t>
  </si>
  <si>
    <t>ES-16251</t>
  </si>
  <si>
    <t>ES-16250</t>
  </si>
  <si>
    <t>ES-16249</t>
  </si>
  <si>
    <t>ET-16248</t>
  </si>
  <si>
    <t>ES-16247</t>
  </si>
  <si>
    <t>ES-16246</t>
  </si>
  <si>
    <t>ES-16245</t>
  </si>
  <si>
    <t>ET-16244</t>
  </si>
  <si>
    <t>ES-16243</t>
  </si>
  <si>
    <t>ES-16242</t>
  </si>
  <si>
    <t>ES-16241</t>
  </si>
  <si>
    <t>ET-16240</t>
  </si>
  <si>
    <t>ED-1008R-LR</t>
  </si>
  <si>
    <t>ED-1008R-LR_3CHAMBER(SEC)</t>
  </si>
  <si>
    <t>ED-16239</t>
  </si>
  <si>
    <t>ED-1008P-LR</t>
  </si>
  <si>
    <t>ED-16238</t>
  </si>
  <si>
    <t>ED-16237</t>
  </si>
  <si>
    <t>ET-16236</t>
  </si>
  <si>
    <t>ED-16235</t>
  </si>
  <si>
    <t>ED-16234</t>
  </si>
  <si>
    <t>ED-16233</t>
  </si>
  <si>
    <t>ET-16232</t>
  </si>
  <si>
    <t>ED-16231</t>
  </si>
  <si>
    <t>ED-16230</t>
  </si>
  <si>
    <t>ED-16229</t>
  </si>
  <si>
    <t>RS-16228</t>
  </si>
  <si>
    <t>RS-03</t>
  </si>
  <si>
    <t>RS-03-LS</t>
  </si>
  <si>
    <t>ISK</t>
  </si>
  <si>
    <t>RS-16227</t>
  </si>
  <si>
    <t>MT-16192</t>
  </si>
  <si>
    <t>RSHD-643L</t>
  </si>
  <si>
    <t>RSHD-643L-DE</t>
  </si>
  <si>
    <t>Lam Research Corporation</t>
  </si>
  <si>
    <t>MD-16313</t>
  </si>
  <si>
    <t>RSHS-1812-KI</t>
  </si>
  <si>
    <t>MD-16101</t>
  </si>
  <si>
    <t>MT-16187</t>
  </si>
  <si>
    <t>RHH-1</t>
  </si>
  <si>
    <t>RHH-1-A-IP</t>
  </si>
  <si>
    <t>(주)원익아이피에스</t>
  </si>
  <si>
    <t>RS-16186</t>
  </si>
  <si>
    <t>RS-20</t>
  </si>
  <si>
    <t>RS-20-AP</t>
  </si>
  <si>
    <t>AP시스템(주)</t>
  </si>
  <si>
    <t>RS-16185</t>
  </si>
  <si>
    <t>RS-16184</t>
  </si>
  <si>
    <t>RS-16183</t>
  </si>
  <si>
    <t>RS-16223</t>
  </si>
  <si>
    <t>RS-16222</t>
  </si>
  <si>
    <t>RS-16221</t>
  </si>
  <si>
    <t>RS-16220</t>
  </si>
  <si>
    <t>RS-16219</t>
  </si>
  <si>
    <t>SODA-C-1</t>
  </si>
  <si>
    <t>C-1-GF</t>
  </si>
  <si>
    <t>RS-16218</t>
  </si>
  <si>
    <t>RS-16217</t>
  </si>
  <si>
    <t>RS-16216</t>
  </si>
  <si>
    <t>RS-16215</t>
  </si>
  <si>
    <t>RS-16214</t>
  </si>
  <si>
    <t>MT-11233</t>
  </si>
  <si>
    <t>RDHS-181512-TR</t>
  </si>
  <si>
    <t>티엠에스코리아 주식회사</t>
  </si>
  <si>
    <t>RD-04018</t>
  </si>
  <si>
    <t>RD-05 T-P V1.0</t>
  </si>
  <si>
    <t>SDC EVEN</t>
  </si>
  <si>
    <t>MT-11226</t>
  </si>
  <si>
    <t>MT-12892</t>
  </si>
  <si>
    <t>MT-14447</t>
  </si>
  <si>
    <t>RD-00316</t>
  </si>
  <si>
    <t>ETC2</t>
  </si>
  <si>
    <t>Repair</t>
  </si>
  <si>
    <t>ED-13746</t>
  </si>
  <si>
    <t>MT-16103</t>
  </si>
  <si>
    <t>(주)예맥이앤씨</t>
  </si>
  <si>
    <t>MT-16102</t>
  </si>
  <si>
    <t>RSHD-644L</t>
  </si>
  <si>
    <t>LAM KTC</t>
  </si>
  <si>
    <t>ET-16182</t>
  </si>
  <si>
    <t>ED-1008R</t>
  </si>
  <si>
    <t>ES-16181</t>
  </si>
  <si>
    <t>ES-16180</t>
  </si>
  <si>
    <t>ES-16179</t>
  </si>
  <si>
    <t>ET-16178</t>
  </si>
  <si>
    <t>ES-16177</t>
  </si>
  <si>
    <t>ES-16176</t>
  </si>
  <si>
    <t>ES-16175</t>
  </si>
  <si>
    <t>ET-16174</t>
  </si>
  <si>
    <t>ES-16173</t>
  </si>
  <si>
    <t>ES-16172</t>
  </si>
  <si>
    <t>ES-16171</t>
  </si>
  <si>
    <t>ET-16170</t>
  </si>
  <si>
    <t>ES-16169</t>
  </si>
  <si>
    <t>ES-16168</t>
  </si>
  <si>
    <t>ES-16167</t>
  </si>
  <si>
    <t>ET-16166</t>
  </si>
  <si>
    <t>ES-16165</t>
  </si>
  <si>
    <t>ES-16164</t>
  </si>
  <si>
    <t>ES-16163</t>
  </si>
  <si>
    <t>ET-16162</t>
  </si>
  <si>
    <t>ES-16161</t>
  </si>
  <si>
    <t>ES-16160</t>
  </si>
  <si>
    <t>ES-16159</t>
  </si>
  <si>
    <t>ET-16158</t>
  </si>
  <si>
    <t>ES-16157</t>
  </si>
  <si>
    <t>ES-16156</t>
  </si>
  <si>
    <t>ES-16155</t>
  </si>
  <si>
    <t>ET-16154</t>
  </si>
  <si>
    <t>ES-16153</t>
  </si>
  <si>
    <t>ES-16152</t>
  </si>
  <si>
    <t>ES-16151</t>
  </si>
  <si>
    <t>ET-16150</t>
  </si>
  <si>
    <t>ES-16149</t>
  </si>
  <si>
    <t>ES-16148</t>
  </si>
  <si>
    <t>ES-16147</t>
  </si>
  <si>
    <t>ET-16146</t>
  </si>
  <si>
    <t>ES-16145</t>
  </si>
  <si>
    <t>ES-16144</t>
  </si>
  <si>
    <t>ES-16143</t>
  </si>
  <si>
    <t>ET-16142</t>
  </si>
  <si>
    <t>ES-16141</t>
  </si>
  <si>
    <t>ES-16140</t>
  </si>
  <si>
    <t>ES-16139</t>
  </si>
  <si>
    <t>ET-16138</t>
  </si>
  <si>
    <t>ES-16137</t>
  </si>
  <si>
    <t>ES-16136</t>
  </si>
  <si>
    <t>ES-16135</t>
  </si>
  <si>
    <t>ET-16134</t>
  </si>
  <si>
    <t>ES-16133</t>
  </si>
  <si>
    <t>ES-16132</t>
  </si>
  <si>
    <t>ES-16131</t>
  </si>
  <si>
    <t>ET-16130</t>
  </si>
  <si>
    <t>ES-16129</t>
  </si>
  <si>
    <t>ES-16128</t>
  </si>
  <si>
    <t>ES-16127</t>
  </si>
  <si>
    <t>ET-16126</t>
  </si>
  <si>
    <t>ES-16125</t>
  </si>
  <si>
    <t>ES-16124</t>
  </si>
  <si>
    <t>ES-16123</t>
  </si>
  <si>
    <t>ET-16122</t>
  </si>
  <si>
    <t>ES-16121</t>
  </si>
  <si>
    <t>ES-16120</t>
  </si>
  <si>
    <t>ES-16119</t>
  </si>
  <si>
    <t>ET-16118</t>
  </si>
  <si>
    <t>ES-16117</t>
  </si>
  <si>
    <t>ES-16116</t>
  </si>
  <si>
    <t>ES-16115</t>
  </si>
  <si>
    <t>EQ-16114</t>
  </si>
  <si>
    <t>EES-08-PM_4CH_SEC</t>
  </si>
  <si>
    <t>ES-16113</t>
  </si>
  <si>
    <t>EES-08-S</t>
  </si>
  <si>
    <t>EES-08-SM</t>
  </si>
  <si>
    <t>ES-16112</t>
  </si>
  <si>
    <t>ES-16111</t>
  </si>
  <si>
    <t>ES-16110</t>
  </si>
  <si>
    <t>MT-16090</t>
  </si>
  <si>
    <t>램리서치코리아테크놀로지 유한회사</t>
  </si>
  <si>
    <t>RS-16109</t>
  </si>
  <si>
    <t>RS-16108</t>
  </si>
  <si>
    <t>RS-16107</t>
  </si>
  <si>
    <t>RS-16106</t>
  </si>
  <si>
    <t>RS-16105</t>
  </si>
  <si>
    <t>RS-16104</t>
  </si>
  <si>
    <t>RS-16100</t>
  </si>
  <si>
    <t>RS-16099</t>
  </si>
  <si>
    <t>RS-16098</t>
  </si>
  <si>
    <t>RS-16097</t>
  </si>
  <si>
    <t>RS-16096</t>
  </si>
  <si>
    <t>RS-16095</t>
  </si>
  <si>
    <t>RS-16094</t>
  </si>
  <si>
    <t>ET-16065</t>
  </si>
  <si>
    <t>ES-16064</t>
  </si>
  <si>
    <t>ES-16063</t>
  </si>
  <si>
    <t>ES-16062</t>
  </si>
  <si>
    <t>ET-16061</t>
  </si>
  <si>
    <t>ES-16060</t>
  </si>
  <si>
    <t>ES-16059</t>
  </si>
  <si>
    <t>ES-16058</t>
  </si>
  <si>
    <t>ET-16057</t>
  </si>
  <si>
    <t>ES-16056</t>
  </si>
  <si>
    <t>ES-16055</t>
  </si>
  <si>
    <t>ES-16054</t>
  </si>
  <si>
    <t>ET-16053</t>
  </si>
  <si>
    <t>ES-16052</t>
  </si>
  <si>
    <t>ES-16051</t>
  </si>
  <si>
    <t>ES-16050</t>
  </si>
  <si>
    <t>ET-16049</t>
  </si>
  <si>
    <t>ES-16048</t>
  </si>
  <si>
    <t>ES-16047</t>
  </si>
  <si>
    <t>ES-16046</t>
  </si>
  <si>
    <t>ET-16045</t>
  </si>
  <si>
    <t>ES-16044</t>
  </si>
  <si>
    <t>ES-16043</t>
  </si>
  <si>
    <t>ES-16042</t>
  </si>
  <si>
    <t>ET-16041</t>
  </si>
  <si>
    <t>ES-16040</t>
  </si>
  <si>
    <t>ES-16039</t>
  </si>
  <si>
    <t>ES-16038</t>
  </si>
  <si>
    <t>ET-16037</t>
  </si>
  <si>
    <t>ES-16036</t>
  </si>
  <si>
    <t>ES-16035</t>
  </si>
  <si>
    <t>ES-16034</t>
  </si>
  <si>
    <t>ET-16033</t>
  </si>
  <si>
    <t>ES-16032</t>
  </si>
  <si>
    <t>ES-16031</t>
  </si>
  <si>
    <t>ES-16030</t>
  </si>
  <si>
    <t>ET-16001</t>
  </si>
  <si>
    <t>ES-16000</t>
  </si>
  <si>
    <t>ES-15999</t>
  </si>
  <si>
    <t>ES-15998</t>
  </si>
  <si>
    <t>ET-15997</t>
  </si>
  <si>
    <t>ES-15996</t>
  </si>
  <si>
    <t>ES-15995</t>
  </si>
  <si>
    <t>ES-15994</t>
  </si>
  <si>
    <t>ET-15993</t>
  </si>
  <si>
    <t>ES-15992</t>
  </si>
  <si>
    <t>ES-15991</t>
  </si>
  <si>
    <t>ES-15990</t>
  </si>
  <si>
    <t>ET-15989</t>
  </si>
  <si>
    <t>ES-15988</t>
  </si>
  <si>
    <t>ES-15987</t>
  </si>
  <si>
    <t>ES-15986</t>
  </si>
  <si>
    <t>ET-15985</t>
  </si>
  <si>
    <t>ES-15984</t>
  </si>
  <si>
    <t>ES-15983</t>
  </si>
  <si>
    <t>ES-15982</t>
  </si>
  <si>
    <t>ET-15981</t>
  </si>
  <si>
    <t>ES-15980</t>
  </si>
  <si>
    <t>ES-15979</t>
  </si>
  <si>
    <t>ES-15978</t>
  </si>
  <si>
    <t>AIR WATER MECHATRONICS INC</t>
  </si>
  <si>
    <t>RD-16101</t>
  </si>
  <si>
    <t>GAIA-P DUAL (W1500)</t>
  </si>
  <si>
    <t>TAYOR / 110</t>
  </si>
  <si>
    <t>TAYOR / 100</t>
  </si>
  <si>
    <t>TAYOR / 60</t>
  </si>
  <si>
    <t>DABWS-500</t>
  </si>
  <si>
    <t>NW40,6,STD,SCREW</t>
  </si>
  <si>
    <t>TAYOR / 130</t>
  </si>
  <si>
    <t>TAYOR / 80</t>
  </si>
  <si>
    <t>J13108462-25100217</t>
  </si>
  <si>
    <t>J13108462-25100204</t>
  </si>
  <si>
    <t>J13108462-25100203</t>
  </si>
  <si>
    <t>GAIA-P20 DUAL</t>
  </si>
  <si>
    <t>GAPWD-20</t>
  </si>
  <si>
    <t>P1220(A1504)x3CH, SCREW</t>
  </si>
  <si>
    <t>J13108705-25100219</t>
  </si>
  <si>
    <t>J13108705-25100224</t>
  </si>
  <si>
    <t>J13108705-25100222</t>
  </si>
  <si>
    <t>J13108705-25100221</t>
  </si>
  <si>
    <t>J13108705-25100223</t>
  </si>
  <si>
    <t>J13108705-25100220</t>
  </si>
  <si>
    <t>2107-0008</t>
  </si>
  <si>
    <t>ETC1</t>
  </si>
  <si>
    <t>Swap</t>
  </si>
  <si>
    <t>더블유케이 주식회사</t>
  </si>
  <si>
    <t>제조1</t>
  </si>
  <si>
    <t>GBWS-6472</t>
  </si>
  <si>
    <t>GBWS-6462</t>
  </si>
  <si>
    <t>GBWS-6461</t>
  </si>
  <si>
    <t>GBWS-6460</t>
  </si>
  <si>
    <t>GBWS-6459</t>
  </si>
  <si>
    <t>NW40,3,STD,SCREW</t>
  </si>
  <si>
    <t>GBWS-6451</t>
  </si>
  <si>
    <t>GBWS-6450</t>
  </si>
  <si>
    <t>TAYOR / 150</t>
  </si>
  <si>
    <t>GBWS-6545</t>
  </si>
  <si>
    <t>GBWS-6544</t>
  </si>
  <si>
    <t>GBWS-6542</t>
  </si>
  <si>
    <t>GBWS-6541</t>
  </si>
  <si>
    <t>GBWS-6540</t>
  </si>
  <si>
    <t>GBWS-6489</t>
  </si>
  <si>
    <t>GBWS-6488</t>
  </si>
  <si>
    <t>CL2 처리용</t>
  </si>
  <si>
    <t>테크센드</t>
  </si>
  <si>
    <t>GBWS-6487</t>
  </si>
  <si>
    <t>GBWS-6485</t>
  </si>
  <si>
    <t>NW40,3,DOUBLE,SCREW</t>
  </si>
  <si>
    <t>GPWS-0649</t>
  </si>
  <si>
    <t>GBWS-6479</t>
  </si>
  <si>
    <t>GBWS-6478</t>
  </si>
  <si>
    <t>GBWS-6477</t>
  </si>
  <si>
    <t>GBWS-6476</t>
  </si>
  <si>
    <t>GALLANT-C-II</t>
  </si>
  <si>
    <t>GLBBWS-1500</t>
  </si>
  <si>
    <t>GBWS-6475</t>
  </si>
  <si>
    <t>GBWS-6474</t>
  </si>
  <si>
    <t>GBWS-6473</t>
  </si>
  <si>
    <t>GBWS-6500</t>
  </si>
  <si>
    <t>GBWS-6499</t>
  </si>
  <si>
    <t>GBWS-6498</t>
  </si>
  <si>
    <t>GBWS-6497</t>
  </si>
  <si>
    <t>GBWS-6525</t>
  </si>
  <si>
    <t>TAYOR / 70</t>
  </si>
  <si>
    <t>GBWS-6524</t>
  </si>
  <si>
    <t>GBWS-6523</t>
  </si>
  <si>
    <t>TAYOR / 10</t>
  </si>
  <si>
    <t>GBWS-6522</t>
  </si>
  <si>
    <t>GPWS-0651</t>
  </si>
  <si>
    <t>GPWS-0650</t>
  </si>
  <si>
    <t>GBWS-6496</t>
  </si>
  <si>
    <t>GBWS-6495</t>
  </si>
  <si>
    <t>GBWS-6494</t>
  </si>
  <si>
    <t>GBWS-6521</t>
  </si>
  <si>
    <t>TAYOR / 90</t>
  </si>
  <si>
    <t>GBWS-6520</t>
  </si>
  <si>
    <t>GBWS-6519</t>
  </si>
  <si>
    <t>GBWS-6518</t>
  </si>
  <si>
    <t>GBWS-6493</t>
  </si>
  <si>
    <t>GBWS-6492</t>
  </si>
  <si>
    <t>GBWS-6517</t>
  </si>
  <si>
    <t>GPWS-0654</t>
  </si>
  <si>
    <t>GPWS-0653</t>
  </si>
  <si>
    <t>GBWS-6516</t>
  </si>
  <si>
    <t>GBWS-6515</t>
  </si>
  <si>
    <t>GBWS-6514</t>
  </si>
  <si>
    <t>GBWS-6513</t>
  </si>
  <si>
    <t>GBWS-6512</t>
  </si>
  <si>
    <t>GBWS-6486</t>
  </si>
  <si>
    <t>GBWS-6491</t>
  </si>
  <si>
    <t>GBWS-6490</t>
  </si>
  <si>
    <t>테크센드포토마스크</t>
  </si>
  <si>
    <t>WK</t>
  </si>
  <si>
    <t>삼성디스플레이(주)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</si>
</sst>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대&quot;"/>
    <numFmt numFmtId="177" formatCode="0&quot;건&quot;"/>
    <numFmt numFmtId="178" formatCode="0.0%"/>
    <numFmt numFmtId="179" formatCode="0_ "/>
    <numFmt numFmtId="180" formatCode="0_);[Red]\(0\)"/>
  </numFmts>
  <fonts count="85">
    <font>
      <b/>
      <sz val="9"/>
      <color rgb="FF0E006F"/>
      <name val="Malgun Gothic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rgb="FF000000"/>
      <name val="Malgun Gothic"/>
      <family val="3"/>
      <charset val="129"/>
    </font>
    <font>
      <b/>
      <sz val="9"/>
      <color rgb="FF484848"/>
      <name val="Malgun Gothic"/>
      <family val="3"/>
      <charset val="129"/>
    </font>
    <font>
      <b/>
      <sz val="8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0"/>
      <name val="맑은 고딕"/>
      <family val="3"/>
      <charset val="129"/>
      <scheme val="major"/>
    </font>
    <font>
      <sz val="9"/>
      <color rgb="FF000000"/>
      <name val="Arial"/>
      <family val="2"/>
    </font>
    <font>
      <sz val="9"/>
      <name val="Malgun Gothic"/>
      <family val="3"/>
      <charset val="129"/>
    </font>
    <font>
      <sz val="9"/>
      <color theme="1"/>
      <name val="Malgun Gothic"/>
      <family val="3"/>
      <charset val="129"/>
    </font>
    <font>
      <b/>
      <sz val="9"/>
      <color rgb="FF0E006F"/>
      <name val="Malgun Gothic"/>
      <family val="3"/>
      <charset val="129"/>
    </font>
    <font>
      <b/>
      <sz val="9"/>
      <color theme="1"/>
      <name val="Malgun Gothic"/>
      <family val="3"/>
      <charset val="129"/>
    </font>
    <font>
      <sz val="9"/>
      <color rgb="FF0E006F"/>
      <name val="Malgun Gothic"/>
      <family val="3"/>
      <charset val="129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inor"/>
    </font>
    <font>
      <b/>
      <sz val="9"/>
      <color rgb="FF0000FF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4"/>
      <color rgb="FF0E006F"/>
      <name val="맑은 고딕"/>
      <family val="3"/>
      <charset val="129"/>
      <scheme val="minor"/>
    </font>
    <font>
      <b/>
      <sz val="12"/>
      <name val="맑은 고딕"/>
      <family val="3"/>
      <charset val="129"/>
      <scheme val="major"/>
    </font>
    <font>
      <b/>
      <sz val="6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  <scheme val="major"/>
    </font>
    <font>
      <b/>
      <sz val="20"/>
      <color theme="0"/>
      <name val="맑은 고딕"/>
      <family val="3"/>
      <charset val="129"/>
      <scheme val="minor"/>
    </font>
    <font>
      <b/>
      <sz val="20"/>
      <color rgb="FF0E006F"/>
      <name val="맑은 고딕"/>
      <family val="3"/>
      <charset val="129"/>
      <scheme val="minor"/>
    </font>
    <font>
      <sz val="11"/>
      <color theme="1"/>
      <name val="Malgun Gothic"/>
      <family val="3"/>
      <charset val="129"/>
    </font>
    <font>
      <sz val="11"/>
      <color rgb="FF000000"/>
      <name val="맑은 고딕"/>
      <family val="3"/>
      <charset val="129"/>
    </font>
    <font>
      <sz val="9"/>
      <color rgb="FF0E006F"/>
      <name val="Malgun Gothic"/>
      <family val="3"/>
      <charset val="129"/>
    </font>
    <font>
      <sz val="9"/>
      <color theme="1"/>
      <name val="Malgun Gothic"/>
      <family val="3"/>
      <charset val="129"/>
    </font>
    <font>
      <sz val="9"/>
      <color rgb="FF000000"/>
      <name val="맑은 고딕"/>
      <scheme val="minor"/>
    </font>
    <font>
      <b/>
      <sz val="9"/>
      <color rgb="FF0000FF"/>
      <name val="맑은 고딕"/>
      <scheme val="minor"/>
    </font>
    <font>
      <sz val="9"/>
      <color rgb="FF000000"/>
      <name val="맑은 고딕"/>
      <family val="3"/>
      <charset val="129"/>
      <scheme val="minor"/>
    </font>
    <font>
      <sz val="11"/>
      <color rgb="FF000000"/>
      <name val="Aptos Narrow"/>
      <charset val="1"/>
    </font>
    <font>
      <b/>
      <sz val="9"/>
      <color rgb="FF000000"/>
      <name val="Malgun Gothic"/>
      <family val="3"/>
      <charset val="129"/>
    </font>
    <font>
      <sz val="9"/>
      <color theme="1"/>
      <name val="맑은 고딕"/>
      <scheme val="minor"/>
    </font>
    <font>
      <b/>
      <sz val="12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b/>
      <sz val="9"/>
      <color theme="1"/>
      <name val="Malgun Gothic"/>
      <family val="3"/>
      <charset val="129"/>
    </font>
    <font>
      <sz val="11"/>
      <color rgb="FF000000"/>
      <name val="Malgun Gothic"/>
      <family val="3"/>
      <charset val="129"/>
    </font>
    <font>
      <sz val="10"/>
      <color rgb="FF000000"/>
      <name val="Malgun Gothic"/>
      <family val="3"/>
      <charset val="129"/>
    </font>
    <font>
      <b/>
      <sz val="11"/>
      <color rgb="FF000000"/>
      <name val="맑은 고딕"/>
      <family val="3"/>
      <charset val="129"/>
    </font>
    <font>
      <b/>
      <sz val="18"/>
      <color theme="0"/>
      <name val="Malgun Gothic"/>
      <family val="3"/>
      <charset val="129"/>
    </font>
    <font>
      <b/>
      <sz val="18"/>
      <color rgb="FFFFFFFF"/>
      <name val="Malgun Gothic"/>
      <family val="3"/>
      <charset val="129"/>
    </font>
    <font>
      <b/>
      <sz val="18"/>
      <color rgb="FFF4B084"/>
      <name val="Malgun Gothic"/>
      <family val="3"/>
      <charset val="129"/>
    </font>
    <font>
      <b/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11"/>
      <color rgb="FF000000"/>
      <name val="Aptos Narrow"/>
      <family val="2"/>
    </font>
    <font>
      <b/>
      <sz val="9"/>
      <color rgb="FF000000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b/>
      <sz val="20"/>
      <color theme="1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4"/>
      <color theme="1"/>
      <name val="Malgun Gothic"/>
      <family val="3"/>
      <charset val="129"/>
    </font>
    <font>
      <b/>
      <sz val="9"/>
      <color theme="0"/>
      <name val="Malgun Gothic"/>
      <family val="3"/>
      <charset val="129"/>
    </font>
    <font>
      <b/>
      <sz val="10"/>
      <color rgb="FFFF0000"/>
      <name val="Malgun Gothic"/>
      <family val="3"/>
      <charset val="129"/>
    </font>
    <font>
      <b/>
      <sz val="10"/>
      <color rgb="FF0000FF"/>
      <name val="Malgun Gothic"/>
      <family val="3"/>
      <charset val="129"/>
    </font>
    <font>
      <b/>
      <sz val="11"/>
      <color rgb="FFFF0000"/>
      <name val="맑은 고딕"/>
      <family val="2"/>
      <charset val="129"/>
      <scheme val="minor"/>
    </font>
    <font>
      <b/>
      <sz val="9"/>
      <color theme="1"/>
      <name val="Malgun Gothic"/>
      <charset val="1"/>
    </font>
    <font>
      <b/>
      <sz val="10"/>
      <color theme="1"/>
      <name val="Arial"/>
      <charset val="1"/>
    </font>
    <font>
      <b/>
      <sz val="9"/>
      <color theme="1"/>
      <name val="Malgun Gothic"/>
    </font>
    <font>
      <sz val="9"/>
      <color theme="1"/>
      <name val="Malgun Gothic"/>
      <charset val="1"/>
    </font>
    <font>
      <sz val="9"/>
      <color rgb="FF000000"/>
      <name val="Calibri"/>
      <scheme val="minor"/>
    </font>
    <font>
      <b/>
      <sz val="9"/>
      <color rgb="FF0000FF"/>
      <name val="Calibri"/>
      <scheme val="minor"/>
    </font>
    <font>
      <sz val="9"/>
      <color theme="1"/>
      <name val="Calibri"/>
      <scheme val="minor"/>
    </font>
    <font>
      <b/>
      <sz val="9"/>
      <color rgb="FF0000FF"/>
      <name val="Malgun Gothic"/>
    </font>
    <font>
      <sz val="9"/>
      <color rgb="FF000000"/>
      <name val="Malgun Gothic"/>
    </font>
    <font>
      <sz val="9"/>
      <color theme="1"/>
      <name val="Malgun Gothic"/>
    </font>
    <font>
      <b/>
      <sz val="25"/>
      <color rgb="FF0000FF"/>
      <name val="맑은 고딕"/>
      <family val="3"/>
      <charset val="129"/>
    </font>
    <font>
      <b/>
      <sz val="11"/>
      <color rgb="FFFFFFFF"/>
      <name val="맑은 고딕"/>
      <family val="3"/>
      <charset val="129"/>
    </font>
  </fonts>
  <fills count="3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9E2B8"/>
        <bgColor indexed="64"/>
      </patternFill>
    </fill>
    <fill>
      <patternFill patternType="solid">
        <fgColor rgb="FFDFC9E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0CECE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AF2EC"/>
        <bgColor indexed="64"/>
      </patternFill>
    </fill>
    <fill>
      <patternFill patternType="solid">
        <fgColor rgb="FFE09B9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AEE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rgb="FFF1FAEB"/>
        <bgColor indexed="64"/>
      </patternFill>
    </fill>
  </fills>
  <borders count="1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rgb="FF000000"/>
      </bottom>
      <diagonal/>
    </border>
    <border>
      <left/>
      <right style="medium">
        <color rgb="FF000000"/>
      </right>
      <top style="thin">
        <color auto="1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DEDEDE"/>
      </right>
      <top/>
      <bottom style="thin">
        <color rgb="FFDEDEDE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indexed="64"/>
      </right>
      <top/>
      <bottom style="medium">
        <color rgb="FF000000"/>
      </bottom>
      <diagonal/>
    </border>
    <border>
      <left/>
      <right style="thin">
        <color indexed="64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indexed="64"/>
      </right>
      <top style="thin">
        <color indexed="64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/>
      <right style="thin">
        <color auto="1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CCCCCC"/>
      </left>
      <right style="thin">
        <color rgb="FFC4CBD4"/>
      </right>
      <top style="thin">
        <color rgb="FF000000"/>
      </top>
      <bottom style="thin">
        <color rgb="FFC4CBD4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DEDEDE"/>
      </right>
      <top style="thin">
        <color rgb="FFCCCCCC"/>
      </top>
      <bottom style="thin">
        <color rgb="FFDEDEDE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DEDEDE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indexed="64"/>
      </top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/>
      <top style="medium">
        <color indexed="64"/>
      </top>
      <bottom/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</cellStyleXfs>
  <cellXfs count="913">
    <xf numFmtId="0" fontId="0" fillId="0" borderId="0" xfId="0">
      <alignment vertical="center"/>
    </xf>
    <xf numFmtId="0" fontId="16" fillId="8" borderId="1" xfId="1" applyFont="1" applyFill="1" applyBorder="1" applyAlignment="1">
      <alignment horizontal="center" vertical="center"/>
    </xf>
    <xf numFmtId="0" fontId="4" fillId="3" borderId="0" xfId="1" applyFill="1">
      <alignment vertical="center"/>
    </xf>
    <xf numFmtId="0" fontId="4" fillId="0" borderId="1" xfId="1" applyBorder="1" applyAlignment="1">
      <alignment horizontal="center" vertical="center"/>
    </xf>
    <xf numFmtId="0" fontId="4" fillId="0" borderId="0" xfId="1">
      <alignment vertical="center"/>
    </xf>
    <xf numFmtId="0" fontId="4" fillId="5" borderId="1" xfId="1" applyFill="1" applyBorder="1" applyAlignment="1">
      <alignment horizontal="center" vertical="center"/>
    </xf>
    <xf numFmtId="0" fontId="4" fillId="3" borderId="1" xfId="1" applyFill="1" applyBorder="1" applyAlignment="1">
      <alignment horizontal="center" vertical="center"/>
    </xf>
    <xf numFmtId="0" fontId="4" fillId="0" borderId="1" xfId="1" applyBorder="1" applyAlignment="1">
      <alignment horizontal="center" vertical="center" wrapText="1"/>
    </xf>
    <xf numFmtId="0" fontId="17" fillId="5" borderId="1" xfId="1" applyFont="1" applyFill="1" applyBorder="1" applyAlignment="1">
      <alignment horizontal="center" vertical="center"/>
    </xf>
    <xf numFmtId="0" fontId="17" fillId="9" borderId="1" xfId="1" applyFont="1" applyFill="1" applyBorder="1" applyAlignment="1">
      <alignment horizontal="center" vertical="center" wrapText="1"/>
    </xf>
    <xf numFmtId="0" fontId="17" fillId="3" borderId="0" xfId="1" applyFont="1" applyFill="1">
      <alignment vertical="center"/>
    </xf>
    <xf numFmtId="0" fontId="4" fillId="9" borderId="1" xfId="1" applyFill="1" applyBorder="1" applyAlignment="1">
      <alignment horizontal="center" vertical="center"/>
    </xf>
    <xf numFmtId="0" fontId="4" fillId="5" borderId="0" xfId="1" applyFill="1">
      <alignment vertical="center"/>
    </xf>
    <xf numFmtId="0" fontId="17" fillId="3" borderId="1" xfId="1" applyFont="1" applyFill="1" applyBorder="1" applyAlignment="1">
      <alignment horizontal="center" vertical="center"/>
    </xf>
    <xf numFmtId="0" fontId="4" fillId="4" borderId="1" xfId="1" applyFill="1" applyBorder="1" applyAlignment="1">
      <alignment horizontal="center" vertical="center"/>
    </xf>
    <xf numFmtId="0" fontId="4" fillId="4" borderId="0" xfId="1" applyFill="1">
      <alignment vertical="center"/>
    </xf>
    <xf numFmtId="0" fontId="4" fillId="4" borderId="1" xfId="1" applyFill="1" applyBorder="1" applyAlignment="1">
      <alignment horizontal="center" vertical="center" wrapText="1"/>
    </xf>
    <xf numFmtId="0" fontId="4" fillId="10" borderId="1" xfId="1" applyFill="1" applyBorder="1" applyAlignment="1">
      <alignment horizontal="center" vertical="center"/>
    </xf>
    <xf numFmtId="0" fontId="19" fillId="10" borderId="0" xfId="1" applyFont="1" applyFill="1">
      <alignment vertical="center"/>
    </xf>
    <xf numFmtId="0" fontId="4" fillId="11" borderId="0" xfId="1" applyFill="1">
      <alignment vertical="center"/>
    </xf>
    <xf numFmtId="0" fontId="4" fillId="0" borderId="1" xfId="1" applyBorder="1">
      <alignment vertical="center"/>
    </xf>
    <xf numFmtId="0" fontId="4" fillId="0" borderId="0" xfId="1" applyAlignment="1">
      <alignment horizontal="center" vertical="center"/>
    </xf>
    <xf numFmtId="0" fontId="20" fillId="0" borderId="1" xfId="1" applyFont="1" applyBorder="1" applyAlignment="1">
      <alignment horizontal="center" vertical="center"/>
    </xf>
    <xf numFmtId="0" fontId="17" fillId="4" borderId="1" xfId="1" applyFont="1" applyFill="1" applyBorder="1" applyAlignment="1">
      <alignment horizontal="center" vertical="center"/>
    </xf>
    <xf numFmtId="0" fontId="17" fillId="3" borderId="1" xfId="1" applyFont="1" applyFill="1" applyBorder="1">
      <alignment vertical="center"/>
    </xf>
    <xf numFmtId="0" fontId="17" fillId="4" borderId="0" xfId="1" applyFont="1" applyFill="1">
      <alignment vertical="center"/>
    </xf>
    <xf numFmtId="0" fontId="4" fillId="10" borderId="0" xfId="1" applyFill="1">
      <alignment vertical="center"/>
    </xf>
    <xf numFmtId="0" fontId="4" fillId="12" borderId="0" xfId="1" applyFill="1">
      <alignment vertical="center"/>
    </xf>
    <xf numFmtId="0" fontId="4" fillId="12" borderId="1" xfId="1" applyFill="1" applyBorder="1" applyAlignment="1">
      <alignment horizontal="center" vertical="center"/>
    </xf>
    <xf numFmtId="0" fontId="4" fillId="3" borderId="1" xfId="1" applyFill="1" applyBorder="1" applyAlignment="1">
      <alignment horizontal="center" vertical="center" wrapText="1"/>
    </xf>
    <xf numFmtId="0" fontId="21" fillId="0" borderId="1" xfId="1" applyFont="1" applyBorder="1" applyAlignment="1">
      <alignment horizontal="center" vertical="center" wrapText="1"/>
    </xf>
    <xf numFmtId="0" fontId="21" fillId="4" borderId="1" xfId="1" applyFont="1" applyFill="1" applyBorder="1" applyAlignment="1">
      <alignment horizontal="center" vertical="center" wrapText="1"/>
    </xf>
    <xf numFmtId="0" fontId="4" fillId="0" borderId="22" xfId="1" applyBorder="1" applyAlignment="1">
      <alignment horizontal="center" vertical="center"/>
    </xf>
    <xf numFmtId="0" fontId="4" fillId="3" borderId="0" xfId="1" applyFill="1" applyAlignment="1">
      <alignment horizontal="center" vertical="center"/>
    </xf>
    <xf numFmtId="0" fontId="18" fillId="3" borderId="1" xfId="1" applyFont="1" applyFill="1" applyBorder="1" applyAlignment="1">
      <alignment horizontal="center" vertical="center"/>
    </xf>
    <xf numFmtId="0" fontId="17" fillId="0" borderId="1" xfId="1" applyFont="1" applyBorder="1" applyAlignment="1">
      <alignment horizontal="center" vertical="center"/>
    </xf>
    <xf numFmtId="0" fontId="17" fillId="0" borderId="0" xfId="1" applyFont="1">
      <alignment vertical="center"/>
    </xf>
    <xf numFmtId="0" fontId="17" fillId="9" borderId="1" xfId="1" applyFont="1" applyFill="1" applyBorder="1" applyAlignment="1">
      <alignment horizontal="center" vertical="center"/>
    </xf>
    <xf numFmtId="0" fontId="17" fillId="9" borderId="0" xfId="1" applyFont="1" applyFill="1">
      <alignment vertical="center"/>
    </xf>
    <xf numFmtId="0" fontId="17" fillId="3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 vertical="center"/>
    </xf>
    <xf numFmtId="0" fontId="24" fillId="9" borderId="1" xfId="0" applyFont="1" applyFill="1" applyBorder="1" applyAlignment="1">
      <alignment horizontal="center" vertical="center"/>
    </xf>
    <xf numFmtId="0" fontId="24" fillId="9" borderId="1" xfId="0" applyFont="1" applyFill="1" applyBorder="1" applyAlignment="1">
      <alignment horizontal="center" vertical="center" wrapText="1"/>
    </xf>
    <xf numFmtId="0" fontId="24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0" fontId="16" fillId="13" borderId="24" xfId="0" applyFont="1" applyFill="1" applyBorder="1" applyAlignment="1">
      <alignment horizontal="center" vertical="center"/>
    </xf>
    <xf numFmtId="0" fontId="16" fillId="13" borderId="41" xfId="0" applyFont="1" applyFill="1" applyBorder="1" applyAlignment="1">
      <alignment horizontal="center" vertical="center"/>
    </xf>
    <xf numFmtId="0" fontId="16" fillId="10" borderId="14" xfId="0" applyFont="1" applyFill="1" applyBorder="1" applyAlignment="1">
      <alignment horizontal="center" vertical="center"/>
    </xf>
    <xf numFmtId="0" fontId="16" fillId="9" borderId="14" xfId="0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/>
    </xf>
    <xf numFmtId="0" fontId="16" fillId="16" borderId="11" xfId="0" applyFont="1" applyFill="1" applyBorder="1" applyAlignment="1">
      <alignment horizontal="center" vertical="center"/>
    </xf>
    <xf numFmtId="0" fontId="16" fillId="16" borderId="2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9" fillId="6" borderId="45" xfId="0" applyFont="1" applyFill="1" applyBorder="1" applyAlignment="1">
      <alignment horizontal="center" vertical="center"/>
    </xf>
    <xf numFmtId="0" fontId="29" fillId="6" borderId="5" xfId="0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3" fillId="4" borderId="14" xfId="2" applyFont="1" applyFill="1" applyBorder="1" applyAlignment="1">
      <alignment horizontal="center" vertical="center" wrapText="1"/>
    </xf>
    <xf numFmtId="0" fontId="33" fillId="5" borderId="1" xfId="2" applyFont="1" applyFill="1" applyBorder="1" applyAlignment="1">
      <alignment horizontal="center" vertical="center"/>
    </xf>
    <xf numFmtId="0" fontId="33" fillId="5" borderId="7" xfId="2" applyFont="1" applyFill="1" applyBorder="1">
      <alignment vertical="center"/>
    </xf>
    <xf numFmtId="0" fontId="33" fillId="5" borderId="20" xfId="2" applyFont="1" applyFill="1" applyBorder="1">
      <alignment vertical="center"/>
    </xf>
    <xf numFmtId="0" fontId="33" fillId="5" borderId="19" xfId="2" applyFont="1" applyFill="1" applyBorder="1">
      <alignment vertical="center"/>
    </xf>
    <xf numFmtId="0" fontId="24" fillId="0" borderId="1" xfId="1" applyFont="1" applyBorder="1" applyAlignment="1">
      <alignment horizontal="center" vertical="center"/>
    </xf>
    <xf numFmtId="0" fontId="24" fillId="3" borderId="1" xfId="1" applyFont="1" applyFill="1" applyBorder="1" applyAlignment="1">
      <alignment horizontal="center" vertical="center"/>
    </xf>
    <xf numFmtId="0" fontId="24" fillId="0" borderId="0" xfId="1" applyFont="1">
      <alignment vertical="center"/>
    </xf>
    <xf numFmtId="0" fontId="24" fillId="0" borderId="1" xfId="0" applyFont="1" applyBorder="1" applyAlignment="1">
      <alignment horizontal="center" vertical="center"/>
    </xf>
    <xf numFmtId="0" fontId="24" fillId="3" borderId="0" xfId="0" applyFont="1" applyFill="1">
      <alignment vertical="center"/>
    </xf>
    <xf numFmtId="0" fontId="24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3" fillId="4" borderId="14" xfId="0" applyFont="1" applyFill="1" applyBorder="1" applyAlignment="1">
      <alignment horizontal="center" vertical="center"/>
    </xf>
    <xf numFmtId="0" fontId="33" fillId="5" borderId="1" xfId="0" applyFont="1" applyFill="1" applyBorder="1" applyAlignment="1">
      <alignment horizontal="center" vertical="center"/>
    </xf>
    <xf numFmtId="0" fontId="33" fillId="5" borderId="2" xfId="0" applyFont="1" applyFill="1" applyBorder="1" applyAlignment="1">
      <alignment horizontal="center" vertical="center"/>
    </xf>
    <xf numFmtId="178" fontId="32" fillId="0" borderId="52" xfId="2" applyNumberFormat="1" applyFont="1" applyBorder="1" applyAlignment="1">
      <alignment horizontal="center" vertical="center"/>
    </xf>
    <xf numFmtId="0" fontId="33" fillId="4" borderId="22" xfId="2" applyFont="1" applyFill="1" applyBorder="1" applyAlignment="1">
      <alignment horizontal="center" vertical="center" wrapText="1"/>
    </xf>
    <xf numFmtId="177" fontId="37" fillId="3" borderId="4" xfId="0" applyNumberFormat="1" applyFont="1" applyFill="1" applyBorder="1" applyAlignment="1">
      <alignment horizontal="center" vertical="center" shrinkToFit="1"/>
    </xf>
    <xf numFmtId="0" fontId="41" fillId="0" borderId="0" xfId="0" applyFont="1">
      <alignment vertical="center"/>
    </xf>
    <xf numFmtId="177" fontId="39" fillId="3" borderId="22" xfId="0" applyNumberFormat="1" applyFont="1" applyFill="1" applyBorder="1" applyAlignment="1">
      <alignment horizontal="center" vertical="center" shrinkToFit="1"/>
    </xf>
    <xf numFmtId="177" fontId="39" fillId="3" borderId="1" xfId="0" applyNumberFormat="1" applyFont="1" applyFill="1" applyBorder="1" applyAlignment="1">
      <alignment horizontal="center" vertical="center" shrinkToFit="1"/>
    </xf>
    <xf numFmtId="179" fontId="16" fillId="8" borderId="1" xfId="1" applyNumberFormat="1" applyFont="1" applyFill="1" applyBorder="1" applyAlignment="1">
      <alignment horizontal="center" vertical="center"/>
    </xf>
    <xf numFmtId="179" fontId="4" fillId="0" borderId="1" xfId="1" applyNumberFormat="1" applyBorder="1" applyAlignment="1">
      <alignment horizontal="center" vertical="center"/>
    </xf>
    <xf numFmtId="179" fontId="24" fillId="0" borderId="1" xfId="1" applyNumberFormat="1" applyFont="1" applyBorder="1" applyAlignment="1">
      <alignment horizontal="center" vertical="center"/>
    </xf>
    <xf numFmtId="0" fontId="31" fillId="5" borderId="42" xfId="0" applyFont="1" applyFill="1" applyBorder="1" applyAlignment="1">
      <alignment horizontal="center" vertical="center"/>
    </xf>
    <xf numFmtId="0" fontId="36" fillId="0" borderId="52" xfId="0" applyFont="1" applyBorder="1" applyAlignment="1">
      <alignment horizontal="center" vertical="center"/>
    </xf>
    <xf numFmtId="0" fontId="32" fillId="0" borderId="21" xfId="0" applyFont="1" applyBorder="1" applyAlignment="1">
      <alignment horizontal="left" vertical="center"/>
    </xf>
    <xf numFmtId="0" fontId="32" fillId="0" borderId="20" xfId="0" applyFont="1" applyBorder="1" applyAlignment="1">
      <alignment horizontal="left" vertical="center"/>
    </xf>
    <xf numFmtId="0" fontId="32" fillId="0" borderId="19" xfId="0" applyFont="1" applyBorder="1" applyAlignment="1">
      <alignment horizontal="left" vertical="center"/>
    </xf>
    <xf numFmtId="0" fontId="33" fillId="0" borderId="52" xfId="0" applyFont="1" applyBorder="1" applyAlignment="1">
      <alignment horizontal="center" vertical="center"/>
    </xf>
    <xf numFmtId="0" fontId="37" fillId="3" borderId="36" xfId="0" applyFont="1" applyFill="1" applyBorder="1" applyAlignment="1">
      <alignment horizontal="center" vertical="center" shrinkToFit="1"/>
    </xf>
    <xf numFmtId="0" fontId="37" fillId="3" borderId="3" xfId="0" applyFont="1" applyFill="1" applyBorder="1" applyAlignment="1">
      <alignment horizontal="center" vertical="center" shrinkToFit="1"/>
    </xf>
    <xf numFmtId="0" fontId="37" fillId="3" borderId="1" xfId="0" applyFont="1" applyFill="1" applyBorder="1" applyAlignment="1">
      <alignment horizontal="center" vertical="center" shrinkToFit="1"/>
    </xf>
    <xf numFmtId="0" fontId="42" fillId="0" borderId="22" xfId="0" applyFont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 shrinkToFit="1"/>
    </xf>
    <xf numFmtId="176" fontId="37" fillId="3" borderId="22" xfId="0" applyNumberFormat="1" applyFont="1" applyFill="1" applyBorder="1" applyAlignment="1">
      <alignment horizontal="center" vertical="center" shrinkToFit="1"/>
    </xf>
    <xf numFmtId="176" fontId="37" fillId="3" borderId="1" xfId="0" applyNumberFormat="1" applyFont="1" applyFill="1" applyBorder="1" applyAlignment="1">
      <alignment horizontal="center" vertical="center" shrinkToFit="1"/>
    </xf>
    <xf numFmtId="177" fontId="38" fillId="0" borderId="22" xfId="0" applyNumberFormat="1" applyFont="1" applyBorder="1" applyAlignment="1">
      <alignment horizontal="center" vertical="center"/>
    </xf>
    <xf numFmtId="177" fontId="38" fillId="0" borderId="1" xfId="0" applyNumberFormat="1" applyFont="1" applyBorder="1" applyAlignment="1">
      <alignment horizontal="center" vertical="center"/>
    </xf>
    <xf numFmtId="177" fontId="37" fillId="3" borderId="22" xfId="0" applyNumberFormat="1" applyFont="1" applyFill="1" applyBorder="1" applyAlignment="1">
      <alignment horizontal="center" vertical="center" shrinkToFit="1"/>
    </xf>
    <xf numFmtId="177" fontId="37" fillId="0" borderId="36" xfId="0" applyNumberFormat="1" applyFont="1" applyBorder="1" applyAlignment="1">
      <alignment horizontal="center" vertical="center"/>
    </xf>
    <xf numFmtId="177" fontId="37" fillId="0" borderId="3" xfId="0" applyNumberFormat="1" applyFont="1" applyBorder="1" applyAlignment="1">
      <alignment horizontal="center" vertical="center"/>
    </xf>
    <xf numFmtId="177" fontId="37" fillId="0" borderId="22" xfId="0" applyNumberFormat="1" applyFont="1" applyBorder="1" applyAlignment="1">
      <alignment horizontal="center" vertical="center"/>
    </xf>
    <xf numFmtId="177" fontId="37" fillId="0" borderId="1" xfId="0" applyNumberFormat="1" applyFont="1" applyBorder="1" applyAlignment="1">
      <alignment horizontal="center" vertical="center"/>
    </xf>
    <xf numFmtId="177" fontId="37" fillId="0" borderId="40" xfId="0" applyNumberFormat="1" applyFont="1" applyBorder="1" applyAlignment="1">
      <alignment horizontal="center" vertical="center"/>
    </xf>
    <xf numFmtId="177" fontId="37" fillId="0" borderId="2" xfId="0" applyNumberFormat="1" applyFont="1" applyBorder="1" applyAlignment="1">
      <alignment horizontal="center" vertical="center"/>
    </xf>
    <xf numFmtId="177" fontId="37" fillId="3" borderId="16" xfId="0" applyNumberFormat="1" applyFont="1" applyFill="1" applyBorder="1" applyAlignment="1">
      <alignment horizontal="center" vertical="center" shrinkToFit="1"/>
    </xf>
    <xf numFmtId="177" fontId="24" fillId="0" borderId="31" xfId="0" applyNumberFormat="1" applyFont="1" applyBorder="1" applyAlignment="1">
      <alignment horizontal="center" vertical="center"/>
    </xf>
    <xf numFmtId="177" fontId="24" fillId="0" borderId="41" xfId="0" applyNumberFormat="1" applyFont="1" applyBorder="1" applyAlignment="1">
      <alignment horizontal="center" vertical="center"/>
    </xf>
    <xf numFmtId="177" fontId="34" fillId="0" borderId="23" xfId="0" applyNumberFormat="1" applyFont="1" applyBorder="1" applyAlignment="1">
      <alignment horizontal="center" vertical="center"/>
    </xf>
    <xf numFmtId="178" fontId="24" fillId="0" borderId="22" xfId="0" applyNumberFormat="1" applyFont="1" applyBorder="1" applyAlignment="1">
      <alignment horizontal="center" vertical="center"/>
    </xf>
    <xf numFmtId="178" fontId="34" fillId="0" borderId="19" xfId="0" applyNumberFormat="1" applyFont="1" applyBorder="1" applyAlignment="1">
      <alignment horizontal="center" vertical="center"/>
    </xf>
    <xf numFmtId="177" fontId="24" fillId="0" borderId="22" xfId="0" applyNumberFormat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3" fillId="0" borderId="1" xfId="2" applyFont="1" applyBorder="1" applyAlignment="1">
      <alignment horizontal="center" vertical="center"/>
    </xf>
    <xf numFmtId="0" fontId="31" fillId="5" borderId="20" xfId="2" applyFont="1" applyFill="1" applyBorder="1">
      <alignment vertical="center"/>
    </xf>
    <xf numFmtId="0" fontId="23" fillId="0" borderId="2" xfId="2" applyFont="1" applyBorder="1" applyAlignment="1">
      <alignment horizontal="center" vertical="center"/>
    </xf>
    <xf numFmtId="178" fontId="23" fillId="0" borderId="1" xfId="2" applyNumberFormat="1" applyFont="1" applyBorder="1" applyAlignment="1">
      <alignment horizontal="center" vertical="center"/>
    </xf>
    <xf numFmtId="178" fontId="23" fillId="0" borderId="2" xfId="2" applyNumberFormat="1" applyFont="1" applyBorder="1" applyAlignment="1">
      <alignment horizontal="center" vertical="center"/>
    </xf>
    <xf numFmtId="0" fontId="24" fillId="0" borderId="1" xfId="1" applyFont="1" applyBorder="1" applyAlignment="1">
      <alignment horizontal="center" vertical="center" wrapText="1"/>
    </xf>
    <xf numFmtId="0" fontId="17" fillId="0" borderId="1" xfId="1" applyFont="1" applyBorder="1" applyAlignment="1">
      <alignment horizontal="center" vertical="center" wrapText="1"/>
    </xf>
    <xf numFmtId="0" fontId="17" fillId="3" borderId="1" xfId="1" applyFont="1" applyFill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179" fontId="24" fillId="9" borderId="1" xfId="1" applyNumberFormat="1" applyFont="1" applyFill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14" fontId="5" fillId="0" borderId="55" xfId="0" applyNumberFormat="1" applyFont="1" applyBorder="1" applyAlignment="1">
      <alignment horizontal="center" vertical="center"/>
    </xf>
    <xf numFmtId="0" fontId="5" fillId="2" borderId="55" xfId="0" applyFont="1" applyFill="1" applyBorder="1" applyAlignment="1">
      <alignment horizontal="center" vertical="center"/>
    </xf>
    <xf numFmtId="0" fontId="10" fillId="0" borderId="55" xfId="0" applyFont="1" applyBorder="1" applyAlignment="1">
      <alignment horizontal="center" vertical="center"/>
    </xf>
    <xf numFmtId="0" fontId="12" fillId="0" borderId="55" xfId="0" applyFont="1" applyBorder="1" applyAlignment="1">
      <alignment horizontal="center" vertical="center"/>
    </xf>
    <xf numFmtId="14" fontId="5" fillId="2" borderId="55" xfId="0" applyNumberFormat="1" applyFont="1" applyFill="1" applyBorder="1" applyAlignment="1">
      <alignment horizontal="center" vertical="center"/>
    </xf>
    <xf numFmtId="0" fontId="5" fillId="20" borderId="55" xfId="0" applyFont="1" applyFill="1" applyBorder="1" applyAlignment="1">
      <alignment horizontal="center" vertical="center"/>
    </xf>
    <xf numFmtId="0" fontId="15" fillId="0" borderId="55" xfId="0" applyFont="1" applyBorder="1" applyAlignment="1">
      <alignment horizontal="center" vertical="center"/>
    </xf>
    <xf numFmtId="0" fontId="25" fillId="0" borderId="55" xfId="0" applyFont="1" applyBorder="1" applyAlignment="1">
      <alignment horizontal="center" vertical="center"/>
    </xf>
    <xf numFmtId="14" fontId="25" fillId="0" borderId="55" xfId="0" applyNumberFormat="1" applyFont="1" applyBorder="1" applyAlignment="1">
      <alignment horizontal="center" vertical="center"/>
    </xf>
    <xf numFmtId="0" fontId="25" fillId="2" borderId="55" xfId="0" applyFont="1" applyFill="1" applyBorder="1" applyAlignment="1">
      <alignment horizontal="center" vertical="center"/>
    </xf>
    <xf numFmtId="14" fontId="25" fillId="2" borderId="55" xfId="0" applyNumberFormat="1" applyFont="1" applyFill="1" applyBorder="1" applyAlignment="1">
      <alignment horizontal="center" vertical="center"/>
    </xf>
    <xf numFmtId="0" fontId="44" fillId="0" borderId="55" xfId="0" applyFont="1" applyBorder="1" applyAlignment="1">
      <alignment horizontal="center" vertical="center"/>
    </xf>
    <xf numFmtId="0" fontId="48" fillId="0" borderId="55" xfId="0" applyFont="1" applyBorder="1" applyAlignment="1">
      <alignment horizontal="center" vertical="center"/>
    </xf>
    <xf numFmtId="14" fontId="5" fillId="20" borderId="55" xfId="0" applyNumberFormat="1" applyFont="1" applyFill="1" applyBorder="1" applyAlignment="1">
      <alignment horizontal="center" vertical="center"/>
    </xf>
    <xf numFmtId="0" fontId="45" fillId="0" borderId="55" xfId="0" applyFont="1" applyBorder="1" applyAlignment="1">
      <alignment horizontal="center" vertical="center"/>
    </xf>
    <xf numFmtId="14" fontId="0" fillId="0" borderId="55" xfId="0" applyNumberFormat="1" applyBorder="1" applyAlignment="1">
      <alignment horizontal="center" vertical="center"/>
    </xf>
    <xf numFmtId="0" fontId="50" fillId="0" borderId="55" xfId="0" applyFont="1" applyBorder="1" applyAlignment="1">
      <alignment horizontal="center" vertical="center"/>
    </xf>
    <xf numFmtId="0" fontId="16" fillId="10" borderId="55" xfId="0" applyFont="1" applyFill="1" applyBorder="1" applyAlignment="1">
      <alignment horizontal="center" vertical="center"/>
    </xf>
    <xf numFmtId="0" fontId="16" fillId="19" borderId="55" xfId="0" applyFont="1" applyFill="1" applyBorder="1" applyAlignment="1">
      <alignment horizontal="center" vertical="center"/>
    </xf>
    <xf numFmtId="0" fontId="16" fillId="5" borderId="55" xfId="0" applyFont="1" applyFill="1" applyBorder="1" applyAlignment="1">
      <alignment horizontal="center" vertical="center"/>
    </xf>
    <xf numFmtId="0" fontId="16" fillId="10" borderId="56" xfId="0" applyFont="1" applyFill="1" applyBorder="1" applyAlignment="1">
      <alignment horizontal="center" vertical="center"/>
    </xf>
    <xf numFmtId="0" fontId="16" fillId="19" borderId="56" xfId="0" applyFont="1" applyFill="1" applyBorder="1" applyAlignment="1">
      <alignment horizontal="center" vertical="center"/>
    </xf>
    <xf numFmtId="0" fontId="16" fillId="5" borderId="56" xfId="0" applyFont="1" applyFill="1" applyBorder="1" applyAlignment="1">
      <alignment horizontal="center" vertical="center"/>
    </xf>
    <xf numFmtId="0" fontId="16" fillId="16" borderId="58" xfId="0" applyFont="1" applyFill="1" applyBorder="1" applyAlignment="1">
      <alignment horizontal="center" vertical="center"/>
    </xf>
    <xf numFmtId="0" fontId="16" fillId="16" borderId="59" xfId="0" applyFont="1" applyFill="1" applyBorder="1" applyAlignment="1">
      <alignment horizontal="center" vertical="center"/>
    </xf>
    <xf numFmtId="0" fontId="16" fillId="13" borderId="64" xfId="0" applyFont="1" applyFill="1" applyBorder="1" applyAlignment="1">
      <alignment horizontal="center" vertical="center"/>
    </xf>
    <xf numFmtId="0" fontId="16" fillId="13" borderId="65" xfId="0" applyFont="1" applyFill="1" applyBorder="1" applyAlignment="1">
      <alignment horizontal="center" vertical="center"/>
    </xf>
    <xf numFmtId="0" fontId="12" fillId="20" borderId="55" xfId="0" applyFont="1" applyFill="1" applyBorder="1" applyAlignment="1">
      <alignment horizontal="center" vertical="center"/>
    </xf>
    <xf numFmtId="0" fontId="5" fillId="20" borderId="68" xfId="0" applyFont="1" applyFill="1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179" fontId="2" fillId="0" borderId="1" xfId="1" applyNumberFormat="1" applyFont="1" applyBorder="1" applyAlignment="1">
      <alignment horizontal="center" vertical="center"/>
    </xf>
    <xf numFmtId="0" fontId="22" fillId="8" borderId="1" xfId="1" applyFont="1" applyFill="1" applyBorder="1" applyAlignment="1">
      <alignment horizontal="center" vertical="center"/>
    </xf>
    <xf numFmtId="179" fontId="22" fillId="8" borderId="1" xfId="1" applyNumberFormat="1" applyFont="1" applyFill="1" applyBorder="1" applyAlignment="1">
      <alignment horizontal="center" vertical="center"/>
    </xf>
    <xf numFmtId="0" fontId="2" fillId="8" borderId="0" xfId="1" applyFont="1" applyFill="1" applyAlignment="1">
      <alignment horizontal="center" vertical="center"/>
    </xf>
    <xf numFmtId="0" fontId="24" fillId="3" borderId="1" xfId="0" applyFont="1" applyFill="1" applyBorder="1" applyAlignment="1">
      <alignment horizontal="center" vertical="center" wrapText="1" shrinkToFit="1"/>
    </xf>
    <xf numFmtId="0" fontId="0" fillId="22" borderId="55" xfId="0" applyFill="1" applyBorder="1" applyAlignment="1">
      <alignment horizontal="center" vertical="center"/>
    </xf>
    <xf numFmtId="0" fontId="53" fillId="7" borderId="72" xfId="0" applyFont="1" applyFill="1" applyBorder="1" applyAlignment="1">
      <alignment horizontal="center" vertical="center"/>
    </xf>
    <xf numFmtId="0" fontId="53" fillId="7" borderId="73" xfId="0" applyFont="1" applyFill="1" applyBorder="1" applyAlignment="1">
      <alignment horizontal="center" vertical="center"/>
    </xf>
    <xf numFmtId="0" fontId="53" fillId="7" borderId="73" xfId="0" applyFont="1" applyFill="1" applyBorder="1" applyAlignment="1">
      <alignment horizontal="center" vertical="center" wrapText="1"/>
    </xf>
    <xf numFmtId="0" fontId="53" fillId="7" borderId="74" xfId="0" applyFont="1" applyFill="1" applyBorder="1" applyAlignment="1">
      <alignment horizontal="center" vertical="center" wrapText="1"/>
    </xf>
    <xf numFmtId="0" fontId="16" fillId="14" borderId="78" xfId="0" applyFont="1" applyFill="1" applyBorder="1" applyAlignment="1">
      <alignment horizontal="center" vertical="center"/>
    </xf>
    <xf numFmtId="0" fontId="16" fillId="14" borderId="79" xfId="0" applyFont="1" applyFill="1" applyBorder="1" applyAlignment="1">
      <alignment horizontal="center" vertical="center"/>
    </xf>
    <xf numFmtId="0" fontId="16" fillId="14" borderId="80" xfId="0" applyFont="1" applyFill="1" applyBorder="1" applyAlignment="1">
      <alignment horizontal="center" vertical="center"/>
    </xf>
    <xf numFmtId="0" fontId="51" fillId="22" borderId="75" xfId="0" applyFont="1" applyFill="1" applyBorder="1" applyAlignment="1">
      <alignment horizontal="center" vertical="center"/>
    </xf>
    <xf numFmtId="0" fontId="51" fillId="22" borderId="67" xfId="0" applyFont="1" applyFill="1" applyBorder="1" applyAlignment="1">
      <alignment horizontal="center" vertical="center" wrapText="1"/>
    </xf>
    <xf numFmtId="0" fontId="51" fillId="22" borderId="67" xfId="0" applyFont="1" applyFill="1" applyBorder="1" applyAlignment="1">
      <alignment horizontal="center" vertical="center"/>
    </xf>
    <xf numFmtId="0" fontId="4" fillId="23" borderId="1" xfId="1" applyFill="1" applyBorder="1" applyAlignment="1">
      <alignment horizontal="center" vertical="center"/>
    </xf>
    <xf numFmtId="179" fontId="24" fillId="23" borderId="1" xfId="1" applyNumberFormat="1" applyFont="1" applyFill="1" applyBorder="1" applyAlignment="1">
      <alignment horizontal="center" vertical="center"/>
    </xf>
    <xf numFmtId="0" fontId="24" fillId="23" borderId="1" xfId="0" applyFont="1" applyFill="1" applyBorder="1" applyAlignment="1">
      <alignment horizontal="center" vertical="center"/>
    </xf>
    <xf numFmtId="0" fontId="4" fillId="23" borderId="0" xfId="1" applyFill="1">
      <alignment vertical="center"/>
    </xf>
    <xf numFmtId="0" fontId="2" fillId="23" borderId="0" xfId="1" applyFont="1" applyFill="1" applyAlignment="1">
      <alignment horizontal="center" vertical="center"/>
    </xf>
    <xf numFmtId="0" fontId="2" fillId="9" borderId="0" xfId="1" applyFont="1" applyFill="1" applyAlignment="1">
      <alignment horizontal="center" vertical="center"/>
    </xf>
    <xf numFmtId="0" fontId="4" fillId="9" borderId="1" xfId="1" applyFill="1" applyBorder="1" applyAlignment="1">
      <alignment horizontal="center" vertical="center" wrapText="1"/>
    </xf>
    <xf numFmtId="0" fontId="45" fillId="0" borderId="68" xfId="0" applyFont="1" applyBorder="1" applyAlignment="1">
      <alignment horizontal="center" vertical="center"/>
    </xf>
    <xf numFmtId="0" fontId="12" fillId="20" borderId="68" xfId="0" applyFont="1" applyFill="1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14" fontId="12" fillId="20" borderId="55" xfId="0" applyNumberFormat="1" applyFont="1" applyFill="1" applyBorder="1" applyAlignment="1">
      <alignment horizontal="center" vertical="center"/>
    </xf>
    <xf numFmtId="14" fontId="4" fillId="0" borderId="1" xfId="1" applyNumberFormat="1" applyBorder="1" applyAlignment="1">
      <alignment horizontal="center" vertical="center"/>
    </xf>
    <xf numFmtId="14" fontId="4" fillId="23" borderId="1" xfId="1" applyNumberFormat="1" applyFill="1" applyBorder="1" applyAlignment="1">
      <alignment horizontal="center" vertical="center"/>
    </xf>
    <xf numFmtId="0" fontId="29" fillId="6" borderId="86" xfId="0" applyFont="1" applyFill="1" applyBorder="1" applyAlignment="1">
      <alignment horizontal="center" vertical="center"/>
    </xf>
    <xf numFmtId="0" fontId="37" fillId="3" borderId="88" xfId="0" applyFont="1" applyFill="1" applyBorder="1" applyAlignment="1">
      <alignment horizontal="center" vertical="center" shrinkToFit="1"/>
    </xf>
    <xf numFmtId="176" fontId="37" fillId="3" borderId="88" xfId="0" applyNumberFormat="1" applyFont="1" applyFill="1" applyBorder="1" applyAlignment="1">
      <alignment horizontal="center" vertical="center" shrinkToFit="1"/>
    </xf>
    <xf numFmtId="177" fontId="37" fillId="3" borderId="88" xfId="0" applyNumberFormat="1" applyFont="1" applyFill="1" applyBorder="1" applyAlignment="1">
      <alignment horizontal="center" vertical="center" shrinkToFit="1"/>
    </xf>
    <xf numFmtId="0" fontId="31" fillId="5" borderId="89" xfId="0" applyFont="1" applyFill="1" applyBorder="1" applyAlignment="1">
      <alignment horizontal="center" vertical="center" shrinkToFit="1"/>
    </xf>
    <xf numFmtId="177" fontId="39" fillId="3" borderId="88" xfId="0" applyNumberFormat="1" applyFont="1" applyFill="1" applyBorder="1" applyAlignment="1">
      <alignment horizontal="center" vertical="center" shrinkToFit="1"/>
    </xf>
    <xf numFmtId="178" fontId="37" fillId="0" borderId="90" xfId="0" applyNumberFormat="1" applyFont="1" applyBorder="1" applyAlignment="1">
      <alignment horizontal="center" vertical="center"/>
    </xf>
    <xf numFmtId="178" fontId="37" fillId="0" borderId="91" xfId="0" applyNumberFormat="1" applyFont="1" applyBorder="1" applyAlignment="1">
      <alignment horizontal="center" vertical="center"/>
    </xf>
    <xf numFmtId="180" fontId="16" fillId="8" borderId="1" xfId="1" applyNumberFormat="1" applyFont="1" applyFill="1" applyBorder="1" applyAlignment="1">
      <alignment horizontal="center" vertical="center"/>
    </xf>
    <xf numFmtId="180" fontId="4" fillId="0" borderId="1" xfId="1" applyNumberFormat="1" applyBorder="1" applyAlignment="1">
      <alignment horizontal="center" vertical="center"/>
    </xf>
    <xf numFmtId="180" fontId="4" fillId="5" borderId="1" xfId="1" applyNumberFormat="1" applyFill="1" applyBorder="1" applyAlignment="1">
      <alignment horizontal="center" vertical="center"/>
    </xf>
    <xf numFmtId="180" fontId="4" fillId="3" borderId="1" xfId="1" applyNumberFormat="1" applyFill="1" applyBorder="1" applyAlignment="1">
      <alignment horizontal="center" vertical="center"/>
    </xf>
    <xf numFmtId="180" fontId="17" fillId="5" borderId="1" xfId="1" applyNumberFormat="1" applyFont="1" applyFill="1" applyBorder="1" applyAlignment="1">
      <alignment horizontal="center" vertical="center"/>
    </xf>
    <xf numFmtId="180" fontId="4" fillId="4" borderId="1" xfId="1" applyNumberFormat="1" applyFill="1" applyBorder="1" applyAlignment="1">
      <alignment horizontal="center" vertical="center"/>
    </xf>
    <xf numFmtId="180" fontId="18" fillId="3" borderId="1" xfId="1" applyNumberFormat="1" applyFont="1" applyFill="1" applyBorder="1" applyAlignment="1">
      <alignment horizontal="center" vertical="center"/>
    </xf>
    <xf numFmtId="180" fontId="17" fillId="3" borderId="1" xfId="1" applyNumberFormat="1" applyFont="1" applyFill="1" applyBorder="1" applyAlignment="1">
      <alignment horizontal="center" vertical="center"/>
    </xf>
    <xf numFmtId="180" fontId="17" fillId="4" borderId="1" xfId="1" applyNumberFormat="1" applyFont="1" applyFill="1" applyBorder="1" applyAlignment="1">
      <alignment horizontal="center" vertical="center"/>
    </xf>
    <xf numFmtId="180" fontId="4" fillId="10" borderId="1" xfId="1" applyNumberFormat="1" applyFill="1" applyBorder="1" applyAlignment="1">
      <alignment horizontal="center" vertical="center"/>
    </xf>
    <xf numFmtId="180" fontId="4" fillId="12" borderId="1" xfId="1" applyNumberFormat="1" applyFill="1" applyBorder="1" applyAlignment="1">
      <alignment horizontal="center" vertical="center"/>
    </xf>
    <xf numFmtId="180" fontId="17" fillId="0" borderId="1" xfId="1" applyNumberFormat="1" applyFont="1" applyBorder="1" applyAlignment="1">
      <alignment horizontal="center" vertical="center"/>
    </xf>
    <xf numFmtId="180" fontId="24" fillId="3" borderId="1" xfId="0" applyNumberFormat="1" applyFont="1" applyFill="1" applyBorder="1" applyAlignment="1">
      <alignment horizontal="center" vertical="center"/>
    </xf>
    <xf numFmtId="180" fontId="24" fillId="9" borderId="1" xfId="0" applyNumberFormat="1" applyFont="1" applyFill="1" applyBorder="1" applyAlignment="1">
      <alignment horizontal="center" vertical="center"/>
    </xf>
    <xf numFmtId="180" fontId="24" fillId="0" borderId="1" xfId="0" applyNumberFormat="1" applyFont="1" applyBorder="1" applyAlignment="1">
      <alignment horizontal="center" vertical="center"/>
    </xf>
    <xf numFmtId="180" fontId="24" fillId="0" borderId="1" xfId="1" applyNumberFormat="1" applyFont="1" applyBorder="1" applyAlignment="1">
      <alignment horizontal="center" vertical="center"/>
    </xf>
    <xf numFmtId="180" fontId="24" fillId="3" borderId="1" xfId="1" applyNumberFormat="1" applyFont="1" applyFill="1" applyBorder="1" applyAlignment="1">
      <alignment horizontal="center" vertical="center"/>
    </xf>
    <xf numFmtId="180" fontId="4" fillId="23" borderId="1" xfId="1" applyNumberFormat="1" applyFill="1" applyBorder="1" applyAlignment="1">
      <alignment horizontal="center" vertical="center"/>
    </xf>
    <xf numFmtId="0" fontId="6" fillId="22" borderId="55" xfId="0" applyFont="1" applyFill="1" applyBorder="1" applyAlignment="1">
      <alignment horizontal="center" vertical="center"/>
    </xf>
    <xf numFmtId="0" fontId="37" fillId="3" borderId="1" xfId="0" applyFont="1" applyFill="1" applyBorder="1" applyAlignment="1">
      <alignment horizontal="center" vertical="center" wrapText="1" shrinkToFit="1"/>
    </xf>
    <xf numFmtId="177" fontId="38" fillId="3" borderId="88" xfId="0" applyNumberFormat="1" applyFont="1" applyFill="1" applyBorder="1" applyAlignment="1">
      <alignment horizontal="center" vertical="center" shrinkToFit="1"/>
    </xf>
    <xf numFmtId="178" fontId="24" fillId="0" borderId="43" xfId="0" applyNumberFormat="1" applyFont="1" applyBorder="1" applyAlignment="1">
      <alignment horizontal="center" vertical="center"/>
    </xf>
    <xf numFmtId="178" fontId="34" fillId="0" borderId="17" xfId="0" applyNumberFormat="1" applyFont="1" applyBorder="1" applyAlignment="1">
      <alignment horizontal="center" vertical="center"/>
    </xf>
    <xf numFmtId="178" fontId="34" fillId="0" borderId="57" xfId="0" applyNumberFormat="1" applyFont="1" applyBorder="1" applyAlignment="1">
      <alignment horizontal="center" vertical="center"/>
    </xf>
    <xf numFmtId="178" fontId="34" fillId="0" borderId="60" xfId="0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178" fontId="24" fillId="0" borderId="90" xfId="0" applyNumberFormat="1" applyFont="1" applyBorder="1" applyAlignment="1">
      <alignment horizontal="center" vertical="center"/>
    </xf>
    <xf numFmtId="177" fontId="24" fillId="0" borderId="92" xfId="0" applyNumberFormat="1" applyFont="1" applyBorder="1" applyAlignment="1">
      <alignment horizontal="center" vertical="center"/>
    </xf>
    <xf numFmtId="177" fontId="24" fillId="0" borderId="55" xfId="0" applyNumberFormat="1" applyFont="1" applyBorder="1" applyAlignment="1">
      <alignment horizontal="center" vertical="center"/>
    </xf>
    <xf numFmtId="177" fontId="24" fillId="0" borderId="96" xfId="0" applyNumberFormat="1" applyFont="1" applyBorder="1" applyAlignment="1">
      <alignment horizontal="center" vertical="center"/>
    </xf>
    <xf numFmtId="178" fontId="24" fillId="0" borderId="20" xfId="0" applyNumberFormat="1" applyFont="1" applyBorder="1" applyAlignment="1">
      <alignment horizontal="center" vertical="center"/>
    </xf>
    <xf numFmtId="177" fontId="24" fillId="0" borderId="97" xfId="0" applyNumberFormat="1" applyFont="1" applyBorder="1" applyAlignment="1">
      <alignment horizontal="center" vertical="center"/>
    </xf>
    <xf numFmtId="178" fontId="24" fillId="0" borderId="98" xfId="0" applyNumberFormat="1" applyFont="1" applyBorder="1" applyAlignment="1">
      <alignment horizontal="center" vertical="center"/>
    </xf>
    <xf numFmtId="177" fontId="34" fillId="0" borderId="93" xfId="0" applyNumberFormat="1" applyFont="1" applyBorder="1" applyAlignment="1">
      <alignment horizontal="center" vertical="center"/>
    </xf>
    <xf numFmtId="177" fontId="34" fillId="0" borderId="57" xfId="0" applyNumberFormat="1" applyFont="1" applyBorder="1" applyAlignment="1">
      <alignment horizontal="center" vertical="center"/>
    </xf>
    <xf numFmtId="0" fontId="34" fillId="0" borderId="99" xfId="0" applyFont="1" applyBorder="1" applyAlignment="1">
      <alignment horizontal="center" vertical="center"/>
    </xf>
    <xf numFmtId="0" fontId="34" fillId="0" borderId="100" xfId="0" applyFont="1" applyBorder="1" applyAlignment="1">
      <alignment horizontal="center" vertical="center"/>
    </xf>
    <xf numFmtId="0" fontId="34" fillId="0" borderId="101" xfId="0" applyFont="1" applyBorder="1" applyAlignment="1">
      <alignment horizontal="center" vertical="center"/>
    </xf>
    <xf numFmtId="0" fontId="34" fillId="0" borderId="102" xfId="0" applyFont="1" applyBorder="1" applyAlignment="1">
      <alignment horizontal="center" vertical="center"/>
    </xf>
    <xf numFmtId="0" fontId="34" fillId="0" borderId="103" xfId="0" applyFont="1" applyBorder="1" applyAlignment="1">
      <alignment horizontal="center" vertical="center"/>
    </xf>
    <xf numFmtId="177" fontId="24" fillId="0" borderId="94" xfId="0" applyNumberFormat="1" applyFont="1" applyBorder="1" applyAlignment="1">
      <alignment horizontal="center" vertical="center"/>
    </xf>
    <xf numFmtId="177" fontId="24" fillId="0" borderId="67" xfId="0" applyNumberFormat="1" applyFont="1" applyBorder="1" applyAlignment="1">
      <alignment horizontal="center" vertical="center"/>
    </xf>
    <xf numFmtId="177" fontId="24" fillId="0" borderId="21" xfId="0" applyNumberFormat="1" applyFont="1" applyBorder="1" applyAlignment="1">
      <alignment horizontal="center" vertical="center"/>
    </xf>
    <xf numFmtId="177" fontId="24" fillId="0" borderId="108" xfId="0" applyNumberFormat="1" applyFont="1" applyBorder="1" applyAlignment="1">
      <alignment horizontal="center" vertical="center"/>
    </xf>
    <xf numFmtId="177" fontId="34" fillId="0" borderId="109" xfId="0" applyNumberFormat="1" applyFont="1" applyBorder="1" applyAlignment="1">
      <alignment horizontal="center" vertical="center"/>
    </xf>
    <xf numFmtId="178" fontId="34" fillId="0" borderId="110" xfId="0" applyNumberFormat="1" applyFont="1" applyBorder="1" applyAlignment="1">
      <alignment horizontal="center" vertical="center"/>
    </xf>
    <xf numFmtId="177" fontId="24" fillId="0" borderId="95" xfId="0" applyNumberFormat="1" applyFont="1" applyBorder="1" applyAlignment="1">
      <alignment horizontal="center" vertical="center"/>
    </xf>
    <xf numFmtId="177" fontId="34" fillId="0" borderId="111" xfId="0" applyNumberFormat="1" applyFont="1" applyBorder="1" applyAlignment="1">
      <alignment horizontal="center" vertical="center"/>
    </xf>
    <xf numFmtId="178" fontId="34" fillId="0" borderId="111" xfId="0" applyNumberFormat="1" applyFont="1" applyBorder="1" applyAlignment="1">
      <alignment horizontal="center" vertical="center"/>
    </xf>
    <xf numFmtId="0" fontId="5" fillId="20" borderId="112" xfId="0" applyFont="1" applyFill="1" applyBorder="1">
      <alignment vertical="center"/>
    </xf>
    <xf numFmtId="0" fontId="5" fillId="2" borderId="97" xfId="0" applyFont="1" applyFill="1" applyBorder="1" applyAlignment="1">
      <alignment horizontal="center" vertical="center"/>
    </xf>
    <xf numFmtId="0" fontId="5" fillId="0" borderId="97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0" fontId="25" fillId="2" borderId="97" xfId="0" applyFont="1" applyFill="1" applyBorder="1" applyAlignment="1">
      <alignment horizontal="center" vertical="center"/>
    </xf>
    <xf numFmtId="0" fontId="5" fillId="20" borderId="97" xfId="0" applyFont="1" applyFill="1" applyBorder="1" applyAlignment="1">
      <alignment horizontal="center" vertical="center"/>
    </xf>
    <xf numFmtId="0" fontId="5" fillId="2" borderId="67" xfId="0" applyFont="1" applyFill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15" fillId="0" borderId="67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56" fillId="20" borderId="55" xfId="0" applyFont="1" applyFill="1" applyBorder="1" applyAlignment="1">
      <alignment horizontal="center" vertical="center"/>
    </xf>
    <xf numFmtId="0" fontId="5" fillId="20" borderId="67" xfId="0" applyFont="1" applyFill="1" applyBorder="1" applyAlignment="1">
      <alignment horizontal="center" vertical="center"/>
    </xf>
    <xf numFmtId="14" fontId="12" fillId="20" borderId="68" xfId="0" applyNumberFormat="1" applyFont="1" applyFill="1" applyBorder="1" applyAlignment="1">
      <alignment horizontal="center" vertical="center"/>
    </xf>
    <xf numFmtId="0" fontId="5" fillId="20" borderId="82" xfId="0" applyFont="1" applyFill="1" applyBorder="1" applyAlignment="1">
      <alignment horizontal="center" vertical="center"/>
    </xf>
    <xf numFmtId="14" fontId="5" fillId="20" borderId="68" xfId="0" applyNumberFormat="1" applyFont="1" applyFill="1" applyBorder="1" applyAlignment="1">
      <alignment horizontal="center" vertical="center"/>
    </xf>
    <xf numFmtId="0" fontId="4" fillId="0" borderId="10" xfId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4" fillId="0" borderId="21" xfId="1" applyBorder="1" applyAlignment="1">
      <alignment horizontal="center" vertical="center"/>
    </xf>
    <xf numFmtId="0" fontId="12" fillId="2" borderId="55" xfId="0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12" fillId="0" borderId="55" xfId="0" applyFont="1" applyBorder="1" applyAlignment="1">
      <alignment horizontal="center" vertical="center" wrapText="1"/>
    </xf>
    <xf numFmtId="0" fontId="25" fillId="0" borderId="55" xfId="0" applyFont="1" applyBorder="1" applyAlignment="1">
      <alignment horizontal="center" vertical="center" wrapText="1"/>
    </xf>
    <xf numFmtId="0" fontId="49" fillId="0" borderId="55" xfId="0" applyFont="1" applyBorder="1" applyAlignment="1">
      <alignment horizontal="center" vertical="center"/>
    </xf>
    <xf numFmtId="0" fontId="49" fillId="0" borderId="68" xfId="0" applyFont="1" applyBorder="1" applyAlignment="1">
      <alignment horizontal="center" vertical="center"/>
    </xf>
    <xf numFmtId="0" fontId="12" fillId="0" borderId="68" xfId="0" applyFont="1" applyBorder="1" applyAlignment="1">
      <alignment horizontal="center" vertical="center"/>
    </xf>
    <xf numFmtId="0" fontId="14" fillId="0" borderId="5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7" fillId="25" borderId="37" xfId="0" applyFont="1" applyFill="1" applyBorder="1" applyAlignment="1">
      <alignment horizontal="center" vertical="center"/>
    </xf>
    <xf numFmtId="0" fontId="57" fillId="25" borderId="119" xfId="0" applyFont="1" applyFill="1" applyBorder="1" applyAlignment="1">
      <alignment horizontal="center" vertical="center"/>
    </xf>
    <xf numFmtId="176" fontId="57" fillId="20" borderId="36" xfId="0" applyNumberFormat="1" applyFont="1" applyFill="1" applyBorder="1" applyAlignment="1">
      <alignment horizontal="center" vertical="center"/>
    </xf>
    <xf numFmtId="176" fontId="57" fillId="20" borderId="26" xfId="0" applyNumberFormat="1" applyFont="1" applyFill="1" applyBorder="1" applyAlignment="1">
      <alignment horizontal="center" vertical="center"/>
    </xf>
    <xf numFmtId="0" fontId="61" fillId="26" borderId="31" xfId="0" applyFont="1" applyFill="1" applyBorder="1" applyAlignment="1">
      <alignment horizontal="center" vertical="center"/>
    </xf>
    <xf numFmtId="0" fontId="61" fillId="26" borderId="36" xfId="0" applyFont="1" applyFill="1" applyBorder="1" applyAlignment="1">
      <alignment horizontal="center" vertical="center"/>
    </xf>
    <xf numFmtId="0" fontId="61" fillId="26" borderId="36" xfId="0" applyFont="1" applyFill="1" applyBorder="1" applyAlignment="1">
      <alignment horizontal="center" vertical="center" wrapText="1"/>
    </xf>
    <xf numFmtId="0" fontId="57" fillId="20" borderId="31" xfId="0" applyFont="1" applyFill="1" applyBorder="1" applyAlignment="1">
      <alignment horizontal="center" vertical="center"/>
    </xf>
    <xf numFmtId="0" fontId="57" fillId="20" borderId="29" xfId="0" applyFont="1" applyFill="1" applyBorder="1" applyAlignment="1">
      <alignment horizontal="center" vertical="center"/>
    </xf>
    <xf numFmtId="177" fontId="57" fillId="20" borderId="36" xfId="0" applyNumberFormat="1" applyFont="1" applyFill="1" applyBorder="1" applyAlignment="1">
      <alignment horizontal="center" vertical="center"/>
    </xf>
    <xf numFmtId="177" fontId="57" fillId="0" borderId="36" xfId="0" applyNumberFormat="1" applyFont="1" applyBorder="1" applyAlignment="1">
      <alignment horizontal="center" vertical="center"/>
    </xf>
    <xf numFmtId="177" fontId="57" fillId="0" borderId="26" xfId="0" applyNumberFormat="1" applyFont="1" applyBorder="1" applyAlignment="1">
      <alignment horizontal="center" vertical="center"/>
    </xf>
    <xf numFmtId="0" fontId="57" fillId="25" borderId="0" xfId="0" applyFont="1" applyFill="1" applyAlignment="1">
      <alignment horizontal="center" vertical="center"/>
    </xf>
    <xf numFmtId="0" fontId="57" fillId="25" borderId="103" xfId="0" applyFont="1" applyFill="1" applyBorder="1" applyAlignment="1">
      <alignment horizontal="center" vertical="center"/>
    </xf>
    <xf numFmtId="0" fontId="57" fillId="20" borderId="122" xfId="0" applyFont="1" applyFill="1" applyBorder="1" applyAlignment="1">
      <alignment horizontal="center" vertical="center"/>
    </xf>
    <xf numFmtId="0" fontId="57" fillId="20" borderId="124" xfId="0" applyFont="1" applyFill="1" applyBorder="1" applyAlignment="1">
      <alignment horizontal="center" vertical="center"/>
    </xf>
    <xf numFmtId="176" fontId="57" fillId="20" borderId="124" xfId="0" applyNumberFormat="1" applyFont="1" applyFill="1" applyBorder="1" applyAlignment="1">
      <alignment horizontal="center" vertical="center"/>
    </xf>
    <xf numFmtId="177" fontId="57" fillId="0" borderId="124" xfId="0" applyNumberFormat="1" applyFont="1" applyBorder="1" applyAlignment="1">
      <alignment horizontal="center" vertical="center"/>
    </xf>
    <xf numFmtId="0" fontId="61" fillId="26" borderId="126" xfId="0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0" fontId="43" fillId="0" borderId="1" xfId="0" applyFont="1" applyBorder="1" applyAlignment="1">
      <alignment horizontal="center" vertical="center"/>
    </xf>
    <xf numFmtId="0" fontId="4" fillId="0" borderId="55" xfId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4" fillId="9" borderId="3" xfId="1" applyFill="1" applyBorder="1" applyAlignment="1">
      <alignment horizontal="center" vertical="center"/>
    </xf>
    <xf numFmtId="0" fontId="45" fillId="0" borderId="65" xfId="0" applyFont="1" applyBorder="1" applyAlignment="1">
      <alignment horizontal="center" vertical="center"/>
    </xf>
    <xf numFmtId="0" fontId="5" fillId="0" borderId="67" xfId="0" applyFont="1" applyBorder="1" applyAlignment="1">
      <alignment horizontal="center" vertical="center"/>
    </xf>
    <xf numFmtId="0" fontId="5" fillId="0" borderId="82" xfId="0" applyFont="1" applyBorder="1" applyAlignment="1">
      <alignment horizontal="center" vertical="center"/>
    </xf>
    <xf numFmtId="14" fontId="5" fillId="0" borderId="82" xfId="0" applyNumberFormat="1" applyFont="1" applyBorder="1" applyAlignment="1">
      <alignment horizontal="center" vertical="center"/>
    </xf>
    <xf numFmtId="0" fontId="62" fillId="0" borderId="67" xfId="0" applyFont="1" applyBorder="1" applyAlignment="1">
      <alignment horizontal="center" vertical="center"/>
    </xf>
    <xf numFmtId="14" fontId="5" fillId="20" borderId="67" xfId="0" applyNumberFormat="1" applyFont="1" applyFill="1" applyBorder="1" applyAlignment="1">
      <alignment horizontal="center" vertical="center"/>
    </xf>
    <xf numFmtId="0" fontId="12" fillId="0" borderId="65" xfId="0" applyFont="1" applyBorder="1" applyAlignment="1">
      <alignment horizontal="center" vertical="center"/>
    </xf>
    <xf numFmtId="0" fontId="63" fillId="0" borderId="82" xfId="0" applyFont="1" applyBorder="1" applyAlignment="1">
      <alignment horizontal="center" vertical="center"/>
    </xf>
    <xf numFmtId="0" fontId="5" fillId="0" borderId="130" xfId="0" applyFont="1" applyBorder="1" applyAlignment="1">
      <alignment horizontal="center" vertical="center"/>
    </xf>
    <xf numFmtId="0" fontId="5" fillId="20" borderId="129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54" fillId="0" borderId="0" xfId="0" applyFont="1">
      <alignment vertical="center"/>
    </xf>
    <xf numFmtId="0" fontId="54" fillId="0" borderId="0" xfId="0" applyFont="1" applyAlignment="1">
      <alignment horizontal="center" vertical="center"/>
    </xf>
    <xf numFmtId="0" fontId="57" fillId="0" borderId="75" xfId="0" applyFont="1" applyBorder="1" applyAlignment="1">
      <alignment horizontal="center" vertical="center"/>
    </xf>
    <xf numFmtId="0" fontId="57" fillId="0" borderId="138" xfId="0" applyFont="1" applyBorder="1" applyAlignment="1">
      <alignment horizontal="center" vertical="center" wrapText="1"/>
    </xf>
    <xf numFmtId="0" fontId="57" fillId="0" borderId="138" xfId="0" applyFont="1" applyBorder="1" applyAlignment="1">
      <alignment horizontal="center" vertical="center"/>
    </xf>
    <xf numFmtId="0" fontId="57" fillId="0" borderId="136" xfId="0" applyFont="1" applyBorder="1" applyAlignment="1">
      <alignment horizontal="center" vertical="center"/>
    </xf>
    <xf numFmtId="0" fontId="57" fillId="0" borderId="105" xfId="0" applyFont="1" applyBorder="1" applyAlignment="1">
      <alignment horizontal="center" vertical="center"/>
    </xf>
    <xf numFmtId="0" fontId="57" fillId="0" borderId="133" xfId="0" applyFont="1" applyBorder="1" applyAlignment="1">
      <alignment horizontal="center" vertical="center"/>
    </xf>
    <xf numFmtId="0" fontId="57" fillId="0" borderId="106" xfId="0" applyFont="1" applyBorder="1" applyAlignment="1">
      <alignment horizontal="center" vertical="center"/>
    </xf>
    <xf numFmtId="0" fontId="57" fillId="14" borderId="139" xfId="0" applyFont="1" applyFill="1" applyBorder="1" applyAlignment="1">
      <alignment horizontal="center" vertical="center"/>
    </xf>
    <xf numFmtId="0" fontId="57" fillId="14" borderId="102" xfId="0" applyFont="1" applyFill="1" applyBorder="1" applyAlignment="1">
      <alignment horizontal="center" vertical="center"/>
    </xf>
    <xf numFmtId="0" fontId="57" fillId="14" borderId="104" xfId="0" applyFont="1" applyFill="1" applyBorder="1" applyAlignment="1">
      <alignment horizontal="center" vertical="center"/>
    </xf>
    <xf numFmtId="0" fontId="65" fillId="6" borderId="137" xfId="0" applyFont="1" applyFill="1" applyBorder="1" applyAlignment="1">
      <alignment horizontal="center" vertical="center"/>
    </xf>
    <xf numFmtId="0" fontId="65" fillId="6" borderId="118" xfId="0" applyFont="1" applyFill="1" applyBorder="1" applyAlignment="1">
      <alignment horizontal="center" vertical="center"/>
    </xf>
    <xf numFmtId="0" fontId="65" fillId="6" borderId="136" xfId="0" applyFont="1" applyFill="1" applyBorder="1" applyAlignment="1">
      <alignment horizontal="center" vertical="center" wrapText="1"/>
    </xf>
    <xf numFmtId="0" fontId="65" fillId="6" borderId="136" xfId="0" applyFont="1" applyFill="1" applyBorder="1" applyAlignment="1">
      <alignment horizontal="center" vertical="center"/>
    </xf>
    <xf numFmtId="0" fontId="65" fillId="6" borderId="105" xfId="0" applyFont="1" applyFill="1" applyBorder="1" applyAlignment="1">
      <alignment horizontal="center" vertical="center" wrapText="1"/>
    </xf>
    <xf numFmtId="0" fontId="65" fillId="6" borderId="106" xfId="0" applyFont="1" applyFill="1" applyBorder="1" applyAlignment="1">
      <alignment horizontal="center" vertical="center" wrapText="1"/>
    </xf>
    <xf numFmtId="0" fontId="4" fillId="0" borderId="141" xfId="1" applyBorder="1" applyAlignment="1">
      <alignment horizontal="center" vertical="center"/>
    </xf>
    <xf numFmtId="0" fontId="4" fillId="0" borderId="3" xfId="1" applyBorder="1" applyAlignment="1">
      <alignment horizontal="center" vertical="center"/>
    </xf>
    <xf numFmtId="0" fontId="12" fillId="0" borderId="138" xfId="0" applyFont="1" applyBorder="1" applyAlignment="1">
      <alignment horizontal="center" vertical="center"/>
    </xf>
    <xf numFmtId="179" fontId="24" fillId="3" borderId="1" xfId="1" applyNumberFormat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0" fontId="12" fillId="20" borderId="55" xfId="0" applyFont="1" applyFill="1" applyBorder="1">
      <alignment vertical="center"/>
    </xf>
    <xf numFmtId="0" fontId="12" fillId="20" borderId="65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7" fillId="29" borderId="55" xfId="0" applyFont="1" applyFill="1" applyBorder="1" applyAlignment="1">
      <alignment horizontal="center" vertical="center"/>
    </xf>
    <xf numFmtId="0" fontId="67" fillId="29" borderId="97" xfId="0" applyFont="1" applyFill="1" applyBorder="1" applyAlignment="1">
      <alignment horizontal="center" vertical="center"/>
    </xf>
    <xf numFmtId="0" fontId="31" fillId="5" borderId="87" xfId="0" applyFont="1" applyFill="1" applyBorder="1" applyAlignment="1">
      <alignment horizontal="center" vertical="center" shrinkToFit="1"/>
    </xf>
    <xf numFmtId="0" fontId="24" fillId="3" borderId="36" xfId="0" applyFont="1" applyFill="1" applyBorder="1" applyAlignment="1">
      <alignment horizontal="center" vertical="center" shrinkToFit="1"/>
    </xf>
    <xf numFmtId="0" fontId="24" fillId="3" borderId="3" xfId="0" applyFont="1" applyFill="1" applyBorder="1" applyAlignment="1">
      <alignment horizontal="center" vertical="center" shrinkToFit="1"/>
    </xf>
    <xf numFmtId="176" fontId="53" fillId="5" borderId="73" xfId="0" applyNumberFormat="1" applyFont="1" applyFill="1" applyBorder="1" applyAlignment="1">
      <alignment horizontal="center" vertical="center"/>
    </xf>
    <xf numFmtId="176" fontId="53" fillId="5" borderId="147" xfId="0" applyNumberFormat="1" applyFont="1" applyFill="1" applyBorder="1" applyAlignment="1">
      <alignment horizontal="center" vertical="center"/>
    </xf>
    <xf numFmtId="176" fontId="53" fillId="5" borderId="145" xfId="0" applyNumberFormat="1" applyFont="1" applyFill="1" applyBorder="1" applyAlignment="1">
      <alignment horizontal="center" vertical="center"/>
    </xf>
    <xf numFmtId="0" fontId="24" fillId="3" borderId="50" xfId="0" applyFont="1" applyFill="1" applyBorder="1" applyAlignment="1">
      <alignment horizontal="center" vertical="center" shrinkToFit="1"/>
    </xf>
    <xf numFmtId="0" fontId="24" fillId="3" borderId="21" xfId="0" applyFont="1" applyFill="1" applyBorder="1" applyAlignment="1">
      <alignment horizontal="center" vertical="center" shrinkToFit="1"/>
    </xf>
    <xf numFmtId="178" fontId="67" fillId="0" borderId="73" xfId="0" applyNumberFormat="1" applyFont="1" applyBorder="1" applyAlignment="1">
      <alignment horizontal="center" vertical="center"/>
    </xf>
    <xf numFmtId="178" fontId="67" fillId="0" borderId="145" xfId="0" applyNumberFormat="1" applyFont="1" applyBorder="1" applyAlignment="1">
      <alignment horizontal="center" vertical="center"/>
    </xf>
    <xf numFmtId="178" fontId="67" fillId="0" borderId="147" xfId="0" applyNumberFormat="1" applyFont="1" applyBorder="1" applyAlignment="1">
      <alignment horizontal="center" vertical="center"/>
    </xf>
    <xf numFmtId="176" fontId="53" fillId="5" borderId="142" xfId="0" applyNumberFormat="1" applyFont="1" applyFill="1" applyBorder="1" applyAlignment="1">
      <alignment horizontal="center" vertical="center"/>
    </xf>
    <xf numFmtId="176" fontId="53" fillId="5" borderId="144" xfId="0" applyNumberFormat="1" applyFont="1" applyFill="1" applyBorder="1" applyAlignment="1">
      <alignment horizontal="center" vertical="center"/>
    </xf>
    <xf numFmtId="178" fontId="67" fillId="0" borderId="144" xfId="0" applyNumberFormat="1" applyFont="1" applyBorder="1" applyAlignment="1">
      <alignment horizontal="center" vertical="center"/>
    </xf>
    <xf numFmtId="178" fontId="70" fillId="31" borderId="145" xfId="0" applyNumberFormat="1" applyFont="1" applyFill="1" applyBorder="1" applyAlignment="1">
      <alignment horizontal="center" vertical="center"/>
    </xf>
    <xf numFmtId="178" fontId="67" fillId="0" borderId="143" xfId="0" applyNumberFormat="1" applyFont="1" applyBorder="1" applyAlignment="1">
      <alignment horizontal="center" vertical="center"/>
    </xf>
    <xf numFmtId="176" fontId="52" fillId="6" borderId="102" xfId="0" applyNumberFormat="1" applyFont="1" applyFill="1" applyBorder="1" applyAlignment="1">
      <alignment horizontal="center" vertical="center"/>
    </xf>
    <xf numFmtId="0" fontId="69" fillId="17" borderId="101" xfId="0" applyFont="1" applyFill="1" applyBorder="1" applyAlignment="1">
      <alignment horizontal="center" vertical="center"/>
    </xf>
    <xf numFmtId="176" fontId="53" fillId="5" borderId="143" xfId="0" applyNumberFormat="1" applyFont="1" applyFill="1" applyBorder="1" applyAlignment="1">
      <alignment horizontal="center" vertical="center"/>
    </xf>
    <xf numFmtId="176" fontId="52" fillId="6" borderId="145" xfId="0" applyNumberFormat="1" applyFont="1" applyFill="1" applyBorder="1" applyAlignment="1">
      <alignment horizontal="center" vertical="center"/>
    </xf>
    <xf numFmtId="0" fontId="31" fillId="5" borderId="154" xfId="0" applyFont="1" applyFill="1" applyBorder="1" applyAlignment="1">
      <alignment horizontal="center" vertical="center" shrinkToFit="1"/>
    </xf>
    <xf numFmtId="0" fontId="42" fillId="0" borderId="43" xfId="0" applyFont="1" applyBorder="1" applyAlignment="1">
      <alignment horizontal="center" vertical="center"/>
    </xf>
    <xf numFmtId="0" fontId="42" fillId="0" borderId="18" xfId="0" applyFont="1" applyBorder="1" applyAlignment="1">
      <alignment horizontal="center" vertical="center"/>
    </xf>
    <xf numFmtId="178" fontId="67" fillId="0" borderId="132" xfId="0" applyNumberFormat="1" applyFont="1" applyBorder="1" applyAlignment="1">
      <alignment horizontal="center" vertical="center"/>
    </xf>
    <xf numFmtId="178" fontId="67" fillId="3" borderId="155" xfId="0" applyNumberFormat="1" applyFont="1" applyFill="1" applyBorder="1" applyAlignment="1">
      <alignment horizontal="center" vertical="center"/>
    </xf>
    <xf numFmtId="178" fontId="67" fillId="3" borderId="156" xfId="0" applyNumberFormat="1" applyFont="1" applyFill="1" applyBorder="1" applyAlignment="1">
      <alignment horizontal="center" vertical="center"/>
    </xf>
    <xf numFmtId="178" fontId="70" fillId="3" borderId="101" xfId="0" applyNumberFormat="1" applyFont="1" applyFill="1" applyBorder="1" applyAlignment="1">
      <alignment horizontal="center" vertical="center"/>
    </xf>
    <xf numFmtId="178" fontId="67" fillId="3" borderId="117" xfId="0" applyNumberFormat="1" applyFont="1" applyFill="1" applyBorder="1" applyAlignment="1">
      <alignment horizontal="center" vertical="center"/>
    </xf>
    <xf numFmtId="178" fontId="67" fillId="3" borderId="103" xfId="0" applyNumberFormat="1" applyFont="1" applyFill="1" applyBorder="1" applyAlignment="1">
      <alignment horizontal="center" vertical="center"/>
    </xf>
    <xf numFmtId="178" fontId="70" fillId="3" borderId="117" xfId="0" applyNumberFormat="1" applyFont="1" applyFill="1" applyBorder="1" applyAlignment="1">
      <alignment horizontal="center" vertical="center"/>
    </xf>
    <xf numFmtId="178" fontId="67" fillId="0" borderId="117" xfId="0" applyNumberFormat="1" applyFont="1" applyBorder="1" applyAlignment="1">
      <alignment horizontal="center" vertical="center"/>
    </xf>
    <xf numFmtId="178" fontId="67" fillId="3" borderId="133" xfId="0" applyNumberFormat="1" applyFont="1" applyFill="1" applyBorder="1" applyAlignment="1">
      <alignment horizontal="center" vertical="center"/>
    </xf>
    <xf numFmtId="0" fontId="35" fillId="6" borderId="157" xfId="0" applyFont="1" applyFill="1" applyBorder="1" applyAlignment="1">
      <alignment horizontal="center" vertical="center"/>
    </xf>
    <xf numFmtId="0" fontId="35" fillId="6" borderId="158" xfId="0" applyFont="1" applyFill="1" applyBorder="1" applyAlignment="1">
      <alignment horizontal="center" vertical="center"/>
    </xf>
    <xf numFmtId="0" fontId="35" fillId="6" borderId="53" xfId="0" applyFont="1" applyFill="1" applyBorder="1" applyAlignment="1">
      <alignment horizontal="center" vertical="center"/>
    </xf>
    <xf numFmtId="0" fontId="35" fillId="6" borderId="159" xfId="0" applyFont="1" applyFill="1" applyBorder="1" applyAlignment="1">
      <alignment horizontal="center" vertical="center"/>
    </xf>
    <xf numFmtId="0" fontId="31" fillId="5" borderId="161" xfId="0" applyFont="1" applyFill="1" applyBorder="1" applyAlignment="1">
      <alignment horizontal="center" vertical="center" shrinkToFit="1"/>
    </xf>
    <xf numFmtId="176" fontId="34" fillId="3" borderId="162" xfId="0" applyNumberFormat="1" applyFont="1" applyFill="1" applyBorder="1" applyAlignment="1">
      <alignment horizontal="center" vertical="center" shrinkToFit="1"/>
    </xf>
    <xf numFmtId="176" fontId="34" fillId="3" borderId="163" xfId="0" applyNumberFormat="1" applyFont="1" applyFill="1" applyBorder="1" applyAlignment="1">
      <alignment horizontal="center" vertical="center" shrinkToFit="1"/>
    </xf>
    <xf numFmtId="176" fontId="34" fillId="3" borderId="164" xfId="0" applyNumberFormat="1" applyFont="1" applyFill="1" applyBorder="1" applyAlignment="1">
      <alignment horizontal="center" vertical="center" shrinkToFit="1"/>
    </xf>
    <xf numFmtId="0" fontId="31" fillId="5" borderId="115" xfId="0" applyFont="1" applyFill="1" applyBorder="1" applyAlignment="1">
      <alignment horizontal="center" vertical="center" shrinkToFit="1"/>
    </xf>
    <xf numFmtId="0" fontId="69" fillId="17" borderId="103" xfId="0" applyFont="1" applyFill="1" applyBorder="1" applyAlignment="1">
      <alignment horizontal="center" vertical="center"/>
    </xf>
    <xf numFmtId="178" fontId="71" fillId="13" borderId="145" xfId="0" applyNumberFormat="1" applyFont="1" applyFill="1" applyBorder="1" applyAlignment="1">
      <alignment horizontal="center" vertical="center"/>
    </xf>
    <xf numFmtId="0" fontId="12" fillId="20" borderId="97" xfId="0" applyFont="1" applyFill="1" applyBorder="1" applyAlignment="1">
      <alignment horizontal="center" vertical="center"/>
    </xf>
    <xf numFmtId="0" fontId="12" fillId="20" borderId="67" xfId="0" applyFont="1" applyFill="1" applyBorder="1" applyAlignment="1">
      <alignment horizontal="center" vertical="center"/>
    </xf>
    <xf numFmtId="176" fontId="53" fillId="32" borderId="142" xfId="0" applyNumberFormat="1" applyFont="1" applyFill="1" applyBorder="1" applyAlignment="1">
      <alignment horizontal="center" vertical="center"/>
    </xf>
    <xf numFmtId="180" fontId="34" fillId="3" borderId="77" xfId="0" applyNumberFormat="1" applyFont="1" applyFill="1" applyBorder="1" applyAlignment="1">
      <alignment horizontal="center" vertical="center" shrinkToFit="1"/>
    </xf>
    <xf numFmtId="180" fontId="34" fillId="3" borderId="149" xfId="0" applyNumberFormat="1" applyFont="1" applyFill="1" applyBorder="1" applyAlignment="1">
      <alignment horizontal="center" vertical="center" shrinkToFit="1"/>
    </xf>
    <xf numFmtId="180" fontId="34" fillId="3" borderId="81" xfId="0" applyNumberFormat="1" applyFont="1" applyFill="1" applyBorder="1" applyAlignment="1">
      <alignment horizontal="center" vertical="center" shrinkToFit="1"/>
    </xf>
    <xf numFmtId="180" fontId="34" fillId="3" borderId="165" xfId="0" applyNumberFormat="1" applyFont="1" applyFill="1" applyBorder="1" applyAlignment="1">
      <alignment horizontal="center" vertical="center" shrinkToFit="1"/>
    </xf>
    <xf numFmtId="180" fontId="34" fillId="3" borderId="61" xfId="0" applyNumberFormat="1" applyFont="1" applyFill="1" applyBorder="1" applyAlignment="1">
      <alignment horizontal="center" vertical="center" shrinkToFit="1"/>
    </xf>
    <xf numFmtId="180" fontId="34" fillId="3" borderId="146" xfId="0" applyNumberFormat="1" applyFont="1" applyFill="1" applyBorder="1" applyAlignment="1">
      <alignment horizontal="center" vertical="center" shrinkToFit="1"/>
    </xf>
    <xf numFmtId="180" fontId="34" fillId="3" borderId="62" xfId="0" applyNumberFormat="1" applyFont="1" applyFill="1" applyBorder="1" applyAlignment="1">
      <alignment horizontal="center" vertical="center" shrinkToFit="1"/>
    </xf>
    <xf numFmtId="180" fontId="34" fillId="3" borderId="63" xfId="0" applyNumberFormat="1" applyFont="1" applyFill="1" applyBorder="1" applyAlignment="1">
      <alignment horizontal="center" vertical="center" shrinkToFit="1"/>
    </xf>
    <xf numFmtId="180" fontId="34" fillId="3" borderId="135" xfId="0" applyNumberFormat="1" applyFont="1" applyFill="1" applyBorder="1" applyAlignment="1">
      <alignment horizontal="center" vertical="center" shrinkToFit="1"/>
    </xf>
    <xf numFmtId="180" fontId="34" fillId="3" borderId="136" xfId="0" applyNumberFormat="1" applyFont="1" applyFill="1" applyBorder="1" applyAlignment="1">
      <alignment horizontal="center" vertical="center" shrinkToFit="1"/>
    </xf>
    <xf numFmtId="180" fontId="34" fillId="3" borderId="166" xfId="0" applyNumberFormat="1" applyFont="1" applyFill="1" applyBorder="1" applyAlignment="1">
      <alignment horizontal="center" vertical="center" shrinkToFit="1"/>
    </xf>
    <xf numFmtId="180" fontId="34" fillId="3" borderId="160" xfId="0" applyNumberFormat="1" applyFont="1" applyFill="1" applyBorder="1" applyAlignment="1">
      <alignment horizontal="center" vertical="center" shrinkToFit="1"/>
    </xf>
    <xf numFmtId="0" fontId="43" fillId="0" borderId="55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12" fillId="22" borderId="67" xfId="0" applyFont="1" applyFill="1" applyBorder="1" applyAlignment="1">
      <alignment horizontal="center" vertical="center"/>
    </xf>
    <xf numFmtId="0" fontId="12" fillId="22" borderId="76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43" fillId="0" borderId="131" xfId="0" applyFont="1" applyBorder="1" applyAlignment="1">
      <alignment horizontal="center" vertical="center"/>
    </xf>
    <xf numFmtId="0" fontId="43" fillId="0" borderId="132" xfId="0" applyFont="1" applyBorder="1" applyAlignment="1">
      <alignment horizontal="center" vertical="center"/>
    </xf>
    <xf numFmtId="0" fontId="43" fillId="0" borderId="133" xfId="0" applyFont="1" applyBorder="1" applyAlignment="1">
      <alignment horizontal="center" vertical="center"/>
    </xf>
    <xf numFmtId="0" fontId="43" fillId="0" borderId="64" xfId="0" applyFont="1" applyBorder="1" applyAlignment="1">
      <alignment horizontal="center" vertical="center"/>
    </xf>
    <xf numFmtId="0" fontId="43" fillId="0" borderId="133" xfId="0" quotePrefix="1" applyFont="1" applyBorder="1" applyAlignment="1">
      <alignment horizontal="center" vertical="center"/>
    </xf>
    <xf numFmtId="0" fontId="43" fillId="0" borderId="135" xfId="0" applyFont="1" applyBorder="1" applyAlignment="1">
      <alignment horizontal="center" vertical="center"/>
    </xf>
    <xf numFmtId="0" fontId="43" fillId="0" borderId="106" xfId="0" applyFont="1" applyBorder="1" applyAlignment="1">
      <alignment horizontal="center" vertical="center"/>
    </xf>
    <xf numFmtId="179" fontId="1" fillId="0" borderId="1" xfId="1" applyNumberFormat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14" fontId="43" fillId="0" borderId="1" xfId="0" applyNumberFormat="1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14" fontId="43" fillId="0" borderId="3" xfId="0" applyNumberFormat="1" applyFont="1" applyBorder="1" applyAlignment="1">
      <alignment horizontal="center" vertical="center"/>
    </xf>
    <xf numFmtId="0" fontId="43" fillId="9" borderId="3" xfId="0" applyFont="1" applyFill="1" applyBorder="1" applyAlignment="1">
      <alignment horizontal="center" vertical="center"/>
    </xf>
    <xf numFmtId="179" fontId="1" fillId="9" borderId="1" xfId="1" applyNumberFormat="1" applyFont="1" applyFill="1" applyBorder="1" applyAlignment="1">
      <alignment horizontal="center" vertical="center"/>
    </xf>
    <xf numFmtId="0" fontId="1" fillId="9" borderId="1" xfId="1" applyFont="1" applyFill="1" applyBorder="1" applyAlignment="1">
      <alignment horizontal="center" vertical="center"/>
    </xf>
    <xf numFmtId="14" fontId="43" fillId="9" borderId="3" xfId="0" applyNumberFormat="1" applyFont="1" applyFill="1" applyBorder="1" applyAlignment="1">
      <alignment horizontal="center" vertical="center"/>
    </xf>
    <xf numFmtId="0" fontId="1" fillId="23" borderId="1" xfId="1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49" fontId="1" fillId="0" borderId="1" xfId="1" applyNumberFormat="1" applyFont="1" applyBorder="1" applyAlignment="1">
      <alignment horizontal="center" vertical="center"/>
    </xf>
    <xf numFmtId="0" fontId="1" fillId="9" borderId="0" xfId="1" applyFont="1" applyFill="1" applyAlignment="1">
      <alignment horizontal="center" vertical="center"/>
    </xf>
    <xf numFmtId="14" fontId="1" fillId="0" borderId="1" xfId="1" applyNumberFormat="1" applyFont="1" applyBorder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68" xfId="0" applyFont="1" applyFill="1" applyBorder="1" applyAlignment="1">
      <alignment horizontal="center" vertical="center"/>
    </xf>
    <xf numFmtId="0" fontId="12" fillId="2" borderId="75" xfId="0" applyFont="1" applyFill="1" applyBorder="1" applyAlignment="1">
      <alignment horizontal="center" vertical="center"/>
    </xf>
    <xf numFmtId="0" fontId="12" fillId="2" borderId="114" xfId="0" applyFont="1" applyFill="1" applyBorder="1" applyAlignment="1">
      <alignment horizontal="center" vertical="center"/>
    </xf>
    <xf numFmtId="0" fontId="12" fillId="20" borderId="113" xfId="0" applyFont="1" applyFill="1" applyBorder="1" applyAlignment="1">
      <alignment horizontal="center" vertical="center"/>
    </xf>
    <xf numFmtId="0" fontId="12" fillId="2" borderId="97" xfId="0" applyFont="1" applyFill="1" applyBorder="1" applyAlignment="1">
      <alignment horizontal="center" vertical="center"/>
    </xf>
    <xf numFmtId="0" fontId="12" fillId="2" borderId="65" xfId="0" applyFont="1" applyFill="1" applyBorder="1" applyAlignment="1">
      <alignment horizontal="center" vertical="center"/>
    </xf>
    <xf numFmtId="14" fontId="12" fillId="0" borderId="55" xfId="0" applyNumberFormat="1" applyFont="1" applyBorder="1" applyAlignment="1">
      <alignment horizontal="center" vertical="center"/>
    </xf>
    <xf numFmtId="14" fontId="12" fillId="2" borderId="55" xfId="0" applyNumberFormat="1" applyFont="1" applyFill="1" applyBorder="1" applyAlignment="1">
      <alignment horizontal="center" vertical="center"/>
    </xf>
    <xf numFmtId="14" fontId="12" fillId="0" borderId="68" xfId="0" applyNumberFormat="1" applyFont="1" applyBorder="1" applyAlignment="1">
      <alignment horizontal="center" vertical="center"/>
    </xf>
    <xf numFmtId="0" fontId="1" fillId="4" borderId="1" xfId="1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2" fillId="0" borderId="67" xfId="0" applyFont="1" applyBorder="1" applyAlignment="1">
      <alignment horizontal="center" vertical="center"/>
    </xf>
    <xf numFmtId="14" fontId="5" fillId="0" borderId="68" xfId="0" applyNumberFormat="1" applyFont="1" applyBorder="1" applyAlignment="1">
      <alignment horizontal="center" vertical="center"/>
    </xf>
    <xf numFmtId="0" fontId="5" fillId="0" borderId="113" xfId="0" applyFont="1" applyBorder="1" applyAlignment="1">
      <alignment horizontal="center" vertical="center"/>
    </xf>
    <xf numFmtId="0" fontId="12" fillId="0" borderId="113" xfId="0" applyFont="1" applyBorder="1" applyAlignment="1">
      <alignment horizontal="center" vertical="center"/>
    </xf>
    <xf numFmtId="0" fontId="12" fillId="0" borderId="82" xfId="0" applyFont="1" applyBorder="1" applyAlignment="1">
      <alignment horizontal="center" vertical="center"/>
    </xf>
    <xf numFmtId="14" fontId="12" fillId="0" borderId="65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3" fillId="20" borderId="54" xfId="0" applyFont="1" applyFill="1" applyBorder="1" applyAlignment="1">
      <alignment horizontal="center" vertical="center"/>
    </xf>
    <xf numFmtId="0" fontId="43" fillId="20" borderId="36" xfId="0" applyFont="1" applyFill="1" applyBorder="1" applyAlignment="1">
      <alignment horizontal="center" vertical="center"/>
    </xf>
    <xf numFmtId="0" fontId="43" fillId="20" borderId="26" xfId="0" applyFont="1" applyFill="1" applyBorder="1" applyAlignment="1">
      <alignment horizontal="center" vertical="center"/>
    </xf>
    <xf numFmtId="0" fontId="43" fillId="20" borderId="44" xfId="0" applyFont="1" applyFill="1" applyBorder="1" applyAlignment="1">
      <alignment horizontal="center" vertical="center"/>
    </xf>
    <xf numFmtId="176" fontId="43" fillId="20" borderId="44" xfId="0" applyNumberFormat="1" applyFont="1" applyFill="1" applyBorder="1" applyAlignment="1">
      <alignment horizontal="center" vertical="center"/>
    </xf>
    <xf numFmtId="177" fontId="43" fillId="20" borderId="36" xfId="0" applyNumberFormat="1" applyFont="1" applyFill="1" applyBorder="1" applyAlignment="1">
      <alignment horizontal="center" vertical="center"/>
    </xf>
    <xf numFmtId="177" fontId="43" fillId="0" borderId="36" xfId="0" applyNumberFormat="1" applyFont="1" applyBorder="1" applyAlignment="1">
      <alignment horizontal="center" vertical="center"/>
    </xf>
    <xf numFmtId="177" fontId="43" fillId="0" borderId="26" xfId="0" applyNumberFormat="1" applyFont="1" applyBorder="1" applyAlignment="1">
      <alignment horizontal="center" vertical="center"/>
    </xf>
    <xf numFmtId="177" fontId="43" fillId="20" borderId="44" xfId="0" applyNumberFormat="1" applyFont="1" applyFill="1" applyBorder="1" applyAlignment="1">
      <alignment horizontal="center" vertical="center"/>
    </xf>
    <xf numFmtId="177" fontId="43" fillId="20" borderId="128" xfId="0" applyNumberFormat="1" applyFont="1" applyFill="1" applyBorder="1" applyAlignment="1">
      <alignment horizontal="center" vertical="center"/>
    </xf>
    <xf numFmtId="9" fontId="43" fillId="20" borderId="36" xfId="0" applyNumberFormat="1" applyFont="1" applyFill="1" applyBorder="1" applyAlignment="1">
      <alignment horizontal="center" vertical="center"/>
    </xf>
    <xf numFmtId="9" fontId="43" fillId="20" borderId="26" xfId="0" applyNumberFormat="1" applyFont="1" applyFill="1" applyBorder="1" applyAlignment="1">
      <alignment horizontal="center" vertical="center"/>
    </xf>
    <xf numFmtId="9" fontId="43" fillId="20" borderId="126" xfId="0" applyNumberFormat="1" applyFont="1" applyFill="1" applyBorder="1" applyAlignment="1">
      <alignment horizontal="center" vertical="center"/>
    </xf>
    <xf numFmtId="9" fontId="43" fillId="20" borderId="105" xfId="0" applyNumberFormat="1" applyFont="1" applyFill="1" applyBorder="1" applyAlignment="1">
      <alignment horizontal="center" vertical="center"/>
    </xf>
    <xf numFmtId="0" fontId="14" fillId="29" borderId="97" xfId="0" applyFont="1" applyFill="1" applyBorder="1" applyAlignment="1">
      <alignment horizontal="center" vertical="center"/>
    </xf>
    <xf numFmtId="0" fontId="14" fillId="30" borderId="97" xfId="0" applyFont="1" applyFill="1" applyBorder="1" applyAlignment="1">
      <alignment horizontal="center" vertical="center"/>
    </xf>
    <xf numFmtId="176" fontId="42" fillId="13" borderId="146" xfId="0" applyNumberFormat="1" applyFont="1" applyFill="1" applyBorder="1" applyAlignment="1">
      <alignment horizontal="center" vertical="center"/>
    </xf>
    <xf numFmtId="176" fontId="42" fillId="13" borderId="115" xfId="0" applyNumberFormat="1" applyFont="1" applyFill="1" applyBorder="1" applyAlignment="1">
      <alignment horizontal="center" vertical="center"/>
    </xf>
    <xf numFmtId="176" fontId="42" fillId="0" borderId="118" xfId="0" applyNumberFormat="1" applyFont="1" applyBorder="1" applyAlignment="1">
      <alignment horizontal="center" vertical="center"/>
    </xf>
    <xf numFmtId="176" fontId="42" fillId="0" borderId="151" xfId="0" applyNumberFormat="1" applyFont="1" applyBorder="1" applyAlignment="1">
      <alignment horizontal="center" vertical="center"/>
    </xf>
    <xf numFmtId="176" fontId="42" fillId="0" borderId="152" xfId="0" applyNumberFormat="1" applyFont="1" applyBorder="1" applyAlignment="1">
      <alignment horizontal="center" vertical="center"/>
    </xf>
    <xf numFmtId="176" fontId="42" fillId="0" borderId="102" xfId="0" applyNumberFormat="1" applyFont="1" applyBorder="1" applyAlignment="1">
      <alignment horizontal="center" vertical="center"/>
    </xf>
    <xf numFmtId="176" fontId="42" fillId="31" borderId="146" xfId="0" applyNumberFormat="1" applyFont="1" applyFill="1" applyBorder="1" applyAlignment="1">
      <alignment horizontal="center" vertical="center"/>
    </xf>
    <xf numFmtId="176" fontId="42" fillId="31" borderId="62" xfId="0" applyNumberFormat="1" applyFont="1" applyFill="1" applyBorder="1" applyAlignment="1">
      <alignment horizontal="center" vertical="center"/>
    </xf>
    <xf numFmtId="176" fontId="42" fillId="31" borderId="148" xfId="0" applyNumberFormat="1" applyFont="1" applyFill="1" applyBorder="1" applyAlignment="1">
      <alignment horizontal="center" vertical="center"/>
    </xf>
    <xf numFmtId="176" fontId="42" fillId="31" borderId="115" xfId="0" applyNumberFormat="1" applyFont="1" applyFill="1" applyBorder="1" applyAlignment="1">
      <alignment horizontal="center" vertical="center"/>
    </xf>
    <xf numFmtId="176" fontId="42" fillId="0" borderId="75" xfId="0" applyNumberFormat="1" applyFont="1" applyBorder="1" applyAlignment="1">
      <alignment horizontal="center" vertical="center"/>
    </xf>
    <xf numFmtId="176" fontId="42" fillId="0" borderId="65" xfId="0" applyNumberFormat="1" applyFont="1" applyBorder="1" applyAlignment="1">
      <alignment horizontal="center" vertical="center"/>
    </xf>
    <xf numFmtId="176" fontId="42" fillId="0" borderId="114" xfId="0" applyNumberFormat="1" applyFont="1" applyBorder="1" applyAlignment="1">
      <alignment horizontal="center" vertical="center"/>
    </xf>
    <xf numFmtId="176" fontId="42" fillId="0" borderId="139" xfId="0" applyNumberFormat="1" applyFont="1" applyBorder="1" applyAlignment="1">
      <alignment horizontal="center" vertical="center"/>
    </xf>
    <xf numFmtId="176" fontId="42" fillId="0" borderId="67" xfId="0" applyNumberFormat="1" applyFont="1" applyBorder="1" applyAlignment="1">
      <alignment horizontal="center" vertical="center"/>
    </xf>
    <xf numFmtId="176" fontId="42" fillId="0" borderId="55" xfId="0" applyNumberFormat="1" applyFont="1" applyBorder="1" applyAlignment="1">
      <alignment horizontal="center" vertical="center"/>
    </xf>
    <xf numFmtId="176" fontId="42" fillId="0" borderId="55" xfId="0" applyNumberFormat="1" applyFont="1" applyBorder="1" applyAlignment="1">
      <alignment horizontal="center" vertical="center" wrapText="1"/>
    </xf>
    <xf numFmtId="176" fontId="42" fillId="0" borderId="97" xfId="0" applyNumberFormat="1" applyFont="1" applyBorder="1" applyAlignment="1">
      <alignment horizontal="center" vertical="center"/>
    </xf>
    <xf numFmtId="176" fontId="42" fillId="0" borderId="79" xfId="0" applyNumberFormat="1" applyFont="1" applyBorder="1" applyAlignment="1">
      <alignment horizontal="center" vertical="center"/>
    </xf>
    <xf numFmtId="176" fontId="42" fillId="0" borderId="82" xfId="0" applyNumberFormat="1" applyFont="1" applyBorder="1" applyAlignment="1">
      <alignment horizontal="center" vertical="center"/>
    </xf>
    <xf numFmtId="176" fontId="42" fillId="0" borderId="68" xfId="0" applyNumberFormat="1" applyFont="1" applyBorder="1" applyAlignment="1">
      <alignment horizontal="center" vertical="center"/>
    </xf>
    <xf numFmtId="176" fontId="42" fillId="0" borderId="113" xfId="0" applyNumberFormat="1" applyFont="1" applyBorder="1" applyAlignment="1">
      <alignment horizontal="center" vertical="center"/>
    </xf>
    <xf numFmtId="176" fontId="42" fillId="0" borderId="140" xfId="0" applyNumberFormat="1" applyFont="1" applyBorder="1" applyAlignment="1">
      <alignment horizontal="center" vertical="center"/>
    </xf>
    <xf numFmtId="176" fontId="42" fillId="0" borderId="75" xfId="0" applyNumberFormat="1" applyFont="1" applyBorder="1" applyAlignment="1">
      <alignment horizontal="center" vertical="center" wrapText="1"/>
    </xf>
    <xf numFmtId="176" fontId="42" fillId="0" borderId="149" xfId="0" applyNumberFormat="1" applyFont="1" applyBorder="1" applyAlignment="1">
      <alignment horizontal="center" vertical="center"/>
    </xf>
    <xf numFmtId="176" fontId="42" fillId="0" borderId="81" xfId="0" applyNumberFormat="1" applyFont="1" applyBorder="1" applyAlignment="1">
      <alignment horizontal="center" vertical="center"/>
    </xf>
    <xf numFmtId="176" fontId="42" fillId="0" borderId="150" xfId="0" applyNumberFormat="1" applyFont="1" applyBorder="1" applyAlignment="1">
      <alignment horizontal="center" vertical="center"/>
    </xf>
    <xf numFmtId="176" fontId="42" fillId="0" borderId="99" xfId="0" applyNumberFormat="1" applyFont="1" applyBorder="1" applyAlignment="1">
      <alignment horizontal="center" vertical="center"/>
    </xf>
    <xf numFmtId="176" fontId="42" fillId="0" borderId="72" xfId="0" applyNumberFormat="1" applyFont="1" applyBorder="1" applyAlignment="1">
      <alignment horizontal="center" vertical="center"/>
    </xf>
    <xf numFmtId="176" fontId="42" fillId="3" borderId="67" xfId="0" applyNumberFormat="1" applyFont="1" applyFill="1" applyBorder="1" applyAlignment="1">
      <alignment horizontal="center" vertical="center"/>
    </xf>
    <xf numFmtId="176" fontId="42" fillId="3" borderId="55" xfId="0" applyNumberFormat="1" applyFont="1" applyFill="1" applyBorder="1" applyAlignment="1">
      <alignment horizontal="center" vertical="center"/>
    </xf>
    <xf numFmtId="176" fontId="42" fillId="3" borderId="97" xfId="0" applyNumberFormat="1" applyFont="1" applyFill="1" applyBorder="1" applyAlignment="1">
      <alignment horizontal="center" vertical="center"/>
    </xf>
    <xf numFmtId="176" fontId="42" fillId="3" borderId="73" xfId="0" applyNumberFormat="1" applyFont="1" applyFill="1" applyBorder="1" applyAlignment="1">
      <alignment horizontal="center" vertical="center"/>
    </xf>
    <xf numFmtId="176" fontId="42" fillId="3" borderId="82" xfId="0" applyNumberFormat="1" applyFont="1" applyFill="1" applyBorder="1" applyAlignment="1">
      <alignment horizontal="center" vertical="center"/>
    </xf>
    <xf numFmtId="176" fontId="42" fillId="3" borderId="68" xfId="0" applyNumberFormat="1" applyFont="1" applyFill="1" applyBorder="1" applyAlignment="1">
      <alignment horizontal="center" vertical="center"/>
    </xf>
    <xf numFmtId="176" fontId="42" fillId="3" borderId="68" xfId="0" applyNumberFormat="1" applyFont="1" applyFill="1" applyBorder="1" applyAlignment="1">
      <alignment horizontal="center" vertical="center" wrapText="1"/>
    </xf>
    <xf numFmtId="176" fontId="42" fillId="3" borderId="113" xfId="0" applyNumberFormat="1" applyFont="1" applyFill="1" applyBorder="1" applyAlignment="1">
      <alignment horizontal="center" vertical="center"/>
    </xf>
    <xf numFmtId="176" fontId="42" fillId="3" borderId="147" xfId="0" applyNumberFormat="1" applyFont="1" applyFill="1" applyBorder="1" applyAlignment="1">
      <alignment horizontal="center" vertical="center"/>
    </xf>
    <xf numFmtId="176" fontId="42" fillId="31" borderId="149" xfId="0" applyNumberFormat="1" applyFont="1" applyFill="1" applyBorder="1" applyAlignment="1">
      <alignment horizontal="center" vertical="center"/>
    </xf>
    <xf numFmtId="176" fontId="42" fillId="31" borderId="81" xfId="0" applyNumberFormat="1" applyFont="1" applyFill="1" applyBorder="1" applyAlignment="1">
      <alignment horizontal="center" vertical="center"/>
    </xf>
    <xf numFmtId="176" fontId="42" fillId="31" borderId="150" xfId="0" applyNumberFormat="1" applyFont="1" applyFill="1" applyBorder="1" applyAlignment="1">
      <alignment horizontal="center" vertical="center"/>
    </xf>
    <xf numFmtId="176" fontId="42" fillId="31" borderId="142" xfId="0" applyNumberFormat="1" applyFont="1" applyFill="1" applyBorder="1" applyAlignment="1">
      <alignment horizontal="center" vertical="center"/>
    </xf>
    <xf numFmtId="176" fontId="42" fillId="3" borderId="149" xfId="0" applyNumberFormat="1" applyFont="1" applyFill="1" applyBorder="1" applyAlignment="1">
      <alignment horizontal="center" vertical="center"/>
    </xf>
    <xf numFmtId="176" fontId="42" fillId="3" borderId="81" xfId="0" applyNumberFormat="1" applyFont="1" applyFill="1" applyBorder="1" applyAlignment="1">
      <alignment horizontal="center" vertical="center"/>
    </xf>
    <xf numFmtId="176" fontId="42" fillId="3" borderId="150" xfId="0" applyNumberFormat="1" applyFont="1" applyFill="1" applyBorder="1" applyAlignment="1">
      <alignment horizontal="center" vertical="center"/>
    </xf>
    <xf numFmtId="176" fontId="42" fillId="3" borderId="142" xfId="0" applyNumberFormat="1" applyFont="1" applyFill="1" applyBorder="1" applyAlignment="1">
      <alignment horizontal="center" vertical="center"/>
    </xf>
    <xf numFmtId="176" fontId="42" fillId="31" borderId="149" xfId="0" applyNumberFormat="1" applyFont="1" applyFill="1" applyBorder="1" applyAlignment="1">
      <alignment horizontal="center" vertical="center" wrapText="1"/>
    </xf>
    <xf numFmtId="176" fontId="14" fillId="32" borderId="145" xfId="0" applyNumberFormat="1" applyFont="1" applyFill="1" applyBorder="1" applyAlignment="1">
      <alignment horizontal="center" vertical="center" wrapText="1"/>
    </xf>
    <xf numFmtId="176" fontId="42" fillId="3" borderId="146" xfId="0" applyNumberFormat="1" applyFont="1" applyFill="1" applyBorder="1" applyAlignment="1">
      <alignment horizontal="center" vertical="center"/>
    </xf>
    <xf numFmtId="176" fontId="42" fillId="3" borderId="116" xfId="0" applyNumberFormat="1" applyFont="1" applyFill="1" applyBorder="1" applyAlignment="1">
      <alignment horizontal="center" vertical="center"/>
    </xf>
    <xf numFmtId="176" fontId="42" fillId="3" borderId="145" xfId="0" applyNumberFormat="1" applyFont="1" applyFill="1" applyBorder="1" applyAlignment="1">
      <alignment horizontal="center" vertical="center"/>
    </xf>
    <xf numFmtId="176" fontId="42" fillId="3" borderId="118" xfId="0" applyNumberFormat="1" applyFont="1" applyFill="1" applyBorder="1" applyAlignment="1">
      <alignment horizontal="center" vertical="center"/>
    </xf>
    <xf numFmtId="176" fontId="42" fillId="3" borderId="151" xfId="0" applyNumberFormat="1" applyFont="1" applyFill="1" applyBorder="1" applyAlignment="1">
      <alignment horizontal="center" vertical="center"/>
    </xf>
    <xf numFmtId="176" fontId="42" fillId="3" borderId="152" xfId="0" applyNumberFormat="1" applyFont="1" applyFill="1" applyBorder="1" applyAlignment="1">
      <alignment horizontal="center" vertical="center"/>
    </xf>
    <xf numFmtId="176" fontId="42" fillId="3" borderId="143" xfId="0" applyNumberFormat="1" applyFont="1" applyFill="1" applyBorder="1" applyAlignment="1">
      <alignment horizontal="center" vertical="center"/>
    </xf>
    <xf numFmtId="176" fontId="42" fillId="31" borderId="145" xfId="0" applyNumberFormat="1" applyFont="1" applyFill="1" applyBorder="1" applyAlignment="1">
      <alignment horizontal="center" vertical="center"/>
    </xf>
    <xf numFmtId="176" fontId="42" fillId="0" borderId="146" xfId="0" applyNumberFormat="1" applyFont="1" applyBorder="1" applyAlignment="1">
      <alignment horizontal="center" vertical="center"/>
    </xf>
    <xf numFmtId="176" fontId="42" fillId="0" borderId="116" xfId="0" applyNumberFormat="1" applyFont="1" applyBorder="1" applyAlignment="1">
      <alignment horizontal="center" vertical="center"/>
    </xf>
    <xf numFmtId="176" fontId="42" fillId="0" borderId="145" xfId="0" applyNumberFormat="1" applyFont="1" applyBorder="1" applyAlignment="1">
      <alignment horizontal="center" vertical="center"/>
    </xf>
    <xf numFmtId="176" fontId="42" fillId="3" borderId="75" xfId="0" applyNumberFormat="1" applyFont="1" applyFill="1" applyBorder="1" applyAlignment="1">
      <alignment horizontal="center" vertical="center"/>
    </xf>
    <xf numFmtId="176" fontId="42" fillId="3" borderId="65" xfId="0" applyNumberFormat="1" applyFont="1" applyFill="1" applyBorder="1" applyAlignment="1">
      <alignment horizontal="center" vertical="center"/>
    </xf>
    <xf numFmtId="176" fontId="42" fillId="3" borderId="114" xfId="0" applyNumberFormat="1" applyFont="1" applyFill="1" applyBorder="1" applyAlignment="1">
      <alignment horizontal="center" vertical="center"/>
    </xf>
    <xf numFmtId="176" fontId="42" fillId="3" borderId="144" xfId="0" applyNumberFormat="1" applyFont="1" applyFill="1" applyBorder="1" applyAlignment="1">
      <alignment horizontal="center" vertical="center"/>
    </xf>
    <xf numFmtId="179" fontId="24" fillId="0" borderId="55" xfId="1" applyNumberFormat="1" applyFont="1" applyBorder="1" applyAlignment="1">
      <alignment horizontal="center" vertical="center"/>
    </xf>
    <xf numFmtId="0" fontId="4" fillId="3" borderId="55" xfId="1" applyFill="1" applyBorder="1" applyAlignment="1">
      <alignment horizontal="center" vertical="center"/>
    </xf>
    <xf numFmtId="179" fontId="24" fillId="0" borderId="10" xfId="1" applyNumberFormat="1" applyFont="1" applyBorder="1" applyAlignment="1">
      <alignment horizontal="center" vertical="center"/>
    </xf>
    <xf numFmtId="0" fontId="4" fillId="3" borderId="10" xfId="1" applyFill="1" applyBorder="1" applyAlignment="1">
      <alignment horizontal="center" vertical="center"/>
    </xf>
    <xf numFmtId="0" fontId="24" fillId="9" borderId="22" xfId="0" applyFont="1" applyFill="1" applyBorder="1" applyAlignment="1">
      <alignment horizontal="center" vertical="center"/>
    </xf>
    <xf numFmtId="0" fontId="50" fillId="0" borderId="97" xfId="0" applyFont="1" applyBorder="1" applyAlignment="1">
      <alignment horizontal="center" vertical="center"/>
    </xf>
    <xf numFmtId="180" fontId="4" fillId="9" borderId="1" xfId="1" applyNumberFormat="1" applyFill="1" applyBorder="1" applyAlignment="1">
      <alignment horizontal="center" vertical="center"/>
    </xf>
    <xf numFmtId="0" fontId="72" fillId="33" borderId="1" xfId="1" applyFont="1" applyFill="1" applyBorder="1" applyAlignment="1">
      <alignment horizontal="center" vertical="center"/>
    </xf>
    <xf numFmtId="0" fontId="73" fillId="34" borderId="167" xfId="0" applyFont="1" applyFill="1" applyBorder="1" applyAlignment="1">
      <alignment horizontal="center" vertical="center" readingOrder="1"/>
    </xf>
    <xf numFmtId="0" fontId="74" fillId="0" borderId="168" xfId="0" applyFont="1" applyBorder="1" applyAlignment="1">
      <alignment horizontal="center" vertical="center" readingOrder="1"/>
    </xf>
    <xf numFmtId="0" fontId="74" fillId="0" borderId="169" xfId="0" applyFont="1" applyBorder="1" applyAlignment="1">
      <alignment horizontal="center" vertical="center" readingOrder="1"/>
    </xf>
    <xf numFmtId="0" fontId="75" fillId="0" borderId="0" xfId="0" applyFont="1" applyAlignment="1">
      <alignment horizontal="center" vertical="center"/>
    </xf>
    <xf numFmtId="0" fontId="76" fillId="35" borderId="170" xfId="0" applyFont="1" applyFill="1" applyBorder="1" applyAlignment="1">
      <alignment horizontal="center" vertical="center" readingOrder="1"/>
    </xf>
    <xf numFmtId="0" fontId="74" fillId="35" borderId="170" xfId="0" applyFont="1" applyFill="1" applyBorder="1" applyAlignment="1">
      <alignment horizontal="center" vertical="center" readingOrder="1"/>
    </xf>
    <xf numFmtId="14" fontId="76" fillId="35" borderId="170" xfId="0" applyNumberFormat="1" applyFont="1" applyFill="1" applyBorder="1" applyAlignment="1">
      <alignment horizontal="center" vertical="center" readingOrder="1"/>
    </xf>
    <xf numFmtId="0" fontId="74" fillId="0" borderId="171" xfId="0" applyFont="1" applyBorder="1" applyAlignment="1">
      <alignment horizontal="center" vertical="center" readingOrder="1"/>
    </xf>
    <xf numFmtId="0" fontId="74" fillId="0" borderId="172" xfId="0" applyFont="1" applyBorder="1" applyAlignment="1">
      <alignment horizontal="center" vertical="center" readingOrder="1"/>
    </xf>
    <xf numFmtId="0" fontId="76" fillId="35" borderId="173" xfId="0" applyFont="1" applyFill="1" applyBorder="1" applyAlignment="1">
      <alignment horizontal="center" vertical="center" readingOrder="1"/>
    </xf>
    <xf numFmtId="0" fontId="74" fillId="0" borderId="174" xfId="0" applyFont="1" applyBorder="1" applyAlignment="1">
      <alignment horizontal="center" vertical="center" readingOrder="1"/>
    </xf>
    <xf numFmtId="0" fontId="74" fillId="0" borderId="175" xfId="0" applyFont="1" applyBorder="1" applyAlignment="1">
      <alignment horizontal="center" vertical="center" readingOrder="1"/>
    </xf>
    <xf numFmtId="0" fontId="4" fillId="3" borderId="141" xfId="1" applyFill="1" applyBorder="1" applyAlignment="1">
      <alignment horizontal="center" vertical="center"/>
    </xf>
    <xf numFmtId="0" fontId="4" fillId="3" borderId="3" xfId="1" applyFill="1" applyBorder="1" applyAlignment="1">
      <alignment horizontal="center" vertical="center"/>
    </xf>
    <xf numFmtId="0" fontId="53" fillId="22" borderId="55" xfId="0" applyFont="1" applyFill="1" applyBorder="1" applyAlignment="1">
      <alignment horizontal="center" vertical="center"/>
    </xf>
    <xf numFmtId="49" fontId="12" fillId="20" borderId="55" xfId="0" applyNumberFormat="1" applyFont="1" applyFill="1" applyBorder="1" applyAlignment="1">
      <alignment horizontal="center" vertical="center"/>
    </xf>
    <xf numFmtId="0" fontId="12" fillId="0" borderId="75" xfId="0" applyFont="1" applyBorder="1" applyAlignment="1">
      <alignment horizontal="center" vertical="center"/>
    </xf>
    <xf numFmtId="14" fontId="12" fillId="20" borderId="97" xfId="0" applyNumberFormat="1" applyFont="1" applyFill="1" applyBorder="1" applyAlignment="1">
      <alignment horizontal="center" vertical="center"/>
    </xf>
    <xf numFmtId="14" fontId="12" fillId="20" borderId="65" xfId="0" applyNumberFormat="1" applyFont="1" applyFill="1" applyBorder="1" applyAlignment="1">
      <alignment horizontal="center" vertical="center"/>
    </xf>
    <xf numFmtId="0" fontId="75" fillId="0" borderId="55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14" fontId="12" fillId="2" borderId="68" xfId="0" applyNumberFormat="1" applyFont="1" applyFill="1" applyBorder="1" applyAlignment="1">
      <alignment horizontal="center" vertical="center"/>
    </xf>
    <xf numFmtId="14" fontId="12" fillId="2" borderId="65" xfId="0" applyNumberFormat="1" applyFont="1" applyFill="1" applyBorder="1" applyAlignment="1">
      <alignment horizontal="center" vertical="center"/>
    </xf>
    <xf numFmtId="0" fontId="67" fillId="29" borderId="0" xfId="0" applyFont="1" applyFill="1" applyAlignment="1">
      <alignment horizontal="center" vertical="center"/>
    </xf>
    <xf numFmtId="0" fontId="53" fillId="28" borderId="97" xfId="0" applyFont="1" applyFill="1" applyBorder="1" applyAlignment="1">
      <alignment horizontal="center" vertical="center"/>
    </xf>
    <xf numFmtId="0" fontId="67" fillId="29" borderId="65" xfId="0" applyFont="1" applyFill="1" applyBorder="1" applyAlignment="1">
      <alignment horizontal="center" vertical="center"/>
    </xf>
    <xf numFmtId="14" fontId="4" fillId="9" borderId="1" xfId="1" applyNumberFormat="1" applyFill="1" applyBorder="1" applyAlignment="1">
      <alignment horizontal="center" vertical="center"/>
    </xf>
    <xf numFmtId="0" fontId="43" fillId="9" borderId="1" xfId="0" applyFont="1" applyFill="1" applyBorder="1" applyAlignment="1">
      <alignment horizontal="center" vertical="center"/>
    </xf>
    <xf numFmtId="0" fontId="43" fillId="0" borderId="3" xfId="0" applyFont="1" applyBorder="1">
      <alignment vertical="center"/>
    </xf>
    <xf numFmtId="0" fontId="43" fillId="0" borderId="26" xfId="0" applyFont="1" applyBorder="1" applyAlignment="1">
      <alignment vertical="center" wrapText="1"/>
    </xf>
    <xf numFmtId="0" fontId="43" fillId="0" borderId="26" xfId="0" applyFont="1" applyBorder="1">
      <alignment vertical="center"/>
    </xf>
    <xf numFmtId="0" fontId="84" fillId="37" borderId="3" xfId="0" applyFont="1" applyFill="1" applyBorder="1" applyAlignment="1">
      <alignment horizontal="center" vertical="center"/>
    </xf>
    <xf numFmtId="0" fontId="84" fillId="37" borderId="36" xfId="0" applyFont="1" applyFill="1" applyBorder="1" applyAlignment="1">
      <alignment horizontal="center" vertical="center"/>
    </xf>
    <xf numFmtId="0" fontId="84" fillId="37" borderId="36" xfId="0" applyFont="1" applyFill="1" applyBorder="1" applyAlignment="1">
      <alignment horizontal="center" vertical="center" wrapText="1"/>
    </xf>
    <xf numFmtId="0" fontId="43" fillId="0" borderId="36" xfId="0" applyFont="1" applyBorder="1" applyAlignment="1">
      <alignment horizontal="center" vertical="center"/>
    </xf>
    <xf numFmtId="177" fontId="24" fillId="0" borderId="177" xfId="0" applyNumberFormat="1" applyFont="1" applyBorder="1" applyAlignment="1">
      <alignment horizontal="center" vertical="center"/>
    </xf>
    <xf numFmtId="177" fontId="24" fillId="0" borderId="10" xfId="0" applyNumberFormat="1" applyFont="1" applyBorder="1" applyAlignment="1">
      <alignment horizontal="center" vertical="center"/>
    </xf>
    <xf numFmtId="177" fontId="24" fillId="0" borderId="49" xfId="0" applyNumberFormat="1" applyFont="1" applyBorder="1" applyAlignment="1">
      <alignment horizontal="center" vertical="center"/>
    </xf>
    <xf numFmtId="177" fontId="24" fillId="0" borderId="180" xfId="0" applyNumberFormat="1" applyFont="1" applyBorder="1" applyAlignment="1">
      <alignment horizontal="center" vertical="center"/>
    </xf>
    <xf numFmtId="0" fontId="31" fillId="5" borderId="37" xfId="0" applyFont="1" applyFill="1" applyBorder="1" applyAlignment="1">
      <alignment horizontal="center" vertical="center"/>
    </xf>
    <xf numFmtId="0" fontId="37" fillId="3" borderId="22" xfId="0" applyFont="1" applyFill="1" applyBorder="1" applyAlignment="1">
      <alignment horizontal="center" vertical="center" shrinkToFit="1"/>
    </xf>
    <xf numFmtId="0" fontId="34" fillId="38" borderId="181" xfId="0" applyFont="1" applyFill="1" applyBorder="1" applyAlignment="1">
      <alignment horizontal="center" vertical="center"/>
    </xf>
    <xf numFmtId="0" fontId="34" fillId="38" borderId="182" xfId="0" applyFont="1" applyFill="1" applyBorder="1" applyAlignment="1">
      <alignment horizontal="center" vertical="center"/>
    </xf>
    <xf numFmtId="0" fontId="34" fillId="38" borderId="183" xfId="0" applyFont="1" applyFill="1" applyBorder="1" applyAlignment="1">
      <alignment horizontal="center" vertical="center"/>
    </xf>
    <xf numFmtId="0" fontId="34" fillId="38" borderId="120" xfId="0" applyFont="1" applyFill="1" applyBorder="1" applyAlignment="1">
      <alignment horizontal="center" vertical="center"/>
    </xf>
    <xf numFmtId="0" fontId="34" fillId="38" borderId="127" xfId="0" applyFont="1" applyFill="1" applyBorder="1" applyAlignment="1">
      <alignment horizontal="center" vertical="center"/>
    </xf>
    <xf numFmtId="176" fontId="24" fillId="0" borderId="107" xfId="0" applyNumberFormat="1" applyFont="1" applyBorder="1" applyAlignment="1">
      <alignment horizontal="center" vertical="center"/>
    </xf>
    <xf numFmtId="176" fontId="24" fillId="0" borderId="108" xfId="0" applyNumberFormat="1" applyFont="1" applyBorder="1" applyAlignment="1">
      <alignment horizontal="center" vertical="center"/>
    </xf>
    <xf numFmtId="176" fontId="34" fillId="0" borderId="109" xfId="0" applyNumberFormat="1" applyFont="1" applyBorder="1" applyAlignment="1">
      <alignment horizontal="center" vertical="center"/>
    </xf>
    <xf numFmtId="176" fontId="24" fillId="0" borderId="180" xfId="0" applyNumberFormat="1" applyFont="1" applyBorder="1" applyAlignment="1">
      <alignment horizontal="center" vertical="center"/>
    </xf>
    <xf numFmtId="176" fontId="24" fillId="0" borderId="186" xfId="0" applyNumberFormat="1" applyFont="1" applyBorder="1" applyAlignment="1">
      <alignment horizontal="center" vertical="center"/>
    </xf>
    <xf numFmtId="176" fontId="34" fillId="0" borderId="165" xfId="0" applyNumberFormat="1" applyFont="1" applyBorder="1" applyAlignment="1">
      <alignment horizontal="center" vertical="center"/>
    </xf>
    <xf numFmtId="0" fontId="34" fillId="38" borderId="78" xfId="0" applyFont="1" applyFill="1" applyBorder="1" applyAlignment="1">
      <alignment horizontal="center" vertical="center"/>
    </xf>
    <xf numFmtId="176" fontId="24" fillId="0" borderId="131" xfId="0" applyNumberFormat="1" applyFont="1" applyBorder="1" applyAlignment="1">
      <alignment horizontal="center" vertical="center"/>
    </xf>
    <xf numFmtId="176" fontId="24" fillId="0" borderId="92" xfId="0" applyNumberFormat="1" applyFont="1" applyBorder="1" applyAlignment="1">
      <alignment horizontal="center" vertical="center"/>
    </xf>
    <xf numFmtId="176" fontId="34" fillId="0" borderId="93" xfId="0" applyNumberFormat="1" applyFont="1" applyBorder="1" applyAlignment="1">
      <alignment horizontal="center" vertical="center"/>
    </xf>
    <xf numFmtId="0" fontId="34" fillId="38" borderId="140" xfId="0" applyFont="1" applyFill="1" applyBorder="1" applyAlignment="1">
      <alignment horizontal="center" vertical="center"/>
    </xf>
    <xf numFmtId="177" fontId="34" fillId="0" borderId="110" xfId="0" applyNumberFormat="1" applyFont="1" applyBorder="1" applyAlignment="1">
      <alignment horizontal="center" vertical="center"/>
    </xf>
    <xf numFmtId="177" fontId="24" fillId="0" borderId="179" xfId="0" applyNumberFormat="1" applyFont="1" applyBorder="1" applyAlignment="1">
      <alignment horizontal="center" vertical="center"/>
    </xf>
    <xf numFmtId="177" fontId="24" fillId="0" borderId="36" xfId="0" applyNumberFormat="1" applyFont="1" applyBorder="1" applyAlignment="1">
      <alignment horizontal="center" vertical="center"/>
    </xf>
    <xf numFmtId="177" fontId="24" fillId="0" borderId="26" xfId="0" applyNumberFormat="1" applyFont="1" applyBorder="1" applyAlignment="1">
      <alignment horizontal="center" vertical="center"/>
    </xf>
    <xf numFmtId="178" fontId="24" fillId="0" borderId="177" xfId="0" applyNumberFormat="1" applyFont="1" applyBorder="1" applyAlignment="1">
      <alignment horizontal="center" vertical="center"/>
    </xf>
    <xf numFmtId="178" fontId="24" fillId="0" borderId="10" xfId="0" applyNumberFormat="1" applyFont="1" applyBorder="1" applyAlignment="1">
      <alignment horizontal="center" vertical="center"/>
    </xf>
    <xf numFmtId="176" fontId="24" fillId="0" borderId="131" xfId="0" applyNumberFormat="1" applyFont="1" applyBorder="1" applyAlignment="1">
      <alignment horizontal="center" vertical="center" wrapText="1"/>
    </xf>
    <xf numFmtId="177" fontId="34" fillId="0" borderId="187" xfId="0" applyNumberFormat="1" applyFont="1" applyBorder="1" applyAlignment="1">
      <alignment horizontal="center" vertical="center"/>
    </xf>
    <xf numFmtId="177" fontId="24" fillId="0" borderId="26" xfId="0" applyNumberFormat="1" applyFont="1" applyBorder="1" applyAlignment="1">
      <alignment horizontal="center" vertical="center" wrapText="1"/>
    </xf>
    <xf numFmtId="176" fontId="24" fillId="0" borderId="179" xfId="0" applyNumberFormat="1" applyFont="1" applyBorder="1" applyAlignment="1">
      <alignment horizontal="center" vertical="center"/>
    </xf>
    <xf numFmtId="176" fontId="24" fillId="0" borderId="36" xfId="0" applyNumberFormat="1" applyFont="1" applyBorder="1" applyAlignment="1">
      <alignment horizontal="center" vertical="center"/>
    </xf>
    <xf numFmtId="176" fontId="24" fillId="0" borderId="26" xfId="0" applyNumberFormat="1" applyFont="1" applyBorder="1" applyAlignment="1">
      <alignment horizontal="center" vertical="center"/>
    </xf>
    <xf numFmtId="178" fontId="24" fillId="0" borderId="58" xfId="0" applyNumberFormat="1" applyFont="1" applyBorder="1" applyAlignment="1">
      <alignment horizontal="center" vertical="center"/>
    </xf>
    <xf numFmtId="178" fontId="24" fillId="0" borderId="59" xfId="0" applyNumberFormat="1" applyFont="1" applyBorder="1" applyAlignment="1">
      <alignment horizontal="center" vertical="center"/>
    </xf>
    <xf numFmtId="178" fontId="24" fillId="0" borderId="188" xfId="0" applyNumberFormat="1" applyFont="1" applyBorder="1" applyAlignment="1">
      <alignment horizontal="center" vertical="center"/>
    </xf>
    <xf numFmtId="178" fontId="24" fillId="0" borderId="189" xfId="0" applyNumberFormat="1" applyFont="1" applyBorder="1" applyAlignment="1">
      <alignment horizontal="center" vertical="center"/>
    </xf>
    <xf numFmtId="176" fontId="34" fillId="0" borderId="66" xfId="0" applyNumberFormat="1" applyFont="1" applyBorder="1" applyAlignment="1">
      <alignment horizontal="center" vertical="center"/>
    </xf>
    <xf numFmtId="0" fontId="34" fillId="5" borderId="43" xfId="0" applyFont="1" applyFill="1" applyBorder="1" applyAlignment="1">
      <alignment horizontal="center" vertical="center" wrapText="1"/>
    </xf>
    <xf numFmtId="0" fontId="33" fillId="4" borderId="22" xfId="0" applyFont="1" applyFill="1" applyBorder="1" applyAlignment="1">
      <alignment horizontal="center" vertical="center"/>
    </xf>
    <xf numFmtId="0" fontId="33" fillId="4" borderId="20" xfId="2" applyFont="1" applyFill="1" applyBorder="1" applyAlignment="1">
      <alignment horizontal="center" vertical="center" wrapText="1"/>
    </xf>
    <xf numFmtId="0" fontId="34" fillId="5" borderId="18" xfId="2" applyFont="1" applyFill="1" applyBorder="1" applyAlignment="1">
      <alignment horizontal="center" vertical="center" wrapText="1"/>
    </xf>
    <xf numFmtId="0" fontId="34" fillId="5" borderId="0" xfId="2" applyFont="1" applyFill="1" applyAlignment="1">
      <alignment horizontal="center" vertical="center" wrapText="1"/>
    </xf>
    <xf numFmtId="0" fontId="34" fillId="5" borderId="26" xfId="2" applyFont="1" applyFill="1" applyBorder="1" applyAlignment="1">
      <alignment horizontal="center" vertical="center" wrapText="1"/>
    </xf>
    <xf numFmtId="0" fontId="34" fillId="5" borderId="20" xfId="2" applyFont="1" applyFill="1" applyBorder="1" applyAlignment="1">
      <alignment horizontal="center" vertical="center"/>
    </xf>
    <xf numFmtId="0" fontId="34" fillId="5" borderId="18" xfId="2" applyFont="1" applyFill="1" applyBorder="1" applyAlignment="1">
      <alignment horizontal="center" vertical="center"/>
    </xf>
    <xf numFmtId="0" fontId="34" fillId="5" borderId="26" xfId="2" applyFont="1" applyFill="1" applyBorder="1" applyAlignment="1">
      <alignment horizontal="center" vertical="center"/>
    </xf>
    <xf numFmtId="0" fontId="34" fillId="5" borderId="47" xfId="2" applyFont="1" applyFill="1" applyBorder="1" applyAlignment="1">
      <alignment horizontal="center" vertical="center"/>
    </xf>
    <xf numFmtId="0" fontId="34" fillId="5" borderId="37" xfId="0" applyFont="1" applyFill="1" applyBorder="1" applyAlignment="1">
      <alignment horizontal="center" vertical="center"/>
    </xf>
    <xf numFmtId="0" fontId="34" fillId="5" borderId="36" xfId="0" applyFont="1" applyFill="1" applyBorder="1" applyAlignment="1">
      <alignment horizontal="center" vertical="center"/>
    </xf>
    <xf numFmtId="0" fontId="34" fillId="5" borderId="158" xfId="0" applyFont="1" applyFill="1" applyBorder="1" applyAlignment="1">
      <alignment horizontal="center" vertical="center"/>
    </xf>
    <xf numFmtId="0" fontId="1" fillId="8" borderId="0" xfId="1" applyFont="1" applyFill="1" applyAlignment="1">
      <alignment horizontal="center" vertical="center"/>
    </xf>
    <xf numFmtId="0" fontId="1" fillId="23" borderId="0" xfId="1" applyFont="1" applyFill="1" applyAlignment="1">
      <alignment horizontal="center" vertical="center"/>
    </xf>
    <xf numFmtId="0" fontId="1" fillId="3" borderId="0" xfId="1" applyFont="1" applyFill="1" applyAlignment="1">
      <alignment horizontal="center" vertical="center"/>
    </xf>
    <xf numFmtId="0" fontId="51" fillId="22" borderId="69" xfId="0" applyFont="1" applyFill="1" applyBorder="1" applyAlignment="1">
      <alignment horizontal="center" vertical="center"/>
    </xf>
    <xf numFmtId="0" fontId="51" fillId="22" borderId="70" xfId="0" applyFont="1" applyFill="1" applyBorder="1" applyAlignment="1">
      <alignment horizontal="center" vertical="center"/>
    </xf>
    <xf numFmtId="0" fontId="51" fillId="22" borderId="71" xfId="0" applyFont="1" applyFill="1" applyBorder="1" applyAlignment="1">
      <alignment horizontal="center" vertical="center"/>
    </xf>
    <xf numFmtId="0" fontId="51" fillId="22" borderId="65" xfId="0" applyFont="1" applyFill="1" applyBorder="1" applyAlignment="1">
      <alignment horizontal="center" vertical="center"/>
    </xf>
    <xf numFmtId="0" fontId="51" fillId="22" borderId="66" xfId="0" applyFont="1" applyFill="1" applyBorder="1" applyAlignment="1">
      <alignment horizontal="center" vertical="center"/>
    </xf>
    <xf numFmtId="0" fontId="51" fillId="22" borderId="55" xfId="0" applyFont="1" applyFill="1" applyBorder="1" applyAlignment="1">
      <alignment horizontal="center" vertical="center" wrapText="1"/>
    </xf>
    <xf numFmtId="0" fontId="51" fillId="22" borderId="57" xfId="0" applyFont="1" applyFill="1" applyBorder="1" applyAlignment="1">
      <alignment horizontal="center" vertical="center" wrapText="1"/>
    </xf>
    <xf numFmtId="0" fontId="51" fillId="22" borderId="55" xfId="0" applyFont="1" applyFill="1" applyBorder="1" applyAlignment="1">
      <alignment horizontal="center" vertical="center"/>
    </xf>
    <xf numFmtId="0" fontId="51" fillId="22" borderId="57" xfId="0" applyFont="1" applyFill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7" borderId="6" xfId="0" applyFont="1" applyFill="1" applyBorder="1" applyAlignment="1">
      <alignment horizontal="center" vertical="center"/>
    </xf>
    <xf numFmtId="0" fontId="51" fillId="13" borderId="41" xfId="0" applyFont="1" applyFill="1" applyBorder="1" applyAlignment="1">
      <alignment horizontal="left" vertical="center" wrapText="1" indent="1"/>
    </xf>
    <xf numFmtId="0" fontId="25" fillId="13" borderId="41" xfId="0" applyFont="1" applyFill="1" applyBorder="1" applyAlignment="1">
      <alignment horizontal="left" vertical="center" wrapText="1" indent="1"/>
    </xf>
    <xf numFmtId="0" fontId="25" fillId="13" borderId="23" xfId="0" applyFont="1" applyFill="1" applyBorder="1" applyAlignment="1">
      <alignment horizontal="left" vertical="center" wrapText="1" indent="1"/>
    </xf>
    <xf numFmtId="0" fontId="51" fillId="10" borderId="21" xfId="0" applyFont="1" applyFill="1" applyBorder="1" applyAlignment="1">
      <alignment horizontal="left" vertical="center" wrapText="1" indent="1"/>
    </xf>
    <xf numFmtId="0" fontId="25" fillId="10" borderId="20" xfId="0" applyFont="1" applyFill="1" applyBorder="1" applyAlignment="1">
      <alignment horizontal="left" vertical="center" indent="1"/>
    </xf>
    <xf numFmtId="0" fontId="25" fillId="10" borderId="19" xfId="0" applyFont="1" applyFill="1" applyBorder="1" applyAlignment="1">
      <alignment horizontal="left" vertical="center" indent="1"/>
    </xf>
    <xf numFmtId="0" fontId="25" fillId="9" borderId="21" xfId="0" applyFont="1" applyFill="1" applyBorder="1" applyAlignment="1">
      <alignment horizontal="left" vertical="center" wrapText="1" indent="1"/>
    </xf>
    <xf numFmtId="0" fontId="25" fillId="9" borderId="20" xfId="0" applyFont="1" applyFill="1" applyBorder="1" applyAlignment="1">
      <alignment horizontal="left" vertical="center" indent="1"/>
    </xf>
    <xf numFmtId="0" fontId="25" fillId="9" borderId="19" xfId="0" applyFont="1" applyFill="1" applyBorder="1" applyAlignment="1">
      <alignment horizontal="left" vertical="center" indent="1"/>
    </xf>
    <xf numFmtId="0" fontId="51" fillId="5" borderId="55" xfId="0" applyFont="1" applyFill="1" applyBorder="1" applyAlignment="1">
      <alignment horizontal="left" vertical="center" wrapText="1" indent="1"/>
    </xf>
    <xf numFmtId="0" fontId="25" fillId="5" borderId="55" xfId="0" applyFont="1" applyFill="1" applyBorder="1" applyAlignment="1">
      <alignment horizontal="left" vertical="center" indent="1"/>
    </xf>
    <xf numFmtId="0" fontId="25" fillId="5" borderId="57" xfId="0" applyFont="1" applyFill="1" applyBorder="1" applyAlignment="1">
      <alignment horizontal="left" vertical="center" indent="1"/>
    </xf>
    <xf numFmtId="0" fontId="16" fillId="3" borderId="7" xfId="0" applyFont="1" applyFill="1" applyBorder="1" applyAlignment="1">
      <alignment horizontal="center" vertical="center"/>
    </xf>
    <xf numFmtId="0" fontId="16" fillId="3" borderId="20" xfId="0" applyFont="1" applyFill="1" applyBorder="1" applyAlignment="1">
      <alignment horizontal="center" vertical="center"/>
    </xf>
    <xf numFmtId="0" fontId="16" fillId="3" borderId="19" xfId="0" applyFont="1" applyFill="1" applyBorder="1" applyAlignment="1">
      <alignment horizontal="center" vertical="center"/>
    </xf>
    <xf numFmtId="0" fontId="82" fillId="19" borderId="55" xfId="0" applyFont="1" applyFill="1" applyBorder="1" applyAlignment="1">
      <alignment horizontal="left" vertical="center" wrapText="1" indent="1"/>
    </xf>
    <xf numFmtId="0" fontId="12" fillId="19" borderId="55" xfId="0" applyFont="1" applyFill="1" applyBorder="1" applyAlignment="1">
      <alignment horizontal="left" vertical="center" wrapText="1" indent="1"/>
    </xf>
    <xf numFmtId="0" fontId="12" fillId="19" borderId="57" xfId="0" applyFont="1" applyFill="1" applyBorder="1" applyAlignment="1">
      <alignment horizontal="left" vertical="center" wrapText="1" indent="1"/>
    </xf>
    <xf numFmtId="0" fontId="51" fillId="16" borderId="59" xfId="0" applyFont="1" applyFill="1" applyBorder="1" applyAlignment="1">
      <alignment horizontal="left" vertical="center" wrapText="1" indent="1"/>
    </xf>
    <xf numFmtId="0" fontId="25" fillId="16" borderId="59" xfId="0" applyFont="1" applyFill="1" applyBorder="1" applyAlignment="1">
      <alignment horizontal="left" vertical="center" indent="1"/>
    </xf>
    <xf numFmtId="0" fontId="25" fillId="16" borderId="60" xfId="0" applyFont="1" applyFill="1" applyBorder="1" applyAlignment="1">
      <alignment horizontal="left" vertical="center" indent="1"/>
    </xf>
    <xf numFmtId="0" fontId="16" fillId="3" borderId="56" xfId="0" applyFont="1" applyFill="1" applyBorder="1" applyAlignment="1">
      <alignment horizontal="center" vertical="center"/>
    </xf>
    <xf numFmtId="0" fontId="16" fillId="3" borderId="55" xfId="0" applyFont="1" applyFill="1" applyBorder="1" applyAlignment="1">
      <alignment horizontal="center" vertical="center"/>
    </xf>
    <xf numFmtId="0" fontId="16" fillId="3" borderId="57" xfId="0" applyFont="1" applyFill="1" applyBorder="1" applyAlignment="1">
      <alignment horizontal="center" vertical="center"/>
    </xf>
    <xf numFmtId="0" fontId="25" fillId="16" borderId="46" xfId="0" applyFont="1" applyFill="1" applyBorder="1" applyAlignment="1">
      <alignment horizontal="left" vertical="center" wrapText="1" indent="1"/>
    </xf>
    <xf numFmtId="0" fontId="25" fillId="16" borderId="47" xfId="0" applyFont="1" applyFill="1" applyBorder="1" applyAlignment="1">
      <alignment horizontal="left" vertical="center" indent="1"/>
    </xf>
    <xf numFmtId="0" fontId="25" fillId="16" borderId="48" xfId="0" applyFont="1" applyFill="1" applyBorder="1" applyAlignment="1">
      <alignment horizontal="left" vertical="center" indent="1"/>
    </xf>
    <xf numFmtId="0" fontId="52" fillId="21" borderId="77" xfId="0" applyFont="1" applyFill="1" applyBorder="1" applyAlignment="1">
      <alignment horizontal="center" vertical="center"/>
    </xf>
    <xf numFmtId="0" fontId="52" fillId="21" borderId="81" xfId="0" applyFont="1" applyFill="1" applyBorder="1" applyAlignment="1">
      <alignment horizontal="center" vertical="center"/>
    </xf>
    <xf numFmtId="0" fontId="52" fillId="21" borderId="62" xfId="0" applyFont="1" applyFill="1" applyBorder="1" applyAlignment="1">
      <alignment horizontal="center" vertical="center"/>
    </xf>
    <xf numFmtId="0" fontId="52" fillId="21" borderId="63" xfId="0" applyFont="1" applyFill="1" applyBorder="1" applyAlignment="1">
      <alignment horizontal="center" vertical="center"/>
    </xf>
    <xf numFmtId="0" fontId="79" fillId="13" borderId="65" xfId="0" applyFont="1" applyFill="1" applyBorder="1" applyAlignment="1">
      <alignment horizontal="left" vertical="center" wrapText="1" indent="1"/>
    </xf>
    <xf numFmtId="0" fontId="25" fillId="13" borderId="65" xfId="0" applyFont="1" applyFill="1" applyBorder="1" applyAlignment="1">
      <alignment horizontal="left" vertical="center" wrapText="1" indent="1"/>
    </xf>
    <xf numFmtId="0" fontId="25" fillId="13" borderId="66" xfId="0" applyFont="1" applyFill="1" applyBorder="1" applyAlignment="1">
      <alignment horizontal="left" vertical="center" wrapText="1" indent="1"/>
    </xf>
    <xf numFmtId="0" fontId="14" fillId="0" borderId="67" xfId="0" applyFont="1" applyBorder="1" applyAlignment="1">
      <alignment horizontal="left" vertical="center" indent="1"/>
    </xf>
    <xf numFmtId="0" fontId="14" fillId="0" borderId="55" xfId="0" applyFont="1" applyBorder="1" applyAlignment="1">
      <alignment horizontal="left" vertical="center" indent="1"/>
    </xf>
    <xf numFmtId="0" fontId="14" fillId="0" borderId="57" xfId="0" applyFont="1" applyBorder="1" applyAlignment="1">
      <alignment horizontal="left" vertical="center" indent="1"/>
    </xf>
    <xf numFmtId="0" fontId="14" fillId="0" borderId="76" xfId="0" applyFont="1" applyBorder="1" applyAlignment="1">
      <alignment horizontal="left" vertical="center" indent="1"/>
    </xf>
    <xf numFmtId="0" fontId="14" fillId="0" borderId="59" xfId="0" applyFont="1" applyBorder="1" applyAlignment="1">
      <alignment horizontal="left" vertical="center" indent="1"/>
    </xf>
    <xf numFmtId="0" fontId="14" fillId="0" borderId="60" xfId="0" applyFont="1" applyBorder="1" applyAlignment="1">
      <alignment horizontal="left" vertical="center" indent="1"/>
    </xf>
    <xf numFmtId="0" fontId="67" fillId="14" borderId="73" xfId="0" applyFont="1" applyFill="1" applyBorder="1" applyAlignment="1">
      <alignment horizontal="center" vertical="center"/>
    </xf>
    <xf numFmtId="0" fontId="67" fillId="14" borderId="74" xfId="0" applyFont="1" applyFill="1" applyBorder="1" applyAlignment="1">
      <alignment horizontal="center" vertical="center"/>
    </xf>
    <xf numFmtId="0" fontId="14" fillId="0" borderId="142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0" fontId="14" fillId="0" borderId="137" xfId="0" applyFont="1" applyBorder="1" applyAlignment="1">
      <alignment horizontal="center" vertical="center"/>
    </xf>
    <xf numFmtId="0" fontId="14" fillId="0" borderId="99" xfId="0" applyFont="1" applyBorder="1" applyAlignment="1">
      <alignment horizontal="left" vertical="center" wrapText="1" indent="2"/>
    </xf>
    <xf numFmtId="0" fontId="14" fillId="0" borderId="100" xfId="0" applyFont="1" applyBorder="1" applyAlignment="1">
      <alignment horizontal="left" vertical="center" wrapText="1" indent="2"/>
    </xf>
    <xf numFmtId="0" fontId="14" fillId="0" borderId="101" xfId="0" applyFont="1" applyBorder="1" applyAlignment="1">
      <alignment horizontal="left" vertical="center" wrapText="1" indent="2"/>
    </xf>
    <xf numFmtId="0" fontId="14" fillId="0" borderId="139" xfId="0" applyFont="1" applyBorder="1" applyAlignment="1">
      <alignment horizontal="left" vertical="center" wrapText="1" indent="2"/>
    </xf>
    <xf numFmtId="0" fontId="14" fillId="0" borderId="138" xfId="0" applyFont="1" applyBorder="1" applyAlignment="1">
      <alignment horizontal="left" vertical="center" wrapText="1" indent="2"/>
    </xf>
    <xf numFmtId="0" fontId="14" fillId="0" borderId="133" xfId="0" applyFont="1" applyBorder="1" applyAlignment="1">
      <alignment horizontal="left" vertical="center" wrapText="1" indent="2"/>
    </xf>
    <xf numFmtId="0" fontId="68" fillId="27" borderId="115" xfId="0" applyFont="1" applyFill="1" applyBorder="1" applyAlignment="1">
      <alignment horizontal="center" vertical="center"/>
    </xf>
    <xf numFmtId="0" fontId="68" fillId="27" borderId="116" xfId="0" applyFont="1" applyFill="1" applyBorder="1" applyAlignment="1">
      <alignment horizontal="center" vertical="center"/>
    </xf>
    <xf numFmtId="0" fontId="68" fillId="27" borderId="117" xfId="0" applyFont="1" applyFill="1" applyBorder="1" applyAlignment="1">
      <alignment horizontal="center" vertical="center"/>
    </xf>
    <xf numFmtId="0" fontId="14" fillId="0" borderId="67" xfId="0" applyFont="1" applyBorder="1" applyAlignment="1">
      <alignment vertical="center" wrapText="1" indent="2"/>
    </xf>
    <xf numFmtId="0" fontId="14" fillId="0" borderId="55" xfId="0" applyFont="1" applyBorder="1" applyAlignment="1">
      <alignment vertical="center" wrapText="1" indent="2"/>
    </xf>
    <xf numFmtId="0" fontId="14" fillId="0" borderId="57" xfId="0" applyFont="1" applyBorder="1" applyAlignment="1">
      <alignment vertical="center" wrapText="1" indent="2"/>
    </xf>
    <xf numFmtId="0" fontId="14" fillId="0" borderId="67" xfId="0" applyFont="1" applyBorder="1" applyAlignment="1">
      <alignment horizontal="left" vertical="center" wrapText="1" indent="2"/>
    </xf>
    <xf numFmtId="0" fontId="14" fillId="0" borderId="55" xfId="0" applyFont="1" applyBorder="1" applyAlignment="1">
      <alignment horizontal="left" vertical="center" wrapText="1" indent="2"/>
    </xf>
    <xf numFmtId="0" fontId="14" fillId="0" borderId="57" xfId="0" applyFont="1" applyBorder="1" applyAlignment="1">
      <alignment horizontal="left" vertical="center" wrapText="1" indent="2"/>
    </xf>
    <xf numFmtId="0" fontId="0" fillId="0" borderId="0" xfId="0" applyAlignment="1">
      <alignment horizontal="center" vertical="center"/>
    </xf>
    <xf numFmtId="0" fontId="68" fillId="27" borderId="99" xfId="0" applyFont="1" applyFill="1" applyBorder="1" applyAlignment="1">
      <alignment horizontal="center" vertical="center"/>
    </xf>
    <xf numFmtId="0" fontId="67" fillId="14" borderId="144" xfId="0" applyFont="1" applyFill="1" applyBorder="1" applyAlignment="1">
      <alignment horizontal="center" vertical="center"/>
    </xf>
    <xf numFmtId="0" fontId="67" fillId="14" borderId="72" xfId="0" applyFont="1" applyFill="1" applyBorder="1" applyAlignment="1">
      <alignment horizontal="center" vertical="center"/>
    </xf>
    <xf numFmtId="0" fontId="27" fillId="15" borderId="61" xfId="0" applyFont="1" applyFill="1" applyBorder="1" applyAlignment="1">
      <alignment horizontal="center" vertical="center"/>
    </xf>
    <xf numFmtId="0" fontId="27" fillId="15" borderId="62" xfId="0" applyFont="1" applyFill="1" applyBorder="1" applyAlignment="1">
      <alignment horizontal="center" vertical="center"/>
    </xf>
    <xf numFmtId="0" fontId="27" fillId="15" borderId="63" xfId="0" applyFont="1" applyFill="1" applyBorder="1" applyAlignment="1">
      <alignment horizontal="center" vertical="center"/>
    </xf>
    <xf numFmtId="0" fontId="0" fillId="0" borderId="67" xfId="0" applyBorder="1" applyAlignment="1">
      <alignment horizontal="left" vertical="center" indent="1"/>
    </xf>
    <xf numFmtId="0" fontId="0" fillId="0" borderId="55" xfId="0" applyBorder="1" applyAlignment="1">
      <alignment horizontal="left" vertical="center" indent="1"/>
    </xf>
    <xf numFmtId="0" fontId="0" fillId="0" borderId="57" xfId="0" applyBorder="1" applyAlignment="1">
      <alignment horizontal="left" vertical="center" indent="1"/>
    </xf>
    <xf numFmtId="0" fontId="79" fillId="10" borderId="55" xfId="0" applyFont="1" applyFill="1" applyBorder="1" applyAlignment="1">
      <alignment horizontal="left" vertical="center" wrapText="1" indent="1"/>
    </xf>
    <xf numFmtId="0" fontId="51" fillId="10" borderId="55" xfId="0" applyFont="1" applyFill="1" applyBorder="1" applyAlignment="1">
      <alignment horizontal="left" vertical="center" wrapText="1" indent="1"/>
    </xf>
    <xf numFmtId="0" fontId="51" fillId="10" borderId="57" xfId="0" applyFont="1" applyFill="1" applyBorder="1" applyAlignment="1">
      <alignment horizontal="left" vertical="center" wrapText="1" indent="1"/>
    </xf>
    <xf numFmtId="0" fontId="83" fillId="36" borderId="26" xfId="0" applyFont="1" applyFill="1" applyBorder="1" applyAlignment="1">
      <alignment horizontal="center" vertical="center"/>
    </xf>
    <xf numFmtId="0" fontId="57" fillId="14" borderId="102" xfId="0" applyFont="1" applyFill="1" applyBorder="1" applyAlignment="1">
      <alignment horizontal="center" vertical="center"/>
    </xf>
    <xf numFmtId="0" fontId="57" fillId="14" borderId="139" xfId="0" applyFont="1" applyFill="1" applyBorder="1" applyAlignment="1">
      <alignment horizontal="center" vertical="center"/>
    </xf>
    <xf numFmtId="0" fontId="57" fillId="14" borderId="140" xfId="0" applyFont="1" applyFill="1" applyBorder="1" applyAlignment="1">
      <alignment horizontal="center" vertical="center"/>
    </xf>
    <xf numFmtId="0" fontId="57" fillId="14" borderId="104" xfId="0" applyFont="1" applyFill="1" applyBorder="1" applyAlignment="1">
      <alignment horizontal="center" vertical="center"/>
    </xf>
    <xf numFmtId="0" fontId="66" fillId="17" borderId="115" xfId="0" applyFont="1" applyFill="1" applyBorder="1" applyAlignment="1">
      <alignment horizontal="center" vertical="center"/>
    </xf>
    <xf numFmtId="0" fontId="66" fillId="17" borderId="116" xfId="0" applyFont="1" applyFill="1" applyBorder="1" applyAlignment="1">
      <alignment horizontal="center" vertical="center"/>
    </xf>
    <xf numFmtId="0" fontId="66" fillId="17" borderId="117" xfId="0" applyFont="1" applyFill="1" applyBorder="1" applyAlignment="1">
      <alignment horizontal="center" vertical="center"/>
    </xf>
    <xf numFmtId="0" fontId="43" fillId="0" borderId="134" xfId="0" applyFont="1" applyBorder="1" applyAlignment="1">
      <alignment horizontal="center" vertical="center"/>
    </xf>
    <xf numFmtId="0" fontId="43" fillId="0" borderId="64" xfId="0" applyFont="1" applyBorder="1" applyAlignment="1">
      <alignment horizontal="center" vertical="center"/>
    </xf>
    <xf numFmtId="0" fontId="57" fillId="14" borderId="102" xfId="0" applyFont="1" applyFill="1" applyBorder="1" applyAlignment="1">
      <alignment horizontal="center" vertical="center" wrapText="1"/>
    </xf>
    <xf numFmtId="0" fontId="57" fillId="14" borderId="139" xfId="0" applyFont="1" applyFill="1" applyBorder="1" applyAlignment="1">
      <alignment horizontal="center" vertical="center" wrapText="1"/>
    </xf>
    <xf numFmtId="0" fontId="27" fillId="6" borderId="32" xfId="0" applyFont="1" applyFill="1" applyBorder="1" applyAlignment="1">
      <alignment horizontal="center" vertical="center"/>
    </xf>
    <xf numFmtId="0" fontId="27" fillId="6" borderId="13" xfId="0" applyFont="1" applyFill="1" applyBorder="1" applyAlignment="1">
      <alignment horizontal="center" vertical="center"/>
    </xf>
    <xf numFmtId="0" fontId="27" fillId="6" borderId="12" xfId="0" applyFont="1" applyFill="1" applyBorder="1" applyAlignment="1">
      <alignment horizontal="center" vertical="center"/>
    </xf>
    <xf numFmtId="0" fontId="34" fillId="4" borderId="24" xfId="1" applyFont="1" applyFill="1" applyBorder="1" applyAlignment="1">
      <alignment horizontal="center" vertical="center"/>
    </xf>
    <xf numFmtId="0" fontId="34" fillId="4" borderId="31" xfId="1" applyFont="1" applyFill="1" applyBorder="1" applyAlignment="1">
      <alignment horizontal="center" vertical="center"/>
    </xf>
    <xf numFmtId="0" fontId="34" fillId="4" borderId="41" xfId="1" applyFont="1" applyFill="1" applyBorder="1" applyAlignment="1">
      <alignment horizontal="center" vertical="center"/>
    </xf>
    <xf numFmtId="0" fontId="34" fillId="4" borderId="23" xfId="1" applyFont="1" applyFill="1" applyBorder="1" applyAlignment="1">
      <alignment horizontal="center" vertical="center"/>
    </xf>
    <xf numFmtId="0" fontId="35" fillId="4" borderId="30" xfId="1" applyFont="1" applyFill="1" applyBorder="1" applyAlignment="1">
      <alignment horizontal="center" vertical="center"/>
    </xf>
    <xf numFmtId="0" fontId="35" fillId="4" borderId="29" xfId="1" applyFont="1" applyFill="1" applyBorder="1" applyAlignment="1">
      <alignment horizontal="center" vertical="center"/>
    </xf>
    <xf numFmtId="0" fontId="35" fillId="4" borderId="28" xfId="1" applyFont="1" applyFill="1" applyBorder="1" applyAlignment="1">
      <alignment horizontal="center" vertical="center"/>
    </xf>
    <xf numFmtId="0" fontId="33" fillId="5" borderId="21" xfId="2" applyFont="1" applyFill="1" applyBorder="1" applyAlignment="1">
      <alignment horizontal="center" vertical="center"/>
    </xf>
    <xf numFmtId="0" fontId="33" fillId="5" borderId="22" xfId="2" applyFont="1" applyFill="1" applyBorder="1" applyAlignment="1">
      <alignment horizontal="center" vertical="center"/>
    </xf>
    <xf numFmtId="0" fontId="33" fillId="5" borderId="19" xfId="2" applyFont="1" applyFill="1" applyBorder="1" applyAlignment="1">
      <alignment horizontal="center" vertical="center"/>
    </xf>
    <xf numFmtId="0" fontId="40" fillId="17" borderId="83" xfId="0" applyFont="1" applyFill="1" applyBorder="1" applyAlignment="1">
      <alignment horizontal="center" vertical="center"/>
    </xf>
    <xf numFmtId="0" fontId="40" fillId="17" borderId="84" xfId="0" applyFont="1" applyFill="1" applyBorder="1" applyAlignment="1">
      <alignment horizontal="center" vertical="center"/>
    </xf>
    <xf numFmtId="0" fontId="40" fillId="17" borderId="85" xfId="0" applyFont="1" applyFill="1" applyBorder="1" applyAlignment="1">
      <alignment horizontal="center" vertical="center"/>
    </xf>
    <xf numFmtId="0" fontId="27" fillId="6" borderId="27" xfId="0" applyFont="1" applyFill="1" applyBorder="1" applyAlignment="1">
      <alignment horizontal="center" vertical="center"/>
    </xf>
    <xf numFmtId="0" fontId="27" fillId="6" borderId="0" xfId="0" applyFont="1" applyFill="1" applyAlignment="1">
      <alignment horizontal="center" vertical="center"/>
    </xf>
    <xf numFmtId="0" fontId="27" fillId="6" borderId="34" xfId="0" applyFont="1" applyFill="1" applyBorder="1" applyAlignment="1">
      <alignment horizontal="center" vertical="center"/>
    </xf>
    <xf numFmtId="0" fontId="27" fillId="6" borderId="33" xfId="0" applyFont="1" applyFill="1" applyBorder="1" applyAlignment="1">
      <alignment horizontal="center" vertical="center"/>
    </xf>
    <xf numFmtId="0" fontId="29" fillId="6" borderId="190" xfId="0" applyFont="1" applyFill="1" applyBorder="1" applyAlignment="1">
      <alignment horizontal="center" vertical="center"/>
    </xf>
    <xf numFmtId="0" fontId="29" fillId="6" borderId="34" xfId="0" applyFont="1" applyFill="1" applyBorder="1" applyAlignment="1">
      <alignment horizontal="center" vertical="center"/>
    </xf>
    <xf numFmtId="0" fontId="9" fillId="5" borderId="181" xfId="0" applyFont="1" applyFill="1" applyBorder="1" applyAlignment="1">
      <alignment horizontal="center" vertical="center" shrinkToFit="1"/>
    </xf>
    <xf numFmtId="0" fontId="9" fillId="5" borderId="184" xfId="0" applyFont="1" applyFill="1" applyBorder="1" applyAlignment="1">
      <alignment horizontal="center" vertical="center" shrinkToFit="1"/>
    </xf>
    <xf numFmtId="0" fontId="9" fillId="5" borderId="182" xfId="0" applyFont="1" applyFill="1" applyBorder="1" applyAlignment="1">
      <alignment horizontal="center" vertical="center" shrinkToFit="1"/>
    </xf>
    <xf numFmtId="0" fontId="9" fillId="5" borderId="185" xfId="0" applyFont="1" applyFill="1" applyBorder="1" applyAlignment="1">
      <alignment horizontal="center" vertical="center" shrinkToFit="1"/>
    </xf>
    <xf numFmtId="0" fontId="34" fillId="5" borderId="99" xfId="0" applyFont="1" applyFill="1" applyBorder="1" applyAlignment="1">
      <alignment horizontal="center" vertical="center"/>
    </xf>
    <xf numFmtId="0" fontId="34" fillId="5" borderId="101" xfId="0" applyFont="1" applyFill="1" applyBorder="1" applyAlignment="1">
      <alignment horizontal="center" vertical="center"/>
    </xf>
    <xf numFmtId="0" fontId="34" fillId="5" borderId="120" xfId="0" applyFont="1" applyFill="1" applyBorder="1" applyAlignment="1">
      <alignment horizontal="center" vertical="center"/>
    </xf>
    <xf numFmtId="0" fontId="34" fillId="5" borderId="124" xfId="0" applyFont="1" applyFill="1" applyBorder="1" applyAlignment="1">
      <alignment horizontal="center" vertical="center"/>
    </xf>
    <xf numFmtId="0" fontId="34" fillId="5" borderId="183" xfId="0" applyFont="1" applyFill="1" applyBorder="1" applyAlignment="1">
      <alignment horizontal="center" vertical="center"/>
    </xf>
    <xf numFmtId="0" fontId="34" fillId="5" borderId="110" xfId="0" applyFont="1" applyFill="1" applyBorder="1" applyAlignment="1">
      <alignment horizontal="center" vertical="center"/>
    </xf>
    <xf numFmtId="0" fontId="34" fillId="5" borderId="104" xfId="0" applyFont="1" applyFill="1" applyBorder="1" applyAlignment="1">
      <alignment horizontal="center" vertical="center"/>
    </xf>
    <xf numFmtId="0" fontId="34" fillId="5" borderId="106" xfId="0" applyFont="1" applyFill="1" applyBorder="1" applyAlignment="1">
      <alignment horizontal="center" vertical="center"/>
    </xf>
    <xf numFmtId="0" fontId="34" fillId="5" borderId="139" xfId="0" applyFont="1" applyFill="1" applyBorder="1" applyAlignment="1">
      <alignment horizontal="center" vertical="center"/>
    </xf>
    <xf numFmtId="0" fontId="34" fillId="5" borderId="133" xfId="0" applyFont="1" applyFill="1" applyBorder="1" applyAlignment="1">
      <alignment horizontal="center" vertical="center"/>
    </xf>
    <xf numFmtId="0" fontId="34" fillId="5" borderId="140" xfId="0" applyFont="1" applyFill="1" applyBorder="1" applyAlignment="1">
      <alignment horizontal="center" vertical="center"/>
    </xf>
    <xf numFmtId="0" fontId="34" fillId="5" borderId="156" xfId="0" applyFont="1" applyFill="1" applyBorder="1" applyAlignment="1">
      <alignment horizontal="center" vertical="center"/>
    </xf>
    <xf numFmtId="0" fontId="27" fillId="6" borderId="35" xfId="0" applyFont="1" applyFill="1" applyBorder="1" applyAlignment="1">
      <alignment horizontal="center" vertical="center"/>
    </xf>
    <xf numFmtId="0" fontId="23" fillId="0" borderId="21" xfId="2" applyFont="1" applyBorder="1" applyAlignment="1">
      <alignment horizontal="center" vertical="center"/>
    </xf>
    <xf numFmtId="0" fontId="23" fillId="0" borderId="22" xfId="2" applyFont="1" applyBorder="1" applyAlignment="1">
      <alignment horizontal="center" vertical="center"/>
    </xf>
    <xf numFmtId="0" fontId="23" fillId="0" borderId="19" xfId="2" applyFont="1" applyBorder="1" applyAlignment="1">
      <alignment horizontal="center" vertical="center"/>
    </xf>
    <xf numFmtId="0" fontId="33" fillId="5" borderId="7" xfId="2" applyFont="1" applyFill="1" applyBorder="1" applyAlignment="1">
      <alignment horizontal="center" vertical="center" wrapText="1"/>
    </xf>
    <xf numFmtId="0" fontId="33" fillId="5" borderId="20" xfId="2" applyFont="1" applyFill="1" applyBorder="1" applyAlignment="1">
      <alignment horizontal="center" vertical="center" wrapText="1"/>
    </xf>
    <xf numFmtId="0" fontId="33" fillId="5" borderId="19" xfId="2" applyFont="1" applyFill="1" applyBorder="1" applyAlignment="1">
      <alignment horizontal="center" vertical="center" wrapText="1"/>
    </xf>
    <xf numFmtId="0" fontId="34" fillId="5" borderId="39" xfId="2" applyFont="1" applyFill="1" applyBorder="1" applyAlignment="1">
      <alignment horizontal="center" vertical="center" wrapText="1"/>
    </xf>
    <xf numFmtId="0" fontId="34" fillId="5" borderId="42" xfId="2" applyFont="1" applyFill="1" applyBorder="1" applyAlignment="1">
      <alignment horizontal="center" vertical="center" wrapText="1"/>
    </xf>
    <xf numFmtId="0" fontId="34" fillId="5" borderId="51" xfId="2" applyFont="1" applyFill="1" applyBorder="1" applyAlignment="1">
      <alignment horizontal="center" vertical="center" wrapText="1"/>
    </xf>
    <xf numFmtId="0" fontId="34" fillId="5" borderId="43" xfId="2" applyFont="1" applyFill="1" applyBorder="1" applyAlignment="1">
      <alignment horizontal="center" vertical="center" wrapText="1"/>
    </xf>
    <xf numFmtId="0" fontId="34" fillId="5" borderId="37" xfId="2" applyFont="1" applyFill="1" applyBorder="1" applyAlignment="1">
      <alignment horizontal="center" vertical="center" wrapText="1"/>
    </xf>
    <xf numFmtId="0" fontId="34" fillId="5" borderId="36" xfId="2" applyFont="1" applyFill="1" applyBorder="1" applyAlignment="1">
      <alignment horizontal="center" vertical="center" wrapText="1"/>
    </xf>
    <xf numFmtId="0" fontId="34" fillId="5" borderId="14" xfId="2" applyFont="1" applyFill="1" applyBorder="1" applyAlignment="1">
      <alignment horizontal="center" vertical="center"/>
    </xf>
    <xf numFmtId="0" fontId="34" fillId="5" borderId="22" xfId="2" applyFont="1" applyFill="1" applyBorder="1" applyAlignment="1">
      <alignment horizontal="center" vertical="center"/>
    </xf>
    <xf numFmtId="0" fontId="32" fillId="0" borderId="21" xfId="2" applyFont="1" applyBorder="1" applyAlignment="1">
      <alignment horizontal="center" vertical="center"/>
    </xf>
    <xf numFmtId="0" fontId="32" fillId="0" borderId="19" xfId="2" applyFont="1" applyBorder="1" applyAlignment="1">
      <alignment horizontal="center" vertical="center"/>
    </xf>
    <xf numFmtId="0" fontId="32" fillId="0" borderId="49" xfId="2" applyFont="1" applyBorder="1" applyAlignment="1">
      <alignment horizontal="center" vertical="center"/>
    </xf>
    <xf numFmtId="0" fontId="32" fillId="0" borderId="18" xfId="2" applyFont="1" applyBorder="1" applyAlignment="1">
      <alignment horizontal="center" vertical="center"/>
    </xf>
    <xf numFmtId="0" fontId="32" fillId="0" borderId="17" xfId="2" applyFont="1" applyBorder="1" applyAlignment="1">
      <alignment horizontal="center" vertical="center"/>
    </xf>
    <xf numFmtId="0" fontId="32" fillId="0" borderId="50" xfId="2" applyFont="1" applyBorder="1" applyAlignment="1">
      <alignment horizontal="center" vertical="center"/>
    </xf>
    <xf numFmtId="0" fontId="32" fillId="0" borderId="26" xfId="2" applyFont="1" applyBorder="1" applyAlignment="1">
      <alignment horizontal="center" vertical="center"/>
    </xf>
    <xf numFmtId="0" fontId="32" fillId="0" borderId="25" xfId="2" applyFont="1" applyBorder="1" applyAlignment="1">
      <alignment horizontal="center" vertical="center"/>
    </xf>
    <xf numFmtId="0" fontId="34" fillId="5" borderId="11" xfId="2" applyFont="1" applyFill="1" applyBorder="1" applyAlignment="1">
      <alignment horizontal="center" vertical="center"/>
    </xf>
    <xf numFmtId="0" fontId="34" fillId="5" borderId="40" xfId="2" applyFont="1" applyFill="1" applyBorder="1" applyAlignment="1">
      <alignment horizontal="center" vertical="center"/>
    </xf>
    <xf numFmtId="0" fontId="23" fillId="0" borderId="46" xfId="2" applyFont="1" applyBorder="1" applyAlignment="1">
      <alignment horizontal="center" vertical="center"/>
    </xf>
    <xf numFmtId="0" fontId="23" fillId="0" borderId="40" xfId="2" applyFont="1" applyBorder="1" applyAlignment="1">
      <alignment horizontal="center" vertical="center"/>
    </xf>
    <xf numFmtId="0" fontId="23" fillId="0" borderId="48" xfId="2" applyFont="1" applyBorder="1" applyAlignment="1">
      <alignment horizontal="center" vertical="center"/>
    </xf>
    <xf numFmtId="0" fontId="39" fillId="0" borderId="10" xfId="0" applyFont="1" applyBorder="1" applyAlignment="1">
      <alignment horizontal="center" vertical="center"/>
    </xf>
    <xf numFmtId="0" fontId="39" fillId="0" borderId="52" xfId="0" applyFont="1" applyBorder="1" applyAlignment="1">
      <alignment horizontal="center" vertical="center"/>
    </xf>
    <xf numFmtId="0" fontId="39" fillId="0" borderId="3" xfId="0" applyFont="1" applyBorder="1" applyAlignment="1">
      <alignment horizontal="center" vertical="center"/>
    </xf>
    <xf numFmtId="178" fontId="24" fillId="0" borderId="10" xfId="2" applyNumberFormat="1" applyFont="1" applyBorder="1" applyAlignment="1">
      <alignment horizontal="center" vertical="center"/>
    </xf>
    <xf numFmtId="178" fontId="24" fillId="0" borderId="52" xfId="2" applyNumberFormat="1" applyFont="1" applyBorder="1" applyAlignment="1">
      <alignment horizontal="center" vertical="center"/>
    </xf>
    <xf numFmtId="178" fontId="24" fillId="0" borderId="3" xfId="2" applyNumberFormat="1" applyFont="1" applyBorder="1" applyAlignment="1">
      <alignment horizontal="center" vertical="center"/>
    </xf>
    <xf numFmtId="0" fontId="32" fillId="0" borderId="21" xfId="0" applyFont="1" applyBorder="1" applyAlignment="1">
      <alignment horizontal="left" vertical="center"/>
    </xf>
    <xf numFmtId="0" fontId="32" fillId="0" borderId="20" xfId="0" applyFont="1" applyBorder="1" applyAlignment="1">
      <alignment horizontal="left" vertical="center"/>
    </xf>
    <xf numFmtId="0" fontId="32" fillId="0" borderId="19" xfId="0" applyFont="1" applyBorder="1" applyAlignment="1">
      <alignment horizontal="left" vertical="center"/>
    </xf>
    <xf numFmtId="0" fontId="27" fillId="6" borderId="8" xfId="0" applyFont="1" applyFill="1" applyBorder="1" applyAlignment="1">
      <alignment horizontal="center" vertical="center"/>
    </xf>
    <xf numFmtId="0" fontId="27" fillId="6" borderId="9" xfId="0" applyFont="1" applyFill="1" applyBorder="1" applyAlignment="1">
      <alignment horizontal="center" vertical="center"/>
    </xf>
    <xf numFmtId="0" fontId="27" fillId="6" borderId="6" xfId="0" applyFont="1" applyFill="1" applyBorder="1" applyAlignment="1">
      <alignment horizontal="center" vertical="center"/>
    </xf>
    <xf numFmtId="0" fontId="33" fillId="5" borderId="21" xfId="0" applyFont="1" applyFill="1" applyBorder="1" applyAlignment="1">
      <alignment horizontal="center" vertical="center"/>
    </xf>
    <xf numFmtId="0" fontId="33" fillId="5" borderId="2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0" fontId="34" fillId="5" borderId="39" xfId="0" applyFont="1" applyFill="1" applyBorder="1" applyAlignment="1">
      <alignment horizontal="center" vertical="center" wrapText="1"/>
    </xf>
    <xf numFmtId="0" fontId="34" fillId="5" borderId="42" xfId="0" applyFont="1" applyFill="1" applyBorder="1" applyAlignment="1">
      <alignment horizontal="center" vertical="center"/>
    </xf>
    <xf numFmtId="0" fontId="34" fillId="5" borderId="51" xfId="0" applyFont="1" applyFill="1" applyBorder="1" applyAlignment="1">
      <alignment horizontal="center" vertical="center"/>
    </xf>
    <xf numFmtId="0" fontId="34" fillId="5" borderId="39" xfId="0" applyFont="1" applyFill="1" applyBorder="1" applyAlignment="1">
      <alignment horizontal="center" vertical="center"/>
    </xf>
    <xf numFmtId="0" fontId="34" fillId="0" borderId="10" xfId="0" applyFont="1" applyBorder="1" applyAlignment="1">
      <alignment horizontal="center" vertical="center"/>
    </xf>
    <xf numFmtId="0" fontId="34" fillId="0" borderId="5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178" fontId="24" fillId="0" borderId="53" xfId="2" applyNumberFormat="1" applyFont="1" applyBorder="1" applyAlignment="1">
      <alignment horizontal="center" vertical="center"/>
    </xf>
    <xf numFmtId="0" fontId="32" fillId="0" borderId="46" xfId="0" applyFont="1" applyBorder="1" applyAlignment="1">
      <alignment horizontal="left" vertical="center"/>
    </xf>
    <xf numFmtId="0" fontId="32" fillId="0" borderId="47" xfId="0" applyFont="1" applyBorder="1" applyAlignment="1">
      <alignment horizontal="left" vertical="center"/>
    </xf>
    <xf numFmtId="0" fontId="32" fillId="0" borderId="48" xfId="0" applyFont="1" applyBorder="1" applyAlignment="1">
      <alignment horizontal="left" vertical="center"/>
    </xf>
    <xf numFmtId="0" fontId="34" fillId="5" borderId="38" xfId="0" applyFont="1" applyFill="1" applyBorder="1" applyAlignment="1">
      <alignment horizontal="center" vertical="center"/>
    </xf>
    <xf numFmtId="0" fontId="34" fillId="0" borderId="53" xfId="0" applyFont="1" applyBorder="1" applyAlignment="1">
      <alignment horizontal="center" vertical="center"/>
    </xf>
    <xf numFmtId="0" fontId="9" fillId="18" borderId="182" xfId="0" applyFont="1" applyFill="1" applyBorder="1" applyAlignment="1">
      <alignment horizontal="center" vertical="center" shrinkToFit="1"/>
    </xf>
    <xf numFmtId="0" fontId="9" fillId="18" borderId="185" xfId="0" applyFont="1" applyFill="1" applyBorder="1" applyAlignment="1">
      <alignment horizontal="center" vertical="center" shrinkToFit="1"/>
    </xf>
    <xf numFmtId="0" fontId="31" fillId="5" borderId="182" xfId="0" applyFont="1" applyFill="1" applyBorder="1" applyAlignment="1">
      <alignment horizontal="center" vertical="center" shrinkToFit="1"/>
    </xf>
    <xf numFmtId="0" fontId="31" fillId="5" borderId="185" xfId="0" applyFont="1" applyFill="1" applyBorder="1" applyAlignment="1">
      <alignment horizontal="center" vertical="center" shrinkToFit="1"/>
    </xf>
    <xf numFmtId="0" fontId="9" fillId="5" borderId="127" xfId="0" applyFont="1" applyFill="1" applyBorder="1" applyAlignment="1">
      <alignment horizontal="center" vertical="center" wrapText="1"/>
    </xf>
    <xf numFmtId="0" fontId="9" fillId="5" borderId="91" xfId="0" applyFont="1" applyFill="1" applyBorder="1" applyAlignment="1">
      <alignment horizontal="center" vertical="center" wrapText="1"/>
    </xf>
    <xf numFmtId="0" fontId="9" fillId="5" borderId="181" xfId="0" applyFont="1" applyFill="1" applyBorder="1" applyAlignment="1">
      <alignment horizontal="center" vertical="center"/>
    </xf>
    <xf numFmtId="0" fontId="9" fillId="5" borderId="184" xfId="0" applyFont="1" applyFill="1" applyBorder="1" applyAlignment="1">
      <alignment horizontal="center" vertical="center"/>
    </xf>
    <xf numFmtId="0" fontId="9" fillId="5" borderId="182" xfId="0" applyFont="1" applyFill="1" applyBorder="1" applyAlignment="1">
      <alignment horizontal="center" vertical="center"/>
    </xf>
    <xf numFmtId="0" fontId="9" fillId="5" borderId="185" xfId="0" applyFont="1" applyFill="1" applyBorder="1" applyAlignment="1">
      <alignment horizontal="center" vertical="center"/>
    </xf>
    <xf numFmtId="0" fontId="9" fillId="5" borderId="127" xfId="0" applyFont="1" applyFill="1" applyBorder="1" applyAlignment="1">
      <alignment horizontal="center" vertical="center"/>
    </xf>
    <xf numFmtId="0" fontId="9" fillId="5" borderId="91" xfId="0" applyFont="1" applyFill="1" applyBorder="1" applyAlignment="1">
      <alignment horizontal="center" vertical="center"/>
    </xf>
    <xf numFmtId="0" fontId="34" fillId="0" borderId="27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15" xfId="0" applyFont="1" applyBorder="1" applyAlignment="1">
      <alignment horizontal="center" vertical="center"/>
    </xf>
    <xf numFmtId="0" fontId="34" fillId="5" borderId="142" xfId="0" applyFont="1" applyFill="1" applyBorder="1" applyAlignment="1">
      <alignment horizontal="center" vertical="center"/>
    </xf>
    <xf numFmtId="0" fontId="34" fillId="5" borderId="143" xfId="0" applyFont="1" applyFill="1" applyBorder="1" applyAlignment="1">
      <alignment horizontal="center" vertical="center"/>
    </xf>
    <xf numFmtId="0" fontId="34" fillId="5" borderId="137" xfId="0" applyFont="1" applyFill="1" applyBorder="1" applyAlignment="1">
      <alignment horizontal="center" vertical="center"/>
    </xf>
    <xf numFmtId="0" fontId="53" fillId="22" borderId="55" xfId="0" applyFont="1" applyFill="1" applyBorder="1" applyAlignment="1">
      <alignment horizontal="center" vertical="center"/>
    </xf>
    <xf numFmtId="14" fontId="53" fillId="22" borderId="55" xfId="0" applyNumberFormat="1" applyFont="1" applyFill="1" applyBorder="1" applyAlignment="1">
      <alignment horizontal="center" vertical="center"/>
    </xf>
    <xf numFmtId="0" fontId="40" fillId="17" borderId="99" xfId="0" applyFont="1" applyFill="1" applyBorder="1" applyAlignment="1">
      <alignment horizontal="center" vertical="center"/>
    </xf>
    <xf numFmtId="0" fontId="40" fillId="17" borderId="100" xfId="0" applyFont="1" applyFill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9" fillId="5" borderId="120" xfId="0" applyFont="1" applyFill="1" applyBorder="1" applyAlignment="1">
      <alignment horizontal="center" vertical="center" shrinkToFit="1"/>
    </xf>
    <xf numFmtId="0" fontId="9" fillId="5" borderId="124" xfId="0" applyFont="1" applyFill="1" applyBorder="1" applyAlignment="1">
      <alignment horizontal="center" vertical="center" shrinkToFit="1"/>
    </xf>
    <xf numFmtId="0" fontId="9" fillId="18" borderId="182" xfId="0" applyFont="1" applyFill="1" applyBorder="1" applyAlignment="1">
      <alignment horizontal="center" vertical="center"/>
    </xf>
    <xf numFmtId="0" fontId="9" fillId="18" borderId="185" xfId="0" applyFont="1" applyFill="1" applyBorder="1" applyAlignment="1">
      <alignment horizontal="center" vertical="center"/>
    </xf>
    <xf numFmtId="0" fontId="34" fillId="5" borderId="176" xfId="0" applyFont="1" applyFill="1" applyBorder="1" applyAlignment="1">
      <alignment horizontal="center" vertical="center" wrapText="1"/>
    </xf>
    <xf numFmtId="0" fontId="34" fillId="5" borderId="43" xfId="0" applyFont="1" applyFill="1" applyBorder="1" applyAlignment="1">
      <alignment horizontal="center" vertical="center" wrapText="1"/>
    </xf>
    <xf numFmtId="0" fontId="34" fillId="5" borderId="27" xfId="0" applyFont="1" applyFill="1" applyBorder="1" applyAlignment="1">
      <alignment horizontal="center" vertical="center" wrapText="1"/>
    </xf>
    <xf numFmtId="0" fontId="34" fillId="5" borderId="37" xfId="0" applyFont="1" applyFill="1" applyBorder="1" applyAlignment="1">
      <alignment horizontal="center" vertical="center" wrapText="1"/>
    </xf>
    <xf numFmtId="0" fontId="34" fillId="5" borderId="178" xfId="0" applyFont="1" applyFill="1" applyBorder="1" applyAlignment="1">
      <alignment horizontal="center" vertical="center" wrapText="1"/>
    </xf>
    <xf numFmtId="0" fontId="34" fillId="5" borderId="36" xfId="0" applyFont="1" applyFill="1" applyBorder="1" applyAlignment="1">
      <alignment horizontal="center" vertical="center" wrapText="1"/>
    </xf>
    <xf numFmtId="0" fontId="34" fillId="5" borderId="32" xfId="0" applyFont="1" applyFill="1" applyBorder="1" applyAlignment="1">
      <alignment horizontal="center" vertical="center" wrapText="1"/>
    </xf>
    <xf numFmtId="0" fontId="34" fillId="5" borderId="158" xfId="0" applyFont="1" applyFill="1" applyBorder="1" applyAlignment="1">
      <alignment horizontal="center" vertical="center" wrapText="1"/>
    </xf>
    <xf numFmtId="0" fontId="33" fillId="4" borderId="7" xfId="0" applyFont="1" applyFill="1" applyBorder="1" applyAlignment="1">
      <alignment horizontal="center" vertical="center"/>
    </xf>
    <xf numFmtId="0" fontId="33" fillId="4" borderId="22" xfId="0" applyFont="1" applyFill="1" applyBorder="1" applyAlignment="1">
      <alignment horizontal="center" vertical="center"/>
    </xf>
    <xf numFmtId="0" fontId="34" fillId="5" borderId="176" xfId="2" applyFont="1" applyFill="1" applyBorder="1" applyAlignment="1">
      <alignment horizontal="center" vertical="center" wrapText="1"/>
    </xf>
    <xf numFmtId="0" fontId="34" fillId="5" borderId="27" xfId="2" applyFont="1" applyFill="1" applyBorder="1" applyAlignment="1">
      <alignment horizontal="center" vertical="center" wrapText="1"/>
    </xf>
    <xf numFmtId="0" fontId="34" fillId="5" borderId="178" xfId="2" applyFont="1" applyFill="1" applyBorder="1" applyAlignment="1">
      <alignment horizontal="center" vertical="center" wrapText="1"/>
    </xf>
    <xf numFmtId="0" fontId="33" fillId="4" borderId="7" xfId="2" applyFont="1" applyFill="1" applyBorder="1" applyAlignment="1">
      <alignment horizontal="center" vertical="center" wrapText="1"/>
    </xf>
    <xf numFmtId="0" fontId="33" fillId="4" borderId="22" xfId="2" applyFont="1" applyFill="1" applyBorder="1" applyAlignment="1">
      <alignment horizontal="center" vertical="center" wrapText="1"/>
    </xf>
    <xf numFmtId="0" fontId="34" fillId="5" borderId="176" xfId="2" applyFont="1" applyFill="1" applyBorder="1" applyAlignment="1">
      <alignment horizontal="center" vertical="center"/>
    </xf>
    <xf numFmtId="0" fontId="34" fillId="5" borderId="43" xfId="2" applyFont="1" applyFill="1" applyBorder="1" applyAlignment="1">
      <alignment horizontal="center" vertical="center"/>
    </xf>
    <xf numFmtId="0" fontId="34" fillId="5" borderId="27" xfId="2" applyFont="1" applyFill="1" applyBorder="1" applyAlignment="1">
      <alignment horizontal="center" vertical="center"/>
    </xf>
    <xf numFmtId="0" fontId="34" fillId="5" borderId="37" xfId="2" applyFont="1" applyFill="1" applyBorder="1" applyAlignment="1">
      <alignment horizontal="center" vertical="center"/>
    </xf>
    <xf numFmtId="0" fontId="34" fillId="5" borderId="178" xfId="2" applyFont="1" applyFill="1" applyBorder="1" applyAlignment="1">
      <alignment horizontal="center" vertical="center"/>
    </xf>
    <xf numFmtId="0" fontId="34" fillId="5" borderId="36" xfId="2" applyFont="1" applyFill="1" applyBorder="1" applyAlignment="1">
      <alignment horizontal="center" vertical="center"/>
    </xf>
    <xf numFmtId="0" fontId="34" fillId="5" borderId="32" xfId="2" applyFont="1" applyFill="1" applyBorder="1" applyAlignment="1">
      <alignment horizontal="center" vertical="center"/>
    </xf>
    <xf numFmtId="0" fontId="34" fillId="5" borderId="158" xfId="2" applyFont="1" applyFill="1" applyBorder="1" applyAlignment="1">
      <alignment horizontal="center" vertical="center"/>
    </xf>
    <xf numFmtId="0" fontId="6" fillId="22" borderId="55" xfId="0" applyFont="1" applyFill="1" applyBorder="1" applyAlignment="1">
      <alignment horizontal="center" vertical="center"/>
    </xf>
    <xf numFmtId="14" fontId="6" fillId="22" borderId="55" xfId="0" applyNumberFormat="1" applyFont="1" applyFill="1" applyBorder="1" applyAlignment="1">
      <alignment horizontal="center" vertical="center"/>
    </xf>
    <xf numFmtId="0" fontId="6" fillId="22" borderId="67" xfId="0" applyFont="1" applyFill="1" applyBorder="1" applyAlignment="1">
      <alignment horizontal="center" vertical="center"/>
    </xf>
    <xf numFmtId="0" fontId="6" fillId="22" borderId="97" xfId="0" applyFont="1" applyFill="1" applyBorder="1" applyAlignment="1">
      <alignment horizontal="center" vertical="center"/>
    </xf>
    <xf numFmtId="0" fontId="14" fillId="22" borderId="55" xfId="0" applyFont="1" applyFill="1" applyBorder="1" applyAlignment="1">
      <alignment horizontal="center" vertical="center"/>
    </xf>
    <xf numFmtId="0" fontId="57" fillId="25" borderId="102" xfId="0" applyFont="1" applyFill="1" applyBorder="1" applyAlignment="1">
      <alignment horizontal="center" vertical="center"/>
    </xf>
    <xf numFmtId="0" fontId="57" fillId="25" borderId="118" xfId="0" applyFont="1" applyFill="1" applyBorder="1" applyAlignment="1">
      <alignment horizontal="center" vertical="center"/>
    </xf>
    <xf numFmtId="0" fontId="61" fillId="26" borderId="121" xfId="0" applyFont="1" applyFill="1" applyBorder="1" applyAlignment="1">
      <alignment horizontal="center" vertical="center" wrapText="1"/>
    </xf>
    <xf numFmtId="0" fontId="61" fillId="26" borderId="123" xfId="0" applyFont="1" applyFill="1" applyBorder="1" applyAlignment="1">
      <alignment horizontal="center" vertical="center" wrapText="1"/>
    </xf>
    <xf numFmtId="0" fontId="61" fillId="26" borderId="125" xfId="0" applyFont="1" applyFill="1" applyBorder="1" applyAlignment="1">
      <alignment horizontal="center" vertical="center" wrapText="1"/>
    </xf>
    <xf numFmtId="0" fontId="58" fillId="24" borderId="115" xfId="0" applyFont="1" applyFill="1" applyBorder="1" applyAlignment="1">
      <alignment horizontal="center" vertical="center"/>
    </xf>
    <xf numFmtId="0" fontId="58" fillId="24" borderId="116" xfId="0" applyFont="1" applyFill="1" applyBorder="1" applyAlignment="1">
      <alignment horizontal="center" vertical="center"/>
    </xf>
    <xf numFmtId="0" fontId="58" fillId="24" borderId="117" xfId="0" applyFont="1" applyFill="1" applyBorder="1" applyAlignment="1">
      <alignment horizontal="center" vertical="center"/>
    </xf>
    <xf numFmtId="9" fontId="57" fillId="20" borderId="120" xfId="0" applyNumberFormat="1" applyFont="1" applyFill="1" applyBorder="1" applyAlignment="1">
      <alignment horizontal="center" vertical="center"/>
    </xf>
    <xf numFmtId="9" fontId="57" fillId="20" borderId="124" xfId="0" applyNumberFormat="1" applyFont="1" applyFill="1" applyBorder="1" applyAlignment="1">
      <alignment horizontal="center" vertical="center"/>
    </xf>
    <xf numFmtId="9" fontId="57" fillId="20" borderId="127" xfId="0" applyNumberFormat="1" applyFont="1" applyFill="1" applyBorder="1" applyAlignment="1">
      <alignment horizontal="center" vertical="center"/>
    </xf>
    <xf numFmtId="9" fontId="57" fillId="20" borderId="91" xfId="0" applyNumberFormat="1" applyFont="1" applyFill="1" applyBorder="1" applyAlignment="1">
      <alignment horizontal="center" vertical="center"/>
    </xf>
    <xf numFmtId="0" fontId="40" fillId="17" borderId="115" xfId="0" applyFont="1" applyFill="1" applyBorder="1" applyAlignment="1">
      <alignment horizontal="center" vertical="center"/>
    </xf>
    <xf numFmtId="0" fontId="40" fillId="17" borderId="116" xfId="0" applyFont="1" applyFill="1" applyBorder="1" applyAlignment="1">
      <alignment horizontal="center" vertical="center"/>
    </xf>
    <xf numFmtId="0" fontId="40" fillId="17" borderId="117" xfId="0" applyFont="1" applyFill="1" applyBorder="1" applyAlignment="1">
      <alignment horizontal="center" vertical="center"/>
    </xf>
    <xf numFmtId="0" fontId="35" fillId="6" borderId="135" xfId="0" applyFont="1" applyFill="1" applyBorder="1" applyAlignment="1">
      <alignment horizontal="center" vertical="center"/>
    </xf>
    <xf numFmtId="0" fontId="35" fillId="6" borderId="160" xfId="0" applyFont="1" applyFill="1" applyBorder="1" applyAlignment="1">
      <alignment horizontal="center" vertical="center"/>
    </xf>
    <xf numFmtId="0" fontId="24" fillId="3" borderId="64" xfId="0" applyFont="1" applyFill="1" applyBorder="1" applyAlignment="1">
      <alignment horizontal="center" vertical="center" shrinkToFit="1"/>
    </xf>
    <xf numFmtId="0" fontId="24" fillId="3" borderId="66" xfId="0" applyFont="1" applyFill="1" applyBorder="1" applyAlignment="1">
      <alignment horizontal="center" vertical="center" shrinkToFit="1"/>
    </xf>
    <xf numFmtId="0" fontId="24" fillId="3" borderId="56" xfId="0" applyFont="1" applyFill="1" applyBorder="1" applyAlignment="1">
      <alignment horizontal="center" vertical="center" shrinkToFit="1"/>
    </xf>
    <xf numFmtId="0" fontId="24" fillId="3" borderId="57" xfId="0" applyFont="1" applyFill="1" applyBorder="1" applyAlignment="1">
      <alignment horizontal="center" vertical="center" shrinkToFit="1"/>
    </xf>
    <xf numFmtId="0" fontId="42" fillId="0" borderId="153" xfId="0" applyFont="1" applyBorder="1" applyAlignment="1">
      <alignment horizontal="center" vertical="center"/>
    </xf>
    <xf numFmtId="0" fontId="42" fillId="0" borderId="111" xfId="0" applyFont="1" applyBorder="1" applyAlignment="1">
      <alignment horizontal="center" vertical="center"/>
    </xf>
    <xf numFmtId="176" fontId="34" fillId="3" borderId="77" xfId="0" applyNumberFormat="1" applyFont="1" applyFill="1" applyBorder="1" applyAlignment="1">
      <alignment horizontal="center" vertical="center" shrinkToFit="1"/>
    </xf>
    <xf numFmtId="176" fontId="34" fillId="3" borderId="165" xfId="0" applyNumberFormat="1" applyFont="1" applyFill="1" applyBorder="1" applyAlignment="1">
      <alignment horizontal="center" vertical="center" shrinkToFit="1"/>
    </xf>
    <xf numFmtId="176" fontId="52" fillId="6" borderId="102" xfId="0" applyNumberFormat="1" applyFont="1" applyFill="1" applyBorder="1" applyAlignment="1">
      <alignment horizontal="center" vertical="center"/>
    </xf>
    <xf numFmtId="176" fontId="52" fillId="6" borderId="0" xfId="0" applyNumberFormat="1" applyFont="1" applyFill="1" applyAlignment="1">
      <alignment horizontal="center" vertical="center"/>
    </xf>
    <xf numFmtId="176" fontId="52" fillId="6" borderId="103" xfId="0" applyNumberFormat="1" applyFont="1" applyFill="1" applyBorder="1" applyAlignment="1">
      <alignment horizontal="center" vertical="center"/>
    </xf>
    <xf numFmtId="176" fontId="52" fillId="6" borderId="115" xfId="0" applyNumberFormat="1" applyFont="1" applyFill="1" applyBorder="1" applyAlignment="1">
      <alignment horizontal="center" vertical="center"/>
    </xf>
    <xf numFmtId="176" fontId="52" fillId="6" borderId="116" xfId="0" applyNumberFormat="1" applyFont="1" applyFill="1" applyBorder="1" applyAlignment="1">
      <alignment horizontal="center" vertical="center"/>
    </xf>
    <xf numFmtId="176" fontId="52" fillId="6" borderId="101" xfId="0" applyNumberFormat="1" applyFont="1" applyFill="1" applyBorder="1" applyAlignment="1">
      <alignment horizontal="center" vertical="center"/>
    </xf>
    <xf numFmtId="180" fontId="34" fillId="3" borderId="116" xfId="0" applyNumberFormat="1" applyFont="1" applyFill="1" applyBorder="1" applyAlignment="1">
      <alignment horizontal="center" vertical="center" shrinkToFit="1"/>
    </xf>
    <xf numFmtId="180" fontId="34" fillId="3" borderId="117" xfId="0" applyNumberFormat="1" applyFont="1" applyFill="1" applyBorder="1" applyAlignment="1">
      <alignment horizontal="center" vertical="center" shrinkToFit="1"/>
    </xf>
    <xf numFmtId="0" fontId="35" fillId="6" borderId="115" xfId="0" applyFont="1" applyFill="1" applyBorder="1" applyAlignment="1">
      <alignment horizontal="center" vertical="center" shrinkToFit="1"/>
    </xf>
    <xf numFmtId="0" fontId="35" fillId="6" borderId="100" xfId="0" applyFont="1" applyFill="1" applyBorder="1" applyAlignment="1">
      <alignment horizontal="center" vertical="center" shrinkToFit="1"/>
    </xf>
    <xf numFmtId="0" fontId="35" fillId="6" borderId="116" xfId="0" applyFont="1" applyFill="1" applyBorder="1" applyAlignment="1">
      <alignment horizontal="center" vertical="center" shrinkToFit="1"/>
    </xf>
    <xf numFmtId="0" fontId="35" fillId="6" borderId="117" xfId="0" applyFont="1" applyFill="1" applyBorder="1" applyAlignment="1">
      <alignment horizontal="center" vertical="center" shrinkToFit="1"/>
    </xf>
    <xf numFmtId="0" fontId="53" fillId="16" borderId="138" xfId="0" applyFont="1" applyFill="1" applyBorder="1" applyAlignment="1">
      <alignment horizontal="center" vertical="center"/>
    </xf>
    <xf numFmtId="0" fontId="53" fillId="16" borderId="55" xfId="0" applyFont="1" applyFill="1" applyBorder="1" applyAlignment="1">
      <alignment horizontal="center" vertical="center"/>
    </xf>
    <xf numFmtId="0" fontId="53" fillId="16" borderId="97" xfId="0" applyFont="1" applyFill="1" applyBorder="1" applyAlignment="1">
      <alignment horizontal="center" vertical="center"/>
    </xf>
    <xf numFmtId="0" fontId="67" fillId="16" borderId="55" xfId="0" applyFont="1" applyFill="1" applyBorder="1" applyAlignment="1">
      <alignment horizontal="center" vertical="center"/>
    </xf>
    <xf numFmtId="0" fontId="53" fillId="16" borderId="114" xfId="0" applyFont="1" applyFill="1" applyBorder="1" applyAlignment="1">
      <alignment horizontal="center" vertical="center"/>
    </xf>
  </cellXfs>
  <cellStyles count="3">
    <cellStyle name="표준" xfId="0" builtinId="0"/>
    <cellStyle name="표준 2" xfId="1" xr:uid="{00000000-0005-0000-0000-000001000000}"/>
    <cellStyle name="표준 2 2" xfId="2" xr:uid="{00000000-0005-0000-0000-000002000000}"/>
  </cellStyles>
  <dxfs count="27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</dxfs>
  <tableStyles count="0" defaultTableStyle="TableStyleMedium2" defaultPivotStyle="PivotStyleLight16"/>
  <colors>
    <mruColors>
      <color rgb="FFF1FAEB"/>
      <color rgb="FFC9E2B8"/>
      <color rgb="FFE09B9B"/>
      <color rgb="FF0000FF"/>
      <color rgb="FFEAF2EC"/>
      <color rgb="FFC71212"/>
      <color rgb="FFFF00FF"/>
      <color rgb="FFFFFFE1"/>
      <color rgb="FFD0CECE"/>
      <color rgb="FFDFC9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기구 외주사 월별 불량률</a:t>
            </a:r>
            <a:r>
              <a:rPr lang="en-US" altLang="ko-KR"/>
              <a:t> </a:t>
            </a:r>
            <a:r>
              <a:rPr lang="ko-KR" altLang="en-US"/>
              <a:t>그래프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BAT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'제조품질 불량분석'!$D$3:$O$3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'제조품질 불량분석'!$D$22:$O$22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0.22807017543859648</c:v>
                </c:pt>
                <c:pt idx="7">
                  <c:v>0.15789473684210525</c:v>
                </c:pt>
                <c:pt idx="8">
                  <c:v>0.30555555555555558</c:v>
                </c:pt>
                <c:pt idx="9">
                  <c:v>0.42307692307692307</c:v>
                </c:pt>
                <c:pt idx="10">
                  <c:v>3.0303030303030304E-2</c:v>
                </c:pt>
                <c:pt idx="11">
                  <c:v>6.9444444444444448E-2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36-4D38-B8DA-5745B4D9EBD2}"/>
            </c:ext>
          </c:extLst>
        </c:ser>
        <c:ser>
          <c:idx val="1"/>
          <c:order val="1"/>
          <c:tx>
            <c:v>FNI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'제조품질 불량분석'!$D$3:$O$3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'제조품질 불량분석'!$D$24:$O$24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0.33333333333333331</c:v>
                </c:pt>
                <c:pt idx="5">
                  <c:v>0</c:v>
                </c:pt>
                <c:pt idx="6">
                  <c:v>0.24561403508771928</c:v>
                </c:pt>
                <c:pt idx="7">
                  <c:v>5.2631578947368418E-2</c:v>
                </c:pt>
                <c:pt idx="8">
                  <c:v>6.9444444444444448E-2</c:v>
                </c:pt>
                <c:pt idx="9">
                  <c:v>0.11538461538461539</c:v>
                </c:pt>
                <c:pt idx="10">
                  <c:v>0</c:v>
                </c:pt>
                <c:pt idx="11">
                  <c:v>8.3333333333333329E-2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36-4D38-B8DA-5745B4D9EBD2}"/>
            </c:ext>
          </c:extLst>
        </c:ser>
        <c:ser>
          <c:idx val="2"/>
          <c:order val="2"/>
          <c:tx>
            <c:v>TMS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'제조품질 불량분석'!$D$3:$O$3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'제조품질 불량분석'!$D$26:$O$26</c:f>
              <c:numCache>
                <c:formatCode>0.0%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0.66666666666666663</c:v>
                </c:pt>
                <c:pt idx="5">
                  <c:v>0.75</c:v>
                </c:pt>
                <c:pt idx="6">
                  <c:v>0.52631578947368418</c:v>
                </c:pt>
                <c:pt idx="7">
                  <c:v>0.78947368421052633</c:v>
                </c:pt>
                <c:pt idx="8">
                  <c:v>0.625</c:v>
                </c:pt>
                <c:pt idx="9">
                  <c:v>0.46153846153846156</c:v>
                </c:pt>
                <c:pt idx="10">
                  <c:v>0.96969696969696972</c:v>
                </c:pt>
                <c:pt idx="11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36-4D38-B8DA-5745B4D9EB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402084896"/>
        <c:axId val="1402088160"/>
      </c:barChart>
      <c:catAx>
        <c:axId val="140208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2088160"/>
        <c:crosses val="autoZero"/>
        <c:auto val="1"/>
        <c:lblAlgn val="ctr"/>
        <c:lblOffset val="100"/>
        <c:noMultiLvlLbl val="0"/>
      </c:catAx>
      <c:valAx>
        <c:axId val="140208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208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415667623128019"/>
          <c:y val="0.90517507004629716"/>
          <c:w val="0.56473027182612534"/>
          <c:h val="6.99529456002047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전장 외주사 월별 불량률 그래프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{"C&amp;A"}</c:f>
              <c:strCache>
                <c:ptCount val="1"/>
                <c:pt idx="0">
                  <c:v>C&amp;A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'제조품질 불량분석'!$D$3:$O$3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'제조품질 불량분석'!$D$28:$O$28</c:f>
              <c:numCache>
                <c:formatCode>0.0%</c:formatCode>
                <c:ptCount val="12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0.66666666666666663</c:v>
                </c:pt>
                <c:pt idx="7">
                  <c:v>0.1111111111111111</c:v>
                </c:pt>
                <c:pt idx="8">
                  <c:v>0.375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EB-4479-967C-222C73F6448E}"/>
            </c:ext>
          </c:extLst>
        </c:ser>
        <c:ser>
          <c:idx val="1"/>
          <c:order val="1"/>
          <c:tx>
            <c:strRef>
              <c:f>{"P&amp;S"}</c:f>
              <c:strCache>
                <c:ptCount val="1"/>
                <c:pt idx="0">
                  <c:v>P&amp;S</c:v>
                </c:pt>
              </c:strCache>
            </c:strRef>
          </c:tx>
          <c:spPr>
            <a:solidFill>
              <a:srgbClr val="AEAAAA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'제조품질 불량분석'!$D$3:$O$3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'제조품질 불량분석'!$D$30:$O$30</c:f>
              <c:numCache>
                <c:formatCode>0.0%</c:formatCode>
                <c:ptCount val="12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0.44444444444444442</c:v>
                </c:pt>
                <c:pt idx="8">
                  <c:v>0.25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EB-4479-967C-222C73F6448E}"/>
            </c:ext>
          </c:extLst>
        </c:ser>
        <c:ser>
          <c:idx val="2"/>
          <c:order val="2"/>
          <c:tx>
            <c:v>TMS</c:v>
          </c:tx>
          <c:spPr>
            <a:solidFill>
              <a:srgbClr val="C65911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'제조품질 불량분석'!$D$3:$O$3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'제조품질 불량분석'!$D$32:$O$32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EB-4479-967C-222C73F6448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402084896"/>
        <c:axId val="1402088160"/>
      </c:barChart>
      <c:catAx>
        <c:axId val="140208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2088160"/>
        <c:crosses val="autoZero"/>
        <c:auto val="1"/>
        <c:lblAlgn val="ctr"/>
        <c:lblOffset val="100"/>
        <c:noMultiLvlLbl val="0"/>
      </c:catAx>
      <c:valAx>
        <c:axId val="140208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208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415667623128019"/>
          <c:y val="0.90517507004629716"/>
          <c:w val="0.56473027182612534"/>
          <c:h val="6.99529456002047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기구 외주사 월별 불량률</a:t>
            </a:r>
            <a:r>
              <a:rPr lang="en-US" altLang="ko-KR"/>
              <a:t> </a:t>
            </a:r>
            <a:r>
              <a:rPr lang="ko-KR" altLang="en-US"/>
              <a:t>그래프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BAT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'가압 불량분석'!$D$3:$O$3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'가압 불량분석'!$D$24:$O$24</c:f>
              <c:numCache>
                <c:formatCode>0.0%</c:formatCode>
                <c:ptCount val="12"/>
                <c:pt idx="0">
                  <c:v>0.73333333333333328</c:v>
                </c:pt>
                <c:pt idx="1">
                  <c:v>0.61290322580645162</c:v>
                </c:pt>
                <c:pt idx="2">
                  <c:v>0.11538461538461539</c:v>
                </c:pt>
                <c:pt idx="3">
                  <c:v>0.44827586206896552</c:v>
                </c:pt>
                <c:pt idx="4">
                  <c:v>0.35483870967741937</c:v>
                </c:pt>
                <c:pt idx="5">
                  <c:v>0.5</c:v>
                </c:pt>
                <c:pt idx="6">
                  <c:v>0.22222222222222221</c:v>
                </c:pt>
                <c:pt idx="7">
                  <c:v>0.24</c:v>
                </c:pt>
                <c:pt idx="8">
                  <c:v>0.57692307692307687</c:v>
                </c:pt>
                <c:pt idx="9">
                  <c:v>0.69696969696969702</c:v>
                </c:pt>
                <c:pt idx="10">
                  <c:v>0.55172413793103448</c:v>
                </c:pt>
                <c:pt idx="11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63-4932-AEDB-395665F9C3B6}"/>
            </c:ext>
          </c:extLst>
        </c:ser>
        <c:ser>
          <c:idx val="1"/>
          <c:order val="1"/>
          <c:tx>
            <c:v>FNI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'가압 불량분석'!$D$3:$O$3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'가압 불량분석'!$D$26:$O$26</c:f>
              <c:numCache>
                <c:formatCode>0.0%</c:formatCode>
                <c:ptCount val="12"/>
                <c:pt idx="0">
                  <c:v>0.2</c:v>
                </c:pt>
                <c:pt idx="1">
                  <c:v>0.38709677419354838</c:v>
                </c:pt>
                <c:pt idx="2">
                  <c:v>0.53846153846153844</c:v>
                </c:pt>
                <c:pt idx="3">
                  <c:v>0.27586206896551724</c:v>
                </c:pt>
                <c:pt idx="4">
                  <c:v>0.12903225806451613</c:v>
                </c:pt>
                <c:pt idx="5">
                  <c:v>0.4</c:v>
                </c:pt>
                <c:pt idx="6">
                  <c:v>0.61111111111111116</c:v>
                </c:pt>
                <c:pt idx="7">
                  <c:v>0.52</c:v>
                </c:pt>
                <c:pt idx="8">
                  <c:v>0.23076923076923078</c:v>
                </c:pt>
                <c:pt idx="9">
                  <c:v>0.18181818181818182</c:v>
                </c:pt>
                <c:pt idx="10">
                  <c:v>0.31034482758620691</c:v>
                </c:pt>
                <c:pt idx="11">
                  <c:v>0.27777777777777779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63-4932-AEDB-395665F9C3B6}"/>
            </c:ext>
          </c:extLst>
        </c:ser>
        <c:ser>
          <c:idx val="2"/>
          <c:order val="2"/>
          <c:tx>
            <c:v>TMS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'가압 불량분석'!$D$3:$O$3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'가압 불량분석'!$D$28:$O$28</c:f>
              <c:numCache>
                <c:formatCode>0.0%</c:formatCode>
                <c:ptCount val="12"/>
                <c:pt idx="0">
                  <c:v>6.6666666666666666E-2</c:v>
                </c:pt>
                <c:pt idx="1">
                  <c:v>0</c:v>
                </c:pt>
                <c:pt idx="2">
                  <c:v>0.34615384615384615</c:v>
                </c:pt>
                <c:pt idx="3">
                  <c:v>0.27586206896551724</c:v>
                </c:pt>
                <c:pt idx="4">
                  <c:v>0.5161290322580645</c:v>
                </c:pt>
                <c:pt idx="5">
                  <c:v>0.1</c:v>
                </c:pt>
                <c:pt idx="6">
                  <c:v>0.16666666666666666</c:v>
                </c:pt>
                <c:pt idx="7">
                  <c:v>0.08</c:v>
                </c:pt>
                <c:pt idx="8">
                  <c:v>0.15384615384615385</c:v>
                </c:pt>
                <c:pt idx="9">
                  <c:v>0.12121212121212122</c:v>
                </c:pt>
                <c:pt idx="10">
                  <c:v>0.13793103448275862</c:v>
                </c:pt>
                <c:pt idx="11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63-4932-AEDB-395665F9C3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402084896"/>
        <c:axId val="1402088160"/>
      </c:barChart>
      <c:catAx>
        <c:axId val="140208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2088160"/>
        <c:crosses val="autoZero"/>
        <c:auto val="1"/>
        <c:lblAlgn val="ctr"/>
        <c:lblOffset val="100"/>
        <c:noMultiLvlLbl val="0"/>
      </c:catAx>
      <c:valAx>
        <c:axId val="140208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208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415667623128019"/>
          <c:y val="0.90517507004629716"/>
          <c:w val="0.56473027182612534"/>
          <c:h val="6.99529456002047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24</a:t>
            </a:r>
            <a:r>
              <a:rPr lang="ja-JP" altLang="en-US"/>
              <a:t>年 </a:t>
            </a:r>
            <a:r>
              <a:rPr lang="ko-KR" altLang="en-US"/>
              <a:t>가압 불량 </a:t>
            </a:r>
            <a:r>
              <a:rPr lang="en-US" altLang="ko-KR"/>
              <a:t>Chart</a:t>
            </a:r>
          </a:p>
        </c:rich>
      </c:tx>
      <c:layout>
        <c:manualLayout>
          <c:xMode val="edge"/>
          <c:yMode val="edge"/>
          <c:x val="0.4077553516819572"/>
          <c:y val="2.3880597014925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Ch수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'24년 참고자료'!$D$3:$O$3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'24년 참고자료'!$D$4:$O$4</c:f>
              <c:numCache>
                <c:formatCode>General</c:formatCode>
                <c:ptCount val="12"/>
                <c:pt idx="0">
                  <c:v>236</c:v>
                </c:pt>
                <c:pt idx="1">
                  <c:v>285</c:v>
                </c:pt>
                <c:pt idx="2">
                  <c:v>348</c:v>
                </c:pt>
                <c:pt idx="3">
                  <c:v>377</c:v>
                </c:pt>
                <c:pt idx="4">
                  <c:v>300</c:v>
                </c:pt>
                <c:pt idx="5">
                  <c:v>310</c:v>
                </c:pt>
                <c:pt idx="6">
                  <c:v>306</c:v>
                </c:pt>
                <c:pt idx="7">
                  <c:v>341</c:v>
                </c:pt>
                <c:pt idx="8">
                  <c:v>208</c:v>
                </c:pt>
                <c:pt idx="9">
                  <c:v>213</c:v>
                </c:pt>
                <c:pt idx="10">
                  <c:v>282</c:v>
                </c:pt>
                <c:pt idx="11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DB-4ED3-B039-9737B7FF7362}"/>
            </c:ext>
          </c:extLst>
        </c:ser>
        <c:ser>
          <c:idx val="1"/>
          <c:order val="1"/>
          <c:tx>
            <c:v>불량수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'24년 참고자료'!$D$3:$O$3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'24년 참고자료'!$D$7:$O$7</c:f>
              <c:numCache>
                <c:formatCode>0"대"</c:formatCode>
                <c:ptCount val="12"/>
                <c:pt idx="0">
                  <c:v>153</c:v>
                </c:pt>
                <c:pt idx="1">
                  <c:v>166</c:v>
                </c:pt>
                <c:pt idx="2">
                  <c:v>194</c:v>
                </c:pt>
                <c:pt idx="3">
                  <c:v>210</c:v>
                </c:pt>
                <c:pt idx="4">
                  <c:v>187</c:v>
                </c:pt>
                <c:pt idx="5">
                  <c:v>174</c:v>
                </c:pt>
                <c:pt idx="6">
                  <c:v>173</c:v>
                </c:pt>
                <c:pt idx="7">
                  <c:v>204</c:v>
                </c:pt>
                <c:pt idx="8">
                  <c:v>122</c:v>
                </c:pt>
                <c:pt idx="9">
                  <c:v>130</c:v>
                </c:pt>
                <c:pt idx="10">
                  <c:v>177</c:v>
                </c:pt>
                <c:pt idx="11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1DB-4ED3-B039-9737B7FF7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6"/>
        <c:axId val="1290980872"/>
        <c:axId val="1894454792"/>
      </c:barChart>
      <c:lineChart>
        <c:grouping val="stacked"/>
        <c:varyColors val="0"/>
        <c:ser>
          <c:idx val="2"/>
          <c:order val="2"/>
          <c:tx>
            <c:v>Ch당 불량률</c:v>
          </c:tx>
          <c:spPr>
            <a:ln w="28575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2122372318139141E-2"/>
                  <c:y val="-5.67164179104477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8D-403C-91E2-B12632CB92FB}"/>
                </c:ext>
              </c:extLst>
            </c:dLbl>
            <c:dLbl>
              <c:idx val="1"/>
              <c:layout>
                <c:manualLayout>
                  <c:x val="-2.2122372318139131E-2"/>
                  <c:y val="-7.76119402985074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8D-403C-91E2-B12632CB92FB}"/>
                </c:ext>
              </c:extLst>
            </c:dLbl>
            <c:dLbl>
              <c:idx val="2"/>
              <c:layout>
                <c:manualLayout>
                  <c:x val="-2.2122372318139176E-2"/>
                  <c:y val="-5.9701492537313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8D-403C-91E2-B12632CB92FB}"/>
                </c:ext>
              </c:extLst>
            </c:dLbl>
            <c:dLbl>
              <c:idx val="3"/>
              <c:layout>
                <c:manualLayout>
                  <c:x val="-2.2122372318139131E-2"/>
                  <c:y val="-0.238805970149253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48D-403C-91E2-B12632CB92FB}"/>
                </c:ext>
              </c:extLst>
            </c:dLbl>
            <c:dLbl>
              <c:idx val="4"/>
              <c:layout>
                <c:manualLayout>
                  <c:x val="-2.2122372318139131E-2"/>
                  <c:y val="-5.37313432835821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8D-403C-91E2-B12632CB92FB}"/>
                </c:ext>
              </c:extLst>
            </c:dLbl>
            <c:dLbl>
              <c:idx val="5"/>
              <c:layout>
                <c:manualLayout>
                  <c:x val="-2.3039803510799681E-2"/>
                  <c:y val="-0.2119402985074626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8D-403C-91E2-B12632CB92FB}"/>
                </c:ext>
              </c:extLst>
            </c:dLbl>
            <c:dLbl>
              <c:idx val="6"/>
              <c:layout>
                <c:manualLayout>
                  <c:x val="-2.2122372318139131E-2"/>
                  <c:y val="-0.3223880597014925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8D-403C-91E2-B12632CB92FB}"/>
                </c:ext>
              </c:extLst>
            </c:dLbl>
            <c:dLbl>
              <c:idx val="7"/>
              <c:layout>
                <c:manualLayout>
                  <c:x val="-2.2122372318139221E-2"/>
                  <c:y val="-0.3223880597014925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48D-403C-91E2-B12632CB92FB}"/>
                </c:ext>
              </c:extLst>
            </c:dLbl>
            <c:dLbl>
              <c:idx val="8"/>
              <c:layout>
                <c:manualLayout>
                  <c:x val="-2.2122372318139131E-2"/>
                  <c:y val="-7.16417910447761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8D-403C-91E2-B12632CB92FB}"/>
                </c:ext>
              </c:extLst>
            </c:dLbl>
            <c:dLbl>
              <c:idx val="9"/>
              <c:layout>
                <c:manualLayout>
                  <c:x val="-2.3039803510799681E-2"/>
                  <c:y val="-0.26268656716417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8D-403C-91E2-B12632CB92FB}"/>
                </c:ext>
              </c:extLst>
            </c:dLbl>
            <c:dLbl>
              <c:idx val="10"/>
              <c:layout>
                <c:manualLayout>
                  <c:x val="-1.9630041657636831E-2"/>
                  <c:y val="-0.4149253731343283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8D-403C-91E2-B12632CB92FB}"/>
                </c:ext>
              </c:extLst>
            </c:dLbl>
            <c:dLbl>
              <c:idx val="11"/>
              <c:layout>
                <c:manualLayout>
                  <c:x val="-1.8712610464976281E-2"/>
                  <c:y val="-0.3432835820895522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8D-403C-91E2-B12632CB92FB}"/>
                </c:ext>
              </c:extLst>
            </c:dLbl>
            <c:spPr>
              <a:solidFill>
                <a:srgbClr val="F2F2F2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'24년 참고자료'!$D$3:$O$3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'24년 참고자료'!$D$11:$O$11</c:f>
              <c:numCache>
                <c:formatCode>0%</c:formatCode>
                <c:ptCount val="12"/>
                <c:pt idx="0">
                  <c:v>0.42</c:v>
                </c:pt>
                <c:pt idx="1">
                  <c:v>0.4</c:v>
                </c:pt>
                <c:pt idx="2">
                  <c:v>0.44</c:v>
                </c:pt>
                <c:pt idx="3">
                  <c:v>0.32</c:v>
                </c:pt>
                <c:pt idx="4">
                  <c:v>0.43</c:v>
                </c:pt>
                <c:pt idx="5">
                  <c:v>0.26</c:v>
                </c:pt>
                <c:pt idx="6">
                  <c:v>0.17</c:v>
                </c:pt>
                <c:pt idx="7">
                  <c:v>0.21</c:v>
                </c:pt>
                <c:pt idx="8">
                  <c:v>0.33</c:v>
                </c:pt>
                <c:pt idx="9">
                  <c:v>0.1</c:v>
                </c:pt>
                <c:pt idx="10">
                  <c:v>0.06</c:v>
                </c:pt>
                <c:pt idx="11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DB-4ED3-B039-9737B7FF7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5998471"/>
        <c:axId val="775995399"/>
      </c:lineChart>
      <c:catAx>
        <c:axId val="1290980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454792"/>
        <c:crosses val="autoZero"/>
        <c:auto val="1"/>
        <c:lblAlgn val="ctr"/>
        <c:lblOffset val="100"/>
        <c:noMultiLvlLbl val="0"/>
      </c:catAx>
      <c:valAx>
        <c:axId val="189445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D0D0D"/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0980872"/>
        <c:crosses val="autoZero"/>
        <c:crossBetween val="between"/>
      </c:valAx>
      <c:valAx>
        <c:axId val="77599539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5998471"/>
        <c:crosses val="max"/>
        <c:crossBetween val="between"/>
      </c:valAx>
      <c:catAx>
        <c:axId val="775998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59953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MICRON </a:t>
            </a:r>
            <a:r>
              <a:rPr lang="ja-JP" altLang="en-US"/>
              <a:t>向 </a:t>
            </a:r>
            <a:r>
              <a:rPr lang="en-US" altLang="ja-JP"/>
              <a:t>/ </a:t>
            </a:r>
            <a:r>
              <a:rPr lang="ko-KR" altLang="en-US"/>
              <a:t>평균 검사시간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1264590812625985E-17"/>
                  <c:y val="5.07305194805194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4DF-46C4-AD4E-9B254322F101}"/>
                </c:ext>
              </c:extLst>
            </c:dLbl>
            <c:dLbl>
              <c:idx val="1"/>
              <c:layout>
                <c:manualLayout>
                  <c:x val="-1.3166556945359111E-3"/>
                  <c:y val="5.27597402597403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4DF-46C4-AD4E-9B254322F101}"/>
                </c:ext>
              </c:extLst>
            </c:dLbl>
            <c:dLbl>
              <c:idx val="2"/>
              <c:layout>
                <c:manualLayout>
                  <c:x val="-2.6333113890718222E-3"/>
                  <c:y val="4.66720779220780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4DF-46C4-AD4E-9B254322F101}"/>
                </c:ext>
              </c:extLst>
            </c:dLbl>
            <c:dLbl>
              <c:idx val="3"/>
              <c:layout>
                <c:manualLayout>
                  <c:x val="-4.5058363250503941E-17"/>
                  <c:y val="5.68181818181818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4DF-46C4-AD4E-9B254322F101}"/>
                </c:ext>
              </c:extLst>
            </c:dLbl>
            <c:dLbl>
              <c:idx val="4"/>
              <c:layout>
                <c:manualLayout>
                  <c:x val="0"/>
                  <c:y val="4.66720779220778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4DF-46C4-AD4E-9B254322F101}"/>
                </c:ext>
              </c:extLst>
            </c:dLbl>
            <c:dLbl>
              <c:idx val="5"/>
              <c:layout>
                <c:manualLayout>
                  <c:x val="1.3166556945359562E-3"/>
                  <c:y val="5.2759740259740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4DF-46C4-AD4E-9B254322F101}"/>
                </c:ext>
              </c:extLst>
            </c:dLbl>
            <c:dLbl>
              <c:idx val="6"/>
              <c:layout>
                <c:manualLayout>
                  <c:x val="0"/>
                  <c:y val="5.27597402597401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4DF-46C4-AD4E-9B254322F101}"/>
                </c:ext>
              </c:extLst>
            </c:dLbl>
            <c:dLbl>
              <c:idx val="7"/>
              <c:layout>
                <c:manualLayout>
                  <c:x val="-1.3166556945357758E-3"/>
                  <c:y val="5.4788961038961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4DF-46C4-AD4E-9B254322F101}"/>
                </c:ext>
              </c:extLst>
            </c:dLbl>
            <c:dLbl>
              <c:idx val="8"/>
              <c:layout>
                <c:manualLayout>
                  <c:x val="2.6333113890718222E-3"/>
                  <c:y val="6.08766233766234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4DF-46C4-AD4E-9B254322F1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'월 고객사별 정리'!$C$7:$N$7</c:f>
              <c:numCache>
                <c:formatCode>0"대"</c:formatCode>
                <c:ptCount val="12"/>
                <c:pt idx="0">
                  <c:v>95</c:v>
                </c:pt>
                <c:pt idx="1">
                  <c:v>174</c:v>
                </c:pt>
                <c:pt idx="2">
                  <c:v>147</c:v>
                </c:pt>
                <c:pt idx="3">
                  <c:v>158</c:v>
                </c:pt>
                <c:pt idx="4">
                  <c:v>116</c:v>
                </c:pt>
                <c:pt idx="5">
                  <c:v>119</c:v>
                </c:pt>
                <c:pt idx="6">
                  <c:v>157</c:v>
                </c:pt>
                <c:pt idx="7">
                  <c:v>171</c:v>
                </c:pt>
                <c:pt idx="8">
                  <c:v>205</c:v>
                </c:pt>
                <c:pt idx="9">
                  <c:v>174</c:v>
                </c:pt>
                <c:pt idx="10">
                  <c:v>179</c:v>
                </c:pt>
                <c:pt idx="11">
                  <c:v>141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{"검사대수"}</c15:sqref>
                        </c15:formulaRef>
                      </c:ext>
                    </c:extLst>
                    <c:strCache>
                      <c:ptCount val="1"/>
                      <c:pt idx="0">
                        <c:v>검사대수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E4DF-46C4-AD4E-9B254322F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690439"/>
        <c:axId val="284695047"/>
      </c:barChart>
      <c:barChart>
        <c:barDir val="col"/>
        <c:grouping val="clustered"/>
        <c:varyColors val="0"/>
        <c:ser>
          <c:idx val="2"/>
          <c:order val="2"/>
          <c:spPr>
            <a:solidFill>
              <a:srgbClr val="FF0000"/>
            </a:solidFill>
            <a:ln>
              <a:solidFill>
                <a:srgbClr val="FF0000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'월 고객사별 정리'!$C$13:$N$13</c:f>
              <c:numCache>
                <c:formatCode>0"대"</c:formatCode>
                <c:ptCount val="12"/>
                <c:pt idx="0">
                  <c:v>33</c:v>
                </c:pt>
                <c:pt idx="1">
                  <c:v>56</c:v>
                </c:pt>
                <c:pt idx="2">
                  <c:v>38</c:v>
                </c:pt>
                <c:pt idx="3">
                  <c:v>32</c:v>
                </c:pt>
                <c:pt idx="4">
                  <c:v>28</c:v>
                </c:pt>
                <c:pt idx="5">
                  <c:v>35</c:v>
                </c:pt>
                <c:pt idx="6">
                  <c:v>64</c:v>
                </c:pt>
                <c:pt idx="7">
                  <c:v>53</c:v>
                </c:pt>
                <c:pt idx="8">
                  <c:v>47</c:v>
                </c:pt>
                <c:pt idx="9">
                  <c:v>62</c:v>
                </c:pt>
                <c:pt idx="10">
                  <c:v>79</c:v>
                </c:pt>
                <c:pt idx="11">
                  <c:v>37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{"MICRON 대수"}</c15:sqref>
                        </c15:formulaRef>
                      </c:ext>
                    </c:extLst>
                    <c:strCache>
                      <c:ptCount val="1"/>
                      <c:pt idx="0">
                        <c:v>MICRON 대수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6-E4DF-46C4-AD4E-9B254322F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4700935"/>
        <c:axId val="704685575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9749835418038101E-2"/>
                  <c:y val="-3.24675324675325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DF-46C4-AD4E-9B254322F101}"/>
                </c:ext>
              </c:extLst>
            </c:dLbl>
            <c:dLbl>
              <c:idx val="1"/>
              <c:layout>
                <c:manualLayout>
                  <c:x val="-1.9749835418038101E-2"/>
                  <c:y val="-3.85551948051947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DF-46C4-AD4E-9B254322F101}"/>
                </c:ext>
              </c:extLst>
            </c:dLbl>
            <c:dLbl>
              <c:idx val="2"/>
              <c:layout>
                <c:manualLayout>
                  <c:x val="-2.2383146807109903E-2"/>
                  <c:y val="-2.63798701298701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4DF-46C4-AD4E-9B254322F101}"/>
                </c:ext>
              </c:extLst>
            </c:dLbl>
            <c:dLbl>
              <c:idx val="3"/>
              <c:layout>
                <c:manualLayout>
                  <c:x val="-2.6333113890717456E-2"/>
                  <c:y val="-3.04383116883117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DF-46C4-AD4E-9B254322F101}"/>
                </c:ext>
              </c:extLst>
            </c:dLbl>
            <c:dLbl>
              <c:idx val="4"/>
              <c:layout>
                <c:manualLayout>
                  <c:x val="-2.501645819618168E-2"/>
                  <c:y val="-2.84090909090909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DF-46C4-AD4E-9B254322F101}"/>
                </c:ext>
              </c:extLst>
            </c:dLbl>
            <c:dLbl>
              <c:idx val="5"/>
              <c:layout>
                <c:manualLayout>
                  <c:x val="-2.6333113890717682E-2"/>
                  <c:y val="-2.84090909090909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DF-46C4-AD4E-9B254322F101}"/>
                </c:ext>
              </c:extLst>
            </c:dLbl>
            <c:dLbl>
              <c:idx val="6"/>
              <c:layout>
                <c:manualLayout>
                  <c:x val="-2.2383146807109903E-2"/>
                  <c:y val="-2.23214285714285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4DF-46C4-AD4E-9B254322F101}"/>
                </c:ext>
              </c:extLst>
            </c:dLbl>
            <c:dLbl>
              <c:idx val="7"/>
              <c:layout>
                <c:manualLayout>
                  <c:x val="-1.974983541803817E-2"/>
                  <c:y val="-2.63798701298702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4DF-46C4-AD4E-9B254322F101}"/>
                </c:ext>
              </c:extLst>
            </c:dLbl>
            <c:dLbl>
              <c:idx val="8"/>
              <c:layout>
                <c:manualLayout>
                  <c:x val="-2.5016472019338699E-2"/>
                  <c:y val="-1.62338727545419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4DF-46C4-AD4E-9B254322F1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'월 고객사별 정리'!$C$11:$N$11</c:f>
              <c:numCache>
                <c:formatCode>0_);[Red]\(0\)</c:formatCode>
                <c:ptCount val="12"/>
                <c:pt idx="0">
                  <c:v>117</c:v>
                </c:pt>
                <c:pt idx="1">
                  <c:v>99</c:v>
                </c:pt>
                <c:pt idx="2">
                  <c:v>111</c:v>
                </c:pt>
                <c:pt idx="3">
                  <c:v>107</c:v>
                </c:pt>
                <c:pt idx="4">
                  <c:v>125</c:v>
                </c:pt>
                <c:pt idx="5">
                  <c:v>120</c:v>
                </c:pt>
                <c:pt idx="6">
                  <c:v>129</c:v>
                </c:pt>
                <c:pt idx="7">
                  <c:v>121</c:v>
                </c:pt>
                <c:pt idx="8">
                  <c:v>118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{"검사시간"}</c15:sqref>
                        </c15:formulaRef>
                      </c:ext>
                    </c:extLst>
                    <c:strCache>
                      <c:ptCount val="1"/>
                      <c:pt idx="0">
                        <c:v>검사시간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E4DF-46C4-AD4E-9B254322F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700935"/>
        <c:axId val="704685575"/>
      </c:lineChart>
      <c:catAx>
        <c:axId val="2846904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695047"/>
        <c:crosses val="autoZero"/>
        <c:auto val="1"/>
        <c:lblAlgn val="ctr"/>
        <c:lblOffset val="100"/>
        <c:noMultiLvlLbl val="0"/>
      </c:catAx>
      <c:valAx>
        <c:axId val="284695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대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690439"/>
        <c:crosses val="autoZero"/>
        <c:crossBetween val="between"/>
      </c:valAx>
      <c:valAx>
        <c:axId val="704685575"/>
        <c:scaling>
          <c:orientation val="minMax"/>
        </c:scaling>
        <c:delete val="0"/>
        <c:axPos val="r"/>
        <c:numFmt formatCode="0&quot;분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700935"/>
        <c:crosses val="max"/>
        <c:crossBetween val="between"/>
      </c:valAx>
      <c:catAx>
        <c:axId val="704700935"/>
        <c:scaling>
          <c:orientation val="minMax"/>
        </c:scaling>
        <c:delete val="1"/>
        <c:axPos val="b"/>
        <c:majorTickMark val="out"/>
        <c:minorTickMark val="none"/>
        <c:tickLblPos val="nextTo"/>
        <c:crossAx val="7046855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MICRON JP / DUAL </a:t>
            </a:r>
            <a:r>
              <a:rPr lang="ko-KR" altLang="en-US"/>
              <a:t>검사시간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1.3166556945358773E-3"/>
                  <c:y val="6.89935064935065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58-4155-8325-AA6CA4AC9B01}"/>
                </c:ext>
              </c:extLst>
            </c:dLbl>
            <c:dLbl>
              <c:idx val="1"/>
              <c:layout>
                <c:manualLayout>
                  <c:x val="0"/>
                  <c:y val="5.88474025974027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58-4155-8325-AA6CA4AC9B01}"/>
                </c:ext>
              </c:extLst>
            </c:dLbl>
            <c:dLbl>
              <c:idx val="2"/>
              <c:layout>
                <c:manualLayout>
                  <c:x val="1.316655694535866E-3"/>
                  <c:y val="5.88474025974026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58-4155-8325-AA6CA4AC9B01}"/>
                </c:ext>
              </c:extLst>
            </c:dLbl>
            <c:dLbl>
              <c:idx val="3"/>
              <c:layout>
                <c:manualLayout>
                  <c:x val="-4.5058363250503941E-17"/>
                  <c:y val="6.49350649350650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58-4155-8325-AA6CA4AC9B01}"/>
                </c:ext>
              </c:extLst>
            </c:dLbl>
            <c:dLbl>
              <c:idx val="4"/>
              <c:layout>
                <c:manualLayout>
                  <c:x val="2.7646313770281315E-8"/>
                  <c:y val="5.68182457306474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D58-4155-8325-AA6CA4AC9B01}"/>
                </c:ext>
              </c:extLst>
            </c:dLbl>
            <c:dLbl>
              <c:idx val="5"/>
              <c:layout>
                <c:manualLayout>
                  <c:x val="1.3166556945359562E-3"/>
                  <c:y val="5.68181818181818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58-4155-8325-AA6CA4AC9B01}"/>
                </c:ext>
              </c:extLst>
            </c:dLbl>
            <c:dLbl>
              <c:idx val="6"/>
              <c:layout>
                <c:manualLayout>
                  <c:x val="1.3166556945360462E-3"/>
                  <c:y val="5.68181818181817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58-4155-8325-AA6CA4AC9B01}"/>
                </c:ext>
              </c:extLst>
            </c:dLbl>
            <c:dLbl>
              <c:idx val="7"/>
              <c:layout>
                <c:manualLayout>
                  <c:x val="1.3166556945357758E-3"/>
                  <c:y val="5.47889610389609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58-4155-8325-AA6CA4AC9B01}"/>
                </c:ext>
              </c:extLst>
            </c:dLbl>
            <c:dLbl>
              <c:idx val="8"/>
              <c:layout>
                <c:manualLayout>
                  <c:x val="-1.3166556945360462E-3"/>
                  <c:y val="5.47889610389610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D58-4155-8325-AA6CA4AC9B01}"/>
                </c:ext>
              </c:extLst>
            </c:dLbl>
            <c:dLbl>
              <c:idx val="9"/>
              <c:layout>
                <c:manualLayout>
                  <c:x val="9.0116726501007881E-17"/>
                  <c:y val="4.8701298701298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58-4155-8325-AA6CA4AC9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'월 고객사별 정리'!$C$7:$N$7</c:f>
              <c:numCache>
                <c:formatCode>0"대"</c:formatCode>
                <c:ptCount val="12"/>
                <c:pt idx="0">
                  <c:v>95</c:v>
                </c:pt>
                <c:pt idx="1">
                  <c:v>174</c:v>
                </c:pt>
                <c:pt idx="2">
                  <c:v>147</c:v>
                </c:pt>
                <c:pt idx="3">
                  <c:v>158</c:v>
                </c:pt>
                <c:pt idx="4">
                  <c:v>116</c:v>
                </c:pt>
                <c:pt idx="5">
                  <c:v>119</c:v>
                </c:pt>
                <c:pt idx="6">
                  <c:v>157</c:v>
                </c:pt>
                <c:pt idx="7">
                  <c:v>171</c:v>
                </c:pt>
                <c:pt idx="8">
                  <c:v>205</c:v>
                </c:pt>
                <c:pt idx="9">
                  <c:v>174</c:v>
                </c:pt>
                <c:pt idx="10">
                  <c:v>179</c:v>
                </c:pt>
                <c:pt idx="11">
                  <c:v>141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{"검사대수"}</c15:sqref>
                        </c15:formulaRef>
                      </c:ext>
                    </c:extLst>
                    <c:strCache>
                      <c:ptCount val="1"/>
                      <c:pt idx="0">
                        <c:v>검사대수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F68-40EE-9653-95E1422A1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690439"/>
        <c:axId val="284695047"/>
      </c:barChart>
      <c:barChart>
        <c:barDir val="col"/>
        <c:grouping val="clustered"/>
        <c:varyColors val="0"/>
        <c:ser>
          <c:idx val="2"/>
          <c:order val="2"/>
          <c:spPr>
            <a:solidFill>
              <a:srgbClr val="FF0000"/>
            </a:solidFill>
            <a:ln>
              <a:solidFill>
                <a:srgbClr val="FF0000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'월 고객사별 정리'!$C$18:$N$18</c:f>
              <c:numCache>
                <c:formatCode>0"대"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7</c:v>
                </c:pt>
                <c:pt idx="6">
                  <c:v>20</c:v>
                </c:pt>
                <c:pt idx="7">
                  <c:v>6</c:v>
                </c:pt>
                <c:pt idx="8">
                  <c:v>13</c:v>
                </c:pt>
                <c:pt idx="9">
                  <c:v>3</c:v>
                </c:pt>
                <c:pt idx="10">
                  <c:v>6</c:v>
                </c:pt>
                <c:pt idx="11">
                  <c:v>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{"MICRON 대수"}</c15:sqref>
                        </c15:formulaRef>
                      </c:ext>
                    </c:extLst>
                    <c:strCache>
                      <c:ptCount val="1"/>
                      <c:pt idx="0">
                        <c:v>MICRON 대수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F68-40EE-9653-95E1422A1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4700935"/>
        <c:axId val="704685575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6811932965857294E-2"/>
                  <c:y val="-3.61570112361987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4A9-4C76-8063-36060BFF8D08}"/>
                </c:ext>
              </c:extLst>
            </c:dLbl>
            <c:dLbl>
              <c:idx val="1"/>
              <c:layout>
                <c:manualLayout>
                  <c:x val="-1.8433179723502325E-2"/>
                  <c:y val="-3.2670454545454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6F1-449C-9210-D5B78A46A71A}"/>
                </c:ext>
              </c:extLst>
            </c:dLbl>
            <c:dLbl>
              <c:idx val="2"/>
              <c:layout>
                <c:manualLayout>
                  <c:x val="-2.3041474654377881E-2"/>
                  <c:y val="-2.55681818181818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6F1-449C-9210-D5B78A46A71A}"/>
                </c:ext>
              </c:extLst>
            </c:dLbl>
            <c:dLbl>
              <c:idx val="3"/>
              <c:layout>
                <c:manualLayout>
                  <c:x val="-2.5806451612903226E-2"/>
                  <c:y val="-3.8352272727272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6F1-449C-9210-D5B78A46A71A}"/>
                </c:ext>
              </c:extLst>
            </c:dLbl>
            <c:dLbl>
              <c:idx val="4"/>
              <c:layout>
                <c:manualLayout>
                  <c:x val="-2.3041474654377836E-2"/>
                  <c:y val="-2.84090909090909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6F1-449C-9210-D5B78A46A71A}"/>
                </c:ext>
              </c:extLst>
            </c:dLbl>
            <c:dLbl>
              <c:idx val="5"/>
              <c:layout>
                <c:manualLayout>
                  <c:x val="-2.2119815668202855E-2"/>
                  <c:y val="-2.69886363636363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F1-449C-9210-D5B78A46A71A}"/>
                </c:ext>
              </c:extLst>
            </c:dLbl>
            <c:dLbl>
              <c:idx val="6"/>
              <c:layout>
                <c:manualLayout>
                  <c:x val="-2.48847926267282E-2"/>
                  <c:y val="-2.41477272727272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6F1-449C-9210-D5B78A46A71A}"/>
                </c:ext>
              </c:extLst>
            </c:dLbl>
            <c:dLbl>
              <c:idx val="7"/>
              <c:layout>
                <c:manualLayout>
                  <c:x val="-2.2119815668202765E-2"/>
                  <c:y val="-3.1250000000000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6F1-449C-9210-D5B78A46A71A}"/>
                </c:ext>
              </c:extLst>
            </c:dLbl>
            <c:dLbl>
              <c:idx val="8"/>
              <c:layout>
                <c:manualLayout>
                  <c:x val="-2.3963133640553084E-2"/>
                  <c:y val="-2.98295454545454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F1-449C-9210-D5B78A46A7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'월 고객사별 정리'!$C$10:$N$10</c:f>
              <c:numCache>
                <c:formatCode>0_);[Red]\(0\)</c:formatCode>
                <c:ptCount val="12"/>
                <c:pt idx="0">
                  <c:v>133</c:v>
                </c:pt>
                <c:pt idx="1">
                  <c:v>118</c:v>
                </c:pt>
                <c:pt idx="2">
                  <c:v>120</c:v>
                </c:pt>
                <c:pt idx="3">
                  <c:v>115</c:v>
                </c:pt>
                <c:pt idx="4">
                  <c:v>130</c:v>
                </c:pt>
                <c:pt idx="5">
                  <c:v>136</c:v>
                </c:pt>
                <c:pt idx="6">
                  <c:v>146</c:v>
                </c:pt>
                <c:pt idx="7">
                  <c:v>135</c:v>
                </c:pt>
                <c:pt idx="8">
                  <c:v>140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{"검사시간"}</c15:sqref>
                        </c15:formulaRef>
                      </c:ext>
                    </c:extLst>
                    <c:strCache>
                      <c:ptCount val="1"/>
                      <c:pt idx="0">
                        <c:v>검사시간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B-BF68-40EE-9653-95E1422A1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700935"/>
        <c:axId val="704685575"/>
      </c:lineChart>
      <c:catAx>
        <c:axId val="2846904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695047"/>
        <c:crosses val="autoZero"/>
        <c:auto val="1"/>
        <c:lblAlgn val="ctr"/>
        <c:lblOffset val="100"/>
        <c:noMultiLvlLbl val="0"/>
      </c:catAx>
      <c:valAx>
        <c:axId val="284695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대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690439"/>
        <c:crosses val="autoZero"/>
        <c:crossBetween val="between"/>
      </c:valAx>
      <c:valAx>
        <c:axId val="704685575"/>
        <c:scaling>
          <c:orientation val="minMax"/>
        </c:scaling>
        <c:delete val="0"/>
        <c:axPos val="r"/>
        <c:numFmt formatCode="0&quot;분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700935"/>
        <c:crosses val="max"/>
        <c:crossBetween val="between"/>
      </c:valAx>
      <c:catAx>
        <c:axId val="704700935"/>
        <c:scaling>
          <c:orientation val="minMax"/>
        </c:scaling>
        <c:delete val="1"/>
        <c:axPos val="b"/>
        <c:majorTickMark val="out"/>
        <c:minorTickMark val="none"/>
        <c:tickLblPos val="nextTo"/>
        <c:crossAx val="7046855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MICRON </a:t>
            </a:r>
            <a:r>
              <a:rPr lang="ja-JP" altLang="en-US"/>
              <a:t>向 </a:t>
            </a:r>
            <a:r>
              <a:rPr lang="en-US" altLang="ja-JP"/>
              <a:t>/ </a:t>
            </a:r>
            <a:r>
              <a:rPr lang="en-US" altLang="ko-KR"/>
              <a:t>SINGLE </a:t>
            </a:r>
            <a:r>
              <a:rPr lang="ko-KR" altLang="en-US"/>
              <a:t>검사시간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1264590812625985E-17"/>
                  <c:y val="5.07305194805194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75-455E-A85B-B23481B07135}"/>
                </c:ext>
              </c:extLst>
            </c:dLbl>
            <c:dLbl>
              <c:idx val="1"/>
              <c:layout>
                <c:manualLayout>
                  <c:x val="-1.3166556945359111E-3"/>
                  <c:y val="5.27597402597403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D75-455E-A85B-B23481B07135}"/>
                </c:ext>
              </c:extLst>
            </c:dLbl>
            <c:dLbl>
              <c:idx val="2"/>
              <c:layout>
                <c:manualLayout>
                  <c:x val="-2.6333113890718222E-3"/>
                  <c:y val="4.66720779220780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75-455E-A85B-B23481B07135}"/>
                </c:ext>
              </c:extLst>
            </c:dLbl>
            <c:dLbl>
              <c:idx val="3"/>
              <c:layout>
                <c:manualLayout>
                  <c:x val="-4.5058363250503941E-17"/>
                  <c:y val="5.68181818181818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75-455E-A85B-B23481B07135}"/>
                </c:ext>
              </c:extLst>
            </c:dLbl>
            <c:dLbl>
              <c:idx val="4"/>
              <c:layout>
                <c:manualLayout>
                  <c:x val="0"/>
                  <c:y val="4.66720779220778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75-455E-A85B-B23481B07135}"/>
                </c:ext>
              </c:extLst>
            </c:dLbl>
            <c:dLbl>
              <c:idx val="5"/>
              <c:layout>
                <c:manualLayout>
                  <c:x val="1.3166556945359562E-3"/>
                  <c:y val="5.2759740259740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D75-455E-A85B-B23481B07135}"/>
                </c:ext>
              </c:extLst>
            </c:dLbl>
            <c:dLbl>
              <c:idx val="6"/>
              <c:layout>
                <c:manualLayout>
                  <c:x val="0"/>
                  <c:y val="5.27597402597401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75-455E-A85B-B23481B07135}"/>
                </c:ext>
              </c:extLst>
            </c:dLbl>
            <c:dLbl>
              <c:idx val="7"/>
              <c:layout>
                <c:manualLayout>
                  <c:x val="-1.3166556945357758E-3"/>
                  <c:y val="5.4788961038961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75-455E-A85B-B23481B07135}"/>
                </c:ext>
              </c:extLst>
            </c:dLbl>
            <c:dLbl>
              <c:idx val="8"/>
              <c:layout>
                <c:manualLayout>
                  <c:x val="2.6333113890718222E-3"/>
                  <c:y val="6.08766233766234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75-455E-A85B-B23481B071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'월 고객사별 정리'!$C$7:$N$7</c:f>
              <c:numCache>
                <c:formatCode>0"대"</c:formatCode>
                <c:ptCount val="12"/>
                <c:pt idx="0">
                  <c:v>95</c:v>
                </c:pt>
                <c:pt idx="1">
                  <c:v>174</c:v>
                </c:pt>
                <c:pt idx="2">
                  <c:v>147</c:v>
                </c:pt>
                <c:pt idx="3">
                  <c:v>158</c:v>
                </c:pt>
                <c:pt idx="4">
                  <c:v>116</c:v>
                </c:pt>
                <c:pt idx="5">
                  <c:v>119</c:v>
                </c:pt>
                <c:pt idx="6">
                  <c:v>157</c:v>
                </c:pt>
                <c:pt idx="7">
                  <c:v>171</c:v>
                </c:pt>
                <c:pt idx="8">
                  <c:v>205</c:v>
                </c:pt>
                <c:pt idx="9">
                  <c:v>174</c:v>
                </c:pt>
                <c:pt idx="10">
                  <c:v>179</c:v>
                </c:pt>
                <c:pt idx="11">
                  <c:v>141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{"검사대수"}</c15:sqref>
                        </c15:formulaRef>
                      </c:ext>
                    </c:extLst>
                    <c:strCache>
                      <c:ptCount val="1"/>
                      <c:pt idx="0">
                        <c:v>검사대수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9-1D75-455E-A85B-B23481B07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690439"/>
        <c:axId val="284695047"/>
      </c:barChart>
      <c:barChart>
        <c:barDir val="col"/>
        <c:grouping val="clustered"/>
        <c:varyColors val="0"/>
        <c:ser>
          <c:idx val="3"/>
          <c:order val="2"/>
          <c:spPr>
            <a:solidFill>
              <a:srgbClr val="7030A0"/>
            </a:solidFill>
            <a:ln>
              <a:solidFill>
                <a:srgbClr val="7030A0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'월 고객사별 정리'!$C$35:$N$35</c:f>
              <c:numCache>
                <c:formatCode>0"대"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8</c:v>
                </c:pt>
                <c:pt idx="5">
                  <c:v>16</c:v>
                </c:pt>
                <c:pt idx="6">
                  <c:v>38</c:v>
                </c:pt>
                <c:pt idx="7">
                  <c:v>22</c:v>
                </c:pt>
                <c:pt idx="8">
                  <c:v>27</c:v>
                </c:pt>
                <c:pt idx="9">
                  <c:v>16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{"MICRON 싱글대수"}</c15:sqref>
                        </c15:formulaRef>
                      </c:ext>
                    </c:extLst>
                    <c:strCache>
                      <c:ptCount val="1"/>
                      <c:pt idx="0">
                        <c:v>MICRON 싱글대수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B-1D75-455E-A85B-B23481B07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4700935"/>
        <c:axId val="704685575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9517473029343847E-2"/>
                  <c:y val="-2.84091523151851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75-455E-A85B-B23481B07135}"/>
                </c:ext>
              </c:extLst>
            </c:dLbl>
            <c:dLbl>
              <c:idx val="1"/>
              <c:layout>
                <c:manualLayout>
                  <c:x val="-2.1686071024803126E-2"/>
                  <c:y val="-2.84090909090909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D75-455E-A85B-B23481B07135}"/>
                </c:ext>
              </c:extLst>
            </c:dLbl>
            <c:dLbl>
              <c:idx val="2"/>
              <c:layout>
                <c:manualLayout>
                  <c:x val="-1.9517507180672713E-2"/>
                  <c:y val="-2.50668624643844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D75-455E-A85B-B23481B07135}"/>
                </c:ext>
              </c:extLst>
            </c:dLbl>
            <c:dLbl>
              <c:idx val="3"/>
              <c:layout>
                <c:manualLayout>
                  <c:x val="-2.0601834637843031E-2"/>
                  <c:y val="-3.1751354442994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D75-455E-A85B-B23481B07135}"/>
                </c:ext>
              </c:extLst>
            </c:dLbl>
            <c:dLbl>
              <c:idx val="4"/>
              <c:layout>
                <c:manualLayout>
                  <c:x val="-2.1686076716691371E-2"/>
                  <c:y val="-2.5066897553581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D75-455E-A85B-B23481B07135}"/>
                </c:ext>
              </c:extLst>
            </c:dLbl>
            <c:dLbl>
              <c:idx val="5"/>
              <c:layout>
                <c:manualLayout>
                  <c:x val="-2.60233068589386E-2"/>
                  <c:y val="-3.00802489929400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D75-455E-A85B-B23481B07135}"/>
                </c:ext>
              </c:extLst>
            </c:dLbl>
            <c:dLbl>
              <c:idx val="6"/>
              <c:layout>
                <c:manualLayout>
                  <c:x val="-2.3854737322919938E-2"/>
                  <c:y val="-2.00534759358288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D75-455E-A85B-B23481B07135}"/>
                </c:ext>
              </c:extLst>
            </c:dLbl>
            <c:dLbl>
              <c:idx val="7"/>
              <c:layout>
                <c:manualLayout>
                  <c:x val="-2.0601789102738056E-2"/>
                  <c:y val="-2.33957219251337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D75-455E-A85B-B23481B07135}"/>
                </c:ext>
              </c:extLst>
            </c:dLbl>
            <c:dLbl>
              <c:idx val="8"/>
              <c:layout>
                <c:manualLayout>
                  <c:x val="-2.2770370022532849E-2"/>
                  <c:y val="-2.0053432074332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D75-455E-A85B-B23481B071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'월 고객사별 정리'!$C$9:$N$9</c:f>
              <c:numCache>
                <c:formatCode>0_);[Red]\(0\)</c:formatCode>
                <c:ptCount val="12"/>
                <c:pt idx="0">
                  <c:v>95</c:v>
                </c:pt>
                <c:pt idx="1">
                  <c:v>92</c:v>
                </c:pt>
                <c:pt idx="2">
                  <c:v>96</c:v>
                </c:pt>
                <c:pt idx="3">
                  <c:v>88</c:v>
                </c:pt>
                <c:pt idx="4">
                  <c:v>104</c:v>
                </c:pt>
                <c:pt idx="5">
                  <c:v>106</c:v>
                </c:pt>
                <c:pt idx="6">
                  <c:v>117</c:v>
                </c:pt>
                <c:pt idx="7">
                  <c:v>109</c:v>
                </c:pt>
                <c:pt idx="8">
                  <c:v>104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{"검사시간"}</c15:sqref>
                        </c15:formulaRef>
                      </c:ext>
                    </c:extLst>
                    <c:strCache>
                      <c:ptCount val="1"/>
                      <c:pt idx="0">
                        <c:v>검사시간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5-1D75-455E-A85B-B23481B07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700935"/>
        <c:axId val="704685575"/>
      </c:lineChart>
      <c:catAx>
        <c:axId val="2846904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695047"/>
        <c:crosses val="autoZero"/>
        <c:auto val="1"/>
        <c:lblAlgn val="ctr"/>
        <c:lblOffset val="100"/>
        <c:noMultiLvlLbl val="0"/>
      </c:catAx>
      <c:valAx>
        <c:axId val="284695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대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690439"/>
        <c:crosses val="autoZero"/>
        <c:crossBetween val="between"/>
      </c:valAx>
      <c:valAx>
        <c:axId val="704685575"/>
        <c:scaling>
          <c:orientation val="minMax"/>
          <c:max val="120"/>
        </c:scaling>
        <c:delete val="0"/>
        <c:axPos val="r"/>
        <c:numFmt formatCode="0&quot;분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700935"/>
        <c:crosses val="max"/>
        <c:crossBetween val="between"/>
      </c:valAx>
      <c:catAx>
        <c:axId val="704700935"/>
        <c:scaling>
          <c:orientation val="minMax"/>
        </c:scaling>
        <c:delete val="1"/>
        <c:axPos val="b"/>
        <c:majorTickMark val="out"/>
        <c:minorTickMark val="none"/>
        <c:tickLblPos val="nextTo"/>
        <c:crossAx val="7046855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colors6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colors7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9525</xdr:colOff>
      <xdr:row>27</xdr:row>
      <xdr:rowOff>9525</xdr:rowOff>
    </xdr:from>
    <xdr:ext cx="3609975" cy="1514475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4150" y="8467725"/>
          <a:ext cx="3609975" cy="1514475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oneCellAnchor>
  <xdr:oneCellAnchor>
    <xdr:from>
      <xdr:col>12</xdr:col>
      <xdr:colOff>9525</xdr:colOff>
      <xdr:row>27</xdr:row>
      <xdr:rowOff>9525</xdr:rowOff>
    </xdr:from>
    <xdr:ext cx="2076450" cy="1514475"/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63175" y="8467725"/>
          <a:ext cx="2076450" cy="1514475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oneCellAnchor>
  <xdr:twoCellAnchor editAs="oneCell">
    <xdr:from>
      <xdr:col>1</xdr:col>
      <xdr:colOff>0</xdr:colOff>
      <xdr:row>32</xdr:row>
      <xdr:rowOff>9525</xdr:rowOff>
    </xdr:from>
    <xdr:to>
      <xdr:col>6</xdr:col>
      <xdr:colOff>0</xdr:colOff>
      <xdr:row>32</xdr:row>
      <xdr:rowOff>2781300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EC54F13-D6E3-4CF7-6788-40B66B7D905A}"/>
            </a:ext>
            <a:ext uri="{147F2762-F138-4A5C-976F-8EAC2B608ADB}">
              <a16:predDERef xmlns:a16="http://schemas.microsoft.com/office/drawing/2014/main" pre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4325" y="10677525"/>
          <a:ext cx="4857750" cy="27717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1009650</xdr:colOff>
      <xdr:row>0</xdr:row>
      <xdr:rowOff>-952500</xdr:rowOff>
    </xdr:from>
    <xdr:to>
      <xdr:col>1</xdr:col>
      <xdr:colOff>1009650</xdr:colOff>
      <xdr:row>0</xdr:row>
      <xdr:rowOff>-952500</xdr:rowOff>
    </xdr:to>
    <xdr:graphicFrame macro="">
      <xdr:nvGraphicFramePr>
        <xdr:cNvPr id="2" name="차트 3">
          <a:extLst>
            <a:ext uri="{FF2B5EF4-FFF2-40B4-BE49-F238E27FC236}">
              <a16:creationId xmlns:a16="http://schemas.microsoft.com/office/drawing/2014/main" id="{04DCF25E-AC03-475E-8386-91FD2ED66E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304800</xdr:colOff>
      <xdr:row>0</xdr:row>
      <xdr:rowOff>-2838450</xdr:rowOff>
    </xdr:from>
    <xdr:to>
      <xdr:col>1</xdr:col>
      <xdr:colOff>304800</xdr:colOff>
      <xdr:row>0</xdr:row>
      <xdr:rowOff>-2838450</xdr:rowOff>
    </xdr:to>
    <xdr:graphicFrame macro="">
      <xdr:nvGraphicFramePr>
        <xdr:cNvPr id="6" name="차트 2">
          <a:extLst>
            <a:ext uri="{FF2B5EF4-FFF2-40B4-BE49-F238E27FC236}">
              <a16:creationId xmlns:a16="http://schemas.microsoft.com/office/drawing/2014/main" id="{F1D52C80-AA97-444A-9D09-C92436A732DF}"/>
            </a:ext>
            <a:ext uri="{147F2762-F138-4A5C-976F-8EAC2B608ADB}">
              <a16:predDERef xmlns:a16="http://schemas.microsoft.com/office/drawing/2014/main" pred="{04DCF25E-AC03-475E-8386-91FD2ED66E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28</xdr:row>
      <xdr:rowOff>35299</xdr:rowOff>
    </xdr:from>
    <xdr:to>
      <xdr:col>15</xdr:col>
      <xdr:colOff>939054</xdr:colOff>
      <xdr:row>40</xdr:row>
      <xdr:rowOff>214593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142875</xdr:rowOff>
    </xdr:from>
    <xdr:to>
      <xdr:col>16</xdr:col>
      <xdr:colOff>600075</xdr:colOff>
      <xdr:row>13</xdr:row>
      <xdr:rowOff>3114675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DDB4CA33-A105-A963-B8DC-E291AC56A7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590550</xdr:colOff>
      <xdr:row>1</xdr:row>
      <xdr:rowOff>0</xdr:rowOff>
    </xdr:from>
    <xdr:to>
      <xdr:col>33</xdr:col>
      <xdr:colOff>561975</xdr:colOff>
      <xdr:row>24</xdr:row>
      <xdr:rowOff>219075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BDDB60F-6858-53E1-6227-0CBA5DEA20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33</xdr:col>
      <xdr:colOff>581025</xdr:colOff>
      <xdr:row>53</xdr:row>
      <xdr:rowOff>85725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2F63FAC-5F20-4073-B9B1-99EE9198BB0D}"/>
            </a:ext>
            <a:ext uri="{147F2762-F138-4A5C-976F-8EAC2B608ADB}">
              <a16:predDERef xmlns:a16="http://schemas.microsoft.com/office/drawing/2014/main" pred="{2BDDB60F-6858-53E1-6227-0CBA5DEA20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19050</xdr:colOff>
      <xdr:row>1</xdr:row>
      <xdr:rowOff>19050</xdr:rowOff>
    </xdr:from>
    <xdr:to>
      <xdr:col>50</xdr:col>
      <xdr:colOff>600075</xdr:colOff>
      <xdr:row>24</xdr:row>
      <xdr:rowOff>238125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347793FA-AB5F-4F61-8D0B-561517AF49C8}"/>
            </a:ext>
            <a:ext uri="{147F2762-F138-4A5C-976F-8EAC2B608ADB}">
              <a16:predDERef xmlns:a16="http://schemas.microsoft.com/office/drawing/2014/main" pred="{D2F63FAC-5F20-4073-B9B1-99EE9198BB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3.%20&#44032;&#50517;\&#44032;&#50517;%20&#53685;&#54633;%20&#45936;&#51060;&#53552;Sheet%206.1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가압 분석"/>
      <sheetName val="가압 날짜별 실적"/>
      <sheetName val="가압 1월"/>
      <sheetName val="가압 2월"/>
      <sheetName val="가압 3월"/>
      <sheetName val="가압 4월 "/>
      <sheetName val="가압 5월"/>
      <sheetName val="가압 6월)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K1">
            <v>45819</v>
          </cell>
          <cell r="M1">
            <v>36373</v>
          </cell>
          <cell r="N1">
            <v>55153</v>
          </cell>
          <cell r="W1"/>
          <cell r="X1"/>
        </row>
        <row r="2">
          <cell r="K2" t="str">
            <v>4월 계획(Mon)</v>
          </cell>
          <cell r="L2">
            <v>171</v>
          </cell>
          <cell r="M2" t="str">
            <v>완료 수량</v>
          </cell>
          <cell r="N2">
            <v>90</v>
          </cell>
          <cell r="O2" t="str">
            <v>진행률(%)</v>
          </cell>
          <cell r="P2">
            <v>0.52631578947368418</v>
          </cell>
          <cell r="Q2" t="str">
            <v>공정</v>
          </cell>
          <cell r="R2" t="str">
            <v>기구/전장</v>
          </cell>
          <cell r="S2" t="str">
            <v>가압 공정</v>
          </cell>
          <cell r="T2" t="str">
            <v>가동 공정</v>
          </cell>
          <cell r="U2" t="str">
            <v>TEST 공정</v>
          </cell>
          <cell r="V2" t="str">
            <v>마무리 공정</v>
          </cell>
          <cell r="W2" t="str">
            <v>실적 마감(ERP)</v>
          </cell>
          <cell r="X2"/>
        </row>
        <row r="3">
          <cell r="K3">
            <v>4</v>
          </cell>
          <cell r="L3">
            <v>14</v>
          </cell>
          <cell r="M3">
            <v>15</v>
          </cell>
          <cell r="N3">
            <v>16</v>
          </cell>
          <cell r="O3">
            <v>17</v>
          </cell>
          <cell r="P3">
            <v>18</v>
          </cell>
          <cell r="Q3" t="str">
            <v>계획 수량(대)</v>
          </cell>
          <cell r="R3">
            <v>171</v>
          </cell>
          <cell r="S3">
            <v>171</v>
          </cell>
          <cell r="T3">
            <v>171</v>
          </cell>
          <cell r="U3">
            <v>171</v>
          </cell>
          <cell r="V3">
            <v>171</v>
          </cell>
          <cell r="W3">
            <v>171</v>
          </cell>
          <cell r="X3"/>
        </row>
        <row r="4">
          <cell r="K4" t="str">
            <v>계획 수량(대)</v>
          </cell>
          <cell r="L4">
            <v>30</v>
          </cell>
          <cell r="M4">
            <v>43</v>
          </cell>
          <cell r="N4">
            <v>45</v>
          </cell>
          <cell r="O4">
            <v>38</v>
          </cell>
          <cell r="P4">
            <v>15</v>
          </cell>
          <cell r="Q4" t="str">
            <v>재공 수량(대)</v>
          </cell>
          <cell r="R4">
            <v>50</v>
          </cell>
          <cell r="S4">
            <v>16</v>
          </cell>
          <cell r="T4">
            <v>7</v>
          </cell>
          <cell r="U4">
            <v>21</v>
          </cell>
          <cell r="V4">
            <v>4</v>
          </cell>
          <cell r="W4">
            <v>93</v>
          </cell>
          <cell r="X4"/>
        </row>
        <row r="5">
          <cell r="K5" t="str">
            <v>완료 수량(대)</v>
          </cell>
          <cell r="L5">
            <v>25</v>
          </cell>
          <cell r="M5">
            <v>37</v>
          </cell>
          <cell r="N5">
            <v>28</v>
          </cell>
          <cell r="O5">
            <v>0</v>
          </cell>
          <cell r="P5">
            <v>0</v>
          </cell>
          <cell r="Q5" t="str">
            <v>완료 수량(대)</v>
          </cell>
          <cell r="R5">
            <v>138</v>
          </cell>
          <cell r="S5">
            <v>122</v>
          </cell>
          <cell r="T5">
            <v>115</v>
          </cell>
          <cell r="U5">
            <v>94</v>
          </cell>
          <cell r="V5">
            <v>90</v>
          </cell>
          <cell r="W5">
            <v>78</v>
          </cell>
          <cell r="X5"/>
        </row>
        <row r="6">
          <cell r="K6" t="str">
            <v>진행률(%)</v>
          </cell>
          <cell r="L6">
            <v>0.83333333333333337</v>
          </cell>
          <cell r="M6">
            <v>0.86046511627906974</v>
          </cell>
          <cell r="N6">
            <v>0.62222222222222223</v>
          </cell>
          <cell r="O6">
            <v>0</v>
          </cell>
          <cell r="P6">
            <v>0</v>
          </cell>
          <cell r="Q6" t="str">
            <v>진행률(%)</v>
          </cell>
          <cell r="R6">
            <v>0.80701754385964908</v>
          </cell>
          <cell r="S6">
            <v>0.71345029239766078</v>
          </cell>
          <cell r="T6">
            <v>0.67251461988304095</v>
          </cell>
          <cell r="U6">
            <v>0.54970760233918126</v>
          </cell>
          <cell r="V6">
            <v>0.52631578947368418</v>
          </cell>
          <cell r="W6">
            <v>0.45614035087719296</v>
          </cell>
          <cell r="X6"/>
        </row>
        <row r="7">
          <cell r="O7"/>
          <cell r="P7"/>
          <cell r="Q7"/>
          <cell r="R7"/>
          <cell r="S7"/>
          <cell r="T7"/>
          <cell r="U7"/>
          <cell r="V7"/>
        </row>
        <row r="8">
          <cell r="O8"/>
          <cell r="P8"/>
          <cell r="Q8"/>
          <cell r="R8"/>
          <cell r="S8"/>
          <cell r="T8"/>
          <cell r="U8"/>
          <cell r="V8"/>
        </row>
        <row r="9">
          <cell r="K9" t="str">
            <v>제품S/N</v>
          </cell>
          <cell r="L9" t="str">
            <v>공정진행현황</v>
          </cell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 t="str">
            <v>품번</v>
          </cell>
        </row>
        <row r="10">
          <cell r="K10"/>
          <cell r="L10" t="str">
            <v>CABINET입고</v>
          </cell>
          <cell r="M10" t="str">
            <v>기구 작업 SAP 실적</v>
          </cell>
          <cell r="N10"/>
          <cell r="O10" t="str">
            <v>전장 작업 SAP 실적</v>
          </cell>
          <cell r="P10"/>
          <cell r="Q10" t="str">
            <v>기구 완료 계획</v>
          </cell>
          <cell r="R10" t="str">
            <v>전장 완료 계획</v>
          </cell>
          <cell r="S10" t="str">
            <v>가압 &amp; 가동 &amp; 공정 검사</v>
          </cell>
          <cell r="T10"/>
          <cell r="U10"/>
          <cell r="V10" t="str">
            <v>마무리</v>
          </cell>
          <cell r="W10"/>
          <cell r="X10"/>
        </row>
        <row r="11">
          <cell r="K11"/>
          <cell r="L11"/>
          <cell r="M11"/>
          <cell r="N11"/>
          <cell r="O11"/>
          <cell r="P11"/>
          <cell r="Q11"/>
          <cell r="R11"/>
          <cell r="S11"/>
          <cell r="T11"/>
          <cell r="U11"/>
          <cell r="V11"/>
          <cell r="W11"/>
          <cell r="X11"/>
        </row>
        <row r="12">
          <cell r="K12"/>
          <cell r="L12"/>
          <cell r="M12" t="str">
            <v>시작일자</v>
          </cell>
          <cell r="N12" t="str">
            <v>종료일자</v>
          </cell>
          <cell r="O12" t="str">
            <v>시작일자</v>
          </cell>
          <cell r="P12" t="str">
            <v>종료일자</v>
          </cell>
          <cell r="Q12"/>
          <cell r="R12"/>
          <cell r="S12" t="str">
            <v>종료일자</v>
          </cell>
          <cell r="T12" t="str">
            <v>종료일자</v>
          </cell>
          <cell r="U12" t="str">
            <v>종료일자</v>
          </cell>
          <cell r="V12" t="str">
            <v>시작일자</v>
          </cell>
          <cell r="W12" t="str">
            <v>종료일자</v>
          </cell>
          <cell r="X12"/>
        </row>
        <row r="13">
          <cell r="K13" t="str">
            <v>GPWS-0055</v>
          </cell>
          <cell r="L13">
            <v>43082</v>
          </cell>
          <cell r="M13" t="str">
            <v>-</v>
          </cell>
          <cell r="N13" t="str">
            <v>-</v>
          </cell>
          <cell r="O13">
            <v>43084</v>
          </cell>
          <cell r="P13">
            <v>43091</v>
          </cell>
          <cell r="Q13"/>
          <cell r="R13"/>
          <cell r="S13"/>
          <cell r="T13">
            <v>43097</v>
          </cell>
          <cell r="U13">
            <v>43097</v>
          </cell>
          <cell r="V13">
            <v>43097</v>
          </cell>
          <cell r="W13">
            <v>43097</v>
          </cell>
          <cell r="X13" t="str">
            <v>41000383 → 
41100225</v>
          </cell>
        </row>
        <row r="14">
          <cell r="K14"/>
          <cell r="L14"/>
          <cell r="M14">
            <v>44183</v>
          </cell>
          <cell r="N14">
            <v>44194</v>
          </cell>
          <cell r="O14">
            <v>44183</v>
          </cell>
          <cell r="P14">
            <v>0.9</v>
          </cell>
          <cell r="Q14"/>
          <cell r="R14"/>
          <cell r="S14"/>
          <cell r="T14">
            <v>44194</v>
          </cell>
          <cell r="U14">
            <v>44195</v>
          </cell>
          <cell r="V14">
            <v>44195</v>
          </cell>
          <cell r="W14">
            <v>44195</v>
          </cell>
          <cell r="X14"/>
        </row>
        <row r="15">
          <cell r="K15" t="str">
            <v>GPWS-0056</v>
          </cell>
          <cell r="L15">
            <v>43082</v>
          </cell>
          <cell r="M15" t="str">
            <v>-</v>
          </cell>
          <cell r="N15" t="str">
            <v>-</v>
          </cell>
          <cell r="O15">
            <v>43084</v>
          </cell>
          <cell r="P15">
            <v>43091</v>
          </cell>
          <cell r="Q15"/>
          <cell r="R15"/>
          <cell r="S15"/>
          <cell r="T15">
            <v>43097</v>
          </cell>
          <cell r="U15">
            <v>43097</v>
          </cell>
          <cell r="V15">
            <v>43097</v>
          </cell>
          <cell r="W15">
            <v>43097</v>
          </cell>
          <cell r="X15" t="str">
            <v>41000383 → 
41100225</v>
          </cell>
        </row>
        <row r="16">
          <cell r="K16"/>
          <cell r="L16"/>
          <cell r="M16">
            <v>44183</v>
          </cell>
          <cell r="N16">
            <v>44194</v>
          </cell>
          <cell r="O16">
            <v>44183</v>
          </cell>
          <cell r="P16">
            <v>0.9</v>
          </cell>
          <cell r="Q16"/>
          <cell r="R16"/>
          <cell r="S16"/>
          <cell r="T16">
            <v>44194</v>
          </cell>
          <cell r="U16">
            <v>44195</v>
          </cell>
          <cell r="V16">
            <v>44195</v>
          </cell>
          <cell r="W16">
            <v>44195</v>
          </cell>
          <cell r="X16"/>
        </row>
        <row r="17">
          <cell r="K17" t="str">
            <v>DBW-1958</v>
          </cell>
          <cell r="L17">
            <v>44179</v>
          </cell>
          <cell r="M17">
            <v>44180</v>
          </cell>
          <cell r="N17">
            <v>44188</v>
          </cell>
          <cell r="O17">
            <v>44180</v>
          </cell>
          <cell r="P17">
            <v>44188</v>
          </cell>
          <cell r="Q17"/>
          <cell r="R17"/>
          <cell r="S17"/>
          <cell r="T17">
            <v>44193</v>
          </cell>
          <cell r="U17">
            <v>44193</v>
          </cell>
          <cell r="V17">
            <v>44195</v>
          </cell>
          <cell r="W17">
            <v>44195</v>
          </cell>
          <cell r="X17">
            <v>41100258</v>
          </cell>
        </row>
        <row r="18">
          <cell r="K18" t="str">
            <v>IVAS-072</v>
          </cell>
          <cell r="L18">
            <v>44179</v>
          </cell>
          <cell r="M18">
            <v>44180</v>
          </cell>
          <cell r="N18">
            <v>44195</v>
          </cell>
          <cell r="O18">
            <v>44180</v>
          </cell>
          <cell r="P18">
            <v>44195</v>
          </cell>
          <cell r="Q18"/>
          <cell r="R18"/>
          <cell r="S18"/>
          <cell r="T18">
            <v>44194</v>
          </cell>
          <cell r="U18">
            <v>44202</v>
          </cell>
          <cell r="V18">
            <v>44202</v>
          </cell>
          <cell r="W18">
            <v>44202</v>
          </cell>
          <cell r="X18">
            <v>41100274</v>
          </cell>
        </row>
        <row r="19">
          <cell r="K19" t="str">
            <v>MMD-0003~0011</v>
          </cell>
          <cell r="L19">
            <v>44182</v>
          </cell>
          <cell r="M19">
            <v>44183</v>
          </cell>
          <cell r="N19">
            <v>44186</v>
          </cell>
          <cell r="O19">
            <v>44183</v>
          </cell>
          <cell r="P19">
            <v>44188</v>
          </cell>
          <cell r="Q19"/>
          <cell r="R19"/>
          <cell r="S19"/>
          <cell r="T19">
            <v>44196</v>
          </cell>
          <cell r="U19">
            <v>44201</v>
          </cell>
          <cell r="V19">
            <v>44202</v>
          </cell>
          <cell r="W19">
            <v>44203</v>
          </cell>
          <cell r="X19" t="str">
            <v>31101118 → 31101262</v>
          </cell>
        </row>
        <row r="20">
          <cell r="K20" t="str">
            <v>DBW-1959</v>
          </cell>
          <cell r="L20">
            <v>44179</v>
          </cell>
          <cell r="M20">
            <v>44180</v>
          </cell>
          <cell r="N20">
            <v>44188</v>
          </cell>
          <cell r="O20">
            <v>44180</v>
          </cell>
          <cell r="P20">
            <v>44188</v>
          </cell>
          <cell r="Q20"/>
          <cell r="R20"/>
          <cell r="S20"/>
          <cell r="T20">
            <v>44189</v>
          </cell>
          <cell r="U20">
            <v>44204</v>
          </cell>
          <cell r="V20">
            <v>44204</v>
          </cell>
          <cell r="W20">
            <v>44204</v>
          </cell>
          <cell r="X20" t="str">
            <v>41100258 → 41100291</v>
          </cell>
        </row>
        <row r="21">
          <cell r="K21" t="str">
            <v>GBWS-0842</v>
          </cell>
          <cell r="L21">
            <v>44182</v>
          </cell>
          <cell r="M21">
            <v>44183</v>
          </cell>
          <cell r="N21">
            <v>44201</v>
          </cell>
          <cell r="O21">
            <v>44183</v>
          </cell>
          <cell r="P21">
            <v>44201</v>
          </cell>
          <cell r="Q21"/>
          <cell r="R21"/>
          <cell r="S21"/>
          <cell r="T21">
            <v>44202</v>
          </cell>
          <cell r="U21">
            <v>44203</v>
          </cell>
          <cell r="V21">
            <v>44204</v>
          </cell>
          <cell r="W21">
            <v>44207</v>
          </cell>
          <cell r="X21">
            <v>41000209</v>
          </cell>
        </row>
        <row r="22">
          <cell r="K22" t="str">
            <v>GBWS-0851</v>
          </cell>
          <cell r="L22">
            <v>44188</v>
          </cell>
          <cell r="M22">
            <v>44189</v>
          </cell>
          <cell r="N22">
            <v>43835</v>
          </cell>
          <cell r="O22">
            <v>44189</v>
          </cell>
          <cell r="P22">
            <v>44194</v>
          </cell>
          <cell r="Q22"/>
          <cell r="R22"/>
          <cell r="S22"/>
          <cell r="T22">
            <v>44201</v>
          </cell>
          <cell r="U22">
            <v>44203</v>
          </cell>
          <cell r="V22">
            <v>44203</v>
          </cell>
          <cell r="W22">
            <v>44203</v>
          </cell>
          <cell r="X22">
            <v>41100189</v>
          </cell>
        </row>
        <row r="23">
          <cell r="K23"/>
          <cell r="L23">
            <v>44195</v>
          </cell>
          <cell r="M23">
            <v>44195</v>
          </cell>
          <cell r="N23">
            <v>44203</v>
          </cell>
          <cell r="O23">
            <v>44195</v>
          </cell>
          <cell r="P23">
            <v>44207</v>
          </cell>
          <cell r="Q23"/>
          <cell r="R23"/>
          <cell r="S23"/>
          <cell r="T23">
            <v>44204</v>
          </cell>
          <cell r="U23">
            <v>44207</v>
          </cell>
          <cell r="V23">
            <v>44207</v>
          </cell>
          <cell r="W23">
            <v>44208</v>
          </cell>
          <cell r="X23">
            <v>31101270</v>
          </cell>
        </row>
        <row r="24">
          <cell r="K24" t="str">
            <v>DBW-1904</v>
          </cell>
          <cell r="L24">
            <v>44131</v>
          </cell>
          <cell r="M24">
            <v>44132</v>
          </cell>
          <cell r="N24">
            <v>44139</v>
          </cell>
          <cell r="O24">
            <v>44132</v>
          </cell>
          <cell r="P24">
            <v>44140</v>
          </cell>
          <cell r="Q24"/>
          <cell r="R24"/>
          <cell r="S24"/>
          <cell r="T24">
            <v>44141</v>
          </cell>
          <cell r="U24">
            <v>44151</v>
          </cell>
          <cell r="V24">
            <v>44152</v>
          </cell>
          <cell r="W24">
            <v>44152</v>
          </cell>
          <cell r="X24">
            <v>41100174</v>
          </cell>
        </row>
        <row r="25">
          <cell r="K25" t="str">
            <v>DBW-1905</v>
          </cell>
          <cell r="L25">
            <v>44131</v>
          </cell>
          <cell r="M25">
            <v>44132</v>
          </cell>
          <cell r="N25">
            <v>44139</v>
          </cell>
          <cell r="O25">
            <v>44132</v>
          </cell>
          <cell r="P25">
            <v>44140</v>
          </cell>
          <cell r="Q25"/>
          <cell r="R25"/>
          <cell r="S25"/>
          <cell r="T25">
            <v>44141</v>
          </cell>
          <cell r="U25">
            <v>44152</v>
          </cell>
          <cell r="V25">
            <v>44153</v>
          </cell>
          <cell r="W25">
            <v>44153</v>
          </cell>
          <cell r="X25">
            <v>41100174</v>
          </cell>
        </row>
        <row r="26">
          <cell r="K26" t="str">
            <v>DBW-1912</v>
          </cell>
          <cell r="L26">
            <v>44139</v>
          </cell>
          <cell r="M26">
            <v>44140</v>
          </cell>
          <cell r="N26">
            <v>44148</v>
          </cell>
          <cell r="O26">
            <v>44140</v>
          </cell>
          <cell r="P26">
            <v>44148</v>
          </cell>
          <cell r="Q26"/>
          <cell r="R26"/>
          <cell r="S26"/>
          <cell r="T26">
            <v>44149</v>
          </cell>
          <cell r="U26">
            <v>44154</v>
          </cell>
          <cell r="V26">
            <v>44155</v>
          </cell>
          <cell r="W26">
            <v>44155</v>
          </cell>
          <cell r="X26">
            <v>41100170</v>
          </cell>
        </row>
        <row r="27">
          <cell r="K27" t="str">
            <v>DBW-1913</v>
          </cell>
          <cell r="L27">
            <v>44139</v>
          </cell>
          <cell r="M27">
            <v>44140</v>
          </cell>
          <cell r="N27">
            <v>44148</v>
          </cell>
          <cell r="O27">
            <v>44140</v>
          </cell>
          <cell r="P27">
            <v>44148</v>
          </cell>
          <cell r="Q27"/>
          <cell r="R27"/>
          <cell r="S27"/>
          <cell r="T27">
            <v>44149</v>
          </cell>
          <cell r="U27">
            <v>44154</v>
          </cell>
          <cell r="V27">
            <v>44155</v>
          </cell>
          <cell r="W27">
            <v>44158</v>
          </cell>
          <cell r="X27">
            <v>41100170</v>
          </cell>
        </row>
        <row r="28">
          <cell r="K28" t="str">
            <v>DBW-1932</v>
          </cell>
          <cell r="L28">
            <v>44152</v>
          </cell>
          <cell r="M28">
            <v>44153</v>
          </cell>
          <cell r="N28">
            <v>44161</v>
          </cell>
          <cell r="O28">
            <v>44153</v>
          </cell>
          <cell r="P28">
            <v>44159</v>
          </cell>
          <cell r="Q28"/>
          <cell r="R28"/>
          <cell r="S28"/>
          <cell r="T28">
            <v>44162</v>
          </cell>
          <cell r="U28">
            <v>44169</v>
          </cell>
          <cell r="V28">
            <v>44172</v>
          </cell>
          <cell r="W28">
            <v>44172</v>
          </cell>
          <cell r="X28">
            <v>41100169</v>
          </cell>
        </row>
        <row r="29">
          <cell r="K29" t="str">
            <v>DBW-1933</v>
          </cell>
          <cell r="L29">
            <v>44152</v>
          </cell>
          <cell r="M29">
            <v>44153</v>
          </cell>
          <cell r="N29">
            <v>44161</v>
          </cell>
          <cell r="O29">
            <v>44153</v>
          </cell>
          <cell r="P29">
            <v>44159</v>
          </cell>
          <cell r="Q29"/>
          <cell r="R29"/>
          <cell r="S29"/>
          <cell r="T29">
            <v>44162</v>
          </cell>
          <cell r="U29">
            <v>44165</v>
          </cell>
          <cell r="V29">
            <v>44166</v>
          </cell>
          <cell r="W29">
            <v>44166</v>
          </cell>
          <cell r="X29">
            <v>41100169</v>
          </cell>
        </row>
        <row r="30">
          <cell r="K30" t="str">
            <v>DBW-1955</v>
          </cell>
          <cell r="L30">
            <v>44179</v>
          </cell>
          <cell r="M30">
            <v>44180</v>
          </cell>
          <cell r="N30">
            <v>44186</v>
          </cell>
          <cell r="O30">
            <v>44180</v>
          </cell>
          <cell r="P30">
            <v>44183</v>
          </cell>
          <cell r="Q30"/>
          <cell r="R30"/>
          <cell r="S30"/>
          <cell r="T30">
            <v>44188</v>
          </cell>
          <cell r="U30">
            <v>44193</v>
          </cell>
          <cell r="V30">
            <v>44194</v>
          </cell>
          <cell r="W30">
            <v>44194</v>
          </cell>
          <cell r="X30">
            <v>41100175</v>
          </cell>
        </row>
        <row r="31">
          <cell r="K31" t="str">
            <v>DBW-1961</v>
          </cell>
          <cell r="L31">
            <v>44182</v>
          </cell>
          <cell r="M31">
            <v>44182</v>
          </cell>
          <cell r="N31">
            <v>44188</v>
          </cell>
          <cell r="O31">
            <v>44182</v>
          </cell>
          <cell r="P31">
            <v>44188</v>
          </cell>
          <cell r="Q31"/>
          <cell r="R31"/>
          <cell r="S31"/>
          <cell r="T31">
            <v>44193</v>
          </cell>
          <cell r="U31">
            <v>44193</v>
          </cell>
          <cell r="V31">
            <v>44194</v>
          </cell>
          <cell r="W31">
            <v>44194</v>
          </cell>
          <cell r="X31" t="str">
            <v>41100172 → 41100173</v>
          </cell>
        </row>
        <row r="32">
          <cell r="K32" t="str">
            <v>DBW-1962</v>
          </cell>
          <cell r="L32">
            <v>44182</v>
          </cell>
          <cell r="M32">
            <v>44182</v>
          </cell>
          <cell r="N32">
            <v>44188</v>
          </cell>
          <cell r="O32">
            <v>44182</v>
          </cell>
          <cell r="P32">
            <v>44188</v>
          </cell>
          <cell r="Q32"/>
          <cell r="R32"/>
          <cell r="S32"/>
          <cell r="T32">
            <v>44189</v>
          </cell>
          <cell r="U32">
            <v>44193</v>
          </cell>
          <cell r="V32">
            <v>44194</v>
          </cell>
          <cell r="W32">
            <v>44194</v>
          </cell>
          <cell r="X32" t="str">
            <v>41100172 → 41100173</v>
          </cell>
        </row>
        <row r="33">
          <cell r="K33" t="str">
            <v>DBW-1965</v>
          </cell>
          <cell r="L33">
            <v>44182</v>
          </cell>
          <cell r="M33">
            <v>44182</v>
          </cell>
          <cell r="N33">
            <v>44189</v>
          </cell>
          <cell r="O33">
            <v>44182</v>
          </cell>
          <cell r="P33">
            <v>44188</v>
          </cell>
          <cell r="Q33"/>
          <cell r="R33"/>
          <cell r="S33"/>
          <cell r="T33">
            <v>44194</v>
          </cell>
          <cell r="U33">
            <v>44194</v>
          </cell>
          <cell r="V33">
            <v>44195</v>
          </cell>
          <cell r="W33">
            <v>44195</v>
          </cell>
          <cell r="X33" t="str">
            <v>41100171 → 41100172</v>
          </cell>
        </row>
        <row r="34">
          <cell r="K34" t="str">
            <v>DBW-1966</v>
          </cell>
          <cell r="L34">
            <v>44182</v>
          </cell>
          <cell r="M34">
            <v>44182</v>
          </cell>
          <cell r="N34">
            <v>44189</v>
          </cell>
          <cell r="O34">
            <v>44182</v>
          </cell>
          <cell r="P34">
            <v>44188</v>
          </cell>
          <cell r="Q34"/>
          <cell r="R34"/>
          <cell r="S34"/>
          <cell r="T34">
            <v>44194</v>
          </cell>
          <cell r="U34">
            <v>44194</v>
          </cell>
          <cell r="V34">
            <v>44195</v>
          </cell>
          <cell r="W34">
            <v>44195</v>
          </cell>
          <cell r="X34" t="str">
            <v>41100171 → 41100172</v>
          </cell>
        </row>
        <row r="35">
          <cell r="K35" t="str">
            <v>SOS-0220</v>
          </cell>
          <cell r="L35">
            <v>44176</v>
          </cell>
          <cell r="M35">
            <v>44176</v>
          </cell>
          <cell r="N35">
            <v>44182</v>
          </cell>
          <cell r="O35">
            <v>44176</v>
          </cell>
          <cell r="P35">
            <v>44182</v>
          </cell>
          <cell r="Q35"/>
          <cell r="R35"/>
          <cell r="S35"/>
          <cell r="T35">
            <v>44188</v>
          </cell>
          <cell r="U35">
            <v>44188</v>
          </cell>
          <cell r="V35">
            <v>44189</v>
          </cell>
          <cell r="W35">
            <v>44189</v>
          </cell>
          <cell r="X35">
            <v>41100182</v>
          </cell>
        </row>
        <row r="36">
          <cell r="K36" t="str">
            <v>DS-0303~0305</v>
          </cell>
          <cell r="L36"/>
          <cell r="M36">
            <v>44203</v>
          </cell>
          <cell r="N36">
            <v>44208</v>
          </cell>
          <cell r="O36" t="str">
            <v xml:space="preserve"> - </v>
          </cell>
          <cell r="P36" t="str">
            <v xml:space="preserve"> - </v>
          </cell>
          <cell r="Q36"/>
          <cell r="R36"/>
          <cell r="S36"/>
          <cell r="T36" t="str">
            <v xml:space="preserve"> - </v>
          </cell>
          <cell r="U36" t="str">
            <v xml:space="preserve"> - </v>
          </cell>
          <cell r="V36">
            <v>44208</v>
          </cell>
          <cell r="W36">
            <v>44209</v>
          </cell>
          <cell r="X36">
            <v>31010314</v>
          </cell>
        </row>
        <row r="37">
          <cell r="K37" t="str">
            <v>DS-0306~0308</v>
          </cell>
          <cell r="L37"/>
          <cell r="M37">
            <v>44203</v>
          </cell>
          <cell r="N37">
            <v>44208</v>
          </cell>
          <cell r="O37" t="str">
            <v xml:space="preserve"> - </v>
          </cell>
          <cell r="P37" t="str">
            <v xml:space="preserve"> - </v>
          </cell>
          <cell r="Q37"/>
          <cell r="R37"/>
          <cell r="S37"/>
          <cell r="T37" t="str">
            <v xml:space="preserve"> - </v>
          </cell>
          <cell r="U37" t="str">
            <v xml:space="preserve"> - </v>
          </cell>
          <cell r="V37">
            <v>44208</v>
          </cell>
          <cell r="W37">
            <v>44209</v>
          </cell>
          <cell r="X37">
            <v>31010315</v>
          </cell>
        </row>
        <row r="38">
          <cell r="K38" t="str">
            <v>DS-0309~0311</v>
          </cell>
          <cell r="L38"/>
          <cell r="M38">
            <v>44203</v>
          </cell>
          <cell r="N38">
            <v>44208</v>
          </cell>
          <cell r="O38" t="str">
            <v xml:space="preserve"> - </v>
          </cell>
          <cell r="P38" t="str">
            <v xml:space="preserve"> - </v>
          </cell>
          <cell r="Q38"/>
          <cell r="R38"/>
          <cell r="S38"/>
          <cell r="T38" t="str">
            <v xml:space="preserve"> - </v>
          </cell>
          <cell r="U38" t="str">
            <v xml:space="preserve"> - </v>
          </cell>
          <cell r="V38">
            <v>44208</v>
          </cell>
          <cell r="W38">
            <v>44209</v>
          </cell>
          <cell r="X38">
            <v>31010315</v>
          </cell>
        </row>
        <row r="39">
          <cell r="K39" t="str">
            <v>GBWS-0786</v>
          </cell>
          <cell r="L39">
            <v>44102</v>
          </cell>
          <cell r="M39">
            <v>44103</v>
          </cell>
          <cell r="N39">
            <v>44119</v>
          </cell>
          <cell r="O39">
            <v>44110</v>
          </cell>
          <cell r="P39">
            <v>44119</v>
          </cell>
          <cell r="Q39"/>
          <cell r="R39"/>
          <cell r="S39"/>
          <cell r="T39">
            <v>44124</v>
          </cell>
          <cell r="U39">
            <v>44125</v>
          </cell>
          <cell r="V39">
            <v>44125</v>
          </cell>
          <cell r="W39">
            <v>44125</v>
          </cell>
          <cell r="X39">
            <v>41100085</v>
          </cell>
        </row>
        <row r="40">
          <cell r="K40" t="str">
            <v>GBWS-0787</v>
          </cell>
          <cell r="L40">
            <v>44102</v>
          </cell>
          <cell r="M40">
            <v>44103</v>
          </cell>
          <cell r="N40">
            <v>44119</v>
          </cell>
          <cell r="O40">
            <v>44110</v>
          </cell>
          <cell r="P40">
            <v>44119</v>
          </cell>
          <cell r="Q40"/>
          <cell r="R40"/>
          <cell r="S40"/>
          <cell r="T40">
            <v>44124</v>
          </cell>
          <cell r="U40">
            <v>44125</v>
          </cell>
          <cell r="V40">
            <v>44125</v>
          </cell>
          <cell r="W40">
            <v>44126</v>
          </cell>
          <cell r="X40">
            <v>41100085</v>
          </cell>
        </row>
        <row r="41">
          <cell r="K41" t="str">
            <v>GBWS-0788</v>
          </cell>
          <cell r="L41">
            <v>44102</v>
          </cell>
          <cell r="M41">
            <v>44103</v>
          </cell>
          <cell r="N41">
            <v>44119</v>
          </cell>
          <cell r="O41">
            <v>44110</v>
          </cell>
          <cell r="P41">
            <v>44119</v>
          </cell>
          <cell r="Q41"/>
          <cell r="R41"/>
          <cell r="S41"/>
          <cell r="T41">
            <v>44124</v>
          </cell>
          <cell r="U41">
            <v>44130</v>
          </cell>
          <cell r="V41">
            <v>44131</v>
          </cell>
          <cell r="W41">
            <v>44133</v>
          </cell>
          <cell r="X41">
            <v>41100085</v>
          </cell>
        </row>
        <row r="42">
          <cell r="K42" t="str">
            <v>GBWS-0789</v>
          </cell>
          <cell r="L42">
            <v>44102</v>
          </cell>
          <cell r="M42">
            <v>44103</v>
          </cell>
          <cell r="N42">
            <v>44119</v>
          </cell>
          <cell r="O42">
            <v>44110</v>
          </cell>
          <cell r="P42">
            <v>44119</v>
          </cell>
          <cell r="Q42"/>
          <cell r="R42"/>
          <cell r="S42"/>
          <cell r="T42">
            <v>44125</v>
          </cell>
          <cell r="U42">
            <v>44125</v>
          </cell>
          <cell r="V42">
            <v>44126</v>
          </cell>
          <cell r="W42">
            <v>44126</v>
          </cell>
          <cell r="X42">
            <v>41100085</v>
          </cell>
        </row>
        <row r="43">
          <cell r="K43" t="str">
            <v>GBWS-0790</v>
          </cell>
          <cell r="L43">
            <v>44102</v>
          </cell>
          <cell r="M43">
            <v>44103</v>
          </cell>
          <cell r="N43">
            <v>44119</v>
          </cell>
          <cell r="O43">
            <v>44110</v>
          </cell>
          <cell r="P43">
            <v>44119</v>
          </cell>
          <cell r="Q43"/>
          <cell r="R43"/>
          <cell r="S43"/>
          <cell r="T43">
            <v>44123</v>
          </cell>
          <cell r="U43">
            <v>44124</v>
          </cell>
          <cell r="V43">
            <v>44125</v>
          </cell>
          <cell r="W43">
            <v>44126</v>
          </cell>
          <cell r="X43">
            <v>41100085</v>
          </cell>
        </row>
        <row r="44">
          <cell r="K44" t="str">
            <v>GBWS-0791</v>
          </cell>
          <cell r="L44">
            <v>44102</v>
          </cell>
          <cell r="M44">
            <v>44103</v>
          </cell>
          <cell r="N44">
            <v>44119</v>
          </cell>
          <cell r="O44">
            <v>44110</v>
          </cell>
          <cell r="P44">
            <v>44119</v>
          </cell>
          <cell r="Q44"/>
          <cell r="R44"/>
          <cell r="S44"/>
          <cell r="T44">
            <v>44123</v>
          </cell>
          <cell r="U44">
            <v>44125</v>
          </cell>
          <cell r="V44">
            <v>44126</v>
          </cell>
          <cell r="W44">
            <v>44126</v>
          </cell>
          <cell r="X44">
            <v>41100085</v>
          </cell>
        </row>
        <row r="45">
          <cell r="K45" t="str">
            <v>GBWS-0844</v>
          </cell>
          <cell r="L45">
            <v>43848</v>
          </cell>
          <cell r="M45">
            <v>44186</v>
          </cell>
          <cell r="N45">
            <v>44202</v>
          </cell>
          <cell r="O45">
            <v>44186</v>
          </cell>
          <cell r="P45">
            <v>44203</v>
          </cell>
          <cell r="Q45"/>
          <cell r="R45"/>
          <cell r="S45"/>
          <cell r="T45">
            <v>44203</v>
          </cell>
          <cell r="U45">
            <v>44208</v>
          </cell>
          <cell r="V45">
            <v>44209</v>
          </cell>
          <cell r="W45">
            <v>44209</v>
          </cell>
          <cell r="X45">
            <v>41100250</v>
          </cell>
        </row>
        <row r="46">
          <cell r="K46" t="str">
            <v>GBW-0271</v>
          </cell>
          <cell r="L46">
            <v>44187</v>
          </cell>
          <cell r="M46">
            <v>44187</v>
          </cell>
          <cell r="N46">
            <v>44195</v>
          </cell>
          <cell r="O46">
            <v>44187</v>
          </cell>
          <cell r="P46">
            <v>44195</v>
          </cell>
          <cell r="Q46"/>
          <cell r="R46"/>
          <cell r="S46"/>
          <cell r="T46">
            <v>44196</v>
          </cell>
          <cell r="U46">
            <v>44200</v>
          </cell>
          <cell r="V46">
            <v>44201</v>
          </cell>
          <cell r="W46">
            <v>44201</v>
          </cell>
          <cell r="X46">
            <v>41100275</v>
          </cell>
        </row>
        <row r="47">
          <cell r="K47" t="str">
            <v xml:space="preserve">GBWS-0827 </v>
          </cell>
          <cell r="L47">
            <v>44154</v>
          </cell>
          <cell r="M47">
            <v>44155</v>
          </cell>
          <cell r="N47">
            <v>44165</v>
          </cell>
          <cell r="O47">
            <v>44155</v>
          </cell>
          <cell r="P47">
            <v>44165</v>
          </cell>
          <cell r="Q47"/>
          <cell r="R47"/>
          <cell r="S47"/>
          <cell r="T47">
            <v>44169</v>
          </cell>
          <cell r="U47">
            <v>44173</v>
          </cell>
          <cell r="V47">
            <v>44174</v>
          </cell>
          <cell r="W47">
            <v>44174</v>
          </cell>
          <cell r="X47">
            <v>41100224</v>
          </cell>
        </row>
        <row r="48">
          <cell r="K48" t="str">
            <v>GBWS-0828</v>
          </cell>
          <cell r="L48">
            <v>44154</v>
          </cell>
          <cell r="M48">
            <v>44155</v>
          </cell>
          <cell r="N48">
            <v>44165</v>
          </cell>
          <cell r="O48">
            <v>44155</v>
          </cell>
          <cell r="P48">
            <v>44165</v>
          </cell>
          <cell r="Q48"/>
          <cell r="R48"/>
          <cell r="S48"/>
          <cell r="T48">
            <v>44169</v>
          </cell>
          <cell r="U48">
            <v>44172</v>
          </cell>
          <cell r="V48">
            <v>44173</v>
          </cell>
          <cell r="W48">
            <v>44173</v>
          </cell>
          <cell r="X48">
            <v>41100224</v>
          </cell>
        </row>
        <row r="49">
          <cell r="K49" t="str">
            <v>GBWS-0847</v>
          </cell>
          <cell r="L49">
            <v>44188</v>
          </cell>
          <cell r="M49">
            <v>44189</v>
          </cell>
          <cell r="N49">
            <v>44200</v>
          </cell>
          <cell r="O49">
            <v>44189</v>
          </cell>
          <cell r="P49">
            <v>44194</v>
          </cell>
          <cell r="Q49"/>
          <cell r="R49"/>
          <cell r="S49"/>
          <cell r="T49">
            <v>44201</v>
          </cell>
          <cell r="U49">
            <v>44202</v>
          </cell>
          <cell r="V49">
            <v>44203</v>
          </cell>
          <cell r="W49">
            <v>44203</v>
          </cell>
          <cell r="X49">
            <v>41100264</v>
          </cell>
        </row>
        <row r="50">
          <cell r="K50" t="str">
            <v>GBWS-0848</v>
          </cell>
          <cell r="L50">
            <v>44188</v>
          </cell>
          <cell r="M50">
            <v>44189</v>
          </cell>
          <cell r="N50">
            <v>44200</v>
          </cell>
          <cell r="O50">
            <v>44189</v>
          </cell>
          <cell r="P50">
            <v>44194</v>
          </cell>
          <cell r="Q50"/>
          <cell r="R50"/>
          <cell r="S50"/>
          <cell r="T50">
            <v>44201</v>
          </cell>
          <cell r="U50">
            <v>44204</v>
          </cell>
          <cell r="V50">
            <v>44207</v>
          </cell>
          <cell r="W50">
            <v>44207</v>
          </cell>
          <cell r="X50">
            <v>41100264</v>
          </cell>
        </row>
        <row r="51">
          <cell r="K51" t="str">
            <v>GBWS-0849</v>
          </cell>
          <cell r="L51">
            <v>44188</v>
          </cell>
          <cell r="M51">
            <v>44189</v>
          </cell>
          <cell r="N51">
            <v>44200</v>
          </cell>
          <cell r="O51">
            <v>44189</v>
          </cell>
          <cell r="P51">
            <v>44194</v>
          </cell>
          <cell r="Q51"/>
          <cell r="R51"/>
          <cell r="S51"/>
          <cell r="T51">
            <v>44201</v>
          </cell>
          <cell r="U51">
            <v>44202</v>
          </cell>
          <cell r="V51">
            <v>44202</v>
          </cell>
          <cell r="W51">
            <v>44203</v>
          </cell>
          <cell r="X51">
            <v>41100264</v>
          </cell>
        </row>
        <row r="52">
          <cell r="K52" t="str">
            <v>GBWS-0850</v>
          </cell>
          <cell r="L52">
            <v>44188</v>
          </cell>
          <cell r="M52">
            <v>44189</v>
          </cell>
          <cell r="N52">
            <v>44200</v>
          </cell>
          <cell r="O52">
            <v>44189</v>
          </cell>
          <cell r="P52">
            <v>44194</v>
          </cell>
          <cell r="Q52"/>
          <cell r="R52"/>
          <cell r="S52"/>
          <cell r="T52">
            <v>44201</v>
          </cell>
          <cell r="U52">
            <v>44202</v>
          </cell>
          <cell r="V52">
            <v>44202</v>
          </cell>
          <cell r="W52">
            <v>44204</v>
          </cell>
          <cell r="X52">
            <v>41100264</v>
          </cell>
        </row>
        <row r="53">
          <cell r="K53" t="str">
            <v>GBWS-0852</v>
          </cell>
          <cell r="L53">
            <v>44193</v>
          </cell>
          <cell r="M53">
            <v>44194</v>
          </cell>
          <cell r="N53">
            <v>43836</v>
          </cell>
          <cell r="O53">
            <v>44194</v>
          </cell>
          <cell r="P53">
            <v>44203</v>
          </cell>
          <cell r="Q53"/>
          <cell r="R53"/>
          <cell r="S53"/>
          <cell r="T53">
            <v>44203</v>
          </cell>
          <cell r="U53">
            <v>44204</v>
          </cell>
          <cell r="V53">
            <v>44207</v>
          </cell>
          <cell r="W53">
            <v>44208</v>
          </cell>
          <cell r="X53">
            <v>41100209</v>
          </cell>
        </row>
        <row r="54">
          <cell r="K54" t="str">
            <v>GBWS-0843</v>
          </cell>
          <cell r="L54">
            <v>44182</v>
          </cell>
          <cell r="M54">
            <v>44183</v>
          </cell>
          <cell r="N54">
            <v>44201</v>
          </cell>
          <cell r="O54">
            <v>44183</v>
          </cell>
          <cell r="P54">
            <v>44201</v>
          </cell>
          <cell r="Q54"/>
          <cell r="R54"/>
          <cell r="S54"/>
          <cell r="T54">
            <v>44202</v>
          </cell>
          <cell r="U54">
            <v>44204</v>
          </cell>
          <cell r="V54">
            <v>44204</v>
          </cell>
          <cell r="W54">
            <v>44207</v>
          </cell>
          <cell r="X54">
            <v>41000209</v>
          </cell>
        </row>
        <row r="55">
          <cell r="K55" t="str">
            <v>DBW-1945</v>
          </cell>
          <cell r="L55">
            <v>44166</v>
          </cell>
          <cell r="M55">
            <v>44167</v>
          </cell>
          <cell r="N55">
            <v>44173</v>
          </cell>
          <cell r="O55">
            <v>44167</v>
          </cell>
          <cell r="P55">
            <v>44173</v>
          </cell>
          <cell r="Q55"/>
          <cell r="R55"/>
          <cell r="S55"/>
          <cell r="T55">
            <v>44175</v>
          </cell>
          <cell r="U55">
            <v>44176</v>
          </cell>
          <cell r="V55">
            <v>44181</v>
          </cell>
          <cell r="W55">
            <v>44181</v>
          </cell>
          <cell r="X55">
            <v>41100255</v>
          </cell>
        </row>
        <row r="56">
          <cell r="K56" t="str">
            <v>DBW-1946</v>
          </cell>
          <cell r="L56">
            <v>44166</v>
          </cell>
          <cell r="M56">
            <v>44167</v>
          </cell>
          <cell r="N56">
            <v>44173</v>
          </cell>
          <cell r="O56">
            <v>44167</v>
          </cell>
          <cell r="P56">
            <v>44173</v>
          </cell>
          <cell r="Q56"/>
          <cell r="R56"/>
          <cell r="S56"/>
          <cell r="T56">
            <v>44176</v>
          </cell>
          <cell r="U56">
            <v>44176</v>
          </cell>
          <cell r="V56">
            <v>44179</v>
          </cell>
          <cell r="W56">
            <v>44179</v>
          </cell>
          <cell r="X56">
            <v>41100255</v>
          </cell>
        </row>
        <row r="57">
          <cell r="K57" t="str">
            <v>DBW-1939</v>
          </cell>
          <cell r="L57">
            <v>44166</v>
          </cell>
          <cell r="M57">
            <v>44167</v>
          </cell>
          <cell r="N57">
            <v>44174</v>
          </cell>
          <cell r="O57">
            <v>44167</v>
          </cell>
          <cell r="P57">
            <v>44174</v>
          </cell>
          <cell r="Q57"/>
          <cell r="R57"/>
          <cell r="S57"/>
          <cell r="T57">
            <v>44176</v>
          </cell>
          <cell r="U57">
            <v>44179</v>
          </cell>
          <cell r="V57">
            <v>44180</v>
          </cell>
          <cell r="W57">
            <v>44180</v>
          </cell>
          <cell r="X57">
            <v>41100269</v>
          </cell>
        </row>
        <row r="58">
          <cell r="K58" t="str">
            <v>DBW-1940</v>
          </cell>
          <cell r="L58">
            <v>44166</v>
          </cell>
          <cell r="M58">
            <v>44167</v>
          </cell>
          <cell r="N58">
            <v>44174</v>
          </cell>
          <cell r="O58">
            <v>44167</v>
          </cell>
          <cell r="P58">
            <v>44174</v>
          </cell>
          <cell r="Q58"/>
          <cell r="R58"/>
          <cell r="S58"/>
          <cell r="T58">
            <v>44179</v>
          </cell>
          <cell r="U58">
            <v>44180</v>
          </cell>
          <cell r="V58">
            <v>44181</v>
          </cell>
          <cell r="W58">
            <v>44181</v>
          </cell>
          <cell r="X58">
            <v>41100269</v>
          </cell>
        </row>
        <row r="59">
          <cell r="K59" t="str">
            <v>DBW-1941</v>
          </cell>
          <cell r="L59">
            <v>44166</v>
          </cell>
          <cell r="M59">
            <v>44167</v>
          </cell>
          <cell r="N59">
            <v>44175</v>
          </cell>
          <cell r="O59">
            <v>44167</v>
          </cell>
          <cell r="P59">
            <v>44175</v>
          </cell>
          <cell r="Q59"/>
          <cell r="R59"/>
          <cell r="S59"/>
          <cell r="T59">
            <v>44175</v>
          </cell>
          <cell r="U59">
            <v>44180</v>
          </cell>
          <cell r="V59">
            <v>44181</v>
          </cell>
          <cell r="W59">
            <v>44181</v>
          </cell>
          <cell r="X59">
            <v>41100269</v>
          </cell>
        </row>
        <row r="60">
          <cell r="K60" t="str">
            <v>DBW-1942</v>
          </cell>
          <cell r="L60">
            <v>44166</v>
          </cell>
          <cell r="M60">
            <v>44167</v>
          </cell>
          <cell r="N60">
            <v>44175</v>
          </cell>
          <cell r="O60">
            <v>44167</v>
          </cell>
          <cell r="P60">
            <v>44175</v>
          </cell>
          <cell r="Q60"/>
          <cell r="R60"/>
          <cell r="S60"/>
          <cell r="T60">
            <v>44179</v>
          </cell>
          <cell r="U60">
            <v>44186</v>
          </cell>
          <cell r="V60">
            <v>44186</v>
          </cell>
          <cell r="W60">
            <v>44189</v>
          </cell>
          <cell r="X60">
            <v>41100269</v>
          </cell>
        </row>
        <row r="61">
          <cell r="K61" t="str">
            <v>DBW-1949</v>
          </cell>
          <cell r="L61">
            <v>44168</v>
          </cell>
          <cell r="M61">
            <v>44169</v>
          </cell>
          <cell r="N61">
            <v>44175</v>
          </cell>
          <cell r="O61">
            <v>44169</v>
          </cell>
          <cell r="P61">
            <v>44176</v>
          </cell>
          <cell r="Q61"/>
          <cell r="R61"/>
          <cell r="S61"/>
          <cell r="T61">
            <v>44180</v>
          </cell>
          <cell r="U61">
            <v>44180</v>
          </cell>
          <cell r="V61">
            <v>44181</v>
          </cell>
          <cell r="W61">
            <v>44181</v>
          </cell>
          <cell r="X61">
            <v>41100269</v>
          </cell>
        </row>
        <row r="62">
          <cell r="K62" t="str">
            <v>DBW-1950</v>
          </cell>
          <cell r="L62">
            <v>44168</v>
          </cell>
          <cell r="M62">
            <v>44169</v>
          </cell>
          <cell r="N62">
            <v>44175</v>
          </cell>
          <cell r="O62">
            <v>44169</v>
          </cell>
          <cell r="P62">
            <v>44176</v>
          </cell>
          <cell r="Q62"/>
          <cell r="R62"/>
          <cell r="S62"/>
          <cell r="T62">
            <v>44180</v>
          </cell>
          <cell r="U62">
            <v>44183</v>
          </cell>
          <cell r="V62">
            <v>44186</v>
          </cell>
          <cell r="W62">
            <v>44189</v>
          </cell>
          <cell r="X62">
            <v>41100269</v>
          </cell>
        </row>
        <row r="63">
          <cell r="K63" t="str">
            <v>DBW-1960</v>
          </cell>
          <cell r="L63">
            <v>44179</v>
          </cell>
          <cell r="M63">
            <v>44180</v>
          </cell>
          <cell r="N63">
            <v>44187</v>
          </cell>
          <cell r="O63">
            <v>44180</v>
          </cell>
          <cell r="P63">
            <v>44187</v>
          </cell>
          <cell r="Q63"/>
          <cell r="R63"/>
          <cell r="S63"/>
          <cell r="T63">
            <v>44188</v>
          </cell>
          <cell r="U63">
            <v>44204</v>
          </cell>
          <cell r="V63">
            <v>44204</v>
          </cell>
          <cell r="W63">
            <v>44204</v>
          </cell>
          <cell r="X63" t="str">
            <v>41100258 → 41100291</v>
          </cell>
        </row>
        <row r="64">
          <cell r="K64" t="str">
            <v>GBWS-0855</v>
          </cell>
          <cell r="L64">
            <v>44201</v>
          </cell>
          <cell r="M64">
            <v>44201</v>
          </cell>
          <cell r="N64">
            <v>44208</v>
          </cell>
          <cell r="O64">
            <v>44201</v>
          </cell>
          <cell r="P64">
            <v>44207</v>
          </cell>
          <cell r="Q64"/>
          <cell r="R64"/>
          <cell r="S64"/>
          <cell r="T64">
            <v>44209</v>
          </cell>
          <cell r="U64">
            <v>44210</v>
          </cell>
          <cell r="V64">
            <v>44211</v>
          </cell>
          <cell r="W64">
            <v>44211</v>
          </cell>
          <cell r="X64">
            <v>41100085</v>
          </cell>
        </row>
        <row r="65">
          <cell r="K65" t="str">
            <v>GBWS-0856</v>
          </cell>
          <cell r="L65">
            <v>44201</v>
          </cell>
          <cell r="M65">
            <v>44201</v>
          </cell>
          <cell r="N65">
            <v>44208</v>
          </cell>
          <cell r="O65">
            <v>44201</v>
          </cell>
          <cell r="P65">
            <v>44207</v>
          </cell>
          <cell r="Q65"/>
          <cell r="R65"/>
          <cell r="S65"/>
          <cell r="T65">
            <v>44209</v>
          </cell>
          <cell r="U65">
            <v>44211</v>
          </cell>
          <cell r="V65">
            <v>44211</v>
          </cell>
          <cell r="W65">
            <v>44211</v>
          </cell>
          <cell r="X65">
            <v>41100085</v>
          </cell>
        </row>
        <row r="66">
          <cell r="K66" t="str">
            <v>GBWS-0857</v>
          </cell>
          <cell r="L66">
            <v>44201</v>
          </cell>
          <cell r="M66">
            <v>44201</v>
          </cell>
          <cell r="N66">
            <v>44208</v>
          </cell>
          <cell r="O66">
            <v>44201</v>
          </cell>
          <cell r="P66">
            <v>44207</v>
          </cell>
          <cell r="Q66"/>
          <cell r="R66"/>
          <cell r="S66"/>
          <cell r="T66">
            <v>44209</v>
          </cell>
          <cell r="U66">
            <v>44210</v>
          </cell>
          <cell r="V66">
            <v>44211</v>
          </cell>
          <cell r="W66">
            <v>44211</v>
          </cell>
          <cell r="X66">
            <v>41100085</v>
          </cell>
        </row>
        <row r="67">
          <cell r="K67" t="str">
            <v>GBWS-0858</v>
          </cell>
          <cell r="L67">
            <v>44201</v>
          </cell>
          <cell r="M67">
            <v>44201</v>
          </cell>
          <cell r="N67">
            <v>44208</v>
          </cell>
          <cell r="O67">
            <v>44201</v>
          </cell>
          <cell r="P67">
            <v>44207</v>
          </cell>
          <cell r="Q67"/>
          <cell r="R67"/>
          <cell r="S67"/>
          <cell r="T67">
            <v>44209</v>
          </cell>
          <cell r="U67">
            <v>44210</v>
          </cell>
          <cell r="V67">
            <v>44211</v>
          </cell>
          <cell r="W67">
            <v>44211</v>
          </cell>
          <cell r="X67">
            <v>41100085</v>
          </cell>
        </row>
        <row r="68">
          <cell r="K68" t="str">
            <v>GBWS-0859</v>
          </cell>
          <cell r="L68">
            <v>44201</v>
          </cell>
          <cell r="M68">
            <v>44201</v>
          </cell>
          <cell r="N68">
            <v>44208</v>
          </cell>
          <cell r="O68">
            <v>44201</v>
          </cell>
          <cell r="P68">
            <v>44207</v>
          </cell>
          <cell r="Q68"/>
          <cell r="R68"/>
          <cell r="S68"/>
          <cell r="T68">
            <v>44209</v>
          </cell>
          <cell r="U68">
            <v>44211</v>
          </cell>
          <cell r="V68">
            <v>44211</v>
          </cell>
          <cell r="W68">
            <v>44211</v>
          </cell>
          <cell r="X68">
            <v>41100085</v>
          </cell>
        </row>
        <row r="69">
          <cell r="K69" t="str">
            <v>GBWS-0860</v>
          </cell>
          <cell r="L69">
            <v>44202</v>
          </cell>
          <cell r="M69">
            <v>44201</v>
          </cell>
          <cell r="N69">
            <v>44211</v>
          </cell>
          <cell r="O69">
            <v>44201</v>
          </cell>
          <cell r="P69">
            <v>44211</v>
          </cell>
          <cell r="Q69"/>
          <cell r="R69"/>
          <cell r="S69"/>
          <cell r="T69">
            <v>44212</v>
          </cell>
          <cell r="U69">
            <v>43848</v>
          </cell>
          <cell r="V69">
            <v>44214</v>
          </cell>
          <cell r="W69">
            <v>44215</v>
          </cell>
          <cell r="X69">
            <v>41100086</v>
          </cell>
        </row>
        <row r="70">
          <cell r="K70" t="str">
            <v>GBWS-0861</v>
          </cell>
          <cell r="L70">
            <v>44202</v>
          </cell>
          <cell r="M70">
            <v>44201</v>
          </cell>
          <cell r="N70">
            <v>44211</v>
          </cell>
          <cell r="O70">
            <v>44201</v>
          </cell>
          <cell r="P70">
            <v>44211</v>
          </cell>
          <cell r="Q70"/>
          <cell r="R70"/>
          <cell r="S70"/>
          <cell r="T70">
            <v>44212</v>
          </cell>
          <cell r="U70">
            <v>44215</v>
          </cell>
          <cell r="V70">
            <v>44215</v>
          </cell>
          <cell r="W70">
            <v>44215</v>
          </cell>
          <cell r="X70">
            <v>41100086</v>
          </cell>
        </row>
        <row r="71">
          <cell r="K71" t="str">
            <v>GBWS-0862</v>
          </cell>
          <cell r="L71">
            <v>44202</v>
          </cell>
          <cell r="M71">
            <v>44201</v>
          </cell>
          <cell r="N71">
            <v>44211</v>
          </cell>
          <cell r="O71">
            <v>44201</v>
          </cell>
          <cell r="P71">
            <v>44211</v>
          </cell>
          <cell r="Q71"/>
          <cell r="R71"/>
          <cell r="S71"/>
          <cell r="T71">
            <v>44212</v>
          </cell>
          <cell r="U71">
            <v>43848</v>
          </cell>
          <cell r="V71">
            <v>44214</v>
          </cell>
          <cell r="W71">
            <v>44215</v>
          </cell>
          <cell r="X71">
            <v>41100086</v>
          </cell>
        </row>
        <row r="72">
          <cell r="K72" t="str">
            <v>DBW-1968</v>
          </cell>
          <cell r="L72">
            <v>44202</v>
          </cell>
          <cell r="M72">
            <v>44201</v>
          </cell>
          <cell r="N72">
            <v>44208</v>
          </cell>
          <cell r="O72">
            <v>44201</v>
          </cell>
          <cell r="P72">
            <v>44209</v>
          </cell>
          <cell r="Q72"/>
          <cell r="R72"/>
          <cell r="S72"/>
          <cell r="T72">
            <v>44208</v>
          </cell>
          <cell r="U72">
            <v>43848</v>
          </cell>
          <cell r="V72">
            <v>44214</v>
          </cell>
          <cell r="W72">
            <v>44214</v>
          </cell>
          <cell r="X72">
            <v>41100099</v>
          </cell>
        </row>
        <row r="73">
          <cell r="K73" t="str">
            <v>GBWS-0863</v>
          </cell>
          <cell r="L73">
            <v>44560</v>
          </cell>
          <cell r="M73">
            <v>44201</v>
          </cell>
          <cell r="N73">
            <v>44207</v>
          </cell>
          <cell r="O73">
            <v>44201</v>
          </cell>
          <cell r="P73">
            <v>44209</v>
          </cell>
          <cell r="Q73"/>
          <cell r="R73"/>
          <cell r="S73"/>
          <cell r="T73">
            <v>44209</v>
          </cell>
          <cell r="U73">
            <v>44211</v>
          </cell>
          <cell r="V73">
            <v>44212</v>
          </cell>
          <cell r="W73">
            <v>44214</v>
          </cell>
          <cell r="X73">
            <v>41100087</v>
          </cell>
        </row>
        <row r="74">
          <cell r="K74" t="str">
            <v>GBWS-0864</v>
          </cell>
          <cell r="L74">
            <v>44560</v>
          </cell>
          <cell r="M74">
            <v>44201</v>
          </cell>
          <cell r="N74">
            <v>44207</v>
          </cell>
          <cell r="O74">
            <v>44201</v>
          </cell>
          <cell r="P74">
            <v>44209</v>
          </cell>
          <cell r="Q74"/>
          <cell r="R74"/>
          <cell r="S74"/>
          <cell r="T74">
            <v>44209</v>
          </cell>
          <cell r="U74">
            <v>44211</v>
          </cell>
          <cell r="V74">
            <v>44212</v>
          </cell>
          <cell r="W74">
            <v>44214</v>
          </cell>
          <cell r="X74">
            <v>41100087</v>
          </cell>
        </row>
        <row r="75">
          <cell r="K75" t="str">
            <v>GBWS-0865</v>
          </cell>
          <cell r="L75">
            <v>44560</v>
          </cell>
          <cell r="M75">
            <v>44201</v>
          </cell>
          <cell r="N75">
            <v>44207</v>
          </cell>
          <cell r="O75">
            <v>44201</v>
          </cell>
          <cell r="P75">
            <v>44207</v>
          </cell>
          <cell r="Q75"/>
          <cell r="R75"/>
          <cell r="S75"/>
          <cell r="T75">
            <v>44208</v>
          </cell>
          <cell r="U75">
            <v>44209</v>
          </cell>
          <cell r="V75">
            <v>44209</v>
          </cell>
          <cell r="W75">
            <v>44209</v>
          </cell>
          <cell r="X75">
            <v>41100087</v>
          </cell>
        </row>
        <row r="76">
          <cell r="K76" t="str">
            <v>GBWS-0866</v>
          </cell>
          <cell r="L76">
            <v>44560</v>
          </cell>
          <cell r="M76">
            <v>44201</v>
          </cell>
          <cell r="N76">
            <v>44207</v>
          </cell>
          <cell r="O76">
            <v>44201</v>
          </cell>
          <cell r="P76">
            <v>44207</v>
          </cell>
          <cell r="Q76"/>
          <cell r="R76"/>
          <cell r="S76"/>
          <cell r="T76">
            <v>44208</v>
          </cell>
          <cell r="U76">
            <v>44208</v>
          </cell>
          <cell r="V76">
            <v>44209</v>
          </cell>
          <cell r="W76">
            <v>44209</v>
          </cell>
          <cell r="X76">
            <v>41100087</v>
          </cell>
        </row>
        <row r="77">
          <cell r="K77" t="str">
            <v>GBWS-0867</v>
          </cell>
          <cell r="L77">
            <v>44560</v>
          </cell>
          <cell r="M77">
            <v>44201</v>
          </cell>
          <cell r="N77">
            <v>44207</v>
          </cell>
          <cell r="O77">
            <v>44201</v>
          </cell>
          <cell r="P77">
            <v>44207</v>
          </cell>
          <cell r="Q77"/>
          <cell r="R77"/>
          <cell r="S77"/>
          <cell r="T77">
            <v>44208</v>
          </cell>
          <cell r="U77">
            <v>44208</v>
          </cell>
          <cell r="V77">
            <v>44209</v>
          </cell>
          <cell r="W77">
            <v>44209</v>
          </cell>
          <cell r="X77">
            <v>41100087</v>
          </cell>
        </row>
        <row r="78">
          <cell r="K78" t="str">
            <v>GBWS-0868</v>
          </cell>
          <cell r="L78">
            <v>44560</v>
          </cell>
          <cell r="M78">
            <v>44201</v>
          </cell>
          <cell r="N78">
            <v>44207</v>
          </cell>
          <cell r="O78">
            <v>44201</v>
          </cell>
          <cell r="P78">
            <v>44207</v>
          </cell>
          <cell r="Q78"/>
          <cell r="R78"/>
          <cell r="S78"/>
          <cell r="T78">
            <v>44208</v>
          </cell>
          <cell r="U78">
            <v>44209</v>
          </cell>
          <cell r="V78">
            <v>44209</v>
          </cell>
          <cell r="W78">
            <v>44209</v>
          </cell>
          <cell r="X78">
            <v>41100087</v>
          </cell>
        </row>
        <row r="79">
          <cell r="K79" t="str">
            <v>GBWS-0869</v>
          </cell>
          <cell r="L79">
            <v>44560</v>
          </cell>
          <cell r="M79">
            <v>44201</v>
          </cell>
          <cell r="N79">
            <v>44207</v>
          </cell>
          <cell r="O79">
            <v>44201</v>
          </cell>
          <cell r="P79">
            <v>44207</v>
          </cell>
          <cell r="Q79"/>
          <cell r="R79"/>
          <cell r="S79"/>
          <cell r="T79">
            <v>44208</v>
          </cell>
          <cell r="U79">
            <v>44209</v>
          </cell>
          <cell r="V79">
            <v>44209</v>
          </cell>
          <cell r="W79">
            <v>44210</v>
          </cell>
          <cell r="X79">
            <v>41100087</v>
          </cell>
        </row>
        <row r="80">
          <cell r="K80" t="str">
            <v>GBWS-0870</v>
          </cell>
          <cell r="L80">
            <v>44560</v>
          </cell>
          <cell r="M80">
            <v>44201</v>
          </cell>
          <cell r="N80">
            <v>44207</v>
          </cell>
          <cell r="O80">
            <v>44201</v>
          </cell>
          <cell r="P80">
            <v>44207</v>
          </cell>
          <cell r="Q80"/>
          <cell r="R80"/>
          <cell r="S80"/>
          <cell r="T80">
            <v>44209</v>
          </cell>
          <cell r="U80">
            <v>44210</v>
          </cell>
          <cell r="V80">
            <v>44211</v>
          </cell>
          <cell r="W80">
            <v>44211</v>
          </cell>
          <cell r="X80">
            <v>41100087</v>
          </cell>
        </row>
        <row r="81">
          <cell r="K81" t="str">
            <v>GBWS-0871</v>
          </cell>
          <cell r="L81">
            <v>44560</v>
          </cell>
          <cell r="M81">
            <v>44201</v>
          </cell>
          <cell r="N81">
            <v>44207</v>
          </cell>
          <cell r="O81">
            <v>44201</v>
          </cell>
          <cell r="P81">
            <v>44207</v>
          </cell>
          <cell r="Q81"/>
          <cell r="R81"/>
          <cell r="S81"/>
          <cell r="T81">
            <v>44209</v>
          </cell>
          <cell r="U81">
            <v>44210</v>
          </cell>
          <cell r="V81">
            <v>44211</v>
          </cell>
          <cell r="W81">
            <v>44211</v>
          </cell>
          <cell r="X81">
            <v>41100087</v>
          </cell>
        </row>
        <row r="82">
          <cell r="K82" t="str">
            <v>GBWS-0872</v>
          </cell>
          <cell r="L82">
            <v>44560</v>
          </cell>
          <cell r="M82">
            <v>44201</v>
          </cell>
          <cell r="N82">
            <v>44207</v>
          </cell>
          <cell r="O82">
            <v>44201</v>
          </cell>
          <cell r="P82">
            <v>44207</v>
          </cell>
          <cell r="Q82"/>
          <cell r="R82"/>
          <cell r="S82"/>
          <cell r="T82">
            <v>44208</v>
          </cell>
          <cell r="U82">
            <v>44209</v>
          </cell>
          <cell r="V82">
            <v>44209</v>
          </cell>
          <cell r="W82">
            <v>44209</v>
          </cell>
          <cell r="X82">
            <v>41100087</v>
          </cell>
        </row>
        <row r="83">
          <cell r="K83" t="str">
            <v>GBWS-0873</v>
          </cell>
          <cell r="L83">
            <v>44560</v>
          </cell>
          <cell r="M83">
            <v>44201</v>
          </cell>
          <cell r="N83">
            <v>44207</v>
          </cell>
          <cell r="O83">
            <v>44201</v>
          </cell>
          <cell r="P83">
            <v>44207</v>
          </cell>
          <cell r="Q83"/>
          <cell r="R83"/>
          <cell r="S83"/>
          <cell r="T83">
            <v>44209</v>
          </cell>
          <cell r="U83">
            <v>44210</v>
          </cell>
          <cell r="V83">
            <v>44211</v>
          </cell>
          <cell r="W83">
            <v>44211</v>
          </cell>
          <cell r="X83">
            <v>41100087</v>
          </cell>
        </row>
        <row r="84">
          <cell r="K84" t="str">
            <v>DBW-1869</v>
          </cell>
          <cell r="L84">
            <v>44090</v>
          </cell>
          <cell r="M84">
            <v>44091</v>
          </cell>
          <cell r="N84">
            <v>44097</v>
          </cell>
          <cell r="O84">
            <v>44091</v>
          </cell>
          <cell r="P84">
            <v>44097</v>
          </cell>
          <cell r="Q84"/>
          <cell r="R84"/>
          <cell r="S84"/>
          <cell r="T84">
            <v>44102</v>
          </cell>
          <cell r="U84">
            <v>44103</v>
          </cell>
          <cell r="V84">
            <v>44103</v>
          </cell>
          <cell r="W84">
            <v>44109</v>
          </cell>
          <cell r="X84">
            <v>41100199</v>
          </cell>
        </row>
        <row r="85">
          <cell r="K85" t="str">
            <v>DBW-1863</v>
          </cell>
          <cell r="L85">
            <v>44090</v>
          </cell>
          <cell r="M85">
            <v>44091</v>
          </cell>
          <cell r="N85">
            <v>44097</v>
          </cell>
          <cell r="O85">
            <v>44091</v>
          </cell>
          <cell r="P85">
            <v>44097</v>
          </cell>
          <cell r="Q85"/>
          <cell r="R85"/>
          <cell r="S85"/>
          <cell r="T85">
            <v>44102</v>
          </cell>
          <cell r="U85">
            <v>44103</v>
          </cell>
          <cell r="V85">
            <v>44103</v>
          </cell>
          <cell r="W85">
            <v>44109</v>
          </cell>
          <cell r="X85">
            <v>41100199</v>
          </cell>
        </row>
        <row r="86">
          <cell r="K86" t="str">
            <v>DBW-1953</v>
          </cell>
          <cell r="L86">
            <v>44168</v>
          </cell>
          <cell r="M86">
            <v>44169</v>
          </cell>
          <cell r="N86">
            <v>44175</v>
          </cell>
          <cell r="O86">
            <v>44169</v>
          </cell>
          <cell r="P86">
            <v>44176</v>
          </cell>
          <cell r="Q86"/>
          <cell r="R86"/>
          <cell r="S86"/>
          <cell r="T86">
            <v>44181</v>
          </cell>
          <cell r="U86">
            <v>44183</v>
          </cell>
          <cell r="V86">
            <v>44186</v>
          </cell>
          <cell r="W86">
            <v>44189</v>
          </cell>
          <cell r="X86" t="str">
            <v>41100173 → 41100255</v>
          </cell>
        </row>
        <row r="87">
          <cell r="K87" t="str">
            <v>DBW-1954</v>
          </cell>
          <cell r="L87">
            <v>44168</v>
          </cell>
          <cell r="M87">
            <v>44169</v>
          </cell>
          <cell r="N87">
            <v>44175</v>
          </cell>
          <cell r="O87">
            <v>44169</v>
          </cell>
          <cell r="P87">
            <v>44176</v>
          </cell>
          <cell r="Q87"/>
          <cell r="R87"/>
          <cell r="S87"/>
          <cell r="T87">
            <v>44181</v>
          </cell>
          <cell r="U87">
            <v>44183</v>
          </cell>
          <cell r="V87">
            <v>44186</v>
          </cell>
          <cell r="W87">
            <v>44187</v>
          </cell>
          <cell r="X87" t="str">
            <v>41100173 → 41100255</v>
          </cell>
        </row>
        <row r="88">
          <cell r="K88" t="str">
            <v>DBW-1952</v>
          </cell>
          <cell r="L88">
            <v>44168</v>
          </cell>
          <cell r="M88">
            <v>44169</v>
          </cell>
          <cell r="N88">
            <v>44176</v>
          </cell>
          <cell r="O88">
            <v>44169</v>
          </cell>
          <cell r="P88">
            <v>44176</v>
          </cell>
          <cell r="Q88"/>
          <cell r="R88"/>
          <cell r="S88"/>
          <cell r="T88">
            <v>44182</v>
          </cell>
          <cell r="U88">
            <v>44183</v>
          </cell>
          <cell r="V88">
            <v>44186</v>
          </cell>
          <cell r="W88">
            <v>44187</v>
          </cell>
          <cell r="X88" t="str">
            <v>41100175 → 41100234</v>
          </cell>
        </row>
        <row r="89">
          <cell r="K89" t="str">
            <v>GBWS-0833</v>
          </cell>
          <cell r="L89">
            <v>44160</v>
          </cell>
          <cell r="M89">
            <v>44160</v>
          </cell>
          <cell r="N89">
            <v>44168</v>
          </cell>
          <cell r="O89">
            <v>44160</v>
          </cell>
          <cell r="P89">
            <v>44168</v>
          </cell>
          <cell r="Q89"/>
          <cell r="R89"/>
          <cell r="S89"/>
          <cell r="T89">
            <v>44172</v>
          </cell>
          <cell r="U89">
            <v>44176</v>
          </cell>
          <cell r="V89">
            <v>44176</v>
          </cell>
          <cell r="W89">
            <v>44176</v>
          </cell>
          <cell r="X89">
            <v>41100168</v>
          </cell>
        </row>
        <row r="90">
          <cell r="K90" t="str">
            <v>GBWS-0834</v>
          </cell>
          <cell r="L90">
            <v>44160</v>
          </cell>
          <cell r="M90">
            <v>44160</v>
          </cell>
          <cell r="N90">
            <v>44168</v>
          </cell>
          <cell r="O90">
            <v>44160</v>
          </cell>
          <cell r="P90">
            <v>44168</v>
          </cell>
          <cell r="Q90"/>
          <cell r="R90"/>
          <cell r="S90"/>
          <cell r="T90">
            <v>44173</v>
          </cell>
          <cell r="U90">
            <v>44174</v>
          </cell>
          <cell r="V90">
            <v>44176</v>
          </cell>
          <cell r="W90">
            <v>44176</v>
          </cell>
          <cell r="X90">
            <v>41100168</v>
          </cell>
        </row>
        <row r="91">
          <cell r="K91" t="str">
            <v>IVAS-076</v>
          </cell>
          <cell r="L91">
            <v>44202</v>
          </cell>
          <cell r="M91">
            <v>44202</v>
          </cell>
          <cell r="N91">
            <v>44211</v>
          </cell>
          <cell r="O91">
            <v>44202</v>
          </cell>
          <cell r="P91">
            <v>44214</v>
          </cell>
          <cell r="Q91"/>
          <cell r="R91"/>
          <cell r="S91"/>
          <cell r="T91">
            <v>44212</v>
          </cell>
          <cell r="U91">
            <v>44218</v>
          </cell>
          <cell r="V91">
            <v>44219</v>
          </cell>
          <cell r="W91">
            <v>44220</v>
          </cell>
          <cell r="X91">
            <v>41100280</v>
          </cell>
        </row>
        <row r="92">
          <cell r="K92" t="str">
            <v>IVAS-073</v>
          </cell>
          <cell r="L92">
            <v>44193</v>
          </cell>
          <cell r="M92">
            <v>44193</v>
          </cell>
          <cell r="N92">
            <v>44214</v>
          </cell>
          <cell r="O92">
            <v>44193</v>
          </cell>
          <cell r="P92">
            <v>44209</v>
          </cell>
          <cell r="Q92"/>
          <cell r="R92"/>
          <cell r="S92"/>
          <cell r="T92">
            <v>44207</v>
          </cell>
          <cell r="U92">
            <v>44217</v>
          </cell>
          <cell r="V92">
            <v>44219</v>
          </cell>
          <cell r="W92">
            <v>44220</v>
          </cell>
          <cell r="X92">
            <v>41100272</v>
          </cell>
        </row>
        <row r="93">
          <cell r="K93" t="str">
            <v>DBW-1944</v>
          </cell>
          <cell r="L93">
            <v>44167</v>
          </cell>
          <cell r="M93">
            <v>44167</v>
          </cell>
          <cell r="N93">
            <v>44173</v>
          </cell>
          <cell r="O93">
            <v>44167</v>
          </cell>
          <cell r="P93">
            <v>44173</v>
          </cell>
          <cell r="Q93"/>
          <cell r="R93"/>
          <cell r="S93"/>
          <cell r="T93">
            <v>44179</v>
          </cell>
          <cell r="U93">
            <v>44180</v>
          </cell>
          <cell r="V93">
            <v>44181</v>
          </cell>
          <cell r="W93">
            <v>44181</v>
          </cell>
          <cell r="X93">
            <v>41100234</v>
          </cell>
        </row>
        <row r="94">
          <cell r="K94" t="str">
            <v>DBW-1947</v>
          </cell>
          <cell r="L94">
            <v>44168</v>
          </cell>
          <cell r="M94">
            <v>44169</v>
          </cell>
          <cell r="N94">
            <v>44176</v>
          </cell>
          <cell r="O94">
            <v>44169</v>
          </cell>
          <cell r="P94">
            <v>44176</v>
          </cell>
          <cell r="Q94"/>
          <cell r="R94"/>
          <cell r="S94"/>
          <cell r="T94">
            <v>44182</v>
          </cell>
          <cell r="U94">
            <v>44183</v>
          </cell>
          <cell r="V94">
            <v>44186</v>
          </cell>
          <cell r="W94">
            <v>44189</v>
          </cell>
          <cell r="X94">
            <v>41100234</v>
          </cell>
        </row>
        <row r="95">
          <cell r="K95" t="str">
            <v>DBW-1948</v>
          </cell>
          <cell r="L95">
            <v>44168</v>
          </cell>
          <cell r="M95">
            <v>44169</v>
          </cell>
          <cell r="N95">
            <v>44176</v>
          </cell>
          <cell r="O95">
            <v>44169</v>
          </cell>
          <cell r="P95">
            <v>44176</v>
          </cell>
          <cell r="Q95"/>
          <cell r="R95"/>
          <cell r="S95"/>
          <cell r="T95">
            <v>44183</v>
          </cell>
          <cell r="U95">
            <v>44186</v>
          </cell>
          <cell r="V95">
            <v>44187</v>
          </cell>
          <cell r="W95">
            <v>44189</v>
          </cell>
          <cell r="X95">
            <v>41100234</v>
          </cell>
        </row>
        <row r="96">
          <cell r="K96" t="str">
            <v>DBW-1967</v>
          </cell>
          <cell r="L96">
            <v>43848</v>
          </cell>
          <cell r="M96">
            <v>44186</v>
          </cell>
          <cell r="N96">
            <v>44195</v>
          </cell>
          <cell r="O96">
            <v>44186</v>
          </cell>
          <cell r="P96">
            <v>44188</v>
          </cell>
          <cell r="Q96"/>
          <cell r="R96"/>
          <cell r="S96"/>
          <cell r="T96">
            <v>44195</v>
          </cell>
          <cell r="U96">
            <v>44200</v>
          </cell>
          <cell r="V96">
            <v>44201</v>
          </cell>
          <cell r="W96">
            <v>44201</v>
          </cell>
          <cell r="X96">
            <v>41100277</v>
          </cell>
        </row>
        <row r="97">
          <cell r="K97"/>
          <cell r="L97">
            <v>44195</v>
          </cell>
          <cell r="M97">
            <v>44195</v>
          </cell>
          <cell r="N97">
            <v>44216</v>
          </cell>
          <cell r="O97">
            <v>44195</v>
          </cell>
          <cell r="P97">
            <v>44216</v>
          </cell>
          <cell r="Q97"/>
          <cell r="R97"/>
          <cell r="S97"/>
          <cell r="T97">
            <v>44212</v>
          </cell>
          <cell r="U97">
            <v>44222</v>
          </cell>
          <cell r="V97">
            <v>44222</v>
          </cell>
          <cell r="W97">
            <v>44222</v>
          </cell>
          <cell r="X97">
            <v>31101270</v>
          </cell>
        </row>
        <row r="98">
          <cell r="K98" t="str">
            <v>IVAS-077</v>
          </cell>
          <cell r="L98">
            <v>44202</v>
          </cell>
          <cell r="M98">
            <v>44202</v>
          </cell>
          <cell r="N98">
            <v>44211</v>
          </cell>
          <cell r="O98">
            <v>44202</v>
          </cell>
          <cell r="P98">
            <v>44214</v>
          </cell>
          <cell r="Q98"/>
          <cell r="R98"/>
          <cell r="S98"/>
          <cell r="T98">
            <v>44212</v>
          </cell>
          <cell r="U98">
            <v>44222</v>
          </cell>
          <cell r="V98">
            <v>44222</v>
          </cell>
          <cell r="W98">
            <v>44222</v>
          </cell>
          <cell r="X98">
            <v>41100280</v>
          </cell>
        </row>
        <row r="99">
          <cell r="K99" t="str">
            <v>IVAS-075</v>
          </cell>
          <cell r="L99">
            <v>44203</v>
          </cell>
          <cell r="M99">
            <v>44202</v>
          </cell>
          <cell r="N99">
            <v>44217</v>
          </cell>
          <cell r="O99">
            <v>44202</v>
          </cell>
          <cell r="P99">
            <v>44219</v>
          </cell>
          <cell r="Q99"/>
          <cell r="R99"/>
          <cell r="S99"/>
          <cell r="T99">
            <v>44217</v>
          </cell>
          <cell r="U99">
            <v>44224</v>
          </cell>
          <cell r="V99">
            <v>44224</v>
          </cell>
          <cell r="W99">
            <v>44224</v>
          </cell>
          <cell r="X99">
            <v>41100273</v>
          </cell>
        </row>
        <row r="100">
          <cell r="K100" t="str">
            <v>IVAS-074</v>
          </cell>
          <cell r="L100">
            <v>44195</v>
          </cell>
          <cell r="M100">
            <v>44195</v>
          </cell>
          <cell r="N100">
            <v>44208</v>
          </cell>
          <cell r="O100">
            <v>44195</v>
          </cell>
          <cell r="P100">
            <v>44209</v>
          </cell>
          <cell r="Q100"/>
          <cell r="R100"/>
          <cell r="S100"/>
          <cell r="T100">
            <v>44207</v>
          </cell>
          <cell r="U100">
            <v>44222</v>
          </cell>
          <cell r="V100">
            <v>44223</v>
          </cell>
          <cell r="W100">
            <v>44224</v>
          </cell>
          <cell r="X100">
            <v>41100274</v>
          </cell>
        </row>
        <row r="101">
          <cell r="K101" t="str">
            <v>GBWS-0897</v>
          </cell>
          <cell r="L101">
            <v>44210</v>
          </cell>
          <cell r="M101">
            <v>44211</v>
          </cell>
          <cell r="N101">
            <v>44221</v>
          </cell>
          <cell r="O101">
            <v>44211</v>
          </cell>
          <cell r="P101">
            <v>44221</v>
          </cell>
          <cell r="Q101"/>
          <cell r="R101"/>
          <cell r="S101"/>
          <cell r="T101">
            <v>44223</v>
          </cell>
          <cell r="U101">
            <v>44224</v>
          </cell>
          <cell r="V101">
            <v>44224</v>
          </cell>
          <cell r="W101">
            <v>44224</v>
          </cell>
          <cell r="X101">
            <v>41100287</v>
          </cell>
        </row>
        <row r="102">
          <cell r="K102" t="str">
            <v>GBWS-0898</v>
          </cell>
          <cell r="L102">
            <v>44210</v>
          </cell>
          <cell r="M102">
            <v>44211</v>
          </cell>
          <cell r="N102">
            <v>44221</v>
          </cell>
          <cell r="O102">
            <v>44211</v>
          </cell>
          <cell r="P102">
            <v>44221</v>
          </cell>
          <cell r="Q102"/>
          <cell r="R102"/>
          <cell r="S102"/>
          <cell r="T102">
            <v>44222</v>
          </cell>
          <cell r="U102">
            <v>44223</v>
          </cell>
          <cell r="V102">
            <v>44224</v>
          </cell>
          <cell r="W102">
            <v>44224</v>
          </cell>
          <cell r="X102">
            <v>41100287</v>
          </cell>
        </row>
        <row r="103">
          <cell r="K103" t="str">
            <v>GBWS-0900</v>
          </cell>
          <cell r="L103">
            <v>44210</v>
          </cell>
          <cell r="M103">
            <v>44211</v>
          </cell>
          <cell r="N103">
            <v>44221</v>
          </cell>
          <cell r="O103">
            <v>44211</v>
          </cell>
          <cell r="P103">
            <v>44221</v>
          </cell>
          <cell r="Q103"/>
          <cell r="R103"/>
          <cell r="S103"/>
          <cell r="T103">
            <v>44223</v>
          </cell>
          <cell r="U103">
            <v>44224</v>
          </cell>
          <cell r="V103">
            <v>44225</v>
          </cell>
          <cell r="W103">
            <v>44225</v>
          </cell>
          <cell r="X103">
            <v>41100287</v>
          </cell>
        </row>
        <row r="104">
          <cell r="K104" t="str">
            <v>GBWS-0901</v>
          </cell>
          <cell r="L104">
            <v>44210</v>
          </cell>
          <cell r="M104">
            <v>44211</v>
          </cell>
          <cell r="N104">
            <v>44221</v>
          </cell>
          <cell r="O104">
            <v>44211</v>
          </cell>
          <cell r="P104">
            <v>44221</v>
          </cell>
          <cell r="Q104"/>
          <cell r="R104"/>
          <cell r="S104"/>
          <cell r="T104">
            <v>44222</v>
          </cell>
          <cell r="U104">
            <v>44223</v>
          </cell>
          <cell r="V104">
            <v>44224</v>
          </cell>
          <cell r="W104">
            <v>44224</v>
          </cell>
          <cell r="X104">
            <v>41100287</v>
          </cell>
        </row>
        <row r="105">
          <cell r="K105" t="str">
            <v>GBWS-0902</v>
          </cell>
          <cell r="L105">
            <v>44210</v>
          </cell>
          <cell r="M105">
            <v>44211</v>
          </cell>
          <cell r="N105">
            <v>44221</v>
          </cell>
          <cell r="O105">
            <v>44211</v>
          </cell>
          <cell r="P105">
            <v>44221</v>
          </cell>
          <cell r="Q105"/>
          <cell r="R105"/>
          <cell r="S105"/>
          <cell r="T105">
            <v>44221</v>
          </cell>
          <cell r="U105">
            <v>44222</v>
          </cell>
          <cell r="V105">
            <v>44223</v>
          </cell>
          <cell r="W105">
            <v>44223</v>
          </cell>
          <cell r="X105">
            <v>41100287</v>
          </cell>
        </row>
        <row r="106">
          <cell r="K106" t="str">
            <v>GBWS-0903</v>
          </cell>
          <cell r="L106">
            <v>44210</v>
          </cell>
          <cell r="M106">
            <v>44211</v>
          </cell>
          <cell r="N106">
            <v>44221</v>
          </cell>
          <cell r="O106">
            <v>44211</v>
          </cell>
          <cell r="P106">
            <v>44221</v>
          </cell>
          <cell r="Q106"/>
          <cell r="R106"/>
          <cell r="S106"/>
          <cell r="T106">
            <v>44221</v>
          </cell>
          <cell r="U106">
            <v>44222</v>
          </cell>
          <cell r="V106">
            <v>44223</v>
          </cell>
          <cell r="W106">
            <v>44223</v>
          </cell>
          <cell r="X106">
            <v>41100287</v>
          </cell>
        </row>
        <row r="107">
          <cell r="K107" t="str">
            <v>GBWS-0905</v>
          </cell>
          <cell r="L107">
            <v>44210</v>
          </cell>
          <cell r="M107">
            <v>44211</v>
          </cell>
          <cell r="N107">
            <v>44221</v>
          </cell>
          <cell r="O107">
            <v>44211</v>
          </cell>
          <cell r="P107">
            <v>44221</v>
          </cell>
          <cell r="Q107"/>
          <cell r="R107"/>
          <cell r="S107"/>
          <cell r="T107">
            <v>44222</v>
          </cell>
          <cell r="U107">
            <v>44223</v>
          </cell>
          <cell r="V107">
            <v>44224</v>
          </cell>
          <cell r="W107">
            <v>44224</v>
          </cell>
          <cell r="X107">
            <v>41100287</v>
          </cell>
        </row>
        <row r="108">
          <cell r="K108" t="str">
            <v>GBWS-0906</v>
          </cell>
          <cell r="L108">
            <v>44210</v>
          </cell>
          <cell r="M108">
            <v>44211</v>
          </cell>
          <cell r="N108">
            <v>44221</v>
          </cell>
          <cell r="O108">
            <v>44211</v>
          </cell>
          <cell r="P108">
            <v>44221</v>
          </cell>
          <cell r="Q108"/>
          <cell r="R108"/>
          <cell r="S108"/>
          <cell r="T108">
            <v>44223</v>
          </cell>
          <cell r="U108">
            <v>44224</v>
          </cell>
          <cell r="V108">
            <v>44225</v>
          </cell>
          <cell r="W108">
            <v>44225</v>
          </cell>
          <cell r="X108">
            <v>41100287</v>
          </cell>
        </row>
        <row r="109">
          <cell r="K109" t="str">
            <v>GBWS-0912</v>
          </cell>
          <cell r="L109">
            <v>44210</v>
          </cell>
          <cell r="M109">
            <v>44211</v>
          </cell>
          <cell r="N109">
            <v>44221</v>
          </cell>
          <cell r="O109">
            <v>44211</v>
          </cell>
          <cell r="P109">
            <v>44221</v>
          </cell>
          <cell r="Q109"/>
          <cell r="R109"/>
          <cell r="S109"/>
          <cell r="T109">
            <v>44221</v>
          </cell>
          <cell r="U109">
            <v>44222</v>
          </cell>
          <cell r="V109">
            <v>44223</v>
          </cell>
          <cell r="W109">
            <v>44223</v>
          </cell>
          <cell r="X109">
            <v>41100287</v>
          </cell>
        </row>
        <row r="110">
          <cell r="K110"/>
          <cell r="L110"/>
          <cell r="M110">
            <v>44223</v>
          </cell>
          <cell r="N110">
            <v>44225</v>
          </cell>
          <cell r="O110">
            <v>44223</v>
          </cell>
          <cell r="P110" t="str">
            <v xml:space="preserve"> -</v>
          </cell>
          <cell r="Q110"/>
          <cell r="R110"/>
          <cell r="S110"/>
          <cell r="T110" t="str">
            <v xml:space="preserve"> -</v>
          </cell>
          <cell r="U110" t="str">
            <v xml:space="preserve"> -</v>
          </cell>
          <cell r="V110">
            <v>44225</v>
          </cell>
          <cell r="W110">
            <v>44225</v>
          </cell>
          <cell r="X110">
            <v>31010363</v>
          </cell>
        </row>
        <row r="111">
          <cell r="K111" t="str">
            <v>AWS-0003</v>
          </cell>
          <cell r="L111">
            <v>44181</v>
          </cell>
          <cell r="M111">
            <v>44182</v>
          </cell>
          <cell r="N111">
            <v>44186</v>
          </cell>
          <cell r="O111">
            <v>44182</v>
          </cell>
          <cell r="P111">
            <v>44186</v>
          </cell>
          <cell r="Q111"/>
          <cell r="R111"/>
          <cell r="S111"/>
          <cell r="T111">
            <v>44550</v>
          </cell>
          <cell r="U111"/>
          <cell r="V111"/>
          <cell r="W111"/>
          <cell r="X111">
            <v>41100281</v>
          </cell>
        </row>
        <row r="112">
          <cell r="K112" t="str">
            <v>DBW-1975</v>
          </cell>
          <cell r="L112">
            <v>44214</v>
          </cell>
          <cell r="M112">
            <v>44215</v>
          </cell>
          <cell r="N112">
            <v>44222</v>
          </cell>
          <cell r="O112">
            <v>44215</v>
          </cell>
          <cell r="P112">
            <v>44222</v>
          </cell>
          <cell r="Q112"/>
          <cell r="R112"/>
          <cell r="S112"/>
          <cell r="T112">
            <v>44223</v>
          </cell>
          <cell r="U112">
            <v>44225</v>
          </cell>
          <cell r="V112">
            <v>44225</v>
          </cell>
          <cell r="W112">
            <v>44225</v>
          </cell>
          <cell r="X112">
            <v>41100258</v>
          </cell>
        </row>
        <row r="113">
          <cell r="K113" t="str">
            <v>DBW-1903</v>
          </cell>
          <cell r="L113">
            <v>44131</v>
          </cell>
          <cell r="M113">
            <v>44132</v>
          </cell>
          <cell r="N113">
            <v>44139</v>
          </cell>
          <cell r="O113">
            <v>44132</v>
          </cell>
          <cell r="P113">
            <v>44140</v>
          </cell>
          <cell r="Q113"/>
          <cell r="R113"/>
          <cell r="S113"/>
          <cell r="T113">
            <v>44148</v>
          </cell>
          <cell r="U113">
            <v>44153</v>
          </cell>
          <cell r="V113">
            <v>44153</v>
          </cell>
          <cell r="W113">
            <v>44153</v>
          </cell>
          <cell r="X113">
            <v>41100174</v>
          </cell>
        </row>
        <row r="114">
          <cell r="K114" t="str">
            <v>DBW-1963</v>
          </cell>
          <cell r="L114">
            <v>44182</v>
          </cell>
          <cell r="M114">
            <v>44182</v>
          </cell>
          <cell r="N114">
            <v>44189</v>
          </cell>
          <cell r="O114">
            <v>44182</v>
          </cell>
          <cell r="P114">
            <v>44188</v>
          </cell>
          <cell r="Q114"/>
          <cell r="R114"/>
          <cell r="S114"/>
          <cell r="T114">
            <v>44189</v>
          </cell>
          <cell r="U114">
            <v>44193</v>
          </cell>
          <cell r="V114">
            <v>44561</v>
          </cell>
          <cell r="W114">
            <v>44200</v>
          </cell>
          <cell r="X114">
            <v>41100173</v>
          </cell>
        </row>
        <row r="115">
          <cell r="K115" t="str">
            <v>DBW-1964</v>
          </cell>
          <cell r="L115">
            <v>44182</v>
          </cell>
          <cell r="M115">
            <v>44182</v>
          </cell>
          <cell r="N115">
            <v>44189</v>
          </cell>
          <cell r="O115">
            <v>44182</v>
          </cell>
          <cell r="P115">
            <v>44188</v>
          </cell>
          <cell r="Q115"/>
          <cell r="R115"/>
          <cell r="S115"/>
          <cell r="T115">
            <v>44193</v>
          </cell>
          <cell r="U115">
            <v>44194</v>
          </cell>
          <cell r="V115">
            <v>44561</v>
          </cell>
          <cell r="W115">
            <v>44200</v>
          </cell>
          <cell r="X115">
            <v>41100173</v>
          </cell>
        </row>
        <row r="116">
          <cell r="K116" t="str">
            <v>DBW-1943</v>
          </cell>
          <cell r="L116">
            <v>44167</v>
          </cell>
          <cell r="M116">
            <v>44167</v>
          </cell>
          <cell r="N116">
            <v>44173</v>
          </cell>
          <cell r="O116">
            <v>44167</v>
          </cell>
          <cell r="P116">
            <v>44173</v>
          </cell>
          <cell r="Q116"/>
          <cell r="R116"/>
          <cell r="S116"/>
          <cell r="T116">
            <v>44179</v>
          </cell>
          <cell r="U116">
            <v>44181</v>
          </cell>
          <cell r="V116">
            <v>44182</v>
          </cell>
          <cell r="W116">
            <v>44186</v>
          </cell>
          <cell r="X116">
            <v>41100234</v>
          </cell>
        </row>
        <row r="117">
          <cell r="K117" t="str">
            <v>DBW-1981</v>
          </cell>
          <cell r="L117">
            <v>44217</v>
          </cell>
          <cell r="M117">
            <v>44218</v>
          </cell>
          <cell r="N117">
            <v>44224</v>
          </cell>
          <cell r="O117">
            <v>44218</v>
          </cell>
          <cell r="P117">
            <v>44224</v>
          </cell>
          <cell r="Q117"/>
          <cell r="R117"/>
          <cell r="S117"/>
          <cell r="T117">
            <v>44228</v>
          </cell>
          <cell r="U117">
            <v>44229</v>
          </cell>
          <cell r="V117">
            <v>44230</v>
          </cell>
          <cell r="W117">
            <v>44230</v>
          </cell>
          <cell r="X117">
            <v>41100235</v>
          </cell>
        </row>
        <row r="118">
          <cell r="K118" t="str">
            <v>DBW-1982</v>
          </cell>
          <cell r="L118">
            <v>44217</v>
          </cell>
          <cell r="M118">
            <v>44218</v>
          </cell>
          <cell r="N118">
            <v>44224</v>
          </cell>
          <cell r="O118">
            <v>44218</v>
          </cell>
          <cell r="P118">
            <v>44224</v>
          </cell>
          <cell r="Q118"/>
          <cell r="R118"/>
          <cell r="S118"/>
          <cell r="T118">
            <v>44228</v>
          </cell>
          <cell r="U118">
            <v>44229</v>
          </cell>
          <cell r="V118">
            <v>44230</v>
          </cell>
          <cell r="W118">
            <v>44230</v>
          </cell>
          <cell r="X118">
            <v>41100235</v>
          </cell>
        </row>
        <row r="119">
          <cell r="K119" t="str">
            <v>DBW-1977</v>
          </cell>
          <cell r="L119">
            <v>44217</v>
          </cell>
          <cell r="M119">
            <v>44218</v>
          </cell>
          <cell r="N119">
            <v>44227</v>
          </cell>
          <cell r="O119">
            <v>44218</v>
          </cell>
          <cell r="P119">
            <v>44227</v>
          </cell>
          <cell r="Q119"/>
          <cell r="R119"/>
          <cell r="S119"/>
          <cell r="T119">
            <v>44228</v>
          </cell>
          <cell r="U119">
            <v>44229</v>
          </cell>
          <cell r="V119">
            <v>44230</v>
          </cell>
          <cell r="W119">
            <v>44230</v>
          </cell>
          <cell r="X119">
            <v>41100269</v>
          </cell>
        </row>
        <row r="120">
          <cell r="K120" t="str">
            <v>DBW-1978</v>
          </cell>
          <cell r="L120">
            <v>44217</v>
          </cell>
          <cell r="M120">
            <v>44218</v>
          </cell>
          <cell r="N120">
            <v>44227</v>
          </cell>
          <cell r="O120">
            <v>44218</v>
          </cell>
          <cell r="P120">
            <v>44227</v>
          </cell>
          <cell r="Q120"/>
          <cell r="R120"/>
          <cell r="S120"/>
          <cell r="T120">
            <v>44228</v>
          </cell>
          <cell r="U120">
            <v>44228</v>
          </cell>
          <cell r="V120">
            <v>44229</v>
          </cell>
          <cell r="W120">
            <v>44230</v>
          </cell>
          <cell r="X120">
            <v>41100269</v>
          </cell>
        </row>
        <row r="121">
          <cell r="K121" t="str">
            <v>DBW-1979</v>
          </cell>
          <cell r="L121">
            <v>44217</v>
          </cell>
          <cell r="M121">
            <v>44218</v>
          </cell>
          <cell r="N121">
            <v>44227</v>
          </cell>
          <cell r="O121">
            <v>44218</v>
          </cell>
          <cell r="P121">
            <v>44227</v>
          </cell>
          <cell r="Q121"/>
          <cell r="R121"/>
          <cell r="S121"/>
          <cell r="T121">
            <v>44228</v>
          </cell>
          <cell r="U121">
            <v>44228</v>
          </cell>
          <cell r="V121">
            <v>44229</v>
          </cell>
          <cell r="W121">
            <v>44230</v>
          </cell>
          <cell r="X121">
            <v>41100269</v>
          </cell>
        </row>
        <row r="122">
          <cell r="K122" t="str">
            <v>DBW-1980</v>
          </cell>
          <cell r="L122">
            <v>44217</v>
          </cell>
          <cell r="M122">
            <v>44218</v>
          </cell>
          <cell r="N122">
            <v>44227</v>
          </cell>
          <cell r="O122">
            <v>44218</v>
          </cell>
          <cell r="P122">
            <v>44227</v>
          </cell>
          <cell r="Q122"/>
          <cell r="R122"/>
          <cell r="S122"/>
          <cell r="T122">
            <v>44228</v>
          </cell>
          <cell r="U122">
            <v>44229</v>
          </cell>
          <cell r="V122">
            <v>44230</v>
          </cell>
          <cell r="W122">
            <v>44230</v>
          </cell>
          <cell r="X122">
            <v>41100269</v>
          </cell>
        </row>
        <row r="123">
          <cell r="K123" t="str">
            <v>DBW-1970</v>
          </cell>
          <cell r="L123">
            <v>44214</v>
          </cell>
          <cell r="M123">
            <v>44214</v>
          </cell>
          <cell r="N123">
            <v>44222</v>
          </cell>
          <cell r="O123">
            <v>44214</v>
          </cell>
          <cell r="P123">
            <v>44222</v>
          </cell>
          <cell r="Q123"/>
          <cell r="R123"/>
          <cell r="S123"/>
          <cell r="T123">
            <v>44223</v>
          </cell>
          <cell r="U123">
            <v>44224</v>
          </cell>
          <cell r="V123">
            <v>44225</v>
          </cell>
          <cell r="W123">
            <v>44228</v>
          </cell>
          <cell r="X123">
            <v>41100199</v>
          </cell>
        </row>
        <row r="124">
          <cell r="K124" t="str">
            <v>DBW-1971</v>
          </cell>
          <cell r="L124">
            <v>44214</v>
          </cell>
          <cell r="M124">
            <v>44214</v>
          </cell>
          <cell r="N124">
            <v>44222</v>
          </cell>
          <cell r="O124">
            <v>44214</v>
          </cell>
          <cell r="P124">
            <v>44222</v>
          </cell>
          <cell r="Q124"/>
          <cell r="R124"/>
          <cell r="S124"/>
          <cell r="T124">
            <v>44223</v>
          </cell>
          <cell r="U124">
            <v>44224</v>
          </cell>
          <cell r="V124">
            <v>44225</v>
          </cell>
          <cell r="W124">
            <v>44228</v>
          </cell>
          <cell r="X124">
            <v>41100199</v>
          </cell>
        </row>
        <row r="125">
          <cell r="K125" t="str">
            <v>DBW-1956</v>
          </cell>
          <cell r="L125">
            <v>44179</v>
          </cell>
          <cell r="M125">
            <v>44180</v>
          </cell>
          <cell r="N125">
            <v>44186</v>
          </cell>
          <cell r="O125">
            <v>44180</v>
          </cell>
          <cell r="P125">
            <v>44183</v>
          </cell>
          <cell r="Q125"/>
          <cell r="R125"/>
          <cell r="S125"/>
          <cell r="T125">
            <v>44187</v>
          </cell>
          <cell r="U125">
            <v>44189</v>
          </cell>
          <cell r="V125">
            <v>44195</v>
          </cell>
          <cell r="W125">
            <v>44195</v>
          </cell>
          <cell r="X125">
            <v>41100175</v>
          </cell>
        </row>
        <row r="126">
          <cell r="K126" t="str">
            <v>DBW-1957</v>
          </cell>
          <cell r="L126">
            <v>44179</v>
          </cell>
          <cell r="M126">
            <v>44180</v>
          </cell>
          <cell r="N126">
            <v>44186</v>
          </cell>
          <cell r="O126">
            <v>44180</v>
          </cell>
          <cell r="P126">
            <v>44183</v>
          </cell>
          <cell r="Q126"/>
          <cell r="R126"/>
          <cell r="S126"/>
          <cell r="T126">
            <v>44187</v>
          </cell>
          <cell r="U126">
            <v>44189</v>
          </cell>
          <cell r="V126">
            <v>44201</v>
          </cell>
          <cell r="W126">
            <v>44201</v>
          </cell>
          <cell r="X126">
            <v>41100175</v>
          </cell>
        </row>
        <row r="127">
          <cell r="K127" t="str">
            <v>GBWS-0853</v>
          </cell>
          <cell r="L127">
            <v>44193</v>
          </cell>
          <cell r="M127">
            <v>44194</v>
          </cell>
          <cell r="N127">
            <v>43836</v>
          </cell>
          <cell r="O127">
            <v>44194</v>
          </cell>
          <cell r="P127">
            <v>44203</v>
          </cell>
          <cell r="Q127"/>
          <cell r="R127"/>
          <cell r="S127"/>
          <cell r="T127">
            <v>44203</v>
          </cell>
          <cell r="U127">
            <v>44204</v>
          </cell>
          <cell r="V127">
            <v>44207</v>
          </cell>
          <cell r="W127">
            <v>44207</v>
          </cell>
          <cell r="X127">
            <v>41100209</v>
          </cell>
        </row>
        <row r="128">
          <cell r="K128" t="str">
            <v>DS-0092</v>
          </cell>
          <cell r="L128">
            <v>44201</v>
          </cell>
          <cell r="M128">
            <v>44202</v>
          </cell>
          <cell r="N128">
            <v>44210</v>
          </cell>
          <cell r="O128">
            <v>44202</v>
          </cell>
          <cell r="P128">
            <v>44211</v>
          </cell>
          <cell r="Q128"/>
          <cell r="R128"/>
          <cell r="S128"/>
          <cell r="T128">
            <v>44210</v>
          </cell>
          <cell r="U128">
            <v>43849</v>
          </cell>
          <cell r="V128">
            <v>44216</v>
          </cell>
          <cell r="W128">
            <v>44217</v>
          </cell>
          <cell r="X128">
            <v>41100007</v>
          </cell>
        </row>
        <row r="129">
          <cell r="K129"/>
          <cell r="L129"/>
          <cell r="M129">
            <v>44202</v>
          </cell>
          <cell r="N129">
            <v>43849</v>
          </cell>
          <cell r="O129">
            <v>44202</v>
          </cell>
          <cell r="P129">
            <v>0</v>
          </cell>
          <cell r="Q129"/>
          <cell r="R129"/>
          <cell r="S129"/>
          <cell r="T129">
            <v>43849</v>
          </cell>
          <cell r="U129">
            <v>43849</v>
          </cell>
          <cell r="V129">
            <v>43849</v>
          </cell>
          <cell r="W129">
            <v>43849</v>
          </cell>
          <cell r="X129">
            <v>31010314</v>
          </cell>
        </row>
        <row r="130">
          <cell r="K130" t="str">
            <v>GBWS-0889</v>
          </cell>
          <cell r="L130">
            <v>44208</v>
          </cell>
          <cell r="M130">
            <v>44209</v>
          </cell>
          <cell r="N130">
            <v>44224</v>
          </cell>
          <cell r="O130">
            <v>44209</v>
          </cell>
          <cell r="P130">
            <v>44222</v>
          </cell>
          <cell r="Q130"/>
          <cell r="R130"/>
          <cell r="S130"/>
          <cell r="T130">
            <v>44223</v>
          </cell>
          <cell r="U130">
            <v>44228</v>
          </cell>
          <cell r="V130">
            <v>44229</v>
          </cell>
          <cell r="W130">
            <v>44229</v>
          </cell>
          <cell r="X130">
            <v>41100168</v>
          </cell>
        </row>
        <row r="131">
          <cell r="K131" t="str">
            <v>GBWS-0890</v>
          </cell>
          <cell r="L131">
            <v>44208</v>
          </cell>
          <cell r="M131">
            <v>44209</v>
          </cell>
          <cell r="N131">
            <v>44224</v>
          </cell>
          <cell r="O131">
            <v>44209</v>
          </cell>
          <cell r="P131">
            <v>44222</v>
          </cell>
          <cell r="Q131"/>
          <cell r="R131"/>
          <cell r="S131"/>
          <cell r="T131">
            <v>44224</v>
          </cell>
          <cell r="U131">
            <v>44225</v>
          </cell>
          <cell r="V131">
            <v>44228</v>
          </cell>
          <cell r="W131">
            <v>44228</v>
          </cell>
          <cell r="X131">
            <v>41100168</v>
          </cell>
        </row>
        <row r="132">
          <cell r="K132" t="str">
            <v>GBWS-0891</v>
          </cell>
          <cell r="L132">
            <v>44208</v>
          </cell>
          <cell r="M132">
            <v>44209</v>
          </cell>
          <cell r="N132">
            <v>44224</v>
          </cell>
          <cell r="O132">
            <v>44209</v>
          </cell>
          <cell r="P132">
            <v>44222</v>
          </cell>
          <cell r="Q132"/>
          <cell r="R132"/>
          <cell r="S132"/>
          <cell r="T132">
            <v>44224</v>
          </cell>
          <cell r="U132">
            <v>44228</v>
          </cell>
          <cell r="V132">
            <v>44229</v>
          </cell>
          <cell r="W132">
            <v>44229</v>
          </cell>
          <cell r="X132">
            <v>41100168</v>
          </cell>
        </row>
        <row r="133">
          <cell r="K133" t="str">
            <v>GBWS-0892</v>
          </cell>
          <cell r="L133">
            <v>44208</v>
          </cell>
          <cell r="M133">
            <v>44209</v>
          </cell>
          <cell r="N133">
            <v>44224</v>
          </cell>
          <cell r="O133">
            <v>44209</v>
          </cell>
          <cell r="P133">
            <v>44222</v>
          </cell>
          <cell r="Q133"/>
          <cell r="R133"/>
          <cell r="S133"/>
          <cell r="T133">
            <v>44224</v>
          </cell>
          <cell r="U133">
            <v>44225</v>
          </cell>
          <cell r="V133">
            <v>44228</v>
          </cell>
          <cell r="W133">
            <v>44228</v>
          </cell>
          <cell r="X133">
            <v>41100168</v>
          </cell>
        </row>
        <row r="134">
          <cell r="K134" t="str">
            <v>GBWS-0893</v>
          </cell>
          <cell r="L134">
            <v>44208</v>
          </cell>
          <cell r="M134">
            <v>44209</v>
          </cell>
          <cell r="N134">
            <v>44224</v>
          </cell>
          <cell r="O134">
            <v>44209</v>
          </cell>
          <cell r="P134">
            <v>44223</v>
          </cell>
          <cell r="Q134"/>
          <cell r="R134"/>
          <cell r="S134"/>
          <cell r="T134">
            <v>44223</v>
          </cell>
          <cell r="U134">
            <v>44228</v>
          </cell>
          <cell r="V134">
            <v>44229</v>
          </cell>
          <cell r="W134">
            <v>44229</v>
          </cell>
          <cell r="X134">
            <v>41100168</v>
          </cell>
        </row>
        <row r="135">
          <cell r="K135" t="str">
            <v>GBWS-0896</v>
          </cell>
          <cell r="L135">
            <v>44208</v>
          </cell>
          <cell r="M135">
            <v>44209</v>
          </cell>
          <cell r="N135">
            <v>44225</v>
          </cell>
          <cell r="O135">
            <v>44209</v>
          </cell>
          <cell r="P135">
            <v>44223</v>
          </cell>
          <cell r="Q135"/>
          <cell r="R135"/>
          <cell r="S135"/>
          <cell r="T135">
            <v>44225</v>
          </cell>
          <cell r="U135">
            <v>44228</v>
          </cell>
          <cell r="V135">
            <v>44229</v>
          </cell>
          <cell r="W135">
            <v>44229</v>
          </cell>
          <cell r="X135">
            <v>41100168</v>
          </cell>
        </row>
        <row r="136">
          <cell r="K136" t="str">
            <v>DBW-1983</v>
          </cell>
          <cell r="L136">
            <v>44217</v>
          </cell>
          <cell r="M136">
            <v>44218</v>
          </cell>
          <cell r="N136">
            <v>44228</v>
          </cell>
          <cell r="O136">
            <v>44218</v>
          </cell>
          <cell r="P136">
            <v>44227</v>
          </cell>
          <cell r="Q136"/>
          <cell r="R136"/>
          <cell r="S136"/>
          <cell r="T136">
            <v>44229</v>
          </cell>
          <cell r="U136">
            <v>44229</v>
          </cell>
          <cell r="V136">
            <v>44230</v>
          </cell>
          <cell r="W136">
            <v>44230</v>
          </cell>
          <cell r="X136">
            <v>41100171</v>
          </cell>
        </row>
        <row r="137">
          <cell r="K137" t="str">
            <v>DBW-1984</v>
          </cell>
          <cell r="L137">
            <v>44217</v>
          </cell>
          <cell r="M137">
            <v>44218</v>
          </cell>
          <cell r="N137">
            <v>44228</v>
          </cell>
          <cell r="O137">
            <v>44218</v>
          </cell>
          <cell r="P137">
            <v>44227</v>
          </cell>
          <cell r="Q137"/>
          <cell r="R137"/>
          <cell r="S137"/>
          <cell r="T137">
            <v>44229</v>
          </cell>
          <cell r="U137">
            <v>44229</v>
          </cell>
          <cell r="V137">
            <v>44230</v>
          </cell>
          <cell r="W137">
            <v>44230</v>
          </cell>
          <cell r="X137">
            <v>41100171</v>
          </cell>
        </row>
        <row r="138">
          <cell r="K138" t="str">
            <v>GBWS-0917</v>
          </cell>
          <cell r="L138">
            <v>43849</v>
          </cell>
          <cell r="M138">
            <v>44225</v>
          </cell>
          <cell r="N138">
            <v>44234</v>
          </cell>
          <cell r="O138">
            <v>44225</v>
          </cell>
          <cell r="P138">
            <v>44234</v>
          </cell>
          <cell r="Q138"/>
          <cell r="R138"/>
          <cell r="S138"/>
          <cell r="T138">
            <v>44234</v>
          </cell>
          <cell r="U138">
            <v>44235</v>
          </cell>
          <cell r="V138">
            <v>44236</v>
          </cell>
          <cell r="W138">
            <v>44236</v>
          </cell>
          <cell r="X138">
            <v>41100286</v>
          </cell>
        </row>
        <row r="139">
          <cell r="K139" t="str">
            <v>GBWS-0874</v>
          </cell>
          <cell r="L139">
            <v>44204</v>
          </cell>
          <cell r="M139">
            <v>44204</v>
          </cell>
          <cell r="N139">
            <v>43849</v>
          </cell>
          <cell r="O139">
            <v>44204</v>
          </cell>
          <cell r="P139">
            <v>43848</v>
          </cell>
          <cell r="Q139"/>
          <cell r="R139"/>
          <cell r="S139"/>
          <cell r="T139">
            <v>44216</v>
          </cell>
          <cell r="U139">
            <v>44217</v>
          </cell>
          <cell r="V139">
            <v>44218</v>
          </cell>
          <cell r="W139">
            <v>44218</v>
          </cell>
          <cell r="X139">
            <v>41100088</v>
          </cell>
        </row>
        <row r="140">
          <cell r="K140" t="str">
            <v>GBWS-0875</v>
          </cell>
          <cell r="L140">
            <v>44204</v>
          </cell>
          <cell r="M140">
            <v>44204</v>
          </cell>
          <cell r="N140">
            <v>43849</v>
          </cell>
          <cell r="O140">
            <v>44204</v>
          </cell>
          <cell r="P140">
            <v>44217</v>
          </cell>
          <cell r="Q140"/>
          <cell r="R140"/>
          <cell r="S140"/>
          <cell r="T140">
            <v>44218</v>
          </cell>
          <cell r="U140">
            <v>44221</v>
          </cell>
          <cell r="V140">
            <v>44221</v>
          </cell>
          <cell r="W140">
            <v>44222</v>
          </cell>
          <cell r="X140">
            <v>41100089</v>
          </cell>
        </row>
        <row r="141">
          <cell r="K141" t="str">
            <v>GBWS-0876</v>
          </cell>
          <cell r="L141">
            <v>44204</v>
          </cell>
          <cell r="M141">
            <v>44204</v>
          </cell>
          <cell r="N141">
            <v>43849</v>
          </cell>
          <cell r="O141">
            <v>44204</v>
          </cell>
          <cell r="P141">
            <v>44217</v>
          </cell>
          <cell r="Q141"/>
          <cell r="R141"/>
          <cell r="S141"/>
          <cell r="T141">
            <v>44216</v>
          </cell>
          <cell r="U141">
            <v>44218</v>
          </cell>
          <cell r="V141">
            <v>44221</v>
          </cell>
          <cell r="W141">
            <v>44221</v>
          </cell>
          <cell r="X141">
            <v>41100089</v>
          </cell>
        </row>
        <row r="142">
          <cell r="K142" t="str">
            <v>GBWS-0877</v>
          </cell>
          <cell r="L142">
            <v>44204</v>
          </cell>
          <cell r="M142">
            <v>44204</v>
          </cell>
          <cell r="N142">
            <v>43849</v>
          </cell>
          <cell r="O142">
            <v>44204</v>
          </cell>
          <cell r="P142">
            <v>44217</v>
          </cell>
          <cell r="Q142"/>
          <cell r="R142"/>
          <cell r="S142"/>
          <cell r="T142">
            <v>44217</v>
          </cell>
          <cell r="U142">
            <v>44218</v>
          </cell>
          <cell r="V142">
            <v>44218</v>
          </cell>
          <cell r="W142">
            <v>44218</v>
          </cell>
          <cell r="X142">
            <v>41100089</v>
          </cell>
        </row>
        <row r="143">
          <cell r="K143" t="str">
            <v>GBWS-0886</v>
          </cell>
          <cell r="L143">
            <v>44204</v>
          </cell>
          <cell r="M143">
            <v>44204</v>
          </cell>
          <cell r="N143">
            <v>44218</v>
          </cell>
          <cell r="O143">
            <v>44204</v>
          </cell>
          <cell r="P143">
            <v>44217</v>
          </cell>
          <cell r="Q143"/>
          <cell r="R143"/>
          <cell r="S143"/>
          <cell r="T143">
            <v>44218</v>
          </cell>
          <cell r="U143">
            <v>44218</v>
          </cell>
          <cell r="V143">
            <v>44221</v>
          </cell>
          <cell r="W143">
            <v>44222</v>
          </cell>
          <cell r="X143">
            <v>41100093</v>
          </cell>
        </row>
        <row r="144">
          <cell r="K144" t="str">
            <v>GBWS-0887</v>
          </cell>
          <cell r="L144">
            <v>44204</v>
          </cell>
          <cell r="M144">
            <v>44204</v>
          </cell>
          <cell r="N144">
            <v>44218</v>
          </cell>
          <cell r="O144">
            <v>44204</v>
          </cell>
          <cell r="P144">
            <v>44217</v>
          </cell>
          <cell r="Q144"/>
          <cell r="R144"/>
          <cell r="S144"/>
          <cell r="T144">
            <v>44217</v>
          </cell>
          <cell r="U144">
            <v>44218</v>
          </cell>
          <cell r="V144">
            <v>44221</v>
          </cell>
          <cell r="W144">
            <v>44222</v>
          </cell>
          <cell r="X144">
            <v>41100093</v>
          </cell>
        </row>
        <row r="145">
          <cell r="K145" t="str">
            <v>GBWS-0888</v>
          </cell>
          <cell r="L145">
            <v>44204</v>
          </cell>
          <cell r="M145">
            <v>44204</v>
          </cell>
          <cell r="N145">
            <v>44218</v>
          </cell>
          <cell r="O145">
            <v>44204</v>
          </cell>
          <cell r="P145">
            <v>44217</v>
          </cell>
          <cell r="Q145"/>
          <cell r="R145"/>
          <cell r="S145"/>
          <cell r="T145">
            <v>44218</v>
          </cell>
          <cell r="U145">
            <v>44221</v>
          </cell>
          <cell r="V145">
            <v>44222</v>
          </cell>
          <cell r="W145">
            <v>44222</v>
          </cell>
          <cell r="X145">
            <v>41100093</v>
          </cell>
        </row>
        <row r="146">
          <cell r="K146" t="str">
            <v>GBWS-0878</v>
          </cell>
          <cell r="L146">
            <v>44204</v>
          </cell>
          <cell r="M146">
            <v>44204</v>
          </cell>
          <cell r="N146">
            <v>43848</v>
          </cell>
          <cell r="O146">
            <v>44204</v>
          </cell>
          <cell r="P146">
            <v>43849</v>
          </cell>
          <cell r="Q146"/>
          <cell r="R146"/>
          <cell r="S146"/>
          <cell r="T146">
            <v>43849</v>
          </cell>
          <cell r="U146">
            <v>44216</v>
          </cell>
          <cell r="V146">
            <v>44216</v>
          </cell>
          <cell r="W146">
            <v>44216</v>
          </cell>
          <cell r="X146">
            <v>41100090</v>
          </cell>
        </row>
        <row r="147">
          <cell r="K147" t="str">
            <v>GBWS-0879</v>
          </cell>
          <cell r="L147">
            <v>44204</v>
          </cell>
          <cell r="M147">
            <v>44204</v>
          </cell>
          <cell r="N147">
            <v>43848</v>
          </cell>
          <cell r="O147">
            <v>44204</v>
          </cell>
          <cell r="P147">
            <v>43849</v>
          </cell>
          <cell r="Q147"/>
          <cell r="R147"/>
          <cell r="S147"/>
          <cell r="T147">
            <v>43849</v>
          </cell>
          <cell r="U147">
            <v>44217</v>
          </cell>
          <cell r="V147">
            <v>44216</v>
          </cell>
          <cell r="W147">
            <v>44221</v>
          </cell>
          <cell r="X147">
            <v>41100090</v>
          </cell>
        </row>
        <row r="148">
          <cell r="K148" t="str">
            <v>GBWS-0880</v>
          </cell>
          <cell r="L148">
            <v>44204</v>
          </cell>
          <cell r="M148">
            <v>44204</v>
          </cell>
          <cell r="N148">
            <v>43848</v>
          </cell>
          <cell r="O148">
            <v>44204</v>
          </cell>
          <cell r="P148">
            <v>43849</v>
          </cell>
          <cell r="Q148"/>
          <cell r="R148"/>
          <cell r="S148"/>
          <cell r="T148">
            <v>44216</v>
          </cell>
          <cell r="U148">
            <v>44217</v>
          </cell>
          <cell r="V148">
            <v>44217</v>
          </cell>
          <cell r="W148">
            <v>44217</v>
          </cell>
          <cell r="X148">
            <v>41100090</v>
          </cell>
        </row>
        <row r="149">
          <cell r="K149" t="str">
            <v>GBWS-0881</v>
          </cell>
          <cell r="L149">
            <v>44204</v>
          </cell>
          <cell r="M149">
            <v>44204</v>
          </cell>
          <cell r="N149">
            <v>43848</v>
          </cell>
          <cell r="O149">
            <v>44204</v>
          </cell>
          <cell r="P149">
            <v>43849</v>
          </cell>
          <cell r="Q149"/>
          <cell r="R149"/>
          <cell r="S149"/>
          <cell r="T149">
            <v>43849</v>
          </cell>
          <cell r="U149">
            <v>43849</v>
          </cell>
          <cell r="V149">
            <v>44216</v>
          </cell>
          <cell r="W149">
            <v>44216</v>
          </cell>
          <cell r="X149">
            <v>41100090</v>
          </cell>
        </row>
        <row r="150">
          <cell r="K150" t="str">
            <v>GBWS-0882</v>
          </cell>
          <cell r="L150">
            <v>44204</v>
          </cell>
          <cell r="M150">
            <v>44204</v>
          </cell>
          <cell r="N150">
            <v>43848</v>
          </cell>
          <cell r="O150">
            <v>44204</v>
          </cell>
          <cell r="P150">
            <v>43849</v>
          </cell>
          <cell r="Q150"/>
          <cell r="R150"/>
          <cell r="S150"/>
          <cell r="T150">
            <v>44216</v>
          </cell>
          <cell r="U150">
            <v>44221</v>
          </cell>
          <cell r="V150">
            <v>44216</v>
          </cell>
          <cell r="W150">
            <v>44221</v>
          </cell>
          <cell r="X150">
            <v>41100090</v>
          </cell>
        </row>
        <row r="151">
          <cell r="K151" t="str">
            <v>GBWS-0883</v>
          </cell>
          <cell r="L151">
            <v>44204</v>
          </cell>
          <cell r="M151">
            <v>44204</v>
          </cell>
          <cell r="N151">
            <v>43848</v>
          </cell>
          <cell r="O151">
            <v>44204</v>
          </cell>
          <cell r="P151">
            <v>43849</v>
          </cell>
          <cell r="Q151"/>
          <cell r="R151"/>
          <cell r="S151"/>
          <cell r="T151">
            <v>44216</v>
          </cell>
          <cell r="U151">
            <v>44217</v>
          </cell>
          <cell r="V151">
            <v>44217</v>
          </cell>
          <cell r="W151">
            <v>44218</v>
          </cell>
          <cell r="X151">
            <v>41100090</v>
          </cell>
        </row>
        <row r="152">
          <cell r="K152" t="str">
            <v>GBWS-0884</v>
          </cell>
          <cell r="L152">
            <v>43849</v>
          </cell>
          <cell r="M152">
            <v>43849</v>
          </cell>
          <cell r="N152">
            <v>43849</v>
          </cell>
          <cell r="O152">
            <v>43849</v>
          </cell>
          <cell r="P152">
            <v>43849</v>
          </cell>
          <cell r="Q152"/>
          <cell r="R152"/>
          <cell r="S152"/>
          <cell r="T152">
            <v>43849</v>
          </cell>
          <cell r="U152">
            <v>43849</v>
          </cell>
          <cell r="V152">
            <v>44216</v>
          </cell>
          <cell r="W152">
            <v>44216</v>
          </cell>
          <cell r="X152">
            <v>41100090</v>
          </cell>
        </row>
        <row r="153">
          <cell r="K153" t="str">
            <v>GBWS-0885</v>
          </cell>
          <cell r="L153">
            <v>44204</v>
          </cell>
          <cell r="M153">
            <v>44204</v>
          </cell>
          <cell r="N153">
            <v>43848</v>
          </cell>
          <cell r="O153">
            <v>44204</v>
          </cell>
          <cell r="P153">
            <v>43849</v>
          </cell>
          <cell r="Q153"/>
          <cell r="R153"/>
          <cell r="S153"/>
          <cell r="T153">
            <v>44216</v>
          </cell>
          <cell r="U153">
            <v>44217</v>
          </cell>
          <cell r="V153">
            <v>44221</v>
          </cell>
          <cell r="W153">
            <v>44222</v>
          </cell>
          <cell r="X153">
            <v>41100090</v>
          </cell>
        </row>
        <row r="154">
          <cell r="K154" t="str">
            <v>GBWS-0918</v>
          </cell>
          <cell r="L154">
            <v>44222</v>
          </cell>
          <cell r="M154">
            <v>44222</v>
          </cell>
          <cell r="N154">
            <v>44234</v>
          </cell>
          <cell r="O154">
            <v>44222</v>
          </cell>
          <cell r="P154">
            <v>44234</v>
          </cell>
          <cell r="Q154"/>
          <cell r="R154"/>
          <cell r="S154"/>
          <cell r="T154">
            <v>44234</v>
          </cell>
          <cell r="U154">
            <v>44235</v>
          </cell>
          <cell r="V154">
            <v>44236</v>
          </cell>
          <cell r="W154">
            <v>44236</v>
          </cell>
          <cell r="X154">
            <v>41100283</v>
          </cell>
        </row>
        <row r="155">
          <cell r="K155" t="str">
            <v>GBWS-0919</v>
          </cell>
          <cell r="L155">
            <v>44222</v>
          </cell>
          <cell r="M155">
            <v>44222</v>
          </cell>
          <cell r="N155">
            <v>44234</v>
          </cell>
          <cell r="O155">
            <v>44222</v>
          </cell>
          <cell r="P155">
            <v>44234</v>
          </cell>
          <cell r="Q155"/>
          <cell r="R155"/>
          <cell r="S155"/>
          <cell r="T155">
            <v>44234</v>
          </cell>
          <cell r="U155">
            <v>44235</v>
          </cell>
          <cell r="V155">
            <v>44236</v>
          </cell>
          <cell r="W155">
            <v>44236</v>
          </cell>
          <cell r="X155">
            <v>41100283</v>
          </cell>
        </row>
        <row r="156">
          <cell r="K156" t="str">
            <v>GBWS-0920</v>
          </cell>
          <cell r="L156">
            <v>44221</v>
          </cell>
          <cell r="M156">
            <v>44222</v>
          </cell>
          <cell r="N156">
            <v>44236</v>
          </cell>
          <cell r="O156">
            <v>44222</v>
          </cell>
          <cell r="P156">
            <v>44236</v>
          </cell>
          <cell r="Q156"/>
          <cell r="R156"/>
          <cell r="S156"/>
          <cell r="T156">
            <v>44236</v>
          </cell>
          <cell r="U156">
            <v>44237</v>
          </cell>
          <cell r="V156">
            <v>44242</v>
          </cell>
          <cell r="W156">
            <v>44242</v>
          </cell>
          <cell r="X156">
            <v>41100244</v>
          </cell>
        </row>
        <row r="157">
          <cell r="K157" t="str">
            <v>GBWS-0899</v>
          </cell>
          <cell r="L157">
            <v>44210</v>
          </cell>
          <cell r="M157">
            <v>44211</v>
          </cell>
          <cell r="N157">
            <v>44228</v>
          </cell>
          <cell r="O157">
            <v>44211</v>
          </cell>
          <cell r="P157">
            <v>44229</v>
          </cell>
          <cell r="Q157"/>
          <cell r="R157"/>
          <cell r="S157"/>
          <cell r="T157">
            <v>44229</v>
          </cell>
          <cell r="U157">
            <v>44230</v>
          </cell>
          <cell r="V157">
            <v>44230</v>
          </cell>
          <cell r="W157">
            <v>44231</v>
          </cell>
          <cell r="X157">
            <v>41100287</v>
          </cell>
        </row>
        <row r="158">
          <cell r="K158" t="str">
            <v>GBWS-0907</v>
          </cell>
          <cell r="L158">
            <v>44210</v>
          </cell>
          <cell r="M158">
            <v>44211</v>
          </cell>
          <cell r="N158">
            <v>44228</v>
          </cell>
          <cell r="O158">
            <v>44211</v>
          </cell>
          <cell r="P158">
            <v>44229</v>
          </cell>
          <cell r="Q158"/>
          <cell r="R158"/>
          <cell r="S158"/>
          <cell r="T158">
            <v>44229</v>
          </cell>
          <cell r="U158">
            <v>44232</v>
          </cell>
          <cell r="V158">
            <v>44235</v>
          </cell>
          <cell r="W158">
            <v>44235</v>
          </cell>
          <cell r="X158">
            <v>41100287</v>
          </cell>
        </row>
        <row r="159">
          <cell r="K159" t="str">
            <v>GBWS-0908</v>
          </cell>
          <cell r="L159">
            <v>44210</v>
          </cell>
          <cell r="M159">
            <v>44211</v>
          </cell>
          <cell r="N159">
            <v>44228</v>
          </cell>
          <cell r="O159">
            <v>44211</v>
          </cell>
          <cell r="P159">
            <v>44229</v>
          </cell>
          <cell r="Q159"/>
          <cell r="R159"/>
          <cell r="S159"/>
          <cell r="T159">
            <v>44230</v>
          </cell>
          <cell r="U159">
            <v>44230</v>
          </cell>
          <cell r="V159">
            <v>44230</v>
          </cell>
          <cell r="W159">
            <v>44231</v>
          </cell>
          <cell r="X159">
            <v>41100287</v>
          </cell>
        </row>
        <row r="160">
          <cell r="K160" t="str">
            <v>GBWS-0909</v>
          </cell>
          <cell r="L160">
            <v>44210</v>
          </cell>
          <cell r="M160">
            <v>44211</v>
          </cell>
          <cell r="N160">
            <v>44228</v>
          </cell>
          <cell r="O160">
            <v>44211</v>
          </cell>
          <cell r="P160">
            <v>44229</v>
          </cell>
          <cell r="Q160"/>
          <cell r="R160"/>
          <cell r="S160"/>
          <cell r="T160">
            <v>44229</v>
          </cell>
          <cell r="U160">
            <v>44230</v>
          </cell>
          <cell r="V160">
            <v>44230</v>
          </cell>
          <cell r="W160">
            <v>44231</v>
          </cell>
          <cell r="X160">
            <v>41100287</v>
          </cell>
        </row>
        <row r="161">
          <cell r="K161" t="str">
            <v>GBWS-0911</v>
          </cell>
          <cell r="L161">
            <v>44210</v>
          </cell>
          <cell r="M161">
            <v>44211</v>
          </cell>
          <cell r="N161">
            <v>44228</v>
          </cell>
          <cell r="O161">
            <v>44211</v>
          </cell>
          <cell r="P161">
            <v>44229</v>
          </cell>
          <cell r="Q161"/>
          <cell r="R161"/>
          <cell r="S161"/>
          <cell r="T161">
            <v>44229</v>
          </cell>
          <cell r="U161">
            <v>44230</v>
          </cell>
          <cell r="V161">
            <v>44230</v>
          </cell>
          <cell r="W161">
            <v>44231</v>
          </cell>
          <cell r="X161">
            <v>41100287</v>
          </cell>
        </row>
        <row r="162">
          <cell r="K162" t="str">
            <v>GBWS-0910</v>
          </cell>
          <cell r="L162">
            <v>44210</v>
          </cell>
          <cell r="M162">
            <v>44211</v>
          </cell>
          <cell r="N162">
            <v>44229</v>
          </cell>
          <cell r="O162">
            <v>44211</v>
          </cell>
          <cell r="P162">
            <v>44229</v>
          </cell>
          <cell r="Q162"/>
          <cell r="R162"/>
          <cell r="S162"/>
          <cell r="T162">
            <v>44230</v>
          </cell>
          <cell r="U162">
            <v>44236</v>
          </cell>
          <cell r="V162">
            <v>44236</v>
          </cell>
          <cell r="W162">
            <v>44237</v>
          </cell>
          <cell r="X162">
            <v>41100287</v>
          </cell>
        </row>
        <row r="163">
          <cell r="K163" t="str">
            <v>GBWS-0904</v>
          </cell>
          <cell r="L163">
            <v>44210</v>
          </cell>
          <cell r="M163">
            <v>44211</v>
          </cell>
          <cell r="N163">
            <v>44229</v>
          </cell>
          <cell r="O163">
            <v>44211</v>
          </cell>
          <cell r="P163">
            <v>44229</v>
          </cell>
          <cell r="Q163"/>
          <cell r="R163"/>
          <cell r="S163"/>
          <cell r="T163">
            <v>44230</v>
          </cell>
          <cell r="U163">
            <v>44232</v>
          </cell>
          <cell r="V163">
            <v>44235</v>
          </cell>
          <cell r="W163">
            <v>44235</v>
          </cell>
          <cell r="X163">
            <v>41100287</v>
          </cell>
        </row>
        <row r="164">
          <cell r="K164" t="str">
            <v>GBWS-0913</v>
          </cell>
          <cell r="L164">
            <v>44210</v>
          </cell>
          <cell r="M164">
            <v>44211</v>
          </cell>
          <cell r="N164">
            <v>44230</v>
          </cell>
          <cell r="O164">
            <v>44211</v>
          </cell>
          <cell r="P164">
            <v>44229</v>
          </cell>
          <cell r="Q164"/>
          <cell r="R164"/>
          <cell r="S164"/>
          <cell r="T164">
            <v>44232</v>
          </cell>
          <cell r="U164">
            <v>44236</v>
          </cell>
          <cell r="V164">
            <v>44236</v>
          </cell>
          <cell r="W164">
            <v>44237</v>
          </cell>
          <cell r="X164">
            <v>41100288</v>
          </cell>
        </row>
        <row r="165">
          <cell r="K165" t="str">
            <v>GBWS-0914</v>
          </cell>
          <cell r="L165">
            <v>44210</v>
          </cell>
          <cell r="M165">
            <v>44211</v>
          </cell>
          <cell r="N165">
            <v>44230</v>
          </cell>
          <cell r="O165">
            <v>44211</v>
          </cell>
          <cell r="P165">
            <v>44229</v>
          </cell>
          <cell r="Q165"/>
          <cell r="R165"/>
          <cell r="S165"/>
          <cell r="T165">
            <v>44232</v>
          </cell>
          <cell r="U165">
            <v>44236</v>
          </cell>
          <cell r="V165">
            <v>44236</v>
          </cell>
          <cell r="W165">
            <v>44237</v>
          </cell>
          <cell r="X165">
            <v>41100288</v>
          </cell>
        </row>
        <row r="166">
          <cell r="K166" t="str">
            <v>GBWS-0915</v>
          </cell>
          <cell r="L166">
            <v>44210</v>
          </cell>
          <cell r="M166">
            <v>44211</v>
          </cell>
          <cell r="N166">
            <v>44230</v>
          </cell>
          <cell r="O166">
            <v>44211</v>
          </cell>
          <cell r="P166">
            <v>44229</v>
          </cell>
          <cell r="Q166"/>
          <cell r="R166"/>
          <cell r="S166"/>
          <cell r="T166">
            <v>44232</v>
          </cell>
          <cell r="U166">
            <v>44237</v>
          </cell>
          <cell r="V166">
            <v>44243</v>
          </cell>
          <cell r="W166">
            <v>44243</v>
          </cell>
          <cell r="X166">
            <v>41100288</v>
          </cell>
        </row>
        <row r="167">
          <cell r="K167" t="str">
            <v>GBWS-0916</v>
          </cell>
          <cell r="L167">
            <v>44210</v>
          </cell>
          <cell r="M167">
            <v>44211</v>
          </cell>
          <cell r="N167">
            <v>44230</v>
          </cell>
          <cell r="O167">
            <v>44211</v>
          </cell>
          <cell r="P167">
            <v>44229</v>
          </cell>
          <cell r="Q167"/>
          <cell r="R167"/>
          <cell r="S167"/>
          <cell r="T167">
            <v>44232</v>
          </cell>
          <cell r="U167">
            <v>44236</v>
          </cell>
          <cell r="V167">
            <v>44236</v>
          </cell>
          <cell r="W167">
            <v>44237</v>
          </cell>
          <cell r="X167">
            <v>41100288</v>
          </cell>
        </row>
        <row r="168">
          <cell r="K168" t="str">
            <v>GBWS-0923</v>
          </cell>
          <cell r="L168">
            <v>44222</v>
          </cell>
          <cell r="M168">
            <v>44223</v>
          </cell>
          <cell r="N168">
            <v>44236</v>
          </cell>
          <cell r="O168">
            <v>44223</v>
          </cell>
          <cell r="P168">
            <v>44236</v>
          </cell>
          <cell r="Q168"/>
          <cell r="R168"/>
          <cell r="S168"/>
          <cell r="T168">
            <v>44237</v>
          </cell>
          <cell r="U168">
            <v>44242</v>
          </cell>
          <cell r="V168">
            <v>44242</v>
          </cell>
          <cell r="W168">
            <v>44243</v>
          </cell>
          <cell r="X168">
            <v>41100206</v>
          </cell>
        </row>
        <row r="169">
          <cell r="K169" t="str">
            <v>GBWS-0924</v>
          </cell>
          <cell r="L169">
            <v>44222</v>
          </cell>
          <cell r="M169">
            <v>44223</v>
          </cell>
          <cell r="N169">
            <v>44236</v>
          </cell>
          <cell r="O169">
            <v>44223</v>
          </cell>
          <cell r="P169">
            <v>44236</v>
          </cell>
          <cell r="Q169"/>
          <cell r="R169"/>
          <cell r="S169"/>
          <cell r="T169">
            <v>44237</v>
          </cell>
          <cell r="U169">
            <v>44242</v>
          </cell>
          <cell r="V169">
            <v>44242</v>
          </cell>
          <cell r="W169">
            <v>44243</v>
          </cell>
          <cell r="X169">
            <v>41100207</v>
          </cell>
        </row>
        <row r="170">
          <cell r="K170" t="str">
            <v>GBWS-0921</v>
          </cell>
          <cell r="L170">
            <v>44222</v>
          </cell>
          <cell r="M170">
            <v>44223</v>
          </cell>
          <cell r="N170">
            <v>44237</v>
          </cell>
          <cell r="O170">
            <v>44223</v>
          </cell>
          <cell r="P170">
            <v>44236</v>
          </cell>
          <cell r="Q170"/>
          <cell r="R170"/>
          <cell r="S170"/>
          <cell r="T170">
            <v>44237</v>
          </cell>
          <cell r="U170">
            <v>44245</v>
          </cell>
          <cell r="V170">
            <v>44245</v>
          </cell>
          <cell r="W170">
            <v>44245</v>
          </cell>
          <cell r="X170">
            <v>41100224</v>
          </cell>
        </row>
        <row r="171">
          <cell r="K171" t="str">
            <v>GBWS-0922</v>
          </cell>
          <cell r="L171">
            <v>44222</v>
          </cell>
          <cell r="M171">
            <v>44223</v>
          </cell>
          <cell r="N171">
            <v>44237</v>
          </cell>
          <cell r="O171">
            <v>44223</v>
          </cell>
          <cell r="P171">
            <v>44236</v>
          </cell>
          <cell r="Q171"/>
          <cell r="R171"/>
          <cell r="S171"/>
          <cell r="T171">
            <v>44237</v>
          </cell>
          <cell r="U171">
            <v>44245</v>
          </cell>
          <cell r="V171">
            <v>44245</v>
          </cell>
          <cell r="W171">
            <v>44245</v>
          </cell>
          <cell r="X171">
            <v>41100224</v>
          </cell>
        </row>
        <row r="172">
          <cell r="K172" t="str">
            <v>IVAS-078</v>
          </cell>
          <cell r="L172">
            <v>44223</v>
          </cell>
          <cell r="M172">
            <v>44225</v>
          </cell>
          <cell r="N172">
            <v>44244</v>
          </cell>
          <cell r="O172">
            <v>44225</v>
          </cell>
          <cell r="P172">
            <v>44244</v>
          </cell>
          <cell r="Q172">
            <v>44245</v>
          </cell>
          <cell r="R172">
            <v>44245</v>
          </cell>
          <cell r="S172"/>
          <cell r="T172">
            <v>44245</v>
          </cell>
          <cell r="U172">
            <v>44247</v>
          </cell>
          <cell r="V172">
            <v>44248</v>
          </cell>
          <cell r="W172">
            <v>44248</v>
          </cell>
          <cell r="X172">
            <v>41100290</v>
          </cell>
        </row>
        <row r="173">
          <cell r="K173" t="str">
            <v>DBW-2003</v>
          </cell>
          <cell r="L173">
            <v>44229</v>
          </cell>
          <cell r="M173">
            <v>44230</v>
          </cell>
          <cell r="N173">
            <v>44244</v>
          </cell>
          <cell r="O173">
            <v>44230</v>
          </cell>
          <cell r="P173">
            <v>44244</v>
          </cell>
          <cell r="Q173"/>
          <cell r="R173"/>
          <cell r="S173"/>
          <cell r="T173">
            <v>44245</v>
          </cell>
          <cell r="U173">
            <v>44246</v>
          </cell>
          <cell r="V173">
            <v>44247</v>
          </cell>
          <cell r="W173">
            <v>44247</v>
          </cell>
          <cell r="X173">
            <v>41100269</v>
          </cell>
        </row>
        <row r="174">
          <cell r="K174" t="str">
            <v>DBW-2004</v>
          </cell>
          <cell r="L174">
            <v>44229</v>
          </cell>
          <cell r="M174">
            <v>44230</v>
          </cell>
          <cell r="N174">
            <v>44244</v>
          </cell>
          <cell r="O174">
            <v>44230</v>
          </cell>
          <cell r="P174">
            <v>44244</v>
          </cell>
          <cell r="Q174"/>
          <cell r="R174"/>
          <cell r="S174"/>
          <cell r="T174">
            <v>44245</v>
          </cell>
          <cell r="U174">
            <v>44246</v>
          </cell>
          <cell r="V174">
            <v>44247</v>
          </cell>
          <cell r="W174">
            <v>44247</v>
          </cell>
          <cell r="X174">
            <v>41100269</v>
          </cell>
        </row>
        <row r="175">
          <cell r="K175" t="str">
            <v>DBW-2005</v>
          </cell>
          <cell r="L175">
            <v>44229</v>
          </cell>
          <cell r="M175">
            <v>44230</v>
          </cell>
          <cell r="N175">
            <v>44244</v>
          </cell>
          <cell r="O175">
            <v>44230</v>
          </cell>
          <cell r="P175">
            <v>44244</v>
          </cell>
          <cell r="Q175"/>
          <cell r="R175"/>
          <cell r="S175"/>
          <cell r="T175">
            <v>44245</v>
          </cell>
          <cell r="U175">
            <v>44246</v>
          </cell>
          <cell r="V175">
            <v>44247</v>
          </cell>
          <cell r="W175">
            <v>44247</v>
          </cell>
          <cell r="X175">
            <v>41100269</v>
          </cell>
        </row>
        <row r="176">
          <cell r="K176" t="str">
            <v>DBW-2007</v>
          </cell>
          <cell r="L176">
            <v>44229</v>
          </cell>
          <cell r="M176">
            <v>44230</v>
          </cell>
          <cell r="N176">
            <v>44243</v>
          </cell>
          <cell r="O176">
            <v>44230</v>
          </cell>
          <cell r="P176">
            <v>44242</v>
          </cell>
          <cell r="Q176"/>
          <cell r="R176"/>
          <cell r="S176"/>
          <cell r="T176">
            <v>44244</v>
          </cell>
          <cell r="U176">
            <v>44245</v>
          </cell>
          <cell r="V176">
            <v>44245</v>
          </cell>
          <cell r="W176">
            <v>44246</v>
          </cell>
          <cell r="X176">
            <v>41100235</v>
          </cell>
        </row>
        <row r="177">
          <cell r="K177" t="str">
            <v>DBW-2008</v>
          </cell>
          <cell r="L177">
            <v>44229</v>
          </cell>
          <cell r="M177">
            <v>44230</v>
          </cell>
          <cell r="N177">
            <v>44243</v>
          </cell>
          <cell r="O177">
            <v>44230</v>
          </cell>
          <cell r="P177">
            <v>44242</v>
          </cell>
          <cell r="Q177"/>
          <cell r="R177"/>
          <cell r="S177"/>
          <cell r="T177">
            <v>44244</v>
          </cell>
          <cell r="U177">
            <v>44245</v>
          </cell>
          <cell r="V177">
            <v>44245</v>
          </cell>
          <cell r="W177">
            <v>44246</v>
          </cell>
          <cell r="X177">
            <v>41100235</v>
          </cell>
        </row>
        <row r="178">
          <cell r="K178" t="str">
            <v>DBW-2009</v>
          </cell>
          <cell r="L178">
            <v>44229</v>
          </cell>
          <cell r="M178">
            <v>44230</v>
          </cell>
          <cell r="N178">
            <v>44243</v>
          </cell>
          <cell r="O178">
            <v>44230</v>
          </cell>
          <cell r="P178">
            <v>44242</v>
          </cell>
          <cell r="Q178"/>
          <cell r="R178"/>
          <cell r="S178"/>
          <cell r="T178">
            <v>44244</v>
          </cell>
          <cell r="U178">
            <v>44245</v>
          </cell>
          <cell r="V178">
            <v>44245</v>
          </cell>
          <cell r="W178">
            <v>44246</v>
          </cell>
          <cell r="X178">
            <v>41100235</v>
          </cell>
        </row>
        <row r="179">
          <cell r="K179" t="str">
            <v>DBW-2010</v>
          </cell>
          <cell r="L179">
            <v>44229</v>
          </cell>
          <cell r="M179">
            <v>44230</v>
          </cell>
          <cell r="N179">
            <v>44243</v>
          </cell>
          <cell r="O179">
            <v>44230</v>
          </cell>
          <cell r="P179">
            <v>44242</v>
          </cell>
          <cell r="Q179"/>
          <cell r="R179"/>
          <cell r="S179"/>
          <cell r="T179">
            <v>44244</v>
          </cell>
          <cell r="U179">
            <v>44245</v>
          </cell>
          <cell r="V179">
            <v>44245</v>
          </cell>
          <cell r="W179">
            <v>44246</v>
          </cell>
          <cell r="X179">
            <v>41100235</v>
          </cell>
        </row>
        <row r="180">
          <cell r="K180" t="str">
            <v>DBW-1998</v>
          </cell>
          <cell r="L180">
            <v>44229</v>
          </cell>
          <cell r="M180">
            <v>44230</v>
          </cell>
          <cell r="N180">
            <v>44242</v>
          </cell>
          <cell r="O180">
            <v>44230</v>
          </cell>
          <cell r="P180">
            <v>44242</v>
          </cell>
          <cell r="Q180"/>
          <cell r="R180"/>
          <cell r="S180"/>
          <cell r="T180">
            <v>44243</v>
          </cell>
          <cell r="U180">
            <v>44244</v>
          </cell>
          <cell r="V180">
            <v>44245</v>
          </cell>
          <cell r="W180">
            <v>44245</v>
          </cell>
          <cell r="X180">
            <v>41100234</v>
          </cell>
        </row>
        <row r="181">
          <cell r="K181" t="str">
            <v>DBW-1999</v>
          </cell>
          <cell r="L181">
            <v>44229</v>
          </cell>
          <cell r="M181">
            <v>44230</v>
          </cell>
          <cell r="N181">
            <v>44242</v>
          </cell>
          <cell r="O181">
            <v>44230</v>
          </cell>
          <cell r="P181">
            <v>44242</v>
          </cell>
          <cell r="Q181"/>
          <cell r="R181"/>
          <cell r="S181"/>
          <cell r="T181">
            <v>44243</v>
          </cell>
          <cell r="U181">
            <v>44244</v>
          </cell>
          <cell r="V181">
            <v>44245</v>
          </cell>
          <cell r="W181">
            <v>44245</v>
          </cell>
          <cell r="X181">
            <v>41100234</v>
          </cell>
        </row>
        <row r="182">
          <cell r="K182" t="str">
            <v>DBW-2000</v>
          </cell>
          <cell r="L182">
            <v>44229</v>
          </cell>
          <cell r="M182">
            <v>44230</v>
          </cell>
          <cell r="N182">
            <v>44242</v>
          </cell>
          <cell r="O182">
            <v>44230</v>
          </cell>
          <cell r="P182">
            <v>44242</v>
          </cell>
          <cell r="Q182"/>
          <cell r="R182"/>
          <cell r="S182"/>
          <cell r="T182">
            <v>44243</v>
          </cell>
          <cell r="U182">
            <v>44244</v>
          </cell>
          <cell r="V182">
            <v>44245</v>
          </cell>
          <cell r="W182">
            <v>44245</v>
          </cell>
          <cell r="X182">
            <v>41100234</v>
          </cell>
        </row>
        <row r="183">
          <cell r="K183" t="str">
            <v>DBW-2001</v>
          </cell>
          <cell r="L183">
            <v>44229</v>
          </cell>
          <cell r="M183">
            <v>44230</v>
          </cell>
          <cell r="N183">
            <v>44242</v>
          </cell>
          <cell r="O183">
            <v>44230</v>
          </cell>
          <cell r="P183">
            <v>44242</v>
          </cell>
          <cell r="Q183"/>
          <cell r="R183"/>
          <cell r="S183"/>
          <cell r="T183">
            <v>44243</v>
          </cell>
          <cell r="U183">
            <v>44244</v>
          </cell>
          <cell r="V183">
            <v>44245</v>
          </cell>
          <cell r="W183">
            <v>44245</v>
          </cell>
          <cell r="X183">
            <v>41100234</v>
          </cell>
        </row>
        <row r="184">
          <cell r="K184" t="str">
            <v>DBW-2002</v>
          </cell>
          <cell r="L184">
            <v>44229</v>
          </cell>
          <cell r="M184">
            <v>44230</v>
          </cell>
          <cell r="N184">
            <v>44242</v>
          </cell>
          <cell r="O184">
            <v>44230</v>
          </cell>
          <cell r="P184">
            <v>44242</v>
          </cell>
          <cell r="Q184"/>
          <cell r="R184"/>
          <cell r="S184"/>
          <cell r="T184">
            <v>44243</v>
          </cell>
          <cell r="U184">
            <v>44244</v>
          </cell>
          <cell r="V184">
            <v>44245</v>
          </cell>
          <cell r="W184">
            <v>44245</v>
          </cell>
          <cell r="X184">
            <v>41100234</v>
          </cell>
        </row>
        <row r="185">
          <cell r="K185" t="str">
            <v>DBW-1972</v>
          </cell>
          <cell r="L185">
            <v>44215</v>
          </cell>
          <cell r="M185">
            <v>44225</v>
          </cell>
          <cell r="N185">
            <v>44245</v>
          </cell>
          <cell r="O185">
            <v>44225</v>
          </cell>
          <cell r="P185">
            <v>44245</v>
          </cell>
          <cell r="Q185"/>
          <cell r="R185"/>
          <cell r="S185"/>
          <cell r="T185">
            <v>44249</v>
          </cell>
          <cell r="U185">
            <v>44249</v>
          </cell>
          <cell r="V185">
            <v>44250</v>
          </cell>
          <cell r="W185">
            <v>44250</v>
          </cell>
          <cell r="X185">
            <v>41100075</v>
          </cell>
        </row>
        <row r="186">
          <cell r="K186" t="str">
            <v>DBW-1934</v>
          </cell>
          <cell r="L186">
            <v>44152</v>
          </cell>
          <cell r="M186">
            <v>44153</v>
          </cell>
          <cell r="N186">
            <v>44161</v>
          </cell>
          <cell r="O186">
            <v>44153</v>
          </cell>
          <cell r="P186">
            <v>44159</v>
          </cell>
          <cell r="Q186"/>
          <cell r="R186"/>
          <cell r="S186"/>
          <cell r="T186">
            <v>44162</v>
          </cell>
          <cell r="U186">
            <v>44165</v>
          </cell>
          <cell r="V186">
            <v>44166</v>
          </cell>
          <cell r="W186">
            <v>44166</v>
          </cell>
          <cell r="X186">
            <v>41100169</v>
          </cell>
        </row>
        <row r="187">
          <cell r="K187" t="str">
            <v>DBW-1935</v>
          </cell>
          <cell r="L187">
            <v>44152</v>
          </cell>
          <cell r="M187">
            <v>44153</v>
          </cell>
          <cell r="N187">
            <v>44161</v>
          </cell>
          <cell r="O187">
            <v>44153</v>
          </cell>
          <cell r="P187">
            <v>44159</v>
          </cell>
          <cell r="Q187"/>
          <cell r="R187"/>
          <cell r="S187"/>
          <cell r="T187">
            <v>44165</v>
          </cell>
          <cell r="U187">
            <v>44169</v>
          </cell>
          <cell r="V187">
            <v>44172</v>
          </cell>
          <cell r="W187">
            <v>44172</v>
          </cell>
          <cell r="X187">
            <v>41100169</v>
          </cell>
        </row>
        <row r="188">
          <cell r="K188" t="str">
            <v>DBW-1973</v>
          </cell>
          <cell r="L188">
            <v>44214</v>
          </cell>
          <cell r="M188">
            <v>44215</v>
          </cell>
          <cell r="N188">
            <v>44223</v>
          </cell>
          <cell r="O188">
            <v>44215</v>
          </cell>
          <cell r="P188">
            <v>44223</v>
          </cell>
          <cell r="Q188"/>
          <cell r="R188"/>
          <cell r="S188"/>
          <cell r="T188">
            <v>44224</v>
          </cell>
          <cell r="U188">
            <v>44225</v>
          </cell>
          <cell r="V188">
            <v>44228</v>
          </cell>
          <cell r="W188">
            <v>44229</v>
          </cell>
          <cell r="X188">
            <v>41100174</v>
          </cell>
        </row>
        <row r="189">
          <cell r="K189" t="str">
            <v>GBWS-0937</v>
          </cell>
          <cell r="L189">
            <v>44229</v>
          </cell>
          <cell r="M189">
            <v>44230</v>
          </cell>
          <cell r="N189">
            <v>44246</v>
          </cell>
          <cell r="O189">
            <v>44230</v>
          </cell>
          <cell r="P189">
            <v>44246</v>
          </cell>
          <cell r="Q189">
            <v>44245</v>
          </cell>
          <cell r="R189">
            <v>44245</v>
          </cell>
          <cell r="S189"/>
          <cell r="T189">
            <v>44246</v>
          </cell>
          <cell r="U189">
            <v>44247</v>
          </cell>
          <cell r="V189">
            <v>44248</v>
          </cell>
          <cell r="W189">
            <v>44249</v>
          </cell>
          <cell r="X189">
            <v>41100254</v>
          </cell>
        </row>
        <row r="190">
          <cell r="K190" t="str">
            <v>GBWS-0938</v>
          </cell>
          <cell r="L190">
            <v>44229</v>
          </cell>
          <cell r="M190">
            <v>44230</v>
          </cell>
          <cell r="N190">
            <v>44246</v>
          </cell>
          <cell r="O190">
            <v>44230</v>
          </cell>
          <cell r="P190">
            <v>44246</v>
          </cell>
          <cell r="Q190">
            <v>44245</v>
          </cell>
          <cell r="R190">
            <v>44245</v>
          </cell>
          <cell r="S190"/>
          <cell r="T190">
            <v>44246</v>
          </cell>
          <cell r="U190">
            <v>44247</v>
          </cell>
          <cell r="V190">
            <v>44248</v>
          </cell>
          <cell r="W190">
            <v>44249</v>
          </cell>
          <cell r="X190">
            <v>41100254</v>
          </cell>
        </row>
        <row r="191">
          <cell r="K191" t="str">
            <v>MMD-0021~0032</v>
          </cell>
          <cell r="L191">
            <v>44235</v>
          </cell>
          <cell r="M191">
            <v>44237</v>
          </cell>
          <cell r="N191">
            <v>44249</v>
          </cell>
          <cell r="O191">
            <v>44237</v>
          </cell>
          <cell r="P191">
            <v>44249</v>
          </cell>
          <cell r="Q191"/>
          <cell r="R191"/>
          <cell r="S191"/>
          <cell r="T191">
            <v>44250</v>
          </cell>
          <cell r="U191">
            <v>44250</v>
          </cell>
          <cell r="V191">
            <v>44250</v>
          </cell>
          <cell r="W191">
            <v>44250</v>
          </cell>
          <cell r="X191">
            <v>31100357</v>
          </cell>
        </row>
        <row r="192">
          <cell r="K192" t="str">
            <v>GBWS-0845</v>
          </cell>
          <cell r="L192">
            <v>44186</v>
          </cell>
          <cell r="M192">
            <v>44187</v>
          </cell>
          <cell r="N192">
            <v>44201</v>
          </cell>
          <cell r="O192">
            <v>44187</v>
          </cell>
          <cell r="P192">
            <v>44201</v>
          </cell>
          <cell r="Q192"/>
          <cell r="R192"/>
          <cell r="S192"/>
          <cell r="T192">
            <v>44202</v>
          </cell>
          <cell r="U192">
            <v>44250</v>
          </cell>
          <cell r="V192">
            <v>44250</v>
          </cell>
          <cell r="W192">
            <v>44250</v>
          </cell>
          <cell r="X192">
            <v>41100278</v>
          </cell>
        </row>
        <row r="193">
          <cell r="K193" t="str">
            <v>GBWS-0846</v>
          </cell>
          <cell r="L193">
            <v>44186</v>
          </cell>
          <cell r="M193">
            <v>44187</v>
          </cell>
          <cell r="N193">
            <v>44201</v>
          </cell>
          <cell r="O193">
            <v>44187</v>
          </cell>
          <cell r="P193">
            <v>44201</v>
          </cell>
          <cell r="Q193"/>
          <cell r="R193"/>
          <cell r="S193"/>
          <cell r="T193">
            <v>44202</v>
          </cell>
          <cell r="U193">
            <v>44250</v>
          </cell>
          <cell r="V193">
            <v>44250</v>
          </cell>
          <cell r="W193">
            <v>44250</v>
          </cell>
          <cell r="X193">
            <v>41100278</v>
          </cell>
        </row>
        <row r="194">
          <cell r="K194" t="str">
            <v>DBW-1987</v>
          </cell>
          <cell r="L194">
            <v>44221</v>
          </cell>
          <cell r="M194">
            <v>44222</v>
          </cell>
          <cell r="N194">
            <v>44231</v>
          </cell>
          <cell r="O194">
            <v>44222</v>
          </cell>
          <cell r="P194">
            <v>44231</v>
          </cell>
          <cell r="Q194"/>
          <cell r="R194"/>
          <cell r="S194"/>
          <cell r="T194">
            <v>44231</v>
          </cell>
          <cell r="U194">
            <v>44232</v>
          </cell>
          <cell r="V194">
            <v>44232</v>
          </cell>
          <cell r="W194">
            <v>44235</v>
          </cell>
          <cell r="X194">
            <v>41100171</v>
          </cell>
        </row>
        <row r="195">
          <cell r="K195" t="str">
            <v>DBW-1988</v>
          </cell>
          <cell r="L195">
            <v>44221</v>
          </cell>
          <cell r="M195">
            <v>44222</v>
          </cell>
          <cell r="N195">
            <v>44231</v>
          </cell>
          <cell r="O195">
            <v>44222</v>
          </cell>
          <cell r="P195">
            <v>44231</v>
          </cell>
          <cell r="Q195"/>
          <cell r="R195"/>
          <cell r="S195"/>
          <cell r="T195">
            <v>44231</v>
          </cell>
          <cell r="U195">
            <v>44231</v>
          </cell>
          <cell r="V195">
            <v>44232</v>
          </cell>
          <cell r="W195">
            <v>44232</v>
          </cell>
          <cell r="X195">
            <v>41100171</v>
          </cell>
        </row>
        <row r="196">
          <cell r="K196" t="str">
            <v>DBW-1989</v>
          </cell>
          <cell r="L196">
            <v>44221</v>
          </cell>
          <cell r="M196">
            <v>44222</v>
          </cell>
          <cell r="N196">
            <v>44230</v>
          </cell>
          <cell r="O196">
            <v>44222</v>
          </cell>
          <cell r="P196">
            <v>44230</v>
          </cell>
          <cell r="Q196"/>
          <cell r="R196"/>
          <cell r="S196"/>
          <cell r="T196">
            <v>44230</v>
          </cell>
          <cell r="U196">
            <v>44231</v>
          </cell>
          <cell r="V196">
            <v>44231</v>
          </cell>
          <cell r="W196">
            <v>44231</v>
          </cell>
          <cell r="X196">
            <v>41100169</v>
          </cell>
        </row>
        <row r="197">
          <cell r="K197" t="str">
            <v>DBW-1990</v>
          </cell>
          <cell r="L197">
            <v>44221</v>
          </cell>
          <cell r="M197">
            <v>44222</v>
          </cell>
          <cell r="N197">
            <v>44230</v>
          </cell>
          <cell r="O197">
            <v>44222</v>
          </cell>
          <cell r="P197">
            <v>44230</v>
          </cell>
          <cell r="Q197"/>
          <cell r="R197"/>
          <cell r="S197"/>
          <cell r="T197">
            <v>44230</v>
          </cell>
          <cell r="U197">
            <v>44231</v>
          </cell>
          <cell r="V197">
            <v>44231</v>
          </cell>
          <cell r="W197">
            <v>44231</v>
          </cell>
          <cell r="X197">
            <v>41100169</v>
          </cell>
        </row>
        <row r="198">
          <cell r="K198" t="str">
            <v>DBW-1996</v>
          </cell>
          <cell r="L198">
            <v>44221</v>
          </cell>
          <cell r="M198">
            <v>44222</v>
          </cell>
          <cell r="N198">
            <v>44231</v>
          </cell>
          <cell r="O198">
            <v>44222</v>
          </cell>
          <cell r="P198">
            <v>44231</v>
          </cell>
          <cell r="Q198"/>
          <cell r="R198"/>
          <cell r="S198"/>
          <cell r="T198">
            <v>44231</v>
          </cell>
          <cell r="U198">
            <v>44231</v>
          </cell>
          <cell r="V198">
            <v>44232</v>
          </cell>
          <cell r="W198">
            <v>44232</v>
          </cell>
          <cell r="X198">
            <v>41100170</v>
          </cell>
        </row>
        <row r="199">
          <cell r="K199" t="str">
            <v>DBW-1997</v>
          </cell>
          <cell r="L199">
            <v>44221</v>
          </cell>
          <cell r="M199">
            <v>44222</v>
          </cell>
          <cell r="N199">
            <v>44231</v>
          </cell>
          <cell r="O199">
            <v>44222</v>
          </cell>
          <cell r="P199">
            <v>44231</v>
          </cell>
          <cell r="Q199"/>
          <cell r="R199"/>
          <cell r="S199"/>
          <cell r="T199">
            <v>44231</v>
          </cell>
          <cell r="U199">
            <v>44231</v>
          </cell>
          <cell r="V199">
            <v>44235</v>
          </cell>
          <cell r="W199">
            <v>44235</v>
          </cell>
          <cell r="X199">
            <v>41100170</v>
          </cell>
        </row>
        <row r="200">
          <cell r="K200" t="str">
            <v>DBW-2014</v>
          </cell>
          <cell r="L200">
            <v>44229</v>
          </cell>
          <cell r="M200">
            <v>44229</v>
          </cell>
          <cell r="N200">
            <v>44242</v>
          </cell>
          <cell r="O200">
            <v>44229</v>
          </cell>
          <cell r="P200">
            <v>44242</v>
          </cell>
          <cell r="Q200"/>
          <cell r="R200"/>
          <cell r="S200"/>
          <cell r="T200">
            <v>44242</v>
          </cell>
          <cell r="U200">
            <v>44243</v>
          </cell>
          <cell r="V200">
            <v>44244</v>
          </cell>
          <cell r="W200">
            <v>44244</v>
          </cell>
          <cell r="X200">
            <v>41100256</v>
          </cell>
        </row>
        <row r="201">
          <cell r="K201" t="str">
            <v>DBW-2015</v>
          </cell>
          <cell r="L201">
            <v>44229</v>
          </cell>
          <cell r="M201">
            <v>44229</v>
          </cell>
          <cell r="N201">
            <v>44242</v>
          </cell>
          <cell r="O201">
            <v>44229</v>
          </cell>
          <cell r="P201">
            <v>44242</v>
          </cell>
          <cell r="Q201"/>
          <cell r="R201"/>
          <cell r="S201"/>
          <cell r="T201">
            <v>44242</v>
          </cell>
          <cell r="U201">
            <v>44243</v>
          </cell>
          <cell r="V201">
            <v>44244</v>
          </cell>
          <cell r="W201">
            <v>44244</v>
          </cell>
          <cell r="X201">
            <v>41100256</v>
          </cell>
        </row>
        <row r="202">
          <cell r="K202" t="str">
            <v>DBW-2016</v>
          </cell>
          <cell r="L202">
            <v>44229</v>
          </cell>
          <cell r="M202">
            <v>44229</v>
          </cell>
          <cell r="N202">
            <v>44242</v>
          </cell>
          <cell r="O202">
            <v>44229</v>
          </cell>
          <cell r="P202">
            <v>44242</v>
          </cell>
          <cell r="Q202"/>
          <cell r="R202"/>
          <cell r="S202"/>
          <cell r="T202">
            <v>44242</v>
          </cell>
          <cell r="U202">
            <v>44243</v>
          </cell>
          <cell r="V202">
            <v>44244</v>
          </cell>
          <cell r="W202">
            <v>44244</v>
          </cell>
          <cell r="X202">
            <v>41100256</v>
          </cell>
        </row>
        <row r="203">
          <cell r="K203" t="str">
            <v>DBW-2017</v>
          </cell>
          <cell r="L203">
            <v>44229</v>
          </cell>
          <cell r="M203">
            <v>44229</v>
          </cell>
          <cell r="N203">
            <v>44242</v>
          </cell>
          <cell r="O203">
            <v>44229</v>
          </cell>
          <cell r="P203">
            <v>44242</v>
          </cell>
          <cell r="Q203"/>
          <cell r="R203"/>
          <cell r="S203"/>
          <cell r="T203">
            <v>44242</v>
          </cell>
          <cell r="U203">
            <v>44243</v>
          </cell>
          <cell r="V203">
            <v>44244</v>
          </cell>
          <cell r="W203">
            <v>44244</v>
          </cell>
          <cell r="X203">
            <v>41100256</v>
          </cell>
        </row>
        <row r="204">
          <cell r="K204" t="str">
            <v>DBW-1991</v>
          </cell>
          <cell r="L204">
            <v>44221</v>
          </cell>
          <cell r="M204">
            <v>44222</v>
          </cell>
          <cell r="N204">
            <v>44230</v>
          </cell>
          <cell r="O204">
            <v>44222</v>
          </cell>
          <cell r="P204">
            <v>44230</v>
          </cell>
          <cell r="Q204"/>
          <cell r="R204"/>
          <cell r="S204"/>
          <cell r="T204">
            <v>44230</v>
          </cell>
          <cell r="U204">
            <v>44231</v>
          </cell>
          <cell r="V204">
            <v>44231</v>
          </cell>
          <cell r="W204">
            <v>44232</v>
          </cell>
          <cell r="X204">
            <v>41100169</v>
          </cell>
        </row>
        <row r="205">
          <cell r="K205" t="str">
            <v>DBW-1992</v>
          </cell>
          <cell r="L205">
            <v>44221</v>
          </cell>
          <cell r="M205">
            <v>44222</v>
          </cell>
          <cell r="N205">
            <v>44230</v>
          </cell>
          <cell r="O205">
            <v>44222</v>
          </cell>
          <cell r="P205">
            <v>44230</v>
          </cell>
          <cell r="Q205"/>
          <cell r="R205"/>
          <cell r="S205"/>
          <cell r="T205">
            <v>44230</v>
          </cell>
          <cell r="U205">
            <v>44231</v>
          </cell>
          <cell r="V205">
            <v>44231</v>
          </cell>
          <cell r="W205">
            <v>44231</v>
          </cell>
          <cell r="X205">
            <v>41100169</v>
          </cell>
        </row>
        <row r="206">
          <cell r="K206" t="str">
            <v>DBW-1993</v>
          </cell>
          <cell r="L206">
            <v>44221</v>
          </cell>
          <cell r="M206">
            <v>44222</v>
          </cell>
          <cell r="N206">
            <v>44230</v>
          </cell>
          <cell r="O206">
            <v>44222</v>
          </cell>
          <cell r="P206">
            <v>44230</v>
          </cell>
          <cell r="Q206"/>
          <cell r="R206"/>
          <cell r="S206"/>
          <cell r="T206">
            <v>44230</v>
          </cell>
          <cell r="U206">
            <v>44231</v>
          </cell>
          <cell r="V206">
            <v>44231</v>
          </cell>
          <cell r="W206">
            <v>44231</v>
          </cell>
          <cell r="X206">
            <v>41100169</v>
          </cell>
        </row>
        <row r="207">
          <cell r="K207" t="str">
            <v>DBW-1994</v>
          </cell>
          <cell r="L207">
            <v>44221</v>
          </cell>
          <cell r="M207">
            <v>44222</v>
          </cell>
          <cell r="N207">
            <v>44230</v>
          </cell>
          <cell r="O207">
            <v>44222</v>
          </cell>
          <cell r="P207">
            <v>44230</v>
          </cell>
          <cell r="Q207"/>
          <cell r="R207"/>
          <cell r="S207"/>
          <cell r="T207">
            <v>44230</v>
          </cell>
          <cell r="U207">
            <v>44231</v>
          </cell>
          <cell r="V207">
            <v>44231</v>
          </cell>
          <cell r="W207">
            <v>44231</v>
          </cell>
          <cell r="X207">
            <v>41100169</v>
          </cell>
        </row>
        <row r="208">
          <cell r="K208" t="str">
            <v>DBW-1995</v>
          </cell>
          <cell r="L208">
            <v>44221</v>
          </cell>
          <cell r="M208">
            <v>44222</v>
          </cell>
          <cell r="N208">
            <v>44230</v>
          </cell>
          <cell r="O208">
            <v>44222</v>
          </cell>
          <cell r="P208">
            <v>44230</v>
          </cell>
          <cell r="Q208"/>
          <cell r="R208"/>
          <cell r="S208"/>
          <cell r="T208">
            <v>44230</v>
          </cell>
          <cell r="U208">
            <v>44231</v>
          </cell>
          <cell r="V208">
            <v>44231</v>
          </cell>
          <cell r="W208">
            <v>44232</v>
          </cell>
          <cell r="X208">
            <v>41100169</v>
          </cell>
        </row>
        <row r="209">
          <cell r="K209" t="str">
            <v>DBW-2011</v>
          </cell>
          <cell r="L209">
            <v>44229</v>
          </cell>
          <cell r="M209">
            <v>44230</v>
          </cell>
          <cell r="N209">
            <v>44244</v>
          </cell>
          <cell r="O209">
            <v>44230</v>
          </cell>
          <cell r="P209">
            <v>44243</v>
          </cell>
          <cell r="Q209"/>
          <cell r="R209"/>
          <cell r="S209"/>
          <cell r="T209">
            <v>44243</v>
          </cell>
          <cell r="U209">
            <v>44244</v>
          </cell>
          <cell r="V209">
            <v>44245</v>
          </cell>
          <cell r="W209">
            <v>44245</v>
          </cell>
          <cell r="X209">
            <v>41100169</v>
          </cell>
        </row>
        <row r="210">
          <cell r="K210" t="str">
            <v>DBW-2018</v>
          </cell>
          <cell r="L210">
            <v>44229</v>
          </cell>
          <cell r="M210">
            <v>44229</v>
          </cell>
          <cell r="N210">
            <v>44242</v>
          </cell>
          <cell r="O210">
            <v>44229</v>
          </cell>
          <cell r="P210">
            <v>44242</v>
          </cell>
          <cell r="Q210"/>
          <cell r="R210"/>
          <cell r="S210"/>
          <cell r="T210">
            <v>44242</v>
          </cell>
          <cell r="U210">
            <v>44243</v>
          </cell>
          <cell r="V210">
            <v>44244</v>
          </cell>
          <cell r="W210">
            <v>44244</v>
          </cell>
          <cell r="X210">
            <v>41100256</v>
          </cell>
        </row>
        <row r="211">
          <cell r="K211" t="str">
            <v>DBW-2019</v>
          </cell>
          <cell r="L211">
            <v>44229</v>
          </cell>
          <cell r="M211">
            <v>44229</v>
          </cell>
          <cell r="N211">
            <v>44242</v>
          </cell>
          <cell r="O211">
            <v>44229</v>
          </cell>
          <cell r="P211">
            <v>44242</v>
          </cell>
          <cell r="Q211"/>
          <cell r="R211"/>
          <cell r="S211"/>
          <cell r="T211">
            <v>44242</v>
          </cell>
          <cell r="U211">
            <v>44243</v>
          </cell>
          <cell r="V211">
            <v>44244</v>
          </cell>
          <cell r="W211">
            <v>44244</v>
          </cell>
          <cell r="X211">
            <v>41100256</v>
          </cell>
        </row>
        <row r="212">
          <cell r="K212" t="str">
            <v>GBWS-0953</v>
          </cell>
          <cell r="L212">
            <v>44246</v>
          </cell>
          <cell r="M212">
            <v>44244</v>
          </cell>
          <cell r="N212">
            <v>44252</v>
          </cell>
          <cell r="O212">
            <v>44244</v>
          </cell>
          <cell r="P212">
            <v>44252</v>
          </cell>
          <cell r="Q212">
            <v>44252</v>
          </cell>
          <cell r="R212">
            <v>44252</v>
          </cell>
          <cell r="S212"/>
          <cell r="T212">
            <v>44252</v>
          </cell>
          <cell r="U212">
            <v>44252</v>
          </cell>
          <cell r="V212">
            <v>44253</v>
          </cell>
          <cell r="W212">
            <v>44253</v>
          </cell>
          <cell r="X212">
            <v>41100303</v>
          </cell>
        </row>
        <row r="213">
          <cell r="K213" t="str">
            <v>GBWS-0954</v>
          </cell>
          <cell r="L213">
            <v>44246</v>
          </cell>
          <cell r="M213">
            <v>44244</v>
          </cell>
          <cell r="N213">
            <v>44252</v>
          </cell>
          <cell r="O213">
            <v>44244</v>
          </cell>
          <cell r="P213">
            <v>44252</v>
          </cell>
          <cell r="Q213">
            <v>44252</v>
          </cell>
          <cell r="R213">
            <v>44252</v>
          </cell>
          <cell r="S213"/>
          <cell r="T213">
            <v>44252</v>
          </cell>
          <cell r="U213">
            <v>44252</v>
          </cell>
          <cell r="V213">
            <v>44253</v>
          </cell>
          <cell r="W213">
            <v>44253</v>
          </cell>
          <cell r="X213">
            <v>41100303</v>
          </cell>
        </row>
        <row r="214">
          <cell r="K214" t="str">
            <v>GBWS-0941</v>
          </cell>
          <cell r="L214">
            <v>44235</v>
          </cell>
          <cell r="M214">
            <v>44236</v>
          </cell>
          <cell r="N214">
            <v>44251</v>
          </cell>
          <cell r="O214">
            <v>44236</v>
          </cell>
          <cell r="P214">
            <v>44250</v>
          </cell>
          <cell r="Q214">
            <v>44250</v>
          </cell>
          <cell r="R214">
            <v>44250</v>
          </cell>
          <cell r="S214"/>
          <cell r="T214">
            <v>44252</v>
          </cell>
          <cell r="U214">
            <v>44252</v>
          </cell>
          <cell r="V214">
            <v>44252</v>
          </cell>
          <cell r="W214">
            <v>44252</v>
          </cell>
          <cell r="X214">
            <v>41100284</v>
          </cell>
        </row>
        <row r="215">
          <cell r="K215" t="str">
            <v>GBWS-0942</v>
          </cell>
          <cell r="L215">
            <v>44235</v>
          </cell>
          <cell r="M215">
            <v>44236</v>
          </cell>
          <cell r="N215">
            <v>44251</v>
          </cell>
          <cell r="O215">
            <v>44236</v>
          </cell>
          <cell r="P215">
            <v>44250</v>
          </cell>
          <cell r="Q215">
            <v>44250</v>
          </cell>
          <cell r="R215">
            <v>44250</v>
          </cell>
          <cell r="S215"/>
          <cell r="T215">
            <v>44252</v>
          </cell>
          <cell r="U215">
            <v>44252</v>
          </cell>
          <cell r="V215">
            <v>44252</v>
          </cell>
          <cell r="W215">
            <v>44252</v>
          </cell>
          <cell r="X215">
            <v>41100284</v>
          </cell>
        </row>
        <row r="216">
          <cell r="K216" t="str">
            <v>GBWS-0943</v>
          </cell>
          <cell r="L216">
            <v>44235</v>
          </cell>
          <cell r="M216">
            <v>44236</v>
          </cell>
          <cell r="N216">
            <v>44251</v>
          </cell>
          <cell r="O216">
            <v>44236</v>
          </cell>
          <cell r="P216">
            <v>44250</v>
          </cell>
          <cell r="Q216">
            <v>44250</v>
          </cell>
          <cell r="R216">
            <v>44250</v>
          </cell>
          <cell r="S216"/>
          <cell r="T216">
            <v>44252</v>
          </cell>
          <cell r="U216">
            <v>44252</v>
          </cell>
          <cell r="V216">
            <v>44252</v>
          </cell>
          <cell r="W216">
            <v>44252</v>
          </cell>
          <cell r="X216">
            <v>41100284</v>
          </cell>
        </row>
        <row r="217">
          <cell r="K217" t="str">
            <v>GBWS-0925</v>
          </cell>
          <cell r="L217">
            <v>44222</v>
          </cell>
          <cell r="M217">
            <v>44223</v>
          </cell>
          <cell r="N217">
            <v>44235</v>
          </cell>
          <cell r="O217">
            <v>44223</v>
          </cell>
          <cell r="P217">
            <v>44235</v>
          </cell>
          <cell r="Q217"/>
          <cell r="R217"/>
          <cell r="S217"/>
          <cell r="T217">
            <v>44236</v>
          </cell>
          <cell r="U217">
            <v>44246</v>
          </cell>
          <cell r="V217">
            <v>44249</v>
          </cell>
          <cell r="W217">
            <v>44250</v>
          </cell>
          <cell r="X217">
            <v>41100168</v>
          </cell>
        </row>
        <row r="218">
          <cell r="K218" t="str">
            <v>GBWS-0926</v>
          </cell>
          <cell r="L218">
            <v>44222</v>
          </cell>
          <cell r="M218">
            <v>44223</v>
          </cell>
          <cell r="N218">
            <v>44235</v>
          </cell>
          <cell r="O218">
            <v>44223</v>
          </cell>
          <cell r="P218">
            <v>44235</v>
          </cell>
          <cell r="Q218"/>
          <cell r="R218"/>
          <cell r="S218"/>
          <cell r="T218">
            <v>44236</v>
          </cell>
          <cell r="U218">
            <v>44246</v>
          </cell>
          <cell r="V218">
            <v>44249</v>
          </cell>
          <cell r="W218">
            <v>44250</v>
          </cell>
          <cell r="X218">
            <v>41100168</v>
          </cell>
        </row>
        <row r="219">
          <cell r="K219" t="str">
            <v>GBWS-0927</v>
          </cell>
          <cell r="L219">
            <v>44222</v>
          </cell>
          <cell r="M219">
            <v>44223</v>
          </cell>
          <cell r="N219">
            <v>44235</v>
          </cell>
          <cell r="O219">
            <v>44223</v>
          </cell>
          <cell r="P219">
            <v>44235</v>
          </cell>
          <cell r="Q219"/>
          <cell r="R219"/>
          <cell r="S219"/>
          <cell r="T219">
            <v>44235</v>
          </cell>
          <cell r="U219">
            <v>44246</v>
          </cell>
          <cell r="V219">
            <v>44249</v>
          </cell>
          <cell r="W219">
            <v>44250</v>
          </cell>
          <cell r="X219">
            <v>41100168</v>
          </cell>
        </row>
        <row r="220">
          <cell r="K220" t="str">
            <v>GBWS-0928</v>
          </cell>
          <cell r="L220">
            <v>44222</v>
          </cell>
          <cell r="M220">
            <v>44223</v>
          </cell>
          <cell r="N220">
            <v>44235</v>
          </cell>
          <cell r="O220">
            <v>44223</v>
          </cell>
          <cell r="P220">
            <v>44235</v>
          </cell>
          <cell r="Q220"/>
          <cell r="R220"/>
          <cell r="S220"/>
          <cell r="T220">
            <v>44236</v>
          </cell>
          <cell r="U220">
            <v>44246</v>
          </cell>
          <cell r="V220">
            <v>44249</v>
          </cell>
          <cell r="W220">
            <v>44250</v>
          </cell>
          <cell r="X220">
            <v>41100168</v>
          </cell>
        </row>
        <row r="221">
          <cell r="K221" t="str">
            <v>GBWS-0929</v>
          </cell>
          <cell r="L221">
            <v>44222</v>
          </cell>
          <cell r="M221">
            <v>44223</v>
          </cell>
          <cell r="N221">
            <v>44235</v>
          </cell>
          <cell r="O221">
            <v>44223</v>
          </cell>
          <cell r="P221">
            <v>44235</v>
          </cell>
          <cell r="Q221"/>
          <cell r="R221"/>
          <cell r="S221"/>
          <cell r="T221">
            <v>44235</v>
          </cell>
          <cell r="U221">
            <v>44246</v>
          </cell>
          <cell r="V221">
            <v>44249</v>
          </cell>
          <cell r="W221">
            <v>44250</v>
          </cell>
          <cell r="X221">
            <v>41100168</v>
          </cell>
        </row>
        <row r="222">
          <cell r="K222" t="str">
            <v>GBWS-0930</v>
          </cell>
          <cell r="L222">
            <v>44222</v>
          </cell>
          <cell r="M222">
            <v>44223</v>
          </cell>
          <cell r="N222">
            <v>44235</v>
          </cell>
          <cell r="O222">
            <v>44223</v>
          </cell>
          <cell r="P222">
            <v>44235</v>
          </cell>
          <cell r="Q222"/>
          <cell r="R222"/>
          <cell r="S222"/>
          <cell r="T222">
            <v>44235</v>
          </cell>
          <cell r="U222">
            <v>44247</v>
          </cell>
          <cell r="V222">
            <v>44249</v>
          </cell>
          <cell r="W222">
            <v>44250</v>
          </cell>
          <cell r="X222">
            <v>41100168</v>
          </cell>
        </row>
        <row r="223">
          <cell r="K223" t="str">
            <v>GBWS-0931</v>
          </cell>
          <cell r="L223">
            <v>44222</v>
          </cell>
          <cell r="M223">
            <v>44223</v>
          </cell>
          <cell r="N223">
            <v>44235</v>
          </cell>
          <cell r="O223">
            <v>44223</v>
          </cell>
          <cell r="P223">
            <v>44235</v>
          </cell>
          <cell r="Q223"/>
          <cell r="R223"/>
          <cell r="S223"/>
          <cell r="T223">
            <v>44235</v>
          </cell>
          <cell r="U223">
            <v>44247</v>
          </cell>
          <cell r="V223">
            <v>44249</v>
          </cell>
          <cell r="W223">
            <v>44250</v>
          </cell>
          <cell r="X223">
            <v>41100168</v>
          </cell>
        </row>
        <row r="224">
          <cell r="K224" t="str">
            <v>GBWS-0932</v>
          </cell>
          <cell r="L224">
            <v>44222</v>
          </cell>
          <cell r="M224">
            <v>44223</v>
          </cell>
          <cell r="N224">
            <v>44235</v>
          </cell>
          <cell r="O224">
            <v>44223</v>
          </cell>
          <cell r="P224">
            <v>44235</v>
          </cell>
          <cell r="Q224"/>
          <cell r="R224"/>
          <cell r="S224"/>
          <cell r="T224">
            <v>44235</v>
          </cell>
          <cell r="U224">
            <v>44247</v>
          </cell>
          <cell r="V224">
            <v>44249</v>
          </cell>
          <cell r="W224">
            <v>44250</v>
          </cell>
          <cell r="X224">
            <v>41100168</v>
          </cell>
        </row>
        <row r="225">
          <cell r="K225" t="str">
            <v>GBWS-0933</v>
          </cell>
          <cell r="L225">
            <v>44222</v>
          </cell>
          <cell r="M225">
            <v>44223</v>
          </cell>
          <cell r="N225">
            <v>44235</v>
          </cell>
          <cell r="O225">
            <v>44223</v>
          </cell>
          <cell r="P225">
            <v>44235</v>
          </cell>
          <cell r="Q225"/>
          <cell r="R225"/>
          <cell r="S225"/>
          <cell r="T225">
            <v>44235</v>
          </cell>
          <cell r="U225">
            <v>44247</v>
          </cell>
          <cell r="V225">
            <v>44249</v>
          </cell>
          <cell r="W225">
            <v>44250</v>
          </cell>
          <cell r="X225">
            <v>41100168</v>
          </cell>
        </row>
        <row r="226">
          <cell r="K226" t="str">
            <v>GBWS-0934</v>
          </cell>
          <cell r="L226">
            <v>44222</v>
          </cell>
          <cell r="M226">
            <v>44223</v>
          </cell>
          <cell r="N226">
            <v>44235</v>
          </cell>
          <cell r="O226">
            <v>44223</v>
          </cell>
          <cell r="P226">
            <v>44235</v>
          </cell>
          <cell r="Q226"/>
          <cell r="R226"/>
          <cell r="S226"/>
          <cell r="T226">
            <v>44236</v>
          </cell>
          <cell r="U226">
            <v>44248</v>
          </cell>
          <cell r="V226">
            <v>44249</v>
          </cell>
          <cell r="W226">
            <v>44250</v>
          </cell>
          <cell r="X226">
            <v>41100168</v>
          </cell>
        </row>
        <row r="227">
          <cell r="K227" t="str">
            <v>GBWS-0935</v>
          </cell>
          <cell r="L227">
            <v>44222</v>
          </cell>
          <cell r="M227">
            <v>44223</v>
          </cell>
          <cell r="N227">
            <v>44235</v>
          </cell>
          <cell r="O227">
            <v>44223</v>
          </cell>
          <cell r="P227">
            <v>44235</v>
          </cell>
          <cell r="Q227"/>
          <cell r="R227"/>
          <cell r="S227"/>
          <cell r="T227">
            <v>44236</v>
          </cell>
          <cell r="U227">
            <v>44248</v>
          </cell>
          <cell r="V227">
            <v>44249</v>
          </cell>
          <cell r="W227">
            <v>44250</v>
          </cell>
          <cell r="X227">
            <v>41100168</v>
          </cell>
        </row>
        <row r="228">
          <cell r="K228" t="str">
            <v>IVAS-079</v>
          </cell>
          <cell r="L228">
            <v>44223</v>
          </cell>
          <cell r="M228">
            <v>44225</v>
          </cell>
          <cell r="N228">
            <v>44245</v>
          </cell>
          <cell r="O228">
            <v>44225</v>
          </cell>
          <cell r="P228">
            <v>44246</v>
          </cell>
          <cell r="Q228"/>
          <cell r="R228"/>
          <cell r="S228"/>
          <cell r="T228">
            <v>44247</v>
          </cell>
          <cell r="U228">
            <v>44252</v>
          </cell>
          <cell r="V228">
            <v>44253</v>
          </cell>
          <cell r="W228">
            <v>44253</v>
          </cell>
          <cell r="X228">
            <v>41100290</v>
          </cell>
        </row>
        <row r="229">
          <cell r="K229" t="str">
            <v>GBWS-0945</v>
          </cell>
          <cell r="L229">
            <v>44236</v>
          </cell>
          <cell r="M229">
            <v>44237</v>
          </cell>
          <cell r="N229">
            <v>44255</v>
          </cell>
          <cell r="O229">
            <v>44237</v>
          </cell>
          <cell r="P229">
            <v>44255</v>
          </cell>
          <cell r="Q229">
            <v>44254</v>
          </cell>
          <cell r="R229">
            <v>44254</v>
          </cell>
          <cell r="S229"/>
          <cell r="T229">
            <v>44255</v>
          </cell>
          <cell r="U229">
            <v>44255</v>
          </cell>
          <cell r="V229">
            <v>44256</v>
          </cell>
          <cell r="W229">
            <v>44256</v>
          </cell>
          <cell r="X229">
            <v>41100087</v>
          </cell>
        </row>
        <row r="230">
          <cell r="K230" t="str">
            <v>GBWS-0946</v>
          </cell>
          <cell r="L230">
            <v>44236</v>
          </cell>
          <cell r="M230">
            <v>44237</v>
          </cell>
          <cell r="N230">
            <v>44255</v>
          </cell>
          <cell r="O230">
            <v>44237</v>
          </cell>
          <cell r="P230">
            <v>44255</v>
          </cell>
          <cell r="Q230">
            <v>44254</v>
          </cell>
          <cell r="R230">
            <v>44254</v>
          </cell>
          <cell r="S230"/>
          <cell r="T230">
            <v>44255</v>
          </cell>
          <cell r="U230">
            <v>44256</v>
          </cell>
          <cell r="V230">
            <v>44256</v>
          </cell>
          <cell r="W230">
            <v>44256</v>
          </cell>
          <cell r="X230">
            <v>41100087</v>
          </cell>
        </row>
        <row r="231">
          <cell r="K231" t="str">
            <v>GBWS-0947</v>
          </cell>
          <cell r="L231">
            <v>44236</v>
          </cell>
          <cell r="M231">
            <v>44237</v>
          </cell>
          <cell r="N231">
            <v>44255</v>
          </cell>
          <cell r="O231">
            <v>44237</v>
          </cell>
          <cell r="P231">
            <v>44255</v>
          </cell>
          <cell r="Q231">
            <v>44254</v>
          </cell>
          <cell r="R231">
            <v>44254</v>
          </cell>
          <cell r="S231"/>
          <cell r="T231">
            <v>44255</v>
          </cell>
          <cell r="U231">
            <v>44256</v>
          </cell>
          <cell r="V231">
            <v>44256</v>
          </cell>
          <cell r="W231">
            <v>44256</v>
          </cell>
          <cell r="X231">
            <v>41100090</v>
          </cell>
        </row>
        <row r="232">
          <cell r="K232" t="str">
            <v>GBWS-0948</v>
          </cell>
          <cell r="L232">
            <v>44236</v>
          </cell>
          <cell r="M232">
            <v>44237</v>
          </cell>
          <cell r="N232">
            <v>44255</v>
          </cell>
          <cell r="O232">
            <v>44237</v>
          </cell>
          <cell r="P232">
            <v>44255</v>
          </cell>
          <cell r="Q232">
            <v>44254</v>
          </cell>
          <cell r="R232">
            <v>44254</v>
          </cell>
          <cell r="S232"/>
          <cell r="T232">
            <v>44255</v>
          </cell>
          <cell r="U232">
            <v>44255</v>
          </cell>
          <cell r="V232">
            <v>44256</v>
          </cell>
          <cell r="W232">
            <v>44256</v>
          </cell>
          <cell r="X232">
            <v>41100090</v>
          </cell>
        </row>
        <row r="233">
          <cell r="K233" t="str">
            <v>IVAS-080</v>
          </cell>
          <cell r="L233">
            <v>44231</v>
          </cell>
          <cell r="M233">
            <v>44232</v>
          </cell>
          <cell r="N233">
            <v>44253</v>
          </cell>
          <cell r="O233">
            <v>44232</v>
          </cell>
          <cell r="P233">
            <v>0.8</v>
          </cell>
          <cell r="Q233">
            <v>44250</v>
          </cell>
          <cell r="R233">
            <v>44250</v>
          </cell>
          <cell r="S233"/>
          <cell r="T233">
            <v>44253</v>
          </cell>
          <cell r="U233">
            <v>44256</v>
          </cell>
          <cell r="V233">
            <v>44256</v>
          </cell>
          <cell r="W233">
            <v>44256</v>
          </cell>
          <cell r="X233">
            <v>41100280</v>
          </cell>
        </row>
        <row r="234">
          <cell r="K234" t="str">
            <v>SOS-0224</v>
          </cell>
          <cell r="L234">
            <v>44181</v>
          </cell>
          <cell r="M234">
            <v>44180</v>
          </cell>
          <cell r="N234">
            <v>44182</v>
          </cell>
          <cell r="O234">
            <v>44180</v>
          </cell>
          <cell r="P234">
            <v>44183</v>
          </cell>
          <cell r="Q234"/>
          <cell r="R234"/>
          <cell r="S234"/>
          <cell r="T234">
            <v>44183</v>
          </cell>
          <cell r="U234">
            <v>44183</v>
          </cell>
          <cell r="V234">
            <v>44187</v>
          </cell>
          <cell r="W234">
            <v>44188</v>
          </cell>
          <cell r="X234">
            <v>41100215</v>
          </cell>
        </row>
        <row r="235">
          <cell r="K235" t="str">
            <v>DBW-1969</v>
          </cell>
          <cell r="L235">
            <v>44209</v>
          </cell>
          <cell r="M235">
            <v>44209</v>
          </cell>
          <cell r="N235">
            <v>43849</v>
          </cell>
          <cell r="O235">
            <v>44209</v>
          </cell>
          <cell r="P235">
            <v>43849</v>
          </cell>
          <cell r="Q235"/>
          <cell r="R235"/>
          <cell r="S235"/>
          <cell r="T235">
            <v>44215</v>
          </cell>
          <cell r="U235">
            <v>44216</v>
          </cell>
          <cell r="V235">
            <v>44216</v>
          </cell>
          <cell r="W235">
            <v>44216</v>
          </cell>
          <cell r="X235" t="str">
            <v>41100258 → 41100291</v>
          </cell>
        </row>
        <row r="236">
          <cell r="K236" t="str">
            <v>DBW-2006</v>
          </cell>
          <cell r="L236">
            <v>44229</v>
          </cell>
          <cell r="M236">
            <v>44230</v>
          </cell>
          <cell r="N236">
            <v>44244</v>
          </cell>
          <cell r="O236">
            <v>44230</v>
          </cell>
          <cell r="P236">
            <v>44244</v>
          </cell>
          <cell r="Q236"/>
          <cell r="R236"/>
          <cell r="S236"/>
          <cell r="T236">
            <v>44245</v>
          </cell>
          <cell r="U236">
            <v>44246</v>
          </cell>
          <cell r="V236">
            <v>44247</v>
          </cell>
          <cell r="W236">
            <v>44247</v>
          </cell>
          <cell r="X236">
            <v>41100269</v>
          </cell>
        </row>
        <row r="237">
          <cell r="K237" t="str">
            <v>SOS-0225</v>
          </cell>
          <cell r="L237">
            <v>44229</v>
          </cell>
          <cell r="M237">
            <v>44230</v>
          </cell>
          <cell r="N237">
            <v>44235</v>
          </cell>
          <cell r="O237">
            <v>44230</v>
          </cell>
          <cell r="P237">
            <v>44236</v>
          </cell>
          <cell r="Q237"/>
          <cell r="R237"/>
          <cell r="S237"/>
          <cell r="T237">
            <v>44236</v>
          </cell>
          <cell r="U237">
            <v>44236</v>
          </cell>
          <cell r="V237">
            <v>44237</v>
          </cell>
          <cell r="W237">
            <v>44237</v>
          </cell>
          <cell r="X237">
            <v>41100182</v>
          </cell>
        </row>
        <row r="238">
          <cell r="K238" t="str">
            <v>SOS-0226</v>
          </cell>
          <cell r="L238">
            <v>44229</v>
          </cell>
          <cell r="M238">
            <v>44229</v>
          </cell>
          <cell r="N238">
            <v>44235</v>
          </cell>
          <cell r="O238">
            <v>44229</v>
          </cell>
          <cell r="P238">
            <v>44236</v>
          </cell>
          <cell r="Q238"/>
          <cell r="R238"/>
          <cell r="S238"/>
          <cell r="T238">
            <v>44236</v>
          </cell>
          <cell r="U238">
            <v>44236</v>
          </cell>
          <cell r="V238">
            <v>44237</v>
          </cell>
          <cell r="W238">
            <v>44237</v>
          </cell>
          <cell r="X238">
            <v>41100182</v>
          </cell>
        </row>
        <row r="239">
          <cell r="K239" t="str">
            <v>DBW-2024</v>
          </cell>
          <cell r="L239">
            <v>44235</v>
          </cell>
          <cell r="M239">
            <v>44236</v>
          </cell>
          <cell r="N239">
            <v>44249</v>
          </cell>
          <cell r="O239">
            <v>44236</v>
          </cell>
          <cell r="P239">
            <v>44251</v>
          </cell>
          <cell r="Q239">
            <v>44251</v>
          </cell>
          <cell r="R239">
            <v>44251</v>
          </cell>
          <cell r="S239"/>
          <cell r="T239">
            <v>44252</v>
          </cell>
          <cell r="U239">
            <v>44255</v>
          </cell>
          <cell r="V239">
            <v>44256</v>
          </cell>
          <cell r="W239">
            <v>44256</v>
          </cell>
          <cell r="X239">
            <v>41100291</v>
          </cell>
        </row>
        <row r="240">
          <cell r="K240" t="str">
            <v>DBW-2022</v>
          </cell>
          <cell r="L240">
            <v>44235</v>
          </cell>
          <cell r="M240">
            <v>44236</v>
          </cell>
          <cell r="N240">
            <v>44249</v>
          </cell>
          <cell r="O240">
            <v>44236</v>
          </cell>
          <cell r="P240">
            <v>44252</v>
          </cell>
          <cell r="Q240">
            <v>44251</v>
          </cell>
          <cell r="R240">
            <v>44251</v>
          </cell>
          <cell r="S240"/>
          <cell r="T240">
            <v>44256</v>
          </cell>
          <cell r="U240">
            <v>44256</v>
          </cell>
          <cell r="V240">
            <v>44257</v>
          </cell>
          <cell r="W240">
            <v>44257</v>
          </cell>
          <cell r="X240">
            <v>41100291</v>
          </cell>
        </row>
        <row r="241">
          <cell r="K241" t="str">
            <v>DBW-2023</v>
          </cell>
          <cell r="L241">
            <v>44235</v>
          </cell>
          <cell r="M241">
            <v>44236</v>
          </cell>
          <cell r="N241">
            <v>44249</v>
          </cell>
          <cell r="O241">
            <v>44236</v>
          </cell>
          <cell r="P241">
            <v>44252</v>
          </cell>
          <cell r="Q241">
            <v>44251</v>
          </cell>
          <cell r="R241">
            <v>44251</v>
          </cell>
          <cell r="S241"/>
          <cell r="T241">
            <v>44255</v>
          </cell>
          <cell r="U241">
            <v>44256</v>
          </cell>
          <cell r="V241">
            <v>44256</v>
          </cell>
          <cell r="W241">
            <v>44257</v>
          </cell>
          <cell r="X241">
            <v>41100291</v>
          </cell>
        </row>
        <row r="242">
          <cell r="K242" t="str">
            <v>SOS-0227</v>
          </cell>
          <cell r="L242">
            <v>44243</v>
          </cell>
          <cell r="M242">
            <v>44244</v>
          </cell>
          <cell r="N242">
            <v>44248</v>
          </cell>
          <cell r="O242">
            <v>44244</v>
          </cell>
          <cell r="P242">
            <v>44249</v>
          </cell>
          <cell r="Q242"/>
          <cell r="R242"/>
          <cell r="S242"/>
          <cell r="T242">
            <v>44250</v>
          </cell>
          <cell r="U242">
            <v>44250</v>
          </cell>
          <cell r="V242">
            <v>44251</v>
          </cell>
          <cell r="W242">
            <v>44252</v>
          </cell>
          <cell r="X242">
            <v>41100182</v>
          </cell>
        </row>
        <row r="243">
          <cell r="K243" t="str">
            <v>SOS-0228</v>
          </cell>
          <cell r="L243">
            <v>44243</v>
          </cell>
          <cell r="M243">
            <v>44244</v>
          </cell>
          <cell r="N243">
            <v>44248</v>
          </cell>
          <cell r="O243">
            <v>44244</v>
          </cell>
          <cell r="P243">
            <v>44249</v>
          </cell>
          <cell r="Q243"/>
          <cell r="R243"/>
          <cell r="S243"/>
          <cell r="T243">
            <v>44250</v>
          </cell>
          <cell r="U243">
            <v>44250</v>
          </cell>
          <cell r="V243">
            <v>44251</v>
          </cell>
          <cell r="W243">
            <v>44252</v>
          </cell>
          <cell r="X243">
            <v>41100299</v>
          </cell>
        </row>
        <row r="244">
          <cell r="K244" t="str">
            <v>SOS-0229</v>
          </cell>
          <cell r="L244">
            <v>44243</v>
          </cell>
          <cell r="M244">
            <v>44244</v>
          </cell>
          <cell r="N244">
            <v>44248</v>
          </cell>
          <cell r="O244">
            <v>44244</v>
          </cell>
          <cell r="P244">
            <v>44249</v>
          </cell>
          <cell r="Q244"/>
          <cell r="R244"/>
          <cell r="S244"/>
          <cell r="T244">
            <v>44250</v>
          </cell>
          <cell r="U244">
            <v>44250</v>
          </cell>
          <cell r="V244">
            <v>44251</v>
          </cell>
          <cell r="W244">
            <v>44252</v>
          </cell>
          <cell r="X244">
            <v>41100299</v>
          </cell>
        </row>
        <row r="245">
          <cell r="K245" t="str">
            <v>SOS-0230</v>
          </cell>
          <cell r="L245">
            <v>44243</v>
          </cell>
          <cell r="M245">
            <v>44244</v>
          </cell>
          <cell r="N245">
            <v>44248</v>
          </cell>
          <cell r="O245">
            <v>44244</v>
          </cell>
          <cell r="P245">
            <v>44249</v>
          </cell>
          <cell r="Q245"/>
          <cell r="R245"/>
          <cell r="S245"/>
          <cell r="T245">
            <v>44250</v>
          </cell>
          <cell r="U245">
            <v>44250</v>
          </cell>
          <cell r="V245">
            <v>44251</v>
          </cell>
          <cell r="W245">
            <v>44252</v>
          </cell>
          <cell r="X245">
            <v>41100299</v>
          </cell>
        </row>
        <row r="246">
          <cell r="K246" t="str">
            <v>DBW-2052</v>
          </cell>
          <cell r="L246">
            <v>44242</v>
          </cell>
          <cell r="M246">
            <v>44242</v>
          </cell>
          <cell r="N246">
            <v>44249</v>
          </cell>
          <cell r="O246">
            <v>44242</v>
          </cell>
          <cell r="P246">
            <v>44249</v>
          </cell>
          <cell r="Q246">
            <v>44249</v>
          </cell>
          <cell r="R246">
            <v>44249</v>
          </cell>
          <cell r="S246"/>
          <cell r="T246">
            <v>44250</v>
          </cell>
          <cell r="U246">
            <v>44252</v>
          </cell>
          <cell r="V246">
            <v>44252</v>
          </cell>
          <cell r="W246">
            <v>44253</v>
          </cell>
          <cell r="X246">
            <v>41100269</v>
          </cell>
        </row>
        <row r="247">
          <cell r="K247" t="str">
            <v>DBW-2046</v>
          </cell>
          <cell r="L247">
            <v>44242</v>
          </cell>
          <cell r="M247">
            <v>44242</v>
          </cell>
          <cell r="N247">
            <v>44249</v>
          </cell>
          <cell r="O247">
            <v>44242</v>
          </cell>
          <cell r="P247">
            <v>44250</v>
          </cell>
          <cell r="Q247">
            <v>44249</v>
          </cell>
          <cell r="R247">
            <v>44249</v>
          </cell>
          <cell r="S247"/>
          <cell r="T247">
            <v>44251</v>
          </cell>
          <cell r="U247">
            <v>44253</v>
          </cell>
          <cell r="V247">
            <v>44253</v>
          </cell>
          <cell r="W247">
            <v>44253</v>
          </cell>
          <cell r="X247">
            <v>41100255</v>
          </cell>
        </row>
        <row r="248">
          <cell r="K248" t="str">
            <v>DBW-2047</v>
          </cell>
          <cell r="L248">
            <v>44242</v>
          </cell>
          <cell r="M248">
            <v>44242</v>
          </cell>
          <cell r="N248">
            <v>44249</v>
          </cell>
          <cell r="O248">
            <v>44242</v>
          </cell>
          <cell r="P248">
            <v>44250</v>
          </cell>
          <cell r="Q248">
            <v>44249</v>
          </cell>
          <cell r="R248">
            <v>44249</v>
          </cell>
          <cell r="S248"/>
          <cell r="T248">
            <v>44251</v>
          </cell>
          <cell r="U248">
            <v>44253</v>
          </cell>
          <cell r="V248">
            <v>44253</v>
          </cell>
          <cell r="W248">
            <v>44254</v>
          </cell>
          <cell r="X248">
            <v>41100255</v>
          </cell>
        </row>
        <row r="249">
          <cell r="K249" t="str">
            <v>DBW-2048</v>
          </cell>
          <cell r="L249">
            <v>44242</v>
          </cell>
          <cell r="M249">
            <v>44242</v>
          </cell>
          <cell r="N249">
            <v>44249</v>
          </cell>
          <cell r="O249">
            <v>44242</v>
          </cell>
          <cell r="P249">
            <v>44250</v>
          </cell>
          <cell r="Q249">
            <v>44249</v>
          </cell>
          <cell r="R249">
            <v>44249</v>
          </cell>
          <cell r="S249"/>
          <cell r="T249">
            <v>44251</v>
          </cell>
          <cell r="U249">
            <v>44253</v>
          </cell>
          <cell r="V249">
            <v>44253</v>
          </cell>
          <cell r="W249">
            <v>44254</v>
          </cell>
          <cell r="X249">
            <v>41100255</v>
          </cell>
        </row>
        <row r="250">
          <cell r="K250" t="str">
            <v>DBW-2049</v>
          </cell>
          <cell r="L250">
            <v>44242</v>
          </cell>
          <cell r="M250">
            <v>44242</v>
          </cell>
          <cell r="N250">
            <v>44249</v>
          </cell>
          <cell r="O250">
            <v>44242</v>
          </cell>
          <cell r="P250">
            <v>44250</v>
          </cell>
          <cell r="Q250">
            <v>44249</v>
          </cell>
          <cell r="R250">
            <v>44249</v>
          </cell>
          <cell r="S250"/>
          <cell r="T250">
            <v>44251</v>
          </cell>
          <cell r="U250">
            <v>44253</v>
          </cell>
          <cell r="V250">
            <v>44253</v>
          </cell>
          <cell r="W250">
            <v>44253</v>
          </cell>
          <cell r="X250">
            <v>41100255</v>
          </cell>
        </row>
        <row r="251">
          <cell r="K251" t="str">
            <v>DBW-2039</v>
          </cell>
          <cell r="L251">
            <v>44236</v>
          </cell>
          <cell r="M251">
            <v>44237</v>
          </cell>
          <cell r="N251">
            <v>44251</v>
          </cell>
          <cell r="O251">
            <v>44237</v>
          </cell>
          <cell r="P251">
            <v>44251</v>
          </cell>
          <cell r="Q251">
            <v>44252</v>
          </cell>
          <cell r="R251">
            <v>44252</v>
          </cell>
          <cell r="S251"/>
          <cell r="T251">
            <v>44256</v>
          </cell>
          <cell r="U251">
            <v>44257</v>
          </cell>
          <cell r="V251">
            <v>44257</v>
          </cell>
          <cell r="W251">
            <v>44257</v>
          </cell>
          <cell r="X251">
            <v>41100270</v>
          </cell>
        </row>
        <row r="252">
          <cell r="K252" t="str">
            <v>DBW-2040</v>
          </cell>
          <cell r="L252">
            <v>44236</v>
          </cell>
          <cell r="M252">
            <v>44237</v>
          </cell>
          <cell r="N252">
            <v>44251</v>
          </cell>
          <cell r="O252">
            <v>44237</v>
          </cell>
          <cell r="P252">
            <v>44251</v>
          </cell>
          <cell r="Q252">
            <v>44252</v>
          </cell>
          <cell r="R252">
            <v>44252</v>
          </cell>
          <cell r="S252"/>
          <cell r="T252">
            <v>44254</v>
          </cell>
          <cell r="U252">
            <v>44255</v>
          </cell>
          <cell r="V252">
            <v>44256</v>
          </cell>
          <cell r="W252">
            <v>44256</v>
          </cell>
          <cell r="X252">
            <v>41100270</v>
          </cell>
        </row>
        <row r="253">
          <cell r="K253" t="str">
            <v>DBW-2041</v>
          </cell>
          <cell r="L253">
            <v>44236</v>
          </cell>
          <cell r="M253">
            <v>44237</v>
          </cell>
          <cell r="N253">
            <v>44251</v>
          </cell>
          <cell r="O253">
            <v>44237</v>
          </cell>
          <cell r="P253">
            <v>44251</v>
          </cell>
          <cell r="Q253">
            <v>44252</v>
          </cell>
          <cell r="R253">
            <v>44252</v>
          </cell>
          <cell r="S253"/>
          <cell r="T253">
            <v>44254</v>
          </cell>
          <cell r="U253">
            <v>44255</v>
          </cell>
          <cell r="V253">
            <v>44256</v>
          </cell>
          <cell r="W253">
            <v>44256</v>
          </cell>
          <cell r="X253">
            <v>41100270</v>
          </cell>
        </row>
        <row r="254">
          <cell r="K254" t="str">
            <v>DBW-2043</v>
          </cell>
          <cell r="L254">
            <v>44236</v>
          </cell>
          <cell r="M254">
            <v>44237</v>
          </cell>
          <cell r="N254">
            <v>44251</v>
          </cell>
          <cell r="O254">
            <v>44237</v>
          </cell>
          <cell r="P254">
            <v>44251</v>
          </cell>
          <cell r="Q254">
            <v>44252</v>
          </cell>
          <cell r="R254">
            <v>44252</v>
          </cell>
          <cell r="S254"/>
          <cell r="T254">
            <v>44256</v>
          </cell>
          <cell r="U254">
            <v>44256</v>
          </cell>
          <cell r="V254">
            <v>44257</v>
          </cell>
          <cell r="W254">
            <v>44257</v>
          </cell>
          <cell r="X254">
            <v>41100234</v>
          </cell>
        </row>
        <row r="255">
          <cell r="K255" t="str">
            <v>DBW-2044</v>
          </cell>
          <cell r="L255">
            <v>44236</v>
          </cell>
          <cell r="M255">
            <v>44237</v>
          </cell>
          <cell r="N255">
            <v>44251</v>
          </cell>
          <cell r="O255">
            <v>44237</v>
          </cell>
          <cell r="P255">
            <v>44251</v>
          </cell>
          <cell r="Q255">
            <v>44252</v>
          </cell>
          <cell r="R255">
            <v>44252</v>
          </cell>
          <cell r="S255"/>
          <cell r="T255">
            <v>44256</v>
          </cell>
          <cell r="U255">
            <v>44257</v>
          </cell>
          <cell r="V255">
            <v>44257</v>
          </cell>
          <cell r="W255">
            <v>44257</v>
          </cell>
          <cell r="X255">
            <v>41100234</v>
          </cell>
        </row>
        <row r="256">
          <cell r="K256" t="str">
            <v>DBW-2045</v>
          </cell>
          <cell r="L256">
            <v>44236</v>
          </cell>
          <cell r="M256">
            <v>44237</v>
          </cell>
          <cell r="N256">
            <v>44251</v>
          </cell>
          <cell r="O256">
            <v>44237</v>
          </cell>
          <cell r="P256">
            <v>44251</v>
          </cell>
          <cell r="Q256">
            <v>44252</v>
          </cell>
          <cell r="R256">
            <v>44252</v>
          </cell>
          <cell r="S256"/>
          <cell r="T256">
            <v>44256</v>
          </cell>
          <cell r="U256">
            <v>44257</v>
          </cell>
          <cell r="V256">
            <v>44257</v>
          </cell>
          <cell r="W256">
            <v>44257</v>
          </cell>
          <cell r="X256">
            <v>41100234</v>
          </cell>
        </row>
        <row r="257">
          <cell r="K257" t="str">
            <v>DBW-2042</v>
          </cell>
          <cell r="L257">
            <v>44236</v>
          </cell>
          <cell r="M257">
            <v>44237</v>
          </cell>
          <cell r="N257">
            <v>44251</v>
          </cell>
          <cell r="O257">
            <v>44237</v>
          </cell>
          <cell r="P257">
            <v>44251</v>
          </cell>
          <cell r="Q257">
            <v>44252</v>
          </cell>
          <cell r="R257">
            <v>44252</v>
          </cell>
          <cell r="S257"/>
          <cell r="T257">
            <v>44255</v>
          </cell>
          <cell r="U257">
            <v>44256</v>
          </cell>
          <cell r="V257">
            <v>44257</v>
          </cell>
          <cell r="W257">
            <v>44257</v>
          </cell>
          <cell r="X257">
            <v>41100270</v>
          </cell>
        </row>
        <row r="258">
          <cell r="K258" t="str">
            <v>DBW-2032</v>
          </cell>
          <cell r="L258">
            <v>44236</v>
          </cell>
          <cell r="M258">
            <v>44237</v>
          </cell>
          <cell r="N258">
            <v>44249</v>
          </cell>
          <cell r="O258">
            <v>44237</v>
          </cell>
          <cell r="P258">
            <v>44252</v>
          </cell>
          <cell r="Q258">
            <v>44251</v>
          </cell>
          <cell r="R258">
            <v>44251</v>
          </cell>
          <cell r="S258"/>
          <cell r="T258">
            <v>44257</v>
          </cell>
          <cell r="U258">
            <v>44257</v>
          </cell>
          <cell r="V258">
            <v>44257</v>
          </cell>
          <cell r="W258">
            <v>44257</v>
          </cell>
          <cell r="X258">
            <v>41100291</v>
          </cell>
        </row>
        <row r="259">
          <cell r="K259" t="str">
            <v>DBW-2033</v>
          </cell>
          <cell r="L259">
            <v>44236</v>
          </cell>
          <cell r="M259">
            <v>44237</v>
          </cell>
          <cell r="N259">
            <v>44249</v>
          </cell>
          <cell r="O259">
            <v>44237</v>
          </cell>
          <cell r="P259">
            <v>44252</v>
          </cell>
          <cell r="Q259">
            <v>44251</v>
          </cell>
          <cell r="R259">
            <v>44251</v>
          </cell>
          <cell r="S259"/>
          <cell r="T259">
            <v>44257</v>
          </cell>
          <cell r="U259">
            <v>44257</v>
          </cell>
          <cell r="V259">
            <v>44257</v>
          </cell>
          <cell r="W259">
            <v>44257</v>
          </cell>
          <cell r="X259">
            <v>41100291</v>
          </cell>
        </row>
        <row r="260">
          <cell r="K260" t="str">
            <v>GBWS-0936</v>
          </cell>
          <cell r="L260">
            <v>44222</v>
          </cell>
          <cell r="M260">
            <v>44223</v>
          </cell>
          <cell r="N260">
            <v>44235</v>
          </cell>
          <cell r="O260">
            <v>44223</v>
          </cell>
          <cell r="P260">
            <v>44235</v>
          </cell>
          <cell r="Q260"/>
          <cell r="R260"/>
          <cell r="S260"/>
          <cell r="T260">
            <v>44236</v>
          </cell>
          <cell r="U260">
            <v>44248</v>
          </cell>
          <cell r="V260">
            <v>44249</v>
          </cell>
          <cell r="W260">
            <v>44250</v>
          </cell>
          <cell r="X260">
            <v>41100168</v>
          </cell>
        </row>
        <row r="261">
          <cell r="K261" t="str">
            <v>GBWS-0940</v>
          </cell>
          <cell r="L261">
            <v>44234</v>
          </cell>
          <cell r="M261">
            <v>44235</v>
          </cell>
          <cell r="N261">
            <v>44250</v>
          </cell>
          <cell r="O261">
            <v>44235</v>
          </cell>
          <cell r="P261">
            <v>44251</v>
          </cell>
          <cell r="Q261">
            <v>44250</v>
          </cell>
          <cell r="R261">
            <v>44250</v>
          </cell>
          <cell r="S261"/>
          <cell r="T261">
            <v>44252</v>
          </cell>
          <cell r="U261">
            <v>44257</v>
          </cell>
          <cell r="V261">
            <v>44257</v>
          </cell>
          <cell r="W261">
            <v>44258</v>
          </cell>
          <cell r="X261">
            <v>41100285</v>
          </cell>
        </row>
        <row r="262">
          <cell r="K262" t="str">
            <v>GBWS-0944</v>
          </cell>
          <cell r="L262">
            <v>44235</v>
          </cell>
          <cell r="M262">
            <v>44236</v>
          </cell>
          <cell r="N262">
            <v>44251</v>
          </cell>
          <cell r="O262">
            <v>44236</v>
          </cell>
          <cell r="P262">
            <v>44251</v>
          </cell>
          <cell r="Q262">
            <v>44250</v>
          </cell>
          <cell r="R262">
            <v>44250</v>
          </cell>
          <cell r="S262"/>
          <cell r="T262">
            <v>44253</v>
          </cell>
          <cell r="U262">
            <v>44258</v>
          </cell>
          <cell r="V262">
            <v>44259</v>
          </cell>
          <cell r="W262">
            <v>44258</v>
          </cell>
          <cell r="X262" t="str">
            <v>41100294 → 41100286</v>
          </cell>
        </row>
        <row r="263">
          <cell r="K263" t="str">
            <v>DBW-2020</v>
          </cell>
          <cell r="L263">
            <v>44235</v>
          </cell>
          <cell r="M263">
            <v>44236</v>
          </cell>
          <cell r="N263">
            <v>44249</v>
          </cell>
          <cell r="O263">
            <v>44236</v>
          </cell>
          <cell r="P263">
            <v>44251</v>
          </cell>
          <cell r="Q263">
            <v>44251</v>
          </cell>
          <cell r="R263">
            <v>44251</v>
          </cell>
          <cell r="S263"/>
          <cell r="T263">
            <v>44252</v>
          </cell>
          <cell r="U263">
            <v>44258</v>
          </cell>
          <cell r="V263">
            <v>44258</v>
          </cell>
          <cell r="W263">
            <v>44258</v>
          </cell>
          <cell r="X263">
            <v>41100258</v>
          </cell>
        </row>
        <row r="264">
          <cell r="K264" t="str">
            <v>DBW-2034</v>
          </cell>
          <cell r="L264">
            <v>44236</v>
          </cell>
          <cell r="M264">
            <v>44237</v>
          </cell>
          <cell r="N264">
            <v>44258</v>
          </cell>
          <cell r="O264">
            <v>44237</v>
          </cell>
          <cell r="P264">
            <v>44258</v>
          </cell>
          <cell r="Q264">
            <v>44257</v>
          </cell>
          <cell r="R264">
            <v>44257</v>
          </cell>
          <cell r="S264"/>
          <cell r="T264">
            <v>44258</v>
          </cell>
          <cell r="U264">
            <v>44258</v>
          </cell>
          <cell r="V264">
            <v>44258</v>
          </cell>
          <cell r="W264">
            <v>44258</v>
          </cell>
          <cell r="X264">
            <v>41100261</v>
          </cell>
        </row>
        <row r="265">
          <cell r="K265" t="str">
            <v>DBW-2035</v>
          </cell>
          <cell r="L265">
            <v>44236</v>
          </cell>
          <cell r="M265">
            <v>44237</v>
          </cell>
          <cell r="N265">
            <v>44258</v>
          </cell>
          <cell r="O265">
            <v>44237</v>
          </cell>
          <cell r="P265">
            <v>44258</v>
          </cell>
          <cell r="Q265">
            <v>44257</v>
          </cell>
          <cell r="R265">
            <v>44257</v>
          </cell>
          <cell r="S265"/>
          <cell r="T265">
            <v>44258</v>
          </cell>
          <cell r="U265">
            <v>44258</v>
          </cell>
          <cell r="V265">
            <v>44258</v>
          </cell>
          <cell r="W265">
            <v>44258</v>
          </cell>
          <cell r="X265">
            <v>41100261</v>
          </cell>
        </row>
        <row r="266">
          <cell r="K266" t="str">
            <v>DBW-2027</v>
          </cell>
          <cell r="L266">
            <v>44235</v>
          </cell>
          <cell r="M266">
            <v>44236</v>
          </cell>
          <cell r="N266">
            <v>44245</v>
          </cell>
          <cell r="O266">
            <v>44236</v>
          </cell>
          <cell r="P266">
            <v>44246</v>
          </cell>
          <cell r="Q266"/>
          <cell r="R266"/>
          <cell r="S266"/>
          <cell r="T266">
            <v>44249</v>
          </cell>
          <cell r="U266">
            <v>44250</v>
          </cell>
          <cell r="V266">
            <v>44251</v>
          </cell>
          <cell r="W266">
            <v>44251</v>
          </cell>
          <cell r="X266">
            <v>41100170</v>
          </cell>
        </row>
        <row r="267">
          <cell r="K267" t="str">
            <v>DBW-2028</v>
          </cell>
          <cell r="L267">
            <v>44235</v>
          </cell>
          <cell r="M267">
            <v>44236</v>
          </cell>
          <cell r="N267">
            <v>44245</v>
          </cell>
          <cell r="O267">
            <v>44236</v>
          </cell>
          <cell r="P267">
            <v>44246</v>
          </cell>
          <cell r="Q267"/>
          <cell r="R267"/>
          <cell r="S267"/>
          <cell r="T267">
            <v>44249</v>
          </cell>
          <cell r="U267">
            <v>44250</v>
          </cell>
          <cell r="V267">
            <v>44251</v>
          </cell>
          <cell r="W267">
            <v>44251</v>
          </cell>
          <cell r="X267">
            <v>41100170</v>
          </cell>
        </row>
        <row r="268">
          <cell r="K268" t="str">
            <v>DBW-2029</v>
          </cell>
          <cell r="L268">
            <v>44235</v>
          </cell>
          <cell r="M268">
            <v>44236</v>
          </cell>
          <cell r="N268">
            <v>44245</v>
          </cell>
          <cell r="O268">
            <v>44236</v>
          </cell>
          <cell r="P268">
            <v>44246</v>
          </cell>
          <cell r="Q268"/>
          <cell r="R268"/>
          <cell r="S268"/>
          <cell r="T268">
            <v>44249</v>
          </cell>
          <cell r="U268">
            <v>44250</v>
          </cell>
          <cell r="V268">
            <v>44251</v>
          </cell>
          <cell r="W268">
            <v>44251</v>
          </cell>
          <cell r="X268">
            <v>41100170</v>
          </cell>
        </row>
        <row r="269">
          <cell r="K269" t="str">
            <v>DBW-2030</v>
          </cell>
          <cell r="L269">
            <v>44235</v>
          </cell>
          <cell r="M269">
            <v>44236</v>
          </cell>
          <cell r="N269">
            <v>44245</v>
          </cell>
          <cell r="O269">
            <v>44236</v>
          </cell>
          <cell r="P269">
            <v>44246</v>
          </cell>
          <cell r="Q269"/>
          <cell r="R269"/>
          <cell r="S269"/>
          <cell r="T269">
            <v>44249</v>
          </cell>
          <cell r="U269">
            <v>44250</v>
          </cell>
          <cell r="V269">
            <v>44251</v>
          </cell>
          <cell r="W269">
            <v>44251</v>
          </cell>
          <cell r="X269">
            <v>41100170</v>
          </cell>
        </row>
        <row r="270">
          <cell r="K270" t="str">
            <v>DBW-2026</v>
          </cell>
          <cell r="L270">
            <v>44235</v>
          </cell>
          <cell r="M270">
            <v>44236</v>
          </cell>
          <cell r="N270">
            <v>44245</v>
          </cell>
          <cell r="O270">
            <v>44236</v>
          </cell>
          <cell r="P270">
            <v>44246</v>
          </cell>
          <cell r="Q270"/>
          <cell r="R270"/>
          <cell r="S270"/>
          <cell r="T270">
            <v>44249</v>
          </cell>
          <cell r="U270">
            <v>44252</v>
          </cell>
          <cell r="V270">
            <v>44252</v>
          </cell>
          <cell r="W270">
            <v>44253</v>
          </cell>
          <cell r="X270">
            <v>41100169</v>
          </cell>
        </row>
        <row r="271">
          <cell r="K271" t="str">
            <v>GBWS-0894</v>
          </cell>
          <cell r="L271">
            <v>44208</v>
          </cell>
          <cell r="M271">
            <v>44209</v>
          </cell>
          <cell r="N271">
            <v>44224</v>
          </cell>
          <cell r="O271">
            <v>44209</v>
          </cell>
          <cell r="P271">
            <v>44223</v>
          </cell>
          <cell r="Q271"/>
          <cell r="R271"/>
          <cell r="S271"/>
          <cell r="T271">
            <v>44228</v>
          </cell>
          <cell r="U271">
            <v>44229</v>
          </cell>
          <cell r="V271">
            <v>44230</v>
          </cell>
          <cell r="W271">
            <v>44230</v>
          </cell>
          <cell r="X271">
            <v>41100168</v>
          </cell>
        </row>
        <row r="272">
          <cell r="K272" t="str">
            <v>GBWS-0895</v>
          </cell>
          <cell r="L272">
            <v>44208</v>
          </cell>
          <cell r="M272">
            <v>44209</v>
          </cell>
          <cell r="N272">
            <v>44225</v>
          </cell>
          <cell r="O272">
            <v>44209</v>
          </cell>
          <cell r="P272">
            <v>44223</v>
          </cell>
          <cell r="Q272"/>
          <cell r="R272"/>
          <cell r="S272"/>
          <cell r="T272">
            <v>44228</v>
          </cell>
          <cell r="U272">
            <v>44229</v>
          </cell>
          <cell r="V272">
            <v>44230</v>
          </cell>
          <cell r="W272">
            <v>44230</v>
          </cell>
          <cell r="X272">
            <v>41100168</v>
          </cell>
        </row>
        <row r="273">
          <cell r="K273" t="str">
            <v>DBW-1976</v>
          </cell>
          <cell r="L273">
            <v>44214</v>
          </cell>
          <cell r="M273">
            <v>44215</v>
          </cell>
          <cell r="N273">
            <v>44222</v>
          </cell>
          <cell r="O273">
            <v>44215</v>
          </cell>
          <cell r="P273">
            <v>44222</v>
          </cell>
          <cell r="Q273"/>
          <cell r="R273"/>
          <cell r="S273"/>
          <cell r="T273">
            <v>44223</v>
          </cell>
          <cell r="U273">
            <v>44225</v>
          </cell>
          <cell r="V273">
            <v>44225</v>
          </cell>
          <cell r="W273">
            <v>44225</v>
          </cell>
          <cell r="X273">
            <v>41100258</v>
          </cell>
        </row>
        <row r="274">
          <cell r="K274" t="str">
            <v>DBW-2061</v>
          </cell>
          <cell r="L274">
            <v>44246</v>
          </cell>
          <cell r="M274">
            <v>44243</v>
          </cell>
          <cell r="N274">
            <v>44259</v>
          </cell>
          <cell r="O274">
            <v>44243</v>
          </cell>
          <cell r="P274">
            <v>44259</v>
          </cell>
          <cell r="Q274">
            <v>44259</v>
          </cell>
          <cell r="R274">
            <v>44259</v>
          </cell>
          <cell r="S274"/>
          <cell r="T274" t="str">
            <v>3/4오후</v>
          </cell>
          <cell r="U274">
            <v>44261</v>
          </cell>
          <cell r="V274">
            <v>44262</v>
          </cell>
          <cell r="W274">
            <v>44262</v>
          </cell>
          <cell r="X274">
            <v>41100047</v>
          </cell>
        </row>
        <row r="275">
          <cell r="K275" t="str">
            <v>DBW-2062</v>
          </cell>
          <cell r="L275">
            <v>44244</v>
          </cell>
          <cell r="M275">
            <v>44244</v>
          </cell>
          <cell r="N275">
            <v>44259</v>
          </cell>
          <cell r="O275">
            <v>44244</v>
          </cell>
          <cell r="P275">
            <v>44258</v>
          </cell>
          <cell r="Q275">
            <v>44258</v>
          </cell>
          <cell r="R275">
            <v>44258</v>
          </cell>
          <cell r="S275"/>
          <cell r="T275">
            <v>44259</v>
          </cell>
          <cell r="U275">
            <v>44260</v>
          </cell>
          <cell r="V275">
            <v>44260</v>
          </cell>
          <cell r="W275">
            <v>44260</v>
          </cell>
          <cell r="X275">
            <v>41100173</v>
          </cell>
        </row>
        <row r="276">
          <cell r="K276" t="str">
            <v>DBW-2063</v>
          </cell>
          <cell r="L276">
            <v>44244</v>
          </cell>
          <cell r="M276">
            <v>44244</v>
          </cell>
          <cell r="N276">
            <v>44259</v>
          </cell>
          <cell r="O276">
            <v>44244</v>
          </cell>
          <cell r="P276">
            <v>44258</v>
          </cell>
          <cell r="Q276">
            <v>44258</v>
          </cell>
          <cell r="R276">
            <v>44258</v>
          </cell>
          <cell r="S276"/>
          <cell r="T276">
            <v>44259</v>
          </cell>
          <cell r="U276">
            <v>44260</v>
          </cell>
          <cell r="V276">
            <v>44260</v>
          </cell>
          <cell r="W276">
            <v>44260</v>
          </cell>
          <cell r="X276">
            <v>41100173</v>
          </cell>
        </row>
        <row r="277">
          <cell r="K277" t="str">
            <v>GBWS-0854</v>
          </cell>
          <cell r="L277">
            <v>44193</v>
          </cell>
          <cell r="M277">
            <v>44194</v>
          </cell>
          <cell r="N277">
            <v>43836</v>
          </cell>
          <cell r="O277">
            <v>44194</v>
          </cell>
          <cell r="P277">
            <v>44203</v>
          </cell>
          <cell r="Q277"/>
          <cell r="R277"/>
          <cell r="S277"/>
          <cell r="T277">
            <v>44203</v>
          </cell>
          <cell r="U277">
            <v>44204</v>
          </cell>
          <cell r="V277">
            <v>44207</v>
          </cell>
          <cell r="W277">
            <v>44208</v>
          </cell>
          <cell r="X277">
            <v>41100209</v>
          </cell>
        </row>
        <row r="278">
          <cell r="K278" t="str">
            <v>DBW-2064</v>
          </cell>
          <cell r="L278">
            <v>44243</v>
          </cell>
          <cell r="M278">
            <v>44245</v>
          </cell>
          <cell r="N278">
            <v>44258</v>
          </cell>
          <cell r="O278">
            <v>44245</v>
          </cell>
          <cell r="P278">
            <v>44259</v>
          </cell>
          <cell r="Q278">
            <v>44258</v>
          </cell>
          <cell r="R278">
            <v>44258</v>
          </cell>
          <cell r="S278"/>
          <cell r="T278">
            <v>44260</v>
          </cell>
          <cell r="U278">
            <v>44263</v>
          </cell>
          <cell r="V278">
            <v>44263</v>
          </cell>
          <cell r="W278">
            <v>44263</v>
          </cell>
          <cell r="X278">
            <v>41100270</v>
          </cell>
        </row>
        <row r="279">
          <cell r="K279" t="str">
            <v>DBW-2065</v>
          </cell>
          <cell r="L279">
            <v>44243</v>
          </cell>
          <cell r="M279">
            <v>44245</v>
          </cell>
          <cell r="N279">
            <v>44258</v>
          </cell>
          <cell r="O279">
            <v>44245</v>
          </cell>
          <cell r="P279">
            <v>44259</v>
          </cell>
          <cell r="Q279">
            <v>44258</v>
          </cell>
          <cell r="R279">
            <v>44258</v>
          </cell>
          <cell r="S279"/>
          <cell r="T279">
            <v>44260</v>
          </cell>
          <cell r="U279">
            <v>44263</v>
          </cell>
          <cell r="V279">
            <v>44263</v>
          </cell>
          <cell r="W279">
            <v>44263</v>
          </cell>
          <cell r="X279">
            <v>41100270</v>
          </cell>
        </row>
        <row r="280">
          <cell r="K280" t="str">
            <v>DBW-2066</v>
          </cell>
          <cell r="L280">
            <v>44243</v>
          </cell>
          <cell r="M280">
            <v>44245</v>
          </cell>
          <cell r="N280">
            <v>44258</v>
          </cell>
          <cell r="O280">
            <v>44245</v>
          </cell>
          <cell r="P280">
            <v>44258</v>
          </cell>
          <cell r="Q280">
            <v>44258</v>
          </cell>
          <cell r="R280">
            <v>44258</v>
          </cell>
          <cell r="S280"/>
          <cell r="T280">
            <v>44259</v>
          </cell>
          <cell r="U280">
            <v>44261</v>
          </cell>
          <cell r="V280">
            <v>44262</v>
          </cell>
          <cell r="W280">
            <v>44263</v>
          </cell>
          <cell r="X280">
            <v>41100235</v>
          </cell>
        </row>
        <row r="281">
          <cell r="K281" t="str">
            <v>DBW-2067</v>
          </cell>
          <cell r="L281">
            <v>44243</v>
          </cell>
          <cell r="M281">
            <v>44245</v>
          </cell>
          <cell r="N281">
            <v>44258</v>
          </cell>
          <cell r="O281">
            <v>44245</v>
          </cell>
          <cell r="P281">
            <v>44258</v>
          </cell>
          <cell r="Q281">
            <v>44258</v>
          </cell>
          <cell r="R281">
            <v>44258</v>
          </cell>
          <cell r="S281"/>
          <cell r="T281">
            <v>44259</v>
          </cell>
          <cell r="U281">
            <v>44261</v>
          </cell>
          <cell r="V281">
            <v>44262</v>
          </cell>
          <cell r="W281">
            <v>44263</v>
          </cell>
          <cell r="X281">
            <v>41100235</v>
          </cell>
        </row>
        <row r="282">
          <cell r="K282" t="str">
            <v>GBWS-0957</v>
          </cell>
          <cell r="L282">
            <v>44246</v>
          </cell>
          <cell r="M282">
            <v>44249</v>
          </cell>
          <cell r="N282">
            <v>44263</v>
          </cell>
          <cell r="O282">
            <v>44249</v>
          </cell>
          <cell r="P282">
            <v>44263</v>
          </cell>
          <cell r="Q282" t="str">
            <v>3/7 오전</v>
          </cell>
          <cell r="R282" t="str">
            <v>3/7 오전</v>
          </cell>
          <cell r="S282"/>
          <cell r="T282">
            <v>44263</v>
          </cell>
          <cell r="U282">
            <v>44263</v>
          </cell>
          <cell r="V282">
            <v>44264</v>
          </cell>
          <cell r="W282">
            <v>44264</v>
          </cell>
          <cell r="X282">
            <v>41100294</v>
          </cell>
        </row>
        <row r="283">
          <cell r="K283" t="str">
            <v>DBW-2053</v>
          </cell>
          <cell r="L283">
            <v>44242</v>
          </cell>
          <cell r="M283">
            <v>44242</v>
          </cell>
          <cell r="N283">
            <v>44249</v>
          </cell>
          <cell r="O283">
            <v>44242</v>
          </cell>
          <cell r="P283">
            <v>44249</v>
          </cell>
          <cell r="Q283">
            <v>44249</v>
          </cell>
          <cell r="R283">
            <v>44249</v>
          </cell>
          <cell r="S283"/>
          <cell r="T283">
            <v>44250</v>
          </cell>
          <cell r="U283">
            <v>44251</v>
          </cell>
          <cell r="V283">
            <v>44252</v>
          </cell>
          <cell r="W283">
            <v>44253</v>
          </cell>
          <cell r="X283">
            <v>41100269</v>
          </cell>
        </row>
        <row r="284">
          <cell r="K284" t="str">
            <v>DBW-2054</v>
          </cell>
          <cell r="L284">
            <v>44242</v>
          </cell>
          <cell r="M284">
            <v>44242</v>
          </cell>
          <cell r="N284">
            <v>44249</v>
          </cell>
          <cell r="O284">
            <v>44242</v>
          </cell>
          <cell r="P284">
            <v>44249</v>
          </cell>
          <cell r="Q284">
            <v>44249</v>
          </cell>
          <cell r="R284">
            <v>44249</v>
          </cell>
          <cell r="S284"/>
          <cell r="T284">
            <v>44250</v>
          </cell>
          <cell r="U284">
            <v>44252</v>
          </cell>
          <cell r="V284">
            <v>44252</v>
          </cell>
          <cell r="W284">
            <v>44253</v>
          </cell>
          <cell r="X284">
            <v>41100269</v>
          </cell>
        </row>
        <row r="285">
          <cell r="K285" t="str">
            <v>DBW-2056</v>
          </cell>
          <cell r="L285">
            <v>44242</v>
          </cell>
          <cell r="M285">
            <v>44242</v>
          </cell>
          <cell r="N285">
            <v>44249</v>
          </cell>
          <cell r="O285">
            <v>44242</v>
          </cell>
          <cell r="P285">
            <v>44249</v>
          </cell>
          <cell r="Q285">
            <v>44249</v>
          </cell>
          <cell r="R285">
            <v>44249</v>
          </cell>
          <cell r="S285"/>
          <cell r="T285">
            <v>44250</v>
          </cell>
          <cell r="U285">
            <v>44252</v>
          </cell>
          <cell r="V285">
            <v>44252</v>
          </cell>
          <cell r="W285">
            <v>44253</v>
          </cell>
          <cell r="X285">
            <v>41100236</v>
          </cell>
        </row>
        <row r="286">
          <cell r="K286" t="str">
            <v>DBW-2057</v>
          </cell>
          <cell r="L286">
            <v>44242</v>
          </cell>
          <cell r="M286">
            <v>44242</v>
          </cell>
          <cell r="N286">
            <v>44249</v>
          </cell>
          <cell r="O286">
            <v>44242</v>
          </cell>
          <cell r="P286">
            <v>44249</v>
          </cell>
          <cell r="Q286">
            <v>44249</v>
          </cell>
          <cell r="R286">
            <v>44249</v>
          </cell>
          <cell r="S286"/>
          <cell r="T286">
            <v>44250</v>
          </cell>
          <cell r="U286">
            <v>44253</v>
          </cell>
          <cell r="V286">
            <v>44254</v>
          </cell>
          <cell r="W286">
            <v>44253</v>
          </cell>
          <cell r="X286">
            <v>41100236</v>
          </cell>
        </row>
        <row r="287">
          <cell r="K287" t="str">
            <v>DBW-2050</v>
          </cell>
          <cell r="L287">
            <v>44242</v>
          </cell>
          <cell r="M287">
            <v>44242</v>
          </cell>
          <cell r="N287">
            <v>44249</v>
          </cell>
          <cell r="O287">
            <v>44242</v>
          </cell>
          <cell r="P287">
            <v>44250</v>
          </cell>
          <cell r="Q287">
            <v>44249</v>
          </cell>
          <cell r="R287">
            <v>44249</v>
          </cell>
          <cell r="S287"/>
          <cell r="T287">
            <v>44251</v>
          </cell>
          <cell r="U287">
            <v>44259</v>
          </cell>
          <cell r="V287">
            <v>44259</v>
          </cell>
          <cell r="W287">
            <v>44260</v>
          </cell>
          <cell r="X287">
            <v>41100255</v>
          </cell>
        </row>
        <row r="288">
          <cell r="K288" t="str">
            <v>DBW-2051</v>
          </cell>
          <cell r="L288">
            <v>44242</v>
          </cell>
          <cell r="M288">
            <v>44242</v>
          </cell>
          <cell r="N288">
            <v>44249</v>
          </cell>
          <cell r="O288">
            <v>44242</v>
          </cell>
          <cell r="P288">
            <v>44250</v>
          </cell>
          <cell r="Q288">
            <v>44249</v>
          </cell>
          <cell r="R288">
            <v>44249</v>
          </cell>
          <cell r="S288"/>
          <cell r="T288">
            <v>44251</v>
          </cell>
          <cell r="U288">
            <v>44259</v>
          </cell>
          <cell r="V288">
            <v>44259</v>
          </cell>
          <cell r="W288">
            <v>44260</v>
          </cell>
          <cell r="X288">
            <v>41100255</v>
          </cell>
        </row>
        <row r="289">
          <cell r="K289"/>
          <cell r="L289"/>
          <cell r="M289">
            <v>44253</v>
          </cell>
          <cell r="N289">
            <v>44263</v>
          </cell>
          <cell r="O289">
            <v>44253</v>
          </cell>
          <cell r="P289">
            <v>44263</v>
          </cell>
          <cell r="Q289">
            <v>44260</v>
          </cell>
          <cell r="R289">
            <v>44260</v>
          </cell>
          <cell r="S289"/>
          <cell r="T289">
            <v>44263</v>
          </cell>
          <cell r="U289">
            <v>44263</v>
          </cell>
          <cell r="V289">
            <v>44264</v>
          </cell>
          <cell r="W289">
            <v>44264</v>
          </cell>
          <cell r="X289">
            <v>31101329</v>
          </cell>
        </row>
        <row r="290">
          <cell r="K290"/>
          <cell r="L290"/>
          <cell r="M290">
            <v>44253</v>
          </cell>
          <cell r="N290">
            <v>44263</v>
          </cell>
          <cell r="O290">
            <v>44253</v>
          </cell>
          <cell r="P290">
            <v>44263</v>
          </cell>
          <cell r="Q290">
            <v>44260</v>
          </cell>
          <cell r="R290">
            <v>44260</v>
          </cell>
          <cell r="S290"/>
          <cell r="T290">
            <v>44263</v>
          </cell>
          <cell r="U290">
            <v>44263</v>
          </cell>
          <cell r="V290">
            <v>44264</v>
          </cell>
          <cell r="W290">
            <v>44264</v>
          </cell>
          <cell r="X290">
            <v>31101328</v>
          </cell>
        </row>
        <row r="291">
          <cell r="K291" t="str">
            <v>DBW-1974</v>
          </cell>
          <cell r="L291">
            <v>44214</v>
          </cell>
          <cell r="M291">
            <v>44215</v>
          </cell>
          <cell r="N291">
            <v>44225</v>
          </cell>
          <cell r="O291">
            <v>44215</v>
          </cell>
          <cell r="P291">
            <v>44223</v>
          </cell>
          <cell r="Q291"/>
          <cell r="R291"/>
          <cell r="S291"/>
          <cell r="T291">
            <v>44224</v>
          </cell>
          <cell r="U291">
            <v>44225</v>
          </cell>
          <cell r="V291">
            <v>44228</v>
          </cell>
          <cell r="W291">
            <v>44230</v>
          </cell>
          <cell r="X291">
            <v>41100226</v>
          </cell>
        </row>
        <row r="292">
          <cell r="K292" t="str">
            <v>DBW-2059</v>
          </cell>
          <cell r="L292">
            <v>44243</v>
          </cell>
          <cell r="M292">
            <v>44243</v>
          </cell>
          <cell r="N292">
            <v>44264</v>
          </cell>
          <cell r="O292">
            <v>44243</v>
          </cell>
          <cell r="P292">
            <v>44263</v>
          </cell>
          <cell r="Q292">
            <v>44263</v>
          </cell>
          <cell r="R292">
            <v>44263</v>
          </cell>
          <cell r="S292"/>
          <cell r="T292" t="str">
            <v>3/8 야근 가압</v>
          </cell>
          <cell r="U292">
            <v>44264</v>
          </cell>
          <cell r="V292">
            <v>44264</v>
          </cell>
          <cell r="W292">
            <v>44265</v>
          </cell>
          <cell r="X292">
            <v>41100291</v>
          </cell>
        </row>
        <row r="293">
          <cell r="K293" t="str">
            <v>SOS-0233</v>
          </cell>
          <cell r="L293">
            <v>44258</v>
          </cell>
          <cell r="M293">
            <v>44258</v>
          </cell>
          <cell r="N293">
            <v>44263</v>
          </cell>
          <cell r="O293">
            <v>44258</v>
          </cell>
          <cell r="P293">
            <v>44263</v>
          </cell>
          <cell r="Q293"/>
          <cell r="R293"/>
          <cell r="S293"/>
          <cell r="T293">
            <v>44261</v>
          </cell>
          <cell r="U293">
            <v>44261</v>
          </cell>
          <cell r="V293">
            <v>44262</v>
          </cell>
          <cell r="W293">
            <v>44264</v>
          </cell>
          <cell r="X293">
            <v>41100182</v>
          </cell>
        </row>
        <row r="294">
          <cell r="K294" t="str">
            <v>IVAS-081</v>
          </cell>
          <cell r="L294">
            <v>44231</v>
          </cell>
          <cell r="M294">
            <v>44232</v>
          </cell>
          <cell r="N294">
            <v>44258</v>
          </cell>
          <cell r="O294">
            <v>44232</v>
          </cell>
          <cell r="P294">
            <v>44258</v>
          </cell>
          <cell r="Q294">
            <v>44255</v>
          </cell>
          <cell r="R294">
            <v>44255</v>
          </cell>
          <cell r="S294"/>
          <cell r="T294">
            <v>44255</v>
          </cell>
          <cell r="U294">
            <v>44263</v>
          </cell>
          <cell r="V294">
            <v>44264</v>
          </cell>
          <cell r="W294">
            <v>44264</v>
          </cell>
          <cell r="X294">
            <v>41100273</v>
          </cell>
        </row>
        <row r="295">
          <cell r="K295" t="str">
            <v>IVAS-082</v>
          </cell>
          <cell r="L295">
            <v>44231</v>
          </cell>
          <cell r="M295">
            <v>44232</v>
          </cell>
          <cell r="N295">
            <v>44258</v>
          </cell>
          <cell r="O295">
            <v>44232</v>
          </cell>
          <cell r="P295">
            <v>44258</v>
          </cell>
          <cell r="Q295">
            <v>44254</v>
          </cell>
          <cell r="R295">
            <v>44254</v>
          </cell>
          <cell r="S295"/>
          <cell r="T295">
            <v>44256</v>
          </cell>
          <cell r="U295">
            <v>44264</v>
          </cell>
          <cell r="V295">
            <v>44264</v>
          </cell>
          <cell r="W295">
            <v>44264</v>
          </cell>
          <cell r="X295">
            <v>41100274</v>
          </cell>
        </row>
        <row r="296">
          <cell r="K296" t="str">
            <v>DBW-2080</v>
          </cell>
          <cell r="L296">
            <v>44253</v>
          </cell>
          <cell r="M296">
            <v>44253</v>
          </cell>
          <cell r="N296">
            <v>44265</v>
          </cell>
          <cell r="O296">
            <v>44253</v>
          </cell>
          <cell r="P296">
            <v>44266</v>
          </cell>
          <cell r="Q296">
            <v>44264</v>
          </cell>
          <cell r="R296">
            <v>44264</v>
          </cell>
          <cell r="S296"/>
          <cell r="T296">
            <v>44265</v>
          </cell>
          <cell r="U296">
            <v>44265</v>
          </cell>
          <cell r="V296">
            <v>44265</v>
          </cell>
          <cell r="W296">
            <v>44265</v>
          </cell>
          <cell r="X296">
            <v>41100201</v>
          </cell>
        </row>
        <row r="297">
          <cell r="K297" t="str">
            <v>DBW-2081</v>
          </cell>
          <cell r="L297">
            <v>44253</v>
          </cell>
          <cell r="M297">
            <v>44253</v>
          </cell>
          <cell r="N297">
            <v>44265</v>
          </cell>
          <cell r="O297">
            <v>44253</v>
          </cell>
          <cell r="P297">
            <v>44266</v>
          </cell>
          <cell r="Q297">
            <v>44264</v>
          </cell>
          <cell r="R297">
            <v>44264</v>
          </cell>
          <cell r="S297"/>
          <cell r="T297">
            <v>44265</v>
          </cell>
          <cell r="U297">
            <v>44265</v>
          </cell>
          <cell r="V297">
            <v>44265</v>
          </cell>
          <cell r="W297">
            <v>44265</v>
          </cell>
          <cell r="X297">
            <v>41100201</v>
          </cell>
        </row>
        <row r="298">
          <cell r="K298" t="str">
            <v>GBWS-0968</v>
          </cell>
          <cell r="L298">
            <v>44249</v>
          </cell>
          <cell r="M298">
            <v>44251</v>
          </cell>
          <cell r="N298">
            <v>44263</v>
          </cell>
          <cell r="O298">
            <v>44251</v>
          </cell>
          <cell r="P298">
            <v>44264</v>
          </cell>
          <cell r="Q298">
            <v>44265</v>
          </cell>
          <cell r="R298">
            <v>44265</v>
          </cell>
          <cell r="S298"/>
          <cell r="T298">
            <v>44265</v>
          </cell>
          <cell r="U298">
            <v>44266</v>
          </cell>
          <cell r="V298">
            <v>44268</v>
          </cell>
          <cell r="W298">
            <v>44269</v>
          </cell>
          <cell r="X298">
            <v>41100297</v>
          </cell>
        </row>
        <row r="299">
          <cell r="K299" t="str">
            <v xml:space="preserve">GBWS-0969 </v>
          </cell>
          <cell r="L299">
            <v>44249</v>
          </cell>
          <cell r="M299">
            <v>44251</v>
          </cell>
          <cell r="N299">
            <v>44267</v>
          </cell>
          <cell r="O299">
            <v>44251</v>
          </cell>
          <cell r="P299">
            <v>44266</v>
          </cell>
          <cell r="Q299">
            <v>44265</v>
          </cell>
          <cell r="R299">
            <v>44265</v>
          </cell>
          <cell r="S299"/>
          <cell r="T299">
            <v>44267</v>
          </cell>
          <cell r="U299">
            <v>44267</v>
          </cell>
          <cell r="V299">
            <v>44268</v>
          </cell>
          <cell r="W299">
            <v>44269</v>
          </cell>
          <cell r="X299">
            <v>41100297</v>
          </cell>
        </row>
        <row r="300">
          <cell r="K300" t="str">
            <v>GBWS-0970</v>
          </cell>
          <cell r="L300">
            <v>44249</v>
          </cell>
          <cell r="M300">
            <v>44251</v>
          </cell>
          <cell r="N300">
            <v>44267</v>
          </cell>
          <cell r="O300">
            <v>44251</v>
          </cell>
          <cell r="P300">
            <v>44266</v>
          </cell>
          <cell r="Q300">
            <v>44265</v>
          </cell>
          <cell r="R300">
            <v>44265</v>
          </cell>
          <cell r="S300"/>
          <cell r="T300">
            <v>44267</v>
          </cell>
          <cell r="U300">
            <v>44267</v>
          </cell>
          <cell r="V300">
            <v>44268</v>
          </cell>
          <cell r="W300">
            <v>44269</v>
          </cell>
          <cell r="X300">
            <v>41100297</v>
          </cell>
        </row>
        <row r="301">
          <cell r="K301" t="str">
            <v>GBWS-0971</v>
          </cell>
          <cell r="L301">
            <v>44249</v>
          </cell>
          <cell r="M301">
            <v>44251</v>
          </cell>
          <cell r="N301">
            <v>44267</v>
          </cell>
          <cell r="O301">
            <v>44251</v>
          </cell>
          <cell r="P301">
            <v>44266</v>
          </cell>
          <cell r="Q301">
            <v>44265</v>
          </cell>
          <cell r="R301">
            <v>44265</v>
          </cell>
          <cell r="S301"/>
          <cell r="T301">
            <v>44267</v>
          </cell>
          <cell r="U301">
            <v>44267</v>
          </cell>
          <cell r="V301">
            <v>44268</v>
          </cell>
          <cell r="W301">
            <v>44269</v>
          </cell>
          <cell r="X301">
            <v>41100297</v>
          </cell>
        </row>
        <row r="302">
          <cell r="K302" t="str">
            <v>GBWS-0972</v>
          </cell>
          <cell r="L302">
            <v>44249</v>
          </cell>
          <cell r="M302">
            <v>44251</v>
          </cell>
          <cell r="N302">
            <v>44267</v>
          </cell>
          <cell r="O302">
            <v>44251</v>
          </cell>
          <cell r="P302">
            <v>44266</v>
          </cell>
          <cell r="Q302">
            <v>44265</v>
          </cell>
          <cell r="R302">
            <v>44265</v>
          </cell>
          <cell r="S302"/>
          <cell r="T302">
            <v>44266</v>
          </cell>
          <cell r="U302">
            <v>44266</v>
          </cell>
          <cell r="V302">
            <v>44268</v>
          </cell>
          <cell r="W302">
            <v>44269</v>
          </cell>
          <cell r="X302">
            <v>41100297</v>
          </cell>
        </row>
        <row r="303">
          <cell r="K303" t="str">
            <v>GBWS-0973</v>
          </cell>
          <cell r="L303">
            <v>44249</v>
          </cell>
          <cell r="M303">
            <v>44251</v>
          </cell>
          <cell r="N303">
            <v>44267</v>
          </cell>
          <cell r="O303">
            <v>44251</v>
          </cell>
          <cell r="P303">
            <v>44266</v>
          </cell>
          <cell r="Q303">
            <v>44265</v>
          </cell>
          <cell r="R303">
            <v>44265</v>
          </cell>
          <cell r="S303"/>
          <cell r="T303">
            <v>44267</v>
          </cell>
          <cell r="U303">
            <v>44267</v>
          </cell>
          <cell r="V303">
            <v>44268</v>
          </cell>
          <cell r="W303">
            <v>44269</v>
          </cell>
          <cell r="X303">
            <v>41100297</v>
          </cell>
        </row>
        <row r="304">
          <cell r="K304" t="str">
            <v>GBWS-0974</v>
          </cell>
          <cell r="L304">
            <v>44249</v>
          </cell>
          <cell r="M304">
            <v>44251</v>
          </cell>
          <cell r="N304">
            <v>44267</v>
          </cell>
          <cell r="O304">
            <v>44251</v>
          </cell>
          <cell r="P304">
            <v>44266</v>
          </cell>
          <cell r="Q304">
            <v>44265</v>
          </cell>
          <cell r="R304">
            <v>44265</v>
          </cell>
          <cell r="S304"/>
          <cell r="T304">
            <v>44267</v>
          </cell>
          <cell r="U304">
            <v>44267</v>
          </cell>
          <cell r="V304">
            <v>44268</v>
          </cell>
          <cell r="W304">
            <v>44269</v>
          </cell>
          <cell r="X304">
            <v>41100297</v>
          </cell>
        </row>
        <row r="305">
          <cell r="K305" t="str">
            <v>GBWS-0975</v>
          </cell>
          <cell r="L305">
            <v>44249</v>
          </cell>
          <cell r="M305">
            <v>44251</v>
          </cell>
          <cell r="N305">
            <v>44267</v>
          </cell>
          <cell r="O305">
            <v>44251</v>
          </cell>
          <cell r="P305">
            <v>44266</v>
          </cell>
          <cell r="Q305">
            <v>44265</v>
          </cell>
          <cell r="R305">
            <v>44265</v>
          </cell>
          <cell r="S305"/>
          <cell r="T305">
            <v>44266</v>
          </cell>
          <cell r="U305">
            <v>44266</v>
          </cell>
          <cell r="V305">
            <v>44268</v>
          </cell>
          <cell r="W305">
            <v>44269</v>
          </cell>
          <cell r="X305">
            <v>41100297</v>
          </cell>
        </row>
        <row r="306">
          <cell r="K306" t="str">
            <v>GBWS-0976</v>
          </cell>
          <cell r="L306">
            <v>44249</v>
          </cell>
          <cell r="M306">
            <v>44251</v>
          </cell>
          <cell r="N306">
            <v>44267</v>
          </cell>
          <cell r="O306">
            <v>44251</v>
          </cell>
          <cell r="P306">
            <v>44266</v>
          </cell>
          <cell r="Q306">
            <v>44265</v>
          </cell>
          <cell r="R306">
            <v>44265</v>
          </cell>
          <cell r="S306"/>
          <cell r="T306">
            <v>44267</v>
          </cell>
          <cell r="U306">
            <v>44267</v>
          </cell>
          <cell r="V306">
            <v>44268</v>
          </cell>
          <cell r="W306">
            <v>44269</v>
          </cell>
          <cell r="X306">
            <v>41100297</v>
          </cell>
        </row>
        <row r="307">
          <cell r="K307" t="str">
            <v>GBWS-0977</v>
          </cell>
          <cell r="L307">
            <v>44249</v>
          </cell>
          <cell r="M307">
            <v>44251</v>
          </cell>
          <cell r="N307">
            <v>44267</v>
          </cell>
          <cell r="O307">
            <v>44251</v>
          </cell>
          <cell r="P307">
            <v>44266</v>
          </cell>
          <cell r="Q307">
            <v>44265</v>
          </cell>
          <cell r="R307">
            <v>44265</v>
          </cell>
          <cell r="S307"/>
          <cell r="T307">
            <v>44266</v>
          </cell>
          <cell r="U307">
            <v>44266</v>
          </cell>
          <cell r="V307">
            <v>44268</v>
          </cell>
          <cell r="W307">
            <v>44269</v>
          </cell>
          <cell r="X307">
            <v>41100297</v>
          </cell>
        </row>
        <row r="308">
          <cell r="K308" t="str">
            <v>GBWS-0978</v>
          </cell>
          <cell r="L308">
            <v>44249</v>
          </cell>
          <cell r="M308">
            <v>44251</v>
          </cell>
          <cell r="N308">
            <v>44267</v>
          </cell>
          <cell r="O308">
            <v>44251</v>
          </cell>
          <cell r="P308">
            <v>44266</v>
          </cell>
          <cell r="Q308">
            <v>44265</v>
          </cell>
          <cell r="R308">
            <v>44265</v>
          </cell>
          <cell r="S308"/>
          <cell r="T308">
            <v>44267</v>
          </cell>
          <cell r="U308">
            <v>44267</v>
          </cell>
          <cell r="V308">
            <v>44268</v>
          </cell>
          <cell r="W308">
            <v>44269</v>
          </cell>
          <cell r="X308">
            <v>41100297</v>
          </cell>
        </row>
        <row r="309">
          <cell r="K309" t="str">
            <v>GBWS-0979</v>
          </cell>
          <cell r="L309">
            <v>44249</v>
          </cell>
          <cell r="M309">
            <v>44251</v>
          </cell>
          <cell r="N309">
            <v>44267</v>
          </cell>
          <cell r="O309">
            <v>44251</v>
          </cell>
          <cell r="P309">
            <v>44266</v>
          </cell>
          <cell r="Q309">
            <v>44265</v>
          </cell>
          <cell r="R309">
            <v>44265</v>
          </cell>
          <cell r="S309"/>
          <cell r="T309">
            <v>44267</v>
          </cell>
          <cell r="U309">
            <v>44267</v>
          </cell>
          <cell r="V309">
            <v>44268</v>
          </cell>
          <cell r="W309">
            <v>44269</v>
          </cell>
          <cell r="X309">
            <v>41100297</v>
          </cell>
        </row>
        <row r="310">
          <cell r="K310" t="str">
            <v>GBWS-0958</v>
          </cell>
          <cell r="L310">
            <v>44249</v>
          </cell>
          <cell r="M310">
            <v>44250</v>
          </cell>
          <cell r="N310">
            <v>44266</v>
          </cell>
          <cell r="O310">
            <v>44250</v>
          </cell>
          <cell r="P310">
            <v>44266</v>
          </cell>
          <cell r="Q310">
            <v>44264</v>
          </cell>
          <cell r="R310">
            <v>44264</v>
          </cell>
          <cell r="S310"/>
          <cell r="T310">
            <v>44268</v>
          </cell>
          <cell r="U310">
            <v>44268</v>
          </cell>
          <cell r="V310">
            <v>44268</v>
          </cell>
          <cell r="W310">
            <v>44269</v>
          </cell>
          <cell r="X310">
            <v>41100223</v>
          </cell>
        </row>
        <row r="311">
          <cell r="K311" t="str">
            <v>GBWS-0959</v>
          </cell>
          <cell r="L311">
            <v>44249</v>
          </cell>
          <cell r="M311">
            <v>44250</v>
          </cell>
          <cell r="N311">
            <v>44266</v>
          </cell>
          <cell r="O311">
            <v>44250</v>
          </cell>
          <cell r="P311">
            <v>44266</v>
          </cell>
          <cell r="Q311">
            <v>44264</v>
          </cell>
          <cell r="R311">
            <v>44264</v>
          </cell>
          <cell r="S311"/>
          <cell r="T311">
            <v>44268</v>
          </cell>
          <cell r="U311">
            <v>44268</v>
          </cell>
          <cell r="V311">
            <v>44268</v>
          </cell>
          <cell r="W311">
            <v>44269</v>
          </cell>
          <cell r="X311">
            <v>41100223</v>
          </cell>
        </row>
        <row r="312">
          <cell r="K312" t="str">
            <v>GBWS-0960</v>
          </cell>
          <cell r="L312">
            <v>44249</v>
          </cell>
          <cell r="M312">
            <v>44250</v>
          </cell>
          <cell r="N312">
            <v>44266</v>
          </cell>
          <cell r="O312">
            <v>44250</v>
          </cell>
          <cell r="P312">
            <v>44266</v>
          </cell>
          <cell r="Q312">
            <v>44264</v>
          </cell>
          <cell r="R312">
            <v>44264</v>
          </cell>
          <cell r="S312"/>
          <cell r="T312">
            <v>44268</v>
          </cell>
          <cell r="U312">
            <v>44269</v>
          </cell>
          <cell r="V312">
            <v>44268</v>
          </cell>
          <cell r="W312">
            <v>44269</v>
          </cell>
          <cell r="X312">
            <v>41100223</v>
          </cell>
        </row>
        <row r="313">
          <cell r="K313" t="str">
            <v>GBWS-0961</v>
          </cell>
          <cell r="L313">
            <v>44249</v>
          </cell>
          <cell r="M313">
            <v>44250</v>
          </cell>
          <cell r="N313">
            <v>44266</v>
          </cell>
          <cell r="O313">
            <v>44250</v>
          </cell>
          <cell r="P313">
            <v>44266</v>
          </cell>
          <cell r="Q313">
            <v>44264</v>
          </cell>
          <cell r="R313">
            <v>44264</v>
          </cell>
          <cell r="S313"/>
          <cell r="T313">
            <v>44268</v>
          </cell>
          <cell r="U313">
            <v>44269</v>
          </cell>
          <cell r="V313">
            <v>44268</v>
          </cell>
          <cell r="W313">
            <v>44269</v>
          </cell>
          <cell r="X313">
            <v>41100223</v>
          </cell>
        </row>
        <row r="314">
          <cell r="K314" t="str">
            <v>DBW-2075</v>
          </cell>
          <cell r="L314">
            <v>44251</v>
          </cell>
          <cell r="M314">
            <v>44252</v>
          </cell>
          <cell r="N314">
            <v>44267</v>
          </cell>
          <cell r="O314">
            <v>44252</v>
          </cell>
          <cell r="P314">
            <v>44266</v>
          </cell>
          <cell r="Q314">
            <v>44266</v>
          </cell>
          <cell r="R314">
            <v>44266</v>
          </cell>
          <cell r="S314"/>
          <cell r="T314">
            <v>44267</v>
          </cell>
          <cell r="U314">
            <v>44267</v>
          </cell>
          <cell r="V314">
            <v>44268</v>
          </cell>
          <cell r="W314">
            <v>44269</v>
          </cell>
          <cell r="X314">
            <v>41100234</v>
          </cell>
        </row>
        <row r="315">
          <cell r="K315" t="str">
            <v>DBW-2076</v>
          </cell>
          <cell r="L315">
            <v>44251</v>
          </cell>
          <cell r="M315">
            <v>44252</v>
          </cell>
          <cell r="N315">
            <v>44267</v>
          </cell>
          <cell r="O315">
            <v>44252</v>
          </cell>
          <cell r="P315">
            <v>44266</v>
          </cell>
          <cell r="Q315">
            <v>44266</v>
          </cell>
          <cell r="R315">
            <v>44266</v>
          </cell>
          <cell r="S315"/>
          <cell r="T315">
            <v>44267</v>
          </cell>
          <cell r="U315">
            <v>44267</v>
          </cell>
          <cell r="V315">
            <v>44268</v>
          </cell>
          <cell r="W315">
            <v>44269</v>
          </cell>
          <cell r="X315">
            <v>41100234</v>
          </cell>
        </row>
        <row r="316">
          <cell r="K316" t="str">
            <v>GBWS-0956</v>
          </cell>
          <cell r="L316">
            <v>44246</v>
          </cell>
          <cell r="M316">
            <v>44249</v>
          </cell>
          <cell r="N316">
            <v>44270</v>
          </cell>
          <cell r="O316">
            <v>44249</v>
          </cell>
          <cell r="P316">
            <v>44270</v>
          </cell>
          <cell r="Q316">
            <v>44265</v>
          </cell>
          <cell r="R316">
            <v>44265</v>
          </cell>
          <cell r="S316"/>
          <cell r="T316">
            <v>44270</v>
          </cell>
          <cell r="U316">
            <v>44270</v>
          </cell>
          <cell r="V316">
            <v>44270</v>
          </cell>
          <cell r="W316">
            <v>44270</v>
          </cell>
          <cell r="X316">
            <v>41100292</v>
          </cell>
        </row>
        <row r="317">
          <cell r="K317" t="str">
            <v>GBWS-0939</v>
          </cell>
          <cell r="L317">
            <v>44228</v>
          </cell>
          <cell r="M317">
            <v>44229</v>
          </cell>
          <cell r="N317">
            <v>44266</v>
          </cell>
          <cell r="O317">
            <v>44229</v>
          </cell>
          <cell r="P317">
            <v>44266</v>
          </cell>
          <cell r="Q317">
            <v>44262</v>
          </cell>
          <cell r="R317">
            <v>44262</v>
          </cell>
          <cell r="S317"/>
          <cell r="T317">
            <v>44263</v>
          </cell>
          <cell r="U317">
            <v>44270</v>
          </cell>
          <cell r="V317">
            <v>44270</v>
          </cell>
          <cell r="W317">
            <v>44270</v>
          </cell>
          <cell r="X317">
            <v>41100189</v>
          </cell>
        </row>
        <row r="318">
          <cell r="K318" t="str">
            <v>GBWS-0952</v>
          </cell>
          <cell r="L318">
            <v>44243</v>
          </cell>
          <cell r="M318">
            <v>44244</v>
          </cell>
          <cell r="N318">
            <v>44259</v>
          </cell>
          <cell r="O318">
            <v>44244</v>
          </cell>
          <cell r="P318">
            <v>44259</v>
          </cell>
          <cell r="Q318">
            <v>44259</v>
          </cell>
          <cell r="R318">
            <v>44259</v>
          </cell>
          <cell r="S318"/>
          <cell r="T318">
            <v>44260</v>
          </cell>
          <cell r="U318">
            <v>44265</v>
          </cell>
          <cell r="V318">
            <v>44266</v>
          </cell>
          <cell r="W318">
            <v>44266</v>
          </cell>
          <cell r="X318">
            <v>41100295</v>
          </cell>
        </row>
        <row r="319">
          <cell r="K319" t="str">
            <v>GBWS-0985</v>
          </cell>
          <cell r="L319">
            <v>44257</v>
          </cell>
          <cell r="M319">
            <v>44257</v>
          </cell>
          <cell r="N319">
            <v>44270</v>
          </cell>
          <cell r="O319">
            <v>44257</v>
          </cell>
          <cell r="P319">
            <v>44271</v>
          </cell>
          <cell r="Q319">
            <v>44269</v>
          </cell>
          <cell r="R319">
            <v>44269</v>
          </cell>
          <cell r="S319"/>
          <cell r="T319">
            <v>44270</v>
          </cell>
          <cell r="U319">
            <v>44271</v>
          </cell>
          <cell r="V319">
            <v>44271</v>
          </cell>
          <cell r="W319">
            <v>44272</v>
          </cell>
          <cell r="X319">
            <v>41100302</v>
          </cell>
        </row>
        <row r="320">
          <cell r="K320" t="str">
            <v>GBWS-0986</v>
          </cell>
          <cell r="L320">
            <v>44257</v>
          </cell>
          <cell r="M320">
            <v>44257</v>
          </cell>
          <cell r="N320">
            <v>44270</v>
          </cell>
          <cell r="O320">
            <v>44257</v>
          </cell>
          <cell r="P320">
            <v>44271</v>
          </cell>
          <cell r="Q320">
            <v>44269</v>
          </cell>
          <cell r="R320">
            <v>44269</v>
          </cell>
          <cell r="S320"/>
          <cell r="T320">
            <v>44270</v>
          </cell>
          <cell r="U320">
            <v>44270</v>
          </cell>
          <cell r="V320">
            <v>44271</v>
          </cell>
          <cell r="W320">
            <v>44272</v>
          </cell>
          <cell r="X320">
            <v>41100302</v>
          </cell>
        </row>
        <row r="321">
          <cell r="K321" t="str">
            <v>GBWS-0987</v>
          </cell>
          <cell r="L321">
            <v>44257</v>
          </cell>
          <cell r="M321">
            <v>44257</v>
          </cell>
          <cell r="N321">
            <v>44270</v>
          </cell>
          <cell r="O321">
            <v>44257</v>
          </cell>
          <cell r="P321">
            <v>44271</v>
          </cell>
          <cell r="Q321">
            <v>44269</v>
          </cell>
          <cell r="R321">
            <v>44269</v>
          </cell>
          <cell r="S321"/>
          <cell r="T321">
            <v>44270</v>
          </cell>
          <cell r="U321">
            <v>44270</v>
          </cell>
          <cell r="V321">
            <v>44271</v>
          </cell>
          <cell r="W321">
            <v>44272</v>
          </cell>
          <cell r="X321">
            <v>41100302</v>
          </cell>
        </row>
        <row r="322">
          <cell r="K322" t="str">
            <v>GBWS-0988</v>
          </cell>
          <cell r="L322">
            <v>44257</v>
          </cell>
          <cell r="M322">
            <v>44257</v>
          </cell>
          <cell r="N322">
            <v>44270</v>
          </cell>
          <cell r="O322">
            <v>44257</v>
          </cell>
          <cell r="P322">
            <v>44271</v>
          </cell>
          <cell r="Q322">
            <v>44269</v>
          </cell>
          <cell r="R322">
            <v>44269</v>
          </cell>
          <cell r="S322"/>
          <cell r="T322">
            <v>44271</v>
          </cell>
          <cell r="U322">
            <v>44271</v>
          </cell>
          <cell r="V322">
            <v>44271</v>
          </cell>
          <cell r="W322">
            <v>44272</v>
          </cell>
          <cell r="X322">
            <v>41100302</v>
          </cell>
        </row>
        <row r="323">
          <cell r="K323" t="str">
            <v>GBWS-0989</v>
          </cell>
          <cell r="L323">
            <v>44257</v>
          </cell>
          <cell r="M323">
            <v>44257</v>
          </cell>
          <cell r="N323">
            <v>44270</v>
          </cell>
          <cell r="O323">
            <v>44257</v>
          </cell>
          <cell r="P323">
            <v>44271</v>
          </cell>
          <cell r="Q323">
            <v>44269</v>
          </cell>
          <cell r="R323">
            <v>44269</v>
          </cell>
          <cell r="S323"/>
          <cell r="T323">
            <v>44270</v>
          </cell>
          <cell r="U323">
            <v>44271</v>
          </cell>
          <cell r="V323">
            <v>44271</v>
          </cell>
          <cell r="W323">
            <v>44272</v>
          </cell>
          <cell r="X323">
            <v>41100302</v>
          </cell>
        </row>
        <row r="324">
          <cell r="K324" t="str">
            <v>GBWS-0998</v>
          </cell>
          <cell r="L324">
            <v>44257</v>
          </cell>
          <cell r="M324">
            <v>44258</v>
          </cell>
          <cell r="N324">
            <v>44272</v>
          </cell>
          <cell r="O324">
            <v>44258</v>
          </cell>
          <cell r="P324">
            <v>44272</v>
          </cell>
          <cell r="Q324">
            <v>44271</v>
          </cell>
          <cell r="R324">
            <v>44271</v>
          </cell>
          <cell r="S324"/>
          <cell r="T324">
            <v>44272</v>
          </cell>
          <cell r="U324">
            <v>44272</v>
          </cell>
          <cell r="V324">
            <v>44272</v>
          </cell>
          <cell r="W324">
            <v>44273</v>
          </cell>
          <cell r="X324">
            <v>41100294</v>
          </cell>
        </row>
        <row r="325">
          <cell r="K325" t="str">
            <v>GBWS-0955</v>
          </cell>
          <cell r="L325">
            <v>44243</v>
          </cell>
          <cell r="M325">
            <v>44245</v>
          </cell>
          <cell r="N325">
            <v>44273</v>
          </cell>
          <cell r="O325">
            <v>44245</v>
          </cell>
          <cell r="P325">
            <v>44273</v>
          </cell>
          <cell r="Q325">
            <v>44271</v>
          </cell>
          <cell r="R325">
            <v>44271</v>
          </cell>
          <cell r="S325"/>
          <cell r="T325">
            <v>44273</v>
          </cell>
          <cell r="U325">
            <v>44273</v>
          </cell>
          <cell r="V325">
            <v>44273</v>
          </cell>
          <cell r="W325">
            <v>44273</v>
          </cell>
          <cell r="X325">
            <v>41100209</v>
          </cell>
        </row>
        <row r="326">
          <cell r="K326" t="str">
            <v>GBWS-0983</v>
          </cell>
          <cell r="L326">
            <v>44253</v>
          </cell>
          <cell r="M326">
            <v>44253</v>
          </cell>
          <cell r="N326">
            <v>44266</v>
          </cell>
          <cell r="O326">
            <v>44253</v>
          </cell>
          <cell r="P326">
            <v>44270</v>
          </cell>
          <cell r="Q326">
            <v>44270</v>
          </cell>
          <cell r="R326">
            <v>44270</v>
          </cell>
          <cell r="S326"/>
          <cell r="T326">
            <v>44270</v>
          </cell>
          <cell r="U326">
            <v>44271</v>
          </cell>
          <cell r="V326">
            <v>44271</v>
          </cell>
          <cell r="W326">
            <v>44271</v>
          </cell>
          <cell r="X326">
            <v>41100224</v>
          </cell>
        </row>
        <row r="327">
          <cell r="K327" t="str">
            <v>GBWS-0984</v>
          </cell>
          <cell r="L327">
            <v>44253</v>
          </cell>
          <cell r="M327">
            <v>44253</v>
          </cell>
          <cell r="N327">
            <v>44266</v>
          </cell>
          <cell r="O327">
            <v>44253</v>
          </cell>
          <cell r="P327">
            <v>44270</v>
          </cell>
          <cell r="Q327">
            <v>44270</v>
          </cell>
          <cell r="R327">
            <v>44270</v>
          </cell>
          <cell r="S327"/>
          <cell r="T327">
            <v>44270</v>
          </cell>
          <cell r="U327">
            <v>44271</v>
          </cell>
          <cell r="V327">
            <v>44271</v>
          </cell>
          <cell r="W327">
            <v>44271</v>
          </cell>
          <cell r="X327">
            <v>41100224</v>
          </cell>
        </row>
        <row r="328">
          <cell r="K328" t="str">
            <v>DBW-2093</v>
          </cell>
          <cell r="L328">
            <v>44258</v>
          </cell>
          <cell r="M328">
            <v>44259</v>
          </cell>
          <cell r="N328">
            <v>44272</v>
          </cell>
          <cell r="O328">
            <v>44259</v>
          </cell>
          <cell r="P328">
            <v>44273</v>
          </cell>
          <cell r="Q328">
            <v>44271</v>
          </cell>
          <cell r="R328">
            <v>44271</v>
          </cell>
          <cell r="S328"/>
          <cell r="T328">
            <v>44273</v>
          </cell>
          <cell r="U328">
            <v>44273</v>
          </cell>
          <cell r="V328">
            <v>44273</v>
          </cell>
          <cell r="W328">
            <v>44274</v>
          </cell>
          <cell r="X328">
            <v>41100233</v>
          </cell>
        </row>
        <row r="329">
          <cell r="K329" t="str">
            <v>DBW-2094</v>
          </cell>
          <cell r="L329">
            <v>44258</v>
          </cell>
          <cell r="M329">
            <v>44259</v>
          </cell>
          <cell r="N329">
            <v>44272</v>
          </cell>
          <cell r="O329">
            <v>44259</v>
          </cell>
          <cell r="P329">
            <v>44273</v>
          </cell>
          <cell r="Q329">
            <v>44271</v>
          </cell>
          <cell r="R329">
            <v>44271</v>
          </cell>
          <cell r="S329"/>
          <cell r="T329">
            <v>44273</v>
          </cell>
          <cell r="U329">
            <v>44273</v>
          </cell>
          <cell r="V329">
            <v>44273</v>
          </cell>
          <cell r="W329">
            <v>44274</v>
          </cell>
          <cell r="X329">
            <v>41100233</v>
          </cell>
        </row>
        <row r="330">
          <cell r="K330" t="str">
            <v>DBW-2095</v>
          </cell>
          <cell r="L330">
            <v>44258</v>
          </cell>
          <cell r="M330">
            <v>44259</v>
          </cell>
          <cell r="N330">
            <v>44272</v>
          </cell>
          <cell r="O330">
            <v>44259</v>
          </cell>
          <cell r="P330">
            <v>44273</v>
          </cell>
          <cell r="Q330">
            <v>44271</v>
          </cell>
          <cell r="R330">
            <v>44271</v>
          </cell>
          <cell r="S330"/>
          <cell r="T330">
            <v>44273</v>
          </cell>
          <cell r="U330">
            <v>44273</v>
          </cell>
          <cell r="V330">
            <v>44273</v>
          </cell>
          <cell r="W330">
            <v>44274</v>
          </cell>
          <cell r="X330">
            <v>41100233</v>
          </cell>
        </row>
        <row r="331">
          <cell r="K331" t="str">
            <v>DBW-2096</v>
          </cell>
          <cell r="L331">
            <v>44258</v>
          </cell>
          <cell r="M331">
            <v>44259</v>
          </cell>
          <cell r="N331">
            <v>44272</v>
          </cell>
          <cell r="O331">
            <v>44259</v>
          </cell>
          <cell r="P331">
            <v>44273</v>
          </cell>
          <cell r="Q331">
            <v>44271</v>
          </cell>
          <cell r="R331">
            <v>44271</v>
          </cell>
          <cell r="S331"/>
          <cell r="T331">
            <v>44273</v>
          </cell>
          <cell r="U331">
            <v>44273</v>
          </cell>
          <cell r="V331">
            <v>44273</v>
          </cell>
          <cell r="W331">
            <v>44274</v>
          </cell>
          <cell r="X331">
            <v>41100233</v>
          </cell>
        </row>
        <row r="332">
          <cell r="K332" t="str">
            <v>GBWS-0990</v>
          </cell>
          <cell r="L332">
            <v>44258</v>
          </cell>
          <cell r="M332">
            <v>44258</v>
          </cell>
          <cell r="N332">
            <v>44273</v>
          </cell>
          <cell r="O332">
            <v>44258</v>
          </cell>
          <cell r="P332">
            <v>44272</v>
          </cell>
          <cell r="Q332"/>
          <cell r="R332"/>
          <cell r="S332"/>
          <cell r="T332">
            <v>44273</v>
          </cell>
          <cell r="U332">
            <v>44274</v>
          </cell>
          <cell r="V332">
            <v>44275</v>
          </cell>
          <cell r="W332">
            <v>44276</v>
          </cell>
          <cell r="X332">
            <v>41100298</v>
          </cell>
        </row>
        <row r="333">
          <cell r="K333" t="str">
            <v>GBWS-0991</v>
          </cell>
          <cell r="L333">
            <v>44258</v>
          </cell>
          <cell r="M333">
            <v>44258</v>
          </cell>
          <cell r="N333">
            <v>44273</v>
          </cell>
          <cell r="O333">
            <v>44258</v>
          </cell>
          <cell r="P333">
            <v>44272</v>
          </cell>
          <cell r="Q333"/>
          <cell r="R333"/>
          <cell r="S333"/>
          <cell r="T333">
            <v>44273</v>
          </cell>
          <cell r="U333">
            <v>44274</v>
          </cell>
          <cell r="V333">
            <v>44275</v>
          </cell>
          <cell r="W333">
            <v>44276</v>
          </cell>
          <cell r="X333">
            <v>41100298</v>
          </cell>
        </row>
        <row r="334">
          <cell r="K334" t="str">
            <v>GBWS-0992</v>
          </cell>
          <cell r="L334">
            <v>44258</v>
          </cell>
          <cell r="M334">
            <v>44258</v>
          </cell>
          <cell r="N334">
            <v>44273</v>
          </cell>
          <cell r="O334">
            <v>44258</v>
          </cell>
          <cell r="P334">
            <v>44272</v>
          </cell>
          <cell r="Q334"/>
          <cell r="R334"/>
          <cell r="S334"/>
          <cell r="T334">
            <v>44274</v>
          </cell>
          <cell r="U334">
            <v>44274</v>
          </cell>
          <cell r="V334">
            <v>44275</v>
          </cell>
          <cell r="W334">
            <v>44276</v>
          </cell>
          <cell r="X334">
            <v>41100298</v>
          </cell>
        </row>
        <row r="335">
          <cell r="K335" t="str">
            <v>GBWS-0993</v>
          </cell>
          <cell r="L335">
            <v>44258</v>
          </cell>
          <cell r="M335">
            <v>44258</v>
          </cell>
          <cell r="N335">
            <v>44273</v>
          </cell>
          <cell r="O335">
            <v>44258</v>
          </cell>
          <cell r="P335">
            <v>44272</v>
          </cell>
          <cell r="Q335"/>
          <cell r="R335"/>
          <cell r="S335"/>
          <cell r="T335">
            <v>44275</v>
          </cell>
          <cell r="U335">
            <v>44275</v>
          </cell>
          <cell r="V335">
            <v>44275</v>
          </cell>
          <cell r="W335">
            <v>44276</v>
          </cell>
          <cell r="X335">
            <v>41100298</v>
          </cell>
        </row>
        <row r="336">
          <cell r="K336" t="str">
            <v>GBWS-0994</v>
          </cell>
          <cell r="L336">
            <v>44258</v>
          </cell>
          <cell r="M336">
            <v>44258</v>
          </cell>
          <cell r="N336">
            <v>44273</v>
          </cell>
          <cell r="O336">
            <v>44258</v>
          </cell>
          <cell r="P336">
            <v>44272</v>
          </cell>
          <cell r="Q336"/>
          <cell r="R336"/>
          <cell r="S336"/>
          <cell r="T336">
            <v>44275</v>
          </cell>
          <cell r="U336">
            <v>44275</v>
          </cell>
          <cell r="V336">
            <v>44275</v>
          </cell>
          <cell r="W336">
            <v>44276</v>
          </cell>
          <cell r="X336">
            <v>41100298</v>
          </cell>
        </row>
        <row r="337">
          <cell r="K337" t="str">
            <v>GBWS-0995</v>
          </cell>
          <cell r="L337">
            <v>44258</v>
          </cell>
          <cell r="M337">
            <v>44258</v>
          </cell>
          <cell r="N337">
            <v>44273</v>
          </cell>
          <cell r="O337">
            <v>44258</v>
          </cell>
          <cell r="P337">
            <v>44272</v>
          </cell>
          <cell r="Q337"/>
          <cell r="R337"/>
          <cell r="S337"/>
          <cell r="T337">
            <v>44275</v>
          </cell>
          <cell r="U337">
            <v>44275</v>
          </cell>
          <cell r="V337">
            <v>44275</v>
          </cell>
          <cell r="W337">
            <v>44276</v>
          </cell>
          <cell r="X337">
            <v>41100298</v>
          </cell>
        </row>
        <row r="338">
          <cell r="K338" t="str">
            <v>GBWS-0996</v>
          </cell>
          <cell r="L338">
            <v>44258</v>
          </cell>
          <cell r="M338">
            <v>44258</v>
          </cell>
          <cell r="N338">
            <v>44273</v>
          </cell>
          <cell r="O338">
            <v>44258</v>
          </cell>
          <cell r="P338">
            <v>44272</v>
          </cell>
          <cell r="Q338"/>
          <cell r="R338"/>
          <cell r="S338"/>
          <cell r="T338">
            <v>44275</v>
          </cell>
          <cell r="U338">
            <v>44275</v>
          </cell>
          <cell r="V338">
            <v>44275</v>
          </cell>
          <cell r="W338">
            <v>44276</v>
          </cell>
          <cell r="X338">
            <v>41100298</v>
          </cell>
        </row>
        <row r="339">
          <cell r="K339" t="str">
            <v>GBWS-0997</v>
          </cell>
          <cell r="L339">
            <v>44258</v>
          </cell>
          <cell r="M339">
            <v>44258</v>
          </cell>
          <cell r="N339">
            <v>44271</v>
          </cell>
          <cell r="O339">
            <v>44258</v>
          </cell>
          <cell r="P339">
            <v>44271</v>
          </cell>
          <cell r="Q339"/>
          <cell r="R339"/>
          <cell r="S339"/>
          <cell r="T339">
            <v>44271</v>
          </cell>
          <cell r="U339">
            <v>44273</v>
          </cell>
          <cell r="V339">
            <v>44275</v>
          </cell>
          <cell r="W339">
            <v>44276</v>
          </cell>
          <cell r="X339">
            <v>41100298</v>
          </cell>
        </row>
        <row r="340">
          <cell r="K340" t="str">
            <v>DBW-2087</v>
          </cell>
          <cell r="L340">
            <v>44257</v>
          </cell>
          <cell r="M340">
            <v>44258</v>
          </cell>
          <cell r="N340">
            <v>44273</v>
          </cell>
          <cell r="O340">
            <v>44258</v>
          </cell>
          <cell r="P340">
            <v>44273</v>
          </cell>
          <cell r="Q340">
            <v>44271</v>
          </cell>
          <cell r="R340">
            <v>44271</v>
          </cell>
          <cell r="S340"/>
          <cell r="T340">
            <v>44274</v>
          </cell>
          <cell r="U340">
            <v>44275</v>
          </cell>
          <cell r="V340">
            <v>44275</v>
          </cell>
          <cell r="W340">
            <v>44276</v>
          </cell>
          <cell r="X340">
            <v>41100234</v>
          </cell>
        </row>
        <row r="341">
          <cell r="K341" t="str">
            <v>DBW-2088</v>
          </cell>
          <cell r="L341">
            <v>44257</v>
          </cell>
          <cell r="M341">
            <v>44258</v>
          </cell>
          <cell r="N341">
            <v>44273</v>
          </cell>
          <cell r="O341">
            <v>44258</v>
          </cell>
          <cell r="P341">
            <v>44273</v>
          </cell>
          <cell r="Q341">
            <v>44271</v>
          </cell>
          <cell r="R341">
            <v>44271</v>
          </cell>
          <cell r="S341"/>
          <cell r="T341">
            <v>44274</v>
          </cell>
          <cell r="U341">
            <v>44275</v>
          </cell>
          <cell r="V341">
            <v>44275</v>
          </cell>
          <cell r="W341">
            <v>44276</v>
          </cell>
          <cell r="X341">
            <v>41100234</v>
          </cell>
        </row>
        <row r="342">
          <cell r="K342" t="str">
            <v>DBW-2089</v>
          </cell>
          <cell r="L342">
            <v>44257</v>
          </cell>
          <cell r="M342">
            <v>44258</v>
          </cell>
          <cell r="N342">
            <v>44273</v>
          </cell>
          <cell r="O342">
            <v>44258</v>
          </cell>
          <cell r="P342">
            <v>44273</v>
          </cell>
          <cell r="Q342">
            <v>44271</v>
          </cell>
          <cell r="R342">
            <v>44271</v>
          </cell>
          <cell r="S342"/>
          <cell r="T342">
            <v>44274</v>
          </cell>
          <cell r="U342">
            <v>44275</v>
          </cell>
          <cell r="V342">
            <v>44275</v>
          </cell>
          <cell r="W342">
            <v>44276</v>
          </cell>
          <cell r="X342">
            <v>41100234</v>
          </cell>
        </row>
        <row r="343">
          <cell r="K343" t="str">
            <v>DBW-2092</v>
          </cell>
          <cell r="L343">
            <v>44257</v>
          </cell>
          <cell r="M343">
            <v>44258</v>
          </cell>
          <cell r="N343">
            <v>44274</v>
          </cell>
          <cell r="O343">
            <v>44258</v>
          </cell>
          <cell r="P343">
            <v>44273</v>
          </cell>
          <cell r="Q343">
            <v>44271</v>
          </cell>
          <cell r="R343">
            <v>44271</v>
          </cell>
          <cell r="S343"/>
          <cell r="T343">
            <v>44274</v>
          </cell>
          <cell r="U343">
            <v>44275</v>
          </cell>
          <cell r="V343">
            <v>44275</v>
          </cell>
          <cell r="W343">
            <v>44276</v>
          </cell>
          <cell r="X343">
            <v>41100235</v>
          </cell>
        </row>
        <row r="344">
          <cell r="K344" t="str">
            <v>GBWS-0966</v>
          </cell>
          <cell r="L344">
            <v>44250</v>
          </cell>
          <cell r="M344">
            <v>44251</v>
          </cell>
          <cell r="N344">
            <v>44270</v>
          </cell>
          <cell r="O344">
            <v>44251</v>
          </cell>
          <cell r="P344">
            <v>44270</v>
          </cell>
          <cell r="Q344">
            <v>44264</v>
          </cell>
          <cell r="R344">
            <v>44264</v>
          </cell>
          <cell r="S344"/>
          <cell r="T344">
            <v>44270</v>
          </cell>
          <cell r="U344">
            <v>44271</v>
          </cell>
          <cell r="V344">
            <v>44272</v>
          </cell>
          <cell r="W344">
            <v>44272</v>
          </cell>
          <cell r="X344">
            <v>41100206</v>
          </cell>
        </row>
        <row r="345">
          <cell r="K345" t="str">
            <v>GBWS-0967</v>
          </cell>
          <cell r="L345">
            <v>44250</v>
          </cell>
          <cell r="M345">
            <v>44251</v>
          </cell>
          <cell r="N345">
            <v>44270</v>
          </cell>
          <cell r="O345">
            <v>44251</v>
          </cell>
          <cell r="P345">
            <v>44270</v>
          </cell>
          <cell r="Q345">
            <v>44264</v>
          </cell>
          <cell r="R345">
            <v>44264</v>
          </cell>
          <cell r="S345"/>
          <cell r="T345">
            <v>44270</v>
          </cell>
          <cell r="U345">
            <v>44271</v>
          </cell>
          <cell r="V345">
            <v>44272</v>
          </cell>
          <cell r="W345">
            <v>44272</v>
          </cell>
          <cell r="X345">
            <v>41100207</v>
          </cell>
        </row>
        <row r="346">
          <cell r="K346" t="str">
            <v>DBW-2102</v>
          </cell>
          <cell r="L346">
            <v>44262</v>
          </cell>
          <cell r="M346">
            <v>44263</v>
          </cell>
          <cell r="N346">
            <v>44276</v>
          </cell>
          <cell r="O346">
            <v>44263</v>
          </cell>
          <cell r="P346">
            <v>44276</v>
          </cell>
          <cell r="Q346">
            <v>44276</v>
          </cell>
          <cell r="R346">
            <v>44276</v>
          </cell>
          <cell r="S346"/>
          <cell r="T346">
            <v>44276</v>
          </cell>
          <cell r="U346">
            <v>44277</v>
          </cell>
          <cell r="V346">
            <v>44277</v>
          </cell>
          <cell r="W346">
            <v>44277</v>
          </cell>
          <cell r="X346">
            <v>41100174</v>
          </cell>
        </row>
        <row r="347">
          <cell r="K347" t="str">
            <v>DBW-2103</v>
          </cell>
          <cell r="L347">
            <v>44262</v>
          </cell>
          <cell r="M347">
            <v>44263</v>
          </cell>
          <cell r="N347">
            <v>44276</v>
          </cell>
          <cell r="O347">
            <v>44263</v>
          </cell>
          <cell r="P347">
            <v>44276</v>
          </cell>
          <cell r="Q347">
            <v>44276</v>
          </cell>
          <cell r="R347">
            <v>44276</v>
          </cell>
          <cell r="S347"/>
          <cell r="T347">
            <v>44276</v>
          </cell>
          <cell r="U347">
            <v>44277</v>
          </cell>
          <cell r="V347">
            <v>44277</v>
          </cell>
          <cell r="W347">
            <v>44277</v>
          </cell>
          <cell r="X347">
            <v>41100174</v>
          </cell>
        </row>
        <row r="348">
          <cell r="K348" t="str">
            <v>DBW-2098</v>
          </cell>
          <cell r="L348">
            <v>44263</v>
          </cell>
          <cell r="M348">
            <v>44263</v>
          </cell>
          <cell r="N348">
            <v>44277</v>
          </cell>
          <cell r="O348">
            <v>44263</v>
          </cell>
          <cell r="P348">
            <v>44277</v>
          </cell>
          <cell r="Q348"/>
          <cell r="R348"/>
          <cell r="S348"/>
          <cell r="T348">
            <v>44277</v>
          </cell>
          <cell r="U348">
            <v>44278</v>
          </cell>
          <cell r="V348">
            <v>44278</v>
          </cell>
          <cell r="W348">
            <v>44278</v>
          </cell>
          <cell r="X348">
            <v>41100174</v>
          </cell>
        </row>
        <row r="349">
          <cell r="K349" t="str">
            <v>DBW-2099</v>
          </cell>
          <cell r="L349">
            <v>44263</v>
          </cell>
          <cell r="M349">
            <v>44263</v>
          </cell>
          <cell r="N349">
            <v>44277</v>
          </cell>
          <cell r="O349">
            <v>44263</v>
          </cell>
          <cell r="P349">
            <v>44277</v>
          </cell>
          <cell r="Q349"/>
          <cell r="R349"/>
          <cell r="S349"/>
          <cell r="T349">
            <v>44277</v>
          </cell>
          <cell r="U349">
            <v>44278</v>
          </cell>
          <cell r="V349">
            <v>44278</v>
          </cell>
          <cell r="W349">
            <v>44278</v>
          </cell>
          <cell r="X349">
            <v>41100174</v>
          </cell>
        </row>
        <row r="350">
          <cell r="K350" t="str">
            <v>GBWS-0962</v>
          </cell>
          <cell r="L350">
            <v>44250</v>
          </cell>
          <cell r="M350">
            <v>44251</v>
          </cell>
          <cell r="N350">
            <v>44276</v>
          </cell>
          <cell r="O350">
            <v>44251</v>
          </cell>
          <cell r="P350">
            <v>44276</v>
          </cell>
          <cell r="Q350">
            <v>44276</v>
          </cell>
          <cell r="R350">
            <v>44276</v>
          </cell>
          <cell r="S350"/>
          <cell r="T350">
            <v>44276</v>
          </cell>
          <cell r="U350">
            <v>44277</v>
          </cell>
          <cell r="V350">
            <v>44277</v>
          </cell>
          <cell r="W350">
            <v>44277</v>
          </cell>
          <cell r="X350">
            <v>41100209</v>
          </cell>
        </row>
        <row r="351">
          <cell r="K351" t="str">
            <v>GBWS-0963</v>
          </cell>
          <cell r="L351">
            <v>44250</v>
          </cell>
          <cell r="M351">
            <v>44251</v>
          </cell>
          <cell r="N351">
            <v>44276</v>
          </cell>
          <cell r="O351">
            <v>44251</v>
          </cell>
          <cell r="P351">
            <v>44276</v>
          </cell>
          <cell r="Q351">
            <v>44276</v>
          </cell>
          <cell r="R351">
            <v>44276</v>
          </cell>
          <cell r="S351"/>
          <cell r="T351">
            <v>44276</v>
          </cell>
          <cell r="U351">
            <v>44277</v>
          </cell>
          <cell r="V351">
            <v>44277</v>
          </cell>
          <cell r="W351">
            <v>44277</v>
          </cell>
          <cell r="X351">
            <v>41100209</v>
          </cell>
        </row>
        <row r="352">
          <cell r="K352" t="str">
            <v>GBWS-0964</v>
          </cell>
          <cell r="L352">
            <v>44250</v>
          </cell>
          <cell r="M352">
            <v>44251</v>
          </cell>
          <cell r="N352">
            <v>44276</v>
          </cell>
          <cell r="O352">
            <v>44251</v>
          </cell>
          <cell r="P352">
            <v>44276</v>
          </cell>
          <cell r="Q352">
            <v>44276</v>
          </cell>
          <cell r="R352">
            <v>44276</v>
          </cell>
          <cell r="S352"/>
          <cell r="T352">
            <v>44276</v>
          </cell>
          <cell r="U352">
            <v>44277</v>
          </cell>
          <cell r="V352">
            <v>44277</v>
          </cell>
          <cell r="W352">
            <v>44277</v>
          </cell>
          <cell r="X352">
            <v>41100209</v>
          </cell>
        </row>
        <row r="353">
          <cell r="K353" t="str">
            <v>GBWS-0965</v>
          </cell>
          <cell r="L353">
            <v>44250</v>
          </cell>
          <cell r="M353">
            <v>44251</v>
          </cell>
          <cell r="N353">
            <v>44276</v>
          </cell>
          <cell r="O353">
            <v>44251</v>
          </cell>
          <cell r="P353">
            <v>44276</v>
          </cell>
          <cell r="Q353">
            <v>44276</v>
          </cell>
          <cell r="R353">
            <v>44276</v>
          </cell>
          <cell r="S353"/>
          <cell r="T353">
            <v>44276</v>
          </cell>
          <cell r="U353">
            <v>44277</v>
          </cell>
          <cell r="V353">
            <v>44277</v>
          </cell>
          <cell r="W353">
            <v>44277</v>
          </cell>
          <cell r="X353">
            <v>41100209</v>
          </cell>
        </row>
        <row r="354">
          <cell r="K354" t="str">
            <v>WS-0028</v>
          </cell>
          <cell r="L354">
            <v>44258</v>
          </cell>
          <cell r="M354">
            <v>44259</v>
          </cell>
          <cell r="N354">
            <v>44273</v>
          </cell>
          <cell r="O354">
            <v>44259</v>
          </cell>
          <cell r="P354">
            <v>44274</v>
          </cell>
          <cell r="Q354">
            <v>44272</v>
          </cell>
          <cell r="R354">
            <v>44272</v>
          </cell>
          <cell r="S354"/>
          <cell r="T354">
            <v>44273</v>
          </cell>
          <cell r="U354">
            <v>44274</v>
          </cell>
          <cell r="V354">
            <v>44275</v>
          </cell>
          <cell r="W354">
            <v>44277</v>
          </cell>
          <cell r="X354">
            <v>41100300</v>
          </cell>
        </row>
        <row r="355">
          <cell r="K355" t="str">
            <v>WS-0029</v>
          </cell>
          <cell r="L355">
            <v>44258</v>
          </cell>
          <cell r="M355">
            <v>44259</v>
          </cell>
          <cell r="N355">
            <v>44273</v>
          </cell>
          <cell r="O355">
            <v>44259</v>
          </cell>
          <cell r="P355">
            <v>44274</v>
          </cell>
          <cell r="Q355">
            <v>44272</v>
          </cell>
          <cell r="R355">
            <v>44272</v>
          </cell>
          <cell r="S355"/>
          <cell r="T355">
            <v>44273</v>
          </cell>
          <cell r="U355">
            <v>44274</v>
          </cell>
          <cell r="V355">
            <v>44275</v>
          </cell>
          <cell r="W355">
            <v>44277</v>
          </cell>
          <cell r="X355">
            <v>41100300</v>
          </cell>
        </row>
        <row r="356">
          <cell r="K356" t="str">
            <v>GBWS-0981</v>
          </cell>
          <cell r="L356">
            <v>44252</v>
          </cell>
          <cell r="M356">
            <v>44253</v>
          </cell>
          <cell r="N356">
            <v>44266</v>
          </cell>
          <cell r="O356">
            <v>44253</v>
          </cell>
          <cell r="P356">
            <v>44270</v>
          </cell>
          <cell r="Q356">
            <v>44270</v>
          </cell>
          <cell r="R356">
            <v>44270</v>
          </cell>
          <cell r="S356"/>
          <cell r="T356">
            <v>44270</v>
          </cell>
          <cell r="U356">
            <v>44272</v>
          </cell>
          <cell r="V356">
            <v>44272</v>
          </cell>
          <cell r="W356">
            <v>44273</v>
          </cell>
          <cell r="X356">
            <v>41100224</v>
          </cell>
        </row>
        <row r="357">
          <cell r="K357" t="str">
            <v>GBWS-0982</v>
          </cell>
          <cell r="L357">
            <v>44252</v>
          </cell>
          <cell r="M357">
            <v>44253</v>
          </cell>
          <cell r="N357">
            <v>44266</v>
          </cell>
          <cell r="O357">
            <v>44253</v>
          </cell>
          <cell r="P357">
            <v>44270</v>
          </cell>
          <cell r="Q357">
            <v>44270</v>
          </cell>
          <cell r="R357">
            <v>44270</v>
          </cell>
          <cell r="S357"/>
          <cell r="T357">
            <v>44270</v>
          </cell>
          <cell r="U357">
            <v>44272</v>
          </cell>
          <cell r="V357">
            <v>44272</v>
          </cell>
          <cell r="W357">
            <v>44273</v>
          </cell>
          <cell r="X357">
            <v>41100224</v>
          </cell>
        </row>
        <row r="358">
          <cell r="K358" t="str">
            <v>DBW-2078</v>
          </cell>
          <cell r="L358">
            <v>44253</v>
          </cell>
          <cell r="M358">
            <v>44253</v>
          </cell>
          <cell r="N358">
            <v>44273</v>
          </cell>
          <cell r="O358">
            <v>44253</v>
          </cell>
          <cell r="P358">
            <v>44274</v>
          </cell>
          <cell r="Q358">
            <v>44270</v>
          </cell>
          <cell r="R358">
            <v>44270</v>
          </cell>
          <cell r="S358"/>
          <cell r="T358">
            <v>44277</v>
          </cell>
          <cell r="U358">
            <v>44278</v>
          </cell>
          <cell r="V358">
            <v>44278</v>
          </cell>
          <cell r="W358">
            <v>44278</v>
          </cell>
          <cell r="X358">
            <v>41100258</v>
          </cell>
        </row>
        <row r="359">
          <cell r="K359" t="str">
            <v>DBW-2079</v>
          </cell>
          <cell r="L359">
            <v>44253</v>
          </cell>
          <cell r="M359">
            <v>44253</v>
          </cell>
          <cell r="N359">
            <v>44273</v>
          </cell>
          <cell r="O359">
            <v>44253</v>
          </cell>
          <cell r="P359">
            <v>44274</v>
          </cell>
          <cell r="Q359">
            <v>44270</v>
          </cell>
          <cell r="R359">
            <v>44270</v>
          </cell>
          <cell r="S359"/>
          <cell r="T359">
            <v>44277</v>
          </cell>
          <cell r="U359">
            <v>44278</v>
          </cell>
          <cell r="V359">
            <v>44278</v>
          </cell>
          <cell r="W359">
            <v>44278</v>
          </cell>
          <cell r="X359">
            <v>41100258</v>
          </cell>
        </row>
        <row r="360">
          <cell r="K360" t="str">
            <v>GBWS-1000</v>
          </cell>
          <cell r="L360">
            <v>44263</v>
          </cell>
          <cell r="M360">
            <v>44263</v>
          </cell>
          <cell r="N360">
            <v>44276</v>
          </cell>
          <cell r="O360">
            <v>44263</v>
          </cell>
          <cell r="P360">
            <v>44276</v>
          </cell>
          <cell r="Q360"/>
          <cell r="R360"/>
          <cell r="S360"/>
          <cell r="T360">
            <v>44276</v>
          </cell>
          <cell r="U360">
            <v>44279</v>
          </cell>
          <cell r="V360">
            <v>44279</v>
          </cell>
          <cell r="W360">
            <v>44280</v>
          </cell>
          <cell r="X360">
            <v>41100296</v>
          </cell>
        </row>
        <row r="361">
          <cell r="K361" t="str">
            <v>MMD-0033</v>
          </cell>
          <cell r="L361">
            <v>44263</v>
          </cell>
          <cell r="M361">
            <v>44263</v>
          </cell>
          <cell r="N361">
            <v>44276</v>
          </cell>
          <cell r="O361">
            <v>44263</v>
          </cell>
          <cell r="P361">
            <v>44276</v>
          </cell>
          <cell r="Q361"/>
          <cell r="R361"/>
          <cell r="S361"/>
          <cell r="T361"/>
          <cell r="U361">
            <v>44279</v>
          </cell>
          <cell r="V361">
            <v>44279</v>
          </cell>
          <cell r="W361">
            <v>44280</v>
          </cell>
          <cell r="X361">
            <v>31101262</v>
          </cell>
        </row>
        <row r="362">
          <cell r="K362" t="str">
            <v>DBW-2055</v>
          </cell>
          <cell r="L362">
            <v>44242</v>
          </cell>
          <cell r="M362">
            <v>44242</v>
          </cell>
          <cell r="N362">
            <v>44249</v>
          </cell>
          <cell r="O362">
            <v>44242</v>
          </cell>
          <cell r="P362">
            <v>44249</v>
          </cell>
          <cell r="Q362">
            <v>44249</v>
          </cell>
          <cell r="R362">
            <v>44249</v>
          </cell>
          <cell r="S362"/>
          <cell r="T362">
            <v>44250</v>
          </cell>
          <cell r="U362">
            <v>44251</v>
          </cell>
          <cell r="V362">
            <v>44252</v>
          </cell>
          <cell r="W362">
            <v>44253</v>
          </cell>
          <cell r="X362">
            <v>41100269</v>
          </cell>
        </row>
        <row r="363">
          <cell r="K363" t="str">
            <v>DBW-2090</v>
          </cell>
          <cell r="L363">
            <v>44257</v>
          </cell>
          <cell r="M363">
            <v>44258</v>
          </cell>
          <cell r="N363">
            <v>44274</v>
          </cell>
          <cell r="O363">
            <v>44258</v>
          </cell>
          <cell r="P363">
            <v>44273</v>
          </cell>
          <cell r="Q363">
            <v>44271</v>
          </cell>
          <cell r="R363">
            <v>44271</v>
          </cell>
          <cell r="S363"/>
          <cell r="T363">
            <v>44277</v>
          </cell>
          <cell r="U363">
            <v>44278</v>
          </cell>
          <cell r="V363">
            <v>44278</v>
          </cell>
          <cell r="W363">
            <v>44278</v>
          </cell>
          <cell r="X363">
            <v>41100234</v>
          </cell>
        </row>
        <row r="364">
          <cell r="K364" t="str">
            <v>DBW-2082</v>
          </cell>
          <cell r="L364">
            <v>44253</v>
          </cell>
          <cell r="M364">
            <v>44253</v>
          </cell>
          <cell r="N364">
            <v>44265</v>
          </cell>
          <cell r="O364">
            <v>44253</v>
          </cell>
          <cell r="P364">
            <v>44266</v>
          </cell>
          <cell r="Q364">
            <v>44264</v>
          </cell>
          <cell r="R364">
            <v>44264</v>
          </cell>
          <cell r="S364"/>
          <cell r="T364">
            <v>44265</v>
          </cell>
          <cell r="U364">
            <v>44266</v>
          </cell>
          <cell r="V364">
            <v>44266</v>
          </cell>
          <cell r="W364">
            <v>44266</v>
          </cell>
          <cell r="X364">
            <v>41100269</v>
          </cell>
        </row>
        <row r="365">
          <cell r="K365" t="str">
            <v>GBWS-1002</v>
          </cell>
          <cell r="L365">
            <v>44264</v>
          </cell>
          <cell r="M365">
            <v>44265</v>
          </cell>
          <cell r="N365">
            <v>44279</v>
          </cell>
          <cell r="O365">
            <v>44265</v>
          </cell>
          <cell r="P365">
            <v>44279</v>
          </cell>
          <cell r="Q365">
            <v>44278</v>
          </cell>
          <cell r="R365">
            <v>44278</v>
          </cell>
          <cell r="S365"/>
          <cell r="T365">
            <v>44279</v>
          </cell>
          <cell r="U365">
            <v>44279</v>
          </cell>
          <cell r="V365">
            <v>44280</v>
          </cell>
          <cell r="W365">
            <v>44280</v>
          </cell>
          <cell r="X365">
            <v>41100302</v>
          </cell>
        </row>
        <row r="366">
          <cell r="K366" t="str">
            <v>DBW-2112</v>
          </cell>
          <cell r="L366">
            <v>44263</v>
          </cell>
          <cell r="M366">
            <v>44264</v>
          </cell>
          <cell r="N366">
            <v>44279</v>
          </cell>
          <cell r="O366">
            <v>44264</v>
          </cell>
          <cell r="P366">
            <v>44279</v>
          </cell>
          <cell r="Q366">
            <v>44279</v>
          </cell>
          <cell r="R366">
            <v>44279</v>
          </cell>
          <cell r="S366"/>
          <cell r="T366">
            <v>44279</v>
          </cell>
          <cell r="U366">
            <v>44280</v>
          </cell>
          <cell r="V366">
            <v>44280</v>
          </cell>
          <cell r="W366">
            <v>44280</v>
          </cell>
          <cell r="X366">
            <v>41100236</v>
          </cell>
        </row>
        <row r="367">
          <cell r="K367" t="str">
            <v>DBW-2113</v>
          </cell>
          <cell r="L367">
            <v>44263</v>
          </cell>
          <cell r="M367">
            <v>44264</v>
          </cell>
          <cell r="N367">
            <v>44279</v>
          </cell>
          <cell r="O367">
            <v>44264</v>
          </cell>
          <cell r="P367">
            <v>44279</v>
          </cell>
          <cell r="Q367">
            <v>44279</v>
          </cell>
          <cell r="R367">
            <v>44279</v>
          </cell>
          <cell r="S367"/>
          <cell r="T367">
            <v>44279</v>
          </cell>
          <cell r="U367">
            <v>44280</v>
          </cell>
          <cell r="V367">
            <v>44280</v>
          </cell>
          <cell r="W367">
            <v>44280</v>
          </cell>
          <cell r="X367">
            <v>41100236</v>
          </cell>
        </row>
        <row r="368">
          <cell r="K368" t="str">
            <v>DBW-2114</v>
          </cell>
          <cell r="L368">
            <v>44263</v>
          </cell>
          <cell r="M368">
            <v>44264</v>
          </cell>
          <cell r="N368">
            <v>44279</v>
          </cell>
          <cell r="O368">
            <v>44264</v>
          </cell>
          <cell r="P368">
            <v>44279</v>
          </cell>
          <cell r="Q368">
            <v>44279</v>
          </cell>
          <cell r="R368">
            <v>44279</v>
          </cell>
          <cell r="S368"/>
          <cell r="T368">
            <v>44279</v>
          </cell>
          <cell r="U368">
            <v>44279</v>
          </cell>
          <cell r="V368">
            <v>44279</v>
          </cell>
          <cell r="W368">
            <v>44280</v>
          </cell>
          <cell r="X368">
            <v>41100255</v>
          </cell>
        </row>
        <row r="369">
          <cell r="K369" t="str">
            <v>DBW-2115</v>
          </cell>
          <cell r="L369">
            <v>44263</v>
          </cell>
          <cell r="M369">
            <v>44264</v>
          </cell>
          <cell r="N369">
            <v>44279</v>
          </cell>
          <cell r="O369">
            <v>44264</v>
          </cell>
          <cell r="P369">
            <v>44279</v>
          </cell>
          <cell r="Q369">
            <v>44279</v>
          </cell>
          <cell r="R369">
            <v>44279</v>
          </cell>
          <cell r="S369"/>
          <cell r="T369">
            <v>44279</v>
          </cell>
          <cell r="U369">
            <v>44279</v>
          </cell>
          <cell r="V369">
            <v>44279</v>
          </cell>
          <cell r="W369">
            <v>44280</v>
          </cell>
          <cell r="X369">
            <v>41100255</v>
          </cell>
        </row>
        <row r="370">
          <cell r="K370" t="str">
            <v>DBW-2108</v>
          </cell>
          <cell r="L370">
            <v>44263</v>
          </cell>
          <cell r="M370">
            <v>44264</v>
          </cell>
          <cell r="N370">
            <v>44280</v>
          </cell>
          <cell r="O370">
            <v>44264</v>
          </cell>
          <cell r="P370">
            <v>44280</v>
          </cell>
          <cell r="Q370">
            <v>44280</v>
          </cell>
          <cell r="R370">
            <v>44280</v>
          </cell>
          <cell r="S370"/>
          <cell r="T370">
            <v>44280</v>
          </cell>
          <cell r="U370">
            <v>44280</v>
          </cell>
          <cell r="V370">
            <v>44281</v>
          </cell>
          <cell r="W370">
            <v>44281</v>
          </cell>
          <cell r="X370">
            <v>41100234</v>
          </cell>
        </row>
        <row r="371">
          <cell r="K371" t="str">
            <v>DBW-2109</v>
          </cell>
          <cell r="L371">
            <v>44263</v>
          </cell>
          <cell r="M371">
            <v>44264</v>
          </cell>
          <cell r="N371">
            <v>44280</v>
          </cell>
          <cell r="O371">
            <v>44264</v>
          </cell>
          <cell r="P371">
            <v>44280</v>
          </cell>
          <cell r="Q371">
            <v>44280</v>
          </cell>
          <cell r="R371">
            <v>44280</v>
          </cell>
          <cell r="S371"/>
          <cell r="T371">
            <v>44280</v>
          </cell>
          <cell r="U371">
            <v>44280</v>
          </cell>
          <cell r="V371">
            <v>44281</v>
          </cell>
          <cell r="W371">
            <v>44281</v>
          </cell>
          <cell r="X371">
            <v>41100234</v>
          </cell>
        </row>
        <row r="372">
          <cell r="K372" t="str">
            <v>DBW-2120</v>
          </cell>
          <cell r="L372">
            <v>44264</v>
          </cell>
          <cell r="M372">
            <v>44265</v>
          </cell>
          <cell r="N372">
            <v>44280</v>
          </cell>
          <cell r="O372">
            <v>44265</v>
          </cell>
          <cell r="P372">
            <v>44281</v>
          </cell>
          <cell r="Q372">
            <v>44280</v>
          </cell>
          <cell r="R372">
            <v>44280</v>
          </cell>
          <cell r="S372"/>
          <cell r="T372">
            <v>44280</v>
          </cell>
          <cell r="U372">
            <v>44280</v>
          </cell>
          <cell r="V372">
            <v>44281</v>
          </cell>
          <cell r="W372">
            <v>44281</v>
          </cell>
          <cell r="X372">
            <v>41100235</v>
          </cell>
        </row>
        <row r="373">
          <cell r="K373" t="str">
            <v>DBW-2091</v>
          </cell>
          <cell r="L373">
            <v>44257</v>
          </cell>
          <cell r="M373">
            <v>44258</v>
          </cell>
          <cell r="N373">
            <v>44273</v>
          </cell>
          <cell r="O373">
            <v>44258</v>
          </cell>
          <cell r="P373">
            <v>44273</v>
          </cell>
          <cell r="Q373">
            <v>44271</v>
          </cell>
          <cell r="R373">
            <v>44271</v>
          </cell>
          <cell r="S373"/>
          <cell r="T373">
            <v>44277</v>
          </cell>
          <cell r="U373">
            <v>44278</v>
          </cell>
          <cell r="V373">
            <v>44278</v>
          </cell>
          <cell r="W373">
            <v>44278</v>
          </cell>
          <cell r="X373">
            <v>41100235</v>
          </cell>
        </row>
        <row r="374">
          <cell r="K374" t="str">
            <v>GBWS-0829</v>
          </cell>
          <cell r="L374">
            <v>44151</v>
          </cell>
          <cell r="M374">
            <v>44225</v>
          </cell>
          <cell r="N374">
            <v>44271</v>
          </cell>
          <cell r="O374">
            <v>44225</v>
          </cell>
          <cell r="P374">
            <v>44282</v>
          </cell>
          <cell r="Q374">
            <v>44263</v>
          </cell>
          <cell r="R374">
            <v>44263</v>
          </cell>
          <cell r="S374"/>
          <cell r="T374">
            <v>44282</v>
          </cell>
          <cell r="U374">
            <v>44282</v>
          </cell>
          <cell r="V374">
            <v>44283</v>
          </cell>
          <cell r="W374">
            <v>44283</v>
          </cell>
          <cell r="X374">
            <v>41100257</v>
          </cell>
        </row>
        <row r="375">
          <cell r="K375" t="str">
            <v>GBWS-1017</v>
          </cell>
          <cell r="L375">
            <v>44265</v>
          </cell>
          <cell r="M375">
            <v>44266</v>
          </cell>
          <cell r="N375">
            <v>44281</v>
          </cell>
          <cell r="O375">
            <v>44266</v>
          </cell>
          <cell r="P375">
            <v>44281</v>
          </cell>
          <cell r="Q375">
            <v>44281</v>
          </cell>
          <cell r="R375">
            <v>44281</v>
          </cell>
          <cell r="S375"/>
          <cell r="T375">
            <v>44281</v>
          </cell>
          <cell r="U375">
            <v>44282</v>
          </cell>
          <cell r="V375">
            <v>44283</v>
          </cell>
          <cell r="W375">
            <v>44283</v>
          </cell>
          <cell r="X375">
            <v>41100297</v>
          </cell>
        </row>
        <row r="376">
          <cell r="K376" t="str">
            <v>GBWS-1018</v>
          </cell>
          <cell r="L376">
            <v>44265</v>
          </cell>
          <cell r="M376">
            <v>44266</v>
          </cell>
          <cell r="N376">
            <v>44281</v>
          </cell>
          <cell r="O376">
            <v>44266</v>
          </cell>
          <cell r="P376">
            <v>44281</v>
          </cell>
          <cell r="Q376">
            <v>44281</v>
          </cell>
          <cell r="R376">
            <v>44281</v>
          </cell>
          <cell r="S376"/>
          <cell r="T376">
            <v>44281</v>
          </cell>
          <cell r="U376">
            <v>44282</v>
          </cell>
          <cell r="V376">
            <v>44283</v>
          </cell>
          <cell r="W376">
            <v>44283</v>
          </cell>
          <cell r="X376">
            <v>41100297</v>
          </cell>
        </row>
        <row r="377">
          <cell r="K377" t="str">
            <v>DBW-2110</v>
          </cell>
          <cell r="L377">
            <v>44263</v>
          </cell>
          <cell r="M377">
            <v>44264</v>
          </cell>
          <cell r="N377">
            <v>44281</v>
          </cell>
          <cell r="O377">
            <v>44264</v>
          </cell>
          <cell r="P377">
            <v>44281</v>
          </cell>
          <cell r="Q377">
            <v>44281</v>
          </cell>
          <cell r="R377">
            <v>44281</v>
          </cell>
          <cell r="S377"/>
          <cell r="T377">
            <v>44281</v>
          </cell>
          <cell r="U377">
            <v>44282</v>
          </cell>
          <cell r="V377">
            <v>44283</v>
          </cell>
          <cell r="W377">
            <v>44283</v>
          </cell>
          <cell r="X377">
            <v>41100234</v>
          </cell>
        </row>
        <row r="378">
          <cell r="K378" t="str">
            <v>DBW-2111</v>
          </cell>
          <cell r="L378">
            <v>44263</v>
          </cell>
          <cell r="M378">
            <v>44264</v>
          </cell>
          <cell r="N378">
            <v>44281</v>
          </cell>
          <cell r="O378">
            <v>44264</v>
          </cell>
          <cell r="P378">
            <v>44281</v>
          </cell>
          <cell r="Q378">
            <v>44281</v>
          </cell>
          <cell r="R378">
            <v>44281</v>
          </cell>
          <cell r="S378"/>
          <cell r="T378">
            <v>44281</v>
          </cell>
          <cell r="U378">
            <v>44282</v>
          </cell>
          <cell r="V378">
            <v>44283</v>
          </cell>
          <cell r="W378">
            <v>44283</v>
          </cell>
          <cell r="X378">
            <v>41100234</v>
          </cell>
        </row>
        <row r="379">
          <cell r="K379" t="str">
            <v>DBW-2118</v>
          </cell>
          <cell r="L379">
            <v>44263</v>
          </cell>
          <cell r="M379">
            <v>44264</v>
          </cell>
          <cell r="N379">
            <v>44280</v>
          </cell>
          <cell r="O379">
            <v>44264</v>
          </cell>
          <cell r="P379">
            <v>44281</v>
          </cell>
          <cell r="Q379">
            <v>44281</v>
          </cell>
          <cell r="R379">
            <v>44281</v>
          </cell>
          <cell r="S379"/>
          <cell r="T379">
            <v>44281</v>
          </cell>
          <cell r="U379">
            <v>44282</v>
          </cell>
          <cell r="V379">
            <v>44283</v>
          </cell>
          <cell r="W379">
            <v>44283</v>
          </cell>
          <cell r="X379">
            <v>41100270</v>
          </cell>
        </row>
        <row r="380">
          <cell r="K380" t="str">
            <v>DBW-2119</v>
          </cell>
          <cell r="L380">
            <v>44263</v>
          </cell>
          <cell r="M380">
            <v>44264</v>
          </cell>
          <cell r="N380">
            <v>44280</v>
          </cell>
          <cell r="O380">
            <v>44264</v>
          </cell>
          <cell r="P380">
            <v>44281</v>
          </cell>
          <cell r="Q380">
            <v>44281</v>
          </cell>
          <cell r="R380">
            <v>44281</v>
          </cell>
          <cell r="S380"/>
          <cell r="T380">
            <v>44281</v>
          </cell>
          <cell r="U380">
            <v>44282</v>
          </cell>
          <cell r="V380">
            <v>44283</v>
          </cell>
          <cell r="W380">
            <v>44283</v>
          </cell>
          <cell r="X380">
            <v>41100270</v>
          </cell>
        </row>
        <row r="381">
          <cell r="K381" t="str">
            <v>GBWS-1001</v>
          </cell>
          <cell r="L381">
            <v>44263</v>
          </cell>
          <cell r="M381">
            <v>44264</v>
          </cell>
          <cell r="N381">
            <v>44279</v>
          </cell>
          <cell r="O381">
            <v>44264</v>
          </cell>
          <cell r="P381">
            <v>44279</v>
          </cell>
          <cell r="Q381">
            <v>44279</v>
          </cell>
          <cell r="R381">
            <v>44279</v>
          </cell>
          <cell r="S381"/>
          <cell r="T381">
            <v>44279</v>
          </cell>
          <cell r="U381">
            <v>44280</v>
          </cell>
          <cell r="V381">
            <v>44280</v>
          </cell>
          <cell r="W381">
            <v>44281</v>
          </cell>
          <cell r="X381">
            <v>41100292</v>
          </cell>
        </row>
        <row r="382">
          <cell r="K382" t="str">
            <v>DBW-2025</v>
          </cell>
          <cell r="L382">
            <v>44235</v>
          </cell>
          <cell r="M382">
            <v>44236</v>
          </cell>
          <cell r="N382">
            <v>44249</v>
          </cell>
          <cell r="O382">
            <v>44236</v>
          </cell>
          <cell r="P382">
            <v>44251</v>
          </cell>
          <cell r="Q382">
            <v>44251</v>
          </cell>
          <cell r="R382">
            <v>44251</v>
          </cell>
          <cell r="S382"/>
          <cell r="T382">
            <v>44252</v>
          </cell>
          <cell r="U382">
            <v>44259</v>
          </cell>
          <cell r="V382">
            <v>44259</v>
          </cell>
          <cell r="W382">
            <v>44259</v>
          </cell>
          <cell r="X382">
            <v>41100291</v>
          </cell>
        </row>
        <row r="383">
          <cell r="K383" t="str">
            <v>DBW-2058</v>
          </cell>
          <cell r="L383">
            <v>44243</v>
          </cell>
          <cell r="M383">
            <v>44243</v>
          </cell>
          <cell r="N383">
            <v>44264</v>
          </cell>
          <cell r="O383">
            <v>44243</v>
          </cell>
          <cell r="P383">
            <v>44263</v>
          </cell>
          <cell r="Q383">
            <v>44263</v>
          </cell>
          <cell r="R383">
            <v>44263</v>
          </cell>
          <cell r="S383"/>
          <cell r="T383" t="str">
            <v>3/8 야근 가압</v>
          </cell>
          <cell r="U383">
            <v>44264</v>
          </cell>
          <cell r="V383">
            <v>44264</v>
          </cell>
          <cell r="W383">
            <v>44265</v>
          </cell>
          <cell r="X383">
            <v>41100291</v>
          </cell>
        </row>
        <row r="384">
          <cell r="K384" t="str">
            <v>DBW-2060</v>
          </cell>
          <cell r="L384">
            <v>44243</v>
          </cell>
          <cell r="M384">
            <v>44243</v>
          </cell>
          <cell r="N384">
            <v>44264</v>
          </cell>
          <cell r="O384">
            <v>44243</v>
          </cell>
          <cell r="P384">
            <v>44263</v>
          </cell>
          <cell r="Q384">
            <v>44263</v>
          </cell>
          <cell r="R384">
            <v>44263</v>
          </cell>
          <cell r="S384"/>
          <cell r="T384" t="str">
            <v>3/8 야근 가압</v>
          </cell>
          <cell r="U384">
            <v>44264</v>
          </cell>
          <cell r="V384">
            <v>44264</v>
          </cell>
          <cell r="W384">
            <v>44265</v>
          </cell>
          <cell r="X384">
            <v>41100291</v>
          </cell>
        </row>
        <row r="385">
          <cell r="K385" t="str">
            <v>SOS-0231</v>
          </cell>
          <cell r="L385">
            <v>44243</v>
          </cell>
          <cell r="M385">
            <v>44244</v>
          </cell>
          <cell r="N385">
            <v>44248</v>
          </cell>
          <cell r="O385">
            <v>44244</v>
          </cell>
          <cell r="P385">
            <v>44249</v>
          </cell>
          <cell r="Q385"/>
          <cell r="R385"/>
          <cell r="S385"/>
          <cell r="T385">
            <v>44250</v>
          </cell>
          <cell r="U385">
            <v>44250</v>
          </cell>
          <cell r="V385">
            <v>44251</v>
          </cell>
          <cell r="W385">
            <v>44252</v>
          </cell>
          <cell r="X385">
            <v>41100299</v>
          </cell>
        </row>
        <row r="386">
          <cell r="K386" t="str">
            <v>DBW-2070</v>
          </cell>
          <cell r="L386">
            <v>44249</v>
          </cell>
          <cell r="M386">
            <v>44250</v>
          </cell>
          <cell r="N386">
            <v>44272</v>
          </cell>
          <cell r="O386">
            <v>44250</v>
          </cell>
          <cell r="P386">
            <v>44272</v>
          </cell>
          <cell r="Q386">
            <v>44270</v>
          </cell>
          <cell r="R386">
            <v>44270</v>
          </cell>
          <cell r="S386"/>
          <cell r="T386">
            <v>44272</v>
          </cell>
          <cell r="U386">
            <v>44272</v>
          </cell>
          <cell r="V386">
            <v>44273</v>
          </cell>
          <cell r="W386">
            <v>44278</v>
          </cell>
          <cell r="X386">
            <v>41100291</v>
          </cell>
        </row>
        <row r="387">
          <cell r="K387" t="str">
            <v>GBWS-1015</v>
          </cell>
          <cell r="L387">
            <v>44264</v>
          </cell>
          <cell r="M387">
            <v>44265</v>
          </cell>
          <cell r="N387">
            <v>44280</v>
          </cell>
          <cell r="O387">
            <v>44265</v>
          </cell>
          <cell r="P387">
            <v>44280</v>
          </cell>
          <cell r="Q387">
            <v>44279</v>
          </cell>
          <cell r="R387">
            <v>44279</v>
          </cell>
          <cell r="S387"/>
          <cell r="T387">
            <v>44279</v>
          </cell>
          <cell r="U387">
            <v>44284</v>
          </cell>
          <cell r="V387">
            <v>44284</v>
          </cell>
          <cell r="W387">
            <v>44284</v>
          </cell>
          <cell r="X387">
            <v>41100306</v>
          </cell>
        </row>
        <row r="388">
          <cell r="K388" t="str">
            <v>GBWS-1016</v>
          </cell>
          <cell r="L388">
            <v>44264</v>
          </cell>
          <cell r="M388">
            <v>44265</v>
          </cell>
          <cell r="N388">
            <v>44280</v>
          </cell>
          <cell r="O388">
            <v>44265</v>
          </cell>
          <cell r="P388">
            <v>44280</v>
          </cell>
          <cell r="Q388">
            <v>44279</v>
          </cell>
          <cell r="R388">
            <v>44279</v>
          </cell>
          <cell r="S388"/>
          <cell r="T388">
            <v>44279</v>
          </cell>
          <cell r="U388">
            <v>44284</v>
          </cell>
          <cell r="V388">
            <v>44284</v>
          </cell>
          <cell r="W388">
            <v>44284</v>
          </cell>
          <cell r="X388">
            <v>41100232</v>
          </cell>
        </row>
        <row r="389">
          <cell r="K389" t="str">
            <v>RT-0014</v>
          </cell>
          <cell r="L389">
            <v>44264</v>
          </cell>
          <cell r="M389">
            <v>44265</v>
          </cell>
          <cell r="N389">
            <v>44280</v>
          </cell>
          <cell r="O389">
            <v>44265</v>
          </cell>
          <cell r="P389">
            <v>44280</v>
          </cell>
          <cell r="Q389">
            <v>44279</v>
          </cell>
          <cell r="R389">
            <v>44279</v>
          </cell>
          <cell r="S389"/>
          <cell r="T389">
            <v>44279</v>
          </cell>
          <cell r="U389">
            <v>44284</v>
          </cell>
          <cell r="V389">
            <v>44284</v>
          </cell>
          <cell r="W389">
            <v>44284</v>
          </cell>
          <cell r="X389">
            <v>31101044</v>
          </cell>
        </row>
        <row r="390">
          <cell r="K390" t="str">
            <v>RT-0015</v>
          </cell>
          <cell r="L390">
            <v>44264</v>
          </cell>
          <cell r="M390">
            <v>44265</v>
          </cell>
          <cell r="N390">
            <v>44280</v>
          </cell>
          <cell r="O390">
            <v>44265</v>
          </cell>
          <cell r="P390">
            <v>44280</v>
          </cell>
          <cell r="Q390">
            <v>44279</v>
          </cell>
          <cell r="R390">
            <v>44279</v>
          </cell>
          <cell r="S390"/>
          <cell r="T390">
            <v>44279</v>
          </cell>
          <cell r="U390">
            <v>44284</v>
          </cell>
          <cell r="V390">
            <v>44284</v>
          </cell>
          <cell r="W390">
            <v>44284</v>
          </cell>
          <cell r="X390">
            <v>31101044</v>
          </cell>
        </row>
        <row r="391">
          <cell r="K391"/>
          <cell r="L391"/>
          <cell r="M391">
            <v>44245</v>
          </cell>
          <cell r="N391">
            <v>44259</v>
          </cell>
          <cell r="O391">
            <v>44245</v>
          </cell>
          <cell r="P391">
            <v>44265</v>
          </cell>
          <cell r="Q391"/>
          <cell r="R391"/>
          <cell r="S391"/>
          <cell r="T391"/>
          <cell r="U391"/>
          <cell r="V391"/>
          <cell r="W391"/>
          <cell r="X391">
            <v>31101299</v>
          </cell>
        </row>
        <row r="392">
          <cell r="K392"/>
          <cell r="L392"/>
          <cell r="M392">
            <v>44245</v>
          </cell>
          <cell r="N392">
            <v>44259</v>
          </cell>
          <cell r="O392">
            <v>44245</v>
          </cell>
          <cell r="P392">
            <v>44265</v>
          </cell>
          <cell r="Q392"/>
          <cell r="R392"/>
          <cell r="S392"/>
          <cell r="T392"/>
          <cell r="U392"/>
          <cell r="V392"/>
          <cell r="W392"/>
          <cell r="X392">
            <v>31101300</v>
          </cell>
        </row>
        <row r="393">
          <cell r="K393"/>
          <cell r="L393"/>
          <cell r="M393">
            <v>44245</v>
          </cell>
          <cell r="N393">
            <v>44259</v>
          </cell>
          <cell r="O393">
            <v>44245</v>
          </cell>
          <cell r="P393">
            <v>44265</v>
          </cell>
          <cell r="Q393"/>
          <cell r="R393"/>
          <cell r="S393"/>
          <cell r="T393"/>
          <cell r="U393"/>
          <cell r="V393"/>
          <cell r="W393"/>
          <cell r="X393">
            <v>31101297</v>
          </cell>
        </row>
        <row r="394">
          <cell r="K394"/>
          <cell r="L394"/>
          <cell r="M394">
            <v>44245</v>
          </cell>
          <cell r="N394">
            <v>44259</v>
          </cell>
          <cell r="O394">
            <v>44245</v>
          </cell>
          <cell r="P394">
            <v>44265</v>
          </cell>
          <cell r="Q394"/>
          <cell r="R394"/>
          <cell r="S394"/>
          <cell r="T394"/>
          <cell r="U394"/>
          <cell r="V394"/>
          <cell r="W394"/>
          <cell r="X394">
            <v>31101215</v>
          </cell>
        </row>
        <row r="395">
          <cell r="K395"/>
          <cell r="L395"/>
          <cell r="M395">
            <v>44245</v>
          </cell>
          <cell r="N395">
            <v>44259</v>
          </cell>
          <cell r="O395">
            <v>44245</v>
          </cell>
          <cell r="P395">
            <v>44265</v>
          </cell>
          <cell r="Q395"/>
          <cell r="R395"/>
          <cell r="S395"/>
          <cell r="T395"/>
          <cell r="U395"/>
          <cell r="V395"/>
          <cell r="W395"/>
          <cell r="X395">
            <v>31101213</v>
          </cell>
        </row>
        <row r="396">
          <cell r="K396"/>
          <cell r="L396"/>
          <cell r="M396">
            <v>44245</v>
          </cell>
          <cell r="N396">
            <v>44259</v>
          </cell>
          <cell r="O396">
            <v>44245</v>
          </cell>
          <cell r="P396">
            <v>44265</v>
          </cell>
          <cell r="Q396"/>
          <cell r="R396"/>
          <cell r="S396"/>
          <cell r="T396"/>
          <cell r="U396"/>
          <cell r="V396"/>
          <cell r="W396"/>
          <cell r="X396">
            <v>31101298</v>
          </cell>
        </row>
        <row r="397">
          <cell r="K397"/>
          <cell r="L397"/>
          <cell r="M397">
            <v>44245</v>
          </cell>
          <cell r="N397">
            <v>44259</v>
          </cell>
          <cell r="O397">
            <v>44245</v>
          </cell>
          <cell r="P397">
            <v>44265</v>
          </cell>
          <cell r="Q397"/>
          <cell r="R397"/>
          <cell r="S397"/>
          <cell r="T397"/>
          <cell r="U397"/>
          <cell r="V397"/>
          <cell r="W397"/>
          <cell r="X397">
            <v>31101210</v>
          </cell>
        </row>
        <row r="398">
          <cell r="K398"/>
          <cell r="L398"/>
          <cell r="M398">
            <v>44245</v>
          </cell>
          <cell r="N398">
            <v>44259</v>
          </cell>
          <cell r="O398">
            <v>44245</v>
          </cell>
          <cell r="P398">
            <v>44265</v>
          </cell>
          <cell r="Q398"/>
          <cell r="R398"/>
          <cell r="S398"/>
          <cell r="T398"/>
          <cell r="U398"/>
          <cell r="V398"/>
          <cell r="W398"/>
          <cell r="X398">
            <v>31101211</v>
          </cell>
        </row>
        <row r="399">
          <cell r="K399"/>
          <cell r="L399"/>
          <cell r="M399">
            <v>44245</v>
          </cell>
          <cell r="N399">
            <v>44259</v>
          </cell>
          <cell r="O399">
            <v>44245</v>
          </cell>
          <cell r="P399">
            <v>44265</v>
          </cell>
          <cell r="Q399"/>
          <cell r="R399"/>
          <cell r="S399"/>
          <cell r="T399"/>
          <cell r="U399"/>
          <cell r="V399"/>
          <cell r="W399"/>
          <cell r="X399">
            <v>31101212</v>
          </cell>
        </row>
        <row r="400">
          <cell r="K400" t="str">
            <v>SOS-0232</v>
          </cell>
          <cell r="L400">
            <v>44249</v>
          </cell>
          <cell r="M400">
            <v>44251</v>
          </cell>
          <cell r="N400">
            <v>44259</v>
          </cell>
          <cell r="O400">
            <v>44251</v>
          </cell>
          <cell r="P400">
            <v>44259</v>
          </cell>
          <cell r="Q400"/>
          <cell r="R400"/>
          <cell r="S400"/>
          <cell r="T400">
            <v>44265</v>
          </cell>
          <cell r="U400">
            <v>44266</v>
          </cell>
          <cell r="V400">
            <v>44267</v>
          </cell>
          <cell r="W400">
            <v>44267</v>
          </cell>
          <cell r="X400">
            <v>41100215</v>
          </cell>
        </row>
        <row r="401">
          <cell r="K401" t="str">
            <v>DBW-2074</v>
          </cell>
          <cell r="L401">
            <v>44250</v>
          </cell>
          <cell r="M401">
            <v>44251</v>
          </cell>
          <cell r="N401">
            <v>44265</v>
          </cell>
          <cell r="O401">
            <v>44251</v>
          </cell>
          <cell r="P401">
            <v>44264</v>
          </cell>
          <cell r="Q401">
            <v>44263</v>
          </cell>
          <cell r="R401">
            <v>44263</v>
          </cell>
          <cell r="S401"/>
          <cell r="T401">
            <v>44265</v>
          </cell>
          <cell r="U401">
            <v>44266</v>
          </cell>
          <cell r="V401">
            <v>44266</v>
          </cell>
          <cell r="W401">
            <v>44267</v>
          </cell>
          <cell r="X401">
            <v>41100261</v>
          </cell>
        </row>
        <row r="402">
          <cell r="K402" t="str">
            <v>DBW-2073</v>
          </cell>
          <cell r="L402">
            <v>44250</v>
          </cell>
          <cell r="M402">
            <v>44251</v>
          </cell>
          <cell r="N402">
            <v>44265</v>
          </cell>
          <cell r="O402">
            <v>44251</v>
          </cell>
          <cell r="P402">
            <v>44264</v>
          </cell>
          <cell r="Q402">
            <v>44266</v>
          </cell>
          <cell r="R402">
            <v>44266</v>
          </cell>
          <cell r="S402"/>
          <cell r="T402">
            <v>44265</v>
          </cell>
          <cell r="U402">
            <v>44266</v>
          </cell>
          <cell r="V402">
            <v>44266</v>
          </cell>
          <cell r="W402">
            <v>44267</v>
          </cell>
          <cell r="X402">
            <v>41100258</v>
          </cell>
        </row>
        <row r="403">
          <cell r="K403" t="str">
            <v>DBW-2083</v>
          </cell>
          <cell r="L403">
            <v>44257</v>
          </cell>
          <cell r="M403">
            <v>44257</v>
          </cell>
          <cell r="N403">
            <v>44273</v>
          </cell>
          <cell r="O403">
            <v>44257</v>
          </cell>
          <cell r="P403">
            <v>44272</v>
          </cell>
          <cell r="Q403">
            <v>44269</v>
          </cell>
          <cell r="R403">
            <v>44269</v>
          </cell>
          <cell r="S403"/>
          <cell r="T403">
            <v>44273</v>
          </cell>
          <cell r="U403">
            <v>44274</v>
          </cell>
          <cell r="V403">
            <v>44274</v>
          </cell>
          <cell r="W403">
            <v>44274</v>
          </cell>
          <cell r="X403">
            <v>41100259</v>
          </cell>
        </row>
        <row r="404">
          <cell r="K404" t="str">
            <v>DBW-2084</v>
          </cell>
          <cell r="L404">
            <v>44257</v>
          </cell>
          <cell r="M404">
            <v>44257</v>
          </cell>
          <cell r="N404">
            <v>44273</v>
          </cell>
          <cell r="O404">
            <v>44257</v>
          </cell>
          <cell r="P404">
            <v>44272</v>
          </cell>
          <cell r="Q404">
            <v>44269</v>
          </cell>
          <cell r="R404">
            <v>44269</v>
          </cell>
          <cell r="S404"/>
          <cell r="T404">
            <v>44273</v>
          </cell>
          <cell r="U404">
            <v>44274</v>
          </cell>
          <cell r="V404">
            <v>44274</v>
          </cell>
          <cell r="W404">
            <v>44274</v>
          </cell>
          <cell r="X404">
            <v>41100259</v>
          </cell>
        </row>
        <row r="405">
          <cell r="K405" t="str">
            <v>DBW-2085</v>
          </cell>
          <cell r="L405">
            <v>44257</v>
          </cell>
          <cell r="M405">
            <v>44257</v>
          </cell>
          <cell r="N405">
            <v>44273</v>
          </cell>
          <cell r="O405">
            <v>44257</v>
          </cell>
          <cell r="P405">
            <v>44272</v>
          </cell>
          <cell r="Q405">
            <v>44269</v>
          </cell>
          <cell r="R405">
            <v>44269</v>
          </cell>
          <cell r="S405"/>
          <cell r="T405">
            <v>44273</v>
          </cell>
          <cell r="U405">
            <v>44274</v>
          </cell>
          <cell r="V405">
            <v>44274</v>
          </cell>
          <cell r="W405">
            <v>44274</v>
          </cell>
          <cell r="X405">
            <v>41100259</v>
          </cell>
        </row>
        <row r="406">
          <cell r="K406" t="str">
            <v>DBW-2086</v>
          </cell>
          <cell r="L406">
            <v>44257</v>
          </cell>
          <cell r="M406">
            <v>44257</v>
          </cell>
          <cell r="N406">
            <v>44273</v>
          </cell>
          <cell r="O406">
            <v>44257</v>
          </cell>
          <cell r="P406">
            <v>44272</v>
          </cell>
          <cell r="Q406">
            <v>44269</v>
          </cell>
          <cell r="R406">
            <v>44269</v>
          </cell>
          <cell r="S406"/>
          <cell r="T406">
            <v>44273</v>
          </cell>
          <cell r="U406">
            <v>44274</v>
          </cell>
          <cell r="V406">
            <v>44274</v>
          </cell>
          <cell r="W406">
            <v>44274</v>
          </cell>
          <cell r="X406">
            <v>41100259</v>
          </cell>
        </row>
        <row r="407">
          <cell r="K407" t="str">
            <v>GBWS-1019</v>
          </cell>
          <cell r="L407">
            <v>44266</v>
          </cell>
          <cell r="M407">
            <v>44267</v>
          </cell>
          <cell r="N407">
            <v>44282</v>
          </cell>
          <cell r="O407">
            <v>44267</v>
          </cell>
          <cell r="P407">
            <v>44282</v>
          </cell>
          <cell r="Q407">
            <v>44282</v>
          </cell>
          <cell r="R407">
            <v>44282</v>
          </cell>
          <cell r="S407"/>
          <cell r="T407">
            <v>44282</v>
          </cell>
          <cell r="U407">
            <v>44284</v>
          </cell>
          <cell r="V407">
            <v>44284</v>
          </cell>
          <cell r="W407">
            <v>44285</v>
          </cell>
          <cell r="X407">
            <v>41100090</v>
          </cell>
        </row>
        <row r="408">
          <cell r="K408" t="str">
            <v>GBWS-0980</v>
          </cell>
          <cell r="L408">
            <v>44251</v>
          </cell>
          <cell r="M408">
            <v>44252</v>
          </cell>
          <cell r="N408">
            <v>44279</v>
          </cell>
          <cell r="O408">
            <v>44252</v>
          </cell>
          <cell r="P408">
            <v>44270</v>
          </cell>
          <cell r="Q408">
            <v>44267</v>
          </cell>
          <cell r="R408">
            <v>44267</v>
          </cell>
          <cell r="S408"/>
          <cell r="T408">
            <v>44279</v>
          </cell>
          <cell r="U408">
            <v>44284</v>
          </cell>
          <cell r="V408">
            <v>44284</v>
          </cell>
          <cell r="W408">
            <v>44285</v>
          </cell>
          <cell r="X408">
            <v>41100282</v>
          </cell>
        </row>
        <row r="409">
          <cell r="K409" t="str">
            <v>GBWS-1062</v>
          </cell>
          <cell r="L409">
            <v>44243</v>
          </cell>
          <cell r="M409">
            <v>44243</v>
          </cell>
          <cell r="N409">
            <v>44274</v>
          </cell>
          <cell r="O409">
            <v>44243</v>
          </cell>
          <cell r="P409">
            <v>44274</v>
          </cell>
          <cell r="Q409">
            <v>44272</v>
          </cell>
          <cell r="R409">
            <v>44272</v>
          </cell>
          <cell r="S409"/>
          <cell r="T409">
            <v>44273</v>
          </cell>
          <cell r="U409">
            <v>44279</v>
          </cell>
          <cell r="V409">
            <v>44279</v>
          </cell>
          <cell r="W409">
            <v>44280</v>
          </cell>
          <cell r="X409">
            <v>41100168</v>
          </cell>
        </row>
        <row r="410">
          <cell r="K410" t="str">
            <v>GBWS-0949</v>
          </cell>
          <cell r="L410">
            <v>44243</v>
          </cell>
          <cell r="M410">
            <v>44243</v>
          </cell>
          <cell r="N410">
            <v>44274</v>
          </cell>
          <cell r="O410">
            <v>44243</v>
          </cell>
          <cell r="P410">
            <v>44274</v>
          </cell>
          <cell r="Q410">
            <v>44272</v>
          </cell>
          <cell r="R410">
            <v>44272</v>
          </cell>
          <cell r="S410"/>
          <cell r="T410">
            <v>44273</v>
          </cell>
          <cell r="U410">
            <v>44279</v>
          </cell>
          <cell r="V410">
            <v>44279</v>
          </cell>
          <cell r="W410">
            <v>44280</v>
          </cell>
          <cell r="X410">
            <v>41100168</v>
          </cell>
        </row>
        <row r="411">
          <cell r="K411" t="str">
            <v>GBWS-0950</v>
          </cell>
          <cell r="L411">
            <v>44243</v>
          </cell>
          <cell r="M411">
            <v>44243</v>
          </cell>
          <cell r="N411">
            <v>44274</v>
          </cell>
          <cell r="O411">
            <v>44243</v>
          </cell>
          <cell r="P411">
            <v>44274</v>
          </cell>
          <cell r="Q411">
            <v>44272</v>
          </cell>
          <cell r="R411">
            <v>44272</v>
          </cell>
          <cell r="S411"/>
          <cell r="T411">
            <v>44273</v>
          </cell>
          <cell r="U411">
            <v>44278</v>
          </cell>
          <cell r="V411">
            <v>44279</v>
          </cell>
          <cell r="W411">
            <v>44280</v>
          </cell>
          <cell r="X411">
            <v>41100168</v>
          </cell>
        </row>
        <row r="412">
          <cell r="K412" t="str">
            <v>GBWS-0951</v>
          </cell>
          <cell r="L412">
            <v>44243</v>
          </cell>
          <cell r="M412">
            <v>44243</v>
          </cell>
          <cell r="N412">
            <v>44274</v>
          </cell>
          <cell r="O412">
            <v>44243</v>
          </cell>
          <cell r="P412">
            <v>44274</v>
          </cell>
          <cell r="Q412">
            <v>44272</v>
          </cell>
          <cell r="R412">
            <v>44272</v>
          </cell>
          <cell r="S412"/>
          <cell r="T412">
            <v>44273</v>
          </cell>
          <cell r="U412">
            <v>44278</v>
          </cell>
          <cell r="V412">
            <v>44279</v>
          </cell>
          <cell r="W412">
            <v>44280</v>
          </cell>
          <cell r="X412">
            <v>41100168</v>
          </cell>
        </row>
        <row r="413">
          <cell r="K413" t="str">
            <v>GBWS-1028</v>
          </cell>
          <cell r="L413">
            <v>44272</v>
          </cell>
          <cell r="M413">
            <v>44273</v>
          </cell>
          <cell r="N413">
            <v>44290</v>
          </cell>
          <cell r="O413">
            <v>44273</v>
          </cell>
          <cell r="P413">
            <v>44289</v>
          </cell>
          <cell r="Q413">
            <v>44287</v>
          </cell>
          <cell r="R413">
            <v>44287</v>
          </cell>
          <cell r="S413"/>
          <cell r="T413">
            <v>44289</v>
          </cell>
          <cell r="U413">
            <v>44289</v>
          </cell>
          <cell r="V413">
            <v>44290</v>
          </cell>
          <cell r="W413">
            <v>44290</v>
          </cell>
          <cell r="X413">
            <v>41100264</v>
          </cell>
        </row>
        <row r="414">
          <cell r="K414" t="str">
            <v>GBWS-1044</v>
          </cell>
          <cell r="L414">
            <v>44272</v>
          </cell>
          <cell r="M414">
            <v>44273</v>
          </cell>
          <cell r="N414">
            <v>44290</v>
          </cell>
          <cell r="O414">
            <v>44273</v>
          </cell>
          <cell r="P414">
            <v>44289</v>
          </cell>
          <cell r="Q414">
            <v>44287</v>
          </cell>
          <cell r="R414">
            <v>44287</v>
          </cell>
          <cell r="S414"/>
          <cell r="T414">
            <v>44289</v>
          </cell>
          <cell r="U414">
            <v>44289</v>
          </cell>
          <cell r="V414">
            <v>44290</v>
          </cell>
          <cell r="W414">
            <v>44290</v>
          </cell>
          <cell r="X414">
            <v>41100264</v>
          </cell>
        </row>
        <row r="415">
          <cell r="K415" t="str">
            <v>DBW-2104</v>
          </cell>
          <cell r="L415">
            <v>44263</v>
          </cell>
          <cell r="M415">
            <v>44263</v>
          </cell>
          <cell r="N415">
            <v>44285</v>
          </cell>
          <cell r="O415">
            <v>44263</v>
          </cell>
          <cell r="P415">
            <v>44284</v>
          </cell>
          <cell r="Q415">
            <v>44284</v>
          </cell>
          <cell r="R415">
            <v>44284</v>
          </cell>
          <cell r="S415"/>
          <cell r="T415">
            <v>44285</v>
          </cell>
          <cell r="U415">
            <v>44286</v>
          </cell>
          <cell r="V415">
            <v>44286</v>
          </cell>
          <cell r="W415">
            <v>44287</v>
          </cell>
          <cell r="X415">
            <v>41100171</v>
          </cell>
        </row>
        <row r="416">
          <cell r="K416" t="str">
            <v>DBW-2105</v>
          </cell>
          <cell r="L416">
            <v>44263</v>
          </cell>
          <cell r="M416">
            <v>44263</v>
          </cell>
          <cell r="N416">
            <v>44285</v>
          </cell>
          <cell r="O416">
            <v>44263</v>
          </cell>
          <cell r="P416">
            <v>44284</v>
          </cell>
          <cell r="Q416">
            <v>44284</v>
          </cell>
          <cell r="R416">
            <v>44284</v>
          </cell>
          <cell r="S416"/>
          <cell r="T416">
            <v>44285</v>
          </cell>
          <cell r="U416">
            <v>44285</v>
          </cell>
          <cell r="V416">
            <v>44285</v>
          </cell>
          <cell r="W416">
            <v>44286</v>
          </cell>
          <cell r="X416">
            <v>41100171</v>
          </cell>
        </row>
        <row r="417">
          <cell r="K417" t="str">
            <v>DBW-2106</v>
          </cell>
          <cell r="L417">
            <v>44263</v>
          </cell>
          <cell r="M417">
            <v>44263</v>
          </cell>
          <cell r="N417">
            <v>44285</v>
          </cell>
          <cell r="O417">
            <v>44263</v>
          </cell>
          <cell r="P417">
            <v>44284</v>
          </cell>
          <cell r="Q417">
            <v>44284</v>
          </cell>
          <cell r="R417">
            <v>44284</v>
          </cell>
          <cell r="S417"/>
          <cell r="T417">
            <v>44285</v>
          </cell>
          <cell r="U417">
            <v>44285</v>
          </cell>
          <cell r="V417">
            <v>44285</v>
          </cell>
          <cell r="W417">
            <v>44286</v>
          </cell>
          <cell r="X417">
            <v>41100171</v>
          </cell>
        </row>
        <row r="418">
          <cell r="K418" t="str">
            <v>DBW-2107</v>
          </cell>
          <cell r="L418">
            <v>44263</v>
          </cell>
          <cell r="M418">
            <v>44263</v>
          </cell>
          <cell r="N418">
            <v>44285</v>
          </cell>
          <cell r="O418">
            <v>44263</v>
          </cell>
          <cell r="P418">
            <v>44284</v>
          </cell>
          <cell r="Q418">
            <v>44284</v>
          </cell>
          <cell r="R418">
            <v>44284</v>
          </cell>
          <cell r="S418"/>
          <cell r="T418">
            <v>44285</v>
          </cell>
          <cell r="U418">
            <v>44286</v>
          </cell>
          <cell r="V418">
            <v>44286</v>
          </cell>
          <cell r="W418">
            <v>44287</v>
          </cell>
          <cell r="X418">
            <v>41100171</v>
          </cell>
        </row>
        <row r="419">
          <cell r="K419" t="str">
            <v>GBWS-1020</v>
          </cell>
          <cell r="L419">
            <v>44269</v>
          </cell>
          <cell r="M419">
            <v>44270</v>
          </cell>
          <cell r="N419">
            <v>44286</v>
          </cell>
          <cell r="O419">
            <v>44270</v>
          </cell>
          <cell r="P419">
            <v>44286</v>
          </cell>
          <cell r="Q419">
            <v>44287</v>
          </cell>
          <cell r="R419">
            <v>44287</v>
          </cell>
          <cell r="S419"/>
          <cell r="T419">
            <v>44288</v>
          </cell>
          <cell r="U419">
            <v>44289</v>
          </cell>
          <cell r="V419">
            <v>44291</v>
          </cell>
          <cell r="W419">
            <v>44291</v>
          </cell>
          <cell r="X419">
            <v>41100287</v>
          </cell>
        </row>
        <row r="420">
          <cell r="K420" t="str">
            <v>GBWS-1021</v>
          </cell>
          <cell r="L420">
            <v>44269</v>
          </cell>
          <cell r="M420">
            <v>44270</v>
          </cell>
          <cell r="N420">
            <v>44286</v>
          </cell>
          <cell r="O420">
            <v>44270</v>
          </cell>
          <cell r="P420">
            <v>44286</v>
          </cell>
          <cell r="Q420">
            <v>44287</v>
          </cell>
          <cell r="R420">
            <v>44287</v>
          </cell>
          <cell r="S420"/>
          <cell r="T420">
            <v>44288</v>
          </cell>
          <cell r="U420">
            <v>44289</v>
          </cell>
          <cell r="V420">
            <v>44291</v>
          </cell>
          <cell r="W420">
            <v>44291</v>
          </cell>
          <cell r="X420">
            <v>41100287</v>
          </cell>
        </row>
        <row r="421">
          <cell r="K421" t="str">
            <v>GBWS-1003</v>
          </cell>
          <cell r="L421">
            <v>44264</v>
          </cell>
          <cell r="M421">
            <v>44265</v>
          </cell>
          <cell r="N421">
            <v>44286</v>
          </cell>
          <cell r="O421">
            <v>44265</v>
          </cell>
          <cell r="P421">
            <v>44286</v>
          </cell>
          <cell r="Q421">
            <v>44286</v>
          </cell>
          <cell r="R421">
            <v>44286</v>
          </cell>
          <cell r="S421"/>
          <cell r="T421">
            <v>44287</v>
          </cell>
          <cell r="U421">
            <v>44288</v>
          </cell>
          <cell r="V421">
            <v>44291</v>
          </cell>
          <cell r="W421">
            <v>44291</v>
          </cell>
          <cell r="X421">
            <v>41100168</v>
          </cell>
        </row>
        <row r="422">
          <cell r="K422" t="str">
            <v>GBWS-1004</v>
          </cell>
          <cell r="L422">
            <v>44264</v>
          </cell>
          <cell r="M422">
            <v>44265</v>
          </cell>
          <cell r="N422">
            <v>44286</v>
          </cell>
          <cell r="O422">
            <v>44265</v>
          </cell>
          <cell r="P422">
            <v>44286</v>
          </cell>
          <cell r="Q422">
            <v>44286</v>
          </cell>
          <cell r="R422">
            <v>44286</v>
          </cell>
          <cell r="S422"/>
          <cell r="T422">
            <v>44286</v>
          </cell>
          <cell r="U422">
            <v>44288</v>
          </cell>
          <cell r="V422">
            <v>44291</v>
          </cell>
          <cell r="W422">
            <v>44291</v>
          </cell>
          <cell r="X422">
            <v>41100168</v>
          </cell>
        </row>
        <row r="423">
          <cell r="K423" t="str">
            <v>GBWS-1006</v>
          </cell>
          <cell r="L423">
            <v>44264</v>
          </cell>
          <cell r="M423">
            <v>44265</v>
          </cell>
          <cell r="N423">
            <v>44286</v>
          </cell>
          <cell r="O423">
            <v>44265</v>
          </cell>
          <cell r="P423">
            <v>44286</v>
          </cell>
          <cell r="Q423">
            <v>44287</v>
          </cell>
          <cell r="R423">
            <v>44287</v>
          </cell>
          <cell r="S423"/>
          <cell r="T423">
            <v>44287</v>
          </cell>
          <cell r="U423">
            <v>44291</v>
          </cell>
          <cell r="V423">
            <v>44291</v>
          </cell>
          <cell r="W423">
            <v>44291</v>
          </cell>
          <cell r="X423">
            <v>41100168</v>
          </cell>
        </row>
        <row r="424">
          <cell r="K424" t="str">
            <v>GBWS-1007</v>
          </cell>
          <cell r="L424">
            <v>44264</v>
          </cell>
          <cell r="M424">
            <v>44265</v>
          </cell>
          <cell r="N424">
            <v>44286</v>
          </cell>
          <cell r="O424">
            <v>44265</v>
          </cell>
          <cell r="P424">
            <v>44286</v>
          </cell>
          <cell r="Q424">
            <v>44287</v>
          </cell>
          <cell r="R424">
            <v>44287</v>
          </cell>
          <cell r="S424"/>
          <cell r="T424">
            <v>44287</v>
          </cell>
          <cell r="U424">
            <v>44291</v>
          </cell>
          <cell r="V424">
            <v>44291</v>
          </cell>
          <cell r="W424">
            <v>44291</v>
          </cell>
          <cell r="X424">
            <v>41100168</v>
          </cell>
        </row>
        <row r="425">
          <cell r="K425" t="str">
            <v>GBWS-1009</v>
          </cell>
          <cell r="L425">
            <v>44264</v>
          </cell>
          <cell r="M425">
            <v>44265</v>
          </cell>
          <cell r="N425">
            <v>44286</v>
          </cell>
          <cell r="O425">
            <v>44265</v>
          </cell>
          <cell r="P425">
            <v>44286</v>
          </cell>
          <cell r="Q425">
            <v>44287</v>
          </cell>
          <cell r="R425">
            <v>44287</v>
          </cell>
          <cell r="S425"/>
          <cell r="T425">
            <v>44287</v>
          </cell>
          <cell r="U425">
            <v>44291</v>
          </cell>
          <cell r="V425">
            <v>44291</v>
          </cell>
          <cell r="W425">
            <v>44291</v>
          </cell>
          <cell r="X425">
            <v>41100168</v>
          </cell>
        </row>
        <row r="426">
          <cell r="K426" t="str">
            <v>GBWS-1010</v>
          </cell>
          <cell r="L426">
            <v>44264</v>
          </cell>
          <cell r="M426">
            <v>44265</v>
          </cell>
          <cell r="N426">
            <v>44286</v>
          </cell>
          <cell r="O426">
            <v>44265</v>
          </cell>
          <cell r="P426">
            <v>44286</v>
          </cell>
          <cell r="Q426">
            <v>44287</v>
          </cell>
          <cell r="R426">
            <v>44287</v>
          </cell>
          <cell r="S426"/>
          <cell r="T426">
            <v>44287</v>
          </cell>
          <cell r="U426">
            <v>44291</v>
          </cell>
          <cell r="V426">
            <v>44291</v>
          </cell>
          <cell r="W426">
            <v>44291</v>
          </cell>
          <cell r="X426">
            <v>41100168</v>
          </cell>
        </row>
        <row r="427">
          <cell r="K427" t="str">
            <v>DS-0313</v>
          </cell>
          <cell r="L427"/>
          <cell r="M427">
            <v>44286</v>
          </cell>
          <cell r="N427">
            <v>44291</v>
          </cell>
          <cell r="O427" t="str">
            <v xml:space="preserve">  -</v>
          </cell>
          <cell r="P427" t="str">
            <v xml:space="preserve">  -</v>
          </cell>
          <cell r="Q427" t="str">
            <v xml:space="preserve">  -</v>
          </cell>
          <cell r="R427" t="str">
            <v xml:space="preserve">  -</v>
          </cell>
          <cell r="S427"/>
          <cell r="T427" t="str">
            <v xml:space="preserve">  -</v>
          </cell>
          <cell r="U427" t="str">
            <v xml:space="preserve">  -</v>
          </cell>
          <cell r="V427">
            <v>44291</v>
          </cell>
          <cell r="W427">
            <v>44291</v>
          </cell>
          <cell r="X427">
            <v>31010363</v>
          </cell>
        </row>
        <row r="428">
          <cell r="K428" t="str">
            <v>DBW-2071</v>
          </cell>
          <cell r="L428">
            <v>44249</v>
          </cell>
          <cell r="M428">
            <v>44250</v>
          </cell>
          <cell r="N428">
            <v>44272</v>
          </cell>
          <cell r="O428">
            <v>44250</v>
          </cell>
          <cell r="P428">
            <v>44272</v>
          </cell>
          <cell r="Q428">
            <v>44270</v>
          </cell>
          <cell r="R428">
            <v>44270</v>
          </cell>
          <cell r="S428"/>
          <cell r="T428">
            <v>44272</v>
          </cell>
          <cell r="U428">
            <v>44272</v>
          </cell>
          <cell r="V428">
            <v>44273</v>
          </cell>
          <cell r="W428">
            <v>44278</v>
          </cell>
          <cell r="X428">
            <v>41100291</v>
          </cell>
        </row>
        <row r="429">
          <cell r="K429" t="str">
            <v>DBW-2072</v>
          </cell>
          <cell r="L429">
            <v>44249</v>
          </cell>
          <cell r="M429">
            <v>44250</v>
          </cell>
          <cell r="N429">
            <v>44272</v>
          </cell>
          <cell r="O429">
            <v>44250</v>
          </cell>
          <cell r="P429">
            <v>44272</v>
          </cell>
          <cell r="Q429">
            <v>44270</v>
          </cell>
          <cell r="R429">
            <v>44270</v>
          </cell>
          <cell r="S429"/>
          <cell r="T429">
            <v>44272</v>
          </cell>
          <cell r="U429">
            <v>44272</v>
          </cell>
          <cell r="V429">
            <v>44273</v>
          </cell>
          <cell r="W429">
            <v>44278</v>
          </cell>
          <cell r="X429">
            <v>41100291</v>
          </cell>
        </row>
        <row r="430">
          <cell r="K430" t="str">
            <v xml:space="preserve">DBW-2116 </v>
          </cell>
          <cell r="L430">
            <v>44263</v>
          </cell>
          <cell r="M430">
            <v>44264</v>
          </cell>
          <cell r="N430">
            <v>44279</v>
          </cell>
          <cell r="O430">
            <v>44264</v>
          </cell>
          <cell r="P430">
            <v>44279</v>
          </cell>
          <cell r="Q430">
            <v>44279</v>
          </cell>
          <cell r="R430">
            <v>44279</v>
          </cell>
          <cell r="S430"/>
          <cell r="T430">
            <v>44279</v>
          </cell>
          <cell r="U430">
            <v>44280</v>
          </cell>
          <cell r="V430">
            <v>44280</v>
          </cell>
          <cell r="W430">
            <v>44280</v>
          </cell>
          <cell r="X430">
            <v>41100269</v>
          </cell>
        </row>
        <row r="431">
          <cell r="K431" t="str">
            <v>GBWS-1012</v>
          </cell>
          <cell r="L431">
            <v>44264</v>
          </cell>
          <cell r="M431">
            <v>44265</v>
          </cell>
          <cell r="N431">
            <v>44286</v>
          </cell>
          <cell r="O431">
            <v>44265</v>
          </cell>
          <cell r="P431">
            <v>44286</v>
          </cell>
          <cell r="Q431">
            <v>44287</v>
          </cell>
          <cell r="R431">
            <v>44287</v>
          </cell>
          <cell r="S431"/>
          <cell r="T431">
            <v>44287</v>
          </cell>
          <cell r="U431">
            <v>44289</v>
          </cell>
          <cell r="V431">
            <v>44291</v>
          </cell>
          <cell r="W431">
            <v>44291</v>
          </cell>
          <cell r="X431">
            <v>41100168</v>
          </cell>
        </row>
        <row r="432">
          <cell r="K432" t="str">
            <v>GBWS-1013</v>
          </cell>
          <cell r="L432">
            <v>44264</v>
          </cell>
          <cell r="M432">
            <v>44265</v>
          </cell>
          <cell r="N432">
            <v>44286</v>
          </cell>
          <cell r="O432">
            <v>44265</v>
          </cell>
          <cell r="P432">
            <v>44286</v>
          </cell>
          <cell r="Q432">
            <v>44287</v>
          </cell>
          <cell r="R432">
            <v>44287</v>
          </cell>
          <cell r="S432"/>
          <cell r="T432">
            <v>44287</v>
          </cell>
          <cell r="U432">
            <v>44289</v>
          </cell>
          <cell r="V432">
            <v>44291</v>
          </cell>
          <cell r="W432">
            <v>44291</v>
          </cell>
          <cell r="X432">
            <v>41100168</v>
          </cell>
        </row>
        <row r="433">
          <cell r="K433" t="str">
            <v>DBW-2121</v>
          </cell>
          <cell r="L433">
            <v>44270</v>
          </cell>
          <cell r="M433">
            <v>44271</v>
          </cell>
          <cell r="N433">
            <v>44289</v>
          </cell>
          <cell r="O433">
            <v>44271</v>
          </cell>
          <cell r="P433">
            <v>44288</v>
          </cell>
          <cell r="Q433">
            <v>44289</v>
          </cell>
          <cell r="R433">
            <v>44289</v>
          </cell>
          <cell r="S433"/>
          <cell r="T433">
            <v>44291</v>
          </cell>
          <cell r="U433">
            <v>44291</v>
          </cell>
          <cell r="V433">
            <v>44291</v>
          </cell>
          <cell r="W433">
            <v>44291</v>
          </cell>
          <cell r="X433">
            <v>41100234</v>
          </cell>
        </row>
        <row r="434">
          <cell r="K434" t="str">
            <v>DBW-2122</v>
          </cell>
          <cell r="L434">
            <v>44270</v>
          </cell>
          <cell r="M434">
            <v>44271</v>
          </cell>
          <cell r="N434">
            <v>44289</v>
          </cell>
          <cell r="O434">
            <v>44271</v>
          </cell>
          <cell r="P434">
            <v>44288</v>
          </cell>
          <cell r="Q434">
            <v>44289</v>
          </cell>
          <cell r="R434">
            <v>44289</v>
          </cell>
          <cell r="S434"/>
          <cell r="T434">
            <v>44291</v>
          </cell>
          <cell r="U434">
            <v>44291</v>
          </cell>
          <cell r="V434">
            <v>44291</v>
          </cell>
          <cell r="W434">
            <v>44291</v>
          </cell>
          <cell r="X434">
            <v>41100234</v>
          </cell>
        </row>
        <row r="435">
          <cell r="K435" t="str">
            <v>DBW-2123</v>
          </cell>
          <cell r="L435">
            <v>44270</v>
          </cell>
          <cell r="M435">
            <v>44271</v>
          </cell>
          <cell r="N435">
            <v>44289</v>
          </cell>
          <cell r="O435">
            <v>44271</v>
          </cell>
          <cell r="P435">
            <v>44288</v>
          </cell>
          <cell r="Q435">
            <v>44289</v>
          </cell>
          <cell r="R435">
            <v>44289</v>
          </cell>
          <cell r="S435"/>
          <cell r="T435">
            <v>44291</v>
          </cell>
          <cell r="U435">
            <v>44291</v>
          </cell>
          <cell r="V435">
            <v>44291</v>
          </cell>
          <cell r="W435">
            <v>44292</v>
          </cell>
          <cell r="X435">
            <v>41100235</v>
          </cell>
        </row>
        <row r="436">
          <cell r="K436" t="str">
            <v>DBW-2124</v>
          </cell>
          <cell r="L436">
            <v>44270</v>
          </cell>
          <cell r="M436">
            <v>44271</v>
          </cell>
          <cell r="N436">
            <v>44289</v>
          </cell>
          <cell r="O436">
            <v>44271</v>
          </cell>
          <cell r="P436">
            <v>44288</v>
          </cell>
          <cell r="Q436">
            <v>44289</v>
          </cell>
          <cell r="R436">
            <v>44289</v>
          </cell>
          <cell r="S436"/>
          <cell r="T436">
            <v>44291</v>
          </cell>
          <cell r="U436">
            <v>44292</v>
          </cell>
          <cell r="V436">
            <v>44291</v>
          </cell>
          <cell r="W436">
            <v>44292</v>
          </cell>
          <cell r="X436">
            <v>41100235</v>
          </cell>
        </row>
        <row r="437">
          <cell r="K437" t="str">
            <v>GBWS-0999</v>
          </cell>
          <cell r="L437">
            <v>44258</v>
          </cell>
          <cell r="M437">
            <v>44259</v>
          </cell>
          <cell r="N437">
            <v>44281</v>
          </cell>
          <cell r="O437">
            <v>44259</v>
          </cell>
          <cell r="P437">
            <v>44281</v>
          </cell>
          <cell r="Q437">
            <v>44280</v>
          </cell>
          <cell r="R437">
            <v>44280</v>
          </cell>
          <cell r="S437"/>
          <cell r="T437">
            <v>44284</v>
          </cell>
          <cell r="U437">
            <v>44284</v>
          </cell>
          <cell r="V437">
            <v>44284</v>
          </cell>
          <cell r="W437">
            <v>44285</v>
          </cell>
          <cell r="X437">
            <v>41100209</v>
          </cell>
        </row>
        <row r="438">
          <cell r="K438" t="str">
            <v>GBWS-1029</v>
          </cell>
          <cell r="L438">
            <v>44273</v>
          </cell>
          <cell r="M438">
            <v>44274</v>
          </cell>
          <cell r="N438">
            <v>44291</v>
          </cell>
          <cell r="O438">
            <v>44274</v>
          </cell>
          <cell r="P438">
            <v>44291</v>
          </cell>
          <cell r="Q438">
            <v>44288</v>
          </cell>
          <cell r="R438">
            <v>44288</v>
          </cell>
          <cell r="S438"/>
          <cell r="T438">
            <v>44292</v>
          </cell>
          <cell r="U438">
            <v>44293</v>
          </cell>
          <cell r="V438">
            <v>44293</v>
          </cell>
          <cell r="W438">
            <v>44293</v>
          </cell>
          <cell r="X438">
            <v>41100302</v>
          </cell>
        </row>
        <row r="439">
          <cell r="K439" t="str">
            <v>WS-0030</v>
          </cell>
          <cell r="L439">
            <v>44273</v>
          </cell>
          <cell r="M439">
            <v>44274</v>
          </cell>
          <cell r="N439">
            <v>44292</v>
          </cell>
          <cell r="O439">
            <v>44274</v>
          </cell>
          <cell r="P439">
            <v>44291</v>
          </cell>
          <cell r="Q439">
            <v>44288</v>
          </cell>
          <cell r="R439">
            <v>44288</v>
          </cell>
          <cell r="S439"/>
          <cell r="T439">
            <v>44292</v>
          </cell>
          <cell r="U439">
            <v>44294</v>
          </cell>
          <cell r="V439">
            <v>44294</v>
          </cell>
          <cell r="W439">
            <v>44294</v>
          </cell>
          <cell r="X439">
            <v>41100300</v>
          </cell>
        </row>
        <row r="440">
          <cell r="K440" t="str">
            <v>GBWS-1024</v>
          </cell>
          <cell r="L440">
            <v>44271</v>
          </cell>
          <cell r="M440">
            <v>44272</v>
          </cell>
          <cell r="N440">
            <v>44291</v>
          </cell>
          <cell r="O440">
            <v>44272</v>
          </cell>
          <cell r="P440">
            <v>44292</v>
          </cell>
          <cell r="Q440">
            <v>44291</v>
          </cell>
          <cell r="R440">
            <v>44291</v>
          </cell>
          <cell r="S440"/>
          <cell r="T440">
            <v>44292</v>
          </cell>
          <cell r="U440">
            <v>44294</v>
          </cell>
          <cell r="V440">
            <v>44294</v>
          </cell>
          <cell r="W440">
            <v>44295</v>
          </cell>
          <cell r="X440">
            <v>41100321</v>
          </cell>
        </row>
        <row r="441">
          <cell r="K441" t="str">
            <v>GBWS-1025</v>
          </cell>
          <cell r="L441">
            <v>44271</v>
          </cell>
          <cell r="M441">
            <v>44272</v>
          </cell>
          <cell r="N441">
            <v>44291</v>
          </cell>
          <cell r="O441">
            <v>44272</v>
          </cell>
          <cell r="P441">
            <v>44292</v>
          </cell>
          <cell r="Q441">
            <v>44291</v>
          </cell>
          <cell r="R441">
            <v>44291</v>
          </cell>
          <cell r="S441"/>
          <cell r="T441">
            <v>44292</v>
          </cell>
          <cell r="U441">
            <v>44294</v>
          </cell>
          <cell r="V441">
            <v>44294</v>
          </cell>
          <cell r="W441">
            <v>44295</v>
          </cell>
          <cell r="X441">
            <v>41100321</v>
          </cell>
        </row>
        <row r="442">
          <cell r="K442" t="str">
            <v>GBWS-1026</v>
          </cell>
          <cell r="L442">
            <v>44271</v>
          </cell>
          <cell r="M442">
            <v>44272</v>
          </cell>
          <cell r="N442">
            <v>44291</v>
          </cell>
          <cell r="O442">
            <v>44272</v>
          </cell>
          <cell r="P442">
            <v>44292</v>
          </cell>
          <cell r="Q442">
            <v>44291</v>
          </cell>
          <cell r="R442">
            <v>44291</v>
          </cell>
          <cell r="S442"/>
          <cell r="T442">
            <v>44294</v>
          </cell>
          <cell r="U442">
            <v>44294</v>
          </cell>
          <cell r="V442">
            <v>44294</v>
          </cell>
          <cell r="W442">
            <v>44295</v>
          </cell>
          <cell r="X442">
            <v>41100322</v>
          </cell>
        </row>
        <row r="443">
          <cell r="K443" t="str">
            <v>DBW-2133</v>
          </cell>
          <cell r="L443">
            <v>44272</v>
          </cell>
          <cell r="M443">
            <v>44273</v>
          </cell>
          <cell r="N443">
            <v>44292</v>
          </cell>
          <cell r="O443">
            <v>44273</v>
          </cell>
          <cell r="P443">
            <v>44292</v>
          </cell>
          <cell r="Q443">
            <v>44290</v>
          </cell>
          <cell r="R443">
            <v>44290</v>
          </cell>
          <cell r="S443"/>
          <cell r="T443">
            <v>44292</v>
          </cell>
          <cell r="U443">
            <v>44293</v>
          </cell>
          <cell r="V443">
            <v>44294</v>
          </cell>
          <cell r="W443">
            <v>44295</v>
          </cell>
          <cell r="X443">
            <v>41100310</v>
          </cell>
        </row>
        <row r="444">
          <cell r="K444" t="str">
            <v>DBW-2036</v>
          </cell>
          <cell r="L444">
            <v>44236</v>
          </cell>
          <cell r="M444">
            <v>44237</v>
          </cell>
          <cell r="N444">
            <v>44258</v>
          </cell>
          <cell r="O444">
            <v>44237</v>
          </cell>
          <cell r="P444">
            <v>44258</v>
          </cell>
          <cell r="Q444">
            <v>44257</v>
          </cell>
          <cell r="R444">
            <v>44257</v>
          </cell>
          <cell r="S444"/>
          <cell r="T444">
            <v>44258</v>
          </cell>
          <cell r="U444">
            <v>44259</v>
          </cell>
          <cell r="V444">
            <v>44259</v>
          </cell>
          <cell r="W444">
            <v>44259</v>
          </cell>
          <cell r="X444">
            <v>41100261</v>
          </cell>
        </row>
        <row r="445">
          <cell r="K445" t="str">
            <v>DS-0314~0316</v>
          </cell>
          <cell r="L445"/>
          <cell r="M445">
            <v>44293</v>
          </cell>
          <cell r="N445">
            <v>44296</v>
          </cell>
          <cell r="O445">
            <v>44293</v>
          </cell>
          <cell r="P445">
            <v>44296</v>
          </cell>
          <cell r="Q445"/>
          <cell r="R445"/>
          <cell r="S445"/>
          <cell r="T445"/>
          <cell r="U445"/>
          <cell r="V445">
            <v>44296</v>
          </cell>
          <cell r="W445">
            <v>44296</v>
          </cell>
          <cell r="X445">
            <v>31010315</v>
          </cell>
        </row>
        <row r="446">
          <cell r="K446" t="str">
            <v>DS-0317~0319</v>
          </cell>
          <cell r="L446"/>
          <cell r="M446">
            <v>44293</v>
          </cell>
          <cell r="N446">
            <v>44296</v>
          </cell>
          <cell r="O446">
            <v>44293</v>
          </cell>
          <cell r="P446">
            <v>44296</v>
          </cell>
          <cell r="Q446"/>
          <cell r="R446"/>
          <cell r="S446"/>
          <cell r="T446"/>
          <cell r="U446"/>
          <cell r="V446">
            <v>44296</v>
          </cell>
          <cell r="W446">
            <v>44296</v>
          </cell>
          <cell r="X446">
            <v>31010314</v>
          </cell>
        </row>
        <row r="447">
          <cell r="K447" t="str">
            <v>DS-0320~0322</v>
          </cell>
          <cell r="L447"/>
          <cell r="M447">
            <v>44293</v>
          </cell>
          <cell r="N447">
            <v>44296</v>
          </cell>
          <cell r="O447">
            <v>44293</v>
          </cell>
          <cell r="P447">
            <v>44296</v>
          </cell>
          <cell r="Q447"/>
          <cell r="R447"/>
          <cell r="S447"/>
          <cell r="T447"/>
          <cell r="U447"/>
          <cell r="V447">
            <v>44296</v>
          </cell>
          <cell r="W447">
            <v>44296</v>
          </cell>
          <cell r="X447">
            <v>31010314</v>
          </cell>
        </row>
        <row r="448">
          <cell r="K448" t="str">
            <v>DBW-2127</v>
          </cell>
          <cell r="L448">
            <v>44270</v>
          </cell>
          <cell r="M448">
            <v>44271</v>
          </cell>
          <cell r="N448">
            <v>44287</v>
          </cell>
          <cell r="O448">
            <v>44271</v>
          </cell>
          <cell r="P448">
            <v>44286</v>
          </cell>
          <cell r="Q448">
            <v>44285</v>
          </cell>
          <cell r="R448">
            <v>44285</v>
          </cell>
          <cell r="S448"/>
          <cell r="T448">
            <v>44287</v>
          </cell>
          <cell r="U448">
            <v>44288</v>
          </cell>
          <cell r="V448">
            <v>44288</v>
          </cell>
          <cell r="W448">
            <v>44290</v>
          </cell>
          <cell r="X448">
            <v>41100258</v>
          </cell>
        </row>
        <row r="449">
          <cell r="K449" t="str">
            <v>DBW-2128</v>
          </cell>
          <cell r="L449">
            <v>44270</v>
          </cell>
          <cell r="M449">
            <v>44271</v>
          </cell>
          <cell r="N449">
            <v>44287</v>
          </cell>
          <cell r="O449">
            <v>44271</v>
          </cell>
          <cell r="P449">
            <v>44286</v>
          </cell>
          <cell r="Q449">
            <v>44285</v>
          </cell>
          <cell r="R449">
            <v>44285</v>
          </cell>
          <cell r="S449"/>
          <cell r="T449">
            <v>44287</v>
          </cell>
          <cell r="U449">
            <v>44288</v>
          </cell>
          <cell r="V449">
            <v>44288</v>
          </cell>
          <cell r="W449">
            <v>44290</v>
          </cell>
          <cell r="X449">
            <v>41100258</v>
          </cell>
        </row>
        <row r="450">
          <cell r="K450" t="str">
            <v>GBWS-1030</v>
          </cell>
          <cell r="L450">
            <v>44273</v>
          </cell>
          <cell r="M450">
            <v>44274</v>
          </cell>
          <cell r="N450">
            <v>44298</v>
          </cell>
          <cell r="O450">
            <v>44274</v>
          </cell>
          <cell r="P450">
            <v>44292</v>
          </cell>
          <cell r="Q450">
            <v>44295</v>
          </cell>
          <cell r="R450">
            <v>44295</v>
          </cell>
          <cell r="S450"/>
          <cell r="T450">
            <v>44298</v>
          </cell>
          <cell r="U450">
            <v>44298</v>
          </cell>
          <cell r="V450">
            <v>44299</v>
          </cell>
          <cell r="W450">
            <v>44299</v>
          </cell>
          <cell r="X450">
            <v>41100302</v>
          </cell>
        </row>
        <row r="451">
          <cell r="K451" t="str">
            <v>DBW-2037</v>
          </cell>
          <cell r="L451">
            <v>44236</v>
          </cell>
          <cell r="M451">
            <v>44237</v>
          </cell>
          <cell r="N451">
            <v>44260</v>
          </cell>
          <cell r="O451">
            <v>44237</v>
          </cell>
          <cell r="P451">
            <v>44260</v>
          </cell>
          <cell r="Q451">
            <v>44260</v>
          </cell>
          <cell r="R451">
            <v>44260</v>
          </cell>
          <cell r="S451"/>
          <cell r="T451">
            <v>44260</v>
          </cell>
          <cell r="U451">
            <v>44264</v>
          </cell>
          <cell r="V451">
            <v>44264</v>
          </cell>
          <cell r="W451">
            <v>44265</v>
          </cell>
          <cell r="X451">
            <v>41100262</v>
          </cell>
        </row>
        <row r="452">
          <cell r="K452" t="str">
            <v>SOS-0234</v>
          </cell>
          <cell r="L452">
            <v>44270</v>
          </cell>
          <cell r="M452">
            <v>44271</v>
          </cell>
          <cell r="N452">
            <v>44274</v>
          </cell>
          <cell r="O452">
            <v>44271</v>
          </cell>
          <cell r="P452">
            <v>44274</v>
          </cell>
          <cell r="Q452"/>
          <cell r="R452"/>
          <cell r="S452"/>
          <cell r="T452">
            <v>44280</v>
          </cell>
          <cell r="U452">
            <v>44280</v>
          </cell>
          <cell r="V452">
            <v>44280</v>
          </cell>
          <cell r="W452">
            <v>44283</v>
          </cell>
          <cell r="X452">
            <v>41100299</v>
          </cell>
        </row>
        <row r="453">
          <cell r="K453" t="str">
            <v>DBW-2131</v>
          </cell>
          <cell r="L453">
            <v>44271</v>
          </cell>
          <cell r="M453">
            <v>44272</v>
          </cell>
          <cell r="N453">
            <v>44284</v>
          </cell>
          <cell r="O453">
            <v>44272</v>
          </cell>
          <cell r="P453">
            <v>44285</v>
          </cell>
          <cell r="Q453">
            <v>44284</v>
          </cell>
          <cell r="R453">
            <v>44284</v>
          </cell>
          <cell r="S453"/>
          <cell r="T453">
            <v>44286</v>
          </cell>
          <cell r="U453">
            <v>44286</v>
          </cell>
          <cell r="V453">
            <v>44286</v>
          </cell>
          <cell r="W453">
            <v>44287</v>
          </cell>
          <cell r="X453">
            <v>41100258</v>
          </cell>
        </row>
        <row r="454">
          <cell r="K454" t="str">
            <v>DBW-2132</v>
          </cell>
          <cell r="L454">
            <v>44271</v>
          </cell>
          <cell r="M454">
            <v>44272</v>
          </cell>
          <cell r="N454">
            <v>44285</v>
          </cell>
          <cell r="O454">
            <v>44272</v>
          </cell>
          <cell r="P454">
            <v>44285</v>
          </cell>
          <cell r="Q454">
            <v>44284</v>
          </cell>
          <cell r="R454">
            <v>44284</v>
          </cell>
          <cell r="S454"/>
          <cell r="T454">
            <v>44285</v>
          </cell>
          <cell r="U454">
            <v>44286</v>
          </cell>
          <cell r="V454">
            <v>44286</v>
          </cell>
          <cell r="W454">
            <v>44287</v>
          </cell>
          <cell r="X454">
            <v>41100258</v>
          </cell>
        </row>
        <row r="455">
          <cell r="K455" t="str">
            <v>GBWS-1031</v>
          </cell>
          <cell r="L455">
            <v>44273</v>
          </cell>
          <cell r="M455">
            <v>44274</v>
          </cell>
          <cell r="N455">
            <v>44296</v>
          </cell>
          <cell r="O455">
            <v>44274</v>
          </cell>
          <cell r="P455">
            <v>44292</v>
          </cell>
          <cell r="Q455">
            <v>44295</v>
          </cell>
          <cell r="R455">
            <v>44295</v>
          </cell>
          <cell r="S455"/>
          <cell r="T455">
            <v>44295</v>
          </cell>
          <cell r="U455">
            <v>44296</v>
          </cell>
          <cell r="V455">
            <v>44297</v>
          </cell>
          <cell r="W455">
            <v>44297</v>
          </cell>
          <cell r="X455">
            <v>41100302</v>
          </cell>
        </row>
        <row r="456">
          <cell r="K456" t="str">
            <v>GBWS-1048</v>
          </cell>
          <cell r="L456">
            <v>44283</v>
          </cell>
          <cell r="M456">
            <v>44284</v>
          </cell>
          <cell r="N456">
            <v>44298</v>
          </cell>
          <cell r="O456">
            <v>44284</v>
          </cell>
          <cell r="P456">
            <v>44297</v>
          </cell>
          <cell r="Q456">
            <v>44295</v>
          </cell>
          <cell r="R456">
            <v>44295</v>
          </cell>
          <cell r="S456"/>
          <cell r="T456">
            <v>44297</v>
          </cell>
          <cell r="U456">
            <v>44298</v>
          </cell>
          <cell r="V456">
            <v>44298</v>
          </cell>
          <cell r="W456">
            <v>44298</v>
          </cell>
          <cell r="X456">
            <v>41100087</v>
          </cell>
        </row>
        <row r="457">
          <cell r="K457" t="str">
            <v>GBWS-1049</v>
          </cell>
          <cell r="L457">
            <v>44283</v>
          </cell>
          <cell r="M457">
            <v>44284</v>
          </cell>
          <cell r="N457">
            <v>44298</v>
          </cell>
          <cell r="O457">
            <v>44284</v>
          </cell>
          <cell r="P457">
            <v>44297</v>
          </cell>
          <cell r="Q457">
            <v>44295</v>
          </cell>
          <cell r="R457">
            <v>44295</v>
          </cell>
          <cell r="S457"/>
          <cell r="T457">
            <v>44298</v>
          </cell>
          <cell r="U457">
            <v>44299</v>
          </cell>
          <cell r="V457">
            <v>44299</v>
          </cell>
          <cell r="W457">
            <v>44299</v>
          </cell>
          <cell r="X457">
            <v>41100087</v>
          </cell>
        </row>
        <row r="458">
          <cell r="K458" t="str">
            <v>GBWS-1050</v>
          </cell>
          <cell r="L458">
            <v>44283</v>
          </cell>
          <cell r="M458">
            <v>44284</v>
          </cell>
          <cell r="N458">
            <v>44298</v>
          </cell>
          <cell r="O458">
            <v>44284</v>
          </cell>
          <cell r="P458">
            <v>44297</v>
          </cell>
          <cell r="Q458">
            <v>44295</v>
          </cell>
          <cell r="R458">
            <v>44295</v>
          </cell>
          <cell r="S458"/>
          <cell r="T458">
            <v>44298</v>
          </cell>
          <cell r="U458">
            <v>44299</v>
          </cell>
          <cell r="V458">
            <v>44300</v>
          </cell>
          <cell r="W458">
            <v>44300</v>
          </cell>
          <cell r="X458">
            <v>41100087</v>
          </cell>
        </row>
        <row r="459">
          <cell r="K459" t="str">
            <v>GBWS-1051</v>
          </cell>
          <cell r="L459">
            <v>44283</v>
          </cell>
          <cell r="M459">
            <v>44284</v>
          </cell>
          <cell r="N459">
            <v>44298</v>
          </cell>
          <cell r="O459">
            <v>44284</v>
          </cell>
          <cell r="P459">
            <v>44297</v>
          </cell>
          <cell r="Q459">
            <v>44295</v>
          </cell>
          <cell r="R459">
            <v>44295</v>
          </cell>
          <cell r="S459"/>
          <cell r="T459">
            <v>44298</v>
          </cell>
          <cell r="U459">
            <v>44299</v>
          </cell>
          <cell r="V459">
            <v>44300</v>
          </cell>
          <cell r="W459">
            <v>44300</v>
          </cell>
          <cell r="X459">
            <v>41100087</v>
          </cell>
        </row>
        <row r="460">
          <cell r="K460" t="str">
            <v>GBWS-1052</v>
          </cell>
          <cell r="L460">
            <v>44283</v>
          </cell>
          <cell r="M460">
            <v>44284</v>
          </cell>
          <cell r="N460">
            <v>44298</v>
          </cell>
          <cell r="O460">
            <v>44284</v>
          </cell>
          <cell r="P460">
            <v>44298</v>
          </cell>
          <cell r="Q460">
            <v>44295</v>
          </cell>
          <cell r="R460">
            <v>44295</v>
          </cell>
          <cell r="S460"/>
          <cell r="T460">
            <v>44298</v>
          </cell>
          <cell r="U460">
            <v>44299</v>
          </cell>
          <cell r="V460">
            <v>44300</v>
          </cell>
          <cell r="W460">
            <v>44300</v>
          </cell>
          <cell r="X460">
            <v>41100087</v>
          </cell>
        </row>
        <row r="461">
          <cell r="K461" t="str">
            <v>GBWS-1053</v>
          </cell>
          <cell r="L461">
            <v>44283</v>
          </cell>
          <cell r="M461">
            <v>44284</v>
          </cell>
          <cell r="N461">
            <v>44298</v>
          </cell>
          <cell r="O461">
            <v>44284</v>
          </cell>
          <cell r="P461">
            <v>44298</v>
          </cell>
          <cell r="Q461">
            <v>44295</v>
          </cell>
          <cell r="R461">
            <v>44295</v>
          </cell>
          <cell r="S461"/>
          <cell r="T461">
            <v>44299</v>
          </cell>
          <cell r="U461">
            <v>44300</v>
          </cell>
          <cell r="V461">
            <v>44300</v>
          </cell>
          <cell r="W461">
            <v>44300</v>
          </cell>
          <cell r="X461">
            <v>41100087</v>
          </cell>
        </row>
        <row r="462">
          <cell r="K462" t="str">
            <v>GBWS-1054</v>
          </cell>
          <cell r="L462">
            <v>44283</v>
          </cell>
          <cell r="M462">
            <v>44284</v>
          </cell>
          <cell r="N462">
            <v>44297</v>
          </cell>
          <cell r="O462">
            <v>44284</v>
          </cell>
          <cell r="P462">
            <v>44297</v>
          </cell>
          <cell r="Q462">
            <v>44296</v>
          </cell>
          <cell r="R462">
            <v>44296</v>
          </cell>
          <cell r="S462"/>
          <cell r="T462">
            <v>44297</v>
          </cell>
          <cell r="U462">
            <v>44297</v>
          </cell>
          <cell r="V462">
            <v>44297</v>
          </cell>
          <cell r="W462">
            <v>44298</v>
          </cell>
          <cell r="X462">
            <v>41100087</v>
          </cell>
        </row>
        <row r="463">
          <cell r="K463" t="str">
            <v>GBWS-1055</v>
          </cell>
          <cell r="L463">
            <v>44283</v>
          </cell>
          <cell r="M463">
            <v>44284</v>
          </cell>
          <cell r="N463">
            <v>44297</v>
          </cell>
          <cell r="O463">
            <v>44284</v>
          </cell>
          <cell r="P463">
            <v>44297</v>
          </cell>
          <cell r="Q463">
            <v>44296</v>
          </cell>
          <cell r="R463">
            <v>44296</v>
          </cell>
          <cell r="S463"/>
          <cell r="T463">
            <v>44297</v>
          </cell>
          <cell r="U463">
            <v>44297</v>
          </cell>
          <cell r="V463">
            <v>44297</v>
          </cell>
          <cell r="W463">
            <v>44298</v>
          </cell>
          <cell r="X463">
            <v>41100087</v>
          </cell>
        </row>
        <row r="464">
          <cell r="K464" t="str">
            <v>GBWS-1056</v>
          </cell>
          <cell r="L464">
            <v>44283</v>
          </cell>
          <cell r="M464">
            <v>44284</v>
          </cell>
          <cell r="N464">
            <v>44297</v>
          </cell>
          <cell r="O464">
            <v>44284</v>
          </cell>
          <cell r="P464">
            <v>44297</v>
          </cell>
          <cell r="Q464">
            <v>44296</v>
          </cell>
          <cell r="R464">
            <v>44296</v>
          </cell>
          <cell r="S464"/>
          <cell r="T464">
            <v>44297</v>
          </cell>
          <cell r="U464">
            <v>44298</v>
          </cell>
          <cell r="V464">
            <v>44299</v>
          </cell>
          <cell r="W464">
            <v>44299</v>
          </cell>
          <cell r="X464">
            <v>41100087</v>
          </cell>
        </row>
        <row r="465">
          <cell r="K465" t="str">
            <v>GBWS-1057</v>
          </cell>
          <cell r="L465">
            <v>44283</v>
          </cell>
          <cell r="M465">
            <v>44284</v>
          </cell>
          <cell r="N465">
            <v>44298</v>
          </cell>
          <cell r="O465">
            <v>44284</v>
          </cell>
          <cell r="P465">
            <v>44298</v>
          </cell>
          <cell r="Q465">
            <v>44295</v>
          </cell>
          <cell r="R465">
            <v>44295</v>
          </cell>
          <cell r="S465"/>
          <cell r="T465">
            <v>44298</v>
          </cell>
          <cell r="U465">
            <v>44299</v>
          </cell>
          <cell r="V465">
            <v>44299</v>
          </cell>
          <cell r="W465">
            <v>44299</v>
          </cell>
          <cell r="X465">
            <v>41100090</v>
          </cell>
        </row>
        <row r="466">
          <cell r="K466" t="str">
            <v>GBWS-1058</v>
          </cell>
          <cell r="L466">
            <v>44283</v>
          </cell>
          <cell r="M466">
            <v>44284</v>
          </cell>
          <cell r="N466">
            <v>44298</v>
          </cell>
          <cell r="O466">
            <v>44284</v>
          </cell>
          <cell r="P466">
            <v>44298</v>
          </cell>
          <cell r="Q466">
            <v>44295</v>
          </cell>
          <cell r="R466">
            <v>44295</v>
          </cell>
          <cell r="S466"/>
          <cell r="T466">
            <v>44298</v>
          </cell>
          <cell r="U466">
            <v>44299</v>
          </cell>
          <cell r="V466">
            <v>44299</v>
          </cell>
          <cell r="W466">
            <v>44299</v>
          </cell>
          <cell r="X466">
            <v>41100090</v>
          </cell>
        </row>
        <row r="467">
          <cell r="K467" t="str">
            <v>DBW-2068</v>
          </cell>
          <cell r="L467">
            <v>44245</v>
          </cell>
          <cell r="M467">
            <v>44245</v>
          </cell>
          <cell r="N467">
            <v>44281</v>
          </cell>
          <cell r="O467">
            <v>44245</v>
          </cell>
          <cell r="P467">
            <v>0.9</v>
          </cell>
          <cell r="Q467">
            <v>44279</v>
          </cell>
          <cell r="R467">
            <v>44279</v>
          </cell>
          <cell r="S467"/>
          <cell r="T467">
            <v>44285</v>
          </cell>
          <cell r="U467">
            <v>44285</v>
          </cell>
          <cell r="V467">
            <v>44285</v>
          </cell>
          <cell r="W467">
            <v>44286</v>
          </cell>
          <cell r="X467">
            <v>41100171</v>
          </cell>
        </row>
        <row r="468">
          <cell r="K468" t="str">
            <v>DBW-2069</v>
          </cell>
          <cell r="L468">
            <v>44245</v>
          </cell>
          <cell r="M468">
            <v>44245</v>
          </cell>
          <cell r="N468">
            <v>44281</v>
          </cell>
          <cell r="O468">
            <v>44245</v>
          </cell>
          <cell r="P468">
            <v>0.9</v>
          </cell>
          <cell r="Q468">
            <v>44279</v>
          </cell>
          <cell r="R468">
            <v>44279</v>
          </cell>
          <cell r="S468"/>
          <cell r="T468">
            <v>44285</v>
          </cell>
          <cell r="U468">
            <v>44285</v>
          </cell>
          <cell r="V468">
            <v>44285</v>
          </cell>
          <cell r="W468">
            <v>44286</v>
          </cell>
          <cell r="X468">
            <v>41100171</v>
          </cell>
        </row>
        <row r="469">
          <cell r="K469" t="str">
            <v>GBWS-1033</v>
          </cell>
          <cell r="L469">
            <v>44277</v>
          </cell>
          <cell r="M469">
            <v>44278</v>
          </cell>
          <cell r="N469">
            <v>44298</v>
          </cell>
          <cell r="O469">
            <v>44278</v>
          </cell>
          <cell r="P469">
            <v>44298</v>
          </cell>
          <cell r="Q469">
            <v>44297</v>
          </cell>
          <cell r="R469">
            <v>44297</v>
          </cell>
          <cell r="S469"/>
          <cell r="T469">
            <v>44298</v>
          </cell>
          <cell r="U469">
            <v>44298</v>
          </cell>
          <cell r="V469">
            <v>44298</v>
          </cell>
          <cell r="W469">
            <v>44298</v>
          </cell>
          <cell r="X469">
            <v>41100287</v>
          </cell>
        </row>
        <row r="470">
          <cell r="K470" t="str">
            <v>GBWS-1034</v>
          </cell>
          <cell r="L470">
            <v>44277</v>
          </cell>
          <cell r="M470">
            <v>44278</v>
          </cell>
          <cell r="N470">
            <v>44298</v>
          </cell>
          <cell r="O470">
            <v>44278</v>
          </cell>
          <cell r="P470">
            <v>44298</v>
          </cell>
          <cell r="Q470">
            <v>44297</v>
          </cell>
          <cell r="R470">
            <v>44297</v>
          </cell>
          <cell r="S470"/>
          <cell r="T470">
            <v>44297</v>
          </cell>
          <cell r="U470">
            <v>44297</v>
          </cell>
          <cell r="V470">
            <v>44297</v>
          </cell>
          <cell r="W470">
            <v>44298</v>
          </cell>
          <cell r="X470">
            <v>41100287</v>
          </cell>
        </row>
        <row r="471">
          <cell r="K471" t="str">
            <v>GBWS-1035</v>
          </cell>
          <cell r="L471">
            <v>44277</v>
          </cell>
          <cell r="M471">
            <v>44278</v>
          </cell>
          <cell r="N471">
            <v>44298</v>
          </cell>
          <cell r="O471">
            <v>44278</v>
          </cell>
          <cell r="P471">
            <v>44298</v>
          </cell>
          <cell r="Q471">
            <v>44297</v>
          </cell>
          <cell r="R471">
            <v>44297</v>
          </cell>
          <cell r="S471"/>
          <cell r="T471">
            <v>44297</v>
          </cell>
          <cell r="U471">
            <v>44298</v>
          </cell>
          <cell r="V471">
            <v>44298</v>
          </cell>
          <cell r="W471">
            <v>44298</v>
          </cell>
          <cell r="X471">
            <v>41100287</v>
          </cell>
        </row>
        <row r="472">
          <cell r="K472" t="str">
            <v>GBWS-1036</v>
          </cell>
          <cell r="L472">
            <v>44277</v>
          </cell>
          <cell r="M472">
            <v>44278</v>
          </cell>
          <cell r="N472">
            <v>44298</v>
          </cell>
          <cell r="O472">
            <v>44278</v>
          </cell>
          <cell r="P472">
            <v>44298</v>
          </cell>
          <cell r="Q472">
            <v>44297</v>
          </cell>
          <cell r="R472">
            <v>44297</v>
          </cell>
          <cell r="S472"/>
          <cell r="T472">
            <v>44297</v>
          </cell>
          <cell r="U472">
            <v>44297</v>
          </cell>
          <cell r="V472">
            <v>44297</v>
          </cell>
          <cell r="W472">
            <v>44298</v>
          </cell>
          <cell r="X472">
            <v>41100287</v>
          </cell>
        </row>
        <row r="473">
          <cell r="K473" t="str">
            <v>GBWS-1037</v>
          </cell>
          <cell r="L473">
            <v>44277</v>
          </cell>
          <cell r="M473">
            <v>44278</v>
          </cell>
          <cell r="N473">
            <v>44298</v>
          </cell>
          <cell r="O473">
            <v>44278</v>
          </cell>
          <cell r="P473">
            <v>44298</v>
          </cell>
          <cell r="Q473">
            <v>44297</v>
          </cell>
          <cell r="R473">
            <v>44297</v>
          </cell>
          <cell r="S473"/>
          <cell r="T473">
            <v>44298</v>
          </cell>
          <cell r="U473">
            <v>44299</v>
          </cell>
          <cell r="V473">
            <v>44300</v>
          </cell>
          <cell r="W473">
            <v>44300</v>
          </cell>
          <cell r="X473">
            <v>41100287</v>
          </cell>
        </row>
        <row r="474">
          <cell r="K474" t="str">
            <v>GBWS-1040</v>
          </cell>
          <cell r="L474">
            <v>44277</v>
          </cell>
          <cell r="M474">
            <v>44278</v>
          </cell>
          <cell r="N474">
            <v>44298</v>
          </cell>
          <cell r="O474">
            <v>44278</v>
          </cell>
          <cell r="P474">
            <v>44298</v>
          </cell>
          <cell r="Q474">
            <v>44297</v>
          </cell>
          <cell r="R474">
            <v>44297</v>
          </cell>
          <cell r="S474"/>
          <cell r="T474">
            <v>44298</v>
          </cell>
          <cell r="U474">
            <v>44299</v>
          </cell>
          <cell r="V474">
            <v>44300</v>
          </cell>
          <cell r="W474">
            <v>44300</v>
          </cell>
          <cell r="X474">
            <v>41100288</v>
          </cell>
        </row>
        <row r="475">
          <cell r="K475" t="str">
            <v>GBWS-1041</v>
          </cell>
          <cell r="L475">
            <v>44277</v>
          </cell>
          <cell r="M475">
            <v>44278</v>
          </cell>
          <cell r="N475">
            <v>44298</v>
          </cell>
          <cell r="O475">
            <v>44278</v>
          </cell>
          <cell r="P475">
            <v>44298</v>
          </cell>
          <cell r="Q475">
            <v>44297</v>
          </cell>
          <cell r="R475">
            <v>44297</v>
          </cell>
          <cell r="S475"/>
          <cell r="T475">
            <v>44298</v>
          </cell>
          <cell r="U475">
            <v>44299</v>
          </cell>
          <cell r="V475">
            <v>44299</v>
          </cell>
          <cell r="W475">
            <v>44299</v>
          </cell>
          <cell r="X475">
            <v>41100288</v>
          </cell>
        </row>
        <row r="476">
          <cell r="K476" t="str">
            <v>GBWS-1042</v>
          </cell>
          <cell r="L476">
            <v>44277</v>
          </cell>
          <cell r="M476">
            <v>44278</v>
          </cell>
          <cell r="N476">
            <v>44298</v>
          </cell>
          <cell r="O476">
            <v>44278</v>
          </cell>
          <cell r="P476">
            <v>44298</v>
          </cell>
          <cell r="Q476">
            <v>44297</v>
          </cell>
          <cell r="R476">
            <v>44297</v>
          </cell>
          <cell r="S476"/>
          <cell r="T476">
            <v>44298</v>
          </cell>
          <cell r="U476">
            <v>44299</v>
          </cell>
          <cell r="V476">
            <v>44299</v>
          </cell>
          <cell r="W476">
            <v>44299</v>
          </cell>
          <cell r="X476">
            <v>41100288</v>
          </cell>
        </row>
        <row r="477">
          <cell r="K477" t="str">
            <v>GBWS-1047</v>
          </cell>
          <cell r="L477">
            <v>44284</v>
          </cell>
          <cell r="M477">
            <v>44284</v>
          </cell>
          <cell r="N477">
            <v>44300</v>
          </cell>
          <cell r="O477">
            <v>44292</v>
          </cell>
          <cell r="P477">
            <v>44301</v>
          </cell>
          <cell r="Q477">
            <v>44297</v>
          </cell>
          <cell r="R477">
            <v>44297</v>
          </cell>
          <cell r="S477"/>
          <cell r="T477">
            <v>44298</v>
          </cell>
          <cell r="U477">
            <v>44301</v>
          </cell>
          <cell r="V477">
            <v>44302</v>
          </cell>
          <cell r="W477">
            <v>44302</v>
          </cell>
          <cell r="X477">
            <v>41100304</v>
          </cell>
        </row>
        <row r="478">
          <cell r="K478" t="str">
            <v>WS-0032</v>
          </cell>
          <cell r="L478">
            <v>44273</v>
          </cell>
          <cell r="M478">
            <v>44274</v>
          </cell>
          <cell r="N478">
            <v>44299</v>
          </cell>
          <cell r="O478">
            <v>44274</v>
          </cell>
          <cell r="P478">
            <v>44299</v>
          </cell>
          <cell r="Q478">
            <v>44295</v>
          </cell>
          <cell r="R478">
            <v>44295</v>
          </cell>
          <cell r="S478"/>
          <cell r="T478">
            <v>44298</v>
          </cell>
          <cell r="U478">
            <v>44299</v>
          </cell>
          <cell r="V478">
            <v>44301</v>
          </cell>
          <cell r="W478">
            <v>44301</v>
          </cell>
          <cell r="X478">
            <v>41100238</v>
          </cell>
        </row>
        <row r="479">
          <cell r="K479" t="str">
            <v>DBW-2159</v>
          </cell>
          <cell r="L479">
            <v>44285</v>
          </cell>
          <cell r="M479">
            <v>44286</v>
          </cell>
          <cell r="N479">
            <v>44300</v>
          </cell>
          <cell r="O479">
            <v>44286</v>
          </cell>
          <cell r="P479">
            <v>44300</v>
          </cell>
          <cell r="Q479">
            <v>44298</v>
          </cell>
          <cell r="R479">
            <v>44298</v>
          </cell>
          <cell r="S479"/>
          <cell r="T479">
            <v>44299</v>
          </cell>
          <cell r="U479">
            <v>44301</v>
          </cell>
          <cell r="V479">
            <v>44301</v>
          </cell>
          <cell r="W479">
            <v>44301</v>
          </cell>
          <cell r="X479">
            <v>41100256</v>
          </cell>
        </row>
        <row r="480">
          <cell r="K480" t="str">
            <v>DBW-2160</v>
          </cell>
          <cell r="L480">
            <v>44285</v>
          </cell>
          <cell r="M480">
            <v>44286</v>
          </cell>
          <cell r="N480">
            <v>44300</v>
          </cell>
          <cell r="O480">
            <v>44286</v>
          </cell>
          <cell r="P480">
            <v>44300</v>
          </cell>
          <cell r="Q480">
            <v>44298</v>
          </cell>
          <cell r="R480">
            <v>44298</v>
          </cell>
          <cell r="S480"/>
          <cell r="T480">
            <v>44299</v>
          </cell>
          <cell r="U480">
            <v>44301</v>
          </cell>
          <cell r="V480">
            <v>44301</v>
          </cell>
          <cell r="W480">
            <v>44301</v>
          </cell>
          <cell r="X480">
            <v>41100256</v>
          </cell>
        </row>
        <row r="481">
          <cell r="K481" t="str">
            <v>DBW-2138</v>
          </cell>
          <cell r="L481">
            <v>44277</v>
          </cell>
          <cell r="M481">
            <v>44278</v>
          </cell>
          <cell r="N481">
            <v>44296</v>
          </cell>
          <cell r="O481">
            <v>44278</v>
          </cell>
          <cell r="P481">
            <v>44300</v>
          </cell>
          <cell r="Q481">
            <v>44295</v>
          </cell>
          <cell r="R481">
            <v>44295</v>
          </cell>
          <cell r="S481"/>
          <cell r="T481">
            <v>44296</v>
          </cell>
          <cell r="U481">
            <v>44296</v>
          </cell>
          <cell r="V481">
            <v>44297</v>
          </cell>
          <cell r="W481">
            <v>44297</v>
          </cell>
          <cell r="X481">
            <v>41100291</v>
          </cell>
        </row>
        <row r="482">
          <cell r="K482" t="str">
            <v>GBWS-1060</v>
          </cell>
          <cell r="L482">
            <v>44285</v>
          </cell>
          <cell r="M482">
            <v>44286</v>
          </cell>
          <cell r="N482">
            <v>44302</v>
          </cell>
          <cell r="O482">
            <v>44286</v>
          </cell>
          <cell r="P482">
            <v>44301</v>
          </cell>
          <cell r="Q482">
            <v>44299</v>
          </cell>
          <cell r="R482">
            <v>44299</v>
          </cell>
          <cell r="S482"/>
          <cell r="T482">
            <v>44300</v>
          </cell>
          <cell r="U482">
            <v>44301</v>
          </cell>
          <cell r="V482">
            <v>44302</v>
          </cell>
          <cell r="W482">
            <v>44302</v>
          </cell>
          <cell r="X482">
            <v>41100307</v>
          </cell>
        </row>
        <row r="483">
          <cell r="K483" t="str">
            <v>GBWS-1061</v>
          </cell>
          <cell r="L483">
            <v>44285</v>
          </cell>
          <cell r="M483">
            <v>44286</v>
          </cell>
          <cell r="N483">
            <v>44302</v>
          </cell>
          <cell r="O483">
            <v>44286</v>
          </cell>
          <cell r="P483">
            <v>44301</v>
          </cell>
          <cell r="Q483">
            <v>44299</v>
          </cell>
          <cell r="R483">
            <v>44299</v>
          </cell>
          <cell r="S483"/>
          <cell r="T483">
            <v>44300</v>
          </cell>
          <cell r="U483">
            <v>44301</v>
          </cell>
          <cell r="V483">
            <v>44302</v>
          </cell>
          <cell r="W483">
            <v>44302</v>
          </cell>
          <cell r="X483">
            <v>41100307</v>
          </cell>
        </row>
        <row r="484">
          <cell r="K484" t="str">
            <v>GBWS-1043</v>
          </cell>
          <cell r="L484">
            <v>44279</v>
          </cell>
          <cell r="M484">
            <v>44280</v>
          </cell>
          <cell r="N484">
            <v>44301</v>
          </cell>
          <cell r="O484">
            <v>44280</v>
          </cell>
          <cell r="P484">
            <v>44300</v>
          </cell>
          <cell r="Q484">
            <v>44300</v>
          </cell>
          <cell r="R484">
            <v>44300</v>
          </cell>
          <cell r="S484"/>
          <cell r="T484">
            <v>44301</v>
          </cell>
          <cell r="U484">
            <v>44301</v>
          </cell>
          <cell r="V484">
            <v>44302</v>
          </cell>
          <cell r="W484">
            <v>44302</v>
          </cell>
          <cell r="X484">
            <v>41100264</v>
          </cell>
        </row>
        <row r="485">
          <cell r="K485" t="str">
            <v>GBWS-1027</v>
          </cell>
          <cell r="L485">
            <v>44279</v>
          </cell>
          <cell r="M485">
            <v>44280</v>
          </cell>
          <cell r="N485">
            <v>44301</v>
          </cell>
          <cell r="O485">
            <v>44280</v>
          </cell>
          <cell r="P485">
            <v>44300</v>
          </cell>
          <cell r="Q485">
            <v>44300</v>
          </cell>
          <cell r="R485">
            <v>44300</v>
          </cell>
          <cell r="S485"/>
          <cell r="T485">
            <v>44301</v>
          </cell>
          <cell r="U485">
            <v>44301</v>
          </cell>
          <cell r="V485">
            <v>44302</v>
          </cell>
          <cell r="W485">
            <v>44302</v>
          </cell>
          <cell r="X485">
            <v>41100264</v>
          </cell>
        </row>
        <row r="486">
          <cell r="K486" t="str">
            <v>GBWS-1045</v>
          </cell>
          <cell r="L486">
            <v>44279</v>
          </cell>
          <cell r="M486">
            <v>44280</v>
          </cell>
          <cell r="N486">
            <v>44302</v>
          </cell>
          <cell r="O486">
            <v>44280</v>
          </cell>
          <cell r="P486">
            <v>44301</v>
          </cell>
          <cell r="Q486">
            <v>44300</v>
          </cell>
          <cell r="R486">
            <v>44300</v>
          </cell>
          <cell r="S486"/>
          <cell r="T486">
            <v>44302</v>
          </cell>
          <cell r="U486">
            <v>44302</v>
          </cell>
          <cell r="V486">
            <v>44303</v>
          </cell>
          <cell r="W486">
            <v>44303</v>
          </cell>
          <cell r="X486">
            <v>41100223</v>
          </cell>
        </row>
        <row r="487">
          <cell r="K487" t="str">
            <v>GBWS-1046</v>
          </cell>
          <cell r="L487">
            <v>44279</v>
          </cell>
          <cell r="M487">
            <v>44280</v>
          </cell>
          <cell r="N487">
            <v>44302</v>
          </cell>
          <cell r="O487">
            <v>44280</v>
          </cell>
          <cell r="P487">
            <v>44301</v>
          </cell>
          <cell r="Q487">
            <v>44300</v>
          </cell>
          <cell r="R487">
            <v>44300</v>
          </cell>
          <cell r="S487"/>
          <cell r="T487">
            <v>44302</v>
          </cell>
          <cell r="U487">
            <v>44302</v>
          </cell>
          <cell r="V487">
            <v>44303</v>
          </cell>
          <cell r="W487">
            <v>44303</v>
          </cell>
          <cell r="X487">
            <v>41100223</v>
          </cell>
        </row>
        <row r="488">
          <cell r="K488" t="str">
            <v>GBWS-1059</v>
          </cell>
          <cell r="L488">
            <v>44285</v>
          </cell>
          <cell r="M488">
            <v>44286</v>
          </cell>
          <cell r="N488">
            <v>44302</v>
          </cell>
          <cell r="O488">
            <v>44286</v>
          </cell>
          <cell r="P488">
            <v>44302</v>
          </cell>
          <cell r="Q488">
            <v>44299</v>
          </cell>
          <cell r="R488">
            <v>44299</v>
          </cell>
          <cell r="S488"/>
          <cell r="T488">
            <v>44302</v>
          </cell>
          <cell r="U488">
            <v>44302</v>
          </cell>
          <cell r="V488">
            <v>44304</v>
          </cell>
          <cell r="W488">
            <v>44304</v>
          </cell>
          <cell r="X488">
            <v>41100267</v>
          </cell>
        </row>
        <row r="489">
          <cell r="K489" t="str">
            <v>DBW-2147</v>
          </cell>
          <cell r="L489">
            <v>44285</v>
          </cell>
          <cell r="M489">
            <v>44286</v>
          </cell>
          <cell r="N489">
            <v>44302</v>
          </cell>
          <cell r="O489">
            <v>44286</v>
          </cell>
          <cell r="P489">
            <v>44302</v>
          </cell>
          <cell r="Q489">
            <v>44301</v>
          </cell>
          <cell r="R489">
            <v>44301</v>
          </cell>
          <cell r="S489"/>
          <cell r="T489">
            <v>44302</v>
          </cell>
          <cell r="U489">
            <v>44304</v>
          </cell>
          <cell r="V489">
            <v>44304</v>
          </cell>
          <cell r="W489">
            <v>44304</v>
          </cell>
          <cell r="X489">
            <v>41100310</v>
          </cell>
        </row>
        <row r="490">
          <cell r="K490" t="str">
            <v>DBW-2148</v>
          </cell>
          <cell r="L490">
            <v>44285</v>
          </cell>
          <cell r="M490">
            <v>44286</v>
          </cell>
          <cell r="N490">
            <v>44302</v>
          </cell>
          <cell r="O490">
            <v>44286</v>
          </cell>
          <cell r="P490">
            <v>44302</v>
          </cell>
          <cell r="Q490">
            <v>44301</v>
          </cell>
          <cell r="R490">
            <v>44301</v>
          </cell>
          <cell r="S490"/>
          <cell r="T490">
            <v>44302</v>
          </cell>
          <cell r="U490">
            <v>44304</v>
          </cell>
          <cell r="V490">
            <v>44304</v>
          </cell>
          <cell r="W490">
            <v>44304</v>
          </cell>
          <cell r="X490">
            <v>41100310</v>
          </cell>
        </row>
        <row r="491">
          <cell r="K491" t="str">
            <v>DBW-2125</v>
          </cell>
          <cell r="L491">
            <v>44270</v>
          </cell>
          <cell r="M491">
            <v>44271</v>
          </cell>
          <cell r="N491">
            <v>44289</v>
          </cell>
          <cell r="O491">
            <v>44271</v>
          </cell>
          <cell r="P491">
            <v>44291</v>
          </cell>
          <cell r="Q491">
            <v>44290</v>
          </cell>
          <cell r="R491">
            <v>44290</v>
          </cell>
          <cell r="S491"/>
          <cell r="T491">
            <v>44292</v>
          </cell>
          <cell r="U491">
            <v>44293</v>
          </cell>
          <cell r="V491">
            <v>44293</v>
          </cell>
          <cell r="W491">
            <v>44293</v>
          </cell>
          <cell r="X491">
            <v>41100258</v>
          </cell>
        </row>
        <row r="492">
          <cell r="K492" t="str">
            <v>GBWS-1032</v>
          </cell>
          <cell r="L492">
            <v>44273</v>
          </cell>
          <cell r="M492">
            <v>44274</v>
          </cell>
          <cell r="N492">
            <v>44296</v>
          </cell>
          <cell r="O492">
            <v>44274</v>
          </cell>
          <cell r="P492">
            <v>44292</v>
          </cell>
          <cell r="Q492">
            <v>44295</v>
          </cell>
          <cell r="R492">
            <v>44295</v>
          </cell>
          <cell r="S492"/>
          <cell r="T492">
            <v>44295</v>
          </cell>
          <cell r="U492">
            <v>44296</v>
          </cell>
          <cell r="V492">
            <v>44297</v>
          </cell>
          <cell r="W492">
            <v>44301</v>
          </cell>
          <cell r="X492">
            <v>41100302</v>
          </cell>
        </row>
        <row r="493">
          <cell r="K493" t="str">
            <v>DBW-2143</v>
          </cell>
          <cell r="L493">
            <v>44279</v>
          </cell>
          <cell r="M493">
            <v>44280</v>
          </cell>
          <cell r="N493">
            <v>44301</v>
          </cell>
          <cell r="O493">
            <v>44280</v>
          </cell>
          <cell r="P493">
            <v>44301</v>
          </cell>
          <cell r="Q493">
            <v>44298</v>
          </cell>
          <cell r="R493">
            <v>44298</v>
          </cell>
          <cell r="S493"/>
          <cell r="T493">
            <v>44302</v>
          </cell>
          <cell r="U493">
            <v>44302</v>
          </cell>
          <cell r="V493">
            <v>44303</v>
          </cell>
          <cell r="W493">
            <v>44303</v>
          </cell>
          <cell r="X493">
            <v>41100269</v>
          </cell>
        </row>
        <row r="494">
          <cell r="K494" t="str">
            <v>DBW-2144</v>
          </cell>
          <cell r="L494">
            <v>44279</v>
          </cell>
          <cell r="M494">
            <v>44280</v>
          </cell>
          <cell r="N494">
            <v>44301</v>
          </cell>
          <cell r="O494">
            <v>44280</v>
          </cell>
          <cell r="P494">
            <v>44301</v>
          </cell>
          <cell r="Q494">
            <v>44298</v>
          </cell>
          <cell r="R494">
            <v>44298</v>
          </cell>
          <cell r="S494"/>
          <cell r="T494">
            <v>44302</v>
          </cell>
          <cell r="U494">
            <v>44302</v>
          </cell>
          <cell r="V494">
            <v>44303</v>
          </cell>
          <cell r="W494">
            <v>44303</v>
          </cell>
          <cell r="X494">
            <v>41100269</v>
          </cell>
        </row>
        <row r="495">
          <cell r="K495" t="str">
            <v>GBWS-1063</v>
          </cell>
          <cell r="L495">
            <v>44288</v>
          </cell>
          <cell r="M495">
            <v>44291</v>
          </cell>
          <cell r="N495">
            <v>44303</v>
          </cell>
          <cell r="O495">
            <v>44291</v>
          </cell>
          <cell r="P495">
            <v>44303</v>
          </cell>
          <cell r="Q495">
            <v>44301</v>
          </cell>
          <cell r="R495">
            <v>44301</v>
          </cell>
          <cell r="S495"/>
          <cell r="T495">
            <v>44304</v>
          </cell>
          <cell r="U495">
            <v>44304</v>
          </cell>
          <cell r="V495">
            <v>44305</v>
          </cell>
          <cell r="W495">
            <v>44305</v>
          </cell>
          <cell r="X495">
            <v>41100085</v>
          </cell>
        </row>
        <row r="496">
          <cell r="K496" t="str">
            <v>GBWS-1064</v>
          </cell>
          <cell r="L496">
            <v>44288</v>
          </cell>
          <cell r="M496">
            <v>44291</v>
          </cell>
          <cell r="N496">
            <v>44303</v>
          </cell>
          <cell r="O496">
            <v>44291</v>
          </cell>
          <cell r="P496">
            <v>44303</v>
          </cell>
          <cell r="Q496">
            <v>44301</v>
          </cell>
          <cell r="R496">
            <v>44301</v>
          </cell>
          <cell r="S496"/>
          <cell r="T496">
            <v>44304</v>
          </cell>
          <cell r="U496">
            <v>44304</v>
          </cell>
          <cell r="V496">
            <v>44305</v>
          </cell>
          <cell r="W496">
            <v>44305</v>
          </cell>
          <cell r="X496">
            <v>41100085</v>
          </cell>
        </row>
        <row r="497">
          <cell r="K497" t="str">
            <v>GBWS-1065</v>
          </cell>
          <cell r="L497">
            <v>44288</v>
          </cell>
          <cell r="M497">
            <v>44291</v>
          </cell>
          <cell r="N497">
            <v>44303</v>
          </cell>
          <cell r="O497">
            <v>44291</v>
          </cell>
          <cell r="P497">
            <v>44303</v>
          </cell>
          <cell r="Q497">
            <v>44301</v>
          </cell>
          <cell r="R497">
            <v>44301</v>
          </cell>
          <cell r="S497"/>
          <cell r="T497">
            <v>44304</v>
          </cell>
          <cell r="U497">
            <v>44304</v>
          </cell>
          <cell r="V497">
            <v>44305</v>
          </cell>
          <cell r="W497">
            <v>44305</v>
          </cell>
          <cell r="X497">
            <v>41100085</v>
          </cell>
        </row>
        <row r="498">
          <cell r="K498" t="str">
            <v>GBWS-1066</v>
          </cell>
          <cell r="L498">
            <v>44288</v>
          </cell>
          <cell r="M498">
            <v>44291</v>
          </cell>
          <cell r="N498">
            <v>44303</v>
          </cell>
          <cell r="O498">
            <v>44291</v>
          </cell>
          <cell r="P498">
            <v>44303</v>
          </cell>
          <cell r="Q498">
            <v>44301</v>
          </cell>
          <cell r="R498">
            <v>44301</v>
          </cell>
          <cell r="S498"/>
          <cell r="T498">
            <v>44304</v>
          </cell>
          <cell r="U498">
            <v>44304</v>
          </cell>
          <cell r="V498">
            <v>44305</v>
          </cell>
          <cell r="W498">
            <v>44305</v>
          </cell>
          <cell r="X498">
            <v>41100085</v>
          </cell>
        </row>
        <row r="499">
          <cell r="K499" t="str">
            <v>GBWS-1067</v>
          </cell>
          <cell r="L499">
            <v>44288</v>
          </cell>
          <cell r="M499">
            <v>44291</v>
          </cell>
          <cell r="N499">
            <v>44303</v>
          </cell>
          <cell r="O499">
            <v>44291</v>
          </cell>
          <cell r="P499">
            <v>44303</v>
          </cell>
          <cell r="Q499">
            <v>44301</v>
          </cell>
          <cell r="R499">
            <v>44301</v>
          </cell>
          <cell r="S499"/>
          <cell r="T499">
            <v>44304</v>
          </cell>
          <cell r="U499">
            <v>44305</v>
          </cell>
          <cell r="V499">
            <v>44305</v>
          </cell>
          <cell r="W499">
            <v>44305</v>
          </cell>
          <cell r="X499">
            <v>41100085</v>
          </cell>
        </row>
        <row r="500">
          <cell r="K500" t="str">
            <v>GBWS-1068</v>
          </cell>
          <cell r="L500">
            <v>44288</v>
          </cell>
          <cell r="M500">
            <v>44291</v>
          </cell>
          <cell r="N500">
            <v>44303</v>
          </cell>
          <cell r="O500">
            <v>44291</v>
          </cell>
          <cell r="P500">
            <v>44303</v>
          </cell>
          <cell r="Q500">
            <v>44301</v>
          </cell>
          <cell r="R500">
            <v>44301</v>
          </cell>
          <cell r="S500"/>
          <cell r="T500">
            <v>44304</v>
          </cell>
          <cell r="U500">
            <v>44305</v>
          </cell>
          <cell r="V500">
            <v>44305</v>
          </cell>
          <cell r="W500">
            <v>44305</v>
          </cell>
          <cell r="X500">
            <v>41100085</v>
          </cell>
        </row>
        <row r="501">
          <cell r="K501" t="str">
            <v>GBWS-1069</v>
          </cell>
          <cell r="L501">
            <v>44288</v>
          </cell>
          <cell r="M501">
            <v>44291</v>
          </cell>
          <cell r="N501">
            <v>44303</v>
          </cell>
          <cell r="O501">
            <v>44291</v>
          </cell>
          <cell r="P501">
            <v>44303</v>
          </cell>
          <cell r="Q501">
            <v>44301</v>
          </cell>
          <cell r="R501">
            <v>44301</v>
          </cell>
          <cell r="S501"/>
          <cell r="T501">
            <v>44304</v>
          </cell>
          <cell r="U501">
            <v>44305</v>
          </cell>
          <cell r="V501">
            <v>44305</v>
          </cell>
          <cell r="W501">
            <v>44305</v>
          </cell>
          <cell r="X501">
            <v>41100085</v>
          </cell>
        </row>
        <row r="502">
          <cell r="K502" t="str">
            <v>GBWS-1070</v>
          </cell>
          <cell r="L502">
            <v>44288</v>
          </cell>
          <cell r="M502">
            <v>44291</v>
          </cell>
          <cell r="N502">
            <v>44303</v>
          </cell>
          <cell r="O502">
            <v>44291</v>
          </cell>
          <cell r="P502">
            <v>44303</v>
          </cell>
          <cell r="Q502">
            <v>44301</v>
          </cell>
          <cell r="R502">
            <v>44301</v>
          </cell>
          <cell r="S502"/>
          <cell r="T502">
            <v>44304</v>
          </cell>
          <cell r="U502">
            <v>44304</v>
          </cell>
          <cell r="V502">
            <v>44305</v>
          </cell>
          <cell r="W502">
            <v>44305</v>
          </cell>
          <cell r="X502">
            <v>41100085</v>
          </cell>
        </row>
        <row r="503">
          <cell r="K503" t="str">
            <v>GBWS-1071</v>
          </cell>
          <cell r="L503">
            <v>44288</v>
          </cell>
          <cell r="M503">
            <v>44291</v>
          </cell>
          <cell r="N503">
            <v>44303</v>
          </cell>
          <cell r="O503">
            <v>44291</v>
          </cell>
          <cell r="P503">
            <v>44303</v>
          </cell>
          <cell r="Q503">
            <v>44301</v>
          </cell>
          <cell r="R503">
            <v>44301</v>
          </cell>
          <cell r="S503"/>
          <cell r="T503">
            <v>44304</v>
          </cell>
          <cell r="U503">
            <v>44304</v>
          </cell>
          <cell r="V503">
            <v>44305</v>
          </cell>
          <cell r="W503">
            <v>44305</v>
          </cell>
          <cell r="X503">
            <v>41100085</v>
          </cell>
        </row>
        <row r="504">
          <cell r="K504" t="str">
            <v>GBWS-1072</v>
          </cell>
          <cell r="L504">
            <v>44288</v>
          </cell>
          <cell r="M504">
            <v>44291</v>
          </cell>
          <cell r="N504">
            <v>44303</v>
          </cell>
          <cell r="O504">
            <v>44291</v>
          </cell>
          <cell r="P504">
            <v>44303</v>
          </cell>
          <cell r="Q504">
            <v>44301</v>
          </cell>
          <cell r="R504">
            <v>44301</v>
          </cell>
          <cell r="S504"/>
          <cell r="T504">
            <v>44304</v>
          </cell>
          <cell r="U504">
            <v>44305</v>
          </cell>
          <cell r="V504">
            <v>44305</v>
          </cell>
          <cell r="W504">
            <v>44305</v>
          </cell>
          <cell r="X504">
            <v>41100085</v>
          </cell>
        </row>
        <row r="505">
          <cell r="K505" t="str">
            <v>GBWS-1073</v>
          </cell>
          <cell r="L505">
            <v>44288</v>
          </cell>
          <cell r="M505">
            <v>44291</v>
          </cell>
          <cell r="N505">
            <v>44303</v>
          </cell>
          <cell r="O505">
            <v>44291</v>
          </cell>
          <cell r="P505">
            <v>44303</v>
          </cell>
          <cell r="Q505">
            <v>44301</v>
          </cell>
          <cell r="R505">
            <v>44301</v>
          </cell>
          <cell r="S505"/>
          <cell r="T505">
            <v>44304</v>
          </cell>
          <cell r="U505">
            <v>44305</v>
          </cell>
          <cell r="V505">
            <v>44305</v>
          </cell>
          <cell r="W505">
            <v>44305</v>
          </cell>
          <cell r="X505">
            <v>41100085</v>
          </cell>
        </row>
        <row r="506">
          <cell r="K506" t="str">
            <v>GBWS-1074</v>
          </cell>
          <cell r="L506">
            <v>44288</v>
          </cell>
          <cell r="M506">
            <v>44291</v>
          </cell>
          <cell r="N506">
            <v>44303</v>
          </cell>
          <cell r="O506">
            <v>44291</v>
          </cell>
          <cell r="P506">
            <v>44303</v>
          </cell>
          <cell r="Q506">
            <v>44301</v>
          </cell>
          <cell r="R506">
            <v>44301</v>
          </cell>
          <cell r="S506"/>
          <cell r="T506">
            <v>44304</v>
          </cell>
          <cell r="U506">
            <v>44305</v>
          </cell>
          <cell r="V506">
            <v>44305</v>
          </cell>
          <cell r="W506">
            <v>44305</v>
          </cell>
          <cell r="X506">
            <v>41100086</v>
          </cell>
        </row>
        <row r="507">
          <cell r="K507" t="str">
            <v>GBWS-1075</v>
          </cell>
          <cell r="L507">
            <v>44288</v>
          </cell>
          <cell r="M507">
            <v>44291</v>
          </cell>
          <cell r="N507">
            <v>44304</v>
          </cell>
          <cell r="O507">
            <v>44291</v>
          </cell>
          <cell r="P507">
            <v>44305</v>
          </cell>
          <cell r="Q507">
            <v>44301</v>
          </cell>
          <cell r="R507">
            <v>44301</v>
          </cell>
          <cell r="S507"/>
          <cell r="T507">
            <v>44305</v>
          </cell>
          <cell r="U507">
            <v>44305</v>
          </cell>
          <cell r="V507">
            <v>44306</v>
          </cell>
          <cell r="W507">
            <v>44306</v>
          </cell>
          <cell r="X507">
            <v>41100093</v>
          </cell>
        </row>
        <row r="508">
          <cell r="K508" t="str">
            <v>GBWS-1076</v>
          </cell>
          <cell r="L508">
            <v>44288</v>
          </cell>
          <cell r="M508">
            <v>44291</v>
          </cell>
          <cell r="N508">
            <v>44304</v>
          </cell>
          <cell r="O508">
            <v>44291</v>
          </cell>
          <cell r="P508">
            <v>44305</v>
          </cell>
          <cell r="Q508">
            <v>44301</v>
          </cell>
          <cell r="R508">
            <v>44301</v>
          </cell>
          <cell r="S508"/>
          <cell r="T508">
            <v>44305</v>
          </cell>
          <cell r="U508">
            <v>44305</v>
          </cell>
          <cell r="V508">
            <v>44306</v>
          </cell>
          <cell r="W508">
            <v>44306</v>
          </cell>
          <cell r="X508">
            <v>41100093</v>
          </cell>
        </row>
        <row r="509">
          <cell r="K509" t="str">
            <v>GBWS-1077</v>
          </cell>
          <cell r="L509">
            <v>44288</v>
          </cell>
          <cell r="M509">
            <v>44291</v>
          </cell>
          <cell r="N509">
            <v>44304</v>
          </cell>
          <cell r="O509">
            <v>44291</v>
          </cell>
          <cell r="P509">
            <v>44305</v>
          </cell>
          <cell r="Q509">
            <v>44301</v>
          </cell>
          <cell r="R509">
            <v>44301</v>
          </cell>
          <cell r="S509"/>
          <cell r="T509">
            <v>44305</v>
          </cell>
          <cell r="U509">
            <v>44305</v>
          </cell>
          <cell r="V509">
            <v>44306</v>
          </cell>
          <cell r="W509">
            <v>44306</v>
          </cell>
          <cell r="X509">
            <v>41100093</v>
          </cell>
        </row>
        <row r="510">
          <cell r="K510" t="str">
            <v>DBW-2162</v>
          </cell>
          <cell r="L510">
            <v>44287</v>
          </cell>
          <cell r="M510">
            <v>44288</v>
          </cell>
          <cell r="N510">
            <v>44305</v>
          </cell>
          <cell r="O510">
            <v>44288</v>
          </cell>
          <cell r="P510">
            <v>44305</v>
          </cell>
          <cell r="Q510">
            <v>44300</v>
          </cell>
          <cell r="R510">
            <v>44300</v>
          </cell>
          <cell r="S510"/>
          <cell r="T510">
            <v>44305</v>
          </cell>
          <cell r="U510">
            <v>44305</v>
          </cell>
          <cell r="V510">
            <v>44306</v>
          </cell>
          <cell r="W510">
            <v>44306</v>
          </cell>
          <cell r="X510">
            <v>41100324</v>
          </cell>
        </row>
        <row r="511">
          <cell r="K511" t="str">
            <v>DBW-2163</v>
          </cell>
          <cell r="L511">
            <v>44287</v>
          </cell>
          <cell r="M511">
            <v>44288</v>
          </cell>
          <cell r="N511">
            <v>44305</v>
          </cell>
          <cell r="O511">
            <v>44288</v>
          </cell>
          <cell r="P511">
            <v>44305</v>
          </cell>
          <cell r="Q511">
            <v>44300</v>
          </cell>
          <cell r="R511">
            <v>44300</v>
          </cell>
          <cell r="S511"/>
          <cell r="T511">
            <v>44305</v>
          </cell>
          <cell r="U511">
            <v>44305</v>
          </cell>
          <cell r="V511">
            <v>44306</v>
          </cell>
          <cell r="W511">
            <v>44306</v>
          </cell>
          <cell r="X511">
            <v>41100324</v>
          </cell>
        </row>
        <row r="512">
          <cell r="K512" t="str">
            <v>DBW-2145</v>
          </cell>
          <cell r="L512">
            <v>44280</v>
          </cell>
          <cell r="M512">
            <v>44281</v>
          </cell>
          <cell r="N512">
            <v>44294</v>
          </cell>
          <cell r="O512">
            <v>44281</v>
          </cell>
          <cell r="P512">
            <v>44294</v>
          </cell>
          <cell r="Q512">
            <v>44293</v>
          </cell>
          <cell r="R512">
            <v>44293</v>
          </cell>
          <cell r="S512"/>
          <cell r="T512">
            <v>44294</v>
          </cell>
          <cell r="U512">
            <v>44295</v>
          </cell>
          <cell r="V512">
            <v>44295</v>
          </cell>
          <cell r="W512">
            <v>44295</v>
          </cell>
          <cell r="X512">
            <v>41100230</v>
          </cell>
        </row>
        <row r="513">
          <cell r="K513" t="str">
            <v>GBWS-1078</v>
          </cell>
          <cell r="L513">
            <v>44293</v>
          </cell>
          <cell r="M513">
            <v>44294</v>
          </cell>
          <cell r="N513">
            <v>44308</v>
          </cell>
          <cell r="O513">
            <v>44294</v>
          </cell>
          <cell r="P513">
            <v>44308</v>
          </cell>
          <cell r="Q513">
            <v>44307</v>
          </cell>
          <cell r="R513">
            <v>44307</v>
          </cell>
          <cell r="S513"/>
          <cell r="T513">
            <v>44307</v>
          </cell>
          <cell r="U513">
            <v>44308</v>
          </cell>
          <cell r="V513">
            <v>44309</v>
          </cell>
          <cell r="W513">
            <v>44309</v>
          </cell>
          <cell r="X513">
            <v>41100282</v>
          </cell>
        </row>
        <row r="514">
          <cell r="K514" t="str">
            <v>GBWS-1103</v>
          </cell>
          <cell r="L514">
            <v>44298</v>
          </cell>
          <cell r="M514">
            <v>44298</v>
          </cell>
          <cell r="N514">
            <v>44311</v>
          </cell>
          <cell r="O514">
            <v>44298</v>
          </cell>
          <cell r="P514">
            <v>44311</v>
          </cell>
          <cell r="Q514">
            <v>44309</v>
          </cell>
          <cell r="R514">
            <v>44309</v>
          </cell>
          <cell r="S514"/>
          <cell r="T514">
            <v>44312</v>
          </cell>
          <cell r="U514">
            <v>44312</v>
          </cell>
          <cell r="V514">
            <v>44312</v>
          </cell>
          <cell r="W514">
            <v>44312</v>
          </cell>
          <cell r="X514">
            <v>41100224</v>
          </cell>
        </row>
        <row r="515">
          <cell r="K515" t="str">
            <v>GBWS-1104</v>
          </cell>
          <cell r="L515">
            <v>44298</v>
          </cell>
          <cell r="M515">
            <v>44298</v>
          </cell>
          <cell r="N515">
            <v>44311</v>
          </cell>
          <cell r="O515">
            <v>44298</v>
          </cell>
          <cell r="P515">
            <v>44311</v>
          </cell>
          <cell r="Q515">
            <v>44309</v>
          </cell>
          <cell r="R515">
            <v>44309</v>
          </cell>
          <cell r="S515"/>
          <cell r="T515">
            <v>44312</v>
          </cell>
          <cell r="U515">
            <v>44312</v>
          </cell>
          <cell r="V515">
            <v>44312</v>
          </cell>
          <cell r="W515">
            <v>44312</v>
          </cell>
          <cell r="X515">
            <v>41100224</v>
          </cell>
        </row>
        <row r="516">
          <cell r="K516" t="str">
            <v>DBW-2126</v>
          </cell>
          <cell r="L516">
            <v>44270</v>
          </cell>
          <cell r="M516">
            <v>44271</v>
          </cell>
          <cell r="N516">
            <v>44289</v>
          </cell>
          <cell r="O516">
            <v>44271</v>
          </cell>
          <cell r="P516">
            <v>44291</v>
          </cell>
          <cell r="Q516">
            <v>44290</v>
          </cell>
          <cell r="R516">
            <v>44290</v>
          </cell>
          <cell r="S516"/>
          <cell r="T516">
            <v>44292</v>
          </cell>
          <cell r="U516">
            <v>44293</v>
          </cell>
          <cell r="V516">
            <v>44293</v>
          </cell>
          <cell r="W516">
            <v>44293</v>
          </cell>
          <cell r="X516">
            <v>41100258</v>
          </cell>
        </row>
        <row r="517">
          <cell r="K517" t="str">
            <v>GBWS-1022</v>
          </cell>
          <cell r="L517">
            <v>44271</v>
          </cell>
          <cell r="M517">
            <v>44272</v>
          </cell>
          <cell r="N517">
            <v>44291</v>
          </cell>
          <cell r="O517">
            <v>44272</v>
          </cell>
          <cell r="P517">
            <v>44291</v>
          </cell>
          <cell r="Q517">
            <v>44287</v>
          </cell>
          <cell r="R517">
            <v>44287</v>
          </cell>
          <cell r="S517"/>
          <cell r="T517">
            <v>44292</v>
          </cell>
          <cell r="U517">
            <v>44309</v>
          </cell>
          <cell r="V517">
            <v>44312</v>
          </cell>
          <cell r="W517">
            <v>44313</v>
          </cell>
          <cell r="X517">
            <v>41100305</v>
          </cell>
        </row>
        <row r="518">
          <cell r="K518"/>
          <cell r="L518">
            <v>44271</v>
          </cell>
          <cell r="M518">
            <v>44272</v>
          </cell>
          <cell r="N518">
            <v>44291</v>
          </cell>
          <cell r="O518">
            <v>44272</v>
          </cell>
          <cell r="P518">
            <v>44291</v>
          </cell>
          <cell r="Q518">
            <v>44287</v>
          </cell>
          <cell r="R518">
            <v>44287</v>
          </cell>
          <cell r="S518"/>
          <cell r="T518">
            <v>44292</v>
          </cell>
          <cell r="U518">
            <v>44309</v>
          </cell>
          <cell r="V518">
            <v>44312</v>
          </cell>
          <cell r="W518">
            <v>44313</v>
          </cell>
          <cell r="X518">
            <v>31101371</v>
          </cell>
        </row>
        <row r="519">
          <cell r="K519" t="str">
            <v>RT-0016</v>
          </cell>
          <cell r="L519">
            <v>44271</v>
          </cell>
          <cell r="M519">
            <v>44272</v>
          </cell>
          <cell r="N519">
            <v>44291</v>
          </cell>
          <cell r="O519">
            <v>44272</v>
          </cell>
          <cell r="P519">
            <v>44291</v>
          </cell>
          <cell r="Q519">
            <v>44287</v>
          </cell>
          <cell r="R519">
            <v>44287</v>
          </cell>
          <cell r="S519"/>
          <cell r="T519">
            <v>44292</v>
          </cell>
          <cell r="U519">
            <v>44309</v>
          </cell>
          <cell r="V519">
            <v>44312</v>
          </cell>
          <cell r="W519">
            <v>44313</v>
          </cell>
          <cell r="X519">
            <v>31101044</v>
          </cell>
        </row>
        <row r="520">
          <cell r="K520" t="str">
            <v>DBW-2140</v>
          </cell>
          <cell r="L520">
            <v>44278</v>
          </cell>
          <cell r="M520">
            <v>44279</v>
          </cell>
          <cell r="N520">
            <v>44299</v>
          </cell>
          <cell r="O520">
            <v>44279</v>
          </cell>
          <cell r="P520">
            <v>44299</v>
          </cell>
          <cell r="Q520">
            <v>44298</v>
          </cell>
          <cell r="R520">
            <v>44298</v>
          </cell>
          <cell r="S520"/>
          <cell r="T520">
            <v>44300</v>
          </cell>
          <cell r="U520">
            <v>44300</v>
          </cell>
          <cell r="V520">
            <v>44301</v>
          </cell>
          <cell r="W520">
            <v>44301</v>
          </cell>
          <cell r="X520">
            <v>41100235</v>
          </cell>
        </row>
        <row r="521">
          <cell r="K521" t="str">
            <v>DBW-2141</v>
          </cell>
          <cell r="L521">
            <v>44278</v>
          </cell>
          <cell r="M521">
            <v>44279</v>
          </cell>
          <cell r="N521">
            <v>44300</v>
          </cell>
          <cell r="O521">
            <v>44279</v>
          </cell>
          <cell r="P521">
            <v>44300</v>
          </cell>
          <cell r="Q521">
            <v>44298</v>
          </cell>
          <cell r="R521">
            <v>44298</v>
          </cell>
          <cell r="S521"/>
          <cell r="T521">
            <v>44301</v>
          </cell>
          <cell r="U521">
            <v>44300</v>
          </cell>
          <cell r="V521">
            <v>44301</v>
          </cell>
          <cell r="W521">
            <v>44301</v>
          </cell>
          <cell r="X521">
            <v>41100235</v>
          </cell>
        </row>
        <row r="522">
          <cell r="K522" t="str">
            <v>DBW-2161</v>
          </cell>
          <cell r="L522">
            <v>44287</v>
          </cell>
          <cell r="M522">
            <v>44288</v>
          </cell>
          <cell r="N522">
            <v>44305</v>
          </cell>
          <cell r="O522">
            <v>44288</v>
          </cell>
          <cell r="P522">
            <v>44305</v>
          </cell>
          <cell r="Q522">
            <v>44300</v>
          </cell>
          <cell r="R522">
            <v>44300</v>
          </cell>
          <cell r="S522"/>
          <cell r="T522">
            <v>44301</v>
          </cell>
          <cell r="U522">
            <v>44306</v>
          </cell>
          <cell r="V522">
            <v>44307</v>
          </cell>
          <cell r="W522">
            <v>44307</v>
          </cell>
          <cell r="X522">
            <v>41100258</v>
          </cell>
        </row>
        <row r="523">
          <cell r="K523" t="str">
            <v>GBWS-1080</v>
          </cell>
          <cell r="L523">
            <v>44293</v>
          </cell>
          <cell r="M523">
            <v>44294</v>
          </cell>
          <cell r="N523">
            <v>44311</v>
          </cell>
          <cell r="O523">
            <v>44294</v>
          </cell>
          <cell r="P523">
            <v>44311</v>
          </cell>
          <cell r="Q523">
            <v>44309</v>
          </cell>
          <cell r="R523">
            <v>44309</v>
          </cell>
          <cell r="S523"/>
          <cell r="T523">
            <v>44312</v>
          </cell>
          <cell r="U523">
            <v>44312</v>
          </cell>
          <cell r="V523">
            <v>44312</v>
          </cell>
          <cell r="W523">
            <v>44312</v>
          </cell>
          <cell r="X523">
            <v>41100087</v>
          </cell>
        </row>
        <row r="524">
          <cell r="K524" t="str">
            <v>GBWS-1081</v>
          </cell>
          <cell r="L524">
            <v>44293</v>
          </cell>
          <cell r="M524">
            <v>44294</v>
          </cell>
          <cell r="N524">
            <v>44311</v>
          </cell>
          <cell r="O524">
            <v>44294</v>
          </cell>
          <cell r="P524">
            <v>44311</v>
          </cell>
          <cell r="Q524">
            <v>44309</v>
          </cell>
          <cell r="R524">
            <v>44309</v>
          </cell>
          <cell r="S524"/>
          <cell r="T524">
            <v>44311</v>
          </cell>
          <cell r="U524">
            <v>44312</v>
          </cell>
          <cell r="V524">
            <v>44312</v>
          </cell>
          <cell r="W524">
            <v>44312</v>
          </cell>
          <cell r="X524">
            <v>41100087</v>
          </cell>
        </row>
        <row r="525">
          <cell r="K525" t="str">
            <v>GBWS-1082</v>
          </cell>
          <cell r="L525">
            <v>44293</v>
          </cell>
          <cell r="M525">
            <v>44294</v>
          </cell>
          <cell r="N525">
            <v>44311</v>
          </cell>
          <cell r="O525">
            <v>44294</v>
          </cell>
          <cell r="P525">
            <v>44311</v>
          </cell>
          <cell r="Q525">
            <v>44309</v>
          </cell>
          <cell r="R525">
            <v>44309</v>
          </cell>
          <cell r="S525"/>
          <cell r="T525">
            <v>44311</v>
          </cell>
          <cell r="U525">
            <v>44311</v>
          </cell>
          <cell r="V525">
            <v>44312</v>
          </cell>
          <cell r="W525">
            <v>44312</v>
          </cell>
          <cell r="X525">
            <v>41100087</v>
          </cell>
        </row>
        <row r="526">
          <cell r="K526" t="str">
            <v>GBWS-1083</v>
          </cell>
          <cell r="L526">
            <v>44293</v>
          </cell>
          <cell r="M526">
            <v>44294</v>
          </cell>
          <cell r="N526">
            <v>44311</v>
          </cell>
          <cell r="O526">
            <v>44294</v>
          </cell>
          <cell r="P526">
            <v>44311</v>
          </cell>
          <cell r="Q526">
            <v>44309</v>
          </cell>
          <cell r="R526">
            <v>44309</v>
          </cell>
          <cell r="S526"/>
          <cell r="T526">
            <v>44311</v>
          </cell>
          <cell r="U526">
            <v>44311</v>
          </cell>
          <cell r="V526">
            <v>44312</v>
          </cell>
          <cell r="W526">
            <v>44312</v>
          </cell>
          <cell r="X526">
            <v>41100087</v>
          </cell>
        </row>
        <row r="527">
          <cell r="K527" t="str">
            <v>GBWS-1084</v>
          </cell>
          <cell r="L527">
            <v>44293</v>
          </cell>
          <cell r="M527">
            <v>44294</v>
          </cell>
          <cell r="N527">
            <v>44311</v>
          </cell>
          <cell r="O527">
            <v>44294</v>
          </cell>
          <cell r="P527">
            <v>44311</v>
          </cell>
          <cell r="Q527">
            <v>44309</v>
          </cell>
          <cell r="R527">
            <v>44309</v>
          </cell>
          <cell r="S527"/>
          <cell r="T527">
            <v>44311</v>
          </cell>
          <cell r="U527">
            <v>44312</v>
          </cell>
          <cell r="V527">
            <v>44312</v>
          </cell>
          <cell r="W527">
            <v>44312</v>
          </cell>
          <cell r="X527">
            <v>41100087</v>
          </cell>
        </row>
        <row r="528">
          <cell r="K528" t="str">
            <v>GBWS-1085</v>
          </cell>
          <cell r="L528">
            <v>44293</v>
          </cell>
          <cell r="M528">
            <v>44294</v>
          </cell>
          <cell r="N528">
            <v>44311</v>
          </cell>
          <cell r="O528">
            <v>44294</v>
          </cell>
          <cell r="P528">
            <v>44311</v>
          </cell>
          <cell r="Q528">
            <v>44309</v>
          </cell>
          <cell r="R528">
            <v>44309</v>
          </cell>
          <cell r="S528"/>
          <cell r="T528">
            <v>44311</v>
          </cell>
          <cell r="U528">
            <v>44311</v>
          </cell>
          <cell r="V528">
            <v>44312</v>
          </cell>
          <cell r="W528">
            <v>44312</v>
          </cell>
          <cell r="X528">
            <v>41100087</v>
          </cell>
        </row>
        <row r="529">
          <cell r="K529" t="str">
            <v>GBWS-1086</v>
          </cell>
          <cell r="L529">
            <v>44293</v>
          </cell>
          <cell r="M529">
            <v>44294</v>
          </cell>
          <cell r="N529">
            <v>44311</v>
          </cell>
          <cell r="O529">
            <v>44294</v>
          </cell>
          <cell r="P529">
            <v>44311</v>
          </cell>
          <cell r="Q529">
            <v>44309</v>
          </cell>
          <cell r="R529">
            <v>44309</v>
          </cell>
          <cell r="S529"/>
          <cell r="T529">
            <v>44311</v>
          </cell>
          <cell r="U529">
            <v>44311</v>
          </cell>
          <cell r="V529">
            <v>44312</v>
          </cell>
          <cell r="W529">
            <v>44312</v>
          </cell>
          <cell r="X529">
            <v>41100087</v>
          </cell>
        </row>
        <row r="530">
          <cell r="K530" t="str">
            <v>GBWS-1087</v>
          </cell>
          <cell r="L530">
            <v>44293</v>
          </cell>
          <cell r="M530">
            <v>44294</v>
          </cell>
          <cell r="N530">
            <v>44311</v>
          </cell>
          <cell r="O530">
            <v>44294</v>
          </cell>
          <cell r="P530">
            <v>44311</v>
          </cell>
          <cell r="Q530">
            <v>44309</v>
          </cell>
          <cell r="R530">
            <v>44309</v>
          </cell>
          <cell r="S530"/>
          <cell r="T530">
            <v>44312</v>
          </cell>
          <cell r="U530">
            <v>44312</v>
          </cell>
          <cell r="V530">
            <v>44312</v>
          </cell>
          <cell r="W530">
            <v>44312</v>
          </cell>
          <cell r="X530">
            <v>41100087</v>
          </cell>
        </row>
        <row r="531">
          <cell r="K531" t="str">
            <v>GBWS-1141</v>
          </cell>
          <cell r="L531">
            <v>44293</v>
          </cell>
          <cell r="M531">
            <v>44294</v>
          </cell>
          <cell r="N531">
            <v>44311</v>
          </cell>
          <cell r="O531">
            <v>44294</v>
          </cell>
          <cell r="P531">
            <v>44311</v>
          </cell>
          <cell r="Q531">
            <v>44309</v>
          </cell>
          <cell r="R531">
            <v>44309</v>
          </cell>
          <cell r="S531"/>
          <cell r="T531">
            <v>44311</v>
          </cell>
          <cell r="U531">
            <v>44312</v>
          </cell>
          <cell r="V531">
            <v>44312</v>
          </cell>
          <cell r="W531">
            <v>44312</v>
          </cell>
          <cell r="X531">
            <v>41100087</v>
          </cell>
        </row>
        <row r="532">
          <cell r="K532" t="str">
            <v>SOS-0235</v>
          </cell>
          <cell r="L532">
            <v>44290</v>
          </cell>
          <cell r="M532">
            <v>44291</v>
          </cell>
          <cell r="N532">
            <v>44294</v>
          </cell>
          <cell r="O532">
            <v>44291</v>
          </cell>
          <cell r="P532">
            <v>44294</v>
          </cell>
          <cell r="Q532"/>
          <cell r="R532"/>
          <cell r="S532"/>
          <cell r="T532">
            <v>44294</v>
          </cell>
          <cell r="U532">
            <v>44294</v>
          </cell>
          <cell r="V532">
            <v>44294</v>
          </cell>
          <cell r="W532">
            <v>44294</v>
          </cell>
          <cell r="X532">
            <v>41100215</v>
          </cell>
        </row>
        <row r="533">
          <cell r="K533" t="str">
            <v>SOS-0236</v>
          </cell>
          <cell r="L533">
            <v>44290</v>
          </cell>
          <cell r="M533">
            <v>44291</v>
          </cell>
          <cell r="N533">
            <v>44294</v>
          </cell>
          <cell r="O533">
            <v>44291</v>
          </cell>
          <cell r="P533">
            <v>44294</v>
          </cell>
          <cell r="Q533"/>
          <cell r="R533"/>
          <cell r="S533"/>
          <cell r="T533">
            <v>44294</v>
          </cell>
          <cell r="U533">
            <v>44294</v>
          </cell>
          <cell r="V533">
            <v>44294</v>
          </cell>
          <cell r="W533">
            <v>44294</v>
          </cell>
          <cell r="X533">
            <v>41100215</v>
          </cell>
        </row>
        <row r="534">
          <cell r="K534" t="str">
            <v>DBW-2077</v>
          </cell>
          <cell r="L534">
            <v>44253</v>
          </cell>
          <cell r="M534">
            <v>44253</v>
          </cell>
          <cell r="N534">
            <v>44272</v>
          </cell>
          <cell r="O534">
            <v>44253</v>
          </cell>
          <cell r="P534">
            <v>44272</v>
          </cell>
          <cell r="Q534">
            <v>44270</v>
          </cell>
          <cell r="R534">
            <v>44270</v>
          </cell>
          <cell r="S534"/>
          <cell r="T534">
            <v>44273</v>
          </cell>
          <cell r="U534">
            <v>44273</v>
          </cell>
          <cell r="V534">
            <v>44273</v>
          </cell>
          <cell r="W534">
            <v>44278</v>
          </cell>
          <cell r="X534">
            <v>41100258</v>
          </cell>
        </row>
        <row r="535">
          <cell r="K535" t="str">
            <v>DBW-2137</v>
          </cell>
          <cell r="L535">
            <v>44277</v>
          </cell>
          <cell r="M535">
            <v>44278</v>
          </cell>
          <cell r="N535">
            <v>44306</v>
          </cell>
          <cell r="O535">
            <v>44278</v>
          </cell>
          <cell r="P535">
            <v>44296</v>
          </cell>
          <cell r="Q535">
            <v>44295</v>
          </cell>
          <cell r="R535">
            <v>44295</v>
          </cell>
          <cell r="S535"/>
          <cell r="T535">
            <v>44306</v>
          </cell>
          <cell r="U535">
            <v>44307</v>
          </cell>
          <cell r="V535">
            <v>44307</v>
          </cell>
          <cell r="W535">
            <v>44307</v>
          </cell>
          <cell r="X535">
            <v>41100291</v>
          </cell>
        </row>
        <row r="536">
          <cell r="K536" t="str">
            <v>DBW-2164</v>
          </cell>
          <cell r="L536">
            <v>44295</v>
          </cell>
          <cell r="M536">
            <v>44298</v>
          </cell>
          <cell r="N536">
            <v>44312</v>
          </cell>
          <cell r="O536">
            <v>44298</v>
          </cell>
          <cell r="P536">
            <v>44312</v>
          </cell>
          <cell r="Q536">
            <v>44308</v>
          </cell>
          <cell r="R536">
            <v>44308</v>
          </cell>
          <cell r="S536"/>
          <cell r="T536">
            <v>44313</v>
          </cell>
          <cell r="U536">
            <v>44314</v>
          </cell>
          <cell r="V536">
            <v>44314</v>
          </cell>
          <cell r="W536">
            <v>44314</v>
          </cell>
          <cell r="X536">
            <v>41100255</v>
          </cell>
        </row>
        <row r="537">
          <cell r="K537" t="str">
            <v>DBW-2165</v>
          </cell>
          <cell r="L537">
            <v>44295</v>
          </cell>
          <cell r="M537">
            <v>44298</v>
          </cell>
          <cell r="N537">
            <v>44312</v>
          </cell>
          <cell r="O537">
            <v>44298</v>
          </cell>
          <cell r="P537">
            <v>44312</v>
          </cell>
          <cell r="Q537">
            <v>44308</v>
          </cell>
          <cell r="R537">
            <v>44308</v>
          </cell>
          <cell r="S537"/>
          <cell r="T537">
            <v>44313</v>
          </cell>
          <cell r="U537">
            <v>44314</v>
          </cell>
          <cell r="V537">
            <v>44314</v>
          </cell>
          <cell r="W537">
            <v>44314</v>
          </cell>
          <cell r="X537">
            <v>41100255</v>
          </cell>
        </row>
        <row r="538">
          <cell r="K538" t="str">
            <v>DBW-2166</v>
          </cell>
          <cell r="L538">
            <v>44295</v>
          </cell>
          <cell r="M538">
            <v>44298</v>
          </cell>
          <cell r="N538">
            <v>44312</v>
          </cell>
          <cell r="O538">
            <v>44298</v>
          </cell>
          <cell r="P538">
            <v>44313</v>
          </cell>
          <cell r="Q538">
            <v>44312</v>
          </cell>
          <cell r="R538">
            <v>44312</v>
          </cell>
          <cell r="S538"/>
          <cell r="T538">
            <v>44313</v>
          </cell>
          <cell r="U538">
            <v>44314</v>
          </cell>
          <cell r="V538">
            <v>44314</v>
          </cell>
          <cell r="W538">
            <v>44314</v>
          </cell>
          <cell r="X538">
            <v>41100323</v>
          </cell>
        </row>
        <row r="539">
          <cell r="K539" t="str">
            <v>DBW-2167</v>
          </cell>
          <cell r="L539">
            <v>44295</v>
          </cell>
          <cell r="M539">
            <v>44298</v>
          </cell>
          <cell r="N539">
            <v>44312</v>
          </cell>
          <cell r="O539">
            <v>44298</v>
          </cell>
          <cell r="P539">
            <v>44313</v>
          </cell>
          <cell r="Q539">
            <v>44312</v>
          </cell>
          <cell r="R539">
            <v>44312</v>
          </cell>
          <cell r="S539"/>
          <cell r="T539">
            <v>44313</v>
          </cell>
          <cell r="U539">
            <v>44314</v>
          </cell>
          <cell r="V539">
            <v>44314</v>
          </cell>
          <cell r="W539">
            <v>44314</v>
          </cell>
          <cell r="X539">
            <v>41100323</v>
          </cell>
        </row>
        <row r="540">
          <cell r="K540" t="str">
            <v>GBWS-0147</v>
          </cell>
          <cell r="L540">
            <v>43433</v>
          </cell>
          <cell r="M540">
            <v>44249</v>
          </cell>
          <cell r="N540">
            <v>44291</v>
          </cell>
          <cell r="O540">
            <v>44249</v>
          </cell>
          <cell r="P540">
            <v>44291</v>
          </cell>
          <cell r="Q540">
            <v>44274</v>
          </cell>
          <cell r="R540">
            <v>44274</v>
          </cell>
          <cell r="S540"/>
          <cell r="T540">
            <v>44292</v>
          </cell>
          <cell r="U540">
            <v>44293</v>
          </cell>
          <cell r="V540">
            <v>44293</v>
          </cell>
          <cell r="W540">
            <v>44294</v>
          </cell>
          <cell r="X540" t="str">
            <v>41100044 → 41100209</v>
          </cell>
        </row>
        <row r="541">
          <cell r="K541"/>
          <cell r="L541"/>
          <cell r="M541"/>
          <cell r="N541"/>
          <cell r="O541"/>
          <cell r="P541"/>
          <cell r="Q541"/>
          <cell r="R541"/>
          <cell r="S541"/>
          <cell r="T541"/>
          <cell r="U541"/>
          <cell r="V541"/>
          <cell r="W541"/>
          <cell r="X541"/>
        </row>
        <row r="542">
          <cell r="K542" t="str">
            <v>WS-0031</v>
          </cell>
          <cell r="L542">
            <v>44273</v>
          </cell>
          <cell r="M542">
            <v>44274</v>
          </cell>
          <cell r="N542">
            <v>44292</v>
          </cell>
          <cell r="O542">
            <v>44274</v>
          </cell>
          <cell r="P542">
            <v>44292</v>
          </cell>
          <cell r="Q542">
            <v>44288</v>
          </cell>
          <cell r="R542">
            <v>44288</v>
          </cell>
          <cell r="S542"/>
          <cell r="T542">
            <v>44292</v>
          </cell>
          <cell r="U542">
            <v>44295</v>
          </cell>
          <cell r="V542">
            <v>44302</v>
          </cell>
          <cell r="W542">
            <v>44302</v>
          </cell>
          <cell r="X542">
            <v>41100300</v>
          </cell>
        </row>
        <row r="543">
          <cell r="K543" t="str">
            <v>DBW-2168</v>
          </cell>
          <cell r="L543">
            <v>44298</v>
          </cell>
          <cell r="M543">
            <v>44299</v>
          </cell>
          <cell r="N543">
            <v>44314</v>
          </cell>
          <cell r="O543">
            <v>44299</v>
          </cell>
          <cell r="P543">
            <v>44314</v>
          </cell>
          <cell r="Q543">
            <v>44313</v>
          </cell>
          <cell r="R543">
            <v>44313</v>
          </cell>
          <cell r="S543"/>
          <cell r="T543">
            <v>44314</v>
          </cell>
          <cell r="U543">
            <v>44315</v>
          </cell>
          <cell r="V543">
            <v>44315</v>
          </cell>
          <cell r="W543">
            <v>44315</v>
          </cell>
          <cell r="X543">
            <v>41100229</v>
          </cell>
        </row>
        <row r="544">
          <cell r="K544" t="str">
            <v>DBW-1547</v>
          </cell>
          <cell r="L544">
            <v>43724</v>
          </cell>
          <cell r="M544">
            <v>43724</v>
          </cell>
          <cell r="N544">
            <v>43742</v>
          </cell>
          <cell r="O544">
            <v>43724</v>
          </cell>
          <cell r="P544">
            <v>43745</v>
          </cell>
          <cell r="Q544"/>
          <cell r="R544"/>
          <cell r="S544"/>
          <cell r="T544">
            <v>43746</v>
          </cell>
          <cell r="U544">
            <v>43746</v>
          </cell>
          <cell r="V544">
            <v>43746</v>
          </cell>
          <cell r="W544">
            <v>43746</v>
          </cell>
          <cell r="X544" t="str">
            <v>41100070 →41100310</v>
          </cell>
        </row>
        <row r="545">
          <cell r="K545"/>
          <cell r="L545"/>
          <cell r="M545">
            <v>44300</v>
          </cell>
          <cell r="N545">
            <v>44315</v>
          </cell>
          <cell r="O545">
            <v>44300</v>
          </cell>
          <cell r="P545">
            <v>44315</v>
          </cell>
          <cell r="Q545"/>
          <cell r="R545"/>
          <cell r="S545"/>
          <cell r="T545">
            <v>44315</v>
          </cell>
          <cell r="U545">
            <v>44316</v>
          </cell>
          <cell r="V545">
            <v>44316</v>
          </cell>
          <cell r="W545">
            <v>44316</v>
          </cell>
          <cell r="X545"/>
        </row>
        <row r="546">
          <cell r="K546" t="str">
            <v>DBW-2012</v>
          </cell>
          <cell r="L546">
            <v>44229</v>
          </cell>
          <cell r="M546">
            <v>44229</v>
          </cell>
          <cell r="N546">
            <v>44244</v>
          </cell>
          <cell r="O546">
            <v>44229</v>
          </cell>
          <cell r="P546">
            <v>44252</v>
          </cell>
          <cell r="Q546">
            <v>44252</v>
          </cell>
          <cell r="R546">
            <v>44252</v>
          </cell>
          <cell r="S546"/>
          <cell r="T546">
            <v>44257</v>
          </cell>
          <cell r="U546">
            <v>44258</v>
          </cell>
          <cell r="V546">
            <v>44259</v>
          </cell>
          <cell r="W546">
            <v>44259</v>
          </cell>
          <cell r="X546">
            <v>41100260</v>
          </cell>
        </row>
        <row r="547">
          <cell r="K547" t="str">
            <v>DBW-2013</v>
          </cell>
          <cell r="L547">
            <v>44229</v>
          </cell>
          <cell r="M547">
            <v>44229</v>
          </cell>
          <cell r="N547">
            <v>44244</v>
          </cell>
          <cell r="O547">
            <v>44229</v>
          </cell>
          <cell r="P547">
            <v>44252</v>
          </cell>
          <cell r="Q547">
            <v>44252</v>
          </cell>
          <cell r="R547">
            <v>44252</v>
          </cell>
          <cell r="S547"/>
          <cell r="T547">
            <v>44257</v>
          </cell>
          <cell r="U547">
            <v>44258</v>
          </cell>
          <cell r="V547">
            <v>44259</v>
          </cell>
          <cell r="W547">
            <v>44259</v>
          </cell>
          <cell r="X547">
            <v>41100260</v>
          </cell>
        </row>
        <row r="548">
          <cell r="K548" t="str">
            <v>DBW-2038</v>
          </cell>
          <cell r="L548">
            <v>44236</v>
          </cell>
          <cell r="M548">
            <v>44237</v>
          </cell>
          <cell r="N548">
            <v>44250</v>
          </cell>
          <cell r="O548">
            <v>44237</v>
          </cell>
          <cell r="P548">
            <v>44252</v>
          </cell>
          <cell r="Q548">
            <v>44252</v>
          </cell>
          <cell r="R548">
            <v>44252</v>
          </cell>
          <cell r="S548"/>
          <cell r="T548">
            <v>44253</v>
          </cell>
          <cell r="U548">
            <v>44253</v>
          </cell>
          <cell r="V548">
            <v>44255</v>
          </cell>
          <cell r="W548">
            <v>44255</v>
          </cell>
          <cell r="X548">
            <v>41100259</v>
          </cell>
        </row>
        <row r="549">
          <cell r="K549" t="str">
            <v>DBW-2031</v>
          </cell>
          <cell r="L549">
            <v>44236</v>
          </cell>
          <cell r="M549">
            <v>44237</v>
          </cell>
          <cell r="N549">
            <v>44250</v>
          </cell>
          <cell r="O549">
            <v>44237</v>
          </cell>
          <cell r="P549">
            <v>44252</v>
          </cell>
          <cell r="Q549">
            <v>44252</v>
          </cell>
          <cell r="R549">
            <v>44252</v>
          </cell>
          <cell r="S549"/>
          <cell r="T549">
            <v>44253</v>
          </cell>
          <cell r="U549">
            <v>44253</v>
          </cell>
          <cell r="V549">
            <v>44255</v>
          </cell>
          <cell r="W549">
            <v>44255</v>
          </cell>
          <cell r="X549">
            <v>41100259</v>
          </cell>
        </row>
        <row r="550">
          <cell r="K550" t="str">
            <v>DBW-2097</v>
          </cell>
          <cell r="L550">
            <v>44263</v>
          </cell>
          <cell r="M550">
            <v>44263</v>
          </cell>
          <cell r="N550">
            <v>44284</v>
          </cell>
          <cell r="O550">
            <v>44263</v>
          </cell>
          <cell r="P550">
            <v>44285</v>
          </cell>
          <cell r="Q550">
            <v>44284</v>
          </cell>
          <cell r="R550">
            <v>44284</v>
          </cell>
          <cell r="S550"/>
          <cell r="T550">
            <v>44286</v>
          </cell>
          <cell r="U550">
            <v>44286</v>
          </cell>
          <cell r="V550">
            <v>44286</v>
          </cell>
          <cell r="W550">
            <v>44287</v>
          </cell>
          <cell r="X550">
            <v>41100261</v>
          </cell>
        </row>
        <row r="551">
          <cell r="K551" t="str">
            <v>DBW-2129</v>
          </cell>
          <cell r="L551">
            <v>44270</v>
          </cell>
          <cell r="M551">
            <v>44271</v>
          </cell>
          <cell r="N551">
            <v>44287</v>
          </cell>
          <cell r="O551">
            <v>44271</v>
          </cell>
          <cell r="P551">
            <v>44286</v>
          </cell>
          <cell r="Q551">
            <v>44285</v>
          </cell>
          <cell r="R551">
            <v>44285</v>
          </cell>
          <cell r="S551"/>
          <cell r="T551">
            <v>44287</v>
          </cell>
          <cell r="U551">
            <v>44288</v>
          </cell>
          <cell r="V551">
            <v>44288</v>
          </cell>
          <cell r="W551">
            <v>44290</v>
          </cell>
          <cell r="X551">
            <v>41100258</v>
          </cell>
        </row>
        <row r="552">
          <cell r="K552" t="str">
            <v>GBWS-1101</v>
          </cell>
          <cell r="L552">
            <v>44299</v>
          </cell>
          <cell r="M552">
            <v>44299</v>
          </cell>
          <cell r="N552">
            <v>44314</v>
          </cell>
          <cell r="O552">
            <v>44299</v>
          </cell>
          <cell r="P552">
            <v>44314</v>
          </cell>
          <cell r="Q552"/>
          <cell r="R552"/>
          <cell r="S552"/>
          <cell r="T552">
            <v>44315</v>
          </cell>
          <cell r="U552">
            <v>44316</v>
          </cell>
          <cell r="V552">
            <v>44316</v>
          </cell>
          <cell r="W552">
            <v>44316</v>
          </cell>
          <cell r="X552">
            <v>41100325</v>
          </cell>
        </row>
        <row r="553">
          <cell r="K553" t="str">
            <v>GBWS-1102</v>
          </cell>
          <cell r="L553">
            <v>44299</v>
          </cell>
          <cell r="M553">
            <v>44299</v>
          </cell>
          <cell r="N553">
            <v>44314</v>
          </cell>
          <cell r="O553">
            <v>44299</v>
          </cell>
          <cell r="P553">
            <v>44314</v>
          </cell>
          <cell r="Q553"/>
          <cell r="R553"/>
          <cell r="S553"/>
          <cell r="T553">
            <v>44315</v>
          </cell>
          <cell r="U553">
            <v>44316</v>
          </cell>
          <cell r="V553">
            <v>44316</v>
          </cell>
          <cell r="W553">
            <v>44316</v>
          </cell>
          <cell r="X553">
            <v>41100325</v>
          </cell>
        </row>
        <row r="554">
          <cell r="K554" t="str">
            <v>DBW-2100</v>
          </cell>
          <cell r="L554">
            <v>44262</v>
          </cell>
          <cell r="M554">
            <v>44263</v>
          </cell>
          <cell r="N554">
            <v>44278</v>
          </cell>
          <cell r="O554">
            <v>44263</v>
          </cell>
          <cell r="P554">
            <v>44278</v>
          </cell>
          <cell r="Q554"/>
          <cell r="R554"/>
          <cell r="S554"/>
          <cell r="T554">
            <v>44279</v>
          </cell>
          <cell r="U554">
            <v>44280</v>
          </cell>
          <cell r="V554">
            <v>44280</v>
          </cell>
          <cell r="W554">
            <v>44280</v>
          </cell>
          <cell r="X554">
            <v>41100174</v>
          </cell>
        </row>
        <row r="555">
          <cell r="K555" t="str">
            <v>DBW-2101</v>
          </cell>
          <cell r="L555">
            <v>44262</v>
          </cell>
          <cell r="M555">
            <v>44263</v>
          </cell>
          <cell r="N555">
            <v>44278</v>
          </cell>
          <cell r="O555">
            <v>44263</v>
          </cell>
          <cell r="P555">
            <v>44278</v>
          </cell>
          <cell r="Q555"/>
          <cell r="R555"/>
          <cell r="S555"/>
          <cell r="T555">
            <v>44279</v>
          </cell>
          <cell r="U555">
            <v>44280</v>
          </cell>
          <cell r="V555">
            <v>44280</v>
          </cell>
          <cell r="W555">
            <v>44280</v>
          </cell>
          <cell r="X555">
            <v>41100174</v>
          </cell>
        </row>
        <row r="556">
          <cell r="K556" t="str">
            <v>DBW-2151</v>
          </cell>
          <cell r="L556">
            <v>44287</v>
          </cell>
          <cell r="M556">
            <v>44288</v>
          </cell>
          <cell r="N556">
            <v>44307</v>
          </cell>
          <cell r="O556">
            <v>44288</v>
          </cell>
          <cell r="P556">
            <v>44308</v>
          </cell>
          <cell r="Q556">
            <v>44307</v>
          </cell>
          <cell r="R556">
            <v>44307</v>
          </cell>
          <cell r="S556"/>
          <cell r="T556">
            <v>44307</v>
          </cell>
          <cell r="U556">
            <v>44309</v>
          </cell>
          <cell r="V556">
            <v>44311</v>
          </cell>
          <cell r="W556">
            <v>44311</v>
          </cell>
          <cell r="X556">
            <v>41100173</v>
          </cell>
        </row>
        <row r="557">
          <cell r="K557" t="str">
            <v>DBW-2152</v>
          </cell>
          <cell r="L557">
            <v>44287</v>
          </cell>
          <cell r="M557">
            <v>44288</v>
          </cell>
          <cell r="N557">
            <v>44307</v>
          </cell>
          <cell r="O557">
            <v>44288</v>
          </cell>
          <cell r="P557">
            <v>44308</v>
          </cell>
          <cell r="Q557">
            <v>44307</v>
          </cell>
          <cell r="R557">
            <v>44307</v>
          </cell>
          <cell r="S557"/>
          <cell r="T557">
            <v>44307</v>
          </cell>
          <cell r="U557">
            <v>44309</v>
          </cell>
          <cell r="V557">
            <v>44311</v>
          </cell>
          <cell r="W557">
            <v>44311</v>
          </cell>
          <cell r="X557">
            <v>41100173</v>
          </cell>
        </row>
        <row r="558">
          <cell r="K558" t="str">
            <v>DBW-2157</v>
          </cell>
          <cell r="L558">
            <v>44287</v>
          </cell>
          <cell r="M558">
            <v>44288</v>
          </cell>
          <cell r="N558">
            <v>44308</v>
          </cell>
          <cell r="O558">
            <v>44288</v>
          </cell>
          <cell r="P558">
            <v>44308</v>
          </cell>
          <cell r="Q558">
            <v>44307</v>
          </cell>
          <cell r="R558">
            <v>44307</v>
          </cell>
          <cell r="S558"/>
          <cell r="T558">
            <v>44307</v>
          </cell>
          <cell r="U558">
            <v>44308</v>
          </cell>
          <cell r="V558">
            <v>44309</v>
          </cell>
          <cell r="W558">
            <v>44312</v>
          </cell>
          <cell r="X558">
            <v>41100173</v>
          </cell>
        </row>
        <row r="559">
          <cell r="K559" t="str">
            <v>DBW-2158</v>
          </cell>
          <cell r="L559">
            <v>44287</v>
          </cell>
          <cell r="M559">
            <v>44288</v>
          </cell>
          <cell r="N559">
            <v>44308</v>
          </cell>
          <cell r="O559">
            <v>44288</v>
          </cell>
          <cell r="P559">
            <v>44308</v>
          </cell>
          <cell r="Q559">
            <v>44307</v>
          </cell>
          <cell r="R559">
            <v>44307</v>
          </cell>
          <cell r="S559"/>
          <cell r="T559">
            <v>44307</v>
          </cell>
          <cell r="U559">
            <v>44309</v>
          </cell>
          <cell r="V559">
            <v>44311</v>
          </cell>
          <cell r="W559">
            <v>44311</v>
          </cell>
          <cell r="X559">
            <v>41100173</v>
          </cell>
        </row>
        <row r="560">
          <cell r="K560" t="str">
            <v>GBWS-1100</v>
          </cell>
          <cell r="L560">
            <v>44293</v>
          </cell>
          <cell r="M560">
            <v>44294</v>
          </cell>
          <cell r="N560">
            <v>44311</v>
          </cell>
          <cell r="O560">
            <v>44294</v>
          </cell>
          <cell r="P560">
            <v>44311</v>
          </cell>
          <cell r="Q560">
            <v>44309</v>
          </cell>
          <cell r="R560">
            <v>44309</v>
          </cell>
          <cell r="S560"/>
          <cell r="T560">
            <v>44312</v>
          </cell>
          <cell r="U560">
            <v>44312</v>
          </cell>
          <cell r="V560">
            <v>44312</v>
          </cell>
          <cell r="W560">
            <v>44313</v>
          </cell>
          <cell r="X560">
            <v>41100087</v>
          </cell>
        </row>
        <row r="561">
          <cell r="K561" t="str">
            <v>DBW-2169</v>
          </cell>
          <cell r="L561">
            <v>44298</v>
          </cell>
          <cell r="M561">
            <v>44299</v>
          </cell>
          <cell r="N561">
            <v>44314</v>
          </cell>
          <cell r="O561">
            <v>44299</v>
          </cell>
          <cell r="P561">
            <v>44314</v>
          </cell>
          <cell r="Q561">
            <v>44313</v>
          </cell>
          <cell r="R561">
            <v>44313</v>
          </cell>
          <cell r="S561"/>
          <cell r="T561">
            <v>44314</v>
          </cell>
          <cell r="U561">
            <v>44315</v>
          </cell>
          <cell r="V561">
            <v>44316</v>
          </cell>
          <cell r="W561">
            <v>44316</v>
          </cell>
          <cell r="X561">
            <v>41100229</v>
          </cell>
        </row>
        <row r="562">
          <cell r="K562" t="str">
            <v>DBW-2153</v>
          </cell>
          <cell r="L562">
            <v>44287</v>
          </cell>
          <cell r="M562">
            <v>44288</v>
          </cell>
          <cell r="N562">
            <v>44307</v>
          </cell>
          <cell r="O562">
            <v>44288</v>
          </cell>
          <cell r="P562">
            <v>44308</v>
          </cell>
          <cell r="Q562">
            <v>44307</v>
          </cell>
          <cell r="R562">
            <v>44307</v>
          </cell>
          <cell r="S562"/>
          <cell r="T562">
            <v>44307</v>
          </cell>
          <cell r="U562">
            <v>44308</v>
          </cell>
          <cell r="V562">
            <v>44311</v>
          </cell>
          <cell r="W562">
            <v>44311</v>
          </cell>
          <cell r="X562">
            <v>41100169</v>
          </cell>
        </row>
        <row r="563">
          <cell r="K563" t="str">
            <v>DBW-2154</v>
          </cell>
          <cell r="L563">
            <v>44287</v>
          </cell>
          <cell r="M563">
            <v>44288</v>
          </cell>
          <cell r="N563">
            <v>44307</v>
          </cell>
          <cell r="O563">
            <v>44288</v>
          </cell>
          <cell r="P563">
            <v>44308</v>
          </cell>
          <cell r="Q563">
            <v>44307</v>
          </cell>
          <cell r="R563">
            <v>44307</v>
          </cell>
          <cell r="S563"/>
          <cell r="T563">
            <v>44307</v>
          </cell>
          <cell r="U563">
            <v>44309</v>
          </cell>
          <cell r="V563">
            <v>44311</v>
          </cell>
          <cell r="W563">
            <v>44311</v>
          </cell>
          <cell r="X563">
            <v>41100169</v>
          </cell>
        </row>
        <row r="564">
          <cell r="K564" t="str">
            <v>DBW-2149</v>
          </cell>
          <cell r="L564">
            <v>44287</v>
          </cell>
          <cell r="M564">
            <v>44288</v>
          </cell>
          <cell r="N564">
            <v>44308</v>
          </cell>
          <cell r="O564">
            <v>44288</v>
          </cell>
          <cell r="P564">
            <v>44307</v>
          </cell>
          <cell r="Q564">
            <v>44307</v>
          </cell>
          <cell r="R564">
            <v>44307</v>
          </cell>
          <cell r="S564"/>
          <cell r="T564">
            <v>44308</v>
          </cell>
          <cell r="U564">
            <v>44309</v>
          </cell>
          <cell r="V564">
            <v>44310</v>
          </cell>
          <cell r="W564">
            <v>44311</v>
          </cell>
          <cell r="X564">
            <v>41100172</v>
          </cell>
        </row>
        <row r="565">
          <cell r="K565" t="str">
            <v>DBW-2150</v>
          </cell>
          <cell r="L565">
            <v>44287</v>
          </cell>
          <cell r="M565">
            <v>44288</v>
          </cell>
          <cell r="N565">
            <v>44308</v>
          </cell>
          <cell r="O565">
            <v>44288</v>
          </cell>
          <cell r="P565">
            <v>44307</v>
          </cell>
          <cell r="Q565">
            <v>44307</v>
          </cell>
          <cell r="R565">
            <v>44307</v>
          </cell>
          <cell r="S565"/>
          <cell r="T565">
            <v>44308</v>
          </cell>
          <cell r="U565">
            <v>44309</v>
          </cell>
          <cell r="V565">
            <v>44311</v>
          </cell>
          <cell r="W565">
            <v>44311</v>
          </cell>
          <cell r="X565">
            <v>41100172</v>
          </cell>
        </row>
        <row r="566">
          <cell r="K566" t="str">
            <v>DBW-2172</v>
          </cell>
          <cell r="L566">
            <v>44301</v>
          </cell>
          <cell r="M566">
            <v>44302</v>
          </cell>
          <cell r="N566">
            <v>44319</v>
          </cell>
          <cell r="O566">
            <v>44302</v>
          </cell>
          <cell r="P566">
            <v>44319</v>
          </cell>
          <cell r="Q566">
            <v>44316</v>
          </cell>
          <cell r="R566">
            <v>44316</v>
          </cell>
          <cell r="S566"/>
          <cell r="T566">
            <v>44320</v>
          </cell>
          <cell r="U566">
            <v>44322</v>
          </cell>
          <cell r="V566">
            <v>44322</v>
          </cell>
          <cell r="W566">
            <v>44322</v>
          </cell>
          <cell r="X566">
            <v>41100174</v>
          </cell>
        </row>
        <row r="567">
          <cell r="K567" t="str">
            <v>DBW-2173</v>
          </cell>
          <cell r="L567">
            <v>44301</v>
          </cell>
          <cell r="M567">
            <v>44302</v>
          </cell>
          <cell r="N567">
            <v>44319</v>
          </cell>
          <cell r="O567">
            <v>44302</v>
          </cell>
          <cell r="P567">
            <v>44319</v>
          </cell>
          <cell r="Q567">
            <v>44319</v>
          </cell>
          <cell r="R567">
            <v>44319</v>
          </cell>
          <cell r="S567"/>
          <cell r="T567">
            <v>44320</v>
          </cell>
          <cell r="U567">
            <v>44322</v>
          </cell>
          <cell r="V567">
            <v>44322</v>
          </cell>
          <cell r="W567">
            <v>44322</v>
          </cell>
          <cell r="X567">
            <v>41100175</v>
          </cell>
        </row>
        <row r="568">
          <cell r="K568" t="str">
            <v>DBW-2174</v>
          </cell>
          <cell r="L568">
            <v>44301</v>
          </cell>
          <cell r="M568">
            <v>44302</v>
          </cell>
          <cell r="N568">
            <v>44319</v>
          </cell>
          <cell r="O568">
            <v>44302</v>
          </cell>
          <cell r="P568">
            <v>44319</v>
          </cell>
          <cell r="Q568">
            <v>44319</v>
          </cell>
          <cell r="R568">
            <v>44319</v>
          </cell>
          <cell r="S568"/>
          <cell r="T568">
            <v>44320</v>
          </cell>
          <cell r="U568">
            <v>44322</v>
          </cell>
          <cell r="V568">
            <v>44322</v>
          </cell>
          <cell r="W568">
            <v>44322</v>
          </cell>
          <cell r="X568">
            <v>41100175</v>
          </cell>
        </row>
        <row r="569">
          <cell r="K569" t="str">
            <v>SOS-0237</v>
          </cell>
          <cell r="L569">
            <v>44315</v>
          </cell>
          <cell r="M569">
            <v>44313</v>
          </cell>
          <cell r="N569">
            <v>44316</v>
          </cell>
          <cell r="O569">
            <v>44313</v>
          </cell>
          <cell r="P569">
            <v>44316</v>
          </cell>
          <cell r="Q569"/>
          <cell r="R569"/>
          <cell r="S569"/>
          <cell r="T569">
            <v>44319</v>
          </cell>
          <cell r="U569">
            <v>44319</v>
          </cell>
          <cell r="V569">
            <v>44319</v>
          </cell>
          <cell r="W569">
            <v>44322</v>
          </cell>
          <cell r="X569">
            <v>41100182</v>
          </cell>
        </row>
        <row r="570">
          <cell r="K570" t="str">
            <v>GBWS-1106</v>
          </cell>
          <cell r="L570">
            <v>44301</v>
          </cell>
          <cell r="M570">
            <v>44302</v>
          </cell>
          <cell r="N570">
            <v>44314</v>
          </cell>
          <cell r="O570">
            <v>44302</v>
          </cell>
          <cell r="P570">
            <v>44314</v>
          </cell>
          <cell r="Q570"/>
          <cell r="R570"/>
          <cell r="S570"/>
          <cell r="T570">
            <v>44320</v>
          </cell>
          <cell r="U570">
            <v>44320</v>
          </cell>
          <cell r="V570">
            <v>44322</v>
          </cell>
          <cell r="W570">
            <v>44322</v>
          </cell>
          <cell r="X570">
            <v>41100188</v>
          </cell>
        </row>
        <row r="571">
          <cell r="K571" t="str">
            <v>GBWS-1107</v>
          </cell>
          <cell r="L571">
            <v>44301</v>
          </cell>
          <cell r="M571">
            <v>44302</v>
          </cell>
          <cell r="N571">
            <v>44314</v>
          </cell>
          <cell r="O571">
            <v>44302</v>
          </cell>
          <cell r="P571">
            <v>44314</v>
          </cell>
          <cell r="Q571"/>
          <cell r="R571"/>
          <cell r="S571"/>
          <cell r="T571">
            <v>44320</v>
          </cell>
          <cell r="U571">
            <v>44320</v>
          </cell>
          <cell r="V571">
            <v>44322</v>
          </cell>
          <cell r="W571">
            <v>44322</v>
          </cell>
          <cell r="X571">
            <v>41100188</v>
          </cell>
        </row>
        <row r="572">
          <cell r="K572" t="str">
            <v>GBWS-1121</v>
          </cell>
          <cell r="L572">
            <v>44306</v>
          </cell>
          <cell r="M572">
            <v>44306</v>
          </cell>
          <cell r="N572">
            <v>44321</v>
          </cell>
          <cell r="O572">
            <v>44306</v>
          </cell>
          <cell r="P572">
            <v>44321</v>
          </cell>
          <cell r="Q572"/>
          <cell r="R572"/>
          <cell r="S572"/>
          <cell r="T572">
            <v>44322</v>
          </cell>
          <cell r="U572">
            <v>44322</v>
          </cell>
          <cell r="V572">
            <v>44322</v>
          </cell>
          <cell r="W572">
            <v>44322</v>
          </cell>
          <cell r="X572">
            <v>41100302</v>
          </cell>
        </row>
        <row r="573">
          <cell r="K573" t="str">
            <v>DBW-2177</v>
          </cell>
          <cell r="L573">
            <v>44301</v>
          </cell>
          <cell r="M573">
            <v>44302</v>
          </cell>
          <cell r="N573">
            <v>44320</v>
          </cell>
          <cell r="O573">
            <v>44302</v>
          </cell>
          <cell r="P573">
            <v>44320</v>
          </cell>
          <cell r="Q573">
            <v>44315</v>
          </cell>
          <cell r="R573">
            <v>44315</v>
          </cell>
          <cell r="S573"/>
          <cell r="T573">
            <v>44320</v>
          </cell>
          <cell r="U573">
            <v>44320</v>
          </cell>
          <cell r="V573">
            <v>44320</v>
          </cell>
          <cell r="W573">
            <v>44322</v>
          </cell>
          <cell r="X573">
            <v>41100173</v>
          </cell>
        </row>
        <row r="574">
          <cell r="K574" t="str">
            <v>DBW-2178</v>
          </cell>
          <cell r="L574">
            <v>44301</v>
          </cell>
          <cell r="M574">
            <v>44302</v>
          </cell>
          <cell r="N574">
            <v>44320</v>
          </cell>
          <cell r="O574">
            <v>44302</v>
          </cell>
          <cell r="P574">
            <v>44320</v>
          </cell>
          <cell r="Q574">
            <v>44315</v>
          </cell>
          <cell r="R574">
            <v>44315</v>
          </cell>
          <cell r="S574"/>
          <cell r="T574">
            <v>44320</v>
          </cell>
          <cell r="U574">
            <v>44320</v>
          </cell>
          <cell r="V574">
            <v>44320</v>
          </cell>
          <cell r="W574">
            <v>44322</v>
          </cell>
          <cell r="X574">
            <v>41100173</v>
          </cell>
        </row>
        <row r="575">
          <cell r="K575" t="str">
            <v>GBWS-1146</v>
          </cell>
          <cell r="L575">
            <v>44308</v>
          </cell>
          <cell r="M575">
            <v>44309</v>
          </cell>
          <cell r="N575">
            <v>44322</v>
          </cell>
          <cell r="O575">
            <v>44309</v>
          </cell>
          <cell r="P575">
            <v>44321</v>
          </cell>
          <cell r="Q575"/>
          <cell r="R575"/>
          <cell r="S575"/>
          <cell r="T575">
            <v>44322</v>
          </cell>
          <cell r="U575">
            <v>44322</v>
          </cell>
          <cell r="V575">
            <v>44322</v>
          </cell>
          <cell r="W575">
            <v>44323</v>
          </cell>
          <cell r="X575">
            <v>41100343</v>
          </cell>
        </row>
        <row r="576">
          <cell r="K576" t="str">
            <v>GBWS-1088</v>
          </cell>
          <cell r="L576">
            <v>44295</v>
          </cell>
          <cell r="M576">
            <v>44298</v>
          </cell>
          <cell r="N576">
            <v>44312</v>
          </cell>
          <cell r="O576">
            <v>44298</v>
          </cell>
          <cell r="P576">
            <v>44312</v>
          </cell>
          <cell r="Q576"/>
          <cell r="R576"/>
          <cell r="S576"/>
          <cell r="T576">
            <v>44315</v>
          </cell>
          <cell r="U576">
            <v>44316</v>
          </cell>
          <cell r="V576">
            <v>44319</v>
          </cell>
          <cell r="W576">
            <v>44319</v>
          </cell>
          <cell r="X576">
            <v>41100287</v>
          </cell>
        </row>
        <row r="577">
          <cell r="K577" t="str">
            <v>GBWS-1089</v>
          </cell>
          <cell r="L577">
            <v>44295</v>
          </cell>
          <cell r="M577">
            <v>44298</v>
          </cell>
          <cell r="N577">
            <v>44312</v>
          </cell>
          <cell r="O577">
            <v>44298</v>
          </cell>
          <cell r="P577">
            <v>44312</v>
          </cell>
          <cell r="Q577"/>
          <cell r="R577"/>
          <cell r="S577"/>
          <cell r="T577">
            <v>44315</v>
          </cell>
          <cell r="U577">
            <v>44316</v>
          </cell>
          <cell r="V577">
            <v>44319</v>
          </cell>
          <cell r="W577">
            <v>44319</v>
          </cell>
          <cell r="X577">
            <v>41100287</v>
          </cell>
        </row>
        <row r="578">
          <cell r="K578" t="str">
            <v>GBWS-1090</v>
          </cell>
          <cell r="L578">
            <v>44295</v>
          </cell>
          <cell r="M578">
            <v>44298</v>
          </cell>
          <cell r="N578">
            <v>44312</v>
          </cell>
          <cell r="O578">
            <v>44298</v>
          </cell>
          <cell r="P578">
            <v>44312</v>
          </cell>
          <cell r="Q578"/>
          <cell r="R578"/>
          <cell r="S578"/>
          <cell r="T578">
            <v>44312</v>
          </cell>
          <cell r="U578">
            <v>44312</v>
          </cell>
          <cell r="V578">
            <v>44313</v>
          </cell>
          <cell r="W578">
            <v>44313</v>
          </cell>
          <cell r="X578">
            <v>41100287</v>
          </cell>
        </row>
        <row r="579">
          <cell r="K579" t="str">
            <v>GBWS-1091</v>
          </cell>
          <cell r="L579">
            <v>44295</v>
          </cell>
          <cell r="M579">
            <v>44298</v>
          </cell>
          <cell r="N579">
            <v>44312</v>
          </cell>
          <cell r="O579">
            <v>44298</v>
          </cell>
          <cell r="P579">
            <v>44312</v>
          </cell>
          <cell r="Q579"/>
          <cell r="R579"/>
          <cell r="S579"/>
          <cell r="T579">
            <v>44312</v>
          </cell>
          <cell r="U579">
            <v>44312</v>
          </cell>
          <cell r="V579">
            <v>44313</v>
          </cell>
          <cell r="W579">
            <v>44313</v>
          </cell>
          <cell r="X579">
            <v>41100287</v>
          </cell>
        </row>
        <row r="580">
          <cell r="K580" t="str">
            <v>GBWS-1092</v>
          </cell>
          <cell r="L580">
            <v>44295</v>
          </cell>
          <cell r="M580">
            <v>44298</v>
          </cell>
          <cell r="N580">
            <v>44312</v>
          </cell>
          <cell r="O580">
            <v>44298</v>
          </cell>
          <cell r="P580">
            <v>44312</v>
          </cell>
          <cell r="Q580"/>
          <cell r="R580"/>
          <cell r="S580"/>
          <cell r="T580">
            <v>44312</v>
          </cell>
          <cell r="U580">
            <v>44319</v>
          </cell>
          <cell r="V580">
            <v>44319</v>
          </cell>
          <cell r="W580">
            <v>44320</v>
          </cell>
          <cell r="X580">
            <v>41100287</v>
          </cell>
        </row>
        <row r="581">
          <cell r="K581" t="str">
            <v>GBWS-1093</v>
          </cell>
          <cell r="L581">
            <v>44295</v>
          </cell>
          <cell r="M581">
            <v>44298</v>
          </cell>
          <cell r="N581">
            <v>44312</v>
          </cell>
          <cell r="O581">
            <v>44298</v>
          </cell>
          <cell r="P581">
            <v>44312</v>
          </cell>
          <cell r="Q581"/>
          <cell r="R581"/>
          <cell r="S581"/>
          <cell r="T581">
            <v>44313</v>
          </cell>
          <cell r="U581">
            <v>44314</v>
          </cell>
          <cell r="V581">
            <v>44315</v>
          </cell>
          <cell r="W581">
            <v>44315</v>
          </cell>
          <cell r="X581">
            <v>41100287</v>
          </cell>
        </row>
        <row r="582">
          <cell r="K582" t="str">
            <v>GBWS-1094</v>
          </cell>
          <cell r="L582">
            <v>44295</v>
          </cell>
          <cell r="M582">
            <v>44298</v>
          </cell>
          <cell r="N582">
            <v>44312</v>
          </cell>
          <cell r="O582">
            <v>44298</v>
          </cell>
          <cell r="P582">
            <v>44312</v>
          </cell>
          <cell r="Q582"/>
          <cell r="R582"/>
          <cell r="S582"/>
          <cell r="T582">
            <v>44313</v>
          </cell>
          <cell r="U582">
            <v>44314</v>
          </cell>
          <cell r="V582">
            <v>44315</v>
          </cell>
          <cell r="W582">
            <v>44315</v>
          </cell>
          <cell r="X582">
            <v>41100287</v>
          </cell>
        </row>
        <row r="583">
          <cell r="K583" t="str">
            <v>GBWS-1095</v>
          </cell>
          <cell r="L583">
            <v>44295</v>
          </cell>
          <cell r="M583">
            <v>44298</v>
          </cell>
          <cell r="N583">
            <v>44312</v>
          </cell>
          <cell r="O583">
            <v>44298</v>
          </cell>
          <cell r="P583">
            <v>44312</v>
          </cell>
          <cell r="Q583"/>
          <cell r="R583"/>
          <cell r="S583"/>
          <cell r="T583">
            <v>44315</v>
          </cell>
          <cell r="U583">
            <v>44319</v>
          </cell>
          <cell r="V583">
            <v>44319</v>
          </cell>
          <cell r="W583">
            <v>44320</v>
          </cell>
          <cell r="X583">
            <v>41100287</v>
          </cell>
        </row>
        <row r="584">
          <cell r="K584" t="str">
            <v>GBWS-1096</v>
          </cell>
          <cell r="L584">
            <v>44295</v>
          </cell>
          <cell r="M584">
            <v>44298</v>
          </cell>
          <cell r="N584">
            <v>44312</v>
          </cell>
          <cell r="O584">
            <v>44298</v>
          </cell>
          <cell r="P584">
            <v>44312</v>
          </cell>
          <cell r="Q584"/>
          <cell r="R584"/>
          <cell r="S584"/>
          <cell r="T584">
            <v>44313</v>
          </cell>
          <cell r="U584">
            <v>44314</v>
          </cell>
          <cell r="V584">
            <v>44315</v>
          </cell>
          <cell r="W584">
            <v>44315</v>
          </cell>
          <cell r="X584">
            <v>41100287</v>
          </cell>
        </row>
        <row r="585">
          <cell r="K585" t="str">
            <v>GBWS-1097</v>
          </cell>
          <cell r="L585">
            <v>44295</v>
          </cell>
          <cell r="M585">
            <v>44298</v>
          </cell>
          <cell r="N585">
            <v>44312</v>
          </cell>
          <cell r="O585">
            <v>44298</v>
          </cell>
          <cell r="P585">
            <v>44312</v>
          </cell>
          <cell r="Q585"/>
          <cell r="R585"/>
          <cell r="S585"/>
          <cell r="T585">
            <v>44315</v>
          </cell>
          <cell r="U585">
            <v>44316</v>
          </cell>
          <cell r="V585">
            <v>44319</v>
          </cell>
          <cell r="W585">
            <v>44319</v>
          </cell>
          <cell r="X585">
            <v>41100287</v>
          </cell>
        </row>
        <row r="586">
          <cell r="K586" t="str">
            <v>GBWS-1098</v>
          </cell>
          <cell r="L586">
            <v>44295</v>
          </cell>
          <cell r="M586">
            <v>44298</v>
          </cell>
          <cell r="N586">
            <v>44312</v>
          </cell>
          <cell r="O586">
            <v>44298</v>
          </cell>
          <cell r="P586">
            <v>44312</v>
          </cell>
          <cell r="Q586"/>
          <cell r="R586"/>
          <cell r="S586"/>
          <cell r="T586">
            <v>44315</v>
          </cell>
          <cell r="U586">
            <v>44319</v>
          </cell>
          <cell r="V586">
            <v>44319</v>
          </cell>
          <cell r="W586">
            <v>44322</v>
          </cell>
          <cell r="X586">
            <v>41100287</v>
          </cell>
        </row>
        <row r="587">
          <cell r="K587" t="str">
            <v>GBWS-1099</v>
          </cell>
          <cell r="L587">
            <v>44295</v>
          </cell>
          <cell r="M587">
            <v>44298</v>
          </cell>
          <cell r="N587">
            <v>44312</v>
          </cell>
          <cell r="O587">
            <v>44298</v>
          </cell>
          <cell r="P587">
            <v>44312</v>
          </cell>
          <cell r="Q587"/>
          <cell r="R587"/>
          <cell r="S587"/>
          <cell r="T587">
            <v>44312</v>
          </cell>
          <cell r="U587">
            <v>44312</v>
          </cell>
          <cell r="V587">
            <v>44313</v>
          </cell>
          <cell r="W587">
            <v>44313</v>
          </cell>
          <cell r="X587">
            <v>41100287</v>
          </cell>
        </row>
        <row r="588">
          <cell r="K588" t="str">
            <v>WS-0033</v>
          </cell>
          <cell r="L588">
            <v>44299</v>
          </cell>
          <cell r="M588">
            <v>44299</v>
          </cell>
          <cell r="N588">
            <v>44311</v>
          </cell>
          <cell r="O588">
            <v>44299</v>
          </cell>
          <cell r="P588">
            <v>44312</v>
          </cell>
          <cell r="Q588"/>
          <cell r="R588"/>
          <cell r="S588"/>
          <cell r="T588">
            <v>44312</v>
          </cell>
          <cell r="U588">
            <v>44313</v>
          </cell>
          <cell r="V588">
            <v>44314</v>
          </cell>
          <cell r="W588">
            <v>44314</v>
          </cell>
          <cell r="X588">
            <v>41100238</v>
          </cell>
        </row>
        <row r="589">
          <cell r="K589" t="str">
            <v>DBW-0702</v>
          </cell>
          <cell r="L589">
            <v>42786</v>
          </cell>
          <cell r="M589" t="str">
            <v>-</v>
          </cell>
          <cell r="N589" t="str">
            <v>-</v>
          </cell>
          <cell r="O589">
            <v>42786</v>
          </cell>
          <cell r="P589">
            <v>42824</v>
          </cell>
          <cell r="Q589"/>
          <cell r="R589"/>
          <cell r="S589"/>
          <cell r="T589">
            <v>42828</v>
          </cell>
          <cell r="U589">
            <v>42828</v>
          </cell>
          <cell r="V589">
            <v>42837</v>
          </cell>
          <cell r="W589">
            <v>42837</v>
          </cell>
          <cell r="X589" t="str">
            <v>41000395 → 41000392</v>
          </cell>
        </row>
        <row r="590">
          <cell r="K590"/>
          <cell r="L590"/>
          <cell r="M590">
            <v>44314</v>
          </cell>
          <cell r="N590">
            <v>44323</v>
          </cell>
          <cell r="O590">
            <v>44314</v>
          </cell>
          <cell r="P590">
            <v>44323</v>
          </cell>
          <cell r="Q590"/>
          <cell r="R590"/>
          <cell r="S590"/>
          <cell r="T590">
            <v>44324</v>
          </cell>
          <cell r="U590">
            <v>44325</v>
          </cell>
          <cell r="V590">
            <v>44325</v>
          </cell>
          <cell r="W590">
            <v>44326</v>
          </cell>
          <cell r="X590"/>
        </row>
        <row r="591">
          <cell r="K591" t="str">
            <v>DBW-2179</v>
          </cell>
          <cell r="L591">
            <v>44301</v>
          </cell>
          <cell r="M591">
            <v>44302</v>
          </cell>
          <cell r="N591">
            <v>44326</v>
          </cell>
          <cell r="O591">
            <v>44302</v>
          </cell>
          <cell r="P591">
            <v>44321</v>
          </cell>
          <cell r="Q591">
            <v>44317</v>
          </cell>
          <cell r="R591">
            <v>44317</v>
          </cell>
          <cell r="S591"/>
          <cell r="T591">
            <v>44322</v>
          </cell>
          <cell r="U591">
            <v>44325</v>
          </cell>
          <cell r="V591">
            <v>44325</v>
          </cell>
          <cell r="W591">
            <v>44326</v>
          </cell>
          <cell r="X591">
            <v>41100171</v>
          </cell>
        </row>
        <row r="592">
          <cell r="K592" t="str">
            <v>DBW-2180</v>
          </cell>
          <cell r="L592">
            <v>44301</v>
          </cell>
          <cell r="M592">
            <v>44302</v>
          </cell>
          <cell r="N592">
            <v>44326</v>
          </cell>
          <cell r="O592">
            <v>44302</v>
          </cell>
          <cell r="P592">
            <v>44321</v>
          </cell>
          <cell r="Q592">
            <v>44317</v>
          </cell>
          <cell r="R592">
            <v>44317</v>
          </cell>
          <cell r="S592"/>
          <cell r="T592">
            <v>44322</v>
          </cell>
          <cell r="U592">
            <v>44325</v>
          </cell>
          <cell r="V592">
            <v>44325</v>
          </cell>
          <cell r="W592">
            <v>44326</v>
          </cell>
          <cell r="X592">
            <v>41100171</v>
          </cell>
        </row>
        <row r="593">
          <cell r="K593" t="str">
            <v>DBW-2186</v>
          </cell>
          <cell r="L593">
            <v>44305</v>
          </cell>
          <cell r="M593">
            <v>44306</v>
          </cell>
          <cell r="N593">
            <v>44325</v>
          </cell>
          <cell r="O593">
            <v>44306</v>
          </cell>
          <cell r="P593">
            <v>44323</v>
          </cell>
          <cell r="Q593">
            <v>44323</v>
          </cell>
          <cell r="R593">
            <v>44323</v>
          </cell>
          <cell r="S593"/>
          <cell r="T593">
            <v>44324</v>
          </cell>
          <cell r="U593">
            <v>44325</v>
          </cell>
          <cell r="V593">
            <v>44325</v>
          </cell>
          <cell r="W593">
            <v>44326</v>
          </cell>
          <cell r="X593">
            <v>41100169</v>
          </cell>
        </row>
        <row r="594">
          <cell r="K594" t="str">
            <v>DBW-2187</v>
          </cell>
          <cell r="L594">
            <v>44305</v>
          </cell>
          <cell r="M594">
            <v>44306</v>
          </cell>
          <cell r="N594">
            <v>44325</v>
          </cell>
          <cell r="O594">
            <v>44306</v>
          </cell>
          <cell r="P594">
            <v>44323</v>
          </cell>
          <cell r="Q594">
            <v>44323</v>
          </cell>
          <cell r="R594">
            <v>44323</v>
          </cell>
          <cell r="S594"/>
          <cell r="T594">
            <v>44324</v>
          </cell>
          <cell r="U594">
            <v>44325</v>
          </cell>
          <cell r="V594">
            <v>44325</v>
          </cell>
          <cell r="W594">
            <v>44326</v>
          </cell>
          <cell r="X594">
            <v>41100169</v>
          </cell>
        </row>
        <row r="595">
          <cell r="K595" t="str">
            <v>DBW-2181</v>
          </cell>
          <cell r="L595">
            <v>44305</v>
          </cell>
          <cell r="M595">
            <v>44306</v>
          </cell>
          <cell r="N595">
            <v>44324</v>
          </cell>
          <cell r="O595">
            <v>44306</v>
          </cell>
          <cell r="P595">
            <v>44323</v>
          </cell>
          <cell r="Q595">
            <v>44323</v>
          </cell>
          <cell r="R595">
            <v>44323</v>
          </cell>
          <cell r="S595"/>
          <cell r="T595">
            <v>44324</v>
          </cell>
          <cell r="U595">
            <v>44326</v>
          </cell>
          <cell r="V595">
            <v>44326</v>
          </cell>
          <cell r="W595">
            <v>44326</v>
          </cell>
          <cell r="X595">
            <v>41100174</v>
          </cell>
        </row>
        <row r="596">
          <cell r="K596" t="str">
            <v>DBW-2182</v>
          </cell>
          <cell r="L596">
            <v>44305</v>
          </cell>
          <cell r="M596">
            <v>44306</v>
          </cell>
          <cell r="N596">
            <v>44324</v>
          </cell>
          <cell r="O596">
            <v>44306</v>
          </cell>
          <cell r="P596">
            <v>44323</v>
          </cell>
          <cell r="Q596">
            <v>44323</v>
          </cell>
          <cell r="R596">
            <v>44323</v>
          </cell>
          <cell r="S596"/>
          <cell r="T596">
            <v>44324</v>
          </cell>
          <cell r="U596">
            <v>44325</v>
          </cell>
          <cell r="V596">
            <v>44326</v>
          </cell>
          <cell r="W596">
            <v>44326</v>
          </cell>
          <cell r="X596">
            <v>41100174</v>
          </cell>
        </row>
        <row r="597">
          <cell r="K597" t="str">
            <v>DBW-2183</v>
          </cell>
          <cell r="L597">
            <v>44305</v>
          </cell>
          <cell r="M597">
            <v>44306</v>
          </cell>
          <cell r="N597">
            <v>44324</v>
          </cell>
          <cell r="O597">
            <v>44306</v>
          </cell>
          <cell r="P597">
            <v>44323</v>
          </cell>
          <cell r="Q597">
            <v>44323</v>
          </cell>
          <cell r="R597">
            <v>44323</v>
          </cell>
          <cell r="S597"/>
          <cell r="T597">
            <v>44324</v>
          </cell>
          <cell r="U597">
            <v>44326</v>
          </cell>
          <cell r="V597">
            <v>44326</v>
          </cell>
          <cell r="W597">
            <v>44326</v>
          </cell>
          <cell r="X597">
            <v>41100174</v>
          </cell>
        </row>
        <row r="598">
          <cell r="K598" t="str">
            <v>DBW-2184</v>
          </cell>
          <cell r="L598">
            <v>44305</v>
          </cell>
          <cell r="M598">
            <v>44306</v>
          </cell>
          <cell r="N598">
            <v>44324</v>
          </cell>
          <cell r="O598">
            <v>44306</v>
          </cell>
          <cell r="P598">
            <v>44323</v>
          </cell>
          <cell r="Q598">
            <v>44323</v>
          </cell>
          <cell r="R598">
            <v>44323</v>
          </cell>
          <cell r="S598"/>
          <cell r="T598">
            <v>44326</v>
          </cell>
          <cell r="U598">
            <v>44326</v>
          </cell>
          <cell r="V598">
            <v>44326</v>
          </cell>
          <cell r="W598">
            <v>44326</v>
          </cell>
          <cell r="X598">
            <v>41100174</v>
          </cell>
        </row>
        <row r="599">
          <cell r="K599" t="str">
            <v>DBW-2185</v>
          </cell>
          <cell r="L599">
            <v>44305</v>
          </cell>
          <cell r="M599">
            <v>44306</v>
          </cell>
          <cell r="N599">
            <v>44324</v>
          </cell>
          <cell r="O599">
            <v>44306</v>
          </cell>
          <cell r="P599">
            <v>44323</v>
          </cell>
          <cell r="Q599">
            <v>44323</v>
          </cell>
          <cell r="R599">
            <v>44323</v>
          </cell>
          <cell r="S599"/>
          <cell r="T599">
            <v>44326</v>
          </cell>
          <cell r="U599">
            <v>44326</v>
          </cell>
          <cell r="V599">
            <v>44326</v>
          </cell>
          <cell r="W599">
            <v>44326</v>
          </cell>
          <cell r="X599">
            <v>41100174</v>
          </cell>
        </row>
        <row r="600">
          <cell r="K600" t="str">
            <v>WS-0034</v>
          </cell>
          <cell r="L600">
            <v>44299</v>
          </cell>
          <cell r="M600">
            <v>44299</v>
          </cell>
          <cell r="N600">
            <v>44311</v>
          </cell>
          <cell r="O600">
            <v>44299</v>
          </cell>
          <cell r="P600">
            <v>44312</v>
          </cell>
          <cell r="Q600"/>
          <cell r="R600"/>
          <cell r="S600"/>
          <cell r="T600">
            <v>44319</v>
          </cell>
          <cell r="U600">
            <v>44320</v>
          </cell>
          <cell r="V600">
            <v>44323</v>
          </cell>
          <cell r="W600">
            <v>44323</v>
          </cell>
          <cell r="X600">
            <v>41100300</v>
          </cell>
        </row>
        <row r="601">
          <cell r="K601" t="str">
            <v>WS-0035</v>
          </cell>
          <cell r="L601">
            <v>44299</v>
          </cell>
          <cell r="M601">
            <v>44299</v>
          </cell>
          <cell r="N601">
            <v>44311</v>
          </cell>
          <cell r="O601">
            <v>44299</v>
          </cell>
          <cell r="P601">
            <v>44312</v>
          </cell>
          <cell r="Q601"/>
          <cell r="R601"/>
          <cell r="S601"/>
          <cell r="T601">
            <v>44319</v>
          </cell>
          <cell r="U601">
            <v>44322</v>
          </cell>
          <cell r="V601">
            <v>44323</v>
          </cell>
          <cell r="W601">
            <v>44323</v>
          </cell>
          <cell r="X601">
            <v>41100300</v>
          </cell>
        </row>
        <row r="602">
          <cell r="K602" t="str">
            <v>WS-0036</v>
          </cell>
          <cell r="L602">
            <v>44299</v>
          </cell>
          <cell r="M602">
            <v>44299</v>
          </cell>
          <cell r="N602">
            <v>44311</v>
          </cell>
          <cell r="O602">
            <v>44299</v>
          </cell>
          <cell r="P602">
            <v>44312</v>
          </cell>
          <cell r="Q602"/>
          <cell r="R602"/>
          <cell r="S602"/>
          <cell r="T602">
            <v>44319</v>
          </cell>
          <cell r="U602">
            <v>44320</v>
          </cell>
          <cell r="V602">
            <v>44323</v>
          </cell>
          <cell r="W602">
            <v>44323</v>
          </cell>
          <cell r="X602">
            <v>41100300</v>
          </cell>
        </row>
        <row r="603">
          <cell r="K603" t="str">
            <v>GBWS-1129</v>
          </cell>
          <cell r="L603">
            <v>44305</v>
          </cell>
          <cell r="M603">
            <v>44306</v>
          </cell>
          <cell r="N603">
            <v>44321</v>
          </cell>
          <cell r="O603">
            <v>44306</v>
          </cell>
          <cell r="P603">
            <v>44321</v>
          </cell>
          <cell r="Q603"/>
          <cell r="R603"/>
          <cell r="S603"/>
          <cell r="T603">
            <v>44322</v>
          </cell>
          <cell r="U603">
            <v>44325</v>
          </cell>
          <cell r="V603">
            <v>44325</v>
          </cell>
          <cell r="W603">
            <v>44327</v>
          </cell>
          <cell r="X603">
            <v>41100087</v>
          </cell>
        </row>
        <row r="604">
          <cell r="K604" t="str">
            <v>GBWS-1130</v>
          </cell>
          <cell r="L604">
            <v>44305</v>
          </cell>
          <cell r="M604">
            <v>44306</v>
          </cell>
          <cell r="N604">
            <v>44321</v>
          </cell>
          <cell r="O604">
            <v>44306</v>
          </cell>
          <cell r="P604">
            <v>44321</v>
          </cell>
          <cell r="Q604"/>
          <cell r="R604"/>
          <cell r="S604"/>
          <cell r="T604">
            <v>44322</v>
          </cell>
          <cell r="U604">
            <v>44326</v>
          </cell>
          <cell r="V604">
            <v>44327</v>
          </cell>
          <cell r="W604">
            <v>44327</v>
          </cell>
          <cell r="X604">
            <v>41100087</v>
          </cell>
        </row>
        <row r="605">
          <cell r="K605" t="str">
            <v>GBWS-1131</v>
          </cell>
          <cell r="L605">
            <v>44305</v>
          </cell>
          <cell r="M605">
            <v>44306</v>
          </cell>
          <cell r="N605">
            <v>44326</v>
          </cell>
          <cell r="O605">
            <v>44306</v>
          </cell>
          <cell r="P605">
            <v>44321</v>
          </cell>
          <cell r="Q605"/>
          <cell r="R605"/>
          <cell r="S605"/>
          <cell r="T605">
            <v>44326</v>
          </cell>
          <cell r="U605">
            <v>44327</v>
          </cell>
          <cell r="V605">
            <v>44327</v>
          </cell>
          <cell r="W605">
            <v>44327</v>
          </cell>
          <cell r="X605">
            <v>41100087</v>
          </cell>
        </row>
        <row r="606">
          <cell r="K606" t="str">
            <v>GBWS-1132</v>
          </cell>
          <cell r="L606">
            <v>44305</v>
          </cell>
          <cell r="M606">
            <v>44306</v>
          </cell>
          <cell r="N606">
            <v>44321</v>
          </cell>
          <cell r="O606">
            <v>44306</v>
          </cell>
          <cell r="P606">
            <v>44321</v>
          </cell>
          <cell r="Q606"/>
          <cell r="R606"/>
          <cell r="S606"/>
          <cell r="T606">
            <v>44322</v>
          </cell>
          <cell r="U606">
            <v>44326</v>
          </cell>
          <cell r="V606">
            <v>44327</v>
          </cell>
          <cell r="W606">
            <v>44327</v>
          </cell>
          <cell r="X606">
            <v>41100087</v>
          </cell>
        </row>
        <row r="607">
          <cell r="K607" t="str">
            <v>GBWS-1133</v>
          </cell>
          <cell r="L607">
            <v>44305</v>
          </cell>
          <cell r="M607">
            <v>44306</v>
          </cell>
          <cell r="N607">
            <v>44326</v>
          </cell>
          <cell r="O607">
            <v>44306</v>
          </cell>
          <cell r="P607">
            <v>44321</v>
          </cell>
          <cell r="Q607"/>
          <cell r="R607"/>
          <cell r="S607"/>
          <cell r="T607">
            <v>44326</v>
          </cell>
          <cell r="U607">
            <v>44327</v>
          </cell>
          <cell r="V607">
            <v>44327</v>
          </cell>
          <cell r="W607">
            <v>44327</v>
          </cell>
          <cell r="X607">
            <v>41100087</v>
          </cell>
        </row>
        <row r="608">
          <cell r="K608" t="str">
            <v>GBWS-1134</v>
          </cell>
          <cell r="L608">
            <v>44305</v>
          </cell>
          <cell r="M608">
            <v>44306</v>
          </cell>
          <cell r="N608">
            <v>44326</v>
          </cell>
          <cell r="O608">
            <v>44306</v>
          </cell>
          <cell r="P608">
            <v>44321</v>
          </cell>
          <cell r="Q608"/>
          <cell r="R608"/>
          <cell r="S608"/>
          <cell r="T608">
            <v>44326</v>
          </cell>
          <cell r="U608">
            <v>44327</v>
          </cell>
          <cell r="V608">
            <v>44327</v>
          </cell>
          <cell r="W608">
            <v>44327</v>
          </cell>
          <cell r="X608">
            <v>41100087</v>
          </cell>
        </row>
        <row r="609">
          <cell r="K609" t="str">
            <v>GBWS-1135</v>
          </cell>
          <cell r="L609">
            <v>44305</v>
          </cell>
          <cell r="M609">
            <v>44306</v>
          </cell>
          <cell r="N609">
            <v>44321</v>
          </cell>
          <cell r="O609">
            <v>44306</v>
          </cell>
          <cell r="P609">
            <v>44321</v>
          </cell>
          <cell r="Q609"/>
          <cell r="R609"/>
          <cell r="S609"/>
          <cell r="T609">
            <v>44322</v>
          </cell>
          <cell r="U609">
            <v>44326</v>
          </cell>
          <cell r="V609">
            <v>44327</v>
          </cell>
          <cell r="W609">
            <v>44327</v>
          </cell>
          <cell r="X609">
            <v>41100087</v>
          </cell>
        </row>
        <row r="610">
          <cell r="K610" t="str">
            <v>GBWS-1136</v>
          </cell>
          <cell r="L610">
            <v>44305</v>
          </cell>
          <cell r="M610">
            <v>44306</v>
          </cell>
          <cell r="N610">
            <v>44321</v>
          </cell>
          <cell r="O610">
            <v>44306</v>
          </cell>
          <cell r="P610">
            <v>44321</v>
          </cell>
          <cell r="Q610"/>
          <cell r="R610"/>
          <cell r="S610"/>
          <cell r="T610">
            <v>44322</v>
          </cell>
          <cell r="U610">
            <v>44325</v>
          </cell>
          <cell r="V610">
            <v>44325</v>
          </cell>
          <cell r="W610">
            <v>44327</v>
          </cell>
          <cell r="X610">
            <v>41100087</v>
          </cell>
        </row>
        <row r="611">
          <cell r="K611" t="str">
            <v>GBWS-1137</v>
          </cell>
          <cell r="L611">
            <v>44306</v>
          </cell>
          <cell r="M611">
            <v>44306</v>
          </cell>
          <cell r="N611">
            <v>44326</v>
          </cell>
          <cell r="O611">
            <v>44306</v>
          </cell>
          <cell r="P611">
            <v>44326</v>
          </cell>
          <cell r="Q611"/>
          <cell r="R611"/>
          <cell r="S611"/>
          <cell r="T611">
            <v>44327</v>
          </cell>
          <cell r="U611">
            <v>44327</v>
          </cell>
          <cell r="V611">
            <v>44328</v>
          </cell>
          <cell r="W611">
            <v>44328</v>
          </cell>
          <cell r="X611">
            <v>41100088</v>
          </cell>
        </row>
        <row r="612">
          <cell r="K612" t="str">
            <v>DBW-2175</v>
          </cell>
          <cell r="L612">
            <v>44301</v>
          </cell>
          <cell r="M612">
            <v>44302</v>
          </cell>
          <cell r="N612">
            <v>44326</v>
          </cell>
          <cell r="O612">
            <v>44302</v>
          </cell>
          <cell r="P612">
            <v>44320</v>
          </cell>
          <cell r="Q612">
            <v>44315</v>
          </cell>
          <cell r="R612">
            <v>44315</v>
          </cell>
          <cell r="S612"/>
          <cell r="T612">
            <v>44320</v>
          </cell>
          <cell r="U612">
            <v>44320</v>
          </cell>
          <cell r="V612">
            <v>44320</v>
          </cell>
          <cell r="W612">
            <v>44322</v>
          </cell>
          <cell r="X612">
            <v>41100172</v>
          </cell>
        </row>
        <row r="613">
          <cell r="K613" t="str">
            <v>DBW-2176</v>
          </cell>
          <cell r="L613">
            <v>44301</v>
          </cell>
          <cell r="M613">
            <v>44302</v>
          </cell>
          <cell r="N613">
            <v>44326</v>
          </cell>
          <cell r="O613">
            <v>44302</v>
          </cell>
          <cell r="P613">
            <v>44320</v>
          </cell>
          <cell r="Q613">
            <v>44315</v>
          </cell>
          <cell r="R613">
            <v>44315</v>
          </cell>
          <cell r="S613"/>
          <cell r="T613">
            <v>44320</v>
          </cell>
          <cell r="U613">
            <v>44320</v>
          </cell>
          <cell r="V613">
            <v>44320</v>
          </cell>
          <cell r="W613">
            <v>44322</v>
          </cell>
          <cell r="X613">
            <v>41100172</v>
          </cell>
        </row>
        <row r="614">
          <cell r="K614" t="str">
            <v>DBW-2021</v>
          </cell>
          <cell r="L614">
            <v>44235</v>
          </cell>
          <cell r="M614">
            <v>44236</v>
          </cell>
          <cell r="N614">
            <v>44249</v>
          </cell>
          <cell r="O614">
            <v>44236</v>
          </cell>
          <cell r="P614">
            <v>44251</v>
          </cell>
          <cell r="Q614">
            <v>44251</v>
          </cell>
          <cell r="R614">
            <v>44251</v>
          </cell>
          <cell r="S614"/>
          <cell r="T614">
            <v>44252</v>
          </cell>
          <cell r="U614">
            <v>44253</v>
          </cell>
          <cell r="V614">
            <v>44254</v>
          </cell>
          <cell r="W614">
            <v>44255</v>
          </cell>
          <cell r="X614" t="str">
            <v>41100258 → 41100262</v>
          </cell>
        </row>
        <row r="615">
          <cell r="K615"/>
          <cell r="L615"/>
          <cell r="M615">
            <v>44327</v>
          </cell>
          <cell r="N615">
            <v>44329</v>
          </cell>
          <cell r="O615" t="str">
            <v xml:space="preserve"> -</v>
          </cell>
          <cell r="P615" t="str">
            <v xml:space="preserve"> -</v>
          </cell>
          <cell r="Q615" t="str">
            <v xml:space="preserve"> -</v>
          </cell>
          <cell r="R615" t="str">
            <v xml:space="preserve"> -</v>
          </cell>
          <cell r="S615"/>
          <cell r="T615">
            <v>44329</v>
          </cell>
          <cell r="U615">
            <v>44329</v>
          </cell>
          <cell r="V615">
            <v>44329</v>
          </cell>
          <cell r="W615">
            <v>44329</v>
          </cell>
          <cell r="X615"/>
        </row>
        <row r="616">
          <cell r="K616" t="str">
            <v>GBWS-1038</v>
          </cell>
          <cell r="L616">
            <v>44277</v>
          </cell>
          <cell r="M616">
            <v>44278</v>
          </cell>
          <cell r="N616">
            <v>44298</v>
          </cell>
          <cell r="O616">
            <v>44278</v>
          </cell>
          <cell r="P616">
            <v>44298</v>
          </cell>
          <cell r="Q616">
            <v>44297</v>
          </cell>
          <cell r="R616">
            <v>44297</v>
          </cell>
          <cell r="S616"/>
          <cell r="T616">
            <v>44298</v>
          </cell>
          <cell r="U616">
            <v>44299</v>
          </cell>
          <cell r="V616">
            <v>44300</v>
          </cell>
          <cell r="W616">
            <v>44300</v>
          </cell>
          <cell r="X616">
            <v>41100287</v>
          </cell>
        </row>
        <row r="617">
          <cell r="K617" t="str">
            <v>GBWS-1039</v>
          </cell>
          <cell r="L617">
            <v>44277</v>
          </cell>
          <cell r="M617">
            <v>44278</v>
          </cell>
          <cell r="N617">
            <v>44298</v>
          </cell>
          <cell r="O617">
            <v>44278</v>
          </cell>
          <cell r="P617">
            <v>44298</v>
          </cell>
          <cell r="Q617">
            <v>44297</v>
          </cell>
          <cell r="R617">
            <v>44297</v>
          </cell>
          <cell r="S617"/>
          <cell r="T617">
            <v>44298</v>
          </cell>
          <cell r="U617">
            <v>44299</v>
          </cell>
          <cell r="V617">
            <v>44299</v>
          </cell>
          <cell r="W617">
            <v>44299</v>
          </cell>
          <cell r="X617">
            <v>41100287</v>
          </cell>
        </row>
        <row r="618">
          <cell r="K618" t="str">
            <v>DBW-2146</v>
          </cell>
          <cell r="L618">
            <v>44283</v>
          </cell>
          <cell r="M618">
            <v>44284</v>
          </cell>
          <cell r="N618">
            <v>44301</v>
          </cell>
          <cell r="O618">
            <v>44284</v>
          </cell>
          <cell r="P618">
            <v>44298</v>
          </cell>
          <cell r="Q618">
            <v>44296</v>
          </cell>
          <cell r="R618">
            <v>44296</v>
          </cell>
          <cell r="S618"/>
          <cell r="T618">
            <v>44301</v>
          </cell>
          <cell r="U618">
            <v>44301</v>
          </cell>
          <cell r="V618">
            <v>44304</v>
          </cell>
          <cell r="W618">
            <v>44304</v>
          </cell>
          <cell r="X618">
            <v>41100258</v>
          </cell>
        </row>
        <row r="619">
          <cell r="K619" t="str">
            <v>DBW-2134</v>
          </cell>
          <cell r="L619">
            <v>44273</v>
          </cell>
          <cell r="M619">
            <v>44274</v>
          </cell>
          <cell r="N619">
            <v>44302</v>
          </cell>
          <cell r="O619">
            <v>44274</v>
          </cell>
          <cell r="P619">
            <v>44300</v>
          </cell>
          <cell r="Q619">
            <v>44301</v>
          </cell>
          <cell r="R619">
            <v>44301</v>
          </cell>
          <cell r="S619"/>
          <cell r="T619">
            <v>44302</v>
          </cell>
          <cell r="U619">
            <v>44306</v>
          </cell>
          <cell r="V619">
            <v>44306</v>
          </cell>
          <cell r="W619">
            <v>44306</v>
          </cell>
          <cell r="X619">
            <v>41100291</v>
          </cell>
        </row>
        <row r="620">
          <cell r="K620" t="str">
            <v>DBW-2135</v>
          </cell>
          <cell r="L620">
            <v>44273</v>
          </cell>
          <cell r="M620">
            <v>44274</v>
          </cell>
          <cell r="N620">
            <v>44302</v>
          </cell>
          <cell r="O620">
            <v>44274</v>
          </cell>
          <cell r="P620">
            <v>44300</v>
          </cell>
          <cell r="Q620">
            <v>44301</v>
          </cell>
          <cell r="R620">
            <v>44301</v>
          </cell>
          <cell r="S620"/>
          <cell r="T620">
            <v>44302</v>
          </cell>
          <cell r="U620">
            <v>44306</v>
          </cell>
          <cell r="V620">
            <v>44306</v>
          </cell>
          <cell r="W620">
            <v>44306</v>
          </cell>
          <cell r="X620">
            <v>41100291</v>
          </cell>
        </row>
        <row r="621">
          <cell r="K621" t="str">
            <v>DBW-2170</v>
          </cell>
          <cell r="L621">
            <v>44301</v>
          </cell>
          <cell r="M621">
            <v>44302</v>
          </cell>
          <cell r="N621">
            <v>44321</v>
          </cell>
          <cell r="O621">
            <v>44302</v>
          </cell>
          <cell r="P621">
            <v>44323</v>
          </cell>
          <cell r="Q621">
            <v>44317</v>
          </cell>
          <cell r="R621">
            <v>44317</v>
          </cell>
          <cell r="S621"/>
          <cell r="T621">
            <v>44324</v>
          </cell>
          <cell r="U621">
            <v>44325</v>
          </cell>
          <cell r="V621">
            <v>44327</v>
          </cell>
          <cell r="W621">
            <v>44327</v>
          </cell>
          <cell r="X621">
            <v>41100291</v>
          </cell>
        </row>
        <row r="622">
          <cell r="K622" t="str">
            <v>GBWS-1112</v>
          </cell>
          <cell r="L622">
            <v>44306</v>
          </cell>
          <cell r="M622">
            <v>44305</v>
          </cell>
          <cell r="N622">
            <v>44325</v>
          </cell>
          <cell r="O622">
            <v>44305</v>
          </cell>
          <cell r="P622">
            <v>44321</v>
          </cell>
          <cell r="Q622"/>
          <cell r="R622"/>
          <cell r="S622"/>
          <cell r="T622">
            <v>44327</v>
          </cell>
          <cell r="U622">
            <v>44328</v>
          </cell>
          <cell r="V622">
            <v>44329</v>
          </cell>
          <cell r="W622">
            <v>44329</v>
          </cell>
          <cell r="X622">
            <v>41100287</v>
          </cell>
        </row>
        <row r="623">
          <cell r="K623" t="str">
            <v>GBWS-1113</v>
          </cell>
          <cell r="L623">
            <v>44306</v>
          </cell>
          <cell r="M623">
            <v>44305</v>
          </cell>
          <cell r="N623">
            <v>44325</v>
          </cell>
          <cell r="O623">
            <v>44305</v>
          </cell>
          <cell r="P623">
            <v>44321</v>
          </cell>
          <cell r="Q623"/>
          <cell r="R623"/>
          <cell r="S623"/>
          <cell r="T623">
            <v>44328</v>
          </cell>
          <cell r="U623">
            <v>44329</v>
          </cell>
          <cell r="V623">
            <v>44329</v>
          </cell>
          <cell r="W623">
            <v>44329</v>
          </cell>
          <cell r="X623">
            <v>41100287</v>
          </cell>
        </row>
        <row r="624">
          <cell r="K624" t="str">
            <v>GBWS-1114</v>
          </cell>
          <cell r="L624">
            <v>44306</v>
          </cell>
          <cell r="M624">
            <v>44305</v>
          </cell>
          <cell r="N624">
            <v>44325</v>
          </cell>
          <cell r="O624">
            <v>44305</v>
          </cell>
          <cell r="P624">
            <v>44321</v>
          </cell>
          <cell r="Q624"/>
          <cell r="R624"/>
          <cell r="S624"/>
          <cell r="T624">
            <v>44328</v>
          </cell>
          <cell r="U624">
            <v>44329</v>
          </cell>
          <cell r="V624">
            <v>44329</v>
          </cell>
          <cell r="W624">
            <v>44329</v>
          </cell>
          <cell r="X624">
            <v>41100287</v>
          </cell>
        </row>
        <row r="625">
          <cell r="K625" t="str">
            <v>GBWS-1115</v>
          </cell>
          <cell r="L625">
            <v>44306</v>
          </cell>
          <cell r="M625">
            <v>44305</v>
          </cell>
          <cell r="N625">
            <v>44325</v>
          </cell>
          <cell r="O625">
            <v>44305</v>
          </cell>
          <cell r="P625">
            <v>44321</v>
          </cell>
          <cell r="Q625"/>
          <cell r="R625"/>
          <cell r="S625"/>
          <cell r="T625">
            <v>44327</v>
          </cell>
          <cell r="U625">
            <v>44328</v>
          </cell>
          <cell r="V625">
            <v>44328</v>
          </cell>
          <cell r="W625">
            <v>44329</v>
          </cell>
          <cell r="X625">
            <v>41100345</v>
          </cell>
        </row>
        <row r="626">
          <cell r="K626" t="str">
            <v>GBWS-1116</v>
          </cell>
          <cell r="L626">
            <v>44306</v>
          </cell>
          <cell r="M626">
            <v>44305</v>
          </cell>
          <cell r="N626">
            <v>44325</v>
          </cell>
          <cell r="O626">
            <v>44305</v>
          </cell>
          <cell r="P626">
            <v>44321</v>
          </cell>
          <cell r="Q626"/>
          <cell r="R626"/>
          <cell r="S626"/>
          <cell r="T626">
            <v>44328</v>
          </cell>
          <cell r="U626">
            <v>44329</v>
          </cell>
          <cell r="V626">
            <v>44329</v>
          </cell>
          <cell r="W626">
            <v>44329</v>
          </cell>
          <cell r="X626">
            <v>41100345</v>
          </cell>
        </row>
        <row r="627">
          <cell r="K627" t="str">
            <v>GBWS-1117</v>
          </cell>
          <cell r="L627">
            <v>44306</v>
          </cell>
          <cell r="M627">
            <v>44305</v>
          </cell>
          <cell r="N627">
            <v>44325</v>
          </cell>
          <cell r="O627">
            <v>44305</v>
          </cell>
          <cell r="P627">
            <v>44321</v>
          </cell>
          <cell r="Q627"/>
          <cell r="R627"/>
          <cell r="S627"/>
          <cell r="T627">
            <v>44327</v>
          </cell>
          <cell r="U627">
            <v>44328</v>
          </cell>
          <cell r="V627">
            <v>44329</v>
          </cell>
          <cell r="W627">
            <v>44329</v>
          </cell>
          <cell r="X627">
            <v>41100345</v>
          </cell>
        </row>
        <row r="628">
          <cell r="K628" t="str">
            <v>GBWS-1118</v>
          </cell>
          <cell r="L628">
            <v>44306</v>
          </cell>
          <cell r="M628">
            <v>44305</v>
          </cell>
          <cell r="N628">
            <v>44325</v>
          </cell>
          <cell r="O628">
            <v>44305</v>
          </cell>
          <cell r="P628">
            <v>44321</v>
          </cell>
          <cell r="Q628"/>
          <cell r="R628"/>
          <cell r="S628"/>
          <cell r="T628">
            <v>44328</v>
          </cell>
          <cell r="U628">
            <v>44329</v>
          </cell>
          <cell r="V628">
            <v>44329</v>
          </cell>
          <cell r="W628">
            <v>44329</v>
          </cell>
          <cell r="X628">
            <v>41100288</v>
          </cell>
        </row>
        <row r="629">
          <cell r="K629" t="str">
            <v>GBWS-1120</v>
          </cell>
          <cell r="L629">
            <v>44306</v>
          </cell>
          <cell r="M629">
            <v>44305</v>
          </cell>
          <cell r="N629">
            <v>44325</v>
          </cell>
          <cell r="O629">
            <v>44305</v>
          </cell>
          <cell r="P629">
            <v>44321</v>
          </cell>
          <cell r="Q629"/>
          <cell r="R629"/>
          <cell r="S629"/>
          <cell r="T629">
            <v>44328</v>
          </cell>
          <cell r="U629">
            <v>44329</v>
          </cell>
          <cell r="V629">
            <v>44329</v>
          </cell>
          <cell r="W629">
            <v>44329</v>
          </cell>
          <cell r="X629">
            <v>41100288</v>
          </cell>
        </row>
        <row r="630">
          <cell r="K630" t="str">
            <v>GBWS-1123</v>
          </cell>
          <cell r="L630">
            <v>44305</v>
          </cell>
          <cell r="M630">
            <v>44306</v>
          </cell>
          <cell r="N630">
            <v>44322</v>
          </cell>
          <cell r="O630">
            <v>44306</v>
          </cell>
          <cell r="P630">
            <v>44327</v>
          </cell>
          <cell r="Q630"/>
          <cell r="R630"/>
          <cell r="S630"/>
          <cell r="T630">
            <v>44323</v>
          </cell>
          <cell r="U630">
            <v>44330</v>
          </cell>
          <cell r="V630">
            <v>44330</v>
          </cell>
          <cell r="W630">
            <v>44330</v>
          </cell>
          <cell r="X630">
            <v>41100287</v>
          </cell>
        </row>
        <row r="631">
          <cell r="K631" t="str">
            <v>GBWS-1124</v>
          </cell>
          <cell r="L631">
            <v>44305</v>
          </cell>
          <cell r="M631">
            <v>44306</v>
          </cell>
          <cell r="N631">
            <v>44322</v>
          </cell>
          <cell r="O631">
            <v>44306</v>
          </cell>
          <cell r="P631">
            <v>44327</v>
          </cell>
          <cell r="Q631"/>
          <cell r="R631"/>
          <cell r="S631"/>
          <cell r="T631">
            <v>44326</v>
          </cell>
          <cell r="U631">
            <v>44328</v>
          </cell>
          <cell r="V631">
            <v>44329</v>
          </cell>
          <cell r="W631">
            <v>44329</v>
          </cell>
          <cell r="X631">
            <v>41100287</v>
          </cell>
        </row>
        <row r="632">
          <cell r="K632" t="str">
            <v>GBWS-1125</v>
          </cell>
          <cell r="L632">
            <v>44305</v>
          </cell>
          <cell r="M632">
            <v>44306</v>
          </cell>
          <cell r="N632">
            <v>44322</v>
          </cell>
          <cell r="O632">
            <v>44306</v>
          </cell>
          <cell r="P632">
            <v>44327</v>
          </cell>
          <cell r="Q632"/>
          <cell r="R632"/>
          <cell r="S632"/>
          <cell r="T632">
            <v>44326</v>
          </cell>
          <cell r="U632">
            <v>44328</v>
          </cell>
          <cell r="V632">
            <v>44329</v>
          </cell>
          <cell r="W632">
            <v>44329</v>
          </cell>
          <cell r="X632">
            <v>41100287</v>
          </cell>
        </row>
        <row r="633">
          <cell r="K633" t="str">
            <v>GBWS-1126</v>
          </cell>
          <cell r="L633">
            <v>44305</v>
          </cell>
          <cell r="M633">
            <v>44306</v>
          </cell>
          <cell r="N633">
            <v>44322</v>
          </cell>
          <cell r="O633">
            <v>44306</v>
          </cell>
          <cell r="P633">
            <v>44327</v>
          </cell>
          <cell r="Q633"/>
          <cell r="R633"/>
          <cell r="S633"/>
          <cell r="T633">
            <v>44326</v>
          </cell>
          <cell r="U633">
            <v>44328</v>
          </cell>
          <cell r="V633">
            <v>44329</v>
          </cell>
          <cell r="W633">
            <v>44329</v>
          </cell>
          <cell r="X633">
            <v>41100287</v>
          </cell>
        </row>
        <row r="634">
          <cell r="K634" t="str">
            <v>GBWS-1127</v>
          </cell>
          <cell r="L634">
            <v>44305</v>
          </cell>
          <cell r="M634">
            <v>44306</v>
          </cell>
          <cell r="N634">
            <v>44322</v>
          </cell>
          <cell r="O634">
            <v>44306</v>
          </cell>
          <cell r="P634">
            <v>44327</v>
          </cell>
          <cell r="Q634"/>
          <cell r="R634"/>
          <cell r="S634"/>
          <cell r="T634">
            <v>44323</v>
          </cell>
          <cell r="U634">
            <v>44330</v>
          </cell>
          <cell r="V634">
            <v>44330</v>
          </cell>
          <cell r="W634">
            <v>44330</v>
          </cell>
          <cell r="X634">
            <v>41100287</v>
          </cell>
        </row>
        <row r="635">
          <cell r="K635" t="str">
            <v>GBWS-1140</v>
          </cell>
          <cell r="L635">
            <v>44306</v>
          </cell>
          <cell r="M635">
            <v>44307</v>
          </cell>
          <cell r="N635">
            <v>44327</v>
          </cell>
          <cell r="O635">
            <v>44307</v>
          </cell>
          <cell r="P635">
            <v>44326</v>
          </cell>
          <cell r="Q635"/>
          <cell r="R635"/>
          <cell r="S635"/>
          <cell r="T635">
            <v>44329</v>
          </cell>
          <cell r="U635">
            <v>44330</v>
          </cell>
          <cell r="V635">
            <v>44330</v>
          </cell>
          <cell r="W635">
            <v>44330</v>
          </cell>
          <cell r="X635">
            <v>41100293</v>
          </cell>
        </row>
        <row r="636">
          <cell r="K636" t="str">
            <v>GBWS-1138</v>
          </cell>
          <cell r="L636">
            <v>44311</v>
          </cell>
          <cell r="M636">
            <v>44312</v>
          </cell>
          <cell r="N636">
            <v>44328</v>
          </cell>
          <cell r="O636">
            <v>44312</v>
          </cell>
          <cell r="P636">
            <v>44328</v>
          </cell>
          <cell r="Q636"/>
          <cell r="R636"/>
          <cell r="S636"/>
          <cell r="T636">
            <v>44329</v>
          </cell>
          <cell r="U636">
            <v>44330</v>
          </cell>
          <cell r="V636">
            <v>44330</v>
          </cell>
          <cell r="W636">
            <v>44330</v>
          </cell>
          <cell r="X636">
            <v>41100068</v>
          </cell>
        </row>
        <row r="637">
          <cell r="K637" t="str">
            <v>GBWS-1105</v>
          </cell>
          <cell r="L637">
            <v>44300</v>
          </cell>
          <cell r="M637">
            <v>44301</v>
          </cell>
          <cell r="N637">
            <v>44321</v>
          </cell>
          <cell r="O637">
            <v>44301</v>
          </cell>
          <cell r="P637">
            <v>44321</v>
          </cell>
          <cell r="Q637"/>
          <cell r="R637"/>
          <cell r="S637"/>
          <cell r="T637">
            <v>44322</v>
          </cell>
          <cell r="U637">
            <v>44331</v>
          </cell>
          <cell r="V637">
            <v>44332</v>
          </cell>
          <cell r="W637">
            <v>44332</v>
          </cell>
          <cell r="X637">
            <v>41100328</v>
          </cell>
        </row>
        <row r="638">
          <cell r="K638" t="str">
            <v>GBWS-1144</v>
          </cell>
          <cell r="L638">
            <v>44307</v>
          </cell>
          <cell r="M638">
            <v>44308</v>
          </cell>
          <cell r="N638">
            <v>44326</v>
          </cell>
          <cell r="O638">
            <v>44308</v>
          </cell>
          <cell r="P638">
            <v>44326</v>
          </cell>
          <cell r="Q638"/>
          <cell r="R638"/>
          <cell r="S638"/>
          <cell r="T638">
            <v>44329</v>
          </cell>
          <cell r="U638">
            <v>44331</v>
          </cell>
          <cell r="V638">
            <v>44332</v>
          </cell>
          <cell r="W638">
            <v>44332</v>
          </cell>
          <cell r="X638">
            <v>41100318</v>
          </cell>
        </row>
        <row r="639">
          <cell r="K639" t="str">
            <v>GBWS-1145</v>
          </cell>
          <cell r="L639">
            <v>44307</v>
          </cell>
          <cell r="M639">
            <v>44308</v>
          </cell>
          <cell r="N639">
            <v>44326</v>
          </cell>
          <cell r="O639">
            <v>44308</v>
          </cell>
          <cell r="P639">
            <v>44326</v>
          </cell>
          <cell r="Q639"/>
          <cell r="R639"/>
          <cell r="S639"/>
          <cell r="T639">
            <v>44329</v>
          </cell>
          <cell r="U639">
            <v>44331</v>
          </cell>
          <cell r="V639">
            <v>44332</v>
          </cell>
          <cell r="W639">
            <v>44332</v>
          </cell>
          <cell r="X639">
            <v>41100318</v>
          </cell>
        </row>
        <row r="640">
          <cell r="K640" t="str">
            <v>GBWS-1142</v>
          </cell>
          <cell r="L640">
            <v>44307</v>
          </cell>
          <cell r="M640">
            <v>44308</v>
          </cell>
          <cell r="N640">
            <v>44324</v>
          </cell>
          <cell r="O640">
            <v>44308</v>
          </cell>
          <cell r="P640">
            <v>44324</v>
          </cell>
          <cell r="Q640"/>
          <cell r="R640"/>
          <cell r="S640"/>
          <cell r="T640">
            <v>44330</v>
          </cell>
          <cell r="U640">
            <v>44331</v>
          </cell>
          <cell r="V640">
            <v>44332</v>
          </cell>
          <cell r="W640">
            <v>44332</v>
          </cell>
          <cell r="X640">
            <v>41100318</v>
          </cell>
        </row>
        <row r="641">
          <cell r="K641" t="str">
            <v>DBW-2188</v>
          </cell>
          <cell r="L641">
            <v>44311</v>
          </cell>
          <cell r="M641">
            <v>44312</v>
          </cell>
          <cell r="N641">
            <v>44329</v>
          </cell>
          <cell r="O641">
            <v>44312</v>
          </cell>
          <cell r="P641">
            <v>44330</v>
          </cell>
          <cell r="Q641">
            <v>44328</v>
          </cell>
          <cell r="R641">
            <v>44328</v>
          </cell>
          <cell r="S641"/>
          <cell r="T641">
            <v>44330</v>
          </cell>
          <cell r="U641">
            <v>44333</v>
          </cell>
          <cell r="V641">
            <v>44334</v>
          </cell>
          <cell r="W641">
            <v>44334</v>
          </cell>
          <cell r="X641">
            <v>41000392</v>
          </cell>
        </row>
        <row r="642">
          <cell r="K642" t="str">
            <v>GBWS-1005</v>
          </cell>
          <cell r="L642">
            <v>44264</v>
          </cell>
          <cell r="M642">
            <v>44265</v>
          </cell>
          <cell r="N642">
            <v>44286</v>
          </cell>
          <cell r="O642">
            <v>44265</v>
          </cell>
          <cell r="P642">
            <v>44286</v>
          </cell>
          <cell r="Q642">
            <v>44287</v>
          </cell>
          <cell r="R642">
            <v>44287</v>
          </cell>
          <cell r="S642"/>
          <cell r="T642">
            <v>44287</v>
          </cell>
          <cell r="U642">
            <v>44291</v>
          </cell>
          <cell r="V642">
            <v>44291</v>
          </cell>
          <cell r="W642">
            <v>44292</v>
          </cell>
          <cell r="X642">
            <v>41100168</v>
          </cell>
        </row>
        <row r="643">
          <cell r="K643" t="str">
            <v>GBWS-1008</v>
          </cell>
          <cell r="L643">
            <v>44264</v>
          </cell>
          <cell r="M643">
            <v>44265</v>
          </cell>
          <cell r="N643">
            <v>44286</v>
          </cell>
          <cell r="O643">
            <v>44265</v>
          </cell>
          <cell r="P643">
            <v>44286</v>
          </cell>
          <cell r="Q643">
            <v>44287</v>
          </cell>
          <cell r="R643">
            <v>44287</v>
          </cell>
          <cell r="S643"/>
          <cell r="T643">
            <v>44287</v>
          </cell>
          <cell r="U643">
            <v>44291</v>
          </cell>
          <cell r="V643">
            <v>44292</v>
          </cell>
          <cell r="W643">
            <v>44292</v>
          </cell>
          <cell r="X643">
            <v>41100168</v>
          </cell>
        </row>
        <row r="644">
          <cell r="K644" t="str">
            <v>GBWS-1011</v>
          </cell>
          <cell r="L644">
            <v>44264</v>
          </cell>
          <cell r="M644">
            <v>44265</v>
          </cell>
          <cell r="N644">
            <v>44286</v>
          </cell>
          <cell r="O644">
            <v>44265</v>
          </cell>
          <cell r="P644">
            <v>44286</v>
          </cell>
          <cell r="Q644">
            <v>44287</v>
          </cell>
          <cell r="R644">
            <v>44287</v>
          </cell>
          <cell r="S644"/>
          <cell r="T644">
            <v>44287</v>
          </cell>
          <cell r="U644">
            <v>44291</v>
          </cell>
          <cell r="V644">
            <v>44292</v>
          </cell>
          <cell r="W644">
            <v>44292</v>
          </cell>
          <cell r="X644">
            <v>41100168</v>
          </cell>
        </row>
        <row r="645">
          <cell r="K645" t="str">
            <v>GBWS-1014</v>
          </cell>
          <cell r="L645">
            <v>44264</v>
          </cell>
          <cell r="M645">
            <v>44265</v>
          </cell>
          <cell r="N645">
            <v>44286</v>
          </cell>
          <cell r="O645">
            <v>44265</v>
          </cell>
          <cell r="P645">
            <v>44286</v>
          </cell>
          <cell r="Q645">
            <v>44287</v>
          </cell>
          <cell r="R645">
            <v>44287</v>
          </cell>
          <cell r="S645"/>
          <cell r="T645">
            <v>44287</v>
          </cell>
          <cell r="U645">
            <v>44289</v>
          </cell>
          <cell r="V645">
            <v>44291</v>
          </cell>
          <cell r="W645">
            <v>44291</v>
          </cell>
          <cell r="X645">
            <v>41100168</v>
          </cell>
        </row>
        <row r="646">
          <cell r="K646" t="str">
            <v>GBWS-1108</v>
          </cell>
          <cell r="L646">
            <v>44301</v>
          </cell>
          <cell r="M646">
            <v>44302</v>
          </cell>
          <cell r="N646">
            <v>44320</v>
          </cell>
          <cell r="O646">
            <v>44302</v>
          </cell>
          <cell r="P646">
            <v>44314</v>
          </cell>
          <cell r="Q646"/>
          <cell r="R646"/>
          <cell r="S646"/>
          <cell r="T646">
            <v>44319</v>
          </cell>
          <cell r="U646">
            <v>44320</v>
          </cell>
          <cell r="V646">
            <v>44320</v>
          </cell>
          <cell r="W646">
            <v>44323</v>
          </cell>
          <cell r="X646">
            <v>41100168</v>
          </cell>
        </row>
        <row r="647">
          <cell r="K647" t="str">
            <v>GBWS-1109</v>
          </cell>
          <cell r="L647">
            <v>44301</v>
          </cell>
          <cell r="M647">
            <v>44302</v>
          </cell>
          <cell r="N647">
            <v>44320</v>
          </cell>
          <cell r="O647">
            <v>44302</v>
          </cell>
          <cell r="P647">
            <v>44314</v>
          </cell>
          <cell r="Q647"/>
          <cell r="R647"/>
          <cell r="S647"/>
          <cell r="T647">
            <v>44319</v>
          </cell>
          <cell r="U647">
            <v>44320</v>
          </cell>
          <cell r="V647">
            <v>44320</v>
          </cell>
          <cell r="W647">
            <v>44323</v>
          </cell>
          <cell r="X647">
            <v>41100168</v>
          </cell>
        </row>
        <row r="648">
          <cell r="K648" t="str">
            <v>GBWS-1110</v>
          </cell>
          <cell r="L648">
            <v>44301</v>
          </cell>
          <cell r="M648">
            <v>44302</v>
          </cell>
          <cell r="N648">
            <v>44320</v>
          </cell>
          <cell r="O648">
            <v>44302</v>
          </cell>
          <cell r="P648">
            <v>44314</v>
          </cell>
          <cell r="Q648"/>
          <cell r="R648"/>
          <cell r="S648"/>
          <cell r="T648">
            <v>44320</v>
          </cell>
          <cell r="U648">
            <v>44320</v>
          </cell>
          <cell r="V648">
            <v>44320</v>
          </cell>
          <cell r="W648">
            <v>44323</v>
          </cell>
          <cell r="X648">
            <v>41100168</v>
          </cell>
        </row>
        <row r="649">
          <cell r="K649" t="str">
            <v>GBWS-1111</v>
          </cell>
          <cell r="L649">
            <v>44301</v>
          </cell>
          <cell r="M649">
            <v>44302</v>
          </cell>
          <cell r="N649">
            <v>44320</v>
          </cell>
          <cell r="O649">
            <v>44302</v>
          </cell>
          <cell r="P649">
            <v>44314</v>
          </cell>
          <cell r="Q649"/>
          <cell r="R649"/>
          <cell r="S649"/>
          <cell r="T649">
            <v>44319</v>
          </cell>
          <cell r="U649">
            <v>44320</v>
          </cell>
          <cell r="V649">
            <v>44320</v>
          </cell>
          <cell r="W649">
            <v>44323</v>
          </cell>
          <cell r="X649">
            <v>41100168</v>
          </cell>
        </row>
        <row r="650">
          <cell r="K650" t="str">
            <v>GBWS-1147</v>
          </cell>
          <cell r="L650">
            <v>44311</v>
          </cell>
          <cell r="M650">
            <v>44312</v>
          </cell>
          <cell r="N650">
            <v>44328</v>
          </cell>
          <cell r="O650">
            <v>44312</v>
          </cell>
          <cell r="P650">
            <v>44327</v>
          </cell>
          <cell r="Q650"/>
          <cell r="R650"/>
          <cell r="S650"/>
          <cell r="T650">
            <v>44333</v>
          </cell>
          <cell r="U650">
            <v>44333</v>
          </cell>
          <cell r="V650">
            <v>44334</v>
          </cell>
          <cell r="W650">
            <v>44334</v>
          </cell>
          <cell r="X650">
            <v>41100168</v>
          </cell>
        </row>
        <row r="651">
          <cell r="K651" t="str">
            <v>GBWS-1148</v>
          </cell>
          <cell r="L651">
            <v>44311</v>
          </cell>
          <cell r="M651">
            <v>44312</v>
          </cell>
          <cell r="N651">
            <v>44328</v>
          </cell>
          <cell r="O651">
            <v>44312</v>
          </cell>
          <cell r="P651">
            <v>44327</v>
          </cell>
          <cell r="Q651"/>
          <cell r="R651"/>
          <cell r="S651"/>
          <cell r="T651">
            <v>44333</v>
          </cell>
          <cell r="U651">
            <v>44333</v>
          </cell>
          <cell r="V651">
            <v>44334</v>
          </cell>
          <cell r="W651">
            <v>44334</v>
          </cell>
          <cell r="X651">
            <v>41100168</v>
          </cell>
        </row>
        <row r="652">
          <cell r="K652" t="str">
            <v>DBW-2142</v>
          </cell>
          <cell r="L652">
            <v>44278</v>
          </cell>
          <cell r="M652">
            <v>44279</v>
          </cell>
          <cell r="N652">
            <v>44300</v>
          </cell>
          <cell r="O652">
            <v>44279</v>
          </cell>
          <cell r="P652">
            <v>44300</v>
          </cell>
          <cell r="Q652">
            <v>44298</v>
          </cell>
          <cell r="R652">
            <v>44298</v>
          </cell>
          <cell r="S652"/>
          <cell r="T652">
            <v>44300</v>
          </cell>
          <cell r="U652">
            <v>44333</v>
          </cell>
          <cell r="V652">
            <v>44333</v>
          </cell>
          <cell r="W652">
            <v>44333</v>
          </cell>
          <cell r="X652">
            <v>41100277</v>
          </cell>
        </row>
        <row r="653">
          <cell r="K653" t="str">
            <v>GBWS-1153</v>
          </cell>
          <cell r="L653">
            <v>44313</v>
          </cell>
          <cell r="M653">
            <v>44313</v>
          </cell>
          <cell r="N653">
            <v>44334</v>
          </cell>
          <cell r="O653">
            <v>44313</v>
          </cell>
          <cell r="P653">
            <v>44333</v>
          </cell>
          <cell r="Q653">
            <v>44330</v>
          </cell>
          <cell r="R653">
            <v>44330</v>
          </cell>
          <cell r="S653"/>
          <cell r="T653">
            <v>44335</v>
          </cell>
          <cell r="U653">
            <v>44335</v>
          </cell>
          <cell r="V653">
            <v>44335</v>
          </cell>
          <cell r="W653">
            <v>44335</v>
          </cell>
          <cell r="X653">
            <v>41100089</v>
          </cell>
        </row>
        <row r="654">
          <cell r="K654" t="str">
            <v>GBWS-1154</v>
          </cell>
          <cell r="L654">
            <v>44313</v>
          </cell>
          <cell r="M654">
            <v>44313</v>
          </cell>
          <cell r="N654">
            <v>44334</v>
          </cell>
          <cell r="O654">
            <v>44313</v>
          </cell>
          <cell r="P654">
            <v>44333</v>
          </cell>
          <cell r="Q654">
            <v>44330</v>
          </cell>
          <cell r="R654">
            <v>44330</v>
          </cell>
          <cell r="S654"/>
          <cell r="T654">
            <v>44334</v>
          </cell>
          <cell r="U654">
            <v>44335</v>
          </cell>
          <cell r="V654">
            <v>44335</v>
          </cell>
          <cell r="W654">
            <v>44335</v>
          </cell>
          <cell r="X654">
            <v>41100089</v>
          </cell>
        </row>
        <row r="655">
          <cell r="K655" t="str">
            <v>GBWS-1155</v>
          </cell>
          <cell r="L655">
            <v>44313</v>
          </cell>
          <cell r="M655">
            <v>44313</v>
          </cell>
          <cell r="N655">
            <v>44334</v>
          </cell>
          <cell r="O655">
            <v>44313</v>
          </cell>
          <cell r="P655">
            <v>44333</v>
          </cell>
          <cell r="Q655">
            <v>44330</v>
          </cell>
          <cell r="R655">
            <v>44330</v>
          </cell>
          <cell r="S655"/>
          <cell r="T655">
            <v>44334</v>
          </cell>
          <cell r="U655">
            <v>44335</v>
          </cell>
          <cell r="V655">
            <v>44335</v>
          </cell>
          <cell r="W655">
            <v>44335</v>
          </cell>
          <cell r="X655">
            <v>41100089</v>
          </cell>
        </row>
        <row r="656">
          <cell r="K656" t="str">
            <v>GBWS-1156</v>
          </cell>
          <cell r="L656">
            <v>44313</v>
          </cell>
          <cell r="M656">
            <v>44313</v>
          </cell>
          <cell r="N656">
            <v>44333</v>
          </cell>
          <cell r="O656">
            <v>44313</v>
          </cell>
          <cell r="P656">
            <v>44333</v>
          </cell>
          <cell r="Q656"/>
          <cell r="R656"/>
          <cell r="S656"/>
          <cell r="T656">
            <v>44333</v>
          </cell>
          <cell r="U656">
            <v>44334</v>
          </cell>
          <cell r="V656">
            <v>44335</v>
          </cell>
          <cell r="W656">
            <v>44335</v>
          </cell>
          <cell r="X656">
            <v>41100093</v>
          </cell>
        </row>
        <row r="657">
          <cell r="K657" t="str">
            <v>GBWS-1157</v>
          </cell>
          <cell r="L657">
            <v>44313</v>
          </cell>
          <cell r="M657">
            <v>44313</v>
          </cell>
          <cell r="N657">
            <v>44333</v>
          </cell>
          <cell r="O657">
            <v>44313</v>
          </cell>
          <cell r="P657">
            <v>44333</v>
          </cell>
          <cell r="Q657"/>
          <cell r="R657"/>
          <cell r="S657"/>
          <cell r="T657">
            <v>44333</v>
          </cell>
          <cell r="U657">
            <v>44334</v>
          </cell>
          <cell r="V657">
            <v>44335</v>
          </cell>
          <cell r="W657">
            <v>44335</v>
          </cell>
          <cell r="X657">
            <v>41100093</v>
          </cell>
        </row>
        <row r="658">
          <cell r="K658" t="str">
            <v>GBWS-1158</v>
          </cell>
          <cell r="L658">
            <v>44313</v>
          </cell>
          <cell r="M658">
            <v>44313</v>
          </cell>
          <cell r="N658">
            <v>44333</v>
          </cell>
          <cell r="O658">
            <v>44313</v>
          </cell>
          <cell r="P658">
            <v>44333</v>
          </cell>
          <cell r="Q658"/>
          <cell r="R658"/>
          <cell r="S658"/>
          <cell r="T658">
            <v>44333</v>
          </cell>
          <cell r="U658">
            <v>44334</v>
          </cell>
          <cell r="V658">
            <v>44335</v>
          </cell>
          <cell r="W658">
            <v>44335</v>
          </cell>
          <cell r="X658">
            <v>41100093</v>
          </cell>
        </row>
        <row r="659">
          <cell r="K659" t="str">
            <v>GBWS-1159</v>
          </cell>
          <cell r="L659">
            <v>44313</v>
          </cell>
          <cell r="M659">
            <v>44313</v>
          </cell>
          <cell r="N659">
            <v>44334</v>
          </cell>
          <cell r="O659">
            <v>44313</v>
          </cell>
          <cell r="P659">
            <v>44334</v>
          </cell>
          <cell r="Q659"/>
          <cell r="R659"/>
          <cell r="S659"/>
          <cell r="T659">
            <v>44335</v>
          </cell>
          <cell r="U659">
            <v>44335</v>
          </cell>
          <cell r="V659">
            <v>44335</v>
          </cell>
          <cell r="W659">
            <v>44336</v>
          </cell>
          <cell r="X659">
            <v>41100093</v>
          </cell>
        </row>
        <row r="660">
          <cell r="K660" t="str">
            <v>GBWS-1160</v>
          </cell>
          <cell r="L660">
            <v>44313</v>
          </cell>
          <cell r="M660">
            <v>44313</v>
          </cell>
          <cell r="N660">
            <v>44334</v>
          </cell>
          <cell r="O660">
            <v>44313</v>
          </cell>
          <cell r="P660">
            <v>44334</v>
          </cell>
          <cell r="Q660"/>
          <cell r="R660"/>
          <cell r="S660"/>
          <cell r="T660">
            <v>44335</v>
          </cell>
          <cell r="U660">
            <v>44335</v>
          </cell>
          <cell r="V660">
            <v>44335</v>
          </cell>
          <cell r="W660">
            <v>44336</v>
          </cell>
          <cell r="X660">
            <v>41100093</v>
          </cell>
        </row>
        <row r="661">
          <cell r="K661" t="str">
            <v>GBWS-1161</v>
          </cell>
          <cell r="L661">
            <v>44313</v>
          </cell>
          <cell r="M661">
            <v>44313</v>
          </cell>
          <cell r="N661">
            <v>44333</v>
          </cell>
          <cell r="O661">
            <v>44313</v>
          </cell>
          <cell r="P661">
            <v>44333</v>
          </cell>
          <cell r="Q661">
            <v>44330</v>
          </cell>
          <cell r="R661">
            <v>44330</v>
          </cell>
          <cell r="S661"/>
          <cell r="T661">
            <v>44333</v>
          </cell>
          <cell r="U661">
            <v>44334</v>
          </cell>
          <cell r="V661">
            <v>44335</v>
          </cell>
          <cell r="W661">
            <v>44335</v>
          </cell>
          <cell r="X661">
            <v>41100096</v>
          </cell>
        </row>
        <row r="662">
          <cell r="K662" t="str">
            <v>DBW-2201</v>
          </cell>
          <cell r="L662">
            <v>44313</v>
          </cell>
          <cell r="M662">
            <v>44314</v>
          </cell>
          <cell r="N662">
            <v>44327</v>
          </cell>
          <cell r="O662">
            <v>44314</v>
          </cell>
          <cell r="P662">
            <v>44329</v>
          </cell>
          <cell r="Q662">
            <v>44328</v>
          </cell>
          <cell r="R662">
            <v>44328</v>
          </cell>
          <cell r="S662"/>
          <cell r="T662">
            <v>44329</v>
          </cell>
          <cell r="U662">
            <v>44333</v>
          </cell>
          <cell r="V662">
            <v>44333</v>
          </cell>
          <cell r="W662">
            <v>44334</v>
          </cell>
          <cell r="X662">
            <v>41100258</v>
          </cell>
        </row>
        <row r="663">
          <cell r="K663" t="str">
            <v>DBW-2193</v>
          </cell>
          <cell r="L663">
            <v>44313</v>
          </cell>
          <cell r="M663">
            <v>44314</v>
          </cell>
          <cell r="N663">
            <v>44333</v>
          </cell>
          <cell r="O663">
            <v>44314</v>
          </cell>
          <cell r="P663">
            <v>44333</v>
          </cell>
          <cell r="Q663">
            <v>44333</v>
          </cell>
          <cell r="R663">
            <v>44333</v>
          </cell>
          <cell r="S663"/>
          <cell r="T663">
            <v>44334</v>
          </cell>
          <cell r="U663">
            <v>44336</v>
          </cell>
          <cell r="V663">
            <v>44336</v>
          </cell>
          <cell r="W663">
            <v>44336</v>
          </cell>
          <cell r="X663">
            <v>41100169</v>
          </cell>
        </row>
        <row r="664">
          <cell r="K664" t="str">
            <v>DBW-2194</v>
          </cell>
          <cell r="L664">
            <v>44313</v>
          </cell>
          <cell r="M664">
            <v>44314</v>
          </cell>
          <cell r="N664">
            <v>44334</v>
          </cell>
          <cell r="O664">
            <v>44314</v>
          </cell>
          <cell r="P664">
            <v>44333</v>
          </cell>
          <cell r="Q664">
            <v>44333</v>
          </cell>
          <cell r="R664">
            <v>44333</v>
          </cell>
          <cell r="S664"/>
          <cell r="T664">
            <v>44335</v>
          </cell>
          <cell r="U664">
            <v>44336</v>
          </cell>
          <cell r="V664">
            <v>44336</v>
          </cell>
          <cell r="W664">
            <v>44336</v>
          </cell>
          <cell r="X664">
            <v>41100169</v>
          </cell>
        </row>
        <row r="665">
          <cell r="K665" t="str">
            <v>DBW-2195</v>
          </cell>
          <cell r="L665">
            <v>44313</v>
          </cell>
          <cell r="M665">
            <v>44314</v>
          </cell>
          <cell r="N665">
            <v>44335</v>
          </cell>
          <cell r="O665">
            <v>44314</v>
          </cell>
          <cell r="P665">
            <v>44334</v>
          </cell>
          <cell r="Q665">
            <v>44332</v>
          </cell>
          <cell r="R665">
            <v>44332</v>
          </cell>
          <cell r="S665"/>
          <cell r="T665">
            <v>44336</v>
          </cell>
          <cell r="U665">
            <v>44336</v>
          </cell>
          <cell r="V665">
            <v>44336</v>
          </cell>
          <cell r="W665">
            <v>44336</v>
          </cell>
          <cell r="X665">
            <v>41100174</v>
          </cell>
        </row>
        <row r="666">
          <cell r="K666" t="str">
            <v>DBW-2196</v>
          </cell>
          <cell r="L666">
            <v>44313</v>
          </cell>
          <cell r="M666">
            <v>44314</v>
          </cell>
          <cell r="N666">
            <v>44335</v>
          </cell>
          <cell r="O666">
            <v>44314</v>
          </cell>
          <cell r="P666">
            <v>44334</v>
          </cell>
          <cell r="Q666">
            <v>44332</v>
          </cell>
          <cell r="R666">
            <v>44332</v>
          </cell>
          <cell r="S666"/>
          <cell r="T666">
            <v>44336</v>
          </cell>
          <cell r="U666">
            <v>44336</v>
          </cell>
          <cell r="V666">
            <v>44336</v>
          </cell>
          <cell r="W666">
            <v>44336</v>
          </cell>
          <cell r="X666">
            <v>41100174</v>
          </cell>
        </row>
        <row r="667">
          <cell r="K667" t="str">
            <v>DS-0323,0324</v>
          </cell>
          <cell r="L667"/>
          <cell r="M667">
            <v>44329</v>
          </cell>
          <cell r="N667">
            <v>44336</v>
          </cell>
          <cell r="O667">
            <v>44329</v>
          </cell>
          <cell r="P667" t="str">
            <v xml:space="preserve"> -</v>
          </cell>
          <cell r="Q667"/>
          <cell r="R667"/>
          <cell r="S667"/>
          <cell r="T667" t="str">
            <v xml:space="preserve"> -</v>
          </cell>
          <cell r="U667" t="str">
            <v xml:space="preserve"> -</v>
          </cell>
          <cell r="V667">
            <v>44336</v>
          </cell>
          <cell r="W667">
            <v>44336</v>
          </cell>
          <cell r="X667">
            <v>31010363</v>
          </cell>
        </row>
        <row r="668">
          <cell r="K668" t="str">
            <v>DBW-2209</v>
          </cell>
          <cell r="L668">
            <v>44319</v>
          </cell>
          <cell r="M668">
            <v>44320</v>
          </cell>
          <cell r="N668">
            <v>44334</v>
          </cell>
          <cell r="O668">
            <v>44320</v>
          </cell>
          <cell r="P668">
            <v>44336</v>
          </cell>
          <cell r="Q668">
            <v>44334</v>
          </cell>
          <cell r="R668">
            <v>44334</v>
          </cell>
          <cell r="S668"/>
          <cell r="T668">
            <v>44337</v>
          </cell>
          <cell r="U668">
            <v>44337</v>
          </cell>
          <cell r="V668">
            <v>44337</v>
          </cell>
          <cell r="W668">
            <v>44337</v>
          </cell>
          <cell r="X668">
            <v>41100236</v>
          </cell>
        </row>
        <row r="669">
          <cell r="K669" t="str">
            <v>DBW-2210</v>
          </cell>
          <cell r="L669">
            <v>44319</v>
          </cell>
          <cell r="M669">
            <v>44320</v>
          </cell>
          <cell r="N669">
            <v>44334</v>
          </cell>
          <cell r="O669">
            <v>44320</v>
          </cell>
          <cell r="P669">
            <v>44336</v>
          </cell>
          <cell r="Q669">
            <v>44334</v>
          </cell>
          <cell r="R669">
            <v>44334</v>
          </cell>
          <cell r="S669"/>
          <cell r="T669">
            <v>44337</v>
          </cell>
          <cell r="U669">
            <v>44337</v>
          </cell>
          <cell r="V669">
            <v>44337</v>
          </cell>
          <cell r="W669">
            <v>44337</v>
          </cell>
          <cell r="X669">
            <v>41100236</v>
          </cell>
        </row>
        <row r="670">
          <cell r="K670" t="str">
            <v>GBWS-1174</v>
          </cell>
          <cell r="L670">
            <v>44319</v>
          </cell>
          <cell r="M670">
            <v>44320</v>
          </cell>
          <cell r="N670">
            <v>44337</v>
          </cell>
          <cell r="O670">
            <v>44320</v>
          </cell>
          <cell r="P670">
            <v>44337</v>
          </cell>
          <cell r="Q670">
            <v>44336</v>
          </cell>
          <cell r="R670">
            <v>44336</v>
          </cell>
          <cell r="S670"/>
          <cell r="T670">
            <v>44337</v>
          </cell>
          <cell r="U670">
            <v>44337</v>
          </cell>
          <cell r="V670">
            <v>44340</v>
          </cell>
          <cell r="W670">
            <v>44340</v>
          </cell>
          <cell r="X670">
            <v>41100333</v>
          </cell>
        </row>
        <row r="671">
          <cell r="K671" t="str">
            <v>GBWS-1122</v>
          </cell>
          <cell r="L671">
            <v>44306</v>
          </cell>
          <cell r="M671">
            <v>44306</v>
          </cell>
          <cell r="N671">
            <v>44321</v>
          </cell>
          <cell r="O671">
            <v>44306</v>
          </cell>
          <cell r="P671">
            <v>44321</v>
          </cell>
          <cell r="Q671"/>
          <cell r="R671"/>
          <cell r="S671"/>
          <cell r="T671">
            <v>44322</v>
          </cell>
          <cell r="U671">
            <v>44323</v>
          </cell>
          <cell r="V671">
            <v>44323</v>
          </cell>
          <cell r="W671">
            <v>44323</v>
          </cell>
          <cell r="X671">
            <v>41100302</v>
          </cell>
        </row>
        <row r="672">
          <cell r="K672" t="str">
            <v>DBW-2202</v>
          </cell>
          <cell r="L672">
            <v>44313</v>
          </cell>
          <cell r="M672">
            <v>44314</v>
          </cell>
          <cell r="N672">
            <v>44330</v>
          </cell>
          <cell r="O672">
            <v>44314</v>
          </cell>
          <cell r="P672">
            <v>0.9</v>
          </cell>
          <cell r="Q672">
            <v>44330</v>
          </cell>
          <cell r="R672">
            <v>44330</v>
          </cell>
          <cell r="S672"/>
          <cell r="T672">
            <v>44334</v>
          </cell>
          <cell r="U672">
            <v>44336</v>
          </cell>
          <cell r="V672">
            <v>44337</v>
          </cell>
          <cell r="W672">
            <v>44340</v>
          </cell>
          <cell r="X672">
            <v>41100229</v>
          </cell>
        </row>
        <row r="673">
          <cell r="K673" t="str">
            <v>DBW-2203</v>
          </cell>
          <cell r="L673">
            <v>44313</v>
          </cell>
          <cell r="M673">
            <v>44314</v>
          </cell>
          <cell r="N673">
            <v>44330</v>
          </cell>
          <cell r="O673">
            <v>44314</v>
          </cell>
          <cell r="P673">
            <v>44333</v>
          </cell>
          <cell r="Q673">
            <v>44330</v>
          </cell>
          <cell r="R673">
            <v>44330</v>
          </cell>
          <cell r="S673"/>
          <cell r="T673">
            <v>44334</v>
          </cell>
          <cell r="U673">
            <v>44336</v>
          </cell>
          <cell r="V673">
            <v>44337</v>
          </cell>
          <cell r="W673">
            <v>44340</v>
          </cell>
          <cell r="X673">
            <v>41100229</v>
          </cell>
        </row>
        <row r="674">
          <cell r="K674" t="str">
            <v>DBW-2199</v>
          </cell>
          <cell r="L674">
            <v>44313</v>
          </cell>
          <cell r="M674">
            <v>44314</v>
          </cell>
          <cell r="N674">
            <v>44335</v>
          </cell>
          <cell r="O674">
            <v>44314</v>
          </cell>
          <cell r="P674">
            <v>44334</v>
          </cell>
          <cell r="Q674">
            <v>44332</v>
          </cell>
          <cell r="R674">
            <v>44332</v>
          </cell>
          <cell r="S674"/>
          <cell r="T674">
            <v>44336</v>
          </cell>
          <cell r="U674">
            <v>44340</v>
          </cell>
          <cell r="V674">
            <v>44340</v>
          </cell>
          <cell r="W674">
            <v>44341</v>
          </cell>
          <cell r="X674">
            <v>41100258</v>
          </cell>
        </row>
        <row r="675">
          <cell r="K675" t="str">
            <v>DBW-2204</v>
          </cell>
          <cell r="L675">
            <v>44316</v>
          </cell>
          <cell r="M675">
            <v>44319</v>
          </cell>
          <cell r="N675">
            <v>44340</v>
          </cell>
          <cell r="O675">
            <v>44319</v>
          </cell>
          <cell r="P675">
            <v>44341</v>
          </cell>
          <cell r="Q675">
            <v>44337</v>
          </cell>
          <cell r="R675">
            <v>44337</v>
          </cell>
          <cell r="S675"/>
          <cell r="T675">
            <v>44341</v>
          </cell>
          <cell r="U675">
            <v>44341</v>
          </cell>
          <cell r="V675">
            <v>44342</v>
          </cell>
          <cell r="W675">
            <v>44342</v>
          </cell>
          <cell r="X675">
            <v>41100258</v>
          </cell>
        </row>
        <row r="676">
          <cell r="K676" t="str">
            <v>GBWS-1194</v>
          </cell>
          <cell r="L676">
            <v>44322</v>
          </cell>
          <cell r="M676">
            <v>44323</v>
          </cell>
          <cell r="N676">
            <v>44340</v>
          </cell>
          <cell r="O676">
            <v>44323</v>
          </cell>
          <cell r="P676">
            <v>44340</v>
          </cell>
          <cell r="Q676">
            <v>44339</v>
          </cell>
          <cell r="R676">
            <v>44339</v>
          </cell>
          <cell r="S676"/>
          <cell r="T676">
            <v>44341</v>
          </cell>
          <cell r="U676">
            <v>44341</v>
          </cell>
          <cell r="V676">
            <v>44341</v>
          </cell>
          <cell r="W676">
            <v>44253</v>
          </cell>
          <cell r="X676">
            <v>41100339</v>
          </cell>
        </row>
        <row r="677">
          <cell r="K677" t="str">
            <v>GBWS-1175</v>
          </cell>
          <cell r="L677">
            <v>44319</v>
          </cell>
          <cell r="M677">
            <v>44320</v>
          </cell>
          <cell r="N677">
            <v>44341</v>
          </cell>
          <cell r="O677">
            <v>44320</v>
          </cell>
          <cell r="P677">
            <v>44342</v>
          </cell>
          <cell r="Q677">
            <v>44336</v>
          </cell>
          <cell r="R677">
            <v>44336</v>
          </cell>
          <cell r="S677"/>
          <cell r="T677">
            <v>44342</v>
          </cell>
          <cell r="U677">
            <v>44342</v>
          </cell>
          <cell r="V677">
            <v>44343</v>
          </cell>
          <cell r="W677">
            <v>44343</v>
          </cell>
          <cell r="X677">
            <v>41100340</v>
          </cell>
        </row>
        <row r="678">
          <cell r="K678" t="str">
            <v>GBWS-1176</v>
          </cell>
          <cell r="L678">
            <v>44319</v>
          </cell>
          <cell r="M678">
            <v>44320</v>
          </cell>
          <cell r="N678">
            <v>44341</v>
          </cell>
          <cell r="O678">
            <v>44320</v>
          </cell>
          <cell r="P678">
            <v>44342</v>
          </cell>
          <cell r="Q678">
            <v>44336</v>
          </cell>
          <cell r="R678">
            <v>44336</v>
          </cell>
          <cell r="S678"/>
          <cell r="T678">
            <v>44342</v>
          </cell>
          <cell r="U678">
            <v>44342</v>
          </cell>
          <cell r="V678">
            <v>44343</v>
          </cell>
          <cell r="W678">
            <v>44343</v>
          </cell>
          <cell r="X678">
            <v>41100340</v>
          </cell>
        </row>
        <row r="679">
          <cell r="K679" t="str">
            <v>GBWS-1165</v>
          </cell>
          <cell r="L679">
            <v>44314</v>
          </cell>
          <cell r="M679">
            <v>44315</v>
          </cell>
          <cell r="N679">
            <v>44337</v>
          </cell>
          <cell r="O679">
            <v>44315</v>
          </cell>
          <cell r="P679">
            <v>44341</v>
          </cell>
          <cell r="Q679">
            <v>44337</v>
          </cell>
          <cell r="R679">
            <v>44337</v>
          </cell>
          <cell r="S679"/>
          <cell r="T679">
            <v>44340</v>
          </cell>
          <cell r="U679">
            <v>44342</v>
          </cell>
          <cell r="V679">
            <v>44343</v>
          </cell>
          <cell r="W679">
            <v>44343</v>
          </cell>
          <cell r="X679">
            <v>41100297</v>
          </cell>
        </row>
        <row r="680">
          <cell r="K680" t="str">
            <v>DBW-2130</v>
          </cell>
          <cell r="L680">
            <v>44270</v>
          </cell>
          <cell r="M680">
            <v>44271</v>
          </cell>
          <cell r="N680">
            <v>44287</v>
          </cell>
          <cell r="O680">
            <v>44271</v>
          </cell>
          <cell r="P680">
            <v>44286</v>
          </cell>
          <cell r="Q680">
            <v>44285</v>
          </cell>
          <cell r="R680">
            <v>44285</v>
          </cell>
          <cell r="S680"/>
          <cell r="T680">
            <v>44287</v>
          </cell>
          <cell r="U680">
            <v>44288</v>
          </cell>
          <cell r="V680">
            <v>44288</v>
          </cell>
          <cell r="W680">
            <v>44290</v>
          </cell>
          <cell r="X680">
            <v>41100258</v>
          </cell>
        </row>
        <row r="681">
          <cell r="K681" t="str">
            <v>DBW-2205</v>
          </cell>
          <cell r="L681">
            <v>44316</v>
          </cell>
          <cell r="M681">
            <v>44319</v>
          </cell>
          <cell r="N681">
            <v>44342</v>
          </cell>
          <cell r="O681">
            <v>44319</v>
          </cell>
          <cell r="P681">
            <v>44341</v>
          </cell>
          <cell r="Q681">
            <v>44337</v>
          </cell>
          <cell r="R681">
            <v>44337</v>
          </cell>
          <cell r="S681"/>
          <cell r="T681">
            <v>44342</v>
          </cell>
          <cell r="U681">
            <v>44343</v>
          </cell>
          <cell r="V681">
            <v>44344</v>
          </cell>
          <cell r="W681">
            <v>44344</v>
          </cell>
          <cell r="X681">
            <v>41100258</v>
          </cell>
        </row>
        <row r="682">
          <cell r="K682" t="str">
            <v>DBW-2208</v>
          </cell>
          <cell r="L682">
            <v>44316</v>
          </cell>
          <cell r="M682">
            <v>44319</v>
          </cell>
          <cell r="N682">
            <v>44337</v>
          </cell>
          <cell r="O682">
            <v>44319</v>
          </cell>
          <cell r="P682">
            <v>44340</v>
          </cell>
          <cell r="Q682">
            <v>44336</v>
          </cell>
          <cell r="R682">
            <v>44336</v>
          </cell>
          <cell r="S682"/>
          <cell r="T682">
            <v>44341</v>
          </cell>
          <cell r="U682">
            <v>44342</v>
          </cell>
          <cell r="V682">
            <v>44342</v>
          </cell>
          <cell r="W682">
            <v>44344</v>
          </cell>
          <cell r="X682" t="str">
            <v>41100262 → 41100258</v>
          </cell>
        </row>
        <row r="683">
          <cell r="K683" t="str">
            <v>GBWS-1162</v>
          </cell>
          <cell r="L683">
            <v>44314</v>
          </cell>
          <cell r="M683">
            <v>44315</v>
          </cell>
          <cell r="N683">
            <v>44337</v>
          </cell>
          <cell r="O683">
            <v>44315</v>
          </cell>
          <cell r="P683">
            <v>44341</v>
          </cell>
          <cell r="Q683">
            <v>44337</v>
          </cell>
          <cell r="R683">
            <v>44337</v>
          </cell>
          <cell r="S683"/>
          <cell r="T683">
            <v>44341</v>
          </cell>
          <cell r="U683">
            <v>44342</v>
          </cell>
          <cell r="V683">
            <v>44343</v>
          </cell>
          <cell r="W683">
            <v>44343</v>
          </cell>
          <cell r="X683">
            <v>41100297</v>
          </cell>
        </row>
        <row r="684">
          <cell r="K684" t="str">
            <v>GBWS-1163</v>
          </cell>
          <cell r="L684">
            <v>44314</v>
          </cell>
          <cell r="M684">
            <v>44315</v>
          </cell>
          <cell r="N684">
            <v>44337</v>
          </cell>
          <cell r="O684">
            <v>44315</v>
          </cell>
          <cell r="P684">
            <v>44341</v>
          </cell>
          <cell r="Q684">
            <v>44337</v>
          </cell>
          <cell r="R684">
            <v>44337</v>
          </cell>
          <cell r="S684"/>
          <cell r="T684">
            <v>44340</v>
          </cell>
          <cell r="U684">
            <v>44342</v>
          </cell>
          <cell r="V684">
            <v>44343</v>
          </cell>
          <cell r="W684">
            <v>44343</v>
          </cell>
          <cell r="X684">
            <v>41100297</v>
          </cell>
        </row>
        <row r="685">
          <cell r="K685" t="str">
            <v>GBWS-1164</v>
          </cell>
          <cell r="L685">
            <v>44314</v>
          </cell>
          <cell r="M685">
            <v>44315</v>
          </cell>
          <cell r="N685">
            <v>44337</v>
          </cell>
          <cell r="O685">
            <v>44315</v>
          </cell>
          <cell r="P685">
            <v>44341</v>
          </cell>
          <cell r="Q685">
            <v>44337</v>
          </cell>
          <cell r="R685">
            <v>44337</v>
          </cell>
          <cell r="S685"/>
          <cell r="T685">
            <v>44341</v>
          </cell>
          <cell r="U685">
            <v>44342</v>
          </cell>
          <cell r="V685">
            <v>44343</v>
          </cell>
          <cell r="W685">
            <v>44343</v>
          </cell>
          <cell r="X685">
            <v>41100297</v>
          </cell>
        </row>
        <row r="686">
          <cell r="K686" t="str">
            <v>GBWS-1166</v>
          </cell>
          <cell r="L686">
            <v>44314</v>
          </cell>
          <cell r="M686">
            <v>44315</v>
          </cell>
          <cell r="N686">
            <v>44337</v>
          </cell>
          <cell r="O686">
            <v>44315</v>
          </cell>
          <cell r="P686">
            <v>44341</v>
          </cell>
          <cell r="Q686">
            <v>44337</v>
          </cell>
          <cell r="R686">
            <v>44337</v>
          </cell>
          <cell r="S686"/>
          <cell r="T686">
            <v>44340</v>
          </cell>
          <cell r="U686">
            <v>44342</v>
          </cell>
          <cell r="V686">
            <v>44343</v>
          </cell>
          <cell r="W686">
            <v>44343</v>
          </cell>
          <cell r="X686">
            <v>41100297</v>
          </cell>
        </row>
        <row r="687">
          <cell r="K687" t="str">
            <v>DBW-2217</v>
          </cell>
          <cell r="L687">
            <v>44326</v>
          </cell>
          <cell r="M687">
            <v>44326</v>
          </cell>
          <cell r="N687">
            <v>44342</v>
          </cell>
          <cell r="O687">
            <v>44326</v>
          </cell>
          <cell r="P687">
            <v>44343</v>
          </cell>
          <cell r="Q687">
            <v>44341</v>
          </cell>
          <cell r="R687">
            <v>44341</v>
          </cell>
          <cell r="S687"/>
          <cell r="T687">
            <v>44343</v>
          </cell>
          <cell r="U687">
            <v>44343</v>
          </cell>
          <cell r="V687">
            <v>44343</v>
          </cell>
          <cell r="W687">
            <v>44343</v>
          </cell>
          <cell r="X687">
            <v>41100324</v>
          </cell>
        </row>
        <row r="688">
          <cell r="K688" t="str">
            <v>DBW-2218</v>
          </cell>
          <cell r="L688">
            <v>44326</v>
          </cell>
          <cell r="M688">
            <v>44326</v>
          </cell>
          <cell r="N688">
            <v>44342</v>
          </cell>
          <cell r="O688">
            <v>44326</v>
          </cell>
          <cell r="P688">
            <v>44343</v>
          </cell>
          <cell r="Q688">
            <v>44341</v>
          </cell>
          <cell r="R688">
            <v>44341</v>
          </cell>
          <cell r="S688"/>
          <cell r="T688">
            <v>44343</v>
          </cell>
          <cell r="U688">
            <v>44343</v>
          </cell>
          <cell r="V688">
            <v>44343</v>
          </cell>
          <cell r="W688">
            <v>44343</v>
          </cell>
          <cell r="X688">
            <v>41100324</v>
          </cell>
        </row>
        <row r="689">
          <cell r="K689" t="str">
            <v>DBW-2200</v>
          </cell>
          <cell r="L689">
            <v>44313</v>
          </cell>
          <cell r="M689">
            <v>44314</v>
          </cell>
          <cell r="N689">
            <v>44341</v>
          </cell>
          <cell r="O689">
            <v>44314</v>
          </cell>
          <cell r="P689">
            <v>44342</v>
          </cell>
          <cell r="Q689">
            <v>44341</v>
          </cell>
          <cell r="R689">
            <v>44341</v>
          </cell>
          <cell r="S689"/>
          <cell r="T689">
            <v>44342</v>
          </cell>
          <cell r="U689">
            <v>44343</v>
          </cell>
          <cell r="V689">
            <v>44344</v>
          </cell>
          <cell r="W689">
            <v>44344</v>
          </cell>
          <cell r="X689">
            <v>41100310</v>
          </cell>
        </row>
        <row r="690">
          <cell r="K690" t="str">
            <v>GBWS-1119</v>
          </cell>
          <cell r="L690">
            <v>44306</v>
          </cell>
          <cell r="M690">
            <v>44305</v>
          </cell>
          <cell r="N690">
            <v>44325</v>
          </cell>
          <cell r="O690">
            <v>44305</v>
          </cell>
          <cell r="P690">
            <v>44321</v>
          </cell>
          <cell r="Q690"/>
          <cell r="R690"/>
          <cell r="S690"/>
          <cell r="T690">
            <v>44328</v>
          </cell>
          <cell r="U690">
            <v>44333</v>
          </cell>
          <cell r="V690">
            <v>44334</v>
          </cell>
          <cell r="W690">
            <v>44334</v>
          </cell>
          <cell r="X690">
            <v>41100288</v>
          </cell>
        </row>
        <row r="691">
          <cell r="K691" t="str">
            <v>GBWS-1128</v>
          </cell>
          <cell r="L691">
            <v>44305</v>
          </cell>
          <cell r="M691">
            <v>44306</v>
          </cell>
          <cell r="N691">
            <v>44322</v>
          </cell>
          <cell r="O691">
            <v>44306</v>
          </cell>
          <cell r="P691">
            <v>44327</v>
          </cell>
          <cell r="Q691"/>
          <cell r="R691"/>
          <cell r="S691"/>
          <cell r="T691">
            <v>44323</v>
          </cell>
          <cell r="U691">
            <v>44340</v>
          </cell>
          <cell r="V691">
            <v>44340</v>
          </cell>
          <cell r="W691">
            <v>44341</v>
          </cell>
          <cell r="X691">
            <v>41100287</v>
          </cell>
        </row>
        <row r="692">
          <cell r="K692" t="str">
            <v>GBWS-1177</v>
          </cell>
          <cell r="L692">
            <v>44319</v>
          </cell>
          <cell r="M692">
            <v>44320</v>
          </cell>
          <cell r="N692">
            <v>44342</v>
          </cell>
          <cell r="O692">
            <v>44320</v>
          </cell>
          <cell r="P692">
            <v>44343</v>
          </cell>
          <cell r="Q692">
            <v>44337</v>
          </cell>
          <cell r="R692">
            <v>44337</v>
          </cell>
          <cell r="S692"/>
          <cell r="T692">
            <v>44343</v>
          </cell>
          <cell r="U692">
            <v>44344</v>
          </cell>
          <cell r="V692">
            <v>44345</v>
          </cell>
          <cell r="W692">
            <v>44345</v>
          </cell>
          <cell r="X692" t="str">
            <v>41100287 → 41100345</v>
          </cell>
        </row>
        <row r="693">
          <cell r="K693" t="str">
            <v>GBWS-1178</v>
          </cell>
          <cell r="L693">
            <v>44319</v>
          </cell>
          <cell r="M693">
            <v>44320</v>
          </cell>
          <cell r="N693">
            <v>44342</v>
          </cell>
          <cell r="O693">
            <v>44320</v>
          </cell>
          <cell r="P693">
            <v>44343</v>
          </cell>
          <cell r="Q693">
            <v>44337</v>
          </cell>
          <cell r="R693">
            <v>44337</v>
          </cell>
          <cell r="S693"/>
          <cell r="T693">
            <v>44343</v>
          </cell>
          <cell r="U693">
            <v>44346</v>
          </cell>
          <cell r="V693">
            <v>44346</v>
          </cell>
          <cell r="W693">
            <v>44346</v>
          </cell>
          <cell r="X693" t="str">
            <v>41100287 → 41100345</v>
          </cell>
        </row>
        <row r="694">
          <cell r="K694" t="str">
            <v>GBWS-1180</v>
          </cell>
          <cell r="L694">
            <v>44319</v>
          </cell>
          <cell r="M694">
            <v>44320</v>
          </cell>
          <cell r="N694">
            <v>44342</v>
          </cell>
          <cell r="O694">
            <v>44320</v>
          </cell>
          <cell r="P694">
            <v>44343</v>
          </cell>
          <cell r="Q694">
            <v>44337</v>
          </cell>
          <cell r="R694">
            <v>44337</v>
          </cell>
          <cell r="S694"/>
          <cell r="T694">
            <v>44343</v>
          </cell>
          <cell r="U694">
            <v>44344</v>
          </cell>
          <cell r="V694">
            <v>44345</v>
          </cell>
          <cell r="W694">
            <v>44345</v>
          </cell>
          <cell r="X694">
            <v>41100287</v>
          </cell>
        </row>
        <row r="695">
          <cell r="K695" t="str">
            <v>GBWS-1186</v>
          </cell>
          <cell r="L695">
            <v>44319</v>
          </cell>
          <cell r="M695">
            <v>44320</v>
          </cell>
          <cell r="N695">
            <v>44342</v>
          </cell>
          <cell r="O695">
            <v>44320</v>
          </cell>
          <cell r="P695">
            <v>44343</v>
          </cell>
          <cell r="Q695">
            <v>44337</v>
          </cell>
          <cell r="R695">
            <v>44337</v>
          </cell>
          <cell r="S695"/>
          <cell r="T695">
            <v>44343</v>
          </cell>
          <cell r="U695">
            <v>44345</v>
          </cell>
          <cell r="V695">
            <v>44346</v>
          </cell>
          <cell r="W695">
            <v>44346</v>
          </cell>
          <cell r="X695">
            <v>41100287</v>
          </cell>
        </row>
        <row r="696">
          <cell r="K696" t="str">
            <v>GBWS-1187</v>
          </cell>
          <cell r="L696">
            <v>44319</v>
          </cell>
          <cell r="M696">
            <v>44320</v>
          </cell>
          <cell r="N696">
            <v>44342</v>
          </cell>
          <cell r="O696">
            <v>44320</v>
          </cell>
          <cell r="P696">
            <v>44343</v>
          </cell>
          <cell r="Q696">
            <v>44337</v>
          </cell>
          <cell r="R696">
            <v>44337</v>
          </cell>
          <cell r="S696"/>
          <cell r="T696">
            <v>44343</v>
          </cell>
          <cell r="U696">
            <v>44344</v>
          </cell>
          <cell r="V696">
            <v>44345</v>
          </cell>
          <cell r="W696">
            <v>44345</v>
          </cell>
          <cell r="X696">
            <v>41100287</v>
          </cell>
        </row>
        <row r="697">
          <cell r="K697" t="str">
            <v>GBWS-1188</v>
          </cell>
          <cell r="L697">
            <v>44319</v>
          </cell>
          <cell r="M697">
            <v>44320</v>
          </cell>
          <cell r="N697">
            <v>44342</v>
          </cell>
          <cell r="O697">
            <v>44320</v>
          </cell>
          <cell r="P697">
            <v>44343</v>
          </cell>
          <cell r="Q697">
            <v>44337</v>
          </cell>
          <cell r="R697">
            <v>44337</v>
          </cell>
          <cell r="S697"/>
          <cell r="T697">
            <v>44343</v>
          </cell>
          <cell r="U697">
            <v>44344</v>
          </cell>
          <cell r="V697">
            <v>44345</v>
          </cell>
          <cell r="W697">
            <v>44345</v>
          </cell>
          <cell r="X697">
            <v>41100287</v>
          </cell>
        </row>
        <row r="698">
          <cell r="K698" t="str">
            <v>GBWS-1182</v>
          </cell>
          <cell r="L698">
            <v>44319</v>
          </cell>
          <cell r="M698">
            <v>44320</v>
          </cell>
          <cell r="N698">
            <v>44342</v>
          </cell>
          <cell r="O698">
            <v>44320</v>
          </cell>
          <cell r="P698">
            <v>44343</v>
          </cell>
          <cell r="Q698">
            <v>44337</v>
          </cell>
          <cell r="R698">
            <v>44337</v>
          </cell>
          <cell r="S698"/>
          <cell r="T698">
            <v>44344</v>
          </cell>
          <cell r="U698">
            <v>44345</v>
          </cell>
          <cell r="V698">
            <v>44346</v>
          </cell>
          <cell r="W698">
            <v>44346</v>
          </cell>
          <cell r="X698">
            <v>41100287</v>
          </cell>
        </row>
        <row r="699">
          <cell r="K699" t="str">
            <v>GBWS-1183</v>
          </cell>
          <cell r="L699">
            <v>44319</v>
          </cell>
          <cell r="M699">
            <v>44320</v>
          </cell>
          <cell r="N699">
            <v>44342</v>
          </cell>
          <cell r="O699">
            <v>44320</v>
          </cell>
          <cell r="P699">
            <v>44343</v>
          </cell>
          <cell r="Q699">
            <v>44337</v>
          </cell>
          <cell r="R699">
            <v>44337</v>
          </cell>
          <cell r="S699"/>
          <cell r="T699">
            <v>44344</v>
          </cell>
          <cell r="U699">
            <v>44344</v>
          </cell>
          <cell r="V699">
            <v>44345</v>
          </cell>
          <cell r="W699">
            <v>44345</v>
          </cell>
          <cell r="X699">
            <v>41100287</v>
          </cell>
        </row>
        <row r="700">
          <cell r="K700" t="str">
            <v>GBWS-1185</v>
          </cell>
          <cell r="L700">
            <v>44319</v>
          </cell>
          <cell r="M700">
            <v>44320</v>
          </cell>
          <cell r="N700">
            <v>44342</v>
          </cell>
          <cell r="O700">
            <v>44320</v>
          </cell>
          <cell r="P700">
            <v>44343</v>
          </cell>
          <cell r="Q700">
            <v>44337</v>
          </cell>
          <cell r="R700">
            <v>44337</v>
          </cell>
          <cell r="S700"/>
          <cell r="T700">
            <v>44344</v>
          </cell>
          <cell r="U700">
            <v>44344</v>
          </cell>
          <cell r="V700">
            <v>44345</v>
          </cell>
          <cell r="W700">
            <v>44345</v>
          </cell>
          <cell r="X700">
            <v>41100287</v>
          </cell>
        </row>
        <row r="701">
          <cell r="K701" t="str">
            <v>GBWS-1189</v>
          </cell>
          <cell r="L701">
            <v>44319</v>
          </cell>
          <cell r="M701">
            <v>44320</v>
          </cell>
          <cell r="N701">
            <v>44343</v>
          </cell>
          <cell r="O701">
            <v>44320</v>
          </cell>
          <cell r="P701">
            <v>44343</v>
          </cell>
          <cell r="Q701">
            <v>44337</v>
          </cell>
          <cell r="R701">
            <v>44337</v>
          </cell>
          <cell r="S701"/>
          <cell r="T701">
            <v>44343</v>
          </cell>
          <cell r="U701">
            <v>44346</v>
          </cell>
          <cell r="V701">
            <v>44346</v>
          </cell>
          <cell r="W701">
            <v>44346</v>
          </cell>
          <cell r="X701" t="str">
            <v>41100288 → 41100344</v>
          </cell>
        </row>
        <row r="702">
          <cell r="K702" t="str">
            <v>GBWS-1190</v>
          </cell>
          <cell r="L702">
            <v>44319</v>
          </cell>
          <cell r="M702">
            <v>44320</v>
          </cell>
          <cell r="N702">
            <v>44343</v>
          </cell>
          <cell r="O702">
            <v>44320</v>
          </cell>
          <cell r="P702">
            <v>44343</v>
          </cell>
          <cell r="Q702">
            <v>44337</v>
          </cell>
          <cell r="R702">
            <v>44337</v>
          </cell>
          <cell r="S702"/>
          <cell r="T702">
            <v>44343</v>
          </cell>
          <cell r="U702">
            <v>44346</v>
          </cell>
          <cell r="V702">
            <v>44346</v>
          </cell>
          <cell r="W702">
            <v>44346</v>
          </cell>
          <cell r="X702" t="str">
            <v>41100288 → 41100344</v>
          </cell>
        </row>
        <row r="703">
          <cell r="K703" t="str">
            <v>GBWS-1191</v>
          </cell>
          <cell r="L703">
            <v>44319</v>
          </cell>
          <cell r="M703">
            <v>44320</v>
          </cell>
          <cell r="N703">
            <v>44343</v>
          </cell>
          <cell r="O703">
            <v>44320</v>
          </cell>
          <cell r="P703">
            <v>44343</v>
          </cell>
          <cell r="Q703">
            <v>44337</v>
          </cell>
          <cell r="R703">
            <v>44337</v>
          </cell>
          <cell r="S703"/>
          <cell r="T703">
            <v>44343</v>
          </cell>
          <cell r="U703">
            <v>44344</v>
          </cell>
          <cell r="V703">
            <v>44345</v>
          </cell>
          <cell r="W703">
            <v>44345</v>
          </cell>
          <cell r="X703" t="str">
            <v>41100288 → 41100344</v>
          </cell>
        </row>
        <row r="704">
          <cell r="K704" t="str">
            <v>IVAS-084</v>
          </cell>
          <cell r="L704">
            <v>44322</v>
          </cell>
          <cell r="M704">
            <v>44322</v>
          </cell>
          <cell r="N704">
            <v>44343</v>
          </cell>
          <cell r="O704">
            <v>44322</v>
          </cell>
          <cell r="P704">
            <v>44343</v>
          </cell>
          <cell r="Q704">
            <v>44339</v>
          </cell>
          <cell r="R704">
            <v>44339</v>
          </cell>
          <cell r="S704"/>
          <cell r="T704">
            <v>44343</v>
          </cell>
          <cell r="U704">
            <v>44346</v>
          </cell>
          <cell r="V704">
            <v>44346</v>
          </cell>
          <cell r="W704">
            <v>44347</v>
          </cell>
          <cell r="X704">
            <v>41100147</v>
          </cell>
        </row>
        <row r="705">
          <cell r="K705" t="str">
            <v>GPWS-0196</v>
          </cell>
          <cell r="L705">
            <v>44325</v>
          </cell>
          <cell r="M705">
            <v>44326</v>
          </cell>
          <cell r="N705">
            <v>44342</v>
          </cell>
          <cell r="O705">
            <v>44326</v>
          </cell>
          <cell r="P705">
            <v>44342</v>
          </cell>
          <cell r="Q705">
            <v>44340</v>
          </cell>
          <cell r="R705">
            <v>44340</v>
          </cell>
          <cell r="S705"/>
          <cell r="T705">
            <v>44342</v>
          </cell>
          <cell r="U705">
            <v>44344</v>
          </cell>
          <cell r="V705">
            <v>44344</v>
          </cell>
          <cell r="W705">
            <v>44345</v>
          </cell>
          <cell r="X705" t="str">
            <v>41100016 → 41100353</v>
          </cell>
        </row>
        <row r="706">
          <cell r="K706" t="str">
            <v>DBW-2211</v>
          </cell>
          <cell r="L706">
            <v>44319</v>
          </cell>
          <cell r="M706">
            <v>44320</v>
          </cell>
          <cell r="N706">
            <v>44334</v>
          </cell>
          <cell r="O706">
            <v>44320</v>
          </cell>
          <cell r="P706">
            <v>44336</v>
          </cell>
          <cell r="Q706">
            <v>44334</v>
          </cell>
          <cell r="R706">
            <v>44334</v>
          </cell>
          <cell r="S706"/>
          <cell r="T706">
            <v>44337</v>
          </cell>
          <cell r="U706">
            <v>44340</v>
          </cell>
          <cell r="V706">
            <v>44340</v>
          </cell>
          <cell r="W706">
            <v>44341</v>
          </cell>
          <cell r="X706">
            <v>41100236</v>
          </cell>
        </row>
        <row r="707">
          <cell r="K707" t="str">
            <v>DBW-2212</v>
          </cell>
          <cell r="L707">
            <v>44319</v>
          </cell>
          <cell r="M707">
            <v>44320</v>
          </cell>
          <cell r="N707">
            <v>44334</v>
          </cell>
          <cell r="O707">
            <v>44320</v>
          </cell>
          <cell r="P707">
            <v>44336</v>
          </cell>
          <cell r="Q707">
            <v>44334</v>
          </cell>
          <cell r="R707">
            <v>44334</v>
          </cell>
          <cell r="S707"/>
          <cell r="T707">
            <v>44337</v>
          </cell>
          <cell r="U707">
            <v>44340</v>
          </cell>
          <cell r="V707">
            <v>44340</v>
          </cell>
          <cell r="W707">
            <v>44341</v>
          </cell>
          <cell r="X707">
            <v>41100236</v>
          </cell>
        </row>
        <row r="708">
          <cell r="K708" t="str">
            <v>DBW-2226</v>
          </cell>
          <cell r="L708">
            <v>44330</v>
          </cell>
          <cell r="M708">
            <v>44329</v>
          </cell>
          <cell r="N708">
            <v>44346</v>
          </cell>
          <cell r="O708">
            <v>44329</v>
          </cell>
          <cell r="P708">
            <v>44345</v>
          </cell>
          <cell r="Q708">
            <v>44342</v>
          </cell>
          <cell r="R708">
            <v>44342</v>
          </cell>
          <cell r="S708"/>
          <cell r="T708">
            <v>44347</v>
          </cell>
          <cell r="U708">
            <v>44347</v>
          </cell>
          <cell r="V708">
            <v>44348</v>
          </cell>
          <cell r="W708">
            <v>44348</v>
          </cell>
          <cell r="X708">
            <v>41100233</v>
          </cell>
        </row>
        <row r="709">
          <cell r="K709" t="str">
            <v>DBW-2227</v>
          </cell>
          <cell r="L709">
            <v>44330</v>
          </cell>
          <cell r="M709">
            <v>44329</v>
          </cell>
          <cell r="N709">
            <v>44346</v>
          </cell>
          <cell r="O709">
            <v>44329</v>
          </cell>
          <cell r="P709">
            <v>44345</v>
          </cell>
          <cell r="Q709">
            <v>44342</v>
          </cell>
          <cell r="R709">
            <v>44342</v>
          </cell>
          <cell r="S709"/>
          <cell r="T709">
            <v>44347</v>
          </cell>
          <cell r="U709">
            <v>44347</v>
          </cell>
          <cell r="V709">
            <v>44347</v>
          </cell>
          <cell r="W709">
            <v>44347</v>
          </cell>
          <cell r="X709">
            <v>41100233</v>
          </cell>
        </row>
        <row r="710">
          <cell r="K710" t="str">
            <v>DBW-2228</v>
          </cell>
          <cell r="L710">
            <v>44330</v>
          </cell>
          <cell r="M710">
            <v>44329</v>
          </cell>
          <cell r="N710">
            <v>44346</v>
          </cell>
          <cell r="O710">
            <v>44329</v>
          </cell>
          <cell r="P710">
            <v>44345</v>
          </cell>
          <cell r="Q710">
            <v>44342</v>
          </cell>
          <cell r="R710">
            <v>44342</v>
          </cell>
          <cell r="S710"/>
          <cell r="T710">
            <v>44347</v>
          </cell>
          <cell r="U710">
            <v>44347</v>
          </cell>
          <cell r="V710">
            <v>44347</v>
          </cell>
          <cell r="W710">
            <v>44347</v>
          </cell>
          <cell r="X710">
            <v>41100233</v>
          </cell>
        </row>
        <row r="711">
          <cell r="K711" t="str">
            <v>DBW-2229</v>
          </cell>
          <cell r="L711">
            <v>44330</v>
          </cell>
          <cell r="M711">
            <v>44329</v>
          </cell>
          <cell r="N711">
            <v>44346</v>
          </cell>
          <cell r="O711">
            <v>44329</v>
          </cell>
          <cell r="P711">
            <v>44345</v>
          </cell>
          <cell r="Q711">
            <v>44342</v>
          </cell>
          <cell r="R711">
            <v>44342</v>
          </cell>
          <cell r="S711"/>
          <cell r="T711">
            <v>44347</v>
          </cell>
          <cell r="U711">
            <v>44347</v>
          </cell>
          <cell r="V711">
            <v>44347</v>
          </cell>
          <cell r="W711">
            <v>44347</v>
          </cell>
          <cell r="X711">
            <v>41100233</v>
          </cell>
        </row>
        <row r="712">
          <cell r="K712" t="str">
            <v>DBW-2230</v>
          </cell>
          <cell r="L712">
            <v>44330</v>
          </cell>
          <cell r="M712">
            <v>44329</v>
          </cell>
          <cell r="N712">
            <v>44346</v>
          </cell>
          <cell r="O712">
            <v>44329</v>
          </cell>
          <cell r="P712">
            <v>44347</v>
          </cell>
          <cell r="Q712">
            <v>44347</v>
          </cell>
          <cell r="R712">
            <v>44347</v>
          </cell>
          <cell r="S712"/>
          <cell r="T712">
            <v>44347</v>
          </cell>
          <cell r="U712">
            <v>44347</v>
          </cell>
          <cell r="V712">
            <v>44348</v>
          </cell>
          <cell r="W712">
            <v>44348</v>
          </cell>
          <cell r="X712">
            <v>41100323</v>
          </cell>
        </row>
        <row r="713">
          <cell r="K713" t="str">
            <v>GBWS-1195</v>
          </cell>
          <cell r="L713">
            <v>44322</v>
          </cell>
          <cell r="M713">
            <v>44323</v>
          </cell>
          <cell r="N713">
            <v>44343</v>
          </cell>
          <cell r="O713">
            <v>44323</v>
          </cell>
          <cell r="P713">
            <v>44343</v>
          </cell>
          <cell r="Q713">
            <v>44340</v>
          </cell>
          <cell r="R713">
            <v>44340</v>
          </cell>
          <cell r="S713"/>
          <cell r="T713">
            <v>44347</v>
          </cell>
          <cell r="U713">
            <v>44348</v>
          </cell>
          <cell r="V713">
            <v>44349</v>
          </cell>
          <cell r="W713">
            <v>44349</v>
          </cell>
          <cell r="X713">
            <v>41100311</v>
          </cell>
        </row>
        <row r="714">
          <cell r="K714" t="str">
            <v>GBWS-1196</v>
          </cell>
          <cell r="L714">
            <v>44322</v>
          </cell>
          <cell r="M714">
            <v>44323</v>
          </cell>
          <cell r="N714">
            <v>44343</v>
          </cell>
          <cell r="O714">
            <v>44323</v>
          </cell>
          <cell r="P714">
            <v>44343</v>
          </cell>
          <cell r="Q714">
            <v>44340</v>
          </cell>
          <cell r="R714">
            <v>44340</v>
          </cell>
          <cell r="S714"/>
          <cell r="T714">
            <v>44347</v>
          </cell>
          <cell r="U714">
            <v>44348</v>
          </cell>
          <cell r="V714">
            <v>44349</v>
          </cell>
          <cell r="W714">
            <v>44349</v>
          </cell>
          <cell r="X714">
            <v>41100311</v>
          </cell>
        </row>
        <row r="715">
          <cell r="K715" t="str">
            <v>GBWS-1199</v>
          </cell>
          <cell r="L715">
            <v>44322</v>
          </cell>
          <cell r="M715">
            <v>44323</v>
          </cell>
          <cell r="N715">
            <v>44343</v>
          </cell>
          <cell r="O715">
            <v>44323</v>
          </cell>
          <cell r="P715">
            <v>44343</v>
          </cell>
          <cell r="Q715">
            <v>44340</v>
          </cell>
          <cell r="R715">
            <v>44340</v>
          </cell>
          <cell r="S715"/>
          <cell r="T715">
            <v>44347</v>
          </cell>
          <cell r="U715">
            <v>44348</v>
          </cell>
          <cell r="V715">
            <v>44349</v>
          </cell>
          <cell r="W715">
            <v>44349</v>
          </cell>
          <cell r="X715">
            <v>41100312</v>
          </cell>
        </row>
        <row r="716">
          <cell r="K716" t="str">
            <v>GBWS-1200</v>
          </cell>
          <cell r="L716">
            <v>44322</v>
          </cell>
          <cell r="M716">
            <v>44323</v>
          </cell>
          <cell r="N716">
            <v>44342</v>
          </cell>
          <cell r="O716">
            <v>44323</v>
          </cell>
          <cell r="P716">
            <v>44342</v>
          </cell>
          <cell r="Q716">
            <v>44340</v>
          </cell>
          <cell r="R716">
            <v>44340</v>
          </cell>
          <cell r="S716"/>
          <cell r="T716">
            <v>44342</v>
          </cell>
          <cell r="U716">
            <v>44348</v>
          </cell>
          <cell r="V716">
            <v>44348</v>
          </cell>
          <cell r="W716">
            <v>44348</v>
          </cell>
          <cell r="X716">
            <v>41100329</v>
          </cell>
        </row>
        <row r="717">
          <cell r="K717" t="str">
            <v>GBWS-1201</v>
          </cell>
          <cell r="L717">
            <v>44322</v>
          </cell>
          <cell r="M717">
            <v>44323</v>
          </cell>
          <cell r="N717">
            <v>44342</v>
          </cell>
          <cell r="O717">
            <v>44323</v>
          </cell>
          <cell r="P717">
            <v>44342</v>
          </cell>
          <cell r="Q717">
            <v>44340</v>
          </cell>
          <cell r="R717">
            <v>44340</v>
          </cell>
          <cell r="S717"/>
          <cell r="T717">
            <v>44342</v>
          </cell>
          <cell r="U717">
            <v>44348</v>
          </cell>
          <cell r="V717">
            <v>44348</v>
          </cell>
          <cell r="W717">
            <v>44348</v>
          </cell>
          <cell r="X717">
            <v>41100329</v>
          </cell>
        </row>
        <row r="718">
          <cell r="K718" t="str">
            <v>GBWS-1202</v>
          </cell>
          <cell r="L718">
            <v>44322</v>
          </cell>
          <cell r="M718">
            <v>44323</v>
          </cell>
          <cell r="N718">
            <v>44342</v>
          </cell>
          <cell r="O718">
            <v>44323</v>
          </cell>
          <cell r="P718">
            <v>44342</v>
          </cell>
          <cell r="Q718">
            <v>44340</v>
          </cell>
          <cell r="R718">
            <v>44340</v>
          </cell>
          <cell r="S718"/>
          <cell r="T718">
            <v>44342</v>
          </cell>
          <cell r="U718">
            <v>44348</v>
          </cell>
          <cell r="V718">
            <v>44348</v>
          </cell>
          <cell r="W718">
            <v>44348</v>
          </cell>
          <cell r="X718">
            <v>41100329</v>
          </cell>
        </row>
        <row r="719">
          <cell r="K719" t="str">
            <v>GBWS-1203</v>
          </cell>
          <cell r="L719">
            <v>44322</v>
          </cell>
          <cell r="M719">
            <v>44323</v>
          </cell>
          <cell r="N719">
            <v>44342</v>
          </cell>
          <cell r="O719">
            <v>44323</v>
          </cell>
          <cell r="P719">
            <v>44342</v>
          </cell>
          <cell r="Q719">
            <v>44340</v>
          </cell>
          <cell r="R719">
            <v>44340</v>
          </cell>
          <cell r="S719"/>
          <cell r="T719">
            <v>44342</v>
          </cell>
          <cell r="U719">
            <v>44348</v>
          </cell>
          <cell r="V719">
            <v>44348</v>
          </cell>
          <cell r="W719">
            <v>44348</v>
          </cell>
          <cell r="X719">
            <v>41100313</v>
          </cell>
        </row>
        <row r="720">
          <cell r="K720" t="str">
            <v>GBWS-1204</v>
          </cell>
          <cell r="L720">
            <v>44322</v>
          </cell>
          <cell r="M720">
            <v>44323</v>
          </cell>
          <cell r="N720">
            <v>44342</v>
          </cell>
          <cell r="O720">
            <v>44323</v>
          </cell>
          <cell r="P720">
            <v>44342</v>
          </cell>
          <cell r="Q720">
            <v>44340</v>
          </cell>
          <cell r="R720">
            <v>44340</v>
          </cell>
          <cell r="S720"/>
          <cell r="T720">
            <v>44342</v>
          </cell>
          <cell r="U720">
            <v>44348</v>
          </cell>
          <cell r="V720">
            <v>44348</v>
          </cell>
          <cell r="W720">
            <v>44348</v>
          </cell>
          <cell r="X720">
            <v>41100313</v>
          </cell>
        </row>
        <row r="721">
          <cell r="K721" t="str">
            <v>GBWS-1197</v>
          </cell>
          <cell r="L721">
            <v>44322</v>
          </cell>
          <cell r="M721">
            <v>44323</v>
          </cell>
          <cell r="N721">
            <v>44343</v>
          </cell>
          <cell r="O721">
            <v>44323</v>
          </cell>
          <cell r="P721">
            <v>44343</v>
          </cell>
          <cell r="Q721">
            <v>44340</v>
          </cell>
          <cell r="R721">
            <v>44340</v>
          </cell>
          <cell r="S721"/>
          <cell r="T721">
            <v>44347</v>
          </cell>
          <cell r="U721">
            <v>44348</v>
          </cell>
          <cell r="V721">
            <v>44349</v>
          </cell>
          <cell r="W721">
            <v>44349</v>
          </cell>
          <cell r="X721">
            <v>41100347</v>
          </cell>
        </row>
        <row r="722">
          <cell r="K722" t="str">
            <v>GBWS-1198</v>
          </cell>
          <cell r="L722">
            <v>44322</v>
          </cell>
          <cell r="M722">
            <v>44323</v>
          </cell>
          <cell r="N722">
            <v>44343</v>
          </cell>
          <cell r="O722">
            <v>44323</v>
          </cell>
          <cell r="P722">
            <v>44343</v>
          </cell>
          <cell r="Q722">
            <v>44340</v>
          </cell>
          <cell r="R722">
            <v>44340</v>
          </cell>
          <cell r="S722"/>
          <cell r="T722">
            <v>44347</v>
          </cell>
          <cell r="U722">
            <v>44348</v>
          </cell>
          <cell r="V722">
            <v>44349</v>
          </cell>
          <cell r="W722">
            <v>44349</v>
          </cell>
          <cell r="X722">
            <v>41100347</v>
          </cell>
        </row>
        <row r="723">
          <cell r="K723" t="str">
            <v>DBW-2231</v>
          </cell>
          <cell r="L723">
            <v>44333</v>
          </cell>
          <cell r="M723">
            <v>44333</v>
          </cell>
          <cell r="N723">
            <v>44348</v>
          </cell>
          <cell r="O723">
            <v>44333</v>
          </cell>
          <cell r="P723">
            <v>44348</v>
          </cell>
          <cell r="Q723" t="str">
            <v>6/1 오전</v>
          </cell>
          <cell r="R723" t="str">
            <v>6/1 오전</v>
          </cell>
          <cell r="S723"/>
          <cell r="T723">
            <v>44348</v>
          </cell>
          <cell r="U723">
            <v>44348</v>
          </cell>
          <cell r="V723">
            <v>44348</v>
          </cell>
          <cell r="W723">
            <v>44348</v>
          </cell>
          <cell r="X723">
            <v>41100351</v>
          </cell>
        </row>
        <row r="724">
          <cell r="K724" t="str">
            <v>DBW-2232</v>
          </cell>
          <cell r="L724">
            <v>44333</v>
          </cell>
          <cell r="M724">
            <v>44333</v>
          </cell>
          <cell r="N724">
            <v>44348</v>
          </cell>
          <cell r="O724">
            <v>44333</v>
          </cell>
          <cell r="P724">
            <v>44348</v>
          </cell>
          <cell r="Q724" t="str">
            <v>6/1 오전</v>
          </cell>
          <cell r="R724" t="str">
            <v>6/1 오전</v>
          </cell>
          <cell r="S724"/>
          <cell r="T724">
            <v>44348</v>
          </cell>
          <cell r="U724">
            <v>44348</v>
          </cell>
          <cell r="V724">
            <v>44348</v>
          </cell>
          <cell r="W724">
            <v>44348</v>
          </cell>
          <cell r="X724">
            <v>41100351</v>
          </cell>
        </row>
        <row r="725">
          <cell r="K725" t="str">
            <v>DBW-2136</v>
          </cell>
          <cell r="L725">
            <v>44273</v>
          </cell>
          <cell r="M725">
            <v>44274</v>
          </cell>
          <cell r="N725">
            <v>44302</v>
          </cell>
          <cell r="O725">
            <v>44274</v>
          </cell>
          <cell r="P725">
            <v>44300</v>
          </cell>
          <cell r="Q725">
            <v>44301</v>
          </cell>
          <cell r="R725">
            <v>44301</v>
          </cell>
          <cell r="S725"/>
          <cell r="T725">
            <v>44302</v>
          </cell>
          <cell r="U725">
            <v>44306</v>
          </cell>
          <cell r="V725">
            <v>44306</v>
          </cell>
          <cell r="W725">
            <v>44306</v>
          </cell>
          <cell r="X725">
            <v>41100291</v>
          </cell>
        </row>
        <row r="726">
          <cell r="K726" t="str">
            <v>DBW-2171</v>
          </cell>
          <cell r="L726">
            <v>44301</v>
          </cell>
          <cell r="M726">
            <v>44302</v>
          </cell>
          <cell r="N726">
            <v>44321</v>
          </cell>
          <cell r="O726">
            <v>44302</v>
          </cell>
          <cell r="P726">
            <v>44323</v>
          </cell>
          <cell r="Q726">
            <v>44317</v>
          </cell>
          <cell r="R726">
            <v>44317</v>
          </cell>
          <cell r="S726"/>
          <cell r="T726">
            <v>44326</v>
          </cell>
          <cell r="U726">
            <v>44326</v>
          </cell>
          <cell r="V726">
            <v>44327</v>
          </cell>
          <cell r="W726">
            <v>44327</v>
          </cell>
          <cell r="X726">
            <v>41100291</v>
          </cell>
        </row>
        <row r="727">
          <cell r="K727" t="str">
            <v>DBW-2197</v>
          </cell>
          <cell r="L727">
            <v>44313</v>
          </cell>
          <cell r="M727">
            <v>44314</v>
          </cell>
          <cell r="N727">
            <v>44335</v>
          </cell>
          <cell r="O727">
            <v>44314</v>
          </cell>
          <cell r="P727">
            <v>44334</v>
          </cell>
          <cell r="Q727">
            <v>44332</v>
          </cell>
          <cell r="R727">
            <v>44332</v>
          </cell>
          <cell r="S727"/>
          <cell r="T727">
            <v>44336</v>
          </cell>
          <cell r="U727">
            <v>44337</v>
          </cell>
          <cell r="V727">
            <v>44337</v>
          </cell>
          <cell r="W727">
            <v>44340</v>
          </cell>
          <cell r="X727">
            <v>41100291</v>
          </cell>
        </row>
        <row r="728">
          <cell r="K728" t="str">
            <v>DBW-2243</v>
          </cell>
          <cell r="L728">
            <v>44333</v>
          </cell>
          <cell r="M728">
            <v>44333</v>
          </cell>
          <cell r="N728">
            <v>44349</v>
          </cell>
          <cell r="O728">
            <v>44333</v>
          </cell>
          <cell r="P728">
            <v>44349</v>
          </cell>
          <cell r="Q728" t="str">
            <v>6/1 오후</v>
          </cell>
          <cell r="R728" t="str">
            <v>6/1 오후</v>
          </cell>
          <cell r="S728"/>
          <cell r="T728">
            <v>44349</v>
          </cell>
          <cell r="U728">
            <v>44350</v>
          </cell>
          <cell r="V728">
            <v>44350</v>
          </cell>
          <cell r="W728">
            <v>44350</v>
          </cell>
          <cell r="X728">
            <v>41000392</v>
          </cell>
        </row>
        <row r="729">
          <cell r="K729" t="str">
            <v>DBW-2241</v>
          </cell>
          <cell r="L729">
            <v>44333</v>
          </cell>
          <cell r="M729">
            <v>44333</v>
          </cell>
          <cell r="N729">
            <v>44349</v>
          </cell>
          <cell r="O729">
            <v>44333</v>
          </cell>
          <cell r="P729">
            <v>44349</v>
          </cell>
          <cell r="Q729" t="str">
            <v>6/1 오후</v>
          </cell>
          <cell r="R729" t="str">
            <v>6/1 오후</v>
          </cell>
          <cell r="S729"/>
          <cell r="T729">
            <v>44349</v>
          </cell>
          <cell r="U729">
            <v>44350</v>
          </cell>
          <cell r="V729">
            <v>44350</v>
          </cell>
          <cell r="W729">
            <v>44350</v>
          </cell>
          <cell r="X729">
            <v>41000395</v>
          </cell>
        </row>
        <row r="730">
          <cell r="K730" t="str">
            <v>DBW-2242</v>
          </cell>
          <cell r="L730">
            <v>44333</v>
          </cell>
          <cell r="M730">
            <v>44333</v>
          </cell>
          <cell r="N730">
            <v>44349</v>
          </cell>
          <cell r="O730">
            <v>44333</v>
          </cell>
          <cell r="P730">
            <v>44349</v>
          </cell>
          <cell r="Q730" t="str">
            <v>6/1 오후</v>
          </cell>
          <cell r="R730" t="str">
            <v>6/1 오후</v>
          </cell>
          <cell r="S730"/>
          <cell r="T730">
            <v>44349</v>
          </cell>
          <cell r="U730">
            <v>44350</v>
          </cell>
          <cell r="V730">
            <v>44350</v>
          </cell>
          <cell r="W730">
            <v>44350</v>
          </cell>
          <cell r="X730">
            <v>41000395</v>
          </cell>
        </row>
        <row r="731">
          <cell r="K731" t="str">
            <v>GBWS-1216</v>
          </cell>
          <cell r="L731">
            <v>44329</v>
          </cell>
          <cell r="M731">
            <v>44328</v>
          </cell>
          <cell r="N731">
            <v>44348</v>
          </cell>
          <cell r="O731">
            <v>44328</v>
          </cell>
          <cell r="P731">
            <v>44349</v>
          </cell>
          <cell r="Q731">
            <v>44349</v>
          </cell>
          <cell r="R731">
            <v>44349</v>
          </cell>
          <cell r="S731"/>
          <cell r="T731">
            <v>44348</v>
          </cell>
          <cell r="U731">
            <v>44349</v>
          </cell>
          <cell r="V731">
            <v>44349</v>
          </cell>
          <cell r="W731">
            <v>44349</v>
          </cell>
          <cell r="X731">
            <v>41100284</v>
          </cell>
        </row>
        <row r="732">
          <cell r="K732" t="str">
            <v>GBWS-1217</v>
          </cell>
          <cell r="L732">
            <v>44329</v>
          </cell>
          <cell r="M732">
            <v>44328</v>
          </cell>
          <cell r="N732">
            <v>44348</v>
          </cell>
          <cell r="O732">
            <v>44328</v>
          </cell>
          <cell r="P732">
            <v>44349</v>
          </cell>
          <cell r="Q732">
            <v>44349</v>
          </cell>
          <cell r="R732">
            <v>44349</v>
          </cell>
          <cell r="S732"/>
          <cell r="T732">
            <v>44348</v>
          </cell>
          <cell r="U732">
            <v>44349</v>
          </cell>
          <cell r="V732">
            <v>44349</v>
          </cell>
          <cell r="W732">
            <v>44349</v>
          </cell>
          <cell r="X732">
            <v>41100284</v>
          </cell>
        </row>
        <row r="733">
          <cell r="K733" t="str">
            <v>GBWS-1218</v>
          </cell>
          <cell r="L733">
            <v>44329</v>
          </cell>
          <cell r="M733">
            <v>44328</v>
          </cell>
          <cell r="N733">
            <v>44348</v>
          </cell>
          <cell r="O733">
            <v>44328</v>
          </cell>
          <cell r="P733">
            <v>44349</v>
          </cell>
          <cell r="Q733">
            <v>44349</v>
          </cell>
          <cell r="R733">
            <v>44349</v>
          </cell>
          <cell r="S733"/>
          <cell r="T733">
            <v>44348</v>
          </cell>
          <cell r="U733">
            <v>44349</v>
          </cell>
          <cell r="V733">
            <v>44349</v>
          </cell>
          <cell r="W733">
            <v>44349</v>
          </cell>
          <cell r="X733">
            <v>41100284</v>
          </cell>
        </row>
        <row r="734">
          <cell r="K734" t="str">
            <v>DBW-2219</v>
          </cell>
          <cell r="L734">
            <v>44327</v>
          </cell>
          <cell r="M734">
            <v>44327</v>
          </cell>
          <cell r="N734">
            <v>44347</v>
          </cell>
          <cell r="O734">
            <v>44327</v>
          </cell>
          <cell r="P734">
            <v>44348</v>
          </cell>
          <cell r="Q734">
            <v>44343</v>
          </cell>
          <cell r="R734">
            <v>44343</v>
          </cell>
          <cell r="S734"/>
          <cell r="T734">
            <v>44349</v>
          </cell>
          <cell r="U734">
            <v>44350</v>
          </cell>
          <cell r="V734">
            <v>44350</v>
          </cell>
          <cell r="W734">
            <v>44350</v>
          </cell>
          <cell r="X734">
            <v>41000392</v>
          </cell>
        </row>
        <row r="735">
          <cell r="K735" t="str">
            <v>DBW-2220</v>
          </cell>
          <cell r="L735">
            <v>44327</v>
          </cell>
          <cell r="M735">
            <v>44327</v>
          </cell>
          <cell r="N735">
            <v>44347</v>
          </cell>
          <cell r="O735">
            <v>44327</v>
          </cell>
          <cell r="P735">
            <v>44348</v>
          </cell>
          <cell r="Q735">
            <v>44343</v>
          </cell>
          <cell r="R735">
            <v>44343</v>
          </cell>
          <cell r="S735"/>
          <cell r="T735">
            <v>44349</v>
          </cell>
          <cell r="U735">
            <v>44350</v>
          </cell>
          <cell r="V735">
            <v>44350</v>
          </cell>
          <cell r="W735">
            <v>44350</v>
          </cell>
          <cell r="X735">
            <v>41000392</v>
          </cell>
        </row>
        <row r="736">
          <cell r="K736" t="str">
            <v>DBW-2221</v>
          </cell>
          <cell r="L736">
            <v>44327</v>
          </cell>
          <cell r="M736">
            <v>44327</v>
          </cell>
          <cell r="N736">
            <v>44347</v>
          </cell>
          <cell r="O736">
            <v>44327</v>
          </cell>
          <cell r="P736">
            <v>44348</v>
          </cell>
          <cell r="Q736">
            <v>44343</v>
          </cell>
          <cell r="R736">
            <v>44343</v>
          </cell>
          <cell r="S736"/>
          <cell r="T736">
            <v>44349</v>
          </cell>
          <cell r="U736">
            <v>44350</v>
          </cell>
          <cell r="V736">
            <v>44350</v>
          </cell>
          <cell r="W736">
            <v>44350</v>
          </cell>
          <cell r="X736">
            <v>41000392</v>
          </cell>
        </row>
        <row r="737">
          <cell r="K737" t="str">
            <v>DBW-2222</v>
          </cell>
          <cell r="L737">
            <v>44327</v>
          </cell>
          <cell r="M737">
            <v>44327</v>
          </cell>
          <cell r="N737">
            <v>44347</v>
          </cell>
          <cell r="O737">
            <v>44327</v>
          </cell>
          <cell r="P737">
            <v>44348</v>
          </cell>
          <cell r="Q737">
            <v>44343</v>
          </cell>
          <cell r="R737">
            <v>44343</v>
          </cell>
          <cell r="S737"/>
          <cell r="T737">
            <v>44349</v>
          </cell>
          <cell r="U737">
            <v>44350</v>
          </cell>
          <cell r="V737">
            <v>44350</v>
          </cell>
          <cell r="W737">
            <v>44350</v>
          </cell>
          <cell r="X737">
            <v>41000392</v>
          </cell>
        </row>
        <row r="738">
          <cell r="K738" t="str">
            <v>DBW-2223</v>
          </cell>
          <cell r="L738">
            <v>44327</v>
          </cell>
          <cell r="M738">
            <v>44327</v>
          </cell>
          <cell r="N738">
            <v>44347</v>
          </cell>
          <cell r="O738">
            <v>44327</v>
          </cell>
          <cell r="P738">
            <v>44348</v>
          </cell>
          <cell r="Q738">
            <v>44343</v>
          </cell>
          <cell r="R738">
            <v>44343</v>
          </cell>
          <cell r="S738"/>
          <cell r="T738">
            <v>44349</v>
          </cell>
          <cell r="U738">
            <v>44350</v>
          </cell>
          <cell r="V738">
            <v>44350</v>
          </cell>
          <cell r="W738">
            <v>44350</v>
          </cell>
          <cell r="X738">
            <v>41000392</v>
          </cell>
        </row>
        <row r="739">
          <cell r="K739" t="str">
            <v>DBW-2224</v>
          </cell>
          <cell r="L739">
            <v>44327</v>
          </cell>
          <cell r="M739">
            <v>44327</v>
          </cell>
          <cell r="N739">
            <v>44347</v>
          </cell>
          <cell r="O739">
            <v>44327</v>
          </cell>
          <cell r="P739">
            <v>44348</v>
          </cell>
          <cell r="Q739">
            <v>44343</v>
          </cell>
          <cell r="R739">
            <v>44343</v>
          </cell>
          <cell r="S739"/>
          <cell r="T739">
            <v>44349</v>
          </cell>
          <cell r="U739">
            <v>44350</v>
          </cell>
          <cell r="V739">
            <v>44350</v>
          </cell>
          <cell r="W739">
            <v>44350</v>
          </cell>
          <cell r="X739">
            <v>41000392</v>
          </cell>
        </row>
        <row r="740">
          <cell r="K740" t="str">
            <v>DBW-2215</v>
          </cell>
          <cell r="L740">
            <v>44326</v>
          </cell>
          <cell r="M740">
            <v>44326</v>
          </cell>
          <cell r="N740">
            <v>44343</v>
          </cell>
          <cell r="O740">
            <v>44326</v>
          </cell>
          <cell r="P740">
            <v>44343</v>
          </cell>
          <cell r="Q740">
            <v>44340</v>
          </cell>
          <cell r="R740">
            <v>44340</v>
          </cell>
          <cell r="S740"/>
          <cell r="T740">
            <v>44344</v>
          </cell>
          <cell r="U740">
            <v>44347</v>
          </cell>
          <cell r="V740">
            <v>44347</v>
          </cell>
          <cell r="W740">
            <v>44347</v>
          </cell>
          <cell r="X740">
            <v>41100342</v>
          </cell>
        </row>
        <row r="741">
          <cell r="K741" t="str">
            <v>DBW-2216</v>
          </cell>
          <cell r="L741">
            <v>44326</v>
          </cell>
          <cell r="M741">
            <v>44326</v>
          </cell>
          <cell r="N741">
            <v>44343</v>
          </cell>
          <cell r="O741">
            <v>44326</v>
          </cell>
          <cell r="P741">
            <v>44343</v>
          </cell>
          <cell r="Q741">
            <v>44340</v>
          </cell>
          <cell r="R741">
            <v>44340</v>
          </cell>
          <cell r="S741"/>
          <cell r="T741">
            <v>44344</v>
          </cell>
          <cell r="U741">
            <v>44347</v>
          </cell>
          <cell r="V741">
            <v>44347</v>
          </cell>
          <cell r="W741">
            <v>44347</v>
          </cell>
          <cell r="X741">
            <v>41100342</v>
          </cell>
        </row>
        <row r="742">
          <cell r="K742" t="str">
            <v>DBW-2214</v>
          </cell>
          <cell r="L742">
            <v>44326</v>
          </cell>
          <cell r="M742">
            <v>44326</v>
          </cell>
          <cell r="N742">
            <v>44347</v>
          </cell>
          <cell r="O742">
            <v>44326</v>
          </cell>
          <cell r="P742">
            <v>44342</v>
          </cell>
          <cell r="Q742">
            <v>44341</v>
          </cell>
          <cell r="R742">
            <v>44341</v>
          </cell>
          <cell r="S742"/>
          <cell r="T742">
            <v>44347</v>
          </cell>
          <cell r="U742">
            <v>44348</v>
          </cell>
          <cell r="V742">
            <v>44348</v>
          </cell>
          <cell r="W742">
            <v>44348</v>
          </cell>
          <cell r="X742">
            <v>41100175</v>
          </cell>
        </row>
        <row r="743">
          <cell r="K743" t="str">
            <v>GBWS-1151</v>
          </cell>
          <cell r="L743">
            <v>44313</v>
          </cell>
          <cell r="M743">
            <v>44313</v>
          </cell>
          <cell r="N743">
            <v>44333</v>
          </cell>
          <cell r="O743">
            <v>44313</v>
          </cell>
          <cell r="P743">
            <v>44333</v>
          </cell>
          <cell r="Q743">
            <v>44330</v>
          </cell>
          <cell r="R743">
            <v>44330</v>
          </cell>
          <cell r="S743"/>
          <cell r="T743">
            <v>44333</v>
          </cell>
          <cell r="U743">
            <v>44349</v>
          </cell>
          <cell r="V743">
            <v>44350</v>
          </cell>
          <cell r="W743">
            <v>44350</v>
          </cell>
          <cell r="X743">
            <v>41100336</v>
          </cell>
        </row>
        <row r="744">
          <cell r="K744" t="str">
            <v>GBWS-1152</v>
          </cell>
          <cell r="L744">
            <v>44313</v>
          </cell>
          <cell r="M744">
            <v>44313</v>
          </cell>
          <cell r="N744">
            <v>44333</v>
          </cell>
          <cell r="O744">
            <v>44313</v>
          </cell>
          <cell r="P744">
            <v>44333</v>
          </cell>
          <cell r="Q744">
            <v>44330</v>
          </cell>
          <cell r="R744">
            <v>44330</v>
          </cell>
          <cell r="S744"/>
          <cell r="T744">
            <v>44333</v>
          </cell>
          <cell r="U744">
            <v>44349</v>
          </cell>
          <cell r="V744">
            <v>44350</v>
          </cell>
          <cell r="W744">
            <v>44350</v>
          </cell>
          <cell r="X744">
            <v>41100336</v>
          </cell>
        </row>
        <row r="745">
          <cell r="K745" t="str">
            <v>GBWS-1205</v>
          </cell>
          <cell r="L745">
            <v>44326</v>
          </cell>
          <cell r="M745">
            <v>44327</v>
          </cell>
          <cell r="N745">
            <v>44350</v>
          </cell>
          <cell r="O745">
            <v>44327</v>
          </cell>
          <cell r="P745">
            <v>44349</v>
          </cell>
          <cell r="Q745">
            <v>44350</v>
          </cell>
          <cell r="R745">
            <v>44350</v>
          </cell>
          <cell r="S745"/>
          <cell r="T745">
            <v>44350</v>
          </cell>
          <cell r="U745">
            <v>44354</v>
          </cell>
          <cell r="V745">
            <v>44354</v>
          </cell>
          <cell r="W745">
            <v>44354</v>
          </cell>
          <cell r="X745">
            <v>41100314</v>
          </cell>
        </row>
        <row r="746">
          <cell r="K746" t="str">
            <v>GBWS-1206</v>
          </cell>
          <cell r="L746">
            <v>44326</v>
          </cell>
          <cell r="M746">
            <v>44327</v>
          </cell>
          <cell r="N746">
            <v>44350</v>
          </cell>
          <cell r="O746">
            <v>44327</v>
          </cell>
          <cell r="P746">
            <v>44349</v>
          </cell>
          <cell r="Q746">
            <v>44350</v>
          </cell>
          <cell r="R746">
            <v>44350</v>
          </cell>
          <cell r="S746"/>
          <cell r="T746">
            <v>44350</v>
          </cell>
          <cell r="U746">
            <v>44354</v>
          </cell>
          <cell r="V746">
            <v>44354</v>
          </cell>
          <cell r="W746">
            <v>44354</v>
          </cell>
          <cell r="X746">
            <v>41100314</v>
          </cell>
        </row>
        <row r="747">
          <cell r="K747" t="str">
            <v>GBWS-1207</v>
          </cell>
          <cell r="L747">
            <v>44326</v>
          </cell>
          <cell r="M747">
            <v>44327</v>
          </cell>
          <cell r="N747">
            <v>44350</v>
          </cell>
          <cell r="O747">
            <v>44327</v>
          </cell>
          <cell r="P747">
            <v>44349</v>
          </cell>
          <cell r="Q747">
            <v>44350</v>
          </cell>
          <cell r="R747">
            <v>44350</v>
          </cell>
          <cell r="S747"/>
          <cell r="T747">
            <v>44350</v>
          </cell>
          <cell r="U747">
            <v>44351</v>
          </cell>
          <cell r="V747">
            <v>44354</v>
          </cell>
          <cell r="W747">
            <v>44354</v>
          </cell>
          <cell r="X747">
            <v>41100313</v>
          </cell>
        </row>
        <row r="748">
          <cell r="K748" t="str">
            <v>GBWS-1208</v>
          </cell>
          <cell r="L748">
            <v>44326</v>
          </cell>
          <cell r="M748">
            <v>44327</v>
          </cell>
          <cell r="N748">
            <v>44350</v>
          </cell>
          <cell r="O748">
            <v>44327</v>
          </cell>
          <cell r="P748">
            <v>44349</v>
          </cell>
          <cell r="Q748">
            <v>44350</v>
          </cell>
          <cell r="R748">
            <v>44350</v>
          </cell>
          <cell r="S748"/>
          <cell r="T748">
            <v>44350</v>
          </cell>
          <cell r="U748">
            <v>44354</v>
          </cell>
          <cell r="V748">
            <v>44355</v>
          </cell>
          <cell r="W748">
            <v>44355</v>
          </cell>
          <cell r="X748">
            <v>41100313</v>
          </cell>
        </row>
        <row r="749">
          <cell r="K749" t="str">
            <v>GBWS-1211</v>
          </cell>
          <cell r="L749">
            <v>44326</v>
          </cell>
          <cell r="M749">
            <v>44327</v>
          </cell>
          <cell r="N749">
            <v>44345</v>
          </cell>
          <cell r="O749">
            <v>44327</v>
          </cell>
          <cell r="P749">
            <v>44345</v>
          </cell>
          <cell r="Q749">
            <v>44344</v>
          </cell>
          <cell r="R749">
            <v>44344</v>
          </cell>
          <cell r="S749"/>
          <cell r="T749">
            <v>44349</v>
          </cell>
          <cell r="U749">
            <v>44354</v>
          </cell>
          <cell r="V749">
            <v>44355</v>
          </cell>
          <cell r="W749">
            <v>44355</v>
          </cell>
          <cell r="X749">
            <v>41100315</v>
          </cell>
        </row>
        <row r="750">
          <cell r="K750" t="str">
            <v>GBWS-1212</v>
          </cell>
          <cell r="L750">
            <v>44326</v>
          </cell>
          <cell r="M750">
            <v>44327</v>
          </cell>
          <cell r="N750">
            <v>44345</v>
          </cell>
          <cell r="O750">
            <v>44327</v>
          </cell>
          <cell r="P750">
            <v>44345</v>
          </cell>
          <cell r="Q750">
            <v>44344</v>
          </cell>
          <cell r="R750">
            <v>44344</v>
          </cell>
          <cell r="S750"/>
          <cell r="T750">
            <v>44350</v>
          </cell>
          <cell r="U750">
            <v>44354</v>
          </cell>
          <cell r="V750">
            <v>44355</v>
          </cell>
          <cell r="W750">
            <v>44355</v>
          </cell>
          <cell r="X750">
            <v>41100315</v>
          </cell>
        </row>
        <row r="751">
          <cell r="K751" t="str">
            <v>GBWS-1213</v>
          </cell>
          <cell r="L751">
            <v>44326</v>
          </cell>
          <cell r="M751">
            <v>44327</v>
          </cell>
          <cell r="N751">
            <v>44345</v>
          </cell>
          <cell r="O751">
            <v>44327</v>
          </cell>
          <cell r="P751">
            <v>44345</v>
          </cell>
          <cell r="Q751">
            <v>44344</v>
          </cell>
          <cell r="R751">
            <v>44344</v>
          </cell>
          <cell r="S751"/>
          <cell r="T751">
            <v>44349</v>
          </cell>
          <cell r="U751">
            <v>44351</v>
          </cell>
          <cell r="V751">
            <v>44354</v>
          </cell>
          <cell r="W751">
            <v>44354</v>
          </cell>
          <cell r="X751">
            <v>41100316</v>
          </cell>
        </row>
        <row r="752">
          <cell r="K752" t="str">
            <v>GBWS-1214</v>
          </cell>
          <cell r="L752">
            <v>44326</v>
          </cell>
          <cell r="M752">
            <v>44327</v>
          </cell>
          <cell r="N752">
            <v>44345</v>
          </cell>
          <cell r="O752">
            <v>44327</v>
          </cell>
          <cell r="P752">
            <v>44345</v>
          </cell>
          <cell r="Q752">
            <v>44344</v>
          </cell>
          <cell r="R752">
            <v>44344</v>
          </cell>
          <cell r="S752"/>
          <cell r="T752">
            <v>44350</v>
          </cell>
          <cell r="U752">
            <v>44354</v>
          </cell>
          <cell r="V752">
            <v>44355</v>
          </cell>
          <cell r="W752">
            <v>44355</v>
          </cell>
          <cell r="X752">
            <v>41100316</v>
          </cell>
        </row>
        <row r="753">
          <cell r="K753" t="str">
            <v>GBWS-1209</v>
          </cell>
          <cell r="L753">
            <v>44326</v>
          </cell>
          <cell r="M753">
            <v>44327</v>
          </cell>
          <cell r="N753">
            <v>44345</v>
          </cell>
          <cell r="O753">
            <v>44327</v>
          </cell>
          <cell r="P753">
            <v>44345</v>
          </cell>
          <cell r="Q753">
            <v>44344</v>
          </cell>
          <cell r="R753">
            <v>44344</v>
          </cell>
          <cell r="S753"/>
          <cell r="T753">
            <v>44350</v>
          </cell>
          <cell r="U753">
            <v>44354</v>
          </cell>
          <cell r="V753">
            <v>44354</v>
          </cell>
          <cell r="W753">
            <v>44354</v>
          </cell>
          <cell r="X753">
            <v>41100329</v>
          </cell>
        </row>
        <row r="754">
          <cell r="K754" t="str">
            <v>GBWS-1210</v>
          </cell>
          <cell r="L754">
            <v>44326</v>
          </cell>
          <cell r="M754">
            <v>44327</v>
          </cell>
          <cell r="N754">
            <v>44345</v>
          </cell>
          <cell r="O754">
            <v>44327</v>
          </cell>
          <cell r="P754">
            <v>44345</v>
          </cell>
          <cell r="Q754">
            <v>44344</v>
          </cell>
          <cell r="R754">
            <v>44344</v>
          </cell>
          <cell r="S754"/>
          <cell r="T754">
            <v>44350</v>
          </cell>
          <cell r="U754">
            <v>44354</v>
          </cell>
          <cell r="V754">
            <v>44354</v>
          </cell>
          <cell r="W754">
            <v>44354</v>
          </cell>
          <cell r="X754">
            <v>41100329</v>
          </cell>
        </row>
        <row r="755">
          <cell r="K755" t="str">
            <v>DBW-2233</v>
          </cell>
          <cell r="L755">
            <v>44333</v>
          </cell>
          <cell r="M755">
            <v>44333</v>
          </cell>
          <cell r="N755">
            <v>44350</v>
          </cell>
          <cell r="O755">
            <v>44333</v>
          </cell>
          <cell r="P755">
            <v>44350</v>
          </cell>
          <cell r="Q755" t="str">
            <v>6/3 오전</v>
          </cell>
          <cell r="R755" t="str">
            <v>6/3 오전</v>
          </cell>
          <cell r="S755"/>
          <cell r="T755">
            <v>44350</v>
          </cell>
          <cell r="U755">
            <v>44351</v>
          </cell>
          <cell r="V755">
            <v>44354</v>
          </cell>
          <cell r="W755">
            <v>44354</v>
          </cell>
          <cell r="X755">
            <v>41100351</v>
          </cell>
        </row>
        <row r="756">
          <cell r="K756" t="str">
            <v>DBW-2234</v>
          </cell>
          <cell r="L756">
            <v>44333</v>
          </cell>
          <cell r="M756">
            <v>44333</v>
          </cell>
          <cell r="N756">
            <v>44350</v>
          </cell>
          <cell r="O756">
            <v>44333</v>
          </cell>
          <cell r="P756">
            <v>44350</v>
          </cell>
          <cell r="Q756" t="str">
            <v>6/3 오전</v>
          </cell>
          <cell r="R756" t="str">
            <v>6/3 오전</v>
          </cell>
          <cell r="S756"/>
          <cell r="T756">
            <v>44350</v>
          </cell>
          <cell r="U756">
            <v>44351</v>
          </cell>
          <cell r="V756">
            <v>44354</v>
          </cell>
          <cell r="W756">
            <v>44354</v>
          </cell>
          <cell r="X756">
            <v>41100351</v>
          </cell>
        </row>
        <row r="757">
          <cell r="K757" t="str">
            <v>DBW-2252</v>
          </cell>
          <cell r="L757">
            <v>44340</v>
          </cell>
          <cell r="M757">
            <v>44341</v>
          </cell>
          <cell r="N757">
            <v>44356</v>
          </cell>
          <cell r="O757">
            <v>44341</v>
          </cell>
          <cell r="P757">
            <v>44355</v>
          </cell>
          <cell r="Q757" t="str">
            <v>6/5 → 6/6 → 6/8</v>
          </cell>
          <cell r="R757" t="str">
            <v>6/5 → 6/6 → 6/8</v>
          </cell>
          <cell r="S757"/>
          <cell r="T757">
            <v>44356</v>
          </cell>
          <cell r="U757">
            <v>44356</v>
          </cell>
          <cell r="V757">
            <v>44356</v>
          </cell>
          <cell r="W757">
            <v>44357</v>
          </cell>
          <cell r="X757">
            <v>41100047</v>
          </cell>
        </row>
        <row r="758">
          <cell r="K758" t="str">
            <v>SOS-0238</v>
          </cell>
          <cell r="L758">
            <v>44315</v>
          </cell>
          <cell r="M758">
            <v>44313</v>
          </cell>
          <cell r="N758">
            <v>44316</v>
          </cell>
          <cell r="O758">
            <v>44313</v>
          </cell>
          <cell r="P758">
            <v>44316</v>
          </cell>
          <cell r="Q758"/>
          <cell r="R758"/>
          <cell r="S758"/>
          <cell r="T758">
            <v>44319</v>
          </cell>
          <cell r="U758">
            <v>44319</v>
          </cell>
          <cell r="V758">
            <v>44319</v>
          </cell>
          <cell r="W758">
            <v>44322</v>
          </cell>
          <cell r="X758">
            <v>41100182</v>
          </cell>
        </row>
        <row r="759">
          <cell r="K759" t="str">
            <v>DBW-2213</v>
          </cell>
          <cell r="L759">
            <v>44326</v>
          </cell>
          <cell r="M759">
            <v>44326</v>
          </cell>
          <cell r="N759">
            <v>44347</v>
          </cell>
          <cell r="O759">
            <v>44326</v>
          </cell>
          <cell r="P759">
            <v>44340</v>
          </cell>
          <cell r="Q759">
            <v>44340</v>
          </cell>
          <cell r="R759">
            <v>44340</v>
          </cell>
          <cell r="S759"/>
          <cell r="T759">
            <v>44341</v>
          </cell>
          <cell r="U759">
            <v>44356</v>
          </cell>
          <cell r="V759">
            <v>44356</v>
          </cell>
          <cell r="W759">
            <v>44356</v>
          </cell>
          <cell r="X759">
            <v>41100174</v>
          </cell>
        </row>
        <row r="760">
          <cell r="K760" t="str">
            <v>DBW-2235</v>
          </cell>
          <cell r="L760">
            <v>44333</v>
          </cell>
          <cell r="M760">
            <v>44333</v>
          </cell>
          <cell r="N760">
            <v>44351</v>
          </cell>
          <cell r="O760">
            <v>44333</v>
          </cell>
          <cell r="P760">
            <v>44351</v>
          </cell>
          <cell r="Q760">
            <v>44351</v>
          </cell>
          <cell r="R760">
            <v>44351</v>
          </cell>
          <cell r="S760"/>
          <cell r="T760">
            <v>44354</v>
          </cell>
          <cell r="U760">
            <v>44355</v>
          </cell>
          <cell r="V760">
            <v>44355</v>
          </cell>
          <cell r="W760">
            <v>44355</v>
          </cell>
          <cell r="X760">
            <v>41100172</v>
          </cell>
        </row>
        <row r="761">
          <cell r="K761" t="str">
            <v>DBW-2236</v>
          </cell>
          <cell r="L761">
            <v>44333</v>
          </cell>
          <cell r="M761">
            <v>44333</v>
          </cell>
          <cell r="N761">
            <v>44351</v>
          </cell>
          <cell r="O761">
            <v>44333</v>
          </cell>
          <cell r="P761">
            <v>44351</v>
          </cell>
          <cell r="Q761">
            <v>44351</v>
          </cell>
          <cell r="R761">
            <v>44351</v>
          </cell>
          <cell r="S761"/>
          <cell r="T761">
            <v>44354</v>
          </cell>
          <cell r="U761">
            <v>44355</v>
          </cell>
          <cell r="V761">
            <v>44355</v>
          </cell>
          <cell r="W761">
            <v>44355</v>
          </cell>
          <cell r="X761">
            <v>41100172</v>
          </cell>
        </row>
        <row r="762">
          <cell r="K762" t="str">
            <v>DBW-2237</v>
          </cell>
          <cell r="L762">
            <v>44333</v>
          </cell>
          <cell r="M762">
            <v>44333</v>
          </cell>
          <cell r="N762">
            <v>44351</v>
          </cell>
          <cell r="O762">
            <v>44333</v>
          </cell>
          <cell r="P762">
            <v>44351</v>
          </cell>
          <cell r="Q762">
            <v>44351</v>
          </cell>
          <cell r="R762">
            <v>44351</v>
          </cell>
          <cell r="S762"/>
          <cell r="T762">
            <v>44354</v>
          </cell>
          <cell r="U762">
            <v>44355</v>
          </cell>
          <cell r="V762">
            <v>44355</v>
          </cell>
          <cell r="W762">
            <v>44355</v>
          </cell>
          <cell r="X762">
            <v>41100171</v>
          </cell>
        </row>
        <row r="763">
          <cell r="K763" t="str">
            <v>DBW-2238</v>
          </cell>
          <cell r="L763">
            <v>44333</v>
          </cell>
          <cell r="M763">
            <v>44333</v>
          </cell>
          <cell r="N763">
            <v>44351</v>
          </cell>
          <cell r="O763">
            <v>44333</v>
          </cell>
          <cell r="P763">
            <v>44351</v>
          </cell>
          <cell r="Q763">
            <v>44351</v>
          </cell>
          <cell r="R763">
            <v>44351</v>
          </cell>
          <cell r="S763"/>
          <cell r="T763">
            <v>44354</v>
          </cell>
          <cell r="U763">
            <v>44355</v>
          </cell>
          <cell r="V763">
            <v>44355</v>
          </cell>
          <cell r="W763">
            <v>44355</v>
          </cell>
          <cell r="X763">
            <v>41100171</v>
          </cell>
        </row>
        <row r="764">
          <cell r="K764" t="str">
            <v>DBW-2239</v>
          </cell>
          <cell r="L764">
            <v>44333</v>
          </cell>
          <cell r="M764">
            <v>44333</v>
          </cell>
          <cell r="N764">
            <v>44351</v>
          </cell>
          <cell r="O764">
            <v>44333</v>
          </cell>
          <cell r="P764">
            <v>44351</v>
          </cell>
          <cell r="Q764">
            <v>44351</v>
          </cell>
          <cell r="R764">
            <v>44351</v>
          </cell>
          <cell r="S764"/>
          <cell r="T764">
            <v>44354</v>
          </cell>
          <cell r="U764">
            <v>44355</v>
          </cell>
          <cell r="V764">
            <v>44355</v>
          </cell>
          <cell r="W764">
            <v>44355</v>
          </cell>
          <cell r="X764">
            <v>41100173</v>
          </cell>
        </row>
        <row r="765">
          <cell r="K765" t="str">
            <v>DBW-2240</v>
          </cell>
          <cell r="L765">
            <v>44333</v>
          </cell>
          <cell r="M765">
            <v>44333</v>
          </cell>
          <cell r="N765">
            <v>44351</v>
          </cell>
          <cell r="O765">
            <v>44333</v>
          </cell>
          <cell r="P765">
            <v>44351</v>
          </cell>
          <cell r="Q765">
            <v>44351</v>
          </cell>
          <cell r="R765">
            <v>44351</v>
          </cell>
          <cell r="S765"/>
          <cell r="T765">
            <v>44354</v>
          </cell>
          <cell r="U765">
            <v>44355</v>
          </cell>
          <cell r="V765">
            <v>44355</v>
          </cell>
          <cell r="W765">
            <v>44355</v>
          </cell>
          <cell r="X765">
            <v>41100173</v>
          </cell>
        </row>
        <row r="766">
          <cell r="K766" t="str">
            <v>DBW-2246</v>
          </cell>
          <cell r="L766">
            <v>44336</v>
          </cell>
          <cell r="M766">
            <v>44336</v>
          </cell>
          <cell r="N766">
            <v>44354</v>
          </cell>
          <cell r="O766">
            <v>44336</v>
          </cell>
          <cell r="P766">
            <v>44351</v>
          </cell>
          <cell r="Q766" t="str">
            <v>2021-06-03 → 6/4</v>
          </cell>
          <cell r="R766" t="str">
            <v>2021-06-03 → 6/4</v>
          </cell>
          <cell r="S766"/>
          <cell r="T766">
            <v>44354</v>
          </cell>
          <cell r="U766">
            <v>44355</v>
          </cell>
          <cell r="V766">
            <v>44355</v>
          </cell>
          <cell r="W766">
            <v>44355</v>
          </cell>
          <cell r="X766">
            <v>41100173</v>
          </cell>
        </row>
        <row r="767">
          <cell r="K767" t="str">
            <v>DBW-2247</v>
          </cell>
          <cell r="L767">
            <v>44336</v>
          </cell>
          <cell r="M767">
            <v>44336</v>
          </cell>
          <cell r="N767">
            <v>44354</v>
          </cell>
          <cell r="O767">
            <v>44336</v>
          </cell>
          <cell r="P767">
            <v>44351</v>
          </cell>
          <cell r="Q767" t="str">
            <v>2021-06-03 → 6/4</v>
          </cell>
          <cell r="R767" t="str">
            <v>2021-06-03 → 6/4</v>
          </cell>
          <cell r="S767"/>
          <cell r="T767">
            <v>44354</v>
          </cell>
          <cell r="U767">
            <v>44355</v>
          </cell>
          <cell r="V767">
            <v>44356</v>
          </cell>
          <cell r="W767">
            <v>44356</v>
          </cell>
          <cell r="X767">
            <v>41100173</v>
          </cell>
        </row>
        <row r="768">
          <cell r="K768" t="str">
            <v>DBW-2248</v>
          </cell>
          <cell r="L768">
            <v>44336</v>
          </cell>
          <cell r="M768">
            <v>44336</v>
          </cell>
          <cell r="N768">
            <v>44354</v>
          </cell>
          <cell r="O768">
            <v>44336</v>
          </cell>
          <cell r="P768">
            <v>44351</v>
          </cell>
          <cell r="Q768" t="str">
            <v>2021-06-03 → 6/4</v>
          </cell>
          <cell r="R768" t="str">
            <v>2021-06-03 → 6/4</v>
          </cell>
          <cell r="S768"/>
          <cell r="T768">
            <v>44354</v>
          </cell>
          <cell r="U768">
            <v>44355</v>
          </cell>
          <cell r="V768">
            <v>44355</v>
          </cell>
          <cell r="W768">
            <v>44355</v>
          </cell>
          <cell r="X768">
            <v>41100173</v>
          </cell>
        </row>
        <row r="769">
          <cell r="K769" t="str">
            <v>DBW-2249</v>
          </cell>
          <cell r="L769">
            <v>44336</v>
          </cell>
          <cell r="M769">
            <v>44336</v>
          </cell>
          <cell r="N769">
            <v>44354</v>
          </cell>
          <cell r="O769">
            <v>44336</v>
          </cell>
          <cell r="P769">
            <v>44351</v>
          </cell>
          <cell r="Q769" t="str">
            <v>2021-06-03 → 6/4</v>
          </cell>
          <cell r="R769" t="str">
            <v>2021-06-03 → 6/4</v>
          </cell>
          <cell r="S769"/>
          <cell r="T769">
            <v>44354</v>
          </cell>
          <cell r="U769">
            <v>44355</v>
          </cell>
          <cell r="V769">
            <v>44355</v>
          </cell>
          <cell r="W769">
            <v>44355</v>
          </cell>
          <cell r="X769">
            <v>41100173</v>
          </cell>
        </row>
        <row r="770">
          <cell r="K770" t="str">
            <v>DBW-2250</v>
          </cell>
          <cell r="L770">
            <v>44339</v>
          </cell>
          <cell r="M770">
            <v>44340</v>
          </cell>
          <cell r="N770">
            <v>44351</v>
          </cell>
          <cell r="O770">
            <v>44340</v>
          </cell>
          <cell r="P770">
            <v>44351</v>
          </cell>
          <cell r="Q770" t="str">
            <v>6/4 → 6/5 오전</v>
          </cell>
          <cell r="R770" t="str">
            <v>6/4 → 6/5 오전</v>
          </cell>
          <cell r="S770"/>
          <cell r="T770">
            <v>44351</v>
          </cell>
          <cell r="U770">
            <v>44357</v>
          </cell>
          <cell r="V770">
            <v>44357</v>
          </cell>
          <cell r="W770">
            <v>44357</v>
          </cell>
          <cell r="X770">
            <v>41100354</v>
          </cell>
        </row>
        <row r="771">
          <cell r="K771" t="str">
            <v>DBW-2251</v>
          </cell>
          <cell r="L771">
            <v>44339</v>
          </cell>
          <cell r="M771">
            <v>44340</v>
          </cell>
          <cell r="N771">
            <v>44351</v>
          </cell>
          <cell r="O771">
            <v>44340</v>
          </cell>
          <cell r="P771">
            <v>44351</v>
          </cell>
          <cell r="Q771">
            <v>44351</v>
          </cell>
          <cell r="R771">
            <v>44351</v>
          </cell>
          <cell r="S771"/>
          <cell r="T771">
            <v>44351</v>
          </cell>
          <cell r="U771">
            <v>44357</v>
          </cell>
          <cell r="V771">
            <v>44357</v>
          </cell>
          <cell r="W771">
            <v>44357</v>
          </cell>
          <cell r="X771" t="str">
            <v>41100056 → 41100359</v>
          </cell>
        </row>
        <row r="772">
          <cell r="K772" t="str">
            <v>DBW-2189</v>
          </cell>
          <cell r="L772">
            <v>44329</v>
          </cell>
          <cell r="M772">
            <v>44328</v>
          </cell>
          <cell r="N772">
            <v>44348</v>
          </cell>
          <cell r="O772">
            <v>44328</v>
          </cell>
          <cell r="P772">
            <v>44350</v>
          </cell>
          <cell r="Q772">
            <v>44349</v>
          </cell>
          <cell r="R772">
            <v>44349</v>
          </cell>
          <cell r="S772"/>
          <cell r="T772">
            <v>44350</v>
          </cell>
          <cell r="U772">
            <v>44356</v>
          </cell>
          <cell r="V772">
            <v>44356</v>
          </cell>
          <cell r="W772">
            <v>44356</v>
          </cell>
          <cell r="X772">
            <v>41100174</v>
          </cell>
        </row>
        <row r="773">
          <cell r="K773" t="str">
            <v>DBW-2225</v>
          </cell>
          <cell r="L773">
            <v>44329</v>
          </cell>
          <cell r="M773">
            <v>44328</v>
          </cell>
          <cell r="N773">
            <v>44348</v>
          </cell>
          <cell r="O773">
            <v>44328</v>
          </cell>
          <cell r="P773">
            <v>44350</v>
          </cell>
          <cell r="Q773">
            <v>44349</v>
          </cell>
          <cell r="R773">
            <v>44349</v>
          </cell>
          <cell r="S773"/>
          <cell r="T773">
            <v>44350</v>
          </cell>
          <cell r="U773">
            <v>44356</v>
          </cell>
          <cell r="V773">
            <v>44356</v>
          </cell>
          <cell r="W773">
            <v>44356</v>
          </cell>
          <cell r="X773">
            <v>41100174</v>
          </cell>
        </row>
        <row r="774">
          <cell r="K774" t="str">
            <v>DBW-2155</v>
          </cell>
          <cell r="L774">
            <v>44287</v>
          </cell>
          <cell r="M774">
            <v>44288</v>
          </cell>
          <cell r="N774">
            <v>44308</v>
          </cell>
          <cell r="O774">
            <v>44288</v>
          </cell>
          <cell r="P774">
            <v>44308</v>
          </cell>
          <cell r="Q774">
            <v>44307</v>
          </cell>
          <cell r="R774">
            <v>44307</v>
          </cell>
          <cell r="S774"/>
          <cell r="T774">
            <v>44307</v>
          </cell>
          <cell r="U774">
            <v>44308</v>
          </cell>
          <cell r="V774">
            <v>44309</v>
          </cell>
          <cell r="W774">
            <v>44312</v>
          </cell>
          <cell r="X774">
            <v>41100170</v>
          </cell>
        </row>
        <row r="775">
          <cell r="K775" t="str">
            <v>DBW-2156</v>
          </cell>
          <cell r="L775">
            <v>44287</v>
          </cell>
          <cell r="M775">
            <v>44288</v>
          </cell>
          <cell r="N775">
            <v>44308</v>
          </cell>
          <cell r="O775">
            <v>44288</v>
          </cell>
          <cell r="P775">
            <v>44308</v>
          </cell>
          <cell r="Q775">
            <v>44307</v>
          </cell>
          <cell r="R775">
            <v>44307</v>
          </cell>
          <cell r="S775"/>
          <cell r="T775">
            <v>44307</v>
          </cell>
          <cell r="U775">
            <v>44308</v>
          </cell>
          <cell r="V775">
            <v>44309</v>
          </cell>
          <cell r="W775">
            <v>44312</v>
          </cell>
          <cell r="X775">
            <v>41100170</v>
          </cell>
        </row>
        <row r="776">
          <cell r="K776" t="str">
            <v>DBW-2190</v>
          </cell>
          <cell r="L776">
            <v>44313</v>
          </cell>
          <cell r="M776">
            <v>44314</v>
          </cell>
          <cell r="N776">
            <v>44334</v>
          </cell>
          <cell r="O776">
            <v>44314</v>
          </cell>
          <cell r="P776">
            <v>44333</v>
          </cell>
          <cell r="Q776">
            <v>44331</v>
          </cell>
          <cell r="R776">
            <v>44331</v>
          </cell>
          <cell r="S776"/>
          <cell r="T776">
            <v>44335</v>
          </cell>
          <cell r="U776">
            <v>44336</v>
          </cell>
          <cell r="V776">
            <v>44336</v>
          </cell>
          <cell r="W776">
            <v>44340</v>
          </cell>
          <cell r="X776">
            <v>41100170</v>
          </cell>
        </row>
        <row r="777">
          <cell r="K777" t="str">
            <v>DBW-2191</v>
          </cell>
          <cell r="L777">
            <v>44313</v>
          </cell>
          <cell r="M777">
            <v>44314</v>
          </cell>
          <cell r="N777">
            <v>44334</v>
          </cell>
          <cell r="O777">
            <v>44314</v>
          </cell>
          <cell r="P777">
            <v>44333</v>
          </cell>
          <cell r="Q777">
            <v>44331</v>
          </cell>
          <cell r="R777">
            <v>44331</v>
          </cell>
          <cell r="S777"/>
          <cell r="T777">
            <v>44335</v>
          </cell>
          <cell r="U777">
            <v>44336</v>
          </cell>
          <cell r="V777">
            <v>44336</v>
          </cell>
          <cell r="W777">
            <v>44340</v>
          </cell>
          <cell r="X777">
            <v>41100170</v>
          </cell>
        </row>
        <row r="778">
          <cell r="K778" t="str">
            <v>DBW-2192</v>
          </cell>
          <cell r="L778">
            <v>44313</v>
          </cell>
          <cell r="M778">
            <v>44314</v>
          </cell>
          <cell r="N778">
            <v>44334</v>
          </cell>
          <cell r="O778">
            <v>44314</v>
          </cell>
          <cell r="P778">
            <v>44333</v>
          </cell>
          <cell r="Q778">
            <v>44331</v>
          </cell>
          <cell r="R778">
            <v>44331</v>
          </cell>
          <cell r="S778"/>
          <cell r="T778">
            <v>44335</v>
          </cell>
          <cell r="U778">
            <v>44340</v>
          </cell>
          <cell r="V778">
            <v>44340</v>
          </cell>
          <cell r="W778">
            <v>44341</v>
          </cell>
          <cell r="X778">
            <v>41100170</v>
          </cell>
        </row>
        <row r="779">
          <cell r="K779" t="str">
            <v>GBWS-1179</v>
          </cell>
          <cell r="L779">
            <v>44319</v>
          </cell>
          <cell r="M779">
            <v>44320</v>
          </cell>
          <cell r="N779">
            <v>44342</v>
          </cell>
          <cell r="O779">
            <v>44320</v>
          </cell>
          <cell r="P779">
            <v>44343</v>
          </cell>
          <cell r="Q779">
            <v>44337</v>
          </cell>
          <cell r="R779">
            <v>44337</v>
          </cell>
          <cell r="S779"/>
          <cell r="T779">
            <v>44343</v>
          </cell>
          <cell r="U779">
            <v>44357</v>
          </cell>
          <cell r="V779">
            <v>44357</v>
          </cell>
          <cell r="W779">
            <v>44358</v>
          </cell>
          <cell r="X779">
            <v>41100287</v>
          </cell>
        </row>
        <row r="780">
          <cell r="K780" t="str">
            <v>GBWS-1181</v>
          </cell>
          <cell r="L780">
            <v>44319</v>
          </cell>
          <cell r="M780">
            <v>44320</v>
          </cell>
          <cell r="N780">
            <v>44342</v>
          </cell>
          <cell r="O780">
            <v>44320</v>
          </cell>
          <cell r="P780">
            <v>44343</v>
          </cell>
          <cell r="Q780">
            <v>44337</v>
          </cell>
          <cell r="R780">
            <v>44337</v>
          </cell>
          <cell r="S780"/>
          <cell r="T780">
            <v>44343</v>
          </cell>
          <cell r="U780">
            <v>44357</v>
          </cell>
          <cell r="V780">
            <v>44357</v>
          </cell>
          <cell r="W780">
            <v>44358</v>
          </cell>
          <cell r="X780">
            <v>41100287</v>
          </cell>
        </row>
        <row r="781">
          <cell r="K781" t="str">
            <v>GBWS-1184</v>
          </cell>
          <cell r="L781">
            <v>44319</v>
          </cell>
          <cell r="M781">
            <v>44320</v>
          </cell>
          <cell r="N781">
            <v>44342</v>
          </cell>
          <cell r="O781">
            <v>44320</v>
          </cell>
          <cell r="P781">
            <v>44343</v>
          </cell>
          <cell r="Q781">
            <v>44337</v>
          </cell>
          <cell r="R781">
            <v>44337</v>
          </cell>
          <cell r="S781"/>
          <cell r="T781">
            <v>44344</v>
          </cell>
          <cell r="U781">
            <v>44357</v>
          </cell>
          <cell r="V781">
            <v>44357</v>
          </cell>
          <cell r="W781">
            <v>44358</v>
          </cell>
          <cell r="X781">
            <v>41100287</v>
          </cell>
        </row>
        <row r="782">
          <cell r="K782" t="str">
            <v>DBW-2244</v>
          </cell>
          <cell r="L782">
            <v>44336</v>
          </cell>
          <cell r="M782">
            <v>44336</v>
          </cell>
          <cell r="N782">
            <v>44351</v>
          </cell>
          <cell r="O782">
            <v>44336</v>
          </cell>
          <cell r="P782">
            <v>44351</v>
          </cell>
          <cell r="Q782">
            <v>44350</v>
          </cell>
          <cell r="R782">
            <v>44350</v>
          </cell>
          <cell r="S782"/>
          <cell r="T782">
            <v>44354</v>
          </cell>
          <cell r="U782">
            <v>44355</v>
          </cell>
          <cell r="V782">
            <v>44355</v>
          </cell>
          <cell r="W782">
            <v>44355</v>
          </cell>
          <cell r="X782">
            <v>41100170</v>
          </cell>
        </row>
        <row r="783">
          <cell r="K783" t="str">
            <v>DBW-2245</v>
          </cell>
          <cell r="L783">
            <v>44336</v>
          </cell>
          <cell r="M783">
            <v>44336</v>
          </cell>
          <cell r="N783">
            <v>44351</v>
          </cell>
          <cell r="O783">
            <v>44336</v>
          </cell>
          <cell r="P783">
            <v>44351</v>
          </cell>
          <cell r="Q783">
            <v>44350</v>
          </cell>
          <cell r="R783">
            <v>44350</v>
          </cell>
          <cell r="S783"/>
          <cell r="T783">
            <v>44354</v>
          </cell>
          <cell r="U783">
            <v>44355</v>
          </cell>
          <cell r="V783">
            <v>44355</v>
          </cell>
          <cell r="W783">
            <v>44355</v>
          </cell>
          <cell r="X783">
            <v>41100170</v>
          </cell>
        </row>
        <row r="784">
          <cell r="K784" t="str">
            <v>GBWS-1215</v>
          </cell>
          <cell r="L784">
            <v>44328</v>
          </cell>
          <cell r="M784">
            <v>44327</v>
          </cell>
          <cell r="N784">
            <v>44350</v>
          </cell>
          <cell r="O784">
            <v>44327</v>
          </cell>
          <cell r="P784">
            <v>44349</v>
          </cell>
          <cell r="Q784">
            <v>44350</v>
          </cell>
          <cell r="R784">
            <v>44350</v>
          </cell>
          <cell r="S784"/>
          <cell r="T784">
            <v>44350</v>
          </cell>
          <cell r="U784">
            <v>44358</v>
          </cell>
          <cell r="V784">
            <v>44361</v>
          </cell>
          <cell r="W784">
            <v>44361</v>
          </cell>
          <cell r="X784">
            <v>41100302</v>
          </cell>
        </row>
        <row r="785">
          <cell r="K785" t="str">
            <v>GBWS-1219</v>
          </cell>
          <cell r="L785">
            <v>44333</v>
          </cell>
          <cell r="M785">
            <v>44333</v>
          </cell>
          <cell r="N785">
            <v>44357</v>
          </cell>
          <cell r="O785">
            <v>44333</v>
          </cell>
          <cell r="P785">
            <v>44357</v>
          </cell>
          <cell r="Q785">
            <v>44357</v>
          </cell>
          <cell r="R785">
            <v>44357</v>
          </cell>
          <cell r="S785"/>
          <cell r="T785">
            <v>44357</v>
          </cell>
          <cell r="U785">
            <v>44358</v>
          </cell>
          <cell r="V785">
            <v>44361</v>
          </cell>
          <cell r="W785">
            <v>44361</v>
          </cell>
          <cell r="X785">
            <v>41100287</v>
          </cell>
        </row>
        <row r="786">
          <cell r="K786" t="str">
            <v>GBWS-1220</v>
          </cell>
          <cell r="L786">
            <v>44333</v>
          </cell>
          <cell r="M786">
            <v>44333</v>
          </cell>
          <cell r="N786">
            <v>44357</v>
          </cell>
          <cell r="O786">
            <v>44333</v>
          </cell>
          <cell r="P786">
            <v>44357</v>
          </cell>
          <cell r="Q786">
            <v>44357</v>
          </cell>
          <cell r="R786">
            <v>44357</v>
          </cell>
          <cell r="S786"/>
          <cell r="T786">
            <v>44357</v>
          </cell>
          <cell r="U786">
            <v>44358</v>
          </cell>
          <cell r="V786">
            <v>44362</v>
          </cell>
          <cell r="W786">
            <v>44362</v>
          </cell>
          <cell r="X786">
            <v>41100287</v>
          </cell>
        </row>
        <row r="787">
          <cell r="K787" t="str">
            <v>GBWS-1222</v>
          </cell>
          <cell r="L787">
            <v>44333</v>
          </cell>
          <cell r="M787">
            <v>44333</v>
          </cell>
          <cell r="N787">
            <v>44357</v>
          </cell>
          <cell r="O787">
            <v>44333</v>
          </cell>
          <cell r="P787">
            <v>44357</v>
          </cell>
          <cell r="Q787">
            <v>44357</v>
          </cell>
          <cell r="R787">
            <v>44357</v>
          </cell>
          <cell r="S787"/>
          <cell r="T787">
            <v>44357</v>
          </cell>
          <cell r="U787">
            <v>44358</v>
          </cell>
          <cell r="V787">
            <v>44361</v>
          </cell>
          <cell r="W787">
            <v>44361</v>
          </cell>
          <cell r="X787">
            <v>41100287</v>
          </cell>
        </row>
        <row r="788">
          <cell r="K788" t="str">
            <v>GBWS-1265</v>
          </cell>
          <cell r="L788">
            <v>44342</v>
          </cell>
          <cell r="M788">
            <v>44343</v>
          </cell>
          <cell r="N788">
            <v>44358</v>
          </cell>
          <cell r="O788">
            <v>44343</v>
          </cell>
          <cell r="P788">
            <v>44358</v>
          </cell>
          <cell r="Q788">
            <v>44357</v>
          </cell>
          <cell r="R788">
            <v>44357</v>
          </cell>
          <cell r="S788"/>
          <cell r="T788">
            <v>44358</v>
          </cell>
          <cell r="U788">
            <v>44361</v>
          </cell>
          <cell r="V788">
            <v>44362</v>
          </cell>
          <cell r="W788">
            <v>44362</v>
          </cell>
          <cell r="X788">
            <v>41100349</v>
          </cell>
        </row>
        <row r="789">
          <cell r="K789" t="str">
            <v>GBWS-1266</v>
          </cell>
          <cell r="L789">
            <v>44342</v>
          </cell>
          <cell r="M789">
            <v>44343</v>
          </cell>
          <cell r="N789">
            <v>44358</v>
          </cell>
          <cell r="O789">
            <v>44343</v>
          </cell>
          <cell r="P789">
            <v>44358</v>
          </cell>
          <cell r="Q789">
            <v>44357</v>
          </cell>
          <cell r="R789">
            <v>44357</v>
          </cell>
          <cell r="S789"/>
          <cell r="T789">
            <v>44358</v>
          </cell>
          <cell r="U789">
            <v>44361</v>
          </cell>
          <cell r="V789">
            <v>44362</v>
          </cell>
          <cell r="W789">
            <v>44362</v>
          </cell>
          <cell r="X789">
            <v>41100349</v>
          </cell>
        </row>
        <row r="790">
          <cell r="K790" t="str">
            <v>WS-0037</v>
          </cell>
          <cell r="L790">
            <v>44333</v>
          </cell>
          <cell r="M790">
            <v>44333</v>
          </cell>
          <cell r="N790">
            <v>44358</v>
          </cell>
          <cell r="O790">
            <v>44333</v>
          </cell>
          <cell r="P790">
            <v>44358</v>
          </cell>
          <cell r="Q790">
            <v>44358</v>
          </cell>
          <cell r="R790">
            <v>44358</v>
          </cell>
          <cell r="S790"/>
          <cell r="T790">
            <v>44361</v>
          </cell>
          <cell r="U790">
            <v>44361</v>
          </cell>
          <cell r="V790">
            <v>44362</v>
          </cell>
          <cell r="W790">
            <v>44362</v>
          </cell>
          <cell r="X790">
            <v>41100238</v>
          </cell>
        </row>
        <row r="791">
          <cell r="K791" t="str">
            <v xml:space="preserve">GBWS-1256 </v>
          </cell>
          <cell r="L791">
            <v>44340</v>
          </cell>
          <cell r="M791">
            <v>44341</v>
          </cell>
          <cell r="N791">
            <v>44357</v>
          </cell>
          <cell r="O791">
            <v>44341</v>
          </cell>
          <cell r="P791">
            <v>44357</v>
          </cell>
          <cell r="Q791">
            <v>44358</v>
          </cell>
          <cell r="R791">
            <v>44358</v>
          </cell>
          <cell r="S791"/>
          <cell r="T791">
            <v>44358</v>
          </cell>
          <cell r="U791">
            <v>44358</v>
          </cell>
          <cell r="V791">
            <v>44362</v>
          </cell>
          <cell r="W791">
            <v>44362</v>
          </cell>
          <cell r="X791">
            <v>41100288</v>
          </cell>
        </row>
        <row r="792">
          <cell r="K792" t="str">
            <v>GBWS-1171</v>
          </cell>
          <cell r="L792">
            <v>44316</v>
          </cell>
          <cell r="M792">
            <v>44319</v>
          </cell>
          <cell r="N792">
            <v>44337</v>
          </cell>
          <cell r="O792">
            <v>44319</v>
          </cell>
          <cell r="P792">
            <v>44336</v>
          </cell>
          <cell r="Q792">
            <v>44336</v>
          </cell>
          <cell r="R792">
            <v>44336</v>
          </cell>
          <cell r="S792"/>
          <cell r="T792">
            <v>44337</v>
          </cell>
          <cell r="U792">
            <v>44340</v>
          </cell>
          <cell r="V792">
            <v>44340</v>
          </cell>
          <cell r="W792">
            <v>44341</v>
          </cell>
          <cell r="X792">
            <v>41100293</v>
          </cell>
        </row>
        <row r="793">
          <cell r="K793" t="str">
            <v>GBWS-1226</v>
          </cell>
          <cell r="L793">
            <v>44333</v>
          </cell>
          <cell r="M793">
            <v>44334</v>
          </cell>
          <cell r="N793">
            <v>44354</v>
          </cell>
          <cell r="O793">
            <v>44334</v>
          </cell>
          <cell r="P793">
            <v>44353</v>
          </cell>
          <cell r="Q793">
            <v>44351</v>
          </cell>
          <cell r="R793">
            <v>44351</v>
          </cell>
          <cell r="S793"/>
          <cell r="T793">
            <v>44356</v>
          </cell>
          <cell r="U793">
            <v>44357</v>
          </cell>
          <cell r="V793">
            <v>44358</v>
          </cell>
          <cell r="W793">
            <v>44358</v>
          </cell>
          <cell r="X793">
            <v>41100311</v>
          </cell>
        </row>
        <row r="794">
          <cell r="K794" t="str">
            <v>GBWS-1227</v>
          </cell>
          <cell r="L794">
            <v>44333</v>
          </cell>
          <cell r="M794">
            <v>44334</v>
          </cell>
          <cell r="N794">
            <v>44354</v>
          </cell>
          <cell r="O794">
            <v>44334</v>
          </cell>
          <cell r="P794">
            <v>44353</v>
          </cell>
          <cell r="Q794">
            <v>44351</v>
          </cell>
          <cell r="R794">
            <v>44351</v>
          </cell>
          <cell r="S794"/>
          <cell r="T794">
            <v>44356</v>
          </cell>
          <cell r="U794">
            <v>44358</v>
          </cell>
          <cell r="V794">
            <v>44361</v>
          </cell>
          <cell r="W794">
            <v>44361</v>
          </cell>
          <cell r="X794">
            <v>41100311</v>
          </cell>
        </row>
        <row r="795">
          <cell r="K795" t="str">
            <v>GBWS-1228</v>
          </cell>
          <cell r="L795">
            <v>44333</v>
          </cell>
          <cell r="M795">
            <v>44334</v>
          </cell>
          <cell r="N795">
            <v>44354</v>
          </cell>
          <cell r="O795">
            <v>44334</v>
          </cell>
          <cell r="P795">
            <v>44353</v>
          </cell>
          <cell r="Q795">
            <v>44351</v>
          </cell>
          <cell r="R795">
            <v>44351</v>
          </cell>
          <cell r="S795"/>
          <cell r="T795">
            <v>44356</v>
          </cell>
          <cell r="U795">
            <v>44357</v>
          </cell>
          <cell r="V795">
            <v>44358</v>
          </cell>
          <cell r="W795">
            <v>44358</v>
          </cell>
          <cell r="X795">
            <v>41100311</v>
          </cell>
        </row>
        <row r="796">
          <cell r="K796" t="str">
            <v>GBWS-1229</v>
          </cell>
          <cell r="L796">
            <v>44333</v>
          </cell>
          <cell r="M796">
            <v>44334</v>
          </cell>
          <cell r="N796">
            <v>44353</v>
          </cell>
          <cell r="O796">
            <v>44334</v>
          </cell>
          <cell r="P796">
            <v>44353</v>
          </cell>
          <cell r="Q796">
            <v>44353</v>
          </cell>
          <cell r="R796">
            <v>44353</v>
          </cell>
          <cell r="S796"/>
          <cell r="T796">
            <v>44355</v>
          </cell>
          <cell r="U796">
            <v>44356</v>
          </cell>
          <cell r="V796">
            <v>44356</v>
          </cell>
          <cell r="W796">
            <v>44357</v>
          </cell>
          <cell r="X796">
            <v>41100329</v>
          </cell>
        </row>
        <row r="797">
          <cell r="K797" t="str">
            <v>GBWS-1230</v>
          </cell>
          <cell r="L797">
            <v>44333</v>
          </cell>
          <cell r="M797">
            <v>44334</v>
          </cell>
          <cell r="N797">
            <v>44353</v>
          </cell>
          <cell r="O797">
            <v>44334</v>
          </cell>
          <cell r="P797">
            <v>44353</v>
          </cell>
          <cell r="Q797">
            <v>44353</v>
          </cell>
          <cell r="R797">
            <v>44353</v>
          </cell>
          <cell r="S797"/>
          <cell r="T797">
            <v>44355</v>
          </cell>
          <cell r="U797">
            <v>44356</v>
          </cell>
          <cell r="V797">
            <v>44356</v>
          </cell>
          <cell r="W797">
            <v>44356</v>
          </cell>
          <cell r="X797">
            <v>41100329</v>
          </cell>
        </row>
        <row r="798">
          <cell r="K798" t="str">
            <v>GBWS-1231</v>
          </cell>
          <cell r="L798">
            <v>44333</v>
          </cell>
          <cell r="M798">
            <v>44334</v>
          </cell>
          <cell r="N798">
            <v>44353</v>
          </cell>
          <cell r="O798">
            <v>44334</v>
          </cell>
          <cell r="P798">
            <v>44353</v>
          </cell>
          <cell r="Q798">
            <v>44353</v>
          </cell>
          <cell r="R798">
            <v>44353</v>
          </cell>
          <cell r="S798"/>
          <cell r="T798">
            <v>44355</v>
          </cell>
          <cell r="U798">
            <v>44356</v>
          </cell>
          <cell r="V798">
            <v>44356</v>
          </cell>
          <cell r="W798">
            <v>44356</v>
          </cell>
          <cell r="X798">
            <v>41100329</v>
          </cell>
        </row>
        <row r="799">
          <cell r="K799" t="str">
            <v>GBWS-1232</v>
          </cell>
          <cell r="L799">
            <v>44333</v>
          </cell>
          <cell r="M799">
            <v>44334</v>
          </cell>
          <cell r="N799">
            <v>44353</v>
          </cell>
          <cell r="O799">
            <v>44334</v>
          </cell>
          <cell r="P799">
            <v>44353</v>
          </cell>
          <cell r="Q799">
            <v>44353</v>
          </cell>
          <cell r="R799">
            <v>44353</v>
          </cell>
          <cell r="S799"/>
          <cell r="T799">
            <v>44355</v>
          </cell>
          <cell r="U799">
            <v>44356</v>
          </cell>
          <cell r="V799">
            <v>44356</v>
          </cell>
          <cell r="W799">
            <v>44357</v>
          </cell>
          <cell r="X799">
            <v>41100329</v>
          </cell>
        </row>
        <row r="800">
          <cell r="K800" t="str">
            <v>GBWS-1233</v>
          </cell>
          <cell r="L800">
            <v>44333</v>
          </cell>
          <cell r="M800">
            <v>44334</v>
          </cell>
          <cell r="N800">
            <v>44353</v>
          </cell>
          <cell r="O800">
            <v>44334</v>
          </cell>
          <cell r="P800">
            <v>44353</v>
          </cell>
          <cell r="Q800">
            <v>44353</v>
          </cell>
          <cell r="R800">
            <v>44353</v>
          </cell>
          <cell r="S800"/>
          <cell r="T800">
            <v>44355</v>
          </cell>
          <cell r="U800">
            <v>44356</v>
          </cell>
          <cell r="V800">
            <v>44356</v>
          </cell>
          <cell r="W800">
            <v>44357</v>
          </cell>
          <cell r="X800">
            <v>41100329</v>
          </cell>
        </row>
        <row r="801">
          <cell r="K801" t="str">
            <v>GBWS-1139</v>
          </cell>
          <cell r="L801">
            <v>44306</v>
          </cell>
          <cell r="M801">
            <v>44307</v>
          </cell>
          <cell r="N801">
            <v>44322</v>
          </cell>
          <cell r="O801">
            <v>44307</v>
          </cell>
          <cell r="P801">
            <v>44322</v>
          </cell>
          <cell r="Q801"/>
          <cell r="R801"/>
          <cell r="S801"/>
          <cell r="T801">
            <v>44324</v>
          </cell>
          <cell r="U801">
            <v>44357</v>
          </cell>
          <cell r="V801">
            <v>44357</v>
          </cell>
          <cell r="W801">
            <v>44358</v>
          </cell>
          <cell r="X801">
            <v>41100334</v>
          </cell>
        </row>
        <row r="802">
          <cell r="K802" t="str">
            <v>GBWS-1234</v>
          </cell>
          <cell r="L802">
            <v>44335</v>
          </cell>
          <cell r="M802">
            <v>44336</v>
          </cell>
          <cell r="N802">
            <v>44356</v>
          </cell>
          <cell r="O802">
            <v>44336</v>
          </cell>
          <cell r="P802">
            <v>44355</v>
          </cell>
          <cell r="Q802" t="str">
            <v>6/7 → 6/8</v>
          </cell>
          <cell r="R802" t="str">
            <v>6/7 → 6/8</v>
          </cell>
          <cell r="S802"/>
          <cell r="T802">
            <v>44357</v>
          </cell>
          <cell r="U802">
            <v>44358</v>
          </cell>
          <cell r="V802">
            <v>44361</v>
          </cell>
          <cell r="W802">
            <v>44361</v>
          </cell>
          <cell r="X802">
            <v>41100264</v>
          </cell>
        </row>
        <row r="803">
          <cell r="K803" t="str">
            <v>GBWS-1235</v>
          </cell>
          <cell r="L803">
            <v>44335</v>
          </cell>
          <cell r="M803">
            <v>44336</v>
          </cell>
          <cell r="N803">
            <v>44356</v>
          </cell>
          <cell r="O803">
            <v>44336</v>
          </cell>
          <cell r="P803">
            <v>44355</v>
          </cell>
          <cell r="Q803" t="str">
            <v>6/7 → 6/8</v>
          </cell>
          <cell r="R803" t="str">
            <v>6/7 → 6/8</v>
          </cell>
          <cell r="S803"/>
          <cell r="T803">
            <v>44357</v>
          </cell>
          <cell r="U803">
            <v>44358</v>
          </cell>
          <cell r="V803">
            <v>44361</v>
          </cell>
          <cell r="W803">
            <v>44361</v>
          </cell>
          <cell r="X803">
            <v>41100264</v>
          </cell>
        </row>
        <row r="804">
          <cell r="K804" t="str">
            <v>SOS-0239</v>
          </cell>
          <cell r="L804"/>
          <cell r="M804">
            <v>44347</v>
          </cell>
          <cell r="N804">
            <v>44349</v>
          </cell>
          <cell r="O804">
            <v>44347</v>
          </cell>
          <cell r="P804">
            <v>44349</v>
          </cell>
          <cell r="Q804"/>
          <cell r="R804"/>
          <cell r="S804"/>
          <cell r="T804">
            <v>44351</v>
          </cell>
          <cell r="U804">
            <v>44351</v>
          </cell>
          <cell r="V804">
            <v>44354</v>
          </cell>
          <cell r="W804">
            <v>44354</v>
          </cell>
          <cell r="X804">
            <v>41100182</v>
          </cell>
        </row>
        <row r="805">
          <cell r="K805" t="str">
            <v xml:space="preserve"> -</v>
          </cell>
          <cell r="L805" t="str">
            <v xml:space="preserve"> -</v>
          </cell>
          <cell r="M805">
            <v>44341</v>
          </cell>
          <cell r="N805">
            <v>44349</v>
          </cell>
          <cell r="O805">
            <v>44341</v>
          </cell>
          <cell r="P805" t="str">
            <v>2021-06-03</v>
          </cell>
          <cell r="Q805">
            <v>44349</v>
          </cell>
          <cell r="R805">
            <v>44349</v>
          </cell>
          <cell r="S805"/>
          <cell r="T805" t="str">
            <v xml:space="preserve"> -</v>
          </cell>
          <cell r="U805" t="str">
            <v xml:space="preserve"> -</v>
          </cell>
          <cell r="V805">
            <v>44350</v>
          </cell>
          <cell r="W805">
            <v>44350</v>
          </cell>
          <cell r="X805">
            <v>31101043</v>
          </cell>
        </row>
        <row r="806">
          <cell r="K806" t="str">
            <v xml:space="preserve"> -</v>
          </cell>
          <cell r="L806" t="str">
            <v xml:space="preserve"> -</v>
          </cell>
          <cell r="M806">
            <v>44341</v>
          </cell>
          <cell r="N806">
            <v>44349</v>
          </cell>
          <cell r="O806">
            <v>44341</v>
          </cell>
          <cell r="P806" t="str">
            <v>2021-06-03</v>
          </cell>
          <cell r="Q806">
            <v>44349</v>
          </cell>
          <cell r="R806">
            <v>44349</v>
          </cell>
          <cell r="S806"/>
          <cell r="T806" t="str">
            <v xml:space="preserve"> -</v>
          </cell>
          <cell r="U806" t="str">
            <v xml:space="preserve"> -</v>
          </cell>
          <cell r="V806">
            <v>44350</v>
          </cell>
          <cell r="W806">
            <v>44350</v>
          </cell>
          <cell r="X806">
            <v>31101042</v>
          </cell>
        </row>
        <row r="807">
          <cell r="K807" t="str">
            <v xml:space="preserve"> -</v>
          </cell>
          <cell r="L807" t="str">
            <v xml:space="preserve"> -</v>
          </cell>
          <cell r="M807">
            <v>44341</v>
          </cell>
          <cell r="N807">
            <v>44349</v>
          </cell>
          <cell r="O807">
            <v>44341</v>
          </cell>
          <cell r="P807" t="str">
            <v>2021-06-03</v>
          </cell>
          <cell r="Q807">
            <v>44349</v>
          </cell>
          <cell r="R807">
            <v>44349</v>
          </cell>
          <cell r="S807"/>
          <cell r="T807" t="str">
            <v xml:space="preserve"> -</v>
          </cell>
          <cell r="U807" t="str">
            <v xml:space="preserve"> -</v>
          </cell>
          <cell r="V807">
            <v>44350</v>
          </cell>
          <cell r="W807">
            <v>44350</v>
          </cell>
          <cell r="X807">
            <v>31101039</v>
          </cell>
        </row>
        <row r="808">
          <cell r="K808" t="str">
            <v xml:space="preserve"> -</v>
          </cell>
          <cell r="L808" t="str">
            <v xml:space="preserve"> -</v>
          </cell>
          <cell r="M808">
            <v>44341</v>
          </cell>
          <cell r="N808">
            <v>44349</v>
          </cell>
          <cell r="O808">
            <v>44341</v>
          </cell>
          <cell r="P808" t="str">
            <v>2021-06-03</v>
          </cell>
          <cell r="Q808">
            <v>44349</v>
          </cell>
          <cell r="R808">
            <v>44349</v>
          </cell>
          <cell r="S808"/>
          <cell r="T808" t="str">
            <v xml:space="preserve"> -</v>
          </cell>
          <cell r="U808" t="str">
            <v xml:space="preserve"> -</v>
          </cell>
          <cell r="V808">
            <v>44350</v>
          </cell>
          <cell r="W808">
            <v>44350</v>
          </cell>
          <cell r="X808">
            <v>31101040</v>
          </cell>
        </row>
        <row r="809">
          <cell r="K809" t="str">
            <v xml:space="preserve"> -</v>
          </cell>
          <cell r="L809" t="str">
            <v xml:space="preserve"> -</v>
          </cell>
          <cell r="M809">
            <v>44341</v>
          </cell>
          <cell r="N809">
            <v>44349</v>
          </cell>
          <cell r="O809">
            <v>44341</v>
          </cell>
          <cell r="P809" t="str">
            <v>2021-06-03</v>
          </cell>
          <cell r="Q809">
            <v>44349</v>
          </cell>
          <cell r="R809">
            <v>44349</v>
          </cell>
          <cell r="S809"/>
          <cell r="T809" t="str">
            <v xml:space="preserve"> -</v>
          </cell>
          <cell r="U809" t="str">
            <v xml:space="preserve"> -</v>
          </cell>
          <cell r="V809">
            <v>44350</v>
          </cell>
          <cell r="W809">
            <v>44350</v>
          </cell>
          <cell r="X809">
            <v>31101041</v>
          </cell>
        </row>
        <row r="810">
          <cell r="K810" t="str">
            <v>DBW-2198</v>
          </cell>
          <cell r="L810">
            <v>44313</v>
          </cell>
          <cell r="M810">
            <v>44314</v>
          </cell>
          <cell r="N810">
            <v>44335</v>
          </cell>
          <cell r="O810">
            <v>44314</v>
          </cell>
          <cell r="P810">
            <v>44334</v>
          </cell>
          <cell r="Q810">
            <v>44332</v>
          </cell>
          <cell r="R810">
            <v>44332</v>
          </cell>
          <cell r="S810"/>
          <cell r="T810">
            <v>44336</v>
          </cell>
          <cell r="U810">
            <v>44337</v>
          </cell>
          <cell r="V810">
            <v>44337</v>
          </cell>
          <cell r="W810">
            <v>44340</v>
          </cell>
          <cell r="X810">
            <v>41100291</v>
          </cell>
        </row>
        <row r="811">
          <cell r="K811" t="str">
            <v>GBWS-1244</v>
          </cell>
          <cell r="L811">
            <v>44336</v>
          </cell>
          <cell r="M811">
            <v>44337</v>
          </cell>
          <cell r="N811">
            <v>44356</v>
          </cell>
          <cell r="O811">
            <v>44337</v>
          </cell>
          <cell r="P811">
            <v>44355</v>
          </cell>
          <cell r="Q811">
            <v>44357</v>
          </cell>
          <cell r="R811">
            <v>44357</v>
          </cell>
          <cell r="S811"/>
          <cell r="T811">
            <v>44361</v>
          </cell>
          <cell r="U811">
            <v>44363</v>
          </cell>
          <cell r="V811">
            <v>44364</v>
          </cell>
          <cell r="W811">
            <v>44364</v>
          </cell>
          <cell r="X811">
            <v>41100313</v>
          </cell>
        </row>
        <row r="812">
          <cell r="K812" t="str">
            <v>GBWS-1245</v>
          </cell>
          <cell r="L812">
            <v>44336</v>
          </cell>
          <cell r="M812">
            <v>44337</v>
          </cell>
          <cell r="N812">
            <v>44356</v>
          </cell>
          <cell r="O812">
            <v>44337</v>
          </cell>
          <cell r="P812">
            <v>44355</v>
          </cell>
          <cell r="Q812">
            <v>44357</v>
          </cell>
          <cell r="R812">
            <v>44357</v>
          </cell>
          <cell r="S812"/>
          <cell r="T812">
            <v>44361</v>
          </cell>
          <cell r="U812">
            <v>44363</v>
          </cell>
          <cell r="V812">
            <v>44364</v>
          </cell>
          <cell r="W812">
            <v>44364</v>
          </cell>
          <cell r="X812">
            <v>41100313</v>
          </cell>
        </row>
        <row r="813">
          <cell r="K813" t="str">
            <v>GBWS-1246</v>
          </cell>
          <cell r="L813">
            <v>44336</v>
          </cell>
          <cell r="M813">
            <v>44337</v>
          </cell>
          <cell r="N813">
            <v>44357</v>
          </cell>
          <cell r="O813">
            <v>44337</v>
          </cell>
          <cell r="P813">
            <v>44355</v>
          </cell>
          <cell r="Q813">
            <v>44361</v>
          </cell>
          <cell r="R813">
            <v>44361</v>
          </cell>
          <cell r="S813"/>
          <cell r="T813">
            <v>44361</v>
          </cell>
          <cell r="U813">
            <v>44363</v>
          </cell>
          <cell r="V813">
            <v>44364</v>
          </cell>
          <cell r="W813">
            <v>44365</v>
          </cell>
          <cell r="X813">
            <v>41100314</v>
          </cell>
        </row>
        <row r="814">
          <cell r="K814" t="str">
            <v>GBWS-1247</v>
          </cell>
          <cell r="L814">
            <v>44336</v>
          </cell>
          <cell r="M814">
            <v>44337</v>
          </cell>
          <cell r="N814">
            <v>44357</v>
          </cell>
          <cell r="O814">
            <v>44337</v>
          </cell>
          <cell r="P814">
            <v>44355</v>
          </cell>
          <cell r="Q814">
            <v>44361</v>
          </cell>
          <cell r="R814">
            <v>44361</v>
          </cell>
          <cell r="S814"/>
          <cell r="T814">
            <v>44361</v>
          </cell>
          <cell r="U814">
            <v>44362</v>
          </cell>
          <cell r="V814">
            <v>44363</v>
          </cell>
          <cell r="W814">
            <v>44363</v>
          </cell>
          <cell r="X814">
            <v>41100314</v>
          </cell>
        </row>
        <row r="815">
          <cell r="K815" t="str">
            <v>GBWS-1248</v>
          </cell>
          <cell r="L815">
            <v>44336</v>
          </cell>
          <cell r="M815">
            <v>44337</v>
          </cell>
          <cell r="N815">
            <v>44357</v>
          </cell>
          <cell r="O815">
            <v>44337</v>
          </cell>
          <cell r="P815">
            <v>44355</v>
          </cell>
          <cell r="Q815">
            <v>44361</v>
          </cell>
          <cell r="R815">
            <v>44361</v>
          </cell>
          <cell r="S815"/>
          <cell r="T815">
            <v>44361</v>
          </cell>
          <cell r="U815">
            <v>44363</v>
          </cell>
          <cell r="V815">
            <v>44364</v>
          </cell>
          <cell r="W815">
            <v>44364</v>
          </cell>
          <cell r="X815">
            <v>41100314</v>
          </cell>
        </row>
        <row r="816">
          <cell r="K816" t="str">
            <v>GBWS-1249</v>
          </cell>
          <cell r="L816">
            <v>44336</v>
          </cell>
          <cell r="M816">
            <v>44337</v>
          </cell>
          <cell r="N816">
            <v>44357</v>
          </cell>
          <cell r="O816">
            <v>44337</v>
          </cell>
          <cell r="P816">
            <v>44355</v>
          </cell>
          <cell r="Q816">
            <v>44361</v>
          </cell>
          <cell r="R816">
            <v>44361</v>
          </cell>
          <cell r="S816"/>
          <cell r="T816">
            <v>44361</v>
          </cell>
          <cell r="U816">
            <v>44362</v>
          </cell>
          <cell r="V816">
            <v>44363</v>
          </cell>
          <cell r="W816">
            <v>44363</v>
          </cell>
          <cell r="X816">
            <v>41100314</v>
          </cell>
        </row>
        <row r="817">
          <cell r="K817" t="str">
            <v>GBWS-1250</v>
          </cell>
          <cell r="L817">
            <v>44336</v>
          </cell>
          <cell r="M817">
            <v>44337</v>
          </cell>
          <cell r="N817">
            <v>44357</v>
          </cell>
          <cell r="O817">
            <v>44337</v>
          </cell>
          <cell r="P817">
            <v>44355</v>
          </cell>
          <cell r="Q817">
            <v>44361</v>
          </cell>
          <cell r="R817">
            <v>44361</v>
          </cell>
          <cell r="S817"/>
          <cell r="T817">
            <v>44361</v>
          </cell>
          <cell r="U817">
            <v>44362</v>
          </cell>
          <cell r="V817">
            <v>44363</v>
          </cell>
          <cell r="W817">
            <v>44363</v>
          </cell>
          <cell r="X817">
            <v>41100314</v>
          </cell>
        </row>
        <row r="818">
          <cell r="K818" t="str">
            <v>GBWS-1143</v>
          </cell>
          <cell r="L818">
            <v>44307</v>
          </cell>
          <cell r="M818">
            <v>44308</v>
          </cell>
          <cell r="N818">
            <v>44327</v>
          </cell>
          <cell r="O818">
            <v>44308</v>
          </cell>
          <cell r="P818">
            <v>44326</v>
          </cell>
          <cell r="Q818"/>
          <cell r="R818"/>
          <cell r="S818"/>
          <cell r="T818">
            <v>44329</v>
          </cell>
          <cell r="U818">
            <v>44340</v>
          </cell>
          <cell r="V818">
            <v>44340</v>
          </cell>
          <cell r="W818">
            <v>44341</v>
          </cell>
          <cell r="X818">
            <v>41100317</v>
          </cell>
        </row>
        <row r="819">
          <cell r="K819" t="str">
            <v>GBWS-1236</v>
          </cell>
          <cell r="L819">
            <v>44335</v>
          </cell>
          <cell r="M819">
            <v>44336</v>
          </cell>
          <cell r="N819">
            <v>44360</v>
          </cell>
          <cell r="O819">
            <v>44336</v>
          </cell>
          <cell r="P819">
            <v>44361</v>
          </cell>
          <cell r="Q819" t="str">
            <v>6/10 → 6/11 → 6/13</v>
          </cell>
          <cell r="R819" t="str">
            <v>6/10 → 6/11 → 6/13</v>
          </cell>
          <cell r="S819"/>
          <cell r="T819">
            <v>44362</v>
          </cell>
          <cell r="U819">
            <v>44364</v>
          </cell>
          <cell r="V819">
            <v>44365</v>
          </cell>
          <cell r="W819">
            <v>44365</v>
          </cell>
          <cell r="X819">
            <v>41100223</v>
          </cell>
        </row>
        <row r="820">
          <cell r="K820" t="str">
            <v>GBWS-1237</v>
          </cell>
          <cell r="L820">
            <v>44335</v>
          </cell>
          <cell r="M820">
            <v>44336</v>
          </cell>
          <cell r="N820">
            <v>44360</v>
          </cell>
          <cell r="O820">
            <v>44336</v>
          </cell>
          <cell r="P820">
            <v>44361</v>
          </cell>
          <cell r="Q820" t="str">
            <v>6/10 → 6/11 → 6/13</v>
          </cell>
          <cell r="R820" t="str">
            <v>6/10 → 6/11 → 6/13</v>
          </cell>
          <cell r="S820"/>
          <cell r="T820">
            <v>44362</v>
          </cell>
          <cell r="U820">
            <v>44364</v>
          </cell>
          <cell r="V820">
            <v>44365</v>
          </cell>
          <cell r="W820">
            <v>44365</v>
          </cell>
          <cell r="X820">
            <v>41100223</v>
          </cell>
        </row>
        <row r="821">
          <cell r="K821" t="str">
            <v>DBW-2253</v>
          </cell>
          <cell r="L821">
            <v>44340</v>
          </cell>
          <cell r="M821">
            <v>44342</v>
          </cell>
          <cell r="N821">
            <v>44357</v>
          </cell>
          <cell r="O821">
            <v>44342</v>
          </cell>
          <cell r="P821">
            <v>44356</v>
          </cell>
          <cell r="Q821">
            <v>44355</v>
          </cell>
          <cell r="R821">
            <v>44355</v>
          </cell>
          <cell r="S821"/>
          <cell r="T821">
            <v>44358</v>
          </cell>
          <cell r="U821">
            <v>44365</v>
          </cell>
          <cell r="V821">
            <v>44368</v>
          </cell>
          <cell r="W821">
            <v>44368</v>
          </cell>
          <cell r="X821">
            <v>41100310</v>
          </cell>
        </row>
        <row r="822">
          <cell r="K822" t="str">
            <v>GBWS-1149</v>
          </cell>
          <cell r="L822">
            <v>44311</v>
          </cell>
          <cell r="M822">
            <v>44312</v>
          </cell>
          <cell r="N822">
            <v>44328</v>
          </cell>
          <cell r="O822">
            <v>44312</v>
          </cell>
          <cell r="P822">
            <v>44327</v>
          </cell>
          <cell r="Q822"/>
          <cell r="R822"/>
          <cell r="S822"/>
          <cell r="T822">
            <v>44335</v>
          </cell>
          <cell r="U822">
            <v>44340</v>
          </cell>
          <cell r="V822">
            <v>44340</v>
          </cell>
          <cell r="W822">
            <v>44341</v>
          </cell>
          <cell r="X822">
            <v>41100168</v>
          </cell>
        </row>
        <row r="823">
          <cell r="K823" t="str">
            <v>GBWS-1150</v>
          </cell>
          <cell r="L823">
            <v>44311</v>
          </cell>
          <cell r="M823">
            <v>44312</v>
          </cell>
          <cell r="N823">
            <v>44328</v>
          </cell>
          <cell r="O823">
            <v>44312</v>
          </cell>
          <cell r="P823">
            <v>44327</v>
          </cell>
          <cell r="Q823"/>
          <cell r="R823"/>
          <cell r="S823"/>
          <cell r="T823">
            <v>44333</v>
          </cell>
          <cell r="U823">
            <v>44340</v>
          </cell>
          <cell r="V823">
            <v>44340</v>
          </cell>
          <cell r="W823">
            <v>44341</v>
          </cell>
          <cell r="X823">
            <v>41100168</v>
          </cell>
        </row>
        <row r="824">
          <cell r="K824" t="str">
            <v>GBWS-1291</v>
          </cell>
          <cell r="L824">
            <v>44349</v>
          </cell>
          <cell r="M824">
            <v>44350</v>
          </cell>
          <cell r="N824">
            <v>44364</v>
          </cell>
          <cell r="O824">
            <v>44350</v>
          </cell>
          <cell r="P824">
            <v>44364</v>
          </cell>
          <cell r="Q824" t="str">
            <v>6/15 / 6/16 오전</v>
          </cell>
          <cell r="R824" t="str">
            <v>6/15 / 6/16 오전</v>
          </cell>
          <cell r="S824"/>
          <cell r="T824">
            <v>44365</v>
          </cell>
          <cell r="U824">
            <v>44368</v>
          </cell>
          <cell r="V824">
            <v>44369</v>
          </cell>
          <cell r="W824">
            <v>44369</v>
          </cell>
          <cell r="X824">
            <v>41100168</v>
          </cell>
        </row>
        <row r="825">
          <cell r="K825" t="str">
            <v>GBWS-1292</v>
          </cell>
          <cell r="L825">
            <v>44349</v>
          </cell>
          <cell r="M825">
            <v>44350</v>
          </cell>
          <cell r="N825">
            <v>44364</v>
          </cell>
          <cell r="O825">
            <v>44350</v>
          </cell>
          <cell r="P825">
            <v>44364</v>
          </cell>
          <cell r="Q825" t="str">
            <v>6/15 / 6/16 오전</v>
          </cell>
          <cell r="R825" t="str">
            <v>6/15 / 6/16 오전</v>
          </cell>
          <cell r="S825"/>
          <cell r="T825">
            <v>44365</v>
          </cell>
          <cell r="U825">
            <v>44368</v>
          </cell>
          <cell r="V825">
            <v>44369</v>
          </cell>
          <cell r="W825">
            <v>44369</v>
          </cell>
          <cell r="X825">
            <v>41100168</v>
          </cell>
        </row>
        <row r="826">
          <cell r="K826" t="str">
            <v>GBWS-1293</v>
          </cell>
          <cell r="L826">
            <v>44349</v>
          </cell>
          <cell r="M826">
            <v>44350</v>
          </cell>
          <cell r="N826">
            <v>44364</v>
          </cell>
          <cell r="O826">
            <v>44350</v>
          </cell>
          <cell r="P826">
            <v>44364</v>
          </cell>
          <cell r="Q826" t="str">
            <v>6/15 / 6/16 오전</v>
          </cell>
          <cell r="R826" t="str">
            <v>6/15 / 6/16 오전</v>
          </cell>
          <cell r="S826"/>
          <cell r="T826">
            <v>44365</v>
          </cell>
          <cell r="U826">
            <v>44368</v>
          </cell>
          <cell r="V826">
            <v>44369</v>
          </cell>
          <cell r="W826">
            <v>44369</v>
          </cell>
          <cell r="X826">
            <v>41100168</v>
          </cell>
        </row>
        <row r="827">
          <cell r="K827" t="str">
            <v>GBWS-1294</v>
          </cell>
          <cell r="L827">
            <v>44349</v>
          </cell>
          <cell r="M827">
            <v>44350</v>
          </cell>
          <cell r="N827">
            <v>44364</v>
          </cell>
          <cell r="O827">
            <v>44350</v>
          </cell>
          <cell r="P827">
            <v>44364</v>
          </cell>
          <cell r="Q827" t="str">
            <v>6/15 / 6/16 오전</v>
          </cell>
          <cell r="R827" t="str">
            <v>6/15 / 6/16 오전</v>
          </cell>
          <cell r="S827"/>
          <cell r="T827">
            <v>44365</v>
          </cell>
          <cell r="U827">
            <v>44368</v>
          </cell>
          <cell r="V827">
            <v>44369</v>
          </cell>
          <cell r="W827">
            <v>44369</v>
          </cell>
          <cell r="X827">
            <v>41100168</v>
          </cell>
        </row>
        <row r="828">
          <cell r="K828" t="str">
            <v>GBWS-1269</v>
          </cell>
          <cell r="L828">
            <v>44345</v>
          </cell>
          <cell r="M828">
            <v>44347</v>
          </cell>
          <cell r="N828">
            <v>44362</v>
          </cell>
          <cell r="O828">
            <v>44347</v>
          </cell>
          <cell r="P828">
            <v>44362</v>
          </cell>
          <cell r="Q828">
            <v>44362</v>
          </cell>
          <cell r="R828">
            <v>44362</v>
          </cell>
          <cell r="S828"/>
          <cell r="T828">
            <v>44363</v>
          </cell>
          <cell r="U828">
            <v>44364</v>
          </cell>
          <cell r="V828">
            <v>44365</v>
          </cell>
          <cell r="W828">
            <v>44365</v>
          </cell>
          <cell r="X828">
            <v>41100329</v>
          </cell>
        </row>
        <row r="829">
          <cell r="K829" t="str">
            <v>GBWS-1270</v>
          </cell>
          <cell r="L829">
            <v>44345</v>
          </cell>
          <cell r="M829">
            <v>44347</v>
          </cell>
          <cell r="N829">
            <v>44362</v>
          </cell>
          <cell r="O829">
            <v>44347</v>
          </cell>
          <cell r="P829">
            <v>44362</v>
          </cell>
          <cell r="Q829">
            <v>44362</v>
          </cell>
          <cell r="R829">
            <v>44362</v>
          </cell>
          <cell r="S829"/>
          <cell r="T829">
            <v>44363</v>
          </cell>
          <cell r="U829">
            <v>44365</v>
          </cell>
          <cell r="V829">
            <v>44368</v>
          </cell>
          <cell r="W829">
            <v>44368</v>
          </cell>
          <cell r="X829">
            <v>41100329</v>
          </cell>
        </row>
        <row r="830">
          <cell r="K830" t="str">
            <v>GBWS-1271</v>
          </cell>
          <cell r="L830">
            <v>44345</v>
          </cell>
          <cell r="M830">
            <v>44347</v>
          </cell>
          <cell r="N830">
            <v>44362</v>
          </cell>
          <cell r="O830">
            <v>44347</v>
          </cell>
          <cell r="P830">
            <v>44362</v>
          </cell>
          <cell r="Q830">
            <v>44362</v>
          </cell>
          <cell r="R830">
            <v>44362</v>
          </cell>
          <cell r="S830"/>
          <cell r="T830">
            <v>44363</v>
          </cell>
          <cell r="U830">
            <v>44364</v>
          </cell>
          <cell r="V830">
            <v>44365</v>
          </cell>
          <cell r="W830">
            <v>44365</v>
          </cell>
          <cell r="X830">
            <v>41100329</v>
          </cell>
        </row>
        <row r="831">
          <cell r="K831" t="str">
            <v>GBWS-1272</v>
          </cell>
          <cell r="L831">
            <v>44345</v>
          </cell>
          <cell r="M831">
            <v>44347</v>
          </cell>
          <cell r="N831">
            <v>44362</v>
          </cell>
          <cell r="O831">
            <v>44347</v>
          </cell>
          <cell r="P831">
            <v>44362</v>
          </cell>
          <cell r="Q831">
            <v>44362</v>
          </cell>
          <cell r="R831">
            <v>44362</v>
          </cell>
          <cell r="S831"/>
          <cell r="T831">
            <v>44363</v>
          </cell>
          <cell r="U831">
            <v>44368</v>
          </cell>
          <cell r="V831">
            <v>44369</v>
          </cell>
          <cell r="W831">
            <v>44369</v>
          </cell>
          <cell r="X831">
            <v>41100329</v>
          </cell>
        </row>
        <row r="832">
          <cell r="K832" t="str">
            <v>GBWS-1273</v>
          </cell>
          <cell r="L832">
            <v>44345</v>
          </cell>
          <cell r="M832">
            <v>44347</v>
          </cell>
          <cell r="N832">
            <v>44362</v>
          </cell>
          <cell r="O832">
            <v>44347</v>
          </cell>
          <cell r="P832">
            <v>44362</v>
          </cell>
          <cell r="Q832">
            <v>44362</v>
          </cell>
          <cell r="R832">
            <v>44362</v>
          </cell>
          <cell r="S832"/>
          <cell r="T832">
            <v>44363</v>
          </cell>
          <cell r="U832">
            <v>44364</v>
          </cell>
          <cell r="V832">
            <v>44365</v>
          </cell>
          <cell r="W832">
            <v>44365</v>
          </cell>
          <cell r="X832">
            <v>41100330</v>
          </cell>
        </row>
        <row r="833">
          <cell r="K833" t="str">
            <v>GBWS-1274</v>
          </cell>
          <cell r="L833">
            <v>44345</v>
          </cell>
          <cell r="M833">
            <v>44347</v>
          </cell>
          <cell r="N833">
            <v>44363</v>
          </cell>
          <cell r="O833">
            <v>44347</v>
          </cell>
          <cell r="P833">
            <v>44363</v>
          </cell>
          <cell r="Q833">
            <v>44363</v>
          </cell>
          <cell r="R833">
            <v>44363</v>
          </cell>
          <cell r="S833"/>
          <cell r="T833">
            <v>44364</v>
          </cell>
          <cell r="U833">
            <v>44368</v>
          </cell>
          <cell r="V833">
            <v>44369</v>
          </cell>
          <cell r="W833">
            <v>44369</v>
          </cell>
          <cell r="X833">
            <v>41100331</v>
          </cell>
        </row>
        <row r="834">
          <cell r="K834" t="str">
            <v>GBWS-1275</v>
          </cell>
          <cell r="L834">
            <v>44345</v>
          </cell>
          <cell r="M834">
            <v>44347</v>
          </cell>
          <cell r="N834">
            <v>44363</v>
          </cell>
          <cell r="O834">
            <v>44347</v>
          </cell>
          <cell r="P834">
            <v>44363</v>
          </cell>
          <cell r="Q834">
            <v>44363</v>
          </cell>
          <cell r="R834">
            <v>44363</v>
          </cell>
          <cell r="S834"/>
          <cell r="T834">
            <v>44364</v>
          </cell>
          <cell r="U834">
            <v>44368</v>
          </cell>
          <cell r="V834">
            <v>44369</v>
          </cell>
          <cell r="W834">
            <v>44369</v>
          </cell>
          <cell r="X834">
            <v>41100331</v>
          </cell>
        </row>
        <row r="835">
          <cell r="K835" t="str">
            <v xml:space="preserve">GBWS-1276 </v>
          </cell>
          <cell r="L835">
            <v>44345</v>
          </cell>
          <cell r="M835">
            <v>44347</v>
          </cell>
          <cell r="N835">
            <v>44363</v>
          </cell>
          <cell r="O835">
            <v>44347</v>
          </cell>
          <cell r="P835">
            <v>44363</v>
          </cell>
          <cell r="Q835">
            <v>44363</v>
          </cell>
          <cell r="R835">
            <v>44363</v>
          </cell>
          <cell r="S835"/>
          <cell r="T835">
            <v>44364</v>
          </cell>
          <cell r="U835">
            <v>44365</v>
          </cell>
          <cell r="V835">
            <v>44368</v>
          </cell>
          <cell r="W835">
            <v>44369</v>
          </cell>
          <cell r="X835">
            <v>41100315</v>
          </cell>
        </row>
        <row r="836">
          <cell r="K836" t="str">
            <v>GBWS-1277</v>
          </cell>
          <cell r="L836">
            <v>44345</v>
          </cell>
          <cell r="M836">
            <v>44347</v>
          </cell>
          <cell r="N836">
            <v>44363</v>
          </cell>
          <cell r="O836">
            <v>44347</v>
          </cell>
          <cell r="P836">
            <v>44363</v>
          </cell>
          <cell r="Q836">
            <v>44363</v>
          </cell>
          <cell r="R836">
            <v>44363</v>
          </cell>
          <cell r="S836"/>
          <cell r="T836">
            <v>44364</v>
          </cell>
          <cell r="U836">
            <v>44368</v>
          </cell>
          <cell r="V836">
            <v>44369</v>
          </cell>
          <cell r="W836">
            <v>44369</v>
          </cell>
          <cell r="X836">
            <v>41100315</v>
          </cell>
        </row>
        <row r="837">
          <cell r="K837" t="str">
            <v>GBWS-1278</v>
          </cell>
          <cell r="L837">
            <v>44345</v>
          </cell>
          <cell r="M837">
            <v>44347</v>
          </cell>
          <cell r="N837">
            <v>44363</v>
          </cell>
          <cell r="O837">
            <v>44347</v>
          </cell>
          <cell r="P837">
            <v>44363</v>
          </cell>
          <cell r="Q837">
            <v>44363</v>
          </cell>
          <cell r="R837">
            <v>44363</v>
          </cell>
          <cell r="S837"/>
          <cell r="T837">
            <v>44364</v>
          </cell>
          <cell r="U837">
            <v>44365</v>
          </cell>
          <cell r="V837">
            <v>44368</v>
          </cell>
          <cell r="W837">
            <v>44369</v>
          </cell>
          <cell r="X837">
            <v>41100315</v>
          </cell>
        </row>
        <row r="838">
          <cell r="K838" t="str">
            <v>GBWS-1279</v>
          </cell>
          <cell r="L838">
            <v>44345</v>
          </cell>
          <cell r="M838">
            <v>44347</v>
          </cell>
          <cell r="N838">
            <v>44363</v>
          </cell>
          <cell r="O838">
            <v>44347</v>
          </cell>
          <cell r="P838">
            <v>44363</v>
          </cell>
          <cell r="Q838">
            <v>44363</v>
          </cell>
          <cell r="R838">
            <v>44363</v>
          </cell>
          <cell r="S838"/>
          <cell r="T838">
            <v>44364</v>
          </cell>
          <cell r="U838">
            <v>44365</v>
          </cell>
          <cell r="V838">
            <v>44368</v>
          </cell>
          <cell r="W838">
            <v>44369</v>
          </cell>
          <cell r="X838">
            <v>41100315</v>
          </cell>
        </row>
        <row r="839">
          <cell r="K839" t="str">
            <v>GBWS-1297</v>
          </cell>
          <cell r="L839">
            <v>44350</v>
          </cell>
          <cell r="M839">
            <v>44351</v>
          </cell>
          <cell r="N839">
            <v>44363</v>
          </cell>
          <cell r="O839">
            <v>44351</v>
          </cell>
          <cell r="P839">
            <v>44363</v>
          </cell>
          <cell r="Q839">
            <v>44363</v>
          </cell>
          <cell r="R839">
            <v>44363</v>
          </cell>
          <cell r="S839"/>
          <cell r="T839">
            <v>44368</v>
          </cell>
          <cell r="U839">
            <v>44368</v>
          </cell>
          <cell r="V839">
            <v>44369</v>
          </cell>
          <cell r="W839">
            <v>44369</v>
          </cell>
          <cell r="X839">
            <v>41100347</v>
          </cell>
        </row>
        <row r="840">
          <cell r="K840" t="str">
            <v>GBWS-1298</v>
          </cell>
          <cell r="L840">
            <v>44350</v>
          </cell>
          <cell r="M840">
            <v>44351</v>
          </cell>
          <cell r="N840">
            <v>44363</v>
          </cell>
          <cell r="O840">
            <v>44351</v>
          </cell>
          <cell r="P840">
            <v>44363</v>
          </cell>
          <cell r="Q840">
            <v>44363</v>
          </cell>
          <cell r="R840">
            <v>44363</v>
          </cell>
          <cell r="S840"/>
          <cell r="T840">
            <v>44368</v>
          </cell>
          <cell r="U840">
            <v>44368</v>
          </cell>
          <cell r="V840">
            <v>44369</v>
          </cell>
          <cell r="W840">
            <v>44369</v>
          </cell>
          <cell r="X840">
            <v>41100347</v>
          </cell>
        </row>
        <row r="841">
          <cell r="K841" t="str">
            <v>GBWS-1299</v>
          </cell>
          <cell r="L841">
            <v>44350</v>
          </cell>
          <cell r="M841">
            <v>44351</v>
          </cell>
          <cell r="N841">
            <v>44363</v>
          </cell>
          <cell r="O841">
            <v>44351</v>
          </cell>
          <cell r="P841">
            <v>44363</v>
          </cell>
          <cell r="Q841">
            <v>44363</v>
          </cell>
          <cell r="R841">
            <v>44363</v>
          </cell>
          <cell r="S841"/>
          <cell r="T841">
            <v>44368</v>
          </cell>
          <cell r="U841">
            <v>44368</v>
          </cell>
          <cell r="V841">
            <v>44369</v>
          </cell>
          <cell r="W841">
            <v>44369</v>
          </cell>
          <cell r="X841">
            <v>41100311</v>
          </cell>
        </row>
        <row r="842">
          <cell r="K842" t="str">
            <v>GBWS-1221</v>
          </cell>
          <cell r="L842">
            <v>44333</v>
          </cell>
          <cell r="M842">
            <v>44333</v>
          </cell>
          <cell r="N842">
            <v>44357</v>
          </cell>
          <cell r="O842">
            <v>44333</v>
          </cell>
          <cell r="P842">
            <v>44357</v>
          </cell>
          <cell r="Q842">
            <v>44357</v>
          </cell>
          <cell r="R842">
            <v>44357</v>
          </cell>
          <cell r="S842"/>
          <cell r="T842">
            <v>44358</v>
          </cell>
          <cell r="U842">
            <v>44362</v>
          </cell>
          <cell r="V842">
            <v>44363</v>
          </cell>
          <cell r="W842">
            <v>44363</v>
          </cell>
          <cell r="X842">
            <v>41100287</v>
          </cell>
        </row>
        <row r="843">
          <cell r="K843" t="str">
            <v>GBWS-1223</v>
          </cell>
          <cell r="L843">
            <v>44333</v>
          </cell>
          <cell r="M843">
            <v>44333</v>
          </cell>
          <cell r="N843">
            <v>44357</v>
          </cell>
          <cell r="O843">
            <v>44333</v>
          </cell>
          <cell r="P843">
            <v>44357</v>
          </cell>
          <cell r="Q843">
            <v>44358</v>
          </cell>
          <cell r="R843">
            <v>44358</v>
          </cell>
          <cell r="S843"/>
          <cell r="T843">
            <v>44358</v>
          </cell>
          <cell r="U843">
            <v>44362</v>
          </cell>
          <cell r="V843">
            <v>44363</v>
          </cell>
          <cell r="W843">
            <v>44363</v>
          </cell>
          <cell r="X843">
            <v>41100287</v>
          </cell>
        </row>
        <row r="844">
          <cell r="K844" t="str">
            <v>DBW-2272</v>
          </cell>
          <cell r="L844">
            <v>44351</v>
          </cell>
          <cell r="M844">
            <v>44354</v>
          </cell>
          <cell r="N844">
            <v>44365</v>
          </cell>
          <cell r="O844">
            <v>44354</v>
          </cell>
          <cell r="P844">
            <v>44365</v>
          </cell>
          <cell r="Q844">
            <v>44367</v>
          </cell>
          <cell r="R844">
            <v>44367</v>
          </cell>
          <cell r="S844"/>
          <cell r="T844">
            <v>44368</v>
          </cell>
          <cell r="U844">
            <v>44369</v>
          </cell>
          <cell r="V844">
            <v>44370</v>
          </cell>
          <cell r="W844">
            <v>44370</v>
          </cell>
          <cell r="X844">
            <v>41100169</v>
          </cell>
        </row>
        <row r="845">
          <cell r="K845" t="str">
            <v>DBW-2277</v>
          </cell>
          <cell r="L845">
            <v>44351</v>
          </cell>
          <cell r="M845">
            <v>44354</v>
          </cell>
          <cell r="N845">
            <v>44367</v>
          </cell>
          <cell r="O845">
            <v>44354</v>
          </cell>
          <cell r="P845">
            <v>44365</v>
          </cell>
          <cell r="Q845">
            <v>44367</v>
          </cell>
          <cell r="R845">
            <v>44367</v>
          </cell>
          <cell r="S845"/>
          <cell r="T845">
            <v>44368</v>
          </cell>
          <cell r="U845">
            <v>44369</v>
          </cell>
          <cell r="V845">
            <v>44370</v>
          </cell>
          <cell r="W845">
            <v>44370</v>
          </cell>
          <cell r="X845">
            <v>41100255</v>
          </cell>
        </row>
        <row r="846">
          <cell r="K846" t="str">
            <v>DBW-2278</v>
          </cell>
          <cell r="L846">
            <v>44351</v>
          </cell>
          <cell r="M846">
            <v>44354</v>
          </cell>
          <cell r="N846">
            <v>44367</v>
          </cell>
          <cell r="O846">
            <v>44354</v>
          </cell>
          <cell r="P846">
            <v>44365</v>
          </cell>
          <cell r="Q846">
            <v>44367</v>
          </cell>
          <cell r="R846">
            <v>44367</v>
          </cell>
          <cell r="S846"/>
          <cell r="T846">
            <v>44368</v>
          </cell>
          <cell r="U846">
            <v>44369</v>
          </cell>
          <cell r="V846">
            <v>44370</v>
          </cell>
          <cell r="W846">
            <v>44370</v>
          </cell>
          <cell r="X846">
            <v>41100255</v>
          </cell>
        </row>
        <row r="847">
          <cell r="K847" t="str">
            <v>GBWS-1296</v>
          </cell>
          <cell r="L847">
            <v>44349</v>
          </cell>
          <cell r="M847">
            <v>44350</v>
          </cell>
          <cell r="N847">
            <v>44368</v>
          </cell>
          <cell r="O847">
            <v>44350</v>
          </cell>
          <cell r="P847">
            <v>44368</v>
          </cell>
          <cell r="Q847">
            <v>44367</v>
          </cell>
          <cell r="R847">
            <v>44367</v>
          </cell>
          <cell r="S847"/>
          <cell r="T847">
            <v>44370</v>
          </cell>
          <cell r="U847">
            <v>44371</v>
          </cell>
          <cell r="V847">
            <v>44371</v>
          </cell>
          <cell r="W847">
            <v>44372</v>
          </cell>
          <cell r="X847">
            <v>41100350</v>
          </cell>
        </row>
        <row r="848">
          <cell r="K848" t="str">
            <v>GBWS-1267</v>
          </cell>
          <cell r="L848">
            <v>44342</v>
          </cell>
          <cell r="M848">
            <v>44343</v>
          </cell>
          <cell r="N848">
            <v>44358</v>
          </cell>
          <cell r="O848">
            <v>44343</v>
          </cell>
          <cell r="P848">
            <v>44361</v>
          </cell>
          <cell r="Q848">
            <v>44361</v>
          </cell>
          <cell r="R848">
            <v>44361</v>
          </cell>
          <cell r="S848"/>
          <cell r="T848">
            <v>44362</v>
          </cell>
          <cell r="U848">
            <v>44364</v>
          </cell>
          <cell r="V848">
            <v>44365</v>
          </cell>
          <cell r="W848">
            <v>44365</v>
          </cell>
          <cell r="X848">
            <v>41100265</v>
          </cell>
        </row>
        <row r="849">
          <cell r="K849" t="str">
            <v>GBWS-1281</v>
          </cell>
          <cell r="L849">
            <v>44348</v>
          </cell>
          <cell r="M849">
            <v>44349</v>
          </cell>
          <cell r="N849">
            <v>44365</v>
          </cell>
          <cell r="O849">
            <v>44349</v>
          </cell>
          <cell r="P849">
            <v>44369</v>
          </cell>
          <cell r="Q849" t="str">
            <v>6/20 → 6/22</v>
          </cell>
          <cell r="R849" t="str">
            <v>6/20 → 6/22</v>
          </cell>
          <cell r="S849"/>
          <cell r="T849">
            <v>44370</v>
          </cell>
          <cell r="U849">
            <v>44371</v>
          </cell>
          <cell r="V849">
            <v>44372</v>
          </cell>
          <cell r="W849">
            <v>44372</v>
          </cell>
          <cell r="X849" t="str">
            <v>41100287 → 41100345</v>
          </cell>
        </row>
        <row r="850">
          <cell r="K850" t="str">
            <v>GBWS-1282</v>
          </cell>
          <cell r="L850">
            <v>44348</v>
          </cell>
          <cell r="M850">
            <v>44349</v>
          </cell>
          <cell r="N850">
            <v>44365</v>
          </cell>
          <cell r="O850">
            <v>44349</v>
          </cell>
          <cell r="P850">
            <v>44369</v>
          </cell>
          <cell r="Q850" t="str">
            <v>6/20 → 6/22</v>
          </cell>
          <cell r="R850" t="str">
            <v>6/20 → 6/22</v>
          </cell>
          <cell r="S850"/>
          <cell r="T850">
            <v>44370</v>
          </cell>
          <cell r="U850">
            <v>44370</v>
          </cell>
          <cell r="V850">
            <v>44371</v>
          </cell>
          <cell r="W850">
            <v>44372</v>
          </cell>
          <cell r="X850" t="str">
            <v>41100287 → 41100345</v>
          </cell>
        </row>
        <row r="851">
          <cell r="K851" t="str">
            <v>GBWS-1283</v>
          </cell>
          <cell r="L851">
            <v>44348</v>
          </cell>
          <cell r="M851">
            <v>44349</v>
          </cell>
          <cell r="N851">
            <v>44365</v>
          </cell>
          <cell r="O851">
            <v>44349</v>
          </cell>
          <cell r="P851">
            <v>44369</v>
          </cell>
          <cell r="Q851" t="str">
            <v>6/20 → 6/22</v>
          </cell>
          <cell r="R851" t="str">
            <v>6/20 → 6/22</v>
          </cell>
          <cell r="S851"/>
          <cell r="T851">
            <v>44370</v>
          </cell>
          <cell r="U851">
            <v>44371</v>
          </cell>
          <cell r="V851">
            <v>44372</v>
          </cell>
          <cell r="W851">
            <v>44372</v>
          </cell>
          <cell r="X851" t="str">
            <v>41100287 → 41100345</v>
          </cell>
        </row>
        <row r="852">
          <cell r="K852" t="str">
            <v xml:space="preserve">GBWS-1284 </v>
          </cell>
          <cell r="L852">
            <v>44348</v>
          </cell>
          <cell r="M852">
            <v>44349</v>
          </cell>
          <cell r="N852">
            <v>44367</v>
          </cell>
          <cell r="O852">
            <v>44349</v>
          </cell>
          <cell r="P852">
            <v>44368</v>
          </cell>
          <cell r="Q852">
            <v>44367</v>
          </cell>
          <cell r="R852">
            <v>44367</v>
          </cell>
          <cell r="S852"/>
          <cell r="T852">
            <v>44370</v>
          </cell>
          <cell r="U852">
            <v>44371</v>
          </cell>
          <cell r="V852">
            <v>44372</v>
          </cell>
          <cell r="W852">
            <v>44372</v>
          </cell>
          <cell r="X852">
            <v>41100287</v>
          </cell>
        </row>
        <row r="853">
          <cell r="K853" t="str">
            <v>GBWS-1285</v>
          </cell>
          <cell r="L853">
            <v>44348</v>
          </cell>
          <cell r="M853">
            <v>44349</v>
          </cell>
          <cell r="N853">
            <v>44367</v>
          </cell>
          <cell r="O853">
            <v>44349</v>
          </cell>
          <cell r="P853">
            <v>44368</v>
          </cell>
          <cell r="Q853">
            <v>44367</v>
          </cell>
          <cell r="R853">
            <v>44367</v>
          </cell>
          <cell r="S853"/>
          <cell r="T853">
            <v>44370</v>
          </cell>
          <cell r="U853">
            <v>44371</v>
          </cell>
          <cell r="V853">
            <v>44372</v>
          </cell>
          <cell r="W853">
            <v>44372</v>
          </cell>
          <cell r="X853">
            <v>41100287</v>
          </cell>
        </row>
        <row r="854">
          <cell r="K854" t="str">
            <v>GBWS-1224</v>
          </cell>
          <cell r="L854">
            <v>44333</v>
          </cell>
          <cell r="M854">
            <v>44333</v>
          </cell>
          <cell r="N854">
            <v>44357</v>
          </cell>
          <cell r="O854">
            <v>44333</v>
          </cell>
          <cell r="P854">
            <v>44357</v>
          </cell>
          <cell r="Q854">
            <v>44358</v>
          </cell>
          <cell r="R854">
            <v>44358</v>
          </cell>
          <cell r="S854"/>
          <cell r="T854">
            <v>44357</v>
          </cell>
          <cell r="U854">
            <v>44361</v>
          </cell>
          <cell r="V854">
            <v>44363</v>
          </cell>
          <cell r="W854">
            <v>44363</v>
          </cell>
          <cell r="X854">
            <v>41100287</v>
          </cell>
        </row>
        <row r="855">
          <cell r="K855" t="str">
            <v>GBWS-1258</v>
          </cell>
          <cell r="L855">
            <v>44340</v>
          </cell>
          <cell r="M855">
            <v>44341</v>
          </cell>
          <cell r="N855">
            <v>44362</v>
          </cell>
          <cell r="O855">
            <v>44341</v>
          </cell>
          <cell r="P855">
            <v>44363</v>
          </cell>
          <cell r="Q855">
            <v>44365</v>
          </cell>
          <cell r="R855">
            <v>44365</v>
          </cell>
          <cell r="S855"/>
          <cell r="T855">
            <v>44369</v>
          </cell>
          <cell r="U855">
            <v>44370</v>
          </cell>
          <cell r="V855">
            <v>44371</v>
          </cell>
          <cell r="W855">
            <v>44371</v>
          </cell>
          <cell r="X855">
            <v>41100288</v>
          </cell>
        </row>
        <row r="856">
          <cell r="K856" t="str">
            <v>GBWS-1257</v>
          </cell>
          <cell r="L856">
            <v>44340</v>
          </cell>
          <cell r="M856">
            <v>44341</v>
          </cell>
          <cell r="N856">
            <v>44362</v>
          </cell>
          <cell r="O856">
            <v>44341</v>
          </cell>
          <cell r="P856">
            <v>44363</v>
          </cell>
          <cell r="Q856">
            <v>44365</v>
          </cell>
          <cell r="R856">
            <v>44365</v>
          </cell>
          <cell r="S856"/>
          <cell r="T856">
            <v>44369</v>
          </cell>
          <cell r="U856">
            <v>44370</v>
          </cell>
          <cell r="V856">
            <v>44371</v>
          </cell>
          <cell r="W856">
            <v>44371</v>
          </cell>
          <cell r="X856">
            <v>41100288</v>
          </cell>
        </row>
        <row r="857">
          <cell r="K857" t="str">
            <v>GBWS-1225</v>
          </cell>
          <cell r="L857">
            <v>44340</v>
          </cell>
          <cell r="M857">
            <v>44341</v>
          </cell>
          <cell r="N857">
            <v>44362</v>
          </cell>
          <cell r="O857">
            <v>44341</v>
          </cell>
          <cell r="P857">
            <v>44364</v>
          </cell>
          <cell r="Q857">
            <v>44365</v>
          </cell>
          <cell r="R857">
            <v>44365</v>
          </cell>
          <cell r="S857"/>
          <cell r="T857">
            <v>44369</v>
          </cell>
          <cell r="U857">
            <v>44369</v>
          </cell>
          <cell r="V857">
            <v>44371</v>
          </cell>
          <cell r="W857">
            <v>44371</v>
          </cell>
          <cell r="X857">
            <v>41100287</v>
          </cell>
        </row>
        <row r="858">
          <cell r="K858" t="str">
            <v>GBWS-1251</v>
          </cell>
          <cell r="L858">
            <v>44340</v>
          </cell>
          <cell r="M858">
            <v>44341</v>
          </cell>
          <cell r="N858">
            <v>44362</v>
          </cell>
          <cell r="O858">
            <v>44341</v>
          </cell>
          <cell r="P858">
            <v>44364</v>
          </cell>
          <cell r="Q858">
            <v>44365</v>
          </cell>
          <cell r="R858">
            <v>44365</v>
          </cell>
          <cell r="S858"/>
          <cell r="T858">
            <v>44369</v>
          </cell>
          <cell r="U858">
            <v>44369</v>
          </cell>
          <cell r="V858">
            <v>44371</v>
          </cell>
          <cell r="W858">
            <v>44371</v>
          </cell>
          <cell r="X858">
            <v>41100287</v>
          </cell>
        </row>
        <row r="859">
          <cell r="K859" t="str">
            <v>GBWS-1253</v>
          </cell>
          <cell r="L859">
            <v>44340</v>
          </cell>
          <cell r="M859">
            <v>44341</v>
          </cell>
          <cell r="N859">
            <v>44362</v>
          </cell>
          <cell r="O859">
            <v>44341</v>
          </cell>
          <cell r="P859">
            <v>44364</v>
          </cell>
          <cell r="Q859">
            <v>44365</v>
          </cell>
          <cell r="R859">
            <v>44365</v>
          </cell>
          <cell r="S859"/>
          <cell r="T859">
            <v>44369</v>
          </cell>
          <cell r="U859">
            <v>44370</v>
          </cell>
          <cell r="V859">
            <v>44371</v>
          </cell>
          <cell r="W859">
            <v>44371</v>
          </cell>
          <cell r="X859">
            <v>41100287</v>
          </cell>
        </row>
        <row r="860">
          <cell r="K860" t="str">
            <v>GBWS-1254</v>
          </cell>
          <cell r="L860">
            <v>44340</v>
          </cell>
          <cell r="M860">
            <v>44341</v>
          </cell>
          <cell r="N860">
            <v>44362</v>
          </cell>
          <cell r="O860">
            <v>44341</v>
          </cell>
          <cell r="P860">
            <v>44364</v>
          </cell>
          <cell r="Q860">
            <v>44365</v>
          </cell>
          <cell r="R860">
            <v>44365</v>
          </cell>
          <cell r="S860"/>
          <cell r="T860">
            <v>44369</v>
          </cell>
          <cell r="U860">
            <v>44371</v>
          </cell>
          <cell r="V860">
            <v>44371</v>
          </cell>
          <cell r="W860">
            <v>44372</v>
          </cell>
          <cell r="X860">
            <v>41100287</v>
          </cell>
        </row>
        <row r="861">
          <cell r="K861" t="str">
            <v>GBWS-1255</v>
          </cell>
          <cell r="L861">
            <v>44340</v>
          </cell>
          <cell r="M861">
            <v>44341</v>
          </cell>
          <cell r="N861">
            <v>44362</v>
          </cell>
          <cell r="O861">
            <v>44341</v>
          </cell>
          <cell r="P861">
            <v>44364</v>
          </cell>
          <cell r="Q861">
            <v>44365</v>
          </cell>
          <cell r="R861">
            <v>44365</v>
          </cell>
          <cell r="S861"/>
          <cell r="T861">
            <v>44369</v>
          </cell>
          <cell r="U861">
            <v>44370</v>
          </cell>
          <cell r="V861">
            <v>44371</v>
          </cell>
          <cell r="W861">
            <v>44371</v>
          </cell>
          <cell r="X861">
            <v>41100287</v>
          </cell>
        </row>
        <row r="862">
          <cell r="K862" t="str">
            <v>GBWS-1259</v>
          </cell>
          <cell r="L862">
            <v>44340</v>
          </cell>
          <cell r="M862">
            <v>44341</v>
          </cell>
          <cell r="N862">
            <v>44362</v>
          </cell>
          <cell r="O862">
            <v>44341</v>
          </cell>
          <cell r="P862">
            <v>44364</v>
          </cell>
          <cell r="Q862">
            <v>44365</v>
          </cell>
          <cell r="R862">
            <v>44365</v>
          </cell>
          <cell r="S862"/>
          <cell r="T862">
            <v>44369</v>
          </cell>
          <cell r="U862">
            <v>44370</v>
          </cell>
          <cell r="V862">
            <v>44371</v>
          </cell>
          <cell r="W862">
            <v>44372</v>
          </cell>
          <cell r="X862" t="str">
            <v>41100288 → 41100344</v>
          </cell>
        </row>
        <row r="863">
          <cell r="K863" t="str">
            <v>GBWS-1260</v>
          </cell>
          <cell r="L863">
            <v>44340</v>
          </cell>
          <cell r="M863">
            <v>44341</v>
          </cell>
          <cell r="N863">
            <v>44362</v>
          </cell>
          <cell r="O863">
            <v>44341</v>
          </cell>
          <cell r="P863">
            <v>44364</v>
          </cell>
          <cell r="Q863">
            <v>44365</v>
          </cell>
          <cell r="R863">
            <v>44365</v>
          </cell>
          <cell r="S863"/>
          <cell r="T863">
            <v>44369</v>
          </cell>
          <cell r="U863">
            <v>44371</v>
          </cell>
          <cell r="V863">
            <v>44371</v>
          </cell>
          <cell r="W863">
            <v>44372</v>
          </cell>
          <cell r="X863" t="str">
            <v>41100288 → 41100344</v>
          </cell>
        </row>
        <row r="864">
          <cell r="K864" t="str">
            <v>GBWS-1252</v>
          </cell>
          <cell r="L864">
            <v>44333</v>
          </cell>
          <cell r="M864">
            <v>44333</v>
          </cell>
          <cell r="N864">
            <v>44357</v>
          </cell>
          <cell r="O864">
            <v>44333</v>
          </cell>
          <cell r="P864">
            <v>44357</v>
          </cell>
          <cell r="Q864">
            <v>44358</v>
          </cell>
          <cell r="R864">
            <v>44358</v>
          </cell>
          <cell r="S864"/>
          <cell r="T864">
            <v>44358</v>
          </cell>
          <cell r="U864">
            <v>44362</v>
          </cell>
          <cell r="V864">
            <v>44363</v>
          </cell>
          <cell r="W864">
            <v>44363</v>
          </cell>
          <cell r="X864">
            <v>41100287</v>
          </cell>
        </row>
        <row r="865">
          <cell r="K865" t="str">
            <v>GPWS-0195</v>
          </cell>
          <cell r="L865">
            <v>44322</v>
          </cell>
          <cell r="M865">
            <v>44323</v>
          </cell>
          <cell r="N865">
            <v>44341</v>
          </cell>
          <cell r="O865">
            <v>44323</v>
          </cell>
          <cell r="P865">
            <v>44341</v>
          </cell>
          <cell r="Q865">
            <v>44339</v>
          </cell>
          <cell r="R865">
            <v>44339</v>
          </cell>
          <cell r="S865"/>
          <cell r="T865">
            <v>44341</v>
          </cell>
          <cell r="U865">
            <v>44341</v>
          </cell>
          <cell r="V865">
            <v>44342</v>
          </cell>
          <cell r="W865">
            <v>44342</v>
          </cell>
          <cell r="X865">
            <v>41100332</v>
          </cell>
        </row>
        <row r="866">
          <cell r="K866" t="str">
            <v>DBW-2254</v>
          </cell>
          <cell r="L866">
            <v>44354</v>
          </cell>
          <cell r="M866">
            <v>44354</v>
          </cell>
          <cell r="N866">
            <v>44367</v>
          </cell>
          <cell r="O866">
            <v>44354</v>
          </cell>
          <cell r="P866">
            <v>44367</v>
          </cell>
          <cell r="Q866" t="str">
            <v>6/17 → 6/19</v>
          </cell>
          <cell r="R866" t="str">
            <v>6/17 → 6/19</v>
          </cell>
          <cell r="S866"/>
          <cell r="T866">
            <v>44371</v>
          </cell>
          <cell r="U866">
            <v>44372</v>
          </cell>
          <cell r="V866">
            <v>44374</v>
          </cell>
          <cell r="W866">
            <v>44374</v>
          </cell>
          <cell r="X866">
            <v>41100359</v>
          </cell>
        </row>
        <row r="867">
          <cell r="K867" t="str">
            <v>DBW-2255</v>
          </cell>
          <cell r="L867">
            <v>44354</v>
          </cell>
          <cell r="M867">
            <v>44354</v>
          </cell>
          <cell r="N867">
            <v>44367</v>
          </cell>
          <cell r="O867">
            <v>44354</v>
          </cell>
          <cell r="P867">
            <v>44367</v>
          </cell>
          <cell r="Q867" t="str">
            <v>6/17 → 6/19</v>
          </cell>
          <cell r="R867" t="str">
            <v>6/17 → 6/19</v>
          </cell>
          <cell r="S867"/>
          <cell r="T867">
            <v>44371</v>
          </cell>
          <cell r="U867">
            <v>44372</v>
          </cell>
          <cell r="V867">
            <v>44374</v>
          </cell>
          <cell r="W867">
            <v>44374</v>
          </cell>
          <cell r="X867">
            <v>41100360</v>
          </cell>
        </row>
        <row r="868">
          <cell r="K868" t="str">
            <v>DBW-2256</v>
          </cell>
          <cell r="L868">
            <v>44354</v>
          </cell>
          <cell r="M868">
            <v>44354</v>
          </cell>
          <cell r="N868">
            <v>44367</v>
          </cell>
          <cell r="O868">
            <v>44354</v>
          </cell>
          <cell r="P868">
            <v>44367</v>
          </cell>
          <cell r="Q868" t="str">
            <v>6/17 → 6/19</v>
          </cell>
          <cell r="R868" t="str">
            <v>6/17 → 6/19</v>
          </cell>
          <cell r="S868"/>
          <cell r="T868">
            <v>44371</v>
          </cell>
          <cell r="U868">
            <v>44373</v>
          </cell>
          <cell r="V868">
            <v>44374</v>
          </cell>
          <cell r="W868">
            <v>44374</v>
          </cell>
          <cell r="X868">
            <v>41100360</v>
          </cell>
        </row>
        <row r="869">
          <cell r="K869" t="str">
            <v>DBW-2257</v>
          </cell>
          <cell r="L869">
            <v>44354</v>
          </cell>
          <cell r="M869">
            <v>44354</v>
          </cell>
          <cell r="N869">
            <v>44367</v>
          </cell>
          <cell r="O869">
            <v>44354</v>
          </cell>
          <cell r="P869">
            <v>44367</v>
          </cell>
          <cell r="Q869" t="str">
            <v>6/17 → 6/19</v>
          </cell>
          <cell r="R869" t="str">
            <v>6/17 → 6/19</v>
          </cell>
          <cell r="S869"/>
          <cell r="T869">
            <v>44371</v>
          </cell>
          <cell r="U869">
            <v>44372</v>
          </cell>
          <cell r="V869">
            <v>44374</v>
          </cell>
          <cell r="W869">
            <v>44374</v>
          </cell>
          <cell r="X869">
            <v>41100360</v>
          </cell>
        </row>
        <row r="870">
          <cell r="K870" t="str">
            <v>DBW-2258</v>
          </cell>
          <cell r="L870">
            <v>44354</v>
          </cell>
          <cell r="M870">
            <v>44354</v>
          </cell>
          <cell r="N870">
            <v>44367</v>
          </cell>
          <cell r="O870">
            <v>44354</v>
          </cell>
          <cell r="P870">
            <v>44367</v>
          </cell>
          <cell r="Q870" t="str">
            <v>6/17 → 6/19</v>
          </cell>
          <cell r="R870" t="str">
            <v>6/17 → 6/19</v>
          </cell>
          <cell r="S870"/>
          <cell r="T870">
            <v>44371</v>
          </cell>
          <cell r="U870">
            <v>44372</v>
          </cell>
          <cell r="V870">
            <v>44374</v>
          </cell>
          <cell r="W870">
            <v>44374</v>
          </cell>
          <cell r="X870">
            <v>41100360</v>
          </cell>
        </row>
        <row r="871">
          <cell r="K871" t="str">
            <v>DBW-2259</v>
          </cell>
          <cell r="L871">
            <v>44354</v>
          </cell>
          <cell r="M871">
            <v>44354</v>
          </cell>
          <cell r="N871">
            <v>44367</v>
          </cell>
          <cell r="O871">
            <v>44354</v>
          </cell>
          <cell r="P871">
            <v>44367</v>
          </cell>
          <cell r="Q871" t="str">
            <v>6/17 → 6/19</v>
          </cell>
          <cell r="R871" t="str">
            <v>6/17 → 6/19</v>
          </cell>
          <cell r="S871"/>
          <cell r="T871">
            <v>44371</v>
          </cell>
          <cell r="U871">
            <v>44373</v>
          </cell>
          <cell r="V871">
            <v>44374</v>
          </cell>
          <cell r="W871">
            <v>44374</v>
          </cell>
          <cell r="X871">
            <v>41100360</v>
          </cell>
        </row>
        <row r="872">
          <cell r="K872" t="str">
            <v>DBW-2260</v>
          </cell>
          <cell r="L872">
            <v>44354</v>
          </cell>
          <cell r="M872">
            <v>44354</v>
          </cell>
          <cell r="N872">
            <v>44367</v>
          </cell>
          <cell r="O872">
            <v>44354</v>
          </cell>
          <cell r="P872">
            <v>44367</v>
          </cell>
          <cell r="Q872" t="str">
            <v>6/17 → 6/19</v>
          </cell>
          <cell r="R872" t="str">
            <v>6/17 → 6/19</v>
          </cell>
          <cell r="S872"/>
          <cell r="T872">
            <v>44371</v>
          </cell>
          <cell r="U872">
            <v>44372</v>
          </cell>
          <cell r="V872">
            <v>44374</v>
          </cell>
          <cell r="W872">
            <v>44374</v>
          </cell>
          <cell r="X872">
            <v>41100360</v>
          </cell>
        </row>
        <row r="873">
          <cell r="K873" t="str">
            <v>DBW-2261</v>
          </cell>
          <cell r="L873">
            <v>44354</v>
          </cell>
          <cell r="M873">
            <v>44354</v>
          </cell>
          <cell r="N873">
            <v>44367</v>
          </cell>
          <cell r="O873">
            <v>44354</v>
          </cell>
          <cell r="P873">
            <v>44367</v>
          </cell>
          <cell r="Q873" t="str">
            <v>6/17 → 6/19</v>
          </cell>
          <cell r="R873" t="str">
            <v>6/17 → 6/19</v>
          </cell>
          <cell r="S873"/>
          <cell r="T873">
            <v>44371</v>
          </cell>
          <cell r="U873">
            <v>44373</v>
          </cell>
          <cell r="V873">
            <v>44374</v>
          </cell>
          <cell r="W873">
            <v>44374</v>
          </cell>
          <cell r="X873">
            <v>41100360</v>
          </cell>
        </row>
        <row r="874">
          <cell r="K874" t="str">
            <v>GPWS-0197</v>
          </cell>
          <cell r="L874">
            <v>44354</v>
          </cell>
          <cell r="M874">
            <v>44355</v>
          </cell>
          <cell r="N874">
            <v>44374</v>
          </cell>
          <cell r="O874">
            <v>44355</v>
          </cell>
          <cell r="P874">
            <v>44372</v>
          </cell>
          <cell r="Q874" t="str">
            <v>6/24 → 6/25</v>
          </cell>
          <cell r="R874" t="str">
            <v>6/24 → 6/25</v>
          </cell>
          <cell r="S874"/>
          <cell r="T874">
            <v>44373</v>
          </cell>
          <cell r="U874">
            <v>44375</v>
          </cell>
          <cell r="V874">
            <v>44375</v>
          </cell>
          <cell r="W874">
            <v>44377</v>
          </cell>
          <cell r="X874">
            <v>41100005</v>
          </cell>
        </row>
        <row r="875">
          <cell r="K875" t="str">
            <v>GPWS-0198</v>
          </cell>
          <cell r="L875">
            <v>44354</v>
          </cell>
          <cell r="M875">
            <v>44355</v>
          </cell>
          <cell r="N875">
            <v>44374</v>
          </cell>
          <cell r="O875">
            <v>44355</v>
          </cell>
          <cell r="P875">
            <v>44372</v>
          </cell>
          <cell r="Q875" t="str">
            <v>6/24 → 6/25</v>
          </cell>
          <cell r="R875" t="str">
            <v>6/24 → 6/25</v>
          </cell>
          <cell r="S875"/>
          <cell r="T875">
            <v>44373</v>
          </cell>
          <cell r="U875">
            <v>44375</v>
          </cell>
          <cell r="V875">
            <v>44375</v>
          </cell>
          <cell r="W875">
            <v>44377</v>
          </cell>
          <cell r="X875">
            <v>41100005</v>
          </cell>
        </row>
        <row r="876">
          <cell r="K876" t="str">
            <v>GPWS-0199</v>
          </cell>
          <cell r="L876">
            <v>44354</v>
          </cell>
          <cell r="M876">
            <v>44355</v>
          </cell>
          <cell r="N876">
            <v>44374</v>
          </cell>
          <cell r="O876">
            <v>44355</v>
          </cell>
          <cell r="P876">
            <v>44372</v>
          </cell>
          <cell r="Q876" t="str">
            <v>6/24 → 6/25</v>
          </cell>
          <cell r="R876" t="str">
            <v>6/24 → 6/25</v>
          </cell>
          <cell r="S876"/>
          <cell r="T876">
            <v>44373</v>
          </cell>
          <cell r="U876">
            <v>44375</v>
          </cell>
          <cell r="V876">
            <v>44375</v>
          </cell>
          <cell r="W876">
            <v>44377</v>
          </cell>
          <cell r="X876">
            <v>41100005</v>
          </cell>
        </row>
        <row r="877">
          <cell r="K877" t="str">
            <v>GBWS-1079</v>
          </cell>
          <cell r="L877">
            <v>44293</v>
          </cell>
          <cell r="M877">
            <v>44294</v>
          </cell>
          <cell r="N877">
            <v>44364</v>
          </cell>
          <cell r="O877">
            <v>44294</v>
          </cell>
          <cell r="P877">
            <v>44364</v>
          </cell>
          <cell r="Q877">
            <v>44363</v>
          </cell>
          <cell r="R877">
            <v>44363</v>
          </cell>
          <cell r="S877"/>
          <cell r="T877">
            <v>44376</v>
          </cell>
          <cell r="U877">
            <v>44377</v>
          </cell>
          <cell r="V877">
            <v>44377</v>
          </cell>
          <cell r="W877">
            <v>44377</v>
          </cell>
          <cell r="X877">
            <v>41100322</v>
          </cell>
        </row>
        <row r="878">
          <cell r="K878" t="str">
            <v>DBW-2262</v>
          </cell>
          <cell r="L878">
            <v>44354</v>
          </cell>
          <cell r="M878">
            <v>44354</v>
          </cell>
          <cell r="N878">
            <v>44371</v>
          </cell>
          <cell r="O878">
            <v>44354</v>
          </cell>
          <cell r="P878">
            <v>44370</v>
          </cell>
          <cell r="Q878" t="str">
            <v>6/21 → 6/23</v>
          </cell>
          <cell r="R878" t="str">
            <v>6/21 → 6/23</v>
          </cell>
          <cell r="S878"/>
          <cell r="T878">
            <v>44373</v>
          </cell>
          <cell r="U878">
            <v>44375</v>
          </cell>
          <cell r="V878">
            <v>44376</v>
          </cell>
          <cell r="W878">
            <v>44376</v>
          </cell>
          <cell r="X878">
            <v>41100359</v>
          </cell>
        </row>
        <row r="879">
          <cell r="K879" t="str">
            <v>DBW-2263</v>
          </cell>
          <cell r="L879">
            <v>44354</v>
          </cell>
          <cell r="M879">
            <v>44354</v>
          </cell>
          <cell r="N879">
            <v>44371</v>
          </cell>
          <cell r="O879">
            <v>44354</v>
          </cell>
          <cell r="P879">
            <v>44370</v>
          </cell>
          <cell r="Q879" t="str">
            <v>6/21 → 6/23</v>
          </cell>
          <cell r="R879" t="str">
            <v>6/21 → 6/23</v>
          </cell>
          <cell r="S879"/>
          <cell r="T879">
            <v>44373</v>
          </cell>
          <cell r="U879">
            <v>44376</v>
          </cell>
          <cell r="V879">
            <v>44377</v>
          </cell>
          <cell r="W879">
            <v>44377</v>
          </cell>
          <cell r="X879">
            <v>41100359</v>
          </cell>
        </row>
        <row r="880">
          <cell r="K880" t="str">
            <v>DBW-2264</v>
          </cell>
          <cell r="L880">
            <v>44354</v>
          </cell>
          <cell r="M880">
            <v>44354</v>
          </cell>
          <cell r="N880">
            <v>44371</v>
          </cell>
          <cell r="O880">
            <v>44354</v>
          </cell>
          <cell r="P880">
            <v>44370</v>
          </cell>
          <cell r="Q880" t="str">
            <v>6/21 → 6/23</v>
          </cell>
          <cell r="R880" t="str">
            <v>6/21 → 6/23</v>
          </cell>
          <cell r="S880"/>
          <cell r="T880">
            <v>44375</v>
          </cell>
          <cell r="U880">
            <v>44376</v>
          </cell>
          <cell r="V880">
            <v>44377</v>
          </cell>
          <cell r="W880">
            <v>44377</v>
          </cell>
          <cell r="X880">
            <v>41100359</v>
          </cell>
        </row>
        <row r="881">
          <cell r="K881" t="str">
            <v>DBW-2265</v>
          </cell>
          <cell r="L881">
            <v>44354</v>
          </cell>
          <cell r="M881">
            <v>44354</v>
          </cell>
          <cell r="N881">
            <v>44371</v>
          </cell>
          <cell r="O881">
            <v>44354</v>
          </cell>
          <cell r="P881">
            <v>44370</v>
          </cell>
          <cell r="Q881" t="str">
            <v>6/21 → 6/23</v>
          </cell>
          <cell r="R881" t="str">
            <v>6/21 → 6/23</v>
          </cell>
          <cell r="S881"/>
          <cell r="T881">
            <v>44373</v>
          </cell>
          <cell r="U881">
            <v>44376</v>
          </cell>
          <cell r="V881">
            <v>44377</v>
          </cell>
          <cell r="W881">
            <v>44377</v>
          </cell>
          <cell r="X881">
            <v>41100359</v>
          </cell>
        </row>
        <row r="882">
          <cell r="K882" t="str">
            <v>DBW-2266</v>
          </cell>
          <cell r="L882">
            <v>44354</v>
          </cell>
          <cell r="M882">
            <v>44354</v>
          </cell>
          <cell r="N882">
            <v>44370</v>
          </cell>
          <cell r="O882">
            <v>44354</v>
          </cell>
          <cell r="P882">
            <v>44374</v>
          </cell>
          <cell r="Q882" t="str">
            <v>6/21 → 6/23</v>
          </cell>
          <cell r="R882" t="str">
            <v>6/21 → 6/23</v>
          </cell>
          <cell r="S882"/>
          <cell r="T882">
            <v>44373</v>
          </cell>
          <cell r="U882">
            <v>44376</v>
          </cell>
          <cell r="V882">
            <v>44377</v>
          </cell>
          <cell r="W882">
            <v>44377</v>
          </cell>
          <cell r="X882">
            <v>41100360</v>
          </cell>
        </row>
        <row r="883">
          <cell r="K883" t="str">
            <v>DBW-2267</v>
          </cell>
          <cell r="L883">
            <v>44354</v>
          </cell>
          <cell r="M883">
            <v>44354</v>
          </cell>
          <cell r="N883">
            <v>44370</v>
          </cell>
          <cell r="O883">
            <v>44354</v>
          </cell>
          <cell r="P883">
            <v>44374</v>
          </cell>
          <cell r="Q883" t="str">
            <v>6/21 → 6/23</v>
          </cell>
          <cell r="R883" t="str">
            <v>6/21 → 6/23</v>
          </cell>
          <cell r="S883"/>
          <cell r="T883">
            <v>44375</v>
          </cell>
          <cell r="U883">
            <v>44376</v>
          </cell>
          <cell r="V883">
            <v>44377</v>
          </cell>
          <cell r="W883">
            <v>44377</v>
          </cell>
          <cell r="X883">
            <v>41100360</v>
          </cell>
        </row>
        <row r="884">
          <cell r="K884" t="str">
            <v>DBW-2268</v>
          </cell>
          <cell r="L884">
            <v>44354</v>
          </cell>
          <cell r="M884">
            <v>44354</v>
          </cell>
          <cell r="N884">
            <v>44370</v>
          </cell>
          <cell r="O884">
            <v>44354</v>
          </cell>
          <cell r="P884">
            <v>44374</v>
          </cell>
          <cell r="Q884" t="str">
            <v>6/21 → 6/23</v>
          </cell>
          <cell r="R884" t="str">
            <v>6/21 → 6/23</v>
          </cell>
          <cell r="S884"/>
          <cell r="T884">
            <v>44375</v>
          </cell>
          <cell r="U884">
            <v>44376</v>
          </cell>
          <cell r="V884">
            <v>44377</v>
          </cell>
          <cell r="W884">
            <v>44377</v>
          </cell>
          <cell r="X884">
            <v>41100360</v>
          </cell>
        </row>
        <row r="885">
          <cell r="K885" t="str">
            <v>DBW-2269</v>
          </cell>
          <cell r="L885">
            <v>44354</v>
          </cell>
          <cell r="M885">
            <v>44354</v>
          </cell>
          <cell r="N885">
            <v>44370</v>
          </cell>
          <cell r="O885">
            <v>44354</v>
          </cell>
          <cell r="P885">
            <v>44374</v>
          </cell>
          <cell r="Q885" t="str">
            <v>6/21 → 6/23</v>
          </cell>
          <cell r="R885" t="str">
            <v>6/21 → 6/23</v>
          </cell>
          <cell r="S885"/>
          <cell r="T885">
            <v>44375</v>
          </cell>
          <cell r="U885">
            <v>44376</v>
          </cell>
          <cell r="V885">
            <v>44377</v>
          </cell>
          <cell r="W885">
            <v>44377</v>
          </cell>
          <cell r="X885">
            <v>41100360</v>
          </cell>
        </row>
        <row r="886">
          <cell r="K886" t="str">
            <v>DBW-2270</v>
          </cell>
          <cell r="L886">
            <v>44351</v>
          </cell>
          <cell r="M886">
            <v>44354</v>
          </cell>
          <cell r="N886">
            <v>44365</v>
          </cell>
          <cell r="O886">
            <v>44354</v>
          </cell>
          <cell r="P886">
            <v>44365</v>
          </cell>
          <cell r="Q886">
            <v>44367</v>
          </cell>
          <cell r="R886">
            <v>44367</v>
          </cell>
          <cell r="S886"/>
          <cell r="T886">
            <v>44368</v>
          </cell>
          <cell r="U886">
            <v>44369</v>
          </cell>
          <cell r="V886">
            <v>44371</v>
          </cell>
          <cell r="W886">
            <v>44371</v>
          </cell>
          <cell r="X886">
            <v>41100171</v>
          </cell>
        </row>
        <row r="887">
          <cell r="K887" t="str">
            <v>DBW-2271</v>
          </cell>
          <cell r="L887">
            <v>44351</v>
          </cell>
          <cell r="M887">
            <v>44354</v>
          </cell>
          <cell r="N887">
            <v>44365</v>
          </cell>
          <cell r="O887">
            <v>44354</v>
          </cell>
          <cell r="P887">
            <v>44365</v>
          </cell>
          <cell r="Q887">
            <v>44367</v>
          </cell>
          <cell r="R887">
            <v>44367</v>
          </cell>
          <cell r="S887"/>
          <cell r="T887">
            <v>44368</v>
          </cell>
          <cell r="U887">
            <v>44369</v>
          </cell>
          <cell r="V887">
            <v>44371</v>
          </cell>
          <cell r="W887">
            <v>44371</v>
          </cell>
          <cell r="X887">
            <v>41100171</v>
          </cell>
        </row>
        <row r="888">
          <cell r="K888" t="str">
            <v>DBW-2274</v>
          </cell>
          <cell r="L888">
            <v>44363</v>
          </cell>
          <cell r="M888">
            <v>44363</v>
          </cell>
          <cell r="N888">
            <v>44374</v>
          </cell>
          <cell r="O888">
            <v>44363</v>
          </cell>
          <cell r="P888">
            <v>44374</v>
          </cell>
          <cell r="Q888" t="str">
            <v>7/2 → 6/25</v>
          </cell>
          <cell r="R888" t="str">
            <v>7/2 → 6/25</v>
          </cell>
          <cell r="S888"/>
          <cell r="T888">
            <v>44375</v>
          </cell>
          <cell r="U888">
            <v>44376</v>
          </cell>
          <cell r="V888">
            <v>44377</v>
          </cell>
          <cell r="W888">
            <v>44377</v>
          </cell>
          <cell r="X888">
            <v>41100170</v>
          </cell>
        </row>
        <row r="889">
          <cell r="K889" t="str">
            <v>DBW-2275</v>
          </cell>
          <cell r="L889">
            <v>44363</v>
          </cell>
          <cell r="M889">
            <v>44363</v>
          </cell>
          <cell r="N889">
            <v>44374</v>
          </cell>
          <cell r="O889">
            <v>44363</v>
          </cell>
          <cell r="P889">
            <v>44374</v>
          </cell>
          <cell r="Q889" t="str">
            <v>7/2 → 6/25</v>
          </cell>
          <cell r="R889" t="str">
            <v>7/2 → 6/25</v>
          </cell>
          <cell r="S889"/>
          <cell r="T889">
            <v>44375</v>
          </cell>
          <cell r="U889">
            <v>44376</v>
          </cell>
          <cell r="V889">
            <v>44377</v>
          </cell>
          <cell r="W889">
            <v>44377</v>
          </cell>
          <cell r="X889">
            <v>41100170</v>
          </cell>
        </row>
        <row r="890">
          <cell r="K890" t="str">
            <v>WS-0038</v>
          </cell>
          <cell r="L890">
            <v>44356</v>
          </cell>
          <cell r="M890">
            <v>44357</v>
          </cell>
          <cell r="N890">
            <v>44375</v>
          </cell>
          <cell r="O890">
            <v>44357</v>
          </cell>
          <cell r="P890">
            <v>44375</v>
          </cell>
          <cell r="Q890" t="str">
            <v>6/24 → 6/25</v>
          </cell>
          <cell r="R890" t="str">
            <v>6/24 → 6/25</v>
          </cell>
          <cell r="S890"/>
          <cell r="T890">
            <v>44376</v>
          </cell>
          <cell r="U890">
            <v>44377</v>
          </cell>
          <cell r="V890">
            <v>44378</v>
          </cell>
          <cell r="W890">
            <v>44378</v>
          </cell>
          <cell r="X890">
            <v>41100300</v>
          </cell>
        </row>
        <row r="891">
          <cell r="K891" t="str">
            <v>WS-0039</v>
          </cell>
          <cell r="L891">
            <v>44356</v>
          </cell>
          <cell r="M891">
            <v>44357</v>
          </cell>
          <cell r="N891">
            <v>44375</v>
          </cell>
          <cell r="O891">
            <v>44357</v>
          </cell>
          <cell r="P891">
            <v>44375</v>
          </cell>
          <cell r="Q891" t="str">
            <v>6/24 → 6/25</v>
          </cell>
          <cell r="R891" t="str">
            <v>6/24 → 6/25</v>
          </cell>
          <cell r="S891"/>
          <cell r="T891">
            <v>44376</v>
          </cell>
          <cell r="U891">
            <v>44377</v>
          </cell>
          <cell r="V891">
            <v>44378</v>
          </cell>
          <cell r="W891">
            <v>44378</v>
          </cell>
          <cell r="X891">
            <v>41100300</v>
          </cell>
        </row>
        <row r="892">
          <cell r="K892" t="str">
            <v>GBWS-1322</v>
          </cell>
          <cell r="L892">
            <v>44356</v>
          </cell>
          <cell r="M892">
            <v>44357</v>
          </cell>
          <cell r="N892">
            <v>44372</v>
          </cell>
          <cell r="O892">
            <v>44357</v>
          </cell>
          <cell r="P892">
            <v>44374</v>
          </cell>
          <cell r="Q892" t="str">
            <v>6/22 → 6/24 → 6/25</v>
          </cell>
          <cell r="R892" t="str">
            <v>6/22 → 6/24 → 6/25</v>
          </cell>
          <cell r="S892"/>
          <cell r="T892">
            <v>44375</v>
          </cell>
          <cell r="U892">
            <v>44376</v>
          </cell>
          <cell r="V892">
            <v>44377</v>
          </cell>
          <cell r="W892">
            <v>44377</v>
          </cell>
          <cell r="X892">
            <v>41100250</v>
          </cell>
        </row>
        <row r="893">
          <cell r="K893" t="str">
            <v>GBWS-1280</v>
          </cell>
          <cell r="L893">
            <v>44345</v>
          </cell>
          <cell r="M893">
            <v>44347</v>
          </cell>
          <cell r="N893">
            <v>44363</v>
          </cell>
          <cell r="O893">
            <v>44347</v>
          </cell>
          <cell r="P893">
            <v>44362</v>
          </cell>
          <cell r="Q893">
            <v>44363</v>
          </cell>
          <cell r="R893">
            <v>44363</v>
          </cell>
          <cell r="S893"/>
          <cell r="T893">
            <v>44364</v>
          </cell>
          <cell r="U893">
            <v>44368</v>
          </cell>
          <cell r="V893">
            <v>44369</v>
          </cell>
          <cell r="W893">
            <v>44369</v>
          </cell>
          <cell r="X893">
            <v>41100329</v>
          </cell>
        </row>
        <row r="894">
          <cell r="K894" t="str">
            <v>GBWS-1307</v>
          </cell>
          <cell r="L894">
            <v>44356</v>
          </cell>
          <cell r="M894">
            <v>44357</v>
          </cell>
          <cell r="N894">
            <v>44371</v>
          </cell>
          <cell r="O894">
            <v>44357</v>
          </cell>
          <cell r="P894">
            <v>44370</v>
          </cell>
          <cell r="Q894" t="str">
            <v>6/18 → 6/20 → 6/24</v>
          </cell>
          <cell r="R894" t="str">
            <v>6/18 → 6/20 → 6/24</v>
          </cell>
          <cell r="S894"/>
          <cell r="T894">
            <v>44372</v>
          </cell>
          <cell r="U894">
            <v>44375</v>
          </cell>
          <cell r="V894">
            <v>44376</v>
          </cell>
          <cell r="W894">
            <v>44376</v>
          </cell>
          <cell r="X894">
            <v>41100311</v>
          </cell>
        </row>
        <row r="895">
          <cell r="K895" t="str">
            <v>GBWS-1308</v>
          </cell>
          <cell r="L895">
            <v>44356</v>
          </cell>
          <cell r="M895">
            <v>44357</v>
          </cell>
          <cell r="N895">
            <v>44371</v>
          </cell>
          <cell r="O895">
            <v>44357</v>
          </cell>
          <cell r="P895">
            <v>44370</v>
          </cell>
          <cell r="Q895" t="str">
            <v>6/18 → 6/20 → 6/24</v>
          </cell>
          <cell r="R895" t="str">
            <v>6/18 → 6/20 → 6/24</v>
          </cell>
          <cell r="S895"/>
          <cell r="T895">
            <v>44372</v>
          </cell>
          <cell r="U895">
            <v>44375</v>
          </cell>
          <cell r="V895">
            <v>44376</v>
          </cell>
          <cell r="W895">
            <v>44376</v>
          </cell>
          <cell r="X895">
            <v>41100311</v>
          </cell>
        </row>
        <row r="896">
          <cell r="K896" t="str">
            <v>GBWS-1309</v>
          </cell>
          <cell r="L896">
            <v>44356</v>
          </cell>
          <cell r="M896">
            <v>44357</v>
          </cell>
          <cell r="N896">
            <v>44371</v>
          </cell>
          <cell r="O896">
            <v>44357</v>
          </cell>
          <cell r="P896">
            <v>44370</v>
          </cell>
          <cell r="Q896">
            <v>44371</v>
          </cell>
          <cell r="R896">
            <v>44371</v>
          </cell>
          <cell r="S896"/>
          <cell r="T896">
            <v>44372</v>
          </cell>
          <cell r="U896">
            <v>44375</v>
          </cell>
          <cell r="V896">
            <v>44376</v>
          </cell>
          <cell r="W896">
            <v>44376</v>
          </cell>
          <cell r="X896">
            <v>41100312</v>
          </cell>
        </row>
        <row r="897">
          <cell r="K897" t="str">
            <v>GBWS-1310</v>
          </cell>
          <cell r="L897">
            <v>44356</v>
          </cell>
          <cell r="M897">
            <v>44357</v>
          </cell>
          <cell r="N897">
            <v>44371</v>
          </cell>
          <cell r="O897">
            <v>44357</v>
          </cell>
          <cell r="P897">
            <v>44370</v>
          </cell>
          <cell r="Q897">
            <v>44371</v>
          </cell>
          <cell r="R897">
            <v>44371</v>
          </cell>
          <cell r="S897"/>
          <cell r="T897">
            <v>44372</v>
          </cell>
          <cell r="U897">
            <v>44375</v>
          </cell>
          <cell r="V897">
            <v>44376</v>
          </cell>
          <cell r="W897">
            <v>44376</v>
          </cell>
          <cell r="X897">
            <v>41100312</v>
          </cell>
        </row>
        <row r="898">
          <cell r="K898" t="str">
            <v>GBWS-1311</v>
          </cell>
          <cell r="L898">
            <v>44356</v>
          </cell>
          <cell r="M898">
            <v>44357</v>
          </cell>
          <cell r="N898">
            <v>44371</v>
          </cell>
          <cell r="O898">
            <v>44357</v>
          </cell>
          <cell r="P898">
            <v>44370</v>
          </cell>
          <cell r="Q898">
            <v>44371</v>
          </cell>
          <cell r="R898">
            <v>44371</v>
          </cell>
          <cell r="S898"/>
          <cell r="T898">
            <v>44372</v>
          </cell>
          <cell r="U898">
            <v>44375</v>
          </cell>
          <cell r="V898">
            <v>44376</v>
          </cell>
          <cell r="W898">
            <v>44376</v>
          </cell>
          <cell r="X898">
            <v>41100312</v>
          </cell>
        </row>
        <row r="899">
          <cell r="K899" t="str">
            <v>GBWS-1312</v>
          </cell>
          <cell r="L899">
            <v>44356</v>
          </cell>
          <cell r="M899">
            <v>44357</v>
          </cell>
          <cell r="N899">
            <v>44373</v>
          </cell>
          <cell r="O899">
            <v>44357</v>
          </cell>
          <cell r="P899">
            <v>44371</v>
          </cell>
          <cell r="Q899">
            <v>44373</v>
          </cell>
          <cell r="R899">
            <v>44373</v>
          </cell>
          <cell r="S899"/>
          <cell r="T899">
            <v>44377</v>
          </cell>
          <cell r="U899">
            <v>44378</v>
          </cell>
          <cell r="V899">
            <v>44379</v>
          </cell>
          <cell r="W899">
            <v>44379</v>
          </cell>
          <cell r="X899">
            <v>41100313</v>
          </cell>
        </row>
        <row r="900">
          <cell r="K900" t="str">
            <v>GBWS-1313</v>
          </cell>
          <cell r="L900">
            <v>44356</v>
          </cell>
          <cell r="M900">
            <v>44357</v>
          </cell>
          <cell r="N900">
            <v>44373</v>
          </cell>
          <cell r="O900">
            <v>44357</v>
          </cell>
          <cell r="P900">
            <v>44371</v>
          </cell>
          <cell r="Q900">
            <v>44373</v>
          </cell>
          <cell r="R900">
            <v>44373</v>
          </cell>
          <cell r="S900"/>
          <cell r="T900">
            <v>44377</v>
          </cell>
          <cell r="U900">
            <v>44378</v>
          </cell>
          <cell r="V900">
            <v>44379</v>
          </cell>
          <cell r="W900">
            <v>44379</v>
          </cell>
          <cell r="X900">
            <v>41100314</v>
          </cell>
        </row>
        <row r="901">
          <cell r="K901" t="str">
            <v>GBWS-1314</v>
          </cell>
          <cell r="L901">
            <v>44356</v>
          </cell>
          <cell r="M901">
            <v>44357</v>
          </cell>
          <cell r="N901">
            <v>44373</v>
          </cell>
          <cell r="O901">
            <v>44357</v>
          </cell>
          <cell r="P901">
            <v>44371</v>
          </cell>
          <cell r="Q901">
            <v>44373</v>
          </cell>
          <cell r="R901">
            <v>44373</v>
          </cell>
          <cell r="S901"/>
          <cell r="T901">
            <v>44377</v>
          </cell>
          <cell r="U901">
            <v>44378</v>
          </cell>
          <cell r="V901">
            <v>44379</v>
          </cell>
          <cell r="W901">
            <v>44379</v>
          </cell>
          <cell r="X901">
            <v>41100314</v>
          </cell>
        </row>
        <row r="902">
          <cell r="K902" t="str">
            <v>GBWS-1315</v>
          </cell>
          <cell r="L902">
            <v>44356</v>
          </cell>
          <cell r="M902">
            <v>44357</v>
          </cell>
          <cell r="N902">
            <v>44373</v>
          </cell>
          <cell r="O902">
            <v>44357</v>
          </cell>
          <cell r="P902">
            <v>44371</v>
          </cell>
          <cell r="Q902">
            <v>44373</v>
          </cell>
          <cell r="R902">
            <v>44373</v>
          </cell>
          <cell r="S902"/>
          <cell r="T902">
            <v>44377</v>
          </cell>
          <cell r="U902">
            <v>44379</v>
          </cell>
          <cell r="V902">
            <v>44379</v>
          </cell>
          <cell r="W902">
            <v>44379</v>
          </cell>
          <cell r="X902">
            <v>41100314</v>
          </cell>
        </row>
        <row r="903">
          <cell r="K903" t="str">
            <v>GBWS-1316</v>
          </cell>
          <cell r="L903">
            <v>44356</v>
          </cell>
          <cell r="M903">
            <v>44357</v>
          </cell>
          <cell r="N903">
            <v>44373</v>
          </cell>
          <cell r="O903">
            <v>44357</v>
          </cell>
          <cell r="P903">
            <v>44371</v>
          </cell>
          <cell r="Q903">
            <v>44373</v>
          </cell>
          <cell r="R903">
            <v>44373</v>
          </cell>
          <cell r="S903"/>
          <cell r="T903">
            <v>44377</v>
          </cell>
          <cell r="U903">
            <v>44379</v>
          </cell>
          <cell r="V903">
            <v>44379</v>
          </cell>
          <cell r="W903">
            <v>44379</v>
          </cell>
          <cell r="X903">
            <v>41100314</v>
          </cell>
        </row>
        <row r="904">
          <cell r="K904" t="str">
            <v>GBWS-1317</v>
          </cell>
          <cell r="L904">
            <v>44356</v>
          </cell>
          <cell r="M904">
            <v>44357</v>
          </cell>
          <cell r="N904">
            <v>44373</v>
          </cell>
          <cell r="O904">
            <v>44357</v>
          </cell>
          <cell r="P904">
            <v>44371</v>
          </cell>
          <cell r="Q904">
            <v>44374</v>
          </cell>
          <cell r="R904">
            <v>44374</v>
          </cell>
          <cell r="S904"/>
          <cell r="T904">
            <v>44375</v>
          </cell>
          <cell r="U904">
            <v>44377</v>
          </cell>
          <cell r="V904">
            <v>44379</v>
          </cell>
          <cell r="W904">
            <v>44379</v>
          </cell>
          <cell r="X904">
            <v>41100329</v>
          </cell>
        </row>
        <row r="905">
          <cell r="K905" t="str">
            <v>GBWS-1318</v>
          </cell>
          <cell r="L905">
            <v>44356</v>
          </cell>
          <cell r="M905">
            <v>44357</v>
          </cell>
          <cell r="N905">
            <v>44373</v>
          </cell>
          <cell r="O905">
            <v>44357</v>
          </cell>
          <cell r="P905">
            <v>44371</v>
          </cell>
          <cell r="Q905">
            <v>44374</v>
          </cell>
          <cell r="R905">
            <v>44374</v>
          </cell>
          <cell r="S905"/>
          <cell r="T905">
            <v>44376</v>
          </cell>
          <cell r="U905">
            <v>44377</v>
          </cell>
          <cell r="V905">
            <v>44379</v>
          </cell>
          <cell r="W905">
            <v>44379</v>
          </cell>
          <cell r="X905">
            <v>41100329</v>
          </cell>
        </row>
        <row r="906">
          <cell r="K906" t="str">
            <v>GBWS-1319</v>
          </cell>
          <cell r="L906">
            <v>44356</v>
          </cell>
          <cell r="M906">
            <v>44357</v>
          </cell>
          <cell r="N906">
            <v>44373</v>
          </cell>
          <cell r="O906">
            <v>44357</v>
          </cell>
          <cell r="P906">
            <v>44371</v>
          </cell>
          <cell r="Q906">
            <v>44374</v>
          </cell>
          <cell r="R906">
            <v>44374</v>
          </cell>
          <cell r="S906"/>
          <cell r="T906">
            <v>44375</v>
          </cell>
          <cell r="U906">
            <v>44377</v>
          </cell>
          <cell r="V906">
            <v>44379</v>
          </cell>
          <cell r="W906">
            <v>44379</v>
          </cell>
          <cell r="X906">
            <v>41100329</v>
          </cell>
        </row>
        <row r="907">
          <cell r="K907" t="str">
            <v>GBWS-1320</v>
          </cell>
          <cell r="L907">
            <v>44356</v>
          </cell>
          <cell r="M907">
            <v>44357</v>
          </cell>
          <cell r="N907">
            <v>44373</v>
          </cell>
          <cell r="O907">
            <v>44357</v>
          </cell>
          <cell r="P907">
            <v>44371</v>
          </cell>
          <cell r="Q907">
            <v>44374</v>
          </cell>
          <cell r="R907">
            <v>44374</v>
          </cell>
          <cell r="S907"/>
          <cell r="T907">
            <v>44376</v>
          </cell>
          <cell r="U907">
            <v>44378</v>
          </cell>
          <cell r="V907">
            <v>44379</v>
          </cell>
          <cell r="W907">
            <v>44379</v>
          </cell>
          <cell r="X907">
            <v>41100329</v>
          </cell>
        </row>
        <row r="908">
          <cell r="K908" t="str">
            <v>GBWS-1321</v>
          </cell>
          <cell r="L908">
            <v>44356</v>
          </cell>
          <cell r="M908">
            <v>44357</v>
          </cell>
          <cell r="N908">
            <v>44373</v>
          </cell>
          <cell r="O908">
            <v>44357</v>
          </cell>
          <cell r="P908">
            <v>44371</v>
          </cell>
          <cell r="Q908">
            <v>44374</v>
          </cell>
          <cell r="R908">
            <v>44374</v>
          </cell>
          <cell r="S908"/>
          <cell r="T908">
            <v>44376</v>
          </cell>
          <cell r="U908">
            <v>44377</v>
          </cell>
          <cell r="V908">
            <v>44379</v>
          </cell>
          <cell r="W908">
            <v>44379</v>
          </cell>
          <cell r="X908">
            <v>41100329</v>
          </cell>
        </row>
        <row r="909">
          <cell r="K909" t="str">
            <v>DBW-2117</v>
          </cell>
          <cell r="L909">
            <v>44263</v>
          </cell>
          <cell r="M909">
            <v>44264</v>
          </cell>
          <cell r="N909">
            <v>44279</v>
          </cell>
          <cell r="O909">
            <v>44264</v>
          </cell>
          <cell r="P909">
            <v>44279</v>
          </cell>
          <cell r="Q909">
            <v>44279</v>
          </cell>
          <cell r="R909">
            <v>44279</v>
          </cell>
          <cell r="S909"/>
          <cell r="T909">
            <v>44279</v>
          </cell>
          <cell r="U909">
            <v>44280</v>
          </cell>
          <cell r="V909">
            <v>44280</v>
          </cell>
          <cell r="W909">
            <v>44280</v>
          </cell>
          <cell r="X909">
            <v>41100269</v>
          </cell>
        </row>
        <row r="910">
          <cell r="K910" t="str">
            <v>DBW-2139</v>
          </cell>
          <cell r="L910">
            <v>44278</v>
          </cell>
          <cell r="M910">
            <v>44279</v>
          </cell>
          <cell r="N910">
            <v>44299</v>
          </cell>
          <cell r="O910">
            <v>44279</v>
          </cell>
          <cell r="P910">
            <v>44299</v>
          </cell>
          <cell r="Q910">
            <v>44298</v>
          </cell>
          <cell r="R910">
            <v>44298</v>
          </cell>
          <cell r="S910"/>
          <cell r="T910">
            <v>44299</v>
          </cell>
          <cell r="U910">
            <v>44300</v>
          </cell>
          <cell r="V910">
            <v>44301</v>
          </cell>
          <cell r="W910">
            <v>44301</v>
          </cell>
          <cell r="X910">
            <v>41100234</v>
          </cell>
        </row>
        <row r="911">
          <cell r="K911" t="str">
            <v>GBWS-1300</v>
          </cell>
          <cell r="L911">
            <v>44354</v>
          </cell>
          <cell r="M911">
            <v>44355</v>
          </cell>
          <cell r="N911">
            <v>44371</v>
          </cell>
          <cell r="O911">
            <v>44355</v>
          </cell>
          <cell r="P911">
            <v>44372</v>
          </cell>
          <cell r="Q911">
            <v>44371</v>
          </cell>
          <cell r="R911">
            <v>44371</v>
          </cell>
          <cell r="S911"/>
          <cell r="T911">
            <v>44377</v>
          </cell>
          <cell r="U911">
            <v>44379</v>
          </cell>
          <cell r="V911">
            <v>44383</v>
          </cell>
          <cell r="W911">
            <v>44383</v>
          </cell>
          <cell r="X911">
            <v>41100254</v>
          </cell>
        </row>
        <row r="912">
          <cell r="K912" t="str">
            <v>GBWS-1301</v>
          </cell>
          <cell r="L912">
            <v>44354</v>
          </cell>
          <cell r="M912">
            <v>44355</v>
          </cell>
          <cell r="N912">
            <v>44371</v>
          </cell>
          <cell r="O912">
            <v>44355</v>
          </cell>
          <cell r="P912">
            <v>44372</v>
          </cell>
          <cell r="Q912">
            <v>44371</v>
          </cell>
          <cell r="R912">
            <v>44371</v>
          </cell>
          <cell r="S912"/>
          <cell r="T912">
            <v>44377</v>
          </cell>
          <cell r="U912">
            <v>44379</v>
          </cell>
          <cell r="V912">
            <v>44383</v>
          </cell>
          <cell r="W912">
            <v>44383</v>
          </cell>
          <cell r="X912">
            <v>41100254</v>
          </cell>
        </row>
        <row r="913">
          <cell r="K913" t="str">
            <v>GBWS-1302</v>
          </cell>
          <cell r="L913">
            <v>44354</v>
          </cell>
          <cell r="M913">
            <v>44355</v>
          </cell>
          <cell r="N913">
            <v>44371</v>
          </cell>
          <cell r="O913">
            <v>44355</v>
          </cell>
          <cell r="P913">
            <v>44372</v>
          </cell>
          <cell r="Q913">
            <v>44371</v>
          </cell>
          <cell r="R913">
            <v>44371</v>
          </cell>
          <cell r="S913"/>
          <cell r="T913">
            <v>44377</v>
          </cell>
          <cell r="U913">
            <v>44379</v>
          </cell>
          <cell r="V913">
            <v>44383</v>
          </cell>
          <cell r="W913">
            <v>44383</v>
          </cell>
          <cell r="X913">
            <v>41100223</v>
          </cell>
        </row>
        <row r="914">
          <cell r="K914" t="str">
            <v>GBWS-1303</v>
          </cell>
          <cell r="L914">
            <v>44354</v>
          </cell>
          <cell r="M914">
            <v>44355</v>
          </cell>
          <cell r="N914">
            <v>44371</v>
          </cell>
          <cell r="O914">
            <v>44355</v>
          </cell>
          <cell r="P914">
            <v>44372</v>
          </cell>
          <cell r="Q914">
            <v>44371</v>
          </cell>
          <cell r="R914">
            <v>44371</v>
          </cell>
          <cell r="S914"/>
          <cell r="T914">
            <v>44377</v>
          </cell>
          <cell r="U914">
            <v>44379</v>
          </cell>
          <cell r="V914">
            <v>44383</v>
          </cell>
          <cell r="W914">
            <v>44383</v>
          </cell>
          <cell r="X914">
            <v>41100223</v>
          </cell>
        </row>
        <row r="915">
          <cell r="K915" t="str">
            <v>GBWS-1323</v>
          </cell>
          <cell r="L915">
            <v>44356</v>
          </cell>
          <cell r="M915">
            <v>44357</v>
          </cell>
          <cell r="N915">
            <v>44374</v>
          </cell>
          <cell r="O915">
            <v>44357</v>
          </cell>
          <cell r="P915">
            <v>44375</v>
          </cell>
          <cell r="Q915" t="str">
            <v>6/22 → 6/25</v>
          </cell>
          <cell r="R915" t="str">
            <v>6/22 → 6/25</v>
          </cell>
          <cell r="S915"/>
          <cell r="T915">
            <v>44376</v>
          </cell>
          <cell r="U915">
            <v>44377</v>
          </cell>
          <cell r="V915">
            <v>44384</v>
          </cell>
          <cell r="W915">
            <v>44384</v>
          </cell>
          <cell r="X915">
            <v>41100206</v>
          </cell>
        </row>
        <row r="916">
          <cell r="K916" t="str">
            <v>GBWS-1324</v>
          </cell>
          <cell r="L916">
            <v>44356</v>
          </cell>
          <cell r="M916">
            <v>44357</v>
          </cell>
          <cell r="N916">
            <v>44374</v>
          </cell>
          <cell r="O916">
            <v>44357</v>
          </cell>
          <cell r="P916">
            <v>44375</v>
          </cell>
          <cell r="Q916" t="str">
            <v>6/22 → 6/25</v>
          </cell>
          <cell r="R916" t="str">
            <v>6/22 → 6/25</v>
          </cell>
          <cell r="S916"/>
          <cell r="T916">
            <v>44376</v>
          </cell>
          <cell r="U916">
            <v>44377</v>
          </cell>
          <cell r="V916">
            <v>44383</v>
          </cell>
          <cell r="W916">
            <v>44383</v>
          </cell>
          <cell r="X916">
            <v>41100207</v>
          </cell>
        </row>
        <row r="917">
          <cell r="K917" t="str">
            <v>DBW-2284</v>
          </cell>
          <cell r="L917">
            <v>44370</v>
          </cell>
          <cell r="M917">
            <v>44371</v>
          </cell>
          <cell r="N917">
            <v>44380</v>
          </cell>
          <cell r="O917">
            <v>44371</v>
          </cell>
          <cell r="P917">
            <v>44382</v>
          </cell>
          <cell r="Q917">
            <v>44382</v>
          </cell>
          <cell r="R917">
            <v>44382</v>
          </cell>
          <cell r="S917"/>
          <cell r="T917">
            <v>44383</v>
          </cell>
          <cell r="U917">
            <v>44384</v>
          </cell>
          <cell r="V917">
            <v>44385</v>
          </cell>
          <cell r="W917">
            <v>44385</v>
          </cell>
          <cell r="X917">
            <v>41100255</v>
          </cell>
        </row>
        <row r="918">
          <cell r="K918" t="str">
            <v>DBW-2285</v>
          </cell>
          <cell r="L918">
            <v>44370</v>
          </cell>
          <cell r="M918">
            <v>44371</v>
          </cell>
          <cell r="N918">
            <v>44380</v>
          </cell>
          <cell r="O918">
            <v>44371</v>
          </cell>
          <cell r="P918">
            <v>44382</v>
          </cell>
          <cell r="Q918">
            <v>44382</v>
          </cell>
          <cell r="R918">
            <v>44382</v>
          </cell>
          <cell r="S918"/>
          <cell r="T918">
            <v>44383</v>
          </cell>
          <cell r="U918">
            <v>44384</v>
          </cell>
          <cell r="V918">
            <v>44385</v>
          </cell>
          <cell r="W918">
            <v>44385</v>
          </cell>
          <cell r="X918">
            <v>41100255</v>
          </cell>
        </row>
        <row r="919">
          <cell r="K919" t="str">
            <v>DBW-2286</v>
          </cell>
          <cell r="L919">
            <v>44370</v>
          </cell>
          <cell r="M919">
            <v>44371</v>
          </cell>
          <cell r="N919">
            <v>44380</v>
          </cell>
          <cell r="O919">
            <v>44371</v>
          </cell>
          <cell r="P919">
            <v>44382</v>
          </cell>
          <cell r="Q919">
            <v>44382</v>
          </cell>
          <cell r="R919">
            <v>44382</v>
          </cell>
          <cell r="S919"/>
          <cell r="T919">
            <v>44383</v>
          </cell>
          <cell r="U919">
            <v>44384</v>
          </cell>
          <cell r="V919">
            <v>44385</v>
          </cell>
          <cell r="W919">
            <v>44385</v>
          </cell>
          <cell r="X919">
            <v>41100269</v>
          </cell>
        </row>
        <row r="920">
          <cell r="K920" t="str">
            <v>DBW-2292</v>
          </cell>
          <cell r="L920">
            <v>44371</v>
          </cell>
          <cell r="M920">
            <v>44371</v>
          </cell>
          <cell r="N920">
            <v>44382</v>
          </cell>
          <cell r="O920">
            <v>44371</v>
          </cell>
          <cell r="P920">
            <v>44382</v>
          </cell>
          <cell r="Q920">
            <v>44382</v>
          </cell>
          <cell r="R920">
            <v>44382</v>
          </cell>
          <cell r="S920"/>
          <cell r="T920">
            <v>44383</v>
          </cell>
          <cell r="U920">
            <v>44384</v>
          </cell>
          <cell r="V920">
            <v>44385</v>
          </cell>
          <cell r="W920">
            <v>44385</v>
          </cell>
          <cell r="X920">
            <v>41100230</v>
          </cell>
        </row>
        <row r="921">
          <cell r="K921" t="str">
            <v xml:space="preserve">GBWS-1369 </v>
          </cell>
          <cell r="L921">
            <v>44369</v>
          </cell>
          <cell r="M921">
            <v>44369</v>
          </cell>
          <cell r="N921">
            <v>44383</v>
          </cell>
          <cell r="O921">
            <v>44369</v>
          </cell>
          <cell r="P921">
            <v>44383</v>
          </cell>
          <cell r="Q921" t="str">
            <v>7/5 → 7/6</v>
          </cell>
          <cell r="R921" t="str">
            <v>7/5 → 7/6</v>
          </cell>
          <cell r="S921"/>
          <cell r="T921">
            <v>44384</v>
          </cell>
          <cell r="U921">
            <v>44385</v>
          </cell>
          <cell r="V921">
            <v>44385</v>
          </cell>
          <cell r="W921">
            <v>44385</v>
          </cell>
          <cell r="X921">
            <v>41100364</v>
          </cell>
        </row>
        <row r="922">
          <cell r="K922" t="str">
            <v>GBWS-1370</v>
          </cell>
          <cell r="L922">
            <v>44369</v>
          </cell>
          <cell r="M922">
            <v>44369</v>
          </cell>
          <cell r="N922">
            <v>44383</v>
          </cell>
          <cell r="O922">
            <v>44369</v>
          </cell>
          <cell r="P922">
            <v>44383</v>
          </cell>
          <cell r="Q922" t="str">
            <v>7/5 → 7/6</v>
          </cell>
          <cell r="R922" t="str">
            <v>7/5 → 7/6</v>
          </cell>
          <cell r="S922"/>
          <cell r="T922">
            <v>44384</v>
          </cell>
          <cell r="U922">
            <v>44385</v>
          </cell>
          <cell r="V922">
            <v>44385</v>
          </cell>
          <cell r="W922">
            <v>44385</v>
          </cell>
          <cell r="X922">
            <v>41100364</v>
          </cell>
        </row>
        <row r="923">
          <cell r="K923" t="str">
            <v>GBWS-1371</v>
          </cell>
          <cell r="L923">
            <v>44369</v>
          </cell>
          <cell r="M923">
            <v>44369</v>
          </cell>
          <cell r="N923">
            <v>44383</v>
          </cell>
          <cell r="O923">
            <v>44369</v>
          </cell>
          <cell r="P923">
            <v>44383</v>
          </cell>
          <cell r="Q923" t="str">
            <v>7/5 → 7/6</v>
          </cell>
          <cell r="R923" t="str">
            <v>7/5 → 7/6</v>
          </cell>
          <cell r="S923"/>
          <cell r="T923">
            <v>44384</v>
          </cell>
          <cell r="U923">
            <v>44385</v>
          </cell>
          <cell r="V923">
            <v>44385</v>
          </cell>
          <cell r="W923">
            <v>44385</v>
          </cell>
          <cell r="X923">
            <v>41100364</v>
          </cell>
        </row>
        <row r="924">
          <cell r="K924" t="str">
            <v>DBW-0770</v>
          </cell>
          <cell r="L924"/>
          <cell r="M924">
            <v>44372</v>
          </cell>
          <cell r="N924">
            <v>44381</v>
          </cell>
          <cell r="O924">
            <v>44372</v>
          </cell>
          <cell r="P924">
            <v>44378</v>
          </cell>
          <cell r="Q924">
            <v>44391</v>
          </cell>
          <cell r="R924">
            <v>44391</v>
          </cell>
          <cell r="S924"/>
          <cell r="T924">
            <v>44382</v>
          </cell>
          <cell r="U924">
            <v>44384</v>
          </cell>
          <cell r="V924">
            <v>44384</v>
          </cell>
          <cell r="W924">
            <v>44385</v>
          </cell>
          <cell r="X924">
            <v>31101575</v>
          </cell>
        </row>
        <row r="925">
          <cell r="K925" t="str">
            <v>DBW-2276</v>
          </cell>
          <cell r="L925">
            <v>44363</v>
          </cell>
          <cell r="M925">
            <v>44363</v>
          </cell>
          <cell r="N925">
            <v>44374</v>
          </cell>
          <cell r="O925">
            <v>44363</v>
          </cell>
          <cell r="P925">
            <v>44374</v>
          </cell>
          <cell r="Q925" t="str">
            <v>7/2 → 6/25</v>
          </cell>
          <cell r="R925" t="str">
            <v>7/2 → 6/25</v>
          </cell>
          <cell r="S925"/>
          <cell r="T925">
            <v>44375</v>
          </cell>
          <cell r="U925">
            <v>44376</v>
          </cell>
          <cell r="V925">
            <v>44377</v>
          </cell>
          <cell r="W925">
            <v>44377</v>
          </cell>
          <cell r="X925">
            <v>41100170</v>
          </cell>
        </row>
        <row r="926">
          <cell r="K926" t="str">
            <v>GBWS-1337</v>
          </cell>
          <cell r="L926">
            <v>44363</v>
          </cell>
          <cell r="M926">
            <v>44363</v>
          </cell>
          <cell r="N926">
            <v>44380</v>
          </cell>
          <cell r="O926">
            <v>44363</v>
          </cell>
          <cell r="P926">
            <v>44379</v>
          </cell>
          <cell r="Q926" t="str">
            <v>6/24 → 6/27 → 6/28 → 7/2 → 7/5</v>
          </cell>
          <cell r="R926" t="str">
            <v>6/24 → 6/27 → 6/28 → 7/2 → 7/5</v>
          </cell>
          <cell r="S926"/>
          <cell r="T926">
            <v>44383</v>
          </cell>
          <cell r="U926">
            <v>44384</v>
          </cell>
          <cell r="V926">
            <v>44385</v>
          </cell>
          <cell r="W926">
            <v>44386</v>
          </cell>
          <cell r="X926">
            <v>41100286</v>
          </cell>
        </row>
        <row r="927">
          <cell r="K927" t="str">
            <v>GBWS-1339</v>
          </cell>
          <cell r="L927">
            <v>44363</v>
          </cell>
          <cell r="M927">
            <v>44363</v>
          </cell>
          <cell r="N927">
            <v>44380</v>
          </cell>
          <cell r="O927">
            <v>44363</v>
          </cell>
          <cell r="P927">
            <v>44379</v>
          </cell>
          <cell r="Q927" t="str">
            <v>6/24 → 6/27 → 6/28 → 7/2 → 7/5</v>
          </cell>
          <cell r="R927" t="str">
            <v>6/24 → 6/27 → 6/28 → 7/2 → 7/5</v>
          </cell>
          <cell r="S927"/>
          <cell r="T927">
            <v>44383</v>
          </cell>
          <cell r="U927">
            <v>44384</v>
          </cell>
          <cell r="V927">
            <v>44385</v>
          </cell>
          <cell r="W927">
            <v>44386</v>
          </cell>
          <cell r="X927">
            <v>41100357</v>
          </cell>
        </row>
        <row r="928">
          <cell r="K928" t="str">
            <v>GPWS-0193</v>
          </cell>
          <cell r="L928">
            <v>44253</v>
          </cell>
          <cell r="M928">
            <v>44258</v>
          </cell>
          <cell r="N928">
            <v>44278</v>
          </cell>
          <cell r="O928">
            <v>44258</v>
          </cell>
          <cell r="P928">
            <v>44278</v>
          </cell>
          <cell r="Q928">
            <v>44268</v>
          </cell>
          <cell r="R928">
            <v>44268</v>
          </cell>
          <cell r="S928"/>
          <cell r="T928">
            <v>44284</v>
          </cell>
          <cell r="U928">
            <v>44364</v>
          </cell>
          <cell r="V928">
            <v>44365</v>
          </cell>
          <cell r="W928">
            <v>44368</v>
          </cell>
          <cell r="X928">
            <v>41100301</v>
          </cell>
        </row>
        <row r="929">
          <cell r="K929" t="str">
            <v>GPWS-0194</v>
          </cell>
          <cell r="L929">
            <v>44253</v>
          </cell>
          <cell r="M929">
            <v>44258</v>
          </cell>
          <cell r="N929">
            <v>44278</v>
          </cell>
          <cell r="O929">
            <v>44258</v>
          </cell>
          <cell r="P929">
            <v>44278</v>
          </cell>
          <cell r="Q929">
            <v>44268</v>
          </cell>
          <cell r="R929">
            <v>44268</v>
          </cell>
          <cell r="S929"/>
          <cell r="T929">
            <v>44284</v>
          </cell>
          <cell r="U929">
            <v>44364</v>
          </cell>
          <cell r="V929">
            <v>44365</v>
          </cell>
          <cell r="W929">
            <v>44368</v>
          </cell>
          <cell r="X929">
            <v>41100301</v>
          </cell>
        </row>
        <row r="930">
          <cell r="K930" t="str">
            <v>DBW-1986</v>
          </cell>
          <cell r="L930">
            <v>44217</v>
          </cell>
          <cell r="M930">
            <v>44218</v>
          </cell>
          <cell r="N930">
            <v>44228</v>
          </cell>
          <cell r="O930">
            <v>44218</v>
          </cell>
          <cell r="P930">
            <v>44228</v>
          </cell>
          <cell r="Q930"/>
          <cell r="R930"/>
          <cell r="S930"/>
          <cell r="T930">
            <v>44229</v>
          </cell>
          <cell r="U930">
            <v>44230</v>
          </cell>
          <cell r="V930">
            <v>44230</v>
          </cell>
          <cell r="W930">
            <v>44231</v>
          </cell>
          <cell r="X930">
            <v>41100170</v>
          </cell>
        </row>
        <row r="931">
          <cell r="K931" t="str">
            <v>GBWS-1167</v>
          </cell>
          <cell r="L931">
            <v>44316</v>
          </cell>
          <cell r="M931">
            <v>44319</v>
          </cell>
          <cell r="N931">
            <v>44337</v>
          </cell>
          <cell r="O931">
            <v>44319</v>
          </cell>
          <cell r="P931">
            <v>44336</v>
          </cell>
          <cell r="Q931">
            <v>44336</v>
          </cell>
          <cell r="R931">
            <v>44336</v>
          </cell>
          <cell r="S931"/>
          <cell r="T931">
            <v>44337</v>
          </cell>
          <cell r="U931">
            <v>44341</v>
          </cell>
          <cell r="V931">
            <v>44342</v>
          </cell>
          <cell r="W931">
            <v>44343</v>
          </cell>
          <cell r="X931">
            <v>41100293</v>
          </cell>
        </row>
        <row r="932">
          <cell r="K932" t="str">
            <v>DBW-2283</v>
          </cell>
          <cell r="L932">
            <v>44368</v>
          </cell>
          <cell r="M932">
            <v>44368</v>
          </cell>
          <cell r="N932">
            <v>44382</v>
          </cell>
          <cell r="O932">
            <v>44368</v>
          </cell>
          <cell r="P932">
            <v>44383</v>
          </cell>
          <cell r="Q932" t="str">
            <v>7/2 → 7/5</v>
          </cell>
          <cell r="R932" t="str">
            <v>7/2 → 7/5</v>
          </cell>
          <cell r="S932"/>
          <cell r="T932">
            <v>44384</v>
          </cell>
          <cell r="U932">
            <v>44389</v>
          </cell>
          <cell r="V932">
            <v>44389</v>
          </cell>
          <cell r="W932">
            <v>44389</v>
          </cell>
          <cell r="X932">
            <v>41100354</v>
          </cell>
        </row>
        <row r="933">
          <cell r="K933" t="str">
            <v>DBW-2279</v>
          </cell>
          <cell r="L933">
            <v>44368</v>
          </cell>
          <cell r="M933">
            <v>44368</v>
          </cell>
          <cell r="N933">
            <v>44382</v>
          </cell>
          <cell r="O933">
            <v>44368</v>
          </cell>
          <cell r="P933">
            <v>44382</v>
          </cell>
          <cell r="Q933" t="str">
            <v>7/2 → 7/5</v>
          </cell>
          <cell r="R933" t="str">
            <v>7/2 → 7/5</v>
          </cell>
          <cell r="S933"/>
          <cell r="T933">
            <v>44384</v>
          </cell>
          <cell r="U933">
            <v>44386</v>
          </cell>
          <cell r="V933">
            <v>44386</v>
          </cell>
          <cell r="W933">
            <v>44389</v>
          </cell>
          <cell r="X933">
            <v>41100360</v>
          </cell>
        </row>
        <row r="934">
          <cell r="K934" t="str">
            <v>DBW-2280</v>
          </cell>
          <cell r="L934">
            <v>44368</v>
          </cell>
          <cell r="M934">
            <v>44368</v>
          </cell>
          <cell r="N934">
            <v>44382</v>
          </cell>
          <cell r="O934">
            <v>44368</v>
          </cell>
          <cell r="P934">
            <v>44382</v>
          </cell>
          <cell r="Q934" t="str">
            <v>7/2 → 7/5</v>
          </cell>
          <cell r="R934" t="str">
            <v>7/2 → 7/5</v>
          </cell>
          <cell r="S934"/>
          <cell r="T934">
            <v>44384</v>
          </cell>
          <cell r="U934">
            <v>44386</v>
          </cell>
          <cell r="V934">
            <v>44386</v>
          </cell>
          <cell r="W934">
            <v>44389</v>
          </cell>
          <cell r="X934">
            <v>41100360</v>
          </cell>
        </row>
        <row r="935">
          <cell r="K935" t="str">
            <v>DBW-2281</v>
          </cell>
          <cell r="L935">
            <v>44368</v>
          </cell>
          <cell r="M935">
            <v>44368</v>
          </cell>
          <cell r="N935">
            <v>44382</v>
          </cell>
          <cell r="O935">
            <v>44368</v>
          </cell>
          <cell r="P935">
            <v>44382</v>
          </cell>
          <cell r="Q935" t="str">
            <v>7/2 → 7/5</v>
          </cell>
          <cell r="R935" t="str">
            <v>7/2 → 7/5</v>
          </cell>
          <cell r="S935"/>
          <cell r="T935">
            <v>44384</v>
          </cell>
          <cell r="U935">
            <v>44386</v>
          </cell>
          <cell r="V935">
            <v>44386</v>
          </cell>
          <cell r="W935">
            <v>44389</v>
          </cell>
          <cell r="X935">
            <v>41100360</v>
          </cell>
        </row>
        <row r="936">
          <cell r="K936" t="str">
            <v>DBW-2282</v>
          </cell>
          <cell r="L936">
            <v>44368</v>
          </cell>
          <cell r="M936">
            <v>44368</v>
          </cell>
          <cell r="N936">
            <v>44382</v>
          </cell>
          <cell r="O936">
            <v>44368</v>
          </cell>
          <cell r="P936">
            <v>44382</v>
          </cell>
          <cell r="Q936" t="str">
            <v>7/2 → 7/5</v>
          </cell>
          <cell r="R936" t="str">
            <v>7/2 → 7/5</v>
          </cell>
          <cell r="S936"/>
          <cell r="T936">
            <v>44384</v>
          </cell>
          <cell r="U936">
            <v>44386</v>
          </cell>
          <cell r="V936">
            <v>44386</v>
          </cell>
          <cell r="W936">
            <v>44389</v>
          </cell>
          <cell r="X936">
            <v>41100360</v>
          </cell>
        </row>
        <row r="937">
          <cell r="K937" t="str">
            <v>GBWS-1357</v>
          </cell>
          <cell r="L937">
            <v>44368</v>
          </cell>
          <cell r="M937">
            <v>44369</v>
          </cell>
          <cell r="N937">
            <v>44385</v>
          </cell>
          <cell r="O937">
            <v>44369</v>
          </cell>
          <cell r="P937">
            <v>44386</v>
          </cell>
          <cell r="Q937" t="str">
            <v>7/5 → 7/8</v>
          </cell>
          <cell r="R937" t="str">
            <v>7/5 → 7/8</v>
          </cell>
          <cell r="S937"/>
          <cell r="T937">
            <v>44386</v>
          </cell>
          <cell r="U937">
            <v>44389</v>
          </cell>
          <cell r="V937">
            <v>44389</v>
          </cell>
          <cell r="W937">
            <v>44390</v>
          </cell>
          <cell r="X937">
            <v>41100224</v>
          </cell>
        </row>
        <row r="938">
          <cell r="K938" t="str">
            <v>GBWS-1358</v>
          </cell>
          <cell r="L938">
            <v>44368</v>
          </cell>
          <cell r="M938">
            <v>44369</v>
          </cell>
          <cell r="N938">
            <v>44385</v>
          </cell>
          <cell r="O938">
            <v>44369</v>
          </cell>
          <cell r="P938">
            <v>44386</v>
          </cell>
          <cell r="Q938" t="str">
            <v>7/5 → 7/8</v>
          </cell>
          <cell r="R938" t="str">
            <v>7/5 → 7/8</v>
          </cell>
          <cell r="S938"/>
          <cell r="T938">
            <v>44386</v>
          </cell>
          <cell r="U938">
            <v>44389</v>
          </cell>
          <cell r="V938">
            <v>44389</v>
          </cell>
          <cell r="W938">
            <v>44390</v>
          </cell>
          <cell r="X938">
            <v>41100224</v>
          </cell>
        </row>
        <row r="939">
          <cell r="K939" t="str">
            <v xml:space="preserve"> - </v>
          </cell>
          <cell r="L939"/>
          <cell r="M939">
            <v>44369</v>
          </cell>
          <cell r="N939">
            <v>44375</v>
          </cell>
          <cell r="O939"/>
          <cell r="P939">
            <v>0</v>
          </cell>
          <cell r="Q939" t="str">
            <v>6/24 → 6/25</v>
          </cell>
          <cell r="R939" t="str">
            <v>6/24 → 6/25</v>
          </cell>
          <cell r="S939"/>
          <cell r="T939"/>
          <cell r="U939"/>
          <cell r="V939"/>
          <cell r="W939"/>
          <cell r="X939">
            <v>39100007</v>
          </cell>
        </row>
        <row r="940">
          <cell r="K940" t="str">
            <v>DBW-2206</v>
          </cell>
          <cell r="L940">
            <v>44316</v>
          </cell>
          <cell r="M940">
            <v>44319</v>
          </cell>
          <cell r="N940">
            <v>44342</v>
          </cell>
          <cell r="O940">
            <v>44319</v>
          </cell>
          <cell r="P940">
            <v>44341</v>
          </cell>
          <cell r="Q940">
            <v>44337</v>
          </cell>
          <cell r="R940">
            <v>44337</v>
          </cell>
          <cell r="S940"/>
          <cell r="T940">
            <v>44342</v>
          </cell>
          <cell r="U940">
            <v>44343</v>
          </cell>
          <cell r="V940">
            <v>44344</v>
          </cell>
          <cell r="W940">
            <v>44345</v>
          </cell>
          <cell r="X940">
            <v>41100258</v>
          </cell>
        </row>
        <row r="941">
          <cell r="K941" t="str">
            <v>DBW-2287</v>
          </cell>
          <cell r="L941">
            <v>44370</v>
          </cell>
          <cell r="M941">
            <v>44371</v>
          </cell>
          <cell r="N941">
            <v>44386</v>
          </cell>
          <cell r="O941">
            <v>44371</v>
          </cell>
          <cell r="P941">
            <v>44386</v>
          </cell>
          <cell r="Q941">
            <v>44388</v>
          </cell>
          <cell r="R941">
            <v>44388</v>
          </cell>
          <cell r="S941"/>
          <cell r="T941">
            <v>44389</v>
          </cell>
          <cell r="U941">
            <v>44390</v>
          </cell>
          <cell r="V941">
            <v>44390</v>
          </cell>
          <cell r="W941">
            <v>44391</v>
          </cell>
          <cell r="X941">
            <v>41100170</v>
          </cell>
        </row>
        <row r="942">
          <cell r="K942" t="str">
            <v>DBW-2288</v>
          </cell>
          <cell r="L942">
            <v>44370</v>
          </cell>
          <cell r="M942">
            <v>44371</v>
          </cell>
          <cell r="N942">
            <v>44386</v>
          </cell>
          <cell r="O942">
            <v>44371</v>
          </cell>
          <cell r="P942">
            <v>44386</v>
          </cell>
          <cell r="Q942">
            <v>44388</v>
          </cell>
          <cell r="R942">
            <v>44388</v>
          </cell>
          <cell r="S942"/>
          <cell r="T942">
            <v>44389</v>
          </cell>
          <cell r="U942">
            <v>44390</v>
          </cell>
          <cell r="V942">
            <v>44390</v>
          </cell>
          <cell r="W942">
            <v>44391</v>
          </cell>
          <cell r="X942">
            <v>41100170</v>
          </cell>
        </row>
        <row r="943">
          <cell r="K943" t="str">
            <v>GBWS-1290</v>
          </cell>
          <cell r="L943">
            <v>44349</v>
          </cell>
          <cell r="M943">
            <v>44350</v>
          </cell>
          <cell r="N943">
            <v>44364</v>
          </cell>
          <cell r="O943">
            <v>44350</v>
          </cell>
          <cell r="P943">
            <v>44364</v>
          </cell>
          <cell r="Q943" t="str">
            <v>6/15 / 6/16 오전</v>
          </cell>
          <cell r="R943" t="str">
            <v>6/15 / 6/16 오전</v>
          </cell>
          <cell r="S943"/>
          <cell r="T943">
            <v>44368</v>
          </cell>
          <cell r="U943">
            <v>44368</v>
          </cell>
          <cell r="V943">
            <v>44369</v>
          </cell>
          <cell r="W943">
            <v>44369</v>
          </cell>
          <cell r="X943">
            <v>41100168</v>
          </cell>
        </row>
        <row r="944">
          <cell r="K944" t="str">
            <v>GBWS-1295</v>
          </cell>
          <cell r="L944">
            <v>44349</v>
          </cell>
          <cell r="M944">
            <v>44350</v>
          </cell>
          <cell r="N944">
            <v>44364</v>
          </cell>
          <cell r="O944">
            <v>44350</v>
          </cell>
          <cell r="P944">
            <v>44364</v>
          </cell>
          <cell r="Q944" t="str">
            <v>6/15 / 6/16 오전</v>
          </cell>
          <cell r="R944" t="str">
            <v>6/15 / 6/16 오전</v>
          </cell>
          <cell r="S944"/>
          <cell r="T944">
            <v>44365</v>
          </cell>
          <cell r="U944">
            <v>44368</v>
          </cell>
          <cell r="V944">
            <v>44369</v>
          </cell>
          <cell r="W944">
            <v>44369</v>
          </cell>
          <cell r="X944">
            <v>41100168</v>
          </cell>
        </row>
        <row r="945">
          <cell r="K945" t="str">
            <v>GBWS-1286</v>
          </cell>
          <cell r="L945">
            <v>44348</v>
          </cell>
          <cell r="M945">
            <v>44349</v>
          </cell>
          <cell r="N945">
            <v>44367</v>
          </cell>
          <cell r="O945">
            <v>44349</v>
          </cell>
          <cell r="P945">
            <v>44368</v>
          </cell>
          <cell r="Q945">
            <v>44367</v>
          </cell>
          <cell r="R945">
            <v>44367</v>
          </cell>
          <cell r="S945"/>
          <cell r="T945">
            <v>44370</v>
          </cell>
          <cell r="U945">
            <v>44373</v>
          </cell>
          <cell r="V945">
            <v>44375</v>
          </cell>
          <cell r="W945">
            <v>44375</v>
          </cell>
          <cell r="X945">
            <v>41100287</v>
          </cell>
        </row>
        <row r="946">
          <cell r="K946" t="str">
            <v>GBWS-1287</v>
          </cell>
          <cell r="L946">
            <v>44348</v>
          </cell>
          <cell r="M946">
            <v>44349</v>
          </cell>
          <cell r="N946">
            <v>44367</v>
          </cell>
          <cell r="O946">
            <v>44349</v>
          </cell>
          <cell r="P946">
            <v>44368</v>
          </cell>
          <cell r="Q946">
            <v>44367</v>
          </cell>
          <cell r="R946">
            <v>44367</v>
          </cell>
          <cell r="S946"/>
          <cell r="T946">
            <v>44370</v>
          </cell>
          <cell r="U946">
            <v>44373</v>
          </cell>
          <cell r="V946">
            <v>44375</v>
          </cell>
          <cell r="W946">
            <v>44375</v>
          </cell>
          <cell r="X946">
            <v>41100287</v>
          </cell>
        </row>
        <row r="947">
          <cell r="K947" t="str">
            <v>GBWS-1288</v>
          </cell>
          <cell r="L947">
            <v>44348</v>
          </cell>
          <cell r="M947">
            <v>44349</v>
          </cell>
          <cell r="N947">
            <v>44367</v>
          </cell>
          <cell r="O947">
            <v>44349</v>
          </cell>
          <cell r="P947">
            <v>44368</v>
          </cell>
          <cell r="Q947">
            <v>44367</v>
          </cell>
          <cell r="R947">
            <v>44367</v>
          </cell>
          <cell r="S947"/>
          <cell r="T947">
            <v>44370</v>
          </cell>
          <cell r="U947">
            <v>44373</v>
          </cell>
          <cell r="V947">
            <v>44375</v>
          </cell>
          <cell r="W947">
            <v>44375</v>
          </cell>
          <cell r="X947">
            <v>41100287</v>
          </cell>
        </row>
        <row r="948">
          <cell r="K948" t="str">
            <v>WS-0040</v>
          </cell>
          <cell r="L948">
            <v>44363</v>
          </cell>
          <cell r="M948">
            <v>44363</v>
          </cell>
          <cell r="N948">
            <v>44371</v>
          </cell>
          <cell r="O948">
            <v>44363</v>
          </cell>
          <cell r="P948">
            <v>44371</v>
          </cell>
          <cell r="Q948">
            <v>44371</v>
          </cell>
          <cell r="R948">
            <v>44371</v>
          </cell>
          <cell r="S948"/>
          <cell r="T948">
            <v>44377</v>
          </cell>
          <cell r="U948">
            <v>44378</v>
          </cell>
          <cell r="V948">
            <v>44380</v>
          </cell>
          <cell r="W948">
            <v>44380</v>
          </cell>
          <cell r="X948">
            <v>41100238</v>
          </cell>
        </row>
        <row r="949">
          <cell r="K949" t="str">
            <v>GBWS-1325</v>
          </cell>
          <cell r="L949">
            <v>44361</v>
          </cell>
          <cell r="M949">
            <v>44362</v>
          </cell>
          <cell r="N949">
            <v>44375</v>
          </cell>
          <cell r="O949">
            <v>44362</v>
          </cell>
          <cell r="P949">
            <v>44378</v>
          </cell>
          <cell r="Q949">
            <v>44379</v>
          </cell>
          <cell r="R949">
            <v>44379</v>
          </cell>
          <cell r="S949"/>
          <cell r="T949">
            <v>44379</v>
          </cell>
          <cell r="U949">
            <v>44382</v>
          </cell>
          <cell r="V949">
            <v>44385</v>
          </cell>
          <cell r="W949">
            <v>44386</v>
          </cell>
          <cell r="X949">
            <v>41100168</v>
          </cell>
        </row>
        <row r="950">
          <cell r="K950" t="str">
            <v>GBWS-1326</v>
          </cell>
          <cell r="L950">
            <v>44361</v>
          </cell>
          <cell r="M950">
            <v>44362</v>
          </cell>
          <cell r="N950">
            <v>44375</v>
          </cell>
          <cell r="O950">
            <v>44362</v>
          </cell>
          <cell r="P950">
            <v>44378</v>
          </cell>
          <cell r="Q950">
            <v>44379</v>
          </cell>
          <cell r="R950">
            <v>44379</v>
          </cell>
          <cell r="S950"/>
          <cell r="T950">
            <v>44383</v>
          </cell>
          <cell r="U950">
            <v>44383</v>
          </cell>
          <cell r="V950">
            <v>44385</v>
          </cell>
          <cell r="W950">
            <v>44386</v>
          </cell>
          <cell r="X950">
            <v>41100168</v>
          </cell>
        </row>
        <row r="951">
          <cell r="K951" t="str">
            <v>GBWS-1340</v>
          </cell>
          <cell r="L951">
            <v>44363</v>
          </cell>
          <cell r="M951">
            <v>44363</v>
          </cell>
          <cell r="N951">
            <v>44377</v>
          </cell>
          <cell r="O951">
            <v>44363</v>
          </cell>
          <cell r="P951">
            <v>44376</v>
          </cell>
          <cell r="Q951">
            <v>44381</v>
          </cell>
          <cell r="R951">
            <v>44381</v>
          </cell>
          <cell r="S951"/>
          <cell r="T951">
            <v>44385</v>
          </cell>
          <cell r="U951">
            <v>44389</v>
          </cell>
          <cell r="V951">
            <v>44390</v>
          </cell>
          <cell r="W951">
            <v>44390</v>
          </cell>
          <cell r="X951">
            <v>41100287</v>
          </cell>
        </row>
        <row r="952">
          <cell r="K952" t="str">
            <v>GBWS-1347</v>
          </cell>
          <cell r="L952">
            <v>44363</v>
          </cell>
          <cell r="M952">
            <v>44363</v>
          </cell>
          <cell r="N952">
            <v>44377</v>
          </cell>
          <cell r="O952">
            <v>44363</v>
          </cell>
          <cell r="P952">
            <v>44378</v>
          </cell>
          <cell r="Q952">
            <v>44381</v>
          </cell>
          <cell r="R952">
            <v>44381</v>
          </cell>
          <cell r="S952"/>
          <cell r="T952">
            <v>44385</v>
          </cell>
          <cell r="U952">
            <v>44390</v>
          </cell>
          <cell r="V952">
            <v>44390</v>
          </cell>
          <cell r="W952">
            <v>44390</v>
          </cell>
          <cell r="X952" t="str">
            <v>41100288 → 41100344</v>
          </cell>
        </row>
        <row r="953">
          <cell r="K953" t="str">
            <v>GBWS-1348</v>
          </cell>
          <cell r="L953">
            <v>44363</v>
          </cell>
          <cell r="M953">
            <v>44363</v>
          </cell>
          <cell r="N953">
            <v>44377</v>
          </cell>
          <cell r="O953">
            <v>44363</v>
          </cell>
          <cell r="P953">
            <v>44378</v>
          </cell>
          <cell r="Q953">
            <v>44381</v>
          </cell>
          <cell r="R953">
            <v>44381</v>
          </cell>
          <cell r="S953"/>
          <cell r="T953">
            <v>44385</v>
          </cell>
          <cell r="U953">
            <v>44390</v>
          </cell>
          <cell r="V953">
            <v>44391</v>
          </cell>
          <cell r="W953">
            <v>44391</v>
          </cell>
          <cell r="X953" t="str">
            <v>41100288 → 41100344</v>
          </cell>
        </row>
        <row r="954">
          <cell r="K954" t="str">
            <v>GBWS-1349</v>
          </cell>
          <cell r="L954">
            <v>44363</v>
          </cell>
          <cell r="M954">
            <v>44363</v>
          </cell>
          <cell r="N954">
            <v>44377</v>
          </cell>
          <cell r="O954">
            <v>44363</v>
          </cell>
          <cell r="P954">
            <v>44378</v>
          </cell>
          <cell r="Q954">
            <v>44381</v>
          </cell>
          <cell r="R954">
            <v>44381</v>
          </cell>
          <cell r="S954"/>
          <cell r="T954">
            <v>44385</v>
          </cell>
          <cell r="U954">
            <v>44390</v>
          </cell>
          <cell r="V954">
            <v>44391</v>
          </cell>
          <cell r="W954">
            <v>44391</v>
          </cell>
          <cell r="X954" t="str">
            <v>41100288 → 41100344</v>
          </cell>
        </row>
        <row r="955">
          <cell r="K955" t="str">
            <v>GBWS-1350</v>
          </cell>
          <cell r="L955">
            <v>44363</v>
          </cell>
          <cell r="M955">
            <v>44363</v>
          </cell>
          <cell r="N955">
            <v>44377</v>
          </cell>
          <cell r="O955">
            <v>44363</v>
          </cell>
          <cell r="P955">
            <v>44378</v>
          </cell>
          <cell r="Q955">
            <v>44381</v>
          </cell>
          <cell r="R955">
            <v>44381</v>
          </cell>
          <cell r="S955"/>
          <cell r="T955">
            <v>44385</v>
          </cell>
          <cell r="U955">
            <v>44390</v>
          </cell>
          <cell r="V955">
            <v>44390</v>
          </cell>
          <cell r="W955">
            <v>44390</v>
          </cell>
          <cell r="X955" t="str">
            <v>41100288 → 41100344</v>
          </cell>
        </row>
        <row r="956">
          <cell r="K956" t="str">
            <v>DBW-2293</v>
          </cell>
          <cell r="L956">
            <v>44375</v>
          </cell>
          <cell r="M956">
            <v>44376</v>
          </cell>
          <cell r="N956">
            <v>44384</v>
          </cell>
          <cell r="O956">
            <v>44376</v>
          </cell>
          <cell r="P956">
            <v>44386</v>
          </cell>
          <cell r="Q956">
            <v>44385</v>
          </cell>
          <cell r="R956">
            <v>44385</v>
          </cell>
          <cell r="S956"/>
          <cell r="T956">
            <v>44389</v>
          </cell>
          <cell r="U956">
            <v>44390</v>
          </cell>
          <cell r="V956">
            <v>44391</v>
          </cell>
          <cell r="W956">
            <v>44391</v>
          </cell>
          <cell r="X956">
            <v>41100170</v>
          </cell>
        </row>
        <row r="957">
          <cell r="K957" t="str">
            <v>DBW-2294</v>
          </cell>
          <cell r="L957">
            <v>44375</v>
          </cell>
          <cell r="M957">
            <v>44376</v>
          </cell>
          <cell r="N957">
            <v>44384</v>
          </cell>
          <cell r="O957">
            <v>44376</v>
          </cell>
          <cell r="P957">
            <v>44386</v>
          </cell>
          <cell r="Q957">
            <v>44385</v>
          </cell>
          <cell r="R957">
            <v>44385</v>
          </cell>
          <cell r="S957"/>
          <cell r="T957">
            <v>44389</v>
          </cell>
          <cell r="U957">
            <v>44390</v>
          </cell>
          <cell r="V957">
            <v>44391</v>
          </cell>
          <cell r="W957">
            <v>44391</v>
          </cell>
          <cell r="X957">
            <v>41100170</v>
          </cell>
        </row>
        <row r="958">
          <cell r="K958" t="str">
            <v>GBWS-0139</v>
          </cell>
          <cell r="L958">
            <v>44357</v>
          </cell>
          <cell r="M958">
            <v>44357</v>
          </cell>
          <cell r="N958">
            <v>44378</v>
          </cell>
          <cell r="O958">
            <v>44357</v>
          </cell>
          <cell r="P958">
            <v>44378</v>
          </cell>
          <cell r="Q958" t="str">
            <v>6/24 → 6/28 → 6/29</v>
          </cell>
          <cell r="R958" t="str">
            <v>6/24 → 6/28 → 6/29</v>
          </cell>
          <cell r="S958"/>
          <cell r="T958">
            <v>44379</v>
          </cell>
          <cell r="U958">
            <v>44391</v>
          </cell>
          <cell r="V958">
            <v>44392</v>
          </cell>
          <cell r="W958">
            <v>44392</v>
          </cell>
          <cell r="X958">
            <v>31101520</v>
          </cell>
        </row>
        <row r="959">
          <cell r="K959" t="str">
            <v>GBWS-1268</v>
          </cell>
          <cell r="L959">
            <v>44342</v>
          </cell>
          <cell r="M959">
            <v>44379</v>
          </cell>
          <cell r="N959">
            <v>44390</v>
          </cell>
          <cell r="O959">
            <v>44379</v>
          </cell>
          <cell r="P959">
            <v>44390</v>
          </cell>
          <cell r="Q959">
            <v>44385</v>
          </cell>
          <cell r="R959">
            <v>44385</v>
          </cell>
          <cell r="S959"/>
          <cell r="T959">
            <v>44393</v>
          </cell>
          <cell r="U959">
            <v>44393</v>
          </cell>
          <cell r="V959">
            <v>44393</v>
          </cell>
          <cell r="W959">
            <v>44393</v>
          </cell>
          <cell r="X959">
            <v>41100352</v>
          </cell>
        </row>
        <row r="960">
          <cell r="K960" t="str">
            <v>GBWS-1169</v>
          </cell>
          <cell r="L960">
            <v>44316</v>
          </cell>
          <cell r="M960">
            <v>44319</v>
          </cell>
          <cell r="N960">
            <v>44337</v>
          </cell>
          <cell r="O960">
            <v>44319</v>
          </cell>
          <cell r="P960">
            <v>44336</v>
          </cell>
          <cell r="Q960">
            <v>44336</v>
          </cell>
          <cell r="R960">
            <v>44336</v>
          </cell>
          <cell r="S960"/>
          <cell r="T960">
            <v>44337</v>
          </cell>
          <cell r="U960">
            <v>44370</v>
          </cell>
          <cell r="V960">
            <v>44371</v>
          </cell>
          <cell r="W960">
            <v>44371</v>
          </cell>
          <cell r="X960">
            <v>41100293</v>
          </cell>
        </row>
        <row r="961">
          <cell r="K961" t="str">
            <v>DBW-2295</v>
          </cell>
          <cell r="L961">
            <v>44378</v>
          </cell>
          <cell r="M961">
            <v>44379</v>
          </cell>
          <cell r="N961">
            <v>44389</v>
          </cell>
          <cell r="O961">
            <v>44379</v>
          </cell>
          <cell r="P961">
            <v>44389</v>
          </cell>
          <cell r="Q961">
            <v>44390</v>
          </cell>
          <cell r="R961">
            <v>44390</v>
          </cell>
          <cell r="S961"/>
          <cell r="T961">
            <v>44391</v>
          </cell>
          <cell r="U961">
            <v>44392</v>
          </cell>
          <cell r="V961">
            <v>44393</v>
          </cell>
          <cell r="W961">
            <v>44393</v>
          </cell>
          <cell r="X961">
            <v>41100174</v>
          </cell>
        </row>
        <row r="962">
          <cell r="K962" t="str">
            <v>DBW-2296</v>
          </cell>
          <cell r="L962">
            <v>44378</v>
          </cell>
          <cell r="M962">
            <v>44379</v>
          </cell>
          <cell r="N962">
            <v>44389</v>
          </cell>
          <cell r="O962">
            <v>44379</v>
          </cell>
          <cell r="P962">
            <v>44389</v>
          </cell>
          <cell r="Q962">
            <v>44390</v>
          </cell>
          <cell r="R962">
            <v>44390</v>
          </cell>
          <cell r="S962"/>
          <cell r="T962">
            <v>44391</v>
          </cell>
          <cell r="U962">
            <v>44392</v>
          </cell>
          <cell r="V962">
            <v>44393</v>
          </cell>
          <cell r="W962">
            <v>44393</v>
          </cell>
          <cell r="X962">
            <v>41100175</v>
          </cell>
        </row>
        <row r="963">
          <cell r="K963" t="str">
            <v>SOS-0240</v>
          </cell>
          <cell r="L963">
            <v>44384</v>
          </cell>
          <cell r="M963">
            <v>44385</v>
          </cell>
          <cell r="N963">
            <v>44390</v>
          </cell>
          <cell r="O963">
            <v>44385</v>
          </cell>
          <cell r="P963">
            <v>44391</v>
          </cell>
          <cell r="Q963">
            <v>44390</v>
          </cell>
          <cell r="R963">
            <v>44390</v>
          </cell>
          <cell r="S963"/>
          <cell r="T963">
            <v>44392</v>
          </cell>
          <cell r="U963">
            <v>44392</v>
          </cell>
          <cell r="V963">
            <v>44393</v>
          </cell>
          <cell r="W963">
            <v>44394</v>
          </cell>
          <cell r="X963">
            <v>41100182</v>
          </cell>
        </row>
        <row r="964">
          <cell r="K964" t="str">
            <v>SOS-0241</v>
          </cell>
          <cell r="L964">
            <v>44384</v>
          </cell>
          <cell r="M964">
            <v>44385</v>
          </cell>
          <cell r="N964">
            <v>44390</v>
          </cell>
          <cell r="O964">
            <v>44385</v>
          </cell>
          <cell r="P964">
            <v>44391</v>
          </cell>
          <cell r="Q964">
            <v>44390</v>
          </cell>
          <cell r="R964">
            <v>44390</v>
          </cell>
          <cell r="S964"/>
          <cell r="T964">
            <v>44392</v>
          </cell>
          <cell r="U964">
            <v>44392</v>
          </cell>
          <cell r="V964">
            <v>44393</v>
          </cell>
          <cell r="W964">
            <v>44394</v>
          </cell>
          <cell r="X964">
            <v>41100182</v>
          </cell>
        </row>
        <row r="965">
          <cell r="K965" t="str">
            <v>SOS-0242</v>
          </cell>
          <cell r="L965">
            <v>44384</v>
          </cell>
          <cell r="M965">
            <v>44385</v>
          </cell>
          <cell r="N965">
            <v>44390</v>
          </cell>
          <cell r="O965">
            <v>44385</v>
          </cell>
          <cell r="P965">
            <v>44391</v>
          </cell>
          <cell r="Q965">
            <v>44390</v>
          </cell>
          <cell r="R965">
            <v>44390</v>
          </cell>
          <cell r="S965"/>
          <cell r="T965">
            <v>44392</v>
          </cell>
          <cell r="U965">
            <v>44392</v>
          </cell>
          <cell r="V965">
            <v>44393</v>
          </cell>
          <cell r="W965">
            <v>44394</v>
          </cell>
          <cell r="X965">
            <v>41100182</v>
          </cell>
        </row>
        <row r="966">
          <cell r="K966" t="str">
            <v>GBWS-1289</v>
          </cell>
          <cell r="L966">
            <v>44348</v>
          </cell>
          <cell r="M966">
            <v>44349</v>
          </cell>
          <cell r="N966">
            <v>44375</v>
          </cell>
          <cell r="O966">
            <v>44349</v>
          </cell>
          <cell r="P966">
            <v>44376</v>
          </cell>
          <cell r="Q966">
            <v>44374</v>
          </cell>
          <cell r="R966">
            <v>44374</v>
          </cell>
          <cell r="S966"/>
          <cell r="T966">
            <v>44377</v>
          </cell>
          <cell r="U966">
            <v>44378</v>
          </cell>
          <cell r="V966">
            <v>44383</v>
          </cell>
          <cell r="W966">
            <v>44383</v>
          </cell>
          <cell r="X966">
            <v>41100317</v>
          </cell>
        </row>
        <row r="967">
          <cell r="K967" t="str">
            <v>GBWS-1359</v>
          </cell>
          <cell r="L967">
            <v>44369</v>
          </cell>
          <cell r="M967">
            <v>44369</v>
          </cell>
          <cell r="N967">
            <v>44382</v>
          </cell>
          <cell r="O967">
            <v>44369</v>
          </cell>
          <cell r="P967">
            <v>44384</v>
          </cell>
          <cell r="Q967">
            <v>44385</v>
          </cell>
          <cell r="R967">
            <v>44385</v>
          </cell>
          <cell r="S967"/>
          <cell r="T967">
            <v>44390</v>
          </cell>
          <cell r="U967">
            <v>44391</v>
          </cell>
          <cell r="V967">
            <v>44392</v>
          </cell>
          <cell r="W967">
            <v>44392</v>
          </cell>
          <cell r="X967">
            <v>41100311</v>
          </cell>
        </row>
        <row r="968">
          <cell r="K968" t="str">
            <v>GBWS-1360</v>
          </cell>
          <cell r="L968">
            <v>44369</v>
          </cell>
          <cell r="M968">
            <v>44369</v>
          </cell>
          <cell r="N968">
            <v>44382</v>
          </cell>
          <cell r="O968">
            <v>44369</v>
          </cell>
          <cell r="P968">
            <v>44384</v>
          </cell>
          <cell r="Q968">
            <v>44385</v>
          </cell>
          <cell r="R968">
            <v>44385</v>
          </cell>
          <cell r="S968"/>
          <cell r="T968">
            <v>44390</v>
          </cell>
          <cell r="U968">
            <v>44391</v>
          </cell>
          <cell r="V968">
            <v>44392</v>
          </cell>
          <cell r="W968">
            <v>44392</v>
          </cell>
          <cell r="X968">
            <v>41100311</v>
          </cell>
        </row>
        <row r="969">
          <cell r="K969" t="str">
            <v>GBWS-1361</v>
          </cell>
          <cell r="L969">
            <v>44369</v>
          </cell>
          <cell r="M969">
            <v>44369</v>
          </cell>
          <cell r="N969">
            <v>44382</v>
          </cell>
          <cell r="O969">
            <v>44369</v>
          </cell>
          <cell r="P969">
            <v>44384</v>
          </cell>
          <cell r="Q969">
            <v>44385</v>
          </cell>
          <cell r="R969">
            <v>44385</v>
          </cell>
          <cell r="S969"/>
          <cell r="T969">
            <v>44390</v>
          </cell>
          <cell r="U969">
            <v>44391</v>
          </cell>
          <cell r="V969">
            <v>44392</v>
          </cell>
          <cell r="W969">
            <v>44392</v>
          </cell>
          <cell r="X969">
            <v>41100311</v>
          </cell>
        </row>
        <row r="970">
          <cell r="K970" t="str">
            <v>GBWS-1362</v>
          </cell>
          <cell r="L970">
            <v>44369</v>
          </cell>
          <cell r="M970">
            <v>44369</v>
          </cell>
          <cell r="N970">
            <v>44382</v>
          </cell>
          <cell r="O970">
            <v>44369</v>
          </cell>
          <cell r="P970">
            <v>44384</v>
          </cell>
          <cell r="Q970">
            <v>44385</v>
          </cell>
          <cell r="R970">
            <v>44385</v>
          </cell>
          <cell r="S970"/>
          <cell r="T970">
            <v>44390</v>
          </cell>
          <cell r="U970">
            <v>44391</v>
          </cell>
          <cell r="V970">
            <v>44393</v>
          </cell>
          <cell r="W970">
            <v>44393</v>
          </cell>
          <cell r="X970">
            <v>41100311</v>
          </cell>
        </row>
        <row r="971">
          <cell r="K971" t="str">
            <v>GBWS-1363</v>
          </cell>
          <cell r="L971">
            <v>44369</v>
          </cell>
          <cell r="M971">
            <v>44369</v>
          </cell>
          <cell r="N971">
            <v>44382</v>
          </cell>
          <cell r="O971">
            <v>44369</v>
          </cell>
          <cell r="P971">
            <v>44384</v>
          </cell>
          <cell r="Q971">
            <v>44385</v>
          </cell>
          <cell r="R971">
            <v>44385</v>
          </cell>
          <cell r="S971"/>
          <cell r="T971">
            <v>44390</v>
          </cell>
          <cell r="U971">
            <v>44391</v>
          </cell>
          <cell r="V971">
            <v>44392</v>
          </cell>
          <cell r="W971">
            <v>44392</v>
          </cell>
          <cell r="X971">
            <v>41100311</v>
          </cell>
        </row>
        <row r="972">
          <cell r="K972" t="str">
            <v>GBWS-1364</v>
          </cell>
          <cell r="L972">
            <v>44369</v>
          </cell>
          <cell r="M972">
            <v>44369</v>
          </cell>
          <cell r="N972">
            <v>44385</v>
          </cell>
          <cell r="O972">
            <v>44369</v>
          </cell>
          <cell r="P972">
            <v>44384</v>
          </cell>
          <cell r="Q972">
            <v>44385</v>
          </cell>
          <cell r="R972">
            <v>44385</v>
          </cell>
          <cell r="S972"/>
          <cell r="T972">
            <v>44391</v>
          </cell>
          <cell r="U972">
            <v>44392</v>
          </cell>
          <cell r="V972">
            <v>44392</v>
          </cell>
          <cell r="W972">
            <v>44392</v>
          </cell>
          <cell r="X972">
            <v>41100347</v>
          </cell>
        </row>
        <row r="973">
          <cell r="K973" t="str">
            <v>GBWS-1365</v>
          </cell>
          <cell r="L973">
            <v>44369</v>
          </cell>
          <cell r="M973">
            <v>44369</v>
          </cell>
          <cell r="N973">
            <v>44385</v>
          </cell>
          <cell r="O973">
            <v>44369</v>
          </cell>
          <cell r="P973">
            <v>44384</v>
          </cell>
          <cell r="Q973">
            <v>44385</v>
          </cell>
          <cell r="R973">
            <v>44385</v>
          </cell>
          <cell r="S973"/>
          <cell r="T973">
            <v>44391</v>
          </cell>
          <cell r="U973">
            <v>44392</v>
          </cell>
          <cell r="V973">
            <v>44392</v>
          </cell>
          <cell r="W973">
            <v>44392</v>
          </cell>
          <cell r="X973">
            <v>41100347</v>
          </cell>
        </row>
        <row r="974">
          <cell r="K974" t="str">
            <v>DBW-2304</v>
          </cell>
          <cell r="L974">
            <v>44381</v>
          </cell>
          <cell r="M974">
            <v>44382</v>
          </cell>
          <cell r="N974">
            <v>44390</v>
          </cell>
          <cell r="O974">
            <v>44382</v>
          </cell>
          <cell r="P974">
            <v>44392</v>
          </cell>
          <cell r="Q974" t="str">
            <v>2021-07-14 → 7/15 오전</v>
          </cell>
          <cell r="R974" t="str">
            <v>2021-07-14 → 7/15 오전</v>
          </cell>
          <cell r="S974"/>
          <cell r="T974">
            <v>44392</v>
          </cell>
          <cell r="U974">
            <v>44397</v>
          </cell>
          <cell r="V974">
            <v>44398</v>
          </cell>
          <cell r="W974">
            <v>44398</v>
          </cell>
          <cell r="X974">
            <v>41100310</v>
          </cell>
        </row>
        <row r="975">
          <cell r="K975" t="str">
            <v>GBWS-1327</v>
          </cell>
          <cell r="L975">
            <v>44361</v>
          </cell>
          <cell r="M975">
            <v>44362</v>
          </cell>
          <cell r="N975">
            <v>44375</v>
          </cell>
          <cell r="O975">
            <v>44362</v>
          </cell>
          <cell r="P975">
            <v>44378</v>
          </cell>
          <cell r="Q975">
            <v>44379</v>
          </cell>
          <cell r="R975">
            <v>44379</v>
          </cell>
          <cell r="S975"/>
          <cell r="T975">
            <v>44379</v>
          </cell>
          <cell r="U975">
            <v>44382</v>
          </cell>
          <cell r="V975">
            <v>44384</v>
          </cell>
          <cell r="W975">
            <v>44384</v>
          </cell>
          <cell r="X975">
            <v>41100168</v>
          </cell>
        </row>
        <row r="976">
          <cell r="K976" t="str">
            <v>GBWS-1328</v>
          </cell>
          <cell r="L976">
            <v>44361</v>
          </cell>
          <cell r="M976">
            <v>44362</v>
          </cell>
          <cell r="N976">
            <v>44375</v>
          </cell>
          <cell r="O976">
            <v>44362</v>
          </cell>
          <cell r="P976">
            <v>44378</v>
          </cell>
          <cell r="Q976">
            <v>44379</v>
          </cell>
          <cell r="R976">
            <v>44379</v>
          </cell>
          <cell r="S976"/>
          <cell r="T976">
            <v>44379</v>
          </cell>
          <cell r="U976">
            <v>44382</v>
          </cell>
          <cell r="V976">
            <v>44384</v>
          </cell>
          <cell r="W976">
            <v>44384</v>
          </cell>
          <cell r="X976">
            <v>41100168</v>
          </cell>
        </row>
        <row r="977">
          <cell r="K977" t="str">
            <v>GBWS-1329</v>
          </cell>
          <cell r="L977">
            <v>44361</v>
          </cell>
          <cell r="M977">
            <v>44362</v>
          </cell>
          <cell r="N977">
            <v>44379</v>
          </cell>
          <cell r="O977">
            <v>44362</v>
          </cell>
          <cell r="P977">
            <v>44379</v>
          </cell>
          <cell r="Q977">
            <v>44379</v>
          </cell>
          <cell r="R977">
            <v>44379</v>
          </cell>
          <cell r="S977"/>
          <cell r="T977">
            <v>44382</v>
          </cell>
          <cell r="U977">
            <v>44383</v>
          </cell>
          <cell r="V977">
            <v>44384</v>
          </cell>
          <cell r="W977">
            <v>44384</v>
          </cell>
          <cell r="X977">
            <v>41100168</v>
          </cell>
        </row>
        <row r="978">
          <cell r="K978" t="str">
            <v>GBWS-1330</v>
          </cell>
          <cell r="L978">
            <v>44361</v>
          </cell>
          <cell r="M978">
            <v>44362</v>
          </cell>
          <cell r="N978">
            <v>44379</v>
          </cell>
          <cell r="O978">
            <v>44362</v>
          </cell>
          <cell r="P978">
            <v>44379</v>
          </cell>
          <cell r="Q978">
            <v>44379</v>
          </cell>
          <cell r="R978">
            <v>44379</v>
          </cell>
          <cell r="S978"/>
          <cell r="T978">
            <v>44382</v>
          </cell>
          <cell r="U978">
            <v>44382</v>
          </cell>
          <cell r="V978">
            <v>44385</v>
          </cell>
          <cell r="W978">
            <v>44386</v>
          </cell>
          <cell r="X978">
            <v>41100168</v>
          </cell>
        </row>
        <row r="979">
          <cell r="K979" t="str">
            <v>GBWS-1331</v>
          </cell>
          <cell r="L979">
            <v>44361</v>
          </cell>
          <cell r="M979">
            <v>44362</v>
          </cell>
          <cell r="N979">
            <v>44379</v>
          </cell>
          <cell r="O979">
            <v>44362</v>
          </cell>
          <cell r="P979">
            <v>44379</v>
          </cell>
          <cell r="Q979">
            <v>44379</v>
          </cell>
          <cell r="R979">
            <v>44379</v>
          </cell>
          <cell r="S979"/>
          <cell r="T979">
            <v>44382</v>
          </cell>
          <cell r="U979">
            <v>44382</v>
          </cell>
          <cell r="V979">
            <v>44384</v>
          </cell>
          <cell r="W979">
            <v>44384</v>
          </cell>
          <cell r="X979">
            <v>41100168</v>
          </cell>
        </row>
        <row r="980">
          <cell r="K980" t="str">
            <v>GBWS-1332</v>
          </cell>
          <cell r="L980">
            <v>44361</v>
          </cell>
          <cell r="M980">
            <v>44362</v>
          </cell>
          <cell r="N980">
            <v>44379</v>
          </cell>
          <cell r="O980">
            <v>44362</v>
          </cell>
          <cell r="P980">
            <v>44379</v>
          </cell>
          <cell r="Q980">
            <v>44379</v>
          </cell>
          <cell r="R980">
            <v>44379</v>
          </cell>
          <cell r="S980"/>
          <cell r="T980">
            <v>44382</v>
          </cell>
          <cell r="U980">
            <v>44382</v>
          </cell>
          <cell r="V980">
            <v>44384</v>
          </cell>
          <cell r="W980">
            <v>44384</v>
          </cell>
          <cell r="X980">
            <v>41100168</v>
          </cell>
        </row>
        <row r="981">
          <cell r="K981" t="str">
            <v>GBWS-1333</v>
          </cell>
          <cell r="L981">
            <v>44361</v>
          </cell>
          <cell r="M981">
            <v>44362</v>
          </cell>
          <cell r="N981">
            <v>44379</v>
          </cell>
          <cell r="O981">
            <v>44362</v>
          </cell>
          <cell r="P981">
            <v>44379</v>
          </cell>
          <cell r="Q981">
            <v>44379</v>
          </cell>
          <cell r="R981">
            <v>44379</v>
          </cell>
          <cell r="S981"/>
          <cell r="T981">
            <v>44383</v>
          </cell>
          <cell r="U981">
            <v>44383</v>
          </cell>
          <cell r="V981">
            <v>44385</v>
          </cell>
          <cell r="W981">
            <v>44386</v>
          </cell>
          <cell r="X981">
            <v>41100168</v>
          </cell>
        </row>
        <row r="982">
          <cell r="K982" t="str">
            <v>GBWS-1334</v>
          </cell>
          <cell r="L982">
            <v>44361</v>
          </cell>
          <cell r="M982">
            <v>44362</v>
          </cell>
          <cell r="N982">
            <v>44379</v>
          </cell>
          <cell r="O982">
            <v>44362</v>
          </cell>
          <cell r="P982">
            <v>44379</v>
          </cell>
          <cell r="Q982">
            <v>44379</v>
          </cell>
          <cell r="R982">
            <v>44379</v>
          </cell>
          <cell r="S982"/>
          <cell r="T982">
            <v>44382</v>
          </cell>
          <cell r="U982">
            <v>44383</v>
          </cell>
          <cell r="V982">
            <v>44384</v>
          </cell>
          <cell r="W982">
            <v>44384</v>
          </cell>
          <cell r="X982">
            <v>41100168</v>
          </cell>
        </row>
        <row r="983">
          <cell r="K983" t="str">
            <v>GBWS-1335</v>
          </cell>
          <cell r="L983">
            <v>44361</v>
          </cell>
          <cell r="M983">
            <v>44362</v>
          </cell>
          <cell r="N983">
            <v>44379</v>
          </cell>
          <cell r="O983">
            <v>44362</v>
          </cell>
          <cell r="P983">
            <v>44379</v>
          </cell>
          <cell r="Q983">
            <v>44379</v>
          </cell>
          <cell r="R983">
            <v>44379</v>
          </cell>
          <cell r="S983"/>
          <cell r="T983">
            <v>44383</v>
          </cell>
          <cell r="U983">
            <v>44383</v>
          </cell>
          <cell r="V983">
            <v>44385</v>
          </cell>
          <cell r="W983">
            <v>44386</v>
          </cell>
          <cell r="X983">
            <v>41100168</v>
          </cell>
        </row>
        <row r="984">
          <cell r="K984" t="str">
            <v>GBWS-1336</v>
          </cell>
          <cell r="L984">
            <v>44361</v>
          </cell>
          <cell r="M984">
            <v>44362</v>
          </cell>
          <cell r="N984">
            <v>44379</v>
          </cell>
          <cell r="O984">
            <v>44362</v>
          </cell>
          <cell r="P984">
            <v>44379</v>
          </cell>
          <cell r="Q984">
            <v>44379</v>
          </cell>
          <cell r="R984">
            <v>44379</v>
          </cell>
          <cell r="S984"/>
          <cell r="T984">
            <v>44382</v>
          </cell>
          <cell r="U984">
            <v>44383</v>
          </cell>
          <cell r="V984">
            <v>44385</v>
          </cell>
          <cell r="W984">
            <v>44386</v>
          </cell>
          <cell r="X984">
            <v>41100168</v>
          </cell>
        </row>
        <row r="985">
          <cell r="K985" t="str">
            <v>GBWS-1355</v>
          </cell>
          <cell r="L985">
            <v>44368</v>
          </cell>
          <cell r="M985">
            <v>44369</v>
          </cell>
          <cell r="N985">
            <v>44384</v>
          </cell>
          <cell r="O985">
            <v>44369</v>
          </cell>
          <cell r="P985">
            <v>44385</v>
          </cell>
          <cell r="Q985" t="str">
            <v>7/3 → 7/7</v>
          </cell>
          <cell r="R985" t="str">
            <v>7/3 → 7/7</v>
          </cell>
          <cell r="S985"/>
          <cell r="T985">
            <v>44390</v>
          </cell>
          <cell r="U985">
            <v>44391</v>
          </cell>
          <cell r="V985">
            <v>44392</v>
          </cell>
          <cell r="W985">
            <v>44392</v>
          </cell>
          <cell r="X985" t="str">
            <v>41100224 → 41100338</v>
          </cell>
        </row>
        <row r="986">
          <cell r="K986" t="str">
            <v>GBWS-1356</v>
          </cell>
          <cell r="L986">
            <v>44368</v>
          </cell>
          <cell r="M986">
            <v>44369</v>
          </cell>
          <cell r="N986">
            <v>44384</v>
          </cell>
          <cell r="O986">
            <v>44369</v>
          </cell>
          <cell r="P986">
            <v>44385</v>
          </cell>
          <cell r="Q986" t="str">
            <v>7/3 → 7/7</v>
          </cell>
          <cell r="R986" t="str">
            <v>7/3 → 7/7</v>
          </cell>
          <cell r="S986"/>
          <cell r="T986">
            <v>44390</v>
          </cell>
          <cell r="U986">
            <v>44391</v>
          </cell>
          <cell r="V986">
            <v>44392</v>
          </cell>
          <cell r="W986">
            <v>44392</v>
          </cell>
          <cell r="X986" t="str">
            <v>41100224 → 41100338</v>
          </cell>
        </row>
        <row r="987">
          <cell r="K987" t="str">
            <v>GBWS-1372</v>
          </cell>
          <cell r="L987">
            <v>44368</v>
          </cell>
          <cell r="M987">
            <v>44369</v>
          </cell>
          <cell r="N987">
            <v>44385</v>
          </cell>
          <cell r="O987">
            <v>44369</v>
          </cell>
          <cell r="P987">
            <v>44385</v>
          </cell>
          <cell r="Q987" t="str">
            <v>7/7 → 7/8</v>
          </cell>
          <cell r="R987" t="str">
            <v>7/7 → 7/8</v>
          </cell>
          <cell r="S987"/>
          <cell r="T987">
            <v>44389</v>
          </cell>
          <cell r="U987">
            <v>44391</v>
          </cell>
          <cell r="V987">
            <v>44394</v>
          </cell>
          <cell r="W987">
            <v>44396</v>
          </cell>
          <cell r="X987">
            <v>41100350</v>
          </cell>
        </row>
        <row r="988">
          <cell r="K988" t="str">
            <v>GBWS-1385</v>
          </cell>
          <cell r="L988">
            <v>44378</v>
          </cell>
          <cell r="M988">
            <v>44378</v>
          </cell>
          <cell r="N988">
            <v>44391</v>
          </cell>
          <cell r="O988">
            <v>44378</v>
          </cell>
          <cell r="P988">
            <v>44391</v>
          </cell>
          <cell r="Q988">
            <v>44391</v>
          </cell>
          <cell r="R988">
            <v>44391</v>
          </cell>
          <cell r="S988"/>
          <cell r="T988">
            <v>44396</v>
          </cell>
          <cell r="U988">
            <v>44397</v>
          </cell>
          <cell r="V988">
            <v>44398</v>
          </cell>
          <cell r="W988">
            <v>44398</v>
          </cell>
          <cell r="X988">
            <v>41100294</v>
          </cell>
        </row>
        <row r="989">
          <cell r="K989" t="str">
            <v>GBWS-1168</v>
          </cell>
          <cell r="L989">
            <v>44316</v>
          </cell>
          <cell r="M989">
            <v>44319</v>
          </cell>
          <cell r="N989">
            <v>44337</v>
          </cell>
          <cell r="O989">
            <v>44319</v>
          </cell>
          <cell r="P989">
            <v>44336</v>
          </cell>
          <cell r="Q989">
            <v>44336</v>
          </cell>
          <cell r="R989">
            <v>44336</v>
          </cell>
          <cell r="S989"/>
          <cell r="T989">
            <v>44337</v>
          </cell>
          <cell r="U989">
            <v>44372</v>
          </cell>
          <cell r="V989">
            <v>44390</v>
          </cell>
          <cell r="W989">
            <v>44390</v>
          </cell>
          <cell r="X989">
            <v>41100293</v>
          </cell>
        </row>
        <row r="990">
          <cell r="K990" t="str">
            <v>GBWS-1238</v>
          </cell>
          <cell r="L990">
            <v>44335</v>
          </cell>
          <cell r="M990">
            <v>44336</v>
          </cell>
          <cell r="N990">
            <v>44360</v>
          </cell>
          <cell r="O990">
            <v>44336</v>
          </cell>
          <cell r="P990">
            <v>44361</v>
          </cell>
          <cell r="Q990" t="str">
            <v>6/10 → 6/11 → 6/13</v>
          </cell>
          <cell r="R990" t="str">
            <v>6/10 → 6/11 → 6/13</v>
          </cell>
          <cell r="S990"/>
          <cell r="T990">
            <v>44362</v>
          </cell>
          <cell r="U990">
            <v>44364</v>
          </cell>
          <cell r="V990">
            <v>44365</v>
          </cell>
          <cell r="W990">
            <v>44365</v>
          </cell>
          <cell r="X990">
            <v>41100223</v>
          </cell>
        </row>
        <row r="991">
          <cell r="K991" t="str">
            <v>GBWS-1239</v>
          </cell>
          <cell r="L991">
            <v>44335</v>
          </cell>
          <cell r="M991">
            <v>44336</v>
          </cell>
          <cell r="N991">
            <v>44360</v>
          </cell>
          <cell r="O991">
            <v>44336</v>
          </cell>
          <cell r="P991">
            <v>44361</v>
          </cell>
          <cell r="Q991" t="str">
            <v>6/10 → 6/11 → 6/13</v>
          </cell>
          <cell r="R991" t="str">
            <v>6/10 → 6/11 → 6/13</v>
          </cell>
          <cell r="S991"/>
          <cell r="T991">
            <v>44362</v>
          </cell>
          <cell r="U991">
            <v>44364</v>
          </cell>
          <cell r="V991">
            <v>44365</v>
          </cell>
          <cell r="W991">
            <v>44365</v>
          </cell>
          <cell r="X991">
            <v>41100223</v>
          </cell>
        </row>
        <row r="992">
          <cell r="K992" t="str">
            <v>DBW-0768</v>
          </cell>
          <cell r="L992"/>
          <cell r="M992">
            <v>44372</v>
          </cell>
          <cell r="N992">
            <v>44386</v>
          </cell>
          <cell r="O992">
            <v>44372</v>
          </cell>
          <cell r="P992">
            <v>44386</v>
          </cell>
          <cell r="Q992">
            <v>44392</v>
          </cell>
          <cell r="R992">
            <v>44392</v>
          </cell>
          <cell r="S992"/>
          <cell r="T992">
            <v>44387</v>
          </cell>
          <cell r="U992">
            <v>44397</v>
          </cell>
          <cell r="V992">
            <v>44398</v>
          </cell>
          <cell r="W992">
            <v>44399</v>
          </cell>
          <cell r="X992">
            <v>31101576</v>
          </cell>
        </row>
        <row r="993">
          <cell r="K993" t="str">
            <v>GBWS-1401</v>
          </cell>
          <cell r="L993">
            <v>44382</v>
          </cell>
          <cell r="M993">
            <v>44382</v>
          </cell>
          <cell r="N993">
            <v>44392</v>
          </cell>
          <cell r="O993">
            <v>44382</v>
          </cell>
          <cell r="P993">
            <v>44393</v>
          </cell>
          <cell r="Q993">
            <v>44392</v>
          </cell>
          <cell r="R993">
            <v>44392</v>
          </cell>
          <cell r="S993"/>
          <cell r="T993">
            <v>44396</v>
          </cell>
          <cell r="U993">
            <v>44400</v>
          </cell>
          <cell r="V993">
            <v>44401</v>
          </cell>
          <cell r="W993">
            <v>44401</v>
          </cell>
          <cell r="X993">
            <v>41100355</v>
          </cell>
        </row>
        <row r="994">
          <cell r="K994" t="str">
            <v>GBWS-1419</v>
          </cell>
          <cell r="L994">
            <v>44384</v>
          </cell>
          <cell r="M994">
            <v>44385</v>
          </cell>
          <cell r="N994">
            <v>44399</v>
          </cell>
          <cell r="O994">
            <v>44385</v>
          </cell>
          <cell r="P994">
            <v>44399</v>
          </cell>
          <cell r="Q994">
            <v>44399</v>
          </cell>
          <cell r="R994">
            <v>44399</v>
          </cell>
          <cell r="S994"/>
          <cell r="T994">
            <v>44400</v>
          </cell>
          <cell r="U994">
            <v>44400</v>
          </cell>
          <cell r="V994">
            <v>44401</v>
          </cell>
          <cell r="W994">
            <v>44401</v>
          </cell>
          <cell r="X994">
            <v>41100366</v>
          </cell>
        </row>
        <row r="995">
          <cell r="K995" t="str">
            <v>GBWS-1397</v>
          </cell>
          <cell r="L995">
            <v>44377</v>
          </cell>
          <cell r="M995">
            <v>44378</v>
          </cell>
          <cell r="N995">
            <v>44391</v>
          </cell>
          <cell r="O995">
            <v>44378</v>
          </cell>
          <cell r="P995">
            <v>44393</v>
          </cell>
          <cell r="Q995">
            <v>44393</v>
          </cell>
          <cell r="R995">
            <v>44393</v>
          </cell>
          <cell r="S995"/>
          <cell r="T995">
            <v>44396</v>
          </cell>
          <cell r="U995">
            <v>44397</v>
          </cell>
          <cell r="V995">
            <v>44398</v>
          </cell>
          <cell r="W995">
            <v>44399</v>
          </cell>
          <cell r="X995">
            <v>41100331</v>
          </cell>
        </row>
        <row r="996">
          <cell r="K996" t="str">
            <v>GBWS-1388</v>
          </cell>
          <cell r="L996">
            <v>44377</v>
          </cell>
          <cell r="M996">
            <v>44378</v>
          </cell>
          <cell r="N996">
            <v>44391</v>
          </cell>
          <cell r="O996">
            <v>44378</v>
          </cell>
          <cell r="P996">
            <v>44393</v>
          </cell>
          <cell r="Q996">
            <v>44393</v>
          </cell>
          <cell r="R996">
            <v>44393</v>
          </cell>
          <cell r="S996"/>
          <cell r="T996">
            <v>44396</v>
          </cell>
          <cell r="U996">
            <v>44397</v>
          </cell>
          <cell r="V996">
            <v>44398</v>
          </cell>
          <cell r="W996">
            <v>44462</v>
          </cell>
          <cell r="X996">
            <v>41100316</v>
          </cell>
        </row>
        <row r="997">
          <cell r="K997" t="str">
            <v>GBWS-1389</v>
          </cell>
          <cell r="L997">
            <v>44377</v>
          </cell>
          <cell r="M997">
            <v>44378</v>
          </cell>
          <cell r="N997">
            <v>44391</v>
          </cell>
          <cell r="O997">
            <v>44378</v>
          </cell>
          <cell r="P997">
            <v>44391</v>
          </cell>
          <cell r="Q997">
            <v>44391</v>
          </cell>
          <cell r="R997">
            <v>44391</v>
          </cell>
          <cell r="S997"/>
          <cell r="T997">
            <v>44393</v>
          </cell>
          <cell r="U997">
            <v>44397</v>
          </cell>
          <cell r="V997">
            <v>44398</v>
          </cell>
          <cell r="W997">
            <v>44399</v>
          </cell>
          <cell r="X997">
            <v>41100329</v>
          </cell>
        </row>
        <row r="998">
          <cell r="K998" t="str">
            <v>GBWS-1390</v>
          </cell>
          <cell r="L998">
            <v>44377</v>
          </cell>
          <cell r="M998">
            <v>44378</v>
          </cell>
          <cell r="N998">
            <v>44391</v>
          </cell>
          <cell r="O998">
            <v>44378</v>
          </cell>
          <cell r="P998">
            <v>44391</v>
          </cell>
          <cell r="Q998">
            <v>44391</v>
          </cell>
          <cell r="R998">
            <v>44391</v>
          </cell>
          <cell r="S998"/>
          <cell r="T998">
            <v>44393</v>
          </cell>
          <cell r="U998">
            <v>44396</v>
          </cell>
          <cell r="V998">
            <v>44397</v>
          </cell>
          <cell r="W998">
            <v>44399</v>
          </cell>
          <cell r="X998">
            <v>41100329</v>
          </cell>
        </row>
        <row r="999">
          <cell r="K999" t="str">
            <v>GBWS-1391</v>
          </cell>
          <cell r="L999">
            <v>44377</v>
          </cell>
          <cell r="M999">
            <v>44378</v>
          </cell>
          <cell r="N999">
            <v>44391</v>
          </cell>
          <cell r="O999">
            <v>44378</v>
          </cell>
          <cell r="P999">
            <v>44391</v>
          </cell>
          <cell r="Q999">
            <v>44391</v>
          </cell>
          <cell r="R999">
            <v>44391</v>
          </cell>
          <cell r="S999"/>
          <cell r="T999">
            <v>44392</v>
          </cell>
          <cell r="U999">
            <v>44396</v>
          </cell>
          <cell r="V999">
            <v>44397</v>
          </cell>
          <cell r="W999">
            <v>44462</v>
          </cell>
          <cell r="X999">
            <v>41100329</v>
          </cell>
        </row>
        <row r="1000">
          <cell r="K1000" t="str">
            <v>GBWS-1392</v>
          </cell>
          <cell r="L1000">
            <v>44377</v>
          </cell>
          <cell r="M1000">
            <v>44378</v>
          </cell>
          <cell r="N1000">
            <v>44391</v>
          </cell>
          <cell r="O1000">
            <v>44378</v>
          </cell>
          <cell r="P1000">
            <v>44391</v>
          </cell>
          <cell r="Q1000">
            <v>44391</v>
          </cell>
          <cell r="R1000">
            <v>44391</v>
          </cell>
          <cell r="S1000"/>
          <cell r="T1000">
            <v>44392</v>
          </cell>
          <cell r="U1000">
            <v>44396</v>
          </cell>
          <cell r="V1000">
            <v>44397</v>
          </cell>
          <cell r="W1000">
            <v>44399</v>
          </cell>
          <cell r="X1000">
            <v>41100329</v>
          </cell>
        </row>
        <row r="1001">
          <cell r="K1001" t="str">
            <v>GBWS-1393</v>
          </cell>
          <cell r="L1001">
            <v>44377</v>
          </cell>
          <cell r="M1001">
            <v>44378</v>
          </cell>
          <cell r="N1001">
            <v>44391</v>
          </cell>
          <cell r="O1001">
            <v>44378</v>
          </cell>
          <cell r="P1001">
            <v>44391</v>
          </cell>
          <cell r="Q1001">
            <v>44391</v>
          </cell>
          <cell r="R1001">
            <v>44391</v>
          </cell>
          <cell r="S1001"/>
          <cell r="T1001">
            <v>44392</v>
          </cell>
          <cell r="U1001">
            <v>44397</v>
          </cell>
          <cell r="V1001">
            <v>44398</v>
          </cell>
          <cell r="W1001">
            <v>44462</v>
          </cell>
          <cell r="X1001">
            <v>41100329</v>
          </cell>
        </row>
        <row r="1002">
          <cell r="K1002" t="str">
            <v>GBWS-1394</v>
          </cell>
          <cell r="L1002">
            <v>44377</v>
          </cell>
          <cell r="M1002">
            <v>44378</v>
          </cell>
          <cell r="N1002">
            <v>44391</v>
          </cell>
          <cell r="O1002">
            <v>44378</v>
          </cell>
          <cell r="P1002">
            <v>44391</v>
          </cell>
          <cell r="Q1002">
            <v>44391</v>
          </cell>
          <cell r="R1002">
            <v>44391</v>
          </cell>
          <cell r="S1002"/>
          <cell r="T1002">
            <v>44392</v>
          </cell>
          <cell r="U1002">
            <v>44397</v>
          </cell>
          <cell r="V1002">
            <v>44398</v>
          </cell>
          <cell r="W1002">
            <v>44399</v>
          </cell>
          <cell r="X1002">
            <v>41100329</v>
          </cell>
        </row>
        <row r="1003">
          <cell r="K1003" t="str">
            <v>GBWS-1395</v>
          </cell>
          <cell r="L1003">
            <v>44377</v>
          </cell>
          <cell r="M1003">
            <v>44378</v>
          </cell>
          <cell r="N1003">
            <v>44391</v>
          </cell>
          <cell r="O1003">
            <v>44378</v>
          </cell>
          <cell r="P1003">
            <v>44391</v>
          </cell>
          <cell r="Q1003">
            <v>44391</v>
          </cell>
          <cell r="R1003">
            <v>44391</v>
          </cell>
          <cell r="S1003"/>
          <cell r="T1003">
            <v>44393</v>
          </cell>
          <cell r="U1003">
            <v>44397</v>
          </cell>
          <cell r="V1003">
            <v>44398</v>
          </cell>
          <cell r="W1003">
            <v>44399</v>
          </cell>
          <cell r="X1003">
            <v>41100329</v>
          </cell>
        </row>
        <row r="1004">
          <cell r="K1004" t="str">
            <v>GBWS-1396</v>
          </cell>
          <cell r="L1004">
            <v>44377</v>
          </cell>
          <cell r="M1004">
            <v>44378</v>
          </cell>
          <cell r="N1004">
            <v>44391</v>
          </cell>
          <cell r="O1004">
            <v>44378</v>
          </cell>
          <cell r="P1004">
            <v>44391</v>
          </cell>
          <cell r="Q1004">
            <v>44393</v>
          </cell>
          <cell r="R1004">
            <v>44393</v>
          </cell>
          <cell r="S1004"/>
          <cell r="T1004">
            <v>44392</v>
          </cell>
          <cell r="U1004">
            <v>44396</v>
          </cell>
          <cell r="V1004">
            <v>44397</v>
          </cell>
          <cell r="W1004">
            <v>44462</v>
          </cell>
          <cell r="X1004">
            <v>41100330</v>
          </cell>
        </row>
        <row r="1005">
          <cell r="K1005" t="str">
            <v>GBWS-1398</v>
          </cell>
          <cell r="L1005">
            <v>44377</v>
          </cell>
          <cell r="M1005">
            <v>44378</v>
          </cell>
          <cell r="N1005">
            <v>44391</v>
          </cell>
          <cell r="O1005">
            <v>44378</v>
          </cell>
          <cell r="P1005">
            <v>44393</v>
          </cell>
          <cell r="Q1005">
            <v>44393</v>
          </cell>
          <cell r="R1005">
            <v>44393</v>
          </cell>
          <cell r="S1005"/>
          <cell r="T1005">
            <v>44396</v>
          </cell>
          <cell r="U1005">
            <v>44398</v>
          </cell>
          <cell r="V1005">
            <v>44398</v>
          </cell>
          <cell r="W1005">
            <v>44462</v>
          </cell>
          <cell r="X1005">
            <v>41100315</v>
          </cell>
        </row>
        <row r="1006">
          <cell r="K1006" t="str">
            <v>DBW-2207</v>
          </cell>
          <cell r="L1006">
            <v>44316</v>
          </cell>
          <cell r="M1006">
            <v>44319</v>
          </cell>
          <cell r="N1006">
            <v>44337</v>
          </cell>
          <cell r="O1006">
            <v>44319</v>
          </cell>
          <cell r="P1006">
            <v>44340</v>
          </cell>
          <cell r="Q1006">
            <v>44334</v>
          </cell>
          <cell r="R1006">
            <v>44334</v>
          </cell>
          <cell r="S1006"/>
          <cell r="T1006">
            <v>44341</v>
          </cell>
          <cell r="U1006">
            <v>44343</v>
          </cell>
          <cell r="V1006">
            <v>44344</v>
          </cell>
          <cell r="W1006">
            <v>44344</v>
          </cell>
          <cell r="X1006">
            <v>41100346</v>
          </cell>
        </row>
        <row r="1007">
          <cell r="K1007" t="str">
            <v xml:space="preserve"> -</v>
          </cell>
          <cell r="L1007"/>
          <cell r="M1007">
            <v>44399</v>
          </cell>
          <cell r="N1007">
            <v>44402</v>
          </cell>
          <cell r="O1007">
            <v>44399</v>
          </cell>
          <cell r="P1007">
            <v>44402</v>
          </cell>
          <cell r="Q1007">
            <v>44405</v>
          </cell>
          <cell r="R1007">
            <v>44405</v>
          </cell>
          <cell r="S1007"/>
          <cell r="T1007">
            <v>44403</v>
          </cell>
          <cell r="U1007">
            <v>44403</v>
          </cell>
          <cell r="V1007"/>
          <cell r="W1007"/>
          <cell r="X1007">
            <v>31101637</v>
          </cell>
        </row>
        <row r="1008">
          <cell r="K1008" t="str">
            <v>DBW-2290</v>
          </cell>
          <cell r="L1008">
            <v>44370</v>
          </cell>
          <cell r="M1008">
            <v>44371</v>
          </cell>
          <cell r="N1008">
            <v>44385</v>
          </cell>
          <cell r="O1008">
            <v>44371</v>
          </cell>
          <cell r="P1008">
            <v>44385</v>
          </cell>
          <cell r="Q1008">
            <v>44388</v>
          </cell>
          <cell r="R1008">
            <v>44388</v>
          </cell>
          <cell r="S1008"/>
          <cell r="T1008">
            <v>44386</v>
          </cell>
          <cell r="U1008">
            <v>44386</v>
          </cell>
          <cell r="V1008">
            <v>44386</v>
          </cell>
          <cell r="W1008">
            <v>44386</v>
          </cell>
          <cell r="X1008">
            <v>41100171</v>
          </cell>
        </row>
        <row r="1009">
          <cell r="K1009" t="str">
            <v>DBW-2291</v>
          </cell>
          <cell r="L1009">
            <v>44370</v>
          </cell>
          <cell r="M1009">
            <v>44371</v>
          </cell>
          <cell r="N1009">
            <v>44385</v>
          </cell>
          <cell r="O1009">
            <v>44371</v>
          </cell>
          <cell r="P1009">
            <v>44385</v>
          </cell>
          <cell r="Q1009">
            <v>44388</v>
          </cell>
          <cell r="R1009">
            <v>44388</v>
          </cell>
          <cell r="S1009"/>
          <cell r="T1009">
            <v>44386</v>
          </cell>
          <cell r="U1009">
            <v>44386</v>
          </cell>
          <cell r="V1009">
            <v>44386</v>
          </cell>
          <cell r="W1009">
            <v>44386</v>
          </cell>
          <cell r="X1009">
            <v>41100171</v>
          </cell>
        </row>
        <row r="1010">
          <cell r="K1010" t="str">
            <v>GBWS-1373</v>
          </cell>
          <cell r="L1010">
            <v>44368</v>
          </cell>
          <cell r="M1010">
            <v>44369</v>
          </cell>
          <cell r="N1010">
            <v>44385</v>
          </cell>
          <cell r="O1010">
            <v>44369</v>
          </cell>
          <cell r="P1010">
            <v>44385</v>
          </cell>
          <cell r="Q1010" t="str">
            <v>7/7 → 7/8</v>
          </cell>
          <cell r="R1010" t="str">
            <v>7/7 → 7/8</v>
          </cell>
          <cell r="S1010"/>
          <cell r="T1010">
            <v>44389</v>
          </cell>
          <cell r="U1010">
            <v>44390</v>
          </cell>
          <cell r="V1010">
            <v>44394</v>
          </cell>
          <cell r="W1010">
            <v>44396</v>
          </cell>
          <cell r="X1010">
            <v>41100350</v>
          </cell>
        </row>
        <row r="1011">
          <cell r="K1011" t="str">
            <v>GBWS-1387</v>
          </cell>
          <cell r="L1011">
            <v>44378</v>
          </cell>
          <cell r="M1011">
            <v>44378</v>
          </cell>
          <cell r="N1011">
            <v>44391</v>
          </cell>
          <cell r="O1011">
            <v>44378</v>
          </cell>
          <cell r="P1011">
            <v>44391</v>
          </cell>
          <cell r="Q1011">
            <v>44391</v>
          </cell>
          <cell r="R1011">
            <v>44391</v>
          </cell>
          <cell r="S1011"/>
          <cell r="T1011">
            <v>44397</v>
          </cell>
          <cell r="U1011">
            <v>44404</v>
          </cell>
          <cell r="V1011">
            <v>44404</v>
          </cell>
          <cell r="W1011">
            <v>44405</v>
          </cell>
          <cell r="X1011">
            <v>41100358</v>
          </cell>
        </row>
        <row r="1012">
          <cell r="K1012" t="str">
            <v>GBWS-1192</v>
          </cell>
          <cell r="L1012">
            <v>44336</v>
          </cell>
          <cell r="M1012">
            <v>44337</v>
          </cell>
          <cell r="N1012">
            <v>44371</v>
          </cell>
          <cell r="O1012">
            <v>44337</v>
          </cell>
          <cell r="P1012">
            <v>44371</v>
          </cell>
          <cell r="Q1012" t="str">
            <v xml:space="preserve">6/7 → 6/10 → 6/11 → 6/23 </v>
          </cell>
          <cell r="R1012" t="str">
            <v xml:space="preserve">6/7 → 6/10 → 6/11 → 6/23 </v>
          </cell>
          <cell r="S1012"/>
          <cell r="T1012">
            <v>44371</v>
          </cell>
          <cell r="U1012">
            <v>44398</v>
          </cell>
          <cell r="V1012">
            <v>44399</v>
          </cell>
          <cell r="W1012">
            <v>44405</v>
          </cell>
          <cell r="X1012">
            <v>41100341</v>
          </cell>
        </row>
        <row r="1013">
          <cell r="K1013" t="str">
            <v>DBW-2297</v>
          </cell>
          <cell r="L1013">
            <v>44381</v>
          </cell>
          <cell r="M1013">
            <v>44382</v>
          </cell>
          <cell r="N1013">
            <v>44391</v>
          </cell>
          <cell r="O1013">
            <v>44382</v>
          </cell>
          <cell r="P1013">
            <v>44392</v>
          </cell>
          <cell r="Q1013">
            <v>44395</v>
          </cell>
          <cell r="R1013">
            <v>44395</v>
          </cell>
          <cell r="S1013"/>
          <cell r="T1013">
            <v>44398</v>
          </cell>
          <cell r="U1013">
            <v>44400</v>
          </cell>
          <cell r="V1013">
            <v>44401</v>
          </cell>
          <cell r="W1013">
            <v>44404</v>
          </cell>
          <cell r="X1013" t="str">
            <v>41100056 → 41100359</v>
          </cell>
        </row>
        <row r="1014">
          <cell r="K1014" t="str">
            <v>DBW-2298</v>
          </cell>
          <cell r="L1014">
            <v>44381</v>
          </cell>
          <cell r="M1014">
            <v>44382</v>
          </cell>
          <cell r="N1014">
            <v>44391</v>
          </cell>
          <cell r="O1014">
            <v>44382</v>
          </cell>
          <cell r="P1014">
            <v>44392</v>
          </cell>
          <cell r="Q1014">
            <v>44395</v>
          </cell>
          <cell r="R1014">
            <v>44395</v>
          </cell>
          <cell r="S1014"/>
          <cell r="T1014">
            <v>44398</v>
          </cell>
          <cell r="U1014">
            <v>44400</v>
          </cell>
          <cell r="V1014">
            <v>44401</v>
          </cell>
          <cell r="W1014">
            <v>44404</v>
          </cell>
          <cell r="X1014" t="str">
            <v>41100056 → 41100359</v>
          </cell>
        </row>
        <row r="1015">
          <cell r="K1015" t="str">
            <v>DBW-2299</v>
          </cell>
          <cell r="L1015">
            <v>44381</v>
          </cell>
          <cell r="M1015">
            <v>44382</v>
          </cell>
          <cell r="N1015">
            <v>44391</v>
          </cell>
          <cell r="O1015">
            <v>44382</v>
          </cell>
          <cell r="P1015">
            <v>44392</v>
          </cell>
          <cell r="Q1015">
            <v>44395</v>
          </cell>
          <cell r="R1015">
            <v>44395</v>
          </cell>
          <cell r="S1015"/>
          <cell r="T1015">
            <v>44398</v>
          </cell>
          <cell r="U1015">
            <v>44400</v>
          </cell>
          <cell r="V1015">
            <v>44401</v>
          </cell>
          <cell r="W1015">
            <v>44404</v>
          </cell>
          <cell r="X1015" t="str">
            <v>41100056 → 41100359</v>
          </cell>
        </row>
        <row r="1016">
          <cell r="K1016" t="str">
            <v>DBW-2300</v>
          </cell>
          <cell r="L1016">
            <v>44381</v>
          </cell>
          <cell r="M1016">
            <v>44382</v>
          </cell>
          <cell r="N1016">
            <v>44393</v>
          </cell>
          <cell r="O1016">
            <v>44382</v>
          </cell>
          <cell r="P1016">
            <v>44394</v>
          </cell>
          <cell r="Q1016">
            <v>44394</v>
          </cell>
          <cell r="R1016">
            <v>44394</v>
          </cell>
          <cell r="S1016"/>
          <cell r="T1016">
            <v>44397</v>
          </cell>
          <cell r="U1016">
            <v>44400</v>
          </cell>
          <cell r="V1016">
            <v>44401</v>
          </cell>
          <cell r="W1016">
            <v>44405</v>
          </cell>
          <cell r="X1016" t="str">
            <v>41100057 → 41100360</v>
          </cell>
        </row>
        <row r="1017">
          <cell r="K1017" t="str">
            <v>DBW-2301</v>
          </cell>
          <cell r="L1017">
            <v>44381</v>
          </cell>
          <cell r="M1017">
            <v>44382</v>
          </cell>
          <cell r="N1017">
            <v>44393</v>
          </cell>
          <cell r="O1017">
            <v>44382</v>
          </cell>
          <cell r="P1017">
            <v>44394</v>
          </cell>
          <cell r="Q1017">
            <v>44394</v>
          </cell>
          <cell r="R1017">
            <v>44394</v>
          </cell>
          <cell r="S1017"/>
          <cell r="T1017">
            <v>44397</v>
          </cell>
          <cell r="U1017">
            <v>44398</v>
          </cell>
          <cell r="V1017">
            <v>44398</v>
          </cell>
          <cell r="W1017">
            <v>44400</v>
          </cell>
          <cell r="X1017" t="str">
            <v>41100057 → 41100360</v>
          </cell>
        </row>
        <row r="1018">
          <cell r="K1018" t="str">
            <v>DBW-2302</v>
          </cell>
          <cell r="L1018">
            <v>44381</v>
          </cell>
          <cell r="M1018">
            <v>44382</v>
          </cell>
          <cell r="N1018">
            <v>44393</v>
          </cell>
          <cell r="O1018">
            <v>44382</v>
          </cell>
          <cell r="P1018">
            <v>44394</v>
          </cell>
          <cell r="Q1018">
            <v>44394</v>
          </cell>
          <cell r="R1018">
            <v>44394</v>
          </cell>
          <cell r="S1018"/>
          <cell r="T1018">
            <v>44397</v>
          </cell>
          <cell r="U1018">
            <v>44398</v>
          </cell>
          <cell r="V1018">
            <v>44398</v>
          </cell>
          <cell r="W1018">
            <v>44400</v>
          </cell>
          <cell r="X1018" t="str">
            <v>41100057 → 41100360</v>
          </cell>
        </row>
        <row r="1019">
          <cell r="K1019" t="str">
            <v>DBW-2303</v>
          </cell>
          <cell r="L1019">
            <v>44381</v>
          </cell>
          <cell r="M1019">
            <v>44382</v>
          </cell>
          <cell r="N1019">
            <v>44393</v>
          </cell>
          <cell r="O1019">
            <v>44382</v>
          </cell>
          <cell r="P1019">
            <v>44394</v>
          </cell>
          <cell r="Q1019">
            <v>44394</v>
          </cell>
          <cell r="R1019">
            <v>44394</v>
          </cell>
          <cell r="S1019"/>
          <cell r="T1019">
            <v>44397</v>
          </cell>
          <cell r="U1019">
            <v>44398</v>
          </cell>
          <cell r="V1019">
            <v>44398</v>
          </cell>
          <cell r="W1019">
            <v>44400</v>
          </cell>
          <cell r="X1019" t="str">
            <v>41100057 → 41100360</v>
          </cell>
        </row>
        <row r="1020">
          <cell r="K1020" t="str">
            <v>GBWS-1375</v>
          </cell>
          <cell r="L1020">
            <v>44369</v>
          </cell>
          <cell r="M1020">
            <v>44370</v>
          </cell>
          <cell r="N1020">
            <v>44385</v>
          </cell>
          <cell r="O1020">
            <v>44370</v>
          </cell>
          <cell r="P1020">
            <v>44386</v>
          </cell>
          <cell r="Q1020">
            <v>44387</v>
          </cell>
          <cell r="R1020">
            <v>44387</v>
          </cell>
          <cell r="S1020"/>
          <cell r="T1020">
            <v>44386</v>
          </cell>
          <cell r="U1020">
            <v>44396</v>
          </cell>
          <cell r="V1020">
            <v>44397</v>
          </cell>
          <cell r="W1020">
            <v>44398</v>
          </cell>
          <cell r="X1020">
            <v>41100297</v>
          </cell>
        </row>
        <row r="1021">
          <cell r="K1021" t="str">
            <v>GBWS-1376</v>
          </cell>
          <cell r="L1021">
            <v>44369</v>
          </cell>
          <cell r="M1021">
            <v>44370</v>
          </cell>
          <cell r="N1021">
            <v>44385</v>
          </cell>
          <cell r="O1021">
            <v>44370</v>
          </cell>
          <cell r="P1021">
            <v>44386</v>
          </cell>
          <cell r="Q1021">
            <v>44387</v>
          </cell>
          <cell r="R1021">
            <v>44387</v>
          </cell>
          <cell r="S1021"/>
          <cell r="T1021">
            <v>44392</v>
          </cell>
          <cell r="U1021">
            <v>44396</v>
          </cell>
          <cell r="V1021">
            <v>44397</v>
          </cell>
          <cell r="W1021">
            <v>44398</v>
          </cell>
          <cell r="X1021">
            <v>41100297</v>
          </cell>
        </row>
        <row r="1022">
          <cell r="K1022" t="str">
            <v>GBWS-1377</v>
          </cell>
          <cell r="L1022">
            <v>44369</v>
          </cell>
          <cell r="M1022">
            <v>44370</v>
          </cell>
          <cell r="N1022">
            <v>44385</v>
          </cell>
          <cell r="O1022">
            <v>44370</v>
          </cell>
          <cell r="P1022">
            <v>44386</v>
          </cell>
          <cell r="Q1022">
            <v>44387</v>
          </cell>
          <cell r="R1022">
            <v>44387</v>
          </cell>
          <cell r="S1022"/>
          <cell r="T1022">
            <v>44392</v>
          </cell>
          <cell r="U1022">
            <v>44396</v>
          </cell>
          <cell r="V1022">
            <v>44397</v>
          </cell>
          <cell r="W1022">
            <v>44398</v>
          </cell>
          <cell r="X1022">
            <v>41100297</v>
          </cell>
        </row>
        <row r="1023">
          <cell r="K1023" t="str">
            <v>GBWS-1378</v>
          </cell>
          <cell r="L1023">
            <v>44369</v>
          </cell>
          <cell r="M1023">
            <v>44370</v>
          </cell>
          <cell r="N1023">
            <v>44385</v>
          </cell>
          <cell r="O1023">
            <v>44370</v>
          </cell>
          <cell r="P1023">
            <v>44386</v>
          </cell>
          <cell r="Q1023">
            <v>44387</v>
          </cell>
          <cell r="R1023">
            <v>44387</v>
          </cell>
          <cell r="S1023"/>
          <cell r="T1023">
            <v>44392</v>
          </cell>
          <cell r="U1023">
            <v>44396</v>
          </cell>
          <cell r="V1023">
            <v>44397</v>
          </cell>
          <cell r="W1023">
            <v>44398</v>
          </cell>
          <cell r="X1023">
            <v>41100297</v>
          </cell>
        </row>
        <row r="1024">
          <cell r="K1024" t="str">
            <v>GBWS-1379</v>
          </cell>
          <cell r="L1024">
            <v>44369</v>
          </cell>
          <cell r="M1024">
            <v>44370</v>
          </cell>
          <cell r="N1024">
            <v>44385</v>
          </cell>
          <cell r="O1024">
            <v>44370</v>
          </cell>
          <cell r="P1024">
            <v>44386</v>
          </cell>
          <cell r="Q1024">
            <v>44387</v>
          </cell>
          <cell r="R1024">
            <v>44387</v>
          </cell>
          <cell r="S1024"/>
          <cell r="T1024">
            <v>44392</v>
          </cell>
          <cell r="U1024">
            <v>44396</v>
          </cell>
          <cell r="V1024">
            <v>44397</v>
          </cell>
          <cell r="W1024">
            <v>44398</v>
          </cell>
          <cell r="X1024">
            <v>41100297</v>
          </cell>
        </row>
        <row r="1025">
          <cell r="K1025" t="str">
            <v>GBWS-1384</v>
          </cell>
          <cell r="L1025">
            <v>44378</v>
          </cell>
          <cell r="M1025">
            <v>44378</v>
          </cell>
          <cell r="N1025">
            <v>44393</v>
          </cell>
          <cell r="O1025">
            <v>44378</v>
          </cell>
          <cell r="P1025">
            <v>44397</v>
          </cell>
          <cell r="Q1025" t="str">
            <v>7/15 → 7/13 → 7/18</v>
          </cell>
          <cell r="R1025" t="str">
            <v>7/15 → 7/13 → 7/18</v>
          </cell>
          <cell r="S1025"/>
          <cell r="T1025">
            <v>44397</v>
          </cell>
          <cell r="U1025">
            <v>44398</v>
          </cell>
          <cell r="V1025">
            <v>44398</v>
          </cell>
          <cell r="W1025">
            <v>44398</v>
          </cell>
          <cell r="X1025">
            <v>41100362</v>
          </cell>
        </row>
        <row r="1026">
          <cell r="K1026" t="str">
            <v>DBW-2305</v>
          </cell>
          <cell r="L1026">
            <v>44382</v>
          </cell>
          <cell r="M1026">
            <v>44383</v>
          </cell>
          <cell r="N1026">
            <v>44394</v>
          </cell>
          <cell r="O1026">
            <v>44383</v>
          </cell>
          <cell r="P1026">
            <v>44396</v>
          </cell>
          <cell r="Q1026">
            <v>44394</v>
          </cell>
          <cell r="R1026">
            <v>44394</v>
          </cell>
          <cell r="S1026"/>
          <cell r="T1026">
            <v>44396</v>
          </cell>
          <cell r="U1026">
            <v>44397</v>
          </cell>
          <cell r="V1026">
            <v>44398</v>
          </cell>
          <cell r="W1026">
            <v>44399</v>
          </cell>
          <cell r="X1026">
            <v>41100174</v>
          </cell>
        </row>
        <row r="1027">
          <cell r="K1027" t="str">
            <v>DBW-2306</v>
          </cell>
          <cell r="L1027">
            <v>44382</v>
          </cell>
          <cell r="M1027">
            <v>44383</v>
          </cell>
          <cell r="N1027">
            <v>44394</v>
          </cell>
          <cell r="O1027">
            <v>44383</v>
          </cell>
          <cell r="P1027">
            <v>44396</v>
          </cell>
          <cell r="Q1027">
            <v>44394</v>
          </cell>
          <cell r="R1027">
            <v>44394</v>
          </cell>
          <cell r="S1027"/>
          <cell r="T1027">
            <v>44396</v>
          </cell>
          <cell r="U1027">
            <v>44397</v>
          </cell>
          <cell r="V1027">
            <v>44398</v>
          </cell>
          <cell r="W1027">
            <v>44399</v>
          </cell>
          <cell r="X1027">
            <v>41100174</v>
          </cell>
        </row>
        <row r="1028">
          <cell r="K1028" t="str">
            <v>GBWS-1341</v>
          </cell>
          <cell r="L1028">
            <v>44363</v>
          </cell>
          <cell r="M1028">
            <v>44363</v>
          </cell>
          <cell r="N1028">
            <v>44377</v>
          </cell>
          <cell r="O1028">
            <v>44363</v>
          </cell>
          <cell r="P1028">
            <v>44376</v>
          </cell>
          <cell r="Q1028">
            <v>44381</v>
          </cell>
          <cell r="R1028">
            <v>44381</v>
          </cell>
          <cell r="S1028"/>
          <cell r="T1028">
            <v>44385</v>
          </cell>
          <cell r="U1028">
            <v>44392</v>
          </cell>
          <cell r="V1028">
            <v>44393</v>
          </cell>
          <cell r="W1028">
            <v>44393</v>
          </cell>
          <cell r="X1028">
            <v>41100287</v>
          </cell>
        </row>
        <row r="1029">
          <cell r="K1029" t="str">
            <v>GBWS-1342</v>
          </cell>
          <cell r="L1029">
            <v>44363</v>
          </cell>
          <cell r="M1029">
            <v>44363</v>
          </cell>
          <cell r="N1029">
            <v>44377</v>
          </cell>
          <cell r="O1029">
            <v>44363</v>
          </cell>
          <cell r="P1029">
            <v>44376</v>
          </cell>
          <cell r="Q1029">
            <v>44381</v>
          </cell>
          <cell r="R1029">
            <v>44381</v>
          </cell>
          <cell r="S1029"/>
          <cell r="T1029">
            <v>44386</v>
          </cell>
          <cell r="U1029">
            <v>44389</v>
          </cell>
          <cell r="V1029">
            <v>44390</v>
          </cell>
          <cell r="W1029">
            <v>44390</v>
          </cell>
          <cell r="X1029">
            <v>41100287</v>
          </cell>
        </row>
        <row r="1030">
          <cell r="K1030" t="str">
            <v>GBWS-1343</v>
          </cell>
          <cell r="L1030">
            <v>44363</v>
          </cell>
          <cell r="M1030">
            <v>44363</v>
          </cell>
          <cell r="N1030">
            <v>44377</v>
          </cell>
          <cell r="O1030">
            <v>44363</v>
          </cell>
          <cell r="P1030">
            <v>44376</v>
          </cell>
          <cell r="Q1030">
            <v>44381</v>
          </cell>
          <cell r="R1030">
            <v>44381</v>
          </cell>
          <cell r="S1030"/>
          <cell r="T1030">
            <v>44386</v>
          </cell>
          <cell r="U1030">
            <v>44390</v>
          </cell>
          <cell r="V1030">
            <v>44390</v>
          </cell>
          <cell r="W1030">
            <v>44390</v>
          </cell>
          <cell r="X1030">
            <v>41100287</v>
          </cell>
        </row>
        <row r="1031">
          <cell r="K1031" t="str">
            <v>GBWS-1344</v>
          </cell>
          <cell r="L1031">
            <v>44363</v>
          </cell>
          <cell r="M1031">
            <v>44363</v>
          </cell>
          <cell r="N1031">
            <v>44377</v>
          </cell>
          <cell r="O1031">
            <v>44363</v>
          </cell>
          <cell r="P1031">
            <v>44376</v>
          </cell>
          <cell r="Q1031">
            <v>44381</v>
          </cell>
          <cell r="R1031">
            <v>44381</v>
          </cell>
          <cell r="S1031"/>
          <cell r="T1031">
            <v>44385</v>
          </cell>
          <cell r="U1031">
            <v>44392</v>
          </cell>
          <cell r="V1031">
            <v>44393</v>
          </cell>
          <cell r="W1031">
            <v>44393</v>
          </cell>
          <cell r="X1031">
            <v>41100287</v>
          </cell>
        </row>
        <row r="1032">
          <cell r="K1032" t="str">
            <v>GBWS-1345</v>
          </cell>
          <cell r="L1032">
            <v>44363</v>
          </cell>
          <cell r="M1032">
            <v>44363</v>
          </cell>
          <cell r="N1032">
            <v>44377</v>
          </cell>
          <cell r="O1032">
            <v>44363</v>
          </cell>
          <cell r="P1032">
            <v>44376</v>
          </cell>
          <cell r="Q1032">
            <v>44381</v>
          </cell>
          <cell r="R1032">
            <v>44381</v>
          </cell>
          <cell r="S1032"/>
          <cell r="T1032">
            <v>44385</v>
          </cell>
          <cell r="U1032">
            <v>44389</v>
          </cell>
          <cell r="V1032">
            <v>44390</v>
          </cell>
          <cell r="W1032">
            <v>44390</v>
          </cell>
          <cell r="X1032">
            <v>41100287</v>
          </cell>
        </row>
        <row r="1033">
          <cell r="K1033" t="str">
            <v>GBWS-1346</v>
          </cell>
          <cell r="L1033">
            <v>44363</v>
          </cell>
          <cell r="M1033">
            <v>44363</v>
          </cell>
          <cell r="N1033">
            <v>44377</v>
          </cell>
          <cell r="O1033">
            <v>44363</v>
          </cell>
          <cell r="P1033">
            <v>44376</v>
          </cell>
          <cell r="Q1033">
            <v>44381</v>
          </cell>
          <cell r="R1033">
            <v>44381</v>
          </cell>
          <cell r="S1033"/>
          <cell r="T1033">
            <v>44386</v>
          </cell>
          <cell r="U1033">
            <v>44390</v>
          </cell>
          <cell r="V1033">
            <v>44390</v>
          </cell>
          <cell r="W1033">
            <v>44390</v>
          </cell>
          <cell r="X1033">
            <v>41100287</v>
          </cell>
        </row>
        <row r="1034">
          <cell r="K1034" t="str">
            <v>GBWS-1380</v>
          </cell>
          <cell r="L1034">
            <v>44376</v>
          </cell>
          <cell r="M1034">
            <v>44377</v>
          </cell>
          <cell r="N1034">
            <v>44387</v>
          </cell>
          <cell r="O1034">
            <v>44377</v>
          </cell>
          <cell r="P1034">
            <v>44387</v>
          </cell>
          <cell r="Q1034">
            <v>44389</v>
          </cell>
          <cell r="R1034">
            <v>44389</v>
          </cell>
          <cell r="S1034"/>
          <cell r="T1034">
            <v>44397</v>
          </cell>
          <cell r="U1034">
            <v>44399</v>
          </cell>
          <cell r="V1034">
            <v>44400</v>
          </cell>
          <cell r="W1034">
            <v>44405</v>
          </cell>
          <cell r="X1034">
            <v>41100287</v>
          </cell>
        </row>
        <row r="1035">
          <cell r="K1035" t="str">
            <v>GBWS-1381</v>
          </cell>
          <cell r="L1035">
            <v>44376</v>
          </cell>
          <cell r="M1035">
            <v>44377</v>
          </cell>
          <cell r="N1035">
            <v>44387</v>
          </cell>
          <cell r="O1035">
            <v>44377</v>
          </cell>
          <cell r="P1035">
            <v>44387</v>
          </cell>
          <cell r="Q1035">
            <v>44389</v>
          </cell>
          <cell r="R1035">
            <v>44389</v>
          </cell>
          <cell r="S1035"/>
          <cell r="T1035">
            <v>44397</v>
          </cell>
          <cell r="U1035">
            <v>44398</v>
          </cell>
          <cell r="V1035">
            <v>44398</v>
          </cell>
          <cell r="W1035">
            <v>44405</v>
          </cell>
          <cell r="X1035">
            <v>41100287</v>
          </cell>
        </row>
        <row r="1036">
          <cell r="K1036" t="str">
            <v>GBWS-1382</v>
          </cell>
          <cell r="L1036">
            <v>44376</v>
          </cell>
          <cell r="M1036">
            <v>44377</v>
          </cell>
          <cell r="N1036">
            <v>44387</v>
          </cell>
          <cell r="O1036">
            <v>44377</v>
          </cell>
          <cell r="P1036">
            <v>44387</v>
          </cell>
          <cell r="Q1036">
            <v>44389</v>
          </cell>
          <cell r="R1036">
            <v>44389</v>
          </cell>
          <cell r="S1036"/>
          <cell r="T1036">
            <v>44397</v>
          </cell>
          <cell r="U1036">
            <v>44398</v>
          </cell>
          <cell r="V1036">
            <v>44398</v>
          </cell>
          <cell r="W1036">
            <v>44405</v>
          </cell>
          <cell r="X1036">
            <v>41100287</v>
          </cell>
        </row>
        <row r="1037">
          <cell r="K1037" t="str">
            <v>GBWS-1403</v>
          </cell>
          <cell r="L1037">
            <v>44383</v>
          </cell>
          <cell r="M1037">
            <v>44384</v>
          </cell>
          <cell r="N1037">
            <v>44396</v>
          </cell>
          <cell r="O1037">
            <v>44384</v>
          </cell>
          <cell r="P1037">
            <v>44396</v>
          </cell>
          <cell r="Q1037" t="str">
            <v>7/18 → 7/20</v>
          </cell>
          <cell r="R1037" t="str">
            <v>7/18 → 7/20</v>
          </cell>
          <cell r="S1037"/>
          <cell r="T1037">
            <v>44399</v>
          </cell>
          <cell r="U1037">
            <v>44403</v>
          </cell>
          <cell r="V1037">
            <v>44404</v>
          </cell>
          <cell r="W1037">
            <v>44406</v>
          </cell>
          <cell r="X1037" t="str">
            <v>41100288 → 41100344</v>
          </cell>
        </row>
        <row r="1038">
          <cell r="K1038" t="str">
            <v>GBWS-1404</v>
          </cell>
          <cell r="L1038">
            <v>44383</v>
          </cell>
          <cell r="M1038">
            <v>44384</v>
          </cell>
          <cell r="N1038">
            <v>44396</v>
          </cell>
          <cell r="O1038">
            <v>44384</v>
          </cell>
          <cell r="P1038">
            <v>44396</v>
          </cell>
          <cell r="Q1038" t="str">
            <v>7/18 → 7/20</v>
          </cell>
          <cell r="R1038" t="str">
            <v>7/18 → 7/20</v>
          </cell>
          <cell r="S1038"/>
          <cell r="T1038">
            <v>44399</v>
          </cell>
          <cell r="U1038">
            <v>44403</v>
          </cell>
          <cell r="V1038">
            <v>44404</v>
          </cell>
          <cell r="W1038">
            <v>44406</v>
          </cell>
          <cell r="X1038" t="str">
            <v>41100288 → 41100344</v>
          </cell>
        </row>
        <row r="1039">
          <cell r="K1039" t="str">
            <v>GBWS-1405</v>
          </cell>
          <cell r="L1039">
            <v>44383</v>
          </cell>
          <cell r="M1039">
            <v>44384</v>
          </cell>
          <cell r="N1039">
            <v>44396</v>
          </cell>
          <cell r="O1039">
            <v>44384</v>
          </cell>
          <cell r="P1039">
            <v>44396</v>
          </cell>
          <cell r="Q1039" t="str">
            <v>7/18 → 7/20</v>
          </cell>
          <cell r="R1039" t="str">
            <v>7/18 → 7/20</v>
          </cell>
          <cell r="S1039"/>
          <cell r="T1039">
            <v>44399</v>
          </cell>
          <cell r="U1039">
            <v>44403</v>
          </cell>
          <cell r="V1039">
            <v>44404</v>
          </cell>
          <cell r="W1039">
            <v>44406</v>
          </cell>
          <cell r="X1039" t="str">
            <v>41100288 → 41100344</v>
          </cell>
        </row>
        <row r="1040">
          <cell r="K1040" t="str">
            <v xml:space="preserve">DBW-2313 </v>
          </cell>
          <cell r="L1040">
            <v>44390</v>
          </cell>
          <cell r="M1040">
            <v>44391</v>
          </cell>
          <cell r="N1040">
            <v>44398</v>
          </cell>
          <cell r="O1040">
            <v>44391</v>
          </cell>
          <cell r="P1040">
            <v>44399</v>
          </cell>
          <cell r="Q1040">
            <v>44400</v>
          </cell>
          <cell r="R1040">
            <v>44400</v>
          </cell>
          <cell r="S1040"/>
          <cell r="T1040">
            <v>44405</v>
          </cell>
          <cell r="U1040">
            <v>44406</v>
          </cell>
          <cell r="V1040">
            <v>44406</v>
          </cell>
          <cell r="W1040">
            <v>44406</v>
          </cell>
          <cell r="X1040">
            <v>41100354</v>
          </cell>
        </row>
        <row r="1041">
          <cell r="K1041" t="str">
            <v>DBW-2321</v>
          </cell>
          <cell r="L1041">
            <v>44396</v>
          </cell>
          <cell r="M1041">
            <v>44397</v>
          </cell>
          <cell r="N1041">
            <v>44403</v>
          </cell>
          <cell r="O1041">
            <v>44397</v>
          </cell>
          <cell r="P1041">
            <v>44403</v>
          </cell>
          <cell r="Q1041">
            <v>44403</v>
          </cell>
          <cell r="R1041">
            <v>44403</v>
          </cell>
          <cell r="S1041"/>
          <cell r="T1041">
            <v>44404</v>
          </cell>
          <cell r="U1041">
            <v>44406</v>
          </cell>
          <cell r="V1041">
            <v>44406</v>
          </cell>
          <cell r="W1041">
            <v>44406</v>
          </cell>
          <cell r="X1041">
            <v>41100359</v>
          </cell>
        </row>
        <row r="1042">
          <cell r="K1042" t="str">
            <v>GPWS-0200</v>
          </cell>
          <cell r="L1042">
            <v>44392</v>
          </cell>
          <cell r="M1042">
            <v>44393</v>
          </cell>
          <cell r="N1042">
            <v>44400</v>
          </cell>
          <cell r="O1042">
            <v>44393</v>
          </cell>
          <cell r="P1042">
            <v>44400</v>
          </cell>
          <cell r="Q1042">
            <v>44400</v>
          </cell>
          <cell r="R1042">
            <v>44400</v>
          </cell>
          <cell r="S1042"/>
          <cell r="T1042">
            <v>44403</v>
          </cell>
          <cell r="U1042">
            <v>44404</v>
          </cell>
          <cell r="V1042">
            <v>44406</v>
          </cell>
          <cell r="W1042">
            <v>44406</v>
          </cell>
          <cell r="X1042" t="str">
            <v>41100365 → 41100380</v>
          </cell>
        </row>
        <row r="1043">
          <cell r="K1043" t="str">
            <v>GPWS-0201</v>
          </cell>
          <cell r="L1043">
            <v>44392</v>
          </cell>
          <cell r="M1043">
            <v>44393</v>
          </cell>
          <cell r="N1043">
            <v>44400</v>
          </cell>
          <cell r="O1043">
            <v>44393</v>
          </cell>
          <cell r="P1043">
            <v>44400</v>
          </cell>
          <cell r="Q1043">
            <v>44400</v>
          </cell>
          <cell r="R1043">
            <v>44400</v>
          </cell>
          <cell r="S1043"/>
          <cell r="T1043">
            <v>44403</v>
          </cell>
          <cell r="U1043">
            <v>44404</v>
          </cell>
          <cell r="V1043">
            <v>44406</v>
          </cell>
          <cell r="W1043">
            <v>44406</v>
          </cell>
          <cell r="X1043" t="str">
            <v>41100365 → 41100380</v>
          </cell>
        </row>
        <row r="1044">
          <cell r="K1044" t="str">
            <v>SOS-0243</v>
          </cell>
          <cell r="L1044">
            <v>44395</v>
          </cell>
          <cell r="M1044">
            <v>44396</v>
          </cell>
          <cell r="N1044">
            <v>44398</v>
          </cell>
          <cell r="O1044">
            <v>44396</v>
          </cell>
          <cell r="P1044">
            <v>44399</v>
          </cell>
          <cell r="Q1044">
            <v>44399</v>
          </cell>
          <cell r="R1044">
            <v>44399</v>
          </cell>
          <cell r="S1044"/>
          <cell r="T1044">
            <v>44400</v>
          </cell>
          <cell r="U1044">
            <v>44403</v>
          </cell>
          <cell r="V1044">
            <v>44404</v>
          </cell>
          <cell r="W1044">
            <v>44405</v>
          </cell>
          <cell r="X1044">
            <v>41100299</v>
          </cell>
        </row>
        <row r="1045">
          <cell r="K1045" t="str">
            <v>DBW-2318</v>
          </cell>
          <cell r="L1045">
            <v>44392</v>
          </cell>
          <cell r="M1045">
            <v>44393</v>
          </cell>
          <cell r="N1045">
            <v>44400</v>
          </cell>
          <cell r="O1045">
            <v>44393</v>
          </cell>
          <cell r="P1045">
            <v>44403</v>
          </cell>
          <cell r="Q1045">
            <v>44403</v>
          </cell>
          <cell r="R1045">
            <v>44403</v>
          </cell>
          <cell r="S1045"/>
          <cell r="T1045">
            <v>44403</v>
          </cell>
          <cell r="U1045">
            <v>44404</v>
          </cell>
          <cell r="V1045">
            <v>44408</v>
          </cell>
          <cell r="W1045">
            <v>44408</v>
          </cell>
          <cell r="X1045">
            <v>41100258</v>
          </cell>
        </row>
        <row r="1046">
          <cell r="K1046" t="str">
            <v>DBW-2319</v>
          </cell>
          <cell r="L1046">
            <v>44392</v>
          </cell>
          <cell r="M1046">
            <v>44393</v>
          </cell>
          <cell r="N1046">
            <v>44400</v>
          </cell>
          <cell r="O1046">
            <v>44393</v>
          </cell>
          <cell r="P1046">
            <v>44403</v>
          </cell>
          <cell r="Q1046">
            <v>44403</v>
          </cell>
          <cell r="R1046">
            <v>44403</v>
          </cell>
          <cell r="S1046"/>
          <cell r="T1046">
            <v>44403</v>
          </cell>
          <cell r="U1046">
            <v>44404</v>
          </cell>
          <cell r="V1046">
            <v>44408</v>
          </cell>
          <cell r="W1046">
            <v>44408</v>
          </cell>
          <cell r="X1046">
            <v>41100258</v>
          </cell>
        </row>
        <row r="1047">
          <cell r="K1047" t="str">
            <v>DBW-2309</v>
          </cell>
          <cell r="L1047">
            <v>44382</v>
          </cell>
          <cell r="M1047">
            <v>44383</v>
          </cell>
          <cell r="N1047">
            <v>44397</v>
          </cell>
          <cell r="O1047">
            <v>44383</v>
          </cell>
          <cell r="P1047">
            <v>44397</v>
          </cell>
          <cell r="Q1047">
            <v>44397</v>
          </cell>
          <cell r="R1047">
            <v>44397</v>
          </cell>
          <cell r="S1047"/>
          <cell r="T1047">
            <v>44398</v>
          </cell>
          <cell r="U1047">
            <v>44399</v>
          </cell>
          <cell r="V1047">
            <v>44404</v>
          </cell>
          <cell r="W1047">
            <v>44405</v>
          </cell>
          <cell r="X1047">
            <v>41100376</v>
          </cell>
        </row>
        <row r="1048">
          <cell r="K1048" t="str">
            <v>DBW-2310</v>
          </cell>
          <cell r="L1048">
            <v>44382</v>
          </cell>
          <cell r="M1048">
            <v>44383</v>
          </cell>
          <cell r="N1048">
            <v>44397</v>
          </cell>
          <cell r="O1048">
            <v>44383</v>
          </cell>
          <cell r="P1048">
            <v>44397</v>
          </cell>
          <cell r="Q1048">
            <v>44397</v>
          </cell>
          <cell r="R1048">
            <v>44397</v>
          </cell>
          <cell r="S1048"/>
          <cell r="T1048">
            <v>44398</v>
          </cell>
          <cell r="U1048">
            <v>44399</v>
          </cell>
          <cell r="V1048">
            <v>44404</v>
          </cell>
          <cell r="W1048">
            <v>44405</v>
          </cell>
          <cell r="X1048">
            <v>41100376</v>
          </cell>
        </row>
        <row r="1049">
          <cell r="K1049" t="str">
            <v xml:space="preserve">GBWS-1406 </v>
          </cell>
          <cell r="L1049">
            <v>44384</v>
          </cell>
          <cell r="M1049">
            <v>44385</v>
          </cell>
          <cell r="N1049">
            <v>44397</v>
          </cell>
          <cell r="O1049">
            <v>44385</v>
          </cell>
          <cell r="P1049">
            <v>44397</v>
          </cell>
          <cell r="Q1049">
            <v>44398</v>
          </cell>
          <cell r="R1049">
            <v>44398</v>
          </cell>
          <cell r="S1049"/>
          <cell r="T1049">
            <v>44400</v>
          </cell>
          <cell r="U1049">
            <v>44405</v>
          </cell>
          <cell r="V1049">
            <v>44406</v>
          </cell>
          <cell r="W1049">
            <v>44406</v>
          </cell>
          <cell r="X1049">
            <v>41100314</v>
          </cell>
        </row>
        <row r="1050">
          <cell r="K1050" t="str">
            <v>GBWS-1407</v>
          </cell>
          <cell r="L1050">
            <v>44384</v>
          </cell>
          <cell r="M1050">
            <v>44385</v>
          </cell>
          <cell r="N1050">
            <v>44397</v>
          </cell>
          <cell r="O1050">
            <v>44385</v>
          </cell>
          <cell r="P1050">
            <v>44397</v>
          </cell>
          <cell r="Q1050">
            <v>44398</v>
          </cell>
          <cell r="R1050">
            <v>44398</v>
          </cell>
          <cell r="S1050"/>
          <cell r="T1050">
            <v>44404</v>
          </cell>
          <cell r="U1050">
            <v>44405</v>
          </cell>
          <cell r="V1050">
            <v>44406</v>
          </cell>
          <cell r="W1050">
            <v>44406</v>
          </cell>
          <cell r="X1050">
            <v>41100314</v>
          </cell>
        </row>
        <row r="1051">
          <cell r="K1051" t="str">
            <v>GBWS-1408</v>
          </cell>
          <cell r="L1051">
            <v>44384</v>
          </cell>
          <cell r="M1051">
            <v>44385</v>
          </cell>
          <cell r="N1051">
            <v>44397</v>
          </cell>
          <cell r="O1051">
            <v>44385</v>
          </cell>
          <cell r="P1051">
            <v>44397</v>
          </cell>
          <cell r="Q1051">
            <v>44398</v>
          </cell>
          <cell r="R1051">
            <v>44398</v>
          </cell>
          <cell r="S1051"/>
          <cell r="T1051">
            <v>44400</v>
          </cell>
          <cell r="U1051">
            <v>44403</v>
          </cell>
          <cell r="V1051">
            <v>44406</v>
          </cell>
          <cell r="W1051">
            <v>44406</v>
          </cell>
          <cell r="X1051">
            <v>41100314</v>
          </cell>
        </row>
        <row r="1052">
          <cell r="K1052" t="str">
            <v>GBWS-1409</v>
          </cell>
          <cell r="L1052">
            <v>44384</v>
          </cell>
          <cell r="M1052">
            <v>44385</v>
          </cell>
          <cell r="N1052">
            <v>44397</v>
          </cell>
          <cell r="O1052">
            <v>44385</v>
          </cell>
          <cell r="P1052">
            <v>44397</v>
          </cell>
          <cell r="Q1052">
            <v>44398</v>
          </cell>
          <cell r="R1052">
            <v>44398</v>
          </cell>
          <cell r="S1052"/>
          <cell r="T1052">
            <v>44404</v>
          </cell>
          <cell r="U1052">
            <v>44405</v>
          </cell>
          <cell r="V1052">
            <v>44406</v>
          </cell>
          <cell r="W1052">
            <v>44406</v>
          </cell>
          <cell r="X1052">
            <v>41100314</v>
          </cell>
        </row>
        <row r="1053">
          <cell r="K1053" t="str">
            <v>GBWS-1410</v>
          </cell>
          <cell r="L1053">
            <v>44384</v>
          </cell>
          <cell r="M1053">
            <v>44385</v>
          </cell>
          <cell r="N1053">
            <v>44397</v>
          </cell>
          <cell r="O1053">
            <v>44385</v>
          </cell>
          <cell r="P1053">
            <v>44397</v>
          </cell>
          <cell r="Q1053">
            <v>44398</v>
          </cell>
          <cell r="R1053">
            <v>44398</v>
          </cell>
          <cell r="S1053"/>
          <cell r="T1053">
            <v>44404</v>
          </cell>
          <cell r="U1053">
            <v>44405</v>
          </cell>
          <cell r="V1053">
            <v>44406</v>
          </cell>
          <cell r="W1053">
            <v>44406</v>
          </cell>
          <cell r="X1053">
            <v>41100314</v>
          </cell>
        </row>
        <row r="1054">
          <cell r="K1054" t="str">
            <v>GBWS-1411</v>
          </cell>
          <cell r="L1054">
            <v>44384</v>
          </cell>
          <cell r="M1054">
            <v>44385</v>
          </cell>
          <cell r="N1054">
            <v>44397</v>
          </cell>
          <cell r="O1054">
            <v>44385</v>
          </cell>
          <cell r="P1054">
            <v>44397</v>
          </cell>
          <cell r="Q1054">
            <v>44398</v>
          </cell>
          <cell r="R1054">
            <v>44398</v>
          </cell>
          <cell r="S1054"/>
          <cell r="T1054">
            <v>44404</v>
          </cell>
          <cell r="U1054">
            <v>44405</v>
          </cell>
          <cell r="V1054">
            <v>44406</v>
          </cell>
          <cell r="W1054">
            <v>44406</v>
          </cell>
          <cell r="X1054">
            <v>41100314</v>
          </cell>
        </row>
        <row r="1055">
          <cell r="K1055" t="str">
            <v>GBWS-1412</v>
          </cell>
          <cell r="L1055">
            <v>44384</v>
          </cell>
          <cell r="M1055">
            <v>44385</v>
          </cell>
          <cell r="N1055">
            <v>44397</v>
          </cell>
          <cell r="O1055">
            <v>44385</v>
          </cell>
          <cell r="P1055">
            <v>44397</v>
          </cell>
          <cell r="Q1055">
            <v>44399</v>
          </cell>
          <cell r="R1055">
            <v>44399</v>
          </cell>
          <cell r="S1055"/>
          <cell r="T1055">
            <v>44400</v>
          </cell>
          <cell r="U1055">
            <v>44403</v>
          </cell>
          <cell r="V1055">
            <v>44406</v>
          </cell>
          <cell r="W1055">
            <v>44406</v>
          </cell>
          <cell r="X1055">
            <v>41100329</v>
          </cell>
        </row>
        <row r="1056">
          <cell r="K1056" t="str">
            <v>GBWS-1413</v>
          </cell>
          <cell r="L1056">
            <v>44384</v>
          </cell>
          <cell r="M1056">
            <v>44385</v>
          </cell>
          <cell r="N1056">
            <v>44397</v>
          </cell>
          <cell r="O1056">
            <v>44385</v>
          </cell>
          <cell r="P1056">
            <v>44397</v>
          </cell>
          <cell r="Q1056">
            <v>44399</v>
          </cell>
          <cell r="R1056">
            <v>44399</v>
          </cell>
          <cell r="S1056"/>
          <cell r="T1056">
            <v>44403</v>
          </cell>
          <cell r="U1056">
            <v>44403</v>
          </cell>
          <cell r="V1056">
            <v>44406</v>
          </cell>
          <cell r="W1056">
            <v>44406</v>
          </cell>
          <cell r="X1056">
            <v>41100329</v>
          </cell>
        </row>
        <row r="1057">
          <cell r="K1057" t="str">
            <v>GBWS-1414</v>
          </cell>
          <cell r="L1057">
            <v>44384</v>
          </cell>
          <cell r="M1057">
            <v>44385</v>
          </cell>
          <cell r="N1057">
            <v>44397</v>
          </cell>
          <cell r="O1057">
            <v>44385</v>
          </cell>
          <cell r="P1057">
            <v>44397</v>
          </cell>
          <cell r="Q1057">
            <v>44399</v>
          </cell>
          <cell r="R1057">
            <v>44399</v>
          </cell>
          <cell r="S1057"/>
          <cell r="T1057">
            <v>44400</v>
          </cell>
          <cell r="U1057">
            <v>44403</v>
          </cell>
          <cell r="V1057">
            <v>44406</v>
          </cell>
          <cell r="W1057">
            <v>44406</v>
          </cell>
          <cell r="X1057">
            <v>41100329</v>
          </cell>
        </row>
        <row r="1058">
          <cell r="K1058" t="str">
            <v>GBWS-1415</v>
          </cell>
          <cell r="L1058">
            <v>44384</v>
          </cell>
          <cell r="M1058">
            <v>44385</v>
          </cell>
          <cell r="N1058">
            <v>44397</v>
          </cell>
          <cell r="O1058">
            <v>44385</v>
          </cell>
          <cell r="P1058">
            <v>44397</v>
          </cell>
          <cell r="Q1058">
            <v>44399</v>
          </cell>
          <cell r="R1058">
            <v>44399</v>
          </cell>
          <cell r="S1058"/>
          <cell r="T1058">
            <v>44403</v>
          </cell>
          <cell r="U1058">
            <v>44404</v>
          </cell>
          <cell r="V1058">
            <v>44406</v>
          </cell>
          <cell r="W1058">
            <v>44406</v>
          </cell>
          <cell r="X1058">
            <v>41100329</v>
          </cell>
        </row>
        <row r="1059">
          <cell r="K1059" t="str">
            <v>GBWS-1416</v>
          </cell>
          <cell r="L1059">
            <v>44384</v>
          </cell>
          <cell r="M1059">
            <v>44385</v>
          </cell>
          <cell r="N1059">
            <v>44399</v>
          </cell>
          <cell r="O1059">
            <v>44385</v>
          </cell>
          <cell r="P1059">
            <v>44399</v>
          </cell>
          <cell r="Q1059">
            <v>44399</v>
          </cell>
          <cell r="R1059">
            <v>44399</v>
          </cell>
          <cell r="S1059"/>
          <cell r="T1059">
            <v>44403</v>
          </cell>
          <cell r="U1059">
            <v>44406</v>
          </cell>
          <cell r="V1059">
            <v>44407</v>
          </cell>
          <cell r="W1059">
            <v>44408</v>
          </cell>
          <cell r="X1059">
            <v>41100307</v>
          </cell>
        </row>
        <row r="1060">
          <cell r="K1060" t="str">
            <v>GBWS-1417</v>
          </cell>
          <cell r="L1060">
            <v>44384</v>
          </cell>
          <cell r="M1060">
            <v>44385</v>
          </cell>
          <cell r="N1060">
            <v>44399</v>
          </cell>
          <cell r="O1060">
            <v>44385</v>
          </cell>
          <cell r="P1060">
            <v>44399</v>
          </cell>
          <cell r="Q1060">
            <v>44399</v>
          </cell>
          <cell r="R1060">
            <v>44399</v>
          </cell>
          <cell r="S1060"/>
          <cell r="T1060">
            <v>44400</v>
          </cell>
          <cell r="U1060">
            <v>44406</v>
          </cell>
          <cell r="V1060">
            <v>44407</v>
          </cell>
          <cell r="W1060">
            <v>44408</v>
          </cell>
          <cell r="X1060">
            <v>41100307</v>
          </cell>
        </row>
        <row r="1061">
          <cell r="K1061" t="str">
            <v>GBWS-1418</v>
          </cell>
          <cell r="L1061">
            <v>44384</v>
          </cell>
          <cell r="M1061">
            <v>44385</v>
          </cell>
          <cell r="N1061">
            <v>44399</v>
          </cell>
          <cell r="O1061">
            <v>44385</v>
          </cell>
          <cell r="P1061">
            <v>44399</v>
          </cell>
          <cell r="Q1061">
            <v>44399</v>
          </cell>
          <cell r="R1061">
            <v>44399</v>
          </cell>
          <cell r="S1061"/>
          <cell r="T1061">
            <v>44403</v>
          </cell>
          <cell r="U1061">
            <v>44406</v>
          </cell>
          <cell r="V1061">
            <v>44407</v>
          </cell>
          <cell r="W1061">
            <v>44408</v>
          </cell>
          <cell r="X1061">
            <v>41100307</v>
          </cell>
        </row>
        <row r="1062">
          <cell r="K1062" t="str">
            <v>GBWS-1338</v>
          </cell>
          <cell r="L1062">
            <v>44363</v>
          </cell>
          <cell r="M1062">
            <v>44363</v>
          </cell>
          <cell r="N1062">
            <v>44380</v>
          </cell>
          <cell r="O1062">
            <v>44363</v>
          </cell>
          <cell r="P1062">
            <v>44379</v>
          </cell>
          <cell r="Q1062" t="str">
            <v>6/24 → 6/27 → 6/28 → 7/2 → 7/5</v>
          </cell>
          <cell r="R1062" t="str">
            <v>6/24 → 6/27 → 6/28 → 7/2 → 7/5</v>
          </cell>
          <cell r="S1062"/>
          <cell r="T1062">
            <v>44383</v>
          </cell>
          <cell r="U1062">
            <v>44386</v>
          </cell>
          <cell r="V1062">
            <v>44386</v>
          </cell>
          <cell r="W1062">
            <v>44396</v>
          </cell>
          <cell r="X1062">
            <v>41100286</v>
          </cell>
        </row>
        <row r="1063">
          <cell r="K1063" t="str">
            <v>GBWS-1352</v>
          </cell>
          <cell r="L1063">
            <v>44363</v>
          </cell>
          <cell r="M1063">
            <v>44363</v>
          </cell>
          <cell r="N1063">
            <v>44378</v>
          </cell>
          <cell r="O1063">
            <v>44363</v>
          </cell>
          <cell r="P1063">
            <v>44379</v>
          </cell>
          <cell r="Q1063" t="str">
            <v>6/28 → 7/1</v>
          </cell>
          <cell r="R1063" t="str">
            <v>6/28 → 7/1</v>
          </cell>
          <cell r="S1063"/>
          <cell r="T1063">
            <v>44379</v>
          </cell>
          <cell r="U1063">
            <v>44403</v>
          </cell>
          <cell r="V1063">
            <v>44408</v>
          </cell>
          <cell r="W1063">
            <v>44410</v>
          </cell>
          <cell r="X1063" t="str">
            <v>41100298 → 41100361</v>
          </cell>
        </row>
        <row r="1064">
          <cell r="K1064" t="str">
            <v xml:space="preserve"> -</v>
          </cell>
          <cell r="L1064">
            <v>44406</v>
          </cell>
          <cell r="M1064">
            <v>44407</v>
          </cell>
          <cell r="N1064">
            <v>44410</v>
          </cell>
          <cell r="O1064">
            <v>44407</v>
          </cell>
          <cell r="P1064">
            <v>44410</v>
          </cell>
          <cell r="Q1064">
            <v>44407</v>
          </cell>
          <cell r="R1064">
            <v>44407</v>
          </cell>
          <cell r="S1064"/>
          <cell r="T1064"/>
          <cell r="U1064"/>
          <cell r="V1064">
            <v>44410</v>
          </cell>
          <cell r="W1064">
            <v>44411</v>
          </cell>
          <cell r="X1064">
            <v>31010314</v>
          </cell>
        </row>
        <row r="1065">
          <cell r="K1065" t="str">
            <v xml:space="preserve"> -</v>
          </cell>
          <cell r="L1065">
            <v>44406</v>
          </cell>
          <cell r="M1065">
            <v>44407</v>
          </cell>
          <cell r="N1065">
            <v>44410</v>
          </cell>
          <cell r="O1065">
            <v>44407</v>
          </cell>
          <cell r="P1065">
            <v>44410</v>
          </cell>
          <cell r="Q1065">
            <v>44407</v>
          </cell>
          <cell r="R1065">
            <v>44407</v>
          </cell>
          <cell r="S1065"/>
          <cell r="T1065"/>
          <cell r="U1065"/>
          <cell r="V1065">
            <v>44410</v>
          </cell>
          <cell r="W1065">
            <v>44411</v>
          </cell>
          <cell r="X1065">
            <v>31010315</v>
          </cell>
        </row>
        <row r="1066">
          <cell r="K1066" t="str">
            <v>GBWS-1374</v>
          </cell>
          <cell r="L1066">
            <v>44369</v>
          </cell>
          <cell r="M1066">
            <v>44370</v>
          </cell>
          <cell r="N1066">
            <v>44392</v>
          </cell>
          <cell r="O1066">
            <v>44370</v>
          </cell>
          <cell r="P1066">
            <v>44392</v>
          </cell>
          <cell r="Q1066">
            <v>44393</v>
          </cell>
          <cell r="R1066">
            <v>44393</v>
          </cell>
          <cell r="S1066"/>
          <cell r="T1066">
            <v>44393</v>
          </cell>
          <cell r="U1066">
            <v>44399</v>
          </cell>
          <cell r="V1066">
            <v>44400</v>
          </cell>
          <cell r="W1066">
            <v>44411</v>
          </cell>
          <cell r="X1066" t="str">
            <v>41100093 → 41100094</v>
          </cell>
        </row>
        <row r="1067">
          <cell r="K1067" t="str">
            <v>GBWS-1421</v>
          </cell>
          <cell r="L1067">
            <v>44385</v>
          </cell>
          <cell r="M1067">
            <v>44386</v>
          </cell>
          <cell r="N1067">
            <v>44400</v>
          </cell>
          <cell r="O1067">
            <v>44386</v>
          </cell>
          <cell r="P1067">
            <v>44401</v>
          </cell>
          <cell r="Q1067">
            <v>44401</v>
          </cell>
          <cell r="R1067">
            <v>44401</v>
          </cell>
          <cell r="S1067"/>
          <cell r="T1067">
            <v>44405</v>
          </cell>
          <cell r="U1067">
            <v>44410</v>
          </cell>
          <cell r="V1067">
            <v>44411</v>
          </cell>
          <cell r="W1067">
            <v>44411</v>
          </cell>
          <cell r="X1067">
            <v>41100093</v>
          </cell>
        </row>
        <row r="1068">
          <cell r="K1068" t="str">
            <v>GBWS-1422</v>
          </cell>
          <cell r="L1068">
            <v>44385</v>
          </cell>
          <cell r="M1068">
            <v>44386</v>
          </cell>
          <cell r="N1068">
            <v>44400</v>
          </cell>
          <cell r="O1068">
            <v>44386</v>
          </cell>
          <cell r="P1068">
            <v>44401</v>
          </cell>
          <cell r="Q1068">
            <v>44401</v>
          </cell>
          <cell r="R1068">
            <v>44401</v>
          </cell>
          <cell r="S1068"/>
          <cell r="T1068">
            <v>44405</v>
          </cell>
          <cell r="U1068">
            <v>44410</v>
          </cell>
          <cell r="V1068">
            <v>44411</v>
          </cell>
          <cell r="W1068">
            <v>44411</v>
          </cell>
          <cell r="X1068">
            <v>41100093</v>
          </cell>
        </row>
        <row r="1069">
          <cell r="K1069" t="str">
            <v>GBWS-1423</v>
          </cell>
          <cell r="L1069">
            <v>44385</v>
          </cell>
          <cell r="M1069">
            <v>44386</v>
          </cell>
          <cell r="N1069">
            <v>44400</v>
          </cell>
          <cell r="O1069">
            <v>44386</v>
          </cell>
          <cell r="P1069">
            <v>44401</v>
          </cell>
          <cell r="Q1069">
            <v>44401</v>
          </cell>
          <cell r="R1069">
            <v>44401</v>
          </cell>
          <cell r="S1069"/>
          <cell r="T1069">
            <v>44405</v>
          </cell>
          <cell r="U1069">
            <v>44410</v>
          </cell>
          <cell r="V1069">
            <v>44411</v>
          </cell>
          <cell r="W1069">
            <v>44411</v>
          </cell>
          <cell r="X1069">
            <v>41100093</v>
          </cell>
        </row>
        <row r="1070">
          <cell r="K1070" t="str">
            <v>GBWS-1424</v>
          </cell>
          <cell r="L1070">
            <v>44385</v>
          </cell>
          <cell r="M1070">
            <v>44386</v>
          </cell>
          <cell r="N1070">
            <v>44400</v>
          </cell>
          <cell r="O1070">
            <v>44386</v>
          </cell>
          <cell r="P1070">
            <v>44401</v>
          </cell>
          <cell r="Q1070">
            <v>44401</v>
          </cell>
          <cell r="R1070">
            <v>44401</v>
          </cell>
          <cell r="S1070"/>
          <cell r="T1070">
            <v>44405</v>
          </cell>
          <cell r="U1070">
            <v>44410</v>
          </cell>
          <cell r="V1070">
            <v>44411</v>
          </cell>
          <cell r="W1070">
            <v>44411</v>
          </cell>
          <cell r="X1070">
            <v>41100093</v>
          </cell>
        </row>
        <row r="1071">
          <cell r="K1071" t="str">
            <v>GBWS-1425</v>
          </cell>
          <cell r="L1071">
            <v>44385</v>
          </cell>
          <cell r="M1071">
            <v>44386</v>
          </cell>
          <cell r="N1071">
            <v>44400</v>
          </cell>
          <cell r="O1071">
            <v>44386</v>
          </cell>
          <cell r="P1071">
            <v>44401</v>
          </cell>
          <cell r="Q1071">
            <v>44401</v>
          </cell>
          <cell r="R1071">
            <v>44401</v>
          </cell>
          <cell r="S1071"/>
          <cell r="T1071">
            <v>44405</v>
          </cell>
          <cell r="U1071">
            <v>44410</v>
          </cell>
          <cell r="V1071">
            <v>44411</v>
          </cell>
          <cell r="W1071">
            <v>44411</v>
          </cell>
          <cell r="X1071">
            <v>41100093</v>
          </cell>
        </row>
        <row r="1072">
          <cell r="K1072" t="str">
            <v>GBWS-1426</v>
          </cell>
          <cell r="L1072">
            <v>44385</v>
          </cell>
          <cell r="M1072">
            <v>44386</v>
          </cell>
          <cell r="N1072">
            <v>44400</v>
          </cell>
          <cell r="O1072">
            <v>44386</v>
          </cell>
          <cell r="P1072">
            <v>44399</v>
          </cell>
          <cell r="Q1072">
            <v>44402</v>
          </cell>
          <cell r="R1072">
            <v>44402</v>
          </cell>
          <cell r="S1072"/>
          <cell r="T1072">
            <v>44406</v>
          </cell>
          <cell r="U1072">
            <v>44411</v>
          </cell>
          <cell r="V1072">
            <v>44411</v>
          </cell>
          <cell r="W1072">
            <v>44411</v>
          </cell>
          <cell r="X1072">
            <v>41100089</v>
          </cell>
        </row>
        <row r="1073">
          <cell r="K1073" t="str">
            <v>GBWS-1427</v>
          </cell>
          <cell r="L1073">
            <v>44385</v>
          </cell>
          <cell r="M1073">
            <v>44386</v>
          </cell>
          <cell r="N1073">
            <v>44400</v>
          </cell>
          <cell r="O1073">
            <v>44386</v>
          </cell>
          <cell r="P1073">
            <v>44399</v>
          </cell>
          <cell r="Q1073">
            <v>44402</v>
          </cell>
          <cell r="R1073">
            <v>44402</v>
          </cell>
          <cell r="S1073"/>
          <cell r="T1073">
            <v>44406</v>
          </cell>
          <cell r="U1073">
            <v>44410</v>
          </cell>
          <cell r="V1073">
            <v>44411</v>
          </cell>
          <cell r="W1073">
            <v>44411</v>
          </cell>
          <cell r="X1073">
            <v>41100089</v>
          </cell>
        </row>
        <row r="1074">
          <cell r="K1074" t="str">
            <v>GBWS-1431</v>
          </cell>
          <cell r="L1074">
            <v>44392</v>
          </cell>
          <cell r="M1074">
            <v>44392</v>
          </cell>
          <cell r="N1074">
            <v>44405</v>
          </cell>
          <cell r="O1074">
            <v>44392</v>
          </cell>
          <cell r="P1074">
            <v>44405</v>
          </cell>
          <cell r="Q1074" t="str">
            <v>7/25 → 7/28</v>
          </cell>
          <cell r="R1074" t="str">
            <v>7/25 → 7/28</v>
          </cell>
          <cell r="S1074"/>
          <cell r="T1074">
            <v>44406</v>
          </cell>
          <cell r="U1074">
            <v>44410</v>
          </cell>
          <cell r="V1074">
            <v>44411</v>
          </cell>
          <cell r="W1074">
            <v>44411</v>
          </cell>
          <cell r="X1074">
            <v>41100085</v>
          </cell>
        </row>
        <row r="1075">
          <cell r="K1075" t="str">
            <v>GBWS-1432</v>
          </cell>
          <cell r="L1075">
            <v>44392</v>
          </cell>
          <cell r="M1075">
            <v>44392</v>
          </cell>
          <cell r="N1075">
            <v>44405</v>
          </cell>
          <cell r="O1075">
            <v>44392</v>
          </cell>
          <cell r="P1075">
            <v>44405</v>
          </cell>
          <cell r="Q1075" t="str">
            <v>7/25 → 7/28</v>
          </cell>
          <cell r="R1075" t="str">
            <v>7/25 → 7/28</v>
          </cell>
          <cell r="S1075"/>
          <cell r="T1075">
            <v>44406</v>
          </cell>
          <cell r="U1075">
            <v>44410</v>
          </cell>
          <cell r="V1075">
            <v>44411</v>
          </cell>
          <cell r="W1075">
            <v>44411</v>
          </cell>
          <cell r="X1075">
            <v>41100085</v>
          </cell>
        </row>
        <row r="1076">
          <cell r="K1076" t="str">
            <v>GBWS-1433</v>
          </cell>
          <cell r="L1076">
            <v>44392</v>
          </cell>
          <cell r="M1076">
            <v>44392</v>
          </cell>
          <cell r="N1076">
            <v>44405</v>
          </cell>
          <cell r="O1076">
            <v>44392</v>
          </cell>
          <cell r="P1076">
            <v>44405</v>
          </cell>
          <cell r="Q1076" t="str">
            <v>7/25 → 7/28</v>
          </cell>
          <cell r="R1076" t="str">
            <v>7/25 → 7/28</v>
          </cell>
          <cell r="S1076"/>
          <cell r="T1076">
            <v>44406</v>
          </cell>
          <cell r="U1076">
            <v>44410</v>
          </cell>
          <cell r="V1076">
            <v>44411</v>
          </cell>
          <cell r="W1076">
            <v>44411</v>
          </cell>
          <cell r="X1076">
            <v>41100085</v>
          </cell>
        </row>
        <row r="1077">
          <cell r="K1077" t="str">
            <v>GBWS-1434</v>
          </cell>
          <cell r="L1077">
            <v>44392</v>
          </cell>
          <cell r="M1077">
            <v>44392</v>
          </cell>
          <cell r="N1077">
            <v>44405</v>
          </cell>
          <cell r="O1077">
            <v>44392</v>
          </cell>
          <cell r="P1077">
            <v>44405</v>
          </cell>
          <cell r="Q1077" t="str">
            <v>7/25 → 7/28</v>
          </cell>
          <cell r="R1077" t="str">
            <v>7/25 → 7/28</v>
          </cell>
          <cell r="S1077"/>
          <cell r="T1077">
            <v>44406</v>
          </cell>
          <cell r="U1077">
            <v>44411</v>
          </cell>
          <cell r="V1077">
            <v>44411</v>
          </cell>
          <cell r="W1077">
            <v>44411</v>
          </cell>
          <cell r="X1077">
            <v>41100085</v>
          </cell>
        </row>
        <row r="1078">
          <cell r="K1078" t="str">
            <v>GBWS-1428</v>
          </cell>
          <cell r="L1078">
            <v>44386</v>
          </cell>
          <cell r="M1078">
            <v>44389</v>
          </cell>
          <cell r="N1078">
            <v>44398</v>
          </cell>
          <cell r="O1078">
            <v>44389</v>
          </cell>
          <cell r="P1078">
            <v>44398</v>
          </cell>
          <cell r="Q1078">
            <v>44397</v>
          </cell>
          <cell r="R1078">
            <v>44397</v>
          </cell>
          <cell r="S1078"/>
          <cell r="T1078">
            <v>44399</v>
          </cell>
          <cell r="U1078">
            <v>44400</v>
          </cell>
          <cell r="V1078">
            <v>44406</v>
          </cell>
          <cell r="W1078">
            <v>44406</v>
          </cell>
          <cell r="X1078">
            <v>41100302</v>
          </cell>
        </row>
        <row r="1079">
          <cell r="K1079" t="str">
            <v>GBWS-1243</v>
          </cell>
          <cell r="L1079">
            <v>44336</v>
          </cell>
          <cell r="M1079">
            <v>44337</v>
          </cell>
          <cell r="N1079">
            <v>44359</v>
          </cell>
          <cell r="O1079">
            <v>44337</v>
          </cell>
          <cell r="P1079">
            <v>44360</v>
          </cell>
          <cell r="Q1079" t="str">
            <v>6/10 → 6/12</v>
          </cell>
          <cell r="R1079" t="str">
            <v>6/10 → 6/12</v>
          </cell>
          <cell r="S1079"/>
          <cell r="T1079">
            <v>44393</v>
          </cell>
          <cell r="U1079">
            <v>44406</v>
          </cell>
          <cell r="V1079">
            <v>44407</v>
          </cell>
          <cell r="W1079">
            <v>44408</v>
          </cell>
          <cell r="X1079">
            <v>41100334</v>
          </cell>
        </row>
        <row r="1080">
          <cell r="K1080" t="str">
            <v>GBWS-1170</v>
          </cell>
          <cell r="L1080">
            <v>44316</v>
          </cell>
          <cell r="M1080">
            <v>44319</v>
          </cell>
          <cell r="N1080">
            <v>44337</v>
          </cell>
          <cell r="O1080">
            <v>44319</v>
          </cell>
          <cell r="P1080">
            <v>44336</v>
          </cell>
          <cell r="Q1080">
            <v>44336</v>
          </cell>
          <cell r="R1080">
            <v>44336</v>
          </cell>
          <cell r="S1080"/>
          <cell r="T1080">
            <v>44337</v>
          </cell>
          <cell r="U1080">
            <v>44342</v>
          </cell>
          <cell r="V1080">
            <v>44342</v>
          </cell>
          <cell r="W1080">
            <v>44343</v>
          </cell>
          <cell r="X1080">
            <v>41100293</v>
          </cell>
        </row>
        <row r="1081">
          <cell r="K1081" t="str">
            <v>GBWS-1366</v>
          </cell>
          <cell r="L1081">
            <v>44368</v>
          </cell>
          <cell r="M1081">
            <v>44369</v>
          </cell>
          <cell r="N1081">
            <v>44384</v>
          </cell>
          <cell r="O1081">
            <v>44369</v>
          </cell>
          <cell r="P1081">
            <v>44384</v>
          </cell>
          <cell r="Q1081" t="str">
            <v>7/2 → 7/7</v>
          </cell>
          <cell r="R1081" t="str">
            <v>7/2 → 7/7</v>
          </cell>
          <cell r="S1081"/>
          <cell r="T1081">
            <v>44390</v>
          </cell>
          <cell r="U1081">
            <v>44391</v>
          </cell>
          <cell r="V1081">
            <v>44392</v>
          </cell>
          <cell r="W1081">
            <v>44396</v>
          </cell>
          <cell r="X1081">
            <v>41100326</v>
          </cell>
        </row>
        <row r="1082">
          <cell r="K1082" t="str">
            <v>DBW-2340</v>
          </cell>
          <cell r="L1082">
            <v>44392</v>
          </cell>
          <cell r="M1082">
            <v>44393</v>
          </cell>
          <cell r="N1082">
            <v>44405</v>
          </cell>
          <cell r="O1082">
            <v>44393</v>
          </cell>
          <cell r="P1082">
            <v>44404</v>
          </cell>
          <cell r="Q1082">
            <v>44405</v>
          </cell>
          <cell r="R1082">
            <v>44405</v>
          </cell>
          <cell r="S1082"/>
          <cell r="T1082">
            <v>44407</v>
          </cell>
          <cell r="U1082">
            <v>44411</v>
          </cell>
          <cell r="V1082">
            <v>44412</v>
          </cell>
          <cell r="W1082">
            <v>44412</v>
          </cell>
          <cell r="X1082">
            <v>41100310</v>
          </cell>
        </row>
        <row r="1083">
          <cell r="K1083" t="str">
            <v>DBW-2311</v>
          </cell>
          <cell r="L1083">
            <v>44390</v>
          </cell>
          <cell r="M1083">
            <v>44391</v>
          </cell>
          <cell r="N1083">
            <v>44398</v>
          </cell>
          <cell r="O1083">
            <v>44391</v>
          </cell>
          <cell r="P1083">
            <v>44399</v>
          </cell>
          <cell r="Q1083">
            <v>44403</v>
          </cell>
          <cell r="R1083">
            <v>44403</v>
          </cell>
          <cell r="S1083"/>
          <cell r="T1083">
            <v>44405</v>
          </cell>
          <cell r="U1083">
            <v>44406</v>
          </cell>
          <cell r="V1083">
            <v>44406</v>
          </cell>
          <cell r="W1083">
            <v>44406</v>
          </cell>
          <cell r="X1083">
            <v>41100354</v>
          </cell>
        </row>
        <row r="1084">
          <cell r="K1084" t="str">
            <v>DBW-2312</v>
          </cell>
          <cell r="L1084">
            <v>44390</v>
          </cell>
          <cell r="M1084">
            <v>44391</v>
          </cell>
          <cell r="N1084">
            <v>44398</v>
          </cell>
          <cell r="O1084">
            <v>44391</v>
          </cell>
          <cell r="P1084">
            <v>44399</v>
          </cell>
          <cell r="Q1084">
            <v>44403</v>
          </cell>
          <cell r="R1084">
            <v>44403</v>
          </cell>
          <cell r="S1084"/>
          <cell r="T1084">
            <v>44405</v>
          </cell>
          <cell r="U1084">
            <v>44407</v>
          </cell>
          <cell r="V1084">
            <v>44408</v>
          </cell>
          <cell r="W1084"/>
          <cell r="X1084">
            <v>41100354</v>
          </cell>
        </row>
        <row r="1085">
          <cell r="K1085" t="str">
            <v>DBW-2314</v>
          </cell>
          <cell r="L1085">
            <v>44390</v>
          </cell>
          <cell r="M1085">
            <v>44391</v>
          </cell>
          <cell r="N1085">
            <v>44398</v>
          </cell>
          <cell r="O1085">
            <v>44391</v>
          </cell>
          <cell r="P1085">
            <v>44399</v>
          </cell>
          <cell r="Q1085">
            <v>44400</v>
          </cell>
          <cell r="R1085">
            <v>44400</v>
          </cell>
          <cell r="S1085"/>
          <cell r="T1085">
            <v>44405</v>
          </cell>
          <cell r="U1085">
            <v>44407</v>
          </cell>
          <cell r="V1085">
            <v>44408</v>
          </cell>
          <cell r="W1085">
            <v>44412</v>
          </cell>
          <cell r="X1085">
            <v>41100354</v>
          </cell>
        </row>
        <row r="1086">
          <cell r="K1086" t="str">
            <v>DBW-2315</v>
          </cell>
          <cell r="L1086">
            <v>44390</v>
          </cell>
          <cell r="M1086">
            <v>44391</v>
          </cell>
          <cell r="N1086">
            <v>44398</v>
          </cell>
          <cell r="O1086">
            <v>44391</v>
          </cell>
          <cell r="P1086">
            <v>44399</v>
          </cell>
          <cell r="Q1086">
            <v>44400</v>
          </cell>
          <cell r="R1086">
            <v>44400</v>
          </cell>
          <cell r="S1086"/>
          <cell r="T1086">
            <v>44405</v>
          </cell>
          <cell r="U1086">
            <v>44407</v>
          </cell>
          <cell r="V1086">
            <v>44408</v>
          </cell>
          <cell r="W1086">
            <v>44412</v>
          </cell>
          <cell r="X1086">
            <v>41100354</v>
          </cell>
        </row>
        <row r="1087">
          <cell r="K1087" t="str">
            <v>DBW-2316</v>
          </cell>
          <cell r="L1087">
            <v>44390</v>
          </cell>
          <cell r="M1087">
            <v>44391</v>
          </cell>
          <cell r="N1087">
            <v>44398</v>
          </cell>
          <cell r="O1087">
            <v>44391</v>
          </cell>
          <cell r="P1087">
            <v>44399</v>
          </cell>
          <cell r="Q1087">
            <v>44400</v>
          </cell>
          <cell r="R1087">
            <v>44400</v>
          </cell>
          <cell r="S1087"/>
          <cell r="T1087">
            <v>44405</v>
          </cell>
          <cell r="U1087">
            <v>44406</v>
          </cell>
          <cell r="V1087">
            <v>44406</v>
          </cell>
          <cell r="W1087">
            <v>44412</v>
          </cell>
          <cell r="X1087">
            <v>41100354</v>
          </cell>
        </row>
        <row r="1088">
          <cell r="K1088" t="str">
            <v>DBW-2329</v>
          </cell>
          <cell r="L1088">
            <v>44398</v>
          </cell>
          <cell r="M1088">
            <v>44399</v>
          </cell>
          <cell r="N1088">
            <v>44406</v>
          </cell>
          <cell r="O1088">
            <v>44400</v>
          </cell>
          <cell r="P1088">
            <v>44410</v>
          </cell>
          <cell r="Q1088">
            <v>44407</v>
          </cell>
          <cell r="R1088">
            <v>44407</v>
          </cell>
          <cell r="S1088"/>
          <cell r="T1088">
            <v>44410</v>
          </cell>
          <cell r="U1088">
            <v>44412</v>
          </cell>
          <cell r="V1088">
            <v>44413</v>
          </cell>
          <cell r="W1088">
            <v>44413</v>
          </cell>
          <cell r="X1088">
            <v>41100354</v>
          </cell>
        </row>
        <row r="1089">
          <cell r="K1089" t="str">
            <v>DBW-2323</v>
          </cell>
          <cell r="L1089">
            <v>44398</v>
          </cell>
          <cell r="M1089">
            <v>44398</v>
          </cell>
          <cell r="N1089">
            <v>44407</v>
          </cell>
          <cell r="O1089">
            <v>44398</v>
          </cell>
          <cell r="P1089">
            <v>44405</v>
          </cell>
          <cell r="Q1089">
            <v>44406</v>
          </cell>
          <cell r="R1089">
            <v>44406</v>
          </cell>
          <cell r="S1089"/>
          <cell r="T1089">
            <v>44407</v>
          </cell>
          <cell r="U1089">
            <v>44412</v>
          </cell>
          <cell r="V1089">
            <v>44413</v>
          </cell>
          <cell r="W1089">
            <v>44413</v>
          </cell>
          <cell r="X1089">
            <v>41100236</v>
          </cell>
        </row>
        <row r="1090">
          <cell r="K1090" t="str">
            <v>DBW-2324</v>
          </cell>
          <cell r="L1090">
            <v>44398</v>
          </cell>
          <cell r="M1090">
            <v>44398</v>
          </cell>
          <cell r="N1090">
            <v>44407</v>
          </cell>
          <cell r="O1090">
            <v>44398</v>
          </cell>
          <cell r="P1090">
            <v>44405</v>
          </cell>
          <cell r="Q1090">
            <v>44406</v>
          </cell>
          <cell r="R1090">
            <v>44406</v>
          </cell>
          <cell r="S1090"/>
          <cell r="T1090">
            <v>44407</v>
          </cell>
          <cell r="U1090">
            <v>44412</v>
          </cell>
          <cell r="V1090">
            <v>44413</v>
          </cell>
          <cell r="W1090">
            <v>44413</v>
          </cell>
          <cell r="X1090">
            <v>41100236</v>
          </cell>
        </row>
        <row r="1091">
          <cell r="K1091" t="str">
            <v>DBW-2320</v>
          </cell>
          <cell r="L1091">
            <v>44396</v>
          </cell>
          <cell r="M1091">
            <v>44397</v>
          </cell>
          <cell r="N1091">
            <v>44406</v>
          </cell>
          <cell r="O1091">
            <v>44397</v>
          </cell>
          <cell r="P1091">
            <v>44406</v>
          </cell>
          <cell r="Q1091" t="str">
            <v>7/28 → 7/29</v>
          </cell>
          <cell r="R1091" t="str">
            <v>7/28 → 7/29</v>
          </cell>
          <cell r="S1091"/>
          <cell r="T1091">
            <v>44410</v>
          </cell>
          <cell r="U1091">
            <v>44412</v>
          </cell>
          <cell r="V1091">
            <v>44413</v>
          </cell>
          <cell r="W1091">
            <v>44414</v>
          </cell>
          <cell r="X1091">
            <v>41000392</v>
          </cell>
        </row>
        <row r="1092">
          <cell r="K1092" t="str">
            <v>GBWS-1436</v>
          </cell>
          <cell r="L1092">
            <v>44392</v>
          </cell>
          <cell r="M1092">
            <v>44392</v>
          </cell>
          <cell r="N1092">
            <v>44403</v>
          </cell>
          <cell r="O1092">
            <v>44392</v>
          </cell>
          <cell r="P1092">
            <v>44401</v>
          </cell>
          <cell r="Q1092">
            <v>44403</v>
          </cell>
          <cell r="R1092">
            <v>44403</v>
          </cell>
          <cell r="S1092"/>
          <cell r="T1092">
            <v>44410</v>
          </cell>
          <cell r="U1092">
            <v>44412</v>
          </cell>
          <cell r="V1092">
            <v>44413</v>
          </cell>
          <cell r="W1092">
            <v>44414</v>
          </cell>
          <cell r="X1092">
            <v>41100313</v>
          </cell>
        </row>
        <row r="1093">
          <cell r="K1093" t="str">
            <v>GBWS-1437</v>
          </cell>
          <cell r="L1093">
            <v>44392</v>
          </cell>
          <cell r="M1093">
            <v>44392</v>
          </cell>
          <cell r="N1093">
            <v>44404</v>
          </cell>
          <cell r="O1093">
            <v>44392</v>
          </cell>
          <cell r="P1093">
            <v>44401</v>
          </cell>
          <cell r="Q1093">
            <v>44405</v>
          </cell>
          <cell r="R1093">
            <v>44405</v>
          </cell>
          <cell r="S1093"/>
          <cell r="T1093">
            <v>44410</v>
          </cell>
          <cell r="U1093">
            <v>44412</v>
          </cell>
          <cell r="V1093">
            <v>44413</v>
          </cell>
          <cell r="W1093">
            <v>44413</v>
          </cell>
          <cell r="X1093">
            <v>41100314</v>
          </cell>
        </row>
        <row r="1094">
          <cell r="K1094" t="str">
            <v>GBWS-1438</v>
          </cell>
          <cell r="L1094">
            <v>44392</v>
          </cell>
          <cell r="M1094">
            <v>44392</v>
          </cell>
          <cell r="N1094">
            <v>44404</v>
          </cell>
          <cell r="O1094">
            <v>44392</v>
          </cell>
          <cell r="P1094">
            <v>44401</v>
          </cell>
          <cell r="Q1094">
            <v>44405</v>
          </cell>
          <cell r="R1094">
            <v>44405</v>
          </cell>
          <cell r="S1094"/>
          <cell r="T1094">
            <v>44406</v>
          </cell>
          <cell r="U1094">
            <v>44412</v>
          </cell>
          <cell r="V1094">
            <v>44413</v>
          </cell>
          <cell r="W1094">
            <v>44413</v>
          </cell>
          <cell r="X1094">
            <v>41100314</v>
          </cell>
        </row>
        <row r="1095">
          <cell r="K1095" t="str">
            <v>GBWS-1439</v>
          </cell>
          <cell r="L1095">
            <v>44392</v>
          </cell>
          <cell r="M1095">
            <v>44392</v>
          </cell>
          <cell r="N1095">
            <v>44404</v>
          </cell>
          <cell r="O1095">
            <v>44392</v>
          </cell>
          <cell r="P1095">
            <v>44401</v>
          </cell>
          <cell r="Q1095">
            <v>44405</v>
          </cell>
          <cell r="R1095">
            <v>44405</v>
          </cell>
          <cell r="S1095"/>
          <cell r="T1095">
            <v>44406</v>
          </cell>
          <cell r="U1095">
            <v>44412</v>
          </cell>
          <cell r="V1095">
            <v>44413</v>
          </cell>
          <cell r="W1095">
            <v>44413</v>
          </cell>
          <cell r="X1095">
            <v>41100314</v>
          </cell>
        </row>
        <row r="1096">
          <cell r="K1096" t="str">
            <v>GBWS-1440</v>
          </cell>
          <cell r="L1096">
            <v>44392</v>
          </cell>
          <cell r="M1096">
            <v>44392</v>
          </cell>
          <cell r="N1096">
            <v>44404</v>
          </cell>
          <cell r="O1096">
            <v>44392</v>
          </cell>
          <cell r="P1096">
            <v>44401</v>
          </cell>
          <cell r="Q1096">
            <v>44406</v>
          </cell>
          <cell r="R1096">
            <v>44406</v>
          </cell>
          <cell r="S1096"/>
          <cell r="T1096">
            <v>44410</v>
          </cell>
          <cell r="U1096">
            <v>44412</v>
          </cell>
          <cell r="V1096">
            <v>44413</v>
          </cell>
          <cell r="W1096">
            <v>44413</v>
          </cell>
          <cell r="X1096">
            <v>41100331</v>
          </cell>
        </row>
        <row r="1097">
          <cell r="K1097" t="str">
            <v>GBWS-1465</v>
          </cell>
          <cell r="L1097">
            <v>44397</v>
          </cell>
          <cell r="M1097">
            <v>44398</v>
          </cell>
          <cell r="N1097">
            <v>44411</v>
          </cell>
          <cell r="O1097">
            <v>44398</v>
          </cell>
          <cell r="P1097">
            <v>44411</v>
          </cell>
          <cell r="Q1097">
            <v>44411</v>
          </cell>
          <cell r="R1097">
            <v>44411</v>
          </cell>
          <cell r="S1097"/>
          <cell r="T1097">
            <v>44412</v>
          </cell>
          <cell r="U1097">
            <v>44414</v>
          </cell>
          <cell r="V1097">
            <v>44417</v>
          </cell>
          <cell r="W1097">
            <v>44417</v>
          </cell>
          <cell r="X1097">
            <v>41100224</v>
          </cell>
        </row>
        <row r="1098">
          <cell r="K1098" t="str">
            <v>GBWS-1466</v>
          </cell>
          <cell r="L1098">
            <v>44397</v>
          </cell>
          <cell r="M1098">
            <v>44398</v>
          </cell>
          <cell r="N1098">
            <v>44411</v>
          </cell>
          <cell r="O1098">
            <v>44398</v>
          </cell>
          <cell r="P1098">
            <v>44411</v>
          </cell>
          <cell r="Q1098">
            <v>44411</v>
          </cell>
          <cell r="R1098">
            <v>44411</v>
          </cell>
          <cell r="S1098"/>
          <cell r="T1098">
            <v>44412</v>
          </cell>
          <cell r="U1098">
            <v>44413</v>
          </cell>
          <cell r="V1098">
            <v>44417</v>
          </cell>
          <cell r="W1098">
            <v>44417</v>
          </cell>
          <cell r="X1098">
            <v>41100224</v>
          </cell>
        </row>
        <row r="1099">
          <cell r="K1099" t="str">
            <v>GBWS-1263</v>
          </cell>
          <cell r="L1099">
            <v>44341</v>
          </cell>
          <cell r="M1099">
            <v>44342</v>
          </cell>
          <cell r="N1099">
            <v>44360</v>
          </cell>
          <cell r="O1099">
            <v>44342</v>
          </cell>
          <cell r="P1099">
            <v>44361</v>
          </cell>
          <cell r="Q1099">
            <v>44360</v>
          </cell>
          <cell r="R1099">
            <v>44360</v>
          </cell>
          <cell r="S1099"/>
          <cell r="T1099">
            <v>44362</v>
          </cell>
          <cell r="U1099">
            <v>44396</v>
          </cell>
          <cell r="V1099">
            <v>44408</v>
          </cell>
          <cell r="W1099">
            <v>44410</v>
          </cell>
          <cell r="X1099">
            <v>41100319</v>
          </cell>
        </row>
        <row r="1100">
          <cell r="K1100" t="str">
            <v>GBWS-1386</v>
          </cell>
          <cell r="L1100">
            <v>44378</v>
          </cell>
          <cell r="M1100">
            <v>44378</v>
          </cell>
          <cell r="N1100">
            <v>44391</v>
          </cell>
          <cell r="O1100">
            <v>44378</v>
          </cell>
          <cell r="P1100">
            <v>44392</v>
          </cell>
          <cell r="Q1100">
            <v>44392</v>
          </cell>
          <cell r="R1100">
            <v>44392</v>
          </cell>
          <cell r="S1100"/>
          <cell r="T1100">
            <v>44399</v>
          </cell>
          <cell r="U1100">
            <v>44403</v>
          </cell>
          <cell r="V1100">
            <v>44408</v>
          </cell>
          <cell r="W1100">
            <v>44413</v>
          </cell>
          <cell r="X1100">
            <v>41100350</v>
          </cell>
        </row>
        <row r="1101">
          <cell r="K1101" t="str">
            <v>GBWS-1399</v>
          </cell>
          <cell r="L1101">
            <v>44378</v>
          </cell>
          <cell r="M1101">
            <v>44378</v>
          </cell>
          <cell r="N1101">
            <v>44391</v>
          </cell>
          <cell r="O1101">
            <v>44378</v>
          </cell>
          <cell r="P1101">
            <v>44396</v>
          </cell>
          <cell r="Q1101">
            <v>44396</v>
          </cell>
          <cell r="R1101">
            <v>44396</v>
          </cell>
          <cell r="S1101"/>
          <cell r="T1101">
            <v>44398</v>
          </cell>
          <cell r="U1101">
            <v>44404</v>
          </cell>
          <cell r="V1101">
            <v>44408</v>
          </cell>
          <cell r="W1101">
            <v>44413</v>
          </cell>
          <cell r="X1101">
            <v>41100350</v>
          </cell>
        </row>
        <row r="1102">
          <cell r="K1102" t="str">
            <v>GBWS-1467</v>
          </cell>
          <cell r="L1102">
            <v>44397</v>
          </cell>
          <cell r="M1102">
            <v>44398</v>
          </cell>
          <cell r="N1102">
            <v>44406</v>
          </cell>
          <cell r="O1102">
            <v>44398</v>
          </cell>
          <cell r="P1102">
            <v>44407</v>
          </cell>
          <cell r="Q1102">
            <v>44406</v>
          </cell>
          <cell r="R1102">
            <v>44406</v>
          </cell>
          <cell r="S1102"/>
          <cell r="T1102">
            <v>44407</v>
          </cell>
          <cell r="U1102">
            <v>44410</v>
          </cell>
          <cell r="V1102">
            <v>44411</v>
          </cell>
          <cell r="W1102">
            <v>44411</v>
          </cell>
          <cell r="X1102">
            <v>41100362</v>
          </cell>
        </row>
        <row r="1103">
          <cell r="K1103" t="str">
            <v>DBW-2289</v>
          </cell>
          <cell r="L1103">
            <v>44370</v>
          </cell>
          <cell r="M1103">
            <v>44371</v>
          </cell>
          <cell r="N1103">
            <v>44386</v>
          </cell>
          <cell r="O1103">
            <v>44371</v>
          </cell>
          <cell r="P1103">
            <v>44386</v>
          </cell>
          <cell r="Q1103">
            <v>44388</v>
          </cell>
          <cell r="R1103">
            <v>44388</v>
          </cell>
          <cell r="S1103"/>
          <cell r="T1103">
            <v>44389</v>
          </cell>
          <cell r="U1103">
            <v>44390</v>
          </cell>
          <cell r="V1103">
            <v>44392</v>
          </cell>
          <cell r="W1103">
            <v>44392</v>
          </cell>
          <cell r="X1103">
            <v>41100170</v>
          </cell>
        </row>
        <row r="1104">
          <cell r="K1104" t="str">
            <v>DBW-2308</v>
          </cell>
          <cell r="L1104">
            <v>44382</v>
          </cell>
          <cell r="M1104">
            <v>44383</v>
          </cell>
          <cell r="N1104">
            <v>44397</v>
          </cell>
          <cell r="O1104">
            <v>44383</v>
          </cell>
          <cell r="P1104">
            <v>44397</v>
          </cell>
          <cell r="Q1104">
            <v>44397</v>
          </cell>
          <cell r="R1104">
            <v>44397</v>
          </cell>
          <cell r="S1104"/>
          <cell r="T1104">
            <v>44398</v>
          </cell>
          <cell r="U1104">
            <v>44399</v>
          </cell>
          <cell r="V1104">
            <v>44404</v>
          </cell>
          <cell r="W1104">
            <v>44405</v>
          </cell>
          <cell r="X1104">
            <v>41100368</v>
          </cell>
        </row>
        <row r="1105">
          <cell r="K1105" t="str">
            <v>DBW-2331</v>
          </cell>
          <cell r="L1105">
            <v>44403</v>
          </cell>
          <cell r="M1105">
            <v>44403</v>
          </cell>
          <cell r="N1105">
            <v>44411</v>
          </cell>
          <cell r="O1105">
            <v>44403</v>
          </cell>
          <cell r="P1105">
            <v>44411</v>
          </cell>
          <cell r="Q1105" t="str">
            <v>8/2 → 8/3</v>
          </cell>
          <cell r="R1105" t="str">
            <v>8/2 → 8/3</v>
          </cell>
          <cell r="S1105"/>
          <cell r="T1105">
            <v>44412</v>
          </cell>
          <cell r="U1105">
            <v>44413</v>
          </cell>
          <cell r="V1105">
            <v>44413</v>
          </cell>
          <cell r="W1105">
            <v>44414</v>
          </cell>
          <cell r="X1105">
            <v>41100258</v>
          </cell>
        </row>
        <row r="1106">
          <cell r="K1106" t="str">
            <v>GBWS-1464</v>
          </cell>
          <cell r="L1106">
            <v>44397</v>
          </cell>
          <cell r="M1106">
            <v>44398</v>
          </cell>
          <cell r="N1106">
            <v>44411</v>
          </cell>
          <cell r="O1106">
            <v>44398</v>
          </cell>
          <cell r="P1106">
            <v>44411</v>
          </cell>
          <cell r="Q1106" t="str">
            <v>8/2 → 8/3</v>
          </cell>
          <cell r="R1106" t="str">
            <v>8/2 → 8/3</v>
          </cell>
          <cell r="S1106"/>
          <cell r="T1106">
            <v>44412</v>
          </cell>
          <cell r="U1106">
            <v>44413</v>
          </cell>
          <cell r="V1106">
            <v>44417</v>
          </cell>
          <cell r="W1106">
            <v>44417</v>
          </cell>
          <cell r="X1106">
            <v>41100377</v>
          </cell>
        </row>
        <row r="1107">
          <cell r="K1107" t="str">
            <v>DBW-2325</v>
          </cell>
          <cell r="L1107">
            <v>44398</v>
          </cell>
          <cell r="M1107">
            <v>44398</v>
          </cell>
          <cell r="N1107">
            <v>44407</v>
          </cell>
          <cell r="O1107">
            <v>44398</v>
          </cell>
          <cell r="P1107">
            <v>44405</v>
          </cell>
          <cell r="Q1107">
            <v>44410</v>
          </cell>
          <cell r="R1107">
            <v>44410</v>
          </cell>
          <cell r="S1107"/>
          <cell r="T1107">
            <v>44407</v>
          </cell>
          <cell r="U1107">
            <v>44413</v>
          </cell>
          <cell r="V1107">
            <v>44414</v>
          </cell>
          <cell r="W1107">
            <v>44414</v>
          </cell>
          <cell r="X1107">
            <v>41100236</v>
          </cell>
        </row>
        <row r="1108">
          <cell r="K1108" t="str">
            <v>DBW-2326</v>
          </cell>
          <cell r="L1108">
            <v>44398</v>
          </cell>
          <cell r="M1108">
            <v>44398</v>
          </cell>
          <cell r="N1108">
            <v>44407</v>
          </cell>
          <cell r="O1108">
            <v>44398</v>
          </cell>
          <cell r="P1108">
            <v>44405</v>
          </cell>
          <cell r="Q1108">
            <v>44410</v>
          </cell>
          <cell r="R1108">
            <v>44410</v>
          </cell>
          <cell r="S1108"/>
          <cell r="T1108">
            <v>44407</v>
          </cell>
          <cell r="U1108">
            <v>44413</v>
          </cell>
          <cell r="V1108">
            <v>44414</v>
          </cell>
          <cell r="W1108">
            <v>44414</v>
          </cell>
          <cell r="X1108">
            <v>41100236</v>
          </cell>
        </row>
        <row r="1109">
          <cell r="K1109" t="str">
            <v>DBW-2327</v>
          </cell>
          <cell r="L1109">
            <v>44398</v>
          </cell>
          <cell r="M1109">
            <v>44398</v>
          </cell>
          <cell r="N1109">
            <v>44407</v>
          </cell>
          <cell r="O1109">
            <v>44398</v>
          </cell>
          <cell r="P1109">
            <v>44405</v>
          </cell>
          <cell r="Q1109">
            <v>44410</v>
          </cell>
          <cell r="R1109">
            <v>44410</v>
          </cell>
          <cell r="S1109"/>
          <cell r="T1109">
            <v>44407</v>
          </cell>
          <cell r="U1109">
            <v>44413</v>
          </cell>
          <cell r="V1109">
            <v>44414</v>
          </cell>
          <cell r="W1109">
            <v>44414</v>
          </cell>
          <cell r="X1109">
            <v>41100255</v>
          </cell>
        </row>
        <row r="1110">
          <cell r="K1110" t="str">
            <v>DBW-2328</v>
          </cell>
          <cell r="L1110">
            <v>44398</v>
          </cell>
          <cell r="M1110">
            <v>44398</v>
          </cell>
          <cell r="N1110">
            <v>44407</v>
          </cell>
          <cell r="O1110">
            <v>44398</v>
          </cell>
          <cell r="P1110">
            <v>44405</v>
          </cell>
          <cell r="Q1110">
            <v>44410</v>
          </cell>
          <cell r="R1110">
            <v>44410</v>
          </cell>
          <cell r="S1110"/>
          <cell r="T1110">
            <v>44407</v>
          </cell>
          <cell r="U1110">
            <v>44413</v>
          </cell>
          <cell r="V1110">
            <v>44414</v>
          </cell>
          <cell r="W1110">
            <v>44414</v>
          </cell>
          <cell r="X1110">
            <v>41100255</v>
          </cell>
        </row>
        <row r="1111">
          <cell r="K1111" t="str">
            <v>DBW-2322</v>
          </cell>
          <cell r="L1111">
            <v>44396</v>
          </cell>
          <cell r="M1111">
            <v>44397</v>
          </cell>
          <cell r="N1111">
            <v>44405</v>
          </cell>
          <cell r="O1111">
            <v>44397</v>
          </cell>
          <cell r="P1111">
            <v>44410</v>
          </cell>
          <cell r="Q1111">
            <v>44412</v>
          </cell>
          <cell r="R1111">
            <v>44412</v>
          </cell>
          <cell r="S1111"/>
          <cell r="T1111">
            <v>44412</v>
          </cell>
          <cell r="U1111">
            <v>44413</v>
          </cell>
          <cell r="V1111">
            <v>44414</v>
          </cell>
          <cell r="W1111">
            <v>44414</v>
          </cell>
          <cell r="X1111">
            <v>41100360</v>
          </cell>
        </row>
        <row r="1112">
          <cell r="K1112" t="str">
            <v>GBWS-1443</v>
          </cell>
          <cell r="L1112">
            <v>44396</v>
          </cell>
          <cell r="M1112">
            <v>44397</v>
          </cell>
          <cell r="N1112">
            <v>44407</v>
          </cell>
          <cell r="O1112">
            <v>44397</v>
          </cell>
          <cell r="P1112">
            <v>44410</v>
          </cell>
          <cell r="Q1112">
            <v>44407</v>
          </cell>
          <cell r="R1112">
            <v>44407</v>
          </cell>
          <cell r="S1112"/>
          <cell r="T1112">
            <v>44410</v>
          </cell>
          <cell r="U1112">
            <v>44414</v>
          </cell>
          <cell r="V1112">
            <v>44417</v>
          </cell>
          <cell r="W1112">
            <v>44417</v>
          </cell>
          <cell r="X1112">
            <v>41100341</v>
          </cell>
        </row>
        <row r="1113">
          <cell r="K1113" t="str">
            <v>GBWS-1429</v>
          </cell>
          <cell r="L1113">
            <v>44386</v>
          </cell>
          <cell r="M1113">
            <v>44389</v>
          </cell>
          <cell r="N1113">
            <v>44398</v>
          </cell>
          <cell r="O1113">
            <v>44389</v>
          </cell>
          <cell r="P1113">
            <v>44398</v>
          </cell>
          <cell r="Q1113">
            <v>44397</v>
          </cell>
          <cell r="R1113">
            <v>44397</v>
          </cell>
          <cell r="S1113"/>
          <cell r="T1113">
            <v>44399</v>
          </cell>
          <cell r="U1113">
            <v>44400</v>
          </cell>
          <cell r="V1113">
            <v>44406</v>
          </cell>
          <cell r="W1113">
            <v>44406</v>
          </cell>
          <cell r="X1113">
            <v>41100302</v>
          </cell>
        </row>
        <row r="1114">
          <cell r="K1114" t="str">
            <v>GBWS-1462</v>
          </cell>
          <cell r="L1114">
            <v>44397</v>
          </cell>
          <cell r="M1114">
            <v>44398</v>
          </cell>
          <cell r="N1114">
            <v>44411</v>
          </cell>
          <cell r="O1114">
            <v>44398</v>
          </cell>
          <cell r="P1114">
            <v>44410</v>
          </cell>
          <cell r="Q1114" t="str">
            <v>8/2 → 8/3</v>
          </cell>
          <cell r="R1114" t="str">
            <v>8/2 → 8/3</v>
          </cell>
          <cell r="S1114"/>
          <cell r="T1114">
            <v>44412</v>
          </cell>
          <cell r="U1114">
            <v>44413</v>
          </cell>
          <cell r="V1114">
            <v>44414</v>
          </cell>
          <cell r="W1114">
            <v>44414</v>
          </cell>
          <cell r="X1114">
            <v>41100302</v>
          </cell>
        </row>
        <row r="1115">
          <cell r="K1115" t="str">
            <v>WS-0041</v>
          </cell>
          <cell r="L1115">
            <v>44396</v>
          </cell>
          <cell r="M1115">
            <v>44397</v>
          </cell>
          <cell r="N1115">
            <v>44405</v>
          </cell>
          <cell r="O1115">
            <v>44397</v>
          </cell>
          <cell r="P1115">
            <v>44405</v>
          </cell>
          <cell r="Q1115">
            <v>44407</v>
          </cell>
          <cell r="R1115">
            <v>44407</v>
          </cell>
          <cell r="S1115"/>
          <cell r="T1115">
            <v>44410</v>
          </cell>
          <cell r="U1115">
            <v>44412</v>
          </cell>
          <cell r="V1115">
            <v>44413</v>
          </cell>
          <cell r="W1115">
            <v>44413</v>
          </cell>
          <cell r="X1115">
            <v>41100300</v>
          </cell>
        </row>
        <row r="1116">
          <cell r="K1116" t="str">
            <v>WS-0042</v>
          </cell>
          <cell r="L1116">
            <v>44396</v>
          </cell>
          <cell r="M1116">
            <v>44397</v>
          </cell>
          <cell r="N1116">
            <v>44405</v>
          </cell>
          <cell r="O1116">
            <v>44397</v>
          </cell>
          <cell r="P1116">
            <v>44405</v>
          </cell>
          <cell r="Q1116">
            <v>44407</v>
          </cell>
          <cell r="R1116">
            <v>44407</v>
          </cell>
          <cell r="S1116"/>
          <cell r="T1116">
            <v>44410</v>
          </cell>
          <cell r="U1116">
            <v>44412</v>
          </cell>
          <cell r="V1116">
            <v>44413</v>
          </cell>
          <cell r="W1116">
            <v>44413</v>
          </cell>
          <cell r="X1116">
            <v>41100300</v>
          </cell>
        </row>
        <row r="1117">
          <cell r="K1117" t="str">
            <v>WS-0043</v>
          </cell>
          <cell r="L1117">
            <v>44396</v>
          </cell>
          <cell r="M1117">
            <v>44397</v>
          </cell>
          <cell r="N1117">
            <v>44405</v>
          </cell>
          <cell r="O1117">
            <v>44397</v>
          </cell>
          <cell r="P1117">
            <v>44405</v>
          </cell>
          <cell r="Q1117">
            <v>44407</v>
          </cell>
          <cell r="R1117">
            <v>44407</v>
          </cell>
          <cell r="S1117"/>
          <cell r="T1117">
            <v>44410</v>
          </cell>
          <cell r="U1117">
            <v>44412</v>
          </cell>
          <cell r="V1117">
            <v>44413</v>
          </cell>
          <cell r="W1117">
            <v>44413</v>
          </cell>
          <cell r="X1117">
            <v>41100300</v>
          </cell>
        </row>
        <row r="1118">
          <cell r="K1118" t="str">
            <v xml:space="preserve"> -</v>
          </cell>
          <cell r="L1118"/>
          <cell r="M1118" t="str">
            <v>8/4 → 8/10</v>
          </cell>
          <cell r="N1118">
            <v>44419</v>
          </cell>
          <cell r="O1118" t="str">
            <v>8/4 → 8/10</v>
          </cell>
          <cell r="P1118">
            <v>44419</v>
          </cell>
          <cell r="Q1118" t="str">
            <v>8/4 → 8/10</v>
          </cell>
          <cell r="R1118" t="str">
            <v>8/4 → 8/10</v>
          </cell>
          <cell r="S1118"/>
          <cell r="T1118"/>
          <cell r="U1118"/>
          <cell r="V1118">
            <v>44419</v>
          </cell>
          <cell r="W1118">
            <v>44419</v>
          </cell>
          <cell r="X1118">
            <v>31010314</v>
          </cell>
        </row>
        <row r="1119">
          <cell r="K1119" t="str">
            <v xml:space="preserve"> -</v>
          </cell>
          <cell r="L1119"/>
          <cell r="M1119" t="str">
            <v>8/4 → 8/10</v>
          </cell>
          <cell r="N1119">
            <v>44419</v>
          </cell>
          <cell r="O1119" t="str">
            <v>8/4 → 8/10</v>
          </cell>
          <cell r="P1119">
            <v>44419</v>
          </cell>
          <cell r="Q1119" t="str">
            <v>8/4 → 8/10</v>
          </cell>
          <cell r="R1119" t="str">
            <v>8/4 → 8/10</v>
          </cell>
          <cell r="S1119"/>
          <cell r="T1119"/>
          <cell r="U1119"/>
          <cell r="V1119">
            <v>44419</v>
          </cell>
          <cell r="W1119">
            <v>44419</v>
          </cell>
          <cell r="X1119">
            <v>31010315</v>
          </cell>
        </row>
        <row r="1120">
          <cell r="K1120" t="str">
            <v>GBWS-1193</v>
          </cell>
          <cell r="L1120">
            <v>44322</v>
          </cell>
          <cell r="M1120">
            <v>44323</v>
          </cell>
          <cell r="N1120">
            <v>44340</v>
          </cell>
          <cell r="O1120">
            <v>44323</v>
          </cell>
          <cell r="P1120">
            <v>44340</v>
          </cell>
          <cell r="Q1120">
            <v>44339</v>
          </cell>
          <cell r="R1120">
            <v>44339</v>
          </cell>
          <cell r="S1120"/>
          <cell r="T1120">
            <v>44340</v>
          </cell>
          <cell r="U1120">
            <v>44369</v>
          </cell>
          <cell r="V1120">
            <v>44371</v>
          </cell>
          <cell r="W1120">
            <v>44371</v>
          </cell>
          <cell r="X1120">
            <v>41100318</v>
          </cell>
        </row>
        <row r="1121">
          <cell r="K1121" t="str">
            <v>SOS-0244</v>
          </cell>
          <cell r="L1121">
            <v>44395</v>
          </cell>
          <cell r="M1121">
            <v>44396</v>
          </cell>
          <cell r="N1121">
            <v>44398</v>
          </cell>
          <cell r="O1121">
            <v>44396</v>
          </cell>
          <cell r="P1121">
            <v>44399</v>
          </cell>
          <cell r="Q1121">
            <v>44399</v>
          </cell>
          <cell r="R1121">
            <v>44399</v>
          </cell>
          <cell r="S1121"/>
          <cell r="T1121">
            <v>44400</v>
          </cell>
          <cell r="U1121">
            <v>44403</v>
          </cell>
          <cell r="V1121">
            <v>44404</v>
          </cell>
          <cell r="W1121">
            <v>44405</v>
          </cell>
          <cell r="X1121">
            <v>41100299</v>
          </cell>
        </row>
        <row r="1122">
          <cell r="K1122" t="str">
            <v>GBWS-1304</v>
          </cell>
          <cell r="L1122">
            <v>44356</v>
          </cell>
          <cell r="M1122">
            <v>44357</v>
          </cell>
          <cell r="N1122">
            <v>44371</v>
          </cell>
          <cell r="O1122">
            <v>44357</v>
          </cell>
          <cell r="P1122">
            <v>44372</v>
          </cell>
          <cell r="Q1122" t="str">
            <v>6/22 → 6/24</v>
          </cell>
          <cell r="R1122" t="str">
            <v>6/22 → 6/24</v>
          </cell>
          <cell r="S1122"/>
          <cell r="T1122">
            <v>44378</v>
          </cell>
          <cell r="U1122">
            <v>44406</v>
          </cell>
          <cell r="V1122">
            <v>44408</v>
          </cell>
          <cell r="W1122">
            <v>44410</v>
          </cell>
          <cell r="X1122">
            <v>41100293</v>
          </cell>
        </row>
        <row r="1123">
          <cell r="K1123" t="str">
            <v>GBWS-1444</v>
          </cell>
          <cell r="L1123">
            <v>44397</v>
          </cell>
          <cell r="M1123">
            <v>44398</v>
          </cell>
          <cell r="N1123">
            <v>44412</v>
          </cell>
          <cell r="O1123">
            <v>44398</v>
          </cell>
          <cell r="P1123">
            <v>44412</v>
          </cell>
          <cell r="Q1123" t="str">
            <v>8/3 → 8/4</v>
          </cell>
          <cell r="R1123" t="str">
            <v>8/3 → 8/4</v>
          </cell>
          <cell r="S1123"/>
          <cell r="T1123">
            <v>44413</v>
          </cell>
          <cell r="U1123">
            <v>44414</v>
          </cell>
          <cell r="V1123">
            <v>44417</v>
          </cell>
          <cell r="W1123">
            <v>44418</v>
          </cell>
          <cell r="X1123">
            <v>41100085</v>
          </cell>
        </row>
        <row r="1124">
          <cell r="K1124" t="str">
            <v>GBWS-1445</v>
          </cell>
          <cell r="L1124">
            <v>44397</v>
          </cell>
          <cell r="M1124">
            <v>44398</v>
          </cell>
          <cell r="N1124">
            <v>44412</v>
          </cell>
          <cell r="O1124">
            <v>44398</v>
          </cell>
          <cell r="P1124">
            <v>44412</v>
          </cell>
          <cell r="Q1124" t="str">
            <v>8/3 → 8/4</v>
          </cell>
          <cell r="R1124" t="str">
            <v>8/3 → 8/4</v>
          </cell>
          <cell r="S1124"/>
          <cell r="T1124">
            <v>44413</v>
          </cell>
          <cell r="U1124">
            <v>44414</v>
          </cell>
          <cell r="V1124">
            <v>44417</v>
          </cell>
          <cell r="W1124">
            <v>44418</v>
          </cell>
          <cell r="X1124">
            <v>41100085</v>
          </cell>
        </row>
        <row r="1125">
          <cell r="K1125" t="str">
            <v>GBWS-1446</v>
          </cell>
          <cell r="L1125">
            <v>44397</v>
          </cell>
          <cell r="M1125">
            <v>44398</v>
          </cell>
          <cell r="N1125">
            <v>44412</v>
          </cell>
          <cell r="O1125">
            <v>44398</v>
          </cell>
          <cell r="P1125">
            <v>44412</v>
          </cell>
          <cell r="Q1125" t="str">
            <v>8/3 → 8/4</v>
          </cell>
          <cell r="R1125" t="str">
            <v>8/3 → 8/4</v>
          </cell>
          <cell r="S1125"/>
          <cell r="T1125">
            <v>44413</v>
          </cell>
          <cell r="U1125">
            <v>44414</v>
          </cell>
          <cell r="V1125">
            <v>44417</v>
          </cell>
          <cell r="W1125">
            <v>44418</v>
          </cell>
          <cell r="X1125">
            <v>41100085</v>
          </cell>
        </row>
        <row r="1126">
          <cell r="K1126" t="str">
            <v>GBWS-1447</v>
          </cell>
          <cell r="L1126">
            <v>44397</v>
          </cell>
          <cell r="M1126">
            <v>44398</v>
          </cell>
          <cell r="N1126">
            <v>44412</v>
          </cell>
          <cell r="O1126">
            <v>44398</v>
          </cell>
          <cell r="P1126">
            <v>44412</v>
          </cell>
          <cell r="Q1126" t="str">
            <v>8/3 → 8/4</v>
          </cell>
          <cell r="R1126" t="str">
            <v>8/3 → 8/4</v>
          </cell>
          <cell r="S1126"/>
          <cell r="T1126">
            <v>44413</v>
          </cell>
          <cell r="U1126">
            <v>44414</v>
          </cell>
          <cell r="V1126">
            <v>44417</v>
          </cell>
          <cell r="W1126">
            <v>44418</v>
          </cell>
          <cell r="X1126">
            <v>41100085</v>
          </cell>
        </row>
        <row r="1127">
          <cell r="K1127" t="str">
            <v>GBWS-1448</v>
          </cell>
          <cell r="L1127">
            <v>44397</v>
          </cell>
          <cell r="M1127">
            <v>44398</v>
          </cell>
          <cell r="N1127">
            <v>44412</v>
          </cell>
          <cell r="O1127">
            <v>44398</v>
          </cell>
          <cell r="P1127">
            <v>44412</v>
          </cell>
          <cell r="Q1127" t="str">
            <v>8/3 → 8/4</v>
          </cell>
          <cell r="R1127" t="str">
            <v>8/3 → 8/4</v>
          </cell>
          <cell r="S1127"/>
          <cell r="T1127">
            <v>44413</v>
          </cell>
          <cell r="U1127">
            <v>44414</v>
          </cell>
          <cell r="V1127">
            <v>44417</v>
          </cell>
          <cell r="W1127">
            <v>44418</v>
          </cell>
          <cell r="X1127">
            <v>41100085</v>
          </cell>
        </row>
        <row r="1128">
          <cell r="K1128" t="str">
            <v>GBWS-1449</v>
          </cell>
          <cell r="L1128">
            <v>44397</v>
          </cell>
          <cell r="M1128">
            <v>44398</v>
          </cell>
          <cell r="N1128">
            <v>44412</v>
          </cell>
          <cell r="O1128">
            <v>44398</v>
          </cell>
          <cell r="P1128">
            <v>44412</v>
          </cell>
          <cell r="Q1128" t="str">
            <v>8/3 → 8/4</v>
          </cell>
          <cell r="R1128" t="str">
            <v>8/3 → 8/4</v>
          </cell>
          <cell r="S1128"/>
          <cell r="T1128">
            <v>44413</v>
          </cell>
          <cell r="U1128">
            <v>44414</v>
          </cell>
          <cell r="V1128">
            <v>44417</v>
          </cell>
          <cell r="W1128">
            <v>44418</v>
          </cell>
          <cell r="X1128">
            <v>41100085</v>
          </cell>
        </row>
        <row r="1129">
          <cell r="K1129" t="str">
            <v>GBWS-1450</v>
          </cell>
          <cell r="L1129">
            <v>44397</v>
          </cell>
          <cell r="M1129">
            <v>44398</v>
          </cell>
          <cell r="N1129">
            <v>44412</v>
          </cell>
          <cell r="O1129">
            <v>44398</v>
          </cell>
          <cell r="P1129">
            <v>44412</v>
          </cell>
          <cell r="Q1129" t="str">
            <v>8/3 → 8/4</v>
          </cell>
          <cell r="R1129" t="str">
            <v>8/3 → 8/4</v>
          </cell>
          <cell r="S1129"/>
          <cell r="T1129">
            <v>44413</v>
          </cell>
          <cell r="U1129">
            <v>44414</v>
          </cell>
          <cell r="V1129">
            <v>44417</v>
          </cell>
          <cell r="W1129">
            <v>44418</v>
          </cell>
          <cell r="X1129">
            <v>41100085</v>
          </cell>
        </row>
        <row r="1130">
          <cell r="K1130" t="str">
            <v>GBWS-1451</v>
          </cell>
          <cell r="L1130">
            <v>44397</v>
          </cell>
          <cell r="M1130">
            <v>44398</v>
          </cell>
          <cell r="N1130">
            <v>44412</v>
          </cell>
          <cell r="O1130">
            <v>44398</v>
          </cell>
          <cell r="P1130">
            <v>44412</v>
          </cell>
          <cell r="Q1130" t="str">
            <v>8/3 → 8/4</v>
          </cell>
          <cell r="R1130" t="str">
            <v>8/3 → 8/4</v>
          </cell>
          <cell r="S1130"/>
          <cell r="T1130">
            <v>44414</v>
          </cell>
          <cell r="U1130">
            <v>44414</v>
          </cell>
          <cell r="V1130">
            <v>44418</v>
          </cell>
          <cell r="W1130">
            <v>44418</v>
          </cell>
          <cell r="X1130">
            <v>41100085</v>
          </cell>
        </row>
        <row r="1131">
          <cell r="K1131" t="str">
            <v>GBWS-1452</v>
          </cell>
          <cell r="L1131">
            <v>44397</v>
          </cell>
          <cell r="M1131">
            <v>44398</v>
          </cell>
          <cell r="N1131">
            <v>44412</v>
          </cell>
          <cell r="O1131">
            <v>44398</v>
          </cell>
          <cell r="P1131">
            <v>44412</v>
          </cell>
          <cell r="Q1131" t="str">
            <v>8/3 → 8/4</v>
          </cell>
          <cell r="R1131" t="str">
            <v>8/3 → 8/4</v>
          </cell>
          <cell r="S1131"/>
          <cell r="T1131">
            <v>44413</v>
          </cell>
          <cell r="U1131">
            <v>44414</v>
          </cell>
          <cell r="V1131">
            <v>44417</v>
          </cell>
          <cell r="W1131">
            <v>44418</v>
          </cell>
          <cell r="X1131">
            <v>41100085</v>
          </cell>
        </row>
        <row r="1132">
          <cell r="K1132" t="str">
            <v>GBWS-1453</v>
          </cell>
          <cell r="L1132">
            <v>44397</v>
          </cell>
          <cell r="M1132">
            <v>44398</v>
          </cell>
          <cell r="N1132">
            <v>44412</v>
          </cell>
          <cell r="O1132">
            <v>44398</v>
          </cell>
          <cell r="P1132">
            <v>44412</v>
          </cell>
          <cell r="Q1132" t="str">
            <v>8/3 → 8/4</v>
          </cell>
          <cell r="R1132" t="str">
            <v>8/3 → 8/4</v>
          </cell>
          <cell r="S1132"/>
          <cell r="T1132">
            <v>44413</v>
          </cell>
          <cell r="U1132">
            <v>44414</v>
          </cell>
          <cell r="V1132">
            <v>44417</v>
          </cell>
          <cell r="W1132">
            <v>44418</v>
          </cell>
          <cell r="X1132">
            <v>41100085</v>
          </cell>
        </row>
        <row r="1133">
          <cell r="K1133" t="str">
            <v>GBWS-1454</v>
          </cell>
          <cell r="L1133">
            <v>44397</v>
          </cell>
          <cell r="M1133">
            <v>44398</v>
          </cell>
          <cell r="N1133">
            <v>44412</v>
          </cell>
          <cell r="O1133">
            <v>44398</v>
          </cell>
          <cell r="P1133">
            <v>44412</v>
          </cell>
          <cell r="Q1133" t="str">
            <v>8/3 → 8/4</v>
          </cell>
          <cell r="R1133" t="str">
            <v>8/3 → 8/4</v>
          </cell>
          <cell r="S1133"/>
          <cell r="T1133">
            <v>44413</v>
          </cell>
          <cell r="U1133">
            <v>44414</v>
          </cell>
          <cell r="V1133">
            <v>44417</v>
          </cell>
          <cell r="W1133">
            <v>44418</v>
          </cell>
          <cell r="X1133">
            <v>41100085</v>
          </cell>
        </row>
        <row r="1134">
          <cell r="K1134" t="str">
            <v>GBWS-1455</v>
          </cell>
          <cell r="L1134">
            <v>44397</v>
          </cell>
          <cell r="M1134">
            <v>44398</v>
          </cell>
          <cell r="N1134">
            <v>44412</v>
          </cell>
          <cell r="O1134">
            <v>44398</v>
          </cell>
          <cell r="P1134">
            <v>44412</v>
          </cell>
          <cell r="Q1134" t="str">
            <v>8/3 → 8/4</v>
          </cell>
          <cell r="R1134" t="str">
            <v>8/3 → 8/4</v>
          </cell>
          <cell r="S1134"/>
          <cell r="T1134">
            <v>44413</v>
          </cell>
          <cell r="U1134">
            <v>44414</v>
          </cell>
          <cell r="V1134">
            <v>44417</v>
          </cell>
          <cell r="W1134">
            <v>44418</v>
          </cell>
          <cell r="X1134">
            <v>41100085</v>
          </cell>
        </row>
        <row r="1135">
          <cell r="K1135" t="str">
            <v>GBWS-1456</v>
          </cell>
          <cell r="L1135">
            <v>44397</v>
          </cell>
          <cell r="M1135">
            <v>44398</v>
          </cell>
          <cell r="N1135">
            <v>44412</v>
          </cell>
          <cell r="O1135">
            <v>44398</v>
          </cell>
          <cell r="P1135">
            <v>44412</v>
          </cell>
          <cell r="Q1135" t="str">
            <v>8/3 → 8/4</v>
          </cell>
          <cell r="R1135" t="str">
            <v>8/3 → 8/4</v>
          </cell>
          <cell r="S1135"/>
          <cell r="T1135">
            <v>44413</v>
          </cell>
          <cell r="U1135">
            <v>44414</v>
          </cell>
          <cell r="V1135">
            <v>44417</v>
          </cell>
          <cell r="W1135">
            <v>44418</v>
          </cell>
          <cell r="X1135">
            <v>41100085</v>
          </cell>
        </row>
        <row r="1136">
          <cell r="K1136" t="str">
            <v>GBWS-1463</v>
          </cell>
          <cell r="L1136">
            <v>44397</v>
          </cell>
          <cell r="M1136">
            <v>44398</v>
          </cell>
          <cell r="N1136">
            <v>44412</v>
          </cell>
          <cell r="O1136">
            <v>44398</v>
          </cell>
          <cell r="P1136">
            <v>44412</v>
          </cell>
          <cell r="Q1136" t="str">
            <v>8/3 → 8/4</v>
          </cell>
          <cell r="R1136" t="str">
            <v>8/3 → 8/4</v>
          </cell>
          <cell r="S1136"/>
          <cell r="T1136">
            <v>44414</v>
          </cell>
          <cell r="U1136">
            <v>44417</v>
          </cell>
          <cell r="V1136">
            <v>44417</v>
          </cell>
          <cell r="W1136">
            <v>44419</v>
          </cell>
          <cell r="X1136">
            <v>41100085</v>
          </cell>
        </row>
        <row r="1137">
          <cell r="K1137" t="str">
            <v>DBW-2330</v>
          </cell>
          <cell r="L1137">
            <v>44403</v>
          </cell>
          <cell r="M1137">
            <v>44403</v>
          </cell>
          <cell r="N1137">
            <v>44412</v>
          </cell>
          <cell r="O1137">
            <v>44403</v>
          </cell>
          <cell r="P1137">
            <v>44412</v>
          </cell>
          <cell r="Q1137">
            <v>44413</v>
          </cell>
          <cell r="R1137">
            <v>44413</v>
          </cell>
          <cell r="S1137"/>
          <cell r="T1137">
            <v>44414</v>
          </cell>
          <cell r="U1137">
            <v>44417</v>
          </cell>
          <cell r="V1137">
            <v>44419</v>
          </cell>
          <cell r="W1137">
            <v>44419</v>
          </cell>
          <cell r="X1137">
            <v>41100099</v>
          </cell>
        </row>
        <row r="1138">
          <cell r="K1138" t="str">
            <v>GBWS-1430</v>
          </cell>
          <cell r="L1138">
            <v>44389</v>
          </cell>
          <cell r="M1138">
            <v>44389</v>
          </cell>
          <cell r="N1138">
            <v>44399</v>
          </cell>
          <cell r="O1138">
            <v>44389</v>
          </cell>
          <cell r="P1138">
            <v>44400</v>
          </cell>
          <cell r="Q1138">
            <v>44399</v>
          </cell>
          <cell r="R1138">
            <v>44399</v>
          </cell>
          <cell r="S1138"/>
          <cell r="T1138">
            <v>44404</v>
          </cell>
          <cell r="U1138">
            <v>44418</v>
          </cell>
          <cell r="V1138">
            <v>44419</v>
          </cell>
          <cell r="W1138">
            <v>44419</v>
          </cell>
          <cell r="X1138">
            <v>41100317</v>
          </cell>
        </row>
        <row r="1139">
          <cell r="K1139" t="str">
            <v>GBWS-1264</v>
          </cell>
          <cell r="L1139">
            <v>44341</v>
          </cell>
          <cell r="M1139">
            <v>44342</v>
          </cell>
          <cell r="N1139">
            <v>44360</v>
          </cell>
          <cell r="O1139">
            <v>44342</v>
          </cell>
          <cell r="P1139">
            <v>44361</v>
          </cell>
          <cell r="Q1139">
            <v>44360</v>
          </cell>
          <cell r="R1139">
            <v>44360</v>
          </cell>
          <cell r="S1139"/>
          <cell r="T1139">
            <v>44362</v>
          </cell>
          <cell r="U1139">
            <v>44396</v>
          </cell>
          <cell r="V1139">
            <v>44408</v>
          </cell>
          <cell r="W1139">
            <v>44410</v>
          </cell>
          <cell r="X1139">
            <v>41100319</v>
          </cell>
        </row>
        <row r="1140">
          <cell r="K1140" t="str">
            <v>GBWS-1475</v>
          </cell>
          <cell r="L1140">
            <v>44406</v>
          </cell>
          <cell r="M1140">
            <v>44407</v>
          </cell>
          <cell r="N1140">
            <v>44414</v>
          </cell>
          <cell r="O1140">
            <v>44407</v>
          </cell>
          <cell r="P1140">
            <v>44418</v>
          </cell>
          <cell r="Q1140">
            <v>44418</v>
          </cell>
          <cell r="R1140">
            <v>44418</v>
          </cell>
          <cell r="S1140"/>
          <cell r="T1140">
            <v>44419</v>
          </cell>
          <cell r="U1140">
            <v>44419</v>
          </cell>
          <cell r="V1140">
            <v>44420</v>
          </cell>
          <cell r="W1140">
            <v>44420</v>
          </cell>
          <cell r="X1140">
            <v>41100168</v>
          </cell>
        </row>
        <row r="1141">
          <cell r="K1141" t="str">
            <v>GBWS-1476</v>
          </cell>
          <cell r="L1141">
            <v>44406</v>
          </cell>
          <cell r="M1141">
            <v>44407</v>
          </cell>
          <cell r="N1141">
            <v>44414</v>
          </cell>
          <cell r="O1141">
            <v>44407</v>
          </cell>
          <cell r="P1141">
            <v>44418</v>
          </cell>
          <cell r="Q1141">
            <v>44418</v>
          </cell>
          <cell r="R1141">
            <v>44418</v>
          </cell>
          <cell r="S1141"/>
          <cell r="T1141">
            <v>44419</v>
          </cell>
          <cell r="U1141">
            <v>44419</v>
          </cell>
          <cell r="V1141">
            <v>44420</v>
          </cell>
          <cell r="W1141">
            <v>44420</v>
          </cell>
          <cell r="X1141">
            <v>41100168</v>
          </cell>
        </row>
        <row r="1142">
          <cell r="K1142" t="str">
            <v>SPS-0021</v>
          </cell>
          <cell r="L1142">
            <v>44399</v>
          </cell>
          <cell r="M1142">
            <v>44400</v>
          </cell>
          <cell r="N1142">
            <v>44411</v>
          </cell>
          <cell r="O1142">
            <v>44400</v>
          </cell>
          <cell r="P1142">
            <v>44412</v>
          </cell>
          <cell r="Q1142">
            <v>44412</v>
          </cell>
          <cell r="R1142">
            <v>44412</v>
          </cell>
          <cell r="S1142"/>
          <cell r="T1142">
            <v>44414</v>
          </cell>
          <cell r="U1142">
            <v>44420</v>
          </cell>
          <cell r="V1142">
            <v>44420</v>
          </cell>
          <cell r="W1142">
            <v>44420</v>
          </cell>
          <cell r="X1142">
            <v>41100148</v>
          </cell>
        </row>
        <row r="1143">
          <cell r="K1143" t="str">
            <v>DBW-2317</v>
          </cell>
          <cell r="L1143">
            <v>44390</v>
          </cell>
          <cell r="M1143">
            <v>44391</v>
          </cell>
          <cell r="N1143">
            <v>44413</v>
          </cell>
          <cell r="O1143">
            <v>44391</v>
          </cell>
          <cell r="P1143">
            <v>44414</v>
          </cell>
          <cell r="Q1143" t="str">
            <v>7/24 → 8/5</v>
          </cell>
          <cell r="R1143" t="str">
            <v>7/24 → 8/5</v>
          </cell>
          <cell r="S1143"/>
          <cell r="T1143">
            <v>44419</v>
          </cell>
          <cell r="U1143">
            <v>44421</v>
          </cell>
          <cell r="V1143">
            <v>44422</v>
          </cell>
          <cell r="W1143">
            <v>44422</v>
          </cell>
          <cell r="X1143">
            <v>41100075</v>
          </cell>
        </row>
        <row r="1144">
          <cell r="K1144" t="str">
            <v>GBWS-1474</v>
          </cell>
          <cell r="L1144">
            <v>44403</v>
          </cell>
          <cell r="M1144">
            <v>44404</v>
          </cell>
          <cell r="N1144">
            <v>44417</v>
          </cell>
          <cell r="O1144">
            <v>44404</v>
          </cell>
          <cell r="P1144">
            <v>44414</v>
          </cell>
          <cell r="Q1144">
            <v>44417</v>
          </cell>
          <cell r="R1144">
            <v>44417</v>
          </cell>
          <cell r="S1144"/>
          <cell r="T1144">
            <v>44419</v>
          </cell>
          <cell r="U1144">
            <v>44420</v>
          </cell>
          <cell r="V1144">
            <v>44421</v>
          </cell>
          <cell r="W1144">
            <v>44421</v>
          </cell>
          <cell r="X1144">
            <v>41100381</v>
          </cell>
        </row>
        <row r="1145">
          <cell r="K1145" t="str">
            <v>DBW-2273</v>
          </cell>
          <cell r="L1145">
            <v>44351</v>
          </cell>
          <cell r="M1145">
            <v>44354</v>
          </cell>
          <cell r="N1145">
            <v>44365</v>
          </cell>
          <cell r="O1145">
            <v>44354</v>
          </cell>
          <cell r="P1145">
            <v>44365</v>
          </cell>
          <cell r="Q1145">
            <v>44367</v>
          </cell>
          <cell r="R1145">
            <v>44367</v>
          </cell>
          <cell r="S1145"/>
          <cell r="T1145">
            <v>44368</v>
          </cell>
          <cell r="U1145">
            <v>44369</v>
          </cell>
          <cell r="V1145">
            <v>44370</v>
          </cell>
          <cell r="W1145">
            <v>44370</v>
          </cell>
          <cell r="X1145" t="str">
            <v>41100169 → 41100170</v>
          </cell>
        </row>
        <row r="1146">
          <cell r="K1146"/>
          <cell r="L1146"/>
          <cell r="M1146">
            <v>44418</v>
          </cell>
          <cell r="N1146">
            <v>44420</v>
          </cell>
          <cell r="O1146">
            <v>44418</v>
          </cell>
          <cell r="P1146">
            <v>44420</v>
          </cell>
          <cell r="Q1146">
            <v>44419</v>
          </cell>
          <cell r="R1146">
            <v>44419</v>
          </cell>
          <cell r="S1146"/>
          <cell r="T1146">
            <v>44421</v>
          </cell>
          <cell r="U1146">
            <v>44421</v>
          </cell>
          <cell r="V1146">
            <v>44425</v>
          </cell>
          <cell r="W1146">
            <v>44425</v>
          </cell>
          <cell r="X1146"/>
        </row>
        <row r="1147">
          <cell r="K1147" t="str">
            <v>DBW-1985</v>
          </cell>
          <cell r="L1147">
            <v>44217</v>
          </cell>
          <cell r="M1147">
            <v>44218</v>
          </cell>
          <cell r="N1147">
            <v>44228</v>
          </cell>
          <cell r="O1147">
            <v>44218</v>
          </cell>
          <cell r="P1147">
            <v>44228</v>
          </cell>
          <cell r="Q1147"/>
          <cell r="R1147"/>
          <cell r="S1147"/>
          <cell r="T1147">
            <v>44229</v>
          </cell>
          <cell r="U1147">
            <v>44230</v>
          </cell>
          <cell r="V1147">
            <v>44230</v>
          </cell>
          <cell r="W1147">
            <v>44231</v>
          </cell>
          <cell r="X1147" t="str">
            <v>41100169 → 41100170</v>
          </cell>
        </row>
        <row r="1148">
          <cell r="K1148"/>
          <cell r="L1148"/>
          <cell r="M1148">
            <v>44418</v>
          </cell>
          <cell r="N1148">
            <v>44420</v>
          </cell>
          <cell r="O1148">
            <v>44418</v>
          </cell>
          <cell r="P1148">
            <v>44420</v>
          </cell>
          <cell r="Q1148">
            <v>44419</v>
          </cell>
          <cell r="R1148">
            <v>44419</v>
          </cell>
          <cell r="S1148"/>
          <cell r="T1148">
            <v>44421</v>
          </cell>
          <cell r="U1148">
            <v>44421</v>
          </cell>
          <cell r="V1148">
            <v>44425</v>
          </cell>
          <cell r="W1148">
            <v>44425</v>
          </cell>
          <cell r="X1148"/>
        </row>
        <row r="1149">
          <cell r="K1149" t="str">
            <v>GBWS-1480</v>
          </cell>
          <cell r="L1149">
            <v>44411</v>
          </cell>
          <cell r="M1149">
            <v>44411</v>
          </cell>
          <cell r="N1149">
            <v>44421</v>
          </cell>
          <cell r="O1149">
            <v>44411</v>
          </cell>
          <cell r="P1149">
            <v>44420</v>
          </cell>
          <cell r="Q1149">
            <v>44420</v>
          </cell>
          <cell r="R1149">
            <v>44420</v>
          </cell>
          <cell r="S1149"/>
          <cell r="T1149">
            <v>44421</v>
          </cell>
          <cell r="U1149">
            <v>44425</v>
          </cell>
          <cell r="V1149">
            <v>44426</v>
          </cell>
          <cell r="W1149">
            <v>44426</v>
          </cell>
          <cell r="X1149">
            <v>41100372</v>
          </cell>
        </row>
        <row r="1150">
          <cell r="K1150" t="str">
            <v>GBWS-1240</v>
          </cell>
          <cell r="L1150">
            <v>44336</v>
          </cell>
          <cell r="M1150">
            <v>44337</v>
          </cell>
          <cell r="N1150">
            <v>44356</v>
          </cell>
          <cell r="O1150">
            <v>44337</v>
          </cell>
          <cell r="P1150">
            <v>44357</v>
          </cell>
          <cell r="Q1150" t="str">
            <v>6/8 → 6/9</v>
          </cell>
          <cell r="R1150" t="str">
            <v>6/8 → 6/9</v>
          </cell>
          <cell r="S1150"/>
          <cell r="T1150">
            <v>44378</v>
          </cell>
          <cell r="U1150">
            <v>44379</v>
          </cell>
          <cell r="V1150">
            <v>44380</v>
          </cell>
          <cell r="W1150">
            <v>44396</v>
          </cell>
          <cell r="X1150">
            <v>41100293</v>
          </cell>
        </row>
        <row r="1151">
          <cell r="K1151" t="str">
            <v>WS-0044</v>
          </cell>
          <cell r="L1151">
            <v>44403</v>
          </cell>
          <cell r="M1151">
            <v>44404</v>
          </cell>
          <cell r="N1151">
            <v>44411</v>
          </cell>
          <cell r="O1151">
            <v>44404</v>
          </cell>
          <cell r="P1151">
            <v>44413</v>
          </cell>
          <cell r="Q1151">
            <v>44413</v>
          </cell>
          <cell r="R1151">
            <v>44413</v>
          </cell>
          <cell r="S1151"/>
          <cell r="T1151">
            <v>44417</v>
          </cell>
          <cell r="U1151">
            <v>44419</v>
          </cell>
          <cell r="V1151">
            <v>44420</v>
          </cell>
          <cell r="W1151">
            <v>44420</v>
          </cell>
          <cell r="X1151">
            <v>41100238</v>
          </cell>
        </row>
        <row r="1152">
          <cell r="K1152" t="str">
            <v>GBWS-1400</v>
          </cell>
          <cell r="L1152">
            <v>44378</v>
          </cell>
          <cell r="M1152">
            <v>44378</v>
          </cell>
          <cell r="N1152">
            <v>44391</v>
          </cell>
          <cell r="O1152">
            <v>44378</v>
          </cell>
          <cell r="P1152">
            <v>44391</v>
          </cell>
          <cell r="Q1152">
            <v>44391</v>
          </cell>
          <cell r="R1152">
            <v>44391</v>
          </cell>
          <cell r="S1152"/>
          <cell r="T1152">
            <v>44398</v>
          </cell>
          <cell r="U1152">
            <v>44405</v>
          </cell>
          <cell r="V1152">
            <v>44408</v>
          </cell>
          <cell r="W1152">
            <v>44413</v>
          </cell>
          <cell r="X1152">
            <v>41100286</v>
          </cell>
        </row>
        <row r="1153">
          <cell r="K1153" t="str">
            <v>GBWS-1457</v>
          </cell>
          <cell r="L1153">
            <v>44397</v>
          </cell>
          <cell r="M1153">
            <v>44398</v>
          </cell>
          <cell r="N1153">
            <v>44412</v>
          </cell>
          <cell r="O1153">
            <v>44398</v>
          </cell>
          <cell r="P1153">
            <v>44411</v>
          </cell>
          <cell r="Q1153" t="str">
            <v>8/3 → 8/5</v>
          </cell>
          <cell r="R1153" t="str">
            <v>8/3 → 8/5</v>
          </cell>
          <cell r="S1153"/>
          <cell r="T1153">
            <v>44417</v>
          </cell>
          <cell r="U1153">
            <v>44426</v>
          </cell>
          <cell r="V1153">
            <v>44427</v>
          </cell>
          <cell r="W1153">
            <v>44427</v>
          </cell>
          <cell r="X1153">
            <v>41100350</v>
          </cell>
        </row>
        <row r="1154">
          <cell r="K1154" t="str">
            <v>GBWS-1459</v>
          </cell>
          <cell r="L1154">
            <v>44397</v>
          </cell>
          <cell r="M1154">
            <v>44398</v>
          </cell>
          <cell r="N1154">
            <v>44412</v>
          </cell>
          <cell r="O1154">
            <v>44398</v>
          </cell>
          <cell r="P1154">
            <v>44411</v>
          </cell>
          <cell r="Q1154" t="str">
            <v>8/3 → 8/5</v>
          </cell>
          <cell r="R1154" t="str">
            <v>8/3 → 8/5</v>
          </cell>
          <cell r="S1154"/>
          <cell r="T1154">
            <v>44418</v>
          </cell>
          <cell r="U1154">
            <v>44425</v>
          </cell>
          <cell r="V1154">
            <v>44426</v>
          </cell>
          <cell r="W1154">
            <v>44426</v>
          </cell>
          <cell r="X1154">
            <v>41100286</v>
          </cell>
        </row>
        <row r="1155">
          <cell r="K1155" t="str">
            <v>DBW-2346</v>
          </cell>
          <cell r="L1155">
            <v>44420</v>
          </cell>
          <cell r="M1155">
            <v>44420</v>
          </cell>
          <cell r="N1155">
            <v>44428</v>
          </cell>
          <cell r="O1155">
            <v>44420</v>
          </cell>
          <cell r="P1155">
            <v>44428</v>
          </cell>
          <cell r="Q1155" t="str">
            <v>2021-08-24 → 8/19</v>
          </cell>
          <cell r="R1155" t="str">
            <v>2021-08-24 → 8/19</v>
          </cell>
          <cell r="S1155"/>
          <cell r="T1155">
            <v>44428</v>
          </cell>
          <cell r="U1155">
            <v>44428</v>
          </cell>
          <cell r="V1155">
            <v>44428</v>
          </cell>
          <cell r="W1155">
            <v>44428</v>
          </cell>
          <cell r="X1155">
            <v>41100258</v>
          </cell>
        </row>
        <row r="1156">
          <cell r="K1156" t="str">
            <v xml:space="preserve"> -</v>
          </cell>
          <cell r="L1156"/>
          <cell r="M1156">
            <v>44421</v>
          </cell>
          <cell r="N1156">
            <v>44426</v>
          </cell>
          <cell r="O1156">
            <v>44421</v>
          </cell>
          <cell r="P1156">
            <v>0</v>
          </cell>
          <cell r="Q1156">
            <v>44425</v>
          </cell>
          <cell r="R1156">
            <v>44425</v>
          </cell>
          <cell r="S1156"/>
          <cell r="T1156">
            <v>44428</v>
          </cell>
          <cell r="U1156">
            <v>44428</v>
          </cell>
          <cell r="V1156">
            <v>44431</v>
          </cell>
          <cell r="W1156">
            <v>44431</v>
          </cell>
          <cell r="X1156">
            <v>31100994</v>
          </cell>
        </row>
        <row r="1157">
          <cell r="K1157" t="str">
            <v>GBWS-1354</v>
          </cell>
          <cell r="L1157">
            <v>44368</v>
          </cell>
          <cell r="M1157">
            <v>44369</v>
          </cell>
          <cell r="N1157">
            <v>44384</v>
          </cell>
          <cell r="O1157">
            <v>44369</v>
          </cell>
          <cell r="P1157">
            <v>44385</v>
          </cell>
          <cell r="Q1157" t="str">
            <v>7/2 → 7/7</v>
          </cell>
          <cell r="R1157" t="str">
            <v>7/2 → 7/7</v>
          </cell>
          <cell r="S1157"/>
          <cell r="T1157">
            <v>44389</v>
          </cell>
          <cell r="U1157">
            <v>44392</v>
          </cell>
          <cell r="V1157">
            <v>44393</v>
          </cell>
          <cell r="W1157">
            <v>44396</v>
          </cell>
          <cell r="X1157">
            <v>41100356</v>
          </cell>
        </row>
        <row r="1158">
          <cell r="K1158" t="str">
            <v>GBWS-1481</v>
          </cell>
          <cell r="L1158">
            <v>44411</v>
          </cell>
          <cell r="M1158">
            <v>44411</v>
          </cell>
          <cell r="N1158">
            <v>44421</v>
          </cell>
          <cell r="O1158">
            <v>44411</v>
          </cell>
          <cell r="P1158">
            <v>44420</v>
          </cell>
          <cell r="Q1158">
            <v>44420</v>
          </cell>
          <cell r="R1158">
            <v>44420</v>
          </cell>
          <cell r="S1158"/>
          <cell r="T1158">
            <v>44425</v>
          </cell>
          <cell r="U1158">
            <v>44428</v>
          </cell>
          <cell r="V1158">
            <v>44431</v>
          </cell>
          <cell r="W1158">
            <v>44431</v>
          </cell>
          <cell r="X1158">
            <v>41100325</v>
          </cell>
        </row>
        <row r="1159">
          <cell r="K1159" t="str">
            <v>DBW-1277</v>
          </cell>
          <cell r="L1159">
            <v>43411</v>
          </cell>
          <cell r="M1159"/>
          <cell r="N1159"/>
          <cell r="O1159"/>
          <cell r="P1159"/>
          <cell r="Q1159"/>
          <cell r="R1159"/>
          <cell r="S1159"/>
          <cell r="T1159">
            <v>43451</v>
          </cell>
          <cell r="U1159">
            <v>43452</v>
          </cell>
          <cell r="V1159">
            <v>43460</v>
          </cell>
          <cell r="W1159">
            <v>43461</v>
          </cell>
          <cell r="X1159" t="str">
            <v>41000505 → 41100389</v>
          </cell>
        </row>
        <row r="1160">
          <cell r="K1160"/>
          <cell r="L1160"/>
          <cell r="M1160">
            <v>44411</v>
          </cell>
          <cell r="N1160">
            <v>44421</v>
          </cell>
          <cell r="O1160">
            <v>44411</v>
          </cell>
          <cell r="P1160">
            <v>44421</v>
          </cell>
          <cell r="Q1160">
            <v>44421</v>
          </cell>
          <cell r="R1160">
            <v>44421</v>
          </cell>
          <cell r="S1160"/>
          <cell r="T1160">
            <v>44424</v>
          </cell>
          <cell r="U1160">
            <v>44425</v>
          </cell>
          <cell r="V1160">
            <v>44426</v>
          </cell>
          <cell r="W1160">
            <v>44427</v>
          </cell>
          <cell r="X1160"/>
        </row>
        <row r="1161">
          <cell r="K1161" t="str">
            <v>GBA-0077</v>
          </cell>
          <cell r="L1161">
            <v>44392</v>
          </cell>
          <cell r="M1161">
            <v>44393</v>
          </cell>
          <cell r="N1161">
            <v>44407</v>
          </cell>
          <cell r="O1161">
            <v>44393</v>
          </cell>
          <cell r="P1161">
            <v>44412</v>
          </cell>
          <cell r="Q1161">
            <v>44407</v>
          </cell>
          <cell r="R1161">
            <v>44407</v>
          </cell>
          <cell r="S1161"/>
          <cell r="T1161">
            <v>44417</v>
          </cell>
          <cell r="U1161">
            <v>44427</v>
          </cell>
          <cell r="V1161">
            <v>44432</v>
          </cell>
          <cell r="W1161">
            <v>44432</v>
          </cell>
          <cell r="X1161">
            <v>41100369</v>
          </cell>
        </row>
        <row r="1162">
          <cell r="K1162" t="str">
            <v>GBA-0078</v>
          </cell>
          <cell r="L1162">
            <v>44392</v>
          </cell>
          <cell r="M1162">
            <v>44393</v>
          </cell>
          <cell r="N1162">
            <v>44407</v>
          </cell>
          <cell r="O1162">
            <v>44393</v>
          </cell>
          <cell r="P1162">
            <v>44412</v>
          </cell>
          <cell r="Q1162">
            <v>44407</v>
          </cell>
          <cell r="R1162">
            <v>44407</v>
          </cell>
          <cell r="S1162"/>
          <cell r="T1162">
            <v>44426</v>
          </cell>
          <cell r="U1162">
            <v>44427</v>
          </cell>
          <cell r="V1162">
            <v>44428</v>
          </cell>
          <cell r="W1162">
            <v>44428</v>
          </cell>
          <cell r="X1162">
            <v>41100369</v>
          </cell>
        </row>
        <row r="1163">
          <cell r="K1163" t="str">
            <v>GBA-0079</v>
          </cell>
          <cell r="L1163">
            <v>44392</v>
          </cell>
          <cell r="M1163">
            <v>44393</v>
          </cell>
          <cell r="N1163">
            <v>44407</v>
          </cell>
          <cell r="O1163">
            <v>44393</v>
          </cell>
          <cell r="P1163">
            <v>44412</v>
          </cell>
          <cell r="Q1163">
            <v>44407</v>
          </cell>
          <cell r="R1163">
            <v>44407</v>
          </cell>
          <cell r="S1163"/>
          <cell r="T1163">
            <v>44426</v>
          </cell>
          <cell r="U1163">
            <v>44427</v>
          </cell>
          <cell r="V1163">
            <v>44432</v>
          </cell>
          <cell r="W1163">
            <v>44432</v>
          </cell>
          <cell r="X1163">
            <v>41100369</v>
          </cell>
        </row>
        <row r="1164">
          <cell r="K1164" t="str">
            <v>GBA-0080</v>
          </cell>
          <cell r="L1164">
            <v>44392</v>
          </cell>
          <cell r="M1164">
            <v>44393</v>
          </cell>
          <cell r="N1164">
            <v>44407</v>
          </cell>
          <cell r="O1164">
            <v>44393</v>
          </cell>
          <cell r="P1164">
            <v>44412</v>
          </cell>
          <cell r="Q1164">
            <v>44407</v>
          </cell>
          <cell r="R1164">
            <v>44407</v>
          </cell>
          <cell r="S1164"/>
          <cell r="T1164">
            <v>44426</v>
          </cell>
          <cell r="U1164">
            <v>44427</v>
          </cell>
          <cell r="V1164">
            <v>44428</v>
          </cell>
          <cell r="W1164">
            <v>44428</v>
          </cell>
          <cell r="X1164">
            <v>41100369</v>
          </cell>
        </row>
        <row r="1165">
          <cell r="K1165" t="str">
            <v>GBA-0081</v>
          </cell>
          <cell r="L1165">
            <v>44392</v>
          </cell>
          <cell r="M1165">
            <v>44393</v>
          </cell>
          <cell r="N1165">
            <v>44407</v>
          </cell>
          <cell r="O1165">
            <v>44393</v>
          </cell>
          <cell r="P1165">
            <v>44412</v>
          </cell>
          <cell r="Q1165">
            <v>44407</v>
          </cell>
          <cell r="R1165">
            <v>44407</v>
          </cell>
          <cell r="S1165"/>
          <cell r="T1165">
            <v>44426</v>
          </cell>
          <cell r="U1165">
            <v>44426</v>
          </cell>
          <cell r="V1165">
            <v>44428</v>
          </cell>
          <cell r="W1165">
            <v>44428</v>
          </cell>
          <cell r="X1165">
            <v>41100369</v>
          </cell>
        </row>
        <row r="1166">
          <cell r="K1166" t="str">
            <v>GBA-0082</v>
          </cell>
          <cell r="L1166">
            <v>44392</v>
          </cell>
          <cell r="M1166">
            <v>44393</v>
          </cell>
          <cell r="N1166">
            <v>44407</v>
          </cell>
          <cell r="O1166">
            <v>44393</v>
          </cell>
          <cell r="P1166">
            <v>44412</v>
          </cell>
          <cell r="Q1166">
            <v>44407</v>
          </cell>
          <cell r="R1166">
            <v>44407</v>
          </cell>
          <cell r="S1166"/>
          <cell r="T1166">
            <v>44426</v>
          </cell>
          <cell r="U1166">
            <v>44426</v>
          </cell>
          <cell r="V1166">
            <v>44428</v>
          </cell>
          <cell r="W1166">
            <v>44428</v>
          </cell>
          <cell r="X1166">
            <v>41100369</v>
          </cell>
        </row>
        <row r="1167">
          <cell r="K1167" t="str">
            <v>GBA-0083</v>
          </cell>
          <cell r="L1167">
            <v>44392</v>
          </cell>
          <cell r="M1167">
            <v>44393</v>
          </cell>
          <cell r="N1167">
            <v>44407</v>
          </cell>
          <cell r="O1167">
            <v>44393</v>
          </cell>
          <cell r="P1167">
            <v>44412</v>
          </cell>
          <cell r="Q1167">
            <v>44407</v>
          </cell>
          <cell r="R1167">
            <v>44407</v>
          </cell>
          <cell r="S1167"/>
          <cell r="T1167">
            <v>44426</v>
          </cell>
          <cell r="U1167">
            <v>44427</v>
          </cell>
          <cell r="V1167">
            <v>44431</v>
          </cell>
          <cell r="W1167">
            <v>44431</v>
          </cell>
          <cell r="X1167">
            <v>41100369</v>
          </cell>
        </row>
        <row r="1168">
          <cell r="K1168" t="str">
            <v>GBA-0084</v>
          </cell>
          <cell r="L1168">
            <v>44392</v>
          </cell>
          <cell r="M1168">
            <v>44393</v>
          </cell>
          <cell r="N1168">
            <v>44407</v>
          </cell>
          <cell r="O1168">
            <v>44393</v>
          </cell>
          <cell r="P1168">
            <v>44412</v>
          </cell>
          <cell r="Q1168">
            <v>44407</v>
          </cell>
          <cell r="R1168">
            <v>44407</v>
          </cell>
          <cell r="S1168"/>
          <cell r="T1168">
            <v>44426</v>
          </cell>
          <cell r="U1168">
            <v>44427</v>
          </cell>
          <cell r="V1168">
            <v>44431</v>
          </cell>
          <cell r="W1168">
            <v>44431</v>
          </cell>
          <cell r="X1168">
            <v>41100369</v>
          </cell>
        </row>
        <row r="1169">
          <cell r="K1169" t="str">
            <v>GBA-0085</v>
          </cell>
          <cell r="L1169">
            <v>44392</v>
          </cell>
          <cell r="M1169">
            <v>44393</v>
          </cell>
          <cell r="N1169">
            <v>44407</v>
          </cell>
          <cell r="O1169">
            <v>44393</v>
          </cell>
          <cell r="P1169">
            <v>44412</v>
          </cell>
          <cell r="Q1169">
            <v>44407</v>
          </cell>
          <cell r="R1169">
            <v>44407</v>
          </cell>
          <cell r="S1169"/>
          <cell r="T1169">
            <v>44417</v>
          </cell>
          <cell r="U1169">
            <v>44417</v>
          </cell>
          <cell r="V1169">
            <v>44428</v>
          </cell>
          <cell r="W1169">
            <v>44431</v>
          </cell>
          <cell r="X1169">
            <v>41100378</v>
          </cell>
        </row>
        <row r="1170">
          <cell r="K1170" t="str">
            <v>GBA-0086</v>
          </cell>
          <cell r="L1170">
            <v>44392</v>
          </cell>
          <cell r="M1170">
            <v>44393</v>
          </cell>
          <cell r="N1170">
            <v>44407</v>
          </cell>
          <cell r="O1170">
            <v>44393</v>
          </cell>
          <cell r="P1170">
            <v>44412</v>
          </cell>
          <cell r="Q1170">
            <v>44407</v>
          </cell>
          <cell r="R1170">
            <v>44407</v>
          </cell>
          <cell r="S1170"/>
          <cell r="T1170">
            <v>44413</v>
          </cell>
          <cell r="U1170">
            <v>44417</v>
          </cell>
          <cell r="V1170">
            <v>44427</v>
          </cell>
          <cell r="W1170">
            <v>44431</v>
          </cell>
          <cell r="X1170">
            <v>41100379</v>
          </cell>
        </row>
        <row r="1171">
          <cell r="K1171" t="str">
            <v xml:space="preserve">GBWS-1486 </v>
          </cell>
          <cell r="L1171">
            <v>44416</v>
          </cell>
          <cell r="M1171">
            <v>44417</v>
          </cell>
          <cell r="N1171">
            <v>44428</v>
          </cell>
          <cell r="O1171">
            <v>44417</v>
          </cell>
          <cell r="P1171">
            <v>44425</v>
          </cell>
          <cell r="Q1171">
            <v>44426</v>
          </cell>
          <cell r="R1171">
            <v>44426</v>
          </cell>
          <cell r="S1171"/>
          <cell r="T1171">
            <v>44428</v>
          </cell>
          <cell r="U1171">
            <v>44431</v>
          </cell>
          <cell r="V1171">
            <v>44432</v>
          </cell>
          <cell r="W1171">
            <v>44432</v>
          </cell>
          <cell r="X1171">
            <v>41100093</v>
          </cell>
        </row>
        <row r="1172">
          <cell r="K1172" t="str">
            <v>GBWS-1487</v>
          </cell>
          <cell r="L1172">
            <v>44416</v>
          </cell>
          <cell r="M1172">
            <v>44417</v>
          </cell>
          <cell r="N1172">
            <v>44428</v>
          </cell>
          <cell r="O1172">
            <v>44417</v>
          </cell>
          <cell r="P1172">
            <v>44425</v>
          </cell>
          <cell r="Q1172">
            <v>44426</v>
          </cell>
          <cell r="R1172">
            <v>44426</v>
          </cell>
          <cell r="S1172"/>
          <cell r="T1172">
            <v>44428</v>
          </cell>
          <cell r="U1172">
            <v>44431</v>
          </cell>
          <cell r="V1172">
            <v>44432</v>
          </cell>
          <cell r="W1172">
            <v>44432</v>
          </cell>
          <cell r="X1172">
            <v>41100093</v>
          </cell>
        </row>
        <row r="1173">
          <cell r="K1173" t="str">
            <v>GBWS-1435</v>
          </cell>
          <cell r="L1173">
            <v>44416</v>
          </cell>
          <cell r="M1173">
            <v>44417</v>
          </cell>
          <cell r="N1173">
            <v>44428</v>
          </cell>
          <cell r="O1173">
            <v>44417</v>
          </cell>
          <cell r="P1173">
            <v>44425</v>
          </cell>
          <cell r="Q1173">
            <v>44426</v>
          </cell>
          <cell r="R1173">
            <v>44426</v>
          </cell>
          <cell r="S1173"/>
          <cell r="T1173">
            <v>44428</v>
          </cell>
          <cell r="U1173">
            <v>44431</v>
          </cell>
          <cell r="V1173">
            <v>44432</v>
          </cell>
          <cell r="W1173">
            <v>44432</v>
          </cell>
          <cell r="X1173">
            <v>41100089</v>
          </cell>
        </row>
        <row r="1174">
          <cell r="K1174" t="str">
            <v>GBWS-1383</v>
          </cell>
          <cell r="L1174">
            <v>44376</v>
          </cell>
          <cell r="M1174">
            <v>44377</v>
          </cell>
          <cell r="N1174">
            <v>44387</v>
          </cell>
          <cell r="O1174">
            <v>44377</v>
          </cell>
          <cell r="P1174">
            <v>44387</v>
          </cell>
          <cell r="Q1174">
            <v>44389</v>
          </cell>
          <cell r="R1174">
            <v>44389</v>
          </cell>
          <cell r="S1174"/>
          <cell r="T1174">
            <v>44397</v>
          </cell>
          <cell r="U1174">
            <v>44398</v>
          </cell>
          <cell r="V1174">
            <v>44398</v>
          </cell>
          <cell r="W1174">
            <v>44405</v>
          </cell>
          <cell r="X1174">
            <v>41100287</v>
          </cell>
        </row>
        <row r="1175">
          <cell r="K1175" t="str">
            <v>GBWS-1468</v>
          </cell>
          <cell r="L1175">
            <v>44403</v>
          </cell>
          <cell r="M1175">
            <v>44404</v>
          </cell>
          <cell r="N1175">
            <v>44413</v>
          </cell>
          <cell r="O1175">
            <v>44404</v>
          </cell>
          <cell r="P1175">
            <v>44413</v>
          </cell>
          <cell r="Q1175">
            <v>44413</v>
          </cell>
          <cell r="R1175">
            <v>44413</v>
          </cell>
          <cell r="S1175"/>
          <cell r="T1175">
            <v>44414</v>
          </cell>
          <cell r="U1175">
            <v>44417</v>
          </cell>
          <cell r="V1175">
            <v>44418</v>
          </cell>
          <cell r="W1175">
            <v>44418</v>
          </cell>
          <cell r="X1175">
            <v>41100288</v>
          </cell>
        </row>
        <row r="1176">
          <cell r="K1176" t="str">
            <v>GBWS-1469</v>
          </cell>
          <cell r="L1176">
            <v>44403</v>
          </cell>
          <cell r="M1176">
            <v>44404</v>
          </cell>
          <cell r="N1176">
            <v>44413</v>
          </cell>
          <cell r="O1176">
            <v>44404</v>
          </cell>
          <cell r="P1176">
            <v>44413</v>
          </cell>
          <cell r="Q1176">
            <v>44413</v>
          </cell>
          <cell r="R1176">
            <v>44413</v>
          </cell>
          <cell r="S1176"/>
          <cell r="T1176">
            <v>44414</v>
          </cell>
          <cell r="U1176">
            <v>44417</v>
          </cell>
          <cell r="V1176">
            <v>44418</v>
          </cell>
          <cell r="W1176">
            <v>44418</v>
          </cell>
          <cell r="X1176">
            <v>41100288</v>
          </cell>
        </row>
        <row r="1177">
          <cell r="K1177" t="str">
            <v>GBWS-1367</v>
          </cell>
          <cell r="L1177">
            <v>44368</v>
          </cell>
          <cell r="M1177">
            <v>44369</v>
          </cell>
          <cell r="N1177">
            <v>44384</v>
          </cell>
          <cell r="O1177">
            <v>44369</v>
          </cell>
          <cell r="P1177">
            <v>44384</v>
          </cell>
          <cell r="Q1177" t="str">
            <v>7/2 → 7/7</v>
          </cell>
          <cell r="R1177" t="str">
            <v>7/2 → 7/7</v>
          </cell>
          <cell r="S1177"/>
          <cell r="T1177">
            <v>44386</v>
          </cell>
          <cell r="U1177">
            <v>44407</v>
          </cell>
          <cell r="V1177">
            <v>44412</v>
          </cell>
          <cell r="W1177">
            <v>44412</v>
          </cell>
          <cell r="X1177">
            <v>41100319</v>
          </cell>
        </row>
        <row r="1178">
          <cell r="K1178" t="str">
            <v>GBWS-1368</v>
          </cell>
          <cell r="L1178">
            <v>44368</v>
          </cell>
          <cell r="M1178">
            <v>44369</v>
          </cell>
          <cell r="N1178">
            <v>44384</v>
          </cell>
          <cell r="O1178">
            <v>44369</v>
          </cell>
          <cell r="P1178">
            <v>44384</v>
          </cell>
          <cell r="Q1178" t="str">
            <v>7/2 → 7/7</v>
          </cell>
          <cell r="R1178" t="str">
            <v>7/2 → 7/7</v>
          </cell>
          <cell r="S1178"/>
          <cell r="T1178">
            <v>44386</v>
          </cell>
          <cell r="U1178">
            <v>44389</v>
          </cell>
          <cell r="V1178">
            <v>44414</v>
          </cell>
          <cell r="W1178">
            <v>44414</v>
          </cell>
          <cell r="X1178">
            <v>41100319</v>
          </cell>
        </row>
        <row r="1179">
          <cell r="K1179" t="str">
            <v>GBWS-1470</v>
          </cell>
          <cell r="L1179">
            <v>44403</v>
          </cell>
          <cell r="M1179">
            <v>44404</v>
          </cell>
          <cell r="N1179">
            <v>44417</v>
          </cell>
          <cell r="O1179">
            <v>44404</v>
          </cell>
          <cell r="P1179">
            <v>44417</v>
          </cell>
          <cell r="Q1179" t="str">
            <v>8/6 → 8/8</v>
          </cell>
          <cell r="R1179" t="str">
            <v>8/6 → 8/8</v>
          </cell>
          <cell r="S1179"/>
          <cell r="T1179">
            <v>44418</v>
          </cell>
          <cell r="U1179">
            <v>44419</v>
          </cell>
          <cell r="V1179">
            <v>44420</v>
          </cell>
          <cell r="W1179">
            <v>44420</v>
          </cell>
          <cell r="X1179">
            <v>41100318</v>
          </cell>
        </row>
        <row r="1180">
          <cell r="K1180" t="str">
            <v>DBW-2307</v>
          </cell>
          <cell r="L1180">
            <v>44382</v>
          </cell>
          <cell r="M1180">
            <v>44383</v>
          </cell>
          <cell r="N1180">
            <v>44397</v>
          </cell>
          <cell r="O1180">
            <v>44383</v>
          </cell>
          <cell r="P1180">
            <v>44396</v>
          </cell>
          <cell r="Q1180">
            <v>44397</v>
          </cell>
          <cell r="R1180">
            <v>44397</v>
          </cell>
          <cell r="S1180"/>
          <cell r="T1180">
            <v>44398</v>
          </cell>
          <cell r="U1180">
            <v>44399</v>
          </cell>
          <cell r="V1180">
            <v>44406</v>
          </cell>
          <cell r="W1180">
            <v>44406</v>
          </cell>
          <cell r="X1180">
            <v>41100230</v>
          </cell>
        </row>
        <row r="1181">
          <cell r="K1181" t="str">
            <v>GBWS-1477</v>
          </cell>
          <cell r="L1181">
            <v>44410</v>
          </cell>
          <cell r="M1181">
            <v>44411</v>
          </cell>
          <cell r="N1181">
            <v>44425</v>
          </cell>
          <cell r="O1181">
            <v>44411</v>
          </cell>
          <cell r="P1181">
            <v>44426</v>
          </cell>
          <cell r="Q1181" t="str">
            <v>8/16 → 8/18</v>
          </cell>
          <cell r="R1181" t="str">
            <v>8/16 → 8/18</v>
          </cell>
          <cell r="S1181"/>
          <cell r="T1181">
            <v>44427</v>
          </cell>
          <cell r="U1181">
            <v>44432</v>
          </cell>
          <cell r="V1181">
            <v>44433</v>
          </cell>
          <cell r="W1181">
            <v>44433</v>
          </cell>
          <cell r="X1181">
            <v>41100287</v>
          </cell>
        </row>
        <row r="1182">
          <cell r="K1182" t="str">
            <v>GBWS-1478</v>
          </cell>
          <cell r="L1182">
            <v>44410</v>
          </cell>
          <cell r="M1182">
            <v>44411</v>
          </cell>
          <cell r="N1182">
            <v>44425</v>
          </cell>
          <cell r="O1182">
            <v>44411</v>
          </cell>
          <cell r="P1182">
            <v>44426</v>
          </cell>
          <cell r="Q1182" t="str">
            <v>8/16 → 8/18</v>
          </cell>
          <cell r="R1182" t="str">
            <v>8/16 → 8/18</v>
          </cell>
          <cell r="S1182"/>
          <cell r="T1182">
            <v>44427</v>
          </cell>
          <cell r="U1182">
            <v>44431</v>
          </cell>
          <cell r="V1182">
            <v>44432</v>
          </cell>
          <cell r="W1182">
            <v>44433</v>
          </cell>
          <cell r="X1182">
            <v>41100287</v>
          </cell>
        </row>
        <row r="1183">
          <cell r="K1183" t="str">
            <v>GBWS-1172</v>
          </cell>
          <cell r="L1183">
            <v>44316</v>
          </cell>
          <cell r="M1183">
            <v>44319</v>
          </cell>
          <cell r="N1183">
            <v>44340</v>
          </cell>
          <cell r="O1183">
            <v>44319</v>
          </cell>
          <cell r="P1183">
            <v>44337</v>
          </cell>
          <cell r="Q1183">
            <v>44337</v>
          </cell>
          <cell r="R1183">
            <v>44337</v>
          </cell>
          <cell r="S1183"/>
          <cell r="T1183">
            <v>44340</v>
          </cell>
          <cell r="U1183">
            <v>44390</v>
          </cell>
          <cell r="V1183">
            <v>44391</v>
          </cell>
          <cell r="W1183">
            <v>44396</v>
          </cell>
          <cell r="X1183">
            <v>41100334</v>
          </cell>
        </row>
        <row r="1184">
          <cell r="K1184" t="str">
            <v>SOS-0245</v>
          </cell>
          <cell r="L1184">
            <v>44421</v>
          </cell>
          <cell r="M1184">
            <v>44421</v>
          </cell>
          <cell r="N1184">
            <v>44426</v>
          </cell>
          <cell r="O1184">
            <v>44421</v>
          </cell>
          <cell r="P1184">
            <v>44426</v>
          </cell>
          <cell r="Q1184">
            <v>44425</v>
          </cell>
          <cell r="R1184">
            <v>44425</v>
          </cell>
          <cell r="S1184"/>
          <cell r="T1184">
            <v>44426</v>
          </cell>
          <cell r="U1184">
            <v>44426</v>
          </cell>
          <cell r="V1184">
            <v>44426</v>
          </cell>
          <cell r="W1184">
            <v>44426</v>
          </cell>
          <cell r="X1184">
            <v>41100299</v>
          </cell>
        </row>
        <row r="1185">
          <cell r="K1185" t="str">
            <v>DBW-2344</v>
          </cell>
          <cell r="L1185">
            <v>44420</v>
          </cell>
          <cell r="M1185">
            <v>44420</v>
          </cell>
          <cell r="N1185">
            <v>44428</v>
          </cell>
          <cell r="O1185">
            <v>44420</v>
          </cell>
          <cell r="P1185">
            <v>44428</v>
          </cell>
          <cell r="Q1185">
            <v>44427</v>
          </cell>
          <cell r="R1185">
            <v>44427</v>
          </cell>
          <cell r="S1185"/>
          <cell r="T1185">
            <v>44431</v>
          </cell>
          <cell r="U1185">
            <v>44432</v>
          </cell>
          <cell r="V1185">
            <v>44434</v>
          </cell>
          <cell r="W1185">
            <v>44434</v>
          </cell>
          <cell r="X1185">
            <v>41100258</v>
          </cell>
        </row>
        <row r="1186">
          <cell r="K1186" t="str">
            <v>DBW-2345</v>
          </cell>
          <cell r="L1186">
            <v>44420</v>
          </cell>
          <cell r="M1186">
            <v>44420</v>
          </cell>
          <cell r="N1186">
            <v>44428</v>
          </cell>
          <cell r="O1186">
            <v>44420</v>
          </cell>
          <cell r="P1186">
            <v>44428</v>
          </cell>
          <cell r="Q1186">
            <v>44427</v>
          </cell>
          <cell r="R1186">
            <v>44427</v>
          </cell>
          <cell r="S1186"/>
          <cell r="T1186">
            <v>44431</v>
          </cell>
          <cell r="U1186">
            <v>44432</v>
          </cell>
          <cell r="V1186">
            <v>44433</v>
          </cell>
          <cell r="W1186">
            <v>44433</v>
          </cell>
          <cell r="X1186">
            <v>41100258</v>
          </cell>
        </row>
        <row r="1187">
          <cell r="K1187" t="str">
            <v>GBWS-1507</v>
          </cell>
          <cell r="L1187">
            <v>44421</v>
          </cell>
          <cell r="M1187">
            <v>44424</v>
          </cell>
          <cell r="N1187">
            <v>44432</v>
          </cell>
          <cell r="O1187">
            <v>44424</v>
          </cell>
          <cell r="P1187">
            <v>44432</v>
          </cell>
          <cell r="Q1187">
            <v>44431</v>
          </cell>
          <cell r="R1187">
            <v>44431</v>
          </cell>
          <cell r="S1187"/>
          <cell r="T1187">
            <v>44433</v>
          </cell>
          <cell r="U1187">
            <v>44434</v>
          </cell>
          <cell r="V1187">
            <v>44434</v>
          </cell>
          <cell r="W1187">
            <v>44434</v>
          </cell>
          <cell r="X1187">
            <v>41100307</v>
          </cell>
        </row>
        <row r="1188">
          <cell r="K1188" t="str">
            <v>GBWS-1420</v>
          </cell>
          <cell r="L1188">
            <v>44384</v>
          </cell>
          <cell r="M1188">
            <v>44385</v>
          </cell>
          <cell r="N1188">
            <v>44399</v>
          </cell>
          <cell r="O1188">
            <v>44385</v>
          </cell>
          <cell r="P1188">
            <v>44399</v>
          </cell>
          <cell r="Q1188">
            <v>44399</v>
          </cell>
          <cell r="R1188">
            <v>44399</v>
          </cell>
          <cell r="S1188"/>
          <cell r="T1188">
            <v>44404</v>
          </cell>
          <cell r="U1188">
            <v>44406</v>
          </cell>
          <cell r="V1188">
            <v>44408</v>
          </cell>
          <cell r="W1188">
            <v>44408</v>
          </cell>
          <cell r="X1188">
            <v>41100286</v>
          </cell>
        </row>
        <row r="1189">
          <cell r="K1189" t="str">
            <v>DBW-2335</v>
          </cell>
          <cell r="L1189">
            <v>44412</v>
          </cell>
          <cell r="M1189">
            <v>44413</v>
          </cell>
          <cell r="N1189">
            <v>44425</v>
          </cell>
          <cell r="O1189">
            <v>44413</v>
          </cell>
          <cell r="P1189">
            <v>44425</v>
          </cell>
          <cell r="Q1189">
            <v>44425</v>
          </cell>
          <cell r="R1189">
            <v>44425</v>
          </cell>
          <cell r="S1189"/>
          <cell r="T1189">
            <v>44426</v>
          </cell>
          <cell r="U1189">
            <v>44428</v>
          </cell>
          <cell r="V1189">
            <v>44431</v>
          </cell>
          <cell r="W1189">
            <v>44431</v>
          </cell>
          <cell r="X1189">
            <v>41100360</v>
          </cell>
        </row>
        <row r="1190">
          <cell r="K1190" t="str">
            <v>DBW-2336</v>
          </cell>
          <cell r="L1190">
            <v>44412</v>
          </cell>
          <cell r="M1190">
            <v>44413</v>
          </cell>
          <cell r="N1190">
            <v>44425</v>
          </cell>
          <cell r="O1190">
            <v>44413</v>
          </cell>
          <cell r="P1190">
            <v>44425</v>
          </cell>
          <cell r="Q1190">
            <v>44425</v>
          </cell>
          <cell r="R1190">
            <v>44425</v>
          </cell>
          <cell r="S1190"/>
          <cell r="T1190">
            <v>44426</v>
          </cell>
          <cell r="U1190">
            <v>44428</v>
          </cell>
          <cell r="V1190">
            <v>44431</v>
          </cell>
          <cell r="W1190">
            <v>44431</v>
          </cell>
          <cell r="X1190">
            <v>41100360</v>
          </cell>
        </row>
        <row r="1191">
          <cell r="K1191" t="str">
            <v>DBW-2337</v>
          </cell>
          <cell r="L1191">
            <v>44412</v>
          </cell>
          <cell r="M1191">
            <v>44413</v>
          </cell>
          <cell r="N1191">
            <v>44425</v>
          </cell>
          <cell r="O1191">
            <v>44413</v>
          </cell>
          <cell r="P1191">
            <v>44425</v>
          </cell>
          <cell r="Q1191">
            <v>44425</v>
          </cell>
          <cell r="R1191">
            <v>44425</v>
          </cell>
          <cell r="S1191"/>
          <cell r="T1191">
            <v>44426</v>
          </cell>
          <cell r="U1191">
            <v>44428</v>
          </cell>
          <cell r="V1191">
            <v>44432</v>
          </cell>
          <cell r="W1191">
            <v>44432</v>
          </cell>
          <cell r="X1191">
            <v>41100360</v>
          </cell>
        </row>
        <row r="1192">
          <cell r="K1192" t="str">
            <v>DBW-2338</v>
          </cell>
          <cell r="L1192">
            <v>44412</v>
          </cell>
          <cell r="M1192">
            <v>44413</v>
          </cell>
          <cell r="N1192">
            <v>44425</v>
          </cell>
          <cell r="O1192">
            <v>44413</v>
          </cell>
          <cell r="P1192">
            <v>44425</v>
          </cell>
          <cell r="Q1192">
            <v>44424</v>
          </cell>
          <cell r="R1192">
            <v>44424</v>
          </cell>
          <cell r="S1192"/>
          <cell r="T1192">
            <v>44425</v>
          </cell>
          <cell r="U1192">
            <v>44431</v>
          </cell>
          <cell r="V1192">
            <v>44432</v>
          </cell>
          <cell r="W1192">
            <v>44432</v>
          </cell>
          <cell r="X1192">
            <v>41100359</v>
          </cell>
        </row>
        <row r="1193">
          <cell r="K1193" t="str">
            <v>DBW-2339</v>
          </cell>
          <cell r="L1193">
            <v>44412</v>
          </cell>
          <cell r="M1193">
            <v>44413</v>
          </cell>
          <cell r="N1193">
            <v>44426</v>
          </cell>
          <cell r="O1193">
            <v>44413</v>
          </cell>
          <cell r="P1193">
            <v>44425</v>
          </cell>
          <cell r="Q1193">
            <v>44424</v>
          </cell>
          <cell r="R1193">
            <v>44424</v>
          </cell>
          <cell r="S1193"/>
          <cell r="T1193">
            <v>44427</v>
          </cell>
          <cell r="U1193">
            <v>44428</v>
          </cell>
          <cell r="V1193">
            <v>44432</v>
          </cell>
          <cell r="W1193">
            <v>44432</v>
          </cell>
          <cell r="X1193">
            <v>41100354</v>
          </cell>
        </row>
        <row r="1194">
          <cell r="K1194" t="str">
            <v>IVAS-085</v>
          </cell>
          <cell r="L1194">
            <v>44416</v>
          </cell>
          <cell r="M1194">
            <v>44417</v>
          </cell>
          <cell r="N1194">
            <v>44431</v>
          </cell>
          <cell r="O1194">
            <v>44417</v>
          </cell>
          <cell r="P1194">
            <v>44427</v>
          </cell>
          <cell r="Q1194">
            <v>44428</v>
          </cell>
          <cell r="R1194">
            <v>44428</v>
          </cell>
          <cell r="S1194"/>
          <cell r="T1194">
            <v>44432</v>
          </cell>
          <cell r="U1194">
            <v>44439</v>
          </cell>
          <cell r="V1194">
            <v>44440</v>
          </cell>
          <cell r="W1194">
            <v>44440</v>
          </cell>
          <cell r="X1194">
            <v>41100383</v>
          </cell>
        </row>
        <row r="1195">
          <cell r="K1195" t="str">
            <v>GBWS-1509</v>
          </cell>
          <cell r="L1195">
            <v>44424</v>
          </cell>
          <cell r="M1195">
            <v>44425</v>
          </cell>
          <cell r="N1195">
            <v>44436</v>
          </cell>
          <cell r="O1195">
            <v>44425</v>
          </cell>
          <cell r="P1195">
            <v>44438</v>
          </cell>
          <cell r="Q1195" t="str">
            <v>2021-08-26 → 8/27</v>
          </cell>
          <cell r="R1195" t="str">
            <v>2021-08-26 → 8/27</v>
          </cell>
          <cell r="S1195"/>
          <cell r="T1195">
            <v>44438</v>
          </cell>
          <cell r="U1195">
            <v>44439</v>
          </cell>
          <cell r="V1195">
            <v>44439</v>
          </cell>
          <cell r="W1195">
            <v>44439</v>
          </cell>
          <cell r="X1195">
            <v>41100385</v>
          </cell>
        </row>
        <row r="1196">
          <cell r="K1196" t="str">
            <v>GBWS-1510</v>
          </cell>
          <cell r="L1196">
            <v>44424</v>
          </cell>
          <cell r="M1196">
            <v>44425</v>
          </cell>
          <cell r="N1196">
            <v>44436</v>
          </cell>
          <cell r="O1196">
            <v>44425</v>
          </cell>
          <cell r="P1196">
            <v>44438</v>
          </cell>
          <cell r="Q1196" t="str">
            <v>2021-08-26 → 8/27</v>
          </cell>
          <cell r="R1196" t="str">
            <v>2021-08-26 → 8/27</v>
          </cell>
          <cell r="S1196"/>
          <cell r="T1196">
            <v>44438</v>
          </cell>
          <cell r="U1196">
            <v>44439</v>
          </cell>
          <cell r="V1196">
            <v>44439</v>
          </cell>
          <cell r="W1196">
            <v>44439</v>
          </cell>
          <cell r="X1196">
            <v>41100385</v>
          </cell>
        </row>
        <row r="1197">
          <cell r="K1197" t="str">
            <v>GBWS-1511</v>
          </cell>
          <cell r="L1197">
            <v>44424</v>
          </cell>
          <cell r="M1197">
            <v>44425</v>
          </cell>
          <cell r="N1197">
            <v>44436</v>
          </cell>
          <cell r="O1197">
            <v>44425</v>
          </cell>
          <cell r="P1197">
            <v>44435</v>
          </cell>
          <cell r="Q1197" t="str">
            <v>2021-08-26 → 8/27</v>
          </cell>
          <cell r="R1197" t="str">
            <v>2021-08-26 → 8/27</v>
          </cell>
          <cell r="S1197"/>
          <cell r="T1197">
            <v>44438</v>
          </cell>
          <cell r="U1197">
            <v>44440</v>
          </cell>
          <cell r="V1197">
            <v>44440</v>
          </cell>
          <cell r="W1197">
            <v>44440</v>
          </cell>
          <cell r="X1197">
            <v>41100329</v>
          </cell>
        </row>
        <row r="1198">
          <cell r="K1198" t="str">
            <v>GBWS-1512</v>
          </cell>
          <cell r="L1198">
            <v>44424</v>
          </cell>
          <cell r="M1198">
            <v>44425</v>
          </cell>
          <cell r="N1198">
            <v>44436</v>
          </cell>
          <cell r="O1198">
            <v>44425</v>
          </cell>
          <cell r="P1198">
            <v>44435</v>
          </cell>
          <cell r="Q1198" t="str">
            <v>2021-08-26 → 8/27</v>
          </cell>
          <cell r="R1198" t="str">
            <v>2021-08-26 → 8/27</v>
          </cell>
          <cell r="S1198"/>
          <cell r="T1198">
            <v>44438</v>
          </cell>
          <cell r="U1198">
            <v>44440</v>
          </cell>
          <cell r="V1198">
            <v>44440</v>
          </cell>
          <cell r="W1198">
            <v>44440</v>
          </cell>
          <cell r="X1198">
            <v>41100329</v>
          </cell>
        </row>
        <row r="1199">
          <cell r="K1199" t="str">
            <v>GBWS-1513</v>
          </cell>
          <cell r="L1199">
            <v>44424</v>
          </cell>
          <cell r="M1199">
            <v>44425</v>
          </cell>
          <cell r="N1199">
            <v>44436</v>
          </cell>
          <cell r="O1199">
            <v>44425</v>
          </cell>
          <cell r="P1199">
            <v>44435</v>
          </cell>
          <cell r="Q1199" t="str">
            <v>2021-08-26 → 8/27</v>
          </cell>
          <cell r="R1199" t="str">
            <v>2021-08-26 → 8/27</v>
          </cell>
          <cell r="S1199"/>
          <cell r="T1199">
            <v>44438</v>
          </cell>
          <cell r="U1199">
            <v>44439</v>
          </cell>
          <cell r="V1199">
            <v>44440</v>
          </cell>
          <cell r="W1199">
            <v>44440</v>
          </cell>
          <cell r="X1199">
            <v>41100331</v>
          </cell>
        </row>
        <row r="1200">
          <cell r="K1200" t="str">
            <v>DBW-2355</v>
          </cell>
          <cell r="L1200">
            <v>44424</v>
          </cell>
          <cell r="M1200">
            <v>44425</v>
          </cell>
          <cell r="N1200">
            <v>44433</v>
          </cell>
          <cell r="O1200">
            <v>44425</v>
          </cell>
          <cell r="P1200">
            <v>44434</v>
          </cell>
          <cell r="Q1200">
            <v>44434</v>
          </cell>
          <cell r="R1200">
            <v>44434</v>
          </cell>
          <cell r="S1200"/>
          <cell r="T1200">
            <v>44435</v>
          </cell>
          <cell r="U1200">
            <v>44438</v>
          </cell>
          <cell r="V1200">
            <v>44439</v>
          </cell>
          <cell r="W1200">
            <v>44439</v>
          </cell>
          <cell r="X1200">
            <v>41100170</v>
          </cell>
        </row>
        <row r="1201">
          <cell r="K1201" t="str">
            <v>GBWS-1489</v>
          </cell>
          <cell r="L1201">
            <v>44418</v>
          </cell>
          <cell r="M1201">
            <v>44419</v>
          </cell>
          <cell r="N1201">
            <v>44431</v>
          </cell>
          <cell r="O1201">
            <v>44419</v>
          </cell>
          <cell r="P1201">
            <v>44431</v>
          </cell>
          <cell r="Q1201">
            <v>44431</v>
          </cell>
          <cell r="R1201">
            <v>44431</v>
          </cell>
          <cell r="S1201"/>
          <cell r="T1201">
            <v>44432</v>
          </cell>
          <cell r="U1201">
            <v>44435</v>
          </cell>
          <cell r="V1201">
            <v>44438</v>
          </cell>
          <cell r="W1201">
            <v>44438</v>
          </cell>
          <cell r="X1201">
            <v>41100319</v>
          </cell>
        </row>
        <row r="1202">
          <cell r="K1202" t="str">
            <v>GBWS-1305</v>
          </cell>
          <cell r="L1202">
            <v>44356</v>
          </cell>
          <cell r="M1202">
            <v>44357</v>
          </cell>
          <cell r="N1202">
            <v>44371</v>
          </cell>
          <cell r="O1202">
            <v>44357</v>
          </cell>
          <cell r="P1202">
            <v>44372</v>
          </cell>
          <cell r="Q1202" t="str">
            <v>6/22 → 6/24</v>
          </cell>
          <cell r="R1202" t="str">
            <v>6/22 → 6/24</v>
          </cell>
          <cell r="S1202"/>
          <cell r="T1202">
            <v>44378</v>
          </cell>
          <cell r="U1202">
            <v>44406</v>
          </cell>
          <cell r="V1202">
            <v>44408</v>
          </cell>
          <cell r="W1202">
            <v>44410</v>
          </cell>
          <cell r="X1202">
            <v>41100293</v>
          </cell>
        </row>
        <row r="1203">
          <cell r="K1203" t="str">
            <v>GBWS-1241</v>
          </cell>
          <cell r="L1203">
            <v>44336</v>
          </cell>
          <cell r="M1203">
            <v>44337</v>
          </cell>
          <cell r="N1203">
            <v>44356</v>
          </cell>
          <cell r="O1203">
            <v>44337</v>
          </cell>
          <cell r="P1203">
            <v>44357</v>
          </cell>
          <cell r="Q1203" t="str">
            <v>6/8 → 6/9</v>
          </cell>
          <cell r="R1203" t="str">
            <v>6/8 → 6/9</v>
          </cell>
          <cell r="S1203"/>
          <cell r="T1203">
            <v>44378</v>
          </cell>
          <cell r="U1203">
            <v>44379</v>
          </cell>
          <cell r="V1203">
            <v>44383</v>
          </cell>
          <cell r="W1203">
            <v>44383</v>
          </cell>
          <cell r="X1203">
            <v>41100293</v>
          </cell>
        </row>
        <row r="1204">
          <cell r="K1204" t="str">
            <v>GBWS-1242</v>
          </cell>
          <cell r="L1204">
            <v>44336</v>
          </cell>
          <cell r="M1204">
            <v>44337</v>
          </cell>
          <cell r="N1204">
            <v>44356</v>
          </cell>
          <cell r="O1204">
            <v>44337</v>
          </cell>
          <cell r="P1204">
            <v>44357</v>
          </cell>
          <cell r="Q1204" t="str">
            <v>6/8 → 6/9</v>
          </cell>
          <cell r="R1204" t="str">
            <v>6/8 → 6/9</v>
          </cell>
          <cell r="S1204"/>
          <cell r="T1204">
            <v>44378</v>
          </cell>
          <cell r="U1204">
            <v>44382</v>
          </cell>
          <cell r="V1204">
            <v>44384</v>
          </cell>
          <cell r="W1204">
            <v>44384</v>
          </cell>
          <cell r="X1204">
            <v>41100293</v>
          </cell>
        </row>
        <row r="1205">
          <cell r="K1205" t="str">
            <v>DBW-2341</v>
          </cell>
          <cell r="L1205">
            <v>44420</v>
          </cell>
          <cell r="M1205">
            <v>44420</v>
          </cell>
          <cell r="N1205">
            <v>44432</v>
          </cell>
          <cell r="O1205">
            <v>44420</v>
          </cell>
          <cell r="P1205">
            <v>44432</v>
          </cell>
          <cell r="Q1205">
            <v>44432</v>
          </cell>
          <cell r="R1205">
            <v>44432</v>
          </cell>
          <cell r="S1205"/>
          <cell r="T1205">
            <v>44433</v>
          </cell>
          <cell r="U1205">
            <v>44435</v>
          </cell>
          <cell r="V1205">
            <v>44438</v>
          </cell>
          <cell r="W1205">
            <v>44438</v>
          </cell>
          <cell r="X1205" t="str">
            <v>41100070 → 41100392</v>
          </cell>
        </row>
        <row r="1206">
          <cell r="K1206" t="str">
            <v>GBWS-1458</v>
          </cell>
          <cell r="L1206">
            <v>44397</v>
          </cell>
          <cell r="M1206">
            <v>44398</v>
          </cell>
          <cell r="N1206">
            <v>44412</v>
          </cell>
          <cell r="O1206">
            <v>44398</v>
          </cell>
          <cell r="P1206">
            <v>44411</v>
          </cell>
          <cell r="Q1206" t="str">
            <v>8/3 → 8/5</v>
          </cell>
          <cell r="R1206" t="str">
            <v>8/3 → 8/5</v>
          </cell>
          <cell r="S1206"/>
          <cell r="T1206">
            <v>44417</v>
          </cell>
          <cell r="U1206">
            <v>44426</v>
          </cell>
          <cell r="V1206">
            <v>44427</v>
          </cell>
          <cell r="W1206">
            <v>44427</v>
          </cell>
          <cell r="X1206">
            <v>41100350</v>
          </cell>
        </row>
        <row r="1207">
          <cell r="K1207" t="str">
            <v>DBW-2349</v>
          </cell>
          <cell r="L1207">
            <v>44424</v>
          </cell>
          <cell r="M1207">
            <v>44425</v>
          </cell>
          <cell r="N1207">
            <v>44434</v>
          </cell>
          <cell r="O1207">
            <v>44425</v>
          </cell>
          <cell r="P1207">
            <v>44434</v>
          </cell>
          <cell r="Q1207">
            <v>44434</v>
          </cell>
          <cell r="R1207">
            <v>44434</v>
          </cell>
          <cell r="S1207"/>
          <cell r="T1207">
            <v>44435</v>
          </cell>
          <cell r="U1207">
            <v>44438</v>
          </cell>
          <cell r="V1207">
            <v>44439</v>
          </cell>
          <cell r="W1207">
            <v>44439</v>
          </cell>
          <cell r="X1207">
            <v>41100354</v>
          </cell>
        </row>
        <row r="1208">
          <cell r="K1208" t="str">
            <v>DBW-2350</v>
          </cell>
          <cell r="L1208">
            <v>44424</v>
          </cell>
          <cell r="M1208">
            <v>44425</v>
          </cell>
          <cell r="N1208">
            <v>44434</v>
          </cell>
          <cell r="O1208">
            <v>44425</v>
          </cell>
          <cell r="P1208">
            <v>44434</v>
          </cell>
          <cell r="Q1208">
            <v>44434</v>
          </cell>
          <cell r="R1208">
            <v>44434</v>
          </cell>
          <cell r="S1208"/>
          <cell r="T1208">
            <v>44435</v>
          </cell>
          <cell r="U1208">
            <v>44438</v>
          </cell>
          <cell r="V1208">
            <v>44439</v>
          </cell>
          <cell r="W1208">
            <v>44439</v>
          </cell>
          <cell r="X1208">
            <v>41100354</v>
          </cell>
        </row>
        <row r="1209">
          <cell r="K1209" t="str">
            <v>DBW-2351</v>
          </cell>
          <cell r="L1209">
            <v>44424</v>
          </cell>
          <cell r="M1209">
            <v>44425</v>
          </cell>
          <cell r="N1209">
            <v>44434</v>
          </cell>
          <cell r="O1209">
            <v>44425</v>
          </cell>
          <cell r="P1209">
            <v>44434</v>
          </cell>
          <cell r="Q1209">
            <v>44434</v>
          </cell>
          <cell r="R1209">
            <v>44434</v>
          </cell>
          <cell r="S1209"/>
          <cell r="T1209">
            <v>44435</v>
          </cell>
          <cell r="U1209">
            <v>44438</v>
          </cell>
          <cell r="V1209">
            <v>44439</v>
          </cell>
          <cell r="W1209">
            <v>44439</v>
          </cell>
          <cell r="X1209">
            <v>41100354</v>
          </cell>
        </row>
        <row r="1210">
          <cell r="K1210" t="str">
            <v>DBW-2352</v>
          </cell>
          <cell r="L1210">
            <v>44424</v>
          </cell>
          <cell r="M1210">
            <v>44425</v>
          </cell>
          <cell r="N1210">
            <v>44434</v>
          </cell>
          <cell r="O1210">
            <v>44425</v>
          </cell>
          <cell r="P1210">
            <v>44434</v>
          </cell>
          <cell r="Q1210">
            <v>44434</v>
          </cell>
          <cell r="R1210">
            <v>44434</v>
          </cell>
          <cell r="S1210"/>
          <cell r="T1210">
            <v>44435</v>
          </cell>
          <cell r="U1210">
            <v>44438</v>
          </cell>
          <cell r="V1210">
            <v>44439</v>
          </cell>
          <cell r="W1210">
            <v>44439</v>
          </cell>
          <cell r="X1210">
            <v>41100354</v>
          </cell>
        </row>
        <row r="1211">
          <cell r="K1211" t="str">
            <v>DBW-2353</v>
          </cell>
          <cell r="L1211">
            <v>44424</v>
          </cell>
          <cell r="M1211">
            <v>44425</v>
          </cell>
          <cell r="N1211">
            <v>44434</v>
          </cell>
          <cell r="O1211">
            <v>44425</v>
          </cell>
          <cell r="P1211">
            <v>44434</v>
          </cell>
          <cell r="Q1211">
            <v>44434</v>
          </cell>
          <cell r="R1211">
            <v>44434</v>
          </cell>
          <cell r="S1211"/>
          <cell r="T1211">
            <v>44435</v>
          </cell>
          <cell r="U1211">
            <v>44440</v>
          </cell>
          <cell r="V1211">
            <v>44441</v>
          </cell>
          <cell r="W1211">
            <v>44441</v>
          </cell>
          <cell r="X1211">
            <v>41100359</v>
          </cell>
        </row>
        <row r="1212">
          <cell r="K1212" t="str">
            <v>DBW-2354</v>
          </cell>
          <cell r="L1212">
            <v>44424</v>
          </cell>
          <cell r="M1212">
            <v>44425</v>
          </cell>
          <cell r="N1212">
            <v>44434</v>
          </cell>
          <cell r="O1212">
            <v>44425</v>
          </cell>
          <cell r="P1212">
            <v>44434</v>
          </cell>
          <cell r="Q1212">
            <v>44434</v>
          </cell>
          <cell r="R1212">
            <v>44434</v>
          </cell>
          <cell r="S1212"/>
          <cell r="T1212">
            <v>44435</v>
          </cell>
          <cell r="U1212">
            <v>44440</v>
          </cell>
          <cell r="V1212">
            <v>44441</v>
          </cell>
          <cell r="W1212">
            <v>44441</v>
          </cell>
          <cell r="X1212">
            <v>41100359</v>
          </cell>
        </row>
        <row r="1213">
          <cell r="K1213" t="str">
            <v>AWS-0004</v>
          </cell>
          <cell r="L1213">
            <v>44421</v>
          </cell>
          <cell r="M1213" t="str">
            <v>7/16 → 8/13</v>
          </cell>
          <cell r="N1213">
            <v>44428</v>
          </cell>
          <cell r="O1213" t="str">
            <v>7/16 → 8/13</v>
          </cell>
          <cell r="P1213">
            <v>44428</v>
          </cell>
          <cell r="Q1213" t="str">
            <v>7/24 → 8/20</v>
          </cell>
          <cell r="R1213" t="str">
            <v>7/24 → 8/20</v>
          </cell>
          <cell r="S1213"/>
          <cell r="T1213">
            <v>44431</v>
          </cell>
          <cell r="U1213">
            <v>44438</v>
          </cell>
          <cell r="V1213">
            <v>44440</v>
          </cell>
          <cell r="W1213">
            <v>44441</v>
          </cell>
          <cell r="X1213">
            <v>41100382</v>
          </cell>
        </row>
        <row r="1214">
          <cell r="K1214" t="str">
            <v>DBW-2347</v>
          </cell>
          <cell r="L1214">
            <v>44420</v>
          </cell>
          <cell r="M1214">
            <v>44420</v>
          </cell>
          <cell r="N1214">
            <v>44428</v>
          </cell>
          <cell r="O1214">
            <v>44420</v>
          </cell>
          <cell r="P1214">
            <v>44428</v>
          </cell>
          <cell r="Q1214" t="str">
            <v>2021-08-19 → 8/21</v>
          </cell>
          <cell r="R1214" t="str">
            <v>2021-08-19 → 8/21</v>
          </cell>
          <cell r="S1214"/>
          <cell r="T1214">
            <v>44431</v>
          </cell>
          <cell r="U1214">
            <v>44432</v>
          </cell>
          <cell r="V1214">
            <v>44435</v>
          </cell>
          <cell r="W1214">
            <v>44435</v>
          </cell>
          <cell r="X1214">
            <v>41100258</v>
          </cell>
        </row>
        <row r="1215">
          <cell r="K1215" t="str">
            <v>DBW-2348</v>
          </cell>
          <cell r="L1215">
            <v>44420</v>
          </cell>
          <cell r="M1215">
            <v>44420</v>
          </cell>
          <cell r="N1215">
            <v>44428</v>
          </cell>
          <cell r="O1215">
            <v>44420</v>
          </cell>
          <cell r="P1215">
            <v>44428</v>
          </cell>
          <cell r="Q1215">
            <v>44432</v>
          </cell>
          <cell r="R1215">
            <v>44432</v>
          </cell>
          <cell r="S1215"/>
          <cell r="T1215">
            <v>44431</v>
          </cell>
          <cell r="U1215">
            <v>44432</v>
          </cell>
          <cell r="V1215">
            <v>44435</v>
          </cell>
          <cell r="W1215">
            <v>44435</v>
          </cell>
          <cell r="X1215">
            <v>41100258</v>
          </cell>
        </row>
        <row r="1216">
          <cell r="K1216" t="str">
            <v>SOS-0248</v>
          </cell>
          <cell r="L1216">
            <v>44428</v>
          </cell>
          <cell r="M1216">
            <v>44428</v>
          </cell>
          <cell r="N1216">
            <v>44433</v>
          </cell>
          <cell r="O1216">
            <v>44428</v>
          </cell>
          <cell r="P1216">
            <v>44433</v>
          </cell>
          <cell r="Q1216" t="str">
            <v>2021-08-24 → 8/25</v>
          </cell>
          <cell r="R1216" t="str">
            <v>2021-08-24 → 8/25</v>
          </cell>
          <cell r="S1216"/>
          <cell r="T1216">
            <v>44433</v>
          </cell>
          <cell r="U1216">
            <v>44434</v>
          </cell>
          <cell r="V1216">
            <v>44435</v>
          </cell>
          <cell r="W1216">
            <v>44435</v>
          </cell>
          <cell r="X1216">
            <v>41100215</v>
          </cell>
        </row>
        <row r="1217">
          <cell r="K1217" t="str">
            <v>SOS-0249</v>
          </cell>
          <cell r="L1217">
            <v>44428</v>
          </cell>
          <cell r="M1217">
            <v>44428</v>
          </cell>
          <cell r="N1217">
            <v>44433</v>
          </cell>
          <cell r="O1217">
            <v>44428</v>
          </cell>
          <cell r="P1217">
            <v>44433</v>
          </cell>
          <cell r="Q1217" t="str">
            <v>2021-08-24 → 8/25</v>
          </cell>
          <cell r="R1217" t="str">
            <v>2021-08-24 → 8/25</v>
          </cell>
          <cell r="S1217"/>
          <cell r="T1217">
            <v>44433</v>
          </cell>
          <cell r="U1217">
            <v>44434</v>
          </cell>
          <cell r="V1217">
            <v>44435</v>
          </cell>
          <cell r="W1217">
            <v>44435</v>
          </cell>
          <cell r="X1217">
            <v>41100215</v>
          </cell>
        </row>
        <row r="1218">
          <cell r="K1218" t="str">
            <v>DBW-2343</v>
          </cell>
          <cell r="L1218">
            <v>44420</v>
          </cell>
          <cell r="M1218">
            <v>44420</v>
          </cell>
          <cell r="N1218">
            <v>44432</v>
          </cell>
          <cell r="O1218">
            <v>44420</v>
          </cell>
          <cell r="P1218">
            <v>44431</v>
          </cell>
          <cell r="Q1218">
            <v>44431</v>
          </cell>
          <cell r="R1218">
            <v>44431</v>
          </cell>
          <cell r="S1218"/>
          <cell r="T1218">
            <v>44433</v>
          </cell>
          <cell r="U1218">
            <v>44434</v>
          </cell>
          <cell r="V1218">
            <v>44435</v>
          </cell>
          <cell r="W1218">
            <v>44435</v>
          </cell>
          <cell r="X1218">
            <v>41100261</v>
          </cell>
        </row>
        <row r="1219">
          <cell r="K1219" t="str">
            <v>SOS-0247</v>
          </cell>
          <cell r="L1219">
            <v>44421</v>
          </cell>
          <cell r="M1219">
            <v>44426</v>
          </cell>
          <cell r="N1219">
            <v>44428</v>
          </cell>
          <cell r="O1219">
            <v>44426</v>
          </cell>
          <cell r="P1219">
            <v>44428</v>
          </cell>
          <cell r="Q1219">
            <v>44428</v>
          </cell>
          <cell r="R1219">
            <v>44428</v>
          </cell>
          <cell r="S1219"/>
          <cell r="T1219">
            <v>44432</v>
          </cell>
          <cell r="U1219">
            <v>44432</v>
          </cell>
          <cell r="V1219">
            <v>44433</v>
          </cell>
          <cell r="W1219">
            <v>44433</v>
          </cell>
          <cell r="X1219">
            <v>41100299</v>
          </cell>
        </row>
        <row r="1220">
          <cell r="K1220" t="str">
            <v>GBWS-1506</v>
          </cell>
          <cell r="L1220">
            <v>44420</v>
          </cell>
          <cell r="M1220">
            <v>44420</v>
          </cell>
          <cell r="N1220">
            <v>44433</v>
          </cell>
          <cell r="O1220">
            <v>44420</v>
          </cell>
          <cell r="P1220">
            <v>44433</v>
          </cell>
          <cell r="Q1220">
            <v>44433</v>
          </cell>
          <cell r="R1220">
            <v>44433</v>
          </cell>
          <cell r="S1220"/>
          <cell r="T1220">
            <v>44433</v>
          </cell>
          <cell r="U1220">
            <v>44435</v>
          </cell>
          <cell r="V1220">
            <v>44438</v>
          </cell>
          <cell r="W1220">
            <v>44438</v>
          </cell>
          <cell r="X1220">
            <v>41100388</v>
          </cell>
        </row>
        <row r="1221">
          <cell r="K1221" t="str">
            <v>GBWS-1488</v>
          </cell>
          <cell r="L1221">
            <v>44417</v>
          </cell>
          <cell r="M1221">
            <v>44418</v>
          </cell>
          <cell r="N1221">
            <v>44430</v>
          </cell>
          <cell r="O1221">
            <v>44418</v>
          </cell>
          <cell r="P1221">
            <v>44428</v>
          </cell>
          <cell r="Q1221">
            <v>44427</v>
          </cell>
          <cell r="R1221">
            <v>44427</v>
          </cell>
          <cell r="S1221"/>
          <cell r="T1221">
            <v>44445</v>
          </cell>
          <cell r="U1221">
            <v>44445</v>
          </cell>
          <cell r="V1221">
            <v>44446</v>
          </cell>
          <cell r="W1221">
            <v>44446</v>
          </cell>
          <cell r="X1221">
            <v>41100386</v>
          </cell>
        </row>
        <row r="1222">
          <cell r="K1222" t="str">
            <v>GBWS-1495</v>
          </cell>
          <cell r="L1222">
            <v>44420</v>
          </cell>
          <cell r="M1222">
            <v>44420</v>
          </cell>
          <cell r="N1222">
            <v>44436</v>
          </cell>
          <cell r="O1222">
            <v>44420</v>
          </cell>
          <cell r="P1222">
            <v>44438</v>
          </cell>
          <cell r="Q1222">
            <v>44435</v>
          </cell>
          <cell r="R1222">
            <v>44435</v>
          </cell>
          <cell r="S1222"/>
          <cell r="T1222">
            <v>44439</v>
          </cell>
          <cell r="U1222">
            <v>44440</v>
          </cell>
          <cell r="V1222">
            <v>44441</v>
          </cell>
          <cell r="W1222">
            <v>44441</v>
          </cell>
          <cell r="X1222">
            <v>41100093</v>
          </cell>
        </row>
        <row r="1223">
          <cell r="K1223" t="str">
            <v>GBWS-1497</v>
          </cell>
          <cell r="L1223">
            <v>44420</v>
          </cell>
          <cell r="M1223">
            <v>44420</v>
          </cell>
          <cell r="N1223">
            <v>44436</v>
          </cell>
          <cell r="O1223">
            <v>44420</v>
          </cell>
          <cell r="P1223">
            <v>44438</v>
          </cell>
          <cell r="Q1223">
            <v>44435</v>
          </cell>
          <cell r="R1223">
            <v>44435</v>
          </cell>
          <cell r="S1223"/>
          <cell r="T1223">
            <v>44439</v>
          </cell>
          <cell r="U1223">
            <v>44440</v>
          </cell>
          <cell r="V1223">
            <v>44441</v>
          </cell>
          <cell r="W1223">
            <v>44441</v>
          </cell>
          <cell r="X1223">
            <v>41100093</v>
          </cell>
        </row>
        <row r="1224">
          <cell r="K1224" t="str">
            <v>GBWS-1516</v>
          </cell>
          <cell r="L1224">
            <v>44428</v>
          </cell>
          <cell r="M1224">
            <v>44428</v>
          </cell>
          <cell r="N1224">
            <v>44441</v>
          </cell>
          <cell r="O1224">
            <v>44428</v>
          </cell>
          <cell r="P1224">
            <v>44442</v>
          </cell>
          <cell r="Q1224" t="str">
            <v>2021-08-31 → 9/2</v>
          </cell>
          <cell r="R1224" t="str">
            <v>2021-08-31 → 9/2</v>
          </cell>
          <cell r="S1224"/>
          <cell r="T1224">
            <v>44445</v>
          </cell>
          <cell r="U1224">
            <v>44446</v>
          </cell>
          <cell r="V1224">
            <v>44447</v>
          </cell>
          <cell r="W1224">
            <v>44447</v>
          </cell>
          <cell r="X1224">
            <v>41100090</v>
          </cell>
        </row>
        <row r="1225">
          <cell r="K1225" t="str">
            <v>GBWS-1498</v>
          </cell>
          <cell r="L1225">
            <v>44420</v>
          </cell>
          <cell r="M1225">
            <v>44420</v>
          </cell>
          <cell r="N1225">
            <v>44439</v>
          </cell>
          <cell r="O1225">
            <v>44420</v>
          </cell>
          <cell r="P1225">
            <v>44438</v>
          </cell>
          <cell r="Q1225" t="str">
            <v>2021-08-27 → 8/29</v>
          </cell>
          <cell r="R1225" t="str">
            <v>2021-08-27 → 8/29</v>
          </cell>
          <cell r="S1225"/>
          <cell r="T1225">
            <v>44440</v>
          </cell>
          <cell r="U1225">
            <v>44440</v>
          </cell>
          <cell r="V1225">
            <v>44441</v>
          </cell>
          <cell r="W1225">
            <v>44441</v>
          </cell>
          <cell r="X1225">
            <v>41100090</v>
          </cell>
        </row>
        <row r="1226">
          <cell r="K1226" t="str">
            <v>GBWS-1499</v>
          </cell>
          <cell r="L1226">
            <v>44420</v>
          </cell>
          <cell r="M1226">
            <v>44420</v>
          </cell>
          <cell r="N1226">
            <v>44439</v>
          </cell>
          <cell r="O1226">
            <v>44420</v>
          </cell>
          <cell r="P1226">
            <v>44438</v>
          </cell>
          <cell r="Q1226" t="str">
            <v>2021-08-27 → 8/29</v>
          </cell>
          <cell r="R1226" t="str">
            <v>2021-08-27 → 8/29</v>
          </cell>
          <cell r="S1226"/>
          <cell r="T1226">
            <v>44440</v>
          </cell>
          <cell r="U1226">
            <v>44441</v>
          </cell>
          <cell r="V1226">
            <v>44442</v>
          </cell>
          <cell r="W1226">
            <v>44442</v>
          </cell>
          <cell r="X1226">
            <v>41100090</v>
          </cell>
        </row>
        <row r="1227">
          <cell r="K1227" t="str">
            <v>GBWS-1500</v>
          </cell>
          <cell r="L1227">
            <v>44420</v>
          </cell>
          <cell r="M1227">
            <v>44420</v>
          </cell>
          <cell r="N1227">
            <v>44439</v>
          </cell>
          <cell r="O1227">
            <v>44420</v>
          </cell>
          <cell r="P1227">
            <v>44438</v>
          </cell>
          <cell r="Q1227" t="str">
            <v>2021-08-27 → 8/29</v>
          </cell>
          <cell r="R1227" t="str">
            <v>2021-08-27 → 8/29</v>
          </cell>
          <cell r="S1227"/>
          <cell r="T1227">
            <v>44440</v>
          </cell>
          <cell r="U1227">
            <v>44441</v>
          </cell>
          <cell r="V1227">
            <v>44442</v>
          </cell>
          <cell r="W1227">
            <v>44442</v>
          </cell>
          <cell r="X1227">
            <v>41100090</v>
          </cell>
        </row>
        <row r="1228">
          <cell r="K1228" t="str">
            <v>GBWS-1501</v>
          </cell>
          <cell r="L1228">
            <v>44420</v>
          </cell>
          <cell r="M1228">
            <v>44420</v>
          </cell>
          <cell r="N1228">
            <v>44439</v>
          </cell>
          <cell r="O1228">
            <v>44420</v>
          </cell>
          <cell r="P1228">
            <v>44438</v>
          </cell>
          <cell r="Q1228" t="str">
            <v>2021-08-27 → 8/29</v>
          </cell>
          <cell r="R1228" t="str">
            <v>2021-08-27 → 8/29</v>
          </cell>
          <cell r="S1228"/>
          <cell r="T1228">
            <v>44440</v>
          </cell>
          <cell r="U1228">
            <v>44441</v>
          </cell>
          <cell r="V1228">
            <v>44442</v>
          </cell>
          <cell r="W1228">
            <v>44442</v>
          </cell>
          <cell r="X1228">
            <v>41100090</v>
          </cell>
        </row>
        <row r="1229">
          <cell r="K1229" t="str">
            <v>GBWS-1502</v>
          </cell>
          <cell r="L1229">
            <v>44420</v>
          </cell>
          <cell r="M1229">
            <v>44420</v>
          </cell>
          <cell r="N1229">
            <v>44439</v>
          </cell>
          <cell r="O1229">
            <v>44420</v>
          </cell>
          <cell r="P1229">
            <v>44438</v>
          </cell>
          <cell r="Q1229" t="str">
            <v>2021-08-27 → 8/31</v>
          </cell>
          <cell r="R1229" t="str">
            <v>2021-08-27 → 8/31</v>
          </cell>
          <cell r="S1229"/>
          <cell r="T1229">
            <v>44440</v>
          </cell>
          <cell r="U1229">
            <v>44441</v>
          </cell>
          <cell r="V1229">
            <v>44442</v>
          </cell>
          <cell r="W1229">
            <v>44442</v>
          </cell>
          <cell r="X1229">
            <v>41100090</v>
          </cell>
        </row>
        <row r="1230">
          <cell r="K1230" t="str">
            <v>GBWS-1503</v>
          </cell>
          <cell r="L1230">
            <v>44420</v>
          </cell>
          <cell r="M1230">
            <v>44420</v>
          </cell>
          <cell r="N1230">
            <v>44439</v>
          </cell>
          <cell r="O1230">
            <v>44420</v>
          </cell>
          <cell r="P1230">
            <v>44438</v>
          </cell>
          <cell r="Q1230" t="str">
            <v>2021-08-27 → 8/31</v>
          </cell>
          <cell r="R1230" t="str">
            <v>2021-08-27 → 8/31</v>
          </cell>
          <cell r="S1230"/>
          <cell r="T1230">
            <v>44441</v>
          </cell>
          <cell r="U1230">
            <v>44442</v>
          </cell>
          <cell r="V1230">
            <v>44445</v>
          </cell>
          <cell r="W1230">
            <v>44445</v>
          </cell>
          <cell r="X1230">
            <v>41100090</v>
          </cell>
        </row>
        <row r="1231">
          <cell r="K1231" t="str">
            <v>GBWS-1504</v>
          </cell>
          <cell r="L1231">
            <v>44420</v>
          </cell>
          <cell r="M1231">
            <v>44420</v>
          </cell>
          <cell r="N1231">
            <v>44439</v>
          </cell>
          <cell r="O1231">
            <v>44420</v>
          </cell>
          <cell r="P1231">
            <v>44438</v>
          </cell>
          <cell r="Q1231" t="str">
            <v>2021-08-27 → 8/31</v>
          </cell>
          <cell r="R1231" t="str">
            <v>2021-08-27 → 8/31</v>
          </cell>
          <cell r="S1231"/>
          <cell r="T1231">
            <v>44441</v>
          </cell>
          <cell r="U1231">
            <v>44442</v>
          </cell>
          <cell r="V1231">
            <v>44445</v>
          </cell>
          <cell r="W1231">
            <v>44445</v>
          </cell>
          <cell r="X1231">
            <v>41100090</v>
          </cell>
        </row>
        <row r="1232">
          <cell r="K1232" t="str">
            <v>GBWS-1505</v>
          </cell>
          <cell r="L1232">
            <v>44420</v>
          </cell>
          <cell r="M1232">
            <v>44420</v>
          </cell>
          <cell r="N1232">
            <v>44439</v>
          </cell>
          <cell r="O1232">
            <v>44420</v>
          </cell>
          <cell r="P1232">
            <v>44438</v>
          </cell>
          <cell r="Q1232" t="str">
            <v>2021-08-27 → 8/31</v>
          </cell>
          <cell r="R1232" t="str">
            <v>2021-08-27 → 8/31</v>
          </cell>
          <cell r="S1232"/>
          <cell r="T1232">
            <v>44440</v>
          </cell>
          <cell r="U1232">
            <v>44442</v>
          </cell>
          <cell r="V1232">
            <v>44445</v>
          </cell>
          <cell r="W1232">
            <v>44445</v>
          </cell>
          <cell r="X1232">
            <v>41100090</v>
          </cell>
        </row>
        <row r="1233">
          <cell r="K1233" t="str">
            <v>SOS-0246</v>
          </cell>
          <cell r="L1233">
            <v>44421</v>
          </cell>
          <cell r="M1233">
            <v>44426</v>
          </cell>
          <cell r="N1233">
            <v>44428</v>
          </cell>
          <cell r="O1233">
            <v>44426</v>
          </cell>
          <cell r="P1233">
            <v>44428</v>
          </cell>
          <cell r="Q1233">
            <v>44432</v>
          </cell>
          <cell r="R1233">
            <v>44432</v>
          </cell>
          <cell r="S1233"/>
          <cell r="T1233">
            <v>44432</v>
          </cell>
          <cell r="U1233">
            <v>44432</v>
          </cell>
          <cell r="V1233">
            <v>44433</v>
          </cell>
          <cell r="W1233">
            <v>44433</v>
          </cell>
          <cell r="X1233">
            <v>41100182</v>
          </cell>
        </row>
        <row r="1234">
          <cell r="K1234" t="str">
            <v>DBW-2332</v>
          </cell>
          <cell r="L1234">
            <v>44406</v>
          </cell>
          <cell r="M1234">
            <v>44407</v>
          </cell>
          <cell r="N1234">
            <v>44418</v>
          </cell>
          <cell r="O1234">
            <v>44407</v>
          </cell>
          <cell r="P1234">
            <v>44418</v>
          </cell>
          <cell r="Q1234">
            <v>44419</v>
          </cell>
          <cell r="R1234">
            <v>44419</v>
          </cell>
          <cell r="S1234"/>
          <cell r="T1234">
            <v>44419</v>
          </cell>
          <cell r="U1234">
            <v>44421</v>
          </cell>
          <cell r="V1234">
            <v>44425</v>
          </cell>
          <cell r="W1234">
            <v>44425</v>
          </cell>
          <cell r="X1234">
            <v>41100310</v>
          </cell>
        </row>
        <row r="1235">
          <cell r="K1235" t="str">
            <v>GBWS-1483</v>
          </cell>
          <cell r="L1235">
            <v>44411</v>
          </cell>
          <cell r="M1235">
            <v>44412</v>
          </cell>
          <cell r="N1235">
            <v>44425</v>
          </cell>
          <cell r="O1235">
            <v>44412</v>
          </cell>
          <cell r="P1235">
            <v>44420</v>
          </cell>
          <cell r="Q1235">
            <v>44425</v>
          </cell>
          <cell r="R1235">
            <v>44425</v>
          </cell>
          <cell r="S1235"/>
          <cell r="T1235">
            <v>44425</v>
          </cell>
          <cell r="U1235">
            <v>44432</v>
          </cell>
          <cell r="V1235">
            <v>44434</v>
          </cell>
          <cell r="W1235">
            <v>44434</v>
          </cell>
          <cell r="X1235">
            <v>41100318</v>
          </cell>
        </row>
        <row r="1236">
          <cell r="K1236" t="str">
            <v>GBWS-1472</v>
          </cell>
          <cell r="L1236">
            <v>44403</v>
          </cell>
          <cell r="M1236">
            <v>44404</v>
          </cell>
          <cell r="N1236">
            <v>44417</v>
          </cell>
          <cell r="O1236">
            <v>44404</v>
          </cell>
          <cell r="P1236">
            <v>44417</v>
          </cell>
          <cell r="Q1236" t="str">
            <v>8/6 → 8/9</v>
          </cell>
          <cell r="R1236" t="str">
            <v>8/6 → 8/9</v>
          </cell>
          <cell r="S1236"/>
          <cell r="T1236">
            <v>44418</v>
          </cell>
          <cell r="U1236">
            <v>44421</v>
          </cell>
          <cell r="V1236">
            <v>44421</v>
          </cell>
          <cell r="W1236">
            <v>44421</v>
          </cell>
          <cell r="X1236">
            <v>41100293</v>
          </cell>
        </row>
        <row r="1237">
          <cell r="K1237" t="str">
            <v>GBWS-1514</v>
          </cell>
          <cell r="L1237">
            <v>44428</v>
          </cell>
          <cell r="M1237">
            <v>44428</v>
          </cell>
          <cell r="N1237">
            <v>44441</v>
          </cell>
          <cell r="O1237">
            <v>44428</v>
          </cell>
          <cell r="P1237">
            <v>44444</v>
          </cell>
          <cell r="Q1237" t="str">
            <v>2021-09-01 → 9/4</v>
          </cell>
          <cell r="R1237" t="str">
            <v>2021-09-01 → 9/4</v>
          </cell>
          <cell r="S1237"/>
          <cell r="T1237">
            <v>44445</v>
          </cell>
          <cell r="U1237">
            <v>44446</v>
          </cell>
          <cell r="V1237">
            <v>44446</v>
          </cell>
          <cell r="W1237">
            <v>44446</v>
          </cell>
          <cell r="X1237">
            <v>41100168</v>
          </cell>
        </row>
        <row r="1238">
          <cell r="K1238" t="str">
            <v>GBWS-1515</v>
          </cell>
          <cell r="L1238">
            <v>44428</v>
          </cell>
          <cell r="M1238">
            <v>44428</v>
          </cell>
          <cell r="N1238">
            <v>44441</v>
          </cell>
          <cell r="O1238">
            <v>44428</v>
          </cell>
          <cell r="P1238">
            <v>44444</v>
          </cell>
          <cell r="Q1238" t="str">
            <v>2021-09-01 → 9/4</v>
          </cell>
          <cell r="R1238" t="str">
            <v>2021-09-01 → 9/4</v>
          </cell>
          <cell r="S1238"/>
          <cell r="T1238">
            <v>44445</v>
          </cell>
          <cell r="U1238">
            <v>44446</v>
          </cell>
          <cell r="V1238">
            <v>44446</v>
          </cell>
          <cell r="W1238">
            <v>44446</v>
          </cell>
          <cell r="X1238">
            <v>41100168</v>
          </cell>
        </row>
        <row r="1239">
          <cell r="K1239" t="str">
            <v>GBWS-1508</v>
          </cell>
          <cell r="L1239">
            <v>44425</v>
          </cell>
          <cell r="M1239">
            <v>44425</v>
          </cell>
          <cell r="N1239">
            <v>44434</v>
          </cell>
          <cell r="O1239">
            <v>44425</v>
          </cell>
          <cell r="P1239">
            <v>44434</v>
          </cell>
          <cell r="Q1239">
            <v>44434</v>
          </cell>
          <cell r="R1239">
            <v>44434</v>
          </cell>
          <cell r="S1239"/>
          <cell r="T1239">
            <v>44438</v>
          </cell>
          <cell r="U1239">
            <v>44441</v>
          </cell>
          <cell r="V1239">
            <v>44442</v>
          </cell>
          <cell r="W1239">
            <v>44442</v>
          </cell>
          <cell r="X1239">
            <v>41100250</v>
          </cell>
        </row>
        <row r="1240">
          <cell r="K1240" t="str">
            <v>GBWS-1482</v>
          </cell>
          <cell r="L1240">
            <v>44411</v>
          </cell>
          <cell r="M1240">
            <v>44412</v>
          </cell>
          <cell r="N1240">
            <v>44425</v>
          </cell>
          <cell r="O1240">
            <v>44412</v>
          </cell>
          <cell r="P1240">
            <v>44426</v>
          </cell>
          <cell r="Q1240">
            <v>44425</v>
          </cell>
          <cell r="R1240">
            <v>44425</v>
          </cell>
          <cell r="S1240"/>
          <cell r="T1240">
            <v>44426</v>
          </cell>
          <cell r="U1240">
            <v>44434</v>
          </cell>
          <cell r="V1240">
            <v>44435</v>
          </cell>
          <cell r="W1240">
            <v>44435</v>
          </cell>
          <cell r="X1240">
            <v>41100350</v>
          </cell>
        </row>
        <row r="1241">
          <cell r="K1241" t="str">
            <v>GBWS-1519</v>
          </cell>
          <cell r="L1241">
            <v>44432</v>
          </cell>
          <cell r="M1241">
            <v>44432</v>
          </cell>
          <cell r="N1241">
            <v>44441</v>
          </cell>
          <cell r="O1241">
            <v>44432</v>
          </cell>
          <cell r="P1241">
            <v>44440</v>
          </cell>
          <cell r="Q1241">
            <v>44441</v>
          </cell>
          <cell r="R1241">
            <v>44441</v>
          </cell>
          <cell r="S1241"/>
          <cell r="T1241">
            <v>44442</v>
          </cell>
          <cell r="U1241">
            <v>44445</v>
          </cell>
          <cell r="V1241">
            <v>44446</v>
          </cell>
          <cell r="W1241">
            <v>44446</v>
          </cell>
          <cell r="X1241">
            <v>41100390</v>
          </cell>
        </row>
        <row r="1242">
          <cell r="K1242" t="str">
            <v>IVAS-086</v>
          </cell>
          <cell r="L1242">
            <v>44420</v>
          </cell>
          <cell r="M1242">
            <v>44420</v>
          </cell>
          <cell r="N1242">
            <v>44433</v>
          </cell>
          <cell r="O1242">
            <v>44420</v>
          </cell>
          <cell r="P1242">
            <v>44436</v>
          </cell>
          <cell r="Q1242" t="str">
            <v>2021-08-25 → 8/26</v>
          </cell>
          <cell r="R1242" t="str">
            <v>2021-08-25 → 8/26</v>
          </cell>
          <cell r="S1242"/>
          <cell r="T1242">
            <v>44438</v>
          </cell>
          <cell r="U1242">
            <v>44446</v>
          </cell>
          <cell r="V1242">
            <v>44447</v>
          </cell>
          <cell r="W1242">
            <v>44450</v>
          </cell>
          <cell r="X1242">
            <v>41100273</v>
          </cell>
        </row>
        <row r="1243">
          <cell r="K1243" t="str">
            <v>IVAS-087</v>
          </cell>
          <cell r="L1243">
            <v>44425</v>
          </cell>
          <cell r="M1243">
            <v>44425</v>
          </cell>
          <cell r="N1243">
            <v>44435</v>
          </cell>
          <cell r="O1243">
            <v>44425</v>
          </cell>
          <cell r="P1243">
            <v>44438</v>
          </cell>
          <cell r="Q1243">
            <v>44435</v>
          </cell>
          <cell r="R1243">
            <v>44435</v>
          </cell>
          <cell r="S1243"/>
          <cell r="T1243">
            <v>44439</v>
          </cell>
          <cell r="U1243">
            <v>44447</v>
          </cell>
          <cell r="V1243">
            <v>44448</v>
          </cell>
          <cell r="W1243">
            <v>44450</v>
          </cell>
          <cell r="X1243">
            <v>41100290</v>
          </cell>
        </row>
        <row r="1244">
          <cell r="K1244" t="str">
            <v>GBWS-1306</v>
          </cell>
          <cell r="L1244">
            <v>44356</v>
          </cell>
          <cell r="M1244">
            <v>44357</v>
          </cell>
          <cell r="N1244">
            <v>44371</v>
          </cell>
          <cell r="O1244">
            <v>44357</v>
          </cell>
          <cell r="P1244">
            <v>44372</v>
          </cell>
          <cell r="Q1244" t="str">
            <v>6/22 → 6/24</v>
          </cell>
          <cell r="R1244" t="str">
            <v>6/22 → 6/24</v>
          </cell>
          <cell r="S1244"/>
          <cell r="T1244">
            <v>44378</v>
          </cell>
          <cell r="U1244">
            <v>44406</v>
          </cell>
          <cell r="V1244">
            <v>44408</v>
          </cell>
          <cell r="W1244">
            <v>44410</v>
          </cell>
          <cell r="X1244">
            <v>41100293</v>
          </cell>
        </row>
        <row r="1245">
          <cell r="K1245" t="str">
            <v>GBWS-1493</v>
          </cell>
          <cell r="L1245">
            <v>44418</v>
          </cell>
          <cell r="M1245">
            <v>44419</v>
          </cell>
          <cell r="N1245">
            <v>44431</v>
          </cell>
          <cell r="O1245">
            <v>44419</v>
          </cell>
          <cell r="P1245">
            <v>44432</v>
          </cell>
          <cell r="Q1245">
            <v>44432</v>
          </cell>
          <cell r="R1245">
            <v>44432</v>
          </cell>
          <cell r="S1245"/>
          <cell r="T1245">
            <v>44432</v>
          </cell>
          <cell r="U1245">
            <v>44435</v>
          </cell>
          <cell r="V1245">
            <v>44438</v>
          </cell>
          <cell r="W1245">
            <v>44438</v>
          </cell>
          <cell r="X1245">
            <v>41100293</v>
          </cell>
        </row>
        <row r="1246">
          <cell r="K1246" t="str">
            <v>GBA-0087</v>
          </cell>
          <cell r="L1246">
            <v>44416</v>
          </cell>
          <cell r="M1246">
            <v>44417</v>
          </cell>
          <cell r="N1246">
            <v>44431</v>
          </cell>
          <cell r="O1246">
            <v>44417</v>
          </cell>
          <cell r="P1246">
            <v>44432</v>
          </cell>
          <cell r="Q1246">
            <v>44432</v>
          </cell>
          <cell r="R1246">
            <v>44432</v>
          </cell>
          <cell r="S1246"/>
          <cell r="T1246">
            <v>44434</v>
          </cell>
          <cell r="U1246">
            <v>44438</v>
          </cell>
          <cell r="V1246">
            <v>44440</v>
          </cell>
          <cell r="W1246">
            <v>44440</v>
          </cell>
          <cell r="X1246">
            <v>41100370</v>
          </cell>
        </row>
        <row r="1247">
          <cell r="K1247" t="str">
            <v>GBA-0088</v>
          </cell>
          <cell r="L1247">
            <v>44416</v>
          </cell>
          <cell r="M1247">
            <v>44417</v>
          </cell>
          <cell r="N1247">
            <v>44431</v>
          </cell>
          <cell r="O1247">
            <v>44417</v>
          </cell>
          <cell r="P1247">
            <v>44432</v>
          </cell>
          <cell r="Q1247">
            <v>44432</v>
          </cell>
          <cell r="R1247">
            <v>44432</v>
          </cell>
          <cell r="S1247"/>
          <cell r="T1247">
            <v>44434</v>
          </cell>
          <cell r="U1247">
            <v>44438</v>
          </cell>
          <cell r="V1247">
            <v>44440</v>
          </cell>
          <cell r="W1247">
            <v>44440</v>
          </cell>
          <cell r="X1247">
            <v>41100370</v>
          </cell>
        </row>
        <row r="1248">
          <cell r="K1248" t="str">
            <v>GBA-0089</v>
          </cell>
          <cell r="L1248">
            <v>44416</v>
          </cell>
          <cell r="M1248">
            <v>44417</v>
          </cell>
          <cell r="N1248">
            <v>44431</v>
          </cell>
          <cell r="O1248">
            <v>44417</v>
          </cell>
          <cell r="P1248">
            <v>44432</v>
          </cell>
          <cell r="Q1248">
            <v>44432</v>
          </cell>
          <cell r="R1248">
            <v>44432</v>
          </cell>
          <cell r="S1248"/>
          <cell r="T1248">
            <v>44434</v>
          </cell>
          <cell r="U1248">
            <v>44439</v>
          </cell>
          <cell r="V1248">
            <v>44440</v>
          </cell>
          <cell r="W1248">
            <v>44440</v>
          </cell>
          <cell r="X1248">
            <v>41100370</v>
          </cell>
        </row>
        <row r="1249">
          <cell r="K1249" t="str">
            <v>GBA-0092</v>
          </cell>
          <cell r="L1249">
            <v>44416</v>
          </cell>
          <cell r="M1249">
            <v>44417</v>
          </cell>
          <cell r="N1249">
            <v>44431</v>
          </cell>
          <cell r="O1249">
            <v>44417</v>
          </cell>
          <cell r="P1249">
            <v>44432</v>
          </cell>
          <cell r="Q1249">
            <v>44432</v>
          </cell>
          <cell r="R1249">
            <v>44432</v>
          </cell>
          <cell r="S1249"/>
          <cell r="T1249">
            <v>44434</v>
          </cell>
          <cell r="U1249">
            <v>44438</v>
          </cell>
          <cell r="V1249">
            <v>44439</v>
          </cell>
          <cell r="W1249">
            <v>44439</v>
          </cell>
          <cell r="X1249">
            <v>41100370</v>
          </cell>
        </row>
        <row r="1250">
          <cell r="K1250" t="str">
            <v>GBA-0094</v>
          </cell>
          <cell r="L1250">
            <v>44416</v>
          </cell>
          <cell r="M1250">
            <v>44417</v>
          </cell>
          <cell r="N1250">
            <v>44431</v>
          </cell>
          <cell r="O1250">
            <v>44417</v>
          </cell>
          <cell r="P1250">
            <v>44432</v>
          </cell>
          <cell r="Q1250">
            <v>44432</v>
          </cell>
          <cell r="R1250">
            <v>44432</v>
          </cell>
          <cell r="S1250"/>
          <cell r="T1250">
            <v>44434</v>
          </cell>
          <cell r="U1250">
            <v>44439</v>
          </cell>
          <cell r="V1250">
            <v>44440</v>
          </cell>
          <cell r="W1250">
            <v>44440</v>
          </cell>
          <cell r="X1250">
            <v>41100370</v>
          </cell>
        </row>
        <row r="1251">
          <cell r="K1251" t="str">
            <v>GBA-0095</v>
          </cell>
          <cell r="L1251">
            <v>44416</v>
          </cell>
          <cell r="M1251">
            <v>44417</v>
          </cell>
          <cell r="N1251">
            <v>44431</v>
          </cell>
          <cell r="O1251">
            <v>44417</v>
          </cell>
          <cell r="P1251">
            <v>44432</v>
          </cell>
          <cell r="Q1251">
            <v>44432</v>
          </cell>
          <cell r="R1251">
            <v>44432</v>
          </cell>
          <cell r="S1251"/>
          <cell r="T1251">
            <v>44434</v>
          </cell>
          <cell r="U1251">
            <v>44439</v>
          </cell>
          <cell r="V1251">
            <v>44440</v>
          </cell>
          <cell r="W1251">
            <v>44440</v>
          </cell>
          <cell r="X1251">
            <v>41100370</v>
          </cell>
        </row>
        <row r="1252">
          <cell r="K1252" t="str">
            <v>GBA-0096</v>
          </cell>
          <cell r="L1252">
            <v>44416</v>
          </cell>
          <cell r="M1252">
            <v>44417</v>
          </cell>
          <cell r="N1252">
            <v>44431</v>
          </cell>
          <cell r="O1252">
            <v>44417</v>
          </cell>
          <cell r="P1252">
            <v>44432</v>
          </cell>
          <cell r="Q1252">
            <v>44432</v>
          </cell>
          <cell r="R1252">
            <v>44432</v>
          </cell>
          <cell r="S1252"/>
          <cell r="T1252">
            <v>44434</v>
          </cell>
          <cell r="U1252">
            <v>44438</v>
          </cell>
          <cell r="V1252">
            <v>44439</v>
          </cell>
          <cell r="W1252">
            <v>44439</v>
          </cell>
          <cell r="X1252">
            <v>41100370</v>
          </cell>
        </row>
        <row r="1253">
          <cell r="K1253" t="str">
            <v>GBA-0097</v>
          </cell>
          <cell r="L1253">
            <v>44416</v>
          </cell>
          <cell r="M1253">
            <v>44417</v>
          </cell>
          <cell r="N1253">
            <v>44431</v>
          </cell>
          <cell r="O1253">
            <v>44417</v>
          </cell>
          <cell r="P1253">
            <v>44432</v>
          </cell>
          <cell r="Q1253">
            <v>44432</v>
          </cell>
          <cell r="R1253">
            <v>44432</v>
          </cell>
          <cell r="S1253"/>
          <cell r="T1253">
            <v>44434</v>
          </cell>
          <cell r="U1253">
            <v>44438</v>
          </cell>
          <cell r="V1253">
            <v>44440</v>
          </cell>
          <cell r="W1253">
            <v>44440</v>
          </cell>
          <cell r="X1253">
            <v>41100370</v>
          </cell>
        </row>
        <row r="1254">
          <cell r="K1254" t="str">
            <v>GBA-0090</v>
          </cell>
          <cell r="L1254">
            <v>44416</v>
          </cell>
          <cell r="M1254">
            <v>44417</v>
          </cell>
          <cell r="N1254">
            <v>44431</v>
          </cell>
          <cell r="O1254">
            <v>44417</v>
          </cell>
          <cell r="P1254">
            <v>44432</v>
          </cell>
          <cell r="Q1254">
            <v>44432</v>
          </cell>
          <cell r="R1254">
            <v>44432</v>
          </cell>
          <cell r="S1254"/>
          <cell r="T1254">
            <v>44434</v>
          </cell>
          <cell r="U1254">
            <v>44439</v>
          </cell>
          <cell r="V1254">
            <v>44445</v>
          </cell>
          <cell r="W1254">
            <v>44447</v>
          </cell>
          <cell r="X1254">
            <v>41100370</v>
          </cell>
        </row>
        <row r="1255">
          <cell r="K1255" t="str">
            <v>GBA-0091</v>
          </cell>
          <cell r="L1255">
            <v>44416</v>
          </cell>
          <cell r="M1255">
            <v>44417</v>
          </cell>
          <cell r="N1255">
            <v>44431</v>
          </cell>
          <cell r="O1255">
            <v>44417</v>
          </cell>
          <cell r="P1255">
            <v>44432</v>
          </cell>
          <cell r="Q1255">
            <v>44432</v>
          </cell>
          <cell r="R1255">
            <v>44432</v>
          </cell>
          <cell r="S1255"/>
          <cell r="T1255">
            <v>44434</v>
          </cell>
          <cell r="U1255">
            <v>44439</v>
          </cell>
          <cell r="V1255">
            <v>44445</v>
          </cell>
          <cell r="W1255">
            <v>44447</v>
          </cell>
          <cell r="X1255">
            <v>41100370</v>
          </cell>
        </row>
        <row r="1256">
          <cell r="K1256" t="str">
            <v>GBA-0093</v>
          </cell>
          <cell r="L1256">
            <v>44416</v>
          </cell>
          <cell r="M1256">
            <v>44417</v>
          </cell>
          <cell r="N1256">
            <v>44431</v>
          </cell>
          <cell r="O1256">
            <v>44417</v>
          </cell>
          <cell r="P1256">
            <v>44432</v>
          </cell>
          <cell r="Q1256">
            <v>44432</v>
          </cell>
          <cell r="R1256">
            <v>44432</v>
          </cell>
          <cell r="S1256"/>
          <cell r="T1256">
            <v>44434</v>
          </cell>
          <cell r="U1256">
            <v>44439</v>
          </cell>
          <cell r="V1256">
            <v>44445</v>
          </cell>
          <cell r="W1256">
            <v>44447</v>
          </cell>
          <cell r="X1256">
            <v>41100370</v>
          </cell>
        </row>
        <row r="1257">
          <cell r="K1257" t="str">
            <v>GBWS-1521</v>
          </cell>
          <cell r="L1257">
            <v>44432</v>
          </cell>
          <cell r="M1257">
            <v>44432</v>
          </cell>
          <cell r="N1257">
            <v>44444</v>
          </cell>
          <cell r="O1257">
            <v>44432</v>
          </cell>
          <cell r="P1257">
            <v>44446</v>
          </cell>
          <cell r="Q1257">
            <v>44446</v>
          </cell>
          <cell r="R1257">
            <v>44446</v>
          </cell>
          <cell r="S1257"/>
          <cell r="T1257">
            <v>44447</v>
          </cell>
          <cell r="U1257">
            <v>44448</v>
          </cell>
          <cell r="V1257">
            <v>44450</v>
          </cell>
          <cell r="W1257">
            <v>44450</v>
          </cell>
          <cell r="X1257">
            <v>41100375</v>
          </cell>
        </row>
        <row r="1258">
          <cell r="K1258" t="str">
            <v>GBWS-1522</v>
          </cell>
          <cell r="L1258">
            <v>44432</v>
          </cell>
          <cell r="M1258">
            <v>44432</v>
          </cell>
          <cell r="N1258">
            <v>44444</v>
          </cell>
          <cell r="O1258">
            <v>44432</v>
          </cell>
          <cell r="P1258">
            <v>44446</v>
          </cell>
          <cell r="Q1258">
            <v>44446</v>
          </cell>
          <cell r="R1258">
            <v>44446</v>
          </cell>
          <cell r="S1258"/>
          <cell r="T1258">
            <v>44447</v>
          </cell>
          <cell r="U1258">
            <v>44448</v>
          </cell>
          <cell r="V1258">
            <v>44450</v>
          </cell>
          <cell r="W1258">
            <v>44450</v>
          </cell>
          <cell r="X1258">
            <v>41100375</v>
          </cell>
        </row>
        <row r="1259">
          <cell r="K1259" t="str">
            <v>GBWS-1023</v>
          </cell>
          <cell r="L1259">
            <v>44271</v>
          </cell>
          <cell r="M1259">
            <v>44272</v>
          </cell>
          <cell r="N1259">
            <v>44294</v>
          </cell>
          <cell r="O1259">
            <v>44272</v>
          </cell>
          <cell r="P1259">
            <v>44294</v>
          </cell>
          <cell r="Q1259">
            <v>44291</v>
          </cell>
          <cell r="R1259">
            <v>44291</v>
          </cell>
          <cell r="S1259"/>
          <cell r="T1259">
            <v>44446</v>
          </cell>
          <cell r="U1259">
            <v>44447</v>
          </cell>
          <cell r="V1259">
            <v>44448</v>
          </cell>
          <cell r="W1259">
            <v>44449</v>
          </cell>
          <cell r="X1259">
            <v>41100321</v>
          </cell>
        </row>
        <row r="1260">
          <cell r="K1260" t="str">
            <v>GBWS-1535</v>
          </cell>
          <cell r="L1260">
            <v>44433</v>
          </cell>
          <cell r="M1260">
            <v>44433</v>
          </cell>
          <cell r="N1260">
            <v>44446</v>
          </cell>
          <cell r="O1260">
            <v>44433</v>
          </cell>
          <cell r="P1260">
            <v>44445</v>
          </cell>
          <cell r="Q1260">
            <v>44445</v>
          </cell>
          <cell r="R1260">
            <v>44445</v>
          </cell>
          <cell r="S1260"/>
          <cell r="T1260">
            <v>44447</v>
          </cell>
          <cell r="U1260">
            <v>44448</v>
          </cell>
          <cell r="V1260">
            <v>44450</v>
          </cell>
          <cell r="W1260">
            <v>44450</v>
          </cell>
          <cell r="X1260">
            <v>41100329</v>
          </cell>
        </row>
        <row r="1261">
          <cell r="K1261" t="str">
            <v>GBWS-1536</v>
          </cell>
          <cell r="L1261">
            <v>44433</v>
          </cell>
          <cell r="M1261">
            <v>44433</v>
          </cell>
          <cell r="N1261">
            <v>44446</v>
          </cell>
          <cell r="O1261">
            <v>44433</v>
          </cell>
          <cell r="P1261">
            <v>44445</v>
          </cell>
          <cell r="Q1261">
            <v>44445</v>
          </cell>
          <cell r="R1261">
            <v>44445</v>
          </cell>
          <cell r="S1261"/>
          <cell r="T1261">
            <v>44447</v>
          </cell>
          <cell r="U1261">
            <v>44448</v>
          </cell>
          <cell r="V1261">
            <v>44449</v>
          </cell>
          <cell r="W1261">
            <v>44449</v>
          </cell>
          <cell r="X1261">
            <v>41100329</v>
          </cell>
        </row>
        <row r="1262">
          <cell r="K1262" t="str">
            <v>GBWS-1537</v>
          </cell>
          <cell r="L1262">
            <v>44433</v>
          </cell>
          <cell r="M1262">
            <v>44433</v>
          </cell>
          <cell r="N1262">
            <v>44448</v>
          </cell>
          <cell r="O1262">
            <v>44433</v>
          </cell>
          <cell r="P1262">
            <v>44448</v>
          </cell>
          <cell r="Q1262" t="str">
            <v>2021-09-06 → 9/8 → 9/9</v>
          </cell>
          <cell r="R1262" t="str">
            <v>2021-09-06 → 9/8 → 9/9</v>
          </cell>
          <cell r="S1262"/>
          <cell r="T1262">
            <v>44449</v>
          </cell>
          <cell r="U1262">
            <v>44449</v>
          </cell>
          <cell r="V1262">
            <v>44450</v>
          </cell>
          <cell r="W1262">
            <v>44450</v>
          </cell>
          <cell r="X1262">
            <v>41100385</v>
          </cell>
        </row>
        <row r="1263">
          <cell r="K1263" t="str">
            <v>GBWS-1531</v>
          </cell>
          <cell r="L1263">
            <v>44433</v>
          </cell>
          <cell r="M1263">
            <v>44433</v>
          </cell>
          <cell r="N1263">
            <v>44446</v>
          </cell>
          <cell r="O1263">
            <v>44433</v>
          </cell>
          <cell r="P1263">
            <v>44445</v>
          </cell>
          <cell r="Q1263">
            <v>44445</v>
          </cell>
          <cell r="R1263">
            <v>44445</v>
          </cell>
          <cell r="S1263"/>
          <cell r="T1263">
            <v>44446</v>
          </cell>
          <cell r="U1263">
            <v>44447</v>
          </cell>
          <cell r="V1263">
            <v>44448</v>
          </cell>
          <cell r="W1263">
            <v>44448</v>
          </cell>
          <cell r="X1263">
            <v>41100311</v>
          </cell>
        </row>
        <row r="1264">
          <cell r="K1264" t="str">
            <v>GBWS-1532</v>
          </cell>
          <cell r="L1264">
            <v>44433</v>
          </cell>
          <cell r="M1264">
            <v>44433</v>
          </cell>
          <cell r="N1264">
            <v>44446</v>
          </cell>
          <cell r="O1264">
            <v>44433</v>
          </cell>
          <cell r="P1264">
            <v>44445</v>
          </cell>
          <cell r="Q1264">
            <v>44445</v>
          </cell>
          <cell r="R1264">
            <v>44445</v>
          </cell>
          <cell r="S1264"/>
          <cell r="T1264">
            <v>44446</v>
          </cell>
          <cell r="U1264">
            <v>44447</v>
          </cell>
          <cell r="V1264">
            <v>44448</v>
          </cell>
          <cell r="W1264">
            <v>44448</v>
          </cell>
          <cell r="X1264">
            <v>41100311</v>
          </cell>
        </row>
        <row r="1265">
          <cell r="K1265" t="str">
            <v>GBWS-1533</v>
          </cell>
          <cell r="L1265">
            <v>44433</v>
          </cell>
          <cell r="M1265">
            <v>44433</v>
          </cell>
          <cell r="N1265">
            <v>44446</v>
          </cell>
          <cell r="O1265">
            <v>44433</v>
          </cell>
          <cell r="P1265">
            <v>44447</v>
          </cell>
          <cell r="Q1265" t="str">
            <v>2021-09-06 →9/7</v>
          </cell>
          <cell r="R1265" t="str">
            <v>2021-09-06 →9/7</v>
          </cell>
          <cell r="S1265"/>
          <cell r="T1265">
            <v>44448</v>
          </cell>
          <cell r="U1265">
            <v>44449</v>
          </cell>
          <cell r="V1265">
            <v>44450</v>
          </cell>
          <cell r="W1265">
            <v>44450</v>
          </cell>
          <cell r="X1265">
            <v>41100314</v>
          </cell>
        </row>
        <row r="1266">
          <cell r="K1266" t="str">
            <v>GBWS-1534</v>
          </cell>
          <cell r="L1266">
            <v>44433</v>
          </cell>
          <cell r="M1266">
            <v>44433</v>
          </cell>
          <cell r="N1266">
            <v>44449</v>
          </cell>
          <cell r="O1266">
            <v>44433</v>
          </cell>
          <cell r="P1266">
            <v>44448</v>
          </cell>
          <cell r="Q1266" t="str">
            <v>2021-09-06 →9/9 → 9/10(오전)</v>
          </cell>
          <cell r="R1266" t="str">
            <v>2021-09-06 →9/9 → 9/10(오전)</v>
          </cell>
          <cell r="S1266"/>
          <cell r="T1266">
            <v>44451</v>
          </cell>
          <cell r="U1266">
            <v>44452</v>
          </cell>
          <cell r="V1266">
            <v>44453</v>
          </cell>
          <cell r="W1266">
            <v>44453</v>
          </cell>
          <cell r="X1266">
            <v>41100315</v>
          </cell>
        </row>
        <row r="1267">
          <cell r="K1267" t="str">
            <v>GBWS-1173</v>
          </cell>
          <cell r="L1267">
            <v>44316</v>
          </cell>
          <cell r="M1267">
            <v>44319</v>
          </cell>
          <cell r="N1267">
            <v>44340</v>
          </cell>
          <cell r="O1267">
            <v>44319</v>
          </cell>
          <cell r="P1267">
            <v>44337</v>
          </cell>
          <cell r="Q1267">
            <v>44337</v>
          </cell>
          <cell r="R1267">
            <v>44337</v>
          </cell>
          <cell r="S1267"/>
          <cell r="T1267">
            <v>44340</v>
          </cell>
          <cell r="U1267">
            <v>44375</v>
          </cell>
          <cell r="V1267">
            <v>44376</v>
          </cell>
          <cell r="W1267">
            <v>44376</v>
          </cell>
          <cell r="X1267">
            <v>41100334</v>
          </cell>
        </row>
        <row r="1268">
          <cell r="K1268" t="str">
            <v>GBWS-1351</v>
          </cell>
          <cell r="L1268">
            <v>44363</v>
          </cell>
          <cell r="M1268">
            <v>44363</v>
          </cell>
          <cell r="N1268">
            <v>44380</v>
          </cell>
          <cell r="O1268">
            <v>44363</v>
          </cell>
          <cell r="P1268">
            <v>44380</v>
          </cell>
          <cell r="Q1268" t="str">
            <v>6/24 → 6/28 → 7/2</v>
          </cell>
          <cell r="R1268" t="str">
            <v>6/24 → 6/28 → 7/2</v>
          </cell>
          <cell r="S1268"/>
          <cell r="T1268">
            <v>44386</v>
          </cell>
          <cell r="U1268">
            <v>44389</v>
          </cell>
          <cell r="V1268">
            <v>44389</v>
          </cell>
          <cell r="W1268">
            <v>44396</v>
          </cell>
          <cell r="X1268">
            <v>41100334</v>
          </cell>
        </row>
        <row r="1269">
          <cell r="K1269" t="str">
            <v>GBWS-1473</v>
          </cell>
          <cell r="L1269">
            <v>44403</v>
          </cell>
          <cell r="M1269">
            <v>44404</v>
          </cell>
          <cell r="N1269">
            <v>44417</v>
          </cell>
          <cell r="O1269">
            <v>44404</v>
          </cell>
          <cell r="P1269">
            <v>44417</v>
          </cell>
          <cell r="Q1269" t="str">
            <v>8/6 → 8/9</v>
          </cell>
          <cell r="R1269" t="str">
            <v>8/6 → 8/9</v>
          </cell>
          <cell r="S1269"/>
          <cell r="T1269">
            <v>44418</v>
          </cell>
          <cell r="U1269">
            <v>44419</v>
          </cell>
          <cell r="V1269">
            <v>44420</v>
          </cell>
          <cell r="W1269">
            <v>44420</v>
          </cell>
          <cell r="X1269">
            <v>41100326</v>
          </cell>
        </row>
        <row r="1270">
          <cell r="K1270" t="str">
            <v>DBW-2333</v>
          </cell>
          <cell r="L1270">
            <v>44411</v>
          </cell>
          <cell r="M1270">
            <v>44412</v>
          </cell>
          <cell r="N1270">
            <v>44421</v>
          </cell>
          <cell r="O1270">
            <v>44412</v>
          </cell>
          <cell r="P1270">
            <v>44424</v>
          </cell>
          <cell r="Q1270">
            <v>44424</v>
          </cell>
          <cell r="R1270">
            <v>44424</v>
          </cell>
          <cell r="S1270"/>
          <cell r="T1270">
            <v>44425</v>
          </cell>
          <cell r="U1270">
            <v>44426</v>
          </cell>
          <cell r="V1270">
            <v>44427</v>
          </cell>
          <cell r="W1270">
            <v>44427</v>
          </cell>
          <cell r="X1270">
            <v>41100310</v>
          </cell>
        </row>
        <row r="1271">
          <cell r="K1271" t="str">
            <v>DBW-2334</v>
          </cell>
          <cell r="L1271">
            <v>44411</v>
          </cell>
          <cell r="M1271">
            <v>44412</v>
          </cell>
          <cell r="N1271">
            <v>44421</v>
          </cell>
          <cell r="O1271">
            <v>44412</v>
          </cell>
          <cell r="P1271">
            <v>44424</v>
          </cell>
          <cell r="Q1271">
            <v>44424</v>
          </cell>
          <cell r="R1271">
            <v>44424</v>
          </cell>
          <cell r="S1271"/>
          <cell r="T1271">
            <v>44425</v>
          </cell>
          <cell r="U1271">
            <v>44426</v>
          </cell>
          <cell r="V1271">
            <v>44427</v>
          </cell>
          <cell r="W1271">
            <v>44427</v>
          </cell>
          <cell r="X1271">
            <v>41100310</v>
          </cell>
        </row>
        <row r="1272">
          <cell r="K1272" t="str">
            <v>GBWS-1484</v>
          </cell>
          <cell r="L1272">
            <v>44411</v>
          </cell>
          <cell r="M1272">
            <v>44412</v>
          </cell>
          <cell r="N1272">
            <v>44425</v>
          </cell>
          <cell r="O1272">
            <v>44412</v>
          </cell>
          <cell r="P1272">
            <v>44420</v>
          </cell>
          <cell r="Q1272">
            <v>44425</v>
          </cell>
          <cell r="R1272">
            <v>44425</v>
          </cell>
          <cell r="S1272"/>
          <cell r="T1272">
            <v>44425</v>
          </cell>
          <cell r="U1272">
            <v>44432</v>
          </cell>
          <cell r="V1272">
            <v>44434</v>
          </cell>
          <cell r="W1272">
            <v>44434</v>
          </cell>
          <cell r="X1272">
            <v>41100318</v>
          </cell>
        </row>
        <row r="1273">
          <cell r="K1273" t="str">
            <v>GBWS-1490</v>
          </cell>
          <cell r="L1273">
            <v>44418</v>
          </cell>
          <cell r="M1273">
            <v>44419</v>
          </cell>
          <cell r="N1273">
            <v>44431</v>
          </cell>
          <cell r="O1273">
            <v>44419</v>
          </cell>
          <cell r="P1273">
            <v>44432</v>
          </cell>
          <cell r="Q1273">
            <v>44432</v>
          </cell>
          <cell r="R1273">
            <v>44432</v>
          </cell>
          <cell r="S1273"/>
          <cell r="T1273">
            <v>44432</v>
          </cell>
          <cell r="U1273">
            <v>44435</v>
          </cell>
          <cell r="V1273">
            <v>44438</v>
          </cell>
          <cell r="W1273">
            <v>44438</v>
          </cell>
          <cell r="X1273">
            <v>41100293</v>
          </cell>
        </row>
        <row r="1274">
          <cell r="K1274" t="str">
            <v>GBWS-1491</v>
          </cell>
          <cell r="L1274">
            <v>44418</v>
          </cell>
          <cell r="M1274">
            <v>44419</v>
          </cell>
          <cell r="N1274">
            <v>44431</v>
          </cell>
          <cell r="O1274">
            <v>44419</v>
          </cell>
          <cell r="P1274">
            <v>44432</v>
          </cell>
          <cell r="Q1274">
            <v>44432</v>
          </cell>
          <cell r="R1274">
            <v>44432</v>
          </cell>
          <cell r="S1274"/>
          <cell r="T1274">
            <v>44432</v>
          </cell>
          <cell r="U1274">
            <v>44433</v>
          </cell>
          <cell r="V1274">
            <v>44434</v>
          </cell>
          <cell r="W1274">
            <v>44434</v>
          </cell>
          <cell r="X1274">
            <v>41100293</v>
          </cell>
        </row>
        <row r="1275">
          <cell r="K1275" t="str">
            <v>GBWS-1494</v>
          </cell>
          <cell r="L1275">
            <v>44418</v>
          </cell>
          <cell r="M1275">
            <v>44419</v>
          </cell>
          <cell r="N1275">
            <v>44431</v>
          </cell>
          <cell r="O1275">
            <v>44419</v>
          </cell>
          <cell r="P1275">
            <v>44431</v>
          </cell>
          <cell r="Q1275">
            <v>44431</v>
          </cell>
          <cell r="R1275">
            <v>44431</v>
          </cell>
          <cell r="S1275"/>
          <cell r="T1275">
            <v>44432</v>
          </cell>
          <cell r="U1275">
            <v>44433</v>
          </cell>
          <cell r="V1275">
            <v>44434</v>
          </cell>
          <cell r="W1275">
            <v>44434</v>
          </cell>
          <cell r="X1275">
            <v>41100318</v>
          </cell>
        </row>
        <row r="1276">
          <cell r="K1276" t="str">
            <v>DBW-2357</v>
          </cell>
          <cell r="L1276">
            <v>44426</v>
          </cell>
          <cell r="M1276">
            <v>44426</v>
          </cell>
          <cell r="N1276">
            <v>44439</v>
          </cell>
          <cell r="O1276">
            <v>44426</v>
          </cell>
          <cell r="P1276">
            <v>44439</v>
          </cell>
          <cell r="Q1276">
            <v>44439</v>
          </cell>
          <cell r="R1276">
            <v>44439</v>
          </cell>
          <cell r="S1276"/>
          <cell r="T1276">
            <v>44440</v>
          </cell>
          <cell r="U1276">
            <v>44441</v>
          </cell>
          <cell r="V1276">
            <v>44445</v>
          </cell>
          <cell r="W1276">
            <v>44445</v>
          </cell>
          <cell r="X1276">
            <v>41100310</v>
          </cell>
        </row>
        <row r="1277">
          <cell r="K1277" t="str">
            <v>DBW-2369</v>
          </cell>
          <cell r="L1277">
            <v>44435</v>
          </cell>
          <cell r="M1277">
            <v>44435</v>
          </cell>
          <cell r="N1277">
            <v>44448</v>
          </cell>
          <cell r="O1277">
            <v>44435</v>
          </cell>
          <cell r="P1277">
            <v>44448</v>
          </cell>
          <cell r="Q1277" t="str">
            <v>2021-09-08 → 9/9</v>
          </cell>
          <cell r="R1277" t="str">
            <v>2021-09-08 → 9/9</v>
          </cell>
          <cell r="S1277"/>
          <cell r="T1277">
            <v>44448</v>
          </cell>
          <cell r="U1277">
            <v>44449</v>
          </cell>
          <cell r="V1277">
            <v>44452</v>
          </cell>
          <cell r="W1277">
            <v>44452</v>
          </cell>
          <cell r="X1277">
            <v>41100310</v>
          </cell>
        </row>
        <row r="1278">
          <cell r="K1278" t="str">
            <v>GBWS-1546</v>
          </cell>
          <cell r="L1278">
            <v>44434</v>
          </cell>
          <cell r="M1278">
            <v>44434</v>
          </cell>
          <cell r="N1278">
            <v>44449</v>
          </cell>
          <cell r="O1278">
            <v>44434</v>
          </cell>
          <cell r="P1278">
            <v>44449</v>
          </cell>
          <cell r="Q1278" t="str">
            <v>2021-09-09 → 9/10</v>
          </cell>
          <cell r="R1278" t="str">
            <v>2021-09-09 → 9/10</v>
          </cell>
          <cell r="S1278"/>
          <cell r="T1278">
            <v>44451</v>
          </cell>
          <cell r="U1278">
            <v>44452</v>
          </cell>
          <cell r="V1278">
            <v>44454</v>
          </cell>
          <cell r="W1278">
            <v>44454</v>
          </cell>
          <cell r="X1278">
            <v>41100293</v>
          </cell>
        </row>
        <row r="1279">
          <cell r="K1279" t="str">
            <v>GBWS-1548</v>
          </cell>
          <cell r="L1279">
            <v>44434</v>
          </cell>
          <cell r="M1279">
            <v>44434</v>
          </cell>
          <cell r="N1279">
            <v>44449</v>
          </cell>
          <cell r="O1279">
            <v>44434</v>
          </cell>
          <cell r="P1279">
            <v>44449</v>
          </cell>
          <cell r="Q1279" t="str">
            <v>2021-09-09 → 9/10</v>
          </cell>
          <cell r="R1279" t="str">
            <v>2021-09-09 → 9/10</v>
          </cell>
          <cell r="S1279"/>
          <cell r="T1279">
            <v>44451</v>
          </cell>
          <cell r="U1279">
            <v>44452</v>
          </cell>
          <cell r="V1279">
            <v>44454</v>
          </cell>
          <cell r="W1279">
            <v>44454</v>
          </cell>
          <cell r="X1279">
            <v>41100293</v>
          </cell>
        </row>
        <row r="1280">
          <cell r="K1280" t="str">
            <v>GBWS-1551</v>
          </cell>
          <cell r="L1280">
            <v>44434</v>
          </cell>
          <cell r="M1280">
            <v>44434</v>
          </cell>
          <cell r="N1280">
            <v>44449</v>
          </cell>
          <cell r="O1280">
            <v>44434</v>
          </cell>
          <cell r="P1280">
            <v>44448</v>
          </cell>
          <cell r="Q1280" t="str">
            <v>2021-09-09 → 9/10</v>
          </cell>
          <cell r="R1280" t="str">
            <v>2021-09-09 → 9/10</v>
          </cell>
          <cell r="S1280"/>
          <cell r="T1280">
            <v>44451</v>
          </cell>
          <cell r="U1280">
            <v>44453</v>
          </cell>
          <cell r="V1280">
            <v>44454</v>
          </cell>
          <cell r="W1280">
            <v>44454</v>
          </cell>
          <cell r="X1280">
            <v>41100372</v>
          </cell>
        </row>
        <row r="1281">
          <cell r="K1281" t="str">
            <v>GBWS-1553</v>
          </cell>
          <cell r="L1281">
            <v>44435</v>
          </cell>
          <cell r="M1281">
            <v>44435</v>
          </cell>
          <cell r="N1281">
            <v>44453</v>
          </cell>
          <cell r="O1281">
            <v>44435</v>
          </cell>
          <cell r="P1281">
            <v>44453</v>
          </cell>
          <cell r="Q1281" t="str">
            <v>2021-09-07 → 9/11 → 9/14</v>
          </cell>
          <cell r="R1281" t="str">
            <v>2021-09-07 → 9/11 → 9/14</v>
          </cell>
          <cell r="S1281"/>
          <cell r="T1281">
            <v>44453</v>
          </cell>
          <cell r="U1281">
            <v>44454</v>
          </cell>
          <cell r="V1281">
            <v>44455</v>
          </cell>
          <cell r="W1281">
            <v>44455</v>
          </cell>
          <cell r="X1281">
            <v>41100085</v>
          </cell>
        </row>
        <row r="1282">
          <cell r="K1282" t="str">
            <v>GBWS-1554</v>
          </cell>
          <cell r="L1282">
            <v>44435</v>
          </cell>
          <cell r="M1282">
            <v>44435</v>
          </cell>
          <cell r="N1282">
            <v>44453</v>
          </cell>
          <cell r="O1282">
            <v>44435</v>
          </cell>
          <cell r="P1282">
            <v>44453</v>
          </cell>
          <cell r="Q1282" t="str">
            <v>2021-09-07 → 9/11 → 9/14</v>
          </cell>
          <cell r="R1282" t="str">
            <v>2021-09-07 → 9/11 → 9/14</v>
          </cell>
          <cell r="S1282"/>
          <cell r="T1282">
            <v>44453</v>
          </cell>
          <cell r="U1282">
            <v>44454</v>
          </cell>
          <cell r="V1282">
            <v>44455</v>
          </cell>
          <cell r="W1282">
            <v>44455</v>
          </cell>
          <cell r="X1282">
            <v>41100085</v>
          </cell>
        </row>
        <row r="1283">
          <cell r="K1283" t="str">
            <v>GBWS-1552</v>
          </cell>
          <cell r="L1283">
            <v>44435</v>
          </cell>
          <cell r="M1283">
            <v>44435</v>
          </cell>
          <cell r="N1283">
            <v>44453</v>
          </cell>
          <cell r="O1283">
            <v>44435</v>
          </cell>
          <cell r="P1283">
            <v>44453</v>
          </cell>
          <cell r="Q1283" t="str">
            <v>2021-09-07 → 9/11 → 9/14</v>
          </cell>
          <cell r="R1283" t="str">
            <v>2021-09-07 → 9/11 → 9/14</v>
          </cell>
          <cell r="S1283"/>
          <cell r="T1283">
            <v>44453</v>
          </cell>
          <cell r="U1283">
            <v>44454</v>
          </cell>
          <cell r="V1283">
            <v>44455</v>
          </cell>
          <cell r="W1283">
            <v>44455</v>
          </cell>
          <cell r="X1283">
            <v>41100085</v>
          </cell>
        </row>
        <row r="1284">
          <cell r="K1284" t="str">
            <v>GBWS-1353</v>
          </cell>
          <cell r="L1284">
            <v>44368</v>
          </cell>
          <cell r="M1284">
            <v>44369</v>
          </cell>
          <cell r="N1284">
            <v>44384</v>
          </cell>
          <cell r="O1284">
            <v>44369</v>
          </cell>
          <cell r="P1284">
            <v>44385</v>
          </cell>
          <cell r="Q1284" t="str">
            <v>7/2 → 7/7</v>
          </cell>
          <cell r="R1284" t="str">
            <v>7/2 → 7/7</v>
          </cell>
          <cell r="S1284"/>
          <cell r="T1284">
            <v>44389</v>
          </cell>
          <cell r="U1284">
            <v>44393</v>
          </cell>
          <cell r="V1284">
            <v>44408</v>
          </cell>
          <cell r="W1284">
            <v>44413</v>
          </cell>
          <cell r="X1284">
            <v>41100356</v>
          </cell>
        </row>
        <row r="1285">
          <cell r="K1285" t="str">
            <v>GBWS-1460</v>
          </cell>
          <cell r="L1285">
            <v>44397</v>
          </cell>
          <cell r="M1285">
            <v>44398</v>
          </cell>
          <cell r="N1285">
            <v>44412</v>
          </cell>
          <cell r="O1285">
            <v>44398</v>
          </cell>
          <cell r="P1285">
            <v>44411</v>
          </cell>
          <cell r="Q1285" t="str">
            <v>8/3 → 8/5</v>
          </cell>
          <cell r="R1285" t="str">
            <v>8/3 → 8/5</v>
          </cell>
          <cell r="S1285"/>
          <cell r="T1285">
            <v>44418</v>
          </cell>
          <cell r="U1285">
            <v>44425</v>
          </cell>
          <cell r="V1285">
            <v>44426</v>
          </cell>
          <cell r="W1285">
            <v>44426</v>
          </cell>
          <cell r="X1285">
            <v>41100286</v>
          </cell>
        </row>
        <row r="1286">
          <cell r="K1286" t="str">
            <v>GBWS-1485</v>
          </cell>
          <cell r="L1286">
            <v>44411</v>
          </cell>
          <cell r="M1286">
            <v>44412</v>
          </cell>
          <cell r="N1286">
            <v>44425</v>
          </cell>
          <cell r="O1286">
            <v>44412</v>
          </cell>
          <cell r="P1286">
            <v>44426</v>
          </cell>
          <cell r="Q1286">
            <v>44425</v>
          </cell>
          <cell r="R1286">
            <v>44425</v>
          </cell>
          <cell r="S1286"/>
          <cell r="T1286">
            <v>44426</v>
          </cell>
          <cell r="U1286">
            <v>44434</v>
          </cell>
          <cell r="V1286">
            <v>44435</v>
          </cell>
          <cell r="W1286">
            <v>44435</v>
          </cell>
          <cell r="X1286">
            <v>41100350</v>
          </cell>
        </row>
        <row r="1287">
          <cell r="K1287" t="str">
            <v>GBWS-1559</v>
          </cell>
          <cell r="L1287">
            <v>44439</v>
          </cell>
          <cell r="M1287">
            <v>44439</v>
          </cell>
          <cell r="N1287">
            <v>44452</v>
          </cell>
          <cell r="O1287">
            <v>44439</v>
          </cell>
          <cell r="P1287">
            <v>44452</v>
          </cell>
          <cell r="Q1287" t="str">
            <v>2021-09-08 → 9/12 → 9/13</v>
          </cell>
          <cell r="R1287" t="str">
            <v>2021-09-08 → 9/12 → 9/13</v>
          </cell>
          <cell r="S1287"/>
          <cell r="T1287">
            <v>44452</v>
          </cell>
          <cell r="U1287">
            <v>44454</v>
          </cell>
          <cell r="V1287">
            <v>44454</v>
          </cell>
          <cell r="W1287">
            <v>44455</v>
          </cell>
          <cell r="X1287">
            <v>41100286</v>
          </cell>
        </row>
        <row r="1288">
          <cell r="K1288" t="str">
            <v>GBWS-1556</v>
          </cell>
          <cell r="L1288">
            <v>44439</v>
          </cell>
          <cell r="M1288">
            <v>44439</v>
          </cell>
          <cell r="N1288">
            <v>44451</v>
          </cell>
          <cell r="O1288">
            <v>44439</v>
          </cell>
          <cell r="P1288">
            <v>44452</v>
          </cell>
          <cell r="Q1288" t="str">
            <v>2021-09-13 → 9/12 → 9/13</v>
          </cell>
          <cell r="R1288" t="str">
            <v>2021-09-13 → 9/12 → 9/13</v>
          </cell>
          <cell r="S1288"/>
          <cell r="T1288">
            <v>44453</v>
          </cell>
          <cell r="U1288">
            <v>44454</v>
          </cell>
          <cell r="V1288">
            <v>44455</v>
          </cell>
          <cell r="W1288">
            <v>44455</v>
          </cell>
          <cell r="X1288">
            <v>41100350</v>
          </cell>
        </row>
        <row r="1289">
          <cell r="K1289" t="str">
            <v xml:space="preserve"> -</v>
          </cell>
          <cell r="L1289"/>
          <cell r="M1289">
            <v>44449</v>
          </cell>
          <cell r="N1289">
            <v>44454</v>
          </cell>
          <cell r="O1289">
            <v>44449</v>
          </cell>
          <cell r="P1289" t="str">
            <v xml:space="preserve"> -</v>
          </cell>
          <cell r="Q1289">
            <v>44449</v>
          </cell>
          <cell r="R1289">
            <v>44449</v>
          </cell>
          <cell r="S1289"/>
          <cell r="T1289" t="str">
            <v xml:space="preserve"> -</v>
          </cell>
          <cell r="U1289" t="str">
            <v xml:space="preserve"> -</v>
          </cell>
          <cell r="V1289">
            <v>44454</v>
          </cell>
          <cell r="W1289">
            <v>44454</v>
          </cell>
          <cell r="X1289">
            <v>31010315</v>
          </cell>
        </row>
        <row r="1290">
          <cell r="K1290" t="str">
            <v xml:space="preserve"> -</v>
          </cell>
          <cell r="L1290"/>
          <cell r="M1290">
            <v>44449</v>
          </cell>
          <cell r="N1290">
            <v>44454</v>
          </cell>
          <cell r="O1290">
            <v>44449</v>
          </cell>
          <cell r="P1290" t="str">
            <v xml:space="preserve"> -</v>
          </cell>
          <cell r="Q1290">
            <v>44449</v>
          </cell>
          <cell r="R1290">
            <v>44449</v>
          </cell>
          <cell r="S1290"/>
          <cell r="T1290" t="str">
            <v xml:space="preserve"> -</v>
          </cell>
          <cell r="U1290" t="str">
            <v xml:space="preserve"> -</v>
          </cell>
          <cell r="V1290">
            <v>44454</v>
          </cell>
          <cell r="W1290">
            <v>44454</v>
          </cell>
          <cell r="X1290">
            <v>31010314</v>
          </cell>
        </row>
        <row r="1291">
          <cell r="K1291" t="str">
            <v xml:space="preserve"> -</v>
          </cell>
          <cell r="L1291"/>
          <cell r="M1291">
            <v>44453</v>
          </cell>
          <cell r="N1291">
            <v>44454</v>
          </cell>
          <cell r="O1291">
            <v>44453</v>
          </cell>
          <cell r="P1291" t="str">
            <v xml:space="preserve"> -</v>
          </cell>
          <cell r="Q1291">
            <v>44453</v>
          </cell>
          <cell r="R1291">
            <v>44453</v>
          </cell>
          <cell r="S1291"/>
          <cell r="T1291" t="str">
            <v xml:space="preserve"> -</v>
          </cell>
          <cell r="U1291" t="str">
            <v xml:space="preserve"> -</v>
          </cell>
          <cell r="V1291">
            <v>44454</v>
          </cell>
          <cell r="W1291">
            <v>44454</v>
          </cell>
          <cell r="X1291">
            <v>31010314</v>
          </cell>
        </row>
        <row r="1292">
          <cell r="K1292" t="str">
            <v xml:space="preserve"> -</v>
          </cell>
          <cell r="L1292"/>
          <cell r="M1292">
            <v>44453</v>
          </cell>
          <cell r="N1292">
            <v>44454</v>
          </cell>
          <cell r="O1292">
            <v>44453</v>
          </cell>
          <cell r="P1292" t="str">
            <v xml:space="preserve"> -</v>
          </cell>
          <cell r="Q1292">
            <v>44453</v>
          </cell>
          <cell r="R1292">
            <v>44453</v>
          </cell>
          <cell r="S1292"/>
          <cell r="T1292" t="str">
            <v xml:space="preserve"> -</v>
          </cell>
          <cell r="U1292" t="str">
            <v xml:space="preserve"> -</v>
          </cell>
          <cell r="V1292">
            <v>44454</v>
          </cell>
          <cell r="W1292">
            <v>44454</v>
          </cell>
          <cell r="X1292">
            <v>31010315</v>
          </cell>
        </row>
        <row r="1293">
          <cell r="K1293" t="str">
            <v>GBWS-1555</v>
          </cell>
          <cell r="L1293">
            <v>44435</v>
          </cell>
          <cell r="M1293">
            <v>44435</v>
          </cell>
          <cell r="N1293">
            <v>44453</v>
          </cell>
          <cell r="O1293">
            <v>44435</v>
          </cell>
          <cell r="P1293">
            <v>44453</v>
          </cell>
          <cell r="Q1293" t="str">
            <v>2021-09-07 → 9/11 → 9/14</v>
          </cell>
          <cell r="R1293" t="str">
            <v>2021-09-07 → 9/11 → 9/14</v>
          </cell>
          <cell r="S1293"/>
          <cell r="T1293">
            <v>44453</v>
          </cell>
          <cell r="U1293">
            <v>44455</v>
          </cell>
          <cell r="V1293">
            <v>44455</v>
          </cell>
          <cell r="W1293">
            <v>44455</v>
          </cell>
          <cell r="X1293" t="str">
            <v>41100085 → 41100086</v>
          </cell>
        </row>
        <row r="1294">
          <cell r="K1294" t="str">
            <v>GBWS-1538</v>
          </cell>
          <cell r="L1294">
            <v>44434</v>
          </cell>
          <cell r="M1294">
            <v>44434</v>
          </cell>
          <cell r="N1294">
            <v>44452</v>
          </cell>
          <cell r="O1294">
            <v>44434</v>
          </cell>
          <cell r="P1294">
            <v>44453</v>
          </cell>
          <cell r="Q1294" t="str">
            <v>2021-09-07 → 9/11 → 9/14</v>
          </cell>
          <cell r="R1294" t="str">
            <v>2021-09-07 → 9/11 → 9/14</v>
          </cell>
          <cell r="S1294"/>
          <cell r="T1294">
            <v>44453</v>
          </cell>
          <cell r="U1294">
            <v>44454</v>
          </cell>
          <cell r="V1294">
            <v>44454</v>
          </cell>
          <cell r="W1294">
            <v>44455</v>
          </cell>
          <cell r="X1294">
            <v>41100090</v>
          </cell>
        </row>
        <row r="1295">
          <cell r="K1295" t="str">
            <v>GBWS-1539</v>
          </cell>
          <cell r="L1295">
            <v>44434</v>
          </cell>
          <cell r="M1295">
            <v>44434</v>
          </cell>
          <cell r="N1295">
            <v>44452</v>
          </cell>
          <cell r="O1295">
            <v>44434</v>
          </cell>
          <cell r="P1295">
            <v>44453</v>
          </cell>
          <cell r="Q1295" t="str">
            <v>2021-09-07 → 9/11 → 9/14</v>
          </cell>
          <cell r="R1295" t="str">
            <v>2021-09-07 → 9/11 → 9/14</v>
          </cell>
          <cell r="S1295"/>
          <cell r="T1295">
            <v>44453</v>
          </cell>
          <cell r="U1295">
            <v>44454</v>
          </cell>
          <cell r="V1295">
            <v>44454</v>
          </cell>
          <cell r="W1295">
            <v>44455</v>
          </cell>
          <cell r="X1295">
            <v>41100090</v>
          </cell>
        </row>
        <row r="1296">
          <cell r="K1296" t="str">
            <v>GBWS-1496</v>
          </cell>
          <cell r="L1296">
            <v>44420</v>
          </cell>
          <cell r="M1296">
            <v>44420</v>
          </cell>
          <cell r="N1296">
            <v>44436</v>
          </cell>
          <cell r="O1296">
            <v>44420</v>
          </cell>
          <cell r="P1296">
            <v>44438</v>
          </cell>
          <cell r="Q1296">
            <v>44435</v>
          </cell>
          <cell r="R1296">
            <v>44435</v>
          </cell>
          <cell r="S1296"/>
          <cell r="T1296">
            <v>44439</v>
          </cell>
          <cell r="U1296">
            <v>44440</v>
          </cell>
          <cell r="V1296">
            <v>44441</v>
          </cell>
          <cell r="W1296">
            <v>44441</v>
          </cell>
          <cell r="X1296">
            <v>41100093</v>
          </cell>
        </row>
        <row r="1297">
          <cell r="K1297" t="str">
            <v>DBW-2363</v>
          </cell>
          <cell r="L1297">
            <v>44433</v>
          </cell>
          <cell r="M1297">
            <v>44433</v>
          </cell>
          <cell r="N1297">
            <v>44446</v>
          </cell>
          <cell r="O1297">
            <v>44433</v>
          </cell>
          <cell r="P1297">
            <v>44445</v>
          </cell>
          <cell r="Q1297" t="str">
            <v>2021-09-06 → 9/7</v>
          </cell>
          <cell r="R1297" t="str">
            <v>2021-09-06 → 9/7</v>
          </cell>
          <cell r="S1297"/>
          <cell r="T1297">
            <v>44447</v>
          </cell>
          <cell r="U1297">
            <v>44448</v>
          </cell>
          <cell r="V1297">
            <v>44449</v>
          </cell>
          <cell r="W1297">
            <v>44449</v>
          </cell>
          <cell r="X1297">
            <v>41100175</v>
          </cell>
        </row>
        <row r="1298">
          <cell r="K1298" t="str">
            <v>DBW-2364</v>
          </cell>
          <cell r="L1298">
            <v>44433</v>
          </cell>
          <cell r="M1298">
            <v>44433</v>
          </cell>
          <cell r="N1298">
            <v>44446</v>
          </cell>
          <cell r="O1298">
            <v>44433</v>
          </cell>
          <cell r="P1298">
            <v>44445</v>
          </cell>
          <cell r="Q1298" t="str">
            <v>2021-09-06 → 9/7</v>
          </cell>
          <cell r="R1298" t="str">
            <v>2021-09-06 → 9/7</v>
          </cell>
          <cell r="S1298"/>
          <cell r="T1298">
            <v>44447</v>
          </cell>
          <cell r="U1298">
            <v>44448</v>
          </cell>
          <cell r="V1298">
            <v>44449</v>
          </cell>
          <cell r="W1298">
            <v>44449</v>
          </cell>
          <cell r="X1298">
            <v>41100175</v>
          </cell>
        </row>
        <row r="1299">
          <cell r="K1299" t="str">
            <v>GBWS-1517</v>
          </cell>
          <cell r="L1299">
            <v>44428</v>
          </cell>
          <cell r="M1299">
            <v>44428</v>
          </cell>
          <cell r="N1299">
            <v>44440</v>
          </cell>
          <cell r="O1299">
            <v>44428</v>
          </cell>
          <cell r="P1299">
            <v>44440</v>
          </cell>
          <cell r="Q1299" t="str">
            <v>2021-09-01 →9/2</v>
          </cell>
          <cell r="R1299" t="str">
            <v>2021-09-01 →9/2</v>
          </cell>
          <cell r="S1299"/>
          <cell r="T1299">
            <v>44441</v>
          </cell>
          <cell r="U1299">
            <v>44445</v>
          </cell>
          <cell r="V1299">
            <v>44447</v>
          </cell>
          <cell r="W1299">
            <v>44447</v>
          </cell>
          <cell r="X1299">
            <v>41100386</v>
          </cell>
        </row>
        <row r="1300">
          <cell r="K1300" t="str">
            <v>GBWS-1557</v>
          </cell>
          <cell r="L1300">
            <v>44439</v>
          </cell>
          <cell r="M1300">
            <v>44439</v>
          </cell>
          <cell r="N1300">
            <v>44451</v>
          </cell>
          <cell r="O1300">
            <v>44439</v>
          </cell>
          <cell r="P1300">
            <v>44452</v>
          </cell>
          <cell r="Q1300" t="str">
            <v>2021-09-13 → 9/12 → 9/13</v>
          </cell>
          <cell r="R1300" t="str">
            <v>2021-09-13 → 9/12 → 9/13</v>
          </cell>
          <cell r="S1300"/>
          <cell r="T1300">
            <v>44453</v>
          </cell>
          <cell r="U1300">
            <v>44454</v>
          </cell>
          <cell r="V1300">
            <v>44455</v>
          </cell>
          <cell r="W1300">
            <v>44456</v>
          </cell>
          <cell r="X1300">
            <v>41100350</v>
          </cell>
        </row>
        <row r="1301">
          <cell r="K1301" t="str">
            <v>GBWS-1520</v>
          </cell>
          <cell r="L1301">
            <v>44432</v>
          </cell>
          <cell r="M1301">
            <v>44432</v>
          </cell>
          <cell r="N1301">
            <v>44441</v>
          </cell>
          <cell r="O1301">
            <v>44432</v>
          </cell>
          <cell r="P1301">
            <v>44440</v>
          </cell>
          <cell r="Q1301">
            <v>44441</v>
          </cell>
          <cell r="R1301">
            <v>44441</v>
          </cell>
          <cell r="S1301"/>
          <cell r="T1301">
            <v>44445</v>
          </cell>
          <cell r="U1301">
            <v>44446</v>
          </cell>
          <cell r="V1301">
            <v>44447</v>
          </cell>
          <cell r="W1301">
            <v>44448</v>
          </cell>
          <cell r="X1301">
            <v>41100391</v>
          </cell>
        </row>
        <row r="1302">
          <cell r="K1302" t="str">
            <v>DBW-2371</v>
          </cell>
          <cell r="L1302">
            <v>44439</v>
          </cell>
          <cell r="M1302">
            <v>44439</v>
          </cell>
          <cell r="N1302">
            <v>44449</v>
          </cell>
          <cell r="O1302">
            <v>44439</v>
          </cell>
          <cell r="P1302">
            <v>44449</v>
          </cell>
          <cell r="Q1302" t="str">
            <v>2021-09-08 → 9/9</v>
          </cell>
          <cell r="R1302" t="str">
            <v>2021-09-08 → 9/9</v>
          </cell>
          <cell r="S1302"/>
          <cell r="T1302">
            <v>44449</v>
          </cell>
          <cell r="U1302">
            <v>44454</v>
          </cell>
          <cell r="V1302">
            <v>44462</v>
          </cell>
          <cell r="W1302">
            <v>44462</v>
          </cell>
          <cell r="X1302">
            <v>41100395</v>
          </cell>
        </row>
        <row r="1303">
          <cell r="K1303" t="str">
            <v xml:space="preserve"> -</v>
          </cell>
          <cell r="L1303" t="str">
            <v xml:space="preserve"> -</v>
          </cell>
          <cell r="M1303">
            <v>44448</v>
          </cell>
          <cell r="N1303">
            <v>44462</v>
          </cell>
          <cell r="O1303">
            <v>44448</v>
          </cell>
          <cell r="P1303">
            <v>44467</v>
          </cell>
          <cell r="Q1303">
            <v>44454</v>
          </cell>
          <cell r="R1303">
            <v>44454</v>
          </cell>
          <cell r="S1303"/>
          <cell r="T1303" t="str">
            <v xml:space="preserve"> -</v>
          </cell>
          <cell r="U1303" t="str">
            <v xml:space="preserve"> -</v>
          </cell>
          <cell r="V1303">
            <v>44462</v>
          </cell>
          <cell r="W1303">
            <v>44462</v>
          </cell>
          <cell r="X1303">
            <v>31101724</v>
          </cell>
        </row>
        <row r="1304">
          <cell r="K1304" t="str">
            <v>GBWS-1492</v>
          </cell>
          <cell r="L1304">
            <v>44418</v>
          </cell>
          <cell r="M1304">
            <v>44419</v>
          </cell>
          <cell r="N1304">
            <v>44431</v>
          </cell>
          <cell r="O1304">
            <v>44419</v>
          </cell>
          <cell r="P1304">
            <v>44432</v>
          </cell>
          <cell r="Q1304">
            <v>44432</v>
          </cell>
          <cell r="R1304">
            <v>44432</v>
          </cell>
          <cell r="S1304"/>
          <cell r="T1304">
            <v>44432</v>
          </cell>
          <cell r="U1304">
            <v>44433</v>
          </cell>
          <cell r="V1304">
            <v>44434</v>
          </cell>
          <cell r="W1304">
            <v>44434</v>
          </cell>
          <cell r="X1304">
            <v>41100293</v>
          </cell>
        </row>
        <row r="1305">
          <cell r="K1305" t="str">
            <v>DBW-2342</v>
          </cell>
          <cell r="L1305">
            <v>44420</v>
          </cell>
          <cell r="M1305">
            <v>44420</v>
          </cell>
          <cell r="N1305">
            <v>44432</v>
          </cell>
          <cell r="O1305">
            <v>44420</v>
          </cell>
          <cell r="P1305">
            <v>44432</v>
          </cell>
          <cell r="Q1305">
            <v>44432</v>
          </cell>
          <cell r="R1305">
            <v>44432</v>
          </cell>
          <cell r="S1305"/>
          <cell r="T1305">
            <v>44433</v>
          </cell>
          <cell r="U1305">
            <v>44435</v>
          </cell>
          <cell r="V1305">
            <v>44438</v>
          </cell>
          <cell r="W1305">
            <v>44438</v>
          </cell>
          <cell r="X1305" t="str">
            <v>41100070 → 41100392</v>
          </cell>
        </row>
        <row r="1306">
          <cell r="K1306" t="str">
            <v>DBW-2368</v>
          </cell>
          <cell r="L1306">
            <v>44435</v>
          </cell>
          <cell r="M1306">
            <v>44435</v>
          </cell>
          <cell r="N1306">
            <v>44448</v>
          </cell>
          <cell r="O1306">
            <v>44435</v>
          </cell>
          <cell r="P1306">
            <v>44448</v>
          </cell>
          <cell r="Q1306" t="str">
            <v>2021-09-08 → 9/9</v>
          </cell>
          <cell r="R1306" t="str">
            <v>2021-09-08 → 9/9</v>
          </cell>
          <cell r="S1306"/>
          <cell r="T1306">
            <v>44448</v>
          </cell>
          <cell r="U1306">
            <v>44449</v>
          </cell>
          <cell r="V1306">
            <v>44454</v>
          </cell>
          <cell r="W1306">
            <v>44455</v>
          </cell>
          <cell r="X1306">
            <v>41100310</v>
          </cell>
        </row>
        <row r="1307">
          <cell r="K1307" t="str">
            <v>GBWS-1547</v>
          </cell>
          <cell r="L1307">
            <v>44434</v>
          </cell>
          <cell r="M1307">
            <v>44434</v>
          </cell>
          <cell r="N1307">
            <v>44449</v>
          </cell>
          <cell r="O1307">
            <v>44434</v>
          </cell>
          <cell r="P1307">
            <v>44449</v>
          </cell>
          <cell r="Q1307" t="str">
            <v>2021-09-09 → 9/10</v>
          </cell>
          <cell r="R1307" t="str">
            <v>2021-09-09 → 9/10</v>
          </cell>
          <cell r="S1307"/>
          <cell r="T1307">
            <v>44451</v>
          </cell>
          <cell r="U1307">
            <v>44453</v>
          </cell>
          <cell r="V1307">
            <v>44454</v>
          </cell>
          <cell r="W1307">
            <v>44454</v>
          </cell>
          <cell r="X1307">
            <v>41100293</v>
          </cell>
        </row>
        <row r="1308">
          <cell r="K1308" t="str">
            <v>DBW-2372</v>
          </cell>
          <cell r="L1308">
            <v>44439</v>
          </cell>
          <cell r="M1308">
            <v>44439</v>
          </cell>
          <cell r="N1308">
            <v>44449</v>
          </cell>
          <cell r="O1308">
            <v>44439</v>
          </cell>
          <cell r="P1308">
            <v>44449</v>
          </cell>
          <cell r="Q1308" t="str">
            <v>2021-09-08 → 9/9</v>
          </cell>
          <cell r="R1308" t="str">
            <v>2021-09-08 → 9/9</v>
          </cell>
          <cell r="S1308"/>
          <cell r="T1308">
            <v>44449</v>
          </cell>
          <cell r="U1308">
            <v>44452</v>
          </cell>
          <cell r="V1308">
            <v>44454</v>
          </cell>
          <cell r="W1308">
            <v>44455</v>
          </cell>
          <cell r="X1308">
            <v>41100258</v>
          </cell>
        </row>
        <row r="1309">
          <cell r="K1309" t="str">
            <v>GBWS-1549</v>
          </cell>
          <cell r="L1309">
            <v>44434</v>
          </cell>
          <cell r="M1309">
            <v>44434</v>
          </cell>
          <cell r="N1309">
            <v>44449</v>
          </cell>
          <cell r="O1309">
            <v>44434</v>
          </cell>
          <cell r="P1309">
            <v>44448</v>
          </cell>
          <cell r="Q1309" t="str">
            <v>2021-09-09 → 9/10</v>
          </cell>
          <cell r="R1309" t="str">
            <v>2021-09-09 → 9/10</v>
          </cell>
          <cell r="S1309"/>
          <cell r="T1309">
            <v>44451</v>
          </cell>
          <cell r="U1309">
            <v>44453</v>
          </cell>
          <cell r="V1309">
            <v>44454</v>
          </cell>
          <cell r="W1309">
            <v>44455</v>
          </cell>
          <cell r="X1309">
            <v>41100325</v>
          </cell>
        </row>
        <row r="1310">
          <cell r="K1310" t="str">
            <v>GBWS-1544</v>
          </cell>
          <cell r="L1310">
            <v>44434</v>
          </cell>
          <cell r="M1310">
            <v>44434</v>
          </cell>
          <cell r="N1310">
            <v>44449</v>
          </cell>
          <cell r="O1310">
            <v>44434</v>
          </cell>
          <cell r="P1310">
            <v>44449</v>
          </cell>
          <cell r="Q1310" t="str">
            <v>2021-09-09 → 9/10</v>
          </cell>
          <cell r="R1310" t="str">
            <v>2021-09-09 → 9/10</v>
          </cell>
          <cell r="S1310"/>
          <cell r="T1310">
            <v>44451</v>
          </cell>
          <cell r="U1310">
            <v>44452</v>
          </cell>
          <cell r="V1310">
            <v>44455</v>
          </cell>
          <cell r="W1310">
            <v>44455</v>
          </cell>
          <cell r="X1310">
            <v>41100319</v>
          </cell>
        </row>
        <row r="1311">
          <cell r="K1311" t="str">
            <v>GBWS-1545</v>
          </cell>
          <cell r="L1311">
            <v>44434</v>
          </cell>
          <cell r="M1311">
            <v>44434</v>
          </cell>
          <cell r="N1311">
            <v>44449</v>
          </cell>
          <cell r="O1311">
            <v>44434</v>
          </cell>
          <cell r="P1311">
            <v>44449</v>
          </cell>
          <cell r="Q1311" t="str">
            <v>2021-09-09 → 9/10</v>
          </cell>
          <cell r="R1311" t="str">
            <v>2021-09-09 → 9/10</v>
          </cell>
          <cell r="S1311"/>
          <cell r="T1311">
            <v>44451</v>
          </cell>
          <cell r="U1311">
            <v>44452</v>
          </cell>
          <cell r="V1311">
            <v>44455</v>
          </cell>
          <cell r="W1311">
            <v>44455</v>
          </cell>
          <cell r="X1311">
            <v>41100319</v>
          </cell>
        </row>
        <row r="1312">
          <cell r="K1312" t="str">
            <v>DBW-2378</v>
          </cell>
          <cell r="L1312">
            <v>44439</v>
          </cell>
          <cell r="M1312">
            <v>44439</v>
          </cell>
          <cell r="N1312">
            <v>44447</v>
          </cell>
          <cell r="O1312">
            <v>44439</v>
          </cell>
          <cell r="P1312">
            <v>44447</v>
          </cell>
          <cell r="Q1312">
            <v>44446</v>
          </cell>
          <cell r="R1312">
            <v>44446</v>
          </cell>
          <cell r="S1312"/>
          <cell r="T1312">
            <v>44447</v>
          </cell>
          <cell r="U1312">
            <v>44448</v>
          </cell>
          <cell r="V1312">
            <v>44449</v>
          </cell>
          <cell r="W1312">
            <v>44449</v>
          </cell>
          <cell r="X1312">
            <v>41100229</v>
          </cell>
        </row>
        <row r="1313">
          <cell r="K1313" t="str">
            <v>IVAS-088</v>
          </cell>
          <cell r="L1313">
            <v>44435</v>
          </cell>
          <cell r="M1313">
            <v>44435</v>
          </cell>
          <cell r="N1313">
            <v>44448</v>
          </cell>
          <cell r="O1313">
            <v>44435</v>
          </cell>
          <cell r="P1313">
            <v>44448</v>
          </cell>
          <cell r="Q1313" t="str">
            <v>2021-09-08 → 9/9</v>
          </cell>
          <cell r="R1313" t="str">
            <v>2021-09-08 → 9/9</v>
          </cell>
          <cell r="S1313"/>
          <cell r="T1313">
            <v>44448</v>
          </cell>
          <cell r="U1313">
            <v>44462</v>
          </cell>
          <cell r="V1313">
            <v>44466</v>
          </cell>
          <cell r="W1313">
            <v>44466</v>
          </cell>
          <cell r="X1313">
            <v>41100273</v>
          </cell>
        </row>
        <row r="1314">
          <cell r="K1314" t="str">
            <v>GBWS-1540</v>
          </cell>
          <cell r="L1314">
            <v>44434</v>
          </cell>
          <cell r="M1314">
            <v>44434</v>
          </cell>
          <cell r="N1314">
            <v>44451</v>
          </cell>
          <cell r="O1314">
            <v>44434</v>
          </cell>
          <cell r="P1314">
            <v>44452</v>
          </cell>
          <cell r="Q1314">
            <v>44449</v>
          </cell>
          <cell r="R1314">
            <v>44449</v>
          </cell>
          <cell r="S1314"/>
          <cell r="T1314">
            <v>44452</v>
          </cell>
          <cell r="U1314">
            <v>44453</v>
          </cell>
          <cell r="V1314">
            <v>44454</v>
          </cell>
          <cell r="W1314">
            <v>44455</v>
          </cell>
          <cell r="X1314">
            <v>41100349</v>
          </cell>
        </row>
        <row r="1315">
          <cell r="K1315" t="str">
            <v>GBWS-1541</v>
          </cell>
          <cell r="L1315">
            <v>44434</v>
          </cell>
          <cell r="M1315">
            <v>44434</v>
          </cell>
          <cell r="N1315">
            <v>44451</v>
          </cell>
          <cell r="O1315">
            <v>44434</v>
          </cell>
          <cell r="P1315">
            <v>44452</v>
          </cell>
          <cell r="Q1315">
            <v>44449</v>
          </cell>
          <cell r="R1315">
            <v>44449</v>
          </cell>
          <cell r="S1315"/>
          <cell r="T1315">
            <v>44452</v>
          </cell>
          <cell r="U1315">
            <v>44453</v>
          </cell>
          <cell r="V1315">
            <v>44454</v>
          </cell>
          <cell r="W1315">
            <v>44454</v>
          </cell>
          <cell r="X1315">
            <v>41100349</v>
          </cell>
        </row>
        <row r="1316">
          <cell r="K1316" t="str">
            <v>GBWS-1542</v>
          </cell>
          <cell r="L1316">
            <v>44434</v>
          </cell>
          <cell r="M1316">
            <v>44434</v>
          </cell>
          <cell r="N1316">
            <v>44451</v>
          </cell>
          <cell r="O1316">
            <v>44434</v>
          </cell>
          <cell r="P1316">
            <v>44452</v>
          </cell>
          <cell r="Q1316">
            <v>44449</v>
          </cell>
          <cell r="R1316">
            <v>44449</v>
          </cell>
          <cell r="S1316"/>
          <cell r="T1316">
            <v>44452</v>
          </cell>
          <cell r="U1316">
            <v>44453</v>
          </cell>
          <cell r="V1316">
            <v>44454</v>
          </cell>
          <cell r="W1316">
            <v>44455</v>
          </cell>
          <cell r="X1316">
            <v>41100349</v>
          </cell>
        </row>
        <row r="1317">
          <cell r="K1317" t="str">
            <v>GBWS-1543</v>
          </cell>
          <cell r="L1317">
            <v>44434</v>
          </cell>
          <cell r="M1317">
            <v>44434</v>
          </cell>
          <cell r="N1317">
            <v>44451</v>
          </cell>
          <cell r="O1317">
            <v>44434</v>
          </cell>
          <cell r="P1317">
            <v>44452</v>
          </cell>
          <cell r="Q1317">
            <v>44449</v>
          </cell>
          <cell r="R1317">
            <v>44449</v>
          </cell>
          <cell r="S1317"/>
          <cell r="T1317">
            <v>44452</v>
          </cell>
          <cell r="U1317">
            <v>44453</v>
          </cell>
          <cell r="V1317">
            <v>44454</v>
          </cell>
          <cell r="W1317">
            <v>44454</v>
          </cell>
          <cell r="X1317">
            <v>41100364</v>
          </cell>
        </row>
        <row r="1318">
          <cell r="K1318" t="str">
            <v>GBWS-1562</v>
          </cell>
          <cell r="L1318">
            <v>44439</v>
          </cell>
          <cell r="M1318">
            <v>44439</v>
          </cell>
          <cell r="N1318">
            <v>44462</v>
          </cell>
          <cell r="O1318">
            <v>44439</v>
          </cell>
          <cell r="P1318">
            <v>44462</v>
          </cell>
          <cell r="Q1318" t="str">
            <v>2021-09-08 → 9/12 → 9/23</v>
          </cell>
          <cell r="R1318" t="str">
            <v>2021-09-08 → 9/12 → 9/23</v>
          </cell>
          <cell r="S1318"/>
          <cell r="T1318">
            <v>44462</v>
          </cell>
          <cell r="U1318">
            <v>44463</v>
          </cell>
          <cell r="V1318">
            <v>44466</v>
          </cell>
          <cell r="W1318">
            <v>44466</v>
          </cell>
          <cell r="X1318">
            <v>41100292</v>
          </cell>
        </row>
        <row r="1319">
          <cell r="K1319" t="str">
            <v>GBWS-1573</v>
          </cell>
          <cell r="L1319">
            <v>44442</v>
          </cell>
          <cell r="M1319">
            <v>44442</v>
          </cell>
          <cell r="N1319">
            <v>44462</v>
          </cell>
          <cell r="O1319">
            <v>44442</v>
          </cell>
          <cell r="P1319">
            <v>44462</v>
          </cell>
          <cell r="Q1319" t="str">
            <v>2021-09-13 → 9/23</v>
          </cell>
          <cell r="R1319" t="str">
            <v>2021-09-13 → 9/23</v>
          </cell>
          <cell r="S1319"/>
          <cell r="T1319">
            <v>44462</v>
          </cell>
          <cell r="U1319">
            <v>44467</v>
          </cell>
          <cell r="V1319">
            <v>44468</v>
          </cell>
          <cell r="W1319">
            <v>44468</v>
          </cell>
          <cell r="X1319">
            <v>41100350</v>
          </cell>
        </row>
        <row r="1320">
          <cell r="K1320" t="str">
            <v>GBWS-1558</v>
          </cell>
          <cell r="L1320">
            <v>44439</v>
          </cell>
          <cell r="M1320">
            <v>44439</v>
          </cell>
          <cell r="N1320">
            <v>44462</v>
          </cell>
          <cell r="O1320">
            <v>44439</v>
          </cell>
          <cell r="P1320">
            <v>44452</v>
          </cell>
          <cell r="Q1320" t="str">
            <v>2021-09-08 → 9/12 → 9/23</v>
          </cell>
          <cell r="R1320" t="str">
            <v>2021-09-08 → 9/12 → 9/23</v>
          </cell>
          <cell r="S1320"/>
          <cell r="T1320">
            <v>44468</v>
          </cell>
          <cell r="U1320">
            <v>44469</v>
          </cell>
          <cell r="V1320">
            <v>44469</v>
          </cell>
          <cell r="W1320">
            <v>44469</v>
          </cell>
          <cell r="X1320">
            <v>41100286</v>
          </cell>
        </row>
        <row r="1321">
          <cell r="K1321" t="str">
            <v>GBWS-1561</v>
          </cell>
          <cell r="L1321">
            <v>44439</v>
          </cell>
          <cell r="M1321">
            <v>44439</v>
          </cell>
          <cell r="N1321">
            <v>44462</v>
          </cell>
          <cell r="O1321">
            <v>44439</v>
          </cell>
          <cell r="P1321">
            <v>44452</v>
          </cell>
          <cell r="Q1321" t="str">
            <v>2021-09-08 → 9/12 → 9/23</v>
          </cell>
          <cell r="R1321" t="str">
            <v>2021-09-08 → 9/12 → 9/23</v>
          </cell>
          <cell r="S1321"/>
          <cell r="T1321">
            <v>44467</v>
          </cell>
          <cell r="U1321">
            <v>44469</v>
          </cell>
          <cell r="V1321">
            <v>44469</v>
          </cell>
          <cell r="W1321">
            <v>44469</v>
          </cell>
          <cell r="X1321">
            <v>41100295</v>
          </cell>
        </row>
        <row r="1322">
          <cell r="K1322" t="str">
            <v>DBW-2365</v>
          </cell>
          <cell r="L1322">
            <v>44434</v>
          </cell>
          <cell r="M1322">
            <v>44434</v>
          </cell>
          <cell r="N1322">
            <v>44442</v>
          </cell>
          <cell r="O1322">
            <v>44434</v>
          </cell>
          <cell r="P1322">
            <v>44445</v>
          </cell>
          <cell r="Q1322">
            <v>44445</v>
          </cell>
          <cell r="R1322">
            <v>44445</v>
          </cell>
          <cell r="S1322"/>
          <cell r="T1322">
            <v>44446</v>
          </cell>
          <cell r="U1322">
            <v>44447</v>
          </cell>
          <cell r="V1322">
            <v>44448</v>
          </cell>
          <cell r="W1322">
            <v>44448</v>
          </cell>
          <cell r="X1322">
            <v>41100354</v>
          </cell>
        </row>
        <row r="1323">
          <cell r="K1323" t="str">
            <v>DBW-2366</v>
          </cell>
          <cell r="L1323">
            <v>44434</v>
          </cell>
          <cell r="M1323">
            <v>44434</v>
          </cell>
          <cell r="N1323">
            <v>44442</v>
          </cell>
          <cell r="O1323">
            <v>44434</v>
          </cell>
          <cell r="P1323">
            <v>44445</v>
          </cell>
          <cell r="Q1323">
            <v>44445</v>
          </cell>
          <cell r="R1323">
            <v>44445</v>
          </cell>
          <cell r="S1323"/>
          <cell r="T1323">
            <v>44446</v>
          </cell>
          <cell r="U1323">
            <v>44447</v>
          </cell>
          <cell r="V1323">
            <v>44448</v>
          </cell>
          <cell r="W1323">
            <v>44448</v>
          </cell>
          <cell r="X1323">
            <v>41100354</v>
          </cell>
        </row>
        <row r="1324">
          <cell r="K1324" t="str">
            <v>DBW-2367</v>
          </cell>
          <cell r="L1324">
            <v>44434</v>
          </cell>
          <cell r="M1324">
            <v>44434</v>
          </cell>
          <cell r="N1324">
            <v>44445</v>
          </cell>
          <cell r="O1324">
            <v>44434</v>
          </cell>
          <cell r="P1324">
            <v>44445</v>
          </cell>
          <cell r="Q1324">
            <v>44445</v>
          </cell>
          <cell r="R1324">
            <v>44445</v>
          </cell>
          <cell r="S1324"/>
          <cell r="T1324">
            <v>44447</v>
          </cell>
          <cell r="U1324">
            <v>44448</v>
          </cell>
          <cell r="V1324">
            <v>44450</v>
          </cell>
          <cell r="W1324">
            <v>44450</v>
          </cell>
          <cell r="X1324">
            <v>41100360</v>
          </cell>
        </row>
        <row r="1325">
          <cell r="K1325" t="str">
            <v>GBWS-1560</v>
          </cell>
          <cell r="L1325">
            <v>44439</v>
          </cell>
          <cell r="M1325">
            <v>44439</v>
          </cell>
          <cell r="N1325">
            <v>44462</v>
          </cell>
          <cell r="O1325">
            <v>44439</v>
          </cell>
          <cell r="P1325">
            <v>44452</v>
          </cell>
          <cell r="Q1325" t="str">
            <v>2021-09-08 → 9/12 → 9/23</v>
          </cell>
          <cell r="R1325" t="str">
            <v>2021-09-08 → 9/12 → 9/23</v>
          </cell>
          <cell r="S1325"/>
          <cell r="T1325">
            <v>44467</v>
          </cell>
          <cell r="U1325">
            <v>44468</v>
          </cell>
          <cell r="V1325">
            <v>44468</v>
          </cell>
          <cell r="W1325">
            <v>44468</v>
          </cell>
          <cell r="X1325">
            <v>41100286</v>
          </cell>
        </row>
        <row r="1326">
          <cell r="K1326" t="str">
            <v>GBWS-1566</v>
          </cell>
          <cell r="L1326">
            <v>44442</v>
          </cell>
          <cell r="M1326">
            <v>44442</v>
          </cell>
          <cell r="N1326">
            <v>44455</v>
          </cell>
          <cell r="O1326">
            <v>44442</v>
          </cell>
          <cell r="P1326">
            <v>44455</v>
          </cell>
          <cell r="Q1326" t="str">
            <v>2021-09-15 → 9/16</v>
          </cell>
          <cell r="R1326" t="str">
            <v>2021-09-15 → 9/16</v>
          </cell>
          <cell r="S1326"/>
          <cell r="T1326">
            <v>44463</v>
          </cell>
          <cell r="U1326">
            <v>44467</v>
          </cell>
          <cell r="V1326">
            <v>44468</v>
          </cell>
          <cell r="W1326">
            <v>44468</v>
          </cell>
          <cell r="X1326">
            <v>41100293</v>
          </cell>
        </row>
        <row r="1327">
          <cell r="K1327" t="str">
            <v>GBWS-1567</v>
          </cell>
          <cell r="L1327">
            <v>44442</v>
          </cell>
          <cell r="M1327">
            <v>44442</v>
          </cell>
          <cell r="N1327">
            <v>44455</v>
          </cell>
          <cell r="O1327">
            <v>44442</v>
          </cell>
          <cell r="P1327">
            <v>44455</v>
          </cell>
          <cell r="Q1327" t="str">
            <v>2021-09-15 → 9/16</v>
          </cell>
          <cell r="R1327" t="str">
            <v>2021-09-15 → 9/16</v>
          </cell>
          <cell r="S1327"/>
          <cell r="T1327">
            <v>44463</v>
          </cell>
          <cell r="U1327">
            <v>44466</v>
          </cell>
          <cell r="V1327">
            <v>44467</v>
          </cell>
          <cell r="W1327">
            <v>44467</v>
          </cell>
          <cell r="X1327">
            <v>41100293</v>
          </cell>
        </row>
        <row r="1328">
          <cell r="K1328" t="str">
            <v>GBWS-1568</v>
          </cell>
          <cell r="L1328">
            <v>44442</v>
          </cell>
          <cell r="M1328">
            <v>44442</v>
          </cell>
          <cell r="N1328">
            <v>44455</v>
          </cell>
          <cell r="O1328">
            <v>44442</v>
          </cell>
          <cell r="P1328">
            <v>44455</v>
          </cell>
          <cell r="Q1328" t="str">
            <v>2021-09-15 → 9/16</v>
          </cell>
          <cell r="R1328" t="str">
            <v>2021-09-15 → 9/16</v>
          </cell>
          <cell r="S1328"/>
          <cell r="T1328">
            <v>44463</v>
          </cell>
          <cell r="U1328">
            <v>44466</v>
          </cell>
          <cell r="V1328">
            <v>44467</v>
          </cell>
          <cell r="W1328">
            <v>44467</v>
          </cell>
          <cell r="X1328">
            <v>41100293</v>
          </cell>
        </row>
        <row r="1329">
          <cell r="K1329" t="str">
            <v>GBWS-1565</v>
          </cell>
          <cell r="L1329">
            <v>44441</v>
          </cell>
          <cell r="M1329">
            <v>44441</v>
          </cell>
          <cell r="N1329">
            <v>44454</v>
          </cell>
          <cell r="O1329">
            <v>44441</v>
          </cell>
          <cell r="P1329">
            <v>44454</v>
          </cell>
          <cell r="Q1329">
            <v>44453</v>
          </cell>
          <cell r="R1329">
            <v>44453</v>
          </cell>
          <cell r="S1329"/>
          <cell r="T1329">
            <v>44454</v>
          </cell>
          <cell r="U1329">
            <v>44455</v>
          </cell>
          <cell r="V1329">
            <v>44467</v>
          </cell>
          <cell r="W1329">
            <v>44468</v>
          </cell>
          <cell r="X1329">
            <v>41100320</v>
          </cell>
        </row>
        <row r="1330">
          <cell r="K1330" t="str">
            <v>GBWS-1571</v>
          </cell>
          <cell r="L1330">
            <v>44441</v>
          </cell>
          <cell r="M1330">
            <v>44442</v>
          </cell>
          <cell r="N1330">
            <v>44454</v>
          </cell>
          <cell r="O1330">
            <v>44442</v>
          </cell>
          <cell r="P1330">
            <v>44454</v>
          </cell>
          <cell r="Q1330">
            <v>44454</v>
          </cell>
          <cell r="R1330">
            <v>44454</v>
          </cell>
          <cell r="S1330"/>
          <cell r="T1330">
            <v>44455</v>
          </cell>
          <cell r="U1330">
            <v>44462</v>
          </cell>
          <cell r="V1330">
            <v>44466</v>
          </cell>
          <cell r="W1330">
            <v>44466</v>
          </cell>
          <cell r="X1330">
            <v>41100293</v>
          </cell>
        </row>
        <row r="1331">
          <cell r="K1331" t="str">
            <v>DBW-2360</v>
          </cell>
          <cell r="L1331">
            <v>44426</v>
          </cell>
          <cell r="M1331">
            <v>44426</v>
          </cell>
          <cell r="N1331">
            <v>44439</v>
          </cell>
          <cell r="O1331">
            <v>44426</v>
          </cell>
          <cell r="P1331">
            <v>44439</v>
          </cell>
          <cell r="Q1331">
            <v>44439</v>
          </cell>
          <cell r="R1331">
            <v>44439</v>
          </cell>
          <cell r="S1331"/>
          <cell r="T1331">
            <v>44440</v>
          </cell>
          <cell r="U1331">
            <v>44441</v>
          </cell>
          <cell r="V1331">
            <v>44445</v>
          </cell>
          <cell r="W1331">
            <v>44445</v>
          </cell>
          <cell r="X1331">
            <v>41100310</v>
          </cell>
        </row>
        <row r="1332">
          <cell r="K1332" t="str">
            <v>GBW-0272</v>
          </cell>
          <cell r="L1332">
            <v>44446</v>
          </cell>
          <cell r="M1332">
            <v>44447</v>
          </cell>
          <cell r="N1332">
            <v>44467</v>
          </cell>
          <cell r="O1332">
            <v>44447</v>
          </cell>
          <cell r="P1332">
            <v>44467</v>
          </cell>
          <cell r="Q1332" t="str">
            <v>2021-09-27 → 9/28</v>
          </cell>
          <cell r="R1332" t="str">
            <v>2021-09-27 → 9/28</v>
          </cell>
          <cell r="S1332"/>
          <cell r="T1332">
            <v>44468</v>
          </cell>
          <cell r="U1332">
            <v>44474</v>
          </cell>
          <cell r="V1332">
            <v>44475</v>
          </cell>
          <cell r="W1332">
            <v>44475</v>
          </cell>
          <cell r="X1332">
            <v>41100371</v>
          </cell>
        </row>
        <row r="1333">
          <cell r="K1333" t="str">
            <v>GBW-0273</v>
          </cell>
          <cell r="L1333">
            <v>44446</v>
          </cell>
          <cell r="M1333">
            <v>44447</v>
          </cell>
          <cell r="N1333">
            <v>44467</v>
          </cell>
          <cell r="O1333">
            <v>44447</v>
          </cell>
          <cell r="P1333">
            <v>44467</v>
          </cell>
          <cell r="Q1333" t="str">
            <v>2021-09-27 → 9/28</v>
          </cell>
          <cell r="R1333" t="str">
            <v>2021-09-27 → 9/28</v>
          </cell>
          <cell r="S1333"/>
          <cell r="T1333">
            <v>44468</v>
          </cell>
          <cell r="U1333">
            <v>44474</v>
          </cell>
          <cell r="V1333">
            <v>44475</v>
          </cell>
          <cell r="W1333">
            <v>44475</v>
          </cell>
          <cell r="X1333">
            <v>41100371</v>
          </cell>
        </row>
        <row r="1334">
          <cell r="K1334" t="str">
            <v>GBW-0274</v>
          </cell>
          <cell r="L1334">
            <v>44446</v>
          </cell>
          <cell r="M1334">
            <v>44447</v>
          </cell>
          <cell r="N1334">
            <v>44467</v>
          </cell>
          <cell r="O1334">
            <v>44447</v>
          </cell>
          <cell r="P1334">
            <v>44467</v>
          </cell>
          <cell r="Q1334" t="str">
            <v>2021-09-27 → 9/28</v>
          </cell>
          <cell r="R1334" t="str">
            <v>2021-09-27 → 9/28</v>
          </cell>
          <cell r="S1334"/>
          <cell r="T1334">
            <v>44468</v>
          </cell>
          <cell r="U1334">
            <v>44474</v>
          </cell>
          <cell r="V1334">
            <v>44475</v>
          </cell>
          <cell r="W1334">
            <v>44475</v>
          </cell>
          <cell r="X1334">
            <v>41100371</v>
          </cell>
        </row>
        <row r="1335">
          <cell r="K1335" t="str">
            <v>GBWS-1518</v>
          </cell>
          <cell r="L1335">
            <v>44428</v>
          </cell>
          <cell r="M1335">
            <v>44428</v>
          </cell>
          <cell r="N1335">
            <v>44440</v>
          </cell>
          <cell r="O1335">
            <v>44428</v>
          </cell>
          <cell r="P1335">
            <v>44440</v>
          </cell>
          <cell r="Q1335" t="str">
            <v>2021-09-01 →9/2</v>
          </cell>
          <cell r="R1335" t="str">
            <v>2021-09-01 →9/2</v>
          </cell>
          <cell r="S1335"/>
          <cell r="T1335">
            <v>44441</v>
          </cell>
          <cell r="U1335">
            <v>44445</v>
          </cell>
          <cell r="V1335">
            <v>44447</v>
          </cell>
          <cell r="W1335">
            <v>44447</v>
          </cell>
          <cell r="X1335">
            <v>41100386</v>
          </cell>
        </row>
        <row r="1336">
          <cell r="K1336" t="str">
            <v>DBW-2358</v>
          </cell>
          <cell r="L1336">
            <v>44426</v>
          </cell>
          <cell r="M1336">
            <v>44426</v>
          </cell>
          <cell r="N1336">
            <v>44439</v>
          </cell>
          <cell r="O1336">
            <v>44426</v>
          </cell>
          <cell r="P1336">
            <v>44439</v>
          </cell>
          <cell r="Q1336">
            <v>44439</v>
          </cell>
          <cell r="R1336">
            <v>44439</v>
          </cell>
          <cell r="S1336"/>
          <cell r="T1336">
            <v>44440</v>
          </cell>
          <cell r="U1336">
            <v>44442</v>
          </cell>
          <cell r="V1336">
            <v>44445</v>
          </cell>
          <cell r="W1336">
            <v>44447</v>
          </cell>
          <cell r="X1336">
            <v>41100310</v>
          </cell>
        </row>
        <row r="1337">
          <cell r="K1337" t="str">
            <v>GBWS-1569</v>
          </cell>
          <cell r="L1337">
            <v>44441</v>
          </cell>
          <cell r="M1337">
            <v>44442</v>
          </cell>
          <cell r="N1337">
            <v>44454</v>
          </cell>
          <cell r="O1337">
            <v>44442</v>
          </cell>
          <cell r="P1337">
            <v>44454</v>
          </cell>
          <cell r="Q1337">
            <v>44454</v>
          </cell>
          <cell r="R1337">
            <v>44454</v>
          </cell>
          <cell r="S1337"/>
          <cell r="T1337">
            <v>44454</v>
          </cell>
          <cell r="U1337">
            <v>44455</v>
          </cell>
          <cell r="V1337">
            <v>44467</v>
          </cell>
          <cell r="W1337">
            <v>44468</v>
          </cell>
          <cell r="X1337">
            <v>41100318</v>
          </cell>
        </row>
        <row r="1338">
          <cell r="K1338" t="str">
            <v>GBWS-1572</v>
          </cell>
          <cell r="L1338">
            <v>44441</v>
          </cell>
          <cell r="M1338">
            <v>44442</v>
          </cell>
          <cell r="N1338">
            <v>44454</v>
          </cell>
          <cell r="O1338">
            <v>44442</v>
          </cell>
          <cell r="P1338">
            <v>44454</v>
          </cell>
          <cell r="Q1338">
            <v>44454</v>
          </cell>
          <cell r="R1338">
            <v>44454</v>
          </cell>
          <cell r="S1338"/>
          <cell r="T1338">
            <v>44455</v>
          </cell>
          <cell r="U1338">
            <v>44462</v>
          </cell>
          <cell r="V1338">
            <v>44467</v>
          </cell>
          <cell r="W1338">
            <v>44468</v>
          </cell>
          <cell r="X1338">
            <v>41100293</v>
          </cell>
        </row>
        <row r="1339">
          <cell r="K1339" t="str">
            <v>GBWS-1592</v>
          </cell>
          <cell r="L1339">
            <v>44446</v>
          </cell>
          <cell r="M1339">
            <v>44447</v>
          </cell>
          <cell r="N1339">
            <v>44467</v>
          </cell>
          <cell r="O1339">
            <v>44447</v>
          </cell>
          <cell r="P1339">
            <v>44466</v>
          </cell>
          <cell r="Q1339">
            <v>44467</v>
          </cell>
          <cell r="R1339">
            <v>44467</v>
          </cell>
          <cell r="S1339"/>
          <cell r="T1339">
            <v>44469</v>
          </cell>
          <cell r="U1339">
            <v>44475</v>
          </cell>
          <cell r="V1339">
            <v>44476</v>
          </cell>
          <cell r="W1339">
            <v>44476</v>
          </cell>
          <cell r="X1339">
            <v>41100293</v>
          </cell>
        </row>
        <row r="1340">
          <cell r="K1340" t="str">
            <v xml:space="preserve"> -</v>
          </cell>
          <cell r="L1340" t="str">
            <v xml:space="preserve"> -</v>
          </cell>
          <cell r="M1340">
            <v>44448</v>
          </cell>
          <cell r="N1340">
            <v>44469</v>
          </cell>
          <cell r="O1340">
            <v>44448</v>
          </cell>
          <cell r="P1340">
            <v>44469</v>
          </cell>
          <cell r="Q1340">
            <v>44462</v>
          </cell>
          <cell r="R1340">
            <v>44462</v>
          </cell>
          <cell r="S1340"/>
          <cell r="T1340" t="str">
            <v xml:space="preserve"> -</v>
          </cell>
          <cell r="U1340" t="str">
            <v xml:space="preserve"> -</v>
          </cell>
          <cell r="V1340">
            <v>44469</v>
          </cell>
          <cell r="W1340">
            <v>44469</v>
          </cell>
          <cell r="X1340">
            <v>31101726</v>
          </cell>
        </row>
        <row r="1341">
          <cell r="K1341" t="str">
            <v>GBWS-1479</v>
          </cell>
          <cell r="L1341">
            <v>44410</v>
          </cell>
          <cell r="M1341">
            <v>44411</v>
          </cell>
          <cell r="N1341">
            <v>44425</v>
          </cell>
          <cell r="O1341">
            <v>44411</v>
          </cell>
          <cell r="P1341">
            <v>44426</v>
          </cell>
          <cell r="Q1341" t="str">
            <v>8/16 → 8/18</v>
          </cell>
          <cell r="R1341" t="str">
            <v>8/16 → 8/18</v>
          </cell>
          <cell r="S1341"/>
          <cell r="T1341">
            <v>44427</v>
          </cell>
          <cell r="U1341">
            <v>44432</v>
          </cell>
          <cell r="V1341">
            <v>44433</v>
          </cell>
          <cell r="W1341">
            <v>44433</v>
          </cell>
          <cell r="X1341">
            <v>41100287</v>
          </cell>
        </row>
        <row r="1342">
          <cell r="K1342" t="str">
            <v>GBWS-1529</v>
          </cell>
          <cell r="L1342">
            <v>44433</v>
          </cell>
          <cell r="M1342">
            <v>44433</v>
          </cell>
          <cell r="N1342">
            <v>44444</v>
          </cell>
          <cell r="O1342">
            <v>44433</v>
          </cell>
          <cell r="P1342">
            <v>44442</v>
          </cell>
          <cell r="Q1342">
            <v>44442</v>
          </cell>
          <cell r="R1342">
            <v>44442</v>
          </cell>
          <cell r="S1342"/>
          <cell r="T1342">
            <v>44445</v>
          </cell>
          <cell r="U1342">
            <v>44446</v>
          </cell>
          <cell r="V1342">
            <v>44447</v>
          </cell>
          <cell r="W1342">
            <v>44447</v>
          </cell>
          <cell r="X1342">
            <v>41100386</v>
          </cell>
        </row>
        <row r="1343">
          <cell r="K1343" t="str">
            <v>GBWS-1530</v>
          </cell>
          <cell r="L1343">
            <v>44433</v>
          </cell>
          <cell r="M1343">
            <v>44433</v>
          </cell>
          <cell r="N1343">
            <v>44444</v>
          </cell>
          <cell r="O1343">
            <v>44433</v>
          </cell>
          <cell r="P1343">
            <v>44442</v>
          </cell>
          <cell r="Q1343">
            <v>44442</v>
          </cell>
          <cell r="R1343">
            <v>44442</v>
          </cell>
          <cell r="S1343"/>
          <cell r="T1343">
            <v>44445</v>
          </cell>
          <cell r="U1343">
            <v>44446</v>
          </cell>
          <cell r="V1343">
            <v>44447</v>
          </cell>
          <cell r="W1343">
            <v>44447</v>
          </cell>
          <cell r="X1343">
            <v>41100386</v>
          </cell>
        </row>
        <row r="1344">
          <cell r="K1344" t="str">
            <v>WS-0045</v>
          </cell>
          <cell r="L1344">
            <v>44449</v>
          </cell>
          <cell r="M1344">
            <v>44449</v>
          </cell>
          <cell r="N1344">
            <v>44467</v>
          </cell>
          <cell r="O1344">
            <v>44449</v>
          </cell>
          <cell r="P1344">
            <v>44466</v>
          </cell>
          <cell r="Q1344">
            <v>44466</v>
          </cell>
          <cell r="R1344">
            <v>44466</v>
          </cell>
          <cell r="S1344"/>
          <cell r="T1344">
            <v>44467</v>
          </cell>
          <cell r="U1344">
            <v>44469</v>
          </cell>
          <cell r="V1344">
            <v>44469</v>
          </cell>
          <cell r="W1344">
            <v>44470</v>
          </cell>
          <cell r="X1344">
            <v>41100300</v>
          </cell>
        </row>
        <row r="1345">
          <cell r="K1345" t="str">
            <v>GBWS-1612</v>
          </cell>
          <cell r="L1345">
            <v>44453</v>
          </cell>
          <cell r="M1345">
            <v>44454</v>
          </cell>
          <cell r="N1345">
            <v>44475</v>
          </cell>
          <cell r="O1345">
            <v>44454</v>
          </cell>
          <cell r="P1345">
            <v>44474</v>
          </cell>
          <cell r="Q1345">
            <v>44473</v>
          </cell>
          <cell r="R1345">
            <v>44473</v>
          </cell>
          <cell r="S1345"/>
          <cell r="T1345">
            <v>44475</v>
          </cell>
          <cell r="U1345">
            <v>44476</v>
          </cell>
          <cell r="V1345">
            <v>44477</v>
          </cell>
          <cell r="W1345">
            <v>44477</v>
          </cell>
          <cell r="X1345">
            <v>41100286</v>
          </cell>
        </row>
        <row r="1346">
          <cell r="K1346" t="str">
            <v xml:space="preserve">GBWS-1615 </v>
          </cell>
          <cell r="L1346">
            <v>44455</v>
          </cell>
          <cell r="M1346">
            <v>44455</v>
          </cell>
          <cell r="N1346">
            <v>44476</v>
          </cell>
          <cell r="O1346">
            <v>44455</v>
          </cell>
          <cell r="P1346">
            <v>44476</v>
          </cell>
          <cell r="Q1346" t="str">
            <v>2021-10-05 → 10/6 → 10/7(오전)</v>
          </cell>
          <cell r="R1346" t="str">
            <v>2021-10-05 → 10/6 → 10/7(오전)</v>
          </cell>
          <cell r="S1346"/>
          <cell r="T1346">
            <v>44477</v>
          </cell>
          <cell r="U1346">
            <v>44477</v>
          </cell>
          <cell r="V1346">
            <v>44477</v>
          </cell>
          <cell r="W1346">
            <v>44477</v>
          </cell>
          <cell r="X1346">
            <v>41100345</v>
          </cell>
        </row>
        <row r="1347">
          <cell r="K1347" t="str">
            <v>GBWS-1616</v>
          </cell>
          <cell r="L1347">
            <v>44455</v>
          </cell>
          <cell r="M1347">
            <v>44455</v>
          </cell>
          <cell r="N1347">
            <v>44476</v>
          </cell>
          <cell r="O1347">
            <v>44455</v>
          </cell>
          <cell r="P1347">
            <v>44476</v>
          </cell>
          <cell r="Q1347" t="str">
            <v>2021-10-05 → 10/6 → 10/7(오전)</v>
          </cell>
          <cell r="R1347" t="str">
            <v>2021-10-05 → 10/6 → 10/7(오전)</v>
          </cell>
          <cell r="S1347"/>
          <cell r="T1347">
            <v>44477</v>
          </cell>
          <cell r="U1347">
            <v>44477</v>
          </cell>
          <cell r="V1347">
            <v>44480</v>
          </cell>
          <cell r="W1347">
            <v>44480</v>
          </cell>
          <cell r="X1347">
            <v>41100345</v>
          </cell>
        </row>
        <row r="1348">
          <cell r="K1348" t="str">
            <v>GBWS-1581</v>
          </cell>
          <cell r="L1348">
            <v>44446</v>
          </cell>
          <cell r="M1348">
            <v>44446</v>
          </cell>
          <cell r="N1348">
            <v>44467</v>
          </cell>
          <cell r="O1348">
            <v>44446</v>
          </cell>
          <cell r="P1348">
            <v>44467</v>
          </cell>
          <cell r="Q1348" t="str">
            <v>2021-09-16 → 9/28</v>
          </cell>
          <cell r="R1348" t="str">
            <v>2021-09-16 → 9/28</v>
          </cell>
          <cell r="S1348"/>
          <cell r="T1348">
            <v>44474</v>
          </cell>
          <cell r="U1348">
            <v>44475</v>
          </cell>
          <cell r="V1348">
            <v>44477</v>
          </cell>
          <cell r="W1348">
            <v>44477</v>
          </cell>
          <cell r="X1348">
            <v>41100311</v>
          </cell>
        </row>
        <row r="1349">
          <cell r="K1349" t="str">
            <v>GBWS-1582</v>
          </cell>
          <cell r="L1349">
            <v>44446</v>
          </cell>
          <cell r="M1349">
            <v>44446</v>
          </cell>
          <cell r="N1349">
            <v>44467</v>
          </cell>
          <cell r="O1349">
            <v>44446</v>
          </cell>
          <cell r="P1349">
            <v>44467</v>
          </cell>
          <cell r="Q1349" t="str">
            <v>2021-09-16 → 9/28</v>
          </cell>
          <cell r="R1349" t="str">
            <v>2021-09-16 → 9/28</v>
          </cell>
          <cell r="S1349"/>
          <cell r="T1349">
            <v>44474</v>
          </cell>
          <cell r="U1349">
            <v>44475</v>
          </cell>
          <cell r="V1349">
            <v>44476</v>
          </cell>
          <cell r="W1349">
            <v>44476</v>
          </cell>
          <cell r="X1349">
            <v>41100311</v>
          </cell>
        </row>
        <row r="1350">
          <cell r="K1350" t="str">
            <v>GBWS-1584</v>
          </cell>
          <cell r="L1350">
            <v>44446</v>
          </cell>
          <cell r="M1350">
            <v>44446</v>
          </cell>
          <cell r="N1350">
            <v>44467</v>
          </cell>
          <cell r="O1350">
            <v>44446</v>
          </cell>
          <cell r="P1350">
            <v>44467</v>
          </cell>
          <cell r="Q1350" t="str">
            <v>2021-09-16 → 9/28</v>
          </cell>
          <cell r="R1350" t="str">
            <v>2021-09-16 → 9/28</v>
          </cell>
          <cell r="S1350"/>
          <cell r="T1350">
            <v>44474</v>
          </cell>
          <cell r="U1350">
            <v>44475</v>
          </cell>
          <cell r="V1350">
            <v>44476</v>
          </cell>
          <cell r="W1350">
            <v>44476</v>
          </cell>
          <cell r="X1350">
            <v>41100347</v>
          </cell>
        </row>
        <row r="1351">
          <cell r="K1351" t="str">
            <v>GBWS-1583</v>
          </cell>
          <cell r="L1351">
            <v>44446</v>
          </cell>
          <cell r="M1351">
            <v>44446</v>
          </cell>
          <cell r="N1351">
            <v>44467</v>
          </cell>
          <cell r="O1351">
            <v>44446</v>
          </cell>
          <cell r="P1351">
            <v>44467</v>
          </cell>
          <cell r="Q1351" t="str">
            <v>2021-09-16 → 9/28</v>
          </cell>
          <cell r="R1351" t="str">
            <v>2021-09-16 → 9/28</v>
          </cell>
          <cell r="S1351"/>
          <cell r="T1351">
            <v>44474</v>
          </cell>
          <cell r="U1351">
            <v>44475</v>
          </cell>
          <cell r="V1351">
            <v>44476</v>
          </cell>
          <cell r="W1351">
            <v>44476</v>
          </cell>
          <cell r="X1351">
            <v>41100347</v>
          </cell>
        </row>
        <row r="1352">
          <cell r="K1352" t="str">
            <v>GBWS-1606</v>
          </cell>
          <cell r="L1352">
            <v>44452</v>
          </cell>
          <cell r="M1352">
            <v>44453</v>
          </cell>
          <cell r="N1352">
            <v>44475</v>
          </cell>
          <cell r="O1352">
            <v>44453</v>
          </cell>
          <cell r="P1352">
            <v>44474</v>
          </cell>
          <cell r="Q1352" t="str">
            <v>2021-10-02 →10/4</v>
          </cell>
          <cell r="R1352" t="str">
            <v>2021-10-02 →10/4</v>
          </cell>
          <cell r="S1352"/>
          <cell r="T1352">
            <v>44475</v>
          </cell>
          <cell r="U1352">
            <v>44477</v>
          </cell>
          <cell r="V1352">
            <v>44480</v>
          </cell>
          <cell r="W1352">
            <v>44480</v>
          </cell>
          <cell r="X1352">
            <v>41100311</v>
          </cell>
        </row>
        <row r="1353">
          <cell r="K1353" t="str">
            <v>GBWS-1607</v>
          </cell>
          <cell r="L1353">
            <v>44452</v>
          </cell>
          <cell r="M1353">
            <v>44453</v>
          </cell>
          <cell r="N1353">
            <v>44477</v>
          </cell>
          <cell r="O1353">
            <v>44453</v>
          </cell>
          <cell r="P1353">
            <v>44474</v>
          </cell>
          <cell r="Q1353" t="str">
            <v>2021-10-02 →10/4</v>
          </cell>
          <cell r="R1353" t="str">
            <v>2021-10-02 →10/4</v>
          </cell>
          <cell r="S1353"/>
          <cell r="T1353">
            <v>44477</v>
          </cell>
          <cell r="U1353">
            <v>44477</v>
          </cell>
          <cell r="V1353">
            <v>44480</v>
          </cell>
          <cell r="W1353">
            <v>44480</v>
          </cell>
          <cell r="X1353">
            <v>41100311</v>
          </cell>
        </row>
        <row r="1354">
          <cell r="K1354" t="str">
            <v>GBWS-1608</v>
          </cell>
          <cell r="L1354">
            <v>44452</v>
          </cell>
          <cell r="M1354">
            <v>44453</v>
          </cell>
          <cell r="N1354">
            <v>44475</v>
          </cell>
          <cell r="O1354">
            <v>44453</v>
          </cell>
          <cell r="P1354">
            <v>44474</v>
          </cell>
          <cell r="Q1354" t="str">
            <v>2021-10-02 →10/4</v>
          </cell>
          <cell r="R1354" t="str">
            <v>2021-10-02 →10/4</v>
          </cell>
          <cell r="S1354"/>
          <cell r="T1354">
            <v>44475</v>
          </cell>
          <cell r="U1354">
            <v>44477</v>
          </cell>
          <cell r="V1354">
            <v>44480</v>
          </cell>
          <cell r="W1354">
            <v>44480</v>
          </cell>
          <cell r="X1354">
            <v>41100311</v>
          </cell>
        </row>
        <row r="1355">
          <cell r="K1355" t="str">
            <v>GBWS-1600</v>
          </cell>
          <cell r="L1355">
            <v>44452</v>
          </cell>
          <cell r="M1355">
            <v>44453</v>
          </cell>
          <cell r="N1355">
            <v>44470</v>
          </cell>
          <cell r="O1355">
            <v>44453</v>
          </cell>
          <cell r="P1355">
            <v>44474</v>
          </cell>
          <cell r="Q1355">
            <v>44470</v>
          </cell>
          <cell r="R1355">
            <v>44470</v>
          </cell>
          <cell r="S1355"/>
          <cell r="T1355">
            <v>44474</v>
          </cell>
          <cell r="U1355">
            <v>44477</v>
          </cell>
          <cell r="V1355">
            <v>44480</v>
          </cell>
          <cell r="W1355">
            <v>44480</v>
          </cell>
          <cell r="X1355">
            <v>41100314</v>
          </cell>
        </row>
        <row r="1356">
          <cell r="K1356" t="str">
            <v>GBWS-1601</v>
          </cell>
          <cell r="L1356">
            <v>44452</v>
          </cell>
          <cell r="M1356">
            <v>44453</v>
          </cell>
          <cell r="N1356">
            <v>44470</v>
          </cell>
          <cell r="O1356">
            <v>44453</v>
          </cell>
          <cell r="P1356">
            <v>44474</v>
          </cell>
          <cell r="Q1356">
            <v>44470</v>
          </cell>
          <cell r="R1356">
            <v>44470</v>
          </cell>
          <cell r="S1356"/>
          <cell r="T1356">
            <v>44474</v>
          </cell>
          <cell r="U1356">
            <v>44477</v>
          </cell>
          <cell r="V1356">
            <v>44480</v>
          </cell>
          <cell r="W1356">
            <v>44480</v>
          </cell>
          <cell r="X1356">
            <v>41100314</v>
          </cell>
        </row>
        <row r="1357">
          <cell r="K1357" t="str">
            <v>GBWS-1602</v>
          </cell>
          <cell r="L1357">
            <v>44452</v>
          </cell>
          <cell r="M1357">
            <v>44453</v>
          </cell>
          <cell r="N1357">
            <v>44468</v>
          </cell>
          <cell r="O1357">
            <v>44453</v>
          </cell>
          <cell r="P1357">
            <v>44469</v>
          </cell>
          <cell r="Q1357">
            <v>44471</v>
          </cell>
          <cell r="R1357">
            <v>44471</v>
          </cell>
          <cell r="S1357"/>
          <cell r="T1357">
            <v>44474</v>
          </cell>
          <cell r="U1357">
            <v>44477</v>
          </cell>
          <cell r="V1357">
            <v>44477</v>
          </cell>
          <cell r="W1357">
            <v>44477</v>
          </cell>
          <cell r="X1357">
            <v>41100329</v>
          </cell>
        </row>
        <row r="1358">
          <cell r="K1358" t="str">
            <v>GBWS-1603</v>
          </cell>
          <cell r="L1358">
            <v>44452</v>
          </cell>
          <cell r="M1358">
            <v>44453</v>
          </cell>
          <cell r="N1358">
            <v>44470</v>
          </cell>
          <cell r="O1358">
            <v>44453</v>
          </cell>
          <cell r="P1358">
            <v>44474</v>
          </cell>
          <cell r="Q1358">
            <v>44471</v>
          </cell>
          <cell r="R1358">
            <v>44471</v>
          </cell>
          <cell r="S1358"/>
          <cell r="T1358">
            <v>44474</v>
          </cell>
          <cell r="U1358">
            <v>44477</v>
          </cell>
          <cell r="V1358">
            <v>44477</v>
          </cell>
          <cell r="W1358">
            <v>44477</v>
          </cell>
          <cell r="X1358">
            <v>41100331</v>
          </cell>
        </row>
        <row r="1359">
          <cell r="K1359" t="str">
            <v>GBWS-1604</v>
          </cell>
          <cell r="L1359">
            <v>44452</v>
          </cell>
          <cell r="M1359">
            <v>44453</v>
          </cell>
          <cell r="N1359">
            <v>44475</v>
          </cell>
          <cell r="O1359">
            <v>44453</v>
          </cell>
          <cell r="P1359">
            <v>44474</v>
          </cell>
          <cell r="Q1359">
            <v>44471</v>
          </cell>
          <cell r="R1359">
            <v>44471</v>
          </cell>
          <cell r="S1359"/>
          <cell r="T1359">
            <v>44475</v>
          </cell>
          <cell r="U1359">
            <v>44476</v>
          </cell>
          <cell r="V1359">
            <v>44477</v>
          </cell>
          <cell r="W1359">
            <v>44477</v>
          </cell>
          <cell r="X1359">
            <v>41100385</v>
          </cell>
        </row>
        <row r="1360">
          <cell r="K1360" t="str">
            <v>GBWS-1605</v>
          </cell>
          <cell r="L1360">
            <v>44452</v>
          </cell>
          <cell r="M1360">
            <v>44453</v>
          </cell>
          <cell r="N1360">
            <v>44475</v>
          </cell>
          <cell r="O1360">
            <v>44453</v>
          </cell>
          <cell r="P1360">
            <v>44474</v>
          </cell>
          <cell r="Q1360">
            <v>44471</v>
          </cell>
          <cell r="R1360">
            <v>44471</v>
          </cell>
          <cell r="S1360"/>
          <cell r="T1360">
            <v>44475</v>
          </cell>
          <cell r="U1360">
            <v>44476</v>
          </cell>
          <cell r="V1360">
            <v>44477</v>
          </cell>
          <cell r="W1360">
            <v>44477</v>
          </cell>
          <cell r="X1360">
            <v>41100385</v>
          </cell>
        </row>
        <row r="1361">
          <cell r="K1361" t="str">
            <v>GBWS-1527</v>
          </cell>
          <cell r="L1361">
            <v>44433</v>
          </cell>
          <cell r="M1361">
            <v>44433</v>
          </cell>
          <cell r="N1361">
            <v>44448</v>
          </cell>
          <cell r="O1361">
            <v>44433</v>
          </cell>
          <cell r="P1361">
            <v>44448</v>
          </cell>
          <cell r="Q1361" t="str">
            <v>2021-09-06 → 9/8 → 9/9(오전)</v>
          </cell>
          <cell r="R1361" t="str">
            <v>2021-09-06 → 9/8 → 9/9(오전)</v>
          </cell>
          <cell r="S1361"/>
          <cell r="T1361">
            <v>44448</v>
          </cell>
          <cell r="U1361">
            <v>44449</v>
          </cell>
          <cell r="V1361">
            <v>44450</v>
          </cell>
          <cell r="W1361">
            <v>44450</v>
          </cell>
          <cell r="X1361">
            <v>41100313</v>
          </cell>
        </row>
        <row r="1362">
          <cell r="K1362" t="str">
            <v>GBWS-1528</v>
          </cell>
          <cell r="L1362">
            <v>44433</v>
          </cell>
          <cell r="M1362">
            <v>44433</v>
          </cell>
          <cell r="N1362">
            <v>44449</v>
          </cell>
          <cell r="O1362">
            <v>44433</v>
          </cell>
          <cell r="P1362">
            <v>44448</v>
          </cell>
          <cell r="Q1362" t="str">
            <v>2021-09-06 → 9/8 → 9/9</v>
          </cell>
          <cell r="R1362" t="str">
            <v>2021-09-06 → 9/8 → 9/9</v>
          </cell>
          <cell r="S1362"/>
          <cell r="T1362">
            <v>44451</v>
          </cell>
          <cell r="U1362">
            <v>44452</v>
          </cell>
          <cell r="V1362">
            <v>44454</v>
          </cell>
          <cell r="W1362">
            <v>44454</v>
          </cell>
          <cell r="X1362">
            <v>41100314</v>
          </cell>
        </row>
        <row r="1363">
          <cell r="K1363" t="str">
            <v>GBWS-1580</v>
          </cell>
          <cell r="L1363">
            <v>44446</v>
          </cell>
          <cell r="M1363">
            <v>44446</v>
          </cell>
          <cell r="N1363">
            <v>44467</v>
          </cell>
          <cell r="O1363">
            <v>44446</v>
          </cell>
          <cell r="P1363">
            <v>44467</v>
          </cell>
          <cell r="Q1363" t="str">
            <v>2021-09-16 → 9/28</v>
          </cell>
          <cell r="R1363" t="str">
            <v>2021-09-16 → 9/28</v>
          </cell>
          <cell r="S1363"/>
          <cell r="T1363">
            <v>44474</v>
          </cell>
          <cell r="U1363">
            <v>44475</v>
          </cell>
          <cell r="V1363">
            <v>44476</v>
          </cell>
          <cell r="W1363">
            <v>44476</v>
          </cell>
          <cell r="X1363">
            <v>41100311</v>
          </cell>
        </row>
        <row r="1364">
          <cell r="K1364" t="str">
            <v>DBW-2359</v>
          </cell>
          <cell r="L1364">
            <v>44426</v>
          </cell>
          <cell r="M1364">
            <v>44426</v>
          </cell>
          <cell r="N1364">
            <v>44439</v>
          </cell>
          <cell r="O1364">
            <v>44426</v>
          </cell>
          <cell r="P1364">
            <v>44439</v>
          </cell>
          <cell r="Q1364">
            <v>44439</v>
          </cell>
          <cell r="R1364">
            <v>44439</v>
          </cell>
          <cell r="S1364"/>
          <cell r="T1364">
            <v>44440</v>
          </cell>
          <cell r="U1364">
            <v>44442</v>
          </cell>
          <cell r="V1364">
            <v>44445</v>
          </cell>
          <cell r="W1364">
            <v>44447</v>
          </cell>
          <cell r="X1364">
            <v>41100310</v>
          </cell>
        </row>
        <row r="1365">
          <cell r="K1365" t="str">
            <v>DBW-2370</v>
          </cell>
          <cell r="L1365">
            <v>44435</v>
          </cell>
          <cell r="M1365">
            <v>44435</v>
          </cell>
          <cell r="N1365">
            <v>44448</v>
          </cell>
          <cell r="O1365">
            <v>44435</v>
          </cell>
          <cell r="P1365">
            <v>44448</v>
          </cell>
          <cell r="Q1365" t="str">
            <v>2021-09-08 → 9/9</v>
          </cell>
          <cell r="R1365" t="str">
            <v>2021-09-08 → 9/9</v>
          </cell>
          <cell r="S1365"/>
          <cell r="T1365">
            <v>44448</v>
          </cell>
          <cell r="U1365">
            <v>44449</v>
          </cell>
          <cell r="V1365">
            <v>44454</v>
          </cell>
          <cell r="W1365">
            <v>44454</v>
          </cell>
          <cell r="X1365">
            <v>41100310</v>
          </cell>
        </row>
        <row r="1366">
          <cell r="K1366" t="str">
            <v>DBW-2403</v>
          </cell>
          <cell r="L1366">
            <v>44454</v>
          </cell>
          <cell r="M1366">
            <v>44455</v>
          </cell>
          <cell r="N1366">
            <v>44474</v>
          </cell>
          <cell r="O1366">
            <v>44455</v>
          </cell>
          <cell r="P1366">
            <v>44474</v>
          </cell>
          <cell r="Q1366">
            <v>44474</v>
          </cell>
          <cell r="R1366">
            <v>44474</v>
          </cell>
          <cell r="S1366"/>
          <cell r="T1366">
            <v>44475</v>
          </cell>
          <cell r="U1366">
            <v>44476</v>
          </cell>
          <cell r="V1366">
            <v>44477</v>
          </cell>
          <cell r="W1366">
            <v>44482</v>
          </cell>
          <cell r="X1366">
            <v>41100310</v>
          </cell>
        </row>
        <row r="1367">
          <cell r="K1367" t="str">
            <v>DBW-2404</v>
          </cell>
          <cell r="L1367">
            <v>44454</v>
          </cell>
          <cell r="M1367">
            <v>44455</v>
          </cell>
          <cell r="N1367">
            <v>44474</v>
          </cell>
          <cell r="O1367">
            <v>44455</v>
          </cell>
          <cell r="P1367">
            <v>44474</v>
          </cell>
          <cell r="Q1367">
            <v>44474</v>
          </cell>
          <cell r="R1367">
            <v>44474</v>
          </cell>
          <cell r="S1367"/>
          <cell r="T1367">
            <v>44475</v>
          </cell>
          <cell r="U1367">
            <v>44476</v>
          </cell>
          <cell r="V1367">
            <v>44477</v>
          </cell>
          <cell r="W1367">
            <v>44482</v>
          </cell>
          <cell r="X1367">
            <v>41100310</v>
          </cell>
        </row>
        <row r="1368">
          <cell r="K1368" t="str">
            <v>GBWS-1471</v>
          </cell>
          <cell r="L1368">
            <v>44403</v>
          </cell>
          <cell r="M1368">
            <v>44404</v>
          </cell>
          <cell r="N1368">
            <v>44417</v>
          </cell>
          <cell r="O1368">
            <v>44404</v>
          </cell>
          <cell r="P1368">
            <v>44417</v>
          </cell>
          <cell r="Q1368" t="str">
            <v>8/6 → 8/8</v>
          </cell>
          <cell r="R1368" t="str">
            <v>8/6 → 8/8</v>
          </cell>
          <cell r="S1368"/>
          <cell r="T1368">
            <v>44418</v>
          </cell>
          <cell r="U1368">
            <v>44419</v>
          </cell>
          <cell r="V1368">
            <v>44420</v>
          </cell>
          <cell r="W1368">
            <v>44420</v>
          </cell>
          <cell r="X1368">
            <v>41100317</v>
          </cell>
        </row>
        <row r="1369">
          <cell r="K1369" t="str">
            <v>GBWS-1550</v>
          </cell>
          <cell r="L1369">
            <v>44434</v>
          </cell>
          <cell r="M1369">
            <v>44434</v>
          </cell>
          <cell r="N1369">
            <v>44449</v>
          </cell>
          <cell r="O1369">
            <v>44434</v>
          </cell>
          <cell r="P1369">
            <v>44448</v>
          </cell>
          <cell r="Q1369" t="str">
            <v>2021-09-09 → 9/10</v>
          </cell>
          <cell r="R1369" t="str">
            <v>2021-09-09 → 9/10</v>
          </cell>
          <cell r="S1369"/>
          <cell r="T1369">
            <v>44451</v>
          </cell>
          <cell r="U1369">
            <v>44453</v>
          </cell>
          <cell r="V1369">
            <v>44454</v>
          </cell>
          <cell r="W1369">
            <v>44455</v>
          </cell>
          <cell r="X1369">
            <v>41100334</v>
          </cell>
        </row>
        <row r="1370">
          <cell r="K1370" t="str">
            <v>GBWS-1570</v>
          </cell>
          <cell r="L1370">
            <v>44441</v>
          </cell>
          <cell r="M1370">
            <v>44442</v>
          </cell>
          <cell r="N1370">
            <v>44454</v>
          </cell>
          <cell r="O1370">
            <v>44442</v>
          </cell>
          <cell r="P1370">
            <v>44454</v>
          </cell>
          <cell r="Q1370">
            <v>44454</v>
          </cell>
          <cell r="R1370">
            <v>44454</v>
          </cell>
          <cell r="S1370"/>
          <cell r="T1370">
            <v>44454</v>
          </cell>
          <cell r="U1370">
            <v>44469</v>
          </cell>
          <cell r="V1370">
            <v>44469</v>
          </cell>
          <cell r="W1370">
            <v>44469</v>
          </cell>
          <cell r="X1370">
            <v>41100318</v>
          </cell>
        </row>
        <row r="1371">
          <cell r="K1371" t="str">
            <v>GBWS-1563</v>
          </cell>
          <cell r="L1371">
            <v>44439</v>
          </cell>
          <cell r="M1371">
            <v>44439</v>
          </cell>
          <cell r="N1371">
            <v>44462</v>
          </cell>
          <cell r="O1371">
            <v>44439</v>
          </cell>
          <cell r="P1371">
            <v>44462</v>
          </cell>
          <cell r="Q1371" t="str">
            <v>2021-09-08 → 9/12 → 9/23</v>
          </cell>
          <cell r="R1371" t="str">
            <v>2021-09-08 → 9/12 → 9/23</v>
          </cell>
          <cell r="S1371"/>
          <cell r="T1371">
            <v>44462</v>
          </cell>
          <cell r="U1371">
            <v>44463</v>
          </cell>
          <cell r="V1371">
            <v>44466</v>
          </cell>
          <cell r="W1371">
            <v>44466</v>
          </cell>
          <cell r="X1371">
            <v>41100292</v>
          </cell>
        </row>
        <row r="1372">
          <cell r="K1372" t="str">
            <v>GBWS-1611</v>
          </cell>
          <cell r="L1372">
            <v>44453</v>
          </cell>
          <cell r="M1372">
            <v>44454</v>
          </cell>
          <cell r="N1372">
            <v>44474</v>
          </cell>
          <cell r="O1372">
            <v>44454</v>
          </cell>
          <cell r="P1372">
            <v>44474</v>
          </cell>
          <cell r="Q1372">
            <v>44473</v>
          </cell>
          <cell r="R1372">
            <v>44473</v>
          </cell>
          <cell r="S1372"/>
          <cell r="T1372">
            <v>44482</v>
          </cell>
          <cell r="U1372">
            <v>44483</v>
          </cell>
          <cell r="V1372">
            <v>44483</v>
          </cell>
          <cell r="W1372">
            <v>44483</v>
          </cell>
          <cell r="X1372">
            <v>41100350</v>
          </cell>
        </row>
        <row r="1373">
          <cell r="K1373" t="str">
            <v>GBWS-1610</v>
          </cell>
          <cell r="L1373">
            <v>44453</v>
          </cell>
          <cell r="M1373">
            <v>44454</v>
          </cell>
          <cell r="N1373">
            <v>44475</v>
          </cell>
          <cell r="O1373">
            <v>44454</v>
          </cell>
          <cell r="P1373">
            <v>44474</v>
          </cell>
          <cell r="Q1373">
            <v>44474</v>
          </cell>
          <cell r="R1373">
            <v>44474</v>
          </cell>
          <cell r="S1373"/>
          <cell r="T1373">
            <v>44476</v>
          </cell>
          <cell r="U1373">
            <v>44481</v>
          </cell>
          <cell r="V1373">
            <v>44482</v>
          </cell>
          <cell r="W1373">
            <v>44482</v>
          </cell>
          <cell r="X1373">
            <v>41100285</v>
          </cell>
        </row>
        <row r="1374">
          <cell r="K1374" t="str">
            <v>GBWS-1585</v>
          </cell>
          <cell r="L1374">
            <v>44446</v>
          </cell>
          <cell r="M1374">
            <v>44447</v>
          </cell>
          <cell r="N1374">
            <v>44467</v>
          </cell>
          <cell r="O1374">
            <v>44447</v>
          </cell>
          <cell r="P1374">
            <v>44466</v>
          </cell>
          <cell r="Q1374">
            <v>44467</v>
          </cell>
          <cell r="R1374">
            <v>44467</v>
          </cell>
          <cell r="S1374"/>
          <cell r="T1374">
            <v>44468</v>
          </cell>
          <cell r="U1374">
            <v>44469</v>
          </cell>
          <cell r="V1374">
            <v>44474</v>
          </cell>
          <cell r="W1374">
            <v>44474</v>
          </cell>
          <cell r="X1374">
            <v>41100293</v>
          </cell>
        </row>
        <row r="1375">
          <cell r="K1375" t="str">
            <v>GBWS-1586</v>
          </cell>
          <cell r="L1375">
            <v>44446</v>
          </cell>
          <cell r="M1375">
            <v>44447</v>
          </cell>
          <cell r="N1375">
            <v>44467</v>
          </cell>
          <cell r="O1375">
            <v>44447</v>
          </cell>
          <cell r="P1375">
            <v>44466</v>
          </cell>
          <cell r="Q1375">
            <v>44467</v>
          </cell>
          <cell r="R1375">
            <v>44467</v>
          </cell>
          <cell r="S1375"/>
          <cell r="T1375">
            <v>44468</v>
          </cell>
          <cell r="U1375">
            <v>44469</v>
          </cell>
          <cell r="V1375">
            <v>44470</v>
          </cell>
          <cell r="W1375">
            <v>44470</v>
          </cell>
          <cell r="X1375">
            <v>41100293</v>
          </cell>
        </row>
        <row r="1376">
          <cell r="K1376" t="str">
            <v>GBWS-1587</v>
          </cell>
          <cell r="L1376">
            <v>44446</v>
          </cell>
          <cell r="M1376">
            <v>44447</v>
          </cell>
          <cell r="N1376">
            <v>44467</v>
          </cell>
          <cell r="O1376">
            <v>44447</v>
          </cell>
          <cell r="P1376">
            <v>44466</v>
          </cell>
          <cell r="Q1376">
            <v>44467</v>
          </cell>
          <cell r="R1376">
            <v>44467</v>
          </cell>
          <cell r="S1376"/>
          <cell r="T1376">
            <v>44468</v>
          </cell>
          <cell r="U1376">
            <v>44469</v>
          </cell>
          <cell r="V1376">
            <v>44474</v>
          </cell>
          <cell r="W1376">
            <v>44474</v>
          </cell>
          <cell r="X1376">
            <v>41100293</v>
          </cell>
        </row>
        <row r="1377">
          <cell r="K1377" t="str">
            <v>GBWS-1588</v>
          </cell>
          <cell r="L1377">
            <v>44446</v>
          </cell>
          <cell r="M1377">
            <v>44447</v>
          </cell>
          <cell r="N1377">
            <v>44467</v>
          </cell>
          <cell r="O1377">
            <v>44447</v>
          </cell>
          <cell r="P1377">
            <v>44466</v>
          </cell>
          <cell r="Q1377">
            <v>44467</v>
          </cell>
          <cell r="R1377">
            <v>44467</v>
          </cell>
          <cell r="S1377"/>
          <cell r="T1377">
            <v>44468</v>
          </cell>
          <cell r="U1377">
            <v>44470</v>
          </cell>
          <cell r="V1377">
            <v>44476</v>
          </cell>
          <cell r="W1377">
            <v>44476</v>
          </cell>
          <cell r="X1377">
            <v>41100319</v>
          </cell>
        </row>
        <row r="1378">
          <cell r="K1378" t="str">
            <v>GBWS-1593</v>
          </cell>
          <cell r="L1378">
            <v>44446</v>
          </cell>
          <cell r="M1378">
            <v>44447</v>
          </cell>
          <cell r="N1378">
            <v>44467</v>
          </cell>
          <cell r="O1378">
            <v>44447</v>
          </cell>
          <cell r="P1378">
            <v>44466</v>
          </cell>
          <cell r="Q1378">
            <v>44467</v>
          </cell>
          <cell r="R1378">
            <v>44467</v>
          </cell>
          <cell r="S1378"/>
          <cell r="T1378">
            <v>44469</v>
          </cell>
          <cell r="U1378">
            <v>44475</v>
          </cell>
          <cell r="V1378">
            <v>44476</v>
          </cell>
          <cell r="W1378">
            <v>44476</v>
          </cell>
          <cell r="X1378">
            <v>41100293</v>
          </cell>
        </row>
        <row r="1379">
          <cell r="K1379" t="str">
            <v>IVAS-090</v>
          </cell>
          <cell r="L1379">
            <v>44453</v>
          </cell>
          <cell r="M1379">
            <v>44453</v>
          </cell>
          <cell r="N1379">
            <v>44475</v>
          </cell>
          <cell r="O1379">
            <v>44453</v>
          </cell>
          <cell r="P1379">
            <v>44476</v>
          </cell>
          <cell r="Q1379">
            <v>44473</v>
          </cell>
          <cell r="R1379">
            <v>44473</v>
          </cell>
          <cell r="S1379"/>
          <cell r="T1379">
            <v>44477</v>
          </cell>
          <cell r="U1379">
            <v>44485</v>
          </cell>
          <cell r="V1379">
            <v>44486</v>
          </cell>
          <cell r="W1379">
            <v>44486</v>
          </cell>
          <cell r="X1379">
            <v>41100400</v>
          </cell>
        </row>
        <row r="1380">
          <cell r="K1380" t="str">
            <v>IVAS-091</v>
          </cell>
          <cell r="L1380">
            <v>44453</v>
          </cell>
          <cell r="M1380">
            <v>44453</v>
          </cell>
          <cell r="N1380">
            <v>44475</v>
          </cell>
          <cell r="O1380">
            <v>44453</v>
          </cell>
          <cell r="P1380">
            <v>44476</v>
          </cell>
          <cell r="Q1380">
            <v>44473</v>
          </cell>
          <cell r="R1380">
            <v>44473</v>
          </cell>
          <cell r="S1380"/>
          <cell r="T1380">
            <v>44477</v>
          </cell>
          <cell r="U1380">
            <v>44485</v>
          </cell>
          <cell r="V1380">
            <v>44486</v>
          </cell>
          <cell r="W1380">
            <v>44486</v>
          </cell>
          <cell r="X1380">
            <v>41100400</v>
          </cell>
        </row>
        <row r="1381">
          <cell r="K1381" t="str">
            <v>GBWS-1609</v>
          </cell>
          <cell r="L1381">
            <v>44453</v>
          </cell>
          <cell r="M1381">
            <v>44454</v>
          </cell>
          <cell r="N1381">
            <v>44475</v>
          </cell>
          <cell r="O1381">
            <v>44454</v>
          </cell>
          <cell r="P1381">
            <v>44474</v>
          </cell>
          <cell r="Q1381">
            <v>44474</v>
          </cell>
          <cell r="R1381">
            <v>44474</v>
          </cell>
          <cell r="S1381"/>
          <cell r="T1381">
            <v>44481</v>
          </cell>
          <cell r="U1381">
            <v>44482</v>
          </cell>
          <cell r="V1381">
            <v>44483</v>
          </cell>
          <cell r="W1381">
            <v>44484</v>
          </cell>
          <cell r="X1381">
            <v>41100377</v>
          </cell>
        </row>
        <row r="1382">
          <cell r="K1382" t="str">
            <v>GBWS-1597</v>
          </cell>
          <cell r="L1382">
            <v>44453</v>
          </cell>
          <cell r="M1382">
            <v>44453</v>
          </cell>
          <cell r="N1382">
            <v>44474</v>
          </cell>
          <cell r="O1382">
            <v>44453</v>
          </cell>
          <cell r="P1382">
            <v>44474</v>
          </cell>
          <cell r="Q1382">
            <v>44477</v>
          </cell>
          <cell r="R1382">
            <v>44477</v>
          </cell>
          <cell r="S1382"/>
          <cell r="T1382">
            <v>44476</v>
          </cell>
          <cell r="U1382">
            <v>44481</v>
          </cell>
          <cell r="V1382">
            <v>44483</v>
          </cell>
          <cell r="W1382">
            <v>44483</v>
          </cell>
          <cell r="X1382">
            <v>41100093</v>
          </cell>
        </row>
        <row r="1383">
          <cell r="K1383" t="str">
            <v>GBWS-1598</v>
          </cell>
          <cell r="L1383">
            <v>44453</v>
          </cell>
          <cell r="M1383">
            <v>44453</v>
          </cell>
          <cell r="N1383">
            <v>44474</v>
          </cell>
          <cell r="O1383">
            <v>44453</v>
          </cell>
          <cell r="P1383">
            <v>44474</v>
          </cell>
          <cell r="Q1383">
            <v>44477</v>
          </cell>
          <cell r="R1383">
            <v>44477</v>
          </cell>
          <cell r="S1383"/>
          <cell r="T1383">
            <v>44476</v>
          </cell>
          <cell r="U1383">
            <v>44481</v>
          </cell>
          <cell r="V1383">
            <v>44483</v>
          </cell>
          <cell r="W1383">
            <v>44483</v>
          </cell>
          <cell r="X1383">
            <v>41100093</v>
          </cell>
        </row>
        <row r="1384">
          <cell r="K1384" t="str">
            <v>GBWS-1623</v>
          </cell>
          <cell r="L1384">
            <v>44467</v>
          </cell>
          <cell r="M1384">
            <v>44467</v>
          </cell>
          <cell r="N1384">
            <v>44481</v>
          </cell>
          <cell r="O1384">
            <v>44467</v>
          </cell>
          <cell r="P1384">
            <v>44482</v>
          </cell>
          <cell r="Q1384" t="str">
            <v>2021-10-07 → 10/11</v>
          </cell>
          <cell r="R1384" t="str">
            <v>2021-10-07 → 10/11</v>
          </cell>
          <cell r="S1384"/>
          <cell r="T1384">
            <v>44482</v>
          </cell>
          <cell r="U1384">
            <v>44483</v>
          </cell>
          <cell r="V1384">
            <v>44484</v>
          </cell>
          <cell r="W1384">
            <v>44484</v>
          </cell>
          <cell r="X1384">
            <v>41100085</v>
          </cell>
        </row>
        <row r="1385">
          <cell r="K1385" t="str">
            <v>GBWS-1624</v>
          </cell>
          <cell r="L1385">
            <v>44467</v>
          </cell>
          <cell r="M1385">
            <v>44467</v>
          </cell>
          <cell r="N1385">
            <v>44481</v>
          </cell>
          <cell r="O1385">
            <v>44467</v>
          </cell>
          <cell r="P1385">
            <v>44482</v>
          </cell>
          <cell r="Q1385" t="str">
            <v>2021-10-07 → 10/11</v>
          </cell>
          <cell r="R1385" t="str">
            <v>2021-10-07 → 10/11</v>
          </cell>
          <cell r="S1385"/>
          <cell r="T1385">
            <v>44482</v>
          </cell>
          <cell r="U1385">
            <v>44483</v>
          </cell>
          <cell r="V1385">
            <v>44484</v>
          </cell>
          <cell r="W1385">
            <v>44484</v>
          </cell>
          <cell r="X1385">
            <v>41100085</v>
          </cell>
        </row>
        <row r="1386">
          <cell r="K1386" t="str">
            <v>GBWS-1625</v>
          </cell>
          <cell r="L1386">
            <v>44467</v>
          </cell>
          <cell r="M1386">
            <v>44467</v>
          </cell>
          <cell r="N1386">
            <v>44481</v>
          </cell>
          <cell r="O1386">
            <v>44467</v>
          </cell>
          <cell r="P1386">
            <v>44482</v>
          </cell>
          <cell r="Q1386" t="str">
            <v>2021-10-07 → 10/11</v>
          </cell>
          <cell r="R1386" t="str">
            <v>2021-10-07 → 10/11</v>
          </cell>
          <cell r="S1386"/>
          <cell r="T1386">
            <v>44482</v>
          </cell>
          <cell r="U1386">
            <v>44483</v>
          </cell>
          <cell r="V1386">
            <v>44484</v>
          </cell>
          <cell r="W1386">
            <v>44484</v>
          </cell>
          <cell r="X1386">
            <v>41100085</v>
          </cell>
        </row>
        <row r="1387">
          <cell r="K1387" t="str">
            <v>GBWS-1626</v>
          </cell>
          <cell r="L1387">
            <v>44467</v>
          </cell>
          <cell r="M1387">
            <v>44467</v>
          </cell>
          <cell r="N1387">
            <v>44481</v>
          </cell>
          <cell r="O1387">
            <v>44467</v>
          </cell>
          <cell r="P1387">
            <v>44482</v>
          </cell>
          <cell r="Q1387" t="str">
            <v>2021-10-07 → 10/11</v>
          </cell>
          <cell r="R1387" t="str">
            <v>2021-10-07 → 10/11</v>
          </cell>
          <cell r="S1387"/>
          <cell r="T1387">
            <v>44482</v>
          </cell>
          <cell r="U1387">
            <v>44483</v>
          </cell>
          <cell r="V1387">
            <v>44484</v>
          </cell>
          <cell r="W1387">
            <v>44484</v>
          </cell>
          <cell r="X1387">
            <v>41100085</v>
          </cell>
        </row>
        <row r="1388">
          <cell r="K1388" t="str">
            <v>GBWS-1628</v>
          </cell>
          <cell r="L1388">
            <v>44467</v>
          </cell>
          <cell r="M1388">
            <v>44467</v>
          </cell>
          <cell r="N1388">
            <v>44482</v>
          </cell>
          <cell r="O1388">
            <v>44467</v>
          </cell>
          <cell r="P1388">
            <v>44483</v>
          </cell>
          <cell r="Q1388" t="str">
            <v>2021-10-08 → 10/12 → 10/13</v>
          </cell>
          <cell r="R1388" t="str">
            <v>2021-10-08 → 10/12 → 10/13</v>
          </cell>
          <cell r="S1388"/>
          <cell r="T1388">
            <v>44484</v>
          </cell>
          <cell r="U1388">
            <v>44487</v>
          </cell>
          <cell r="V1388">
            <v>44487</v>
          </cell>
          <cell r="W1388">
            <v>44487</v>
          </cell>
          <cell r="X1388">
            <v>41100090</v>
          </cell>
        </row>
        <row r="1389">
          <cell r="K1389" t="str">
            <v>GBWS-1629</v>
          </cell>
          <cell r="L1389">
            <v>44467</v>
          </cell>
          <cell r="M1389">
            <v>44467</v>
          </cell>
          <cell r="N1389">
            <v>44482</v>
          </cell>
          <cell r="O1389">
            <v>44467</v>
          </cell>
          <cell r="P1389">
            <v>44483</v>
          </cell>
          <cell r="Q1389" t="str">
            <v>2021-10-08 → 10/12 → 10/13</v>
          </cell>
          <cell r="R1389" t="str">
            <v>2021-10-08 → 10/12 → 10/13</v>
          </cell>
          <cell r="S1389"/>
          <cell r="T1389">
            <v>44484</v>
          </cell>
          <cell r="U1389">
            <v>44487</v>
          </cell>
          <cell r="V1389">
            <v>44487</v>
          </cell>
          <cell r="W1389">
            <v>44487</v>
          </cell>
          <cell r="X1389">
            <v>41100090</v>
          </cell>
        </row>
        <row r="1390">
          <cell r="K1390" t="str">
            <v>GBWS-1595</v>
          </cell>
          <cell r="L1390">
            <v>44449</v>
          </cell>
          <cell r="M1390">
            <v>44449</v>
          </cell>
          <cell r="N1390">
            <v>44467</v>
          </cell>
          <cell r="O1390">
            <v>44449</v>
          </cell>
          <cell r="P1390">
            <v>44467</v>
          </cell>
          <cell r="Q1390">
            <v>44469</v>
          </cell>
          <cell r="R1390">
            <v>44469</v>
          </cell>
          <cell r="S1390"/>
          <cell r="T1390">
            <v>44474</v>
          </cell>
          <cell r="U1390">
            <v>44475</v>
          </cell>
          <cell r="V1390">
            <v>44477</v>
          </cell>
          <cell r="W1390">
            <v>44477</v>
          </cell>
          <cell r="X1390">
            <v>41100224</v>
          </cell>
        </row>
        <row r="1391">
          <cell r="K1391" t="str">
            <v>GBWS-1596</v>
          </cell>
          <cell r="L1391">
            <v>44449</v>
          </cell>
          <cell r="M1391">
            <v>44449</v>
          </cell>
          <cell r="N1391">
            <v>44467</v>
          </cell>
          <cell r="O1391">
            <v>44449</v>
          </cell>
          <cell r="P1391">
            <v>44467</v>
          </cell>
          <cell r="Q1391">
            <v>44469</v>
          </cell>
          <cell r="R1391">
            <v>44469</v>
          </cell>
          <cell r="S1391"/>
          <cell r="T1391">
            <v>44474</v>
          </cell>
          <cell r="U1391">
            <v>44475</v>
          </cell>
          <cell r="V1391">
            <v>44477</v>
          </cell>
          <cell r="W1391">
            <v>44477</v>
          </cell>
          <cell r="X1391">
            <v>41100224</v>
          </cell>
        </row>
        <row r="1392">
          <cell r="K1392" t="str">
            <v>GBWS-1627</v>
          </cell>
          <cell r="L1392">
            <v>44467</v>
          </cell>
          <cell r="M1392">
            <v>44467</v>
          </cell>
          <cell r="N1392">
            <v>44476</v>
          </cell>
          <cell r="O1392">
            <v>44467</v>
          </cell>
          <cell r="P1392">
            <v>44476</v>
          </cell>
          <cell r="Q1392">
            <v>44476</v>
          </cell>
          <cell r="R1392">
            <v>44476</v>
          </cell>
          <cell r="S1392"/>
          <cell r="T1392">
            <v>44481</v>
          </cell>
          <cell r="U1392">
            <v>44483</v>
          </cell>
          <cell r="V1392">
            <v>44484</v>
          </cell>
          <cell r="W1392">
            <v>44487</v>
          </cell>
          <cell r="X1392">
            <v>41100325</v>
          </cell>
        </row>
        <row r="1393">
          <cell r="K1393" t="str">
            <v>DBW-2422</v>
          </cell>
          <cell r="L1393">
            <v>44470</v>
          </cell>
          <cell r="M1393">
            <v>44474</v>
          </cell>
          <cell r="N1393">
            <v>44487</v>
          </cell>
          <cell r="O1393">
            <v>44474</v>
          </cell>
          <cell r="P1393">
            <v>44485</v>
          </cell>
          <cell r="Q1393" t="str">
            <v>2021-10-13 →10/16</v>
          </cell>
          <cell r="R1393" t="str">
            <v>2021-10-13 →10/16</v>
          </cell>
          <cell r="S1393"/>
          <cell r="T1393">
            <v>44487</v>
          </cell>
          <cell r="U1393">
            <v>44488</v>
          </cell>
          <cell r="V1393">
            <v>44488</v>
          </cell>
          <cell r="W1393">
            <v>44488</v>
          </cell>
          <cell r="X1393" t="str">
            <v>41100174 → 41100175</v>
          </cell>
        </row>
        <row r="1394">
          <cell r="K1394" t="str">
            <v>GBWS-1590</v>
          </cell>
          <cell r="L1394">
            <v>44446</v>
          </cell>
          <cell r="M1394">
            <v>44447</v>
          </cell>
          <cell r="N1394">
            <v>44467</v>
          </cell>
          <cell r="O1394">
            <v>44447</v>
          </cell>
          <cell r="P1394">
            <v>44467</v>
          </cell>
          <cell r="Q1394">
            <v>44467</v>
          </cell>
          <cell r="R1394">
            <v>44467</v>
          </cell>
          <cell r="S1394"/>
          <cell r="T1394">
            <v>44468</v>
          </cell>
          <cell r="U1394">
            <v>44474</v>
          </cell>
          <cell r="V1394">
            <v>44475</v>
          </cell>
          <cell r="W1394">
            <v>44475</v>
          </cell>
          <cell r="X1394">
            <v>41100334</v>
          </cell>
        </row>
        <row r="1395">
          <cell r="K1395" t="str">
            <v>GBWS-1591</v>
          </cell>
          <cell r="L1395">
            <v>44446</v>
          </cell>
          <cell r="M1395">
            <v>44447</v>
          </cell>
          <cell r="N1395">
            <v>44467</v>
          </cell>
          <cell r="O1395">
            <v>44447</v>
          </cell>
          <cell r="P1395">
            <v>44467</v>
          </cell>
          <cell r="Q1395">
            <v>44467</v>
          </cell>
          <cell r="R1395">
            <v>44467</v>
          </cell>
          <cell r="S1395"/>
          <cell r="T1395">
            <v>44468</v>
          </cell>
          <cell r="U1395">
            <v>44474</v>
          </cell>
          <cell r="V1395">
            <v>44476</v>
          </cell>
          <cell r="W1395">
            <v>44476</v>
          </cell>
          <cell r="X1395">
            <v>41100334</v>
          </cell>
        </row>
        <row r="1396">
          <cell r="K1396" t="str">
            <v>GBWS-1589</v>
          </cell>
          <cell r="L1396">
            <v>44446</v>
          </cell>
          <cell r="M1396">
            <v>44447</v>
          </cell>
          <cell r="N1396">
            <v>44467</v>
          </cell>
          <cell r="O1396">
            <v>44447</v>
          </cell>
          <cell r="P1396">
            <v>44466</v>
          </cell>
          <cell r="Q1396">
            <v>44467</v>
          </cell>
          <cell r="R1396">
            <v>44467</v>
          </cell>
          <cell r="S1396"/>
          <cell r="T1396">
            <v>44468</v>
          </cell>
          <cell r="U1396">
            <v>44470</v>
          </cell>
          <cell r="V1396">
            <v>44475</v>
          </cell>
          <cell r="W1396">
            <v>44475</v>
          </cell>
          <cell r="X1396">
            <v>41100319</v>
          </cell>
        </row>
        <row r="1397">
          <cell r="K1397" t="str">
            <v>GBWS-1630</v>
          </cell>
          <cell r="L1397">
            <v>44467</v>
          </cell>
          <cell r="M1397">
            <v>44468</v>
          </cell>
          <cell r="N1397">
            <v>44482</v>
          </cell>
          <cell r="O1397">
            <v>44468</v>
          </cell>
          <cell r="P1397">
            <v>44483</v>
          </cell>
          <cell r="Q1397" t="str">
            <v>2021-10-13 → 10/14(오전)</v>
          </cell>
          <cell r="R1397" t="str">
            <v>2021-10-13 → 10/14(오전)</v>
          </cell>
          <cell r="S1397"/>
          <cell r="T1397">
            <v>44484</v>
          </cell>
          <cell r="U1397">
            <v>44487</v>
          </cell>
          <cell r="V1397">
            <v>44488</v>
          </cell>
          <cell r="W1397">
            <v>44488</v>
          </cell>
          <cell r="X1397">
            <v>41100293</v>
          </cell>
        </row>
        <row r="1398">
          <cell r="K1398" t="str">
            <v>GBWS-1631</v>
          </cell>
          <cell r="L1398">
            <v>44467</v>
          </cell>
          <cell r="M1398">
            <v>44468</v>
          </cell>
          <cell r="N1398">
            <v>44482</v>
          </cell>
          <cell r="O1398">
            <v>44468</v>
          </cell>
          <cell r="P1398">
            <v>44483</v>
          </cell>
          <cell r="Q1398" t="str">
            <v>2021-10-13 → 10/14(오전)</v>
          </cell>
          <cell r="R1398" t="str">
            <v>2021-10-13 → 10/14(오전)</v>
          </cell>
          <cell r="S1398"/>
          <cell r="T1398">
            <v>44483</v>
          </cell>
          <cell r="U1398">
            <v>44484</v>
          </cell>
          <cell r="V1398">
            <v>44487</v>
          </cell>
          <cell r="W1398">
            <v>44488</v>
          </cell>
          <cell r="X1398">
            <v>41100293</v>
          </cell>
        </row>
        <row r="1399">
          <cell r="K1399" t="str">
            <v>GBWS-1632</v>
          </cell>
          <cell r="L1399">
            <v>44467</v>
          </cell>
          <cell r="M1399">
            <v>44468</v>
          </cell>
          <cell r="N1399">
            <v>44482</v>
          </cell>
          <cell r="O1399">
            <v>44468</v>
          </cell>
          <cell r="P1399">
            <v>44483</v>
          </cell>
          <cell r="Q1399" t="str">
            <v>2021-10-13 → 10/14(오전)</v>
          </cell>
          <cell r="R1399" t="str">
            <v>2021-10-13 → 10/14(오전)</v>
          </cell>
          <cell r="S1399"/>
          <cell r="T1399">
            <v>44483</v>
          </cell>
          <cell r="U1399">
            <v>44484</v>
          </cell>
          <cell r="V1399">
            <v>44487</v>
          </cell>
          <cell r="W1399">
            <v>44487</v>
          </cell>
          <cell r="X1399">
            <v>41100293</v>
          </cell>
        </row>
        <row r="1400">
          <cell r="K1400" t="str">
            <v>GBWS-1660</v>
          </cell>
          <cell r="L1400">
            <v>44477</v>
          </cell>
          <cell r="M1400">
            <v>44477</v>
          </cell>
          <cell r="N1400">
            <v>44488</v>
          </cell>
          <cell r="O1400">
            <v>44477</v>
          </cell>
          <cell r="P1400">
            <v>44489</v>
          </cell>
          <cell r="Q1400" t="str">
            <v>2021-10-15 →10/17</v>
          </cell>
          <cell r="R1400" t="str">
            <v>2021-10-15 →10/17</v>
          </cell>
          <cell r="S1400"/>
          <cell r="T1400">
            <v>44489</v>
          </cell>
          <cell r="U1400">
            <v>44490</v>
          </cell>
          <cell r="V1400">
            <v>44490</v>
          </cell>
          <cell r="W1400">
            <v>44490</v>
          </cell>
          <cell r="X1400">
            <v>41100340</v>
          </cell>
        </row>
        <row r="1401">
          <cell r="K1401" t="str">
            <v>GBWS-1661</v>
          </cell>
          <cell r="L1401">
            <v>44477</v>
          </cell>
          <cell r="M1401">
            <v>44477</v>
          </cell>
          <cell r="N1401">
            <v>44488</v>
          </cell>
          <cell r="O1401">
            <v>44477</v>
          </cell>
          <cell r="P1401">
            <v>44489</v>
          </cell>
          <cell r="Q1401" t="str">
            <v>2021-10-15 →10/17</v>
          </cell>
          <cell r="R1401" t="str">
            <v>2021-10-15 →10/17</v>
          </cell>
          <cell r="S1401"/>
          <cell r="T1401">
            <v>44489</v>
          </cell>
          <cell r="U1401">
            <v>44490</v>
          </cell>
          <cell r="V1401">
            <v>44490</v>
          </cell>
          <cell r="W1401">
            <v>44490</v>
          </cell>
          <cell r="X1401">
            <v>41100340</v>
          </cell>
        </row>
        <row r="1402">
          <cell r="K1402" t="str">
            <v>GBWS-1662</v>
          </cell>
          <cell r="L1402">
            <v>44477</v>
          </cell>
          <cell r="M1402">
            <v>44477</v>
          </cell>
          <cell r="N1402">
            <v>44488</v>
          </cell>
          <cell r="O1402">
            <v>44477</v>
          </cell>
          <cell r="P1402">
            <v>44489</v>
          </cell>
          <cell r="Q1402" t="str">
            <v>2021-10-15 →10/17</v>
          </cell>
          <cell r="R1402" t="str">
            <v>2021-10-15 →10/17</v>
          </cell>
          <cell r="S1402"/>
          <cell r="T1402">
            <v>44489</v>
          </cell>
          <cell r="U1402">
            <v>44490</v>
          </cell>
          <cell r="V1402">
            <v>44490</v>
          </cell>
          <cell r="W1402">
            <v>44490</v>
          </cell>
          <cell r="X1402">
            <v>41100340</v>
          </cell>
        </row>
        <row r="1403">
          <cell r="K1403" t="str">
            <v>GBWS-1663</v>
          </cell>
          <cell r="L1403">
            <v>44477</v>
          </cell>
          <cell r="M1403">
            <v>44477</v>
          </cell>
          <cell r="N1403">
            <v>44488</v>
          </cell>
          <cell r="O1403">
            <v>44477</v>
          </cell>
          <cell r="P1403">
            <v>44489</v>
          </cell>
          <cell r="Q1403" t="str">
            <v>2021-10-15 →10/17</v>
          </cell>
          <cell r="R1403" t="str">
            <v>2021-10-15 →10/17</v>
          </cell>
          <cell r="S1403"/>
          <cell r="T1403">
            <v>44489</v>
          </cell>
          <cell r="U1403">
            <v>44490</v>
          </cell>
          <cell r="V1403">
            <v>44490</v>
          </cell>
          <cell r="W1403">
            <v>44490</v>
          </cell>
          <cell r="X1403">
            <v>41100340</v>
          </cell>
        </row>
        <row r="1404">
          <cell r="K1404" t="str">
            <v>SOS-0252</v>
          </cell>
          <cell r="L1404">
            <v>44455</v>
          </cell>
          <cell r="M1404">
            <v>44455</v>
          </cell>
          <cell r="N1404">
            <v>44462</v>
          </cell>
          <cell r="O1404">
            <v>44455</v>
          </cell>
          <cell r="P1404">
            <v>44462</v>
          </cell>
          <cell r="Q1404">
            <v>44466</v>
          </cell>
          <cell r="R1404">
            <v>44466</v>
          </cell>
          <cell r="S1404"/>
          <cell r="T1404">
            <v>44463</v>
          </cell>
          <cell r="U1404">
            <v>44463</v>
          </cell>
          <cell r="V1404">
            <v>44467</v>
          </cell>
          <cell r="W1404">
            <v>44467</v>
          </cell>
          <cell r="X1404">
            <v>41100299</v>
          </cell>
        </row>
        <row r="1405">
          <cell r="K1405" t="str">
            <v>DBW-2389</v>
          </cell>
          <cell r="L1405">
            <v>44446</v>
          </cell>
          <cell r="M1405">
            <v>44447</v>
          </cell>
          <cell r="N1405">
            <v>44467</v>
          </cell>
          <cell r="O1405">
            <v>44447</v>
          </cell>
          <cell r="P1405">
            <v>44466</v>
          </cell>
          <cell r="Q1405" t="str">
            <v>2021-09-27 → 9/28</v>
          </cell>
          <cell r="R1405" t="str">
            <v>2021-09-27 → 9/28</v>
          </cell>
          <cell r="S1405"/>
          <cell r="T1405">
            <v>44468</v>
          </cell>
          <cell r="U1405">
            <v>44475</v>
          </cell>
          <cell r="V1405">
            <v>44476</v>
          </cell>
          <cell r="W1405">
            <v>44477</v>
          </cell>
          <cell r="X1405">
            <v>41100261</v>
          </cell>
        </row>
        <row r="1406">
          <cell r="K1406" t="str">
            <v>DBW-2407</v>
          </cell>
          <cell r="L1406">
            <v>44467</v>
          </cell>
          <cell r="M1406">
            <v>44468</v>
          </cell>
          <cell r="N1406">
            <v>44482</v>
          </cell>
          <cell r="O1406">
            <v>44468</v>
          </cell>
          <cell r="P1406">
            <v>44482</v>
          </cell>
          <cell r="Q1406" t="str">
            <v>2021-10-11 → 10/13</v>
          </cell>
          <cell r="R1406" t="str">
            <v>2021-10-11 → 10/13</v>
          </cell>
          <cell r="S1406"/>
          <cell r="T1406">
            <v>44483</v>
          </cell>
          <cell r="U1406">
            <v>44484</v>
          </cell>
          <cell r="V1406">
            <v>44484</v>
          </cell>
          <cell r="W1406">
            <v>44487</v>
          </cell>
          <cell r="X1406">
            <v>41100399</v>
          </cell>
        </row>
        <row r="1407">
          <cell r="K1407" t="str">
            <v>DBW-2420</v>
          </cell>
          <cell r="L1407">
            <v>44470</v>
          </cell>
          <cell r="M1407">
            <v>44474</v>
          </cell>
          <cell r="N1407">
            <v>44484</v>
          </cell>
          <cell r="O1407">
            <v>44474</v>
          </cell>
          <cell r="P1407">
            <v>44484</v>
          </cell>
          <cell r="Q1407" t="str">
            <v>2021-10-13 → 10/14 → 10/15</v>
          </cell>
          <cell r="R1407" t="str">
            <v>2021-10-13 → 10/14 → 10/15</v>
          </cell>
          <cell r="S1407"/>
          <cell r="T1407">
            <v>44487</v>
          </cell>
          <cell r="U1407">
            <v>44488</v>
          </cell>
          <cell r="V1407">
            <v>44489</v>
          </cell>
          <cell r="W1407">
            <v>44490</v>
          </cell>
          <cell r="X1407">
            <v>41100170</v>
          </cell>
        </row>
        <row r="1408">
          <cell r="K1408" t="str">
            <v>DBW-2421</v>
          </cell>
          <cell r="L1408">
            <v>44470</v>
          </cell>
          <cell r="M1408">
            <v>44474</v>
          </cell>
          <cell r="N1408">
            <v>44484</v>
          </cell>
          <cell r="O1408">
            <v>44474</v>
          </cell>
          <cell r="P1408">
            <v>44484</v>
          </cell>
          <cell r="Q1408" t="str">
            <v>2021-10-13 → 10/14 → 10/15</v>
          </cell>
          <cell r="R1408" t="str">
            <v>2021-10-13 → 10/14 → 10/15</v>
          </cell>
          <cell r="S1408"/>
          <cell r="T1408">
            <v>44487</v>
          </cell>
          <cell r="U1408">
            <v>44488</v>
          </cell>
          <cell r="V1408">
            <v>44489</v>
          </cell>
          <cell r="W1408">
            <v>44489</v>
          </cell>
          <cell r="X1408">
            <v>41100170</v>
          </cell>
        </row>
        <row r="1409">
          <cell r="K1409" t="str">
            <v>GBWS-1637</v>
          </cell>
          <cell r="L1409">
            <v>44468</v>
          </cell>
          <cell r="M1409">
            <v>44469</v>
          </cell>
          <cell r="N1409">
            <v>44485</v>
          </cell>
          <cell r="O1409">
            <v>44469</v>
          </cell>
          <cell r="P1409">
            <v>44485</v>
          </cell>
          <cell r="Q1409" t="str">
            <v>2021-10-12 → 10/14 → 10/16</v>
          </cell>
          <cell r="R1409" t="str">
            <v>2021-10-12 → 10/14 → 10/16</v>
          </cell>
          <cell r="S1409"/>
          <cell r="T1409">
            <v>44488</v>
          </cell>
          <cell r="U1409">
            <v>44490</v>
          </cell>
          <cell r="V1409">
            <v>44491</v>
          </cell>
          <cell r="W1409">
            <v>44491</v>
          </cell>
          <cell r="X1409">
            <v>41100316</v>
          </cell>
        </row>
        <row r="1410">
          <cell r="K1410" t="str">
            <v>GBWS-1638</v>
          </cell>
          <cell r="L1410">
            <v>44468</v>
          </cell>
          <cell r="M1410">
            <v>44469</v>
          </cell>
          <cell r="N1410">
            <v>44485</v>
          </cell>
          <cell r="O1410">
            <v>44469</v>
          </cell>
          <cell r="P1410">
            <v>44485</v>
          </cell>
          <cell r="Q1410" t="str">
            <v>2021-10-12 → 10/14 → 10/16</v>
          </cell>
          <cell r="R1410" t="str">
            <v>2021-10-12 → 10/14 → 10/16</v>
          </cell>
          <cell r="S1410"/>
          <cell r="T1410">
            <v>44488</v>
          </cell>
          <cell r="U1410">
            <v>44490</v>
          </cell>
          <cell r="V1410">
            <v>44494</v>
          </cell>
          <cell r="W1410">
            <v>44494</v>
          </cell>
          <cell r="X1410">
            <v>41100316</v>
          </cell>
        </row>
        <row r="1411">
          <cell r="K1411" t="str">
            <v>GBWS-1639</v>
          </cell>
          <cell r="L1411">
            <v>44468</v>
          </cell>
          <cell r="M1411">
            <v>44469</v>
          </cell>
          <cell r="N1411">
            <v>44485</v>
          </cell>
          <cell r="O1411">
            <v>44469</v>
          </cell>
          <cell r="P1411">
            <v>44485</v>
          </cell>
          <cell r="Q1411" t="str">
            <v>2021-10-12 → 10/15 → 10/16</v>
          </cell>
          <cell r="R1411" t="str">
            <v>2021-10-12 → 10/15 → 10/16</v>
          </cell>
          <cell r="S1411"/>
          <cell r="T1411">
            <v>44488</v>
          </cell>
          <cell r="U1411">
            <v>44489</v>
          </cell>
          <cell r="V1411">
            <v>44490</v>
          </cell>
          <cell r="W1411">
            <v>44490</v>
          </cell>
          <cell r="X1411">
            <v>41100385</v>
          </cell>
        </row>
        <row r="1412">
          <cell r="K1412" t="str">
            <v>GBWS-1640</v>
          </cell>
          <cell r="L1412">
            <v>44468</v>
          </cell>
          <cell r="M1412">
            <v>44469</v>
          </cell>
          <cell r="N1412">
            <v>44485</v>
          </cell>
          <cell r="O1412">
            <v>44469</v>
          </cell>
          <cell r="P1412">
            <v>44485</v>
          </cell>
          <cell r="Q1412" t="str">
            <v>2021-10-12 → 10/15 → 10/16</v>
          </cell>
          <cell r="R1412" t="str">
            <v>2021-10-12 → 10/15 → 10/16</v>
          </cell>
          <cell r="S1412"/>
          <cell r="T1412">
            <v>44488</v>
          </cell>
          <cell r="U1412">
            <v>44489</v>
          </cell>
          <cell r="V1412">
            <v>44490</v>
          </cell>
          <cell r="W1412">
            <v>44490</v>
          </cell>
          <cell r="X1412">
            <v>41100385</v>
          </cell>
        </row>
        <row r="1413">
          <cell r="K1413" t="str">
            <v>GBWS-1641</v>
          </cell>
          <cell r="L1413">
            <v>44468</v>
          </cell>
          <cell r="M1413">
            <v>44469</v>
          </cell>
          <cell r="N1413">
            <v>44487</v>
          </cell>
          <cell r="O1413">
            <v>44469</v>
          </cell>
          <cell r="P1413">
            <v>44487</v>
          </cell>
          <cell r="Q1413" t="str">
            <v>2021-10-12 → 10/15 → 10/17 → 10/18</v>
          </cell>
          <cell r="R1413" t="str">
            <v>2021-10-12 → 10/15 → 10/17 → 10/18</v>
          </cell>
          <cell r="S1413"/>
          <cell r="T1413">
            <v>44488</v>
          </cell>
          <cell r="U1413">
            <v>44489</v>
          </cell>
          <cell r="V1413">
            <v>44490</v>
          </cell>
          <cell r="W1413">
            <v>44490</v>
          </cell>
          <cell r="X1413">
            <v>41100385</v>
          </cell>
        </row>
        <row r="1414">
          <cell r="K1414" t="str">
            <v>GBWS-1642</v>
          </cell>
          <cell r="L1414">
            <v>44468</v>
          </cell>
          <cell r="M1414">
            <v>44469</v>
          </cell>
          <cell r="N1414">
            <v>44487</v>
          </cell>
          <cell r="O1414">
            <v>44469</v>
          </cell>
          <cell r="P1414">
            <v>44487</v>
          </cell>
          <cell r="Q1414" t="str">
            <v>2021-10-12 → 10/15 → 10/17 → 10/18</v>
          </cell>
          <cell r="R1414" t="str">
            <v>2021-10-12 → 10/15 → 10/17 → 10/18</v>
          </cell>
          <cell r="S1414"/>
          <cell r="T1414">
            <v>44488</v>
          </cell>
          <cell r="U1414">
            <v>44489</v>
          </cell>
          <cell r="V1414">
            <v>44490</v>
          </cell>
          <cell r="W1414">
            <v>44490</v>
          </cell>
          <cell r="X1414">
            <v>41100385</v>
          </cell>
        </row>
        <row r="1415">
          <cell r="K1415" t="str">
            <v>GBWS-1643</v>
          </cell>
          <cell r="L1415">
            <v>44468</v>
          </cell>
          <cell r="M1415">
            <v>44469</v>
          </cell>
          <cell r="N1415">
            <v>44487</v>
          </cell>
          <cell r="O1415">
            <v>44469</v>
          </cell>
          <cell r="P1415">
            <v>44487</v>
          </cell>
          <cell r="Q1415" t="str">
            <v>2021-10-12 → 10/15 → 10/17 → 10/18</v>
          </cell>
          <cell r="R1415" t="str">
            <v>2021-10-12 → 10/15 → 10/17 → 10/18</v>
          </cell>
          <cell r="S1415"/>
          <cell r="T1415">
            <v>44488</v>
          </cell>
          <cell r="U1415">
            <v>44489</v>
          </cell>
          <cell r="V1415">
            <v>44490</v>
          </cell>
          <cell r="W1415">
            <v>44490</v>
          </cell>
          <cell r="X1415">
            <v>41100385</v>
          </cell>
        </row>
        <row r="1416">
          <cell r="K1416" t="str">
            <v>GBWS-1644</v>
          </cell>
          <cell r="L1416">
            <v>44468</v>
          </cell>
          <cell r="M1416">
            <v>44469</v>
          </cell>
          <cell r="N1416">
            <v>44488</v>
          </cell>
          <cell r="O1416">
            <v>44469</v>
          </cell>
          <cell r="P1416">
            <v>44488</v>
          </cell>
          <cell r="Q1416" t="str">
            <v>2021-10-12 → 10/16 → 10/19</v>
          </cell>
          <cell r="R1416" t="str">
            <v>2021-10-12 → 10/16 → 10/19</v>
          </cell>
          <cell r="S1416"/>
          <cell r="T1416">
            <v>44489</v>
          </cell>
          <cell r="U1416">
            <v>44490</v>
          </cell>
          <cell r="V1416">
            <v>44491</v>
          </cell>
          <cell r="W1416">
            <v>44491</v>
          </cell>
          <cell r="X1416">
            <v>41100313</v>
          </cell>
        </row>
        <row r="1417">
          <cell r="K1417" t="str">
            <v>GBWS-1645</v>
          </cell>
          <cell r="L1417">
            <v>44468</v>
          </cell>
          <cell r="M1417">
            <v>44469</v>
          </cell>
          <cell r="N1417">
            <v>44488</v>
          </cell>
          <cell r="O1417">
            <v>44469</v>
          </cell>
          <cell r="P1417">
            <v>44488</v>
          </cell>
          <cell r="Q1417" t="str">
            <v>2021-10-12 → 10/16 → 10/19</v>
          </cell>
          <cell r="R1417" t="str">
            <v>2021-10-12 → 10/16 → 10/19</v>
          </cell>
          <cell r="S1417"/>
          <cell r="T1417">
            <v>44489</v>
          </cell>
          <cell r="U1417">
            <v>44490</v>
          </cell>
          <cell r="V1417">
            <v>44491</v>
          </cell>
          <cell r="W1417">
            <v>44491</v>
          </cell>
          <cell r="X1417">
            <v>41100313</v>
          </cell>
        </row>
        <row r="1418">
          <cell r="K1418" t="str">
            <v>GBWS-1646</v>
          </cell>
          <cell r="L1418">
            <v>44468</v>
          </cell>
          <cell r="M1418">
            <v>44469</v>
          </cell>
          <cell r="N1418">
            <v>44488</v>
          </cell>
          <cell r="O1418">
            <v>44469</v>
          </cell>
          <cell r="P1418">
            <v>44488</v>
          </cell>
          <cell r="Q1418" t="str">
            <v>2021-10-12 → 10/16 → 10/19</v>
          </cell>
          <cell r="R1418" t="str">
            <v>2021-10-12 → 10/16 → 10/19</v>
          </cell>
          <cell r="S1418"/>
          <cell r="T1418">
            <v>44489</v>
          </cell>
          <cell r="U1418">
            <v>44490</v>
          </cell>
          <cell r="V1418">
            <v>44491</v>
          </cell>
          <cell r="W1418">
            <v>44491</v>
          </cell>
          <cell r="X1418">
            <v>41100313</v>
          </cell>
        </row>
        <row r="1419">
          <cell r="K1419" t="str">
            <v>IVAS-089</v>
          </cell>
          <cell r="L1419">
            <v>44453</v>
          </cell>
          <cell r="M1419">
            <v>44453</v>
          </cell>
          <cell r="N1419">
            <v>44475</v>
          </cell>
          <cell r="O1419">
            <v>44453</v>
          </cell>
          <cell r="P1419">
            <v>44474</v>
          </cell>
          <cell r="Q1419">
            <v>44473</v>
          </cell>
          <cell r="R1419">
            <v>44473</v>
          </cell>
          <cell r="S1419"/>
          <cell r="T1419">
            <v>44475</v>
          </cell>
          <cell r="U1419">
            <v>44490</v>
          </cell>
          <cell r="V1419">
            <v>44494</v>
          </cell>
          <cell r="W1419">
            <v>44495</v>
          </cell>
          <cell r="X1419">
            <v>41100271</v>
          </cell>
        </row>
        <row r="1420">
          <cell r="K1420" t="str">
            <v>IVAS-092</v>
          </cell>
          <cell r="L1420">
            <v>44467</v>
          </cell>
          <cell r="M1420">
            <v>44467</v>
          </cell>
          <cell r="N1420">
            <v>44482</v>
          </cell>
          <cell r="O1420">
            <v>44467</v>
          </cell>
          <cell r="P1420">
            <v>44486</v>
          </cell>
          <cell r="Q1420" t="str">
            <v>2021-10-11 → 10/13 → 10/14</v>
          </cell>
          <cell r="R1420" t="str">
            <v>2021-10-11 → 10/13 → 10/14</v>
          </cell>
          <cell r="S1420"/>
          <cell r="T1420">
            <v>44487</v>
          </cell>
          <cell r="U1420">
            <v>44494</v>
          </cell>
          <cell r="V1420">
            <v>44495</v>
          </cell>
          <cell r="W1420">
            <v>44495</v>
          </cell>
          <cell r="X1420">
            <v>41100401</v>
          </cell>
        </row>
        <row r="1421">
          <cell r="K1421" t="str">
            <v>IVAS-093</v>
          </cell>
          <cell r="L1421">
            <v>44467</v>
          </cell>
          <cell r="M1421">
            <v>44467</v>
          </cell>
          <cell r="N1421">
            <v>44482</v>
          </cell>
          <cell r="O1421">
            <v>44467</v>
          </cell>
          <cell r="P1421">
            <v>44486</v>
          </cell>
          <cell r="Q1421" t="str">
            <v>2021-10-11 → 10/13 → 10/14</v>
          </cell>
          <cell r="R1421" t="str">
            <v>2021-10-11 → 10/13 → 10/14</v>
          </cell>
          <cell r="S1421"/>
          <cell r="T1421">
            <v>44487</v>
          </cell>
          <cell r="U1421">
            <v>44494</v>
          </cell>
          <cell r="V1421">
            <v>44495</v>
          </cell>
          <cell r="W1421">
            <v>44495</v>
          </cell>
          <cell r="X1421">
            <v>41100396</v>
          </cell>
        </row>
        <row r="1422">
          <cell r="K1422" t="str">
            <v>DBW-2393</v>
          </cell>
          <cell r="L1422">
            <v>44452</v>
          </cell>
          <cell r="M1422">
            <v>44452</v>
          </cell>
          <cell r="N1422">
            <v>44468</v>
          </cell>
          <cell r="O1422">
            <v>44452</v>
          </cell>
          <cell r="P1422">
            <v>44469</v>
          </cell>
          <cell r="Q1422" t="str">
            <v>2021-09-28 → 9/29</v>
          </cell>
          <cell r="R1422" t="str">
            <v>2021-09-28 → 9/29</v>
          </cell>
          <cell r="S1422"/>
          <cell r="T1422">
            <v>44470</v>
          </cell>
          <cell r="U1422">
            <v>44474</v>
          </cell>
          <cell r="V1422">
            <v>44476</v>
          </cell>
          <cell r="W1422">
            <v>44476</v>
          </cell>
          <cell r="X1422">
            <v>41100234</v>
          </cell>
        </row>
        <row r="1423">
          <cell r="K1423" t="str">
            <v>DBW-2394</v>
          </cell>
          <cell r="L1423">
            <v>44452</v>
          </cell>
          <cell r="M1423">
            <v>44452</v>
          </cell>
          <cell r="N1423">
            <v>44468</v>
          </cell>
          <cell r="O1423">
            <v>44452</v>
          </cell>
          <cell r="P1423">
            <v>44469</v>
          </cell>
          <cell r="Q1423" t="str">
            <v>2021-09-28 → 9/29</v>
          </cell>
          <cell r="R1423" t="str">
            <v>2021-09-28 → 9/29</v>
          </cell>
          <cell r="S1423"/>
          <cell r="T1423">
            <v>44470</v>
          </cell>
          <cell r="U1423">
            <v>44474</v>
          </cell>
          <cell r="V1423">
            <v>44476</v>
          </cell>
          <cell r="W1423">
            <v>44476</v>
          </cell>
          <cell r="X1423">
            <v>41100234</v>
          </cell>
        </row>
        <row r="1424">
          <cell r="K1424" t="str">
            <v>DBW-2395</v>
          </cell>
          <cell r="L1424">
            <v>44452</v>
          </cell>
          <cell r="M1424">
            <v>44452</v>
          </cell>
          <cell r="N1424">
            <v>44468</v>
          </cell>
          <cell r="O1424">
            <v>44452</v>
          </cell>
          <cell r="P1424">
            <v>44469</v>
          </cell>
          <cell r="Q1424" t="str">
            <v>2021-09-28 → 9/29</v>
          </cell>
          <cell r="R1424" t="str">
            <v>2021-09-28 → 9/29</v>
          </cell>
          <cell r="S1424"/>
          <cell r="T1424">
            <v>44470</v>
          </cell>
          <cell r="U1424">
            <v>44474</v>
          </cell>
          <cell r="V1424">
            <v>44475</v>
          </cell>
          <cell r="W1424">
            <v>44475</v>
          </cell>
          <cell r="X1424">
            <v>41100234</v>
          </cell>
        </row>
        <row r="1425">
          <cell r="K1425" t="str">
            <v>GBWS-1564</v>
          </cell>
          <cell r="L1425">
            <v>44441</v>
          </cell>
          <cell r="M1425">
            <v>44441</v>
          </cell>
          <cell r="N1425">
            <v>44454</v>
          </cell>
          <cell r="O1425">
            <v>44441</v>
          </cell>
          <cell r="P1425">
            <v>44454</v>
          </cell>
          <cell r="Q1425">
            <v>44453</v>
          </cell>
          <cell r="R1425">
            <v>44453</v>
          </cell>
          <cell r="S1425"/>
          <cell r="T1425">
            <v>44454</v>
          </cell>
          <cell r="U1425">
            <v>44455</v>
          </cell>
          <cell r="V1425">
            <v>44462</v>
          </cell>
          <cell r="W1425">
            <v>44466</v>
          </cell>
          <cell r="X1425">
            <v>41100320</v>
          </cell>
        </row>
        <row r="1426">
          <cell r="K1426" t="str">
            <v>GBWS-1634</v>
          </cell>
          <cell r="L1426">
            <v>44467</v>
          </cell>
          <cell r="M1426">
            <v>44468</v>
          </cell>
          <cell r="N1426">
            <v>44482</v>
          </cell>
          <cell r="O1426">
            <v>44468</v>
          </cell>
          <cell r="P1426">
            <v>44483</v>
          </cell>
          <cell r="Q1426" t="str">
            <v>2021-10-13 → 10/14(오전)</v>
          </cell>
          <cell r="R1426" t="str">
            <v>2021-10-13 → 10/14(오전)</v>
          </cell>
          <cell r="S1426"/>
          <cell r="T1426">
            <v>44484</v>
          </cell>
          <cell r="U1426">
            <v>44487</v>
          </cell>
          <cell r="V1426">
            <v>44488</v>
          </cell>
          <cell r="W1426">
            <v>44489</v>
          </cell>
          <cell r="X1426">
            <v>41100293</v>
          </cell>
        </row>
        <row r="1427">
          <cell r="K1427" t="str">
            <v>GBWS-1649</v>
          </cell>
          <cell r="L1427">
            <v>44470</v>
          </cell>
          <cell r="M1427">
            <v>44473</v>
          </cell>
          <cell r="N1427">
            <v>44484</v>
          </cell>
          <cell r="O1427">
            <v>44473</v>
          </cell>
          <cell r="P1427">
            <v>44485</v>
          </cell>
          <cell r="Q1427" t="str">
            <v>2021-10-14 → 10/16</v>
          </cell>
          <cell r="R1427" t="str">
            <v>2021-10-14 → 10/16</v>
          </cell>
          <cell r="S1427"/>
          <cell r="T1427">
            <v>44488</v>
          </cell>
          <cell r="U1427">
            <v>44489</v>
          </cell>
          <cell r="V1427">
            <v>44490</v>
          </cell>
          <cell r="W1427">
            <v>44490</v>
          </cell>
          <cell r="X1427">
            <v>41100334</v>
          </cell>
        </row>
        <row r="1428">
          <cell r="K1428" t="str">
            <v>GBWS-1650</v>
          </cell>
          <cell r="L1428">
            <v>44470</v>
          </cell>
          <cell r="M1428">
            <v>44473</v>
          </cell>
          <cell r="N1428">
            <v>44484</v>
          </cell>
          <cell r="O1428">
            <v>44473</v>
          </cell>
          <cell r="P1428">
            <v>44485</v>
          </cell>
          <cell r="Q1428" t="str">
            <v>2021-10-14 → 10/16</v>
          </cell>
          <cell r="R1428" t="str">
            <v>2021-10-14 → 10/16</v>
          </cell>
          <cell r="S1428"/>
          <cell r="T1428">
            <v>44488</v>
          </cell>
          <cell r="U1428">
            <v>44489</v>
          </cell>
          <cell r="V1428">
            <v>44490</v>
          </cell>
          <cell r="W1428">
            <v>44495</v>
          </cell>
          <cell r="X1428">
            <v>41100334</v>
          </cell>
        </row>
        <row r="1429">
          <cell r="K1429" t="str">
            <v>AWS-0005</v>
          </cell>
          <cell r="L1429">
            <v>44494</v>
          </cell>
          <cell r="M1429">
            <v>44474</v>
          </cell>
          <cell r="N1429">
            <v>44494</v>
          </cell>
          <cell r="O1429">
            <v>44474</v>
          </cell>
          <cell r="P1429">
            <v>44494</v>
          </cell>
          <cell r="Q1429" t="str">
            <v>2021-10-15 → 10/25</v>
          </cell>
          <cell r="R1429" t="str">
            <v>2021-10-15 → 10/25</v>
          </cell>
          <cell r="S1429"/>
          <cell r="T1429">
            <v>44496</v>
          </cell>
          <cell r="U1429">
            <v>44496</v>
          </cell>
          <cell r="V1429">
            <v>44496</v>
          </cell>
          <cell r="W1429">
            <v>44496</v>
          </cell>
          <cell r="X1429">
            <v>41100382</v>
          </cell>
        </row>
        <row r="1430">
          <cell r="K1430" t="str">
            <v>GBWS-1677</v>
          </cell>
          <cell r="L1430">
            <v>44481</v>
          </cell>
          <cell r="M1430">
            <v>44481</v>
          </cell>
          <cell r="N1430">
            <v>44494</v>
          </cell>
          <cell r="O1430">
            <v>44481</v>
          </cell>
          <cell r="P1430">
            <v>44494</v>
          </cell>
          <cell r="Q1430" t="str">
            <v>2021-10-20 → 10/24</v>
          </cell>
          <cell r="R1430" t="str">
            <v>2021-10-20 → 10/24</v>
          </cell>
          <cell r="S1430"/>
          <cell r="T1430">
            <v>44495</v>
          </cell>
          <cell r="U1430">
            <v>44496</v>
          </cell>
          <cell r="V1430">
            <v>44496</v>
          </cell>
          <cell r="W1430">
            <v>44496</v>
          </cell>
          <cell r="X1430">
            <v>41100402</v>
          </cell>
        </row>
        <row r="1431">
          <cell r="K1431" t="str">
            <v>GBWS-1678</v>
          </cell>
          <cell r="L1431">
            <v>44481</v>
          </cell>
          <cell r="M1431">
            <v>44481</v>
          </cell>
          <cell r="N1431">
            <v>44494</v>
          </cell>
          <cell r="O1431">
            <v>44481</v>
          </cell>
          <cell r="P1431">
            <v>44494</v>
          </cell>
          <cell r="Q1431" t="str">
            <v>2021-10-20 → 10/24</v>
          </cell>
          <cell r="R1431" t="str">
            <v>2021-10-20 → 10/24</v>
          </cell>
          <cell r="S1431"/>
          <cell r="T1431">
            <v>44495</v>
          </cell>
          <cell r="U1431">
            <v>44496</v>
          </cell>
          <cell r="V1431">
            <v>44496</v>
          </cell>
          <cell r="W1431">
            <v>44496</v>
          </cell>
          <cell r="X1431">
            <v>41100402</v>
          </cell>
        </row>
        <row r="1432">
          <cell r="K1432" t="str">
            <v xml:space="preserve"> - </v>
          </cell>
          <cell r="L1432"/>
          <cell r="M1432">
            <v>44495</v>
          </cell>
          <cell r="N1432">
            <v>44496</v>
          </cell>
          <cell r="O1432">
            <v>44495</v>
          </cell>
          <cell r="P1432" t="str">
            <v xml:space="preserve"> -</v>
          </cell>
          <cell r="Q1432">
            <v>44495</v>
          </cell>
          <cell r="R1432">
            <v>44495</v>
          </cell>
          <cell r="S1432"/>
          <cell r="T1432" t="str">
            <v xml:space="preserve"> -</v>
          </cell>
          <cell r="U1432" t="str">
            <v xml:space="preserve"> -</v>
          </cell>
          <cell r="V1432">
            <v>44497</v>
          </cell>
          <cell r="W1432">
            <v>44497</v>
          </cell>
          <cell r="X1432">
            <v>31010426</v>
          </cell>
        </row>
        <row r="1433">
          <cell r="K1433" t="str">
            <v>SOS-0250</v>
          </cell>
          <cell r="L1433">
            <v>44440</v>
          </cell>
          <cell r="M1433">
            <v>44441</v>
          </cell>
          <cell r="N1433">
            <v>44446</v>
          </cell>
          <cell r="O1433">
            <v>44441</v>
          </cell>
          <cell r="P1433">
            <v>44446</v>
          </cell>
          <cell r="Q1433">
            <v>44445</v>
          </cell>
          <cell r="R1433">
            <v>44445</v>
          </cell>
          <cell r="S1433"/>
          <cell r="T1433">
            <v>44446</v>
          </cell>
          <cell r="U1433">
            <v>44447</v>
          </cell>
          <cell r="V1433">
            <v>44448</v>
          </cell>
          <cell r="W1433">
            <v>44449</v>
          </cell>
          <cell r="X1433">
            <v>41100299</v>
          </cell>
        </row>
        <row r="1434">
          <cell r="K1434" t="str">
            <v>DBW-2373</v>
          </cell>
          <cell r="L1434">
            <v>44439</v>
          </cell>
          <cell r="M1434">
            <v>44439</v>
          </cell>
          <cell r="N1434">
            <v>44449</v>
          </cell>
          <cell r="O1434">
            <v>44439</v>
          </cell>
          <cell r="P1434">
            <v>44449</v>
          </cell>
          <cell r="Q1434" t="str">
            <v>2021-09-08 → 9/9</v>
          </cell>
          <cell r="R1434" t="str">
            <v>2021-09-08 → 9/9</v>
          </cell>
          <cell r="S1434"/>
          <cell r="T1434">
            <v>44449</v>
          </cell>
          <cell r="U1434">
            <v>44452</v>
          </cell>
          <cell r="V1434">
            <v>44454</v>
          </cell>
          <cell r="W1434">
            <v>44454</v>
          </cell>
          <cell r="X1434">
            <v>41100258</v>
          </cell>
        </row>
        <row r="1435">
          <cell r="K1435" t="str">
            <v>DBW-2374</v>
          </cell>
          <cell r="L1435">
            <v>44439</v>
          </cell>
          <cell r="M1435">
            <v>44439</v>
          </cell>
          <cell r="N1435">
            <v>44453</v>
          </cell>
          <cell r="O1435">
            <v>44439</v>
          </cell>
          <cell r="P1435">
            <v>44453</v>
          </cell>
          <cell r="Q1435" t="str">
            <v>2021-09-08 →9/12 → 9/14</v>
          </cell>
          <cell r="R1435" t="str">
            <v>2021-09-08 →9/12 → 9/14</v>
          </cell>
          <cell r="S1435"/>
          <cell r="T1435">
            <v>44453</v>
          </cell>
          <cell r="U1435">
            <v>44454</v>
          </cell>
          <cell r="V1435">
            <v>44462</v>
          </cell>
          <cell r="W1435">
            <v>44462</v>
          </cell>
          <cell r="X1435">
            <v>41100258</v>
          </cell>
        </row>
        <row r="1436">
          <cell r="K1436" t="str">
            <v>GBWS-1652</v>
          </cell>
          <cell r="L1436">
            <v>44476</v>
          </cell>
          <cell r="M1436">
            <v>44476</v>
          </cell>
          <cell r="N1436">
            <v>44491</v>
          </cell>
          <cell r="O1436">
            <v>44476</v>
          </cell>
          <cell r="P1436">
            <v>44491</v>
          </cell>
          <cell r="Q1436" t="str">
            <v>2021-10-19 → 10/22</v>
          </cell>
          <cell r="R1436" t="str">
            <v>2021-10-19 → 10/22</v>
          </cell>
          <cell r="S1436"/>
          <cell r="T1436">
            <v>44494</v>
          </cell>
          <cell r="U1436">
            <v>44495</v>
          </cell>
          <cell r="V1436">
            <v>44496</v>
          </cell>
          <cell r="W1436">
            <v>44496</v>
          </cell>
          <cell r="X1436">
            <v>41100093</v>
          </cell>
        </row>
        <row r="1437">
          <cell r="K1437" t="str">
            <v>GBWS-1653</v>
          </cell>
          <cell r="L1437">
            <v>44476</v>
          </cell>
          <cell r="M1437">
            <v>44476</v>
          </cell>
          <cell r="N1437">
            <v>44491</v>
          </cell>
          <cell r="O1437">
            <v>44476</v>
          </cell>
          <cell r="P1437">
            <v>44491</v>
          </cell>
          <cell r="Q1437" t="str">
            <v>2021-10-19 → 10/22</v>
          </cell>
          <cell r="R1437" t="str">
            <v>2021-10-19 → 10/22</v>
          </cell>
          <cell r="S1437"/>
          <cell r="T1437">
            <v>44494</v>
          </cell>
          <cell r="U1437">
            <v>44495</v>
          </cell>
          <cell r="V1437">
            <v>44496</v>
          </cell>
          <cell r="W1437">
            <v>44496</v>
          </cell>
          <cell r="X1437">
            <v>41100093</v>
          </cell>
        </row>
        <row r="1438">
          <cell r="K1438" t="str">
            <v>GBWS-1654</v>
          </cell>
          <cell r="L1438">
            <v>44476</v>
          </cell>
          <cell r="M1438">
            <v>44476</v>
          </cell>
          <cell r="N1438">
            <v>44491</v>
          </cell>
          <cell r="O1438">
            <v>44476</v>
          </cell>
          <cell r="P1438">
            <v>44491</v>
          </cell>
          <cell r="Q1438" t="str">
            <v>2021-10-19 → 10/22</v>
          </cell>
          <cell r="R1438" t="str">
            <v>2021-10-19 → 10/22</v>
          </cell>
          <cell r="S1438"/>
          <cell r="T1438">
            <v>44491</v>
          </cell>
          <cell r="U1438">
            <v>44494</v>
          </cell>
          <cell r="V1438">
            <v>44485</v>
          </cell>
          <cell r="W1438">
            <v>44485</v>
          </cell>
          <cell r="X1438">
            <v>41100093</v>
          </cell>
        </row>
        <row r="1439">
          <cell r="K1439" t="str">
            <v>GBWS-1655</v>
          </cell>
          <cell r="L1439">
            <v>44476</v>
          </cell>
          <cell r="M1439">
            <v>44476</v>
          </cell>
          <cell r="N1439">
            <v>44491</v>
          </cell>
          <cell r="O1439">
            <v>44476</v>
          </cell>
          <cell r="P1439">
            <v>44491</v>
          </cell>
          <cell r="Q1439" t="str">
            <v>2021-10-19 → 10/22</v>
          </cell>
          <cell r="R1439" t="str">
            <v>2021-10-19 → 10/22</v>
          </cell>
          <cell r="S1439"/>
          <cell r="T1439">
            <v>44491</v>
          </cell>
          <cell r="U1439">
            <v>44494</v>
          </cell>
          <cell r="V1439">
            <v>44485</v>
          </cell>
          <cell r="W1439">
            <v>44485</v>
          </cell>
          <cell r="X1439">
            <v>41100093</v>
          </cell>
        </row>
        <row r="1440">
          <cell r="K1440" t="str">
            <v>DBW-2426</v>
          </cell>
          <cell r="L1440">
            <v>44476</v>
          </cell>
          <cell r="M1440">
            <v>44476</v>
          </cell>
          <cell r="N1440">
            <v>44489</v>
          </cell>
          <cell r="O1440">
            <v>44476</v>
          </cell>
          <cell r="P1440">
            <v>44489</v>
          </cell>
          <cell r="Q1440" t="str">
            <v>2021-10-19 → 10/21</v>
          </cell>
          <cell r="R1440" t="str">
            <v>2021-10-19 → 10/21</v>
          </cell>
          <cell r="S1440"/>
          <cell r="T1440">
            <v>44491</v>
          </cell>
          <cell r="U1440">
            <v>44495</v>
          </cell>
          <cell r="V1440">
            <v>44497</v>
          </cell>
          <cell r="W1440">
            <v>44497</v>
          </cell>
          <cell r="X1440">
            <v>41100099</v>
          </cell>
        </row>
        <row r="1441">
          <cell r="K1441" t="str">
            <v>DBW-2431</v>
          </cell>
          <cell r="L1441">
            <v>44481</v>
          </cell>
          <cell r="M1441">
            <v>44481</v>
          </cell>
          <cell r="N1441">
            <v>44490</v>
          </cell>
          <cell r="O1441">
            <v>44481</v>
          </cell>
          <cell r="P1441">
            <v>44490</v>
          </cell>
          <cell r="Q1441" t="str">
            <v>2021-10-20 →10/21(오전)</v>
          </cell>
          <cell r="R1441" t="str">
            <v>2021-10-20 →10/21(오전)</v>
          </cell>
          <cell r="S1441"/>
          <cell r="T1441">
            <v>44490</v>
          </cell>
          <cell r="U1441">
            <v>44494</v>
          </cell>
          <cell r="V1441">
            <v>44494</v>
          </cell>
          <cell r="W1441">
            <v>44495</v>
          </cell>
          <cell r="X1441">
            <v>41100174</v>
          </cell>
        </row>
        <row r="1442">
          <cell r="K1442" t="str">
            <v>IHW-0186</v>
          </cell>
          <cell r="L1442">
            <v>44483</v>
          </cell>
          <cell r="M1442">
            <v>44483</v>
          </cell>
          <cell r="N1442">
            <v>44492</v>
          </cell>
          <cell r="O1442">
            <v>44483</v>
          </cell>
          <cell r="P1442">
            <v>44492</v>
          </cell>
          <cell r="Q1442">
            <v>44491</v>
          </cell>
          <cell r="R1442">
            <v>44491</v>
          </cell>
          <cell r="S1442"/>
          <cell r="T1442">
            <v>44494</v>
          </cell>
          <cell r="U1442">
            <v>44496</v>
          </cell>
          <cell r="V1442">
            <v>44497</v>
          </cell>
          <cell r="W1442">
            <v>44497</v>
          </cell>
          <cell r="X1442">
            <v>41000326</v>
          </cell>
        </row>
        <row r="1443">
          <cell r="K1443" t="str">
            <v>DBW-2391</v>
          </cell>
          <cell r="L1443">
            <v>44452</v>
          </cell>
          <cell r="M1443">
            <v>44452</v>
          </cell>
          <cell r="N1443">
            <v>44469</v>
          </cell>
          <cell r="O1443">
            <v>44452</v>
          </cell>
          <cell r="P1443">
            <v>44469</v>
          </cell>
          <cell r="Q1443" t="str">
            <v>2021-09-28 → 9/29</v>
          </cell>
          <cell r="R1443" t="str">
            <v>2021-09-28 → 9/29</v>
          </cell>
          <cell r="S1443"/>
          <cell r="T1443">
            <v>44469</v>
          </cell>
          <cell r="U1443">
            <v>44474</v>
          </cell>
          <cell r="V1443">
            <v>44476</v>
          </cell>
          <cell r="W1443">
            <v>44476</v>
          </cell>
          <cell r="X1443">
            <v>41100256</v>
          </cell>
        </row>
        <row r="1444">
          <cell r="K1444" t="str">
            <v>DBW-2392</v>
          </cell>
          <cell r="L1444">
            <v>44452</v>
          </cell>
          <cell r="M1444">
            <v>44452</v>
          </cell>
          <cell r="N1444">
            <v>44469</v>
          </cell>
          <cell r="O1444">
            <v>44452</v>
          </cell>
          <cell r="P1444">
            <v>44469</v>
          </cell>
          <cell r="Q1444" t="str">
            <v>2021-09-28 → 9/29</v>
          </cell>
          <cell r="R1444" t="str">
            <v>2021-09-28 → 9/29</v>
          </cell>
          <cell r="S1444"/>
          <cell r="T1444">
            <v>44469</v>
          </cell>
          <cell r="U1444">
            <v>44474</v>
          </cell>
          <cell r="V1444">
            <v>44476</v>
          </cell>
          <cell r="W1444">
            <v>44476</v>
          </cell>
          <cell r="X1444">
            <v>41100256</v>
          </cell>
        </row>
        <row r="1445">
          <cell r="K1445" t="str">
            <v>DBW-2379</v>
          </cell>
          <cell r="L1445">
            <v>44445</v>
          </cell>
          <cell r="M1445">
            <v>44445</v>
          </cell>
          <cell r="N1445">
            <v>44462</v>
          </cell>
          <cell r="O1445">
            <v>44445</v>
          </cell>
          <cell r="P1445">
            <v>44462</v>
          </cell>
          <cell r="Q1445" t="str">
            <v>2021-09-14 → 9/17</v>
          </cell>
          <cell r="R1445" t="str">
            <v>2021-09-14 → 9/17</v>
          </cell>
          <cell r="S1445"/>
          <cell r="T1445">
            <v>44462</v>
          </cell>
          <cell r="U1445">
            <v>44463</v>
          </cell>
          <cell r="V1445">
            <v>44466</v>
          </cell>
          <cell r="W1445">
            <v>44466</v>
          </cell>
          <cell r="X1445">
            <v>41100256</v>
          </cell>
        </row>
        <row r="1446">
          <cell r="K1446" t="str">
            <v>DBW-2380</v>
          </cell>
          <cell r="L1446">
            <v>44445</v>
          </cell>
          <cell r="M1446">
            <v>44445</v>
          </cell>
          <cell r="N1446">
            <v>44462</v>
          </cell>
          <cell r="O1446">
            <v>44445</v>
          </cell>
          <cell r="P1446">
            <v>44462</v>
          </cell>
          <cell r="Q1446" t="str">
            <v>2021-09-14 → 9/17</v>
          </cell>
          <cell r="R1446" t="str">
            <v>2021-09-14 → 9/17</v>
          </cell>
          <cell r="S1446"/>
          <cell r="T1446">
            <v>44462</v>
          </cell>
          <cell r="U1446">
            <v>44463</v>
          </cell>
          <cell r="V1446">
            <v>44466</v>
          </cell>
          <cell r="W1446">
            <v>44466</v>
          </cell>
          <cell r="X1446">
            <v>41100256</v>
          </cell>
        </row>
        <row r="1447">
          <cell r="K1447" t="str">
            <v>GBWS-1679</v>
          </cell>
          <cell r="L1447">
            <v>44481</v>
          </cell>
          <cell r="M1447">
            <v>44481</v>
          </cell>
          <cell r="N1447">
            <v>44494</v>
          </cell>
          <cell r="O1447">
            <v>44481</v>
          </cell>
          <cell r="P1447">
            <v>44491</v>
          </cell>
          <cell r="Q1447">
            <v>44491</v>
          </cell>
          <cell r="R1447">
            <v>44491</v>
          </cell>
          <cell r="S1447"/>
          <cell r="T1447">
            <v>44495</v>
          </cell>
          <cell r="U1447">
            <v>44497</v>
          </cell>
          <cell r="V1447">
            <v>44497</v>
          </cell>
          <cell r="W1447">
            <v>44497</v>
          </cell>
          <cell r="X1447">
            <v>41100286</v>
          </cell>
        </row>
        <row r="1448">
          <cell r="K1448" t="str">
            <v>GBWS-1633</v>
          </cell>
          <cell r="L1448">
            <v>44467</v>
          </cell>
          <cell r="M1448">
            <v>44468</v>
          </cell>
          <cell r="N1448">
            <v>44482</v>
          </cell>
          <cell r="O1448">
            <v>44468</v>
          </cell>
          <cell r="P1448">
            <v>44483</v>
          </cell>
          <cell r="Q1448" t="str">
            <v>2021-10-13 → 10/14(오전)</v>
          </cell>
          <cell r="R1448" t="str">
            <v>2021-10-13 → 10/14(오전)</v>
          </cell>
          <cell r="S1448"/>
          <cell r="T1448">
            <v>44483</v>
          </cell>
          <cell r="U1448">
            <v>44484</v>
          </cell>
          <cell r="V1448">
            <v>44488</v>
          </cell>
          <cell r="W1448">
            <v>44488</v>
          </cell>
          <cell r="X1448">
            <v>41100293</v>
          </cell>
        </row>
        <row r="1449">
          <cell r="K1449" t="str">
            <v>GBWS-1635</v>
          </cell>
          <cell r="L1449">
            <v>44467</v>
          </cell>
          <cell r="M1449">
            <v>44468</v>
          </cell>
          <cell r="N1449">
            <v>44481</v>
          </cell>
          <cell r="O1449">
            <v>44468</v>
          </cell>
          <cell r="P1449">
            <v>44482</v>
          </cell>
          <cell r="Q1449">
            <v>44482</v>
          </cell>
          <cell r="R1449">
            <v>44482</v>
          </cell>
          <cell r="S1449"/>
          <cell r="T1449">
            <v>44483</v>
          </cell>
          <cell r="U1449">
            <v>44484</v>
          </cell>
          <cell r="V1449">
            <v>44487</v>
          </cell>
          <cell r="W1449">
            <v>44487</v>
          </cell>
          <cell r="X1449">
            <v>41100334</v>
          </cell>
        </row>
        <row r="1450">
          <cell r="K1450" t="str">
            <v>DBW-2412</v>
          </cell>
          <cell r="L1450">
            <v>44467</v>
          </cell>
          <cell r="M1450">
            <v>44468</v>
          </cell>
          <cell r="N1450">
            <v>44476</v>
          </cell>
          <cell r="O1450">
            <v>44468</v>
          </cell>
          <cell r="P1450">
            <v>44475</v>
          </cell>
          <cell r="Q1450" t="str">
            <v>2021-10-06 → 10/7</v>
          </cell>
          <cell r="R1450" t="str">
            <v>2021-10-06 → 10/7</v>
          </cell>
          <cell r="S1450"/>
          <cell r="T1450">
            <v>44476</v>
          </cell>
          <cell r="U1450">
            <v>44481</v>
          </cell>
          <cell r="V1450">
            <v>44483</v>
          </cell>
          <cell r="W1450">
            <v>44483</v>
          </cell>
          <cell r="X1450">
            <v>41100173</v>
          </cell>
        </row>
        <row r="1451">
          <cell r="K1451" t="str">
            <v>DBW-2413</v>
          </cell>
          <cell r="L1451">
            <v>44467</v>
          </cell>
          <cell r="M1451">
            <v>44468</v>
          </cell>
          <cell r="N1451">
            <v>44476</v>
          </cell>
          <cell r="O1451">
            <v>44468</v>
          </cell>
          <cell r="P1451">
            <v>44475</v>
          </cell>
          <cell r="Q1451" t="str">
            <v>2021-10-06 → 10/7</v>
          </cell>
          <cell r="R1451" t="str">
            <v>2021-10-06 → 10/7</v>
          </cell>
          <cell r="S1451"/>
          <cell r="T1451">
            <v>44476</v>
          </cell>
          <cell r="U1451">
            <v>44481</v>
          </cell>
          <cell r="V1451">
            <v>44482</v>
          </cell>
          <cell r="W1451">
            <v>44483</v>
          </cell>
          <cell r="X1451">
            <v>41100173</v>
          </cell>
        </row>
        <row r="1452">
          <cell r="K1452" t="str">
            <v>DBW-2414</v>
          </cell>
          <cell r="L1452">
            <v>44467</v>
          </cell>
          <cell r="M1452">
            <v>44468</v>
          </cell>
          <cell r="N1452">
            <v>44476</v>
          </cell>
          <cell r="O1452">
            <v>44468</v>
          </cell>
          <cell r="P1452">
            <v>44475</v>
          </cell>
          <cell r="Q1452" t="str">
            <v>2021-10-06 → 10/7</v>
          </cell>
          <cell r="R1452" t="str">
            <v>2021-10-06 → 10/7</v>
          </cell>
          <cell r="S1452"/>
          <cell r="T1452">
            <v>44476</v>
          </cell>
          <cell r="U1452">
            <v>44481</v>
          </cell>
          <cell r="V1452">
            <v>44482</v>
          </cell>
          <cell r="W1452">
            <v>44483</v>
          </cell>
          <cell r="X1452">
            <v>41100342</v>
          </cell>
        </row>
        <row r="1453">
          <cell r="K1453" t="str">
            <v>DBW-2415</v>
          </cell>
          <cell r="L1453">
            <v>44467</v>
          </cell>
          <cell r="M1453">
            <v>44468</v>
          </cell>
          <cell r="N1453">
            <v>44476</v>
          </cell>
          <cell r="O1453">
            <v>44468</v>
          </cell>
          <cell r="P1453">
            <v>44475</v>
          </cell>
          <cell r="Q1453" t="str">
            <v>2021-10-06 → 10/7</v>
          </cell>
          <cell r="R1453" t="str">
            <v>2021-10-06 → 10/7</v>
          </cell>
          <cell r="S1453"/>
          <cell r="T1453">
            <v>44476</v>
          </cell>
          <cell r="U1453">
            <v>44481</v>
          </cell>
          <cell r="V1453">
            <v>44482</v>
          </cell>
          <cell r="W1453">
            <v>44483</v>
          </cell>
          <cell r="X1453">
            <v>41100342</v>
          </cell>
        </row>
        <row r="1454">
          <cell r="K1454" t="str">
            <v>DBW-2416</v>
          </cell>
          <cell r="L1454">
            <v>44467</v>
          </cell>
          <cell r="M1454">
            <v>44468</v>
          </cell>
          <cell r="N1454">
            <v>44477</v>
          </cell>
          <cell r="O1454">
            <v>44468</v>
          </cell>
          <cell r="P1454">
            <v>44476</v>
          </cell>
          <cell r="Q1454" t="str">
            <v>2021-10-06 → 10/7</v>
          </cell>
          <cell r="R1454" t="str">
            <v>2021-10-06 → 10/7</v>
          </cell>
          <cell r="S1454"/>
          <cell r="T1454">
            <v>44481</v>
          </cell>
          <cell r="U1454">
            <v>44482</v>
          </cell>
          <cell r="V1454">
            <v>44483</v>
          </cell>
          <cell r="W1454">
            <v>44483</v>
          </cell>
          <cell r="X1454">
            <v>41100174</v>
          </cell>
        </row>
        <row r="1455">
          <cell r="K1455" t="str">
            <v>GBWS-1651</v>
          </cell>
          <cell r="L1455">
            <v>44470</v>
          </cell>
          <cell r="M1455">
            <v>44473</v>
          </cell>
          <cell r="N1455">
            <v>44484</v>
          </cell>
          <cell r="O1455">
            <v>44473</v>
          </cell>
          <cell r="P1455">
            <v>44485</v>
          </cell>
          <cell r="Q1455" t="str">
            <v>2021-10-14 → 10/16</v>
          </cell>
          <cell r="R1455" t="str">
            <v>2021-10-14 → 10/16</v>
          </cell>
          <cell r="S1455"/>
          <cell r="T1455">
            <v>44488</v>
          </cell>
          <cell r="U1455">
            <v>44489</v>
          </cell>
          <cell r="V1455">
            <v>44490</v>
          </cell>
          <cell r="W1455">
            <v>44495</v>
          </cell>
          <cell r="X1455">
            <v>41100334</v>
          </cell>
        </row>
        <row r="1456">
          <cell r="K1456" t="str">
            <v>GBWS-1656</v>
          </cell>
          <cell r="L1456">
            <v>44477</v>
          </cell>
          <cell r="M1456">
            <v>44477</v>
          </cell>
          <cell r="N1456">
            <v>44488</v>
          </cell>
          <cell r="O1456">
            <v>44477</v>
          </cell>
          <cell r="P1456">
            <v>44487</v>
          </cell>
          <cell r="Q1456">
            <v>44488</v>
          </cell>
          <cell r="R1456">
            <v>44488</v>
          </cell>
          <cell r="S1456"/>
          <cell r="T1456">
            <v>44490</v>
          </cell>
          <cell r="U1456">
            <v>44494</v>
          </cell>
          <cell r="V1456">
            <v>44495</v>
          </cell>
          <cell r="W1456">
            <v>44495</v>
          </cell>
          <cell r="X1456">
            <v>41100293</v>
          </cell>
        </row>
        <row r="1457">
          <cell r="K1457" t="str">
            <v>GBWS-1680</v>
          </cell>
          <cell r="L1457">
            <v>44482</v>
          </cell>
          <cell r="M1457">
            <v>44482</v>
          </cell>
          <cell r="N1457">
            <v>44494</v>
          </cell>
          <cell r="O1457">
            <v>44482</v>
          </cell>
          <cell r="P1457">
            <v>44495</v>
          </cell>
          <cell r="Q1457" t="str">
            <v>2021-10-25 → 10/26</v>
          </cell>
          <cell r="R1457" t="str">
            <v>2021-10-25 → 10/26</v>
          </cell>
          <cell r="S1457"/>
          <cell r="T1457">
            <v>44497</v>
          </cell>
          <cell r="U1457">
            <v>44497</v>
          </cell>
          <cell r="V1457">
            <v>44501</v>
          </cell>
          <cell r="W1457">
            <v>44501</v>
          </cell>
          <cell r="X1457">
            <v>41100318</v>
          </cell>
        </row>
        <row r="1458">
          <cell r="K1458" t="str">
            <v>GBWS-1700</v>
          </cell>
          <cell r="L1458">
            <v>44487</v>
          </cell>
          <cell r="M1458">
            <v>44487</v>
          </cell>
          <cell r="N1458">
            <v>44497</v>
          </cell>
          <cell r="O1458">
            <v>44487</v>
          </cell>
          <cell r="P1458">
            <v>44498</v>
          </cell>
          <cell r="Q1458">
            <v>44495</v>
          </cell>
          <cell r="R1458">
            <v>44495</v>
          </cell>
          <cell r="S1458"/>
          <cell r="T1458">
            <v>44498</v>
          </cell>
          <cell r="U1458">
            <v>44501</v>
          </cell>
          <cell r="V1458">
            <v>44501</v>
          </cell>
          <cell r="W1458">
            <v>44501</v>
          </cell>
          <cell r="X1458">
            <v>41100405</v>
          </cell>
        </row>
        <row r="1459">
          <cell r="K1459" t="str">
            <v>DBW-2456</v>
          </cell>
          <cell r="L1459">
            <v>44470</v>
          </cell>
          <cell r="M1459">
            <v>44474</v>
          </cell>
          <cell r="N1459">
            <v>44489</v>
          </cell>
          <cell r="O1459">
            <v>44474</v>
          </cell>
          <cell r="P1459">
            <v>44489</v>
          </cell>
          <cell r="Q1459" t="str">
            <v>2021-10-15 → 10/20</v>
          </cell>
          <cell r="R1459" t="str">
            <v>2021-10-15 → 10/20</v>
          </cell>
          <cell r="S1459"/>
          <cell r="T1459">
            <v>44490</v>
          </cell>
          <cell r="U1459">
            <v>44490</v>
          </cell>
          <cell r="V1459">
            <v>44496</v>
          </cell>
          <cell r="W1459">
            <v>44497</v>
          </cell>
          <cell r="X1459">
            <v>41100261</v>
          </cell>
        </row>
        <row r="1460">
          <cell r="K1460" t="str">
            <v>GBWS-1594</v>
          </cell>
          <cell r="L1460">
            <v>44447</v>
          </cell>
          <cell r="M1460">
            <v>44448</v>
          </cell>
          <cell r="N1460">
            <v>44470</v>
          </cell>
          <cell r="O1460">
            <v>44448</v>
          </cell>
          <cell r="P1460">
            <v>44470</v>
          </cell>
          <cell r="Q1460" t="str">
            <v>2021-09-29 → 9/30</v>
          </cell>
          <cell r="R1460" t="str">
            <v>2021-09-29 → 9/30</v>
          </cell>
          <cell r="S1460"/>
          <cell r="T1460">
            <v>44474</v>
          </cell>
          <cell r="U1460">
            <v>44476</v>
          </cell>
          <cell r="V1460">
            <v>44484</v>
          </cell>
          <cell r="W1460">
            <v>44484</v>
          </cell>
          <cell r="X1460">
            <v>41100362</v>
          </cell>
        </row>
        <row r="1461">
          <cell r="K1461" t="str">
            <v>SOS-0253</v>
          </cell>
          <cell r="L1461">
            <v>44474</v>
          </cell>
          <cell r="M1461">
            <v>44474</v>
          </cell>
          <cell r="N1461">
            <v>44481</v>
          </cell>
          <cell r="O1461">
            <v>44474</v>
          </cell>
          <cell r="P1461">
            <v>44481</v>
          </cell>
          <cell r="Q1461">
            <v>44476</v>
          </cell>
          <cell r="R1461">
            <v>44476</v>
          </cell>
          <cell r="S1461"/>
          <cell r="T1461">
            <v>44482</v>
          </cell>
          <cell r="U1461">
            <v>44482</v>
          </cell>
          <cell r="V1461">
            <v>44484</v>
          </cell>
          <cell r="W1461">
            <v>44484</v>
          </cell>
          <cell r="X1461">
            <v>41100182</v>
          </cell>
        </row>
        <row r="1462">
          <cell r="K1462" t="str">
            <v>SOS-0254</v>
          </cell>
          <cell r="L1462">
            <v>44489</v>
          </cell>
          <cell r="M1462">
            <v>44489</v>
          </cell>
          <cell r="N1462">
            <v>44491</v>
          </cell>
          <cell r="O1462">
            <v>44489</v>
          </cell>
          <cell r="P1462">
            <v>44491</v>
          </cell>
          <cell r="Q1462">
            <v>44491</v>
          </cell>
          <cell r="R1462">
            <v>44491</v>
          </cell>
          <cell r="S1462"/>
          <cell r="T1462">
            <v>44491</v>
          </cell>
          <cell r="U1462">
            <v>44495</v>
          </cell>
          <cell r="V1462">
            <v>44496</v>
          </cell>
          <cell r="W1462">
            <v>44496</v>
          </cell>
          <cell r="X1462">
            <v>41100299</v>
          </cell>
        </row>
        <row r="1463">
          <cell r="K1463" t="str">
            <v>GBWS-1664</v>
          </cell>
          <cell r="L1463">
            <v>44480</v>
          </cell>
          <cell r="M1463">
            <v>44480</v>
          </cell>
          <cell r="N1463">
            <v>44494</v>
          </cell>
          <cell r="O1463">
            <v>44480</v>
          </cell>
          <cell r="P1463">
            <v>44494</v>
          </cell>
          <cell r="Q1463">
            <v>44494</v>
          </cell>
          <cell r="R1463">
            <v>44494</v>
          </cell>
          <cell r="S1463"/>
          <cell r="T1463">
            <v>44495</v>
          </cell>
          <cell r="U1463">
            <v>44496</v>
          </cell>
          <cell r="V1463">
            <v>44496</v>
          </cell>
          <cell r="W1463">
            <v>44496</v>
          </cell>
          <cell r="X1463">
            <v>41100385</v>
          </cell>
        </row>
        <row r="1464">
          <cell r="K1464" t="str">
            <v>GBWS-1665</v>
          </cell>
          <cell r="L1464">
            <v>44480</v>
          </cell>
          <cell r="M1464">
            <v>44480</v>
          </cell>
          <cell r="N1464">
            <v>44494</v>
          </cell>
          <cell r="O1464">
            <v>44480</v>
          </cell>
          <cell r="P1464">
            <v>44494</v>
          </cell>
          <cell r="Q1464">
            <v>44494</v>
          </cell>
          <cell r="R1464">
            <v>44494</v>
          </cell>
          <cell r="S1464"/>
          <cell r="T1464">
            <v>44495</v>
          </cell>
          <cell r="U1464">
            <v>44496</v>
          </cell>
          <cell r="V1464">
            <v>44496</v>
          </cell>
          <cell r="W1464">
            <v>44496</v>
          </cell>
          <cell r="X1464">
            <v>41100385</v>
          </cell>
        </row>
        <row r="1465">
          <cell r="K1465" t="str">
            <v>GBWS-1666</v>
          </cell>
          <cell r="L1465">
            <v>44480</v>
          </cell>
          <cell r="M1465">
            <v>44480</v>
          </cell>
          <cell r="N1465">
            <v>44494</v>
          </cell>
          <cell r="O1465">
            <v>44480</v>
          </cell>
          <cell r="P1465">
            <v>44494</v>
          </cell>
          <cell r="Q1465">
            <v>44494</v>
          </cell>
          <cell r="R1465">
            <v>44494</v>
          </cell>
          <cell r="S1465"/>
          <cell r="T1465">
            <v>44495</v>
          </cell>
          <cell r="U1465">
            <v>44496</v>
          </cell>
          <cell r="V1465">
            <v>44497</v>
          </cell>
          <cell r="W1465">
            <v>44497</v>
          </cell>
          <cell r="X1465">
            <v>41100385</v>
          </cell>
        </row>
        <row r="1466">
          <cell r="K1466" t="str">
            <v>GBWS-1667</v>
          </cell>
          <cell r="L1466">
            <v>44480</v>
          </cell>
          <cell r="M1466">
            <v>44480</v>
          </cell>
          <cell r="N1466">
            <v>44492</v>
          </cell>
          <cell r="O1466">
            <v>44480</v>
          </cell>
          <cell r="P1466">
            <v>44494</v>
          </cell>
          <cell r="Q1466">
            <v>44494</v>
          </cell>
          <cell r="R1466">
            <v>44494</v>
          </cell>
          <cell r="S1466"/>
          <cell r="T1466">
            <v>44495</v>
          </cell>
          <cell r="U1466">
            <v>44496</v>
          </cell>
          <cell r="V1466">
            <v>44497</v>
          </cell>
          <cell r="W1466">
            <v>44497</v>
          </cell>
          <cell r="X1466">
            <v>41100329</v>
          </cell>
        </row>
        <row r="1467">
          <cell r="K1467" t="str">
            <v>GBWS-1668</v>
          </cell>
          <cell r="L1467">
            <v>44480</v>
          </cell>
          <cell r="M1467">
            <v>44480</v>
          </cell>
          <cell r="N1467">
            <v>44492</v>
          </cell>
          <cell r="O1467">
            <v>44480</v>
          </cell>
          <cell r="P1467">
            <v>44494</v>
          </cell>
          <cell r="Q1467">
            <v>44494</v>
          </cell>
          <cell r="R1467">
            <v>44494</v>
          </cell>
          <cell r="S1467"/>
          <cell r="T1467">
            <v>44496</v>
          </cell>
          <cell r="U1467">
            <v>44497</v>
          </cell>
          <cell r="V1467">
            <v>44497</v>
          </cell>
          <cell r="W1467">
            <v>44497</v>
          </cell>
          <cell r="X1467">
            <v>41100329</v>
          </cell>
        </row>
        <row r="1468">
          <cell r="K1468" t="str">
            <v>GBWS-1669</v>
          </cell>
          <cell r="L1468">
            <v>44480</v>
          </cell>
          <cell r="M1468">
            <v>44480</v>
          </cell>
          <cell r="N1468">
            <v>44495</v>
          </cell>
          <cell r="O1468">
            <v>44480</v>
          </cell>
          <cell r="P1468">
            <v>44495</v>
          </cell>
          <cell r="Q1468" t="str">
            <v>2021-10-25 → 10/26</v>
          </cell>
          <cell r="R1468" t="str">
            <v>2021-10-25 → 10/26</v>
          </cell>
          <cell r="S1468"/>
          <cell r="T1468">
            <v>44496</v>
          </cell>
          <cell r="U1468">
            <v>44497</v>
          </cell>
          <cell r="V1468">
            <v>44497</v>
          </cell>
          <cell r="W1468">
            <v>44497</v>
          </cell>
          <cell r="X1468">
            <v>41100314</v>
          </cell>
        </row>
        <row r="1469">
          <cell r="K1469" t="str">
            <v>GBWS-1670</v>
          </cell>
          <cell r="L1469">
            <v>44480</v>
          </cell>
          <cell r="M1469">
            <v>44480</v>
          </cell>
          <cell r="N1469">
            <v>44495</v>
          </cell>
          <cell r="O1469">
            <v>44480</v>
          </cell>
          <cell r="P1469">
            <v>44495</v>
          </cell>
          <cell r="Q1469" t="str">
            <v>2021-10-25 → 10/26</v>
          </cell>
          <cell r="R1469" t="str">
            <v>2021-10-25 → 10/26</v>
          </cell>
          <cell r="S1469"/>
          <cell r="T1469">
            <v>44496</v>
          </cell>
          <cell r="U1469">
            <v>44497</v>
          </cell>
          <cell r="V1469">
            <v>44501</v>
          </cell>
          <cell r="W1469">
            <v>44501</v>
          </cell>
          <cell r="X1469">
            <v>41100314</v>
          </cell>
        </row>
        <row r="1470">
          <cell r="K1470" t="str">
            <v>GBWS-1671</v>
          </cell>
          <cell r="L1470">
            <v>44480</v>
          </cell>
          <cell r="M1470">
            <v>44480</v>
          </cell>
          <cell r="N1470">
            <v>44495</v>
          </cell>
          <cell r="O1470">
            <v>44480</v>
          </cell>
          <cell r="P1470">
            <v>44495</v>
          </cell>
          <cell r="Q1470" t="str">
            <v>2021-10-25 → 10/26</v>
          </cell>
          <cell r="R1470" t="str">
            <v>2021-10-25 → 10/26</v>
          </cell>
          <cell r="S1470"/>
          <cell r="T1470">
            <v>44497</v>
          </cell>
          <cell r="U1470">
            <v>44498</v>
          </cell>
          <cell r="V1470">
            <v>44501</v>
          </cell>
          <cell r="W1470">
            <v>44501</v>
          </cell>
          <cell r="X1470">
            <v>41100314</v>
          </cell>
        </row>
        <row r="1471">
          <cell r="K1471" t="str">
            <v>GBWS-1672</v>
          </cell>
          <cell r="L1471">
            <v>44480</v>
          </cell>
          <cell r="M1471">
            <v>44480</v>
          </cell>
          <cell r="N1471">
            <v>44495</v>
          </cell>
          <cell r="O1471">
            <v>44480</v>
          </cell>
          <cell r="P1471">
            <v>44495</v>
          </cell>
          <cell r="Q1471" t="str">
            <v>2021-10-25 → 10/26</v>
          </cell>
          <cell r="R1471" t="str">
            <v>2021-10-25 → 10/26</v>
          </cell>
          <cell r="S1471"/>
          <cell r="T1471">
            <v>44496</v>
          </cell>
          <cell r="U1471">
            <v>44497</v>
          </cell>
          <cell r="V1471">
            <v>44501</v>
          </cell>
          <cell r="W1471">
            <v>44501</v>
          </cell>
          <cell r="X1471">
            <v>41100314</v>
          </cell>
        </row>
        <row r="1472">
          <cell r="K1472" t="str">
            <v xml:space="preserve">GBWS-1574 </v>
          </cell>
          <cell r="L1472">
            <v>44445</v>
          </cell>
          <cell r="M1472">
            <v>44445</v>
          </cell>
          <cell r="N1472">
            <v>44466</v>
          </cell>
          <cell r="O1472">
            <v>44445</v>
          </cell>
          <cell r="P1472">
            <v>44466</v>
          </cell>
          <cell r="Q1472" t="str">
            <v>2021-09-15 → 9/23 → 9/24 → 9/27</v>
          </cell>
          <cell r="R1472" t="str">
            <v>2021-09-15 → 9/23 → 9/24 → 9/27</v>
          </cell>
          <cell r="S1472"/>
          <cell r="T1472">
            <v>44467</v>
          </cell>
          <cell r="U1472">
            <v>44468</v>
          </cell>
          <cell r="V1472">
            <v>44468</v>
          </cell>
          <cell r="W1472">
            <v>44468</v>
          </cell>
          <cell r="X1472">
            <v>41100168</v>
          </cell>
        </row>
        <row r="1473">
          <cell r="K1473" t="str">
            <v>GBWS-1575</v>
          </cell>
          <cell r="L1473">
            <v>44445</v>
          </cell>
          <cell r="M1473">
            <v>44445</v>
          </cell>
          <cell r="N1473">
            <v>44466</v>
          </cell>
          <cell r="O1473">
            <v>44445</v>
          </cell>
          <cell r="P1473">
            <v>44466</v>
          </cell>
          <cell r="Q1473" t="str">
            <v>2021-09-15 → 9/23 → 9/24 → 9/27</v>
          </cell>
          <cell r="R1473" t="str">
            <v>2021-09-15 → 9/23 → 9/24 → 9/27</v>
          </cell>
          <cell r="S1473"/>
          <cell r="T1473">
            <v>44467</v>
          </cell>
          <cell r="U1473">
            <v>44468</v>
          </cell>
          <cell r="V1473">
            <v>44469</v>
          </cell>
          <cell r="W1473">
            <v>44468</v>
          </cell>
          <cell r="X1473">
            <v>41100168</v>
          </cell>
        </row>
        <row r="1474">
          <cell r="K1474" t="str">
            <v>GBWS-1577</v>
          </cell>
          <cell r="L1474">
            <v>44445</v>
          </cell>
          <cell r="M1474">
            <v>44445</v>
          </cell>
          <cell r="N1474">
            <v>44466</v>
          </cell>
          <cell r="O1474">
            <v>44445</v>
          </cell>
          <cell r="P1474">
            <v>44466</v>
          </cell>
          <cell r="Q1474" t="str">
            <v>2021-09-15 → 9/23 → 9/24 → 9/27</v>
          </cell>
          <cell r="R1474" t="str">
            <v>2021-09-15 → 9/23 → 9/24 → 9/27</v>
          </cell>
          <cell r="S1474"/>
          <cell r="T1474">
            <v>44467</v>
          </cell>
          <cell r="U1474">
            <v>44468</v>
          </cell>
          <cell r="V1474">
            <v>44468</v>
          </cell>
          <cell r="W1474">
            <v>44468</v>
          </cell>
          <cell r="X1474">
            <v>41100168</v>
          </cell>
        </row>
        <row r="1475">
          <cell r="K1475" t="str">
            <v>GBWS-1576</v>
          </cell>
          <cell r="L1475">
            <v>44445</v>
          </cell>
          <cell r="M1475">
            <v>44445</v>
          </cell>
          <cell r="N1475">
            <v>44466</v>
          </cell>
          <cell r="O1475">
            <v>44445</v>
          </cell>
          <cell r="P1475">
            <v>44466</v>
          </cell>
          <cell r="Q1475" t="str">
            <v>2021-09-15 → 9/23 → 9/24 → 9/27</v>
          </cell>
          <cell r="R1475" t="str">
            <v>2021-09-15 → 9/23 → 9/24 → 9/27</v>
          </cell>
          <cell r="S1475"/>
          <cell r="T1475">
            <v>44467</v>
          </cell>
          <cell r="U1475">
            <v>44468</v>
          </cell>
          <cell r="V1475">
            <v>44469</v>
          </cell>
          <cell r="W1475">
            <v>44469</v>
          </cell>
          <cell r="X1475">
            <v>41100168</v>
          </cell>
        </row>
        <row r="1476">
          <cell r="K1476" t="str">
            <v>DBW-2384</v>
          </cell>
          <cell r="L1476">
            <v>44446</v>
          </cell>
          <cell r="M1476">
            <v>44446</v>
          </cell>
          <cell r="N1476">
            <v>44455</v>
          </cell>
          <cell r="O1476">
            <v>44446</v>
          </cell>
          <cell r="P1476">
            <v>44455</v>
          </cell>
          <cell r="Q1476">
            <v>44455</v>
          </cell>
          <cell r="R1476">
            <v>44455</v>
          </cell>
          <cell r="S1476"/>
          <cell r="T1476">
            <v>44463</v>
          </cell>
          <cell r="U1476">
            <v>44466</v>
          </cell>
          <cell r="V1476">
            <v>44467</v>
          </cell>
          <cell r="W1476">
            <v>44467</v>
          </cell>
          <cell r="X1476">
            <v>41100170</v>
          </cell>
        </row>
        <row r="1477">
          <cell r="K1477" t="str">
            <v>DBW-2385</v>
          </cell>
          <cell r="L1477">
            <v>44446</v>
          </cell>
          <cell r="M1477">
            <v>44446</v>
          </cell>
          <cell r="N1477">
            <v>44455</v>
          </cell>
          <cell r="O1477">
            <v>44446</v>
          </cell>
          <cell r="P1477">
            <v>44455</v>
          </cell>
          <cell r="Q1477">
            <v>44455</v>
          </cell>
          <cell r="R1477">
            <v>44455</v>
          </cell>
          <cell r="S1477"/>
          <cell r="T1477">
            <v>44463</v>
          </cell>
          <cell r="U1477">
            <v>44466</v>
          </cell>
          <cell r="V1477">
            <v>44467</v>
          </cell>
          <cell r="W1477">
            <v>44467</v>
          </cell>
          <cell r="X1477">
            <v>41100170</v>
          </cell>
        </row>
        <row r="1478">
          <cell r="K1478" t="str">
            <v>DBW-2387</v>
          </cell>
          <cell r="L1478">
            <v>44446</v>
          </cell>
          <cell r="M1478">
            <v>44446</v>
          </cell>
          <cell r="N1478">
            <v>44455</v>
          </cell>
          <cell r="O1478">
            <v>44446</v>
          </cell>
          <cell r="P1478">
            <v>44455</v>
          </cell>
          <cell r="Q1478">
            <v>44455</v>
          </cell>
          <cell r="R1478">
            <v>44455</v>
          </cell>
          <cell r="S1478"/>
          <cell r="T1478">
            <v>44463</v>
          </cell>
          <cell r="U1478">
            <v>44466</v>
          </cell>
          <cell r="V1478">
            <v>44467</v>
          </cell>
          <cell r="W1478">
            <v>44467</v>
          </cell>
          <cell r="X1478">
            <v>41100169</v>
          </cell>
        </row>
        <row r="1479">
          <cell r="K1479" t="str">
            <v>DBW-2388</v>
          </cell>
          <cell r="L1479">
            <v>44446</v>
          </cell>
          <cell r="M1479">
            <v>44446</v>
          </cell>
          <cell r="N1479">
            <v>44455</v>
          </cell>
          <cell r="O1479">
            <v>44446</v>
          </cell>
          <cell r="P1479">
            <v>44455</v>
          </cell>
          <cell r="Q1479">
            <v>44455</v>
          </cell>
          <cell r="R1479">
            <v>44455</v>
          </cell>
          <cell r="S1479"/>
          <cell r="T1479">
            <v>44463</v>
          </cell>
          <cell r="U1479">
            <v>44466</v>
          </cell>
          <cell r="V1479">
            <v>44467</v>
          </cell>
          <cell r="W1479">
            <v>44467</v>
          </cell>
          <cell r="X1479">
            <v>41100169</v>
          </cell>
        </row>
        <row r="1480">
          <cell r="K1480" t="str">
            <v>DBW-2410</v>
          </cell>
          <cell r="L1480">
            <v>44467</v>
          </cell>
          <cell r="M1480">
            <v>44468</v>
          </cell>
          <cell r="N1480">
            <v>44476</v>
          </cell>
          <cell r="O1480">
            <v>44468</v>
          </cell>
          <cell r="P1480">
            <v>44475</v>
          </cell>
          <cell r="Q1480" t="str">
            <v>2021-10-05 → 10/6 → 10/7</v>
          </cell>
          <cell r="R1480" t="str">
            <v>2021-10-05 → 10/6 → 10/7</v>
          </cell>
          <cell r="S1480"/>
          <cell r="T1480">
            <v>44476</v>
          </cell>
          <cell r="U1480">
            <v>44481</v>
          </cell>
          <cell r="V1480">
            <v>44482</v>
          </cell>
          <cell r="W1480">
            <v>44483</v>
          </cell>
          <cell r="X1480">
            <v>41100172</v>
          </cell>
        </row>
        <row r="1481">
          <cell r="K1481" t="str">
            <v>DBW-2411</v>
          </cell>
          <cell r="L1481">
            <v>44467</v>
          </cell>
          <cell r="M1481">
            <v>44468</v>
          </cell>
          <cell r="N1481">
            <v>44476</v>
          </cell>
          <cell r="O1481">
            <v>44468</v>
          </cell>
          <cell r="P1481">
            <v>44475</v>
          </cell>
          <cell r="Q1481" t="str">
            <v>2021-10-05 → 10/6 → 10/7</v>
          </cell>
          <cell r="R1481" t="str">
            <v>2021-10-05 → 10/6 → 10/7</v>
          </cell>
          <cell r="S1481"/>
          <cell r="T1481">
            <v>44476</v>
          </cell>
          <cell r="U1481">
            <v>44481</v>
          </cell>
          <cell r="V1481">
            <v>44482</v>
          </cell>
          <cell r="W1481">
            <v>44483</v>
          </cell>
          <cell r="X1481">
            <v>41100172</v>
          </cell>
        </row>
        <row r="1482">
          <cell r="K1482" t="str">
            <v>DBW-2425</v>
          </cell>
          <cell r="L1482">
            <v>44470</v>
          </cell>
          <cell r="M1482">
            <v>44474</v>
          </cell>
          <cell r="N1482">
            <v>44487</v>
          </cell>
          <cell r="O1482">
            <v>44474</v>
          </cell>
          <cell r="P1482">
            <v>44485</v>
          </cell>
          <cell r="Q1482" t="str">
            <v>2021-10-13 →10/16</v>
          </cell>
          <cell r="R1482" t="str">
            <v>2021-10-13 →10/16</v>
          </cell>
          <cell r="S1482"/>
          <cell r="T1482">
            <v>44487</v>
          </cell>
          <cell r="U1482">
            <v>44488</v>
          </cell>
          <cell r="V1482">
            <v>44489</v>
          </cell>
          <cell r="W1482">
            <v>44489</v>
          </cell>
          <cell r="X1482">
            <v>41100174</v>
          </cell>
        </row>
        <row r="1483">
          <cell r="K1483" t="str">
            <v>DBW-2417</v>
          </cell>
          <cell r="L1483">
            <v>44467</v>
          </cell>
          <cell r="M1483">
            <v>44468</v>
          </cell>
          <cell r="N1483">
            <v>44477</v>
          </cell>
          <cell r="O1483">
            <v>44468</v>
          </cell>
          <cell r="P1483">
            <v>44476</v>
          </cell>
          <cell r="Q1483" t="str">
            <v>2021-10-06 → 10/7</v>
          </cell>
          <cell r="R1483" t="str">
            <v>2021-10-06 → 10/7</v>
          </cell>
          <cell r="S1483"/>
          <cell r="T1483">
            <v>44481</v>
          </cell>
          <cell r="U1483">
            <v>44482</v>
          </cell>
          <cell r="V1483">
            <v>44483</v>
          </cell>
          <cell r="W1483">
            <v>44483</v>
          </cell>
          <cell r="X1483">
            <v>41100174</v>
          </cell>
        </row>
        <row r="1484">
          <cell r="K1484" t="str">
            <v>DBW-2418</v>
          </cell>
          <cell r="L1484">
            <v>44470</v>
          </cell>
          <cell r="M1484">
            <v>44474</v>
          </cell>
          <cell r="N1484">
            <v>44484</v>
          </cell>
          <cell r="O1484">
            <v>44474</v>
          </cell>
          <cell r="P1484">
            <v>44484</v>
          </cell>
          <cell r="Q1484" t="str">
            <v>2021-10-13 → 10/14 → 10/15</v>
          </cell>
          <cell r="R1484" t="str">
            <v>2021-10-13 → 10/14 → 10/15</v>
          </cell>
          <cell r="S1484"/>
          <cell r="T1484">
            <v>44487</v>
          </cell>
          <cell r="U1484">
            <v>44488</v>
          </cell>
          <cell r="V1484">
            <v>44489</v>
          </cell>
          <cell r="W1484">
            <v>44489</v>
          </cell>
          <cell r="X1484">
            <v>41100173</v>
          </cell>
        </row>
        <row r="1485">
          <cell r="K1485" t="str">
            <v>DBW-2419</v>
          </cell>
          <cell r="L1485">
            <v>44470</v>
          </cell>
          <cell r="M1485">
            <v>44474</v>
          </cell>
          <cell r="N1485">
            <v>44484</v>
          </cell>
          <cell r="O1485">
            <v>44474</v>
          </cell>
          <cell r="P1485">
            <v>44484</v>
          </cell>
          <cell r="Q1485" t="str">
            <v>2021-10-13 → 10/14 → 10/15</v>
          </cell>
          <cell r="R1485" t="str">
            <v>2021-10-13 → 10/14 → 10/15</v>
          </cell>
          <cell r="S1485"/>
          <cell r="T1485">
            <v>44487</v>
          </cell>
          <cell r="U1485">
            <v>44488</v>
          </cell>
          <cell r="V1485">
            <v>44489</v>
          </cell>
          <cell r="W1485">
            <v>44489</v>
          </cell>
          <cell r="X1485">
            <v>41100173</v>
          </cell>
        </row>
        <row r="1486">
          <cell r="K1486" t="str">
            <v>DBW-2423</v>
          </cell>
          <cell r="L1486">
            <v>44470</v>
          </cell>
          <cell r="M1486">
            <v>44474</v>
          </cell>
          <cell r="N1486">
            <v>44484</v>
          </cell>
          <cell r="O1486">
            <v>44474</v>
          </cell>
          <cell r="P1486">
            <v>44484</v>
          </cell>
          <cell r="Q1486" t="str">
            <v>2021-10-13 → 10/14 → 10/15</v>
          </cell>
          <cell r="R1486" t="str">
            <v>2021-10-13 → 10/14 → 10/15</v>
          </cell>
          <cell r="S1486"/>
          <cell r="T1486">
            <v>44487</v>
          </cell>
          <cell r="U1486">
            <v>44488</v>
          </cell>
          <cell r="V1486">
            <v>44489</v>
          </cell>
          <cell r="W1486">
            <v>44489</v>
          </cell>
          <cell r="X1486">
            <v>41100171</v>
          </cell>
        </row>
        <row r="1487">
          <cell r="K1487" t="str">
            <v>DBW-2424</v>
          </cell>
          <cell r="L1487">
            <v>44470</v>
          </cell>
          <cell r="M1487">
            <v>44474</v>
          </cell>
          <cell r="N1487">
            <v>44484</v>
          </cell>
          <cell r="O1487">
            <v>44474</v>
          </cell>
          <cell r="P1487">
            <v>44484</v>
          </cell>
          <cell r="Q1487" t="str">
            <v>2021-10-13 → 10/14 → 10/15</v>
          </cell>
          <cell r="R1487" t="str">
            <v>2021-10-13 → 10/14 → 10/15</v>
          </cell>
          <cell r="S1487"/>
          <cell r="T1487">
            <v>44487</v>
          </cell>
          <cell r="U1487">
            <v>44488</v>
          </cell>
          <cell r="V1487">
            <v>44489</v>
          </cell>
          <cell r="W1487">
            <v>44489</v>
          </cell>
          <cell r="X1487">
            <v>41100171</v>
          </cell>
        </row>
        <row r="1488">
          <cell r="K1488" t="str">
            <v>DBW-2429</v>
          </cell>
          <cell r="L1488">
            <v>44481</v>
          </cell>
          <cell r="M1488">
            <v>44481</v>
          </cell>
          <cell r="N1488">
            <v>44490</v>
          </cell>
          <cell r="O1488">
            <v>44481</v>
          </cell>
          <cell r="P1488">
            <v>44489</v>
          </cell>
          <cell r="Q1488" t="str">
            <v>2021-10-20 →10/21(오전)</v>
          </cell>
          <cell r="R1488" t="str">
            <v>2021-10-20 →10/21(오전)</v>
          </cell>
          <cell r="S1488"/>
          <cell r="T1488">
            <v>44490</v>
          </cell>
          <cell r="U1488">
            <v>44490</v>
          </cell>
          <cell r="V1488">
            <v>44494</v>
          </cell>
          <cell r="W1488">
            <v>44495</v>
          </cell>
          <cell r="X1488">
            <v>41100170</v>
          </cell>
        </row>
        <row r="1489">
          <cell r="K1489" t="str">
            <v>DBW-2430</v>
          </cell>
          <cell r="L1489">
            <v>44481</v>
          </cell>
          <cell r="M1489">
            <v>44481</v>
          </cell>
          <cell r="N1489">
            <v>44490</v>
          </cell>
          <cell r="O1489">
            <v>44481</v>
          </cell>
          <cell r="P1489">
            <v>44489</v>
          </cell>
          <cell r="Q1489" t="str">
            <v>2021-10-20 →10/21(오전)</v>
          </cell>
          <cell r="R1489" t="str">
            <v>2021-10-20 →10/21(오전)</v>
          </cell>
          <cell r="S1489"/>
          <cell r="T1489">
            <v>44490</v>
          </cell>
          <cell r="U1489">
            <v>44490</v>
          </cell>
          <cell r="V1489">
            <v>44494</v>
          </cell>
          <cell r="W1489">
            <v>44494</v>
          </cell>
          <cell r="X1489">
            <v>41100170</v>
          </cell>
        </row>
        <row r="1490">
          <cell r="K1490" t="str">
            <v>GBWS-1692</v>
          </cell>
          <cell r="L1490">
            <v>44483</v>
          </cell>
          <cell r="M1490">
            <v>44484</v>
          </cell>
          <cell r="N1490">
            <v>44496</v>
          </cell>
          <cell r="O1490">
            <v>44484</v>
          </cell>
          <cell r="P1490">
            <v>44496</v>
          </cell>
          <cell r="Q1490">
            <v>44496</v>
          </cell>
          <cell r="R1490">
            <v>44496</v>
          </cell>
          <cell r="S1490"/>
          <cell r="T1490">
            <v>44497</v>
          </cell>
          <cell r="U1490">
            <v>44498</v>
          </cell>
          <cell r="V1490">
            <v>44502</v>
          </cell>
          <cell r="W1490">
            <v>44502</v>
          </cell>
          <cell r="X1490">
            <v>41100302</v>
          </cell>
        </row>
        <row r="1491">
          <cell r="K1491" t="str">
            <v>DBW-2440</v>
          </cell>
          <cell r="L1491">
            <v>44489</v>
          </cell>
          <cell r="M1491">
            <v>44489</v>
          </cell>
          <cell r="N1491">
            <v>44502</v>
          </cell>
          <cell r="O1491">
            <v>44489</v>
          </cell>
          <cell r="P1491">
            <v>44502</v>
          </cell>
          <cell r="Q1491">
            <v>44498</v>
          </cell>
          <cell r="R1491">
            <v>44498</v>
          </cell>
          <cell r="S1491"/>
          <cell r="T1491">
            <v>44503</v>
          </cell>
          <cell r="U1491">
            <v>44504</v>
          </cell>
          <cell r="V1491">
            <v>44504</v>
          </cell>
          <cell r="W1491">
            <v>44504</v>
          </cell>
          <cell r="X1491">
            <v>41100393</v>
          </cell>
        </row>
        <row r="1492">
          <cell r="K1492" t="str">
            <v>GBWS-1657</v>
          </cell>
          <cell r="L1492">
            <v>44477</v>
          </cell>
          <cell r="M1492">
            <v>44477</v>
          </cell>
          <cell r="N1492">
            <v>44488</v>
          </cell>
          <cell r="O1492">
            <v>44477</v>
          </cell>
          <cell r="P1492">
            <v>44487</v>
          </cell>
          <cell r="Q1492">
            <v>44488</v>
          </cell>
          <cell r="R1492">
            <v>44488</v>
          </cell>
          <cell r="S1492"/>
          <cell r="T1492">
            <v>44490</v>
          </cell>
          <cell r="U1492">
            <v>44494</v>
          </cell>
          <cell r="V1492">
            <v>44495</v>
          </cell>
          <cell r="W1492">
            <v>44495</v>
          </cell>
          <cell r="X1492">
            <v>41100293</v>
          </cell>
        </row>
        <row r="1493">
          <cell r="K1493" t="str">
            <v>GBWS-1682</v>
          </cell>
          <cell r="L1493">
            <v>44482</v>
          </cell>
          <cell r="M1493">
            <v>44482</v>
          </cell>
          <cell r="N1493">
            <v>44494</v>
          </cell>
          <cell r="O1493">
            <v>44482</v>
          </cell>
          <cell r="P1493">
            <v>44495</v>
          </cell>
          <cell r="Q1493" t="str">
            <v>2021-10-25 → 10/26</v>
          </cell>
          <cell r="R1493" t="str">
            <v>2021-10-25 → 10/26</v>
          </cell>
          <cell r="S1493"/>
          <cell r="T1493">
            <v>44496</v>
          </cell>
          <cell r="U1493">
            <v>44497</v>
          </cell>
          <cell r="V1493">
            <v>44501</v>
          </cell>
          <cell r="W1493">
            <v>44501</v>
          </cell>
          <cell r="X1493">
            <v>41100293</v>
          </cell>
        </row>
        <row r="1494">
          <cell r="K1494" t="str">
            <v>GBWS-1693</v>
          </cell>
          <cell r="L1494">
            <v>44487</v>
          </cell>
          <cell r="M1494">
            <v>44487</v>
          </cell>
          <cell r="N1494">
            <v>44498</v>
          </cell>
          <cell r="O1494">
            <v>44487</v>
          </cell>
          <cell r="P1494">
            <v>44498</v>
          </cell>
          <cell r="Q1494">
            <v>44497</v>
          </cell>
          <cell r="R1494">
            <v>44497</v>
          </cell>
          <cell r="S1494"/>
          <cell r="T1494">
            <v>44498</v>
          </cell>
          <cell r="U1494">
            <v>44501</v>
          </cell>
          <cell r="V1494">
            <v>44502</v>
          </cell>
          <cell r="W1494">
            <v>44503</v>
          </cell>
          <cell r="X1494">
            <v>41100320</v>
          </cell>
        </row>
        <row r="1495">
          <cell r="K1495" t="str">
            <v>GBWS-1694</v>
          </cell>
          <cell r="L1495">
            <v>44487</v>
          </cell>
          <cell r="M1495">
            <v>44487</v>
          </cell>
          <cell r="N1495">
            <v>44498</v>
          </cell>
          <cell r="O1495">
            <v>44487</v>
          </cell>
          <cell r="P1495">
            <v>44498</v>
          </cell>
          <cell r="Q1495">
            <v>44497</v>
          </cell>
          <cell r="R1495">
            <v>44497</v>
          </cell>
          <cell r="S1495"/>
          <cell r="T1495">
            <v>44501</v>
          </cell>
          <cell r="U1495">
            <v>44501</v>
          </cell>
          <cell r="V1495">
            <v>44502</v>
          </cell>
          <cell r="W1495">
            <v>44502</v>
          </cell>
          <cell r="X1495">
            <v>41100320</v>
          </cell>
        </row>
        <row r="1496">
          <cell r="K1496" t="str">
            <v>GBWS-1681</v>
          </cell>
          <cell r="L1496">
            <v>44482</v>
          </cell>
          <cell r="M1496">
            <v>44482</v>
          </cell>
          <cell r="N1496">
            <v>44494</v>
          </cell>
          <cell r="O1496">
            <v>44482</v>
          </cell>
          <cell r="P1496">
            <v>44496</v>
          </cell>
          <cell r="Q1496" t="str">
            <v>2021-10-25 → 10/28</v>
          </cell>
          <cell r="R1496" t="str">
            <v>2021-10-25 → 10/28</v>
          </cell>
          <cell r="S1496"/>
          <cell r="T1496">
            <v>44496</v>
          </cell>
          <cell r="U1496">
            <v>44501</v>
          </cell>
          <cell r="V1496">
            <v>44502</v>
          </cell>
          <cell r="W1496">
            <v>44503</v>
          </cell>
          <cell r="X1496">
            <v>41100317</v>
          </cell>
        </row>
        <row r="1497">
          <cell r="K1497" t="str">
            <v>GBA-0098</v>
          </cell>
          <cell r="L1497">
            <v>44467</v>
          </cell>
          <cell r="M1497">
            <v>44468</v>
          </cell>
          <cell r="N1497">
            <v>44483</v>
          </cell>
          <cell r="O1497">
            <v>44468</v>
          </cell>
          <cell r="P1497">
            <v>44483</v>
          </cell>
          <cell r="Q1497" t="str">
            <v>2021-10-08 → 10/12 → 10/14</v>
          </cell>
          <cell r="R1497" t="str">
            <v>2021-10-08 → 10/12 → 10/14</v>
          </cell>
          <cell r="S1497"/>
          <cell r="T1497">
            <v>44484</v>
          </cell>
          <cell r="U1497">
            <v>44484</v>
          </cell>
          <cell r="V1497">
            <v>44487</v>
          </cell>
          <cell r="W1497">
            <v>44488</v>
          </cell>
          <cell r="X1497">
            <v>41100378</v>
          </cell>
        </row>
        <row r="1498">
          <cell r="K1498" t="str">
            <v>GBA-0099</v>
          </cell>
          <cell r="L1498">
            <v>44467</v>
          </cell>
          <cell r="M1498">
            <v>44468</v>
          </cell>
          <cell r="N1498">
            <v>44483</v>
          </cell>
          <cell r="O1498">
            <v>44468</v>
          </cell>
          <cell r="P1498">
            <v>44483</v>
          </cell>
          <cell r="Q1498" t="str">
            <v>2021-10-08 → 10/12 → 10/14</v>
          </cell>
          <cell r="R1498" t="str">
            <v>2021-10-08 → 10/12 → 10/14</v>
          </cell>
          <cell r="S1498"/>
          <cell r="T1498">
            <v>44484</v>
          </cell>
          <cell r="U1498">
            <v>44484</v>
          </cell>
          <cell r="V1498">
            <v>44487</v>
          </cell>
          <cell r="W1498">
            <v>44488</v>
          </cell>
          <cell r="X1498">
            <v>41100379</v>
          </cell>
        </row>
        <row r="1499">
          <cell r="K1499" t="str">
            <v>DBW-2439</v>
          </cell>
          <cell r="L1499">
            <v>44487</v>
          </cell>
          <cell r="M1499">
            <v>44487</v>
          </cell>
          <cell r="N1499">
            <v>44498</v>
          </cell>
          <cell r="O1499">
            <v>44487</v>
          </cell>
          <cell r="P1499">
            <v>44497</v>
          </cell>
          <cell r="Q1499">
            <v>44497</v>
          </cell>
          <cell r="R1499">
            <v>44497</v>
          </cell>
          <cell r="S1499"/>
          <cell r="T1499">
            <v>44501</v>
          </cell>
          <cell r="U1499">
            <v>44502</v>
          </cell>
          <cell r="V1499">
            <v>44502</v>
          </cell>
          <cell r="W1499">
            <v>44503</v>
          </cell>
          <cell r="X1499">
            <v>41100310</v>
          </cell>
        </row>
        <row r="1500">
          <cell r="K1500" t="str">
            <v>DBW-2397</v>
          </cell>
          <cell r="L1500">
            <v>44452</v>
          </cell>
          <cell r="M1500">
            <v>44452</v>
          </cell>
          <cell r="N1500">
            <v>44468</v>
          </cell>
          <cell r="O1500">
            <v>44452</v>
          </cell>
          <cell r="P1500">
            <v>44468</v>
          </cell>
          <cell r="Q1500" t="str">
            <v>2021-09-28 → 9/29</v>
          </cell>
          <cell r="R1500" t="str">
            <v>2021-09-28 → 9/29</v>
          </cell>
          <cell r="S1500"/>
          <cell r="T1500">
            <v>44469</v>
          </cell>
          <cell r="U1500">
            <v>44470</v>
          </cell>
          <cell r="V1500">
            <v>44474</v>
          </cell>
          <cell r="W1500">
            <v>44474</v>
          </cell>
          <cell r="X1500">
            <v>41100236</v>
          </cell>
        </row>
        <row r="1501">
          <cell r="K1501" t="str">
            <v>DBW-2398</v>
          </cell>
          <cell r="L1501">
            <v>44452</v>
          </cell>
          <cell r="M1501">
            <v>44452</v>
          </cell>
          <cell r="N1501">
            <v>44468</v>
          </cell>
          <cell r="O1501">
            <v>44452</v>
          </cell>
          <cell r="P1501">
            <v>44468</v>
          </cell>
          <cell r="Q1501" t="str">
            <v>2021-09-28 → 9/29</v>
          </cell>
          <cell r="R1501" t="str">
            <v>2021-09-28 → 9/29</v>
          </cell>
          <cell r="S1501"/>
          <cell r="T1501">
            <v>44469</v>
          </cell>
          <cell r="U1501">
            <v>44470</v>
          </cell>
          <cell r="V1501">
            <v>44475</v>
          </cell>
          <cell r="W1501">
            <v>44475</v>
          </cell>
          <cell r="X1501">
            <v>41100236</v>
          </cell>
        </row>
        <row r="1502">
          <cell r="K1502" t="str">
            <v>DBW-2399</v>
          </cell>
          <cell r="L1502">
            <v>44452</v>
          </cell>
          <cell r="M1502">
            <v>44452</v>
          </cell>
          <cell r="N1502">
            <v>44468</v>
          </cell>
          <cell r="O1502">
            <v>44452</v>
          </cell>
          <cell r="P1502">
            <v>44468</v>
          </cell>
          <cell r="Q1502" t="str">
            <v>2021-09-28 → 9/29</v>
          </cell>
          <cell r="R1502" t="str">
            <v>2021-09-28 → 9/29</v>
          </cell>
          <cell r="S1502"/>
          <cell r="T1502">
            <v>44469</v>
          </cell>
          <cell r="U1502">
            <v>44470</v>
          </cell>
          <cell r="V1502">
            <v>44474</v>
          </cell>
          <cell r="W1502">
            <v>44474</v>
          </cell>
          <cell r="X1502">
            <v>41100236</v>
          </cell>
        </row>
        <row r="1503">
          <cell r="K1503" t="str">
            <v>DBW-2400</v>
          </cell>
          <cell r="L1503">
            <v>44452</v>
          </cell>
          <cell r="M1503">
            <v>44452</v>
          </cell>
          <cell r="N1503">
            <v>44468</v>
          </cell>
          <cell r="O1503">
            <v>44452</v>
          </cell>
          <cell r="P1503">
            <v>44468</v>
          </cell>
          <cell r="Q1503" t="str">
            <v>2021-09-28 → 9/29</v>
          </cell>
          <cell r="R1503" t="str">
            <v>2021-09-28 → 9/29</v>
          </cell>
          <cell r="S1503"/>
          <cell r="T1503">
            <v>44469</v>
          </cell>
          <cell r="U1503">
            <v>44470</v>
          </cell>
          <cell r="V1503">
            <v>44474</v>
          </cell>
          <cell r="W1503">
            <v>44474</v>
          </cell>
          <cell r="X1503">
            <v>41100236</v>
          </cell>
        </row>
        <row r="1504">
          <cell r="K1504" t="str">
            <v>DBW-2436</v>
          </cell>
          <cell r="L1504">
            <v>44483</v>
          </cell>
          <cell r="M1504">
            <v>44483</v>
          </cell>
          <cell r="N1504">
            <v>44495</v>
          </cell>
          <cell r="O1504">
            <v>44483</v>
          </cell>
          <cell r="P1504">
            <v>44492</v>
          </cell>
          <cell r="Q1504" t="str">
            <v>2021-10-22 → 10/26(오전)</v>
          </cell>
          <cell r="R1504" t="str">
            <v>2021-10-22 → 10/26(오전)</v>
          </cell>
          <cell r="S1504"/>
          <cell r="T1504">
            <v>44495</v>
          </cell>
          <cell r="U1504">
            <v>44496</v>
          </cell>
          <cell r="V1504">
            <v>44497</v>
          </cell>
          <cell r="W1504">
            <v>44497</v>
          </cell>
          <cell r="X1504">
            <v>41100236</v>
          </cell>
        </row>
        <row r="1505">
          <cell r="K1505" t="str">
            <v>DBW-2437</v>
          </cell>
          <cell r="L1505">
            <v>44483</v>
          </cell>
          <cell r="M1505">
            <v>44483</v>
          </cell>
          <cell r="N1505">
            <v>44495</v>
          </cell>
          <cell r="O1505">
            <v>44483</v>
          </cell>
          <cell r="P1505">
            <v>44492</v>
          </cell>
          <cell r="Q1505" t="str">
            <v>2021-10-22 → 10/26(오전)</v>
          </cell>
          <cell r="R1505" t="str">
            <v>2021-10-22 → 10/26(오전)</v>
          </cell>
          <cell r="S1505"/>
          <cell r="T1505">
            <v>44495</v>
          </cell>
          <cell r="U1505">
            <v>44496</v>
          </cell>
          <cell r="V1505">
            <v>44497</v>
          </cell>
          <cell r="W1505">
            <v>44497</v>
          </cell>
          <cell r="X1505">
            <v>41100236</v>
          </cell>
        </row>
        <row r="1506">
          <cell r="K1506" t="str">
            <v>DBW-2401</v>
          </cell>
          <cell r="L1506">
            <v>44452</v>
          </cell>
          <cell r="M1506">
            <v>44452</v>
          </cell>
          <cell r="N1506">
            <v>44468</v>
          </cell>
          <cell r="O1506">
            <v>44452</v>
          </cell>
          <cell r="P1506">
            <v>44468</v>
          </cell>
          <cell r="Q1506" t="str">
            <v>2021-09-28 → 9/29</v>
          </cell>
          <cell r="R1506" t="str">
            <v>2021-09-28 → 9/29</v>
          </cell>
          <cell r="S1506"/>
          <cell r="T1506">
            <v>44469</v>
          </cell>
          <cell r="U1506">
            <v>44470</v>
          </cell>
          <cell r="V1506">
            <v>44474</v>
          </cell>
          <cell r="W1506">
            <v>44474</v>
          </cell>
          <cell r="X1506" t="str">
            <v>41100269 → 41100236</v>
          </cell>
        </row>
        <row r="1507">
          <cell r="K1507"/>
          <cell r="L1507"/>
          <cell r="M1507">
            <v>44504</v>
          </cell>
          <cell r="N1507">
            <v>44505</v>
          </cell>
          <cell r="O1507">
            <v>44504</v>
          </cell>
          <cell r="P1507" t="str">
            <v xml:space="preserve"> -</v>
          </cell>
          <cell r="Q1507">
            <v>44515</v>
          </cell>
          <cell r="R1507">
            <v>44515</v>
          </cell>
          <cell r="S1507"/>
          <cell r="T1507">
            <v>44505</v>
          </cell>
          <cell r="U1507">
            <v>44507</v>
          </cell>
          <cell r="V1507">
            <v>44507</v>
          </cell>
          <cell r="W1507">
            <v>44507</v>
          </cell>
          <cell r="X1507"/>
        </row>
        <row r="1508">
          <cell r="K1508" t="str">
            <v>DBW-2438</v>
          </cell>
          <cell r="L1508">
            <v>44487</v>
          </cell>
          <cell r="M1508">
            <v>44487</v>
          </cell>
          <cell r="N1508">
            <v>44498</v>
          </cell>
          <cell r="O1508">
            <v>44487</v>
          </cell>
          <cell r="P1508">
            <v>44497</v>
          </cell>
          <cell r="Q1508">
            <v>44497</v>
          </cell>
          <cell r="R1508">
            <v>44497</v>
          </cell>
          <cell r="S1508"/>
          <cell r="T1508">
            <v>44501</v>
          </cell>
          <cell r="U1508">
            <v>44503</v>
          </cell>
          <cell r="V1508">
            <v>44505</v>
          </cell>
          <cell r="W1508">
            <v>44505</v>
          </cell>
          <cell r="X1508">
            <v>41100310</v>
          </cell>
        </row>
        <row r="1509">
          <cell r="K1509" t="str">
            <v>GBWS-1698</v>
          </cell>
          <cell r="L1509">
            <v>44487</v>
          </cell>
          <cell r="M1509">
            <v>44487</v>
          </cell>
          <cell r="N1509">
            <v>44498</v>
          </cell>
          <cell r="O1509">
            <v>44487</v>
          </cell>
          <cell r="P1509">
            <v>44498</v>
          </cell>
          <cell r="Q1509">
            <v>44497</v>
          </cell>
          <cell r="R1509">
            <v>44497</v>
          </cell>
          <cell r="S1509"/>
          <cell r="T1509">
            <v>44501</v>
          </cell>
          <cell r="U1509">
            <v>44504</v>
          </cell>
          <cell r="V1509">
            <v>44507</v>
          </cell>
          <cell r="W1509">
            <v>44508</v>
          </cell>
          <cell r="X1509">
            <v>41100319</v>
          </cell>
        </row>
        <row r="1510">
          <cell r="K1510" t="str">
            <v>GBWS-1683</v>
          </cell>
          <cell r="L1510">
            <v>44482</v>
          </cell>
          <cell r="M1510">
            <v>44482</v>
          </cell>
          <cell r="N1510">
            <v>44494</v>
          </cell>
          <cell r="O1510">
            <v>44482</v>
          </cell>
          <cell r="P1510">
            <v>44495</v>
          </cell>
          <cell r="Q1510" t="str">
            <v>2021-10-25 → 10/26</v>
          </cell>
          <cell r="R1510" t="str">
            <v>2021-10-25 → 10/26</v>
          </cell>
          <cell r="S1510"/>
          <cell r="T1510">
            <v>44496</v>
          </cell>
          <cell r="U1510">
            <v>44497</v>
          </cell>
          <cell r="V1510">
            <v>44501</v>
          </cell>
          <cell r="W1510">
            <v>44501</v>
          </cell>
          <cell r="X1510">
            <v>41100293</v>
          </cell>
        </row>
        <row r="1511">
          <cell r="K1511" t="str">
            <v>GBWS-1696</v>
          </cell>
          <cell r="L1511">
            <v>44487</v>
          </cell>
          <cell r="M1511">
            <v>44487</v>
          </cell>
          <cell r="N1511">
            <v>44498</v>
          </cell>
          <cell r="O1511">
            <v>44487</v>
          </cell>
          <cell r="P1511">
            <v>44498</v>
          </cell>
          <cell r="Q1511">
            <v>44497</v>
          </cell>
          <cell r="R1511">
            <v>44497</v>
          </cell>
          <cell r="S1511"/>
          <cell r="T1511">
            <v>44501</v>
          </cell>
          <cell r="U1511">
            <v>44505</v>
          </cell>
          <cell r="V1511">
            <v>44507</v>
          </cell>
          <cell r="W1511">
            <v>44508</v>
          </cell>
          <cell r="X1511">
            <v>41100293</v>
          </cell>
        </row>
        <row r="1512">
          <cell r="K1512" t="str">
            <v>GBWS-1697</v>
          </cell>
          <cell r="L1512">
            <v>44487</v>
          </cell>
          <cell r="M1512">
            <v>44487</v>
          </cell>
          <cell r="N1512">
            <v>44498</v>
          </cell>
          <cell r="O1512">
            <v>44487</v>
          </cell>
          <cell r="P1512">
            <v>44498</v>
          </cell>
          <cell r="Q1512">
            <v>44497</v>
          </cell>
          <cell r="R1512">
            <v>44497</v>
          </cell>
          <cell r="S1512"/>
          <cell r="T1512">
            <v>44501</v>
          </cell>
          <cell r="U1512">
            <v>44504</v>
          </cell>
          <cell r="V1512">
            <v>44505</v>
          </cell>
          <cell r="W1512">
            <v>44505</v>
          </cell>
          <cell r="X1512">
            <v>41100293</v>
          </cell>
        </row>
        <row r="1513">
          <cell r="K1513" t="str">
            <v>GBWS-1699</v>
          </cell>
          <cell r="L1513">
            <v>44487</v>
          </cell>
          <cell r="M1513">
            <v>44487</v>
          </cell>
          <cell r="N1513">
            <v>44497</v>
          </cell>
          <cell r="O1513">
            <v>44487</v>
          </cell>
          <cell r="P1513">
            <v>44498</v>
          </cell>
          <cell r="Q1513" t="str">
            <v>2021-10-25 → 10/26</v>
          </cell>
          <cell r="R1513" t="str">
            <v>2021-10-25 → 10/26</v>
          </cell>
          <cell r="S1513"/>
          <cell r="T1513">
            <v>44498</v>
          </cell>
          <cell r="U1513">
            <v>44505</v>
          </cell>
          <cell r="V1513">
            <v>44507</v>
          </cell>
          <cell r="W1513">
            <v>44508</v>
          </cell>
          <cell r="X1513">
            <v>41100320</v>
          </cell>
        </row>
        <row r="1514">
          <cell r="K1514" t="str">
            <v>DBW-2375</v>
          </cell>
          <cell r="L1514">
            <v>44439</v>
          </cell>
          <cell r="M1514">
            <v>44439</v>
          </cell>
          <cell r="N1514">
            <v>44453</v>
          </cell>
          <cell r="O1514">
            <v>44439</v>
          </cell>
          <cell r="P1514">
            <v>44453</v>
          </cell>
          <cell r="Q1514" t="str">
            <v>2021-09-08 →9/12 → 9/14</v>
          </cell>
          <cell r="R1514" t="str">
            <v>2021-09-08 →9/12 → 9/14</v>
          </cell>
          <cell r="S1514"/>
          <cell r="T1514">
            <v>44453</v>
          </cell>
          <cell r="U1514">
            <v>44454</v>
          </cell>
          <cell r="V1514">
            <v>44462</v>
          </cell>
          <cell r="W1514">
            <v>44462</v>
          </cell>
          <cell r="X1514">
            <v>41100258</v>
          </cell>
        </row>
        <row r="1515">
          <cell r="K1515" t="str">
            <v>DBW-2405</v>
          </cell>
          <cell r="L1515">
            <v>44455</v>
          </cell>
          <cell r="M1515">
            <v>44455</v>
          </cell>
          <cell r="N1515">
            <v>44477</v>
          </cell>
          <cell r="O1515">
            <v>44455</v>
          </cell>
          <cell r="P1515">
            <v>44476</v>
          </cell>
          <cell r="Q1515" t="str">
            <v>2021-10-05 → 10/7</v>
          </cell>
          <cell r="R1515" t="str">
            <v>2021-10-05 → 10/7</v>
          </cell>
          <cell r="S1515"/>
          <cell r="T1515">
            <v>44477</v>
          </cell>
          <cell r="U1515">
            <v>44482</v>
          </cell>
          <cell r="V1515">
            <v>44484</v>
          </cell>
          <cell r="W1515">
            <v>44487</v>
          </cell>
          <cell r="X1515">
            <v>41100258</v>
          </cell>
        </row>
        <row r="1516">
          <cell r="K1516" t="str">
            <v>DBW-2390</v>
          </cell>
          <cell r="L1516">
            <v>44446</v>
          </cell>
          <cell r="M1516">
            <v>44447</v>
          </cell>
          <cell r="N1516">
            <v>44462</v>
          </cell>
          <cell r="O1516">
            <v>44447</v>
          </cell>
          <cell r="P1516">
            <v>44466</v>
          </cell>
          <cell r="Q1516">
            <v>44456</v>
          </cell>
          <cell r="R1516">
            <v>44456</v>
          </cell>
          <cell r="S1516"/>
          <cell r="T1516">
            <v>44467</v>
          </cell>
          <cell r="U1516">
            <v>44468</v>
          </cell>
          <cell r="V1516">
            <v>44469</v>
          </cell>
          <cell r="W1516">
            <v>44469</v>
          </cell>
          <cell r="X1516">
            <v>41100258</v>
          </cell>
        </row>
        <row r="1517">
          <cell r="K1517" t="str">
            <v>SOS-0251</v>
          </cell>
          <cell r="L1517">
            <v>44440</v>
          </cell>
          <cell r="M1517">
            <v>44441</v>
          </cell>
          <cell r="N1517">
            <v>44446</v>
          </cell>
          <cell r="O1517">
            <v>44441</v>
          </cell>
          <cell r="P1517">
            <v>44446</v>
          </cell>
          <cell r="Q1517">
            <v>44445</v>
          </cell>
          <cell r="R1517">
            <v>44445</v>
          </cell>
          <cell r="S1517"/>
          <cell r="T1517">
            <v>44446</v>
          </cell>
          <cell r="U1517">
            <v>44447</v>
          </cell>
          <cell r="V1517">
            <v>44448</v>
          </cell>
          <cell r="W1517">
            <v>44449</v>
          </cell>
          <cell r="X1517">
            <v>41100299</v>
          </cell>
        </row>
        <row r="1518">
          <cell r="K1518" t="str">
            <v>DBW-2443</v>
          </cell>
          <cell r="L1518">
            <v>44489</v>
          </cell>
          <cell r="M1518">
            <v>44489</v>
          </cell>
          <cell r="N1518">
            <v>44498</v>
          </cell>
          <cell r="O1518">
            <v>44489</v>
          </cell>
          <cell r="P1518">
            <v>44501</v>
          </cell>
          <cell r="Q1518">
            <v>44501</v>
          </cell>
          <cell r="R1518">
            <v>44501</v>
          </cell>
          <cell r="S1518"/>
          <cell r="T1518">
            <v>44503</v>
          </cell>
          <cell r="U1518">
            <v>44504</v>
          </cell>
          <cell r="V1518">
            <v>44505</v>
          </cell>
          <cell r="W1518">
            <v>44505</v>
          </cell>
          <cell r="X1518">
            <v>41100354</v>
          </cell>
        </row>
        <row r="1519">
          <cell r="K1519" t="str">
            <v>DBW-2444</v>
          </cell>
          <cell r="L1519">
            <v>44489</v>
          </cell>
          <cell r="M1519">
            <v>44489</v>
          </cell>
          <cell r="N1519">
            <v>44498</v>
          </cell>
          <cell r="O1519">
            <v>44489</v>
          </cell>
          <cell r="P1519">
            <v>44501</v>
          </cell>
          <cell r="Q1519">
            <v>44501</v>
          </cell>
          <cell r="R1519">
            <v>44501</v>
          </cell>
          <cell r="S1519"/>
          <cell r="T1519">
            <v>44503</v>
          </cell>
          <cell r="U1519">
            <v>44504</v>
          </cell>
          <cell r="V1519">
            <v>44505</v>
          </cell>
          <cell r="W1519">
            <v>44505</v>
          </cell>
          <cell r="X1519">
            <v>41100354</v>
          </cell>
        </row>
        <row r="1520">
          <cell r="K1520" t="str">
            <v>DBW-2445</v>
          </cell>
          <cell r="L1520">
            <v>44489</v>
          </cell>
          <cell r="M1520">
            <v>44489</v>
          </cell>
          <cell r="N1520">
            <v>44498</v>
          </cell>
          <cell r="O1520">
            <v>44489</v>
          </cell>
          <cell r="P1520">
            <v>44501</v>
          </cell>
          <cell r="Q1520">
            <v>44501</v>
          </cell>
          <cell r="R1520">
            <v>44501</v>
          </cell>
          <cell r="S1520"/>
          <cell r="T1520">
            <v>44503</v>
          </cell>
          <cell r="U1520">
            <v>44504</v>
          </cell>
          <cell r="V1520">
            <v>44505</v>
          </cell>
          <cell r="W1520">
            <v>44505</v>
          </cell>
          <cell r="X1520">
            <v>41100354</v>
          </cell>
        </row>
        <row r="1521">
          <cell r="K1521" t="str">
            <v>DBW-2446</v>
          </cell>
          <cell r="L1521">
            <v>44489</v>
          </cell>
          <cell r="M1521">
            <v>44489</v>
          </cell>
          <cell r="N1521">
            <v>44498</v>
          </cell>
          <cell r="O1521">
            <v>44489</v>
          </cell>
          <cell r="P1521">
            <v>44501</v>
          </cell>
          <cell r="Q1521">
            <v>44501</v>
          </cell>
          <cell r="R1521">
            <v>44501</v>
          </cell>
          <cell r="S1521"/>
          <cell r="T1521">
            <v>44503</v>
          </cell>
          <cell r="U1521">
            <v>44504</v>
          </cell>
          <cell r="V1521">
            <v>44505</v>
          </cell>
          <cell r="W1521">
            <v>44505</v>
          </cell>
          <cell r="X1521">
            <v>41100354</v>
          </cell>
        </row>
        <row r="1522">
          <cell r="K1522" t="str">
            <v>DBW-2447</v>
          </cell>
          <cell r="L1522">
            <v>44489</v>
          </cell>
          <cell r="M1522">
            <v>44489</v>
          </cell>
          <cell r="N1522">
            <v>44498</v>
          </cell>
          <cell r="O1522">
            <v>44489</v>
          </cell>
          <cell r="P1522">
            <v>44501</v>
          </cell>
          <cell r="Q1522">
            <v>44501</v>
          </cell>
          <cell r="R1522">
            <v>44501</v>
          </cell>
          <cell r="S1522"/>
          <cell r="T1522">
            <v>44503</v>
          </cell>
          <cell r="U1522">
            <v>44504</v>
          </cell>
          <cell r="V1522">
            <v>44507</v>
          </cell>
          <cell r="W1522">
            <v>44508</v>
          </cell>
          <cell r="X1522">
            <v>41100354</v>
          </cell>
        </row>
        <row r="1523">
          <cell r="K1523" t="str">
            <v>DBW-2449</v>
          </cell>
          <cell r="L1523">
            <v>44489</v>
          </cell>
          <cell r="M1523">
            <v>44489</v>
          </cell>
          <cell r="N1523">
            <v>44498</v>
          </cell>
          <cell r="O1523">
            <v>44489</v>
          </cell>
          <cell r="P1523">
            <v>44497</v>
          </cell>
          <cell r="Q1523">
            <v>44498</v>
          </cell>
          <cell r="R1523">
            <v>44498</v>
          </cell>
          <cell r="S1523"/>
          <cell r="T1523">
            <v>44502</v>
          </cell>
          <cell r="U1523">
            <v>44503</v>
          </cell>
          <cell r="V1523">
            <v>44504</v>
          </cell>
          <cell r="W1523">
            <v>44504</v>
          </cell>
          <cell r="X1523">
            <v>41100173</v>
          </cell>
        </row>
        <row r="1524">
          <cell r="K1524" t="str">
            <v>DBW-2450</v>
          </cell>
          <cell r="L1524">
            <v>44489</v>
          </cell>
          <cell r="M1524">
            <v>44489</v>
          </cell>
          <cell r="N1524">
            <v>44498</v>
          </cell>
          <cell r="O1524">
            <v>44489</v>
          </cell>
          <cell r="P1524">
            <v>44497</v>
          </cell>
          <cell r="Q1524">
            <v>44498</v>
          </cell>
          <cell r="R1524">
            <v>44498</v>
          </cell>
          <cell r="S1524"/>
          <cell r="T1524">
            <v>44502</v>
          </cell>
          <cell r="U1524">
            <v>44503</v>
          </cell>
          <cell r="V1524">
            <v>44504</v>
          </cell>
          <cell r="W1524">
            <v>44504</v>
          </cell>
          <cell r="X1524">
            <v>41100173</v>
          </cell>
        </row>
        <row r="1525">
          <cell r="K1525" t="str">
            <v>DBW-2453</v>
          </cell>
          <cell r="L1525">
            <v>44489</v>
          </cell>
          <cell r="M1525">
            <v>44489</v>
          </cell>
          <cell r="N1525">
            <v>44498</v>
          </cell>
          <cell r="O1525">
            <v>44489</v>
          </cell>
          <cell r="P1525">
            <v>44497</v>
          </cell>
          <cell r="Q1525">
            <v>44498</v>
          </cell>
          <cell r="R1525">
            <v>44498</v>
          </cell>
          <cell r="S1525"/>
          <cell r="T1525">
            <v>44502</v>
          </cell>
          <cell r="U1525">
            <v>44505</v>
          </cell>
          <cell r="V1525">
            <v>44507</v>
          </cell>
          <cell r="W1525">
            <v>44508</v>
          </cell>
          <cell r="X1525">
            <v>41100174</v>
          </cell>
        </row>
        <row r="1526">
          <cell r="K1526" t="str">
            <v>DBW-2441</v>
          </cell>
          <cell r="L1526">
            <v>44489</v>
          </cell>
          <cell r="M1526">
            <v>44489</v>
          </cell>
          <cell r="N1526">
            <v>44502</v>
          </cell>
          <cell r="O1526">
            <v>44489</v>
          </cell>
          <cell r="P1526">
            <v>44501</v>
          </cell>
          <cell r="Q1526">
            <v>44502</v>
          </cell>
          <cell r="R1526">
            <v>44502</v>
          </cell>
          <cell r="S1526"/>
          <cell r="T1526">
            <v>44505</v>
          </cell>
          <cell r="U1526">
            <v>44508</v>
          </cell>
          <cell r="V1526">
            <v>44509</v>
          </cell>
          <cell r="W1526">
            <v>44509</v>
          </cell>
          <cell r="X1526">
            <v>41100359</v>
          </cell>
        </row>
        <row r="1527">
          <cell r="K1527" t="str">
            <v>GBWS-1713</v>
          </cell>
          <cell r="L1527">
            <v>44490</v>
          </cell>
          <cell r="M1527">
            <v>44490</v>
          </cell>
          <cell r="N1527">
            <v>44506</v>
          </cell>
          <cell r="O1527">
            <v>44490</v>
          </cell>
          <cell r="P1527">
            <v>44503</v>
          </cell>
          <cell r="Q1527" t="str">
            <v>2021-11-03 → 11/5(오전)</v>
          </cell>
          <cell r="R1527" t="str">
            <v>2021-11-03 → 11/5(오전)</v>
          </cell>
          <cell r="S1527"/>
          <cell r="T1527">
            <v>44506</v>
          </cell>
          <cell r="U1527">
            <v>44508</v>
          </cell>
          <cell r="V1527">
            <v>44509</v>
          </cell>
          <cell r="W1527">
            <v>44509</v>
          </cell>
          <cell r="X1527">
            <v>41100350</v>
          </cell>
        </row>
        <row r="1528">
          <cell r="K1528" t="str">
            <v>GBWS-1402</v>
          </cell>
          <cell r="L1528">
            <v>44383</v>
          </cell>
          <cell r="M1528">
            <v>44384</v>
          </cell>
          <cell r="N1528">
            <v>44396</v>
          </cell>
          <cell r="O1528">
            <v>44384</v>
          </cell>
          <cell r="P1528">
            <v>44396</v>
          </cell>
          <cell r="Q1528" t="str">
            <v>7/17 → 7/20</v>
          </cell>
          <cell r="R1528" t="str">
            <v>7/17 → 7/20</v>
          </cell>
          <cell r="S1528"/>
          <cell r="T1528">
            <v>44399</v>
          </cell>
          <cell r="U1528">
            <v>44403</v>
          </cell>
          <cell r="V1528">
            <v>44404</v>
          </cell>
          <cell r="W1528">
            <v>44405</v>
          </cell>
          <cell r="X1528">
            <v>41100288</v>
          </cell>
        </row>
        <row r="1529">
          <cell r="K1529" t="str">
            <v>DBW-2361</v>
          </cell>
          <cell r="L1529">
            <v>44431</v>
          </cell>
          <cell r="M1529">
            <v>44431</v>
          </cell>
          <cell r="N1529">
            <v>44440</v>
          </cell>
          <cell r="O1529">
            <v>44431</v>
          </cell>
          <cell r="P1529">
            <v>44440</v>
          </cell>
          <cell r="Q1529">
            <v>44440</v>
          </cell>
          <cell r="R1529">
            <v>44440</v>
          </cell>
          <cell r="S1529"/>
          <cell r="T1529">
            <v>44441</v>
          </cell>
          <cell r="U1529">
            <v>44442</v>
          </cell>
          <cell r="V1529">
            <v>44445</v>
          </cell>
          <cell r="W1529">
            <v>44445</v>
          </cell>
          <cell r="X1529" t="str">
            <v>41100170 → 41100169</v>
          </cell>
        </row>
        <row r="1530">
          <cell r="K1530"/>
          <cell r="L1530"/>
          <cell r="M1530">
            <v>44498</v>
          </cell>
          <cell r="N1530">
            <v>44504</v>
          </cell>
          <cell r="O1530">
            <v>44498</v>
          </cell>
          <cell r="P1530" t="str">
            <v xml:space="preserve"> -</v>
          </cell>
          <cell r="Q1530" t="str">
            <v>2021-11-02 → 11/4</v>
          </cell>
          <cell r="R1530" t="str">
            <v>2021-11-02 → 11/4</v>
          </cell>
          <cell r="S1530"/>
          <cell r="T1530">
            <v>44505</v>
          </cell>
          <cell r="U1530">
            <v>44507</v>
          </cell>
          <cell r="V1530">
            <v>44508</v>
          </cell>
          <cell r="W1530">
            <v>44508</v>
          </cell>
          <cell r="X1530"/>
        </row>
        <row r="1531">
          <cell r="K1531" t="str">
            <v>DBW-2362</v>
          </cell>
          <cell r="L1531">
            <v>44431</v>
          </cell>
          <cell r="M1531">
            <v>44431</v>
          </cell>
          <cell r="N1531">
            <v>44440</v>
          </cell>
          <cell r="O1531">
            <v>44431</v>
          </cell>
          <cell r="P1531">
            <v>44440</v>
          </cell>
          <cell r="Q1531">
            <v>44440</v>
          </cell>
          <cell r="R1531">
            <v>44440</v>
          </cell>
          <cell r="S1531"/>
          <cell r="T1531">
            <v>44441</v>
          </cell>
          <cell r="U1531">
            <v>44442</v>
          </cell>
          <cell r="V1531">
            <v>44445</v>
          </cell>
          <cell r="W1531">
            <v>44445</v>
          </cell>
          <cell r="X1531" t="str">
            <v>41100170 → 41100169</v>
          </cell>
        </row>
        <row r="1532">
          <cell r="K1532"/>
          <cell r="L1532"/>
          <cell r="M1532">
            <v>44498</v>
          </cell>
          <cell r="N1532">
            <v>44504</v>
          </cell>
          <cell r="O1532">
            <v>44498</v>
          </cell>
          <cell r="P1532" t="str">
            <v xml:space="preserve"> -</v>
          </cell>
          <cell r="Q1532" t="str">
            <v>2021-11-02 → 11/4</v>
          </cell>
          <cell r="R1532" t="str">
            <v>2021-11-02 → 11/4</v>
          </cell>
          <cell r="S1532"/>
          <cell r="T1532">
            <v>44505</v>
          </cell>
          <cell r="U1532">
            <v>44507</v>
          </cell>
          <cell r="V1532">
            <v>44508</v>
          </cell>
          <cell r="W1532">
            <v>44508</v>
          </cell>
          <cell r="X1532"/>
        </row>
        <row r="1533">
          <cell r="K1533" t="str">
            <v>GBWS-1523</v>
          </cell>
          <cell r="L1533">
            <v>44432</v>
          </cell>
          <cell r="M1533">
            <v>44432</v>
          </cell>
          <cell r="N1533">
            <v>44444</v>
          </cell>
          <cell r="O1533">
            <v>44432</v>
          </cell>
          <cell r="P1533">
            <v>44445</v>
          </cell>
          <cell r="Q1533">
            <v>44445</v>
          </cell>
          <cell r="R1533">
            <v>44445</v>
          </cell>
          <cell r="S1533"/>
          <cell r="T1533">
            <v>44446</v>
          </cell>
          <cell r="U1533">
            <v>44447</v>
          </cell>
          <cell r="V1533">
            <v>44448</v>
          </cell>
          <cell r="W1533">
            <v>44448</v>
          </cell>
          <cell r="X1533">
            <v>41100224</v>
          </cell>
        </row>
        <row r="1534">
          <cell r="K1534" t="str">
            <v>GBWS-1524</v>
          </cell>
          <cell r="L1534">
            <v>44432</v>
          </cell>
          <cell r="M1534">
            <v>44432</v>
          </cell>
          <cell r="N1534">
            <v>44444</v>
          </cell>
          <cell r="O1534">
            <v>44432</v>
          </cell>
          <cell r="P1534">
            <v>44445</v>
          </cell>
          <cell r="Q1534">
            <v>44445</v>
          </cell>
          <cell r="R1534">
            <v>44445</v>
          </cell>
          <cell r="S1534"/>
          <cell r="T1534">
            <v>44446</v>
          </cell>
          <cell r="U1534">
            <v>44447</v>
          </cell>
          <cell r="V1534">
            <v>44448</v>
          </cell>
          <cell r="W1534">
            <v>44448</v>
          </cell>
          <cell r="X1534">
            <v>41100224</v>
          </cell>
        </row>
        <row r="1535">
          <cell r="K1535" t="str">
            <v>GBWS-1620</v>
          </cell>
          <cell r="L1535">
            <v>44455</v>
          </cell>
          <cell r="M1535">
            <v>44455</v>
          </cell>
          <cell r="N1535">
            <v>44481</v>
          </cell>
          <cell r="O1535">
            <v>44455</v>
          </cell>
          <cell r="P1535">
            <v>44481</v>
          </cell>
          <cell r="Q1535" t="str">
            <v>2021-10-05 → 10/8 → 10/9</v>
          </cell>
          <cell r="R1535" t="str">
            <v>2021-10-05 → 10/8 → 10/9</v>
          </cell>
          <cell r="S1535"/>
          <cell r="T1535">
            <v>44483</v>
          </cell>
          <cell r="U1535">
            <v>44484</v>
          </cell>
          <cell r="V1535">
            <v>44484</v>
          </cell>
          <cell r="W1535">
            <v>44487</v>
          </cell>
          <cell r="X1535">
            <v>41100287</v>
          </cell>
        </row>
        <row r="1536">
          <cell r="K1536" t="str">
            <v>GBWS-1613</v>
          </cell>
          <cell r="L1536">
            <v>44455</v>
          </cell>
          <cell r="M1536">
            <v>44455</v>
          </cell>
          <cell r="N1536">
            <v>44481</v>
          </cell>
          <cell r="O1536">
            <v>44455</v>
          </cell>
          <cell r="P1536">
            <v>44476</v>
          </cell>
          <cell r="Q1536" t="str">
            <v xml:space="preserve">2021-10-05 → 10/7  </v>
          </cell>
          <cell r="R1536" t="str">
            <v xml:space="preserve">2021-10-05 → 10/7  </v>
          </cell>
          <cell r="S1536"/>
          <cell r="T1536">
            <v>44481</v>
          </cell>
          <cell r="U1536">
            <v>44482</v>
          </cell>
          <cell r="V1536">
            <v>44483</v>
          </cell>
          <cell r="W1536">
            <v>44483</v>
          </cell>
          <cell r="X1536">
            <v>41100287</v>
          </cell>
        </row>
        <row r="1537">
          <cell r="K1537" t="str">
            <v>GBWS-1614</v>
          </cell>
          <cell r="L1537">
            <v>44455</v>
          </cell>
          <cell r="M1537">
            <v>44455</v>
          </cell>
          <cell r="N1537">
            <v>44481</v>
          </cell>
          <cell r="O1537">
            <v>44455</v>
          </cell>
          <cell r="P1537">
            <v>44476</v>
          </cell>
          <cell r="Q1537" t="str">
            <v xml:space="preserve">2021-10-05 → 10/7  </v>
          </cell>
          <cell r="R1537" t="str">
            <v xml:space="preserve">2021-10-05 → 10/7  </v>
          </cell>
          <cell r="S1537"/>
          <cell r="T1537">
            <v>44481</v>
          </cell>
          <cell r="U1537">
            <v>44482</v>
          </cell>
          <cell r="V1537">
            <v>44484</v>
          </cell>
          <cell r="W1537">
            <v>44484</v>
          </cell>
          <cell r="X1537">
            <v>41100287</v>
          </cell>
        </row>
        <row r="1538">
          <cell r="K1538" t="str">
            <v>GBWS-1617</v>
          </cell>
          <cell r="L1538">
            <v>44455</v>
          </cell>
          <cell r="M1538">
            <v>44455</v>
          </cell>
          <cell r="N1538">
            <v>44481</v>
          </cell>
          <cell r="O1538">
            <v>44455</v>
          </cell>
          <cell r="P1538">
            <v>44481</v>
          </cell>
          <cell r="Q1538" t="str">
            <v>2021-10-05 → 10/7 → 10/8</v>
          </cell>
          <cell r="R1538" t="str">
            <v>2021-10-05 → 10/7 → 10/8</v>
          </cell>
          <cell r="S1538"/>
          <cell r="T1538">
            <v>44482</v>
          </cell>
          <cell r="U1538">
            <v>44483</v>
          </cell>
          <cell r="V1538">
            <v>44484</v>
          </cell>
          <cell r="W1538">
            <v>44487</v>
          </cell>
          <cell r="X1538">
            <v>41100345</v>
          </cell>
        </row>
        <row r="1539">
          <cell r="K1539" t="str">
            <v>GBWS-1618</v>
          </cell>
          <cell r="L1539">
            <v>44455</v>
          </cell>
          <cell r="M1539">
            <v>44455</v>
          </cell>
          <cell r="N1539">
            <v>44481</v>
          </cell>
          <cell r="O1539">
            <v>44455</v>
          </cell>
          <cell r="P1539">
            <v>44481</v>
          </cell>
          <cell r="Q1539" t="str">
            <v>2021-10-05 → 10/7 → 10/8</v>
          </cell>
          <cell r="R1539" t="str">
            <v>2021-10-05 → 10/7 → 10/8</v>
          </cell>
          <cell r="S1539"/>
          <cell r="T1539">
            <v>44482</v>
          </cell>
          <cell r="U1539">
            <v>44483</v>
          </cell>
          <cell r="V1539">
            <v>44487</v>
          </cell>
          <cell r="W1539">
            <v>44487</v>
          </cell>
          <cell r="X1539">
            <v>41100345</v>
          </cell>
        </row>
        <row r="1540">
          <cell r="K1540" t="str">
            <v>GBWS-1619</v>
          </cell>
          <cell r="L1540">
            <v>44455</v>
          </cell>
          <cell r="M1540">
            <v>44455</v>
          </cell>
          <cell r="N1540">
            <v>44481</v>
          </cell>
          <cell r="O1540">
            <v>44455</v>
          </cell>
          <cell r="P1540">
            <v>44481</v>
          </cell>
          <cell r="Q1540" t="str">
            <v>2021-10-05 → 10/8 → 10/9</v>
          </cell>
          <cell r="R1540" t="str">
            <v>2021-10-05 → 10/8 → 10/9</v>
          </cell>
          <cell r="S1540"/>
          <cell r="T1540">
            <v>44483</v>
          </cell>
          <cell r="U1540">
            <v>44483</v>
          </cell>
          <cell r="V1540">
            <v>44487</v>
          </cell>
          <cell r="W1540">
            <v>44488</v>
          </cell>
          <cell r="X1540">
            <v>41100345</v>
          </cell>
        </row>
        <row r="1541">
          <cell r="K1541" t="str">
            <v>GBWS-1691</v>
          </cell>
          <cell r="L1541">
            <v>44483</v>
          </cell>
          <cell r="M1541">
            <v>44484</v>
          </cell>
          <cell r="N1541">
            <v>44496</v>
          </cell>
          <cell r="O1541">
            <v>44484</v>
          </cell>
          <cell r="P1541">
            <v>44496</v>
          </cell>
          <cell r="Q1541">
            <v>44496</v>
          </cell>
          <cell r="R1541">
            <v>44496</v>
          </cell>
          <cell r="S1541"/>
          <cell r="T1541">
            <v>44505</v>
          </cell>
          <cell r="U1541">
            <v>44508</v>
          </cell>
          <cell r="V1541">
            <v>44509</v>
          </cell>
          <cell r="W1541">
            <v>44509</v>
          </cell>
          <cell r="X1541">
            <v>41100302</v>
          </cell>
        </row>
        <row r="1542">
          <cell r="K1542" t="str">
            <v>GBWS-1729</v>
          </cell>
          <cell r="L1542">
            <v>44495</v>
          </cell>
          <cell r="M1542">
            <v>44495</v>
          </cell>
          <cell r="N1542">
            <v>44507</v>
          </cell>
          <cell r="O1542">
            <v>44495</v>
          </cell>
          <cell r="P1542">
            <v>44508</v>
          </cell>
          <cell r="Q1542" t="str">
            <v>2021-11-04 → 11/6</v>
          </cell>
          <cell r="R1542" t="str">
            <v>2021-11-04 → 11/6</v>
          </cell>
          <cell r="S1542"/>
          <cell r="T1542">
            <v>44508</v>
          </cell>
          <cell r="U1542">
            <v>44510</v>
          </cell>
          <cell r="V1542">
            <v>44510</v>
          </cell>
          <cell r="W1542">
            <v>44510</v>
          </cell>
          <cell r="X1542">
            <v>41100386</v>
          </cell>
        </row>
        <row r="1543">
          <cell r="K1543" t="str">
            <v>GBWS-1730</v>
          </cell>
          <cell r="L1543">
            <v>44495</v>
          </cell>
          <cell r="M1543">
            <v>44495</v>
          </cell>
          <cell r="N1543">
            <v>44507</v>
          </cell>
          <cell r="O1543">
            <v>44495</v>
          </cell>
          <cell r="P1543">
            <v>44508</v>
          </cell>
          <cell r="Q1543" t="str">
            <v>2021-11-04 → 11/6</v>
          </cell>
          <cell r="R1543" t="str">
            <v>2021-11-04 → 11/6</v>
          </cell>
          <cell r="S1543"/>
          <cell r="T1543">
            <v>44508</v>
          </cell>
          <cell r="U1543">
            <v>44510</v>
          </cell>
          <cell r="V1543">
            <v>44510</v>
          </cell>
          <cell r="W1543">
            <v>44510</v>
          </cell>
          <cell r="X1543">
            <v>41100386</v>
          </cell>
        </row>
        <row r="1544">
          <cell r="K1544" t="str">
            <v>GBWS-1734</v>
          </cell>
          <cell r="L1544">
            <v>44495</v>
          </cell>
          <cell r="M1544">
            <v>44495</v>
          </cell>
          <cell r="N1544">
            <v>44507</v>
          </cell>
          <cell r="O1544">
            <v>44495</v>
          </cell>
          <cell r="P1544">
            <v>44508</v>
          </cell>
          <cell r="Q1544" t="str">
            <v>2021-11-04 → 11/6</v>
          </cell>
          <cell r="R1544" t="str">
            <v>2021-11-04 → 11/6</v>
          </cell>
          <cell r="S1544"/>
          <cell r="T1544">
            <v>44508</v>
          </cell>
          <cell r="U1544">
            <v>44509</v>
          </cell>
          <cell r="V1544">
            <v>44510</v>
          </cell>
          <cell r="W1544">
            <v>44510</v>
          </cell>
          <cell r="X1544">
            <v>41100406</v>
          </cell>
        </row>
        <row r="1545">
          <cell r="K1545" t="str">
            <v>GBWS-1737</v>
          </cell>
          <cell r="L1545">
            <v>44495</v>
          </cell>
          <cell r="M1545">
            <v>44495</v>
          </cell>
          <cell r="N1545">
            <v>44507</v>
          </cell>
          <cell r="O1545">
            <v>44495</v>
          </cell>
          <cell r="P1545">
            <v>44508</v>
          </cell>
          <cell r="Q1545" t="str">
            <v>2021-11-08 → 11/10</v>
          </cell>
          <cell r="R1545" t="str">
            <v>2021-11-08 → 11/10</v>
          </cell>
          <cell r="S1545"/>
          <cell r="T1545">
            <v>44508</v>
          </cell>
          <cell r="U1545">
            <v>44509</v>
          </cell>
          <cell r="V1545">
            <v>44510</v>
          </cell>
          <cell r="W1545">
            <v>44510</v>
          </cell>
          <cell r="X1545">
            <v>41100386</v>
          </cell>
        </row>
        <row r="1546">
          <cell r="K1546" t="str">
            <v>GBWS-1738</v>
          </cell>
          <cell r="L1546">
            <v>44495</v>
          </cell>
          <cell r="M1546">
            <v>44495</v>
          </cell>
          <cell r="N1546">
            <v>44507</v>
          </cell>
          <cell r="O1546">
            <v>44495</v>
          </cell>
          <cell r="P1546">
            <v>44508</v>
          </cell>
          <cell r="Q1546" t="str">
            <v>2021-11-08 → 11/10</v>
          </cell>
          <cell r="R1546" t="str">
            <v>2021-11-08 → 11/10</v>
          </cell>
          <cell r="S1546"/>
          <cell r="T1546">
            <v>44508</v>
          </cell>
          <cell r="U1546">
            <v>44509</v>
          </cell>
          <cell r="V1546">
            <v>44510</v>
          </cell>
          <cell r="W1546">
            <v>44510</v>
          </cell>
          <cell r="X1546">
            <v>41100386</v>
          </cell>
        </row>
        <row r="1547">
          <cell r="K1547" t="str">
            <v>GBWS-1739</v>
          </cell>
          <cell r="L1547">
            <v>44495</v>
          </cell>
          <cell r="M1547">
            <v>44495</v>
          </cell>
          <cell r="N1547">
            <v>44507</v>
          </cell>
          <cell r="O1547">
            <v>44495</v>
          </cell>
          <cell r="P1547">
            <v>44508</v>
          </cell>
          <cell r="Q1547" t="str">
            <v>2021-11-08 → 11/10</v>
          </cell>
          <cell r="R1547" t="str">
            <v>2021-11-08 → 11/10</v>
          </cell>
          <cell r="S1547"/>
          <cell r="T1547">
            <v>44508</v>
          </cell>
          <cell r="U1547">
            <v>44510</v>
          </cell>
          <cell r="V1547">
            <v>44510</v>
          </cell>
          <cell r="W1547">
            <v>44510</v>
          </cell>
          <cell r="X1547">
            <v>41100386</v>
          </cell>
        </row>
        <row r="1548">
          <cell r="K1548" t="str">
            <v>GBWS-1724</v>
          </cell>
          <cell r="L1548">
            <v>44495</v>
          </cell>
          <cell r="M1548">
            <v>44495</v>
          </cell>
          <cell r="N1548">
            <v>44505</v>
          </cell>
          <cell r="O1548">
            <v>44495</v>
          </cell>
          <cell r="P1548">
            <v>44505</v>
          </cell>
          <cell r="Q1548" t="str">
            <v>2021-11-03 → 11/5</v>
          </cell>
          <cell r="R1548" t="str">
            <v>2021-11-03 → 11/5</v>
          </cell>
          <cell r="S1548"/>
          <cell r="T1548">
            <v>44506</v>
          </cell>
          <cell r="U1548">
            <v>44507</v>
          </cell>
          <cell r="V1548">
            <v>44508</v>
          </cell>
          <cell r="W1548">
            <v>44508</v>
          </cell>
          <cell r="X1548">
            <v>41100328</v>
          </cell>
        </row>
        <row r="1549">
          <cell r="K1549" t="str">
            <v>GBWS-1725</v>
          </cell>
          <cell r="L1549">
            <v>44495</v>
          </cell>
          <cell r="M1549">
            <v>44495</v>
          </cell>
          <cell r="N1549">
            <v>44505</v>
          </cell>
          <cell r="O1549">
            <v>44495</v>
          </cell>
          <cell r="P1549">
            <v>44505</v>
          </cell>
          <cell r="Q1549" t="str">
            <v>2021-11-03 → 11/5</v>
          </cell>
          <cell r="R1549" t="str">
            <v>2021-11-03 → 11/5</v>
          </cell>
          <cell r="S1549"/>
          <cell r="T1549">
            <v>44506</v>
          </cell>
          <cell r="U1549">
            <v>44507</v>
          </cell>
          <cell r="V1549">
            <v>44508</v>
          </cell>
          <cell r="W1549">
            <v>44508</v>
          </cell>
          <cell r="X1549">
            <v>41100328</v>
          </cell>
        </row>
        <row r="1550">
          <cell r="K1550" t="str">
            <v>GBWS-1690</v>
          </cell>
          <cell r="L1550">
            <v>44483</v>
          </cell>
          <cell r="M1550">
            <v>44483</v>
          </cell>
          <cell r="N1550">
            <v>44497</v>
          </cell>
          <cell r="O1550">
            <v>44483</v>
          </cell>
          <cell r="P1550">
            <v>44496</v>
          </cell>
          <cell r="Q1550">
            <v>44496</v>
          </cell>
          <cell r="R1550">
            <v>44496</v>
          </cell>
          <cell r="S1550"/>
          <cell r="T1550">
            <v>44498</v>
          </cell>
          <cell r="U1550">
            <v>44499</v>
          </cell>
          <cell r="V1550">
            <v>44501</v>
          </cell>
          <cell r="W1550">
            <v>44501</v>
          </cell>
          <cell r="X1550">
            <v>41100089</v>
          </cell>
        </row>
        <row r="1551">
          <cell r="K1551" t="str">
            <v>GBWS-1688</v>
          </cell>
          <cell r="L1551">
            <v>44483</v>
          </cell>
          <cell r="M1551">
            <v>44483</v>
          </cell>
          <cell r="N1551">
            <v>44497</v>
          </cell>
          <cell r="O1551">
            <v>44483</v>
          </cell>
          <cell r="P1551">
            <v>44496</v>
          </cell>
          <cell r="Q1551">
            <v>44496</v>
          </cell>
          <cell r="R1551">
            <v>44496</v>
          </cell>
          <cell r="S1551"/>
          <cell r="T1551">
            <v>44498</v>
          </cell>
          <cell r="U1551">
            <v>44501</v>
          </cell>
          <cell r="V1551">
            <v>44502</v>
          </cell>
          <cell r="W1551">
            <v>44502</v>
          </cell>
          <cell r="X1551">
            <v>41100090</v>
          </cell>
        </row>
        <row r="1552">
          <cell r="K1552" t="str">
            <v>GBWS-1689</v>
          </cell>
          <cell r="L1552">
            <v>44483</v>
          </cell>
          <cell r="M1552">
            <v>44483</v>
          </cell>
          <cell r="N1552">
            <v>44497</v>
          </cell>
          <cell r="O1552">
            <v>44483</v>
          </cell>
          <cell r="P1552">
            <v>44496</v>
          </cell>
          <cell r="Q1552">
            <v>44496</v>
          </cell>
          <cell r="R1552">
            <v>44496</v>
          </cell>
          <cell r="S1552"/>
          <cell r="T1552">
            <v>44498</v>
          </cell>
          <cell r="U1552">
            <v>44501</v>
          </cell>
          <cell r="V1552">
            <v>44502</v>
          </cell>
          <cell r="W1552">
            <v>44502</v>
          </cell>
          <cell r="X1552">
            <v>41100090</v>
          </cell>
        </row>
        <row r="1553">
          <cell r="K1553" t="str">
            <v>GBWS-1684</v>
          </cell>
          <cell r="L1553">
            <v>44483</v>
          </cell>
          <cell r="M1553">
            <v>44483</v>
          </cell>
          <cell r="N1553">
            <v>44501</v>
          </cell>
          <cell r="O1553">
            <v>44483</v>
          </cell>
          <cell r="P1553">
            <v>44501</v>
          </cell>
          <cell r="Q1553" t="str">
            <v>2021-10-27 → 10/29</v>
          </cell>
          <cell r="R1553" t="str">
            <v>2021-10-27 → 10/29</v>
          </cell>
          <cell r="S1553"/>
          <cell r="T1553">
            <v>44501</v>
          </cell>
          <cell r="U1553">
            <v>44502</v>
          </cell>
          <cell r="V1553">
            <v>44503</v>
          </cell>
          <cell r="W1553">
            <v>44504</v>
          </cell>
          <cell r="X1553">
            <v>41100093</v>
          </cell>
        </row>
        <row r="1554">
          <cell r="K1554" t="str">
            <v>GBWS-1685</v>
          </cell>
          <cell r="L1554">
            <v>44483</v>
          </cell>
          <cell r="M1554">
            <v>44483</v>
          </cell>
          <cell r="N1554">
            <v>44501</v>
          </cell>
          <cell r="O1554">
            <v>44483</v>
          </cell>
          <cell r="P1554">
            <v>44501</v>
          </cell>
          <cell r="Q1554" t="str">
            <v>2021-10-27 → 10/29</v>
          </cell>
          <cell r="R1554" t="str">
            <v>2021-10-27 → 10/29</v>
          </cell>
          <cell r="S1554"/>
          <cell r="T1554">
            <v>44501</v>
          </cell>
          <cell r="U1554">
            <v>44503</v>
          </cell>
          <cell r="V1554">
            <v>44504</v>
          </cell>
          <cell r="W1554">
            <v>44504</v>
          </cell>
          <cell r="X1554">
            <v>41100093</v>
          </cell>
        </row>
        <row r="1555">
          <cell r="K1555" t="str">
            <v>GBWS-1686</v>
          </cell>
          <cell r="L1555">
            <v>44483</v>
          </cell>
          <cell r="M1555">
            <v>44483</v>
          </cell>
          <cell r="N1555">
            <v>44501</v>
          </cell>
          <cell r="O1555">
            <v>44483</v>
          </cell>
          <cell r="P1555">
            <v>44501</v>
          </cell>
          <cell r="Q1555" t="str">
            <v>2021-10-27 → 10/29</v>
          </cell>
          <cell r="R1555" t="str">
            <v>2021-10-27 → 10/29</v>
          </cell>
          <cell r="S1555"/>
          <cell r="T1555">
            <v>44501</v>
          </cell>
          <cell r="U1555">
            <v>44502</v>
          </cell>
          <cell r="V1555">
            <v>44503</v>
          </cell>
          <cell r="W1555">
            <v>44503</v>
          </cell>
          <cell r="X1555">
            <v>41100093</v>
          </cell>
        </row>
        <row r="1556">
          <cell r="K1556" t="str">
            <v>GBWS-1687</v>
          </cell>
          <cell r="L1556">
            <v>44483</v>
          </cell>
          <cell r="M1556">
            <v>44483</v>
          </cell>
          <cell r="N1556">
            <v>44501</v>
          </cell>
          <cell r="O1556">
            <v>44483</v>
          </cell>
          <cell r="P1556">
            <v>44501</v>
          </cell>
          <cell r="Q1556" t="str">
            <v>2021-10-27 → 10/29</v>
          </cell>
          <cell r="R1556" t="str">
            <v>2021-10-27 → 10/29</v>
          </cell>
          <cell r="S1556"/>
          <cell r="T1556">
            <v>44501</v>
          </cell>
          <cell r="U1556">
            <v>44502</v>
          </cell>
          <cell r="V1556">
            <v>44503</v>
          </cell>
          <cell r="W1556">
            <v>44503</v>
          </cell>
          <cell r="X1556">
            <v>41100093</v>
          </cell>
        </row>
        <row r="1557">
          <cell r="K1557" t="str">
            <v>GBWS-1714</v>
          </cell>
          <cell r="L1557">
            <v>44490</v>
          </cell>
          <cell r="M1557">
            <v>44490</v>
          </cell>
          <cell r="N1557">
            <v>44503</v>
          </cell>
          <cell r="O1557">
            <v>44490</v>
          </cell>
          <cell r="P1557">
            <v>44503</v>
          </cell>
          <cell r="Q1557">
            <v>44503</v>
          </cell>
          <cell r="R1557">
            <v>44503</v>
          </cell>
          <cell r="S1557"/>
          <cell r="T1557">
            <v>44508</v>
          </cell>
          <cell r="U1557">
            <v>44510</v>
          </cell>
          <cell r="V1557">
            <v>44510</v>
          </cell>
          <cell r="W1557">
            <v>44511</v>
          </cell>
          <cell r="X1557">
            <v>41100286</v>
          </cell>
        </row>
        <row r="1558">
          <cell r="K1558" t="str">
            <v>GBWS-1752</v>
          </cell>
          <cell r="L1558">
            <v>44497</v>
          </cell>
          <cell r="M1558">
            <v>44497</v>
          </cell>
          <cell r="N1558">
            <v>44505</v>
          </cell>
          <cell r="O1558">
            <v>44497</v>
          </cell>
          <cell r="P1558">
            <v>44505</v>
          </cell>
          <cell r="Q1558" t="str">
            <v>2021-11-09 → 11/4 → 11/5</v>
          </cell>
          <cell r="R1558" t="str">
            <v>2021-11-09 → 11/4 → 11/5</v>
          </cell>
          <cell r="S1558"/>
          <cell r="T1558">
            <v>44506</v>
          </cell>
          <cell r="U1558">
            <v>44510</v>
          </cell>
          <cell r="V1558">
            <v>44511</v>
          </cell>
          <cell r="W1558">
            <v>44511</v>
          </cell>
          <cell r="X1558">
            <v>41100374</v>
          </cell>
        </row>
        <row r="1559">
          <cell r="K1559" t="str">
            <v>GBWS-1701</v>
          </cell>
          <cell r="L1559">
            <v>44489</v>
          </cell>
          <cell r="M1559">
            <v>44489</v>
          </cell>
          <cell r="N1559">
            <v>44502</v>
          </cell>
          <cell r="O1559">
            <v>44489</v>
          </cell>
          <cell r="P1559">
            <v>44502</v>
          </cell>
          <cell r="Q1559">
            <v>44501</v>
          </cell>
          <cell r="R1559">
            <v>44501</v>
          </cell>
          <cell r="S1559"/>
          <cell r="T1559">
            <v>44502</v>
          </cell>
          <cell r="U1559">
            <v>44503</v>
          </cell>
          <cell r="V1559">
            <v>44504</v>
          </cell>
          <cell r="W1559">
            <v>44504</v>
          </cell>
          <cell r="X1559">
            <v>41100089</v>
          </cell>
        </row>
        <row r="1560">
          <cell r="K1560" t="str">
            <v>GBWS-1702</v>
          </cell>
          <cell r="L1560">
            <v>44489</v>
          </cell>
          <cell r="M1560">
            <v>44489</v>
          </cell>
          <cell r="N1560">
            <v>44502</v>
          </cell>
          <cell r="O1560">
            <v>44489</v>
          </cell>
          <cell r="P1560">
            <v>44502</v>
          </cell>
          <cell r="Q1560">
            <v>44501</v>
          </cell>
          <cell r="R1560">
            <v>44501</v>
          </cell>
          <cell r="S1560"/>
          <cell r="T1560">
            <v>44502</v>
          </cell>
          <cell r="U1560">
            <v>44503</v>
          </cell>
          <cell r="V1560">
            <v>44504</v>
          </cell>
          <cell r="W1560">
            <v>44504</v>
          </cell>
          <cell r="X1560">
            <v>41100089</v>
          </cell>
        </row>
        <row r="1561">
          <cell r="K1561" t="str">
            <v>GBWS-1703</v>
          </cell>
          <cell r="L1561">
            <v>44489</v>
          </cell>
          <cell r="M1561">
            <v>44489</v>
          </cell>
          <cell r="N1561">
            <v>44502</v>
          </cell>
          <cell r="O1561">
            <v>44489</v>
          </cell>
          <cell r="P1561">
            <v>44502</v>
          </cell>
          <cell r="Q1561">
            <v>44501</v>
          </cell>
          <cell r="R1561">
            <v>44501</v>
          </cell>
          <cell r="S1561"/>
          <cell r="T1561">
            <v>44502</v>
          </cell>
          <cell r="U1561">
            <v>44503</v>
          </cell>
          <cell r="V1561">
            <v>44504</v>
          </cell>
          <cell r="W1561">
            <v>44504</v>
          </cell>
          <cell r="X1561">
            <v>41100089</v>
          </cell>
        </row>
        <row r="1562">
          <cell r="K1562" t="str">
            <v>GBWS-1704</v>
          </cell>
          <cell r="L1562">
            <v>44489</v>
          </cell>
          <cell r="M1562">
            <v>44489</v>
          </cell>
          <cell r="N1562">
            <v>44502</v>
          </cell>
          <cell r="O1562">
            <v>44489</v>
          </cell>
          <cell r="P1562">
            <v>44502</v>
          </cell>
          <cell r="Q1562">
            <v>44501</v>
          </cell>
          <cell r="R1562">
            <v>44501</v>
          </cell>
          <cell r="S1562"/>
          <cell r="T1562">
            <v>44502</v>
          </cell>
          <cell r="U1562">
            <v>44503</v>
          </cell>
          <cell r="V1562">
            <v>44504</v>
          </cell>
          <cell r="W1562">
            <v>44504</v>
          </cell>
          <cell r="X1562">
            <v>41100089</v>
          </cell>
        </row>
        <row r="1563">
          <cell r="K1563" t="str">
            <v>GBWS-1706</v>
          </cell>
          <cell r="L1563">
            <v>44489</v>
          </cell>
          <cell r="M1563">
            <v>44489</v>
          </cell>
          <cell r="N1563">
            <v>44503</v>
          </cell>
          <cell r="O1563">
            <v>44489</v>
          </cell>
          <cell r="P1563">
            <v>44503</v>
          </cell>
          <cell r="Q1563" t="str">
            <v>2021-11-02 → 11/3</v>
          </cell>
          <cell r="R1563" t="str">
            <v>2021-11-02 → 11/3</v>
          </cell>
          <cell r="S1563"/>
          <cell r="T1563">
            <v>44504</v>
          </cell>
          <cell r="U1563">
            <v>44507</v>
          </cell>
          <cell r="V1563">
            <v>44507</v>
          </cell>
          <cell r="W1563">
            <v>44508</v>
          </cell>
          <cell r="X1563">
            <v>41100090</v>
          </cell>
        </row>
        <row r="1564">
          <cell r="K1564" t="str">
            <v>GBWS-1707</v>
          </cell>
          <cell r="L1564">
            <v>44489</v>
          </cell>
          <cell r="M1564">
            <v>44489</v>
          </cell>
          <cell r="N1564">
            <v>44503</v>
          </cell>
          <cell r="O1564">
            <v>44489</v>
          </cell>
          <cell r="P1564">
            <v>44503</v>
          </cell>
          <cell r="Q1564" t="str">
            <v>2021-11-02 → 11/3</v>
          </cell>
          <cell r="R1564" t="str">
            <v>2021-11-02 → 11/3</v>
          </cell>
          <cell r="S1564"/>
          <cell r="T1564">
            <v>44505</v>
          </cell>
          <cell r="U1564">
            <v>44508</v>
          </cell>
          <cell r="V1564">
            <v>44509</v>
          </cell>
          <cell r="W1564">
            <v>44509</v>
          </cell>
          <cell r="X1564">
            <v>41100090</v>
          </cell>
        </row>
        <row r="1565">
          <cell r="K1565" t="str">
            <v>GBWS-1705</v>
          </cell>
          <cell r="L1565">
            <v>44489</v>
          </cell>
          <cell r="M1565">
            <v>44489</v>
          </cell>
          <cell r="N1565">
            <v>44505</v>
          </cell>
          <cell r="O1565">
            <v>44489</v>
          </cell>
          <cell r="P1565">
            <v>44505</v>
          </cell>
          <cell r="Q1565" t="str">
            <v>2021-11-02 → 11/5</v>
          </cell>
          <cell r="R1565" t="str">
            <v>2021-11-02 → 11/5</v>
          </cell>
          <cell r="S1565"/>
          <cell r="T1565">
            <v>44508</v>
          </cell>
          <cell r="U1565">
            <v>44509</v>
          </cell>
          <cell r="V1565">
            <v>44510</v>
          </cell>
          <cell r="W1565">
            <v>44510</v>
          </cell>
          <cell r="X1565">
            <v>41100089</v>
          </cell>
        </row>
        <row r="1566">
          <cell r="K1566" t="str">
            <v>GBWS-1708</v>
          </cell>
          <cell r="L1566">
            <v>44489</v>
          </cell>
          <cell r="M1566">
            <v>44489</v>
          </cell>
          <cell r="N1566">
            <v>44507</v>
          </cell>
          <cell r="O1566">
            <v>44489</v>
          </cell>
          <cell r="P1566">
            <v>44507</v>
          </cell>
          <cell r="Q1566" t="str">
            <v>2021-11-02 → 11/6</v>
          </cell>
          <cell r="R1566" t="str">
            <v>2021-11-02 → 11/6</v>
          </cell>
          <cell r="S1566"/>
          <cell r="T1566">
            <v>44508</v>
          </cell>
          <cell r="U1566">
            <v>44509</v>
          </cell>
          <cell r="V1566">
            <v>44510</v>
          </cell>
          <cell r="W1566">
            <v>44510</v>
          </cell>
          <cell r="X1566">
            <v>41100093</v>
          </cell>
        </row>
        <row r="1567">
          <cell r="K1567" t="str">
            <v>GBWS-1709</v>
          </cell>
          <cell r="L1567">
            <v>44489</v>
          </cell>
          <cell r="M1567">
            <v>44489</v>
          </cell>
          <cell r="N1567">
            <v>44507</v>
          </cell>
          <cell r="O1567">
            <v>44489</v>
          </cell>
          <cell r="P1567">
            <v>44507</v>
          </cell>
          <cell r="Q1567" t="str">
            <v>2021-11-02 → 11/6</v>
          </cell>
          <cell r="R1567" t="str">
            <v>2021-11-02 → 11/6</v>
          </cell>
          <cell r="S1567"/>
          <cell r="T1567">
            <v>44508</v>
          </cell>
          <cell r="U1567">
            <v>44509</v>
          </cell>
          <cell r="V1567">
            <v>44510</v>
          </cell>
          <cell r="W1567">
            <v>44510</v>
          </cell>
          <cell r="X1567">
            <v>41100093</v>
          </cell>
        </row>
        <row r="1568">
          <cell r="K1568" t="str">
            <v>GBWS-1711</v>
          </cell>
          <cell r="L1568">
            <v>44489</v>
          </cell>
          <cell r="M1568">
            <v>44489</v>
          </cell>
          <cell r="N1568">
            <v>44503</v>
          </cell>
          <cell r="O1568">
            <v>44489</v>
          </cell>
          <cell r="P1568">
            <v>44504</v>
          </cell>
          <cell r="Q1568" t="str">
            <v>2021-11-02 → 11/3</v>
          </cell>
          <cell r="R1568" t="str">
            <v>2021-11-02 → 11/3</v>
          </cell>
          <cell r="S1568"/>
          <cell r="T1568">
            <v>44504</v>
          </cell>
          <cell r="U1568">
            <v>44508</v>
          </cell>
          <cell r="V1568">
            <v>44509</v>
          </cell>
          <cell r="W1568">
            <v>44509</v>
          </cell>
          <cell r="X1568">
            <v>41100089</v>
          </cell>
        </row>
        <row r="1569">
          <cell r="K1569" t="str">
            <v>GBWS-1712</v>
          </cell>
          <cell r="L1569">
            <v>44489</v>
          </cell>
          <cell r="M1569">
            <v>44489</v>
          </cell>
          <cell r="N1569">
            <v>44503</v>
          </cell>
          <cell r="O1569">
            <v>44489</v>
          </cell>
          <cell r="P1569">
            <v>44504</v>
          </cell>
          <cell r="Q1569" t="str">
            <v>2021-11-02 → 11/3</v>
          </cell>
          <cell r="R1569" t="str">
            <v>2021-11-02 → 11/3</v>
          </cell>
          <cell r="S1569"/>
          <cell r="T1569">
            <v>44505</v>
          </cell>
          <cell r="U1569">
            <v>44508</v>
          </cell>
          <cell r="V1569">
            <v>44509</v>
          </cell>
          <cell r="W1569">
            <v>44509</v>
          </cell>
          <cell r="X1569">
            <v>41100089</v>
          </cell>
        </row>
        <row r="1570">
          <cell r="K1570" t="str">
            <v xml:space="preserve">GBWS-1720 </v>
          </cell>
          <cell r="L1570">
            <v>44491</v>
          </cell>
          <cell r="M1570">
            <v>44491</v>
          </cell>
          <cell r="N1570">
            <v>44504</v>
          </cell>
          <cell r="O1570">
            <v>44491</v>
          </cell>
          <cell r="P1570">
            <v>44503</v>
          </cell>
          <cell r="Q1570">
            <v>44503</v>
          </cell>
          <cell r="R1570">
            <v>44503</v>
          </cell>
          <cell r="S1570"/>
          <cell r="T1570">
            <v>44504</v>
          </cell>
          <cell r="U1570">
            <v>44505</v>
          </cell>
          <cell r="V1570">
            <v>44508</v>
          </cell>
          <cell r="W1570">
            <v>44508</v>
          </cell>
          <cell r="X1570">
            <v>41100085</v>
          </cell>
        </row>
        <row r="1571">
          <cell r="K1571" t="str">
            <v>GBWS-1721</v>
          </cell>
          <cell r="L1571">
            <v>44491</v>
          </cell>
          <cell r="M1571">
            <v>44491</v>
          </cell>
          <cell r="N1571">
            <v>44504</v>
          </cell>
          <cell r="O1571">
            <v>44491</v>
          </cell>
          <cell r="P1571">
            <v>44503</v>
          </cell>
          <cell r="Q1571">
            <v>44503</v>
          </cell>
          <cell r="R1571">
            <v>44503</v>
          </cell>
          <cell r="S1571"/>
          <cell r="T1571">
            <v>44504</v>
          </cell>
          <cell r="U1571">
            <v>44505</v>
          </cell>
          <cell r="V1571">
            <v>44507</v>
          </cell>
          <cell r="W1571">
            <v>44508</v>
          </cell>
          <cell r="X1571">
            <v>41100085</v>
          </cell>
        </row>
        <row r="1572">
          <cell r="K1572" t="str">
            <v>GBWS-1722</v>
          </cell>
          <cell r="L1572">
            <v>44491</v>
          </cell>
          <cell r="M1572">
            <v>44491</v>
          </cell>
          <cell r="N1572">
            <v>44504</v>
          </cell>
          <cell r="O1572">
            <v>44491</v>
          </cell>
          <cell r="P1572">
            <v>44503</v>
          </cell>
          <cell r="Q1572">
            <v>44503</v>
          </cell>
          <cell r="R1572">
            <v>44503</v>
          </cell>
          <cell r="S1572"/>
          <cell r="T1572">
            <v>44504</v>
          </cell>
          <cell r="U1572">
            <v>44505</v>
          </cell>
          <cell r="V1572">
            <v>44507</v>
          </cell>
          <cell r="W1572">
            <v>44508</v>
          </cell>
          <cell r="X1572">
            <v>41100085</v>
          </cell>
        </row>
        <row r="1573">
          <cell r="K1573" t="str">
            <v>GBWS-1715</v>
          </cell>
          <cell r="L1573">
            <v>44491</v>
          </cell>
          <cell r="M1573">
            <v>44491</v>
          </cell>
          <cell r="N1573">
            <v>44504</v>
          </cell>
          <cell r="O1573">
            <v>44491</v>
          </cell>
          <cell r="P1573">
            <v>44503</v>
          </cell>
          <cell r="Q1573">
            <v>44503</v>
          </cell>
          <cell r="R1573">
            <v>44503</v>
          </cell>
          <cell r="S1573"/>
          <cell r="T1573">
            <v>44504</v>
          </cell>
          <cell r="U1573">
            <v>44505</v>
          </cell>
          <cell r="V1573">
            <v>44507</v>
          </cell>
          <cell r="W1573">
            <v>44508</v>
          </cell>
          <cell r="X1573">
            <v>41100085</v>
          </cell>
        </row>
        <row r="1574">
          <cell r="K1574" t="str">
            <v>GBWS-1716</v>
          </cell>
          <cell r="L1574">
            <v>44491</v>
          </cell>
          <cell r="M1574">
            <v>44491</v>
          </cell>
          <cell r="N1574">
            <v>44504</v>
          </cell>
          <cell r="O1574">
            <v>44491</v>
          </cell>
          <cell r="P1574">
            <v>44503</v>
          </cell>
          <cell r="Q1574">
            <v>44503</v>
          </cell>
          <cell r="R1574">
            <v>44503</v>
          </cell>
          <cell r="S1574"/>
          <cell r="T1574">
            <v>44504</v>
          </cell>
          <cell r="U1574">
            <v>44505</v>
          </cell>
          <cell r="V1574">
            <v>44507</v>
          </cell>
          <cell r="W1574">
            <v>44508</v>
          </cell>
          <cell r="X1574">
            <v>41100085</v>
          </cell>
        </row>
        <row r="1575">
          <cell r="K1575" t="str">
            <v>GBWS-1717</v>
          </cell>
          <cell r="L1575">
            <v>44491</v>
          </cell>
          <cell r="M1575">
            <v>44491</v>
          </cell>
          <cell r="N1575">
            <v>44504</v>
          </cell>
          <cell r="O1575">
            <v>44491</v>
          </cell>
          <cell r="P1575">
            <v>44503</v>
          </cell>
          <cell r="Q1575">
            <v>44503</v>
          </cell>
          <cell r="R1575">
            <v>44503</v>
          </cell>
          <cell r="S1575"/>
          <cell r="T1575">
            <v>44504</v>
          </cell>
          <cell r="U1575">
            <v>44505</v>
          </cell>
          <cell r="V1575">
            <v>44507</v>
          </cell>
          <cell r="W1575">
            <v>44508</v>
          </cell>
          <cell r="X1575">
            <v>41100085</v>
          </cell>
        </row>
        <row r="1576">
          <cell r="K1576" t="str">
            <v>GBWS-1718</v>
          </cell>
          <cell r="L1576">
            <v>44491</v>
          </cell>
          <cell r="M1576">
            <v>44491</v>
          </cell>
          <cell r="N1576">
            <v>44504</v>
          </cell>
          <cell r="O1576">
            <v>44491</v>
          </cell>
          <cell r="P1576">
            <v>44503</v>
          </cell>
          <cell r="Q1576">
            <v>44503</v>
          </cell>
          <cell r="R1576">
            <v>44503</v>
          </cell>
          <cell r="S1576"/>
          <cell r="T1576">
            <v>44504</v>
          </cell>
          <cell r="U1576">
            <v>44505</v>
          </cell>
          <cell r="V1576">
            <v>44508</v>
          </cell>
          <cell r="W1576">
            <v>44508</v>
          </cell>
          <cell r="X1576">
            <v>41100085</v>
          </cell>
        </row>
        <row r="1577">
          <cell r="K1577" t="str">
            <v>GBWS-1719</v>
          </cell>
          <cell r="L1577">
            <v>44491</v>
          </cell>
          <cell r="M1577">
            <v>44491</v>
          </cell>
          <cell r="N1577">
            <v>44504</v>
          </cell>
          <cell r="O1577">
            <v>44491</v>
          </cell>
          <cell r="P1577">
            <v>44503</v>
          </cell>
          <cell r="Q1577">
            <v>44503</v>
          </cell>
          <cell r="R1577">
            <v>44503</v>
          </cell>
          <cell r="S1577"/>
          <cell r="T1577">
            <v>44504</v>
          </cell>
          <cell r="U1577">
            <v>44505</v>
          </cell>
          <cell r="V1577">
            <v>44507</v>
          </cell>
          <cell r="W1577">
            <v>44508</v>
          </cell>
          <cell r="X1577">
            <v>41100085</v>
          </cell>
        </row>
        <row r="1578">
          <cell r="K1578" t="str">
            <v>GBWS-1774</v>
          </cell>
          <cell r="L1578">
            <v>44502</v>
          </cell>
          <cell r="M1578">
            <v>44502</v>
          </cell>
          <cell r="N1578">
            <v>44510</v>
          </cell>
          <cell r="O1578">
            <v>44502</v>
          </cell>
          <cell r="P1578">
            <v>44510</v>
          </cell>
          <cell r="Q1578" t="str">
            <v>2021-11-11 → 11/10</v>
          </cell>
          <cell r="R1578" t="str">
            <v>2021-11-11 → 11/10</v>
          </cell>
          <cell r="S1578"/>
          <cell r="T1578">
            <v>44511</v>
          </cell>
          <cell r="U1578">
            <v>44512</v>
          </cell>
          <cell r="V1578">
            <v>44512</v>
          </cell>
          <cell r="W1578">
            <v>44512</v>
          </cell>
          <cell r="X1578">
            <v>41100086</v>
          </cell>
        </row>
        <row r="1579">
          <cell r="K1579" t="str">
            <v>GBWS-1723</v>
          </cell>
          <cell r="L1579">
            <v>44491</v>
          </cell>
          <cell r="M1579">
            <v>44491</v>
          </cell>
          <cell r="N1579">
            <v>44506</v>
          </cell>
          <cell r="O1579">
            <v>44491</v>
          </cell>
          <cell r="P1579">
            <v>44503</v>
          </cell>
          <cell r="Q1579">
            <v>44503</v>
          </cell>
          <cell r="R1579">
            <v>44503</v>
          </cell>
          <cell r="S1579"/>
          <cell r="T1579">
            <v>44506</v>
          </cell>
          <cell r="U1579">
            <v>44508</v>
          </cell>
          <cell r="V1579">
            <v>44510</v>
          </cell>
          <cell r="W1579">
            <v>44510</v>
          </cell>
          <cell r="X1579">
            <v>41100086</v>
          </cell>
        </row>
        <row r="1580">
          <cell r="K1580" t="str">
            <v>GBWS-1636</v>
          </cell>
          <cell r="L1580">
            <v>44467</v>
          </cell>
          <cell r="M1580">
            <v>44468</v>
          </cell>
          <cell r="N1580">
            <v>44482</v>
          </cell>
          <cell r="O1580">
            <v>44468</v>
          </cell>
          <cell r="P1580">
            <v>44483</v>
          </cell>
          <cell r="Q1580" t="str">
            <v xml:space="preserve">2021-10-13 → 10/14  </v>
          </cell>
          <cell r="R1580" t="str">
            <v xml:space="preserve">2021-10-13 → 10/14  </v>
          </cell>
          <cell r="S1580"/>
          <cell r="T1580">
            <v>44488</v>
          </cell>
          <cell r="U1580">
            <v>44489</v>
          </cell>
          <cell r="V1580">
            <v>44490</v>
          </cell>
          <cell r="W1580">
            <v>44495</v>
          </cell>
          <cell r="X1580">
            <v>41100320</v>
          </cell>
        </row>
        <row r="1581">
          <cell r="K1581" t="str">
            <v>GBWS-1736</v>
          </cell>
          <cell r="L1581">
            <v>44495</v>
          </cell>
          <cell r="M1581">
            <v>44495</v>
          </cell>
          <cell r="N1581">
            <v>44510</v>
          </cell>
          <cell r="O1581">
            <v>44495</v>
          </cell>
          <cell r="P1581">
            <v>44510</v>
          </cell>
          <cell r="Q1581" t="str">
            <v>2021-11-08 → 11/10</v>
          </cell>
          <cell r="R1581" t="str">
            <v>2021-11-08 → 11/10</v>
          </cell>
          <cell r="S1581"/>
          <cell r="T1581">
            <v>44511</v>
          </cell>
          <cell r="U1581">
            <v>44512</v>
          </cell>
          <cell r="V1581">
            <v>44515</v>
          </cell>
          <cell r="W1581">
            <v>44515</v>
          </cell>
          <cell r="X1581">
            <v>41100386</v>
          </cell>
        </row>
        <row r="1582">
          <cell r="K1582" t="str">
            <v>GBWS-1731</v>
          </cell>
          <cell r="L1582">
            <v>44495</v>
          </cell>
          <cell r="M1582">
            <v>44495</v>
          </cell>
          <cell r="N1582">
            <v>44510</v>
          </cell>
          <cell r="O1582">
            <v>44495</v>
          </cell>
          <cell r="P1582">
            <v>44510</v>
          </cell>
          <cell r="Q1582" t="str">
            <v>2021-11-04 → 11/6</v>
          </cell>
          <cell r="R1582" t="str">
            <v>2021-11-04 → 11/6</v>
          </cell>
          <cell r="S1582"/>
          <cell r="T1582">
            <v>44511</v>
          </cell>
          <cell r="U1582">
            <v>44512</v>
          </cell>
          <cell r="V1582">
            <v>44515</v>
          </cell>
          <cell r="W1582">
            <v>44515</v>
          </cell>
          <cell r="X1582">
            <v>41100386</v>
          </cell>
        </row>
        <row r="1583">
          <cell r="K1583" t="str">
            <v>GBWS-1732</v>
          </cell>
          <cell r="L1583">
            <v>44495</v>
          </cell>
          <cell r="M1583">
            <v>44495</v>
          </cell>
          <cell r="N1583">
            <v>44510</v>
          </cell>
          <cell r="O1583">
            <v>44495</v>
          </cell>
          <cell r="P1583">
            <v>44510</v>
          </cell>
          <cell r="Q1583" t="str">
            <v>2021-11-04 → 11/6</v>
          </cell>
          <cell r="R1583" t="str">
            <v>2021-11-04 → 11/6</v>
          </cell>
          <cell r="S1583"/>
          <cell r="T1583">
            <v>44511</v>
          </cell>
          <cell r="U1583">
            <v>44512</v>
          </cell>
          <cell r="V1583">
            <v>44515</v>
          </cell>
          <cell r="W1583">
            <v>44515</v>
          </cell>
          <cell r="X1583">
            <v>41100386</v>
          </cell>
        </row>
        <row r="1584">
          <cell r="K1584" t="str">
            <v>GBWS-1733</v>
          </cell>
          <cell r="L1584">
            <v>44495</v>
          </cell>
          <cell r="M1584">
            <v>44495</v>
          </cell>
          <cell r="N1584">
            <v>44510</v>
          </cell>
          <cell r="O1584">
            <v>44495</v>
          </cell>
          <cell r="P1584">
            <v>44510</v>
          </cell>
          <cell r="Q1584" t="str">
            <v>2021-11-04 → 11/6</v>
          </cell>
          <cell r="R1584" t="str">
            <v>2021-11-04 → 11/6</v>
          </cell>
          <cell r="S1584"/>
          <cell r="T1584">
            <v>44511</v>
          </cell>
          <cell r="U1584">
            <v>44512</v>
          </cell>
          <cell r="V1584">
            <v>44515</v>
          </cell>
          <cell r="W1584">
            <v>44515</v>
          </cell>
          <cell r="X1584">
            <v>41100386</v>
          </cell>
        </row>
        <row r="1585">
          <cell r="K1585" t="str">
            <v>GBWS-1735</v>
          </cell>
          <cell r="L1585">
            <v>44495</v>
          </cell>
          <cell r="M1585">
            <v>44495</v>
          </cell>
          <cell r="N1585">
            <v>44510</v>
          </cell>
          <cell r="O1585">
            <v>44495</v>
          </cell>
          <cell r="P1585">
            <v>44511</v>
          </cell>
          <cell r="Q1585" t="str">
            <v>2021-11-08 → 11/10</v>
          </cell>
          <cell r="R1585" t="str">
            <v>2021-11-08 → 11/10</v>
          </cell>
          <cell r="S1585"/>
          <cell r="T1585">
            <v>44511</v>
          </cell>
          <cell r="U1585">
            <v>44512</v>
          </cell>
          <cell r="V1585">
            <v>44515</v>
          </cell>
          <cell r="W1585">
            <v>44515</v>
          </cell>
          <cell r="X1585">
            <v>41100406</v>
          </cell>
        </row>
        <row r="1586">
          <cell r="K1586" t="str">
            <v>GBWS-1726</v>
          </cell>
          <cell r="L1586">
            <v>44495</v>
          </cell>
          <cell r="M1586">
            <v>44495</v>
          </cell>
          <cell r="N1586">
            <v>44508</v>
          </cell>
          <cell r="O1586">
            <v>44495</v>
          </cell>
          <cell r="P1586">
            <v>44509</v>
          </cell>
          <cell r="Q1586" t="str">
            <v>2021-11-08 → 11/9</v>
          </cell>
          <cell r="R1586" t="str">
            <v>2021-11-08 → 11/9</v>
          </cell>
          <cell r="S1586"/>
          <cell r="T1586">
            <v>44510</v>
          </cell>
          <cell r="U1586">
            <v>44511</v>
          </cell>
          <cell r="V1586">
            <v>44512</v>
          </cell>
          <cell r="W1586">
            <v>44515</v>
          </cell>
          <cell r="X1586">
            <v>41100407</v>
          </cell>
        </row>
        <row r="1587">
          <cell r="K1587" t="str">
            <v>GBWS-1727</v>
          </cell>
          <cell r="L1587">
            <v>44495</v>
          </cell>
          <cell r="M1587">
            <v>44495</v>
          </cell>
          <cell r="N1587">
            <v>44508</v>
          </cell>
          <cell r="O1587">
            <v>44495</v>
          </cell>
          <cell r="P1587">
            <v>44509</v>
          </cell>
          <cell r="Q1587" t="str">
            <v>2021-11-08 → 11/9</v>
          </cell>
          <cell r="R1587" t="str">
            <v>2021-11-08 → 11/9</v>
          </cell>
          <cell r="S1587"/>
          <cell r="T1587">
            <v>44510</v>
          </cell>
          <cell r="U1587">
            <v>44511</v>
          </cell>
          <cell r="V1587">
            <v>44512</v>
          </cell>
          <cell r="W1587">
            <v>44512</v>
          </cell>
          <cell r="X1587">
            <v>41100408</v>
          </cell>
        </row>
        <row r="1588">
          <cell r="K1588" t="str">
            <v>GBWS-1728</v>
          </cell>
          <cell r="L1588">
            <v>44495</v>
          </cell>
          <cell r="M1588">
            <v>44495</v>
          </cell>
          <cell r="N1588">
            <v>44508</v>
          </cell>
          <cell r="O1588">
            <v>44495</v>
          </cell>
          <cell r="P1588">
            <v>44509</v>
          </cell>
          <cell r="Q1588" t="str">
            <v>2021-11-08 → 11/9</v>
          </cell>
          <cell r="R1588" t="str">
            <v>2021-11-08 → 11/9</v>
          </cell>
          <cell r="S1588"/>
          <cell r="T1588">
            <v>44510</v>
          </cell>
          <cell r="U1588">
            <v>44511</v>
          </cell>
          <cell r="V1588">
            <v>44512</v>
          </cell>
          <cell r="W1588">
            <v>44512</v>
          </cell>
          <cell r="X1588">
            <v>41100408</v>
          </cell>
        </row>
        <row r="1589">
          <cell r="K1589" t="str">
            <v>GBWS-1746</v>
          </cell>
          <cell r="L1589">
            <v>44496</v>
          </cell>
          <cell r="M1589">
            <v>44496</v>
          </cell>
          <cell r="N1589">
            <v>44508</v>
          </cell>
          <cell r="O1589">
            <v>44496</v>
          </cell>
          <cell r="P1589">
            <v>44509</v>
          </cell>
          <cell r="Q1589" t="str">
            <v>2021-11-05 → 11/8</v>
          </cell>
          <cell r="R1589" t="str">
            <v>2021-11-05 → 11/8</v>
          </cell>
          <cell r="S1589"/>
          <cell r="T1589">
            <v>44509</v>
          </cell>
          <cell r="U1589">
            <v>44510</v>
          </cell>
          <cell r="V1589">
            <v>44511</v>
          </cell>
          <cell r="W1589">
            <v>44511</v>
          </cell>
          <cell r="X1589">
            <v>41100320</v>
          </cell>
        </row>
        <row r="1590">
          <cell r="K1590" t="str">
            <v>GBWS-1747</v>
          </cell>
          <cell r="L1590">
            <v>44496</v>
          </cell>
          <cell r="M1590">
            <v>44496</v>
          </cell>
          <cell r="N1590">
            <v>44508</v>
          </cell>
          <cell r="O1590">
            <v>44496</v>
          </cell>
          <cell r="P1590">
            <v>44509</v>
          </cell>
          <cell r="Q1590" t="str">
            <v>2021-11-05 → 11/8</v>
          </cell>
          <cell r="R1590" t="str">
            <v>2021-11-05 → 11/8</v>
          </cell>
          <cell r="S1590"/>
          <cell r="T1590">
            <v>44509</v>
          </cell>
          <cell r="U1590">
            <v>44510</v>
          </cell>
          <cell r="V1590">
            <v>44511</v>
          </cell>
          <cell r="W1590">
            <v>44511</v>
          </cell>
          <cell r="X1590">
            <v>41100320</v>
          </cell>
        </row>
        <row r="1591">
          <cell r="K1591" t="str">
            <v>GBWS-1749</v>
          </cell>
          <cell r="L1591">
            <v>44496</v>
          </cell>
          <cell r="M1591">
            <v>44496</v>
          </cell>
          <cell r="N1591">
            <v>44508</v>
          </cell>
          <cell r="O1591">
            <v>44496</v>
          </cell>
          <cell r="P1591">
            <v>44509</v>
          </cell>
          <cell r="Q1591">
            <v>44508</v>
          </cell>
          <cell r="R1591">
            <v>44508</v>
          </cell>
          <cell r="S1591"/>
          <cell r="T1591">
            <v>44509</v>
          </cell>
          <cell r="U1591">
            <v>44510</v>
          </cell>
          <cell r="V1591">
            <v>44511</v>
          </cell>
          <cell r="W1591">
            <v>44512</v>
          </cell>
          <cell r="X1591">
            <v>41100326</v>
          </cell>
        </row>
        <row r="1592">
          <cell r="K1592" t="str">
            <v>GBWS-1750</v>
          </cell>
          <cell r="L1592">
            <v>44496</v>
          </cell>
          <cell r="M1592">
            <v>44496</v>
          </cell>
          <cell r="N1592">
            <v>44509</v>
          </cell>
          <cell r="O1592">
            <v>44496</v>
          </cell>
          <cell r="P1592">
            <v>44509</v>
          </cell>
          <cell r="Q1592" t="str">
            <v>2021-11-05 → 11/8</v>
          </cell>
          <cell r="R1592" t="str">
            <v>2021-11-05 → 11/8</v>
          </cell>
          <cell r="S1592"/>
          <cell r="T1592">
            <v>44509</v>
          </cell>
          <cell r="U1592">
            <v>44511</v>
          </cell>
          <cell r="V1592">
            <v>44512</v>
          </cell>
          <cell r="W1592">
            <v>44512</v>
          </cell>
          <cell r="X1592">
            <v>41100334</v>
          </cell>
        </row>
        <row r="1593">
          <cell r="K1593" t="str">
            <v>DBW-2459</v>
          </cell>
          <cell r="L1593">
            <v>44502</v>
          </cell>
          <cell r="M1593">
            <v>44502</v>
          </cell>
          <cell r="N1593">
            <v>44511</v>
          </cell>
          <cell r="O1593">
            <v>44502</v>
          </cell>
          <cell r="P1593">
            <v>44512</v>
          </cell>
          <cell r="Q1593" t="str">
            <v>2021-11-11 → 11/12(오전 I/O)</v>
          </cell>
          <cell r="R1593" t="str">
            <v>2021-11-11 → 11/12(오전 I/O)</v>
          </cell>
          <cell r="S1593"/>
          <cell r="T1593">
            <v>44512</v>
          </cell>
          <cell r="U1593">
            <v>44515</v>
          </cell>
          <cell r="V1593">
            <v>44515</v>
          </cell>
          <cell r="W1593">
            <v>44515</v>
          </cell>
          <cell r="X1593">
            <v>41100310</v>
          </cell>
        </row>
        <row r="1594">
          <cell r="K1594" t="str">
            <v>DBW-2460</v>
          </cell>
          <cell r="L1594">
            <v>44502</v>
          </cell>
          <cell r="M1594">
            <v>44502</v>
          </cell>
          <cell r="N1594">
            <v>44511</v>
          </cell>
          <cell r="O1594">
            <v>44502</v>
          </cell>
          <cell r="P1594">
            <v>44512</v>
          </cell>
          <cell r="Q1594" t="str">
            <v>2021-11-11 → 11/12(오전 I/O)</v>
          </cell>
          <cell r="R1594" t="str">
            <v>2021-11-11 → 11/12(오전 I/O)</v>
          </cell>
          <cell r="S1594"/>
          <cell r="T1594">
            <v>44512</v>
          </cell>
          <cell r="U1594">
            <v>44515</v>
          </cell>
          <cell r="V1594">
            <v>44515</v>
          </cell>
          <cell r="W1594">
            <v>44515</v>
          </cell>
          <cell r="X1594">
            <v>41100310</v>
          </cell>
        </row>
        <row r="1595">
          <cell r="K1595" t="str">
            <v>GBWS-1261</v>
          </cell>
          <cell r="L1595">
            <v>44341</v>
          </cell>
          <cell r="M1595">
            <v>44341</v>
          </cell>
          <cell r="N1595">
            <v>44358</v>
          </cell>
          <cell r="O1595">
            <v>44341</v>
          </cell>
          <cell r="P1595">
            <v>44358</v>
          </cell>
          <cell r="Q1595" t="str">
            <v>6/9 → 6/10</v>
          </cell>
          <cell r="R1595" t="str">
            <v>6/9 → 6/10</v>
          </cell>
          <cell r="S1595"/>
          <cell r="T1595">
            <v>44362</v>
          </cell>
          <cell r="U1595">
            <v>44365</v>
          </cell>
          <cell r="V1595">
            <v>44368</v>
          </cell>
          <cell r="W1595">
            <v>44368</v>
          </cell>
          <cell r="X1595">
            <v>41100264</v>
          </cell>
        </row>
        <row r="1596">
          <cell r="K1596" t="str">
            <v>GBWS-1262</v>
          </cell>
          <cell r="L1596">
            <v>44341</v>
          </cell>
          <cell r="M1596">
            <v>44341</v>
          </cell>
          <cell r="N1596">
            <v>44358</v>
          </cell>
          <cell r="O1596">
            <v>44341</v>
          </cell>
          <cell r="P1596">
            <v>44358</v>
          </cell>
          <cell r="Q1596" t="str">
            <v>6/9 → 6/10</v>
          </cell>
          <cell r="R1596" t="str">
            <v>6/9 → 6/10</v>
          </cell>
          <cell r="S1596"/>
          <cell r="T1596">
            <v>44362</v>
          </cell>
          <cell r="U1596">
            <v>44365</v>
          </cell>
          <cell r="V1596">
            <v>44368</v>
          </cell>
          <cell r="W1596">
            <v>44368</v>
          </cell>
          <cell r="X1596">
            <v>41100264</v>
          </cell>
        </row>
        <row r="1597">
          <cell r="K1597" t="str">
            <v>GBWS-1441</v>
          </cell>
          <cell r="L1597">
            <v>44391</v>
          </cell>
          <cell r="M1597">
            <v>44392</v>
          </cell>
          <cell r="N1597">
            <v>44405</v>
          </cell>
          <cell r="O1597">
            <v>44392</v>
          </cell>
          <cell r="P1597">
            <v>44404</v>
          </cell>
          <cell r="Q1597">
            <v>44404</v>
          </cell>
          <cell r="R1597">
            <v>44404</v>
          </cell>
          <cell r="S1597"/>
          <cell r="T1597">
            <v>44406</v>
          </cell>
          <cell r="U1597">
            <v>44410</v>
          </cell>
          <cell r="V1597">
            <v>44412</v>
          </cell>
          <cell r="W1597">
            <v>44412</v>
          </cell>
          <cell r="X1597">
            <v>41100224</v>
          </cell>
        </row>
        <row r="1598">
          <cell r="K1598" t="str">
            <v>GBWS-1442</v>
          </cell>
          <cell r="L1598">
            <v>44391</v>
          </cell>
          <cell r="M1598">
            <v>44392</v>
          </cell>
          <cell r="N1598">
            <v>44405</v>
          </cell>
          <cell r="O1598">
            <v>44392</v>
          </cell>
          <cell r="P1598">
            <v>44404</v>
          </cell>
          <cell r="Q1598">
            <v>44404</v>
          </cell>
          <cell r="R1598">
            <v>44404</v>
          </cell>
          <cell r="S1598"/>
          <cell r="T1598">
            <v>44406</v>
          </cell>
          <cell r="U1598">
            <v>44410</v>
          </cell>
          <cell r="V1598">
            <v>44412</v>
          </cell>
          <cell r="W1598">
            <v>44412</v>
          </cell>
          <cell r="X1598">
            <v>41100224</v>
          </cell>
        </row>
        <row r="1599">
          <cell r="K1599" t="str">
            <v>GBWS-1525</v>
          </cell>
          <cell r="L1599">
            <v>44432</v>
          </cell>
          <cell r="M1599">
            <v>44432</v>
          </cell>
          <cell r="N1599">
            <v>44444</v>
          </cell>
          <cell r="O1599">
            <v>44432</v>
          </cell>
          <cell r="P1599">
            <v>44445</v>
          </cell>
          <cell r="Q1599">
            <v>44445</v>
          </cell>
          <cell r="R1599">
            <v>44445</v>
          </cell>
          <cell r="S1599"/>
          <cell r="T1599">
            <v>44446</v>
          </cell>
          <cell r="U1599">
            <v>44447</v>
          </cell>
          <cell r="V1599">
            <v>44448</v>
          </cell>
          <cell r="W1599">
            <v>44448</v>
          </cell>
          <cell r="X1599">
            <v>41100224</v>
          </cell>
        </row>
        <row r="1600">
          <cell r="K1600" t="str">
            <v>GBWS-1526</v>
          </cell>
          <cell r="L1600">
            <v>44432</v>
          </cell>
          <cell r="M1600">
            <v>44432</v>
          </cell>
          <cell r="N1600">
            <v>44444</v>
          </cell>
          <cell r="O1600">
            <v>44432</v>
          </cell>
          <cell r="P1600">
            <v>44445</v>
          </cell>
          <cell r="Q1600">
            <v>44445</v>
          </cell>
          <cell r="R1600">
            <v>44445</v>
          </cell>
          <cell r="S1600"/>
          <cell r="T1600">
            <v>44446</v>
          </cell>
          <cell r="U1600">
            <v>44447</v>
          </cell>
          <cell r="V1600">
            <v>44448</v>
          </cell>
          <cell r="W1600">
            <v>44448</v>
          </cell>
          <cell r="X1600">
            <v>41100224</v>
          </cell>
        </row>
        <row r="1601">
          <cell r="K1601" t="str">
            <v>GBWS-1621</v>
          </cell>
          <cell r="L1601">
            <v>44454</v>
          </cell>
          <cell r="M1601">
            <v>44455</v>
          </cell>
          <cell r="N1601">
            <v>44474</v>
          </cell>
          <cell r="O1601">
            <v>44455</v>
          </cell>
          <cell r="P1601">
            <v>44474</v>
          </cell>
          <cell r="Q1601">
            <v>44473</v>
          </cell>
          <cell r="R1601">
            <v>44473</v>
          </cell>
          <cell r="S1601"/>
          <cell r="T1601">
            <v>44475</v>
          </cell>
          <cell r="U1601">
            <v>44476</v>
          </cell>
          <cell r="V1601">
            <v>44477</v>
          </cell>
          <cell r="W1601">
            <v>44477</v>
          </cell>
          <cell r="X1601">
            <v>41100224</v>
          </cell>
        </row>
        <row r="1602">
          <cell r="K1602" t="str">
            <v>GBWS-1622</v>
          </cell>
          <cell r="L1602">
            <v>44454</v>
          </cell>
          <cell r="M1602">
            <v>44455</v>
          </cell>
          <cell r="N1602">
            <v>44474</v>
          </cell>
          <cell r="O1602">
            <v>44455</v>
          </cell>
          <cell r="P1602">
            <v>44474</v>
          </cell>
          <cell r="Q1602">
            <v>44473</v>
          </cell>
          <cell r="R1602">
            <v>44473</v>
          </cell>
          <cell r="S1602"/>
          <cell r="T1602">
            <v>44475</v>
          </cell>
          <cell r="U1602">
            <v>44476</v>
          </cell>
          <cell r="V1602">
            <v>44477</v>
          </cell>
          <cell r="W1602">
            <v>44477</v>
          </cell>
          <cell r="X1602">
            <v>41100224</v>
          </cell>
        </row>
        <row r="1603">
          <cell r="K1603" t="str">
            <v>SOS-0255</v>
          </cell>
          <cell r="L1603">
            <v>44503</v>
          </cell>
          <cell r="M1603">
            <v>44503</v>
          </cell>
          <cell r="N1603">
            <v>44508</v>
          </cell>
          <cell r="O1603">
            <v>44503</v>
          </cell>
          <cell r="P1603">
            <v>44509</v>
          </cell>
          <cell r="Q1603">
            <v>44505</v>
          </cell>
          <cell r="R1603">
            <v>44505</v>
          </cell>
          <cell r="S1603"/>
          <cell r="T1603">
            <v>44509</v>
          </cell>
          <cell r="U1603">
            <v>44511</v>
          </cell>
          <cell r="V1603">
            <v>44512</v>
          </cell>
          <cell r="W1603">
            <v>44515</v>
          </cell>
          <cell r="X1603">
            <v>41100182</v>
          </cell>
        </row>
        <row r="1604">
          <cell r="K1604" t="str">
            <v>SOS-0256</v>
          </cell>
          <cell r="L1604">
            <v>44503</v>
          </cell>
          <cell r="M1604">
            <v>44503</v>
          </cell>
          <cell r="N1604">
            <v>44508</v>
          </cell>
          <cell r="O1604">
            <v>44503</v>
          </cell>
          <cell r="P1604">
            <v>44509</v>
          </cell>
          <cell r="Q1604">
            <v>44505</v>
          </cell>
          <cell r="R1604">
            <v>44505</v>
          </cell>
          <cell r="S1604"/>
          <cell r="T1604">
            <v>44509</v>
          </cell>
          <cell r="U1604">
            <v>44511</v>
          </cell>
          <cell r="V1604">
            <v>44512</v>
          </cell>
          <cell r="W1604">
            <v>44515</v>
          </cell>
          <cell r="X1604">
            <v>41100182</v>
          </cell>
        </row>
        <row r="1605">
          <cell r="K1605" t="str">
            <v xml:space="preserve"> -</v>
          </cell>
          <cell r="L1605" t="str">
            <v xml:space="preserve"> -</v>
          </cell>
          <cell r="M1605">
            <v>44508</v>
          </cell>
          <cell r="N1605">
            <v>44512</v>
          </cell>
          <cell r="O1605">
            <v>44508</v>
          </cell>
          <cell r="P1605" t="str">
            <v xml:space="preserve"> -</v>
          </cell>
          <cell r="Q1605">
            <v>44511</v>
          </cell>
          <cell r="R1605">
            <v>44511</v>
          </cell>
          <cell r="S1605"/>
          <cell r="T1605"/>
          <cell r="U1605"/>
          <cell r="V1605"/>
          <cell r="W1605"/>
          <cell r="X1605">
            <v>31101808</v>
          </cell>
        </row>
        <row r="1606">
          <cell r="K1606" t="str">
            <v>GBWS-1599</v>
          </cell>
          <cell r="L1606">
            <v>44452</v>
          </cell>
          <cell r="M1606">
            <v>44453</v>
          </cell>
          <cell r="N1606">
            <v>44468</v>
          </cell>
          <cell r="O1606">
            <v>44453</v>
          </cell>
          <cell r="P1606">
            <v>44469</v>
          </cell>
          <cell r="Q1606">
            <v>44470</v>
          </cell>
          <cell r="R1606">
            <v>44470</v>
          </cell>
          <cell r="S1606"/>
          <cell r="T1606">
            <v>44474</v>
          </cell>
          <cell r="U1606">
            <v>44477</v>
          </cell>
          <cell r="V1606">
            <v>44480</v>
          </cell>
          <cell r="W1606">
            <v>44480</v>
          </cell>
          <cell r="X1606">
            <v>41100313</v>
          </cell>
        </row>
        <row r="1607">
          <cell r="K1607" t="str">
            <v>GBWS-1755</v>
          </cell>
          <cell r="L1607">
            <v>44497</v>
          </cell>
          <cell r="M1607">
            <v>44497</v>
          </cell>
          <cell r="N1607">
            <v>44510</v>
          </cell>
          <cell r="O1607">
            <v>44497</v>
          </cell>
          <cell r="P1607">
            <v>44510</v>
          </cell>
          <cell r="Q1607">
            <v>44509</v>
          </cell>
          <cell r="R1607">
            <v>44509</v>
          </cell>
          <cell r="S1607"/>
          <cell r="T1607">
            <v>44512</v>
          </cell>
          <cell r="U1607">
            <v>44512</v>
          </cell>
          <cell r="V1607">
            <v>44512</v>
          </cell>
          <cell r="W1607">
            <v>44512</v>
          </cell>
          <cell r="X1607">
            <v>41100314</v>
          </cell>
        </row>
        <row r="1608">
          <cell r="K1608" t="str">
            <v>GBWS-1756</v>
          </cell>
          <cell r="L1608">
            <v>44497</v>
          </cell>
          <cell r="M1608">
            <v>44497</v>
          </cell>
          <cell r="N1608">
            <v>44510</v>
          </cell>
          <cell r="O1608">
            <v>44497</v>
          </cell>
          <cell r="P1608">
            <v>44510</v>
          </cell>
          <cell r="Q1608">
            <v>44509</v>
          </cell>
          <cell r="R1608">
            <v>44509</v>
          </cell>
          <cell r="S1608"/>
          <cell r="T1608">
            <v>44512</v>
          </cell>
          <cell r="U1608">
            <v>44516</v>
          </cell>
          <cell r="V1608">
            <v>44517</v>
          </cell>
          <cell r="W1608">
            <v>44517</v>
          </cell>
          <cell r="X1608">
            <v>41100314</v>
          </cell>
        </row>
        <row r="1609">
          <cell r="K1609" t="str">
            <v>GBWS-1757</v>
          </cell>
          <cell r="L1609">
            <v>44497</v>
          </cell>
          <cell r="M1609">
            <v>44497</v>
          </cell>
          <cell r="N1609">
            <v>44510</v>
          </cell>
          <cell r="O1609">
            <v>44497</v>
          </cell>
          <cell r="P1609">
            <v>44510</v>
          </cell>
          <cell r="Q1609">
            <v>44509</v>
          </cell>
          <cell r="R1609">
            <v>44509</v>
          </cell>
          <cell r="S1609"/>
          <cell r="T1609">
            <v>44512</v>
          </cell>
          <cell r="U1609">
            <v>44516</v>
          </cell>
          <cell r="V1609">
            <v>44517</v>
          </cell>
          <cell r="W1609">
            <v>44517</v>
          </cell>
          <cell r="X1609">
            <v>41100314</v>
          </cell>
        </row>
        <row r="1610">
          <cell r="K1610" t="str">
            <v>GBWS-1758</v>
          </cell>
          <cell r="L1610">
            <v>44497</v>
          </cell>
          <cell r="M1610">
            <v>44497</v>
          </cell>
          <cell r="N1610">
            <v>44515</v>
          </cell>
          <cell r="O1610">
            <v>44497</v>
          </cell>
          <cell r="P1610">
            <v>44515</v>
          </cell>
          <cell r="Q1610" t="str">
            <v>2021-11-09 → 11/11 → 11/13</v>
          </cell>
          <cell r="R1610" t="str">
            <v>2021-11-09 → 11/11 → 11/13</v>
          </cell>
          <cell r="S1610"/>
          <cell r="T1610">
            <v>44516</v>
          </cell>
          <cell r="U1610">
            <v>44516</v>
          </cell>
          <cell r="V1610">
            <v>44517</v>
          </cell>
          <cell r="W1610">
            <v>44517</v>
          </cell>
          <cell r="X1610">
            <v>41100315</v>
          </cell>
        </row>
        <row r="1611">
          <cell r="K1611" t="str">
            <v>GBWS-1759</v>
          </cell>
          <cell r="L1611">
            <v>44497</v>
          </cell>
          <cell r="M1611">
            <v>44497</v>
          </cell>
          <cell r="N1611">
            <v>44515</v>
          </cell>
          <cell r="O1611">
            <v>44497</v>
          </cell>
          <cell r="P1611">
            <v>44515</v>
          </cell>
          <cell r="Q1611" t="str">
            <v>2021-11-09 → 11/11 → 11/13</v>
          </cell>
          <cell r="R1611" t="str">
            <v>2021-11-09 → 11/11 → 11/13</v>
          </cell>
          <cell r="S1611"/>
          <cell r="T1611">
            <v>44516</v>
          </cell>
          <cell r="U1611">
            <v>44516</v>
          </cell>
          <cell r="V1611">
            <v>44517</v>
          </cell>
          <cell r="W1611">
            <v>44517</v>
          </cell>
          <cell r="X1611">
            <v>41100315</v>
          </cell>
        </row>
        <row r="1612">
          <cell r="K1612" t="str">
            <v>GBWS-1760</v>
          </cell>
          <cell r="L1612">
            <v>44497</v>
          </cell>
          <cell r="M1612">
            <v>44497</v>
          </cell>
          <cell r="N1612">
            <v>44515</v>
          </cell>
          <cell r="O1612">
            <v>44497</v>
          </cell>
          <cell r="P1612">
            <v>44515</v>
          </cell>
          <cell r="Q1612" t="str">
            <v>2021-11-09 → 11/11 → 11/13</v>
          </cell>
          <cell r="R1612" t="str">
            <v>2021-11-09 → 11/11 → 11/13</v>
          </cell>
          <cell r="S1612"/>
          <cell r="T1612">
            <v>44516</v>
          </cell>
          <cell r="U1612">
            <v>44516</v>
          </cell>
          <cell r="V1612">
            <v>44517</v>
          </cell>
          <cell r="W1612">
            <v>44517</v>
          </cell>
          <cell r="X1612">
            <v>41100315</v>
          </cell>
        </row>
        <row r="1613">
          <cell r="K1613" t="str">
            <v>GBWS-1761</v>
          </cell>
          <cell r="L1613">
            <v>44497</v>
          </cell>
          <cell r="M1613">
            <v>44497</v>
          </cell>
          <cell r="N1613">
            <v>44515</v>
          </cell>
          <cell r="O1613">
            <v>44497</v>
          </cell>
          <cell r="P1613">
            <v>44515</v>
          </cell>
          <cell r="Q1613" t="str">
            <v>2021-11-09 → 11/11 → 11/13</v>
          </cell>
          <cell r="R1613" t="str">
            <v>2021-11-09 → 11/11 → 11/13</v>
          </cell>
          <cell r="S1613"/>
          <cell r="T1613">
            <v>44516</v>
          </cell>
          <cell r="U1613">
            <v>44517</v>
          </cell>
          <cell r="V1613">
            <v>44517</v>
          </cell>
          <cell r="W1613">
            <v>44517</v>
          </cell>
          <cell r="X1613">
            <v>41100315</v>
          </cell>
        </row>
        <row r="1614">
          <cell r="K1614" t="str">
            <v>GBWS-1762</v>
          </cell>
          <cell r="L1614">
            <v>44497</v>
          </cell>
          <cell r="M1614">
            <v>44497</v>
          </cell>
          <cell r="N1614">
            <v>44515</v>
          </cell>
          <cell r="O1614">
            <v>44497</v>
          </cell>
          <cell r="P1614">
            <v>44515</v>
          </cell>
          <cell r="Q1614" t="str">
            <v>2021-11-09 → 11/11 → 11/13</v>
          </cell>
          <cell r="R1614" t="str">
            <v>2021-11-09 → 11/11 → 11/13</v>
          </cell>
          <cell r="S1614"/>
          <cell r="T1614">
            <v>44516</v>
          </cell>
          <cell r="U1614">
            <v>44517</v>
          </cell>
          <cell r="V1614">
            <v>44517</v>
          </cell>
          <cell r="W1614">
            <v>44517</v>
          </cell>
          <cell r="X1614">
            <v>41100315</v>
          </cell>
        </row>
        <row r="1615">
          <cell r="K1615" t="str">
            <v>GBWS-1753</v>
          </cell>
          <cell r="L1615">
            <v>44497</v>
          </cell>
          <cell r="M1615">
            <v>44497</v>
          </cell>
          <cell r="N1615">
            <v>44510</v>
          </cell>
          <cell r="O1615">
            <v>44497</v>
          </cell>
          <cell r="P1615">
            <v>44510</v>
          </cell>
          <cell r="Q1615">
            <v>44509</v>
          </cell>
          <cell r="R1615">
            <v>44509</v>
          </cell>
          <cell r="S1615"/>
          <cell r="T1615">
            <v>44510</v>
          </cell>
          <cell r="U1615">
            <v>44511</v>
          </cell>
          <cell r="V1615">
            <v>44512</v>
          </cell>
          <cell r="W1615">
            <v>44512</v>
          </cell>
          <cell r="X1615">
            <v>41100313</v>
          </cell>
        </row>
        <row r="1616">
          <cell r="K1616" t="str">
            <v>DBW-2377</v>
          </cell>
          <cell r="L1616">
            <v>44439</v>
          </cell>
          <cell r="M1616">
            <v>44439</v>
          </cell>
          <cell r="N1616">
            <v>44454</v>
          </cell>
          <cell r="O1616">
            <v>44439</v>
          </cell>
          <cell r="P1616">
            <v>44454</v>
          </cell>
          <cell r="Q1616" t="str">
            <v>2021-09-08 → 9/12</v>
          </cell>
          <cell r="R1616" t="str">
            <v>2021-09-08 → 9/12</v>
          </cell>
          <cell r="S1616"/>
          <cell r="T1616">
            <v>44454</v>
          </cell>
          <cell r="U1616">
            <v>44469</v>
          </cell>
          <cell r="V1616">
            <v>44470</v>
          </cell>
          <cell r="W1616">
            <v>44470</v>
          </cell>
          <cell r="X1616">
            <v>41100394</v>
          </cell>
        </row>
        <row r="1617">
          <cell r="K1617" t="str">
            <v xml:space="preserve">GBWS-1695 </v>
          </cell>
          <cell r="L1617">
            <v>44487</v>
          </cell>
          <cell r="M1617">
            <v>44487</v>
          </cell>
          <cell r="N1617">
            <v>44498</v>
          </cell>
          <cell r="O1617">
            <v>44487</v>
          </cell>
          <cell r="P1617">
            <v>44498</v>
          </cell>
          <cell r="Q1617">
            <v>44497</v>
          </cell>
          <cell r="R1617">
            <v>44497</v>
          </cell>
          <cell r="S1617"/>
          <cell r="T1617">
            <v>44501</v>
          </cell>
          <cell r="U1617">
            <v>44502</v>
          </cell>
          <cell r="V1617">
            <v>44502</v>
          </cell>
          <cell r="W1617">
            <v>44503</v>
          </cell>
          <cell r="X1617">
            <v>41100293</v>
          </cell>
        </row>
        <row r="1618">
          <cell r="K1618" t="str">
            <v>DS-0338~0346</v>
          </cell>
          <cell r="L1618"/>
          <cell r="M1618">
            <v>44495</v>
          </cell>
          <cell r="N1618">
            <v>44515</v>
          </cell>
          <cell r="O1618">
            <v>44495</v>
          </cell>
          <cell r="P1618" t="str">
            <v xml:space="preserve"> -</v>
          </cell>
          <cell r="Q1618">
            <v>44495</v>
          </cell>
          <cell r="R1618">
            <v>44495</v>
          </cell>
          <cell r="S1618"/>
          <cell r="T1618" t="str">
            <v xml:space="preserve"> -</v>
          </cell>
          <cell r="U1618" t="str">
            <v xml:space="preserve"> -</v>
          </cell>
          <cell r="V1618">
            <v>44508</v>
          </cell>
          <cell r="W1618">
            <v>44508</v>
          </cell>
          <cell r="X1618">
            <v>31010315</v>
          </cell>
        </row>
        <row r="1619">
          <cell r="K1619" t="str">
            <v>DS-0347~0356</v>
          </cell>
          <cell r="L1619"/>
          <cell r="M1619">
            <v>44495</v>
          </cell>
          <cell r="N1619">
            <v>44501</v>
          </cell>
          <cell r="O1619">
            <v>44495</v>
          </cell>
          <cell r="P1619" t="str">
            <v xml:space="preserve"> -</v>
          </cell>
          <cell r="Q1619">
            <v>44495</v>
          </cell>
          <cell r="R1619">
            <v>44495</v>
          </cell>
          <cell r="S1619"/>
          <cell r="T1619" t="str">
            <v xml:space="preserve"> -</v>
          </cell>
          <cell r="U1619" t="str">
            <v xml:space="preserve"> -</v>
          </cell>
          <cell r="V1619">
            <v>44502</v>
          </cell>
          <cell r="W1619">
            <v>44502</v>
          </cell>
          <cell r="X1619">
            <v>31010314</v>
          </cell>
        </row>
        <row r="1620">
          <cell r="K1620" t="str">
            <v>GBWS-1745</v>
          </cell>
          <cell r="L1620">
            <v>44496</v>
          </cell>
          <cell r="M1620">
            <v>44496</v>
          </cell>
          <cell r="N1620">
            <v>44509</v>
          </cell>
          <cell r="O1620">
            <v>44496</v>
          </cell>
          <cell r="P1620">
            <v>44509</v>
          </cell>
          <cell r="Q1620" t="str">
            <v>2021-11-05 → 11/8</v>
          </cell>
          <cell r="R1620" t="str">
            <v>2021-11-05 → 11/8</v>
          </cell>
          <cell r="S1620"/>
          <cell r="T1620">
            <v>44509</v>
          </cell>
          <cell r="U1620">
            <v>44511</v>
          </cell>
          <cell r="V1620">
            <v>44512</v>
          </cell>
          <cell r="W1620">
            <v>44512</v>
          </cell>
          <cell r="X1620">
            <v>41100318</v>
          </cell>
        </row>
        <row r="1621">
          <cell r="K1621" t="str">
            <v>GBWS-1751</v>
          </cell>
          <cell r="L1621">
            <v>44496</v>
          </cell>
          <cell r="M1621">
            <v>44496</v>
          </cell>
          <cell r="N1621">
            <v>44509</v>
          </cell>
          <cell r="O1621">
            <v>44496</v>
          </cell>
          <cell r="P1621">
            <v>44509</v>
          </cell>
          <cell r="Q1621">
            <v>44508</v>
          </cell>
          <cell r="R1621">
            <v>44508</v>
          </cell>
          <cell r="S1621"/>
          <cell r="T1621">
            <v>44510</v>
          </cell>
          <cell r="U1621">
            <v>44511</v>
          </cell>
          <cell r="V1621">
            <v>44512</v>
          </cell>
          <cell r="W1621">
            <v>44512</v>
          </cell>
          <cell r="X1621">
            <v>41100317</v>
          </cell>
        </row>
        <row r="1622">
          <cell r="K1622" t="str">
            <v>GBWS-1776</v>
          </cell>
          <cell r="L1622">
            <v>44503</v>
          </cell>
          <cell r="M1622">
            <v>44503</v>
          </cell>
          <cell r="N1622">
            <v>44516</v>
          </cell>
          <cell r="O1622">
            <v>44503</v>
          </cell>
          <cell r="P1622">
            <v>44516</v>
          </cell>
          <cell r="Q1622">
            <v>44515</v>
          </cell>
          <cell r="R1622">
            <v>44515</v>
          </cell>
          <cell r="S1622"/>
          <cell r="T1622">
            <v>44516</v>
          </cell>
          <cell r="U1622">
            <v>44518</v>
          </cell>
          <cell r="V1622">
            <v>44518</v>
          </cell>
          <cell r="W1622">
            <v>44518</v>
          </cell>
          <cell r="X1622">
            <v>41100320</v>
          </cell>
        </row>
        <row r="1623">
          <cell r="K1623" t="str">
            <v>GBWS-1748</v>
          </cell>
          <cell r="L1623">
            <v>44496</v>
          </cell>
          <cell r="M1623">
            <v>44496</v>
          </cell>
          <cell r="N1623">
            <v>44509</v>
          </cell>
          <cell r="O1623">
            <v>44496</v>
          </cell>
          <cell r="P1623">
            <v>44509</v>
          </cell>
          <cell r="Q1623" t="str">
            <v>2021-11-05 → 11/8</v>
          </cell>
          <cell r="R1623" t="str">
            <v>2021-11-05 → 11/8</v>
          </cell>
          <cell r="S1623"/>
          <cell r="T1623">
            <v>44509</v>
          </cell>
          <cell r="U1623">
            <v>44510</v>
          </cell>
          <cell r="V1623">
            <v>44511</v>
          </cell>
          <cell r="W1623">
            <v>44512</v>
          </cell>
          <cell r="X1623">
            <v>41100320</v>
          </cell>
        </row>
        <row r="1624">
          <cell r="K1624" t="str">
            <v>GBWS-1461</v>
          </cell>
          <cell r="L1624">
            <v>44397</v>
          </cell>
          <cell r="M1624">
            <v>44398</v>
          </cell>
          <cell r="N1624">
            <v>44412</v>
          </cell>
          <cell r="O1624">
            <v>44398</v>
          </cell>
          <cell r="P1624">
            <v>44411</v>
          </cell>
          <cell r="Q1624" t="str">
            <v>8/3 → 8/5</v>
          </cell>
          <cell r="R1624" t="str">
            <v>8/3 → 8/5</v>
          </cell>
          <cell r="S1624"/>
          <cell r="T1624">
            <v>44417</v>
          </cell>
          <cell r="U1624">
            <v>44425</v>
          </cell>
          <cell r="V1624">
            <v>44426</v>
          </cell>
          <cell r="W1624">
            <v>44426</v>
          </cell>
          <cell r="X1624">
            <v>41100356</v>
          </cell>
        </row>
        <row r="1625">
          <cell r="K1625" t="str">
            <v>GPWS-0202</v>
          </cell>
          <cell r="L1625">
            <v>44489</v>
          </cell>
          <cell r="M1625">
            <v>44489</v>
          </cell>
          <cell r="N1625">
            <v>44505</v>
          </cell>
          <cell r="O1625">
            <v>44489</v>
          </cell>
          <cell r="P1625">
            <v>44508</v>
          </cell>
          <cell r="Q1625" t="str">
            <v>2021-11-01 → 11/8</v>
          </cell>
          <cell r="R1625" t="str">
            <v>2021-11-01 → 11/8</v>
          </cell>
          <cell r="S1625"/>
          <cell r="T1625">
            <v>44509</v>
          </cell>
          <cell r="U1625">
            <v>44515</v>
          </cell>
          <cell r="V1625">
            <v>44518</v>
          </cell>
          <cell r="W1625">
            <v>44518</v>
          </cell>
          <cell r="X1625">
            <v>41100064</v>
          </cell>
        </row>
        <row r="1626">
          <cell r="K1626" t="str">
            <v>GPWS-0203</v>
          </cell>
          <cell r="L1626">
            <v>44489</v>
          </cell>
          <cell r="M1626">
            <v>44489</v>
          </cell>
          <cell r="N1626">
            <v>44505</v>
          </cell>
          <cell r="O1626">
            <v>44489</v>
          </cell>
          <cell r="P1626">
            <v>44508</v>
          </cell>
          <cell r="Q1626" t="str">
            <v>2021-11-01 → 11/8</v>
          </cell>
          <cell r="R1626" t="str">
            <v>2021-11-01 → 11/8</v>
          </cell>
          <cell r="S1626"/>
          <cell r="T1626">
            <v>44509</v>
          </cell>
          <cell r="U1626">
            <v>44515</v>
          </cell>
          <cell r="V1626">
            <v>44518</v>
          </cell>
          <cell r="W1626">
            <v>44518</v>
          </cell>
          <cell r="X1626">
            <v>41100064</v>
          </cell>
        </row>
        <row r="1627">
          <cell r="K1627" t="str">
            <v>GPWS-0204</v>
          </cell>
          <cell r="L1627">
            <v>44489</v>
          </cell>
          <cell r="M1627">
            <v>44489</v>
          </cell>
          <cell r="N1627">
            <v>44505</v>
          </cell>
          <cell r="O1627">
            <v>44489</v>
          </cell>
          <cell r="P1627">
            <v>44508</v>
          </cell>
          <cell r="Q1627" t="str">
            <v>2021-11-01 → 11/8</v>
          </cell>
          <cell r="R1627" t="str">
            <v>2021-11-01 → 11/8</v>
          </cell>
          <cell r="S1627"/>
          <cell r="T1627">
            <v>44509</v>
          </cell>
          <cell r="U1627">
            <v>44515</v>
          </cell>
          <cell r="V1627">
            <v>44518</v>
          </cell>
          <cell r="W1627">
            <v>44518</v>
          </cell>
          <cell r="X1627">
            <v>41100064</v>
          </cell>
        </row>
        <row r="1628">
          <cell r="K1628" t="str">
            <v>GBWS-1710</v>
          </cell>
          <cell r="L1628">
            <v>44489</v>
          </cell>
          <cell r="M1628">
            <v>44489</v>
          </cell>
          <cell r="N1628">
            <v>44507</v>
          </cell>
          <cell r="O1628">
            <v>44489</v>
          </cell>
          <cell r="P1628">
            <v>44507</v>
          </cell>
          <cell r="Q1628" t="str">
            <v>2021-11-02 → 11/6</v>
          </cell>
          <cell r="R1628" t="str">
            <v>2021-11-02 → 11/6</v>
          </cell>
          <cell r="S1628"/>
          <cell r="T1628">
            <v>44508</v>
          </cell>
          <cell r="U1628">
            <v>44509</v>
          </cell>
          <cell r="V1628">
            <v>44510</v>
          </cell>
          <cell r="W1628">
            <v>44510</v>
          </cell>
          <cell r="X1628">
            <v>41100093</v>
          </cell>
        </row>
        <row r="1629">
          <cell r="K1629" t="str">
            <v>GBWS-1764</v>
          </cell>
          <cell r="L1629">
            <v>44502</v>
          </cell>
          <cell r="M1629">
            <v>44502</v>
          </cell>
          <cell r="N1629">
            <v>44515</v>
          </cell>
          <cell r="O1629">
            <v>44502</v>
          </cell>
          <cell r="P1629">
            <v>44515</v>
          </cell>
          <cell r="Q1629" t="str">
            <v>2021-11-12 → 11/13</v>
          </cell>
          <cell r="R1629" t="str">
            <v>2021-11-12 → 11/13</v>
          </cell>
          <cell r="S1629"/>
          <cell r="T1629">
            <v>44515</v>
          </cell>
          <cell r="U1629">
            <v>44518</v>
          </cell>
          <cell r="V1629">
            <v>44519</v>
          </cell>
          <cell r="W1629">
            <v>44519</v>
          </cell>
          <cell r="X1629">
            <v>41100090</v>
          </cell>
        </row>
        <row r="1630">
          <cell r="K1630" t="str">
            <v>GBWS-1765</v>
          </cell>
          <cell r="L1630">
            <v>44502</v>
          </cell>
          <cell r="M1630">
            <v>44502</v>
          </cell>
          <cell r="N1630">
            <v>44515</v>
          </cell>
          <cell r="O1630">
            <v>44502</v>
          </cell>
          <cell r="P1630">
            <v>44515</v>
          </cell>
          <cell r="Q1630" t="str">
            <v>2021-11-12 → 11/13</v>
          </cell>
          <cell r="R1630" t="str">
            <v>2021-11-12 → 11/13</v>
          </cell>
          <cell r="S1630"/>
          <cell r="T1630">
            <v>44515</v>
          </cell>
          <cell r="U1630">
            <v>44518</v>
          </cell>
          <cell r="V1630">
            <v>44519</v>
          </cell>
          <cell r="W1630">
            <v>44519</v>
          </cell>
          <cell r="X1630">
            <v>41100090</v>
          </cell>
        </row>
        <row r="1631">
          <cell r="K1631" t="str">
            <v>GBWS-1766</v>
          </cell>
          <cell r="L1631">
            <v>44502</v>
          </cell>
          <cell r="M1631">
            <v>44502</v>
          </cell>
          <cell r="N1631">
            <v>44512</v>
          </cell>
          <cell r="O1631">
            <v>44502</v>
          </cell>
          <cell r="P1631">
            <v>44515</v>
          </cell>
          <cell r="Q1631" t="str">
            <v>2021-11-10 → 11/12</v>
          </cell>
          <cell r="R1631" t="str">
            <v>2021-11-10 → 11/12</v>
          </cell>
          <cell r="S1631"/>
          <cell r="T1631">
            <v>44515</v>
          </cell>
          <cell r="U1631">
            <v>44517</v>
          </cell>
          <cell r="V1631">
            <v>44518</v>
          </cell>
          <cell r="W1631">
            <v>44518</v>
          </cell>
          <cell r="X1631">
            <v>41100087</v>
          </cell>
        </row>
        <row r="1632">
          <cell r="K1632" t="str">
            <v>GBWS-1767</v>
          </cell>
          <cell r="L1632">
            <v>44502</v>
          </cell>
          <cell r="M1632">
            <v>44502</v>
          </cell>
          <cell r="N1632">
            <v>44512</v>
          </cell>
          <cell r="O1632">
            <v>44502</v>
          </cell>
          <cell r="P1632">
            <v>44515</v>
          </cell>
          <cell r="Q1632" t="str">
            <v>2021-11-10 → 11/12</v>
          </cell>
          <cell r="R1632" t="str">
            <v>2021-11-10 → 11/12</v>
          </cell>
          <cell r="S1632"/>
          <cell r="T1632">
            <v>44515</v>
          </cell>
          <cell r="U1632">
            <v>44517</v>
          </cell>
          <cell r="V1632">
            <v>44518</v>
          </cell>
          <cell r="W1632">
            <v>44518</v>
          </cell>
          <cell r="X1632">
            <v>41100087</v>
          </cell>
        </row>
        <row r="1633">
          <cell r="K1633" t="str">
            <v>GBWS-1768</v>
          </cell>
          <cell r="L1633">
            <v>44502</v>
          </cell>
          <cell r="M1633">
            <v>44502</v>
          </cell>
          <cell r="N1633">
            <v>44512</v>
          </cell>
          <cell r="O1633">
            <v>44502</v>
          </cell>
          <cell r="P1633">
            <v>44515</v>
          </cell>
          <cell r="Q1633" t="str">
            <v>2021-11-10 → 11/12</v>
          </cell>
          <cell r="R1633" t="str">
            <v>2021-11-10 → 11/12</v>
          </cell>
          <cell r="S1633"/>
          <cell r="T1633">
            <v>44515</v>
          </cell>
          <cell r="U1633">
            <v>44517</v>
          </cell>
          <cell r="V1633">
            <v>44518</v>
          </cell>
          <cell r="W1633">
            <v>44518</v>
          </cell>
          <cell r="X1633">
            <v>41100087</v>
          </cell>
        </row>
        <row r="1634">
          <cell r="K1634" t="str">
            <v>GBWS-1769</v>
          </cell>
          <cell r="L1634">
            <v>44502</v>
          </cell>
          <cell r="M1634">
            <v>44502</v>
          </cell>
          <cell r="N1634">
            <v>44512</v>
          </cell>
          <cell r="O1634">
            <v>44502</v>
          </cell>
          <cell r="P1634">
            <v>44515</v>
          </cell>
          <cell r="Q1634" t="str">
            <v>2021-11-10 → 11/12</v>
          </cell>
          <cell r="R1634" t="str">
            <v>2021-11-10 → 11/12</v>
          </cell>
          <cell r="S1634"/>
          <cell r="T1634">
            <v>44515</v>
          </cell>
          <cell r="U1634">
            <v>44516</v>
          </cell>
          <cell r="V1634">
            <v>44517</v>
          </cell>
          <cell r="W1634">
            <v>44517</v>
          </cell>
          <cell r="X1634">
            <v>41100087</v>
          </cell>
        </row>
        <row r="1635">
          <cell r="K1635" t="str">
            <v>GBWS-1889</v>
          </cell>
          <cell r="L1635">
            <v>44502</v>
          </cell>
          <cell r="M1635">
            <v>44502</v>
          </cell>
          <cell r="N1635">
            <v>44515</v>
          </cell>
          <cell r="O1635">
            <v>44502</v>
          </cell>
          <cell r="P1635">
            <v>44515</v>
          </cell>
          <cell r="Q1635" t="str">
            <v>2021-11-12 → 11/13</v>
          </cell>
          <cell r="R1635" t="str">
            <v>2021-11-12 → 11/13</v>
          </cell>
          <cell r="S1635"/>
          <cell r="T1635">
            <v>44515</v>
          </cell>
          <cell r="U1635">
            <v>44517</v>
          </cell>
          <cell r="V1635">
            <v>44518</v>
          </cell>
          <cell r="W1635">
            <v>44518</v>
          </cell>
          <cell r="X1635">
            <v>41100089</v>
          </cell>
        </row>
        <row r="1636">
          <cell r="K1636" t="str">
            <v>GBWS-1775</v>
          </cell>
          <cell r="L1636">
            <v>44502</v>
          </cell>
          <cell r="M1636">
            <v>44502</v>
          </cell>
          <cell r="N1636">
            <v>44510</v>
          </cell>
          <cell r="O1636">
            <v>44502</v>
          </cell>
          <cell r="P1636">
            <v>44510</v>
          </cell>
          <cell r="Q1636" t="str">
            <v>2021-11-11 → 11/10</v>
          </cell>
          <cell r="R1636" t="str">
            <v>2021-11-11 → 11/10</v>
          </cell>
          <cell r="S1636"/>
          <cell r="T1636">
            <v>44511</v>
          </cell>
          <cell r="U1636">
            <v>44512</v>
          </cell>
          <cell r="V1636">
            <v>44512</v>
          </cell>
          <cell r="W1636">
            <v>44512</v>
          </cell>
          <cell r="X1636">
            <v>41100086</v>
          </cell>
        </row>
        <row r="1637">
          <cell r="K1637" t="str">
            <v>GBWS-1770</v>
          </cell>
          <cell r="L1637">
            <v>44502</v>
          </cell>
          <cell r="M1637">
            <v>44502</v>
          </cell>
          <cell r="N1637">
            <v>44511</v>
          </cell>
          <cell r="O1637">
            <v>44502</v>
          </cell>
          <cell r="P1637">
            <v>44511</v>
          </cell>
          <cell r="Q1637">
            <v>44511</v>
          </cell>
          <cell r="R1637">
            <v>44511</v>
          </cell>
          <cell r="S1637"/>
          <cell r="T1637">
            <v>44512</v>
          </cell>
          <cell r="U1637">
            <v>44515</v>
          </cell>
          <cell r="V1637">
            <v>44517</v>
          </cell>
          <cell r="W1637">
            <v>44517</v>
          </cell>
          <cell r="X1637">
            <v>41100085</v>
          </cell>
        </row>
        <row r="1638">
          <cell r="K1638" t="str">
            <v>GBWS-1771</v>
          </cell>
          <cell r="L1638">
            <v>44502</v>
          </cell>
          <cell r="M1638">
            <v>44502</v>
          </cell>
          <cell r="N1638">
            <v>44511</v>
          </cell>
          <cell r="O1638">
            <v>44502</v>
          </cell>
          <cell r="P1638">
            <v>44511</v>
          </cell>
          <cell r="Q1638">
            <v>44511</v>
          </cell>
          <cell r="R1638">
            <v>44511</v>
          </cell>
          <cell r="S1638"/>
          <cell r="T1638">
            <v>44512</v>
          </cell>
          <cell r="U1638">
            <v>44515</v>
          </cell>
          <cell r="V1638">
            <v>44517</v>
          </cell>
          <cell r="W1638">
            <v>44517</v>
          </cell>
          <cell r="X1638">
            <v>41100085</v>
          </cell>
        </row>
        <row r="1639">
          <cell r="K1639" t="str">
            <v>GBWS-1772</v>
          </cell>
          <cell r="L1639">
            <v>44502</v>
          </cell>
          <cell r="M1639">
            <v>44502</v>
          </cell>
          <cell r="N1639">
            <v>44511</v>
          </cell>
          <cell r="O1639">
            <v>44502</v>
          </cell>
          <cell r="P1639">
            <v>44511</v>
          </cell>
          <cell r="Q1639">
            <v>44511</v>
          </cell>
          <cell r="R1639">
            <v>44511</v>
          </cell>
          <cell r="S1639"/>
          <cell r="T1639">
            <v>44512</v>
          </cell>
          <cell r="U1639">
            <v>44515</v>
          </cell>
          <cell r="V1639">
            <v>44517</v>
          </cell>
          <cell r="W1639">
            <v>44517</v>
          </cell>
          <cell r="X1639">
            <v>41100085</v>
          </cell>
        </row>
        <row r="1640">
          <cell r="K1640" t="str">
            <v>GBWS-1773</v>
          </cell>
          <cell r="L1640">
            <v>44502</v>
          </cell>
          <cell r="M1640">
            <v>44502</v>
          </cell>
          <cell r="N1640">
            <v>44511</v>
          </cell>
          <cell r="O1640">
            <v>44502</v>
          </cell>
          <cell r="P1640">
            <v>44511</v>
          </cell>
          <cell r="Q1640">
            <v>44511</v>
          </cell>
          <cell r="R1640">
            <v>44511</v>
          </cell>
          <cell r="S1640"/>
          <cell r="T1640">
            <v>44512</v>
          </cell>
          <cell r="U1640">
            <v>44517</v>
          </cell>
          <cell r="V1640">
            <v>44518</v>
          </cell>
          <cell r="W1640">
            <v>44518</v>
          </cell>
          <cell r="X1640">
            <v>41100085</v>
          </cell>
        </row>
        <row r="1641">
          <cell r="K1641" t="str">
            <v>DBW-2457</v>
          </cell>
          <cell r="L1641">
            <v>44502</v>
          </cell>
          <cell r="M1641">
            <v>44502</v>
          </cell>
          <cell r="N1641">
            <v>44511</v>
          </cell>
          <cell r="O1641">
            <v>44502</v>
          </cell>
          <cell r="P1641">
            <v>44512</v>
          </cell>
          <cell r="Q1641" t="str">
            <v>2021-11-11 → 11/12(오전 I/O)</v>
          </cell>
          <cell r="R1641" t="str">
            <v>2021-11-11 → 11/12(오전 I/O)</v>
          </cell>
          <cell r="S1641"/>
          <cell r="T1641">
            <v>44515</v>
          </cell>
          <cell r="U1641">
            <v>44517</v>
          </cell>
          <cell r="V1641">
            <v>44518</v>
          </cell>
          <cell r="W1641">
            <v>44518</v>
          </cell>
          <cell r="X1641">
            <v>41100099</v>
          </cell>
        </row>
        <row r="1642">
          <cell r="K1642" t="str">
            <v>DBW-2468</v>
          </cell>
          <cell r="L1642">
            <v>44508</v>
          </cell>
          <cell r="M1642">
            <v>44508</v>
          </cell>
          <cell r="N1642">
            <v>44518</v>
          </cell>
          <cell r="O1642">
            <v>44508</v>
          </cell>
          <cell r="P1642">
            <v>44518</v>
          </cell>
          <cell r="Q1642" t="str">
            <v>2021-11-16 → 11/17  → 11/18(오전)</v>
          </cell>
          <cell r="R1642" t="str">
            <v>2021-11-16 → 11/17  → 11/18(오전)</v>
          </cell>
          <cell r="S1642"/>
          <cell r="T1642">
            <v>44518</v>
          </cell>
          <cell r="U1642">
            <v>44519</v>
          </cell>
          <cell r="V1642">
            <v>44522</v>
          </cell>
          <cell r="W1642">
            <v>44522</v>
          </cell>
          <cell r="X1642">
            <v>41100174</v>
          </cell>
        </row>
        <row r="1643">
          <cell r="K1643" t="str">
            <v>GBWS-1789</v>
          </cell>
          <cell r="L1643">
            <v>44504</v>
          </cell>
          <cell r="M1643">
            <v>44504</v>
          </cell>
          <cell r="N1643">
            <v>44516</v>
          </cell>
          <cell r="O1643">
            <v>44504</v>
          </cell>
          <cell r="P1643">
            <v>44516</v>
          </cell>
          <cell r="Q1643">
            <v>44515</v>
          </cell>
          <cell r="R1643">
            <v>44515</v>
          </cell>
          <cell r="S1643"/>
          <cell r="T1643">
            <v>44516</v>
          </cell>
          <cell r="U1643">
            <v>44517</v>
          </cell>
          <cell r="V1643">
            <v>44519</v>
          </cell>
          <cell r="W1643">
            <v>44519</v>
          </cell>
          <cell r="X1643">
            <v>41100085</v>
          </cell>
        </row>
        <row r="1644">
          <cell r="K1644" t="str">
            <v>GBWS-1790</v>
          </cell>
          <cell r="L1644">
            <v>44504</v>
          </cell>
          <cell r="M1644">
            <v>44504</v>
          </cell>
          <cell r="N1644">
            <v>44516</v>
          </cell>
          <cell r="O1644">
            <v>44504</v>
          </cell>
          <cell r="P1644">
            <v>44516</v>
          </cell>
          <cell r="Q1644">
            <v>44515</v>
          </cell>
          <cell r="R1644">
            <v>44515</v>
          </cell>
          <cell r="S1644"/>
          <cell r="T1644">
            <v>44516</v>
          </cell>
          <cell r="U1644">
            <v>44517</v>
          </cell>
          <cell r="V1644">
            <v>44519</v>
          </cell>
          <cell r="W1644">
            <v>44519</v>
          </cell>
          <cell r="X1644">
            <v>41100085</v>
          </cell>
        </row>
        <row r="1645">
          <cell r="K1645" t="str">
            <v>GBWS-1791</v>
          </cell>
          <cell r="L1645">
            <v>44504</v>
          </cell>
          <cell r="M1645">
            <v>44504</v>
          </cell>
          <cell r="N1645">
            <v>44516</v>
          </cell>
          <cell r="O1645">
            <v>44504</v>
          </cell>
          <cell r="P1645">
            <v>44516</v>
          </cell>
          <cell r="Q1645">
            <v>44515</v>
          </cell>
          <cell r="R1645">
            <v>44515</v>
          </cell>
          <cell r="S1645"/>
          <cell r="T1645">
            <v>44516</v>
          </cell>
          <cell r="U1645">
            <v>44517</v>
          </cell>
          <cell r="V1645">
            <v>44519</v>
          </cell>
          <cell r="W1645">
            <v>44519</v>
          </cell>
          <cell r="X1645">
            <v>41100085</v>
          </cell>
        </row>
        <row r="1646">
          <cell r="K1646" t="str">
            <v>DBW-2381</v>
          </cell>
          <cell r="L1646">
            <v>44445</v>
          </cell>
          <cell r="M1646">
            <v>44445</v>
          </cell>
          <cell r="N1646">
            <v>44462</v>
          </cell>
          <cell r="O1646">
            <v>44445</v>
          </cell>
          <cell r="P1646">
            <v>44462</v>
          </cell>
          <cell r="Q1646" t="str">
            <v>2021-09-14 → 9/17</v>
          </cell>
          <cell r="R1646" t="str">
            <v>2021-09-14 → 9/17</v>
          </cell>
          <cell r="S1646"/>
          <cell r="T1646">
            <v>44462</v>
          </cell>
          <cell r="U1646">
            <v>44463</v>
          </cell>
          <cell r="V1646">
            <v>44466</v>
          </cell>
          <cell r="W1646">
            <v>44466</v>
          </cell>
          <cell r="X1646" t="str">
            <v>41100174 → 41100256</v>
          </cell>
        </row>
        <row r="1647">
          <cell r="K1647"/>
          <cell r="L1647"/>
          <cell r="M1647">
            <v>44509</v>
          </cell>
          <cell r="N1647">
            <v>44516</v>
          </cell>
          <cell r="O1647">
            <v>44509</v>
          </cell>
          <cell r="P1647">
            <v>44516</v>
          </cell>
          <cell r="Q1647">
            <v>44515</v>
          </cell>
          <cell r="R1647">
            <v>44515</v>
          </cell>
          <cell r="S1647"/>
          <cell r="T1647">
            <v>44517</v>
          </cell>
          <cell r="U1647">
            <v>44518</v>
          </cell>
          <cell r="V1647">
            <v>44522</v>
          </cell>
          <cell r="W1647">
            <v>44522</v>
          </cell>
          <cell r="X1647"/>
        </row>
        <row r="1648">
          <cell r="K1648" t="str">
            <v>DBW-2382</v>
          </cell>
          <cell r="L1648">
            <v>44445</v>
          </cell>
          <cell r="M1648">
            <v>44445</v>
          </cell>
          <cell r="N1648">
            <v>44462</v>
          </cell>
          <cell r="O1648">
            <v>44445</v>
          </cell>
          <cell r="P1648">
            <v>44462</v>
          </cell>
          <cell r="Q1648" t="str">
            <v>2021-09-14 → 9/17</v>
          </cell>
          <cell r="R1648" t="str">
            <v>2021-09-14 → 9/17</v>
          </cell>
          <cell r="S1648"/>
          <cell r="T1648">
            <v>44463</v>
          </cell>
          <cell r="U1648">
            <v>44463</v>
          </cell>
          <cell r="V1648">
            <v>44466</v>
          </cell>
          <cell r="W1648">
            <v>44466</v>
          </cell>
          <cell r="X1648" t="str">
            <v>41100174 → 41100256</v>
          </cell>
        </row>
        <row r="1649">
          <cell r="K1649"/>
          <cell r="L1649"/>
          <cell r="M1649">
            <v>44509</v>
          </cell>
          <cell r="N1649">
            <v>44516</v>
          </cell>
          <cell r="O1649">
            <v>44509</v>
          </cell>
          <cell r="P1649">
            <v>44516</v>
          </cell>
          <cell r="Q1649">
            <v>44515</v>
          </cell>
          <cell r="R1649">
            <v>44515</v>
          </cell>
          <cell r="S1649"/>
          <cell r="T1649">
            <v>44517</v>
          </cell>
          <cell r="U1649">
            <v>44518</v>
          </cell>
          <cell r="V1649">
            <v>44522</v>
          </cell>
          <cell r="W1649">
            <v>44522</v>
          </cell>
          <cell r="X1649"/>
        </row>
        <row r="1650">
          <cell r="K1650" t="str">
            <v>GBWS-1763</v>
          </cell>
          <cell r="L1650">
            <v>44498</v>
          </cell>
          <cell r="M1650">
            <v>44498</v>
          </cell>
          <cell r="N1650">
            <v>44511</v>
          </cell>
          <cell r="O1650">
            <v>44498</v>
          </cell>
          <cell r="P1650">
            <v>44511</v>
          </cell>
          <cell r="Q1650">
            <v>44511</v>
          </cell>
          <cell r="R1650">
            <v>44511</v>
          </cell>
          <cell r="S1650"/>
          <cell r="T1650">
            <v>44512</v>
          </cell>
          <cell r="U1650">
            <v>44516</v>
          </cell>
          <cell r="V1650">
            <v>44517</v>
          </cell>
          <cell r="W1650">
            <v>44517</v>
          </cell>
          <cell r="X1650">
            <v>41100296</v>
          </cell>
        </row>
        <row r="1651">
          <cell r="K1651" t="str">
            <v>MMD-0034</v>
          </cell>
          <cell r="L1651">
            <v>44498</v>
          </cell>
          <cell r="M1651">
            <v>44498</v>
          </cell>
          <cell r="N1651">
            <v>44511</v>
          </cell>
          <cell r="O1651">
            <v>44498</v>
          </cell>
          <cell r="P1651">
            <v>44511</v>
          </cell>
          <cell r="Q1651">
            <v>44511</v>
          </cell>
          <cell r="R1651">
            <v>44511</v>
          </cell>
          <cell r="S1651"/>
          <cell r="T1651">
            <v>44512</v>
          </cell>
          <cell r="U1651">
            <v>44522</v>
          </cell>
          <cell r="V1651">
            <v>44522</v>
          </cell>
          <cell r="W1651">
            <v>44522</v>
          </cell>
          <cell r="X1651">
            <v>31101262</v>
          </cell>
        </row>
        <row r="1652">
          <cell r="K1652" t="str">
            <v>GBWS-1792</v>
          </cell>
          <cell r="L1652">
            <v>44504</v>
          </cell>
          <cell r="M1652">
            <v>44504</v>
          </cell>
          <cell r="N1652">
            <v>44518</v>
          </cell>
          <cell r="O1652">
            <v>44504</v>
          </cell>
          <cell r="P1652">
            <v>44517</v>
          </cell>
          <cell r="Q1652" t="str">
            <v>2021-11-16 → 11/18</v>
          </cell>
          <cell r="R1652" t="str">
            <v>2021-11-16 → 11/18</v>
          </cell>
          <cell r="S1652"/>
          <cell r="T1652">
            <v>44519</v>
          </cell>
          <cell r="U1652">
            <v>44522</v>
          </cell>
          <cell r="V1652">
            <v>44523</v>
          </cell>
          <cell r="W1652">
            <v>44523</v>
          </cell>
          <cell r="X1652">
            <v>41100315</v>
          </cell>
        </row>
        <row r="1653">
          <cell r="K1653" t="str">
            <v>GBWS-1793</v>
          </cell>
          <cell r="L1653">
            <v>44504</v>
          </cell>
          <cell r="M1653">
            <v>44504</v>
          </cell>
          <cell r="N1653">
            <v>44518</v>
          </cell>
          <cell r="O1653">
            <v>44504</v>
          </cell>
          <cell r="P1653">
            <v>44517</v>
          </cell>
          <cell r="Q1653" t="str">
            <v>2021-11-16 → 11/18</v>
          </cell>
          <cell r="R1653" t="str">
            <v>2021-11-16 → 11/18</v>
          </cell>
          <cell r="S1653"/>
          <cell r="T1653">
            <v>44519</v>
          </cell>
          <cell r="U1653">
            <v>44522</v>
          </cell>
          <cell r="V1653">
            <v>44522</v>
          </cell>
          <cell r="W1653">
            <v>44523</v>
          </cell>
          <cell r="X1653">
            <v>41100315</v>
          </cell>
        </row>
        <row r="1654">
          <cell r="K1654" t="str">
            <v>GBWS-1794</v>
          </cell>
          <cell r="L1654">
            <v>44504</v>
          </cell>
          <cell r="M1654">
            <v>44504</v>
          </cell>
          <cell r="N1654">
            <v>44518</v>
          </cell>
          <cell r="O1654">
            <v>44504</v>
          </cell>
          <cell r="P1654">
            <v>44517</v>
          </cell>
          <cell r="Q1654" t="str">
            <v>2021-11-16 → 11/18</v>
          </cell>
          <cell r="R1654" t="str">
            <v>2021-11-16 → 11/18</v>
          </cell>
          <cell r="S1654"/>
          <cell r="T1654">
            <v>44519</v>
          </cell>
          <cell r="U1654">
            <v>44522</v>
          </cell>
          <cell r="V1654">
            <v>44523</v>
          </cell>
          <cell r="W1654">
            <v>44523</v>
          </cell>
          <cell r="X1654">
            <v>41100315</v>
          </cell>
        </row>
        <row r="1655">
          <cell r="K1655" t="str">
            <v>GBWS-1795</v>
          </cell>
          <cell r="L1655">
            <v>44504</v>
          </cell>
          <cell r="M1655">
            <v>44504</v>
          </cell>
          <cell r="N1655">
            <v>44518</v>
          </cell>
          <cell r="O1655">
            <v>44504</v>
          </cell>
          <cell r="P1655">
            <v>44518</v>
          </cell>
          <cell r="Q1655" t="str">
            <v>2021-11-16 → 11/17 → 11/18</v>
          </cell>
          <cell r="R1655" t="str">
            <v>2021-11-16 → 11/17 → 11/18</v>
          </cell>
          <cell r="S1655"/>
          <cell r="T1655">
            <v>44519</v>
          </cell>
          <cell r="U1655">
            <v>44522</v>
          </cell>
          <cell r="V1655">
            <v>44523</v>
          </cell>
          <cell r="W1655">
            <v>44523</v>
          </cell>
          <cell r="X1655">
            <v>41100331</v>
          </cell>
        </row>
        <row r="1656">
          <cell r="K1656" t="str">
            <v>GBWS-1796</v>
          </cell>
          <cell r="L1656">
            <v>44504</v>
          </cell>
          <cell r="M1656">
            <v>44504</v>
          </cell>
          <cell r="N1656">
            <v>44518</v>
          </cell>
          <cell r="O1656">
            <v>44504</v>
          </cell>
          <cell r="P1656">
            <v>44518</v>
          </cell>
          <cell r="Q1656" t="str">
            <v>2021-11-16 → 11/17 → 11/18</v>
          </cell>
          <cell r="R1656" t="str">
            <v>2021-11-16 → 11/17 → 11/18</v>
          </cell>
          <cell r="S1656"/>
          <cell r="T1656">
            <v>44519</v>
          </cell>
          <cell r="U1656">
            <v>44522</v>
          </cell>
          <cell r="V1656">
            <v>44522</v>
          </cell>
          <cell r="W1656">
            <v>44523</v>
          </cell>
          <cell r="X1656">
            <v>41100331</v>
          </cell>
        </row>
        <row r="1657">
          <cell r="K1657" t="str">
            <v>GBWS-1797</v>
          </cell>
          <cell r="L1657">
            <v>44504</v>
          </cell>
          <cell r="M1657">
            <v>44504</v>
          </cell>
          <cell r="N1657">
            <v>44518</v>
          </cell>
          <cell r="O1657">
            <v>44504</v>
          </cell>
          <cell r="P1657">
            <v>44518</v>
          </cell>
          <cell r="Q1657" t="str">
            <v>2021-11-16 → 11/17 → 11/18</v>
          </cell>
          <cell r="R1657" t="str">
            <v>2021-11-16 → 11/17 → 11/18</v>
          </cell>
          <cell r="S1657"/>
          <cell r="T1657">
            <v>44519</v>
          </cell>
          <cell r="U1657">
            <v>44522</v>
          </cell>
          <cell r="V1657">
            <v>44523</v>
          </cell>
          <cell r="W1657">
            <v>44523</v>
          </cell>
          <cell r="X1657">
            <v>41100331</v>
          </cell>
        </row>
        <row r="1658">
          <cell r="K1658" t="str">
            <v>GBWS-1799</v>
          </cell>
          <cell r="L1658">
            <v>44504</v>
          </cell>
          <cell r="M1658">
            <v>44504</v>
          </cell>
          <cell r="N1658">
            <v>44519</v>
          </cell>
          <cell r="O1658">
            <v>44504</v>
          </cell>
          <cell r="P1658">
            <v>44519</v>
          </cell>
          <cell r="Q1658" t="str">
            <v>2021-11-16 → 11/18 → 11/19</v>
          </cell>
          <cell r="R1658" t="str">
            <v>2021-11-16 → 11/18 → 11/19</v>
          </cell>
          <cell r="S1658"/>
          <cell r="T1658">
            <v>44522</v>
          </cell>
          <cell r="U1658">
            <v>44523</v>
          </cell>
          <cell r="V1658">
            <v>44523</v>
          </cell>
          <cell r="W1658">
            <v>44523</v>
          </cell>
          <cell r="X1658">
            <v>41100331</v>
          </cell>
        </row>
        <row r="1659">
          <cell r="K1659" t="str">
            <v>GBWS-1800</v>
          </cell>
          <cell r="L1659">
            <v>44504</v>
          </cell>
          <cell r="M1659">
            <v>44504</v>
          </cell>
          <cell r="N1659">
            <v>44519</v>
          </cell>
          <cell r="O1659">
            <v>44504</v>
          </cell>
          <cell r="P1659">
            <v>44519</v>
          </cell>
          <cell r="Q1659" t="str">
            <v>2021-11-16 → 11/18 → 11/19</v>
          </cell>
          <cell r="R1659" t="str">
            <v>2021-11-16 → 11/18 → 11/19</v>
          </cell>
          <cell r="S1659"/>
          <cell r="T1659">
            <v>44522</v>
          </cell>
          <cell r="U1659">
            <v>44523</v>
          </cell>
          <cell r="V1659">
            <v>44523</v>
          </cell>
          <cell r="W1659">
            <v>44523</v>
          </cell>
          <cell r="X1659">
            <v>41100331</v>
          </cell>
        </row>
        <row r="1660">
          <cell r="K1660" t="str">
            <v>GBWS-1801</v>
          </cell>
          <cell r="L1660">
            <v>44504</v>
          </cell>
          <cell r="M1660">
            <v>44504</v>
          </cell>
          <cell r="N1660">
            <v>44519</v>
          </cell>
          <cell r="O1660">
            <v>44504</v>
          </cell>
          <cell r="P1660">
            <v>44519</v>
          </cell>
          <cell r="Q1660" t="str">
            <v>2021-11-16 → 11/18 → 11/19</v>
          </cell>
          <cell r="R1660" t="str">
            <v>2021-11-16 → 11/18 → 11/19</v>
          </cell>
          <cell r="S1660"/>
          <cell r="T1660">
            <v>44522</v>
          </cell>
          <cell r="U1660">
            <v>44523</v>
          </cell>
          <cell r="V1660">
            <v>44523</v>
          </cell>
          <cell r="W1660">
            <v>44523</v>
          </cell>
          <cell r="X1660">
            <v>41100331</v>
          </cell>
        </row>
        <row r="1661">
          <cell r="K1661" t="str">
            <v>GBWS-1802</v>
          </cell>
          <cell r="L1661">
            <v>44504</v>
          </cell>
          <cell r="M1661">
            <v>44504</v>
          </cell>
          <cell r="N1661">
            <v>44519</v>
          </cell>
          <cell r="O1661">
            <v>44504</v>
          </cell>
          <cell r="P1661">
            <v>44519</v>
          </cell>
          <cell r="Q1661" t="str">
            <v>2021-11-16 → 11/18 → 11/19</v>
          </cell>
          <cell r="R1661" t="str">
            <v>2021-11-16 → 11/18 → 11/19</v>
          </cell>
          <cell r="S1661"/>
          <cell r="T1661">
            <v>44522</v>
          </cell>
          <cell r="U1661">
            <v>44523</v>
          </cell>
          <cell r="V1661">
            <v>44523</v>
          </cell>
          <cell r="W1661">
            <v>44523</v>
          </cell>
          <cell r="X1661">
            <v>41100331</v>
          </cell>
        </row>
        <row r="1662">
          <cell r="K1662" t="str">
            <v>GBWS-1803</v>
          </cell>
          <cell r="L1662">
            <v>44504</v>
          </cell>
          <cell r="M1662">
            <v>44504</v>
          </cell>
          <cell r="N1662">
            <v>44518</v>
          </cell>
          <cell r="O1662">
            <v>44504</v>
          </cell>
          <cell r="P1662">
            <v>44516</v>
          </cell>
          <cell r="Q1662">
            <v>44516</v>
          </cell>
          <cell r="R1662">
            <v>44516</v>
          </cell>
          <cell r="S1662"/>
          <cell r="T1662">
            <v>44518</v>
          </cell>
          <cell r="U1662">
            <v>44519</v>
          </cell>
          <cell r="V1662">
            <v>44523</v>
          </cell>
          <cell r="W1662">
            <v>44523</v>
          </cell>
          <cell r="X1662">
            <v>41100311</v>
          </cell>
        </row>
        <row r="1663">
          <cell r="K1663" t="str">
            <v>GBWS-1804</v>
          </cell>
          <cell r="L1663">
            <v>44504</v>
          </cell>
          <cell r="M1663">
            <v>44504</v>
          </cell>
          <cell r="N1663">
            <v>44518</v>
          </cell>
          <cell r="O1663">
            <v>44504</v>
          </cell>
          <cell r="P1663">
            <v>44516</v>
          </cell>
          <cell r="Q1663">
            <v>44516</v>
          </cell>
          <cell r="R1663">
            <v>44516</v>
          </cell>
          <cell r="S1663"/>
          <cell r="T1663">
            <v>44518</v>
          </cell>
          <cell r="U1663">
            <v>44519</v>
          </cell>
          <cell r="V1663">
            <v>44523</v>
          </cell>
          <cell r="W1663">
            <v>44523</v>
          </cell>
          <cell r="X1663">
            <v>41100311</v>
          </cell>
        </row>
        <row r="1664">
          <cell r="K1664" t="str">
            <v xml:space="preserve"> -</v>
          </cell>
          <cell r="L1664"/>
          <cell r="M1664">
            <v>44519</v>
          </cell>
          <cell r="N1664">
            <v>44522</v>
          </cell>
          <cell r="O1664">
            <v>44519</v>
          </cell>
          <cell r="P1664" t="str">
            <v xml:space="preserve"> -</v>
          </cell>
          <cell r="Q1664">
            <v>44519</v>
          </cell>
          <cell r="R1664">
            <v>44519</v>
          </cell>
          <cell r="S1664"/>
          <cell r="T1664">
            <v>44523</v>
          </cell>
          <cell r="U1664">
            <v>44523</v>
          </cell>
          <cell r="V1664">
            <v>44523</v>
          </cell>
          <cell r="W1664">
            <v>44523</v>
          </cell>
          <cell r="X1664">
            <v>31010363</v>
          </cell>
        </row>
        <row r="1665">
          <cell r="K1665" t="str">
            <v>IVAS-095</v>
          </cell>
          <cell r="L1665">
            <v>44481</v>
          </cell>
          <cell r="M1665">
            <v>44481</v>
          </cell>
          <cell r="N1665">
            <v>44494</v>
          </cell>
          <cell r="O1665">
            <v>44481</v>
          </cell>
          <cell r="P1665">
            <v>44495</v>
          </cell>
          <cell r="Q1665" t="str">
            <v>2021-10-21 → 10/24</v>
          </cell>
          <cell r="R1665" t="str">
            <v>2021-10-21 → 10/24</v>
          </cell>
          <cell r="S1665"/>
          <cell r="T1665">
            <v>44494</v>
          </cell>
          <cell r="U1665">
            <v>44503</v>
          </cell>
          <cell r="V1665">
            <v>44506</v>
          </cell>
          <cell r="W1665">
            <v>44506</v>
          </cell>
          <cell r="X1665">
            <v>41100383</v>
          </cell>
        </row>
        <row r="1666">
          <cell r="K1666" t="str">
            <v>IVAS-094</v>
          </cell>
          <cell r="L1666">
            <v>44481</v>
          </cell>
          <cell r="M1666">
            <v>44481</v>
          </cell>
          <cell r="N1666">
            <v>44494</v>
          </cell>
          <cell r="O1666">
            <v>44481</v>
          </cell>
          <cell r="P1666">
            <v>44495</v>
          </cell>
          <cell r="Q1666">
            <v>44494</v>
          </cell>
          <cell r="R1666">
            <v>44494</v>
          </cell>
          <cell r="S1666"/>
          <cell r="T1666">
            <v>44494</v>
          </cell>
          <cell r="U1666">
            <v>44503</v>
          </cell>
          <cell r="V1666">
            <v>44506</v>
          </cell>
          <cell r="W1666">
            <v>44506</v>
          </cell>
          <cell r="X1666">
            <v>41100383</v>
          </cell>
        </row>
        <row r="1667">
          <cell r="K1667" t="str">
            <v>IVAS-096</v>
          </cell>
          <cell r="L1667">
            <v>44481</v>
          </cell>
          <cell r="M1667">
            <v>44481</v>
          </cell>
          <cell r="N1667">
            <v>44497</v>
          </cell>
          <cell r="O1667">
            <v>44495</v>
          </cell>
          <cell r="P1667">
            <v>44495</v>
          </cell>
          <cell r="Q1667">
            <v>44494</v>
          </cell>
          <cell r="R1667">
            <v>44494</v>
          </cell>
          <cell r="S1667"/>
          <cell r="T1667">
            <v>44495</v>
          </cell>
          <cell r="U1667">
            <v>44504</v>
          </cell>
          <cell r="V1667">
            <v>44506</v>
          </cell>
          <cell r="W1667">
            <v>44506</v>
          </cell>
          <cell r="X1667">
            <v>41100273</v>
          </cell>
        </row>
        <row r="1668">
          <cell r="K1668" t="str">
            <v>DBW-2458</v>
          </cell>
          <cell r="L1668">
            <v>44502</v>
          </cell>
          <cell r="M1668">
            <v>44502</v>
          </cell>
          <cell r="N1668">
            <v>44511</v>
          </cell>
          <cell r="O1668">
            <v>44502</v>
          </cell>
          <cell r="P1668">
            <v>44512</v>
          </cell>
          <cell r="Q1668" t="str">
            <v>2021-11-11 → 11/12(오전 I/O)</v>
          </cell>
          <cell r="R1668" t="str">
            <v>2021-11-11 → 11/12(오전 I/O)</v>
          </cell>
          <cell r="S1668"/>
          <cell r="T1668">
            <v>44512</v>
          </cell>
          <cell r="U1668">
            <v>44515</v>
          </cell>
          <cell r="V1668">
            <v>44515</v>
          </cell>
          <cell r="W1668">
            <v>44515</v>
          </cell>
          <cell r="X1668">
            <v>41100310</v>
          </cell>
        </row>
        <row r="1669">
          <cell r="K1669" t="str">
            <v>DBW-2454</v>
          </cell>
          <cell r="L1669">
            <v>44497</v>
          </cell>
          <cell r="M1669">
            <v>44498</v>
          </cell>
          <cell r="N1669">
            <v>44517</v>
          </cell>
          <cell r="O1669">
            <v>44498</v>
          </cell>
          <cell r="P1669">
            <v>44517</v>
          </cell>
          <cell r="Q1669">
            <v>44508</v>
          </cell>
          <cell r="R1669">
            <v>44508</v>
          </cell>
          <cell r="S1669"/>
          <cell r="T1669">
            <v>44518</v>
          </cell>
          <cell r="U1669">
            <v>44519</v>
          </cell>
          <cell r="V1669">
            <v>44522</v>
          </cell>
          <cell r="W1669">
            <v>44522</v>
          </cell>
          <cell r="X1669" t="str">
            <v>41100413 → 41100256</v>
          </cell>
        </row>
        <row r="1670">
          <cell r="K1670"/>
          <cell r="L1670"/>
          <cell r="M1670">
            <v>44509</v>
          </cell>
          <cell r="N1670"/>
          <cell r="O1670">
            <v>44509</v>
          </cell>
          <cell r="P1670"/>
          <cell r="Q1670">
            <v>44512</v>
          </cell>
          <cell r="R1670">
            <v>44512</v>
          </cell>
          <cell r="S1670"/>
          <cell r="T1670"/>
          <cell r="U1670"/>
          <cell r="V1670"/>
          <cell r="W1670"/>
          <cell r="X1670"/>
        </row>
        <row r="1671">
          <cell r="K1671" t="str">
            <v>DBW-2471</v>
          </cell>
          <cell r="L1671">
            <v>44508</v>
          </cell>
          <cell r="M1671">
            <v>44509</v>
          </cell>
          <cell r="N1671">
            <v>44519</v>
          </cell>
          <cell r="O1671">
            <v>44509</v>
          </cell>
          <cell r="P1671">
            <v>44518</v>
          </cell>
          <cell r="Q1671" t="str">
            <v>2021-11-17 → 11/18</v>
          </cell>
          <cell r="R1671" t="str">
            <v>2021-11-17 → 11/18</v>
          </cell>
          <cell r="S1671"/>
          <cell r="T1671">
            <v>44519</v>
          </cell>
          <cell r="U1671">
            <v>44522</v>
          </cell>
          <cell r="V1671">
            <v>44523</v>
          </cell>
          <cell r="W1671">
            <v>44523</v>
          </cell>
          <cell r="X1671">
            <v>41100173</v>
          </cell>
        </row>
        <row r="1672">
          <cell r="K1672" t="str">
            <v>DBW-2472</v>
          </cell>
          <cell r="L1672">
            <v>44508</v>
          </cell>
          <cell r="M1672">
            <v>44509</v>
          </cell>
          <cell r="N1672">
            <v>44519</v>
          </cell>
          <cell r="O1672">
            <v>44509</v>
          </cell>
          <cell r="P1672">
            <v>44518</v>
          </cell>
          <cell r="Q1672" t="str">
            <v>2021-11-17 → 11/18</v>
          </cell>
          <cell r="R1672" t="str">
            <v>2021-11-17 → 11/18</v>
          </cell>
          <cell r="S1672"/>
          <cell r="T1672">
            <v>44519</v>
          </cell>
          <cell r="U1672">
            <v>44522</v>
          </cell>
          <cell r="V1672">
            <v>44523</v>
          </cell>
          <cell r="W1672">
            <v>44523</v>
          </cell>
          <cell r="X1672">
            <v>41100173</v>
          </cell>
        </row>
        <row r="1673">
          <cell r="K1673" t="str">
            <v>DBW-2473</v>
          </cell>
          <cell r="L1673">
            <v>44508</v>
          </cell>
          <cell r="M1673">
            <v>44509</v>
          </cell>
          <cell r="N1673">
            <v>44521</v>
          </cell>
          <cell r="O1673">
            <v>44509</v>
          </cell>
          <cell r="P1673">
            <v>44522</v>
          </cell>
          <cell r="Q1673" t="str">
            <v>2021-11-17 → 11/18 → 11/20</v>
          </cell>
          <cell r="R1673" t="str">
            <v>2021-11-17 → 11/18 → 11/20</v>
          </cell>
          <cell r="S1673"/>
          <cell r="T1673">
            <v>44522</v>
          </cell>
          <cell r="U1673">
            <v>44523</v>
          </cell>
          <cell r="V1673">
            <v>44524</v>
          </cell>
          <cell r="W1673">
            <v>44524</v>
          </cell>
          <cell r="X1673">
            <v>41100174</v>
          </cell>
        </row>
        <row r="1674">
          <cell r="K1674" t="str">
            <v>DBW-2474</v>
          </cell>
          <cell r="L1674">
            <v>44508</v>
          </cell>
          <cell r="M1674">
            <v>44509</v>
          </cell>
          <cell r="N1674">
            <v>44521</v>
          </cell>
          <cell r="O1674">
            <v>44509</v>
          </cell>
          <cell r="P1674">
            <v>44522</v>
          </cell>
          <cell r="Q1674" t="str">
            <v>2021-11-17 → 11/18 → 11/20</v>
          </cell>
          <cell r="R1674" t="str">
            <v>2021-11-17 → 11/18 → 11/20</v>
          </cell>
          <cell r="S1674"/>
          <cell r="T1674">
            <v>44522</v>
          </cell>
          <cell r="U1674">
            <v>44523</v>
          </cell>
          <cell r="V1674">
            <v>44524</v>
          </cell>
          <cell r="W1674">
            <v>44524</v>
          </cell>
          <cell r="X1674">
            <v>41100174</v>
          </cell>
        </row>
        <row r="1675">
          <cell r="K1675" t="str">
            <v>GBWS-1837</v>
          </cell>
          <cell r="L1675">
            <v>44511</v>
          </cell>
          <cell r="M1675">
            <v>44511</v>
          </cell>
          <cell r="N1675">
            <v>44523</v>
          </cell>
          <cell r="O1675">
            <v>44511</v>
          </cell>
          <cell r="P1675">
            <v>44524</v>
          </cell>
          <cell r="Q1675" t="str">
            <v>2021-11-22 → 11/23</v>
          </cell>
          <cell r="R1675" t="str">
            <v>2021-11-22 → 11/23</v>
          </cell>
          <cell r="S1675"/>
          <cell r="T1675">
            <v>44524</v>
          </cell>
          <cell r="U1675">
            <v>44525</v>
          </cell>
          <cell r="V1675">
            <v>44525</v>
          </cell>
          <cell r="W1675">
            <v>44525</v>
          </cell>
          <cell r="X1675">
            <v>41100412</v>
          </cell>
        </row>
        <row r="1676">
          <cell r="K1676" t="str">
            <v>GBWS-1838</v>
          </cell>
          <cell r="L1676">
            <v>44511</v>
          </cell>
          <cell r="M1676">
            <v>44511</v>
          </cell>
          <cell r="N1676">
            <v>44523</v>
          </cell>
          <cell r="O1676">
            <v>44511</v>
          </cell>
          <cell r="P1676">
            <v>44524</v>
          </cell>
          <cell r="Q1676" t="str">
            <v>2021-11-22 → 11/23</v>
          </cell>
          <cell r="R1676" t="str">
            <v>2021-11-22 → 11/23</v>
          </cell>
          <cell r="S1676"/>
          <cell r="T1676">
            <v>44524</v>
          </cell>
          <cell r="U1676">
            <v>44525</v>
          </cell>
          <cell r="V1676">
            <v>44525</v>
          </cell>
          <cell r="W1676">
            <v>44525</v>
          </cell>
          <cell r="X1676">
            <v>41100412</v>
          </cell>
        </row>
        <row r="1677">
          <cell r="K1677" t="str">
            <v>GBWS-1825</v>
          </cell>
          <cell r="L1677">
            <v>44510</v>
          </cell>
          <cell r="M1677">
            <v>44510</v>
          </cell>
          <cell r="N1677">
            <v>44522</v>
          </cell>
          <cell r="O1677">
            <v>44510</v>
          </cell>
          <cell r="P1677">
            <v>44522</v>
          </cell>
          <cell r="Q1677">
            <v>44519</v>
          </cell>
          <cell r="R1677">
            <v>44519</v>
          </cell>
          <cell r="S1677"/>
          <cell r="T1677">
            <v>44523</v>
          </cell>
          <cell r="U1677">
            <v>44524</v>
          </cell>
          <cell r="V1677">
            <v>44525</v>
          </cell>
          <cell r="W1677">
            <v>44525</v>
          </cell>
          <cell r="X1677">
            <v>41100410</v>
          </cell>
        </row>
        <row r="1678">
          <cell r="K1678" t="str">
            <v>GBWS-1826</v>
          </cell>
          <cell r="L1678">
            <v>44510</v>
          </cell>
          <cell r="M1678">
            <v>44510</v>
          </cell>
          <cell r="N1678">
            <v>44522</v>
          </cell>
          <cell r="O1678">
            <v>44510</v>
          </cell>
          <cell r="P1678">
            <v>44522</v>
          </cell>
          <cell r="Q1678">
            <v>44519</v>
          </cell>
          <cell r="R1678">
            <v>44519</v>
          </cell>
          <cell r="S1678"/>
          <cell r="T1678">
            <v>44523</v>
          </cell>
          <cell r="U1678">
            <v>44524</v>
          </cell>
          <cell r="V1678">
            <v>44525</v>
          </cell>
          <cell r="W1678">
            <v>44525</v>
          </cell>
          <cell r="X1678">
            <v>41100410</v>
          </cell>
        </row>
        <row r="1679">
          <cell r="K1679" t="str">
            <v>AWS-0006</v>
          </cell>
          <cell r="L1679"/>
          <cell r="M1679">
            <v>44512</v>
          </cell>
          <cell r="N1679">
            <v>44518</v>
          </cell>
          <cell r="O1679">
            <v>44512</v>
          </cell>
          <cell r="P1679">
            <v>44518</v>
          </cell>
          <cell r="Q1679">
            <v>44515</v>
          </cell>
          <cell r="R1679">
            <v>44515</v>
          </cell>
          <cell r="S1679"/>
          <cell r="T1679">
            <v>44522</v>
          </cell>
          <cell r="U1679">
            <v>44523</v>
          </cell>
          <cell r="V1679">
            <v>44525</v>
          </cell>
          <cell r="W1679">
            <v>44525</v>
          </cell>
          <cell r="X1679">
            <v>41100382</v>
          </cell>
        </row>
        <row r="1680">
          <cell r="K1680" t="str">
            <v>GBWS-1780</v>
          </cell>
          <cell r="L1680">
            <v>44503</v>
          </cell>
          <cell r="M1680">
            <v>44503</v>
          </cell>
          <cell r="N1680">
            <v>44517</v>
          </cell>
          <cell r="O1680">
            <v>44503</v>
          </cell>
          <cell r="P1680">
            <v>44517</v>
          </cell>
          <cell r="Q1680" t="str">
            <v>2021-11-16 → 11/17</v>
          </cell>
          <cell r="R1680" t="str">
            <v>2021-11-16 → 11/17</v>
          </cell>
          <cell r="S1680"/>
          <cell r="T1680">
            <v>44519</v>
          </cell>
          <cell r="U1680">
            <v>44519</v>
          </cell>
          <cell r="V1680">
            <v>44522</v>
          </cell>
          <cell r="W1680">
            <v>44523</v>
          </cell>
          <cell r="X1680">
            <v>41100386</v>
          </cell>
        </row>
        <row r="1681">
          <cell r="K1681" t="str">
            <v>GBWS-1781</v>
          </cell>
          <cell r="L1681">
            <v>44503</v>
          </cell>
          <cell r="M1681">
            <v>44503</v>
          </cell>
          <cell r="N1681">
            <v>44517</v>
          </cell>
          <cell r="O1681">
            <v>44503</v>
          </cell>
          <cell r="P1681">
            <v>44517</v>
          </cell>
          <cell r="Q1681" t="str">
            <v>2021-11-16 → 11/17</v>
          </cell>
          <cell r="R1681" t="str">
            <v>2021-11-16 → 11/17</v>
          </cell>
          <cell r="S1681"/>
          <cell r="T1681">
            <v>44518</v>
          </cell>
          <cell r="U1681">
            <v>44519</v>
          </cell>
          <cell r="V1681">
            <v>44522</v>
          </cell>
          <cell r="W1681">
            <v>44523</v>
          </cell>
          <cell r="X1681">
            <v>41100386</v>
          </cell>
        </row>
        <row r="1682">
          <cell r="K1682" t="str">
            <v>GBWS-1782</v>
          </cell>
          <cell r="L1682">
            <v>44503</v>
          </cell>
          <cell r="M1682">
            <v>44503</v>
          </cell>
          <cell r="N1682">
            <v>44517</v>
          </cell>
          <cell r="O1682">
            <v>44503</v>
          </cell>
          <cell r="P1682">
            <v>44517</v>
          </cell>
          <cell r="Q1682" t="str">
            <v>2021-11-16 → 11/17</v>
          </cell>
          <cell r="R1682" t="str">
            <v>2021-11-16 → 11/17</v>
          </cell>
          <cell r="S1682"/>
          <cell r="T1682">
            <v>44518</v>
          </cell>
          <cell r="U1682">
            <v>44519</v>
          </cell>
          <cell r="V1682">
            <v>44522</v>
          </cell>
          <cell r="W1682">
            <v>44523</v>
          </cell>
          <cell r="X1682">
            <v>41100386</v>
          </cell>
        </row>
        <row r="1683">
          <cell r="K1683" t="str">
            <v>GBWS-1783</v>
          </cell>
          <cell r="L1683">
            <v>44503</v>
          </cell>
          <cell r="M1683">
            <v>44503</v>
          </cell>
          <cell r="N1683">
            <v>44517</v>
          </cell>
          <cell r="O1683">
            <v>44503</v>
          </cell>
          <cell r="P1683">
            <v>44517</v>
          </cell>
          <cell r="Q1683" t="str">
            <v>2021-11-16 → 11/17</v>
          </cell>
          <cell r="R1683" t="str">
            <v>2021-11-16 → 11/17</v>
          </cell>
          <cell r="S1683"/>
          <cell r="T1683">
            <v>44518</v>
          </cell>
          <cell r="U1683">
            <v>44516</v>
          </cell>
          <cell r="V1683">
            <v>44522</v>
          </cell>
          <cell r="W1683">
            <v>44523</v>
          </cell>
          <cell r="X1683">
            <v>41100386</v>
          </cell>
        </row>
        <row r="1684">
          <cell r="K1684" t="str">
            <v>GBWS-1784</v>
          </cell>
          <cell r="L1684">
            <v>44503</v>
          </cell>
          <cell r="M1684">
            <v>44503</v>
          </cell>
          <cell r="N1684">
            <v>44517</v>
          </cell>
          <cell r="O1684">
            <v>44503</v>
          </cell>
          <cell r="P1684">
            <v>44517</v>
          </cell>
          <cell r="Q1684" t="str">
            <v>2021-11-16 → 11/17</v>
          </cell>
          <cell r="R1684" t="str">
            <v>2021-11-16 → 11/17</v>
          </cell>
          <cell r="S1684"/>
          <cell r="T1684">
            <v>44518</v>
          </cell>
          <cell r="U1684">
            <v>44519</v>
          </cell>
          <cell r="V1684">
            <v>44522</v>
          </cell>
          <cell r="W1684">
            <v>44523</v>
          </cell>
          <cell r="X1684">
            <v>41100386</v>
          </cell>
        </row>
        <row r="1685">
          <cell r="K1685" t="str">
            <v>GBWS-1785</v>
          </cell>
          <cell r="L1685">
            <v>44503</v>
          </cell>
          <cell r="M1685">
            <v>44503</v>
          </cell>
          <cell r="N1685">
            <v>44517</v>
          </cell>
          <cell r="O1685">
            <v>44503</v>
          </cell>
          <cell r="P1685">
            <v>44517</v>
          </cell>
          <cell r="Q1685" t="str">
            <v>2021-11-16 → 11/17</v>
          </cell>
          <cell r="R1685" t="str">
            <v>2021-11-16 → 11/17</v>
          </cell>
          <cell r="S1685"/>
          <cell r="T1685">
            <v>44518</v>
          </cell>
          <cell r="U1685">
            <v>44519</v>
          </cell>
          <cell r="V1685">
            <v>44522</v>
          </cell>
          <cell r="W1685">
            <v>44523</v>
          </cell>
          <cell r="X1685">
            <v>41100386</v>
          </cell>
        </row>
        <row r="1686">
          <cell r="K1686" t="str">
            <v>GBWS-1786</v>
          </cell>
          <cell r="L1686">
            <v>44503</v>
          </cell>
          <cell r="M1686">
            <v>44503</v>
          </cell>
          <cell r="N1686">
            <v>44517</v>
          </cell>
          <cell r="O1686">
            <v>44503</v>
          </cell>
          <cell r="P1686">
            <v>44517</v>
          </cell>
          <cell r="Q1686" t="str">
            <v>2021-11-16 → 11/17</v>
          </cell>
          <cell r="R1686" t="str">
            <v>2021-11-16 → 11/17</v>
          </cell>
          <cell r="S1686"/>
          <cell r="T1686">
            <v>44518</v>
          </cell>
          <cell r="U1686">
            <v>44519</v>
          </cell>
          <cell r="V1686">
            <v>44522</v>
          </cell>
          <cell r="W1686">
            <v>44523</v>
          </cell>
          <cell r="X1686">
            <v>41100406</v>
          </cell>
        </row>
        <row r="1687">
          <cell r="K1687" t="str">
            <v xml:space="preserve"> -</v>
          </cell>
          <cell r="L1687"/>
          <cell r="M1687">
            <v>44524</v>
          </cell>
          <cell r="N1687">
            <v>44525</v>
          </cell>
          <cell r="O1687">
            <v>44524</v>
          </cell>
          <cell r="P1687">
            <v>44525</v>
          </cell>
          <cell r="Q1687">
            <v>44525</v>
          </cell>
          <cell r="R1687">
            <v>44525</v>
          </cell>
          <cell r="S1687"/>
          <cell r="T1687" t="str">
            <v xml:space="preserve"> -</v>
          </cell>
          <cell r="U1687" t="str">
            <v xml:space="preserve"> -</v>
          </cell>
          <cell r="V1687">
            <v>44525</v>
          </cell>
          <cell r="W1687">
            <v>44525</v>
          </cell>
          <cell r="X1687">
            <v>31101724</v>
          </cell>
        </row>
        <row r="1688">
          <cell r="K1688" t="str">
            <v>DBW-2402</v>
          </cell>
          <cell r="L1688">
            <v>44452</v>
          </cell>
          <cell r="M1688">
            <v>44452</v>
          </cell>
          <cell r="N1688">
            <v>44468</v>
          </cell>
          <cell r="O1688">
            <v>44452</v>
          </cell>
          <cell r="P1688">
            <v>44468</v>
          </cell>
          <cell r="Q1688" t="str">
            <v>2021-09-28 → 9/29</v>
          </cell>
          <cell r="R1688" t="str">
            <v>2021-09-28 → 9/29</v>
          </cell>
          <cell r="S1688"/>
          <cell r="T1688">
            <v>44469</v>
          </cell>
          <cell r="U1688">
            <v>44470</v>
          </cell>
          <cell r="V1688">
            <v>44474</v>
          </cell>
          <cell r="W1688">
            <v>44474</v>
          </cell>
          <cell r="X1688">
            <v>41100269</v>
          </cell>
        </row>
        <row r="1689">
          <cell r="K1689" t="str">
            <v>DBW-2435</v>
          </cell>
          <cell r="L1689">
            <v>44483</v>
          </cell>
          <cell r="M1689">
            <v>44489</v>
          </cell>
          <cell r="N1689">
            <v>44498</v>
          </cell>
          <cell r="O1689">
            <v>44489</v>
          </cell>
          <cell r="P1689">
            <v>44498</v>
          </cell>
          <cell r="Q1689">
            <v>44498</v>
          </cell>
          <cell r="R1689">
            <v>44498</v>
          </cell>
          <cell r="S1689"/>
          <cell r="T1689">
            <v>44502</v>
          </cell>
          <cell r="U1689">
            <v>44504</v>
          </cell>
          <cell r="V1689">
            <v>44505</v>
          </cell>
          <cell r="W1689">
            <v>44505</v>
          </cell>
          <cell r="X1689" t="str">
            <v>41100323 → 41100404</v>
          </cell>
        </row>
        <row r="1690">
          <cell r="K1690" t="str">
            <v>DBW-2461</v>
          </cell>
          <cell r="L1690">
            <v>44504</v>
          </cell>
          <cell r="M1690">
            <v>44504</v>
          </cell>
          <cell r="N1690">
            <v>44515</v>
          </cell>
          <cell r="O1690">
            <v>44504</v>
          </cell>
          <cell r="P1690">
            <v>44515</v>
          </cell>
          <cell r="Q1690">
            <v>44515</v>
          </cell>
          <cell r="R1690">
            <v>44515</v>
          </cell>
          <cell r="S1690"/>
          <cell r="T1690">
            <v>44517</v>
          </cell>
          <cell r="U1690">
            <v>44518</v>
          </cell>
          <cell r="V1690">
            <v>44519</v>
          </cell>
          <cell r="W1690">
            <v>44519</v>
          </cell>
          <cell r="X1690">
            <v>41100236</v>
          </cell>
        </row>
        <row r="1691">
          <cell r="K1691" t="str">
            <v>DBW-2462</v>
          </cell>
          <cell r="L1691">
            <v>44504</v>
          </cell>
          <cell r="M1691">
            <v>44504</v>
          </cell>
          <cell r="N1691">
            <v>44515</v>
          </cell>
          <cell r="O1691">
            <v>44504</v>
          </cell>
          <cell r="P1691">
            <v>44515</v>
          </cell>
          <cell r="Q1691">
            <v>44515</v>
          </cell>
          <cell r="R1691">
            <v>44515</v>
          </cell>
          <cell r="S1691"/>
          <cell r="T1691">
            <v>44517</v>
          </cell>
          <cell r="U1691">
            <v>44518</v>
          </cell>
          <cell r="V1691">
            <v>44519</v>
          </cell>
          <cell r="W1691">
            <v>44519</v>
          </cell>
          <cell r="X1691">
            <v>41100236</v>
          </cell>
        </row>
        <row r="1692">
          <cell r="K1692" t="str">
            <v>DBW-2464</v>
          </cell>
          <cell r="L1692">
            <v>44504</v>
          </cell>
          <cell r="M1692">
            <v>44504</v>
          </cell>
          <cell r="N1692">
            <v>44515</v>
          </cell>
          <cell r="O1692">
            <v>44504</v>
          </cell>
          <cell r="P1692">
            <v>44515</v>
          </cell>
          <cell r="Q1692">
            <v>44515</v>
          </cell>
          <cell r="R1692">
            <v>44515</v>
          </cell>
          <cell r="S1692"/>
          <cell r="T1692">
            <v>44517</v>
          </cell>
          <cell r="U1692">
            <v>44518</v>
          </cell>
          <cell r="V1692">
            <v>44519</v>
          </cell>
          <cell r="W1692">
            <v>44519</v>
          </cell>
          <cell r="X1692" t="str">
            <v>41100269 → 41100236</v>
          </cell>
        </row>
        <row r="1693">
          <cell r="K1693" t="str">
            <v>DBW-2465</v>
          </cell>
          <cell r="L1693">
            <v>44504</v>
          </cell>
          <cell r="M1693">
            <v>44504</v>
          </cell>
          <cell r="N1693">
            <v>44515</v>
          </cell>
          <cell r="O1693">
            <v>44504</v>
          </cell>
          <cell r="P1693">
            <v>44517</v>
          </cell>
          <cell r="Q1693">
            <v>44515</v>
          </cell>
          <cell r="R1693">
            <v>44515</v>
          </cell>
          <cell r="S1693"/>
          <cell r="T1693">
            <v>44517</v>
          </cell>
          <cell r="U1693">
            <v>44518</v>
          </cell>
          <cell r="V1693">
            <v>44522</v>
          </cell>
          <cell r="W1693">
            <v>44522</v>
          </cell>
          <cell r="X1693">
            <v>41100404</v>
          </cell>
        </row>
        <row r="1694">
          <cell r="K1694" t="str">
            <v>GBWS-1812</v>
          </cell>
          <cell r="L1694">
            <v>44509</v>
          </cell>
          <cell r="M1694">
            <v>44509</v>
          </cell>
          <cell r="N1694">
            <v>44519</v>
          </cell>
          <cell r="O1694">
            <v>44509</v>
          </cell>
          <cell r="P1694">
            <v>44519</v>
          </cell>
          <cell r="Q1694">
            <v>44519</v>
          </cell>
          <cell r="R1694">
            <v>44519</v>
          </cell>
          <cell r="S1694"/>
          <cell r="T1694">
            <v>44522</v>
          </cell>
          <cell r="U1694">
            <v>44523</v>
          </cell>
          <cell r="V1694">
            <v>44525</v>
          </cell>
          <cell r="W1694">
            <v>44525</v>
          </cell>
          <cell r="X1694">
            <v>41100325</v>
          </cell>
        </row>
        <row r="1695">
          <cell r="K1695" t="str">
            <v>GBWS-1808</v>
          </cell>
          <cell r="L1695">
            <v>44508</v>
          </cell>
          <cell r="M1695">
            <v>44509</v>
          </cell>
          <cell r="N1695">
            <v>44521</v>
          </cell>
          <cell r="O1695">
            <v>44509</v>
          </cell>
          <cell r="P1695">
            <v>44522</v>
          </cell>
          <cell r="Q1695" t="str">
            <v>2021-11-19 → 11/21</v>
          </cell>
          <cell r="R1695" t="str">
            <v>2021-11-19 → 11/21</v>
          </cell>
          <cell r="S1695"/>
          <cell r="T1695">
            <v>44522</v>
          </cell>
          <cell r="U1695">
            <v>44524</v>
          </cell>
          <cell r="V1695">
            <v>44525</v>
          </cell>
          <cell r="W1695">
            <v>44525</v>
          </cell>
          <cell r="X1695">
            <v>41100206</v>
          </cell>
        </row>
        <row r="1696">
          <cell r="K1696" t="str">
            <v>GBWS-1809</v>
          </cell>
          <cell r="L1696">
            <v>44508</v>
          </cell>
          <cell r="M1696">
            <v>44509</v>
          </cell>
          <cell r="N1696">
            <v>44521</v>
          </cell>
          <cell r="O1696">
            <v>44509</v>
          </cell>
          <cell r="P1696">
            <v>44522</v>
          </cell>
          <cell r="Q1696" t="str">
            <v>2021-11-19 → 11/21</v>
          </cell>
          <cell r="R1696" t="str">
            <v>2021-11-19 → 11/21</v>
          </cell>
          <cell r="S1696"/>
          <cell r="T1696">
            <v>44522</v>
          </cell>
          <cell r="U1696">
            <v>44524</v>
          </cell>
          <cell r="V1696">
            <v>44525</v>
          </cell>
          <cell r="W1696">
            <v>44525</v>
          </cell>
          <cell r="X1696">
            <v>41100207</v>
          </cell>
        </row>
        <row r="1697">
          <cell r="K1697" t="str">
            <v>DBW-2466</v>
          </cell>
          <cell r="L1697">
            <v>44508</v>
          </cell>
          <cell r="M1697">
            <v>44508</v>
          </cell>
          <cell r="N1697">
            <v>44517</v>
          </cell>
          <cell r="O1697">
            <v>44508</v>
          </cell>
          <cell r="P1697">
            <v>44517</v>
          </cell>
          <cell r="Q1697">
            <v>44516</v>
          </cell>
          <cell r="R1697">
            <v>44516</v>
          </cell>
          <cell r="S1697"/>
          <cell r="T1697">
            <v>44517</v>
          </cell>
          <cell r="U1697">
            <v>44215</v>
          </cell>
          <cell r="V1697">
            <v>44522</v>
          </cell>
          <cell r="W1697">
            <v>44522</v>
          </cell>
          <cell r="X1697">
            <v>41100208</v>
          </cell>
        </row>
        <row r="1698">
          <cell r="K1698" t="str">
            <v>DBW-2467</v>
          </cell>
          <cell r="L1698">
            <v>44508</v>
          </cell>
          <cell r="M1698">
            <v>44508</v>
          </cell>
          <cell r="N1698">
            <v>44517</v>
          </cell>
          <cell r="O1698">
            <v>44508</v>
          </cell>
          <cell r="P1698">
            <v>44517</v>
          </cell>
          <cell r="Q1698">
            <v>44516</v>
          </cell>
          <cell r="R1698">
            <v>44516</v>
          </cell>
          <cell r="S1698"/>
          <cell r="T1698">
            <v>44517</v>
          </cell>
          <cell r="U1698">
            <v>44518</v>
          </cell>
          <cell r="V1698">
            <v>44519</v>
          </cell>
          <cell r="W1698">
            <v>44522</v>
          </cell>
          <cell r="X1698">
            <v>41100208</v>
          </cell>
        </row>
        <row r="1699">
          <cell r="K1699" t="str">
            <v>DBW-2476</v>
          </cell>
          <cell r="L1699">
            <v>44512</v>
          </cell>
          <cell r="M1699">
            <v>44515</v>
          </cell>
          <cell r="N1699">
            <v>44526</v>
          </cell>
          <cell r="O1699">
            <v>44515</v>
          </cell>
          <cell r="P1699">
            <v>44527</v>
          </cell>
          <cell r="Q1699">
            <v>44526</v>
          </cell>
          <cell r="R1699">
            <v>44526</v>
          </cell>
          <cell r="S1699"/>
          <cell r="T1699">
            <v>44529</v>
          </cell>
          <cell r="U1699">
            <v>44530</v>
          </cell>
          <cell r="V1699">
            <v>44530</v>
          </cell>
          <cell r="W1699">
            <v>44530</v>
          </cell>
          <cell r="X1699" t="str">
            <v>41100359 → 41100360</v>
          </cell>
        </row>
        <row r="1700">
          <cell r="K1700" t="str">
            <v>GBWS-1827</v>
          </cell>
          <cell r="L1700">
            <v>44510</v>
          </cell>
          <cell r="M1700">
            <v>44510</v>
          </cell>
          <cell r="N1700">
            <v>44523</v>
          </cell>
          <cell r="O1700">
            <v>44510</v>
          </cell>
          <cell r="P1700">
            <v>44523</v>
          </cell>
          <cell r="Q1700" t="str">
            <v xml:space="preserve">2021-11-19 → 11/24 </v>
          </cell>
          <cell r="R1700" t="str">
            <v xml:space="preserve">2021-11-19 → 11/24 </v>
          </cell>
          <cell r="S1700"/>
          <cell r="T1700">
            <v>44524</v>
          </cell>
          <cell r="U1700">
            <v>44525</v>
          </cell>
          <cell r="V1700">
            <v>44526</v>
          </cell>
          <cell r="W1700">
            <v>44526</v>
          </cell>
          <cell r="X1700">
            <v>41100321</v>
          </cell>
        </row>
        <row r="1701">
          <cell r="K1701" t="str">
            <v>DBW-2442</v>
          </cell>
          <cell r="L1701">
            <v>44489</v>
          </cell>
          <cell r="M1701">
            <v>44489</v>
          </cell>
          <cell r="N1701">
            <v>44523</v>
          </cell>
          <cell r="O1701">
            <v>44489</v>
          </cell>
          <cell r="P1701">
            <v>44501</v>
          </cell>
          <cell r="Q1701">
            <v>44523</v>
          </cell>
          <cell r="R1701">
            <v>44523</v>
          </cell>
          <cell r="S1701"/>
          <cell r="T1701">
            <v>44525</v>
          </cell>
          <cell r="U1701">
            <v>44526</v>
          </cell>
          <cell r="V1701">
            <v>44529</v>
          </cell>
          <cell r="W1701">
            <v>44529</v>
          </cell>
          <cell r="X1701">
            <v>41100360</v>
          </cell>
        </row>
        <row r="1702">
          <cell r="K1702" t="str">
            <v>IVAS-097</v>
          </cell>
          <cell r="L1702">
            <v>44490</v>
          </cell>
          <cell r="M1702">
            <v>44490</v>
          </cell>
          <cell r="N1702">
            <v>44512</v>
          </cell>
          <cell r="O1702">
            <v>44490</v>
          </cell>
          <cell r="P1702">
            <v>44509</v>
          </cell>
          <cell r="Q1702" t="str">
            <v>2021-11-03 → 11/8 → 11/9</v>
          </cell>
          <cell r="R1702" t="str">
            <v>2021-11-03 → 11/8 → 11/9</v>
          </cell>
          <cell r="S1702"/>
          <cell r="T1702">
            <v>44524</v>
          </cell>
          <cell r="U1702">
            <v>44522</v>
          </cell>
          <cell r="V1702">
            <v>44525</v>
          </cell>
          <cell r="W1702">
            <v>44526</v>
          </cell>
          <cell r="X1702">
            <v>41100290</v>
          </cell>
        </row>
        <row r="1703">
          <cell r="K1703" t="str">
            <v>IVAS-099</v>
          </cell>
          <cell r="L1703">
            <v>44495</v>
          </cell>
          <cell r="M1703">
            <v>44495</v>
          </cell>
          <cell r="N1703">
            <v>44512</v>
          </cell>
          <cell r="O1703">
            <v>44495</v>
          </cell>
          <cell r="P1703">
            <v>44509</v>
          </cell>
          <cell r="Q1703" t="str">
            <v>2021-11-08 → 11/9</v>
          </cell>
          <cell r="R1703" t="str">
            <v>2021-11-08 → 11/9</v>
          </cell>
          <cell r="S1703"/>
          <cell r="T1703">
            <v>44524</v>
          </cell>
          <cell r="U1703">
            <v>44522</v>
          </cell>
          <cell r="V1703">
            <v>44525</v>
          </cell>
          <cell r="W1703">
            <v>44526</v>
          </cell>
          <cell r="X1703">
            <v>41100290</v>
          </cell>
        </row>
        <row r="1704">
          <cell r="K1704" t="str">
            <v>IVAS-098</v>
          </cell>
          <cell r="L1704">
            <v>44495</v>
          </cell>
          <cell r="M1704">
            <v>44495</v>
          </cell>
          <cell r="N1704">
            <v>44512</v>
          </cell>
          <cell r="O1704">
            <v>44495</v>
          </cell>
          <cell r="P1704">
            <v>44509</v>
          </cell>
          <cell r="Q1704" t="str">
            <v>2021-11-08 → 11/9</v>
          </cell>
          <cell r="R1704" t="str">
            <v>2021-11-08 → 11/9</v>
          </cell>
          <cell r="S1704"/>
          <cell r="T1704">
            <v>44529</v>
          </cell>
          <cell r="U1704">
            <v>44526</v>
          </cell>
          <cell r="V1704">
            <v>44529</v>
          </cell>
          <cell r="W1704">
            <v>44530</v>
          </cell>
          <cell r="X1704">
            <v>41100290</v>
          </cell>
        </row>
        <row r="1705">
          <cell r="K1705" t="str">
            <v>GBWS-1805</v>
          </cell>
          <cell r="L1705">
            <v>44509</v>
          </cell>
          <cell r="M1705">
            <v>44509</v>
          </cell>
          <cell r="N1705">
            <v>44523</v>
          </cell>
          <cell r="O1705">
            <v>44509</v>
          </cell>
          <cell r="P1705">
            <v>44523</v>
          </cell>
          <cell r="Q1705" t="str">
            <v>2021-11-22 → 11/23</v>
          </cell>
          <cell r="R1705" t="str">
            <v>2021-11-22 → 11/23</v>
          </cell>
          <cell r="S1705"/>
          <cell r="T1705">
            <v>44525</v>
          </cell>
          <cell r="U1705">
            <v>44526</v>
          </cell>
          <cell r="V1705">
            <v>44529</v>
          </cell>
          <cell r="W1705">
            <v>44529</v>
          </cell>
          <cell r="X1705">
            <v>41100089</v>
          </cell>
        </row>
        <row r="1706">
          <cell r="K1706" t="str">
            <v>GBWS-1806</v>
          </cell>
          <cell r="L1706">
            <v>44509</v>
          </cell>
          <cell r="M1706">
            <v>44509</v>
          </cell>
          <cell r="N1706">
            <v>44523</v>
          </cell>
          <cell r="O1706">
            <v>44509</v>
          </cell>
          <cell r="P1706">
            <v>44523</v>
          </cell>
          <cell r="Q1706" t="str">
            <v>2021-11-22 → 11/23</v>
          </cell>
          <cell r="R1706" t="str">
            <v>2021-11-22 → 11/23</v>
          </cell>
          <cell r="S1706"/>
          <cell r="T1706">
            <v>44525</v>
          </cell>
          <cell r="U1706">
            <v>44526</v>
          </cell>
          <cell r="V1706">
            <v>44529</v>
          </cell>
          <cell r="W1706">
            <v>44529</v>
          </cell>
          <cell r="X1706">
            <v>41100093</v>
          </cell>
        </row>
        <row r="1707">
          <cell r="K1707" t="str">
            <v>GBWS-1807</v>
          </cell>
          <cell r="L1707">
            <v>44509</v>
          </cell>
          <cell r="M1707">
            <v>44509</v>
          </cell>
          <cell r="N1707">
            <v>44523</v>
          </cell>
          <cell r="O1707">
            <v>44509</v>
          </cell>
          <cell r="P1707">
            <v>44523</v>
          </cell>
          <cell r="Q1707" t="str">
            <v>2021-11-22 → 11/23</v>
          </cell>
          <cell r="R1707" t="str">
            <v>2021-11-22 → 11/23</v>
          </cell>
          <cell r="S1707"/>
          <cell r="T1707">
            <v>44525</v>
          </cell>
          <cell r="U1707">
            <v>44526</v>
          </cell>
          <cell r="V1707">
            <v>44529</v>
          </cell>
          <cell r="W1707">
            <v>44529</v>
          </cell>
          <cell r="X1707">
            <v>41100093</v>
          </cell>
        </row>
        <row r="1708">
          <cell r="K1708" t="str">
            <v>GBWS-1839</v>
          </cell>
          <cell r="L1708">
            <v>44512</v>
          </cell>
          <cell r="M1708">
            <v>44512</v>
          </cell>
          <cell r="N1708">
            <v>44523</v>
          </cell>
          <cell r="O1708">
            <v>44512</v>
          </cell>
          <cell r="P1708">
            <v>44524</v>
          </cell>
          <cell r="Q1708" t="str">
            <v>2021-11-23 → 11/24</v>
          </cell>
          <cell r="R1708" t="str">
            <v>2021-11-23 → 11/24</v>
          </cell>
          <cell r="S1708"/>
          <cell r="T1708">
            <v>44524</v>
          </cell>
          <cell r="U1708">
            <v>44526</v>
          </cell>
          <cell r="V1708">
            <v>44526</v>
          </cell>
          <cell r="W1708">
            <v>44526</v>
          </cell>
          <cell r="X1708">
            <v>41100085</v>
          </cell>
        </row>
        <row r="1709">
          <cell r="K1709" t="str">
            <v>GBWS-1840</v>
          </cell>
          <cell r="L1709">
            <v>44512</v>
          </cell>
          <cell r="M1709">
            <v>44512</v>
          </cell>
          <cell r="N1709">
            <v>44523</v>
          </cell>
          <cell r="O1709">
            <v>44512</v>
          </cell>
          <cell r="P1709">
            <v>44524</v>
          </cell>
          <cell r="Q1709" t="str">
            <v>2021-11-23 → 11/24</v>
          </cell>
          <cell r="R1709" t="str">
            <v>2021-11-23 → 11/24</v>
          </cell>
          <cell r="S1709"/>
          <cell r="T1709">
            <v>44524</v>
          </cell>
          <cell r="U1709">
            <v>44529</v>
          </cell>
          <cell r="V1709">
            <v>44530</v>
          </cell>
          <cell r="W1709">
            <v>44530</v>
          </cell>
          <cell r="X1709">
            <v>41100085</v>
          </cell>
        </row>
        <row r="1710">
          <cell r="K1710" t="str">
            <v>GBWS-1841</v>
          </cell>
          <cell r="L1710">
            <v>44512</v>
          </cell>
          <cell r="M1710">
            <v>44512</v>
          </cell>
          <cell r="N1710">
            <v>44523</v>
          </cell>
          <cell r="O1710">
            <v>44512</v>
          </cell>
          <cell r="P1710">
            <v>44524</v>
          </cell>
          <cell r="Q1710" t="str">
            <v>2021-11-23 → 11/24</v>
          </cell>
          <cell r="R1710" t="str">
            <v>2021-11-23 → 11/24</v>
          </cell>
          <cell r="S1710"/>
          <cell r="T1710">
            <v>44524</v>
          </cell>
          <cell r="U1710">
            <v>44526</v>
          </cell>
          <cell r="V1710">
            <v>44526</v>
          </cell>
          <cell r="W1710">
            <v>44526</v>
          </cell>
          <cell r="X1710">
            <v>41100085</v>
          </cell>
        </row>
        <row r="1711">
          <cell r="K1711" t="str">
            <v>DBW-0538</v>
          </cell>
          <cell r="L1711" t="str">
            <v xml:space="preserve"> -</v>
          </cell>
          <cell r="M1711">
            <v>44428</v>
          </cell>
          <cell r="N1711">
            <v>44510</v>
          </cell>
          <cell r="O1711">
            <v>44428</v>
          </cell>
          <cell r="P1711">
            <v>44510</v>
          </cell>
          <cell r="Q1711">
            <v>44539</v>
          </cell>
          <cell r="R1711">
            <v>44539</v>
          </cell>
          <cell r="S1711"/>
          <cell r="T1711">
            <v>44511</v>
          </cell>
          <cell r="U1711">
            <v>44522</v>
          </cell>
          <cell r="V1711">
            <v>44530</v>
          </cell>
          <cell r="W1711">
            <v>44531</v>
          </cell>
          <cell r="X1711">
            <v>31101579</v>
          </cell>
        </row>
        <row r="1712">
          <cell r="K1712" t="str">
            <v>GBWS-1742</v>
          </cell>
          <cell r="L1712">
            <v>44496</v>
          </cell>
          <cell r="M1712">
            <v>44496</v>
          </cell>
          <cell r="N1712">
            <v>44509</v>
          </cell>
          <cell r="O1712">
            <v>44496</v>
          </cell>
          <cell r="P1712">
            <v>44509</v>
          </cell>
          <cell r="Q1712" t="str">
            <v>2021-11-05 → 11/8</v>
          </cell>
          <cell r="R1712" t="str">
            <v>2021-11-05 → 11/8</v>
          </cell>
          <cell r="S1712"/>
          <cell r="T1712">
            <v>44509</v>
          </cell>
          <cell r="U1712">
            <v>44510</v>
          </cell>
          <cell r="V1712">
            <v>44511</v>
          </cell>
          <cell r="W1712">
            <v>44511</v>
          </cell>
          <cell r="X1712" t="str">
            <v>41100293 → 41100363</v>
          </cell>
        </row>
        <row r="1713">
          <cell r="K1713" t="str">
            <v>DBW-2386</v>
          </cell>
          <cell r="L1713">
            <v>44446</v>
          </cell>
          <cell r="M1713">
            <v>44446</v>
          </cell>
          <cell r="N1713">
            <v>44455</v>
          </cell>
          <cell r="O1713">
            <v>44446</v>
          </cell>
          <cell r="P1713">
            <v>44455</v>
          </cell>
          <cell r="Q1713">
            <v>44455</v>
          </cell>
          <cell r="R1713">
            <v>44455</v>
          </cell>
          <cell r="S1713"/>
          <cell r="T1713">
            <v>44463</v>
          </cell>
          <cell r="U1713">
            <v>44466</v>
          </cell>
          <cell r="V1713">
            <v>44467</v>
          </cell>
          <cell r="W1713">
            <v>44467</v>
          </cell>
          <cell r="X1713">
            <v>41100170</v>
          </cell>
        </row>
        <row r="1714">
          <cell r="K1714" t="str">
            <v xml:space="preserve">DBW-2478 </v>
          </cell>
          <cell r="L1714">
            <v>44515</v>
          </cell>
          <cell r="M1714">
            <v>44516</v>
          </cell>
          <cell r="N1714">
            <v>44525</v>
          </cell>
          <cell r="O1714">
            <v>44516</v>
          </cell>
          <cell r="P1714">
            <v>44525</v>
          </cell>
          <cell r="Q1714">
            <v>44525</v>
          </cell>
          <cell r="R1714">
            <v>44525</v>
          </cell>
          <cell r="S1714"/>
          <cell r="T1714">
            <v>44526</v>
          </cell>
          <cell r="U1714">
            <v>44529</v>
          </cell>
          <cell r="V1714">
            <v>44529</v>
          </cell>
          <cell r="W1714">
            <v>44529</v>
          </cell>
          <cell r="X1714">
            <v>41100170</v>
          </cell>
        </row>
        <row r="1715">
          <cell r="K1715" t="str">
            <v>DBW-2406</v>
          </cell>
          <cell r="L1715">
            <v>44455</v>
          </cell>
          <cell r="M1715">
            <v>44455</v>
          </cell>
          <cell r="N1715">
            <v>44477</v>
          </cell>
          <cell r="O1715">
            <v>44455</v>
          </cell>
          <cell r="P1715">
            <v>44476</v>
          </cell>
          <cell r="Q1715" t="str">
            <v>2021-10-05 → 10/7</v>
          </cell>
          <cell r="R1715" t="str">
            <v>2021-10-05 → 10/7</v>
          </cell>
          <cell r="S1715"/>
          <cell r="T1715">
            <v>44477</v>
          </cell>
          <cell r="U1715">
            <v>44482</v>
          </cell>
          <cell r="V1715">
            <v>44483</v>
          </cell>
          <cell r="W1715">
            <v>44483</v>
          </cell>
          <cell r="X1715">
            <v>41100258</v>
          </cell>
        </row>
        <row r="1716">
          <cell r="K1716" t="str">
            <v>DBW-2376</v>
          </cell>
          <cell r="L1716">
            <v>44439</v>
          </cell>
          <cell r="M1716">
            <v>44439</v>
          </cell>
          <cell r="N1716">
            <v>44455</v>
          </cell>
          <cell r="O1716">
            <v>44439</v>
          </cell>
          <cell r="P1716">
            <v>44455</v>
          </cell>
          <cell r="Q1716" t="str">
            <v>2021-09-10 → 9/12 → 9/16</v>
          </cell>
          <cell r="R1716" t="str">
            <v>2021-09-10 → 9/12 → 9/16</v>
          </cell>
          <cell r="S1716"/>
          <cell r="T1716">
            <v>44456</v>
          </cell>
          <cell r="U1716">
            <v>44462</v>
          </cell>
          <cell r="V1716">
            <v>44466</v>
          </cell>
          <cell r="W1716">
            <v>44466</v>
          </cell>
          <cell r="X1716">
            <v>41100258</v>
          </cell>
        </row>
        <row r="1717">
          <cell r="K1717" t="str">
            <v>MMD-0035</v>
          </cell>
          <cell r="L1717">
            <v>44522</v>
          </cell>
          <cell r="M1717">
            <v>44522</v>
          </cell>
          <cell r="N1717">
            <v>44525</v>
          </cell>
          <cell r="O1717">
            <v>44522</v>
          </cell>
          <cell r="P1717">
            <v>44530</v>
          </cell>
          <cell r="Q1717" t="str">
            <v>2021-11-24 → 11/26</v>
          </cell>
          <cell r="R1717" t="str">
            <v>2021-11-24 → 11/26</v>
          </cell>
          <cell r="S1717"/>
          <cell r="T1717">
            <v>44531</v>
          </cell>
          <cell r="U1717">
            <v>44535</v>
          </cell>
          <cell r="V1717">
            <v>44536</v>
          </cell>
          <cell r="W1717">
            <v>44536</v>
          </cell>
          <cell r="X1717">
            <v>31100357</v>
          </cell>
        </row>
        <row r="1718">
          <cell r="K1718" t="str">
            <v>GBWS-1813</v>
          </cell>
          <cell r="L1718">
            <v>44510</v>
          </cell>
          <cell r="M1718">
            <v>44510</v>
          </cell>
          <cell r="N1718">
            <v>44522</v>
          </cell>
          <cell r="O1718">
            <v>44510</v>
          </cell>
          <cell r="P1718">
            <v>44522</v>
          </cell>
          <cell r="Q1718" t="str">
            <v>2021-11-19 → 11/20</v>
          </cell>
          <cell r="R1718" t="str">
            <v>2021-11-19 → 11/20</v>
          </cell>
          <cell r="S1718"/>
          <cell r="T1718">
            <v>44526</v>
          </cell>
          <cell r="U1718">
            <v>44529</v>
          </cell>
          <cell r="V1718">
            <v>44529</v>
          </cell>
          <cell r="W1718">
            <v>44529</v>
          </cell>
          <cell r="X1718">
            <v>41100329</v>
          </cell>
        </row>
        <row r="1719">
          <cell r="K1719" t="str">
            <v>GBWS-1814</v>
          </cell>
          <cell r="L1719">
            <v>44510</v>
          </cell>
          <cell r="M1719">
            <v>44510</v>
          </cell>
          <cell r="N1719">
            <v>44522</v>
          </cell>
          <cell r="O1719">
            <v>44510</v>
          </cell>
          <cell r="P1719">
            <v>44522</v>
          </cell>
          <cell r="Q1719" t="str">
            <v>2021-11-19 → 11/20</v>
          </cell>
          <cell r="R1719" t="str">
            <v>2021-11-19 → 11/20</v>
          </cell>
          <cell r="S1719"/>
          <cell r="T1719">
            <v>44526</v>
          </cell>
          <cell r="U1719">
            <v>44529</v>
          </cell>
          <cell r="V1719">
            <v>44529</v>
          </cell>
          <cell r="W1719">
            <v>44529</v>
          </cell>
          <cell r="X1719">
            <v>41100329</v>
          </cell>
        </row>
        <row r="1720">
          <cell r="K1720" t="str">
            <v>GBWS-1815</v>
          </cell>
          <cell r="L1720">
            <v>44510</v>
          </cell>
          <cell r="M1720">
            <v>44510</v>
          </cell>
          <cell r="N1720">
            <v>44522</v>
          </cell>
          <cell r="O1720">
            <v>44510</v>
          </cell>
          <cell r="P1720">
            <v>44522</v>
          </cell>
          <cell r="Q1720" t="str">
            <v>2021-11-19 → 11/20</v>
          </cell>
          <cell r="R1720" t="str">
            <v>2021-11-19 → 11/20</v>
          </cell>
          <cell r="S1720"/>
          <cell r="T1720">
            <v>44526</v>
          </cell>
          <cell r="U1720">
            <v>44529</v>
          </cell>
          <cell r="V1720">
            <v>44529</v>
          </cell>
          <cell r="W1720">
            <v>44529</v>
          </cell>
          <cell r="X1720">
            <v>41100329</v>
          </cell>
        </row>
        <row r="1721">
          <cell r="K1721" t="str">
            <v>GBWS-1816</v>
          </cell>
          <cell r="L1721">
            <v>44510</v>
          </cell>
          <cell r="M1721">
            <v>44510</v>
          </cell>
          <cell r="N1721">
            <v>44522</v>
          </cell>
          <cell r="O1721">
            <v>44510</v>
          </cell>
          <cell r="P1721">
            <v>44522</v>
          </cell>
          <cell r="Q1721" t="str">
            <v>2021-11-19 → 11/20</v>
          </cell>
          <cell r="R1721" t="str">
            <v>2021-11-19 → 11/20</v>
          </cell>
          <cell r="S1721"/>
          <cell r="T1721">
            <v>44526</v>
          </cell>
          <cell r="U1721">
            <v>44530</v>
          </cell>
          <cell r="V1721">
            <v>44530</v>
          </cell>
          <cell r="W1721">
            <v>44530</v>
          </cell>
          <cell r="X1721">
            <v>41100329</v>
          </cell>
        </row>
        <row r="1722">
          <cell r="K1722" t="str">
            <v>GBWS-1831</v>
          </cell>
          <cell r="L1722">
            <v>44511</v>
          </cell>
          <cell r="M1722">
            <v>44511</v>
          </cell>
          <cell r="N1722">
            <v>44523</v>
          </cell>
          <cell r="O1722">
            <v>44511</v>
          </cell>
          <cell r="P1722">
            <v>44522</v>
          </cell>
          <cell r="Q1722" t="str">
            <v>2021-11-18 → 11/22 → 11/23</v>
          </cell>
          <cell r="R1722" t="str">
            <v>2021-11-18 → 11/22 → 11/23</v>
          </cell>
          <cell r="S1722"/>
          <cell r="T1722">
            <v>44524</v>
          </cell>
          <cell r="U1722">
            <v>44526</v>
          </cell>
          <cell r="V1722">
            <v>44526</v>
          </cell>
          <cell r="W1722">
            <v>44526</v>
          </cell>
          <cell r="X1722">
            <v>41100311</v>
          </cell>
        </row>
        <row r="1723">
          <cell r="K1723" t="str">
            <v>GBWS-1832</v>
          </cell>
          <cell r="L1723">
            <v>44511</v>
          </cell>
          <cell r="M1723">
            <v>44511</v>
          </cell>
          <cell r="N1723">
            <v>44523</v>
          </cell>
          <cell r="O1723">
            <v>44511</v>
          </cell>
          <cell r="P1723">
            <v>44522</v>
          </cell>
          <cell r="Q1723" t="str">
            <v>2021-11-18 → 11/22 → 11/23</v>
          </cell>
          <cell r="R1723" t="str">
            <v>2021-11-18 → 11/22 → 11/23</v>
          </cell>
          <cell r="S1723"/>
          <cell r="T1723">
            <v>44524</v>
          </cell>
          <cell r="U1723">
            <v>44529</v>
          </cell>
          <cell r="V1723">
            <v>44530</v>
          </cell>
          <cell r="W1723">
            <v>44530</v>
          </cell>
          <cell r="X1723">
            <v>41100311</v>
          </cell>
        </row>
        <row r="1724">
          <cell r="K1724" t="str">
            <v>GBWS-1833</v>
          </cell>
          <cell r="L1724">
            <v>44511</v>
          </cell>
          <cell r="M1724">
            <v>44511</v>
          </cell>
          <cell r="N1724">
            <v>44523</v>
          </cell>
          <cell r="O1724">
            <v>44511</v>
          </cell>
          <cell r="P1724">
            <v>44522</v>
          </cell>
          <cell r="Q1724" t="str">
            <v>2021-11-18 → 11/22 → 11/23</v>
          </cell>
          <cell r="R1724" t="str">
            <v>2021-11-18 → 11/22 → 11/23</v>
          </cell>
          <cell r="S1724"/>
          <cell r="T1724">
            <v>44524</v>
          </cell>
          <cell r="U1724">
            <v>44529</v>
          </cell>
          <cell r="V1724">
            <v>44530</v>
          </cell>
          <cell r="W1724">
            <v>44530</v>
          </cell>
          <cell r="X1724">
            <v>41100347</v>
          </cell>
        </row>
        <row r="1725">
          <cell r="K1725" t="str">
            <v>GBWS-1834</v>
          </cell>
          <cell r="L1725">
            <v>44511</v>
          </cell>
          <cell r="M1725">
            <v>44511</v>
          </cell>
          <cell r="N1725">
            <v>44523</v>
          </cell>
          <cell r="O1725">
            <v>44511</v>
          </cell>
          <cell r="P1725">
            <v>44522</v>
          </cell>
          <cell r="Q1725" t="str">
            <v>2021-11-18 → 11/22 → 11/23</v>
          </cell>
          <cell r="R1725" t="str">
            <v>2021-11-18 → 11/22 → 11/23</v>
          </cell>
          <cell r="S1725"/>
          <cell r="T1725">
            <v>44524</v>
          </cell>
          <cell r="U1725">
            <v>44529</v>
          </cell>
          <cell r="V1725">
            <v>44530</v>
          </cell>
          <cell r="W1725">
            <v>44530</v>
          </cell>
          <cell r="X1725">
            <v>41100347</v>
          </cell>
        </row>
        <row r="1726">
          <cell r="K1726" t="str">
            <v>GBWS-1835</v>
          </cell>
          <cell r="L1726">
            <v>44511</v>
          </cell>
          <cell r="M1726">
            <v>44511</v>
          </cell>
          <cell r="N1726">
            <v>44523</v>
          </cell>
          <cell r="O1726">
            <v>44511</v>
          </cell>
          <cell r="P1726">
            <v>44522</v>
          </cell>
          <cell r="Q1726" t="str">
            <v>2021-11-18 → 11/22 → 11/23</v>
          </cell>
          <cell r="R1726" t="str">
            <v>2021-11-18 → 11/22 → 11/23</v>
          </cell>
          <cell r="S1726"/>
          <cell r="T1726">
            <v>44524</v>
          </cell>
          <cell r="U1726">
            <v>44526</v>
          </cell>
          <cell r="V1726">
            <v>44526</v>
          </cell>
          <cell r="W1726">
            <v>44526</v>
          </cell>
          <cell r="X1726">
            <v>41100347</v>
          </cell>
        </row>
        <row r="1727">
          <cell r="K1727" t="str">
            <v>GBWS-1836</v>
          </cell>
          <cell r="L1727">
            <v>44511</v>
          </cell>
          <cell r="M1727">
            <v>44511</v>
          </cell>
          <cell r="N1727">
            <v>44523</v>
          </cell>
          <cell r="O1727">
            <v>44511</v>
          </cell>
          <cell r="P1727">
            <v>44522</v>
          </cell>
          <cell r="Q1727" t="str">
            <v>2021-11-18 → 11/22 → 11/23</v>
          </cell>
          <cell r="R1727" t="str">
            <v>2021-11-18 → 11/22 → 11/23</v>
          </cell>
          <cell r="S1727"/>
          <cell r="T1727">
            <v>44524</v>
          </cell>
          <cell r="U1727">
            <v>44529</v>
          </cell>
          <cell r="V1727">
            <v>44530</v>
          </cell>
          <cell r="W1727">
            <v>44530</v>
          </cell>
          <cell r="X1727">
            <v>41100347</v>
          </cell>
        </row>
        <row r="1728">
          <cell r="K1728" t="str">
            <v>GBWS-1864</v>
          </cell>
          <cell r="L1728">
            <v>44515</v>
          </cell>
          <cell r="M1728">
            <v>44516</v>
          </cell>
          <cell r="N1728">
            <v>44530</v>
          </cell>
          <cell r="O1728">
            <v>44516</v>
          </cell>
          <cell r="P1728">
            <v>44527</v>
          </cell>
          <cell r="Q1728" t="str">
            <v>2021-11-25 → 11/27</v>
          </cell>
          <cell r="R1728" t="str">
            <v>2021-11-25 → 11/27</v>
          </cell>
          <cell r="S1728"/>
          <cell r="T1728">
            <v>44530</v>
          </cell>
          <cell r="U1728">
            <v>44531</v>
          </cell>
          <cell r="V1728">
            <v>44532</v>
          </cell>
          <cell r="W1728">
            <v>44532</v>
          </cell>
          <cell r="X1728">
            <v>41100168</v>
          </cell>
        </row>
        <row r="1729">
          <cell r="K1729" t="str">
            <v>GBWS-1865</v>
          </cell>
          <cell r="L1729">
            <v>44515</v>
          </cell>
          <cell r="M1729">
            <v>44516</v>
          </cell>
          <cell r="N1729">
            <v>44530</v>
          </cell>
          <cell r="O1729">
            <v>44516</v>
          </cell>
          <cell r="P1729">
            <v>44527</v>
          </cell>
          <cell r="Q1729" t="str">
            <v>2021-11-25 → 11/27</v>
          </cell>
          <cell r="R1729" t="str">
            <v>2021-11-25 → 11/27</v>
          </cell>
          <cell r="S1729"/>
          <cell r="T1729">
            <v>44530</v>
          </cell>
          <cell r="U1729">
            <v>44531</v>
          </cell>
          <cell r="V1729">
            <v>44531</v>
          </cell>
          <cell r="W1729">
            <v>44532</v>
          </cell>
          <cell r="X1729">
            <v>41100168</v>
          </cell>
        </row>
        <row r="1730">
          <cell r="K1730" t="str">
            <v>GBWS-1866</v>
          </cell>
          <cell r="L1730">
            <v>44515</v>
          </cell>
          <cell r="M1730">
            <v>44516</v>
          </cell>
          <cell r="N1730">
            <v>44530</v>
          </cell>
          <cell r="O1730">
            <v>44516</v>
          </cell>
          <cell r="P1730">
            <v>44527</v>
          </cell>
          <cell r="Q1730" t="str">
            <v>2021-11-25 → 11/27</v>
          </cell>
          <cell r="R1730" t="str">
            <v>2021-11-25 → 11/27</v>
          </cell>
          <cell r="S1730"/>
          <cell r="T1730">
            <v>44530</v>
          </cell>
          <cell r="U1730">
            <v>44531</v>
          </cell>
          <cell r="V1730">
            <v>44531</v>
          </cell>
          <cell r="W1730">
            <v>44532</v>
          </cell>
          <cell r="X1730">
            <v>41100168</v>
          </cell>
        </row>
        <row r="1731">
          <cell r="K1731" t="str">
            <v>GBWS-1867</v>
          </cell>
          <cell r="L1731">
            <v>44515</v>
          </cell>
          <cell r="M1731">
            <v>44516</v>
          </cell>
          <cell r="N1731">
            <v>44530</v>
          </cell>
          <cell r="O1731">
            <v>44516</v>
          </cell>
          <cell r="P1731">
            <v>44527</v>
          </cell>
          <cell r="Q1731" t="str">
            <v>2021-11-25 → 11/27</v>
          </cell>
          <cell r="R1731" t="str">
            <v>2021-11-25 → 11/27</v>
          </cell>
          <cell r="S1731"/>
          <cell r="T1731">
            <v>44530</v>
          </cell>
          <cell r="U1731">
            <v>44531</v>
          </cell>
          <cell r="V1731">
            <v>44532</v>
          </cell>
          <cell r="W1731">
            <v>44532</v>
          </cell>
          <cell r="X1731">
            <v>41100168</v>
          </cell>
        </row>
        <row r="1732">
          <cell r="K1732" t="str">
            <v>GBWS-1821</v>
          </cell>
          <cell r="L1732">
            <v>44510</v>
          </cell>
          <cell r="M1732">
            <v>44510</v>
          </cell>
          <cell r="N1732">
            <v>44523</v>
          </cell>
          <cell r="O1732">
            <v>44510</v>
          </cell>
          <cell r="P1732">
            <v>44523</v>
          </cell>
          <cell r="Q1732" t="str">
            <v>2021-11-19 → 11/23</v>
          </cell>
          <cell r="R1732" t="str">
            <v>2021-11-19 → 11/23</v>
          </cell>
          <cell r="S1732"/>
          <cell r="T1732">
            <v>44536</v>
          </cell>
          <cell r="U1732">
            <v>44536</v>
          </cell>
          <cell r="V1732">
            <v>44536</v>
          </cell>
          <cell r="W1732">
            <v>44537</v>
          </cell>
          <cell r="X1732">
            <v>41100358</v>
          </cell>
        </row>
        <row r="1733">
          <cell r="K1733" t="str">
            <v>DBW-2487</v>
          </cell>
          <cell r="L1733">
            <v>44518</v>
          </cell>
          <cell r="M1733">
            <v>44518</v>
          </cell>
          <cell r="N1733">
            <v>44529</v>
          </cell>
          <cell r="O1733">
            <v>44518</v>
          </cell>
          <cell r="P1733">
            <v>44529</v>
          </cell>
          <cell r="Q1733">
            <v>44530</v>
          </cell>
          <cell r="R1733">
            <v>44530</v>
          </cell>
          <cell r="S1733"/>
          <cell r="T1733">
            <v>44531</v>
          </cell>
          <cell r="U1733">
            <v>44532</v>
          </cell>
          <cell r="V1733">
            <v>44533</v>
          </cell>
          <cell r="W1733">
            <v>44536</v>
          </cell>
          <cell r="X1733">
            <v>41100310</v>
          </cell>
        </row>
        <row r="1734">
          <cell r="K1734" t="str">
            <v>GBWS-1777</v>
          </cell>
          <cell r="L1734">
            <v>44503</v>
          </cell>
          <cell r="M1734">
            <v>44503</v>
          </cell>
          <cell r="N1734">
            <v>44516</v>
          </cell>
          <cell r="O1734">
            <v>44503</v>
          </cell>
          <cell r="P1734">
            <v>44516</v>
          </cell>
          <cell r="Q1734">
            <v>44515</v>
          </cell>
          <cell r="R1734">
            <v>44515</v>
          </cell>
          <cell r="S1734"/>
          <cell r="T1734">
            <v>44516</v>
          </cell>
          <cell r="U1734">
            <v>44518</v>
          </cell>
          <cell r="V1734">
            <v>44518</v>
          </cell>
          <cell r="W1734">
            <v>44518</v>
          </cell>
          <cell r="X1734">
            <v>41100320</v>
          </cell>
        </row>
        <row r="1735">
          <cell r="K1735" t="str">
            <v>DBW-2455</v>
          </cell>
          <cell r="L1735">
            <v>44470</v>
          </cell>
          <cell r="M1735">
            <v>44474</v>
          </cell>
          <cell r="N1735">
            <v>44487</v>
          </cell>
          <cell r="O1735">
            <v>44474</v>
          </cell>
          <cell r="P1735">
            <v>44489</v>
          </cell>
          <cell r="Q1735" t="str">
            <v>2021-10-15 → 10/20</v>
          </cell>
          <cell r="R1735" t="str">
            <v>2021-10-15 → 10/20</v>
          </cell>
          <cell r="S1735"/>
          <cell r="T1735">
            <v>44490</v>
          </cell>
          <cell r="U1735">
            <v>44494</v>
          </cell>
          <cell r="V1735">
            <v>44494</v>
          </cell>
          <cell r="W1735">
            <v>44495</v>
          </cell>
          <cell r="X1735">
            <v>41100258</v>
          </cell>
        </row>
        <row r="1736">
          <cell r="K1736" t="str">
            <v>DBW-2475</v>
          </cell>
          <cell r="L1736">
            <v>44512</v>
          </cell>
          <cell r="M1736">
            <v>44515</v>
          </cell>
          <cell r="N1736">
            <v>44526</v>
          </cell>
          <cell r="O1736">
            <v>44515</v>
          </cell>
          <cell r="P1736">
            <v>44527</v>
          </cell>
          <cell r="Q1736">
            <v>44526</v>
          </cell>
          <cell r="R1736">
            <v>44526</v>
          </cell>
          <cell r="S1736"/>
          <cell r="T1736">
            <v>44530</v>
          </cell>
          <cell r="U1736">
            <v>44531</v>
          </cell>
          <cell r="V1736">
            <v>44531</v>
          </cell>
          <cell r="W1736">
            <v>44532</v>
          </cell>
          <cell r="X1736">
            <v>41100359</v>
          </cell>
        </row>
        <row r="1737">
          <cell r="K1737" t="str">
            <v>DBW-2486</v>
          </cell>
          <cell r="L1737">
            <v>44518</v>
          </cell>
          <cell r="M1737">
            <v>44518</v>
          </cell>
          <cell r="N1737">
            <v>44529</v>
          </cell>
          <cell r="O1737">
            <v>44518</v>
          </cell>
          <cell r="P1737">
            <v>44529</v>
          </cell>
          <cell r="Q1737">
            <v>44529</v>
          </cell>
          <cell r="R1737">
            <v>44529</v>
          </cell>
          <cell r="S1737"/>
          <cell r="T1737">
            <v>44530</v>
          </cell>
          <cell r="U1737">
            <v>44531</v>
          </cell>
          <cell r="V1737">
            <v>44531</v>
          </cell>
          <cell r="W1737">
            <v>44532</v>
          </cell>
          <cell r="X1737">
            <v>41100354</v>
          </cell>
        </row>
        <row r="1738">
          <cell r="K1738" t="str">
            <v>GBWS-1878</v>
          </cell>
          <cell r="L1738">
            <v>44518</v>
          </cell>
          <cell r="M1738">
            <v>44518</v>
          </cell>
          <cell r="N1738">
            <v>44529</v>
          </cell>
          <cell r="O1738">
            <v>44518</v>
          </cell>
          <cell r="P1738">
            <v>44530</v>
          </cell>
          <cell r="Q1738">
            <v>44529</v>
          </cell>
          <cell r="R1738">
            <v>44529</v>
          </cell>
          <cell r="S1738"/>
          <cell r="T1738">
            <v>44531</v>
          </cell>
          <cell r="U1738">
            <v>44532</v>
          </cell>
          <cell r="V1738">
            <v>44533</v>
          </cell>
          <cell r="W1738">
            <v>44537</v>
          </cell>
          <cell r="X1738">
            <v>41100336</v>
          </cell>
        </row>
        <row r="1739">
          <cell r="K1739" t="str">
            <v>DBW-2479</v>
          </cell>
          <cell r="L1739">
            <v>44515</v>
          </cell>
          <cell r="M1739">
            <v>44516</v>
          </cell>
          <cell r="N1739">
            <v>44526</v>
          </cell>
          <cell r="O1739">
            <v>44516</v>
          </cell>
          <cell r="P1739">
            <v>44526</v>
          </cell>
          <cell r="Q1739">
            <v>44526</v>
          </cell>
          <cell r="R1739">
            <v>44526</v>
          </cell>
          <cell r="S1739"/>
          <cell r="T1739">
            <v>44529</v>
          </cell>
          <cell r="U1739">
            <v>44530</v>
          </cell>
          <cell r="V1739">
            <v>44531</v>
          </cell>
          <cell r="W1739">
            <v>44531</v>
          </cell>
          <cell r="X1739">
            <v>41100170</v>
          </cell>
        </row>
        <row r="1740">
          <cell r="K1740" t="str">
            <v>DBW-2480</v>
          </cell>
          <cell r="L1740">
            <v>44515</v>
          </cell>
          <cell r="M1740">
            <v>44516</v>
          </cell>
          <cell r="N1740">
            <v>44526</v>
          </cell>
          <cell r="O1740">
            <v>44516</v>
          </cell>
          <cell r="P1740">
            <v>44526</v>
          </cell>
          <cell r="Q1740">
            <v>44526</v>
          </cell>
          <cell r="R1740">
            <v>44526</v>
          </cell>
          <cell r="S1740"/>
          <cell r="T1740">
            <v>44529</v>
          </cell>
          <cell r="U1740">
            <v>44530</v>
          </cell>
          <cell r="V1740">
            <v>44531</v>
          </cell>
          <cell r="W1740">
            <v>44531</v>
          </cell>
          <cell r="X1740">
            <v>41100170</v>
          </cell>
        </row>
        <row r="1741">
          <cell r="K1741" t="str">
            <v>DBW-2481</v>
          </cell>
          <cell r="L1741">
            <v>44515</v>
          </cell>
          <cell r="M1741">
            <v>44516</v>
          </cell>
          <cell r="N1741">
            <v>44526</v>
          </cell>
          <cell r="O1741">
            <v>44516</v>
          </cell>
          <cell r="P1741">
            <v>44526</v>
          </cell>
          <cell r="Q1741">
            <v>44526</v>
          </cell>
          <cell r="R1741">
            <v>44526</v>
          </cell>
          <cell r="S1741"/>
          <cell r="T1741">
            <v>44529</v>
          </cell>
          <cell r="U1741">
            <v>44530</v>
          </cell>
          <cell r="V1741">
            <v>44531</v>
          </cell>
          <cell r="W1741">
            <v>44531</v>
          </cell>
          <cell r="X1741">
            <v>41100170</v>
          </cell>
        </row>
        <row r="1742">
          <cell r="K1742" t="str">
            <v>DBW-2482</v>
          </cell>
          <cell r="L1742">
            <v>44515</v>
          </cell>
          <cell r="M1742">
            <v>44516</v>
          </cell>
          <cell r="N1742">
            <v>44526</v>
          </cell>
          <cell r="O1742">
            <v>44516</v>
          </cell>
          <cell r="P1742">
            <v>44526</v>
          </cell>
          <cell r="Q1742">
            <v>44526</v>
          </cell>
          <cell r="R1742">
            <v>44526</v>
          </cell>
          <cell r="S1742"/>
          <cell r="T1742">
            <v>44529</v>
          </cell>
          <cell r="U1742">
            <v>44530</v>
          </cell>
          <cell r="V1742">
            <v>44531</v>
          </cell>
          <cell r="W1742">
            <v>44531</v>
          </cell>
          <cell r="X1742">
            <v>41100170</v>
          </cell>
        </row>
        <row r="1743">
          <cell r="K1743" t="str">
            <v>DBW-2483</v>
          </cell>
          <cell r="L1743">
            <v>44515</v>
          </cell>
          <cell r="M1743">
            <v>44516</v>
          </cell>
          <cell r="N1743">
            <v>44526</v>
          </cell>
          <cell r="O1743">
            <v>44516</v>
          </cell>
          <cell r="P1743">
            <v>44526</v>
          </cell>
          <cell r="Q1743">
            <v>44526</v>
          </cell>
          <cell r="R1743">
            <v>44526</v>
          </cell>
          <cell r="S1743"/>
          <cell r="T1743">
            <v>44529</v>
          </cell>
          <cell r="U1743">
            <v>44530</v>
          </cell>
          <cell r="V1743">
            <v>44531</v>
          </cell>
          <cell r="W1743">
            <v>44531</v>
          </cell>
          <cell r="X1743">
            <v>41100170</v>
          </cell>
        </row>
        <row r="1744">
          <cell r="K1744" t="str">
            <v>DBW-2484</v>
          </cell>
          <cell r="L1744">
            <v>44515</v>
          </cell>
          <cell r="M1744">
            <v>44516</v>
          </cell>
          <cell r="N1744">
            <v>44526</v>
          </cell>
          <cell r="O1744">
            <v>44516</v>
          </cell>
          <cell r="P1744">
            <v>44526</v>
          </cell>
          <cell r="Q1744">
            <v>44526</v>
          </cell>
          <cell r="R1744">
            <v>44526</v>
          </cell>
          <cell r="S1744"/>
          <cell r="T1744">
            <v>44529</v>
          </cell>
          <cell r="U1744">
            <v>44530</v>
          </cell>
          <cell r="V1744">
            <v>44531</v>
          </cell>
          <cell r="W1744">
            <v>44531</v>
          </cell>
          <cell r="X1744">
            <v>41100170</v>
          </cell>
        </row>
        <row r="1745">
          <cell r="K1745" t="str">
            <v>DBW-2463</v>
          </cell>
          <cell r="L1745">
            <v>44504</v>
          </cell>
          <cell r="M1745">
            <v>44504</v>
          </cell>
          <cell r="N1745">
            <v>44515</v>
          </cell>
          <cell r="O1745">
            <v>44504</v>
          </cell>
          <cell r="P1745">
            <v>44515</v>
          </cell>
          <cell r="Q1745">
            <v>44515</v>
          </cell>
          <cell r="R1745">
            <v>44515</v>
          </cell>
          <cell r="S1745"/>
          <cell r="T1745">
            <v>44517</v>
          </cell>
          <cell r="U1745">
            <v>44518</v>
          </cell>
          <cell r="V1745">
            <v>44519</v>
          </cell>
          <cell r="W1745">
            <v>44519</v>
          </cell>
          <cell r="X1745">
            <v>41100269</v>
          </cell>
        </row>
        <row r="1746">
          <cell r="K1746" t="str">
            <v>GBWS-1868</v>
          </cell>
          <cell r="L1746">
            <v>44517</v>
          </cell>
          <cell r="M1746">
            <v>44517</v>
          </cell>
          <cell r="N1746">
            <v>44531</v>
          </cell>
          <cell r="O1746">
            <v>44517</v>
          </cell>
          <cell r="P1746">
            <v>44531</v>
          </cell>
          <cell r="Q1746" t="str">
            <v>2021-11-29 → 12/1</v>
          </cell>
          <cell r="R1746" t="str">
            <v>2021-11-29 → 12/1</v>
          </cell>
          <cell r="S1746"/>
          <cell r="T1746">
            <v>44532</v>
          </cell>
          <cell r="U1746">
            <v>44535</v>
          </cell>
          <cell r="V1746">
            <v>44537</v>
          </cell>
          <cell r="W1746">
            <v>44537</v>
          </cell>
          <cell r="X1746">
            <v>41100386</v>
          </cell>
        </row>
        <row r="1747">
          <cell r="K1747" t="str">
            <v>GBWS-1869</v>
          </cell>
          <cell r="L1747">
            <v>44517</v>
          </cell>
          <cell r="M1747">
            <v>44517</v>
          </cell>
          <cell r="N1747">
            <v>44531</v>
          </cell>
          <cell r="O1747">
            <v>44517</v>
          </cell>
          <cell r="P1747">
            <v>44531</v>
          </cell>
          <cell r="Q1747" t="str">
            <v>2021-11-29 → 12/1</v>
          </cell>
          <cell r="R1747" t="str">
            <v>2021-11-29 → 12/1</v>
          </cell>
          <cell r="S1747"/>
          <cell r="T1747">
            <v>44532</v>
          </cell>
          <cell r="U1747">
            <v>44533</v>
          </cell>
          <cell r="V1747">
            <v>44536</v>
          </cell>
          <cell r="W1747">
            <v>44536</v>
          </cell>
          <cell r="X1747">
            <v>41100386</v>
          </cell>
        </row>
        <row r="1748">
          <cell r="K1748" t="str">
            <v>GBWS-1870</v>
          </cell>
          <cell r="L1748">
            <v>44517</v>
          </cell>
          <cell r="M1748">
            <v>44517</v>
          </cell>
          <cell r="N1748">
            <v>44531</v>
          </cell>
          <cell r="O1748">
            <v>44517</v>
          </cell>
          <cell r="P1748">
            <v>44531</v>
          </cell>
          <cell r="Q1748" t="str">
            <v>2021-11-29 → 12/1</v>
          </cell>
          <cell r="R1748" t="str">
            <v>2021-11-29 → 12/1</v>
          </cell>
          <cell r="S1748"/>
          <cell r="T1748">
            <v>44532</v>
          </cell>
          <cell r="U1748">
            <v>44533</v>
          </cell>
          <cell r="V1748">
            <v>44536</v>
          </cell>
          <cell r="W1748">
            <v>44536</v>
          </cell>
          <cell r="X1748">
            <v>41100386</v>
          </cell>
        </row>
        <row r="1749">
          <cell r="K1749" t="str">
            <v>GBWS-1896</v>
          </cell>
          <cell r="L1749">
            <v>44523</v>
          </cell>
          <cell r="M1749">
            <v>44517</v>
          </cell>
          <cell r="N1749">
            <v>44531</v>
          </cell>
          <cell r="O1749">
            <v>44523</v>
          </cell>
          <cell r="P1749">
            <v>44531</v>
          </cell>
          <cell r="Q1749" t="str">
            <v>2021-11-29 → 12/1</v>
          </cell>
          <cell r="R1749" t="str">
            <v>2021-11-29 → 12/1</v>
          </cell>
          <cell r="S1749"/>
          <cell r="T1749">
            <v>44532</v>
          </cell>
          <cell r="U1749">
            <v>44533</v>
          </cell>
          <cell r="V1749">
            <v>44536</v>
          </cell>
          <cell r="W1749">
            <v>44536</v>
          </cell>
          <cell r="X1749">
            <v>41100386</v>
          </cell>
        </row>
        <row r="1750">
          <cell r="K1750" t="str">
            <v>GBWS-1899</v>
          </cell>
          <cell r="L1750">
            <v>44523</v>
          </cell>
          <cell r="M1750">
            <v>44517</v>
          </cell>
          <cell r="N1750">
            <v>44531</v>
          </cell>
          <cell r="O1750">
            <v>44523</v>
          </cell>
          <cell r="P1750">
            <v>44531</v>
          </cell>
          <cell r="Q1750" t="str">
            <v>2021-11-29 → 12/1</v>
          </cell>
          <cell r="R1750" t="str">
            <v>2021-11-29 → 12/1</v>
          </cell>
          <cell r="S1750"/>
          <cell r="T1750">
            <v>44532</v>
          </cell>
          <cell r="U1750">
            <v>44535</v>
          </cell>
          <cell r="V1750">
            <v>44536</v>
          </cell>
          <cell r="W1750">
            <v>44537</v>
          </cell>
          <cell r="X1750">
            <v>41100386</v>
          </cell>
        </row>
        <row r="1751">
          <cell r="K1751" t="str">
            <v>GBWS-1900</v>
          </cell>
          <cell r="L1751">
            <v>44523</v>
          </cell>
          <cell r="M1751">
            <v>44517</v>
          </cell>
          <cell r="N1751">
            <v>44531</v>
          </cell>
          <cell r="O1751">
            <v>44523</v>
          </cell>
          <cell r="P1751">
            <v>44531</v>
          </cell>
          <cell r="Q1751" t="str">
            <v>2021-11-29 → 12/1</v>
          </cell>
          <cell r="R1751" t="str">
            <v>2021-11-29 → 12/1</v>
          </cell>
          <cell r="S1751"/>
          <cell r="T1751">
            <v>44532</v>
          </cell>
          <cell r="U1751">
            <v>44535</v>
          </cell>
          <cell r="V1751">
            <v>44536</v>
          </cell>
          <cell r="W1751">
            <v>44537</v>
          </cell>
          <cell r="X1751">
            <v>41100386</v>
          </cell>
        </row>
        <row r="1752">
          <cell r="K1752" t="str">
            <v>GBWS-1901</v>
          </cell>
          <cell r="L1752">
            <v>44523</v>
          </cell>
          <cell r="M1752">
            <v>44517</v>
          </cell>
          <cell r="N1752">
            <v>44531</v>
          </cell>
          <cell r="O1752">
            <v>44523</v>
          </cell>
          <cell r="P1752">
            <v>44531</v>
          </cell>
          <cell r="Q1752" t="str">
            <v>2021-11-29 → 12/1</v>
          </cell>
          <cell r="R1752" t="str">
            <v>2021-11-29 → 12/1</v>
          </cell>
          <cell r="S1752"/>
          <cell r="T1752">
            <v>44532</v>
          </cell>
          <cell r="U1752">
            <v>44536</v>
          </cell>
          <cell r="V1752">
            <v>44536</v>
          </cell>
          <cell r="W1752">
            <v>44536</v>
          </cell>
          <cell r="X1752">
            <v>41100386</v>
          </cell>
        </row>
        <row r="1753">
          <cell r="K1753" t="str">
            <v>GBWS-1902</v>
          </cell>
          <cell r="L1753">
            <v>44523</v>
          </cell>
          <cell r="M1753">
            <v>44517</v>
          </cell>
          <cell r="N1753">
            <v>44531</v>
          </cell>
          <cell r="O1753">
            <v>44523</v>
          </cell>
          <cell r="P1753">
            <v>44531</v>
          </cell>
          <cell r="Q1753" t="str">
            <v>2021-11-29 → 12/1</v>
          </cell>
          <cell r="R1753" t="str">
            <v>2021-11-29 → 12/1</v>
          </cell>
          <cell r="S1753"/>
          <cell r="T1753">
            <v>44532</v>
          </cell>
          <cell r="U1753">
            <v>44536</v>
          </cell>
          <cell r="V1753">
            <v>44536</v>
          </cell>
          <cell r="W1753">
            <v>44537</v>
          </cell>
          <cell r="X1753">
            <v>41100386</v>
          </cell>
        </row>
        <row r="1754">
          <cell r="K1754" t="str">
            <v xml:space="preserve"> -</v>
          </cell>
          <cell r="L1754"/>
          <cell r="M1754">
            <v>44524</v>
          </cell>
          <cell r="N1754">
            <v>44538</v>
          </cell>
          <cell r="O1754">
            <v>44524</v>
          </cell>
          <cell r="P1754">
            <v>44538</v>
          </cell>
          <cell r="Q1754">
            <v>44531</v>
          </cell>
          <cell r="R1754">
            <v>44531</v>
          </cell>
          <cell r="S1754"/>
          <cell r="T1754" t="str">
            <v xml:space="preserve"> -</v>
          </cell>
          <cell r="U1754" t="str">
            <v xml:space="preserve"> -</v>
          </cell>
          <cell r="V1754">
            <v>44538</v>
          </cell>
          <cell r="W1754">
            <v>44545</v>
          </cell>
          <cell r="X1754">
            <v>31101725</v>
          </cell>
        </row>
        <row r="1755">
          <cell r="K1755" t="str">
            <v xml:space="preserve"> -</v>
          </cell>
          <cell r="L1755"/>
          <cell r="M1755">
            <v>44524</v>
          </cell>
          <cell r="N1755">
            <v>44538</v>
          </cell>
          <cell r="O1755">
            <v>44524</v>
          </cell>
          <cell r="P1755">
            <v>44538</v>
          </cell>
          <cell r="Q1755">
            <v>44531</v>
          </cell>
          <cell r="R1755">
            <v>44531</v>
          </cell>
          <cell r="S1755"/>
          <cell r="T1755" t="str">
            <v xml:space="preserve"> -</v>
          </cell>
          <cell r="U1755" t="str">
            <v xml:space="preserve"> -</v>
          </cell>
          <cell r="V1755">
            <v>44538</v>
          </cell>
          <cell r="W1755">
            <v>44545</v>
          </cell>
          <cell r="X1755">
            <v>31101726</v>
          </cell>
        </row>
        <row r="1756">
          <cell r="K1756" t="str">
            <v xml:space="preserve"> -</v>
          </cell>
          <cell r="L1756"/>
          <cell r="M1756">
            <v>44524</v>
          </cell>
          <cell r="N1756">
            <v>44538</v>
          </cell>
          <cell r="O1756">
            <v>44524</v>
          </cell>
          <cell r="P1756">
            <v>44538</v>
          </cell>
          <cell r="Q1756">
            <v>44531</v>
          </cell>
          <cell r="R1756">
            <v>44531</v>
          </cell>
          <cell r="S1756"/>
          <cell r="T1756" t="str">
            <v xml:space="preserve"> -</v>
          </cell>
          <cell r="U1756" t="str">
            <v xml:space="preserve"> -</v>
          </cell>
          <cell r="V1756">
            <v>44538</v>
          </cell>
          <cell r="W1756">
            <v>44545</v>
          </cell>
          <cell r="X1756">
            <v>31101727</v>
          </cell>
        </row>
        <row r="1757">
          <cell r="K1757" t="str">
            <v>DBW-2448</v>
          </cell>
          <cell r="L1757">
            <v>44489</v>
          </cell>
          <cell r="M1757">
            <v>44489</v>
          </cell>
          <cell r="N1757">
            <v>44498</v>
          </cell>
          <cell r="O1757">
            <v>44489</v>
          </cell>
          <cell r="P1757">
            <v>44497</v>
          </cell>
          <cell r="Q1757">
            <v>44498</v>
          </cell>
          <cell r="R1757">
            <v>44498</v>
          </cell>
          <cell r="S1757"/>
          <cell r="T1757">
            <v>44502</v>
          </cell>
          <cell r="U1757">
            <v>44505</v>
          </cell>
          <cell r="V1757">
            <v>44509</v>
          </cell>
          <cell r="W1757">
            <v>44509</v>
          </cell>
          <cell r="X1757">
            <v>41100262</v>
          </cell>
        </row>
        <row r="1758">
          <cell r="K1758" t="str">
            <v>GBWS-1842</v>
          </cell>
          <cell r="L1758">
            <v>44515</v>
          </cell>
          <cell r="M1758">
            <v>44516</v>
          </cell>
          <cell r="N1758">
            <v>44526</v>
          </cell>
          <cell r="O1758">
            <v>44516</v>
          </cell>
          <cell r="P1758">
            <v>44526</v>
          </cell>
          <cell r="Q1758">
            <v>44529</v>
          </cell>
          <cell r="R1758">
            <v>44529</v>
          </cell>
          <cell r="S1758"/>
          <cell r="T1758">
            <v>44530</v>
          </cell>
          <cell r="U1758">
            <v>44532</v>
          </cell>
          <cell r="V1758">
            <v>44531</v>
          </cell>
          <cell r="W1758">
            <v>44533</v>
          </cell>
          <cell r="X1758">
            <v>41100087</v>
          </cell>
        </row>
        <row r="1759">
          <cell r="K1759" t="str">
            <v>GBWS-1843</v>
          </cell>
          <cell r="L1759">
            <v>44515</v>
          </cell>
          <cell r="M1759">
            <v>44516</v>
          </cell>
          <cell r="N1759">
            <v>44526</v>
          </cell>
          <cell r="O1759">
            <v>44516</v>
          </cell>
          <cell r="P1759">
            <v>44526</v>
          </cell>
          <cell r="Q1759">
            <v>44529</v>
          </cell>
          <cell r="R1759">
            <v>44529</v>
          </cell>
          <cell r="S1759"/>
          <cell r="T1759">
            <v>44530</v>
          </cell>
          <cell r="U1759">
            <v>44531</v>
          </cell>
          <cell r="V1759">
            <v>44531</v>
          </cell>
          <cell r="W1759">
            <v>44533</v>
          </cell>
          <cell r="X1759">
            <v>41100087</v>
          </cell>
        </row>
        <row r="1760">
          <cell r="K1760" t="str">
            <v>GBWS-1844</v>
          </cell>
          <cell r="L1760">
            <v>44515</v>
          </cell>
          <cell r="M1760">
            <v>44516</v>
          </cell>
          <cell r="N1760">
            <v>44526</v>
          </cell>
          <cell r="O1760">
            <v>44516</v>
          </cell>
          <cell r="P1760">
            <v>44526</v>
          </cell>
          <cell r="Q1760">
            <v>44529</v>
          </cell>
          <cell r="R1760">
            <v>44529</v>
          </cell>
          <cell r="S1760"/>
          <cell r="T1760">
            <v>44530</v>
          </cell>
          <cell r="U1760">
            <v>44533</v>
          </cell>
          <cell r="V1760">
            <v>44533</v>
          </cell>
          <cell r="W1760">
            <v>44536</v>
          </cell>
          <cell r="X1760">
            <v>41100087</v>
          </cell>
        </row>
        <row r="1761">
          <cell r="K1761" t="str">
            <v>DBW-2485</v>
          </cell>
          <cell r="L1761">
            <v>44515</v>
          </cell>
          <cell r="M1761">
            <v>44516</v>
          </cell>
          <cell r="N1761">
            <v>44526</v>
          </cell>
          <cell r="O1761">
            <v>44516</v>
          </cell>
          <cell r="P1761">
            <v>44526</v>
          </cell>
          <cell r="Q1761">
            <v>44526</v>
          </cell>
          <cell r="R1761">
            <v>44526</v>
          </cell>
          <cell r="S1761"/>
          <cell r="T1761">
            <v>44530</v>
          </cell>
          <cell r="U1761">
            <v>44531</v>
          </cell>
          <cell r="V1761">
            <v>44532</v>
          </cell>
          <cell r="W1761">
            <v>44533</v>
          </cell>
          <cell r="X1761">
            <v>41100174</v>
          </cell>
        </row>
        <row r="1762">
          <cell r="K1762" t="str">
            <v>GBWS-1828</v>
          </cell>
          <cell r="L1762">
            <v>44511</v>
          </cell>
          <cell r="M1762">
            <v>44511</v>
          </cell>
          <cell r="N1762">
            <v>44526</v>
          </cell>
          <cell r="O1762">
            <v>44511</v>
          </cell>
          <cell r="P1762">
            <v>44526</v>
          </cell>
          <cell r="Q1762" t="str">
            <v>2021-11-23 → 11/24 → 11/26(14시)</v>
          </cell>
          <cell r="R1762" t="str">
            <v>2021-11-23 → 11/24 → 11/26(14시)</v>
          </cell>
          <cell r="S1762"/>
          <cell r="T1762">
            <v>44526</v>
          </cell>
          <cell r="U1762">
            <v>44529</v>
          </cell>
          <cell r="V1762">
            <v>44530</v>
          </cell>
          <cell r="W1762">
            <v>44530</v>
          </cell>
          <cell r="X1762">
            <v>41100302</v>
          </cell>
        </row>
        <row r="1763">
          <cell r="K1763" t="str">
            <v>GBWS-1829</v>
          </cell>
          <cell r="L1763">
            <v>44511</v>
          </cell>
          <cell r="M1763">
            <v>44511</v>
          </cell>
          <cell r="N1763">
            <v>44526</v>
          </cell>
          <cell r="O1763">
            <v>44511</v>
          </cell>
          <cell r="P1763">
            <v>44526</v>
          </cell>
          <cell r="Q1763" t="str">
            <v>2021-11-23 → 11/24 → 11/26(14시)</v>
          </cell>
          <cell r="R1763" t="str">
            <v>2021-11-23 → 11/24 → 11/26(14시)</v>
          </cell>
          <cell r="S1763"/>
          <cell r="T1763">
            <v>44526</v>
          </cell>
          <cell r="U1763">
            <v>44529</v>
          </cell>
          <cell r="V1763">
            <v>44530</v>
          </cell>
          <cell r="W1763">
            <v>44530</v>
          </cell>
          <cell r="X1763">
            <v>41100302</v>
          </cell>
        </row>
        <row r="1764">
          <cell r="K1764" t="str">
            <v>GBWS-1852</v>
          </cell>
          <cell r="L1764">
            <v>44515</v>
          </cell>
          <cell r="M1764">
            <v>44516</v>
          </cell>
          <cell r="N1764">
            <v>44533</v>
          </cell>
          <cell r="O1764">
            <v>44516</v>
          </cell>
          <cell r="P1764">
            <v>44531</v>
          </cell>
          <cell r="Q1764">
            <v>44532</v>
          </cell>
          <cell r="R1764">
            <v>44532</v>
          </cell>
          <cell r="S1764"/>
          <cell r="T1764">
            <v>44538</v>
          </cell>
          <cell r="U1764">
            <v>44539</v>
          </cell>
          <cell r="V1764">
            <v>44539</v>
          </cell>
          <cell r="W1764">
            <v>44539</v>
          </cell>
          <cell r="X1764">
            <v>41100286</v>
          </cell>
        </row>
        <row r="1765">
          <cell r="K1765" t="str">
            <v>GBWS-1853</v>
          </cell>
          <cell r="L1765">
            <v>44515</v>
          </cell>
          <cell r="M1765">
            <v>44516</v>
          </cell>
          <cell r="N1765">
            <v>44533</v>
          </cell>
          <cell r="O1765">
            <v>44516</v>
          </cell>
          <cell r="P1765">
            <v>44531</v>
          </cell>
          <cell r="Q1765">
            <v>44532</v>
          </cell>
          <cell r="R1765">
            <v>44532</v>
          </cell>
          <cell r="S1765"/>
          <cell r="T1765">
            <v>44538</v>
          </cell>
          <cell r="U1765">
            <v>44539</v>
          </cell>
          <cell r="V1765">
            <v>44539</v>
          </cell>
          <cell r="W1765">
            <v>44539</v>
          </cell>
          <cell r="X1765">
            <v>41100286</v>
          </cell>
        </row>
        <row r="1766">
          <cell r="K1766" t="str">
            <v xml:space="preserve">GBWS-1787 </v>
          </cell>
          <cell r="L1766">
            <v>44503</v>
          </cell>
          <cell r="M1766">
            <v>44503</v>
          </cell>
          <cell r="N1766">
            <v>44519</v>
          </cell>
          <cell r="O1766">
            <v>44503</v>
          </cell>
          <cell r="P1766">
            <v>44518</v>
          </cell>
          <cell r="Q1766" t="str">
            <v>2021-11-12 → 11/15</v>
          </cell>
          <cell r="R1766" t="str">
            <v>2021-11-12 → 11/15</v>
          </cell>
          <cell r="S1766"/>
          <cell r="T1766">
            <v>44523</v>
          </cell>
          <cell r="U1766">
            <v>44525</v>
          </cell>
          <cell r="V1766">
            <v>44529</v>
          </cell>
          <cell r="W1766">
            <v>44530</v>
          </cell>
          <cell r="X1766">
            <v>41100356</v>
          </cell>
        </row>
        <row r="1767">
          <cell r="K1767" t="str">
            <v>GBWS-1817</v>
          </cell>
          <cell r="L1767">
            <v>44510</v>
          </cell>
          <cell r="M1767">
            <v>44510</v>
          </cell>
          <cell r="N1767">
            <v>44530</v>
          </cell>
          <cell r="O1767">
            <v>44510</v>
          </cell>
          <cell r="P1767">
            <v>44530</v>
          </cell>
          <cell r="Q1767">
            <v>44530</v>
          </cell>
          <cell r="R1767">
            <v>44530</v>
          </cell>
          <cell r="S1767"/>
          <cell r="T1767">
            <v>44536</v>
          </cell>
          <cell r="U1767">
            <v>44538</v>
          </cell>
          <cell r="V1767">
            <v>44539</v>
          </cell>
          <cell r="W1767">
            <v>44539</v>
          </cell>
          <cell r="X1767">
            <v>41100390</v>
          </cell>
        </row>
        <row r="1768">
          <cell r="K1768" t="str">
            <v xml:space="preserve"> -</v>
          </cell>
          <cell r="L1768"/>
          <cell r="M1768">
            <v>44524</v>
          </cell>
          <cell r="N1768">
            <v>44538</v>
          </cell>
          <cell r="O1768">
            <v>44524</v>
          </cell>
          <cell r="P1768">
            <v>44538</v>
          </cell>
          <cell r="Q1768">
            <v>44538</v>
          </cell>
          <cell r="R1768">
            <v>44538</v>
          </cell>
          <cell r="S1768"/>
          <cell r="T1768" t="str">
            <v xml:space="preserve"> -</v>
          </cell>
          <cell r="U1768" t="str">
            <v xml:space="preserve"> -</v>
          </cell>
          <cell r="V1768">
            <v>44538</v>
          </cell>
          <cell r="W1768">
            <v>44545</v>
          </cell>
          <cell r="X1768">
            <v>31101727</v>
          </cell>
        </row>
        <row r="1769">
          <cell r="K1769" t="str">
            <v>GBWS-1810</v>
          </cell>
          <cell r="L1769">
            <v>44509</v>
          </cell>
          <cell r="M1769">
            <v>44509</v>
          </cell>
          <cell r="N1769">
            <v>44519</v>
          </cell>
          <cell r="O1769">
            <v>44509</v>
          </cell>
          <cell r="P1769">
            <v>44519</v>
          </cell>
          <cell r="Q1769">
            <v>44519</v>
          </cell>
          <cell r="R1769">
            <v>44519</v>
          </cell>
          <cell r="S1769"/>
          <cell r="T1769">
            <v>44522</v>
          </cell>
          <cell r="U1769">
            <v>44523</v>
          </cell>
          <cell r="V1769">
            <v>44524</v>
          </cell>
          <cell r="W1769">
            <v>44525</v>
          </cell>
          <cell r="X1769" t="str">
            <v>41100293 → 41100363</v>
          </cell>
        </row>
        <row r="1770">
          <cell r="K1770"/>
          <cell r="L1770"/>
          <cell r="M1770">
            <v>44538</v>
          </cell>
          <cell r="N1770">
            <v>44539</v>
          </cell>
          <cell r="O1770">
            <v>44538</v>
          </cell>
          <cell r="P1770">
            <v>44539</v>
          </cell>
          <cell r="Q1770">
            <v>44539</v>
          </cell>
          <cell r="R1770">
            <v>44539</v>
          </cell>
          <cell r="S1770"/>
          <cell r="T1770">
            <v>44540</v>
          </cell>
          <cell r="U1770">
            <v>44540</v>
          </cell>
          <cell r="V1770">
            <v>44543</v>
          </cell>
          <cell r="W1770">
            <v>44533</v>
          </cell>
          <cell r="X1770"/>
        </row>
        <row r="1771">
          <cell r="K1771" t="str">
            <v>GBWS-1743</v>
          </cell>
          <cell r="L1771">
            <v>44496</v>
          </cell>
          <cell r="M1771">
            <v>44496</v>
          </cell>
          <cell r="N1771">
            <v>44509</v>
          </cell>
          <cell r="O1771">
            <v>44496</v>
          </cell>
          <cell r="P1771">
            <v>44509</v>
          </cell>
          <cell r="Q1771" t="str">
            <v>2021-11-05 → 11/8</v>
          </cell>
          <cell r="R1771" t="str">
            <v>2021-11-05 → 11/8</v>
          </cell>
          <cell r="S1771"/>
          <cell r="T1771">
            <v>44509</v>
          </cell>
          <cell r="U1771">
            <v>44510</v>
          </cell>
          <cell r="V1771">
            <v>44511</v>
          </cell>
          <cell r="W1771">
            <v>44511</v>
          </cell>
          <cell r="X1771" t="str">
            <v>41100293 → 41100363</v>
          </cell>
        </row>
        <row r="1772">
          <cell r="K1772"/>
          <cell r="L1772"/>
          <cell r="M1772">
            <v>44538</v>
          </cell>
          <cell r="N1772">
            <v>44539</v>
          </cell>
          <cell r="O1772">
            <v>44538</v>
          </cell>
          <cell r="P1772">
            <v>44539</v>
          </cell>
          <cell r="Q1772">
            <v>44539</v>
          </cell>
          <cell r="R1772">
            <v>44539</v>
          </cell>
          <cell r="S1772"/>
          <cell r="T1772">
            <v>44540</v>
          </cell>
          <cell r="U1772">
            <v>44540</v>
          </cell>
          <cell r="V1772">
            <v>44543</v>
          </cell>
          <cell r="W1772">
            <v>44533</v>
          </cell>
          <cell r="X1772"/>
        </row>
        <row r="1773">
          <cell r="K1773" t="str">
            <v>GBWS-1811</v>
          </cell>
          <cell r="L1773">
            <v>44509</v>
          </cell>
          <cell r="M1773">
            <v>44509</v>
          </cell>
          <cell r="N1773">
            <v>44519</v>
          </cell>
          <cell r="O1773">
            <v>44509</v>
          </cell>
          <cell r="P1773">
            <v>44519</v>
          </cell>
          <cell r="Q1773">
            <v>44519</v>
          </cell>
          <cell r="R1773">
            <v>44519</v>
          </cell>
          <cell r="S1773"/>
          <cell r="T1773">
            <v>44522</v>
          </cell>
          <cell r="U1773">
            <v>44523</v>
          </cell>
          <cell r="V1773">
            <v>44524</v>
          </cell>
          <cell r="W1773">
            <v>44525</v>
          </cell>
          <cell r="X1773">
            <v>41100293</v>
          </cell>
        </row>
        <row r="1774">
          <cell r="K1774" t="str">
            <v>GBWS-1854</v>
          </cell>
          <cell r="L1774">
            <v>44515</v>
          </cell>
          <cell r="M1774">
            <v>44516</v>
          </cell>
          <cell r="N1774">
            <v>44526</v>
          </cell>
          <cell r="O1774">
            <v>44516</v>
          </cell>
          <cell r="P1774">
            <v>44525</v>
          </cell>
          <cell r="Q1774">
            <v>44526</v>
          </cell>
          <cell r="R1774">
            <v>44526</v>
          </cell>
          <cell r="S1774"/>
          <cell r="T1774">
            <v>44529</v>
          </cell>
          <cell r="U1774">
            <v>44530</v>
          </cell>
          <cell r="V1774">
            <v>44531</v>
          </cell>
          <cell r="W1774">
            <v>44531</v>
          </cell>
          <cell r="X1774">
            <v>41100293</v>
          </cell>
        </row>
        <row r="1775">
          <cell r="K1775" t="str">
            <v>GBWS-1822</v>
          </cell>
          <cell r="L1775">
            <v>44510</v>
          </cell>
          <cell r="M1775">
            <v>44510</v>
          </cell>
          <cell r="N1775">
            <v>44522</v>
          </cell>
          <cell r="O1775">
            <v>44510</v>
          </cell>
          <cell r="P1775">
            <v>44522</v>
          </cell>
          <cell r="Q1775" t="str">
            <v>2021-11-19 → 11/22</v>
          </cell>
          <cell r="R1775" t="str">
            <v>2021-11-19 → 11/22</v>
          </cell>
          <cell r="S1775"/>
          <cell r="T1775">
            <v>44523</v>
          </cell>
          <cell r="U1775">
            <v>44524</v>
          </cell>
          <cell r="V1775">
            <v>44525</v>
          </cell>
          <cell r="W1775">
            <v>44526</v>
          </cell>
          <cell r="X1775">
            <v>41100407</v>
          </cell>
        </row>
        <row r="1776">
          <cell r="K1776" t="str">
            <v>GBWS-1823</v>
          </cell>
          <cell r="L1776">
            <v>44510</v>
          </cell>
          <cell r="M1776">
            <v>44510</v>
          </cell>
          <cell r="N1776">
            <v>44522</v>
          </cell>
          <cell r="O1776">
            <v>44510</v>
          </cell>
          <cell r="P1776">
            <v>44522</v>
          </cell>
          <cell r="Q1776" t="str">
            <v>2021-11-19 → 11/22</v>
          </cell>
          <cell r="R1776" t="str">
            <v>2021-11-19 → 11/22</v>
          </cell>
          <cell r="S1776"/>
          <cell r="T1776">
            <v>44523</v>
          </cell>
          <cell r="U1776">
            <v>44524</v>
          </cell>
          <cell r="V1776">
            <v>44525</v>
          </cell>
          <cell r="W1776">
            <v>44526</v>
          </cell>
          <cell r="X1776">
            <v>41100407</v>
          </cell>
        </row>
        <row r="1777">
          <cell r="K1777" t="str">
            <v>GBWS-1824</v>
          </cell>
          <cell r="L1777">
            <v>44510</v>
          </cell>
          <cell r="M1777">
            <v>44510</v>
          </cell>
          <cell r="N1777">
            <v>44522</v>
          </cell>
          <cell r="O1777">
            <v>44510</v>
          </cell>
          <cell r="P1777">
            <v>44522</v>
          </cell>
          <cell r="Q1777" t="str">
            <v>2021-11-19 → 11/22</v>
          </cell>
          <cell r="R1777" t="str">
            <v>2021-11-19 → 11/22</v>
          </cell>
          <cell r="S1777"/>
          <cell r="T1777">
            <v>44523</v>
          </cell>
          <cell r="U1777">
            <v>44524</v>
          </cell>
          <cell r="V1777">
            <v>44525</v>
          </cell>
          <cell r="W1777">
            <v>44529</v>
          </cell>
          <cell r="X1777">
            <v>41100407</v>
          </cell>
        </row>
        <row r="1778">
          <cell r="K1778" t="str">
            <v>GBWS-1861</v>
          </cell>
          <cell r="L1778">
            <v>44515</v>
          </cell>
          <cell r="M1778">
            <v>44516</v>
          </cell>
          <cell r="N1778">
            <v>44526</v>
          </cell>
          <cell r="O1778">
            <v>44516</v>
          </cell>
          <cell r="P1778">
            <v>44529</v>
          </cell>
          <cell r="Q1778" t="str">
            <v>2021-11-26 → 11/29</v>
          </cell>
          <cell r="R1778" t="str">
            <v>2021-11-26 → 11/29</v>
          </cell>
          <cell r="S1778"/>
          <cell r="T1778">
            <v>44531</v>
          </cell>
          <cell r="U1778">
            <v>44533</v>
          </cell>
          <cell r="V1778">
            <v>44538</v>
          </cell>
          <cell r="W1778">
            <v>44538</v>
          </cell>
          <cell r="X1778">
            <v>41100320</v>
          </cell>
        </row>
        <row r="1779">
          <cell r="K1779" t="str">
            <v>GBWS-1798</v>
          </cell>
          <cell r="L1779">
            <v>44504</v>
          </cell>
          <cell r="M1779">
            <v>44504</v>
          </cell>
          <cell r="N1779">
            <v>44518</v>
          </cell>
          <cell r="O1779">
            <v>44504</v>
          </cell>
          <cell r="P1779">
            <v>44518</v>
          </cell>
          <cell r="Q1779" t="str">
            <v>2021-11-16 → 11/17 → 11/18</v>
          </cell>
          <cell r="R1779" t="str">
            <v>2021-11-16 → 11/17 → 11/18</v>
          </cell>
          <cell r="S1779"/>
          <cell r="T1779">
            <v>44519</v>
          </cell>
          <cell r="U1779">
            <v>44522</v>
          </cell>
          <cell r="V1779">
            <v>44523</v>
          </cell>
          <cell r="W1779">
            <v>44523</v>
          </cell>
          <cell r="X1779">
            <v>41100331</v>
          </cell>
        </row>
        <row r="1780">
          <cell r="K1780" t="str">
            <v>DBW-2508</v>
          </cell>
          <cell r="L1780">
            <v>44518</v>
          </cell>
          <cell r="M1780">
            <v>44518</v>
          </cell>
          <cell r="N1780">
            <v>44529</v>
          </cell>
          <cell r="O1780">
            <v>44518</v>
          </cell>
          <cell r="P1780">
            <v>44529</v>
          </cell>
          <cell r="Q1780">
            <v>44530</v>
          </cell>
          <cell r="R1780">
            <v>44530</v>
          </cell>
          <cell r="S1780"/>
          <cell r="T1780">
            <v>44531</v>
          </cell>
          <cell r="U1780">
            <v>44532</v>
          </cell>
          <cell r="V1780">
            <v>44532</v>
          </cell>
          <cell r="W1780">
            <v>44533</v>
          </cell>
          <cell r="X1780">
            <v>41100310</v>
          </cell>
        </row>
        <row r="1781">
          <cell r="K1781" t="str">
            <v xml:space="preserve">GBWS-1879 </v>
          </cell>
          <cell r="L1781">
            <v>44519</v>
          </cell>
          <cell r="M1781">
            <v>44519</v>
          </cell>
          <cell r="N1781">
            <v>44533</v>
          </cell>
          <cell r="O1781">
            <v>44519</v>
          </cell>
          <cell r="P1781">
            <v>44532</v>
          </cell>
          <cell r="Q1781">
            <v>44532</v>
          </cell>
          <cell r="R1781">
            <v>44532</v>
          </cell>
          <cell r="S1781"/>
          <cell r="T1781">
            <v>44537</v>
          </cell>
          <cell r="U1781">
            <v>44538</v>
          </cell>
          <cell r="V1781">
            <v>44538</v>
          </cell>
          <cell r="W1781">
            <v>44540</v>
          </cell>
          <cell r="X1781">
            <v>41100329</v>
          </cell>
        </row>
        <row r="1782">
          <cell r="K1782" t="str">
            <v>GBWS-1880</v>
          </cell>
          <cell r="L1782">
            <v>44519</v>
          </cell>
          <cell r="M1782">
            <v>44519</v>
          </cell>
          <cell r="N1782">
            <v>44533</v>
          </cell>
          <cell r="O1782">
            <v>44519</v>
          </cell>
          <cell r="P1782">
            <v>44532</v>
          </cell>
          <cell r="Q1782">
            <v>44532</v>
          </cell>
          <cell r="R1782">
            <v>44532</v>
          </cell>
          <cell r="S1782"/>
          <cell r="T1782">
            <v>44537</v>
          </cell>
          <cell r="U1782">
            <v>44538</v>
          </cell>
          <cell r="V1782">
            <v>44538</v>
          </cell>
          <cell r="W1782">
            <v>44539</v>
          </cell>
          <cell r="X1782">
            <v>41100329</v>
          </cell>
        </row>
        <row r="1783">
          <cell r="K1783" t="str">
            <v>GBWS-1881</v>
          </cell>
          <cell r="L1783">
            <v>44519</v>
          </cell>
          <cell r="M1783">
            <v>44519</v>
          </cell>
          <cell r="N1783">
            <v>44533</v>
          </cell>
          <cell r="O1783">
            <v>44519</v>
          </cell>
          <cell r="P1783">
            <v>44532</v>
          </cell>
          <cell r="Q1783">
            <v>44532</v>
          </cell>
          <cell r="R1783">
            <v>44532</v>
          </cell>
          <cell r="S1783"/>
          <cell r="T1783">
            <v>44537</v>
          </cell>
          <cell r="U1783">
            <v>44538</v>
          </cell>
          <cell r="V1783">
            <v>44538</v>
          </cell>
          <cell r="W1783">
            <v>44540</v>
          </cell>
          <cell r="X1783">
            <v>41100329</v>
          </cell>
        </row>
        <row r="1784">
          <cell r="K1784" t="str">
            <v>GBWS-1882</v>
          </cell>
          <cell r="L1784">
            <v>44519</v>
          </cell>
          <cell r="M1784">
            <v>44519</v>
          </cell>
          <cell r="N1784">
            <v>44533</v>
          </cell>
          <cell r="O1784">
            <v>44519</v>
          </cell>
          <cell r="P1784">
            <v>44532</v>
          </cell>
          <cell r="Q1784">
            <v>44532</v>
          </cell>
          <cell r="R1784">
            <v>44532</v>
          </cell>
          <cell r="S1784"/>
          <cell r="T1784">
            <v>44537</v>
          </cell>
          <cell r="U1784">
            <v>44538</v>
          </cell>
          <cell r="V1784">
            <v>44538</v>
          </cell>
          <cell r="W1784">
            <v>44539</v>
          </cell>
          <cell r="X1784">
            <v>41100329</v>
          </cell>
        </row>
        <row r="1785">
          <cell r="K1785" t="str">
            <v>GBWS-1883</v>
          </cell>
          <cell r="L1785">
            <v>44519</v>
          </cell>
          <cell r="M1785">
            <v>44519</v>
          </cell>
          <cell r="N1785">
            <v>44533</v>
          </cell>
          <cell r="O1785">
            <v>44519</v>
          </cell>
          <cell r="P1785">
            <v>44532</v>
          </cell>
          <cell r="Q1785">
            <v>44532</v>
          </cell>
          <cell r="R1785">
            <v>44532</v>
          </cell>
          <cell r="S1785"/>
          <cell r="T1785">
            <v>44533</v>
          </cell>
          <cell r="U1785">
            <v>44536</v>
          </cell>
          <cell r="V1785">
            <v>44537</v>
          </cell>
          <cell r="W1785">
            <v>44537</v>
          </cell>
          <cell r="X1785">
            <v>41100329</v>
          </cell>
        </row>
        <row r="1786">
          <cell r="K1786" t="str">
            <v>GBWS-1884</v>
          </cell>
          <cell r="L1786">
            <v>44519</v>
          </cell>
          <cell r="M1786">
            <v>44519</v>
          </cell>
          <cell r="N1786">
            <v>44533</v>
          </cell>
          <cell r="O1786">
            <v>44519</v>
          </cell>
          <cell r="P1786">
            <v>44532</v>
          </cell>
          <cell r="Q1786">
            <v>44532</v>
          </cell>
          <cell r="R1786">
            <v>44532</v>
          </cell>
          <cell r="S1786"/>
          <cell r="T1786">
            <v>44533</v>
          </cell>
          <cell r="U1786">
            <v>44536</v>
          </cell>
          <cell r="V1786">
            <v>44537</v>
          </cell>
          <cell r="W1786">
            <v>44537</v>
          </cell>
          <cell r="X1786">
            <v>41100329</v>
          </cell>
        </row>
        <row r="1787">
          <cell r="K1787" t="str">
            <v>GBWS-1885</v>
          </cell>
          <cell r="L1787">
            <v>44519</v>
          </cell>
          <cell r="M1787">
            <v>44519</v>
          </cell>
          <cell r="N1787">
            <v>44533</v>
          </cell>
          <cell r="O1787">
            <v>44519</v>
          </cell>
          <cell r="P1787">
            <v>44532</v>
          </cell>
          <cell r="Q1787">
            <v>44532</v>
          </cell>
          <cell r="R1787">
            <v>44532</v>
          </cell>
          <cell r="S1787"/>
          <cell r="T1787">
            <v>44536</v>
          </cell>
          <cell r="U1787">
            <v>44537</v>
          </cell>
          <cell r="V1787">
            <v>44538</v>
          </cell>
          <cell r="W1787">
            <v>44538</v>
          </cell>
          <cell r="X1787">
            <v>41100329</v>
          </cell>
        </row>
        <row r="1788">
          <cell r="K1788" t="str">
            <v>GBWS-1886</v>
          </cell>
          <cell r="L1788">
            <v>44519</v>
          </cell>
          <cell r="M1788">
            <v>44519</v>
          </cell>
          <cell r="N1788">
            <v>44533</v>
          </cell>
          <cell r="O1788">
            <v>44519</v>
          </cell>
          <cell r="P1788">
            <v>44532</v>
          </cell>
          <cell r="Q1788">
            <v>44532</v>
          </cell>
          <cell r="R1788">
            <v>44532</v>
          </cell>
          <cell r="S1788"/>
          <cell r="T1788">
            <v>44533</v>
          </cell>
          <cell r="U1788">
            <v>44536</v>
          </cell>
          <cell r="V1788">
            <v>44537</v>
          </cell>
          <cell r="W1788">
            <v>44537</v>
          </cell>
          <cell r="X1788">
            <v>41100329</v>
          </cell>
        </row>
        <row r="1789">
          <cell r="K1789" t="str">
            <v>GBWS-1887</v>
          </cell>
          <cell r="L1789">
            <v>44519</v>
          </cell>
          <cell r="M1789">
            <v>44519</v>
          </cell>
          <cell r="N1789">
            <v>44533</v>
          </cell>
          <cell r="O1789">
            <v>44519</v>
          </cell>
          <cell r="P1789">
            <v>44532</v>
          </cell>
          <cell r="Q1789">
            <v>44532</v>
          </cell>
          <cell r="R1789">
            <v>44532</v>
          </cell>
          <cell r="S1789"/>
          <cell r="T1789">
            <v>44536</v>
          </cell>
          <cell r="U1789">
            <v>44537</v>
          </cell>
          <cell r="V1789">
            <v>44538</v>
          </cell>
          <cell r="W1789">
            <v>44538</v>
          </cell>
          <cell r="X1789">
            <v>41100329</v>
          </cell>
        </row>
        <row r="1790">
          <cell r="K1790" t="str">
            <v>GBWS-1888</v>
          </cell>
          <cell r="L1790">
            <v>44519</v>
          </cell>
          <cell r="M1790">
            <v>44519</v>
          </cell>
          <cell r="N1790">
            <v>44533</v>
          </cell>
          <cell r="O1790">
            <v>44519</v>
          </cell>
          <cell r="P1790">
            <v>44532</v>
          </cell>
          <cell r="Q1790">
            <v>44532</v>
          </cell>
          <cell r="R1790">
            <v>44532</v>
          </cell>
          <cell r="S1790"/>
          <cell r="T1790">
            <v>44536</v>
          </cell>
          <cell r="U1790">
            <v>44537</v>
          </cell>
          <cell r="V1790">
            <v>44538</v>
          </cell>
          <cell r="W1790">
            <v>44538</v>
          </cell>
          <cell r="X1790">
            <v>41100329</v>
          </cell>
        </row>
        <row r="1791">
          <cell r="K1791" t="str">
            <v>GBWS-1909</v>
          </cell>
          <cell r="L1791">
            <v>44525</v>
          </cell>
          <cell r="M1791">
            <v>44525</v>
          </cell>
          <cell r="N1791">
            <v>44536</v>
          </cell>
          <cell r="O1791">
            <v>44525</v>
          </cell>
          <cell r="P1791">
            <v>44536</v>
          </cell>
          <cell r="Q1791">
            <v>44536</v>
          </cell>
          <cell r="R1791">
            <v>44536</v>
          </cell>
          <cell r="S1791"/>
          <cell r="T1791">
            <v>44538</v>
          </cell>
          <cell r="U1791">
            <v>44539</v>
          </cell>
          <cell r="V1791">
            <v>44543</v>
          </cell>
          <cell r="W1791">
            <v>44543</v>
          </cell>
          <cell r="X1791">
            <v>41100206</v>
          </cell>
        </row>
        <row r="1792">
          <cell r="K1792" t="str">
            <v>GBWS-1910</v>
          </cell>
          <cell r="L1792">
            <v>44525</v>
          </cell>
          <cell r="M1792">
            <v>44525</v>
          </cell>
          <cell r="N1792">
            <v>44536</v>
          </cell>
          <cell r="O1792">
            <v>44525</v>
          </cell>
          <cell r="P1792">
            <v>44536</v>
          </cell>
          <cell r="Q1792">
            <v>44536</v>
          </cell>
          <cell r="R1792">
            <v>44536</v>
          </cell>
          <cell r="S1792"/>
          <cell r="T1792">
            <v>44538</v>
          </cell>
          <cell r="U1792">
            <v>44539</v>
          </cell>
          <cell r="V1792">
            <v>44543</v>
          </cell>
          <cell r="W1792">
            <v>44543</v>
          </cell>
          <cell r="X1792">
            <v>41100207</v>
          </cell>
        </row>
        <row r="1793">
          <cell r="K1793" t="str">
            <v>GBWS-1911</v>
          </cell>
          <cell r="L1793">
            <v>44525</v>
          </cell>
          <cell r="M1793">
            <v>44525</v>
          </cell>
          <cell r="N1793">
            <v>44536</v>
          </cell>
          <cell r="O1793">
            <v>44525</v>
          </cell>
          <cell r="P1793">
            <v>44536</v>
          </cell>
          <cell r="Q1793">
            <v>44536</v>
          </cell>
          <cell r="R1793">
            <v>44536</v>
          </cell>
          <cell r="S1793"/>
          <cell r="T1793">
            <v>44538</v>
          </cell>
          <cell r="U1793">
            <v>44539</v>
          </cell>
          <cell r="V1793">
            <v>44543</v>
          </cell>
          <cell r="W1793">
            <v>44543</v>
          </cell>
          <cell r="X1793">
            <v>41100338</v>
          </cell>
        </row>
        <row r="1794">
          <cell r="K1794" t="str">
            <v>GBWS-1912</v>
          </cell>
          <cell r="L1794">
            <v>44525</v>
          </cell>
          <cell r="M1794">
            <v>44525</v>
          </cell>
          <cell r="N1794">
            <v>44536</v>
          </cell>
          <cell r="O1794">
            <v>44525</v>
          </cell>
          <cell r="P1794">
            <v>44536</v>
          </cell>
          <cell r="Q1794">
            <v>44536</v>
          </cell>
          <cell r="R1794">
            <v>44536</v>
          </cell>
          <cell r="S1794"/>
          <cell r="T1794">
            <v>44538</v>
          </cell>
          <cell r="U1794">
            <v>44539</v>
          </cell>
          <cell r="V1794">
            <v>44540</v>
          </cell>
          <cell r="W1794">
            <v>44543</v>
          </cell>
          <cell r="X1794">
            <v>41100338</v>
          </cell>
        </row>
        <row r="1795">
          <cell r="K1795" t="str">
            <v>DBW-2488</v>
          </cell>
          <cell r="L1795">
            <v>44523</v>
          </cell>
          <cell r="M1795">
            <v>44523</v>
          </cell>
          <cell r="N1795">
            <v>44533</v>
          </cell>
          <cell r="O1795">
            <v>44523</v>
          </cell>
          <cell r="P1795">
            <v>44536</v>
          </cell>
          <cell r="Q1795">
            <v>44533</v>
          </cell>
          <cell r="R1795">
            <v>44533</v>
          </cell>
          <cell r="S1795"/>
          <cell r="T1795">
            <v>44537</v>
          </cell>
          <cell r="U1795">
            <v>44538</v>
          </cell>
          <cell r="V1795">
            <v>44538</v>
          </cell>
          <cell r="W1795">
            <v>44539</v>
          </cell>
          <cell r="X1795">
            <v>41100170</v>
          </cell>
        </row>
        <row r="1796">
          <cell r="K1796" t="str">
            <v>DBW-2489</v>
          </cell>
          <cell r="L1796">
            <v>44523</v>
          </cell>
          <cell r="M1796">
            <v>44523</v>
          </cell>
          <cell r="N1796">
            <v>44533</v>
          </cell>
          <cell r="O1796">
            <v>44523</v>
          </cell>
          <cell r="P1796">
            <v>44536</v>
          </cell>
          <cell r="Q1796">
            <v>44533</v>
          </cell>
          <cell r="R1796">
            <v>44533</v>
          </cell>
          <cell r="S1796"/>
          <cell r="T1796">
            <v>44537</v>
          </cell>
          <cell r="U1796">
            <v>44538</v>
          </cell>
          <cell r="V1796">
            <v>44538</v>
          </cell>
          <cell r="W1796">
            <v>44539</v>
          </cell>
          <cell r="X1796">
            <v>41100170</v>
          </cell>
        </row>
        <row r="1797">
          <cell r="K1797" t="str">
            <v>DBW-2490</v>
          </cell>
          <cell r="L1797">
            <v>44523</v>
          </cell>
          <cell r="M1797">
            <v>44523</v>
          </cell>
          <cell r="N1797">
            <v>44533</v>
          </cell>
          <cell r="O1797">
            <v>44523</v>
          </cell>
          <cell r="P1797">
            <v>44536</v>
          </cell>
          <cell r="Q1797">
            <v>44533</v>
          </cell>
          <cell r="R1797">
            <v>44533</v>
          </cell>
          <cell r="S1797"/>
          <cell r="T1797">
            <v>44537</v>
          </cell>
          <cell r="U1797">
            <v>44538</v>
          </cell>
          <cell r="V1797">
            <v>44538</v>
          </cell>
          <cell r="W1797">
            <v>44539</v>
          </cell>
          <cell r="X1797">
            <v>41100170</v>
          </cell>
        </row>
        <row r="1798">
          <cell r="K1798" t="str">
            <v>DBW-2491</v>
          </cell>
          <cell r="L1798">
            <v>44523</v>
          </cell>
          <cell r="M1798">
            <v>44523</v>
          </cell>
          <cell r="N1798">
            <v>44533</v>
          </cell>
          <cell r="O1798">
            <v>44523</v>
          </cell>
          <cell r="P1798">
            <v>44536</v>
          </cell>
          <cell r="Q1798">
            <v>44533</v>
          </cell>
          <cell r="R1798">
            <v>44533</v>
          </cell>
          <cell r="S1798"/>
          <cell r="T1798">
            <v>44537</v>
          </cell>
          <cell r="U1798">
            <v>44538</v>
          </cell>
          <cell r="V1798">
            <v>44538</v>
          </cell>
          <cell r="W1798">
            <v>44539</v>
          </cell>
          <cell r="X1798">
            <v>41100170</v>
          </cell>
        </row>
        <row r="1799">
          <cell r="K1799" t="str">
            <v>DBW-2492</v>
          </cell>
          <cell r="L1799">
            <v>44523</v>
          </cell>
          <cell r="M1799">
            <v>44523</v>
          </cell>
          <cell r="N1799">
            <v>44533</v>
          </cell>
          <cell r="O1799">
            <v>44523</v>
          </cell>
          <cell r="P1799">
            <v>44536</v>
          </cell>
          <cell r="Q1799">
            <v>44533</v>
          </cell>
          <cell r="R1799">
            <v>44533</v>
          </cell>
          <cell r="S1799"/>
          <cell r="T1799">
            <v>44537</v>
          </cell>
          <cell r="U1799">
            <v>44538</v>
          </cell>
          <cell r="V1799">
            <v>44539</v>
          </cell>
          <cell r="W1799">
            <v>44540</v>
          </cell>
          <cell r="X1799">
            <v>41100169</v>
          </cell>
        </row>
        <row r="1800">
          <cell r="K1800" t="str">
            <v>DBW-2493</v>
          </cell>
          <cell r="L1800">
            <v>44523</v>
          </cell>
          <cell r="M1800">
            <v>44523</v>
          </cell>
          <cell r="N1800">
            <v>44533</v>
          </cell>
          <cell r="O1800">
            <v>44523</v>
          </cell>
          <cell r="P1800">
            <v>44536</v>
          </cell>
          <cell r="Q1800">
            <v>44533</v>
          </cell>
          <cell r="R1800">
            <v>44533</v>
          </cell>
          <cell r="S1800"/>
          <cell r="T1800">
            <v>44537</v>
          </cell>
          <cell r="U1800">
            <v>44538</v>
          </cell>
          <cell r="V1800">
            <v>44539</v>
          </cell>
          <cell r="W1800">
            <v>44540</v>
          </cell>
          <cell r="X1800">
            <v>41100169</v>
          </cell>
        </row>
        <row r="1801">
          <cell r="K1801" t="str">
            <v xml:space="preserve">GBWS-1920 </v>
          </cell>
          <cell r="L1801">
            <v>44526</v>
          </cell>
          <cell r="M1801">
            <v>44526</v>
          </cell>
          <cell r="N1801">
            <v>44538</v>
          </cell>
          <cell r="O1801">
            <v>44526</v>
          </cell>
          <cell r="P1801">
            <v>44538</v>
          </cell>
          <cell r="Q1801" t="str">
            <v>2021-12-08 → 12/7</v>
          </cell>
          <cell r="R1801" t="str">
            <v>2021-12-08 → 12/7</v>
          </cell>
          <cell r="S1801"/>
          <cell r="T1801">
            <v>44539</v>
          </cell>
          <cell r="U1801">
            <v>44540</v>
          </cell>
          <cell r="V1801">
            <v>44543</v>
          </cell>
          <cell r="W1801">
            <v>44543</v>
          </cell>
          <cell r="X1801">
            <v>41100387</v>
          </cell>
        </row>
        <row r="1802">
          <cell r="K1802" t="str">
            <v>GBWS-1921</v>
          </cell>
          <cell r="L1802">
            <v>44526</v>
          </cell>
          <cell r="M1802">
            <v>44526</v>
          </cell>
          <cell r="N1802">
            <v>44538</v>
          </cell>
          <cell r="O1802">
            <v>44526</v>
          </cell>
          <cell r="P1802">
            <v>44538</v>
          </cell>
          <cell r="Q1802" t="str">
            <v>2021-12-08 → 12/7</v>
          </cell>
          <cell r="R1802" t="str">
            <v>2021-12-08 → 12/7</v>
          </cell>
          <cell r="S1802"/>
          <cell r="T1802">
            <v>44539</v>
          </cell>
          <cell r="U1802">
            <v>44540</v>
          </cell>
          <cell r="V1802">
            <v>44543</v>
          </cell>
          <cell r="W1802">
            <v>44543</v>
          </cell>
          <cell r="X1802">
            <v>41100387</v>
          </cell>
        </row>
        <row r="1803">
          <cell r="K1803" t="str">
            <v>GBWS-1922</v>
          </cell>
          <cell r="L1803">
            <v>44526</v>
          </cell>
          <cell r="M1803">
            <v>44526</v>
          </cell>
          <cell r="N1803">
            <v>44538</v>
          </cell>
          <cell r="O1803">
            <v>44526</v>
          </cell>
          <cell r="P1803">
            <v>44538</v>
          </cell>
          <cell r="Q1803" t="str">
            <v>2021-12-08 → 12/7</v>
          </cell>
          <cell r="R1803" t="str">
            <v>2021-12-08 → 12/7</v>
          </cell>
          <cell r="S1803"/>
          <cell r="T1803">
            <v>44539</v>
          </cell>
          <cell r="U1803">
            <v>44540</v>
          </cell>
          <cell r="V1803">
            <v>44543</v>
          </cell>
          <cell r="W1803">
            <v>44543</v>
          </cell>
          <cell r="X1803">
            <v>41100387</v>
          </cell>
        </row>
        <row r="1804">
          <cell r="K1804" t="str">
            <v>GBWS-1923</v>
          </cell>
          <cell r="L1804">
            <v>44526</v>
          </cell>
          <cell r="M1804">
            <v>44526</v>
          </cell>
          <cell r="N1804">
            <v>44538</v>
          </cell>
          <cell r="O1804">
            <v>44526</v>
          </cell>
          <cell r="P1804">
            <v>44538</v>
          </cell>
          <cell r="Q1804" t="str">
            <v>2021-12-08 → 12/7</v>
          </cell>
          <cell r="R1804" t="str">
            <v>2021-12-08 → 12/7</v>
          </cell>
          <cell r="S1804"/>
          <cell r="T1804">
            <v>44539</v>
          </cell>
          <cell r="U1804">
            <v>44540</v>
          </cell>
          <cell r="V1804">
            <v>44544</v>
          </cell>
          <cell r="W1804">
            <v>44544</v>
          </cell>
          <cell r="X1804">
            <v>41100387</v>
          </cell>
        </row>
        <row r="1805">
          <cell r="K1805" t="str">
            <v>GBWS-1924</v>
          </cell>
          <cell r="L1805">
            <v>44526</v>
          </cell>
          <cell r="M1805">
            <v>44526</v>
          </cell>
          <cell r="N1805">
            <v>44538</v>
          </cell>
          <cell r="O1805">
            <v>44526</v>
          </cell>
          <cell r="P1805">
            <v>44538</v>
          </cell>
          <cell r="Q1805" t="str">
            <v>2021-12-08 → 12/7</v>
          </cell>
          <cell r="R1805" t="str">
            <v>2021-12-08 → 12/7</v>
          </cell>
          <cell r="S1805"/>
          <cell r="T1805">
            <v>44539</v>
          </cell>
          <cell r="U1805">
            <v>44540</v>
          </cell>
          <cell r="V1805">
            <v>44543</v>
          </cell>
          <cell r="W1805">
            <v>44543</v>
          </cell>
          <cell r="X1805">
            <v>41100387</v>
          </cell>
        </row>
        <row r="1806">
          <cell r="K1806" t="str">
            <v>GBWS-1925</v>
          </cell>
          <cell r="L1806">
            <v>44526</v>
          </cell>
          <cell r="M1806">
            <v>44526</v>
          </cell>
          <cell r="N1806">
            <v>44538</v>
          </cell>
          <cell r="O1806">
            <v>44526</v>
          </cell>
          <cell r="P1806">
            <v>44538</v>
          </cell>
          <cell r="Q1806" t="str">
            <v>2021-12-08 → 12/7</v>
          </cell>
          <cell r="R1806" t="str">
            <v>2021-12-08 → 12/7</v>
          </cell>
          <cell r="S1806"/>
          <cell r="T1806">
            <v>44539</v>
          </cell>
          <cell r="U1806">
            <v>44540</v>
          </cell>
          <cell r="V1806">
            <v>44543</v>
          </cell>
          <cell r="W1806">
            <v>44543</v>
          </cell>
          <cell r="X1806">
            <v>41100387</v>
          </cell>
        </row>
        <row r="1807">
          <cell r="K1807" t="str">
            <v>GBWS-1918</v>
          </cell>
          <cell r="L1807">
            <v>44526</v>
          </cell>
          <cell r="M1807">
            <v>44526</v>
          </cell>
          <cell r="N1807">
            <v>44538</v>
          </cell>
          <cell r="O1807">
            <v>44526</v>
          </cell>
          <cell r="P1807">
            <v>44538</v>
          </cell>
          <cell r="Q1807">
            <v>44538</v>
          </cell>
          <cell r="R1807">
            <v>44538</v>
          </cell>
          <cell r="S1807"/>
          <cell r="T1807">
            <v>44539</v>
          </cell>
          <cell r="U1807">
            <v>44543</v>
          </cell>
          <cell r="V1807">
            <v>44544</v>
          </cell>
          <cell r="W1807">
            <v>44544</v>
          </cell>
          <cell r="X1807">
            <v>41100086</v>
          </cell>
        </row>
        <row r="1808">
          <cell r="K1808" t="str">
            <v>GBWS-1919</v>
          </cell>
          <cell r="L1808">
            <v>44526</v>
          </cell>
          <cell r="M1808">
            <v>44526</v>
          </cell>
          <cell r="N1808">
            <v>44538</v>
          </cell>
          <cell r="O1808">
            <v>44526</v>
          </cell>
          <cell r="P1808">
            <v>44538</v>
          </cell>
          <cell r="Q1808">
            <v>44538</v>
          </cell>
          <cell r="R1808">
            <v>44538</v>
          </cell>
          <cell r="S1808"/>
          <cell r="T1808">
            <v>44539</v>
          </cell>
          <cell r="U1808">
            <v>44543</v>
          </cell>
          <cell r="V1808">
            <v>44544</v>
          </cell>
          <cell r="W1808">
            <v>44544</v>
          </cell>
          <cell r="X1808">
            <v>41100086</v>
          </cell>
        </row>
        <row r="1809">
          <cell r="K1809" t="str">
            <v>DBW-2498</v>
          </cell>
          <cell r="L1809">
            <v>44526</v>
          </cell>
          <cell r="M1809">
            <v>44526</v>
          </cell>
          <cell r="N1809">
            <v>44538</v>
          </cell>
          <cell r="O1809">
            <v>44526</v>
          </cell>
          <cell r="P1809">
            <v>44538</v>
          </cell>
          <cell r="Q1809" t="str">
            <v>2021-12-06 → 12/8</v>
          </cell>
          <cell r="R1809" t="str">
            <v>2021-12-06 → 12/8</v>
          </cell>
          <cell r="S1809"/>
          <cell r="T1809">
            <v>44539</v>
          </cell>
          <cell r="U1809">
            <v>44543</v>
          </cell>
          <cell r="V1809">
            <v>44544</v>
          </cell>
          <cell r="W1809">
            <v>44544</v>
          </cell>
          <cell r="X1809">
            <v>41100376</v>
          </cell>
        </row>
        <row r="1810">
          <cell r="K1810" t="str">
            <v>GBWS-1845</v>
          </cell>
          <cell r="L1810">
            <v>44515</v>
          </cell>
          <cell r="M1810">
            <v>44516</v>
          </cell>
          <cell r="N1810">
            <v>44526</v>
          </cell>
          <cell r="O1810">
            <v>44516</v>
          </cell>
          <cell r="P1810">
            <v>44526</v>
          </cell>
          <cell r="Q1810">
            <v>44529</v>
          </cell>
          <cell r="R1810">
            <v>44529</v>
          </cell>
          <cell r="S1810"/>
          <cell r="T1810">
            <v>44530</v>
          </cell>
          <cell r="U1810">
            <v>44531</v>
          </cell>
          <cell r="V1810">
            <v>44532</v>
          </cell>
          <cell r="W1810">
            <v>44533</v>
          </cell>
          <cell r="X1810">
            <v>41100087</v>
          </cell>
        </row>
        <row r="1811">
          <cell r="K1811" t="str">
            <v>GBWS-1846</v>
          </cell>
          <cell r="L1811">
            <v>44515</v>
          </cell>
          <cell r="M1811">
            <v>44516</v>
          </cell>
          <cell r="N1811">
            <v>44526</v>
          </cell>
          <cell r="O1811">
            <v>44516</v>
          </cell>
          <cell r="P1811">
            <v>44526</v>
          </cell>
          <cell r="Q1811">
            <v>44529</v>
          </cell>
          <cell r="R1811">
            <v>44529</v>
          </cell>
          <cell r="S1811"/>
          <cell r="T1811">
            <v>44531</v>
          </cell>
          <cell r="U1811">
            <v>44532</v>
          </cell>
          <cell r="V1811">
            <v>44533</v>
          </cell>
          <cell r="W1811">
            <v>44536</v>
          </cell>
          <cell r="X1811">
            <v>41100087</v>
          </cell>
        </row>
        <row r="1812">
          <cell r="K1812" t="str">
            <v>GBWS-1847</v>
          </cell>
          <cell r="L1812">
            <v>44515</v>
          </cell>
          <cell r="M1812">
            <v>44516</v>
          </cell>
          <cell r="N1812">
            <v>44526</v>
          </cell>
          <cell r="O1812">
            <v>44516</v>
          </cell>
          <cell r="P1812">
            <v>44526</v>
          </cell>
          <cell r="Q1812">
            <v>44529</v>
          </cell>
          <cell r="R1812">
            <v>44529</v>
          </cell>
          <cell r="S1812"/>
          <cell r="T1812">
            <v>44531</v>
          </cell>
          <cell r="U1812">
            <v>44532</v>
          </cell>
          <cell r="V1812">
            <v>44533</v>
          </cell>
          <cell r="W1812">
            <v>44536</v>
          </cell>
          <cell r="X1812">
            <v>41100087</v>
          </cell>
        </row>
        <row r="1813">
          <cell r="K1813" t="str">
            <v>GBWS-1848</v>
          </cell>
          <cell r="L1813">
            <v>44515</v>
          </cell>
          <cell r="M1813">
            <v>44516</v>
          </cell>
          <cell r="N1813">
            <v>44526</v>
          </cell>
          <cell r="O1813">
            <v>44516</v>
          </cell>
          <cell r="P1813">
            <v>44526</v>
          </cell>
          <cell r="Q1813">
            <v>44529</v>
          </cell>
          <cell r="R1813">
            <v>44529</v>
          </cell>
          <cell r="S1813"/>
          <cell r="T1813">
            <v>44530</v>
          </cell>
          <cell r="U1813">
            <v>44532</v>
          </cell>
          <cell r="V1813">
            <v>44532</v>
          </cell>
          <cell r="W1813">
            <v>44536</v>
          </cell>
          <cell r="X1813">
            <v>41100087</v>
          </cell>
        </row>
        <row r="1814">
          <cell r="K1814" t="str">
            <v>GBWS-1849</v>
          </cell>
          <cell r="L1814">
            <v>44515</v>
          </cell>
          <cell r="M1814">
            <v>44516</v>
          </cell>
          <cell r="N1814">
            <v>44529</v>
          </cell>
          <cell r="O1814">
            <v>44516</v>
          </cell>
          <cell r="P1814">
            <v>44526</v>
          </cell>
          <cell r="Q1814">
            <v>44529</v>
          </cell>
          <cell r="R1814">
            <v>44529</v>
          </cell>
          <cell r="S1814"/>
          <cell r="T1814">
            <v>44531</v>
          </cell>
          <cell r="U1814">
            <v>44531</v>
          </cell>
          <cell r="V1814">
            <v>44532</v>
          </cell>
          <cell r="W1814">
            <v>44533</v>
          </cell>
          <cell r="X1814">
            <v>41100387</v>
          </cell>
        </row>
        <row r="1815">
          <cell r="K1815" t="str">
            <v>GBWS-1850</v>
          </cell>
          <cell r="L1815">
            <v>44515</v>
          </cell>
          <cell r="M1815">
            <v>44516</v>
          </cell>
          <cell r="N1815">
            <v>44529</v>
          </cell>
          <cell r="O1815">
            <v>44516</v>
          </cell>
          <cell r="P1815">
            <v>44526</v>
          </cell>
          <cell r="Q1815">
            <v>44529</v>
          </cell>
          <cell r="R1815">
            <v>44529</v>
          </cell>
          <cell r="S1815"/>
          <cell r="T1815">
            <v>44531</v>
          </cell>
          <cell r="U1815">
            <v>44532</v>
          </cell>
          <cell r="V1815">
            <v>44533</v>
          </cell>
          <cell r="W1815">
            <v>44536</v>
          </cell>
          <cell r="X1815">
            <v>41100387</v>
          </cell>
        </row>
        <row r="1816">
          <cell r="K1816" t="str">
            <v>GBWS-1851</v>
          </cell>
          <cell r="L1816">
            <v>44515</v>
          </cell>
          <cell r="M1816">
            <v>44516</v>
          </cell>
          <cell r="N1816">
            <v>44529</v>
          </cell>
          <cell r="O1816">
            <v>44516</v>
          </cell>
          <cell r="P1816">
            <v>44526</v>
          </cell>
          <cell r="Q1816">
            <v>44529</v>
          </cell>
          <cell r="R1816">
            <v>44529</v>
          </cell>
          <cell r="S1816"/>
          <cell r="T1816">
            <v>44531</v>
          </cell>
          <cell r="U1816">
            <v>44532</v>
          </cell>
          <cell r="V1816">
            <v>44532</v>
          </cell>
          <cell r="W1816">
            <v>44533</v>
          </cell>
          <cell r="X1816">
            <v>41100387</v>
          </cell>
        </row>
        <row r="1817">
          <cell r="K1817" t="str">
            <v>GBWS-1871</v>
          </cell>
          <cell r="L1817">
            <v>44517</v>
          </cell>
          <cell r="M1817">
            <v>44523</v>
          </cell>
          <cell r="N1817">
            <v>44539</v>
          </cell>
          <cell r="O1817">
            <v>44517</v>
          </cell>
          <cell r="P1817">
            <v>44538</v>
          </cell>
          <cell r="Q1817" t="str">
            <v>2021-12-02 → 12/7</v>
          </cell>
          <cell r="R1817" t="str">
            <v>2021-12-02 → 12/7</v>
          </cell>
          <cell r="S1817"/>
          <cell r="T1817">
            <v>44540</v>
          </cell>
          <cell r="U1817">
            <v>44543</v>
          </cell>
          <cell r="V1817">
            <v>44544</v>
          </cell>
          <cell r="W1817">
            <v>44545</v>
          </cell>
          <cell r="X1817">
            <v>41100386</v>
          </cell>
        </row>
        <row r="1818">
          <cell r="K1818" t="str">
            <v>GBWS-1874</v>
          </cell>
          <cell r="L1818">
            <v>44517</v>
          </cell>
          <cell r="M1818">
            <v>44523</v>
          </cell>
          <cell r="N1818">
            <v>44537</v>
          </cell>
          <cell r="O1818">
            <v>44517</v>
          </cell>
          <cell r="P1818">
            <v>44537</v>
          </cell>
          <cell r="Q1818" t="str">
            <v>2021-12-02 → 12/7</v>
          </cell>
          <cell r="R1818" t="str">
            <v>2021-12-02 → 12/7</v>
          </cell>
          <cell r="S1818"/>
          <cell r="T1818">
            <v>44538</v>
          </cell>
          <cell r="U1818">
            <v>44539</v>
          </cell>
          <cell r="V1818">
            <v>44540</v>
          </cell>
          <cell r="W1818">
            <v>44540</v>
          </cell>
          <cell r="X1818">
            <v>41100386</v>
          </cell>
        </row>
        <row r="1819">
          <cell r="K1819" t="str">
            <v>DBW-2496</v>
          </cell>
          <cell r="L1819">
            <v>44523</v>
          </cell>
          <cell r="M1819">
            <v>44523</v>
          </cell>
          <cell r="N1819">
            <v>44533</v>
          </cell>
          <cell r="O1819">
            <v>44523</v>
          </cell>
          <cell r="P1819">
            <v>44533</v>
          </cell>
          <cell r="Q1819" t="str">
            <v>2021-12-01 → 12/2</v>
          </cell>
          <cell r="R1819" t="str">
            <v>2021-12-01 → 12/2</v>
          </cell>
          <cell r="S1819"/>
          <cell r="T1819">
            <v>44533</v>
          </cell>
          <cell r="U1819">
            <v>44536</v>
          </cell>
          <cell r="V1819">
            <v>44537</v>
          </cell>
          <cell r="W1819">
            <v>44538</v>
          </cell>
          <cell r="X1819">
            <v>41100173</v>
          </cell>
        </row>
        <row r="1820">
          <cell r="K1820" t="str">
            <v>DBW-2497</v>
          </cell>
          <cell r="L1820">
            <v>44523</v>
          </cell>
          <cell r="M1820">
            <v>44523</v>
          </cell>
          <cell r="N1820">
            <v>44533</v>
          </cell>
          <cell r="O1820">
            <v>44523</v>
          </cell>
          <cell r="P1820">
            <v>44533</v>
          </cell>
          <cell r="Q1820" t="str">
            <v>2021-12-01 → 12/2</v>
          </cell>
          <cell r="R1820" t="str">
            <v>2021-12-01 → 12/2</v>
          </cell>
          <cell r="S1820"/>
          <cell r="T1820">
            <v>44533</v>
          </cell>
          <cell r="U1820">
            <v>44536</v>
          </cell>
          <cell r="V1820">
            <v>44537</v>
          </cell>
          <cell r="W1820">
            <v>44538</v>
          </cell>
          <cell r="X1820">
            <v>41100173</v>
          </cell>
        </row>
        <row r="1821">
          <cell r="K1821" t="str">
            <v>GPWS-0205</v>
          </cell>
          <cell r="L1821">
            <v>44526</v>
          </cell>
          <cell r="M1821">
            <v>44526</v>
          </cell>
          <cell r="N1821">
            <v>44538</v>
          </cell>
          <cell r="O1821">
            <v>44526</v>
          </cell>
          <cell r="P1821">
            <v>44538</v>
          </cell>
          <cell r="Q1821">
            <v>44538</v>
          </cell>
          <cell r="R1821">
            <v>44538</v>
          </cell>
          <cell r="S1821"/>
          <cell r="T1821">
            <v>44539</v>
          </cell>
          <cell r="U1821">
            <v>44540</v>
          </cell>
          <cell r="V1821">
            <v>44543</v>
          </cell>
          <cell r="W1821">
            <v>44544</v>
          </cell>
          <cell r="X1821">
            <v>41100426</v>
          </cell>
        </row>
        <row r="1822">
          <cell r="K1822" t="str">
            <v>DBW-2499</v>
          </cell>
          <cell r="L1822">
            <v>44526</v>
          </cell>
          <cell r="M1822">
            <v>44526</v>
          </cell>
          <cell r="N1822">
            <v>44538</v>
          </cell>
          <cell r="O1822">
            <v>44526</v>
          </cell>
          <cell r="P1822">
            <v>44538</v>
          </cell>
          <cell r="Q1822" t="str">
            <v>2021-12-06 → 12/8</v>
          </cell>
          <cell r="R1822" t="str">
            <v>2021-12-06 → 12/8</v>
          </cell>
          <cell r="S1822"/>
          <cell r="T1822">
            <v>44539</v>
          </cell>
          <cell r="U1822">
            <v>44543</v>
          </cell>
          <cell r="V1822">
            <v>44544</v>
          </cell>
          <cell r="W1822">
            <v>44544</v>
          </cell>
          <cell r="X1822">
            <v>41100376</v>
          </cell>
        </row>
        <row r="1823">
          <cell r="K1823" t="str">
            <v>GBWS-1894</v>
          </cell>
          <cell r="L1823">
            <v>44523</v>
          </cell>
          <cell r="M1823">
            <v>44523</v>
          </cell>
          <cell r="N1823">
            <v>44537</v>
          </cell>
          <cell r="O1823">
            <v>44523</v>
          </cell>
          <cell r="P1823">
            <v>44537</v>
          </cell>
          <cell r="Q1823" t="str">
            <v>2021-12-02 → 12/7</v>
          </cell>
          <cell r="R1823" t="str">
            <v>2021-12-02 → 12/7</v>
          </cell>
          <cell r="S1823"/>
          <cell r="T1823">
            <v>44543</v>
          </cell>
          <cell r="U1823">
            <v>44544</v>
          </cell>
          <cell r="V1823">
            <v>44545</v>
          </cell>
          <cell r="W1823">
            <v>44545</v>
          </cell>
          <cell r="X1823">
            <v>41100411</v>
          </cell>
        </row>
        <row r="1824">
          <cell r="K1824" t="str">
            <v>GBWS-1895</v>
          </cell>
          <cell r="L1824">
            <v>44523</v>
          </cell>
          <cell r="M1824">
            <v>44523</v>
          </cell>
          <cell r="N1824">
            <v>44537</v>
          </cell>
          <cell r="O1824">
            <v>44523</v>
          </cell>
          <cell r="P1824">
            <v>44537</v>
          </cell>
          <cell r="Q1824" t="str">
            <v>2021-12-02 → 12/7</v>
          </cell>
          <cell r="R1824" t="str">
            <v>2021-12-02 → 12/7</v>
          </cell>
          <cell r="S1824"/>
          <cell r="T1824">
            <v>44543</v>
          </cell>
          <cell r="U1824">
            <v>44544</v>
          </cell>
          <cell r="V1824">
            <v>44545</v>
          </cell>
          <cell r="W1824">
            <v>44545</v>
          </cell>
          <cell r="X1824">
            <v>41100411</v>
          </cell>
        </row>
        <row r="1825">
          <cell r="K1825" t="str">
            <v>GBWS-1897</v>
          </cell>
          <cell r="L1825">
            <v>44523</v>
          </cell>
          <cell r="M1825">
            <v>44523</v>
          </cell>
          <cell r="N1825">
            <v>44537</v>
          </cell>
          <cell r="O1825">
            <v>44523</v>
          </cell>
          <cell r="P1825">
            <v>44537</v>
          </cell>
          <cell r="Q1825" t="str">
            <v>2021-12-02 → 12/7</v>
          </cell>
          <cell r="R1825" t="str">
            <v>2021-12-02 → 12/7</v>
          </cell>
          <cell r="S1825"/>
          <cell r="T1825">
            <v>44540</v>
          </cell>
          <cell r="U1825">
            <v>44543</v>
          </cell>
          <cell r="V1825">
            <v>44544</v>
          </cell>
          <cell r="W1825">
            <v>44545</v>
          </cell>
          <cell r="X1825">
            <v>41100410</v>
          </cell>
        </row>
        <row r="1826">
          <cell r="K1826" t="str">
            <v>GBWS-1898</v>
          </cell>
          <cell r="L1826">
            <v>44523</v>
          </cell>
          <cell r="M1826">
            <v>44523</v>
          </cell>
          <cell r="N1826">
            <v>44537</v>
          </cell>
          <cell r="O1826">
            <v>44523</v>
          </cell>
          <cell r="P1826">
            <v>44537</v>
          </cell>
          <cell r="Q1826" t="str">
            <v>2021-12-02 → 12/7</v>
          </cell>
          <cell r="R1826" t="str">
            <v>2021-12-02 → 12/7</v>
          </cell>
          <cell r="S1826"/>
          <cell r="T1826">
            <v>44540</v>
          </cell>
          <cell r="U1826">
            <v>44543</v>
          </cell>
          <cell r="V1826">
            <v>44544</v>
          </cell>
          <cell r="W1826">
            <v>44545</v>
          </cell>
          <cell r="X1826">
            <v>41100410</v>
          </cell>
        </row>
        <row r="1827">
          <cell r="K1827" t="str">
            <v>GBWS-1906</v>
          </cell>
          <cell r="L1827">
            <v>44523</v>
          </cell>
          <cell r="M1827">
            <v>44523</v>
          </cell>
          <cell r="N1827">
            <v>44538</v>
          </cell>
          <cell r="O1827">
            <v>44523</v>
          </cell>
          <cell r="P1827">
            <v>44538</v>
          </cell>
          <cell r="Q1827" t="str">
            <v>2021-12-02 → 12/7</v>
          </cell>
          <cell r="R1827" t="str">
            <v>2021-12-02 → 12/7</v>
          </cell>
          <cell r="S1827"/>
          <cell r="T1827">
            <v>44543</v>
          </cell>
          <cell r="U1827">
            <v>44544</v>
          </cell>
          <cell r="V1827">
            <v>44545</v>
          </cell>
          <cell r="W1827">
            <v>44545</v>
          </cell>
          <cell r="X1827">
            <v>41100386</v>
          </cell>
        </row>
        <row r="1828">
          <cell r="K1828" t="str">
            <v>GBWS-1907</v>
          </cell>
          <cell r="L1828">
            <v>44523</v>
          </cell>
          <cell r="M1828">
            <v>44523</v>
          </cell>
          <cell r="N1828">
            <v>44538</v>
          </cell>
          <cell r="O1828">
            <v>44523</v>
          </cell>
          <cell r="P1828">
            <v>44538</v>
          </cell>
          <cell r="Q1828" t="str">
            <v>2021-12-02 → 12/7</v>
          </cell>
          <cell r="R1828" t="str">
            <v>2021-12-02 → 12/7</v>
          </cell>
          <cell r="S1828"/>
          <cell r="T1828">
            <v>44543</v>
          </cell>
          <cell r="U1828">
            <v>44544</v>
          </cell>
          <cell r="V1828">
            <v>44545</v>
          </cell>
          <cell r="W1828">
            <v>44545</v>
          </cell>
          <cell r="X1828">
            <v>41100386</v>
          </cell>
        </row>
        <row r="1829">
          <cell r="K1829" t="str">
            <v>GBWS-1908</v>
          </cell>
          <cell r="L1829">
            <v>44523</v>
          </cell>
          <cell r="M1829">
            <v>44523</v>
          </cell>
          <cell r="N1829">
            <v>44538</v>
          </cell>
          <cell r="O1829">
            <v>44523</v>
          </cell>
          <cell r="P1829">
            <v>44538</v>
          </cell>
          <cell r="Q1829" t="str">
            <v>2021-12-02 → 12/7</v>
          </cell>
          <cell r="R1829" t="str">
            <v>2021-12-02 → 12/7</v>
          </cell>
          <cell r="S1829"/>
          <cell r="T1829">
            <v>44543</v>
          </cell>
          <cell r="U1829">
            <v>44544</v>
          </cell>
          <cell r="V1829">
            <v>44545</v>
          </cell>
          <cell r="W1829">
            <v>44545</v>
          </cell>
          <cell r="X1829">
            <v>41100386</v>
          </cell>
        </row>
        <row r="1830">
          <cell r="K1830" t="str">
            <v>SOS-0257</v>
          </cell>
          <cell r="L1830">
            <v>44532</v>
          </cell>
          <cell r="M1830">
            <v>44532</v>
          </cell>
          <cell r="N1830">
            <v>44536</v>
          </cell>
          <cell r="O1830">
            <v>44532</v>
          </cell>
          <cell r="P1830">
            <v>44536</v>
          </cell>
          <cell r="Q1830">
            <v>44536</v>
          </cell>
          <cell r="R1830">
            <v>44536</v>
          </cell>
          <cell r="S1830"/>
          <cell r="T1830">
            <v>44537</v>
          </cell>
          <cell r="U1830">
            <v>44537</v>
          </cell>
          <cell r="V1830">
            <v>44538</v>
          </cell>
          <cell r="W1830">
            <v>44539</v>
          </cell>
          <cell r="X1830">
            <v>41100299</v>
          </cell>
        </row>
        <row r="1831">
          <cell r="K1831" t="str">
            <v>IVAS-100</v>
          </cell>
          <cell r="L1831">
            <v>44508</v>
          </cell>
          <cell r="M1831">
            <v>44509</v>
          </cell>
          <cell r="N1831">
            <v>44524</v>
          </cell>
          <cell r="O1831">
            <v>44509</v>
          </cell>
          <cell r="P1831">
            <v>44529</v>
          </cell>
          <cell r="Q1831" t="str">
            <v>2021-11-22 → 11/24 → 11/25</v>
          </cell>
          <cell r="R1831" t="str">
            <v>2021-11-22 → 11/24 → 11/25</v>
          </cell>
          <cell r="S1831"/>
          <cell r="T1831">
            <v>44526</v>
          </cell>
          <cell r="U1831">
            <v>44535</v>
          </cell>
          <cell r="V1831">
            <v>44538</v>
          </cell>
          <cell r="W1831">
            <v>44540</v>
          </cell>
          <cell r="X1831">
            <v>41100397</v>
          </cell>
        </row>
        <row r="1832">
          <cell r="K1832" t="str">
            <v>IVAS-101</v>
          </cell>
          <cell r="L1832">
            <v>44508</v>
          </cell>
          <cell r="M1832">
            <v>44509</v>
          </cell>
          <cell r="N1832">
            <v>44524</v>
          </cell>
          <cell r="O1832">
            <v>44509</v>
          </cell>
          <cell r="P1832">
            <v>44529</v>
          </cell>
          <cell r="Q1832" t="str">
            <v>2021-11-22 → 11/24 → 11/25</v>
          </cell>
          <cell r="R1832" t="str">
            <v>2021-11-22 → 11/24 → 11/25</v>
          </cell>
          <cell r="S1832"/>
          <cell r="T1832">
            <v>44526</v>
          </cell>
          <cell r="U1832">
            <v>44533</v>
          </cell>
          <cell r="V1832">
            <v>44538</v>
          </cell>
          <cell r="W1832">
            <v>44540</v>
          </cell>
          <cell r="X1832">
            <v>41100397</v>
          </cell>
        </row>
        <row r="1833">
          <cell r="K1833" t="str">
            <v>IVAS-102</v>
          </cell>
          <cell r="L1833">
            <v>44508</v>
          </cell>
          <cell r="M1833">
            <v>44509</v>
          </cell>
          <cell r="N1833">
            <v>44524</v>
          </cell>
          <cell r="O1833">
            <v>44509</v>
          </cell>
          <cell r="P1833">
            <v>44529</v>
          </cell>
          <cell r="Q1833" t="str">
            <v>2021-11-22 → 11/24 → 11/25</v>
          </cell>
          <cell r="R1833" t="str">
            <v>2021-11-22 → 11/24 → 11/25</v>
          </cell>
          <cell r="S1833"/>
          <cell r="T1833">
            <v>44526</v>
          </cell>
          <cell r="U1833">
            <v>44533</v>
          </cell>
          <cell r="V1833">
            <v>44538</v>
          </cell>
          <cell r="W1833">
            <v>44540</v>
          </cell>
          <cell r="X1833">
            <v>41100397</v>
          </cell>
        </row>
        <row r="1834">
          <cell r="K1834" t="str">
            <v>DBW-2427</v>
          </cell>
          <cell r="L1834">
            <v>44477</v>
          </cell>
          <cell r="M1834">
            <v>44477</v>
          </cell>
          <cell r="N1834">
            <v>44490</v>
          </cell>
          <cell r="O1834">
            <v>44477</v>
          </cell>
          <cell r="P1834">
            <v>44489</v>
          </cell>
          <cell r="Q1834" t="str">
            <v>2021-10-18 → 10/19 → 10/21</v>
          </cell>
          <cell r="R1834" t="str">
            <v>2021-10-18 → 10/19 → 10/21</v>
          </cell>
          <cell r="S1834"/>
          <cell r="T1834">
            <v>44490</v>
          </cell>
          <cell r="U1834">
            <v>44490</v>
          </cell>
          <cell r="V1834">
            <v>44494</v>
          </cell>
          <cell r="W1834">
            <v>44494</v>
          </cell>
          <cell r="X1834">
            <v>41100173</v>
          </cell>
        </row>
        <row r="1835">
          <cell r="K1835" t="str">
            <v>DBW-2428</v>
          </cell>
          <cell r="L1835">
            <v>44477</v>
          </cell>
          <cell r="M1835">
            <v>44477</v>
          </cell>
          <cell r="N1835">
            <v>44490</v>
          </cell>
          <cell r="O1835">
            <v>44477</v>
          </cell>
          <cell r="P1835">
            <v>44489</v>
          </cell>
          <cell r="Q1835" t="str">
            <v>2021-10-18 → 10/19 → 10/21</v>
          </cell>
          <cell r="R1835" t="str">
            <v>2021-10-18 → 10/19 → 10/21</v>
          </cell>
          <cell r="S1835"/>
          <cell r="T1835">
            <v>44490</v>
          </cell>
          <cell r="U1835">
            <v>44490</v>
          </cell>
          <cell r="V1835">
            <v>44494</v>
          </cell>
          <cell r="W1835">
            <v>44494</v>
          </cell>
          <cell r="X1835">
            <v>41100173</v>
          </cell>
        </row>
        <row r="1836">
          <cell r="K1836" t="str">
            <v>WS-0046</v>
          </cell>
          <cell r="L1836">
            <v>44530</v>
          </cell>
          <cell r="M1836">
            <v>44530</v>
          </cell>
          <cell r="N1836">
            <v>44539</v>
          </cell>
          <cell r="O1836">
            <v>44530</v>
          </cell>
          <cell r="P1836">
            <v>44540</v>
          </cell>
          <cell r="Q1836">
            <v>44539</v>
          </cell>
          <cell r="R1836">
            <v>44539</v>
          </cell>
          <cell r="S1836"/>
          <cell r="T1836">
            <v>44543</v>
          </cell>
          <cell r="U1836">
            <v>44544</v>
          </cell>
          <cell r="V1836">
            <v>44546</v>
          </cell>
          <cell r="W1836">
            <v>44547</v>
          </cell>
          <cell r="X1836">
            <v>41100300</v>
          </cell>
        </row>
        <row r="1837">
          <cell r="K1837" t="str">
            <v>DBW-2510</v>
          </cell>
          <cell r="L1837">
            <v>44532</v>
          </cell>
          <cell r="M1837">
            <v>44532</v>
          </cell>
          <cell r="N1837">
            <v>44544</v>
          </cell>
          <cell r="O1837">
            <v>44532</v>
          </cell>
          <cell r="P1837">
            <v>44543</v>
          </cell>
          <cell r="Q1837" t="str">
            <v>2021-12-13 → 12/14</v>
          </cell>
          <cell r="R1837" t="str">
            <v>2021-12-13 → 12/14</v>
          </cell>
          <cell r="S1837"/>
          <cell r="T1837">
            <v>44545</v>
          </cell>
          <cell r="U1837">
            <v>44547</v>
          </cell>
          <cell r="V1837">
            <v>44547</v>
          </cell>
          <cell r="W1837">
            <v>44547</v>
          </cell>
          <cell r="X1837">
            <v>41100310</v>
          </cell>
        </row>
        <row r="1838">
          <cell r="K1838" t="str">
            <v>DBW-2511</v>
          </cell>
          <cell r="L1838">
            <v>44532</v>
          </cell>
          <cell r="M1838">
            <v>44532</v>
          </cell>
          <cell r="N1838">
            <v>44544</v>
          </cell>
          <cell r="O1838">
            <v>44532</v>
          </cell>
          <cell r="P1838">
            <v>44543</v>
          </cell>
          <cell r="Q1838" t="str">
            <v>2021-12-13 → 12/14</v>
          </cell>
          <cell r="R1838" t="str">
            <v>2021-12-13 → 12/14</v>
          </cell>
          <cell r="S1838"/>
          <cell r="T1838">
            <v>44545</v>
          </cell>
          <cell r="U1838">
            <v>44547</v>
          </cell>
          <cell r="V1838">
            <v>44547</v>
          </cell>
          <cell r="W1838">
            <v>44547</v>
          </cell>
          <cell r="X1838">
            <v>41100310</v>
          </cell>
        </row>
        <row r="1839">
          <cell r="K1839" t="str">
            <v>GBWS-1858</v>
          </cell>
          <cell r="L1839">
            <v>44515</v>
          </cell>
          <cell r="M1839">
            <v>44516</v>
          </cell>
          <cell r="N1839">
            <v>44526</v>
          </cell>
          <cell r="O1839">
            <v>44516</v>
          </cell>
          <cell r="P1839">
            <v>44529</v>
          </cell>
          <cell r="Q1839" t="str">
            <v>2021-11-26 → 11/29</v>
          </cell>
          <cell r="R1839" t="str">
            <v>2021-11-26 → 11/29</v>
          </cell>
          <cell r="S1839"/>
          <cell r="T1839">
            <v>44531</v>
          </cell>
          <cell r="U1839">
            <v>44532</v>
          </cell>
          <cell r="V1839">
            <v>44537</v>
          </cell>
          <cell r="W1839">
            <v>44537</v>
          </cell>
          <cell r="X1839">
            <v>41100321</v>
          </cell>
        </row>
        <row r="1840">
          <cell r="K1840" t="str">
            <v>GBWS-1859</v>
          </cell>
          <cell r="L1840">
            <v>44515</v>
          </cell>
          <cell r="M1840">
            <v>44516</v>
          </cell>
          <cell r="N1840">
            <v>44526</v>
          </cell>
          <cell r="O1840">
            <v>44516</v>
          </cell>
          <cell r="P1840">
            <v>44529</v>
          </cell>
          <cell r="Q1840" t="str">
            <v>2021-11-26 → 11/29</v>
          </cell>
          <cell r="R1840" t="str">
            <v>2021-11-26 → 11/29</v>
          </cell>
          <cell r="S1840"/>
          <cell r="T1840">
            <v>44531</v>
          </cell>
          <cell r="U1840">
            <v>44532</v>
          </cell>
          <cell r="V1840">
            <v>44532</v>
          </cell>
          <cell r="W1840">
            <v>44536</v>
          </cell>
          <cell r="X1840">
            <v>41100321</v>
          </cell>
        </row>
        <row r="1841">
          <cell r="K1841" t="str">
            <v>DBW-2408</v>
          </cell>
          <cell r="L1841">
            <v>44467</v>
          </cell>
          <cell r="M1841">
            <v>44468</v>
          </cell>
          <cell r="N1841">
            <v>44476</v>
          </cell>
          <cell r="O1841">
            <v>44468</v>
          </cell>
          <cell r="P1841">
            <v>44475</v>
          </cell>
          <cell r="Q1841" t="str">
            <v>2021-10-05 → 10/6 → 10/7</v>
          </cell>
          <cell r="R1841" t="str">
            <v>2021-10-05 → 10/6 → 10/7</v>
          </cell>
          <cell r="S1841"/>
          <cell r="T1841">
            <v>44483</v>
          </cell>
          <cell r="U1841">
            <v>44484</v>
          </cell>
          <cell r="V1841">
            <v>44484</v>
          </cell>
          <cell r="W1841">
            <v>44487</v>
          </cell>
          <cell r="X1841">
            <v>41100169</v>
          </cell>
        </row>
        <row r="1842">
          <cell r="K1842" t="str">
            <v>DBW-2409</v>
          </cell>
          <cell r="L1842">
            <v>44467</v>
          </cell>
          <cell r="M1842">
            <v>44468</v>
          </cell>
          <cell r="N1842">
            <v>44476</v>
          </cell>
          <cell r="O1842">
            <v>44468</v>
          </cell>
          <cell r="P1842">
            <v>44475</v>
          </cell>
          <cell r="Q1842" t="str">
            <v>2021-10-05 → 10/6 → 10/7</v>
          </cell>
          <cell r="R1842" t="str">
            <v>2021-10-05 → 10/6 → 10/7</v>
          </cell>
          <cell r="S1842"/>
          <cell r="T1842">
            <v>44476</v>
          </cell>
          <cell r="U1842">
            <v>44481</v>
          </cell>
          <cell r="V1842">
            <v>44482</v>
          </cell>
          <cell r="W1842">
            <v>44483</v>
          </cell>
          <cell r="X1842">
            <v>41100169</v>
          </cell>
        </row>
        <row r="1843">
          <cell r="K1843" t="str">
            <v>DBW-2432</v>
          </cell>
          <cell r="L1843">
            <v>44481</v>
          </cell>
          <cell r="M1843">
            <v>44481</v>
          </cell>
          <cell r="N1843">
            <v>44490</v>
          </cell>
          <cell r="O1843">
            <v>44481</v>
          </cell>
          <cell r="P1843">
            <v>44489</v>
          </cell>
          <cell r="Q1843" t="str">
            <v>2021-10-20 →10/21(오전)</v>
          </cell>
          <cell r="R1843" t="str">
            <v>2021-10-20 →10/21(오전)</v>
          </cell>
          <cell r="S1843"/>
          <cell r="T1843">
            <v>44490</v>
          </cell>
          <cell r="U1843">
            <v>44490</v>
          </cell>
          <cell r="V1843">
            <v>44494</v>
          </cell>
          <cell r="W1843">
            <v>44494</v>
          </cell>
          <cell r="X1843">
            <v>41100169</v>
          </cell>
        </row>
        <row r="1844">
          <cell r="K1844" t="str">
            <v>DBW-2433</v>
          </cell>
          <cell r="L1844">
            <v>44481</v>
          </cell>
          <cell r="M1844">
            <v>44481</v>
          </cell>
          <cell r="N1844">
            <v>44490</v>
          </cell>
          <cell r="O1844">
            <v>44481</v>
          </cell>
          <cell r="P1844">
            <v>44489</v>
          </cell>
          <cell r="Q1844" t="str">
            <v>2021-10-20 →10/21(오전)</v>
          </cell>
          <cell r="R1844" t="str">
            <v>2021-10-20 →10/21(오전)</v>
          </cell>
          <cell r="S1844"/>
          <cell r="T1844">
            <v>44490</v>
          </cell>
          <cell r="U1844">
            <v>44490</v>
          </cell>
          <cell r="V1844">
            <v>44494</v>
          </cell>
          <cell r="W1844">
            <v>44494</v>
          </cell>
          <cell r="X1844">
            <v>41100169</v>
          </cell>
        </row>
        <row r="1845">
          <cell r="K1845" t="str">
            <v>DBW-2451</v>
          </cell>
          <cell r="L1845">
            <v>44489</v>
          </cell>
          <cell r="M1845">
            <v>44489</v>
          </cell>
          <cell r="N1845">
            <v>44498</v>
          </cell>
          <cell r="O1845">
            <v>44489</v>
          </cell>
          <cell r="P1845">
            <v>44498</v>
          </cell>
          <cell r="Q1845">
            <v>44498</v>
          </cell>
          <cell r="R1845">
            <v>44498</v>
          </cell>
          <cell r="S1845"/>
          <cell r="T1845">
            <v>44502</v>
          </cell>
          <cell r="U1845">
            <v>44503</v>
          </cell>
          <cell r="V1845">
            <v>44504</v>
          </cell>
          <cell r="W1845">
            <v>44504</v>
          </cell>
          <cell r="X1845">
            <v>41100169</v>
          </cell>
        </row>
        <row r="1846">
          <cell r="K1846" t="str">
            <v>DBW-2452</v>
          </cell>
          <cell r="L1846">
            <v>44489</v>
          </cell>
          <cell r="M1846">
            <v>44489</v>
          </cell>
          <cell r="N1846">
            <v>44498</v>
          </cell>
          <cell r="O1846">
            <v>44489</v>
          </cell>
          <cell r="P1846">
            <v>44498</v>
          </cell>
          <cell r="Q1846">
            <v>44498</v>
          </cell>
          <cell r="R1846">
            <v>44498</v>
          </cell>
          <cell r="S1846"/>
          <cell r="T1846">
            <v>44502</v>
          </cell>
          <cell r="U1846">
            <v>44503</v>
          </cell>
          <cell r="V1846">
            <v>44504</v>
          </cell>
          <cell r="W1846">
            <v>44504</v>
          </cell>
          <cell r="X1846">
            <v>41100169</v>
          </cell>
        </row>
        <row r="1847">
          <cell r="K1847" t="str">
            <v>DBW-2469</v>
          </cell>
          <cell r="L1847">
            <v>44508</v>
          </cell>
          <cell r="M1847">
            <v>44509</v>
          </cell>
          <cell r="N1847">
            <v>44522</v>
          </cell>
          <cell r="O1847">
            <v>44509</v>
          </cell>
          <cell r="P1847">
            <v>44523</v>
          </cell>
          <cell r="Q1847" t="str">
            <v>2021-11-17 → 11/23</v>
          </cell>
          <cell r="R1847" t="str">
            <v>2021-11-17 → 11/23</v>
          </cell>
          <cell r="S1847"/>
          <cell r="T1847">
            <v>44525</v>
          </cell>
          <cell r="U1847">
            <v>44526</v>
          </cell>
          <cell r="V1847">
            <v>44526</v>
          </cell>
          <cell r="W1847">
            <v>44529</v>
          </cell>
          <cell r="X1847" t="str">
            <v>41100169 → 41100170</v>
          </cell>
        </row>
        <row r="1848">
          <cell r="K1848" t="str">
            <v>DBW-2470</v>
          </cell>
          <cell r="L1848">
            <v>44508</v>
          </cell>
          <cell r="M1848">
            <v>44509</v>
          </cell>
          <cell r="N1848">
            <v>44522</v>
          </cell>
          <cell r="O1848">
            <v>44509</v>
          </cell>
          <cell r="P1848">
            <v>44523</v>
          </cell>
          <cell r="Q1848" t="str">
            <v>2021-11-17 → 11/23</v>
          </cell>
          <cell r="R1848" t="str">
            <v>2021-11-17 → 11/23</v>
          </cell>
          <cell r="S1848"/>
          <cell r="T1848">
            <v>44525</v>
          </cell>
          <cell r="U1848">
            <v>44526</v>
          </cell>
          <cell r="V1848">
            <v>44526</v>
          </cell>
          <cell r="W1848">
            <v>44529</v>
          </cell>
          <cell r="X1848" t="str">
            <v>41100169 → 41100170</v>
          </cell>
        </row>
        <row r="1849">
          <cell r="K1849" t="str">
            <v>GBWS-1904</v>
          </cell>
          <cell r="L1849">
            <v>44523</v>
          </cell>
          <cell r="M1849">
            <v>44523</v>
          </cell>
          <cell r="N1849">
            <v>44535</v>
          </cell>
          <cell r="O1849">
            <v>44523</v>
          </cell>
          <cell r="P1849">
            <v>44533</v>
          </cell>
          <cell r="Q1849">
            <v>44533</v>
          </cell>
          <cell r="R1849">
            <v>44533</v>
          </cell>
          <cell r="S1849"/>
          <cell r="T1849">
            <v>44538</v>
          </cell>
          <cell r="U1849">
            <v>44539</v>
          </cell>
          <cell r="V1849">
            <v>44540</v>
          </cell>
          <cell r="W1849">
            <v>44540</v>
          </cell>
          <cell r="X1849">
            <v>41100328</v>
          </cell>
        </row>
        <row r="1850">
          <cell r="K1850" t="str">
            <v>GBWS-1905</v>
          </cell>
          <cell r="L1850">
            <v>44523</v>
          </cell>
          <cell r="M1850">
            <v>44523</v>
          </cell>
          <cell r="N1850">
            <v>44535</v>
          </cell>
          <cell r="O1850">
            <v>44523</v>
          </cell>
          <cell r="P1850">
            <v>44533</v>
          </cell>
          <cell r="Q1850">
            <v>44533</v>
          </cell>
          <cell r="R1850">
            <v>44533</v>
          </cell>
          <cell r="S1850"/>
          <cell r="T1850">
            <v>44538</v>
          </cell>
          <cell r="U1850">
            <v>44539</v>
          </cell>
          <cell r="V1850">
            <v>44540</v>
          </cell>
          <cell r="W1850">
            <v>44540</v>
          </cell>
          <cell r="X1850">
            <v>41100328</v>
          </cell>
        </row>
        <row r="1851">
          <cell r="K1851" t="str">
            <v>GBWS-1927</v>
          </cell>
          <cell r="L1851">
            <v>44530</v>
          </cell>
          <cell r="M1851">
            <v>44530</v>
          </cell>
          <cell r="N1851">
            <v>44544</v>
          </cell>
          <cell r="O1851">
            <v>44530</v>
          </cell>
          <cell r="P1851">
            <v>44540</v>
          </cell>
          <cell r="Q1851" t="str">
            <v>2021-12-09 → 12/11</v>
          </cell>
          <cell r="R1851" t="str">
            <v>2021-12-09 → 12/11</v>
          </cell>
          <cell r="S1851"/>
          <cell r="T1851">
            <v>44544</v>
          </cell>
          <cell r="U1851">
            <v>44545</v>
          </cell>
          <cell r="V1851">
            <v>44546</v>
          </cell>
          <cell r="W1851">
            <v>44550</v>
          </cell>
          <cell r="X1851">
            <v>41100386</v>
          </cell>
        </row>
        <row r="1852">
          <cell r="K1852" t="str">
            <v>GBWS-1929</v>
          </cell>
          <cell r="L1852">
            <v>44530</v>
          </cell>
          <cell r="M1852">
            <v>44530</v>
          </cell>
          <cell r="N1852">
            <v>44544</v>
          </cell>
          <cell r="O1852">
            <v>44530</v>
          </cell>
          <cell r="P1852">
            <v>44543</v>
          </cell>
          <cell r="Q1852" t="str">
            <v>2021-12-09 → 12/11</v>
          </cell>
          <cell r="R1852" t="str">
            <v>2021-12-09 → 12/11</v>
          </cell>
          <cell r="S1852"/>
          <cell r="T1852">
            <v>44544</v>
          </cell>
          <cell r="U1852">
            <v>44545</v>
          </cell>
          <cell r="V1852">
            <v>44546</v>
          </cell>
          <cell r="W1852">
            <v>44546</v>
          </cell>
          <cell r="X1852">
            <v>41100410</v>
          </cell>
        </row>
        <row r="1853">
          <cell r="K1853" t="str">
            <v>GBWS-1930</v>
          </cell>
          <cell r="L1853">
            <v>44530</v>
          </cell>
          <cell r="M1853">
            <v>44530</v>
          </cell>
          <cell r="N1853">
            <v>44544</v>
          </cell>
          <cell r="O1853">
            <v>44530</v>
          </cell>
          <cell r="P1853">
            <v>44543</v>
          </cell>
          <cell r="Q1853" t="str">
            <v>2021-12-09 → 12/11</v>
          </cell>
          <cell r="R1853" t="str">
            <v>2021-12-09 → 12/11</v>
          </cell>
          <cell r="S1853"/>
          <cell r="T1853">
            <v>44544</v>
          </cell>
          <cell r="U1853">
            <v>44545</v>
          </cell>
          <cell r="V1853">
            <v>44546</v>
          </cell>
          <cell r="W1853">
            <v>44546</v>
          </cell>
          <cell r="X1853">
            <v>41100410</v>
          </cell>
        </row>
        <row r="1854">
          <cell r="K1854" t="str">
            <v>GBWS-1931</v>
          </cell>
          <cell r="L1854">
            <v>44530</v>
          </cell>
          <cell r="M1854">
            <v>44530</v>
          </cell>
          <cell r="N1854">
            <v>44544</v>
          </cell>
          <cell r="O1854">
            <v>44530</v>
          </cell>
          <cell r="P1854">
            <v>44543</v>
          </cell>
          <cell r="Q1854" t="str">
            <v>2021-12-09 → 12/11</v>
          </cell>
          <cell r="R1854" t="str">
            <v>2021-12-09 → 12/11</v>
          </cell>
          <cell r="S1854"/>
          <cell r="T1854">
            <v>44544</v>
          </cell>
          <cell r="U1854">
            <v>44545</v>
          </cell>
          <cell r="V1854">
            <v>44546</v>
          </cell>
          <cell r="W1854">
            <v>44546</v>
          </cell>
          <cell r="X1854">
            <v>41100410</v>
          </cell>
        </row>
        <row r="1855">
          <cell r="K1855" t="str">
            <v>GBWS-1932</v>
          </cell>
          <cell r="L1855">
            <v>44530</v>
          </cell>
          <cell r="M1855">
            <v>44530</v>
          </cell>
          <cell r="N1855">
            <v>44544</v>
          </cell>
          <cell r="O1855">
            <v>44530</v>
          </cell>
          <cell r="P1855">
            <v>44543</v>
          </cell>
          <cell r="Q1855" t="str">
            <v>2021-12-09 → 12/11</v>
          </cell>
          <cell r="R1855" t="str">
            <v>2021-12-09 → 12/11</v>
          </cell>
          <cell r="S1855"/>
          <cell r="T1855">
            <v>44544</v>
          </cell>
          <cell r="U1855">
            <v>44545</v>
          </cell>
          <cell r="V1855">
            <v>44546</v>
          </cell>
          <cell r="W1855">
            <v>44550</v>
          </cell>
          <cell r="X1855">
            <v>41100410</v>
          </cell>
        </row>
        <row r="1856">
          <cell r="K1856" t="str">
            <v>GBWS-1933</v>
          </cell>
          <cell r="L1856">
            <v>44530</v>
          </cell>
          <cell r="M1856">
            <v>44530</v>
          </cell>
          <cell r="N1856">
            <v>44544</v>
          </cell>
          <cell r="O1856">
            <v>44530</v>
          </cell>
          <cell r="P1856">
            <v>44543</v>
          </cell>
          <cell r="Q1856" t="str">
            <v>2021-12-09 → 12/11</v>
          </cell>
          <cell r="R1856" t="str">
            <v>2021-12-09 → 12/11</v>
          </cell>
          <cell r="S1856"/>
          <cell r="T1856">
            <v>44544</v>
          </cell>
          <cell r="U1856">
            <v>44545</v>
          </cell>
          <cell r="V1856">
            <v>44546</v>
          </cell>
          <cell r="W1856">
            <v>44550</v>
          </cell>
          <cell r="X1856">
            <v>41100406</v>
          </cell>
        </row>
        <row r="1857">
          <cell r="K1857" t="str">
            <v>GBWS-1934</v>
          </cell>
          <cell r="L1857">
            <v>44530</v>
          </cell>
          <cell r="M1857">
            <v>44530</v>
          </cell>
          <cell r="N1857">
            <v>44544</v>
          </cell>
          <cell r="O1857">
            <v>44530</v>
          </cell>
          <cell r="P1857">
            <v>44543</v>
          </cell>
          <cell r="Q1857" t="str">
            <v>2021-12-09 → 12/11</v>
          </cell>
          <cell r="R1857" t="str">
            <v>2021-12-09 → 12/11</v>
          </cell>
          <cell r="S1857"/>
          <cell r="T1857">
            <v>44544</v>
          </cell>
          <cell r="U1857">
            <v>44546</v>
          </cell>
          <cell r="V1857">
            <v>44550</v>
          </cell>
          <cell r="W1857">
            <v>44550</v>
          </cell>
          <cell r="X1857">
            <v>41100406</v>
          </cell>
        </row>
        <row r="1858">
          <cell r="K1858" t="str">
            <v>GBWS-1935</v>
          </cell>
          <cell r="L1858">
            <v>44530</v>
          </cell>
          <cell r="M1858">
            <v>44530</v>
          </cell>
          <cell r="N1858">
            <v>44544</v>
          </cell>
          <cell r="O1858">
            <v>44530</v>
          </cell>
          <cell r="P1858">
            <v>44543</v>
          </cell>
          <cell r="Q1858" t="str">
            <v>2021-12-09 → 12/11</v>
          </cell>
          <cell r="R1858" t="str">
            <v>2021-12-09 → 12/11</v>
          </cell>
          <cell r="S1858"/>
          <cell r="T1858">
            <v>44544</v>
          </cell>
          <cell r="U1858">
            <v>44545</v>
          </cell>
          <cell r="V1858">
            <v>44546</v>
          </cell>
          <cell r="W1858">
            <v>44547</v>
          </cell>
          <cell r="X1858">
            <v>41100406</v>
          </cell>
        </row>
        <row r="1859">
          <cell r="K1859" t="str">
            <v>GBWS-1928</v>
          </cell>
          <cell r="L1859">
            <v>44530</v>
          </cell>
          <cell r="M1859">
            <v>44530</v>
          </cell>
          <cell r="N1859">
            <v>44544</v>
          </cell>
          <cell r="O1859">
            <v>44530</v>
          </cell>
          <cell r="P1859">
            <v>44540</v>
          </cell>
          <cell r="Q1859" t="str">
            <v>2021-12-09 → 12/11</v>
          </cell>
          <cell r="R1859" t="str">
            <v>2021-12-09 → 12/11</v>
          </cell>
          <cell r="S1859"/>
          <cell r="T1859">
            <v>44544</v>
          </cell>
          <cell r="U1859">
            <v>44545</v>
          </cell>
          <cell r="V1859">
            <v>44546</v>
          </cell>
          <cell r="W1859">
            <v>44547</v>
          </cell>
          <cell r="X1859">
            <v>41100386</v>
          </cell>
        </row>
        <row r="1860">
          <cell r="K1860" t="str">
            <v>WS-0047</v>
          </cell>
          <cell r="L1860">
            <v>44532</v>
          </cell>
          <cell r="M1860">
            <v>44532</v>
          </cell>
          <cell r="N1860">
            <v>44544</v>
          </cell>
          <cell r="O1860">
            <v>44532</v>
          </cell>
          <cell r="P1860">
            <v>44544</v>
          </cell>
          <cell r="Q1860" t="str">
            <v>2021-12-13 → 12/14</v>
          </cell>
          <cell r="R1860" t="str">
            <v>2021-12-13 → 12/14</v>
          </cell>
          <cell r="S1860"/>
          <cell r="T1860">
            <v>44545</v>
          </cell>
          <cell r="U1860">
            <v>44546</v>
          </cell>
          <cell r="V1860">
            <v>44547</v>
          </cell>
          <cell r="W1860">
            <v>44547</v>
          </cell>
          <cell r="X1860">
            <v>41100300</v>
          </cell>
        </row>
        <row r="1861">
          <cell r="K1861" t="str">
            <v>WS-0048</v>
          </cell>
          <cell r="L1861">
            <v>44532</v>
          </cell>
          <cell r="M1861">
            <v>44532</v>
          </cell>
          <cell r="N1861">
            <v>44544</v>
          </cell>
          <cell r="O1861">
            <v>44532</v>
          </cell>
          <cell r="P1861">
            <v>44544</v>
          </cell>
          <cell r="Q1861" t="str">
            <v>2021-12-13 → 12/14</v>
          </cell>
          <cell r="R1861" t="str">
            <v>2021-12-13 → 12/14</v>
          </cell>
          <cell r="S1861"/>
          <cell r="T1861">
            <v>44545</v>
          </cell>
          <cell r="U1861">
            <v>44546</v>
          </cell>
          <cell r="V1861">
            <v>44547</v>
          </cell>
          <cell r="W1861">
            <v>44547</v>
          </cell>
          <cell r="X1861">
            <v>41100300</v>
          </cell>
        </row>
        <row r="1862">
          <cell r="K1862" t="str">
            <v>GBWS-1673</v>
          </cell>
          <cell r="L1862">
            <v>44481</v>
          </cell>
          <cell r="M1862">
            <v>44481</v>
          </cell>
          <cell r="N1862">
            <v>44491</v>
          </cell>
          <cell r="O1862">
            <v>44481</v>
          </cell>
          <cell r="P1862">
            <v>44491</v>
          </cell>
          <cell r="Q1862" t="str">
            <v>2021-10-20 → 10/22</v>
          </cell>
          <cell r="R1862" t="str">
            <v>2021-10-20 → 10/22</v>
          </cell>
          <cell r="S1862"/>
          <cell r="T1862">
            <v>44494</v>
          </cell>
          <cell r="U1862">
            <v>44495</v>
          </cell>
          <cell r="V1862">
            <v>44497</v>
          </cell>
          <cell r="W1862">
            <v>44497</v>
          </cell>
          <cell r="X1862">
            <v>41100168</v>
          </cell>
        </row>
        <row r="1863">
          <cell r="K1863" t="str">
            <v>GBWS-1674</v>
          </cell>
          <cell r="L1863">
            <v>44481</v>
          </cell>
          <cell r="M1863">
            <v>44481</v>
          </cell>
          <cell r="N1863">
            <v>44491</v>
          </cell>
          <cell r="O1863">
            <v>44481</v>
          </cell>
          <cell r="P1863">
            <v>44491</v>
          </cell>
          <cell r="Q1863" t="str">
            <v>2021-10-20 → 10/22</v>
          </cell>
          <cell r="R1863" t="str">
            <v>2021-10-20 → 10/22</v>
          </cell>
          <cell r="S1863"/>
          <cell r="T1863">
            <v>44494</v>
          </cell>
          <cell r="U1863">
            <v>44495</v>
          </cell>
          <cell r="V1863">
            <v>44496</v>
          </cell>
          <cell r="W1863">
            <v>44496</v>
          </cell>
          <cell r="X1863">
            <v>41100168</v>
          </cell>
        </row>
        <row r="1864">
          <cell r="K1864" t="str">
            <v>GBWS-1675</v>
          </cell>
          <cell r="L1864">
            <v>44481</v>
          </cell>
          <cell r="M1864">
            <v>44481</v>
          </cell>
          <cell r="N1864">
            <v>44491</v>
          </cell>
          <cell r="O1864">
            <v>44481</v>
          </cell>
          <cell r="P1864">
            <v>44491</v>
          </cell>
          <cell r="Q1864" t="str">
            <v>2021-10-20 → 10/22</v>
          </cell>
          <cell r="R1864" t="str">
            <v>2021-10-20 → 10/22</v>
          </cell>
          <cell r="S1864"/>
          <cell r="T1864">
            <v>44494</v>
          </cell>
          <cell r="U1864">
            <v>44495</v>
          </cell>
          <cell r="V1864">
            <v>44496</v>
          </cell>
          <cell r="W1864">
            <v>44496</v>
          </cell>
          <cell r="X1864">
            <v>41100168</v>
          </cell>
        </row>
        <row r="1865">
          <cell r="K1865" t="str">
            <v>GBWS-1676</v>
          </cell>
          <cell r="L1865">
            <v>44481</v>
          </cell>
          <cell r="M1865">
            <v>44481</v>
          </cell>
          <cell r="N1865">
            <v>44491</v>
          </cell>
          <cell r="O1865">
            <v>44481</v>
          </cell>
          <cell r="P1865">
            <v>44491</v>
          </cell>
          <cell r="Q1865" t="str">
            <v>2021-10-20 → 10/22</v>
          </cell>
          <cell r="R1865" t="str">
            <v>2021-10-20 → 10/22</v>
          </cell>
          <cell r="S1865"/>
          <cell r="T1865">
            <v>44495</v>
          </cell>
          <cell r="U1865">
            <v>44495</v>
          </cell>
          <cell r="V1865">
            <v>44496</v>
          </cell>
          <cell r="W1865">
            <v>44496</v>
          </cell>
          <cell r="X1865">
            <v>41100168</v>
          </cell>
        </row>
        <row r="1866">
          <cell r="K1866" t="str">
            <v>GBWS-1913</v>
          </cell>
          <cell r="L1866">
            <v>44526</v>
          </cell>
          <cell r="M1866">
            <v>44526</v>
          </cell>
          <cell r="N1866">
            <v>44540</v>
          </cell>
          <cell r="O1866">
            <v>44526</v>
          </cell>
          <cell r="P1866">
            <v>44540</v>
          </cell>
          <cell r="Q1866" t="str">
            <v>2021-12-09 → 12/10</v>
          </cell>
          <cell r="R1866" t="str">
            <v>2021-12-09 → 12/10</v>
          </cell>
          <cell r="S1866"/>
          <cell r="T1866">
            <v>44544</v>
          </cell>
          <cell r="U1866">
            <v>44545</v>
          </cell>
          <cell r="V1866">
            <v>44546</v>
          </cell>
          <cell r="W1866">
            <v>44550</v>
          </cell>
          <cell r="X1866">
            <v>41100090</v>
          </cell>
        </row>
        <row r="1867">
          <cell r="K1867" t="str">
            <v>GBWS-1914</v>
          </cell>
          <cell r="L1867">
            <v>44526</v>
          </cell>
          <cell r="M1867">
            <v>44526</v>
          </cell>
          <cell r="N1867">
            <v>44540</v>
          </cell>
          <cell r="O1867">
            <v>44526</v>
          </cell>
          <cell r="P1867">
            <v>44540</v>
          </cell>
          <cell r="Q1867" t="str">
            <v>2021-12-09 → 12/10</v>
          </cell>
          <cell r="R1867" t="str">
            <v>2021-12-09 → 12/10</v>
          </cell>
          <cell r="S1867"/>
          <cell r="T1867">
            <v>44544</v>
          </cell>
          <cell r="U1867">
            <v>44545</v>
          </cell>
          <cell r="V1867">
            <v>44546</v>
          </cell>
          <cell r="W1867">
            <v>44546</v>
          </cell>
          <cell r="X1867">
            <v>41100090</v>
          </cell>
        </row>
        <row r="1868">
          <cell r="K1868" t="str">
            <v>GBWS-1915</v>
          </cell>
          <cell r="L1868">
            <v>44526</v>
          </cell>
          <cell r="M1868">
            <v>44526</v>
          </cell>
          <cell r="N1868">
            <v>44540</v>
          </cell>
          <cell r="O1868">
            <v>44526</v>
          </cell>
          <cell r="P1868">
            <v>44540</v>
          </cell>
          <cell r="Q1868" t="str">
            <v>2021-12-09 → 12/10</v>
          </cell>
          <cell r="R1868" t="str">
            <v>2021-12-09 → 12/10</v>
          </cell>
          <cell r="S1868"/>
          <cell r="T1868">
            <v>44544</v>
          </cell>
          <cell r="U1868">
            <v>44545</v>
          </cell>
          <cell r="V1868">
            <v>44546</v>
          </cell>
          <cell r="W1868">
            <v>44546</v>
          </cell>
          <cell r="X1868">
            <v>41100090</v>
          </cell>
        </row>
        <row r="1869">
          <cell r="K1869" t="str">
            <v>GBWS-1916</v>
          </cell>
          <cell r="L1869">
            <v>44526</v>
          </cell>
          <cell r="M1869">
            <v>44526</v>
          </cell>
          <cell r="N1869">
            <v>44540</v>
          </cell>
          <cell r="O1869">
            <v>44526</v>
          </cell>
          <cell r="P1869">
            <v>44543</v>
          </cell>
          <cell r="Q1869" t="str">
            <v>2021-12-09 → 12/10</v>
          </cell>
          <cell r="R1869" t="str">
            <v>2021-12-09 → 12/10</v>
          </cell>
          <cell r="S1869"/>
          <cell r="T1869">
            <v>44545</v>
          </cell>
          <cell r="U1869">
            <v>44545</v>
          </cell>
          <cell r="V1869">
            <v>44546</v>
          </cell>
          <cell r="W1869">
            <v>44546</v>
          </cell>
          <cell r="X1869">
            <v>41100093</v>
          </cell>
        </row>
        <row r="1870">
          <cell r="K1870" t="str">
            <v>GBWS-1917</v>
          </cell>
          <cell r="L1870">
            <v>44526</v>
          </cell>
          <cell r="M1870">
            <v>44526</v>
          </cell>
          <cell r="N1870">
            <v>44540</v>
          </cell>
          <cell r="O1870">
            <v>44526</v>
          </cell>
          <cell r="P1870">
            <v>44543</v>
          </cell>
          <cell r="Q1870" t="str">
            <v>2021-12-09 → 12/10</v>
          </cell>
          <cell r="R1870" t="str">
            <v>2021-12-09 → 12/10</v>
          </cell>
          <cell r="S1870"/>
          <cell r="T1870">
            <v>44545</v>
          </cell>
          <cell r="U1870">
            <v>44545</v>
          </cell>
          <cell r="V1870">
            <v>44546</v>
          </cell>
          <cell r="W1870">
            <v>44547</v>
          </cell>
          <cell r="X1870">
            <v>41100093</v>
          </cell>
        </row>
        <row r="1871">
          <cell r="K1871" t="str">
            <v>GBWS-1948</v>
          </cell>
          <cell r="L1871">
            <v>44537</v>
          </cell>
          <cell r="M1871">
            <v>44538</v>
          </cell>
          <cell r="N1871">
            <v>44546</v>
          </cell>
          <cell r="O1871">
            <v>44538</v>
          </cell>
          <cell r="P1871">
            <v>44546</v>
          </cell>
          <cell r="Q1871" t="str">
            <v>2021-12-22 → 12/16</v>
          </cell>
          <cell r="R1871" t="str">
            <v>2021-12-22 → 12/16</v>
          </cell>
          <cell r="S1871"/>
          <cell r="T1871">
            <v>44547</v>
          </cell>
          <cell r="U1871">
            <v>44550</v>
          </cell>
          <cell r="V1871">
            <v>44551</v>
          </cell>
          <cell r="W1871">
            <v>44551</v>
          </cell>
          <cell r="X1871">
            <v>41100087</v>
          </cell>
        </row>
        <row r="1872">
          <cell r="K1872" t="str">
            <v>DBW-2509</v>
          </cell>
          <cell r="L1872">
            <v>44532</v>
          </cell>
          <cell r="M1872">
            <v>44532</v>
          </cell>
          <cell r="N1872">
            <v>44543</v>
          </cell>
          <cell r="O1872">
            <v>44532</v>
          </cell>
          <cell r="P1872">
            <v>44544</v>
          </cell>
          <cell r="Q1872" t="str">
            <v>2021-12-13 → 12/14</v>
          </cell>
          <cell r="R1872" t="str">
            <v>2021-12-13 → 12/14</v>
          </cell>
          <cell r="S1872"/>
          <cell r="T1872">
            <v>44545</v>
          </cell>
          <cell r="U1872">
            <v>44546</v>
          </cell>
          <cell r="V1872">
            <v>44550</v>
          </cell>
          <cell r="W1872">
            <v>44550</v>
          </cell>
          <cell r="X1872">
            <v>41100099</v>
          </cell>
        </row>
        <row r="1873">
          <cell r="K1873" t="str">
            <v>GBWS-1936</v>
          </cell>
          <cell r="L1873">
            <v>44532</v>
          </cell>
          <cell r="M1873">
            <v>44532</v>
          </cell>
          <cell r="N1873">
            <v>44546</v>
          </cell>
          <cell r="O1873">
            <v>44532</v>
          </cell>
          <cell r="P1873">
            <v>44544</v>
          </cell>
          <cell r="Q1873">
            <v>44544</v>
          </cell>
          <cell r="R1873">
            <v>44544</v>
          </cell>
          <cell r="S1873"/>
          <cell r="T1873">
            <v>44546</v>
          </cell>
          <cell r="U1873">
            <v>44550</v>
          </cell>
          <cell r="V1873">
            <v>44551</v>
          </cell>
          <cell r="W1873">
            <v>44551</v>
          </cell>
          <cell r="X1873">
            <v>41100415</v>
          </cell>
        </row>
        <row r="1874">
          <cell r="K1874" t="str">
            <v xml:space="preserve"> -</v>
          </cell>
          <cell r="L1874"/>
          <cell r="M1874">
            <v>44544</v>
          </cell>
          <cell r="N1874">
            <v>44547</v>
          </cell>
          <cell r="O1874">
            <v>44544</v>
          </cell>
          <cell r="P1874" t="str">
            <v xml:space="preserve"> -</v>
          </cell>
          <cell r="Q1874">
            <v>44545</v>
          </cell>
          <cell r="R1874">
            <v>44545</v>
          </cell>
          <cell r="S1874"/>
          <cell r="T1874" t="str">
            <v xml:space="preserve"> -</v>
          </cell>
          <cell r="U1874" t="str">
            <v xml:space="preserve"> -</v>
          </cell>
          <cell r="V1874">
            <v>44547</v>
          </cell>
          <cell r="W1874">
            <v>44547</v>
          </cell>
          <cell r="X1874">
            <v>31101858</v>
          </cell>
        </row>
        <row r="1875">
          <cell r="K1875" t="str">
            <v xml:space="preserve"> -</v>
          </cell>
          <cell r="L1875"/>
          <cell r="M1875">
            <v>44544</v>
          </cell>
          <cell r="N1875">
            <v>44547</v>
          </cell>
          <cell r="O1875">
            <v>44544</v>
          </cell>
          <cell r="P1875" t="str">
            <v xml:space="preserve"> -</v>
          </cell>
          <cell r="Q1875">
            <v>44545</v>
          </cell>
          <cell r="R1875">
            <v>44545</v>
          </cell>
          <cell r="S1875"/>
          <cell r="T1875" t="str">
            <v xml:space="preserve"> -</v>
          </cell>
          <cell r="U1875" t="str">
            <v xml:space="preserve"> -</v>
          </cell>
          <cell r="V1875">
            <v>44547</v>
          </cell>
          <cell r="W1875">
            <v>44547</v>
          </cell>
          <cell r="X1875">
            <v>31101859</v>
          </cell>
        </row>
        <row r="1876">
          <cell r="K1876" t="str">
            <v xml:space="preserve"> -</v>
          </cell>
          <cell r="L1876"/>
          <cell r="M1876">
            <v>44551</v>
          </cell>
          <cell r="N1876" t="str">
            <v xml:space="preserve"> -</v>
          </cell>
          <cell r="O1876">
            <v>44551</v>
          </cell>
          <cell r="P1876">
            <v>44551</v>
          </cell>
          <cell r="Q1876">
            <v>44552</v>
          </cell>
          <cell r="R1876">
            <v>44552</v>
          </cell>
          <cell r="S1876"/>
          <cell r="T1876" t="str">
            <v xml:space="preserve"> -</v>
          </cell>
          <cell r="U1876" t="str">
            <v xml:space="preserve"> -</v>
          </cell>
          <cell r="V1876" t="str">
            <v xml:space="preserve"> -</v>
          </cell>
          <cell r="W1876" t="str">
            <v xml:space="preserve"> -</v>
          </cell>
          <cell r="X1876">
            <v>39100032</v>
          </cell>
        </row>
        <row r="1877">
          <cell r="K1877" t="str">
            <v>GBWS-1788</v>
          </cell>
          <cell r="L1877">
            <v>44503</v>
          </cell>
          <cell r="M1877">
            <v>44503</v>
          </cell>
          <cell r="N1877">
            <v>44519</v>
          </cell>
          <cell r="O1877">
            <v>44503</v>
          </cell>
          <cell r="P1877">
            <v>44518</v>
          </cell>
          <cell r="Q1877" t="str">
            <v>2021-11-12 → 11/15</v>
          </cell>
          <cell r="R1877" t="str">
            <v>2021-11-12 → 11/15</v>
          </cell>
          <cell r="S1877"/>
          <cell r="T1877">
            <v>44523</v>
          </cell>
          <cell r="U1877">
            <v>44525</v>
          </cell>
          <cell r="V1877">
            <v>44529</v>
          </cell>
          <cell r="W1877">
            <v>44530</v>
          </cell>
          <cell r="X1877">
            <v>41100356</v>
          </cell>
        </row>
        <row r="1878">
          <cell r="K1878" t="str">
            <v>DBW-2500</v>
          </cell>
          <cell r="L1878">
            <v>44526</v>
          </cell>
          <cell r="M1878">
            <v>44526</v>
          </cell>
          <cell r="N1878">
            <v>44538</v>
          </cell>
          <cell r="O1878">
            <v>44526</v>
          </cell>
          <cell r="P1878">
            <v>44538</v>
          </cell>
          <cell r="Q1878" t="str">
            <v>2021-12-06 → 12/8</v>
          </cell>
          <cell r="R1878" t="str">
            <v>2021-12-06 → 12/8</v>
          </cell>
          <cell r="S1878"/>
          <cell r="T1878">
            <v>44543</v>
          </cell>
          <cell r="U1878">
            <v>44544</v>
          </cell>
          <cell r="V1878">
            <v>44545</v>
          </cell>
          <cell r="W1878">
            <v>44546</v>
          </cell>
          <cell r="X1878">
            <v>41100230</v>
          </cell>
        </row>
        <row r="1879">
          <cell r="K1879" t="str">
            <v>DBW-2477</v>
          </cell>
          <cell r="L1879">
            <v>44512</v>
          </cell>
          <cell r="M1879">
            <v>44515</v>
          </cell>
          <cell r="N1879">
            <v>44526</v>
          </cell>
          <cell r="O1879">
            <v>44515</v>
          </cell>
          <cell r="P1879">
            <v>44527</v>
          </cell>
          <cell r="Q1879">
            <v>44526</v>
          </cell>
          <cell r="R1879">
            <v>44526</v>
          </cell>
          <cell r="S1879"/>
          <cell r="T1879">
            <v>44530</v>
          </cell>
          <cell r="U1879">
            <v>44531</v>
          </cell>
          <cell r="V1879">
            <v>44531</v>
          </cell>
          <cell r="W1879">
            <v>44532</v>
          </cell>
          <cell r="X1879">
            <v>41100360</v>
          </cell>
        </row>
        <row r="1880">
          <cell r="K1880" t="str">
            <v>DBW-2501</v>
          </cell>
          <cell r="L1880">
            <v>44530</v>
          </cell>
          <cell r="M1880">
            <v>44530</v>
          </cell>
          <cell r="N1880">
            <v>44540</v>
          </cell>
          <cell r="O1880">
            <v>44530</v>
          </cell>
          <cell r="P1880">
            <v>44540</v>
          </cell>
          <cell r="Q1880">
            <v>44539</v>
          </cell>
          <cell r="R1880">
            <v>44539</v>
          </cell>
          <cell r="S1880"/>
          <cell r="T1880">
            <v>44543</v>
          </cell>
          <cell r="U1880">
            <v>44544</v>
          </cell>
          <cell r="V1880">
            <v>44545</v>
          </cell>
          <cell r="W1880">
            <v>44546</v>
          </cell>
          <cell r="X1880">
            <v>41100360</v>
          </cell>
        </row>
        <row r="1881">
          <cell r="K1881" t="str">
            <v>DBW-2502</v>
          </cell>
          <cell r="L1881">
            <v>44530</v>
          </cell>
          <cell r="M1881">
            <v>44530</v>
          </cell>
          <cell r="N1881">
            <v>44540</v>
          </cell>
          <cell r="O1881">
            <v>44530</v>
          </cell>
          <cell r="P1881">
            <v>44540</v>
          </cell>
          <cell r="Q1881">
            <v>44539</v>
          </cell>
          <cell r="R1881">
            <v>44539</v>
          </cell>
          <cell r="S1881"/>
          <cell r="T1881">
            <v>44543</v>
          </cell>
          <cell r="U1881">
            <v>44544</v>
          </cell>
          <cell r="V1881">
            <v>44545</v>
          </cell>
          <cell r="W1881">
            <v>44546</v>
          </cell>
          <cell r="X1881">
            <v>41100360</v>
          </cell>
        </row>
        <row r="1882">
          <cell r="K1882" t="str">
            <v xml:space="preserve">DBW-2503 </v>
          </cell>
          <cell r="L1882">
            <v>44530</v>
          </cell>
          <cell r="M1882">
            <v>44530</v>
          </cell>
          <cell r="N1882">
            <v>44540</v>
          </cell>
          <cell r="O1882">
            <v>44530</v>
          </cell>
          <cell r="P1882">
            <v>44540</v>
          </cell>
          <cell r="Q1882">
            <v>44539</v>
          </cell>
          <cell r="R1882">
            <v>44539</v>
          </cell>
          <cell r="S1882"/>
          <cell r="T1882">
            <v>44545</v>
          </cell>
          <cell r="U1882">
            <v>44546</v>
          </cell>
          <cell r="V1882">
            <v>44550</v>
          </cell>
          <cell r="W1882">
            <v>44550</v>
          </cell>
          <cell r="X1882">
            <v>41100354</v>
          </cell>
        </row>
        <row r="1883">
          <cell r="K1883" t="str">
            <v>DBW-2504</v>
          </cell>
          <cell r="L1883">
            <v>44530</v>
          </cell>
          <cell r="M1883">
            <v>44530</v>
          </cell>
          <cell r="N1883">
            <v>44540</v>
          </cell>
          <cell r="O1883">
            <v>44530</v>
          </cell>
          <cell r="P1883">
            <v>44540</v>
          </cell>
          <cell r="Q1883">
            <v>44539</v>
          </cell>
          <cell r="R1883">
            <v>44539</v>
          </cell>
          <cell r="S1883"/>
          <cell r="T1883">
            <v>44545</v>
          </cell>
          <cell r="U1883">
            <v>44546</v>
          </cell>
          <cell r="V1883">
            <v>44550</v>
          </cell>
          <cell r="W1883">
            <v>44550</v>
          </cell>
          <cell r="X1883">
            <v>41100354</v>
          </cell>
        </row>
        <row r="1884">
          <cell r="K1884" t="str">
            <v>DBW-2505</v>
          </cell>
          <cell r="L1884">
            <v>44530</v>
          </cell>
          <cell r="M1884">
            <v>44530</v>
          </cell>
          <cell r="N1884">
            <v>44540</v>
          </cell>
          <cell r="O1884">
            <v>44530</v>
          </cell>
          <cell r="P1884">
            <v>44540</v>
          </cell>
          <cell r="Q1884">
            <v>44539</v>
          </cell>
          <cell r="R1884">
            <v>44539</v>
          </cell>
          <cell r="S1884"/>
          <cell r="T1884">
            <v>44545</v>
          </cell>
          <cell r="U1884">
            <v>44546</v>
          </cell>
          <cell r="V1884">
            <v>44550</v>
          </cell>
          <cell r="W1884">
            <v>44550</v>
          </cell>
          <cell r="X1884">
            <v>41100354</v>
          </cell>
        </row>
        <row r="1885">
          <cell r="K1885" t="str">
            <v>DBW-2506</v>
          </cell>
          <cell r="L1885">
            <v>44530</v>
          </cell>
          <cell r="M1885">
            <v>44530</v>
          </cell>
          <cell r="N1885">
            <v>44540</v>
          </cell>
          <cell r="O1885">
            <v>44530</v>
          </cell>
          <cell r="P1885">
            <v>44540</v>
          </cell>
          <cell r="Q1885">
            <v>44539</v>
          </cell>
          <cell r="R1885">
            <v>44539</v>
          </cell>
          <cell r="S1885"/>
          <cell r="T1885">
            <v>44545</v>
          </cell>
          <cell r="U1885">
            <v>44546</v>
          </cell>
          <cell r="V1885">
            <v>44550</v>
          </cell>
          <cell r="W1885">
            <v>44550</v>
          </cell>
          <cell r="X1885">
            <v>41100354</v>
          </cell>
        </row>
        <row r="1886">
          <cell r="K1886" t="str">
            <v>IVAS-104</v>
          </cell>
          <cell r="L1886">
            <v>44518</v>
          </cell>
          <cell r="M1886">
            <v>44518</v>
          </cell>
          <cell r="N1886">
            <v>44538</v>
          </cell>
          <cell r="O1886">
            <v>44518</v>
          </cell>
          <cell r="P1886">
            <v>44540</v>
          </cell>
          <cell r="Q1886" t="str">
            <v>2021-12-02 → 12/7</v>
          </cell>
          <cell r="R1886" t="str">
            <v>2021-12-02 → 12/7</v>
          </cell>
          <cell r="S1886"/>
          <cell r="T1886">
            <v>44539</v>
          </cell>
          <cell r="U1886">
            <v>44551</v>
          </cell>
          <cell r="V1886">
            <v>44552</v>
          </cell>
          <cell r="W1886">
            <v>44552</v>
          </cell>
          <cell r="X1886">
            <v>41100414</v>
          </cell>
        </row>
        <row r="1887">
          <cell r="K1887" t="str">
            <v>IVAS-105</v>
          </cell>
          <cell r="L1887">
            <v>44518</v>
          </cell>
          <cell r="M1887">
            <v>44518</v>
          </cell>
          <cell r="N1887">
            <v>44538</v>
          </cell>
          <cell r="O1887">
            <v>44518</v>
          </cell>
          <cell r="P1887">
            <v>44540</v>
          </cell>
          <cell r="Q1887" t="str">
            <v>2021-12-02 → 12/7</v>
          </cell>
          <cell r="R1887" t="str">
            <v>2021-12-02 → 12/7</v>
          </cell>
          <cell r="S1887"/>
          <cell r="T1887">
            <v>44539</v>
          </cell>
          <cell r="U1887">
            <v>44551</v>
          </cell>
          <cell r="V1887">
            <v>44552</v>
          </cell>
          <cell r="W1887">
            <v>44552</v>
          </cell>
          <cell r="X1887">
            <v>41100384</v>
          </cell>
        </row>
        <row r="1888">
          <cell r="K1888" t="str">
            <v>IVAS-106</v>
          </cell>
          <cell r="L1888">
            <v>44518</v>
          </cell>
          <cell r="M1888">
            <v>44518</v>
          </cell>
          <cell r="N1888">
            <v>44538</v>
          </cell>
          <cell r="O1888">
            <v>44518</v>
          </cell>
          <cell r="P1888">
            <v>44540</v>
          </cell>
          <cell r="Q1888" t="str">
            <v>2021-12-02 → 12/7</v>
          </cell>
          <cell r="R1888" t="str">
            <v>2021-12-02 → 12/7</v>
          </cell>
          <cell r="S1888"/>
          <cell r="T1888">
            <v>44539</v>
          </cell>
          <cell r="U1888">
            <v>44547</v>
          </cell>
          <cell r="V1888">
            <v>44552</v>
          </cell>
          <cell r="W1888">
            <v>44552</v>
          </cell>
          <cell r="X1888">
            <v>41100418</v>
          </cell>
        </row>
        <row r="1889">
          <cell r="K1889" t="str">
            <v>IVAS-103</v>
          </cell>
          <cell r="L1889">
            <v>44518</v>
          </cell>
          <cell r="M1889">
            <v>44518</v>
          </cell>
          <cell r="N1889">
            <v>44543</v>
          </cell>
          <cell r="O1889">
            <v>44518</v>
          </cell>
          <cell r="P1889">
            <v>44540</v>
          </cell>
          <cell r="Q1889" t="str">
            <v>2021-12-02 → 12/8 → 12/10</v>
          </cell>
          <cell r="R1889" t="str">
            <v>2021-12-02 → 12/8 → 12/10</v>
          </cell>
          <cell r="S1889"/>
          <cell r="T1889">
            <v>44544</v>
          </cell>
          <cell r="U1889">
            <v>44550</v>
          </cell>
          <cell r="V1889">
            <v>44552</v>
          </cell>
          <cell r="W1889">
            <v>44552</v>
          </cell>
          <cell r="X1889">
            <v>41000475</v>
          </cell>
        </row>
        <row r="1890">
          <cell r="K1890" t="str">
            <v xml:space="preserve"> -</v>
          </cell>
          <cell r="L1890">
            <v>44525</v>
          </cell>
          <cell r="M1890">
            <v>44525</v>
          </cell>
          <cell r="N1890">
            <v>44551</v>
          </cell>
          <cell r="O1890">
            <v>44525</v>
          </cell>
          <cell r="P1890">
            <v>44552</v>
          </cell>
          <cell r="Q1890" t="str">
            <v>2021-12-07 → 12/8 → 12/10</v>
          </cell>
          <cell r="R1890" t="str">
            <v>2021-12-07 → 12/8 → 12/10</v>
          </cell>
          <cell r="S1890"/>
          <cell r="T1890">
            <v>44551</v>
          </cell>
          <cell r="U1890">
            <v>44551</v>
          </cell>
          <cell r="V1890">
            <v>44552</v>
          </cell>
          <cell r="W1890">
            <v>44552</v>
          </cell>
          <cell r="X1890">
            <v>31101854</v>
          </cell>
        </row>
        <row r="1891">
          <cell r="K1891" t="str">
            <v>GBWS-1946</v>
          </cell>
          <cell r="L1891">
            <v>44537</v>
          </cell>
          <cell r="M1891">
            <v>44537</v>
          </cell>
          <cell r="N1891">
            <v>44545</v>
          </cell>
          <cell r="O1891">
            <v>44537</v>
          </cell>
          <cell r="P1891">
            <v>44545</v>
          </cell>
          <cell r="Q1891">
            <v>44546</v>
          </cell>
          <cell r="R1891">
            <v>44546</v>
          </cell>
          <cell r="S1891"/>
          <cell r="T1891">
            <v>44546</v>
          </cell>
          <cell r="U1891">
            <v>44549</v>
          </cell>
          <cell r="V1891">
            <v>44550</v>
          </cell>
          <cell r="W1891">
            <v>44551</v>
          </cell>
          <cell r="X1891">
            <v>41100224</v>
          </cell>
        </row>
        <row r="1892">
          <cell r="K1892" t="str">
            <v>GBWS-1947</v>
          </cell>
          <cell r="L1892">
            <v>44537</v>
          </cell>
          <cell r="M1892">
            <v>44537</v>
          </cell>
          <cell r="N1892">
            <v>44545</v>
          </cell>
          <cell r="O1892">
            <v>44537</v>
          </cell>
          <cell r="P1892">
            <v>44545</v>
          </cell>
          <cell r="Q1892">
            <v>44546</v>
          </cell>
          <cell r="R1892">
            <v>44546</v>
          </cell>
          <cell r="S1892"/>
          <cell r="T1892">
            <v>44546</v>
          </cell>
          <cell r="U1892">
            <v>44549</v>
          </cell>
          <cell r="V1892">
            <v>44550</v>
          </cell>
          <cell r="W1892">
            <v>44552</v>
          </cell>
          <cell r="X1892">
            <v>41100224</v>
          </cell>
        </row>
        <row r="1893">
          <cell r="K1893" t="str">
            <v>GBWS-1939</v>
          </cell>
          <cell r="L1893">
            <v>44533</v>
          </cell>
          <cell r="M1893">
            <v>44533</v>
          </cell>
          <cell r="N1893">
            <v>44544</v>
          </cell>
          <cell r="O1893">
            <v>44533</v>
          </cell>
          <cell r="P1893">
            <v>44544</v>
          </cell>
          <cell r="Q1893">
            <v>44544</v>
          </cell>
          <cell r="R1893">
            <v>44544</v>
          </cell>
          <cell r="S1893"/>
          <cell r="T1893">
            <v>44546</v>
          </cell>
          <cell r="U1893">
            <v>44547</v>
          </cell>
          <cell r="V1893">
            <v>44550</v>
          </cell>
          <cell r="W1893">
            <v>44551</v>
          </cell>
          <cell r="X1893">
            <v>41100188</v>
          </cell>
        </row>
        <row r="1894">
          <cell r="K1894" t="str">
            <v>GBWS-1940</v>
          </cell>
          <cell r="L1894">
            <v>44533</v>
          </cell>
          <cell r="M1894">
            <v>44533</v>
          </cell>
          <cell r="N1894">
            <v>44544</v>
          </cell>
          <cell r="O1894">
            <v>44533</v>
          </cell>
          <cell r="P1894">
            <v>44544</v>
          </cell>
          <cell r="Q1894">
            <v>44544</v>
          </cell>
          <cell r="R1894">
            <v>44544</v>
          </cell>
          <cell r="S1894"/>
          <cell r="T1894">
            <v>44546</v>
          </cell>
          <cell r="U1894">
            <v>44547</v>
          </cell>
          <cell r="V1894">
            <v>44550</v>
          </cell>
          <cell r="W1894">
            <v>44552</v>
          </cell>
          <cell r="X1894">
            <v>41100188</v>
          </cell>
        </row>
        <row r="1895">
          <cell r="K1895" t="str">
            <v xml:space="preserve"> -</v>
          </cell>
          <cell r="L1895">
            <v>44533</v>
          </cell>
          <cell r="M1895">
            <v>44533</v>
          </cell>
          <cell r="N1895">
            <v>44544</v>
          </cell>
          <cell r="O1895">
            <v>44533</v>
          </cell>
          <cell r="P1895">
            <v>44544</v>
          </cell>
          <cell r="Q1895">
            <v>44544</v>
          </cell>
          <cell r="R1895">
            <v>44544</v>
          </cell>
          <cell r="S1895"/>
          <cell r="T1895">
            <v>44546</v>
          </cell>
          <cell r="U1895">
            <v>44551</v>
          </cell>
          <cell r="V1895">
            <v>44551</v>
          </cell>
          <cell r="W1895">
            <v>44552</v>
          </cell>
          <cell r="X1895">
            <v>31100885</v>
          </cell>
        </row>
        <row r="1896">
          <cell r="K1896" t="str">
            <v>GBWS-1942</v>
          </cell>
          <cell r="L1896">
            <v>44533</v>
          </cell>
          <cell r="M1896">
            <v>44533</v>
          </cell>
          <cell r="N1896">
            <v>44544</v>
          </cell>
          <cell r="O1896">
            <v>44533</v>
          </cell>
          <cell r="P1896">
            <v>44544</v>
          </cell>
          <cell r="Q1896">
            <v>44544</v>
          </cell>
          <cell r="R1896">
            <v>44544</v>
          </cell>
          <cell r="S1896"/>
          <cell r="T1896">
            <v>44546</v>
          </cell>
          <cell r="U1896">
            <v>44547</v>
          </cell>
          <cell r="V1896">
            <v>44550</v>
          </cell>
          <cell r="W1896">
            <v>44552</v>
          </cell>
          <cell r="X1896">
            <v>41100419</v>
          </cell>
        </row>
        <row r="1897">
          <cell r="K1897" t="str">
            <v>GBWS-1943</v>
          </cell>
          <cell r="L1897">
            <v>44533</v>
          </cell>
          <cell r="M1897">
            <v>44533</v>
          </cell>
          <cell r="N1897">
            <v>44544</v>
          </cell>
          <cell r="O1897">
            <v>44533</v>
          </cell>
          <cell r="P1897">
            <v>44544</v>
          </cell>
          <cell r="Q1897">
            <v>44544</v>
          </cell>
          <cell r="R1897">
            <v>44544</v>
          </cell>
          <cell r="S1897"/>
          <cell r="T1897">
            <v>44546</v>
          </cell>
          <cell r="U1897">
            <v>44547</v>
          </cell>
          <cell r="V1897">
            <v>44550</v>
          </cell>
          <cell r="W1897">
            <v>44551</v>
          </cell>
          <cell r="X1897">
            <v>41100419</v>
          </cell>
        </row>
        <row r="1898">
          <cell r="K1898" t="str">
            <v>GBWS-1830</v>
          </cell>
          <cell r="L1898">
            <v>44511</v>
          </cell>
          <cell r="M1898">
            <v>44511</v>
          </cell>
          <cell r="N1898">
            <v>44526</v>
          </cell>
          <cell r="O1898">
            <v>44511</v>
          </cell>
          <cell r="P1898">
            <v>44529</v>
          </cell>
          <cell r="Q1898" t="str">
            <v>2021-11-23 → 11/25 → 11/28</v>
          </cell>
          <cell r="R1898" t="str">
            <v>2021-11-23 → 11/25 → 11/28</v>
          </cell>
          <cell r="S1898"/>
          <cell r="T1898">
            <v>44531</v>
          </cell>
          <cell r="U1898">
            <v>44532</v>
          </cell>
          <cell r="V1898">
            <v>44533</v>
          </cell>
          <cell r="W1898">
            <v>44536</v>
          </cell>
          <cell r="X1898">
            <v>41100302</v>
          </cell>
        </row>
        <row r="1899">
          <cell r="K1899" t="str">
            <v>GPWS-0206</v>
          </cell>
          <cell r="L1899">
            <v>44526</v>
          </cell>
          <cell r="M1899">
            <v>44526</v>
          </cell>
          <cell r="N1899">
            <v>44538</v>
          </cell>
          <cell r="O1899">
            <v>44526</v>
          </cell>
          <cell r="P1899">
            <v>44538</v>
          </cell>
          <cell r="Q1899">
            <v>44537</v>
          </cell>
          <cell r="R1899">
            <v>44537</v>
          </cell>
          <cell r="S1899"/>
          <cell r="T1899">
            <v>44543</v>
          </cell>
          <cell r="U1899">
            <v>44544</v>
          </cell>
          <cell r="V1899">
            <v>44545</v>
          </cell>
          <cell r="W1899">
            <v>44545</v>
          </cell>
          <cell r="X1899">
            <v>41100380</v>
          </cell>
        </row>
        <row r="1900">
          <cell r="K1900" t="str">
            <v>GBWS-1855</v>
          </cell>
          <cell r="L1900">
            <v>44515</v>
          </cell>
          <cell r="M1900">
            <v>44516</v>
          </cell>
          <cell r="N1900">
            <v>44526</v>
          </cell>
          <cell r="O1900">
            <v>44516</v>
          </cell>
          <cell r="P1900">
            <v>44525</v>
          </cell>
          <cell r="Q1900">
            <v>44526</v>
          </cell>
          <cell r="R1900">
            <v>44526</v>
          </cell>
          <cell r="S1900"/>
          <cell r="T1900">
            <v>44529</v>
          </cell>
          <cell r="U1900">
            <v>44530</v>
          </cell>
          <cell r="V1900">
            <v>44533</v>
          </cell>
          <cell r="W1900">
            <v>44536</v>
          </cell>
          <cell r="X1900">
            <v>41100293</v>
          </cell>
        </row>
        <row r="1901">
          <cell r="K1901" t="str">
            <v>GBWS-1856</v>
          </cell>
          <cell r="L1901">
            <v>44515</v>
          </cell>
          <cell r="M1901">
            <v>44516</v>
          </cell>
          <cell r="N1901">
            <v>44526</v>
          </cell>
          <cell r="O1901">
            <v>44516</v>
          </cell>
          <cell r="P1901">
            <v>44525</v>
          </cell>
          <cell r="Q1901">
            <v>44526</v>
          </cell>
          <cell r="R1901">
            <v>44526</v>
          </cell>
          <cell r="S1901"/>
          <cell r="T1901">
            <v>44529</v>
          </cell>
          <cell r="U1901">
            <v>44530</v>
          </cell>
          <cell r="V1901">
            <v>44531</v>
          </cell>
          <cell r="W1901">
            <v>44531</v>
          </cell>
          <cell r="X1901">
            <v>41100293</v>
          </cell>
        </row>
        <row r="1902">
          <cell r="K1902" t="str">
            <v>GBWS-1862</v>
          </cell>
          <cell r="L1902">
            <v>44515</v>
          </cell>
          <cell r="M1902">
            <v>44516</v>
          </cell>
          <cell r="N1902">
            <v>44526</v>
          </cell>
          <cell r="O1902">
            <v>44516</v>
          </cell>
          <cell r="P1902">
            <v>44529</v>
          </cell>
          <cell r="Q1902" t="str">
            <v>2021-11-26 → 11/29</v>
          </cell>
          <cell r="R1902" t="str">
            <v>2021-11-26 → 11/29</v>
          </cell>
          <cell r="S1902"/>
          <cell r="T1902">
            <v>44531</v>
          </cell>
          <cell r="U1902">
            <v>44532</v>
          </cell>
          <cell r="V1902">
            <v>44533</v>
          </cell>
          <cell r="W1902">
            <v>44536</v>
          </cell>
          <cell r="X1902">
            <v>41100320</v>
          </cell>
        </row>
        <row r="1903">
          <cell r="K1903" t="str">
            <v>GBWS-1926</v>
          </cell>
          <cell r="L1903">
            <v>44530</v>
          </cell>
          <cell r="M1903">
            <v>44530</v>
          </cell>
          <cell r="N1903">
            <v>44544</v>
          </cell>
          <cell r="O1903">
            <v>44530</v>
          </cell>
          <cell r="P1903">
            <v>44540</v>
          </cell>
          <cell r="Q1903" t="str">
            <v>2021-12-09 → 12/11</v>
          </cell>
          <cell r="R1903" t="str">
            <v>2021-12-09 → 12/11</v>
          </cell>
          <cell r="S1903"/>
          <cell r="T1903">
            <v>44544</v>
          </cell>
          <cell r="U1903">
            <v>44545</v>
          </cell>
          <cell r="V1903">
            <v>44546</v>
          </cell>
          <cell r="W1903">
            <v>44546</v>
          </cell>
          <cell r="X1903">
            <v>41100386</v>
          </cell>
        </row>
        <row r="1904">
          <cell r="K1904" t="str">
            <v>IHW-0187</v>
          </cell>
          <cell r="L1904">
            <v>44545</v>
          </cell>
          <cell r="M1904">
            <v>44545</v>
          </cell>
          <cell r="N1904">
            <v>44552</v>
          </cell>
          <cell r="O1904">
            <v>44545</v>
          </cell>
          <cell r="P1904">
            <v>44552</v>
          </cell>
          <cell r="Q1904">
            <v>44551</v>
          </cell>
          <cell r="R1904">
            <v>44551</v>
          </cell>
          <cell r="S1904"/>
          <cell r="T1904">
            <v>44552</v>
          </cell>
          <cell r="U1904">
            <v>44557</v>
          </cell>
          <cell r="V1904">
            <v>44557</v>
          </cell>
          <cell r="W1904">
            <v>44557</v>
          </cell>
          <cell r="X1904">
            <v>41100432</v>
          </cell>
        </row>
        <row r="1905">
          <cell r="K1905" t="str">
            <v>IVAS-109</v>
          </cell>
          <cell r="L1905">
            <v>44530</v>
          </cell>
          <cell r="M1905">
            <v>44530</v>
          </cell>
          <cell r="N1905">
            <v>44551</v>
          </cell>
          <cell r="O1905">
            <v>44530</v>
          </cell>
          <cell r="P1905">
            <v>44552</v>
          </cell>
          <cell r="Q1905" t="str">
            <v>2021-12-09 → 12/13 → 12/21</v>
          </cell>
          <cell r="R1905" t="str">
            <v>2021-12-09 → 12/13 → 12/21</v>
          </cell>
          <cell r="S1905"/>
          <cell r="T1905">
            <v>44552</v>
          </cell>
          <cell r="U1905">
            <v>44557</v>
          </cell>
          <cell r="V1905">
            <v>44557</v>
          </cell>
          <cell r="W1905">
            <v>44558</v>
          </cell>
          <cell r="X1905">
            <v>41100429</v>
          </cell>
        </row>
        <row r="1906">
          <cell r="K1906" t="str">
            <v>GBWS-1778</v>
          </cell>
          <cell r="L1906">
            <v>44503</v>
          </cell>
          <cell r="M1906">
            <v>44503</v>
          </cell>
          <cell r="N1906">
            <v>44522</v>
          </cell>
          <cell r="O1906">
            <v>44503</v>
          </cell>
          <cell r="P1906">
            <v>44525</v>
          </cell>
          <cell r="Q1906" t="str">
            <v>2021-11-15 → 11/22 → 11/25</v>
          </cell>
          <cell r="R1906" t="str">
            <v>2021-11-15 → 11/22 → 11/25</v>
          </cell>
          <cell r="S1906"/>
          <cell r="T1906">
            <v>44525</v>
          </cell>
          <cell r="U1906">
            <v>44557</v>
          </cell>
          <cell r="V1906">
            <v>44558</v>
          </cell>
          <cell r="W1906">
            <v>44558</v>
          </cell>
          <cell r="X1906">
            <v>41100409</v>
          </cell>
        </row>
        <row r="1907">
          <cell r="K1907" t="str">
            <v>GBWS-1779</v>
          </cell>
          <cell r="L1907">
            <v>44503</v>
          </cell>
          <cell r="M1907">
            <v>44503</v>
          </cell>
          <cell r="N1907">
            <v>44522</v>
          </cell>
          <cell r="O1907">
            <v>44503</v>
          </cell>
          <cell r="P1907">
            <v>44525</v>
          </cell>
          <cell r="Q1907" t="str">
            <v>2021-11-15 → 11/22 → 11/25</v>
          </cell>
          <cell r="R1907" t="str">
            <v>2021-11-15 → 11/22 → 11/25</v>
          </cell>
          <cell r="S1907"/>
          <cell r="T1907">
            <v>44525</v>
          </cell>
          <cell r="U1907">
            <v>44543</v>
          </cell>
          <cell r="V1907">
            <v>44544</v>
          </cell>
          <cell r="W1907">
            <v>44558</v>
          </cell>
          <cell r="X1907">
            <v>41100409</v>
          </cell>
        </row>
        <row r="1908">
          <cell r="K1908" t="str">
            <v>GBWS-1968</v>
          </cell>
          <cell r="L1908">
            <v>44544</v>
          </cell>
          <cell r="M1908">
            <v>44544</v>
          </cell>
          <cell r="N1908">
            <v>44552</v>
          </cell>
          <cell r="O1908">
            <v>44544</v>
          </cell>
          <cell r="P1908">
            <v>44552</v>
          </cell>
          <cell r="Q1908">
            <v>44552</v>
          </cell>
          <cell r="R1908">
            <v>44552</v>
          </cell>
          <cell r="S1908"/>
          <cell r="T1908">
            <v>44553</v>
          </cell>
          <cell r="U1908">
            <v>44554</v>
          </cell>
          <cell r="V1908">
            <v>44557</v>
          </cell>
          <cell r="W1908">
            <v>44558</v>
          </cell>
          <cell r="X1908">
            <v>41100278</v>
          </cell>
        </row>
        <row r="1909">
          <cell r="K1909" t="str">
            <v>GBWS-1969</v>
          </cell>
          <cell r="L1909">
            <v>44544</v>
          </cell>
          <cell r="M1909">
            <v>44544</v>
          </cell>
          <cell r="N1909">
            <v>44552</v>
          </cell>
          <cell r="O1909">
            <v>44544</v>
          </cell>
          <cell r="P1909">
            <v>44552</v>
          </cell>
          <cell r="Q1909">
            <v>44552</v>
          </cell>
          <cell r="R1909">
            <v>44552</v>
          </cell>
          <cell r="S1909"/>
          <cell r="T1909">
            <v>44553</v>
          </cell>
          <cell r="U1909">
            <v>44554</v>
          </cell>
          <cell r="V1909">
            <v>44557</v>
          </cell>
          <cell r="W1909">
            <v>44558</v>
          </cell>
          <cell r="X1909">
            <v>41100278</v>
          </cell>
        </row>
        <row r="1910">
          <cell r="K1910" t="str">
            <v>GBWS-1872</v>
          </cell>
          <cell r="L1910">
            <v>44517</v>
          </cell>
          <cell r="M1910">
            <v>44523</v>
          </cell>
          <cell r="N1910">
            <v>44539</v>
          </cell>
          <cell r="O1910">
            <v>44517</v>
          </cell>
          <cell r="P1910">
            <v>44538</v>
          </cell>
          <cell r="Q1910" t="str">
            <v>2021-12-02 → 12/7</v>
          </cell>
          <cell r="R1910" t="str">
            <v>2021-12-02 → 12/7</v>
          </cell>
          <cell r="S1910"/>
          <cell r="T1910">
            <v>44540</v>
          </cell>
          <cell r="U1910">
            <v>44543</v>
          </cell>
          <cell r="V1910">
            <v>44544</v>
          </cell>
          <cell r="W1910">
            <v>44545</v>
          </cell>
          <cell r="X1910">
            <v>41100386</v>
          </cell>
        </row>
        <row r="1911">
          <cell r="K1911" t="str">
            <v>GBWS-1873</v>
          </cell>
          <cell r="L1911">
            <v>44517</v>
          </cell>
          <cell r="M1911">
            <v>44523</v>
          </cell>
          <cell r="N1911">
            <v>44539</v>
          </cell>
          <cell r="O1911">
            <v>44517</v>
          </cell>
          <cell r="P1911">
            <v>44538</v>
          </cell>
          <cell r="Q1911" t="str">
            <v>2021-12-02 → 12/7</v>
          </cell>
          <cell r="R1911" t="str">
            <v>2021-12-02 → 12/7</v>
          </cell>
          <cell r="S1911"/>
          <cell r="T1911">
            <v>44540</v>
          </cell>
          <cell r="U1911">
            <v>44543</v>
          </cell>
          <cell r="V1911">
            <v>44544</v>
          </cell>
          <cell r="W1911">
            <v>44545</v>
          </cell>
          <cell r="X1911">
            <v>41100386</v>
          </cell>
        </row>
        <row r="1912">
          <cell r="K1912" t="str">
            <v>GBWS-1875</v>
          </cell>
          <cell r="L1912">
            <v>44517</v>
          </cell>
          <cell r="M1912">
            <v>44523</v>
          </cell>
          <cell r="N1912">
            <v>44539</v>
          </cell>
          <cell r="O1912">
            <v>44517</v>
          </cell>
          <cell r="P1912">
            <v>44538</v>
          </cell>
          <cell r="Q1912" t="str">
            <v>2021-12-02 → 12/7</v>
          </cell>
          <cell r="R1912" t="str">
            <v>2021-12-02 → 12/7</v>
          </cell>
          <cell r="S1912"/>
          <cell r="T1912">
            <v>44540</v>
          </cell>
          <cell r="U1912">
            <v>44543</v>
          </cell>
          <cell r="V1912">
            <v>44544</v>
          </cell>
          <cell r="W1912">
            <v>44545</v>
          </cell>
          <cell r="X1912">
            <v>41100386</v>
          </cell>
        </row>
        <row r="1913">
          <cell r="K1913" t="str">
            <v>GBWS-1959</v>
          </cell>
          <cell r="L1913">
            <v>44543</v>
          </cell>
          <cell r="M1913">
            <v>44543</v>
          </cell>
          <cell r="N1913">
            <v>44554</v>
          </cell>
          <cell r="O1913">
            <v>44543</v>
          </cell>
          <cell r="P1913">
            <v>44551</v>
          </cell>
          <cell r="Q1913">
            <v>44553</v>
          </cell>
          <cell r="R1913">
            <v>44553</v>
          </cell>
          <cell r="S1913"/>
          <cell r="T1913">
            <v>44554</v>
          </cell>
          <cell r="U1913">
            <v>44557</v>
          </cell>
          <cell r="V1913">
            <v>44558</v>
          </cell>
          <cell r="W1913">
            <v>44558</v>
          </cell>
          <cell r="X1913">
            <v>41100386</v>
          </cell>
        </row>
        <row r="1914">
          <cell r="K1914" t="str">
            <v>GBWS-1960</v>
          </cell>
          <cell r="L1914">
            <v>44543</v>
          </cell>
          <cell r="M1914">
            <v>44543</v>
          </cell>
          <cell r="N1914">
            <v>44554</v>
          </cell>
          <cell r="O1914">
            <v>44543</v>
          </cell>
          <cell r="P1914">
            <v>44551</v>
          </cell>
          <cell r="Q1914">
            <v>44553</v>
          </cell>
          <cell r="R1914">
            <v>44553</v>
          </cell>
          <cell r="S1914"/>
          <cell r="T1914">
            <v>44554</v>
          </cell>
          <cell r="U1914">
            <v>44557</v>
          </cell>
          <cell r="V1914">
            <v>44558</v>
          </cell>
          <cell r="W1914">
            <v>44558</v>
          </cell>
          <cell r="X1914">
            <v>41100386</v>
          </cell>
        </row>
        <row r="1915">
          <cell r="K1915" t="str">
            <v>GBWS-1961</v>
          </cell>
          <cell r="L1915">
            <v>44543</v>
          </cell>
          <cell r="M1915">
            <v>44543</v>
          </cell>
          <cell r="N1915">
            <v>44554</v>
          </cell>
          <cell r="O1915">
            <v>44543</v>
          </cell>
          <cell r="P1915">
            <v>44551</v>
          </cell>
          <cell r="Q1915">
            <v>44553</v>
          </cell>
          <cell r="R1915">
            <v>44553</v>
          </cell>
          <cell r="S1915"/>
          <cell r="T1915">
            <v>44557</v>
          </cell>
          <cell r="U1915">
            <v>44558</v>
          </cell>
          <cell r="V1915">
            <v>44558</v>
          </cell>
          <cell r="W1915">
            <v>44559</v>
          </cell>
          <cell r="X1915">
            <v>41100410</v>
          </cell>
        </row>
        <row r="1916">
          <cell r="K1916" t="str">
            <v>GBWS-1962</v>
          </cell>
          <cell r="L1916">
            <v>44543</v>
          </cell>
          <cell r="M1916">
            <v>44543</v>
          </cell>
          <cell r="N1916">
            <v>44554</v>
          </cell>
          <cell r="O1916">
            <v>44543</v>
          </cell>
          <cell r="P1916">
            <v>44551</v>
          </cell>
          <cell r="Q1916">
            <v>44553</v>
          </cell>
          <cell r="R1916">
            <v>44553</v>
          </cell>
          <cell r="S1916"/>
          <cell r="T1916">
            <v>44557</v>
          </cell>
          <cell r="U1916">
            <v>44558</v>
          </cell>
          <cell r="V1916">
            <v>44558</v>
          </cell>
          <cell r="W1916">
            <v>44559</v>
          </cell>
          <cell r="X1916">
            <v>41100410</v>
          </cell>
        </row>
        <row r="1917">
          <cell r="K1917" t="str">
            <v>GBWS-1963</v>
          </cell>
          <cell r="L1917">
            <v>44543</v>
          </cell>
          <cell r="M1917">
            <v>44543</v>
          </cell>
          <cell r="N1917">
            <v>44554</v>
          </cell>
          <cell r="O1917">
            <v>44543</v>
          </cell>
          <cell r="P1917">
            <v>44551</v>
          </cell>
          <cell r="Q1917">
            <v>44553</v>
          </cell>
          <cell r="R1917">
            <v>44553</v>
          </cell>
          <cell r="S1917"/>
          <cell r="T1917">
            <v>44554</v>
          </cell>
          <cell r="U1917">
            <v>44557</v>
          </cell>
          <cell r="V1917">
            <v>44558</v>
          </cell>
          <cell r="W1917">
            <v>44559</v>
          </cell>
          <cell r="X1917">
            <v>41100386</v>
          </cell>
        </row>
        <row r="1918">
          <cell r="K1918" t="str">
            <v>DBW-2514</v>
          </cell>
          <cell r="L1918">
            <v>44539</v>
          </cell>
          <cell r="M1918">
            <v>44539</v>
          </cell>
          <cell r="N1918">
            <v>44552</v>
          </cell>
          <cell r="O1918">
            <v>44539</v>
          </cell>
          <cell r="P1918">
            <v>44551</v>
          </cell>
          <cell r="Q1918">
            <v>44551</v>
          </cell>
          <cell r="R1918">
            <v>44551</v>
          </cell>
          <cell r="S1918"/>
          <cell r="T1918">
            <v>44552</v>
          </cell>
          <cell r="U1918">
            <v>44553</v>
          </cell>
          <cell r="V1918">
            <v>44557</v>
          </cell>
          <cell r="W1918">
            <v>44557</v>
          </cell>
          <cell r="X1918">
            <v>41100359</v>
          </cell>
        </row>
        <row r="1919">
          <cell r="K1919" t="str">
            <v>DBW-2515</v>
          </cell>
          <cell r="L1919">
            <v>44539</v>
          </cell>
          <cell r="M1919">
            <v>44539</v>
          </cell>
          <cell r="N1919">
            <v>44551</v>
          </cell>
          <cell r="O1919">
            <v>44539</v>
          </cell>
          <cell r="P1919">
            <v>44550</v>
          </cell>
          <cell r="Q1919">
            <v>44551</v>
          </cell>
          <cell r="R1919">
            <v>44551</v>
          </cell>
          <cell r="S1919"/>
          <cell r="T1919">
            <v>44551</v>
          </cell>
          <cell r="U1919">
            <v>44552</v>
          </cell>
          <cell r="V1919">
            <v>44552</v>
          </cell>
          <cell r="W1919">
            <v>44554</v>
          </cell>
          <cell r="X1919">
            <v>41100360</v>
          </cell>
        </row>
        <row r="1920">
          <cell r="K1920" t="str">
            <v>DBW-2516</v>
          </cell>
          <cell r="L1920">
            <v>44539</v>
          </cell>
          <cell r="M1920">
            <v>44539</v>
          </cell>
          <cell r="N1920">
            <v>44551</v>
          </cell>
          <cell r="O1920">
            <v>44539</v>
          </cell>
          <cell r="P1920">
            <v>44550</v>
          </cell>
          <cell r="Q1920">
            <v>44551</v>
          </cell>
          <cell r="R1920">
            <v>44551</v>
          </cell>
          <cell r="S1920"/>
          <cell r="T1920">
            <v>44551</v>
          </cell>
          <cell r="U1920">
            <v>44552</v>
          </cell>
          <cell r="V1920">
            <v>44552</v>
          </cell>
          <cell r="W1920">
            <v>44554</v>
          </cell>
          <cell r="X1920">
            <v>41100360</v>
          </cell>
        </row>
        <row r="1921">
          <cell r="K1921" t="str">
            <v>DBW-2517</v>
          </cell>
          <cell r="L1921">
            <v>44539</v>
          </cell>
          <cell r="M1921">
            <v>44539</v>
          </cell>
          <cell r="N1921">
            <v>44551</v>
          </cell>
          <cell r="O1921">
            <v>44539</v>
          </cell>
          <cell r="P1921">
            <v>44550</v>
          </cell>
          <cell r="Q1921">
            <v>44551</v>
          </cell>
          <cell r="R1921">
            <v>44551</v>
          </cell>
          <cell r="S1921"/>
          <cell r="T1921">
            <v>44551</v>
          </cell>
          <cell r="U1921">
            <v>44552</v>
          </cell>
          <cell r="V1921">
            <v>44552</v>
          </cell>
          <cell r="W1921">
            <v>44553</v>
          </cell>
          <cell r="X1921">
            <v>41100360</v>
          </cell>
        </row>
        <row r="1922">
          <cell r="K1922" t="str">
            <v>DBW-2518</v>
          </cell>
          <cell r="L1922">
            <v>44539</v>
          </cell>
          <cell r="M1922">
            <v>44539</v>
          </cell>
          <cell r="N1922">
            <v>44551</v>
          </cell>
          <cell r="O1922">
            <v>44539</v>
          </cell>
          <cell r="P1922">
            <v>44550</v>
          </cell>
          <cell r="Q1922">
            <v>44551</v>
          </cell>
          <cell r="R1922">
            <v>44551</v>
          </cell>
          <cell r="S1922"/>
          <cell r="T1922">
            <v>44551</v>
          </cell>
          <cell r="U1922">
            <v>44552</v>
          </cell>
          <cell r="V1922">
            <v>44552</v>
          </cell>
          <cell r="W1922">
            <v>44554</v>
          </cell>
          <cell r="X1922">
            <v>41100360</v>
          </cell>
        </row>
        <row r="1923">
          <cell r="K1923" t="str">
            <v>GPWS-0207</v>
          </cell>
          <cell r="L1923">
            <v>44545</v>
          </cell>
          <cell r="M1923">
            <v>44545</v>
          </cell>
          <cell r="N1923">
            <v>44557</v>
          </cell>
          <cell r="O1923">
            <v>44545</v>
          </cell>
          <cell r="P1923">
            <v>44557</v>
          </cell>
          <cell r="Q1923" t="str">
            <v>2021-12-24 → 12/27</v>
          </cell>
          <cell r="R1923" t="str">
            <v>2021-12-24 → 12/27</v>
          </cell>
          <cell r="S1923"/>
          <cell r="T1923">
            <v>44557</v>
          </cell>
          <cell r="U1923">
            <v>44558</v>
          </cell>
          <cell r="V1923">
            <v>44559</v>
          </cell>
          <cell r="W1923">
            <v>44559</v>
          </cell>
          <cell r="X1923">
            <v>41100064</v>
          </cell>
        </row>
        <row r="1924">
          <cell r="K1924" t="str">
            <v>IVAS-108</v>
          </cell>
          <cell r="L1924">
            <v>44530</v>
          </cell>
          <cell r="M1924">
            <v>44530</v>
          </cell>
          <cell r="N1924">
            <v>44552</v>
          </cell>
          <cell r="O1924">
            <v>44530</v>
          </cell>
          <cell r="P1924">
            <v>44557</v>
          </cell>
          <cell r="Q1924" t="str">
            <v>2021-12-13 → 12/15 → 12/21</v>
          </cell>
          <cell r="R1924" t="str">
            <v>2021-12-13 → 12/15 → 12/21</v>
          </cell>
          <cell r="S1924"/>
          <cell r="T1924">
            <v>44552</v>
          </cell>
          <cell r="U1924">
            <v>44564</v>
          </cell>
          <cell r="V1924">
            <v>44565</v>
          </cell>
          <cell r="W1924">
            <v>44565</v>
          </cell>
          <cell r="X1924">
            <v>41100274</v>
          </cell>
        </row>
        <row r="1925">
          <cell r="K1925" t="str">
            <v>DBW-2383</v>
          </cell>
          <cell r="L1925">
            <v>44445</v>
          </cell>
          <cell r="M1925">
            <v>44445</v>
          </cell>
          <cell r="N1925">
            <v>44462</v>
          </cell>
          <cell r="O1925">
            <v>44445</v>
          </cell>
          <cell r="P1925">
            <v>44462</v>
          </cell>
          <cell r="Q1925" t="str">
            <v>2021-09-14 → 9/17</v>
          </cell>
          <cell r="R1925" t="str">
            <v>2021-09-14 → 9/17</v>
          </cell>
          <cell r="S1925"/>
          <cell r="T1925">
            <v>44462</v>
          </cell>
          <cell r="U1925">
            <v>44466</v>
          </cell>
          <cell r="V1925">
            <v>44466</v>
          </cell>
          <cell r="W1925">
            <v>44468</v>
          </cell>
          <cell r="X1925">
            <v>41100258</v>
          </cell>
        </row>
        <row r="1926">
          <cell r="K1926" t="str">
            <v>GBWS-1744</v>
          </cell>
          <cell r="L1926">
            <v>44496</v>
          </cell>
          <cell r="M1926">
            <v>44496</v>
          </cell>
          <cell r="N1926">
            <v>44509</v>
          </cell>
          <cell r="O1926">
            <v>44496</v>
          </cell>
          <cell r="P1926">
            <v>44509</v>
          </cell>
          <cell r="Q1926" t="str">
            <v>2021-11-05 → 11/8</v>
          </cell>
          <cell r="R1926" t="str">
            <v>2021-11-05 → 11/8</v>
          </cell>
          <cell r="S1926"/>
          <cell r="T1926">
            <v>44509</v>
          </cell>
          <cell r="U1926">
            <v>44510</v>
          </cell>
          <cell r="V1926">
            <v>44511</v>
          </cell>
          <cell r="W1926">
            <v>44512</v>
          </cell>
          <cell r="X1926" t="str">
            <v>41100293 → 41100363</v>
          </cell>
        </row>
        <row r="1927">
          <cell r="K1927"/>
          <cell r="L1927"/>
          <cell r="M1927">
            <v>44551</v>
          </cell>
          <cell r="N1927">
            <v>44553</v>
          </cell>
          <cell r="O1927">
            <v>44551</v>
          </cell>
          <cell r="P1927" t="str">
            <v xml:space="preserve"> -</v>
          </cell>
          <cell r="Q1927">
            <v>44554</v>
          </cell>
          <cell r="R1927">
            <v>44554</v>
          </cell>
          <cell r="S1927"/>
          <cell r="T1927">
            <v>44554</v>
          </cell>
          <cell r="U1927">
            <v>44557</v>
          </cell>
          <cell r="V1927">
            <v>44558</v>
          </cell>
          <cell r="W1927">
            <v>44558</v>
          </cell>
          <cell r="X1927"/>
        </row>
        <row r="1928">
          <cell r="K1928" t="str">
            <v>GBWS-1863</v>
          </cell>
          <cell r="L1928">
            <v>44515</v>
          </cell>
          <cell r="M1928">
            <v>44516</v>
          </cell>
          <cell r="N1928">
            <v>44526</v>
          </cell>
          <cell r="O1928">
            <v>44516</v>
          </cell>
          <cell r="P1928">
            <v>44529</v>
          </cell>
          <cell r="Q1928" t="str">
            <v>2021-11-26 → 11/29</v>
          </cell>
          <cell r="R1928" t="str">
            <v>2021-11-26 → 11/29</v>
          </cell>
          <cell r="S1928"/>
          <cell r="T1928">
            <v>44531</v>
          </cell>
          <cell r="U1928">
            <v>44533</v>
          </cell>
          <cell r="V1928">
            <v>44536</v>
          </cell>
          <cell r="W1928">
            <v>44537</v>
          </cell>
          <cell r="X1928">
            <v>41100320</v>
          </cell>
        </row>
        <row r="1929">
          <cell r="K1929" t="str">
            <v>DBW-2521</v>
          </cell>
          <cell r="L1929">
            <v>44546</v>
          </cell>
          <cell r="M1929">
            <v>44546</v>
          </cell>
          <cell r="N1929">
            <v>44557</v>
          </cell>
          <cell r="O1929">
            <v>44546</v>
          </cell>
          <cell r="P1929">
            <v>44559</v>
          </cell>
          <cell r="Q1929">
            <v>44559</v>
          </cell>
          <cell r="R1929">
            <v>44559</v>
          </cell>
          <cell r="S1929"/>
          <cell r="T1929">
            <v>44564</v>
          </cell>
          <cell r="U1929">
            <v>44566</v>
          </cell>
          <cell r="V1929">
            <v>44566</v>
          </cell>
          <cell r="W1929">
            <v>44566</v>
          </cell>
          <cell r="X1929">
            <v>41100171</v>
          </cell>
        </row>
        <row r="1930">
          <cell r="K1930" t="str">
            <v>DBW-2522</v>
          </cell>
          <cell r="L1930">
            <v>44546</v>
          </cell>
          <cell r="M1930">
            <v>44546</v>
          </cell>
          <cell r="N1930">
            <v>44557</v>
          </cell>
          <cell r="O1930">
            <v>44546</v>
          </cell>
          <cell r="P1930">
            <v>44559</v>
          </cell>
          <cell r="Q1930">
            <v>44559</v>
          </cell>
          <cell r="R1930">
            <v>44559</v>
          </cell>
          <cell r="S1930"/>
          <cell r="T1930">
            <v>44564</v>
          </cell>
          <cell r="U1930">
            <v>44566</v>
          </cell>
          <cell r="V1930">
            <v>44566</v>
          </cell>
          <cell r="W1930">
            <v>44566</v>
          </cell>
          <cell r="X1930">
            <v>41100171</v>
          </cell>
        </row>
        <row r="1931">
          <cell r="K1931" t="str">
            <v>GBWS-1893</v>
          </cell>
          <cell r="L1931">
            <v>44523</v>
          </cell>
          <cell r="M1931">
            <v>44523</v>
          </cell>
          <cell r="N1931">
            <v>44533</v>
          </cell>
          <cell r="O1931">
            <v>44523</v>
          </cell>
          <cell r="P1931">
            <v>44532</v>
          </cell>
          <cell r="Q1931">
            <v>44532</v>
          </cell>
          <cell r="R1931">
            <v>44532</v>
          </cell>
          <cell r="S1931"/>
          <cell r="T1931">
            <v>44538</v>
          </cell>
          <cell r="U1931">
            <v>44540</v>
          </cell>
          <cell r="V1931">
            <v>44544</v>
          </cell>
          <cell r="W1931">
            <v>44566</v>
          </cell>
          <cell r="X1931" t="str">
            <v>41100293 → 41100334</v>
          </cell>
        </row>
        <row r="1932">
          <cell r="K1932"/>
          <cell r="L1932"/>
          <cell r="M1932">
            <v>44558</v>
          </cell>
          <cell r="N1932">
            <v>44559</v>
          </cell>
          <cell r="O1932">
            <v>44558</v>
          </cell>
          <cell r="P1932">
            <v>44565</v>
          </cell>
          <cell r="Q1932" t="str">
            <v>2021-12-29 → 1/4(오전)</v>
          </cell>
          <cell r="R1932" t="str">
            <v>2021-12-29 → 1/4(오전)</v>
          </cell>
          <cell r="S1932"/>
          <cell r="T1932">
            <v>44565</v>
          </cell>
          <cell r="U1932">
            <v>44566</v>
          </cell>
          <cell r="V1932">
            <v>44566</v>
          </cell>
          <cell r="W1932"/>
          <cell r="X1932"/>
        </row>
        <row r="1933">
          <cell r="K1933" t="str">
            <v>GBWS-1937</v>
          </cell>
          <cell r="L1933">
            <v>44532</v>
          </cell>
          <cell r="M1933">
            <v>44532</v>
          </cell>
          <cell r="N1933">
            <v>44545</v>
          </cell>
          <cell r="O1933">
            <v>44532</v>
          </cell>
          <cell r="P1933">
            <v>44545</v>
          </cell>
          <cell r="Q1933" t="str">
            <v>2021-12-13 → 12/15</v>
          </cell>
          <cell r="R1933" t="str">
            <v>2021-12-13 → 12/15</v>
          </cell>
          <cell r="S1933"/>
          <cell r="T1933">
            <v>44547</v>
          </cell>
          <cell r="U1933">
            <v>44551</v>
          </cell>
          <cell r="V1933">
            <v>44552</v>
          </cell>
          <cell r="W1933">
            <v>44553</v>
          </cell>
          <cell r="X1933">
            <v>41100326</v>
          </cell>
        </row>
        <row r="1934">
          <cell r="K1934" t="str">
            <v>GBWS-1938</v>
          </cell>
          <cell r="L1934">
            <v>44532</v>
          </cell>
          <cell r="M1934">
            <v>44532</v>
          </cell>
          <cell r="N1934">
            <v>44545</v>
          </cell>
          <cell r="O1934">
            <v>44532</v>
          </cell>
          <cell r="P1934">
            <v>44545</v>
          </cell>
          <cell r="Q1934" t="str">
            <v>2021-12-13 → 12/15</v>
          </cell>
          <cell r="R1934" t="str">
            <v>2021-12-13 → 12/15</v>
          </cell>
          <cell r="S1934"/>
          <cell r="T1934">
            <v>44547</v>
          </cell>
          <cell r="U1934">
            <v>44551</v>
          </cell>
          <cell r="V1934">
            <v>44552</v>
          </cell>
          <cell r="W1934">
            <v>44553</v>
          </cell>
          <cell r="X1934">
            <v>41100328</v>
          </cell>
        </row>
        <row r="1935">
          <cell r="K1935" t="str">
            <v>GBWS-1903</v>
          </cell>
          <cell r="L1935">
            <v>44523</v>
          </cell>
          <cell r="M1935">
            <v>44523</v>
          </cell>
          <cell r="N1935">
            <v>44535</v>
          </cell>
          <cell r="O1935">
            <v>44523</v>
          </cell>
          <cell r="P1935">
            <v>44533</v>
          </cell>
          <cell r="Q1935">
            <v>44533</v>
          </cell>
          <cell r="R1935">
            <v>44533</v>
          </cell>
          <cell r="S1935"/>
          <cell r="T1935">
            <v>44538</v>
          </cell>
          <cell r="U1935">
            <v>44539</v>
          </cell>
          <cell r="V1935">
            <v>44540</v>
          </cell>
          <cell r="W1935">
            <v>44540</v>
          </cell>
          <cell r="X1935">
            <v>41100328</v>
          </cell>
        </row>
        <row r="1936">
          <cell r="K1936" t="str">
            <v>GPWS-0208</v>
          </cell>
          <cell r="L1936">
            <v>44545</v>
          </cell>
          <cell r="M1936">
            <v>44545</v>
          </cell>
          <cell r="N1936">
            <v>44558</v>
          </cell>
          <cell r="O1936">
            <v>44545</v>
          </cell>
          <cell r="P1936">
            <v>44558</v>
          </cell>
          <cell r="Q1936" t="str">
            <v>2021-12-24 → 12/28</v>
          </cell>
          <cell r="R1936" t="str">
            <v>2021-12-24 → 12/28</v>
          </cell>
          <cell r="S1936"/>
          <cell r="T1936">
            <v>44558</v>
          </cell>
          <cell r="U1936">
            <v>44200</v>
          </cell>
          <cell r="V1936">
            <v>44566</v>
          </cell>
          <cell r="W1936">
            <v>44566</v>
          </cell>
          <cell r="X1936">
            <v>41100064</v>
          </cell>
        </row>
        <row r="1937">
          <cell r="K1937" t="str">
            <v>GPWS-0209</v>
          </cell>
          <cell r="L1937">
            <v>44545</v>
          </cell>
          <cell r="M1937">
            <v>44545</v>
          </cell>
          <cell r="N1937">
            <v>44558</v>
          </cell>
          <cell r="O1937">
            <v>44545</v>
          </cell>
          <cell r="P1937">
            <v>44558</v>
          </cell>
          <cell r="Q1937" t="str">
            <v>2021-12-24 → 12/28</v>
          </cell>
          <cell r="R1937" t="str">
            <v>2021-12-24 → 12/28</v>
          </cell>
          <cell r="S1937"/>
          <cell r="T1937">
            <v>44558</v>
          </cell>
          <cell r="U1937">
            <v>44200</v>
          </cell>
          <cell r="V1937">
            <v>44566</v>
          </cell>
          <cell r="W1937">
            <v>44566</v>
          </cell>
          <cell r="X1937">
            <v>41100064</v>
          </cell>
        </row>
        <row r="1938">
          <cell r="K1938" t="str">
            <v>GPWS-0210</v>
          </cell>
          <cell r="L1938">
            <v>44545</v>
          </cell>
          <cell r="M1938">
            <v>44545</v>
          </cell>
          <cell r="N1938">
            <v>44558</v>
          </cell>
          <cell r="O1938">
            <v>44545</v>
          </cell>
          <cell r="P1938">
            <v>44558</v>
          </cell>
          <cell r="Q1938" t="str">
            <v>2021-12-24 → 12/28</v>
          </cell>
          <cell r="R1938" t="str">
            <v>2021-12-24 → 12/28</v>
          </cell>
          <cell r="S1938"/>
          <cell r="T1938">
            <v>44558</v>
          </cell>
          <cell r="U1938">
            <v>44564</v>
          </cell>
          <cell r="V1938">
            <v>44565</v>
          </cell>
          <cell r="W1938">
            <v>44565</v>
          </cell>
          <cell r="X1938">
            <v>41100064</v>
          </cell>
        </row>
        <row r="1939">
          <cell r="K1939" t="str">
            <v>GPWS-0211</v>
          </cell>
          <cell r="L1939">
            <v>44545</v>
          </cell>
          <cell r="M1939">
            <v>44545</v>
          </cell>
          <cell r="N1939">
            <v>44558</v>
          </cell>
          <cell r="O1939">
            <v>44545</v>
          </cell>
          <cell r="P1939">
            <v>44558</v>
          </cell>
          <cell r="Q1939" t="str">
            <v>2021-12-24 → 12/28</v>
          </cell>
          <cell r="R1939" t="str">
            <v>2021-12-24 → 12/28</v>
          </cell>
          <cell r="S1939"/>
          <cell r="T1939">
            <v>44558</v>
          </cell>
          <cell r="U1939">
            <v>44564</v>
          </cell>
          <cell r="V1939">
            <v>44565</v>
          </cell>
          <cell r="W1939">
            <v>44565</v>
          </cell>
          <cell r="X1939">
            <v>41100064</v>
          </cell>
        </row>
        <row r="1940">
          <cell r="K1940" t="str">
            <v>GBWS-1973</v>
          </cell>
          <cell r="L1940">
            <v>44546</v>
          </cell>
          <cell r="M1940">
            <v>44546</v>
          </cell>
          <cell r="N1940">
            <v>44558</v>
          </cell>
          <cell r="O1940">
            <v>44546</v>
          </cell>
          <cell r="P1940">
            <v>44558</v>
          </cell>
          <cell r="Q1940" t="str">
            <v>2021-12-28 → 1/4</v>
          </cell>
          <cell r="R1940" t="str">
            <v>2021-12-28 → 1/4</v>
          </cell>
          <cell r="S1940"/>
          <cell r="T1940">
            <v>44564</v>
          </cell>
          <cell r="U1940">
            <v>44565</v>
          </cell>
          <cell r="V1940">
            <v>44567</v>
          </cell>
          <cell r="W1940">
            <v>44567</v>
          </cell>
          <cell r="X1940">
            <v>41100085</v>
          </cell>
        </row>
        <row r="1941">
          <cell r="K1941" t="str">
            <v>GBWS-1974</v>
          </cell>
          <cell r="L1941">
            <v>44546</v>
          </cell>
          <cell r="M1941">
            <v>44546</v>
          </cell>
          <cell r="N1941">
            <v>44558</v>
          </cell>
          <cell r="O1941">
            <v>44546</v>
          </cell>
          <cell r="P1941">
            <v>44558</v>
          </cell>
          <cell r="Q1941" t="str">
            <v>2021-12-28 → 1/4</v>
          </cell>
          <cell r="R1941" t="str">
            <v>2021-12-28 → 1/4</v>
          </cell>
          <cell r="S1941"/>
          <cell r="T1941">
            <v>44564</v>
          </cell>
          <cell r="U1941">
            <v>44565</v>
          </cell>
          <cell r="V1941">
            <v>44567</v>
          </cell>
          <cell r="W1941">
            <v>44567</v>
          </cell>
          <cell r="X1941">
            <v>41100085</v>
          </cell>
        </row>
        <row r="1942">
          <cell r="K1942" t="str">
            <v>GBWS-1975</v>
          </cell>
          <cell r="L1942">
            <v>44546</v>
          </cell>
          <cell r="M1942">
            <v>44546</v>
          </cell>
          <cell r="N1942">
            <v>44558</v>
          </cell>
          <cell r="O1942">
            <v>44546</v>
          </cell>
          <cell r="P1942">
            <v>44558</v>
          </cell>
          <cell r="Q1942" t="str">
            <v>2021-12-28 → 1/4</v>
          </cell>
          <cell r="R1942" t="str">
            <v>2021-12-28 → 1/4</v>
          </cell>
          <cell r="S1942"/>
          <cell r="T1942">
            <v>44564</v>
          </cell>
          <cell r="U1942">
            <v>44565</v>
          </cell>
          <cell r="V1942">
            <v>44567</v>
          </cell>
          <cell r="W1942">
            <v>44567</v>
          </cell>
          <cell r="X1942">
            <v>41100085</v>
          </cell>
        </row>
        <row r="1943">
          <cell r="K1943" t="str">
            <v>GBWS-1976</v>
          </cell>
          <cell r="L1943">
            <v>44546</v>
          </cell>
          <cell r="M1943">
            <v>44546</v>
          </cell>
          <cell r="N1943">
            <v>44558</v>
          </cell>
          <cell r="O1943">
            <v>44546</v>
          </cell>
          <cell r="P1943">
            <v>44558</v>
          </cell>
          <cell r="Q1943" t="str">
            <v>2021-12-28 → 1/4</v>
          </cell>
          <cell r="R1943" t="str">
            <v>2021-12-28 → 1/4</v>
          </cell>
          <cell r="S1943"/>
          <cell r="T1943">
            <v>44564</v>
          </cell>
          <cell r="U1943">
            <v>44565</v>
          </cell>
          <cell r="V1943">
            <v>44567</v>
          </cell>
          <cell r="W1943">
            <v>44567</v>
          </cell>
          <cell r="X1943">
            <v>41100085</v>
          </cell>
        </row>
        <row r="1944">
          <cell r="K1944" t="str">
            <v>GBWS-1977</v>
          </cell>
          <cell r="L1944">
            <v>44546</v>
          </cell>
          <cell r="M1944">
            <v>44546</v>
          </cell>
          <cell r="N1944">
            <v>44558</v>
          </cell>
          <cell r="O1944">
            <v>44546</v>
          </cell>
          <cell r="P1944">
            <v>44558</v>
          </cell>
          <cell r="Q1944" t="str">
            <v>2021-12-28 → 1/4</v>
          </cell>
          <cell r="R1944" t="str">
            <v>2021-12-28 → 1/4</v>
          </cell>
          <cell r="S1944"/>
          <cell r="T1944">
            <v>44564</v>
          </cell>
          <cell r="U1944">
            <v>44565</v>
          </cell>
          <cell r="V1944">
            <v>44568</v>
          </cell>
          <cell r="W1944">
            <v>44568</v>
          </cell>
          <cell r="X1944">
            <v>41100085</v>
          </cell>
        </row>
        <row r="1945">
          <cell r="K1945" t="str">
            <v>GBWS-1978</v>
          </cell>
          <cell r="L1945">
            <v>44546</v>
          </cell>
          <cell r="M1945">
            <v>44546</v>
          </cell>
          <cell r="N1945">
            <v>44558</v>
          </cell>
          <cell r="O1945">
            <v>44546</v>
          </cell>
          <cell r="P1945">
            <v>44558</v>
          </cell>
          <cell r="Q1945" t="str">
            <v>2021-12-28 → 1/4</v>
          </cell>
          <cell r="R1945" t="str">
            <v>2021-12-28 → 1/4</v>
          </cell>
          <cell r="S1945"/>
          <cell r="T1945">
            <v>44564</v>
          </cell>
          <cell r="U1945">
            <v>44565</v>
          </cell>
          <cell r="V1945">
            <v>44571</v>
          </cell>
          <cell r="W1945">
            <v>44571</v>
          </cell>
          <cell r="X1945">
            <v>41100085</v>
          </cell>
        </row>
        <row r="1946">
          <cell r="K1946" t="str">
            <v>GBWS-1979</v>
          </cell>
          <cell r="L1946">
            <v>44546</v>
          </cell>
          <cell r="M1946">
            <v>44546</v>
          </cell>
          <cell r="N1946">
            <v>44558</v>
          </cell>
          <cell r="O1946">
            <v>44546</v>
          </cell>
          <cell r="P1946">
            <v>44558</v>
          </cell>
          <cell r="Q1946" t="str">
            <v>2021-12-28 → 1/4</v>
          </cell>
          <cell r="R1946" t="str">
            <v>2021-12-28 → 1/4</v>
          </cell>
          <cell r="S1946"/>
          <cell r="T1946">
            <v>44564</v>
          </cell>
          <cell r="U1946">
            <v>44565</v>
          </cell>
          <cell r="V1946">
            <v>44568</v>
          </cell>
          <cell r="W1946">
            <v>44568</v>
          </cell>
          <cell r="X1946">
            <v>41100085</v>
          </cell>
        </row>
        <row r="1947">
          <cell r="K1947" t="str">
            <v>GBWS-1980</v>
          </cell>
          <cell r="L1947">
            <v>44546</v>
          </cell>
          <cell r="M1947">
            <v>44546</v>
          </cell>
          <cell r="N1947">
            <v>44558</v>
          </cell>
          <cell r="O1947">
            <v>44546</v>
          </cell>
          <cell r="P1947">
            <v>44558</v>
          </cell>
          <cell r="Q1947" t="str">
            <v>2021-12-28 → 1/4</v>
          </cell>
          <cell r="R1947" t="str">
            <v>2021-12-28 → 1/4</v>
          </cell>
          <cell r="S1947"/>
          <cell r="T1947">
            <v>44564</v>
          </cell>
          <cell r="U1947">
            <v>44565</v>
          </cell>
          <cell r="V1947">
            <v>44571</v>
          </cell>
          <cell r="W1947">
            <v>44571</v>
          </cell>
          <cell r="X1947">
            <v>41100085</v>
          </cell>
        </row>
        <row r="1948">
          <cell r="K1948" t="str">
            <v>GBWS-1981</v>
          </cell>
          <cell r="L1948">
            <v>44546</v>
          </cell>
          <cell r="M1948">
            <v>44546</v>
          </cell>
          <cell r="N1948">
            <v>44557</v>
          </cell>
          <cell r="O1948">
            <v>44546</v>
          </cell>
          <cell r="P1948">
            <v>44558</v>
          </cell>
          <cell r="Q1948" t="str">
            <v>2021-12-28 → 1/4</v>
          </cell>
          <cell r="R1948" t="str">
            <v>2021-12-28 → 1/4</v>
          </cell>
          <cell r="S1948"/>
          <cell r="T1948">
            <v>44565</v>
          </cell>
          <cell r="U1948">
            <v>44566</v>
          </cell>
          <cell r="V1948">
            <v>44568</v>
          </cell>
          <cell r="W1948">
            <v>44568</v>
          </cell>
          <cell r="X1948">
            <v>41100087</v>
          </cell>
        </row>
        <row r="1949">
          <cell r="K1949" t="str">
            <v>GBWS-1982</v>
          </cell>
          <cell r="L1949">
            <v>44546</v>
          </cell>
          <cell r="M1949">
            <v>44546</v>
          </cell>
          <cell r="N1949">
            <v>44565</v>
          </cell>
          <cell r="O1949">
            <v>44546</v>
          </cell>
          <cell r="P1949">
            <v>44201</v>
          </cell>
          <cell r="Q1949" t="str">
            <v>2021-12-28 → 1/4 → 1/5(오전)</v>
          </cell>
          <cell r="R1949" t="str">
            <v>2021-12-28 → 1/4 → 1/5(오전)</v>
          </cell>
          <cell r="S1949"/>
          <cell r="T1949">
            <v>44566</v>
          </cell>
          <cell r="U1949">
            <v>44567</v>
          </cell>
          <cell r="V1949">
            <v>44571</v>
          </cell>
          <cell r="W1949">
            <v>44571</v>
          </cell>
          <cell r="X1949" t="str">
            <v>41100087 → 41100348</v>
          </cell>
        </row>
        <row r="1950">
          <cell r="K1950" t="str">
            <v>GBWS-1983</v>
          </cell>
          <cell r="L1950">
            <v>44546</v>
          </cell>
          <cell r="M1950">
            <v>44546</v>
          </cell>
          <cell r="N1950">
            <v>44565</v>
          </cell>
          <cell r="O1950">
            <v>44546</v>
          </cell>
          <cell r="P1950">
            <v>44201</v>
          </cell>
          <cell r="Q1950" t="str">
            <v>2021-12-28 → 1/4 → 1/5(오전)</v>
          </cell>
          <cell r="R1950" t="str">
            <v>2021-12-28 → 1/4 → 1/5(오전)</v>
          </cell>
          <cell r="S1950"/>
          <cell r="T1950">
            <v>44566</v>
          </cell>
          <cell r="U1950">
            <v>44567</v>
          </cell>
          <cell r="V1950">
            <v>44571</v>
          </cell>
          <cell r="W1950">
            <v>44571</v>
          </cell>
          <cell r="X1950" t="str">
            <v>41100087 → 41100348</v>
          </cell>
        </row>
        <row r="1951">
          <cell r="K1951" t="str">
            <v>GBWS-1984</v>
          </cell>
          <cell r="L1951">
            <v>44546</v>
          </cell>
          <cell r="M1951">
            <v>44546</v>
          </cell>
          <cell r="N1951">
            <v>44557</v>
          </cell>
          <cell r="O1951">
            <v>44546</v>
          </cell>
          <cell r="P1951">
            <v>44558</v>
          </cell>
          <cell r="Q1951" t="str">
            <v>2021-12-28 → 1/4</v>
          </cell>
          <cell r="R1951" t="str">
            <v>2021-12-28 → 1/4</v>
          </cell>
          <cell r="S1951"/>
          <cell r="T1951">
            <v>44565</v>
          </cell>
          <cell r="U1951">
            <v>44567</v>
          </cell>
          <cell r="V1951">
            <v>44571</v>
          </cell>
          <cell r="W1951">
            <v>44571</v>
          </cell>
          <cell r="X1951">
            <v>41100087</v>
          </cell>
        </row>
        <row r="1952">
          <cell r="K1952" t="str">
            <v>GBWS-1986</v>
          </cell>
          <cell r="L1952">
            <v>44546</v>
          </cell>
          <cell r="M1952">
            <v>44546</v>
          </cell>
          <cell r="N1952">
            <v>44557</v>
          </cell>
          <cell r="O1952">
            <v>44546</v>
          </cell>
          <cell r="P1952">
            <v>44558</v>
          </cell>
          <cell r="Q1952" t="str">
            <v>2021-12-28 → 1/4</v>
          </cell>
          <cell r="R1952" t="str">
            <v>2021-12-28 → 1/4</v>
          </cell>
          <cell r="S1952"/>
          <cell r="T1952">
            <v>44565</v>
          </cell>
          <cell r="U1952">
            <v>44566</v>
          </cell>
          <cell r="V1952">
            <v>44568</v>
          </cell>
          <cell r="W1952">
            <v>44571</v>
          </cell>
          <cell r="X1952">
            <v>41100088</v>
          </cell>
        </row>
        <row r="1953">
          <cell r="K1953" t="str">
            <v>GBWS-1985</v>
          </cell>
          <cell r="L1953">
            <v>44546</v>
          </cell>
          <cell r="M1953">
            <v>44546</v>
          </cell>
          <cell r="N1953">
            <v>44557</v>
          </cell>
          <cell r="O1953">
            <v>44546</v>
          </cell>
          <cell r="P1953">
            <v>44558</v>
          </cell>
          <cell r="Q1953" t="str">
            <v>2021-12-28 → 1/4</v>
          </cell>
          <cell r="R1953" t="str">
            <v>2021-12-28 → 1/4</v>
          </cell>
          <cell r="S1953"/>
          <cell r="T1953">
            <v>44565</v>
          </cell>
          <cell r="U1953">
            <v>44567</v>
          </cell>
          <cell r="V1953">
            <v>44571</v>
          </cell>
          <cell r="W1953">
            <v>44571</v>
          </cell>
          <cell r="X1953">
            <v>41100089</v>
          </cell>
        </row>
        <row r="1954">
          <cell r="K1954" t="str">
            <v xml:space="preserve">GBWS-1990 </v>
          </cell>
          <cell r="L1954">
            <v>44552</v>
          </cell>
          <cell r="M1954">
            <v>44552</v>
          </cell>
          <cell r="N1954">
            <v>44565</v>
          </cell>
          <cell r="O1954">
            <v>44552</v>
          </cell>
          <cell r="P1954">
            <v>44565</v>
          </cell>
          <cell r="Q1954" t="str">
            <v>2022-01-03 → 1/4</v>
          </cell>
          <cell r="R1954" t="str">
            <v>2022-01-03 → 1/4</v>
          </cell>
          <cell r="S1954"/>
          <cell r="T1954">
            <v>44566</v>
          </cell>
          <cell r="U1954">
            <v>44567</v>
          </cell>
          <cell r="V1954">
            <v>44568</v>
          </cell>
          <cell r="W1954">
            <v>44568</v>
          </cell>
          <cell r="X1954">
            <v>41100386</v>
          </cell>
        </row>
        <row r="1955">
          <cell r="K1955" t="str">
            <v>GBWS-1949</v>
          </cell>
          <cell r="L1955">
            <v>44537</v>
          </cell>
          <cell r="M1955">
            <v>44538</v>
          </cell>
          <cell r="N1955">
            <v>44546</v>
          </cell>
          <cell r="O1955">
            <v>44538</v>
          </cell>
          <cell r="P1955">
            <v>44546</v>
          </cell>
          <cell r="Q1955">
            <v>44552</v>
          </cell>
          <cell r="R1955">
            <v>44552</v>
          </cell>
          <cell r="S1955"/>
          <cell r="T1955">
            <v>44547</v>
          </cell>
          <cell r="U1955">
            <v>44550</v>
          </cell>
          <cell r="V1955">
            <v>44552</v>
          </cell>
          <cell r="W1955">
            <v>44553</v>
          </cell>
          <cell r="X1955">
            <v>41100087</v>
          </cell>
        </row>
        <row r="1956">
          <cell r="K1956" t="str">
            <v>GBWS-1950</v>
          </cell>
          <cell r="L1956">
            <v>44537</v>
          </cell>
          <cell r="M1956">
            <v>44538</v>
          </cell>
          <cell r="N1956">
            <v>44546</v>
          </cell>
          <cell r="O1956">
            <v>44538</v>
          </cell>
          <cell r="P1956">
            <v>44546</v>
          </cell>
          <cell r="Q1956">
            <v>44552</v>
          </cell>
          <cell r="R1956">
            <v>44552</v>
          </cell>
          <cell r="S1956"/>
          <cell r="T1956">
            <v>44547</v>
          </cell>
          <cell r="U1956">
            <v>44550</v>
          </cell>
          <cell r="V1956">
            <v>44552</v>
          </cell>
          <cell r="W1956">
            <v>44553</v>
          </cell>
          <cell r="X1956">
            <v>41100387</v>
          </cell>
        </row>
        <row r="1957">
          <cell r="K1957" t="str">
            <v>GBWS-1951</v>
          </cell>
          <cell r="L1957">
            <v>44537</v>
          </cell>
          <cell r="M1957">
            <v>44538</v>
          </cell>
          <cell r="N1957">
            <v>44548</v>
          </cell>
          <cell r="O1957">
            <v>44538</v>
          </cell>
          <cell r="P1957">
            <v>44548</v>
          </cell>
          <cell r="Q1957">
            <v>44552</v>
          </cell>
          <cell r="R1957">
            <v>44552</v>
          </cell>
          <cell r="S1957"/>
          <cell r="T1957">
            <v>44550</v>
          </cell>
          <cell r="U1957">
            <v>44551</v>
          </cell>
          <cell r="V1957">
            <v>44552</v>
          </cell>
          <cell r="W1957">
            <v>44553</v>
          </cell>
          <cell r="X1957">
            <v>41100387</v>
          </cell>
        </row>
        <row r="1958">
          <cell r="K1958" t="str">
            <v>GBWS-1952</v>
          </cell>
          <cell r="L1958">
            <v>44539</v>
          </cell>
          <cell r="M1958">
            <v>44539</v>
          </cell>
          <cell r="N1958">
            <v>44551</v>
          </cell>
          <cell r="O1958">
            <v>44539</v>
          </cell>
          <cell r="P1958">
            <v>44551</v>
          </cell>
          <cell r="Q1958">
            <v>44551</v>
          </cell>
          <cell r="R1958">
            <v>44551</v>
          </cell>
          <cell r="S1958"/>
          <cell r="T1958">
            <v>44552</v>
          </cell>
          <cell r="U1958">
            <v>44553</v>
          </cell>
          <cell r="V1958">
            <v>44557</v>
          </cell>
          <cell r="W1958">
            <v>44557</v>
          </cell>
          <cell r="X1958">
            <v>41100085</v>
          </cell>
        </row>
        <row r="1959">
          <cell r="K1959" t="str">
            <v>GBWS-1953</v>
          </cell>
          <cell r="L1959">
            <v>44539</v>
          </cell>
          <cell r="M1959">
            <v>44539</v>
          </cell>
          <cell r="N1959">
            <v>44551</v>
          </cell>
          <cell r="O1959">
            <v>44539</v>
          </cell>
          <cell r="P1959">
            <v>44551</v>
          </cell>
          <cell r="Q1959">
            <v>44551</v>
          </cell>
          <cell r="R1959">
            <v>44551</v>
          </cell>
          <cell r="S1959"/>
          <cell r="T1959">
            <v>44552</v>
          </cell>
          <cell r="U1959">
            <v>44553</v>
          </cell>
          <cell r="V1959">
            <v>44557</v>
          </cell>
          <cell r="W1959">
            <v>44557</v>
          </cell>
          <cell r="X1959">
            <v>41100085</v>
          </cell>
        </row>
        <row r="1960">
          <cell r="K1960" t="str">
            <v>GBWS-1954</v>
          </cell>
          <cell r="L1960">
            <v>44539</v>
          </cell>
          <cell r="M1960">
            <v>44539</v>
          </cell>
          <cell r="N1960">
            <v>44551</v>
          </cell>
          <cell r="O1960">
            <v>44539</v>
          </cell>
          <cell r="P1960">
            <v>44551</v>
          </cell>
          <cell r="Q1960">
            <v>44551</v>
          </cell>
          <cell r="R1960">
            <v>44551</v>
          </cell>
          <cell r="S1960"/>
          <cell r="T1960">
            <v>44552</v>
          </cell>
          <cell r="U1960">
            <v>44553</v>
          </cell>
          <cell r="V1960">
            <v>44557</v>
          </cell>
          <cell r="W1960">
            <v>44557</v>
          </cell>
          <cell r="X1960">
            <v>41100085</v>
          </cell>
        </row>
        <row r="1961">
          <cell r="K1961" t="str">
            <v>GBWS-1955</v>
          </cell>
          <cell r="L1961">
            <v>44539</v>
          </cell>
          <cell r="M1961">
            <v>44539</v>
          </cell>
          <cell r="N1961">
            <v>44551</v>
          </cell>
          <cell r="O1961">
            <v>44539</v>
          </cell>
          <cell r="P1961">
            <v>44551</v>
          </cell>
          <cell r="Q1961">
            <v>44551</v>
          </cell>
          <cell r="R1961">
            <v>44551</v>
          </cell>
          <cell r="S1961"/>
          <cell r="T1961">
            <v>44552</v>
          </cell>
          <cell r="U1961">
            <v>44553</v>
          </cell>
          <cell r="V1961">
            <v>44557</v>
          </cell>
          <cell r="W1961">
            <v>44557</v>
          </cell>
          <cell r="X1961">
            <v>41100085</v>
          </cell>
        </row>
        <row r="1962">
          <cell r="K1962" t="str">
            <v>GBWS-1956</v>
          </cell>
          <cell r="L1962">
            <v>44539</v>
          </cell>
          <cell r="M1962">
            <v>44539</v>
          </cell>
          <cell r="N1962">
            <v>44551</v>
          </cell>
          <cell r="O1962">
            <v>44539</v>
          </cell>
          <cell r="P1962">
            <v>44551</v>
          </cell>
          <cell r="Q1962">
            <v>44551</v>
          </cell>
          <cell r="R1962">
            <v>44551</v>
          </cell>
          <cell r="S1962"/>
          <cell r="T1962">
            <v>44552</v>
          </cell>
          <cell r="U1962">
            <v>44553</v>
          </cell>
          <cell r="V1962">
            <v>44557</v>
          </cell>
          <cell r="W1962">
            <v>44557</v>
          </cell>
          <cell r="X1962">
            <v>41100086</v>
          </cell>
        </row>
        <row r="1963">
          <cell r="K1963" t="str">
            <v>DBW-2520</v>
          </cell>
          <cell r="L1963">
            <v>44539</v>
          </cell>
          <cell r="M1963">
            <v>44539</v>
          </cell>
          <cell r="N1963">
            <v>44551</v>
          </cell>
          <cell r="O1963">
            <v>44539</v>
          </cell>
          <cell r="P1963">
            <v>44551</v>
          </cell>
          <cell r="Q1963">
            <v>44551</v>
          </cell>
          <cell r="R1963">
            <v>44551</v>
          </cell>
          <cell r="S1963"/>
          <cell r="T1963">
            <v>44552</v>
          </cell>
          <cell r="U1963">
            <v>44553</v>
          </cell>
          <cell r="V1963">
            <v>44557</v>
          </cell>
          <cell r="W1963">
            <v>44557</v>
          </cell>
          <cell r="X1963">
            <v>41100099</v>
          </cell>
        </row>
        <row r="1964">
          <cell r="K1964" t="str">
            <v>MMD-0036</v>
          </cell>
          <cell r="L1964">
            <v>44553</v>
          </cell>
          <cell r="M1964">
            <v>44553</v>
          </cell>
          <cell r="N1964">
            <v>44565</v>
          </cell>
          <cell r="O1964">
            <v>44553</v>
          </cell>
          <cell r="P1964">
            <v>44564</v>
          </cell>
          <cell r="Q1964">
            <v>44559</v>
          </cell>
          <cell r="R1964">
            <v>44559</v>
          </cell>
          <cell r="S1964"/>
          <cell r="T1964">
            <v>44565</v>
          </cell>
          <cell r="U1964">
            <v>44565</v>
          </cell>
          <cell r="V1964">
            <v>44568</v>
          </cell>
          <cell r="W1964">
            <v>44568</v>
          </cell>
          <cell r="X1964">
            <v>31100357</v>
          </cell>
        </row>
        <row r="1965">
          <cell r="K1965" t="str">
            <v>IVAS-107</v>
          </cell>
          <cell r="L1965">
            <v>44530</v>
          </cell>
          <cell r="M1965">
            <v>44530</v>
          </cell>
          <cell r="N1965">
            <v>44552</v>
          </cell>
          <cell r="O1965">
            <v>44530</v>
          </cell>
          <cell r="P1965">
            <v>44559</v>
          </cell>
          <cell r="Q1965" t="str">
            <v>2021-12-13 → 12/15 → 12/21</v>
          </cell>
          <cell r="R1965" t="str">
            <v>2021-12-13 → 12/15 → 12/21</v>
          </cell>
          <cell r="S1965"/>
          <cell r="T1965">
            <v>44552</v>
          </cell>
          <cell r="U1965">
            <v>44568</v>
          </cell>
          <cell r="V1965">
            <v>44568</v>
          </cell>
          <cell r="W1965">
            <v>44570</v>
          </cell>
          <cell r="X1965">
            <v>41100397</v>
          </cell>
        </row>
        <row r="1966">
          <cell r="K1966" t="str">
            <v>IVAS-113</v>
          </cell>
          <cell r="L1966">
            <v>44545</v>
          </cell>
          <cell r="M1966">
            <v>44545</v>
          </cell>
          <cell r="N1966">
            <v>44564</v>
          </cell>
          <cell r="O1966">
            <v>44545</v>
          </cell>
          <cell r="P1966">
            <v>44565</v>
          </cell>
          <cell r="Q1966" t="str">
            <v>2021-12-28 → 12/29</v>
          </cell>
          <cell r="R1966" t="str">
            <v>2021-12-28 → 12/29</v>
          </cell>
          <cell r="S1966"/>
          <cell r="T1966">
            <v>44564</v>
          </cell>
          <cell r="U1966">
            <v>44570</v>
          </cell>
          <cell r="V1966">
            <v>44571</v>
          </cell>
          <cell r="W1966">
            <v>44571</v>
          </cell>
          <cell r="X1966">
            <v>41100273</v>
          </cell>
        </row>
        <row r="1967">
          <cell r="K1967" t="str">
            <v>IVAS-110</v>
          </cell>
          <cell r="L1967">
            <v>44530</v>
          </cell>
          <cell r="M1967">
            <v>44530</v>
          </cell>
          <cell r="N1967">
            <v>44551</v>
          </cell>
          <cell r="O1967">
            <v>44530</v>
          </cell>
          <cell r="P1967">
            <v>44559</v>
          </cell>
          <cell r="Q1967" t="str">
            <v>2021-12-13 → 12/15 → 12/21</v>
          </cell>
          <cell r="R1967" t="str">
            <v>2021-12-13 → 12/15 → 12/21</v>
          </cell>
          <cell r="S1967"/>
          <cell r="T1967">
            <v>44552</v>
          </cell>
          <cell r="U1967">
            <v>44570</v>
          </cell>
          <cell r="V1967">
            <v>44571</v>
          </cell>
          <cell r="W1967">
            <v>44572</v>
          </cell>
          <cell r="X1967">
            <v>41100384</v>
          </cell>
        </row>
        <row r="1968">
          <cell r="K1968" t="str">
            <v>GBWS-1876</v>
          </cell>
          <cell r="L1968">
            <v>44517</v>
          </cell>
          <cell r="M1968">
            <v>44517</v>
          </cell>
          <cell r="N1968">
            <v>44530</v>
          </cell>
          <cell r="O1968">
            <v>44517</v>
          </cell>
          <cell r="P1968">
            <v>44527</v>
          </cell>
          <cell r="Q1968" t="str">
            <v>2021-11-26 → 11/27</v>
          </cell>
          <cell r="R1968" t="str">
            <v>2021-11-26 → 11/27</v>
          </cell>
          <cell r="S1968"/>
          <cell r="T1968">
            <v>44530</v>
          </cell>
          <cell r="U1968">
            <v>44531</v>
          </cell>
          <cell r="V1968">
            <v>44531</v>
          </cell>
          <cell r="W1968">
            <v>44532</v>
          </cell>
          <cell r="X1968">
            <v>41100168</v>
          </cell>
        </row>
        <row r="1969">
          <cell r="K1969" t="str">
            <v>GBWS-1877</v>
          </cell>
          <cell r="L1969">
            <v>44517</v>
          </cell>
          <cell r="M1969">
            <v>44517</v>
          </cell>
          <cell r="N1969">
            <v>44530</v>
          </cell>
          <cell r="O1969">
            <v>44517</v>
          </cell>
          <cell r="P1969">
            <v>44527</v>
          </cell>
          <cell r="Q1969" t="str">
            <v>2021-11-26 → 11/27</v>
          </cell>
          <cell r="R1969" t="str">
            <v>2021-11-26 → 11/27</v>
          </cell>
          <cell r="S1969"/>
          <cell r="T1969">
            <v>44530</v>
          </cell>
          <cell r="U1969">
            <v>44531</v>
          </cell>
          <cell r="V1969">
            <v>44531</v>
          </cell>
          <cell r="W1969">
            <v>44532</v>
          </cell>
          <cell r="X1969">
            <v>41100168</v>
          </cell>
        </row>
        <row r="1970">
          <cell r="K1970" t="str">
            <v>GBWS-1966</v>
          </cell>
          <cell r="L1970">
            <v>44544</v>
          </cell>
          <cell r="M1970">
            <v>44544</v>
          </cell>
          <cell r="N1970">
            <v>44552</v>
          </cell>
          <cell r="O1970">
            <v>44544</v>
          </cell>
          <cell r="P1970">
            <v>44552</v>
          </cell>
          <cell r="Q1970">
            <v>44552</v>
          </cell>
          <cell r="R1970">
            <v>44552</v>
          </cell>
          <cell r="S1970"/>
          <cell r="T1970">
            <v>44553</v>
          </cell>
          <cell r="U1970">
            <v>44554</v>
          </cell>
          <cell r="V1970">
            <v>44557</v>
          </cell>
          <cell r="W1970">
            <v>44559</v>
          </cell>
          <cell r="X1970">
            <v>41100168</v>
          </cell>
        </row>
        <row r="1971">
          <cell r="K1971" t="str">
            <v>GBWS-1967</v>
          </cell>
          <cell r="L1971">
            <v>44544</v>
          </cell>
          <cell r="M1971">
            <v>44544</v>
          </cell>
          <cell r="N1971">
            <v>44552</v>
          </cell>
          <cell r="O1971">
            <v>44544</v>
          </cell>
          <cell r="P1971">
            <v>44552</v>
          </cell>
          <cell r="Q1971">
            <v>44552</v>
          </cell>
          <cell r="R1971">
            <v>44552</v>
          </cell>
          <cell r="S1971"/>
          <cell r="T1971">
            <v>44553</v>
          </cell>
          <cell r="U1971">
            <v>44557</v>
          </cell>
          <cell r="V1971">
            <v>44557</v>
          </cell>
          <cell r="W1971">
            <v>44559</v>
          </cell>
          <cell r="X1971">
            <v>41100168</v>
          </cell>
        </row>
        <row r="1972">
          <cell r="K1972" t="str">
            <v>IVAS-112</v>
          </cell>
          <cell r="L1972">
            <v>44545</v>
          </cell>
          <cell r="M1972">
            <v>44545</v>
          </cell>
          <cell r="N1972">
            <v>44564</v>
          </cell>
          <cell r="O1972">
            <v>44545</v>
          </cell>
          <cell r="P1972">
            <v>44565</v>
          </cell>
          <cell r="Q1972" t="str">
            <v>2021-12-28 → 12/29 → 1/3</v>
          </cell>
          <cell r="R1972" t="str">
            <v>2021-12-28 → 12/29 → 1/3</v>
          </cell>
          <cell r="S1972"/>
          <cell r="T1972">
            <v>44565</v>
          </cell>
          <cell r="U1972">
            <v>44568</v>
          </cell>
          <cell r="V1972">
            <v>44571</v>
          </cell>
          <cell r="W1972">
            <v>44571</v>
          </cell>
          <cell r="X1972">
            <v>41100398</v>
          </cell>
        </row>
        <row r="1973">
          <cell r="K1973" t="str">
            <v>GBWS-1988</v>
          </cell>
          <cell r="L1973">
            <v>44546</v>
          </cell>
          <cell r="M1973">
            <v>44546</v>
          </cell>
          <cell r="N1973">
            <v>44559</v>
          </cell>
          <cell r="O1973">
            <v>44546</v>
          </cell>
          <cell r="P1973">
            <v>44558</v>
          </cell>
          <cell r="Q1973">
            <v>44558</v>
          </cell>
          <cell r="R1973">
            <v>44558</v>
          </cell>
          <cell r="S1973"/>
          <cell r="T1973">
            <v>44559</v>
          </cell>
          <cell r="U1973">
            <v>44564</v>
          </cell>
          <cell r="V1973">
            <v>44565</v>
          </cell>
          <cell r="W1973">
            <v>44565</v>
          </cell>
          <cell r="X1973">
            <v>41100431</v>
          </cell>
        </row>
        <row r="1974">
          <cell r="K1974" t="str">
            <v>GBWS-1989</v>
          </cell>
          <cell r="L1974">
            <v>44551</v>
          </cell>
          <cell r="M1974">
            <v>44551</v>
          </cell>
          <cell r="N1974">
            <v>44566</v>
          </cell>
          <cell r="O1974">
            <v>44551</v>
          </cell>
          <cell r="P1974">
            <v>44566</v>
          </cell>
          <cell r="Q1974" t="str">
            <v>2021-12-31 → 1/5</v>
          </cell>
          <cell r="R1974" t="str">
            <v>2021-12-31 → 1/5</v>
          </cell>
          <cell r="S1974"/>
          <cell r="T1974">
            <v>44567</v>
          </cell>
          <cell r="U1974">
            <v>44571</v>
          </cell>
          <cell r="V1974">
            <v>44572</v>
          </cell>
          <cell r="W1974">
            <v>44573</v>
          </cell>
          <cell r="X1974">
            <v>41100358</v>
          </cell>
        </row>
        <row r="1975">
          <cell r="K1975" t="str">
            <v>GBWS-1991</v>
          </cell>
          <cell r="L1975">
            <v>44552</v>
          </cell>
          <cell r="M1975">
            <v>44552</v>
          </cell>
          <cell r="N1975">
            <v>44571</v>
          </cell>
          <cell r="O1975">
            <v>44552</v>
          </cell>
          <cell r="P1975">
            <v>44571</v>
          </cell>
          <cell r="Q1975" t="str">
            <v>2022-01-05 → 1/7 → 1/10</v>
          </cell>
          <cell r="R1975" t="str">
            <v>2022-01-05 → 1/7 → 1/10</v>
          </cell>
          <cell r="S1975"/>
          <cell r="T1975">
            <v>44572</v>
          </cell>
          <cell r="U1975">
            <v>44573</v>
          </cell>
          <cell r="V1975">
            <v>44574</v>
          </cell>
          <cell r="W1975">
            <v>44574</v>
          </cell>
          <cell r="X1975">
            <v>41100386</v>
          </cell>
        </row>
        <row r="1976">
          <cell r="K1976" t="str">
            <v>GBWS-1992</v>
          </cell>
          <cell r="L1976">
            <v>44552</v>
          </cell>
          <cell r="M1976">
            <v>44552</v>
          </cell>
          <cell r="N1976">
            <v>44571</v>
          </cell>
          <cell r="O1976">
            <v>44552</v>
          </cell>
          <cell r="P1976">
            <v>44571</v>
          </cell>
          <cell r="Q1976" t="str">
            <v>2022-01-05 → 1/7 → 1/10</v>
          </cell>
          <cell r="R1976" t="str">
            <v>2022-01-05 → 1/7 → 1/10</v>
          </cell>
          <cell r="S1976"/>
          <cell r="T1976">
            <v>44572</v>
          </cell>
          <cell r="U1976">
            <v>44573</v>
          </cell>
          <cell r="V1976">
            <v>44574</v>
          </cell>
          <cell r="W1976">
            <v>44574</v>
          </cell>
          <cell r="X1976">
            <v>41100386</v>
          </cell>
        </row>
        <row r="1977">
          <cell r="K1977" t="str">
            <v>GBWS-1993</v>
          </cell>
          <cell r="L1977">
            <v>44552</v>
          </cell>
          <cell r="M1977">
            <v>44552</v>
          </cell>
          <cell r="N1977">
            <v>44571</v>
          </cell>
          <cell r="O1977">
            <v>44552</v>
          </cell>
          <cell r="P1977">
            <v>44571</v>
          </cell>
          <cell r="Q1977" t="str">
            <v>2022-01-05 → 1/7 → 1/10</v>
          </cell>
          <cell r="R1977" t="str">
            <v>2022-01-05 → 1/7 → 1/10</v>
          </cell>
          <cell r="S1977"/>
          <cell r="T1977">
            <v>44572</v>
          </cell>
          <cell r="U1977">
            <v>44573</v>
          </cell>
          <cell r="V1977">
            <v>44574</v>
          </cell>
          <cell r="W1977">
            <v>44574</v>
          </cell>
          <cell r="X1977">
            <v>41100386</v>
          </cell>
        </row>
        <row r="1978">
          <cell r="K1978" t="str">
            <v>GBWS-1994</v>
          </cell>
          <cell r="L1978">
            <v>44552</v>
          </cell>
          <cell r="M1978">
            <v>44552</v>
          </cell>
          <cell r="N1978">
            <v>44571</v>
          </cell>
          <cell r="O1978">
            <v>44552</v>
          </cell>
          <cell r="P1978">
            <v>44571</v>
          </cell>
          <cell r="Q1978" t="str">
            <v>2022-01-05 → 1/7 → 1/10</v>
          </cell>
          <cell r="R1978" t="str">
            <v>2022-01-05 → 1/7 → 1/10</v>
          </cell>
          <cell r="S1978"/>
          <cell r="T1978">
            <v>44572</v>
          </cell>
          <cell r="U1978">
            <v>44573</v>
          </cell>
          <cell r="V1978">
            <v>44574</v>
          </cell>
          <cell r="W1978">
            <v>44574</v>
          </cell>
          <cell r="X1978">
            <v>41100386</v>
          </cell>
        </row>
        <row r="1979">
          <cell r="K1979" t="str">
            <v>GBWS-1995</v>
          </cell>
          <cell r="L1979">
            <v>44552</v>
          </cell>
          <cell r="M1979">
            <v>44552</v>
          </cell>
          <cell r="N1979">
            <v>44571</v>
          </cell>
          <cell r="O1979">
            <v>44552</v>
          </cell>
          <cell r="P1979">
            <v>44571</v>
          </cell>
          <cell r="Q1979" t="str">
            <v>2022-01-05 → 1/7 → 1/10</v>
          </cell>
          <cell r="R1979" t="str">
            <v>2022-01-05 → 1/7 → 1/10</v>
          </cell>
          <cell r="S1979"/>
          <cell r="T1979">
            <v>44572</v>
          </cell>
          <cell r="U1979">
            <v>44573</v>
          </cell>
          <cell r="V1979">
            <v>44574</v>
          </cell>
          <cell r="W1979">
            <v>44574</v>
          </cell>
          <cell r="X1979">
            <v>41100386</v>
          </cell>
        </row>
        <row r="1980">
          <cell r="K1980" t="str">
            <v>GBWS-1996</v>
          </cell>
          <cell r="L1980">
            <v>44552</v>
          </cell>
          <cell r="M1980">
            <v>44552</v>
          </cell>
          <cell r="N1980">
            <v>44571</v>
          </cell>
          <cell r="O1980">
            <v>44552</v>
          </cell>
          <cell r="P1980">
            <v>44571</v>
          </cell>
          <cell r="Q1980" t="str">
            <v>2022-01-05 → 1/7 → 1/10</v>
          </cell>
          <cell r="R1980" t="str">
            <v>2022-01-05 → 1/7 → 1/10</v>
          </cell>
          <cell r="S1980"/>
          <cell r="T1980">
            <v>44573</v>
          </cell>
          <cell r="U1980">
            <v>44574</v>
          </cell>
          <cell r="V1980">
            <v>44575</v>
          </cell>
          <cell r="W1980">
            <v>44575</v>
          </cell>
          <cell r="X1980">
            <v>41100386</v>
          </cell>
        </row>
        <row r="1981">
          <cell r="K1981" t="str">
            <v>GBWS-1997</v>
          </cell>
          <cell r="L1981">
            <v>44552</v>
          </cell>
          <cell r="M1981">
            <v>44552</v>
          </cell>
          <cell r="N1981">
            <v>44571</v>
          </cell>
          <cell r="O1981">
            <v>44552</v>
          </cell>
          <cell r="P1981">
            <v>44571</v>
          </cell>
          <cell r="Q1981" t="str">
            <v>2022-01-05 → 1/7 → 1/10</v>
          </cell>
          <cell r="R1981" t="str">
            <v>2022-01-05 → 1/7 → 1/10</v>
          </cell>
          <cell r="S1981"/>
          <cell r="T1981">
            <v>44572</v>
          </cell>
          <cell r="U1981">
            <v>44574</v>
          </cell>
          <cell r="V1981">
            <v>44575</v>
          </cell>
          <cell r="W1981">
            <v>44575</v>
          </cell>
          <cell r="X1981">
            <v>41100411</v>
          </cell>
        </row>
        <row r="1982">
          <cell r="K1982" t="str">
            <v>SOS-0259</v>
          </cell>
          <cell r="L1982">
            <v>44567</v>
          </cell>
          <cell r="M1982">
            <v>44567</v>
          </cell>
          <cell r="N1982">
            <v>44572</v>
          </cell>
          <cell r="O1982">
            <v>44567</v>
          </cell>
          <cell r="P1982">
            <v>44572</v>
          </cell>
          <cell r="Q1982">
            <v>44572</v>
          </cell>
          <cell r="R1982">
            <v>44572</v>
          </cell>
          <cell r="S1982"/>
          <cell r="T1982">
            <v>44571</v>
          </cell>
          <cell r="U1982">
            <v>44574</v>
          </cell>
          <cell r="V1982">
            <v>44574</v>
          </cell>
          <cell r="W1982">
            <v>44574</v>
          </cell>
          <cell r="X1982">
            <v>41100299</v>
          </cell>
        </row>
        <row r="1983">
          <cell r="K1983" t="str">
            <v>DBW-2534</v>
          </cell>
          <cell r="L1983">
            <v>44559</v>
          </cell>
          <cell r="M1983">
            <v>44559</v>
          </cell>
          <cell r="N1983">
            <v>44571</v>
          </cell>
          <cell r="O1983">
            <v>44559</v>
          </cell>
          <cell r="P1983">
            <v>44571</v>
          </cell>
          <cell r="Q1983">
            <v>44571</v>
          </cell>
          <cell r="R1983">
            <v>44571</v>
          </cell>
          <cell r="S1983"/>
          <cell r="T1983">
            <v>44573</v>
          </cell>
          <cell r="U1983">
            <v>44574</v>
          </cell>
          <cell r="V1983">
            <v>44575</v>
          </cell>
          <cell r="W1983">
            <v>44575</v>
          </cell>
          <cell r="X1983">
            <v>41100258</v>
          </cell>
        </row>
        <row r="1984">
          <cell r="K1984" t="str">
            <v>DBW-2535</v>
          </cell>
          <cell r="L1984">
            <v>44559</v>
          </cell>
          <cell r="M1984">
            <v>44559</v>
          </cell>
          <cell r="N1984">
            <v>44571</v>
          </cell>
          <cell r="O1984">
            <v>44559</v>
          </cell>
          <cell r="P1984">
            <v>44571</v>
          </cell>
          <cell r="Q1984">
            <v>44571</v>
          </cell>
          <cell r="R1984">
            <v>44571</v>
          </cell>
          <cell r="S1984"/>
          <cell r="T1984">
            <v>44573</v>
          </cell>
          <cell r="U1984">
            <v>44575</v>
          </cell>
          <cell r="V1984">
            <v>44575</v>
          </cell>
          <cell r="W1984">
            <v>44578</v>
          </cell>
          <cell r="X1984">
            <v>41100258</v>
          </cell>
        </row>
        <row r="1985">
          <cell r="K1985" t="str">
            <v>DBW-2519</v>
          </cell>
          <cell r="L1985">
            <v>44539</v>
          </cell>
          <cell r="M1985">
            <v>44539</v>
          </cell>
          <cell r="N1985">
            <v>44551</v>
          </cell>
          <cell r="O1985">
            <v>44539</v>
          </cell>
          <cell r="P1985">
            <v>44550</v>
          </cell>
          <cell r="Q1985">
            <v>44551</v>
          </cell>
          <cell r="R1985">
            <v>44551</v>
          </cell>
          <cell r="S1985"/>
          <cell r="T1985">
            <v>44551</v>
          </cell>
          <cell r="U1985">
            <v>44552</v>
          </cell>
          <cell r="V1985">
            <v>44552</v>
          </cell>
          <cell r="W1985">
            <v>44554</v>
          </cell>
          <cell r="X1985">
            <v>41100360</v>
          </cell>
        </row>
        <row r="1986">
          <cell r="K1986" t="str">
            <v>DBW-2525</v>
          </cell>
          <cell r="L1986">
            <v>44551</v>
          </cell>
          <cell r="M1986">
            <v>44551</v>
          </cell>
          <cell r="N1986">
            <v>44566</v>
          </cell>
          <cell r="O1986">
            <v>44551</v>
          </cell>
          <cell r="P1986">
            <v>44566</v>
          </cell>
          <cell r="Q1986" t="str">
            <v>2022-01-03 → 1/5 → 1/6</v>
          </cell>
          <cell r="R1986" t="str">
            <v>2022-01-03 → 1/5 → 1/6</v>
          </cell>
          <cell r="S1986"/>
          <cell r="T1986">
            <v>44567</v>
          </cell>
          <cell r="U1986">
            <v>44568</v>
          </cell>
          <cell r="V1986">
            <v>44572</v>
          </cell>
          <cell r="W1986">
            <v>44573</v>
          </cell>
          <cell r="X1986">
            <v>41100359</v>
          </cell>
        </row>
        <row r="1987">
          <cell r="K1987" t="str">
            <v>DBW-2526</v>
          </cell>
          <cell r="L1987">
            <v>44551</v>
          </cell>
          <cell r="M1987">
            <v>44551</v>
          </cell>
          <cell r="N1987">
            <v>44566</v>
          </cell>
          <cell r="O1987">
            <v>44551</v>
          </cell>
          <cell r="P1987">
            <v>44566</v>
          </cell>
          <cell r="Q1987" t="str">
            <v>2022-01-03 → 1/5 → 1/6</v>
          </cell>
          <cell r="R1987" t="str">
            <v>2022-01-03 → 1/5 → 1/6</v>
          </cell>
          <cell r="S1987"/>
          <cell r="T1987">
            <v>44567</v>
          </cell>
          <cell r="U1987">
            <v>44568</v>
          </cell>
          <cell r="V1987">
            <v>44572</v>
          </cell>
          <cell r="W1987">
            <v>44573</v>
          </cell>
          <cell r="X1987">
            <v>41100359</v>
          </cell>
        </row>
        <row r="1988">
          <cell r="K1988" t="str">
            <v>DBW-2527</v>
          </cell>
          <cell r="L1988">
            <v>44551</v>
          </cell>
          <cell r="M1988">
            <v>44551</v>
          </cell>
          <cell r="N1988">
            <v>44566</v>
          </cell>
          <cell r="O1988">
            <v>44551</v>
          </cell>
          <cell r="P1988">
            <v>44566</v>
          </cell>
          <cell r="Q1988" t="str">
            <v>2022-01-03 → 1/5 → 1/6</v>
          </cell>
          <cell r="R1988" t="str">
            <v>2022-01-03 → 1/5 → 1/6</v>
          </cell>
          <cell r="S1988"/>
          <cell r="T1988">
            <v>44567</v>
          </cell>
          <cell r="U1988">
            <v>44568</v>
          </cell>
          <cell r="V1988">
            <v>44572</v>
          </cell>
          <cell r="W1988">
            <v>44573</v>
          </cell>
          <cell r="X1988">
            <v>41100359</v>
          </cell>
        </row>
        <row r="1989">
          <cell r="K1989" t="str">
            <v>DBW-2528</v>
          </cell>
          <cell r="L1989">
            <v>44551</v>
          </cell>
          <cell r="M1989">
            <v>44551</v>
          </cell>
          <cell r="N1989">
            <v>44566</v>
          </cell>
          <cell r="O1989">
            <v>44551</v>
          </cell>
          <cell r="P1989">
            <v>44566</v>
          </cell>
          <cell r="Q1989" t="str">
            <v>2022-01-03 → 1/5 → 1/6</v>
          </cell>
          <cell r="R1989" t="str">
            <v>2022-01-03 → 1/5 → 1/6</v>
          </cell>
          <cell r="S1989"/>
          <cell r="T1989">
            <v>44567</v>
          </cell>
          <cell r="U1989">
            <v>44571</v>
          </cell>
          <cell r="V1989">
            <v>44572</v>
          </cell>
          <cell r="W1989">
            <v>44573</v>
          </cell>
          <cell r="X1989">
            <v>41100359</v>
          </cell>
        </row>
        <row r="1990">
          <cell r="K1990" t="str">
            <v>DBW-2530</v>
          </cell>
          <cell r="L1990">
            <v>44551</v>
          </cell>
          <cell r="M1990">
            <v>44551</v>
          </cell>
          <cell r="N1990">
            <v>44564</v>
          </cell>
          <cell r="O1990">
            <v>44551</v>
          </cell>
          <cell r="P1990">
            <v>44564</v>
          </cell>
          <cell r="Q1990" t="str">
            <v>2022-01-03 → 12/29</v>
          </cell>
          <cell r="R1990" t="str">
            <v>2022-01-03 → 12/29</v>
          </cell>
          <cell r="S1990"/>
          <cell r="T1990">
            <v>44567</v>
          </cell>
          <cell r="U1990">
            <v>44567</v>
          </cell>
          <cell r="V1990">
            <v>44571</v>
          </cell>
          <cell r="W1990">
            <v>44571</v>
          </cell>
          <cell r="X1990">
            <v>41100360</v>
          </cell>
        </row>
        <row r="1991">
          <cell r="K1991" t="str">
            <v>DBW-2531</v>
          </cell>
          <cell r="L1991">
            <v>44551</v>
          </cell>
          <cell r="M1991">
            <v>44551</v>
          </cell>
          <cell r="N1991">
            <v>44564</v>
          </cell>
          <cell r="O1991">
            <v>44551</v>
          </cell>
          <cell r="P1991">
            <v>44564</v>
          </cell>
          <cell r="Q1991" t="str">
            <v>2022-01-03 → 12/29</v>
          </cell>
          <cell r="R1991" t="str">
            <v>2022-01-03 → 12/29</v>
          </cell>
          <cell r="S1991"/>
          <cell r="T1991">
            <v>44566</v>
          </cell>
          <cell r="U1991">
            <v>44567</v>
          </cell>
          <cell r="V1991">
            <v>44567</v>
          </cell>
          <cell r="W1991">
            <v>44568</v>
          </cell>
          <cell r="X1991">
            <v>41100360</v>
          </cell>
        </row>
        <row r="1992">
          <cell r="K1992" t="str">
            <v>DBW-2532</v>
          </cell>
          <cell r="L1992">
            <v>44551</v>
          </cell>
          <cell r="M1992">
            <v>44551</v>
          </cell>
          <cell r="N1992">
            <v>44564</v>
          </cell>
          <cell r="O1992">
            <v>44551</v>
          </cell>
          <cell r="P1992">
            <v>44564</v>
          </cell>
          <cell r="Q1992" t="str">
            <v>2022-01-03 → 12/29</v>
          </cell>
          <cell r="R1992" t="str">
            <v>2022-01-03 → 12/29</v>
          </cell>
          <cell r="S1992"/>
          <cell r="T1992">
            <v>44566</v>
          </cell>
          <cell r="U1992">
            <v>44567</v>
          </cell>
          <cell r="V1992">
            <v>44567</v>
          </cell>
          <cell r="W1992">
            <v>44568</v>
          </cell>
          <cell r="X1992">
            <v>41100360</v>
          </cell>
        </row>
        <row r="1993">
          <cell r="K1993" t="str">
            <v>GBWS-1998</v>
          </cell>
          <cell r="L1993">
            <v>44552</v>
          </cell>
          <cell r="M1993">
            <v>44552</v>
          </cell>
          <cell r="N1993">
            <v>44566</v>
          </cell>
          <cell r="O1993">
            <v>44552</v>
          </cell>
          <cell r="P1993">
            <v>44566</v>
          </cell>
          <cell r="Q1993" t="str">
            <v>2022-01-03 → 1/5 → 1/6</v>
          </cell>
          <cell r="R1993" t="str">
            <v>2022-01-03 → 1/5 → 1/6</v>
          </cell>
          <cell r="S1993"/>
          <cell r="T1993">
            <v>44568</v>
          </cell>
          <cell r="U1993">
            <v>44570</v>
          </cell>
          <cell r="V1993">
            <v>44572</v>
          </cell>
          <cell r="W1993">
            <v>44574</v>
          </cell>
          <cell r="X1993">
            <v>41100086</v>
          </cell>
        </row>
        <row r="1994">
          <cell r="K1994" t="str">
            <v>GBWS-1999</v>
          </cell>
          <cell r="L1994">
            <v>44552</v>
          </cell>
          <cell r="M1994">
            <v>44552</v>
          </cell>
          <cell r="N1994">
            <v>44566</v>
          </cell>
          <cell r="O1994">
            <v>44552</v>
          </cell>
          <cell r="P1994">
            <v>44566</v>
          </cell>
          <cell r="Q1994" t="str">
            <v>2022-01-03 → 1/5</v>
          </cell>
          <cell r="R1994" t="str">
            <v>2022-01-03 → 1/5</v>
          </cell>
          <cell r="S1994"/>
          <cell r="T1994">
            <v>44566</v>
          </cell>
          <cell r="U1994">
            <v>44570</v>
          </cell>
          <cell r="V1994">
            <v>44571</v>
          </cell>
          <cell r="W1994">
            <v>44571</v>
          </cell>
          <cell r="X1994">
            <v>41100086</v>
          </cell>
        </row>
        <row r="1995">
          <cell r="K1995" t="str">
            <v>GBWS-2000</v>
          </cell>
          <cell r="L1995">
            <v>44552</v>
          </cell>
          <cell r="M1995">
            <v>44552</v>
          </cell>
          <cell r="N1995">
            <v>44566</v>
          </cell>
          <cell r="O1995">
            <v>44552</v>
          </cell>
          <cell r="P1995">
            <v>44566</v>
          </cell>
          <cell r="Q1995" t="str">
            <v>2022-01-03 → 1/7</v>
          </cell>
          <cell r="R1995" t="str">
            <v>2022-01-03 → 1/7</v>
          </cell>
          <cell r="S1995"/>
          <cell r="T1995">
            <v>44571</v>
          </cell>
          <cell r="U1995">
            <v>44572</v>
          </cell>
          <cell r="V1995">
            <v>44573</v>
          </cell>
          <cell r="W1995">
            <v>44573</v>
          </cell>
          <cell r="X1995">
            <v>41100085</v>
          </cell>
        </row>
        <row r="1996">
          <cell r="K1996" t="str">
            <v>GBWS-2001</v>
          </cell>
          <cell r="L1996">
            <v>44552</v>
          </cell>
          <cell r="M1996">
            <v>44552</v>
          </cell>
          <cell r="N1996">
            <v>44566</v>
          </cell>
          <cell r="O1996">
            <v>44552</v>
          </cell>
          <cell r="P1996">
            <v>44566</v>
          </cell>
          <cell r="Q1996" t="str">
            <v>2022-01-03 → 1/7</v>
          </cell>
          <cell r="R1996" t="str">
            <v>2022-01-03 → 1/7</v>
          </cell>
          <cell r="S1996"/>
          <cell r="T1996">
            <v>44571</v>
          </cell>
          <cell r="U1996">
            <v>44572</v>
          </cell>
          <cell r="V1996">
            <v>44573</v>
          </cell>
          <cell r="W1996">
            <v>44574</v>
          </cell>
          <cell r="X1996">
            <v>41100085</v>
          </cell>
        </row>
        <row r="1997">
          <cell r="K1997" t="str">
            <v>GBWS-2002</v>
          </cell>
          <cell r="L1997">
            <v>44552</v>
          </cell>
          <cell r="M1997">
            <v>44552</v>
          </cell>
          <cell r="N1997">
            <v>44566</v>
          </cell>
          <cell r="O1997">
            <v>44552</v>
          </cell>
          <cell r="P1997">
            <v>44566</v>
          </cell>
          <cell r="Q1997" t="str">
            <v>2022-01-03 → 1/7</v>
          </cell>
          <cell r="R1997" t="str">
            <v>2022-01-03 → 1/7</v>
          </cell>
          <cell r="S1997"/>
          <cell r="T1997">
            <v>44571</v>
          </cell>
          <cell r="U1997">
            <v>44572</v>
          </cell>
          <cell r="V1997">
            <v>44573</v>
          </cell>
          <cell r="W1997">
            <v>44574</v>
          </cell>
          <cell r="X1997">
            <v>41100085</v>
          </cell>
        </row>
        <row r="1998">
          <cell r="K1998" t="str">
            <v>GBWS-2003</v>
          </cell>
          <cell r="L1998">
            <v>44552</v>
          </cell>
          <cell r="M1998">
            <v>44552</v>
          </cell>
          <cell r="N1998">
            <v>44566</v>
          </cell>
          <cell r="O1998">
            <v>44552</v>
          </cell>
          <cell r="P1998">
            <v>44566</v>
          </cell>
          <cell r="Q1998" t="str">
            <v>2022-01-03 → 1/7</v>
          </cell>
          <cell r="R1998" t="str">
            <v>2022-01-03 → 1/7</v>
          </cell>
          <cell r="S1998"/>
          <cell r="T1998">
            <v>44571</v>
          </cell>
          <cell r="U1998">
            <v>44572</v>
          </cell>
          <cell r="V1998">
            <v>44573</v>
          </cell>
          <cell r="W1998">
            <v>44573</v>
          </cell>
          <cell r="X1998">
            <v>41100085</v>
          </cell>
        </row>
        <row r="1999">
          <cell r="K1999" t="str">
            <v>GBWS-2004</v>
          </cell>
          <cell r="L1999">
            <v>44552</v>
          </cell>
          <cell r="M1999">
            <v>44552</v>
          </cell>
          <cell r="N1999">
            <v>44566</v>
          </cell>
          <cell r="O1999">
            <v>44552</v>
          </cell>
          <cell r="P1999">
            <v>44566</v>
          </cell>
          <cell r="Q1999" t="str">
            <v>2022-01-03 → 1/7</v>
          </cell>
          <cell r="R1999" t="str">
            <v>2022-01-03 → 1/7</v>
          </cell>
          <cell r="S1999"/>
          <cell r="T1999">
            <v>44571</v>
          </cell>
          <cell r="U1999">
            <v>44572</v>
          </cell>
          <cell r="V1999">
            <v>44573</v>
          </cell>
          <cell r="W1999">
            <v>44573</v>
          </cell>
          <cell r="X1999">
            <v>41100085</v>
          </cell>
        </row>
        <row r="2000">
          <cell r="K2000" t="str">
            <v>GBWS-2005</v>
          </cell>
          <cell r="L2000">
            <v>44553</v>
          </cell>
          <cell r="M2000">
            <v>44553</v>
          </cell>
          <cell r="N2000">
            <v>44566</v>
          </cell>
          <cell r="O2000">
            <v>44553</v>
          </cell>
          <cell r="P2000">
            <v>44566</v>
          </cell>
          <cell r="Q2000">
            <v>44566</v>
          </cell>
          <cell r="R2000">
            <v>44566</v>
          </cell>
          <cell r="S2000"/>
          <cell r="T2000">
            <v>44567</v>
          </cell>
          <cell r="U2000">
            <v>44568</v>
          </cell>
          <cell r="V2000">
            <v>44571</v>
          </cell>
          <cell r="W2000">
            <v>44571</v>
          </cell>
          <cell r="X2000">
            <v>41100093</v>
          </cell>
        </row>
        <row r="2001">
          <cell r="K2001" t="str">
            <v>GBWS-2006</v>
          </cell>
          <cell r="L2001">
            <v>44553</v>
          </cell>
          <cell r="M2001">
            <v>44553</v>
          </cell>
          <cell r="N2001">
            <v>44568</v>
          </cell>
          <cell r="O2001">
            <v>44553</v>
          </cell>
          <cell r="P2001">
            <v>44568</v>
          </cell>
          <cell r="Q2001" t="str">
            <v>2022-01-05 → 1/7</v>
          </cell>
          <cell r="R2001" t="str">
            <v>2022-01-05 → 1/7</v>
          </cell>
          <cell r="S2001"/>
          <cell r="T2001">
            <v>44571</v>
          </cell>
          <cell r="U2001">
            <v>44573</v>
          </cell>
          <cell r="V2001">
            <v>44574</v>
          </cell>
          <cell r="W2001">
            <v>44575</v>
          </cell>
          <cell r="X2001">
            <v>41100093</v>
          </cell>
        </row>
        <row r="2002">
          <cell r="K2002" t="str">
            <v>GBWS-2007</v>
          </cell>
          <cell r="L2002">
            <v>44553</v>
          </cell>
          <cell r="M2002">
            <v>44553</v>
          </cell>
          <cell r="N2002">
            <v>44568</v>
          </cell>
          <cell r="O2002">
            <v>44553</v>
          </cell>
          <cell r="P2002">
            <v>44568</v>
          </cell>
          <cell r="Q2002" t="str">
            <v>2022-01-05 → 1/7</v>
          </cell>
          <cell r="R2002" t="str">
            <v>2022-01-05 → 1/7</v>
          </cell>
          <cell r="S2002"/>
          <cell r="T2002">
            <v>44571</v>
          </cell>
          <cell r="U2002">
            <v>44574</v>
          </cell>
          <cell r="V2002">
            <v>44574</v>
          </cell>
          <cell r="W2002">
            <v>44575</v>
          </cell>
          <cell r="X2002">
            <v>41100093</v>
          </cell>
        </row>
        <row r="2003">
          <cell r="K2003" t="str">
            <v>GBWS-2008</v>
          </cell>
          <cell r="L2003">
            <v>44553</v>
          </cell>
          <cell r="M2003">
            <v>44553</v>
          </cell>
          <cell r="N2003">
            <v>44568</v>
          </cell>
          <cell r="O2003">
            <v>44553</v>
          </cell>
          <cell r="P2003">
            <v>44568</v>
          </cell>
          <cell r="Q2003" t="str">
            <v>2022-01-05 → 1/7</v>
          </cell>
          <cell r="R2003" t="str">
            <v>2022-01-05 → 1/7</v>
          </cell>
          <cell r="S2003"/>
          <cell r="T2003">
            <v>44571</v>
          </cell>
          <cell r="U2003">
            <v>44573</v>
          </cell>
          <cell r="V2003">
            <v>44574</v>
          </cell>
          <cell r="W2003">
            <v>44574</v>
          </cell>
          <cell r="X2003">
            <v>41100093</v>
          </cell>
        </row>
        <row r="2004">
          <cell r="K2004" t="str">
            <v>GBWS-2009</v>
          </cell>
          <cell r="L2004">
            <v>44553</v>
          </cell>
          <cell r="M2004">
            <v>44553</v>
          </cell>
          <cell r="N2004">
            <v>44568</v>
          </cell>
          <cell r="O2004">
            <v>44553</v>
          </cell>
          <cell r="P2004">
            <v>44568</v>
          </cell>
          <cell r="Q2004" t="str">
            <v>2022-01-05 → 1/7</v>
          </cell>
          <cell r="R2004" t="str">
            <v>2022-01-05 → 1/7</v>
          </cell>
          <cell r="S2004"/>
          <cell r="T2004">
            <v>44571</v>
          </cell>
          <cell r="U2004">
            <v>44573</v>
          </cell>
          <cell r="V2004">
            <v>44574</v>
          </cell>
          <cell r="W2004">
            <v>44575</v>
          </cell>
          <cell r="X2004">
            <v>41100093</v>
          </cell>
        </row>
        <row r="2005">
          <cell r="K2005" t="str">
            <v>GBWS-2010</v>
          </cell>
          <cell r="L2005">
            <v>44553</v>
          </cell>
          <cell r="M2005">
            <v>44553</v>
          </cell>
          <cell r="N2005">
            <v>44571</v>
          </cell>
          <cell r="O2005">
            <v>44553</v>
          </cell>
          <cell r="P2005">
            <v>44571</v>
          </cell>
          <cell r="Q2005" t="str">
            <v>2022-01-05 → 1/7 → 1/10</v>
          </cell>
          <cell r="R2005" t="str">
            <v>2022-01-05 → 1/7 → 1/10</v>
          </cell>
          <cell r="S2005"/>
          <cell r="T2005">
            <v>44573</v>
          </cell>
          <cell r="U2005">
            <v>44575</v>
          </cell>
          <cell r="V2005">
            <v>44578</v>
          </cell>
          <cell r="W2005">
            <v>44578</v>
          </cell>
          <cell r="X2005">
            <v>41100090</v>
          </cell>
        </row>
        <row r="2006">
          <cell r="K2006" t="str">
            <v>IVAS-115</v>
          </cell>
          <cell r="L2006">
            <v>44545</v>
          </cell>
          <cell r="M2006">
            <v>44545</v>
          </cell>
          <cell r="N2006">
            <v>44565</v>
          </cell>
          <cell r="O2006">
            <v>44545</v>
          </cell>
          <cell r="P2006">
            <v>44565</v>
          </cell>
          <cell r="Q2006" t="str">
            <v>2021-12-28 → 1/3</v>
          </cell>
          <cell r="R2006" t="str">
            <v>2021-12-28 → 1/3</v>
          </cell>
          <cell r="S2006"/>
          <cell r="T2006">
            <v>44566</v>
          </cell>
          <cell r="U2006">
            <v>44575</v>
          </cell>
          <cell r="V2006">
            <v>44578</v>
          </cell>
          <cell r="W2006">
            <v>44579</v>
          </cell>
          <cell r="X2006">
            <v>41100397</v>
          </cell>
        </row>
        <row r="2007">
          <cell r="K2007" t="str">
            <v>GBWS-2012</v>
          </cell>
          <cell r="L2007">
            <v>44559</v>
          </cell>
          <cell r="M2007">
            <v>44559</v>
          </cell>
          <cell r="N2007">
            <v>44572</v>
          </cell>
          <cell r="O2007">
            <v>44559</v>
          </cell>
          <cell r="P2007">
            <v>44573</v>
          </cell>
          <cell r="Q2007" t="str">
            <v>2022-01-10 → 1/11 → 1/12(오전)</v>
          </cell>
          <cell r="R2007" t="str">
            <v>2022-01-10 → 1/11 → 1/12(오전)</v>
          </cell>
          <cell r="S2007"/>
          <cell r="T2007">
            <v>44575</v>
          </cell>
          <cell r="U2007">
            <v>44578</v>
          </cell>
          <cell r="V2007">
            <v>44579</v>
          </cell>
          <cell r="W2007">
            <v>44579</v>
          </cell>
          <cell r="X2007">
            <v>41100350</v>
          </cell>
        </row>
        <row r="2008">
          <cell r="K2008" t="str">
            <v>SOS-0258</v>
          </cell>
          <cell r="L2008">
            <v>44567</v>
          </cell>
          <cell r="M2008">
            <v>44567</v>
          </cell>
          <cell r="N2008">
            <v>44572</v>
          </cell>
          <cell r="O2008">
            <v>44567</v>
          </cell>
          <cell r="P2008">
            <v>44572</v>
          </cell>
          <cell r="Q2008">
            <v>44572</v>
          </cell>
          <cell r="R2008">
            <v>44572</v>
          </cell>
          <cell r="S2008"/>
          <cell r="T2008">
            <v>44571</v>
          </cell>
          <cell r="U2008">
            <v>44574</v>
          </cell>
          <cell r="V2008">
            <v>44578</v>
          </cell>
          <cell r="W2008">
            <v>44578</v>
          </cell>
          <cell r="X2008">
            <v>41100436</v>
          </cell>
        </row>
        <row r="2009">
          <cell r="K2009" t="str">
            <v>SOS-0260</v>
          </cell>
          <cell r="L2009">
            <v>44567</v>
          </cell>
          <cell r="M2009">
            <v>44567</v>
          </cell>
          <cell r="N2009">
            <v>44572</v>
          </cell>
          <cell r="O2009">
            <v>44567</v>
          </cell>
          <cell r="P2009">
            <v>44572</v>
          </cell>
          <cell r="Q2009">
            <v>44572</v>
          </cell>
          <cell r="R2009">
            <v>44572</v>
          </cell>
          <cell r="S2009"/>
          <cell r="T2009">
            <v>44571</v>
          </cell>
          <cell r="U2009">
            <v>44574</v>
          </cell>
          <cell r="V2009">
            <v>44578</v>
          </cell>
          <cell r="W2009">
            <v>44578</v>
          </cell>
          <cell r="X2009">
            <v>41100182</v>
          </cell>
        </row>
        <row r="2010">
          <cell r="K2010" t="str">
            <v>GPWS-0214</v>
          </cell>
          <cell r="L2010">
            <v>44559</v>
          </cell>
          <cell r="M2010">
            <v>44559</v>
          </cell>
          <cell r="N2010">
            <v>44571</v>
          </cell>
          <cell r="O2010">
            <v>44559</v>
          </cell>
          <cell r="P2010">
            <v>44572</v>
          </cell>
          <cell r="Q2010">
            <v>44572</v>
          </cell>
          <cell r="R2010">
            <v>44572</v>
          </cell>
          <cell r="S2010"/>
          <cell r="T2010">
            <v>44573</v>
          </cell>
          <cell r="U2010">
            <v>44574</v>
          </cell>
          <cell r="V2010">
            <v>44578</v>
          </cell>
          <cell r="W2010">
            <v>44579</v>
          </cell>
          <cell r="X2010">
            <v>41100005</v>
          </cell>
        </row>
        <row r="2011">
          <cell r="K2011" t="str">
            <v>GBWS-1970</v>
          </cell>
          <cell r="L2011">
            <v>44545</v>
          </cell>
          <cell r="M2011">
            <v>44545</v>
          </cell>
          <cell r="N2011">
            <v>44572</v>
          </cell>
          <cell r="O2011">
            <v>44545</v>
          </cell>
          <cell r="P2011">
            <v>44559</v>
          </cell>
          <cell r="Q2011" t="str">
            <v>2021-12-27 → 12/29</v>
          </cell>
          <cell r="R2011" t="str">
            <v>2021-12-27 → 12/29</v>
          </cell>
          <cell r="S2011"/>
          <cell r="T2011">
            <v>44565</v>
          </cell>
          <cell r="U2011">
            <v>44579</v>
          </cell>
          <cell r="V2011">
            <v>44580</v>
          </cell>
          <cell r="W2011">
            <v>44581</v>
          </cell>
          <cell r="X2011">
            <v>41100409</v>
          </cell>
        </row>
        <row r="2012">
          <cell r="K2012" t="str">
            <v>GBWS-1971</v>
          </cell>
          <cell r="L2012">
            <v>44545</v>
          </cell>
          <cell r="M2012">
            <v>44545</v>
          </cell>
          <cell r="N2012">
            <v>44572</v>
          </cell>
          <cell r="O2012">
            <v>44545</v>
          </cell>
          <cell r="P2012">
            <v>44559</v>
          </cell>
          <cell r="Q2012" t="str">
            <v>2021-12-27 → 12/29</v>
          </cell>
          <cell r="R2012" t="str">
            <v>2021-12-27 → 12/29</v>
          </cell>
          <cell r="S2012"/>
          <cell r="T2012">
            <v>44566</v>
          </cell>
          <cell r="U2012">
            <v>44579</v>
          </cell>
          <cell r="V2012">
            <v>44580</v>
          </cell>
          <cell r="W2012">
            <v>44581</v>
          </cell>
          <cell r="X2012">
            <v>41100409</v>
          </cell>
        </row>
        <row r="2013">
          <cell r="K2013" t="str">
            <v>GBWS-1972</v>
          </cell>
          <cell r="L2013">
            <v>44545</v>
          </cell>
          <cell r="M2013">
            <v>44545</v>
          </cell>
          <cell r="N2013">
            <v>44572</v>
          </cell>
          <cell r="O2013">
            <v>44545</v>
          </cell>
          <cell r="P2013">
            <v>44559</v>
          </cell>
          <cell r="Q2013" t="str">
            <v>2021-12-27 → 12/29</v>
          </cell>
          <cell r="R2013" t="str">
            <v>2021-12-27 → 12/29</v>
          </cell>
          <cell r="S2013"/>
          <cell r="T2013">
            <v>44565</v>
          </cell>
          <cell r="U2013">
            <v>44579</v>
          </cell>
          <cell r="V2013">
            <v>44580</v>
          </cell>
          <cell r="W2013">
            <v>44581</v>
          </cell>
          <cell r="X2013">
            <v>41100409</v>
          </cell>
        </row>
        <row r="2014">
          <cell r="K2014" t="str">
            <v>GBWS-2011</v>
          </cell>
          <cell r="L2014">
            <v>44553</v>
          </cell>
          <cell r="M2014">
            <v>44553</v>
          </cell>
          <cell r="N2014">
            <v>44566</v>
          </cell>
          <cell r="O2014">
            <v>44553</v>
          </cell>
          <cell r="P2014">
            <v>44566</v>
          </cell>
          <cell r="Q2014">
            <v>44566</v>
          </cell>
          <cell r="R2014">
            <v>44566</v>
          </cell>
          <cell r="S2014"/>
          <cell r="T2014">
            <v>44568</v>
          </cell>
          <cell r="U2014">
            <v>44571</v>
          </cell>
          <cell r="V2014">
            <v>44572</v>
          </cell>
          <cell r="W2014">
            <v>44580</v>
          </cell>
          <cell r="X2014">
            <v>41100088</v>
          </cell>
        </row>
        <row r="2015">
          <cell r="K2015" t="str">
            <v>GBWS-2026</v>
          </cell>
          <cell r="L2015">
            <v>44568</v>
          </cell>
          <cell r="M2015">
            <v>44568</v>
          </cell>
          <cell r="N2015">
            <v>44579</v>
          </cell>
          <cell r="O2015">
            <v>44568</v>
          </cell>
          <cell r="P2015">
            <v>44579</v>
          </cell>
          <cell r="Q2015">
            <v>44579</v>
          </cell>
          <cell r="R2015">
            <v>44579</v>
          </cell>
          <cell r="S2015"/>
          <cell r="T2015">
            <v>44580</v>
          </cell>
          <cell r="U2015">
            <v>44580</v>
          </cell>
          <cell r="V2015">
            <v>44581</v>
          </cell>
          <cell r="W2015">
            <v>44582</v>
          </cell>
          <cell r="X2015">
            <v>41100184</v>
          </cell>
        </row>
        <row r="2016">
          <cell r="K2016" t="str">
            <v>GBWS-2027</v>
          </cell>
          <cell r="L2016">
            <v>44568</v>
          </cell>
          <cell r="M2016">
            <v>44568</v>
          </cell>
          <cell r="N2016">
            <v>44579</v>
          </cell>
          <cell r="O2016">
            <v>44568</v>
          </cell>
          <cell r="P2016">
            <v>44579</v>
          </cell>
          <cell r="Q2016">
            <v>44579</v>
          </cell>
          <cell r="R2016">
            <v>44579</v>
          </cell>
          <cell r="S2016"/>
          <cell r="T2016">
            <v>44580</v>
          </cell>
          <cell r="U2016">
            <v>44581</v>
          </cell>
          <cell r="V2016">
            <v>44581</v>
          </cell>
          <cell r="W2016">
            <v>44582</v>
          </cell>
          <cell r="X2016">
            <v>41100184</v>
          </cell>
        </row>
        <row r="2017">
          <cell r="K2017" t="str">
            <v>IVAS-111</v>
          </cell>
          <cell r="L2017">
            <v>44533</v>
          </cell>
          <cell r="M2017">
            <v>44533</v>
          </cell>
          <cell r="N2017">
            <v>44551</v>
          </cell>
          <cell r="O2017">
            <v>44533</v>
          </cell>
          <cell r="P2017">
            <v>44552</v>
          </cell>
          <cell r="Q2017" t="str">
            <v>2021-12-17 → 12/21</v>
          </cell>
          <cell r="R2017" t="str">
            <v>2021-12-17 → 12/21</v>
          </cell>
          <cell r="S2017"/>
          <cell r="T2017">
            <v>44551</v>
          </cell>
          <cell r="U2017">
            <v>44578</v>
          </cell>
          <cell r="V2017">
            <v>44578</v>
          </cell>
          <cell r="W2017">
            <v>44579</v>
          </cell>
          <cell r="X2017">
            <v>41100425</v>
          </cell>
        </row>
        <row r="2018">
          <cell r="K2018" t="str">
            <v>IVAS-116</v>
          </cell>
          <cell r="L2018">
            <v>44545</v>
          </cell>
          <cell r="M2018">
            <v>44545</v>
          </cell>
          <cell r="N2018">
            <v>44566</v>
          </cell>
          <cell r="O2018">
            <v>44545</v>
          </cell>
          <cell r="P2018">
            <v>44571</v>
          </cell>
          <cell r="Q2018" t="str">
            <v>2021-12-28 → 1/3</v>
          </cell>
          <cell r="R2018" t="str">
            <v>2021-12-28 → 1/3</v>
          </cell>
          <cell r="S2018"/>
          <cell r="T2018">
            <v>44568</v>
          </cell>
          <cell r="U2018">
            <v>44578</v>
          </cell>
          <cell r="V2018">
            <v>44578</v>
          </cell>
          <cell r="W2018">
            <v>44579</v>
          </cell>
          <cell r="X2018">
            <v>41100280</v>
          </cell>
        </row>
        <row r="2019">
          <cell r="K2019" t="str">
            <v>IVAS-114</v>
          </cell>
          <cell r="L2019">
            <v>44545</v>
          </cell>
          <cell r="M2019">
            <v>44545</v>
          </cell>
          <cell r="N2019">
            <v>44566</v>
          </cell>
          <cell r="O2019">
            <v>44545</v>
          </cell>
          <cell r="P2019">
            <v>44573</v>
          </cell>
          <cell r="Q2019" t="str">
            <v>2021-12-28 → 1/3</v>
          </cell>
          <cell r="R2019" t="str">
            <v>2021-12-28 → 1/3</v>
          </cell>
          <cell r="S2019"/>
          <cell r="T2019">
            <v>44568</v>
          </cell>
          <cell r="U2019">
            <v>44585</v>
          </cell>
          <cell r="V2019">
            <v>44586</v>
          </cell>
          <cell r="W2019">
            <v>44586</v>
          </cell>
          <cell r="X2019" t="str">
            <v>41100398 → 41100290</v>
          </cell>
        </row>
        <row r="2020">
          <cell r="K2020" t="str">
            <v>IVAS-117</v>
          </cell>
          <cell r="L2020">
            <v>44558</v>
          </cell>
          <cell r="M2020">
            <v>44558</v>
          </cell>
          <cell r="N2020">
            <v>44575</v>
          </cell>
          <cell r="O2020">
            <v>44558</v>
          </cell>
          <cell r="P2020">
            <v>44578</v>
          </cell>
          <cell r="Q2020" t="str">
            <v>2022-01-10 → 1/17</v>
          </cell>
          <cell r="R2020" t="str">
            <v>2022-01-10 → 1/17</v>
          </cell>
          <cell r="S2020"/>
          <cell r="T2020">
            <v>44579</v>
          </cell>
          <cell r="U2020">
            <v>44587</v>
          </cell>
          <cell r="V2020">
            <v>44588</v>
          </cell>
          <cell r="W2020">
            <v>44589</v>
          </cell>
          <cell r="X2020">
            <v>41100398</v>
          </cell>
        </row>
        <row r="2021">
          <cell r="K2021" t="str">
            <v>GBWS-2013</v>
          </cell>
          <cell r="L2021">
            <v>44559</v>
          </cell>
          <cell r="M2021">
            <v>44560</v>
          </cell>
          <cell r="N2021">
            <v>44573</v>
          </cell>
          <cell r="O2021">
            <v>44560</v>
          </cell>
          <cell r="P2021">
            <v>44573</v>
          </cell>
          <cell r="Q2021">
            <v>44573</v>
          </cell>
          <cell r="R2021">
            <v>44573</v>
          </cell>
          <cell r="S2021"/>
          <cell r="T2021">
            <v>44574</v>
          </cell>
          <cell r="U2021">
            <v>44581</v>
          </cell>
          <cell r="V2021">
            <v>44582</v>
          </cell>
          <cell r="W2021">
            <v>44582</v>
          </cell>
          <cell r="X2021">
            <v>41100409</v>
          </cell>
        </row>
        <row r="2022">
          <cell r="K2022" t="str">
            <v>GBWS-2014</v>
          </cell>
          <cell r="L2022">
            <v>44559</v>
          </cell>
          <cell r="M2022">
            <v>44560</v>
          </cell>
          <cell r="N2022">
            <v>44573</v>
          </cell>
          <cell r="O2022">
            <v>44560</v>
          </cell>
          <cell r="P2022">
            <v>44573</v>
          </cell>
          <cell r="Q2022">
            <v>44573</v>
          </cell>
          <cell r="R2022">
            <v>44573</v>
          </cell>
          <cell r="S2022"/>
          <cell r="T2022">
            <v>44574</v>
          </cell>
          <cell r="U2022">
            <v>44581</v>
          </cell>
          <cell r="V2022">
            <v>44582</v>
          </cell>
          <cell r="W2022">
            <v>44586</v>
          </cell>
          <cell r="X2022">
            <v>41100409</v>
          </cell>
        </row>
        <row r="2023">
          <cell r="K2023" t="str">
            <v>GBWS-2015</v>
          </cell>
          <cell r="L2023">
            <v>44559</v>
          </cell>
          <cell r="M2023">
            <v>44560</v>
          </cell>
          <cell r="N2023">
            <v>44573</v>
          </cell>
          <cell r="O2023">
            <v>44560</v>
          </cell>
          <cell r="P2023">
            <v>44573</v>
          </cell>
          <cell r="Q2023">
            <v>44573</v>
          </cell>
          <cell r="R2023">
            <v>44573</v>
          </cell>
          <cell r="S2023"/>
          <cell r="T2023">
            <v>44574</v>
          </cell>
          <cell r="U2023">
            <v>44581</v>
          </cell>
          <cell r="V2023">
            <v>44582</v>
          </cell>
          <cell r="W2023">
            <v>44582</v>
          </cell>
          <cell r="X2023">
            <v>41100409</v>
          </cell>
        </row>
        <row r="2024">
          <cell r="K2024" t="str">
            <v>DBW-0605</v>
          </cell>
          <cell r="L2024" t="str">
            <v xml:space="preserve"> -</v>
          </cell>
          <cell r="M2024">
            <v>44428</v>
          </cell>
          <cell r="N2024">
            <v>44581</v>
          </cell>
          <cell r="O2024">
            <v>44428</v>
          </cell>
          <cell r="P2024">
            <v>44581</v>
          </cell>
          <cell r="Q2024">
            <v>44546</v>
          </cell>
          <cell r="R2024">
            <v>44546</v>
          </cell>
          <cell r="S2024"/>
          <cell r="T2024">
            <v>44581</v>
          </cell>
          <cell r="U2024">
            <v>44582</v>
          </cell>
          <cell r="V2024">
            <v>44585</v>
          </cell>
          <cell r="W2024">
            <v>44588</v>
          </cell>
          <cell r="X2024">
            <v>31101580</v>
          </cell>
        </row>
        <row r="2025">
          <cell r="K2025" t="str">
            <v>DBW-2507</v>
          </cell>
          <cell r="L2025">
            <v>44530</v>
          </cell>
          <cell r="M2025">
            <v>44530</v>
          </cell>
          <cell r="N2025">
            <v>44540</v>
          </cell>
          <cell r="O2025">
            <v>44530</v>
          </cell>
          <cell r="P2025">
            <v>44540</v>
          </cell>
          <cell r="Q2025">
            <v>44540</v>
          </cell>
          <cell r="R2025">
            <v>44540</v>
          </cell>
          <cell r="S2025"/>
          <cell r="T2025">
            <v>44546</v>
          </cell>
          <cell r="U2025">
            <v>44551</v>
          </cell>
          <cell r="V2025">
            <v>44552</v>
          </cell>
          <cell r="W2025">
            <v>44553</v>
          </cell>
          <cell r="X2025">
            <v>41100258</v>
          </cell>
        </row>
        <row r="2026">
          <cell r="K2026" t="str">
            <v>GBWS-2018</v>
          </cell>
          <cell r="L2026">
            <v>44565</v>
          </cell>
          <cell r="M2026">
            <v>44566</v>
          </cell>
          <cell r="N2026">
            <v>44579</v>
          </cell>
          <cell r="O2026">
            <v>44566</v>
          </cell>
          <cell r="P2026">
            <v>44578</v>
          </cell>
          <cell r="Q2026" t="str">
            <v>2022-01-17 → 1/18</v>
          </cell>
          <cell r="R2026" t="str">
            <v>2022-01-17 → 1/18</v>
          </cell>
          <cell r="S2026"/>
          <cell r="T2026">
            <v>44580</v>
          </cell>
          <cell r="U2026">
            <v>44582</v>
          </cell>
          <cell r="V2026">
            <v>44585</v>
          </cell>
          <cell r="W2026">
            <v>44586</v>
          </cell>
          <cell r="X2026">
            <v>41100320</v>
          </cell>
        </row>
        <row r="2027">
          <cell r="K2027" t="str">
            <v>GBWS-2016</v>
          </cell>
          <cell r="L2027">
            <v>44565</v>
          </cell>
          <cell r="M2027">
            <v>44565</v>
          </cell>
          <cell r="N2027">
            <v>44578</v>
          </cell>
          <cell r="O2027">
            <v>44565</v>
          </cell>
          <cell r="P2027">
            <v>44575</v>
          </cell>
          <cell r="Q2027">
            <v>44575</v>
          </cell>
          <cell r="R2027">
            <v>44575</v>
          </cell>
          <cell r="S2027"/>
          <cell r="T2027">
            <v>44578</v>
          </cell>
          <cell r="U2027">
            <v>44579</v>
          </cell>
          <cell r="V2027">
            <v>44580</v>
          </cell>
          <cell r="W2027">
            <v>44581</v>
          </cell>
          <cell r="X2027">
            <v>41100349</v>
          </cell>
        </row>
        <row r="2028">
          <cell r="K2028" t="str">
            <v>GBWS-2017</v>
          </cell>
          <cell r="L2028">
            <v>44565</v>
          </cell>
          <cell r="M2028">
            <v>44565</v>
          </cell>
          <cell r="N2028">
            <v>44578</v>
          </cell>
          <cell r="O2028">
            <v>44565</v>
          </cell>
          <cell r="P2028">
            <v>44575</v>
          </cell>
          <cell r="Q2028">
            <v>44575</v>
          </cell>
          <cell r="R2028">
            <v>44575</v>
          </cell>
          <cell r="S2028"/>
          <cell r="T2028">
            <v>44578</v>
          </cell>
          <cell r="U2028">
            <v>44579</v>
          </cell>
          <cell r="V2028">
            <v>44580</v>
          </cell>
          <cell r="W2028">
            <v>44580</v>
          </cell>
          <cell r="X2028">
            <v>41100349</v>
          </cell>
        </row>
        <row r="2029">
          <cell r="K2029" t="str">
            <v>GBWS-1818</v>
          </cell>
          <cell r="L2029">
            <v>44510</v>
          </cell>
          <cell r="M2029">
            <v>44510</v>
          </cell>
          <cell r="N2029">
            <v>44519</v>
          </cell>
          <cell r="O2029">
            <v>44510</v>
          </cell>
          <cell r="P2029">
            <v>44519</v>
          </cell>
          <cell r="Q2029">
            <v>44519</v>
          </cell>
          <cell r="R2029">
            <v>44519</v>
          </cell>
          <cell r="S2029"/>
          <cell r="T2029">
            <v>44522</v>
          </cell>
          <cell r="U2029">
            <v>44523</v>
          </cell>
          <cell r="V2029">
            <v>44524</v>
          </cell>
          <cell r="W2029">
            <v>44524</v>
          </cell>
          <cell r="X2029">
            <v>41100318</v>
          </cell>
        </row>
        <row r="2030">
          <cell r="K2030" t="str">
            <v>GBWS-2025</v>
          </cell>
          <cell r="L2030">
            <v>44566</v>
          </cell>
          <cell r="M2030">
            <v>44566</v>
          </cell>
          <cell r="N2030">
            <v>44579</v>
          </cell>
          <cell r="O2030">
            <v>44566</v>
          </cell>
          <cell r="P2030">
            <v>44579</v>
          </cell>
          <cell r="Q2030">
            <v>44579</v>
          </cell>
          <cell r="R2030">
            <v>44579</v>
          </cell>
          <cell r="S2030"/>
          <cell r="T2030">
            <v>44581</v>
          </cell>
          <cell r="U2030">
            <v>44587</v>
          </cell>
          <cell r="V2030">
            <v>44588</v>
          </cell>
          <cell r="W2030">
            <v>44595</v>
          </cell>
          <cell r="X2030">
            <v>41100334</v>
          </cell>
        </row>
        <row r="2031">
          <cell r="K2031" t="str">
            <v>DBW-2533</v>
          </cell>
          <cell r="L2031">
            <v>44551</v>
          </cell>
          <cell r="M2031">
            <v>44551</v>
          </cell>
          <cell r="N2031">
            <v>44564</v>
          </cell>
          <cell r="O2031">
            <v>44551</v>
          </cell>
          <cell r="P2031">
            <v>44564</v>
          </cell>
          <cell r="Q2031" t="str">
            <v>2022-01-03 → 12/29</v>
          </cell>
          <cell r="R2031" t="str">
            <v>2022-01-03 → 12/29</v>
          </cell>
          <cell r="S2031"/>
          <cell r="T2031">
            <v>44566</v>
          </cell>
          <cell r="U2031">
            <v>44567</v>
          </cell>
          <cell r="V2031">
            <v>44567</v>
          </cell>
          <cell r="W2031">
            <v>44568</v>
          </cell>
          <cell r="X2031">
            <v>41100360</v>
          </cell>
        </row>
        <row r="2032">
          <cell r="K2032" t="str">
            <v>GBWS-2029</v>
          </cell>
          <cell r="L2032">
            <v>44568</v>
          </cell>
          <cell r="M2032">
            <v>44568</v>
          </cell>
          <cell r="N2032">
            <v>44581</v>
          </cell>
          <cell r="O2032">
            <v>44568</v>
          </cell>
          <cell r="P2032">
            <v>44579</v>
          </cell>
          <cell r="Q2032" t="str">
            <v>2022-01-19 → 1/20</v>
          </cell>
          <cell r="R2032" t="str">
            <v>2022-01-19 → 1/20</v>
          </cell>
          <cell r="S2032"/>
          <cell r="T2032">
            <v>44582</v>
          </cell>
          <cell r="U2032">
            <v>44586</v>
          </cell>
          <cell r="V2032">
            <v>44587</v>
          </cell>
          <cell r="W2032">
            <v>44588</v>
          </cell>
          <cell r="X2032">
            <v>41100386</v>
          </cell>
        </row>
        <row r="2033">
          <cell r="K2033" t="str">
            <v>GBWS-2030</v>
          </cell>
          <cell r="L2033">
            <v>44568</v>
          </cell>
          <cell r="M2033">
            <v>44568</v>
          </cell>
          <cell r="N2033">
            <v>44581</v>
          </cell>
          <cell r="O2033">
            <v>44568</v>
          </cell>
          <cell r="P2033">
            <v>44579</v>
          </cell>
          <cell r="Q2033" t="str">
            <v>2022-01-19 → 1/20</v>
          </cell>
          <cell r="R2033" t="str">
            <v>2022-01-19 → 1/20</v>
          </cell>
          <cell r="S2033"/>
          <cell r="T2033">
            <v>44582</v>
          </cell>
          <cell r="U2033">
            <v>44586</v>
          </cell>
          <cell r="V2033">
            <v>44587</v>
          </cell>
          <cell r="W2033">
            <v>44587</v>
          </cell>
          <cell r="X2033">
            <v>41100386</v>
          </cell>
        </row>
        <row r="2034">
          <cell r="K2034" t="str">
            <v>GBWS-2031</v>
          </cell>
          <cell r="L2034">
            <v>44568</v>
          </cell>
          <cell r="M2034">
            <v>44568</v>
          </cell>
          <cell r="N2034">
            <v>44581</v>
          </cell>
          <cell r="O2034">
            <v>44568</v>
          </cell>
          <cell r="P2034">
            <v>44579</v>
          </cell>
          <cell r="Q2034" t="str">
            <v>2022-01-19 → 1/20</v>
          </cell>
          <cell r="R2034" t="str">
            <v>2022-01-19 → 1/20</v>
          </cell>
          <cell r="S2034"/>
          <cell r="T2034">
            <v>44582</v>
          </cell>
          <cell r="U2034">
            <v>44586</v>
          </cell>
          <cell r="V2034">
            <v>44586</v>
          </cell>
          <cell r="W2034">
            <v>44588</v>
          </cell>
          <cell r="X2034">
            <v>41100386</v>
          </cell>
        </row>
        <row r="2035">
          <cell r="K2035" t="str">
            <v>GBWS-2039</v>
          </cell>
          <cell r="L2035">
            <v>44573</v>
          </cell>
          <cell r="M2035">
            <v>44573</v>
          </cell>
          <cell r="N2035">
            <v>44585</v>
          </cell>
          <cell r="O2035">
            <v>44573</v>
          </cell>
          <cell r="P2035">
            <v>44585</v>
          </cell>
          <cell r="Q2035">
            <v>44585</v>
          </cell>
          <cell r="R2035">
            <v>44585</v>
          </cell>
          <cell r="S2035"/>
          <cell r="T2035">
            <v>44587</v>
          </cell>
          <cell r="U2035">
            <v>44588</v>
          </cell>
          <cell r="V2035">
            <v>44595</v>
          </cell>
          <cell r="W2035">
            <v>44596</v>
          </cell>
          <cell r="X2035">
            <v>41100406</v>
          </cell>
        </row>
        <row r="2036">
          <cell r="K2036" t="str">
            <v>GBWS-2040</v>
          </cell>
          <cell r="L2036">
            <v>44573</v>
          </cell>
          <cell r="M2036">
            <v>44573</v>
          </cell>
          <cell r="N2036">
            <v>44585</v>
          </cell>
          <cell r="O2036">
            <v>44573</v>
          </cell>
          <cell r="P2036">
            <v>44585</v>
          </cell>
          <cell r="Q2036">
            <v>44585</v>
          </cell>
          <cell r="R2036">
            <v>44585</v>
          </cell>
          <cell r="S2036"/>
          <cell r="T2036">
            <v>44587</v>
          </cell>
          <cell r="U2036">
            <v>44588</v>
          </cell>
          <cell r="V2036">
            <v>44595</v>
          </cell>
          <cell r="W2036">
            <v>44596</v>
          </cell>
          <cell r="X2036">
            <v>41100406</v>
          </cell>
        </row>
        <row r="2037">
          <cell r="K2037" t="str">
            <v>GBWS-2034</v>
          </cell>
          <cell r="L2037">
            <v>44568</v>
          </cell>
          <cell r="M2037">
            <v>44568</v>
          </cell>
          <cell r="N2037">
            <v>44581</v>
          </cell>
          <cell r="O2037">
            <v>44568</v>
          </cell>
          <cell r="P2037">
            <v>44581</v>
          </cell>
          <cell r="Q2037" t="str">
            <v>2022-01-19 → 1/20</v>
          </cell>
          <cell r="R2037" t="str">
            <v>2022-01-19 → 1/20</v>
          </cell>
          <cell r="S2037"/>
          <cell r="T2037">
            <v>44582</v>
          </cell>
          <cell r="U2037">
            <v>44587</v>
          </cell>
          <cell r="V2037">
            <v>44588</v>
          </cell>
          <cell r="W2037">
            <v>44595</v>
          </cell>
          <cell r="X2037">
            <v>41100410</v>
          </cell>
        </row>
        <row r="2038">
          <cell r="K2038" t="str">
            <v>GBWS-2035</v>
          </cell>
          <cell r="L2038">
            <v>44568</v>
          </cell>
          <cell r="M2038">
            <v>44568</v>
          </cell>
          <cell r="N2038">
            <v>44581</v>
          </cell>
          <cell r="O2038">
            <v>44568</v>
          </cell>
          <cell r="P2038">
            <v>44581</v>
          </cell>
          <cell r="Q2038" t="str">
            <v>2022-01-19 → 1/20</v>
          </cell>
          <cell r="R2038" t="str">
            <v>2022-01-19 → 1/20</v>
          </cell>
          <cell r="S2038"/>
          <cell r="T2038">
            <v>44585</v>
          </cell>
          <cell r="U2038">
            <v>44587</v>
          </cell>
          <cell r="V2038">
            <v>44588</v>
          </cell>
          <cell r="W2038">
            <v>44595</v>
          </cell>
          <cell r="X2038">
            <v>41100410</v>
          </cell>
        </row>
        <row r="2039">
          <cell r="K2039" t="str">
            <v>GBWS-2036</v>
          </cell>
          <cell r="L2039">
            <v>44568</v>
          </cell>
          <cell r="M2039">
            <v>44568</v>
          </cell>
          <cell r="N2039">
            <v>44581</v>
          </cell>
          <cell r="O2039">
            <v>44568</v>
          </cell>
          <cell r="P2039">
            <v>44581</v>
          </cell>
          <cell r="Q2039" t="str">
            <v>2022-01-19 → 1/20</v>
          </cell>
          <cell r="R2039" t="str">
            <v>2022-01-19 → 1/20</v>
          </cell>
          <cell r="S2039"/>
          <cell r="T2039">
            <v>44585</v>
          </cell>
          <cell r="U2039">
            <v>44587</v>
          </cell>
          <cell r="V2039">
            <v>44588</v>
          </cell>
          <cell r="W2039">
            <v>44595</v>
          </cell>
          <cell r="X2039">
            <v>41100410</v>
          </cell>
        </row>
        <row r="2040">
          <cell r="K2040" t="str">
            <v>DBW-2539</v>
          </cell>
          <cell r="L2040">
            <v>44572</v>
          </cell>
          <cell r="M2040">
            <v>44572</v>
          </cell>
          <cell r="N2040">
            <v>44578</v>
          </cell>
          <cell r="O2040">
            <v>44572</v>
          </cell>
          <cell r="P2040">
            <v>44578</v>
          </cell>
          <cell r="Q2040">
            <v>44578</v>
          </cell>
          <cell r="R2040">
            <v>44578</v>
          </cell>
          <cell r="S2040"/>
          <cell r="T2040">
            <v>44580</v>
          </cell>
          <cell r="U2040">
            <v>44582</v>
          </cell>
          <cell r="V2040">
            <v>44582</v>
          </cell>
          <cell r="W2040">
            <v>44585</v>
          </cell>
          <cell r="X2040">
            <v>41100170</v>
          </cell>
        </row>
        <row r="2041">
          <cell r="K2041" t="str">
            <v>IVAS-118</v>
          </cell>
          <cell r="L2041">
            <v>44558</v>
          </cell>
          <cell r="M2041">
            <v>44558</v>
          </cell>
          <cell r="N2041">
            <v>44575</v>
          </cell>
          <cell r="O2041">
            <v>44558</v>
          </cell>
          <cell r="P2041">
            <v>44578</v>
          </cell>
          <cell r="Q2041" t="str">
            <v>2022-01-10 → 1/17</v>
          </cell>
          <cell r="R2041" t="str">
            <v>2022-01-10 → 1/17</v>
          </cell>
          <cell r="S2041"/>
          <cell r="T2041">
            <v>44579</v>
          </cell>
          <cell r="U2041">
            <v>44596</v>
          </cell>
          <cell r="V2041">
            <v>44596</v>
          </cell>
          <cell r="W2041">
            <v>44596</v>
          </cell>
          <cell r="X2041" t="str">
            <v>41100383 → 41100384</v>
          </cell>
        </row>
        <row r="2042">
          <cell r="K2042" t="str">
            <v>IVAS-125</v>
          </cell>
          <cell r="L2042">
            <v>44572</v>
          </cell>
          <cell r="M2042">
            <v>44572</v>
          </cell>
          <cell r="N2042">
            <v>44585</v>
          </cell>
          <cell r="O2042">
            <v>44572</v>
          </cell>
          <cell r="P2042">
            <v>44588</v>
          </cell>
          <cell r="Q2042">
            <v>44581</v>
          </cell>
          <cell r="R2042">
            <v>44581</v>
          </cell>
          <cell r="S2042"/>
          <cell r="T2042">
            <v>44586</v>
          </cell>
          <cell r="U2042">
            <v>44596</v>
          </cell>
          <cell r="V2042">
            <v>44599</v>
          </cell>
          <cell r="W2042">
            <v>44600</v>
          </cell>
          <cell r="X2042">
            <v>41100437</v>
          </cell>
        </row>
        <row r="2043">
          <cell r="K2043" t="str">
            <v>DBW-2538</v>
          </cell>
          <cell r="L2043">
            <v>44565</v>
          </cell>
          <cell r="M2043" t="str">
            <v>2022-01-04 → 1/7</v>
          </cell>
          <cell r="N2043">
            <v>44578</v>
          </cell>
          <cell r="O2043" t="str">
            <v>2022-01-04 → 1/7</v>
          </cell>
          <cell r="P2043">
            <v>44575</v>
          </cell>
          <cell r="Q2043" t="str">
            <v>2022-01-14 → 1/19</v>
          </cell>
          <cell r="R2043" t="str">
            <v>2022-01-14 → 1/19</v>
          </cell>
          <cell r="S2043"/>
          <cell r="T2043">
            <v>44578</v>
          </cell>
          <cell r="U2043">
            <v>44579</v>
          </cell>
          <cell r="V2043">
            <v>44580</v>
          </cell>
          <cell r="W2043">
            <v>44580</v>
          </cell>
          <cell r="X2043">
            <v>41100310</v>
          </cell>
        </row>
        <row r="2044">
          <cell r="K2044" t="str">
            <v>GBWS-2019</v>
          </cell>
          <cell r="L2044">
            <v>44565</v>
          </cell>
          <cell r="M2044">
            <v>44566</v>
          </cell>
          <cell r="N2044">
            <v>44579</v>
          </cell>
          <cell r="O2044">
            <v>44566</v>
          </cell>
          <cell r="P2044">
            <v>44579</v>
          </cell>
          <cell r="Q2044" t="str">
            <v>2022-01-17 → 1/18</v>
          </cell>
          <cell r="R2044" t="str">
            <v>2022-01-17 → 1/18</v>
          </cell>
          <cell r="S2044"/>
          <cell r="T2044">
            <v>44580</v>
          </cell>
          <cell r="U2044">
            <v>44585</v>
          </cell>
          <cell r="V2044">
            <v>44586</v>
          </cell>
          <cell r="W2044">
            <v>44587</v>
          </cell>
          <cell r="X2044">
            <v>41100320</v>
          </cell>
        </row>
        <row r="2045">
          <cell r="K2045" t="str">
            <v>GBWS-2067</v>
          </cell>
          <cell r="L2045">
            <v>44574</v>
          </cell>
          <cell r="M2045">
            <v>44574</v>
          </cell>
          <cell r="N2045">
            <v>44588</v>
          </cell>
          <cell r="O2045">
            <v>44575</v>
          </cell>
          <cell r="P2045">
            <v>44585</v>
          </cell>
          <cell r="Q2045">
            <v>44585</v>
          </cell>
          <cell r="R2045">
            <v>44585</v>
          </cell>
          <cell r="S2045"/>
          <cell r="T2045">
            <v>44588</v>
          </cell>
          <cell r="U2045">
            <v>44589</v>
          </cell>
          <cell r="V2045">
            <v>44596</v>
          </cell>
          <cell r="W2045">
            <v>44599</v>
          </cell>
          <cell r="X2045">
            <v>41100321</v>
          </cell>
        </row>
        <row r="2046">
          <cell r="K2046" t="str">
            <v>GBWS-2068</v>
          </cell>
          <cell r="L2046">
            <v>44574</v>
          </cell>
          <cell r="M2046">
            <v>44574</v>
          </cell>
          <cell r="N2046">
            <v>44588</v>
          </cell>
          <cell r="O2046">
            <v>44575</v>
          </cell>
          <cell r="P2046">
            <v>44585</v>
          </cell>
          <cell r="Q2046">
            <v>44585</v>
          </cell>
          <cell r="R2046">
            <v>44585</v>
          </cell>
          <cell r="S2046"/>
          <cell r="T2046">
            <v>44588</v>
          </cell>
          <cell r="U2046">
            <v>44589</v>
          </cell>
          <cell r="V2046">
            <v>44596</v>
          </cell>
          <cell r="W2046">
            <v>44599</v>
          </cell>
          <cell r="X2046">
            <v>41100321</v>
          </cell>
        </row>
        <row r="2047">
          <cell r="K2047" t="str">
            <v>GBWS-2038</v>
          </cell>
          <cell r="L2047">
            <v>44568</v>
          </cell>
          <cell r="M2047">
            <v>44568</v>
          </cell>
          <cell r="N2047">
            <v>44580</v>
          </cell>
          <cell r="O2047">
            <v>44568</v>
          </cell>
          <cell r="P2047">
            <v>44580</v>
          </cell>
          <cell r="Q2047">
            <v>44580</v>
          </cell>
          <cell r="R2047">
            <v>44580</v>
          </cell>
          <cell r="S2047"/>
          <cell r="T2047">
            <v>44581</v>
          </cell>
          <cell r="U2047">
            <v>44586</v>
          </cell>
          <cell r="V2047">
            <v>44587</v>
          </cell>
          <cell r="W2047">
            <v>44588</v>
          </cell>
          <cell r="X2047">
            <v>41100350</v>
          </cell>
        </row>
        <row r="2048">
          <cell r="K2048" t="str">
            <v>GBWS-2061</v>
          </cell>
          <cell r="L2048">
            <v>44573</v>
          </cell>
          <cell r="M2048">
            <v>44573</v>
          </cell>
          <cell r="N2048">
            <v>44586</v>
          </cell>
          <cell r="O2048">
            <v>44573</v>
          </cell>
          <cell r="P2048">
            <v>44585</v>
          </cell>
          <cell r="Q2048">
            <v>44585</v>
          </cell>
          <cell r="R2048">
            <v>44585</v>
          </cell>
          <cell r="S2048"/>
          <cell r="T2048">
            <v>44587</v>
          </cell>
          <cell r="U2048">
            <v>44599</v>
          </cell>
          <cell r="V2048">
            <v>44599</v>
          </cell>
          <cell r="W2048">
            <v>44600</v>
          </cell>
          <cell r="X2048">
            <v>41100302</v>
          </cell>
        </row>
        <row r="2049">
          <cell r="K2049" t="str">
            <v>IVAS-119</v>
          </cell>
          <cell r="L2049">
            <v>44558</v>
          </cell>
          <cell r="M2049">
            <v>44558</v>
          </cell>
          <cell r="N2049">
            <v>44578</v>
          </cell>
          <cell r="O2049">
            <v>44558</v>
          </cell>
          <cell r="P2049">
            <v>44585</v>
          </cell>
          <cell r="Q2049" t="str">
            <v>2022-01-10 → 1/17</v>
          </cell>
          <cell r="R2049" t="str">
            <v>2022-01-10 → 1/17</v>
          </cell>
          <cell r="S2049"/>
          <cell r="T2049">
            <v>44579</v>
          </cell>
          <cell r="U2049">
            <v>44600</v>
          </cell>
          <cell r="V2049">
            <v>44601</v>
          </cell>
          <cell r="W2049">
            <v>44601</v>
          </cell>
          <cell r="X2049">
            <v>41100273</v>
          </cell>
        </row>
        <row r="2050">
          <cell r="K2050" t="str">
            <v>IVAS-120</v>
          </cell>
          <cell r="L2050">
            <v>44558</v>
          </cell>
          <cell r="M2050">
            <v>44558</v>
          </cell>
          <cell r="N2050">
            <v>44578</v>
          </cell>
          <cell r="O2050">
            <v>44558</v>
          </cell>
          <cell r="P2050">
            <v>44586</v>
          </cell>
          <cell r="Q2050" t="str">
            <v>2022-01-10 → 1/18</v>
          </cell>
          <cell r="R2050" t="str">
            <v>2022-01-10 → 1/18</v>
          </cell>
          <cell r="S2050"/>
          <cell r="T2050">
            <v>44581</v>
          </cell>
          <cell r="U2050">
            <v>44601</v>
          </cell>
          <cell r="V2050">
            <v>44602</v>
          </cell>
          <cell r="W2050">
            <v>44602</v>
          </cell>
          <cell r="X2050" t="str">
            <v>41100384 → 41100414</v>
          </cell>
        </row>
        <row r="2051">
          <cell r="K2051" t="str">
            <v>IVAS-121</v>
          </cell>
          <cell r="L2051">
            <v>44558</v>
          </cell>
          <cell r="M2051">
            <v>44558</v>
          </cell>
          <cell r="N2051">
            <v>44578</v>
          </cell>
          <cell r="O2051">
            <v>44558</v>
          </cell>
          <cell r="P2051">
            <v>44595</v>
          </cell>
          <cell r="Q2051" t="str">
            <v>2022-01-10 → 1/18</v>
          </cell>
          <cell r="R2051" t="str">
            <v>2022-01-10 → 1/18</v>
          </cell>
          <cell r="S2051"/>
          <cell r="T2051">
            <v>44581</v>
          </cell>
          <cell r="U2051">
            <v>44600</v>
          </cell>
          <cell r="V2051">
            <v>44601</v>
          </cell>
          <cell r="W2051">
            <v>44601</v>
          </cell>
          <cell r="X2051">
            <v>41100274</v>
          </cell>
        </row>
        <row r="2052">
          <cell r="K2052" t="str">
            <v>GBWS-1860</v>
          </cell>
          <cell r="L2052">
            <v>44515</v>
          </cell>
          <cell r="M2052">
            <v>44516</v>
          </cell>
          <cell r="N2052">
            <v>44526</v>
          </cell>
          <cell r="O2052">
            <v>44516</v>
          </cell>
          <cell r="P2052">
            <v>44529</v>
          </cell>
          <cell r="Q2052" t="str">
            <v>2021-11-26 → 11/29</v>
          </cell>
          <cell r="R2052" t="str">
            <v>2021-11-26 → 11/29</v>
          </cell>
          <cell r="S2052"/>
          <cell r="T2052">
            <v>44532</v>
          </cell>
          <cell r="U2052">
            <v>44532</v>
          </cell>
          <cell r="V2052">
            <v>44533</v>
          </cell>
          <cell r="W2052">
            <v>44548</v>
          </cell>
          <cell r="X2052" t="str">
            <v>41100293 → 41100363</v>
          </cell>
        </row>
        <row r="2053">
          <cell r="K2053"/>
          <cell r="L2053"/>
          <cell r="M2053">
            <v>44551</v>
          </cell>
          <cell r="N2053">
            <v>44552</v>
          </cell>
          <cell r="O2053">
            <v>44551</v>
          </cell>
          <cell r="P2053" t="str">
            <v xml:space="preserve"> -</v>
          </cell>
          <cell r="Q2053">
            <v>44554</v>
          </cell>
          <cell r="R2053">
            <v>44554</v>
          </cell>
          <cell r="S2053"/>
          <cell r="T2053">
            <v>44553</v>
          </cell>
          <cell r="U2053">
            <v>44557</v>
          </cell>
          <cell r="V2053">
            <v>44558</v>
          </cell>
          <cell r="W2053">
            <v>44558</v>
          </cell>
          <cell r="X2053"/>
        </row>
        <row r="2054">
          <cell r="K2054" t="str">
            <v>GBWS-2024</v>
          </cell>
          <cell r="L2054">
            <v>44566</v>
          </cell>
          <cell r="M2054">
            <v>44566</v>
          </cell>
          <cell r="N2054">
            <v>44579</v>
          </cell>
          <cell r="O2054">
            <v>44566</v>
          </cell>
          <cell r="P2054">
            <v>44579</v>
          </cell>
          <cell r="Q2054">
            <v>44579</v>
          </cell>
          <cell r="R2054">
            <v>44579</v>
          </cell>
          <cell r="S2054"/>
          <cell r="T2054">
            <v>44581</v>
          </cell>
          <cell r="U2054">
            <v>44587</v>
          </cell>
          <cell r="V2054">
            <v>44595</v>
          </cell>
          <cell r="W2054">
            <v>44596</v>
          </cell>
          <cell r="X2054">
            <v>41100325</v>
          </cell>
        </row>
        <row r="2055">
          <cell r="K2055" t="str">
            <v>GBWS-1579</v>
          </cell>
          <cell r="L2055">
            <v>44446</v>
          </cell>
          <cell r="M2055">
            <v>44446</v>
          </cell>
          <cell r="N2055">
            <v>44455</v>
          </cell>
          <cell r="O2055">
            <v>44446</v>
          </cell>
          <cell r="P2055">
            <v>44455</v>
          </cell>
          <cell r="Q2055">
            <v>44455</v>
          </cell>
          <cell r="R2055">
            <v>44455</v>
          </cell>
          <cell r="S2055"/>
          <cell r="T2055">
            <v>44455</v>
          </cell>
          <cell r="U2055">
            <v>44462</v>
          </cell>
          <cell r="V2055">
            <v>44466</v>
          </cell>
          <cell r="W2055">
            <v>44466</v>
          </cell>
          <cell r="X2055">
            <v>41100372</v>
          </cell>
        </row>
        <row r="2056">
          <cell r="K2056" t="str">
            <v>GPWS-0215</v>
          </cell>
          <cell r="L2056">
            <v>44588</v>
          </cell>
          <cell r="M2056">
            <v>44588</v>
          </cell>
          <cell r="N2056">
            <v>44600</v>
          </cell>
          <cell r="O2056">
            <v>44588</v>
          </cell>
          <cell r="P2056">
            <v>44600</v>
          </cell>
          <cell r="Q2056">
            <v>44600</v>
          </cell>
          <cell r="R2056">
            <v>44600</v>
          </cell>
          <cell r="S2056"/>
          <cell r="T2056">
            <v>44601</v>
          </cell>
          <cell r="U2056">
            <v>44602</v>
          </cell>
          <cell r="V2056">
            <v>44603</v>
          </cell>
          <cell r="W2056">
            <v>44606</v>
          </cell>
          <cell r="X2056">
            <v>41100440</v>
          </cell>
        </row>
        <row r="2057">
          <cell r="K2057" t="str">
            <v>GBWS-2069</v>
          </cell>
          <cell r="L2057">
            <v>44579</v>
          </cell>
          <cell r="M2057">
            <v>44579</v>
          </cell>
          <cell r="N2057">
            <v>44595</v>
          </cell>
          <cell r="O2057">
            <v>44579</v>
          </cell>
          <cell r="P2057">
            <v>44588</v>
          </cell>
          <cell r="Q2057">
            <v>44589</v>
          </cell>
          <cell r="R2057">
            <v>44589</v>
          </cell>
          <cell r="S2057"/>
          <cell r="T2057">
            <v>44595</v>
          </cell>
          <cell r="U2057">
            <v>44596</v>
          </cell>
          <cell r="V2057">
            <v>44599</v>
          </cell>
          <cell r="W2057">
            <v>44600</v>
          </cell>
          <cell r="X2057">
            <v>41100184</v>
          </cell>
        </row>
        <row r="2058">
          <cell r="K2058" t="str">
            <v>GBWS-2070</v>
          </cell>
          <cell r="L2058">
            <v>44579</v>
          </cell>
          <cell r="M2058">
            <v>44579</v>
          </cell>
          <cell r="N2058">
            <v>44595</v>
          </cell>
          <cell r="O2058">
            <v>44579</v>
          </cell>
          <cell r="P2058">
            <v>44588</v>
          </cell>
          <cell r="Q2058">
            <v>44589</v>
          </cell>
          <cell r="R2058">
            <v>44589</v>
          </cell>
          <cell r="S2058"/>
          <cell r="T2058">
            <v>44595</v>
          </cell>
          <cell r="U2058">
            <v>44596</v>
          </cell>
          <cell r="V2058">
            <v>44596</v>
          </cell>
          <cell r="W2058">
            <v>44599</v>
          </cell>
          <cell r="X2058">
            <v>41100184</v>
          </cell>
        </row>
        <row r="2059">
          <cell r="K2059" t="str">
            <v>GBWS-2071</v>
          </cell>
          <cell r="L2059">
            <v>44579</v>
          </cell>
          <cell r="M2059">
            <v>44579</v>
          </cell>
          <cell r="N2059">
            <v>44595</v>
          </cell>
          <cell r="O2059">
            <v>44579</v>
          </cell>
          <cell r="P2059">
            <v>44588</v>
          </cell>
          <cell r="Q2059">
            <v>44589</v>
          </cell>
          <cell r="R2059">
            <v>44589</v>
          </cell>
          <cell r="S2059"/>
          <cell r="T2059">
            <v>44595</v>
          </cell>
          <cell r="U2059">
            <v>44596</v>
          </cell>
          <cell r="V2059">
            <v>44596</v>
          </cell>
          <cell r="W2059">
            <v>44599</v>
          </cell>
          <cell r="X2059">
            <v>41100184</v>
          </cell>
        </row>
        <row r="2060">
          <cell r="K2060" t="str">
            <v>DBW-2529</v>
          </cell>
          <cell r="L2060">
            <v>44551</v>
          </cell>
          <cell r="M2060">
            <v>44551</v>
          </cell>
          <cell r="N2060">
            <v>44566</v>
          </cell>
          <cell r="O2060">
            <v>44551</v>
          </cell>
          <cell r="P2060">
            <v>44566</v>
          </cell>
          <cell r="Q2060" t="str">
            <v>2022-01-03 → 1/5 → 1/6</v>
          </cell>
          <cell r="R2060" t="str">
            <v>2022-01-03 → 1/5 → 1/6</v>
          </cell>
          <cell r="S2060"/>
          <cell r="T2060">
            <v>44567</v>
          </cell>
          <cell r="U2060">
            <v>44568</v>
          </cell>
          <cell r="V2060">
            <v>44568</v>
          </cell>
          <cell r="W2060">
            <v>44573</v>
          </cell>
          <cell r="X2060" t="str">
            <v>41100359 → 41100360</v>
          </cell>
        </row>
        <row r="2061">
          <cell r="K2061"/>
          <cell r="L2061"/>
          <cell r="M2061">
            <v>44588</v>
          </cell>
          <cell r="N2061">
            <v>44599</v>
          </cell>
          <cell r="O2061">
            <v>44588</v>
          </cell>
          <cell r="P2061">
            <v>44600</v>
          </cell>
          <cell r="Q2061">
            <v>44599</v>
          </cell>
          <cell r="R2061">
            <v>44599</v>
          </cell>
          <cell r="S2061"/>
          <cell r="T2061">
            <v>44602</v>
          </cell>
          <cell r="U2061">
            <v>44606</v>
          </cell>
          <cell r="V2061">
            <v>44607</v>
          </cell>
          <cell r="W2061">
            <v>44608</v>
          </cell>
          <cell r="X2061"/>
        </row>
        <row r="2062">
          <cell r="K2062" t="str">
            <v>GBWS-2085</v>
          </cell>
          <cell r="L2062">
            <v>44588</v>
          </cell>
          <cell r="M2062">
            <v>44588</v>
          </cell>
          <cell r="N2062">
            <v>44602</v>
          </cell>
          <cell r="O2062">
            <v>44588</v>
          </cell>
          <cell r="P2062">
            <v>44601</v>
          </cell>
          <cell r="Q2062">
            <v>44602</v>
          </cell>
          <cell r="R2062">
            <v>44602</v>
          </cell>
          <cell r="S2062"/>
          <cell r="T2062">
            <v>44606</v>
          </cell>
          <cell r="U2062">
            <v>44608</v>
          </cell>
          <cell r="V2062">
            <v>44608</v>
          </cell>
          <cell r="W2062">
            <v>44609</v>
          </cell>
          <cell r="X2062">
            <v>41100438</v>
          </cell>
        </row>
        <row r="2063">
          <cell r="K2063" t="str">
            <v>GBWS-2028</v>
          </cell>
          <cell r="L2063">
            <v>44568</v>
          </cell>
          <cell r="M2063">
            <v>44568</v>
          </cell>
          <cell r="N2063">
            <v>44581</v>
          </cell>
          <cell r="O2063">
            <v>44568</v>
          </cell>
          <cell r="P2063">
            <v>44579</v>
          </cell>
          <cell r="Q2063" t="str">
            <v>2022-01-19 → 1/20</v>
          </cell>
          <cell r="R2063" t="str">
            <v>2022-01-19 → 1/20</v>
          </cell>
          <cell r="S2063"/>
          <cell r="T2063">
            <v>44582</v>
          </cell>
          <cell r="U2063">
            <v>44586</v>
          </cell>
          <cell r="V2063">
            <v>44587</v>
          </cell>
          <cell r="W2063">
            <v>44588</v>
          </cell>
          <cell r="X2063">
            <v>41100386</v>
          </cell>
        </row>
        <row r="2064">
          <cell r="K2064" t="str">
            <v>GBWS-2032</v>
          </cell>
          <cell r="L2064">
            <v>44568</v>
          </cell>
          <cell r="M2064">
            <v>44568</v>
          </cell>
          <cell r="N2064">
            <v>44581</v>
          </cell>
          <cell r="O2064">
            <v>44568</v>
          </cell>
          <cell r="P2064">
            <v>44579</v>
          </cell>
          <cell r="Q2064" t="str">
            <v>2022-01-19 → 1/20</v>
          </cell>
          <cell r="R2064" t="str">
            <v>2022-01-19 → 1/20</v>
          </cell>
          <cell r="S2064"/>
          <cell r="T2064">
            <v>44582</v>
          </cell>
          <cell r="U2064">
            <v>44586</v>
          </cell>
          <cell r="V2064">
            <v>44586</v>
          </cell>
          <cell r="W2064">
            <v>44588</v>
          </cell>
          <cell r="X2064">
            <v>41100386</v>
          </cell>
        </row>
        <row r="2065">
          <cell r="K2065" t="str">
            <v>GBWS-2033</v>
          </cell>
          <cell r="L2065">
            <v>44568</v>
          </cell>
          <cell r="M2065">
            <v>44568</v>
          </cell>
          <cell r="N2065">
            <v>44581</v>
          </cell>
          <cell r="O2065">
            <v>44568</v>
          </cell>
          <cell r="P2065">
            <v>44579</v>
          </cell>
          <cell r="Q2065" t="str">
            <v>2022-01-19 → 1/20</v>
          </cell>
          <cell r="R2065" t="str">
            <v>2022-01-19 → 1/20</v>
          </cell>
          <cell r="S2065"/>
          <cell r="T2065">
            <v>44582</v>
          </cell>
          <cell r="U2065">
            <v>44586</v>
          </cell>
          <cell r="V2065">
            <v>44587</v>
          </cell>
          <cell r="W2065">
            <v>44588</v>
          </cell>
          <cell r="X2065">
            <v>41100386</v>
          </cell>
        </row>
        <row r="2066">
          <cell r="K2066" t="str">
            <v>GBWS-2037</v>
          </cell>
          <cell r="L2066">
            <v>44568</v>
          </cell>
          <cell r="M2066">
            <v>44568</v>
          </cell>
          <cell r="N2066">
            <v>44581</v>
          </cell>
          <cell r="O2066">
            <v>44568</v>
          </cell>
          <cell r="P2066">
            <v>44581</v>
          </cell>
          <cell r="Q2066" t="str">
            <v>2022-01-19 → 1/20</v>
          </cell>
          <cell r="R2066" t="str">
            <v>2022-01-19 → 1/20</v>
          </cell>
          <cell r="S2066"/>
          <cell r="T2066">
            <v>44582</v>
          </cell>
          <cell r="U2066">
            <v>44587</v>
          </cell>
          <cell r="V2066">
            <v>44588</v>
          </cell>
          <cell r="W2066">
            <v>44595</v>
          </cell>
          <cell r="X2066">
            <v>41100410</v>
          </cell>
        </row>
        <row r="2067">
          <cell r="K2067" t="str">
            <v>GBWS-2065</v>
          </cell>
          <cell r="L2067">
            <v>44575</v>
          </cell>
          <cell r="M2067">
            <v>44575</v>
          </cell>
          <cell r="N2067">
            <v>44588</v>
          </cell>
          <cell r="O2067">
            <v>44575</v>
          </cell>
          <cell r="P2067">
            <v>44588</v>
          </cell>
          <cell r="Q2067">
            <v>44588</v>
          </cell>
          <cell r="R2067">
            <v>44588</v>
          </cell>
          <cell r="S2067"/>
          <cell r="T2067">
            <v>44601</v>
          </cell>
          <cell r="U2067">
            <v>44602</v>
          </cell>
          <cell r="V2067">
            <v>44602</v>
          </cell>
          <cell r="W2067">
            <v>44606</v>
          </cell>
          <cell r="X2067">
            <v>41100386</v>
          </cell>
        </row>
        <row r="2068">
          <cell r="K2068" t="str">
            <v>GBWS-2066</v>
          </cell>
          <cell r="L2068">
            <v>44575</v>
          </cell>
          <cell r="M2068">
            <v>44575</v>
          </cell>
          <cell r="N2068">
            <v>44588</v>
          </cell>
          <cell r="O2068">
            <v>44575</v>
          </cell>
          <cell r="P2068">
            <v>44588</v>
          </cell>
          <cell r="Q2068">
            <v>44588</v>
          </cell>
          <cell r="R2068">
            <v>44588</v>
          </cell>
          <cell r="S2068"/>
          <cell r="T2068">
            <v>44601</v>
          </cell>
          <cell r="U2068">
            <v>44603</v>
          </cell>
          <cell r="V2068">
            <v>44607</v>
          </cell>
          <cell r="W2068">
            <v>44607</v>
          </cell>
          <cell r="X2068">
            <v>41100386</v>
          </cell>
        </row>
        <row r="2069">
          <cell r="K2069" t="str">
            <v>GBWS-2072</v>
          </cell>
          <cell r="L2069">
            <v>44581</v>
          </cell>
          <cell r="M2069">
            <v>44581</v>
          </cell>
          <cell r="N2069">
            <v>44600</v>
          </cell>
          <cell r="O2069">
            <v>44581</v>
          </cell>
          <cell r="P2069">
            <v>44600</v>
          </cell>
          <cell r="Q2069">
            <v>44600</v>
          </cell>
          <cell r="R2069">
            <v>44600</v>
          </cell>
          <cell r="S2069"/>
          <cell r="T2069">
            <v>44602</v>
          </cell>
          <cell r="U2069">
            <v>44606</v>
          </cell>
          <cell r="V2069">
            <v>44607</v>
          </cell>
          <cell r="W2069">
            <v>44607</v>
          </cell>
          <cell r="X2069">
            <v>41100406</v>
          </cell>
        </row>
        <row r="2070">
          <cell r="K2070" t="str">
            <v>GBWS-2073</v>
          </cell>
          <cell r="L2070">
            <v>44581</v>
          </cell>
          <cell r="M2070">
            <v>44581</v>
          </cell>
          <cell r="N2070">
            <v>44600</v>
          </cell>
          <cell r="O2070">
            <v>44581</v>
          </cell>
          <cell r="P2070">
            <v>44600</v>
          </cell>
          <cell r="Q2070">
            <v>44600</v>
          </cell>
          <cell r="R2070">
            <v>44600</v>
          </cell>
          <cell r="S2070"/>
          <cell r="T2070">
            <v>44602</v>
          </cell>
          <cell r="U2070">
            <v>44603</v>
          </cell>
          <cell r="V2070">
            <v>44607</v>
          </cell>
          <cell r="W2070">
            <v>44607</v>
          </cell>
          <cell r="X2070">
            <v>41100406</v>
          </cell>
        </row>
        <row r="2071">
          <cell r="K2071" t="str">
            <v>GBWS-2075</v>
          </cell>
          <cell r="L2071">
            <v>44581</v>
          </cell>
          <cell r="M2071">
            <v>44581</v>
          </cell>
          <cell r="N2071">
            <v>44600</v>
          </cell>
          <cell r="O2071">
            <v>44581</v>
          </cell>
          <cell r="P2071">
            <v>44600</v>
          </cell>
          <cell r="Q2071">
            <v>44600</v>
          </cell>
          <cell r="R2071">
            <v>44600</v>
          </cell>
          <cell r="S2071"/>
          <cell r="T2071">
            <v>44602</v>
          </cell>
          <cell r="U2071">
            <v>44606</v>
          </cell>
          <cell r="V2071">
            <v>44607</v>
          </cell>
          <cell r="W2071">
            <v>44607</v>
          </cell>
          <cell r="X2071">
            <v>41100411</v>
          </cell>
        </row>
        <row r="2072">
          <cell r="K2072" t="str">
            <v>GBWS-2020</v>
          </cell>
          <cell r="L2072">
            <v>44565</v>
          </cell>
          <cell r="M2072">
            <v>44566</v>
          </cell>
          <cell r="N2072">
            <v>44579</v>
          </cell>
          <cell r="O2072">
            <v>44566</v>
          </cell>
          <cell r="P2072">
            <v>44579</v>
          </cell>
          <cell r="Q2072" t="str">
            <v>2022-01-17 → 1/18</v>
          </cell>
          <cell r="R2072" t="str">
            <v>2022-01-17 → 1/18</v>
          </cell>
          <cell r="S2072"/>
          <cell r="T2072">
            <v>44580</v>
          </cell>
          <cell r="U2072">
            <v>44582</v>
          </cell>
          <cell r="V2072">
            <v>44585</v>
          </cell>
          <cell r="W2072">
            <v>44586</v>
          </cell>
          <cell r="X2072">
            <v>41100320</v>
          </cell>
        </row>
        <row r="2073">
          <cell r="K2073" t="str">
            <v>GBWS-2021</v>
          </cell>
          <cell r="L2073">
            <v>44565</v>
          </cell>
          <cell r="M2073">
            <v>44566</v>
          </cell>
          <cell r="N2073">
            <v>44579</v>
          </cell>
          <cell r="O2073">
            <v>44566</v>
          </cell>
          <cell r="P2073">
            <v>44579</v>
          </cell>
          <cell r="Q2073" t="str">
            <v>2022-01-17 → 1/18</v>
          </cell>
          <cell r="R2073" t="str">
            <v>2022-01-17 → 1/18</v>
          </cell>
          <cell r="S2073"/>
          <cell r="T2073">
            <v>44580</v>
          </cell>
          <cell r="U2073">
            <v>44585</v>
          </cell>
          <cell r="V2073">
            <v>44586</v>
          </cell>
          <cell r="W2073">
            <v>44587</v>
          </cell>
          <cell r="X2073">
            <v>41100320</v>
          </cell>
        </row>
        <row r="2074">
          <cell r="K2074" t="str">
            <v>GBWS-2022</v>
          </cell>
          <cell r="L2074">
            <v>44565</v>
          </cell>
          <cell r="M2074">
            <v>44566</v>
          </cell>
          <cell r="N2074">
            <v>44579</v>
          </cell>
          <cell r="O2074">
            <v>44566</v>
          </cell>
          <cell r="P2074">
            <v>44579</v>
          </cell>
          <cell r="Q2074" t="str">
            <v>2022-01-17 → 1/18</v>
          </cell>
          <cell r="R2074" t="str">
            <v>2022-01-17 → 1/18</v>
          </cell>
          <cell r="S2074"/>
          <cell r="T2074">
            <v>44580</v>
          </cell>
          <cell r="U2074">
            <v>44585</v>
          </cell>
          <cell r="V2074">
            <v>44586</v>
          </cell>
          <cell r="W2074">
            <v>44587</v>
          </cell>
          <cell r="X2074">
            <v>41100320</v>
          </cell>
        </row>
        <row r="2075">
          <cell r="K2075" t="str">
            <v>GBWS-2076</v>
          </cell>
          <cell r="L2075">
            <v>44587</v>
          </cell>
          <cell r="M2075">
            <v>44587</v>
          </cell>
          <cell r="N2075">
            <v>44603</v>
          </cell>
          <cell r="O2075">
            <v>44587</v>
          </cell>
          <cell r="P2075">
            <v>44607</v>
          </cell>
          <cell r="Q2075">
            <v>44603</v>
          </cell>
          <cell r="R2075">
            <v>44603</v>
          </cell>
          <cell r="S2075"/>
          <cell r="T2075">
            <v>44608</v>
          </cell>
          <cell r="U2075">
            <v>44609</v>
          </cell>
          <cell r="V2075">
            <v>44610</v>
          </cell>
          <cell r="W2075">
            <v>44610</v>
          </cell>
          <cell r="X2075">
            <v>41100320</v>
          </cell>
        </row>
        <row r="2076">
          <cell r="K2076" t="str">
            <v>GBWS-2077</v>
          </cell>
          <cell r="L2076">
            <v>44588</v>
          </cell>
          <cell r="M2076">
            <v>44588</v>
          </cell>
          <cell r="N2076">
            <v>44606</v>
          </cell>
          <cell r="O2076">
            <v>44588</v>
          </cell>
          <cell r="P2076">
            <v>44606</v>
          </cell>
          <cell r="Q2076" t="str">
            <v>2022-02-14 → 2/10</v>
          </cell>
          <cell r="R2076" t="str">
            <v>2022-02-14 → 2/10</v>
          </cell>
          <cell r="S2076"/>
          <cell r="T2076">
            <v>44608</v>
          </cell>
          <cell r="U2076">
            <v>44609</v>
          </cell>
          <cell r="V2076">
            <v>44610</v>
          </cell>
          <cell r="W2076">
            <v>44613</v>
          </cell>
          <cell r="X2076">
            <v>41100286</v>
          </cell>
        </row>
        <row r="2077">
          <cell r="K2077" t="str">
            <v>GBWS-2080</v>
          </cell>
          <cell r="L2077">
            <v>44588</v>
          </cell>
          <cell r="M2077">
            <v>44588</v>
          </cell>
          <cell r="N2077">
            <v>44603</v>
          </cell>
          <cell r="O2077">
            <v>44588</v>
          </cell>
          <cell r="P2077">
            <v>44606</v>
          </cell>
          <cell r="Q2077" t="str">
            <v>2022-02-10 → 2/11</v>
          </cell>
          <cell r="R2077" t="str">
            <v>2022-02-10 → 2/11</v>
          </cell>
          <cell r="S2077"/>
          <cell r="T2077">
            <v>44607</v>
          </cell>
          <cell r="U2077">
            <v>44608</v>
          </cell>
          <cell r="V2077">
            <v>44609</v>
          </cell>
          <cell r="W2077">
            <v>44609</v>
          </cell>
          <cell r="X2077">
            <v>41100184</v>
          </cell>
        </row>
        <row r="2078">
          <cell r="K2078" t="str">
            <v>GBWS-2081</v>
          </cell>
          <cell r="L2078">
            <v>44588</v>
          </cell>
          <cell r="M2078">
            <v>44588</v>
          </cell>
          <cell r="N2078">
            <v>44603</v>
          </cell>
          <cell r="O2078">
            <v>44588</v>
          </cell>
          <cell r="P2078">
            <v>44606</v>
          </cell>
          <cell r="Q2078" t="str">
            <v>2022-02-10 → 2/11</v>
          </cell>
          <cell r="R2078" t="str">
            <v>2022-02-10 → 2/11</v>
          </cell>
          <cell r="S2078"/>
          <cell r="T2078">
            <v>44607</v>
          </cell>
          <cell r="U2078">
            <v>44608</v>
          </cell>
          <cell r="V2078">
            <v>44609</v>
          </cell>
          <cell r="W2078">
            <v>44609</v>
          </cell>
          <cell r="X2078">
            <v>41100184</v>
          </cell>
        </row>
        <row r="2079">
          <cell r="K2079" t="str">
            <v>GBWS-2082</v>
          </cell>
          <cell r="L2079">
            <v>44588</v>
          </cell>
          <cell r="M2079">
            <v>44588</v>
          </cell>
          <cell r="N2079">
            <v>44603</v>
          </cell>
          <cell r="O2079">
            <v>44588</v>
          </cell>
          <cell r="P2079">
            <v>44606</v>
          </cell>
          <cell r="Q2079" t="str">
            <v>2022-02-10 → 2/11</v>
          </cell>
          <cell r="R2079" t="str">
            <v>2022-02-10 → 2/11</v>
          </cell>
          <cell r="S2079"/>
          <cell r="T2079">
            <v>44607</v>
          </cell>
          <cell r="U2079">
            <v>44609</v>
          </cell>
          <cell r="V2079">
            <v>44610</v>
          </cell>
          <cell r="W2079">
            <v>44610</v>
          </cell>
          <cell r="X2079">
            <v>41100184</v>
          </cell>
        </row>
        <row r="2080">
          <cell r="K2080" t="str">
            <v>GBWS-2083</v>
          </cell>
          <cell r="L2080">
            <v>44588</v>
          </cell>
          <cell r="M2080">
            <v>44588</v>
          </cell>
          <cell r="N2080">
            <v>44603</v>
          </cell>
          <cell r="O2080">
            <v>44588</v>
          </cell>
          <cell r="P2080">
            <v>44606</v>
          </cell>
          <cell r="Q2080" t="str">
            <v>2022-02-10 → 2/11</v>
          </cell>
          <cell r="R2080" t="str">
            <v>2022-02-10 → 2/11</v>
          </cell>
          <cell r="S2080"/>
          <cell r="T2080">
            <v>44607</v>
          </cell>
          <cell r="U2080">
            <v>44608</v>
          </cell>
          <cell r="V2080">
            <v>44609</v>
          </cell>
          <cell r="W2080">
            <v>44609</v>
          </cell>
          <cell r="X2080">
            <v>41100184</v>
          </cell>
        </row>
        <row r="2081">
          <cell r="K2081" t="str">
            <v>GBWS-2084</v>
          </cell>
          <cell r="L2081">
            <v>44588</v>
          </cell>
          <cell r="M2081">
            <v>44588</v>
          </cell>
          <cell r="N2081">
            <v>44603</v>
          </cell>
          <cell r="O2081">
            <v>44588</v>
          </cell>
          <cell r="P2081">
            <v>44606</v>
          </cell>
          <cell r="Q2081" t="str">
            <v>2022-02-10 → 2/11</v>
          </cell>
          <cell r="R2081" t="str">
            <v>2022-02-10 → 2/11</v>
          </cell>
          <cell r="S2081"/>
          <cell r="T2081">
            <v>44607</v>
          </cell>
          <cell r="U2081">
            <v>44608</v>
          </cell>
          <cell r="V2081">
            <v>44609</v>
          </cell>
          <cell r="W2081">
            <v>44609</v>
          </cell>
          <cell r="X2081">
            <v>41100184</v>
          </cell>
        </row>
        <row r="2082">
          <cell r="K2082" t="str">
            <v>GBA-0100</v>
          </cell>
          <cell r="L2082">
            <v>44596</v>
          </cell>
          <cell r="M2082">
            <v>44596</v>
          </cell>
          <cell r="N2082">
            <v>44608</v>
          </cell>
          <cell r="O2082">
            <v>44596</v>
          </cell>
          <cell r="P2082">
            <v>44608</v>
          </cell>
          <cell r="Q2082">
            <v>44607</v>
          </cell>
          <cell r="R2082">
            <v>44607</v>
          </cell>
          <cell r="S2082"/>
          <cell r="T2082">
            <v>44609</v>
          </cell>
          <cell r="U2082">
            <v>44613</v>
          </cell>
          <cell r="V2082">
            <v>44613</v>
          </cell>
          <cell r="W2082">
            <v>44614</v>
          </cell>
          <cell r="X2082">
            <v>41100439</v>
          </cell>
        </row>
        <row r="2083">
          <cell r="K2083" t="str">
            <v>GBWS-2086</v>
          </cell>
          <cell r="L2083">
            <v>44595</v>
          </cell>
          <cell r="M2083">
            <v>44595</v>
          </cell>
          <cell r="N2083">
            <v>44609</v>
          </cell>
          <cell r="O2083">
            <v>44595</v>
          </cell>
          <cell r="P2083">
            <v>44607</v>
          </cell>
          <cell r="Q2083" t="str">
            <v>2022-02-11 → 2/14</v>
          </cell>
          <cell r="R2083" t="str">
            <v>2022-02-11 → 2/14</v>
          </cell>
          <cell r="S2083"/>
          <cell r="T2083">
            <v>44610</v>
          </cell>
          <cell r="U2083">
            <v>44613</v>
          </cell>
          <cell r="V2083">
            <v>44614</v>
          </cell>
          <cell r="W2083">
            <v>44614</v>
          </cell>
          <cell r="X2083">
            <v>41100168</v>
          </cell>
        </row>
        <row r="2084">
          <cell r="K2084" t="str">
            <v>GBWS-2087</v>
          </cell>
          <cell r="L2084">
            <v>44595</v>
          </cell>
          <cell r="M2084">
            <v>44595</v>
          </cell>
          <cell r="N2084">
            <v>44609</v>
          </cell>
          <cell r="O2084">
            <v>44595</v>
          </cell>
          <cell r="P2084">
            <v>44607</v>
          </cell>
          <cell r="Q2084" t="str">
            <v>2022-02-11 → 2/14</v>
          </cell>
          <cell r="R2084" t="str">
            <v>2022-02-11 → 2/14</v>
          </cell>
          <cell r="S2084"/>
          <cell r="T2084">
            <v>44610</v>
          </cell>
          <cell r="U2084">
            <v>44613</v>
          </cell>
          <cell r="V2084">
            <v>44614</v>
          </cell>
          <cell r="W2084">
            <v>44615</v>
          </cell>
          <cell r="X2084">
            <v>41100168</v>
          </cell>
        </row>
        <row r="2085">
          <cell r="K2085" t="str">
            <v>GBWS-2088</v>
          </cell>
          <cell r="L2085">
            <v>44595</v>
          </cell>
          <cell r="M2085">
            <v>44595</v>
          </cell>
          <cell r="N2085">
            <v>44609</v>
          </cell>
          <cell r="O2085">
            <v>44595</v>
          </cell>
          <cell r="P2085">
            <v>44607</v>
          </cell>
          <cell r="Q2085" t="str">
            <v>2022-02-11 → 2/14</v>
          </cell>
          <cell r="R2085" t="str">
            <v>2022-02-11 → 2/14</v>
          </cell>
          <cell r="S2085"/>
          <cell r="T2085">
            <v>44610</v>
          </cell>
          <cell r="U2085">
            <v>44613</v>
          </cell>
          <cell r="V2085">
            <v>44614</v>
          </cell>
          <cell r="W2085">
            <v>44615</v>
          </cell>
          <cell r="X2085">
            <v>41100168</v>
          </cell>
        </row>
        <row r="2086">
          <cell r="K2086" t="str">
            <v>GBWS-2089</v>
          </cell>
          <cell r="L2086">
            <v>44595</v>
          </cell>
          <cell r="M2086">
            <v>44595</v>
          </cell>
          <cell r="N2086">
            <v>44609</v>
          </cell>
          <cell r="O2086">
            <v>44595</v>
          </cell>
          <cell r="P2086">
            <v>44607</v>
          </cell>
          <cell r="Q2086" t="str">
            <v>2022-02-11 → 2/14</v>
          </cell>
          <cell r="R2086" t="str">
            <v>2022-02-11 → 2/14</v>
          </cell>
          <cell r="S2086"/>
          <cell r="T2086">
            <v>44610</v>
          </cell>
          <cell r="U2086">
            <v>44613</v>
          </cell>
          <cell r="V2086">
            <v>44614</v>
          </cell>
          <cell r="W2086">
            <v>44614</v>
          </cell>
          <cell r="X2086">
            <v>41100168</v>
          </cell>
        </row>
        <row r="2087">
          <cell r="K2087" t="str">
            <v>GBWS-2078</v>
          </cell>
          <cell r="L2087">
            <v>44588</v>
          </cell>
          <cell r="M2087">
            <v>44588</v>
          </cell>
          <cell r="N2087">
            <v>44602</v>
          </cell>
          <cell r="O2087">
            <v>44588</v>
          </cell>
          <cell r="P2087">
            <v>44603</v>
          </cell>
          <cell r="Q2087">
            <v>44601</v>
          </cell>
          <cell r="R2087">
            <v>44601</v>
          </cell>
          <cell r="S2087"/>
          <cell r="T2087">
            <v>44607</v>
          </cell>
          <cell r="U2087">
            <v>44614</v>
          </cell>
          <cell r="V2087">
            <v>44615</v>
          </cell>
          <cell r="W2087">
            <v>44615</v>
          </cell>
          <cell r="X2087">
            <v>41100441</v>
          </cell>
        </row>
        <row r="2088">
          <cell r="K2088" t="str">
            <v>GBWS-2090</v>
          </cell>
          <cell r="L2088">
            <v>44596</v>
          </cell>
          <cell r="M2088">
            <v>44596</v>
          </cell>
          <cell r="N2088">
            <v>44609</v>
          </cell>
          <cell r="O2088">
            <v>44596</v>
          </cell>
          <cell r="P2088">
            <v>44609</v>
          </cell>
          <cell r="Q2088" t="str">
            <v>2022-02-15 → 2/16</v>
          </cell>
          <cell r="R2088" t="str">
            <v>2022-02-15 → 2/16</v>
          </cell>
          <cell r="S2088"/>
          <cell r="T2088">
            <v>44613</v>
          </cell>
          <cell r="U2088">
            <v>44615</v>
          </cell>
          <cell r="V2088">
            <v>44615</v>
          </cell>
          <cell r="W2088">
            <v>44615</v>
          </cell>
          <cell r="X2088">
            <v>41100314</v>
          </cell>
        </row>
        <row r="2089">
          <cell r="K2089" t="str">
            <v>GBWS-2091</v>
          </cell>
          <cell r="L2089">
            <v>44596</v>
          </cell>
          <cell r="M2089">
            <v>44596</v>
          </cell>
          <cell r="N2089">
            <v>44609</v>
          </cell>
          <cell r="O2089">
            <v>44596</v>
          </cell>
          <cell r="P2089">
            <v>44609</v>
          </cell>
          <cell r="Q2089" t="str">
            <v>2022-02-15 → 2/16</v>
          </cell>
          <cell r="R2089" t="str">
            <v>2022-02-15 → 2/16</v>
          </cell>
          <cell r="S2089"/>
          <cell r="T2089">
            <v>44613</v>
          </cell>
          <cell r="U2089">
            <v>44615</v>
          </cell>
          <cell r="V2089">
            <v>44615</v>
          </cell>
          <cell r="W2089">
            <v>44615</v>
          </cell>
          <cell r="X2089">
            <v>41100314</v>
          </cell>
        </row>
        <row r="2090">
          <cell r="K2090" t="str">
            <v>GBWS-2092</v>
          </cell>
          <cell r="L2090">
            <v>44596</v>
          </cell>
          <cell r="M2090">
            <v>44596</v>
          </cell>
          <cell r="N2090">
            <v>44613</v>
          </cell>
          <cell r="O2090">
            <v>44596</v>
          </cell>
          <cell r="P2090">
            <v>44613</v>
          </cell>
          <cell r="Q2090" t="str">
            <v>2022-02-15 → 2/16 → 2/21</v>
          </cell>
          <cell r="R2090" t="str">
            <v>2022-02-15 → 2/16 → 2/21</v>
          </cell>
          <cell r="S2090"/>
          <cell r="T2090">
            <v>44614</v>
          </cell>
          <cell r="U2090">
            <v>44615</v>
          </cell>
          <cell r="V2090">
            <v>44615</v>
          </cell>
          <cell r="W2090">
            <v>44615</v>
          </cell>
          <cell r="X2090">
            <v>41100314</v>
          </cell>
        </row>
        <row r="2091">
          <cell r="K2091" t="str">
            <v>GBWS-2093</v>
          </cell>
          <cell r="L2091">
            <v>44596</v>
          </cell>
          <cell r="M2091">
            <v>44596</v>
          </cell>
          <cell r="N2091">
            <v>44613</v>
          </cell>
          <cell r="O2091">
            <v>44596</v>
          </cell>
          <cell r="P2091">
            <v>44613</v>
          </cell>
          <cell r="Q2091" t="str">
            <v>2022-02-15 → 2/16 → 2/21</v>
          </cell>
          <cell r="R2091" t="str">
            <v>2022-02-15 → 2/16 → 2/21</v>
          </cell>
          <cell r="S2091"/>
          <cell r="T2091">
            <v>44614</v>
          </cell>
          <cell r="U2091">
            <v>44615</v>
          </cell>
          <cell r="V2091">
            <v>44615</v>
          </cell>
          <cell r="W2091">
            <v>44615</v>
          </cell>
          <cell r="X2091">
            <v>41100314</v>
          </cell>
        </row>
        <row r="2092">
          <cell r="K2092" t="str">
            <v>GBWS-2094</v>
          </cell>
          <cell r="L2092">
            <v>44596</v>
          </cell>
          <cell r="M2092">
            <v>44596</v>
          </cell>
          <cell r="N2092">
            <v>44608</v>
          </cell>
          <cell r="O2092">
            <v>44596</v>
          </cell>
          <cell r="P2092">
            <v>44608</v>
          </cell>
          <cell r="Q2092">
            <v>44607</v>
          </cell>
          <cell r="R2092">
            <v>44607</v>
          </cell>
          <cell r="S2092"/>
          <cell r="T2092">
            <v>44609</v>
          </cell>
          <cell r="U2092">
            <v>44610</v>
          </cell>
          <cell r="V2092">
            <v>44613</v>
          </cell>
          <cell r="W2092">
            <v>44614</v>
          </cell>
          <cell r="X2092">
            <v>41100314</v>
          </cell>
        </row>
        <row r="2093">
          <cell r="K2093" t="str">
            <v>GBWS-2095</v>
          </cell>
          <cell r="L2093">
            <v>44596</v>
          </cell>
          <cell r="M2093">
            <v>44596</v>
          </cell>
          <cell r="N2093">
            <v>44608</v>
          </cell>
          <cell r="O2093">
            <v>44596</v>
          </cell>
          <cell r="P2093">
            <v>44608</v>
          </cell>
          <cell r="Q2093">
            <v>44607</v>
          </cell>
          <cell r="R2093">
            <v>44607</v>
          </cell>
          <cell r="S2093"/>
          <cell r="T2093">
            <v>44609</v>
          </cell>
          <cell r="U2093">
            <v>44610</v>
          </cell>
          <cell r="V2093">
            <v>44613</v>
          </cell>
          <cell r="W2093">
            <v>44614</v>
          </cell>
          <cell r="X2093">
            <v>41100314</v>
          </cell>
        </row>
        <row r="2094">
          <cell r="K2094" t="str">
            <v>GBWS-2096</v>
          </cell>
          <cell r="L2094">
            <v>44596</v>
          </cell>
          <cell r="M2094">
            <v>44596</v>
          </cell>
          <cell r="N2094">
            <v>44610</v>
          </cell>
          <cell r="O2094">
            <v>44596</v>
          </cell>
          <cell r="P2094">
            <v>44613</v>
          </cell>
          <cell r="Q2094" t="str">
            <v>2022-02-15 → 2/16</v>
          </cell>
          <cell r="R2094" t="str">
            <v>2022-02-15 → 2/16</v>
          </cell>
          <cell r="S2094"/>
          <cell r="T2094">
            <v>44614</v>
          </cell>
          <cell r="U2094">
            <v>44615</v>
          </cell>
          <cell r="V2094">
            <v>44615</v>
          </cell>
          <cell r="W2094">
            <v>44615</v>
          </cell>
          <cell r="X2094">
            <v>41100385</v>
          </cell>
        </row>
        <row r="2095">
          <cell r="K2095" t="str">
            <v>DBW-2495</v>
          </cell>
          <cell r="L2095">
            <v>44523</v>
          </cell>
          <cell r="M2095">
            <v>44523</v>
          </cell>
          <cell r="N2095">
            <v>44533</v>
          </cell>
          <cell r="O2095">
            <v>44523</v>
          </cell>
          <cell r="P2095">
            <v>44533</v>
          </cell>
          <cell r="Q2095" t="str">
            <v>2021-12-01 → 12/2</v>
          </cell>
          <cell r="R2095" t="str">
            <v>2021-12-01 → 12/2</v>
          </cell>
          <cell r="S2095"/>
          <cell r="T2095">
            <v>44533</v>
          </cell>
          <cell r="U2095">
            <v>44537</v>
          </cell>
          <cell r="V2095">
            <v>44538</v>
          </cell>
          <cell r="W2095">
            <v>44538</v>
          </cell>
          <cell r="X2095">
            <v>41100175</v>
          </cell>
        </row>
        <row r="2096">
          <cell r="K2096" t="str">
            <v>DBW-2523</v>
          </cell>
          <cell r="L2096">
            <v>44546</v>
          </cell>
          <cell r="M2096">
            <v>44546</v>
          </cell>
          <cell r="N2096">
            <v>44557</v>
          </cell>
          <cell r="O2096">
            <v>44546</v>
          </cell>
          <cell r="P2096">
            <v>44557</v>
          </cell>
          <cell r="Q2096">
            <v>44554</v>
          </cell>
          <cell r="R2096">
            <v>44554</v>
          </cell>
          <cell r="S2096"/>
          <cell r="T2096">
            <v>44557</v>
          </cell>
          <cell r="U2096">
            <v>44558</v>
          </cell>
          <cell r="V2096">
            <v>44558</v>
          </cell>
          <cell r="W2096">
            <v>44558</v>
          </cell>
          <cell r="X2096">
            <v>41100173</v>
          </cell>
        </row>
        <row r="2097">
          <cell r="K2097" t="str">
            <v>DBW-2524</v>
          </cell>
          <cell r="L2097">
            <v>44546</v>
          </cell>
          <cell r="M2097">
            <v>44546</v>
          </cell>
          <cell r="N2097">
            <v>44557</v>
          </cell>
          <cell r="O2097">
            <v>44546</v>
          </cell>
          <cell r="P2097">
            <v>44557</v>
          </cell>
          <cell r="Q2097">
            <v>44554</v>
          </cell>
          <cell r="R2097">
            <v>44554</v>
          </cell>
          <cell r="S2097"/>
          <cell r="T2097">
            <v>44557</v>
          </cell>
          <cell r="U2097">
            <v>44558</v>
          </cell>
          <cell r="V2097">
            <v>44558</v>
          </cell>
          <cell r="W2097">
            <v>44558</v>
          </cell>
          <cell r="X2097">
            <v>41100173</v>
          </cell>
        </row>
        <row r="2098">
          <cell r="K2098" t="str">
            <v>-</v>
          </cell>
          <cell r="L2098">
            <v>44609</v>
          </cell>
          <cell r="M2098">
            <v>44610</v>
          </cell>
          <cell r="N2098">
            <v>44614</v>
          </cell>
          <cell r="O2098">
            <v>44610</v>
          </cell>
          <cell r="P2098">
            <v>44613</v>
          </cell>
          <cell r="Q2098" t="str">
            <v>2022-02-25 → 2/22</v>
          </cell>
          <cell r="R2098" t="str">
            <v>2022-02-25 → 2/22</v>
          </cell>
          <cell r="S2098"/>
          <cell r="T2098" t="str">
            <v xml:space="preserve"> -</v>
          </cell>
          <cell r="U2098" t="str">
            <v xml:space="preserve"> -</v>
          </cell>
          <cell r="V2098">
            <v>44616</v>
          </cell>
          <cell r="W2098">
            <v>44616</v>
          </cell>
          <cell r="X2098">
            <v>31101929</v>
          </cell>
        </row>
        <row r="2099">
          <cell r="K2099" t="str">
            <v>IVAS-122</v>
          </cell>
          <cell r="L2099">
            <v>44572</v>
          </cell>
          <cell r="M2099">
            <v>44572</v>
          </cell>
          <cell r="N2099">
            <v>44601</v>
          </cell>
          <cell r="O2099">
            <v>44572</v>
          </cell>
          <cell r="P2099">
            <v>44607</v>
          </cell>
          <cell r="Q2099">
            <v>44589</v>
          </cell>
          <cell r="R2099">
            <v>44589</v>
          </cell>
          <cell r="S2099"/>
          <cell r="T2099">
            <v>44599</v>
          </cell>
          <cell r="U2099">
            <v>44614</v>
          </cell>
          <cell r="V2099">
            <v>44615</v>
          </cell>
          <cell r="W2099">
            <v>44616</v>
          </cell>
          <cell r="X2099">
            <v>41100414</v>
          </cell>
        </row>
        <row r="2100">
          <cell r="K2100" t="str">
            <v>IVAS-123</v>
          </cell>
          <cell r="L2100">
            <v>44572</v>
          </cell>
          <cell r="M2100">
            <v>44572</v>
          </cell>
          <cell r="N2100">
            <v>44600</v>
          </cell>
          <cell r="O2100">
            <v>44572</v>
          </cell>
          <cell r="P2100">
            <v>44602</v>
          </cell>
          <cell r="Q2100">
            <v>44589</v>
          </cell>
          <cell r="R2100">
            <v>44589</v>
          </cell>
          <cell r="S2100"/>
          <cell r="T2100">
            <v>44599</v>
          </cell>
          <cell r="U2100">
            <v>44614</v>
          </cell>
          <cell r="V2100">
            <v>44615</v>
          </cell>
          <cell r="W2100">
            <v>44616</v>
          </cell>
          <cell r="X2100">
            <v>41100280</v>
          </cell>
        </row>
        <row r="2101">
          <cell r="K2101" t="str">
            <v>GBWS-2063</v>
          </cell>
          <cell r="L2101">
            <v>44575</v>
          </cell>
          <cell r="M2101">
            <v>44575</v>
          </cell>
          <cell r="N2101">
            <v>44588</v>
          </cell>
          <cell r="O2101">
            <v>44575</v>
          </cell>
          <cell r="P2101">
            <v>44588</v>
          </cell>
          <cell r="Q2101">
            <v>44588</v>
          </cell>
          <cell r="R2101">
            <v>44588</v>
          </cell>
          <cell r="S2101"/>
          <cell r="T2101">
            <v>44601</v>
          </cell>
          <cell r="U2101">
            <v>44602</v>
          </cell>
          <cell r="V2101">
            <v>44602</v>
          </cell>
          <cell r="W2101">
            <v>44606</v>
          </cell>
          <cell r="X2101">
            <v>41100386</v>
          </cell>
        </row>
        <row r="2102">
          <cell r="K2102" t="str">
            <v>GBWS-2064</v>
          </cell>
          <cell r="L2102">
            <v>44575</v>
          </cell>
          <cell r="M2102">
            <v>44575</v>
          </cell>
          <cell r="N2102">
            <v>44588</v>
          </cell>
          <cell r="O2102">
            <v>44575</v>
          </cell>
          <cell r="P2102">
            <v>44588</v>
          </cell>
          <cell r="Q2102">
            <v>44588</v>
          </cell>
          <cell r="R2102">
            <v>44588</v>
          </cell>
          <cell r="S2102"/>
          <cell r="T2102">
            <v>44601</v>
          </cell>
          <cell r="U2102">
            <v>44602</v>
          </cell>
          <cell r="V2102">
            <v>44602</v>
          </cell>
          <cell r="W2102">
            <v>44606</v>
          </cell>
          <cell r="X2102">
            <v>41100386</v>
          </cell>
        </row>
        <row r="2103">
          <cell r="K2103" t="str">
            <v>GBWS-2062</v>
          </cell>
          <cell r="L2103">
            <v>44575</v>
          </cell>
          <cell r="M2103">
            <v>44575</v>
          </cell>
          <cell r="N2103">
            <v>44588</v>
          </cell>
          <cell r="O2103">
            <v>44575</v>
          </cell>
          <cell r="P2103">
            <v>44588</v>
          </cell>
          <cell r="Q2103">
            <v>44588</v>
          </cell>
          <cell r="R2103">
            <v>44588</v>
          </cell>
          <cell r="S2103"/>
          <cell r="T2103">
            <v>44601</v>
          </cell>
          <cell r="U2103">
            <v>44602</v>
          </cell>
          <cell r="V2103">
            <v>44602</v>
          </cell>
          <cell r="W2103">
            <v>44606</v>
          </cell>
          <cell r="X2103">
            <v>41100410</v>
          </cell>
        </row>
        <row r="2104">
          <cell r="K2104" t="str">
            <v>GBWS-2079</v>
          </cell>
          <cell r="L2104">
            <v>44588</v>
          </cell>
          <cell r="M2104">
            <v>44588</v>
          </cell>
          <cell r="N2104">
            <v>44602</v>
          </cell>
          <cell r="O2104">
            <v>44588</v>
          </cell>
          <cell r="P2104">
            <v>44603</v>
          </cell>
          <cell r="Q2104" t="str">
            <v>2022-02-10 → 2/11</v>
          </cell>
          <cell r="R2104" t="str">
            <v>2022-02-10 → 2/11</v>
          </cell>
          <cell r="S2104"/>
          <cell r="T2104">
            <v>44606</v>
          </cell>
          <cell r="U2104">
            <v>44609</v>
          </cell>
          <cell r="V2104">
            <v>44610</v>
          </cell>
          <cell r="W2104">
            <v>44613</v>
          </cell>
          <cell r="X2104">
            <v>41100443</v>
          </cell>
        </row>
        <row r="2105">
          <cell r="K2105" t="str">
            <v>IVAS-124</v>
          </cell>
          <cell r="L2105">
            <v>44572</v>
          </cell>
          <cell r="M2105">
            <v>44572</v>
          </cell>
          <cell r="N2105">
            <v>44601</v>
          </cell>
          <cell r="O2105">
            <v>44572</v>
          </cell>
          <cell r="P2105">
            <v>44607</v>
          </cell>
          <cell r="Q2105">
            <v>44589</v>
          </cell>
          <cell r="R2105">
            <v>44589</v>
          </cell>
          <cell r="S2105"/>
          <cell r="T2105">
            <v>44599</v>
          </cell>
          <cell r="U2105">
            <v>44617</v>
          </cell>
          <cell r="V2105">
            <v>44620</v>
          </cell>
          <cell r="W2105">
            <v>44620</v>
          </cell>
          <cell r="X2105">
            <v>41100414</v>
          </cell>
        </row>
        <row r="2106">
          <cell r="K2106" t="str">
            <v>GBWS-2097</v>
          </cell>
          <cell r="L2106">
            <v>44600</v>
          </cell>
          <cell r="M2106">
            <v>44600</v>
          </cell>
          <cell r="N2106">
            <v>44614</v>
          </cell>
          <cell r="O2106">
            <v>44600</v>
          </cell>
          <cell r="P2106">
            <v>44614</v>
          </cell>
          <cell r="Q2106" t="str">
            <v>2022-02-18 → 2/22</v>
          </cell>
          <cell r="R2106" t="str">
            <v>2022-02-18 → 2/22</v>
          </cell>
          <cell r="S2106"/>
          <cell r="T2106">
            <v>44614</v>
          </cell>
          <cell r="U2106">
            <v>44615</v>
          </cell>
          <cell r="V2106">
            <v>44616</v>
          </cell>
          <cell r="W2106">
            <v>44616</v>
          </cell>
          <cell r="X2106">
            <v>41100296</v>
          </cell>
        </row>
        <row r="2107">
          <cell r="K2107" t="str">
            <v>GBWS-2098</v>
          </cell>
          <cell r="L2107">
            <v>44600</v>
          </cell>
          <cell r="M2107">
            <v>44600</v>
          </cell>
          <cell r="N2107">
            <v>44614</v>
          </cell>
          <cell r="O2107">
            <v>44600</v>
          </cell>
          <cell r="P2107">
            <v>44614</v>
          </cell>
          <cell r="Q2107" t="str">
            <v>2022-02-18 → 2/22</v>
          </cell>
          <cell r="R2107" t="str">
            <v>2022-02-18 → 2/22</v>
          </cell>
          <cell r="S2107"/>
          <cell r="T2107">
            <v>44614</v>
          </cell>
          <cell r="U2107">
            <v>44615</v>
          </cell>
          <cell r="V2107">
            <v>44616</v>
          </cell>
          <cell r="W2107">
            <v>44616</v>
          </cell>
          <cell r="X2107">
            <v>41100296</v>
          </cell>
        </row>
        <row r="2108">
          <cell r="K2108" t="str">
            <v>WS-0050</v>
          </cell>
          <cell r="L2108">
            <v>44602</v>
          </cell>
          <cell r="M2108">
            <v>44602</v>
          </cell>
          <cell r="N2108">
            <v>44614</v>
          </cell>
          <cell r="O2108">
            <v>44602</v>
          </cell>
          <cell r="P2108">
            <v>44613</v>
          </cell>
          <cell r="Q2108" t="str">
            <v>2022-02-18 → 2/21</v>
          </cell>
          <cell r="R2108" t="str">
            <v>2022-02-18 → 2/21</v>
          </cell>
          <cell r="S2108"/>
          <cell r="T2108">
            <v>44615</v>
          </cell>
          <cell r="U2108">
            <v>44616</v>
          </cell>
          <cell r="V2108">
            <v>44617</v>
          </cell>
          <cell r="W2108">
            <v>44620</v>
          </cell>
          <cell r="X2108">
            <v>41100435</v>
          </cell>
        </row>
        <row r="2109">
          <cell r="K2109" t="str">
            <v>GBWS-2099</v>
          </cell>
          <cell r="L2109">
            <v>44602</v>
          </cell>
          <cell r="M2109">
            <v>44602</v>
          </cell>
          <cell r="N2109">
            <v>44615</v>
          </cell>
          <cell r="O2109">
            <v>44602</v>
          </cell>
          <cell r="P2109">
            <v>44614</v>
          </cell>
          <cell r="Q2109">
            <v>44614</v>
          </cell>
          <cell r="R2109">
            <v>44614</v>
          </cell>
          <cell r="S2109"/>
          <cell r="T2109">
            <v>44615</v>
          </cell>
          <cell r="U2109">
            <v>44616</v>
          </cell>
          <cell r="V2109">
            <v>44617</v>
          </cell>
          <cell r="W2109">
            <v>44620</v>
          </cell>
          <cell r="X2109">
            <v>41100321</v>
          </cell>
        </row>
        <row r="2110">
          <cell r="K2110" t="str">
            <v>GBWS-2100</v>
          </cell>
          <cell r="L2110">
            <v>44602</v>
          </cell>
          <cell r="M2110">
            <v>44602</v>
          </cell>
          <cell r="N2110">
            <v>44615</v>
          </cell>
          <cell r="O2110">
            <v>44602</v>
          </cell>
          <cell r="P2110">
            <v>44614</v>
          </cell>
          <cell r="Q2110">
            <v>44614</v>
          </cell>
          <cell r="R2110">
            <v>44614</v>
          </cell>
          <cell r="S2110"/>
          <cell r="T2110">
            <v>44616</v>
          </cell>
          <cell r="U2110">
            <v>44616</v>
          </cell>
          <cell r="V2110">
            <v>44617</v>
          </cell>
          <cell r="W2110">
            <v>44620</v>
          </cell>
          <cell r="X2110">
            <v>41100321</v>
          </cell>
        </row>
        <row r="2111">
          <cell r="K2111" t="str">
            <v>GBWS-1857</v>
          </cell>
          <cell r="L2111">
            <v>44515</v>
          </cell>
          <cell r="M2111">
            <v>44516</v>
          </cell>
          <cell r="N2111">
            <v>44526</v>
          </cell>
          <cell r="O2111">
            <v>44516</v>
          </cell>
          <cell r="P2111">
            <v>44525</v>
          </cell>
          <cell r="Q2111">
            <v>44526</v>
          </cell>
          <cell r="R2111">
            <v>44526</v>
          </cell>
          <cell r="S2111"/>
          <cell r="T2111">
            <v>44529</v>
          </cell>
          <cell r="U2111">
            <v>44530</v>
          </cell>
          <cell r="V2111">
            <v>44531</v>
          </cell>
          <cell r="W2111">
            <v>44531</v>
          </cell>
          <cell r="X2111">
            <v>41100293</v>
          </cell>
        </row>
        <row r="2112">
          <cell r="K2112" t="str">
            <v>GBWS-1890</v>
          </cell>
          <cell r="L2112">
            <v>44523</v>
          </cell>
          <cell r="M2112">
            <v>44523</v>
          </cell>
          <cell r="N2112">
            <v>44533</v>
          </cell>
          <cell r="O2112">
            <v>44523</v>
          </cell>
          <cell r="P2112">
            <v>44532</v>
          </cell>
          <cell r="Q2112">
            <v>44532</v>
          </cell>
          <cell r="R2112">
            <v>44532</v>
          </cell>
          <cell r="S2112"/>
          <cell r="T2112">
            <v>44538</v>
          </cell>
          <cell r="U2112">
            <v>44540</v>
          </cell>
          <cell r="V2112">
            <v>44544</v>
          </cell>
          <cell r="W2112">
            <v>44545</v>
          </cell>
          <cell r="X2112">
            <v>41100293</v>
          </cell>
        </row>
        <row r="2113">
          <cell r="K2113" t="str">
            <v>DBW-2540</v>
          </cell>
          <cell r="L2113">
            <v>44603</v>
          </cell>
          <cell r="M2113">
            <v>44603</v>
          </cell>
          <cell r="N2113">
            <v>44613</v>
          </cell>
          <cell r="O2113">
            <v>44603</v>
          </cell>
          <cell r="P2113">
            <v>44613</v>
          </cell>
          <cell r="Q2113">
            <v>44613</v>
          </cell>
          <cell r="R2113">
            <v>44613</v>
          </cell>
          <cell r="S2113"/>
          <cell r="T2113">
            <v>44614</v>
          </cell>
          <cell r="U2113">
            <v>44623</v>
          </cell>
          <cell r="V2113">
            <v>44624</v>
          </cell>
          <cell r="W2113">
            <v>44627</v>
          </cell>
          <cell r="X2113">
            <v>41100450</v>
          </cell>
        </row>
        <row r="2114">
          <cell r="K2114" t="str">
            <v>IVAS-126</v>
          </cell>
          <cell r="L2114">
            <v>44585</v>
          </cell>
          <cell r="M2114">
            <v>44585</v>
          </cell>
          <cell r="N2114">
            <v>44608</v>
          </cell>
          <cell r="O2114">
            <v>44585</v>
          </cell>
          <cell r="P2114">
            <v>44607</v>
          </cell>
          <cell r="Q2114">
            <v>44601</v>
          </cell>
          <cell r="R2114">
            <v>44601</v>
          </cell>
          <cell r="S2114"/>
          <cell r="T2114">
            <v>44613</v>
          </cell>
          <cell r="U2114">
            <v>44624</v>
          </cell>
          <cell r="V2114">
            <v>44624</v>
          </cell>
          <cell r="W2114">
            <v>44627</v>
          </cell>
          <cell r="X2114">
            <v>41100273</v>
          </cell>
        </row>
        <row r="2115">
          <cell r="K2115" t="str">
            <v>IVAS-127</v>
          </cell>
          <cell r="L2115">
            <v>44585</v>
          </cell>
          <cell r="M2115">
            <v>44585</v>
          </cell>
          <cell r="N2115">
            <v>44608</v>
          </cell>
          <cell r="O2115">
            <v>44585</v>
          </cell>
          <cell r="P2115">
            <v>44615</v>
          </cell>
          <cell r="Q2115">
            <v>44601</v>
          </cell>
          <cell r="R2115">
            <v>44601</v>
          </cell>
          <cell r="S2115"/>
          <cell r="T2115">
            <v>44613</v>
          </cell>
          <cell r="U2115">
            <v>44624</v>
          </cell>
          <cell r="V2115">
            <v>44624</v>
          </cell>
          <cell r="W2115">
            <v>44627</v>
          </cell>
          <cell r="X2115">
            <v>41100396</v>
          </cell>
        </row>
        <row r="2116">
          <cell r="K2116" t="str">
            <v>IVAS-128</v>
          </cell>
          <cell r="L2116">
            <v>44585</v>
          </cell>
          <cell r="M2116">
            <v>44585</v>
          </cell>
          <cell r="N2116">
            <v>44608</v>
          </cell>
          <cell r="O2116">
            <v>44585</v>
          </cell>
          <cell r="P2116">
            <v>44615</v>
          </cell>
          <cell r="Q2116">
            <v>44601</v>
          </cell>
          <cell r="R2116">
            <v>44601</v>
          </cell>
          <cell r="S2116"/>
          <cell r="T2116">
            <v>44613</v>
          </cell>
          <cell r="U2116">
            <v>44630</v>
          </cell>
          <cell r="V2116">
            <v>44630</v>
          </cell>
          <cell r="W2116">
            <v>44630</v>
          </cell>
          <cell r="X2116">
            <v>41100290</v>
          </cell>
        </row>
        <row r="2117">
          <cell r="K2117" t="str">
            <v>-</v>
          </cell>
          <cell r="L2117">
            <v>44609</v>
          </cell>
          <cell r="M2117">
            <v>44610</v>
          </cell>
          <cell r="N2117">
            <v>44615</v>
          </cell>
          <cell r="O2117">
            <v>44610</v>
          </cell>
          <cell r="P2117">
            <v>44613</v>
          </cell>
          <cell r="Q2117">
            <v>44617</v>
          </cell>
          <cell r="R2117">
            <v>44617</v>
          </cell>
          <cell r="S2117"/>
          <cell r="T2117" t="str">
            <v xml:space="preserve"> -</v>
          </cell>
          <cell r="U2117" t="str">
            <v xml:space="preserve"> -</v>
          </cell>
          <cell r="V2117">
            <v>44622</v>
          </cell>
          <cell r="W2117">
            <v>44622</v>
          </cell>
          <cell r="X2117">
            <v>31101695</v>
          </cell>
        </row>
        <row r="2118">
          <cell r="K2118" t="str">
            <v xml:space="preserve"> -</v>
          </cell>
          <cell r="L2118">
            <v>44578</v>
          </cell>
          <cell r="M2118">
            <v>44578</v>
          </cell>
          <cell r="N2118">
            <v>44587</v>
          </cell>
          <cell r="O2118">
            <v>44578</v>
          </cell>
          <cell r="P2118">
            <v>44587</v>
          </cell>
          <cell r="Q2118" t="str">
            <v>2022-01-19 → 1/25</v>
          </cell>
          <cell r="R2118" t="str">
            <v>2022-01-19 → 1/25</v>
          </cell>
          <cell r="S2118"/>
          <cell r="T2118">
            <v>44588</v>
          </cell>
          <cell r="U2118">
            <v>44596</v>
          </cell>
          <cell r="V2118">
            <v>44599</v>
          </cell>
          <cell r="W2118">
            <v>44599</v>
          </cell>
          <cell r="X2118">
            <v>31101901</v>
          </cell>
        </row>
        <row r="2119">
          <cell r="K2119" t="str">
            <v>-</v>
          </cell>
          <cell r="L2119">
            <v>44609</v>
          </cell>
          <cell r="M2119">
            <v>44610</v>
          </cell>
          <cell r="N2119">
            <v>44615</v>
          </cell>
          <cell r="O2119">
            <v>44610</v>
          </cell>
          <cell r="P2119">
            <v>44613</v>
          </cell>
          <cell r="Q2119">
            <v>44617</v>
          </cell>
          <cell r="R2119">
            <v>44617</v>
          </cell>
          <cell r="S2119"/>
          <cell r="T2119" t="str">
            <v xml:space="preserve"> -</v>
          </cell>
          <cell r="U2119" t="str">
            <v xml:space="preserve"> -</v>
          </cell>
          <cell r="V2119">
            <v>44622</v>
          </cell>
          <cell r="W2119">
            <v>44622</v>
          </cell>
          <cell r="X2119">
            <v>31101945</v>
          </cell>
        </row>
        <row r="2120">
          <cell r="K2120" t="str">
            <v>GBWS-2102</v>
          </cell>
          <cell r="L2120">
            <v>44607</v>
          </cell>
          <cell r="M2120">
            <v>44608</v>
          </cell>
          <cell r="N2120">
            <v>44616</v>
          </cell>
          <cell r="O2120">
            <v>44608</v>
          </cell>
          <cell r="P2120">
            <v>44616</v>
          </cell>
          <cell r="Q2120">
            <v>44619</v>
          </cell>
          <cell r="R2120">
            <v>44619</v>
          </cell>
          <cell r="S2120"/>
          <cell r="T2120">
            <v>44617</v>
          </cell>
          <cell r="U2120">
            <v>44620</v>
          </cell>
          <cell r="V2120">
            <v>44620</v>
          </cell>
          <cell r="W2120">
            <v>44622</v>
          </cell>
          <cell r="X2120">
            <v>41100311</v>
          </cell>
        </row>
        <row r="2121">
          <cell r="K2121" t="str">
            <v>GBWS-2103</v>
          </cell>
          <cell r="L2121">
            <v>44607</v>
          </cell>
          <cell r="M2121">
            <v>44608</v>
          </cell>
          <cell r="N2121">
            <v>44617</v>
          </cell>
          <cell r="O2121">
            <v>44608</v>
          </cell>
          <cell r="P2121">
            <v>44617</v>
          </cell>
          <cell r="Q2121">
            <v>44619</v>
          </cell>
          <cell r="R2121">
            <v>44619</v>
          </cell>
          <cell r="S2121"/>
          <cell r="T2121">
            <v>44622</v>
          </cell>
          <cell r="U2121">
            <v>44623</v>
          </cell>
          <cell r="V2121">
            <v>44624</v>
          </cell>
          <cell r="W2121">
            <v>44627</v>
          </cell>
          <cell r="X2121">
            <v>41100347</v>
          </cell>
        </row>
        <row r="2122">
          <cell r="K2122" t="str">
            <v>GBWS-2105</v>
          </cell>
          <cell r="L2122">
            <v>44607</v>
          </cell>
          <cell r="M2122">
            <v>44608</v>
          </cell>
          <cell r="N2122">
            <v>44622</v>
          </cell>
          <cell r="O2122">
            <v>44608</v>
          </cell>
          <cell r="P2122">
            <v>44622</v>
          </cell>
          <cell r="Q2122" t="str">
            <v>2022-02-28 → 3/2</v>
          </cell>
          <cell r="R2122" t="str">
            <v>2022-02-28 → 3/2</v>
          </cell>
          <cell r="S2122"/>
          <cell r="T2122">
            <v>44623</v>
          </cell>
          <cell r="U2122">
            <v>44627</v>
          </cell>
          <cell r="V2122">
            <v>44628</v>
          </cell>
          <cell r="W2122">
            <v>44631</v>
          </cell>
          <cell r="X2122">
            <v>41100385</v>
          </cell>
        </row>
        <row r="2123">
          <cell r="K2123" t="str">
            <v>GBWS-2106</v>
          </cell>
          <cell r="L2123">
            <v>44607</v>
          </cell>
          <cell r="M2123">
            <v>44608</v>
          </cell>
          <cell r="N2123">
            <v>44616</v>
          </cell>
          <cell r="O2123">
            <v>44608</v>
          </cell>
          <cell r="P2123">
            <v>44616</v>
          </cell>
          <cell r="Q2123">
            <v>44620</v>
          </cell>
          <cell r="R2123">
            <v>44620</v>
          </cell>
          <cell r="S2123"/>
          <cell r="T2123">
            <v>44617</v>
          </cell>
          <cell r="U2123">
            <v>44620</v>
          </cell>
          <cell r="V2123">
            <v>44620</v>
          </cell>
          <cell r="W2123">
            <v>44622</v>
          </cell>
          <cell r="X2123">
            <v>41100331</v>
          </cell>
        </row>
        <row r="2124">
          <cell r="K2124" t="str">
            <v>GBWS-2104</v>
          </cell>
          <cell r="L2124">
            <v>44607</v>
          </cell>
          <cell r="M2124">
            <v>44608</v>
          </cell>
          <cell r="N2124">
            <v>44620</v>
          </cell>
          <cell r="O2124">
            <v>44608</v>
          </cell>
          <cell r="P2124">
            <v>44620</v>
          </cell>
          <cell r="Q2124">
            <v>44620</v>
          </cell>
          <cell r="R2124">
            <v>44620</v>
          </cell>
          <cell r="S2124"/>
          <cell r="T2124">
            <v>44623</v>
          </cell>
          <cell r="U2124">
            <v>44627</v>
          </cell>
          <cell r="V2124">
            <v>44630</v>
          </cell>
          <cell r="W2124">
            <v>44631</v>
          </cell>
          <cell r="X2124">
            <v>41100314</v>
          </cell>
        </row>
        <row r="2125">
          <cell r="K2125" t="str">
            <v>GHCW-0002</v>
          </cell>
          <cell r="L2125">
            <v>44606</v>
          </cell>
          <cell r="M2125">
            <v>44606</v>
          </cell>
          <cell r="N2125">
            <v>44620</v>
          </cell>
          <cell r="O2125">
            <v>44606</v>
          </cell>
          <cell r="P2125">
            <v>44620</v>
          </cell>
          <cell r="Q2125" t="str">
            <v>2022-02-18 → 3/1</v>
          </cell>
          <cell r="R2125" t="str">
            <v>2022-02-18 → 3/1</v>
          </cell>
          <cell r="S2125"/>
          <cell r="T2125">
            <v>44635</v>
          </cell>
          <cell r="U2125">
            <v>44635</v>
          </cell>
          <cell r="V2125">
            <v>44635</v>
          </cell>
          <cell r="W2125">
            <v>44636</v>
          </cell>
          <cell r="X2125">
            <v>41100427</v>
          </cell>
        </row>
        <row r="2126">
          <cell r="K2126" t="str">
            <v>GBWS-2023</v>
          </cell>
          <cell r="L2126">
            <v>44565</v>
          </cell>
          <cell r="M2126">
            <v>44566</v>
          </cell>
          <cell r="N2126">
            <v>44579</v>
          </cell>
          <cell r="O2126">
            <v>44566</v>
          </cell>
          <cell r="P2126">
            <v>44579</v>
          </cell>
          <cell r="Q2126" t="str">
            <v>2022-01-17 → 1/18</v>
          </cell>
          <cell r="R2126" t="str">
            <v>2022-01-17 → 1/18</v>
          </cell>
          <cell r="S2126"/>
          <cell r="T2126">
            <v>44580</v>
          </cell>
          <cell r="U2126">
            <v>44585</v>
          </cell>
          <cell r="V2126">
            <v>44586</v>
          </cell>
          <cell r="W2126">
            <v>44587</v>
          </cell>
          <cell r="X2126" t="str">
            <v>41100320 → 41100363</v>
          </cell>
        </row>
        <row r="2127">
          <cell r="K2127"/>
          <cell r="L2127">
            <v>44631</v>
          </cell>
          <cell r="M2127">
            <v>44631</v>
          </cell>
          <cell r="N2127">
            <v>44631</v>
          </cell>
          <cell r="O2127">
            <v>44631</v>
          </cell>
          <cell r="P2127">
            <v>44631</v>
          </cell>
          <cell r="Q2127">
            <v>44631</v>
          </cell>
          <cell r="R2127">
            <v>44631</v>
          </cell>
          <cell r="S2127"/>
          <cell r="T2127">
            <v>44631</v>
          </cell>
          <cell r="U2127">
            <v>44634</v>
          </cell>
          <cell r="V2127">
            <v>44634</v>
          </cell>
          <cell r="W2127">
            <v>44634</v>
          </cell>
          <cell r="X2127"/>
        </row>
        <row r="2128">
          <cell r="K2128" t="str">
            <v>GBWS-1819</v>
          </cell>
          <cell r="L2128">
            <v>44510</v>
          </cell>
          <cell r="M2128">
            <v>44510</v>
          </cell>
          <cell r="N2128">
            <v>44519</v>
          </cell>
          <cell r="O2128">
            <v>44510</v>
          </cell>
          <cell r="P2128">
            <v>44519</v>
          </cell>
          <cell r="Q2128">
            <v>44519</v>
          </cell>
          <cell r="R2128">
            <v>44519</v>
          </cell>
          <cell r="S2128"/>
          <cell r="T2128">
            <v>44522</v>
          </cell>
          <cell r="U2128">
            <v>44523</v>
          </cell>
          <cell r="V2128">
            <v>44524</v>
          </cell>
          <cell r="W2128">
            <v>44525</v>
          </cell>
          <cell r="X2128">
            <v>41100318</v>
          </cell>
        </row>
        <row r="2129">
          <cell r="K2129" t="str">
            <v>GBWS-1891</v>
          </cell>
          <cell r="L2129">
            <v>44523</v>
          </cell>
          <cell r="M2129">
            <v>44523</v>
          </cell>
          <cell r="N2129">
            <v>44533</v>
          </cell>
          <cell r="O2129">
            <v>44523</v>
          </cell>
          <cell r="P2129">
            <v>44532</v>
          </cell>
          <cell r="Q2129">
            <v>44532</v>
          </cell>
          <cell r="R2129">
            <v>44532</v>
          </cell>
          <cell r="S2129"/>
          <cell r="T2129">
            <v>44538</v>
          </cell>
          <cell r="U2129">
            <v>44539</v>
          </cell>
          <cell r="V2129">
            <v>44540</v>
          </cell>
          <cell r="W2129">
            <v>44540</v>
          </cell>
          <cell r="X2129">
            <v>41100293</v>
          </cell>
        </row>
        <row r="2130">
          <cell r="K2130" t="str">
            <v>GBWS-1892</v>
          </cell>
          <cell r="L2130">
            <v>44523</v>
          </cell>
          <cell r="M2130">
            <v>44523</v>
          </cell>
          <cell r="N2130">
            <v>44533</v>
          </cell>
          <cell r="O2130">
            <v>44523</v>
          </cell>
          <cell r="P2130">
            <v>44532</v>
          </cell>
          <cell r="Q2130">
            <v>44532</v>
          </cell>
          <cell r="R2130">
            <v>44532</v>
          </cell>
          <cell r="S2130"/>
          <cell r="T2130">
            <v>44538</v>
          </cell>
          <cell r="U2130">
            <v>44539</v>
          </cell>
          <cell r="V2130">
            <v>44540</v>
          </cell>
          <cell r="W2130">
            <v>44540</v>
          </cell>
          <cell r="X2130">
            <v>41100293</v>
          </cell>
        </row>
        <row r="2131">
          <cell r="K2131" t="str">
            <v xml:space="preserve">GBWS-2121 </v>
          </cell>
          <cell r="L2131">
            <v>44614</v>
          </cell>
          <cell r="M2131">
            <v>44615</v>
          </cell>
          <cell r="N2131">
            <v>44627</v>
          </cell>
          <cell r="O2131">
            <v>44615</v>
          </cell>
          <cell r="P2131">
            <v>44628</v>
          </cell>
          <cell r="Q2131">
            <v>44628</v>
          </cell>
          <cell r="R2131">
            <v>44628</v>
          </cell>
          <cell r="S2131"/>
          <cell r="T2131">
            <v>44630</v>
          </cell>
          <cell r="U2131">
            <v>44631</v>
          </cell>
          <cell r="V2131">
            <v>44636</v>
          </cell>
          <cell r="W2131">
            <v>44636</v>
          </cell>
          <cell r="X2131">
            <v>41100448</v>
          </cell>
        </row>
        <row r="2132">
          <cell r="K2132" t="str">
            <v>GBWS-2122</v>
          </cell>
          <cell r="L2132">
            <v>44614</v>
          </cell>
          <cell r="M2132">
            <v>44615</v>
          </cell>
          <cell r="N2132">
            <v>44627</v>
          </cell>
          <cell r="O2132">
            <v>44615</v>
          </cell>
          <cell r="P2132">
            <v>44628</v>
          </cell>
          <cell r="Q2132">
            <v>44628</v>
          </cell>
          <cell r="R2132">
            <v>44628</v>
          </cell>
          <cell r="S2132"/>
          <cell r="T2132">
            <v>44630</v>
          </cell>
          <cell r="U2132">
            <v>44631</v>
          </cell>
          <cell r="V2132">
            <v>44636</v>
          </cell>
          <cell r="W2132">
            <v>44636</v>
          </cell>
          <cell r="X2132">
            <v>41100448</v>
          </cell>
        </row>
        <row r="2133">
          <cell r="K2133" t="str">
            <v>GBWS-2131</v>
          </cell>
          <cell r="L2133">
            <v>44616</v>
          </cell>
          <cell r="M2133">
            <v>44616</v>
          </cell>
          <cell r="N2133">
            <v>44627</v>
          </cell>
          <cell r="O2133">
            <v>44616</v>
          </cell>
          <cell r="P2133">
            <v>44624</v>
          </cell>
          <cell r="Q2133">
            <v>44628</v>
          </cell>
          <cell r="R2133">
            <v>44628</v>
          </cell>
          <cell r="S2133"/>
          <cell r="T2133">
            <v>44628</v>
          </cell>
          <cell r="U2133">
            <v>44631</v>
          </cell>
          <cell r="V2133">
            <v>44634</v>
          </cell>
          <cell r="W2133">
            <v>44635</v>
          </cell>
          <cell r="X2133">
            <v>41100223</v>
          </cell>
        </row>
        <row r="2134">
          <cell r="K2134" t="str">
            <v>GBWS-2132</v>
          </cell>
          <cell r="L2134">
            <v>44616</v>
          </cell>
          <cell r="M2134">
            <v>44616</v>
          </cell>
          <cell r="N2134">
            <v>44627</v>
          </cell>
          <cell r="O2134">
            <v>44616</v>
          </cell>
          <cell r="P2134">
            <v>44624</v>
          </cell>
          <cell r="Q2134">
            <v>44628</v>
          </cell>
          <cell r="R2134">
            <v>44628</v>
          </cell>
          <cell r="S2134"/>
          <cell r="T2134">
            <v>44628</v>
          </cell>
          <cell r="U2134">
            <v>44631</v>
          </cell>
          <cell r="V2134">
            <v>44634</v>
          </cell>
          <cell r="W2134">
            <v>44635</v>
          </cell>
          <cell r="X2134">
            <v>41100223</v>
          </cell>
        </row>
        <row r="2135">
          <cell r="K2135" t="str">
            <v>DBW-2542</v>
          </cell>
          <cell r="L2135">
            <v>44615</v>
          </cell>
          <cell r="M2135">
            <v>44615</v>
          </cell>
          <cell r="N2135">
            <v>44630</v>
          </cell>
          <cell r="O2135">
            <v>44615</v>
          </cell>
          <cell r="P2135">
            <v>44630</v>
          </cell>
          <cell r="Q2135" t="str">
            <v>2022-03-08 → 3/10</v>
          </cell>
          <cell r="R2135" t="str">
            <v>2022-03-08 → 3/10</v>
          </cell>
          <cell r="S2135"/>
          <cell r="T2135">
            <v>44631</v>
          </cell>
          <cell r="U2135">
            <v>44635</v>
          </cell>
          <cell r="V2135">
            <v>44636</v>
          </cell>
          <cell r="W2135">
            <v>44636</v>
          </cell>
          <cell r="X2135">
            <v>41100452</v>
          </cell>
        </row>
        <row r="2136">
          <cell r="K2136" t="str">
            <v>DBW-2543</v>
          </cell>
          <cell r="L2136">
            <v>44615</v>
          </cell>
          <cell r="M2136">
            <v>44615</v>
          </cell>
          <cell r="N2136">
            <v>44630</v>
          </cell>
          <cell r="O2136">
            <v>44615</v>
          </cell>
          <cell r="P2136">
            <v>44630</v>
          </cell>
          <cell r="Q2136" t="str">
            <v>2022-03-08 → 3/10</v>
          </cell>
          <cell r="R2136" t="str">
            <v>2022-03-08 → 3/10</v>
          </cell>
          <cell r="S2136"/>
          <cell r="T2136">
            <v>44631</v>
          </cell>
          <cell r="U2136">
            <v>44635</v>
          </cell>
          <cell r="V2136">
            <v>44636</v>
          </cell>
          <cell r="W2136">
            <v>44636</v>
          </cell>
          <cell r="X2136">
            <v>41100452</v>
          </cell>
        </row>
        <row r="2137">
          <cell r="K2137" t="str">
            <v>DBW-2544</v>
          </cell>
          <cell r="L2137">
            <v>44615</v>
          </cell>
          <cell r="M2137">
            <v>44615</v>
          </cell>
          <cell r="N2137">
            <v>44630</v>
          </cell>
          <cell r="O2137">
            <v>44615</v>
          </cell>
          <cell r="P2137">
            <v>44630</v>
          </cell>
          <cell r="Q2137" t="str">
            <v>2022-03-08 → 3/10</v>
          </cell>
          <cell r="R2137" t="str">
            <v>2022-03-08 → 3/10</v>
          </cell>
          <cell r="S2137"/>
          <cell r="T2137">
            <v>44631</v>
          </cell>
          <cell r="U2137">
            <v>44635</v>
          </cell>
          <cell r="V2137">
            <v>44636</v>
          </cell>
          <cell r="W2137">
            <v>44636</v>
          </cell>
          <cell r="X2137">
            <v>41100452</v>
          </cell>
        </row>
        <row r="2138">
          <cell r="K2138" t="str">
            <v>DBW-2545</v>
          </cell>
          <cell r="L2138">
            <v>44615</v>
          </cell>
          <cell r="M2138">
            <v>44615</v>
          </cell>
          <cell r="N2138">
            <v>44630</v>
          </cell>
          <cell r="O2138">
            <v>44615</v>
          </cell>
          <cell r="P2138">
            <v>44630</v>
          </cell>
          <cell r="Q2138" t="str">
            <v>2022-03-08 → 3/10</v>
          </cell>
          <cell r="R2138" t="str">
            <v>2022-03-08 → 3/10</v>
          </cell>
          <cell r="S2138"/>
          <cell r="T2138">
            <v>44631</v>
          </cell>
          <cell r="U2138">
            <v>44635</v>
          </cell>
          <cell r="V2138">
            <v>44636</v>
          </cell>
          <cell r="W2138">
            <v>44636</v>
          </cell>
          <cell r="X2138">
            <v>41100452</v>
          </cell>
        </row>
        <row r="2139">
          <cell r="K2139" t="str">
            <v>DBW-2546</v>
          </cell>
          <cell r="L2139">
            <v>44615</v>
          </cell>
          <cell r="M2139">
            <v>44615</v>
          </cell>
          <cell r="N2139">
            <v>44630</v>
          </cell>
          <cell r="O2139">
            <v>44615</v>
          </cell>
          <cell r="P2139">
            <v>44628</v>
          </cell>
          <cell r="Q2139" t="str">
            <v>2022-03-07 → 3/8</v>
          </cell>
          <cell r="R2139" t="str">
            <v>2022-03-07 → 3/8</v>
          </cell>
          <cell r="S2139"/>
          <cell r="T2139">
            <v>44630</v>
          </cell>
          <cell r="U2139">
            <v>44634</v>
          </cell>
          <cell r="V2139">
            <v>44635</v>
          </cell>
          <cell r="W2139">
            <v>44635</v>
          </cell>
          <cell r="X2139">
            <v>41100455</v>
          </cell>
        </row>
        <row r="2140">
          <cell r="K2140" t="str">
            <v>DBW-2547</v>
          </cell>
          <cell r="L2140">
            <v>44615</v>
          </cell>
          <cell r="M2140">
            <v>44615</v>
          </cell>
          <cell r="N2140">
            <v>44630</v>
          </cell>
          <cell r="O2140">
            <v>44615</v>
          </cell>
          <cell r="P2140">
            <v>44628</v>
          </cell>
          <cell r="Q2140" t="str">
            <v>2022-03-07 → 3/8</v>
          </cell>
          <cell r="R2140" t="str">
            <v>2022-03-07 → 3/8</v>
          </cell>
          <cell r="S2140"/>
          <cell r="T2140">
            <v>44630</v>
          </cell>
          <cell r="U2140">
            <v>44634</v>
          </cell>
          <cell r="V2140">
            <v>44635</v>
          </cell>
          <cell r="W2140">
            <v>44635</v>
          </cell>
          <cell r="X2140">
            <v>41100455</v>
          </cell>
        </row>
        <row r="2141">
          <cell r="K2141" t="str">
            <v>DBW-2552</v>
          </cell>
          <cell r="L2141">
            <v>44620</v>
          </cell>
          <cell r="M2141">
            <v>44620</v>
          </cell>
          <cell r="N2141">
            <v>44628</v>
          </cell>
          <cell r="O2141">
            <v>44620</v>
          </cell>
          <cell r="P2141">
            <v>44624</v>
          </cell>
          <cell r="Q2141">
            <v>44628</v>
          </cell>
          <cell r="R2141">
            <v>44628</v>
          </cell>
          <cell r="S2141"/>
          <cell r="T2141">
            <v>44630</v>
          </cell>
          <cell r="U2141">
            <v>44631</v>
          </cell>
          <cell r="V2141">
            <v>44635</v>
          </cell>
          <cell r="W2141">
            <v>44635</v>
          </cell>
          <cell r="X2141">
            <v>41100173</v>
          </cell>
        </row>
        <row r="2142">
          <cell r="K2142" t="str">
            <v>DBW-2553</v>
          </cell>
          <cell r="L2142">
            <v>44620</v>
          </cell>
          <cell r="M2142">
            <v>44620</v>
          </cell>
          <cell r="N2142">
            <v>44628</v>
          </cell>
          <cell r="O2142">
            <v>44620</v>
          </cell>
          <cell r="P2142">
            <v>44624</v>
          </cell>
          <cell r="Q2142">
            <v>44628</v>
          </cell>
          <cell r="R2142">
            <v>44628</v>
          </cell>
          <cell r="S2142"/>
          <cell r="T2142">
            <v>44630</v>
          </cell>
          <cell r="U2142">
            <v>44631</v>
          </cell>
          <cell r="V2142">
            <v>44634</v>
          </cell>
          <cell r="W2142">
            <v>44635</v>
          </cell>
          <cell r="X2142">
            <v>41100173</v>
          </cell>
        </row>
        <row r="2143">
          <cell r="K2143" t="str">
            <v>DBW-2356</v>
          </cell>
          <cell r="L2143">
            <v>44424</v>
          </cell>
          <cell r="M2143">
            <v>44425</v>
          </cell>
          <cell r="N2143">
            <v>44433</v>
          </cell>
          <cell r="O2143">
            <v>44425</v>
          </cell>
          <cell r="P2143">
            <v>44434</v>
          </cell>
          <cell r="Q2143">
            <v>44434</v>
          </cell>
          <cell r="R2143">
            <v>44434</v>
          </cell>
          <cell r="S2143"/>
          <cell r="T2143">
            <v>44435</v>
          </cell>
          <cell r="U2143">
            <v>44438</v>
          </cell>
          <cell r="V2143">
            <v>44439</v>
          </cell>
          <cell r="W2143">
            <v>44439</v>
          </cell>
          <cell r="X2143" t="str">
            <v>41100170 → 41100169</v>
          </cell>
        </row>
        <row r="2144">
          <cell r="K2144" t="str">
            <v>-</v>
          </cell>
          <cell r="L2144">
            <v>44609</v>
          </cell>
          <cell r="M2144">
            <v>44610</v>
          </cell>
          <cell r="N2144">
            <v>44615</v>
          </cell>
          <cell r="O2144">
            <v>44610</v>
          </cell>
          <cell r="P2144">
            <v>44613</v>
          </cell>
          <cell r="Q2144">
            <v>44617</v>
          </cell>
          <cell r="R2144">
            <v>44617</v>
          </cell>
          <cell r="S2144"/>
          <cell r="T2144" t="str">
            <v xml:space="preserve"> -</v>
          </cell>
          <cell r="U2144" t="str">
            <v xml:space="preserve"> -</v>
          </cell>
          <cell r="V2144">
            <v>44622</v>
          </cell>
          <cell r="W2144">
            <v>44622</v>
          </cell>
          <cell r="X2144">
            <v>31101945</v>
          </cell>
        </row>
        <row r="2145">
          <cell r="K2145" t="str">
            <v>DBW-2572</v>
          </cell>
          <cell r="L2145">
            <v>44627</v>
          </cell>
          <cell r="M2145" t="str">
            <v>2022-03-08 → 3/7</v>
          </cell>
          <cell r="N2145">
            <v>44634</v>
          </cell>
          <cell r="O2145" t="str">
            <v>2022-03-08 → 3/7</v>
          </cell>
          <cell r="P2145">
            <v>44634</v>
          </cell>
          <cell r="Q2145">
            <v>44631</v>
          </cell>
          <cell r="R2145">
            <v>44631</v>
          </cell>
          <cell r="S2145"/>
          <cell r="T2145">
            <v>44634</v>
          </cell>
          <cell r="U2145">
            <v>44636</v>
          </cell>
          <cell r="V2145">
            <v>44636</v>
          </cell>
          <cell r="W2145">
            <v>44637</v>
          </cell>
          <cell r="X2145">
            <v>41100169</v>
          </cell>
        </row>
        <row r="2146">
          <cell r="K2146" t="str">
            <v>DBW-2573</v>
          </cell>
          <cell r="L2146">
            <v>44627</v>
          </cell>
          <cell r="M2146" t="str">
            <v>2022-03-08 → 3/7</v>
          </cell>
          <cell r="N2146">
            <v>44635</v>
          </cell>
          <cell r="O2146" t="str">
            <v>2022-03-08 → 3/7</v>
          </cell>
          <cell r="P2146">
            <v>44634</v>
          </cell>
          <cell r="Q2146">
            <v>44636</v>
          </cell>
          <cell r="R2146">
            <v>44636</v>
          </cell>
          <cell r="S2146"/>
          <cell r="T2146">
            <v>44635</v>
          </cell>
          <cell r="U2146">
            <v>44636</v>
          </cell>
          <cell r="V2146">
            <v>44636</v>
          </cell>
          <cell r="W2146">
            <v>44637</v>
          </cell>
          <cell r="X2146">
            <v>41100169</v>
          </cell>
        </row>
        <row r="2147">
          <cell r="K2147" t="str">
            <v>IVAS-129</v>
          </cell>
          <cell r="L2147">
            <v>44601</v>
          </cell>
          <cell r="M2147">
            <v>44601</v>
          </cell>
          <cell r="N2147">
            <v>44620</v>
          </cell>
          <cell r="O2147">
            <v>44601</v>
          </cell>
          <cell r="P2147">
            <v>44628</v>
          </cell>
          <cell r="Q2147">
            <v>44617</v>
          </cell>
          <cell r="R2147">
            <v>44617</v>
          </cell>
          <cell r="S2147"/>
          <cell r="T2147">
            <v>44620</v>
          </cell>
          <cell r="U2147">
            <v>44637</v>
          </cell>
          <cell r="V2147">
            <v>44637</v>
          </cell>
          <cell r="W2147">
            <v>44637</v>
          </cell>
          <cell r="X2147">
            <v>41100280</v>
          </cell>
        </row>
        <row r="2148">
          <cell r="K2148" t="str">
            <v>IVAS-130</v>
          </cell>
          <cell r="L2148">
            <v>44601</v>
          </cell>
          <cell r="M2148">
            <v>44601</v>
          </cell>
          <cell r="N2148">
            <v>44620</v>
          </cell>
          <cell r="O2148">
            <v>44601</v>
          </cell>
          <cell r="P2148">
            <v>44628</v>
          </cell>
          <cell r="Q2148">
            <v>44617</v>
          </cell>
          <cell r="R2148">
            <v>44617</v>
          </cell>
          <cell r="S2148"/>
          <cell r="T2148">
            <v>44620</v>
          </cell>
          <cell r="U2148">
            <v>44635</v>
          </cell>
          <cell r="V2148">
            <v>44637</v>
          </cell>
          <cell r="W2148">
            <v>44637</v>
          </cell>
          <cell r="X2148">
            <v>41100428</v>
          </cell>
        </row>
        <row r="2149">
          <cell r="K2149" t="str">
            <v>GPWS-0212</v>
          </cell>
          <cell r="L2149">
            <v>44559</v>
          </cell>
          <cell r="M2149">
            <v>44559</v>
          </cell>
          <cell r="N2149">
            <v>44571</v>
          </cell>
          <cell r="O2149">
            <v>44559</v>
          </cell>
          <cell r="P2149">
            <v>44572</v>
          </cell>
          <cell r="Q2149">
            <v>44572</v>
          </cell>
          <cell r="R2149">
            <v>44572</v>
          </cell>
          <cell r="S2149"/>
          <cell r="T2149">
            <v>44573</v>
          </cell>
          <cell r="U2149">
            <v>44574</v>
          </cell>
          <cell r="V2149">
            <v>44578</v>
          </cell>
          <cell r="W2149">
            <v>44582</v>
          </cell>
          <cell r="X2149">
            <v>41100421</v>
          </cell>
        </row>
        <row r="2150">
          <cell r="K2150" t="str">
            <v>GPWS-0213</v>
          </cell>
          <cell r="L2150">
            <v>44559</v>
          </cell>
          <cell r="M2150">
            <v>44559</v>
          </cell>
          <cell r="N2150">
            <v>44571</v>
          </cell>
          <cell r="O2150">
            <v>44559</v>
          </cell>
          <cell r="P2150">
            <v>44572</v>
          </cell>
          <cell r="Q2150">
            <v>44572</v>
          </cell>
          <cell r="R2150">
            <v>44572</v>
          </cell>
          <cell r="S2150"/>
          <cell r="T2150">
            <v>44573</v>
          </cell>
          <cell r="U2150">
            <v>44574</v>
          </cell>
          <cell r="V2150">
            <v>44578</v>
          </cell>
          <cell r="W2150">
            <v>44585</v>
          </cell>
          <cell r="X2150">
            <v>41100421</v>
          </cell>
        </row>
        <row r="2151">
          <cell r="K2151" t="str">
            <v>DBW-2536</v>
          </cell>
          <cell r="L2151">
            <v>44565</v>
          </cell>
          <cell r="M2151">
            <v>44565</v>
          </cell>
          <cell r="N2151">
            <v>44582</v>
          </cell>
          <cell r="O2151">
            <v>44565</v>
          </cell>
          <cell r="P2151">
            <v>44581</v>
          </cell>
          <cell r="Q2151" t="str">
            <v>2022-01-17 → 1/19 → 1/21</v>
          </cell>
          <cell r="R2151" t="str">
            <v>2022-01-17 → 1/19 → 1/21</v>
          </cell>
          <cell r="S2151"/>
          <cell r="T2151">
            <v>44586</v>
          </cell>
          <cell r="U2151">
            <v>44622</v>
          </cell>
          <cell r="V2151">
            <v>44624</v>
          </cell>
          <cell r="W2151">
            <v>44642</v>
          </cell>
          <cell r="X2151">
            <v>41100075</v>
          </cell>
        </row>
        <row r="2152">
          <cell r="K2152" t="str">
            <v>DBW-2548</v>
          </cell>
          <cell r="L2152">
            <v>44617</v>
          </cell>
          <cell r="M2152">
            <v>44617</v>
          </cell>
          <cell r="N2152">
            <v>44634</v>
          </cell>
          <cell r="O2152">
            <v>44617</v>
          </cell>
          <cell r="P2152">
            <v>44634</v>
          </cell>
          <cell r="Q2152">
            <v>44631</v>
          </cell>
          <cell r="R2152">
            <v>44631</v>
          </cell>
          <cell r="S2152"/>
          <cell r="T2152">
            <v>44635</v>
          </cell>
          <cell r="U2152">
            <v>44636</v>
          </cell>
          <cell r="V2152">
            <v>44637</v>
          </cell>
          <cell r="W2152">
            <v>44641</v>
          </cell>
          <cell r="X2152">
            <v>41100360</v>
          </cell>
        </row>
        <row r="2153">
          <cell r="K2153" t="str">
            <v>DBW-2549</v>
          </cell>
          <cell r="L2153">
            <v>44617</v>
          </cell>
          <cell r="M2153">
            <v>44617</v>
          </cell>
          <cell r="N2153">
            <v>44634</v>
          </cell>
          <cell r="O2153">
            <v>44617</v>
          </cell>
          <cell r="P2153">
            <v>44634</v>
          </cell>
          <cell r="Q2153">
            <v>44631</v>
          </cell>
          <cell r="R2153">
            <v>44631</v>
          </cell>
          <cell r="S2153"/>
          <cell r="T2153">
            <v>44635</v>
          </cell>
          <cell r="U2153">
            <v>44636</v>
          </cell>
          <cell r="V2153">
            <v>44637</v>
          </cell>
          <cell r="W2153">
            <v>44637</v>
          </cell>
          <cell r="X2153">
            <v>41100360</v>
          </cell>
        </row>
        <row r="2154">
          <cell r="K2154" t="str">
            <v>DBW-2550</v>
          </cell>
          <cell r="L2154">
            <v>44617</v>
          </cell>
          <cell r="M2154">
            <v>44617</v>
          </cell>
          <cell r="N2154">
            <v>44630</v>
          </cell>
          <cell r="O2154">
            <v>44617</v>
          </cell>
          <cell r="P2154">
            <v>44628</v>
          </cell>
          <cell r="Q2154">
            <v>44631</v>
          </cell>
          <cell r="R2154">
            <v>44631</v>
          </cell>
          <cell r="S2154"/>
          <cell r="T2154">
            <v>44634</v>
          </cell>
          <cell r="U2154">
            <v>44636</v>
          </cell>
          <cell r="V2154">
            <v>44636</v>
          </cell>
          <cell r="W2154">
            <v>44637</v>
          </cell>
          <cell r="X2154">
            <v>41100360</v>
          </cell>
        </row>
        <row r="2155">
          <cell r="K2155" t="str">
            <v>DBW-2551</v>
          </cell>
          <cell r="L2155">
            <v>44617</v>
          </cell>
          <cell r="M2155">
            <v>44617</v>
          </cell>
          <cell r="N2155">
            <v>44630</v>
          </cell>
          <cell r="O2155">
            <v>44617</v>
          </cell>
          <cell r="P2155">
            <v>44628</v>
          </cell>
          <cell r="Q2155">
            <v>44631</v>
          </cell>
          <cell r="R2155">
            <v>44631</v>
          </cell>
          <cell r="S2155"/>
          <cell r="T2155">
            <v>44634</v>
          </cell>
          <cell r="U2155">
            <v>44636</v>
          </cell>
          <cell r="V2155">
            <v>44636</v>
          </cell>
          <cell r="W2155">
            <v>44637</v>
          </cell>
          <cell r="X2155">
            <v>41100360</v>
          </cell>
        </row>
        <row r="2156">
          <cell r="K2156" t="str">
            <v>GBWS-2138</v>
          </cell>
          <cell r="L2156">
            <v>44623</v>
          </cell>
          <cell r="M2156">
            <v>44623</v>
          </cell>
          <cell r="N2156">
            <v>44636</v>
          </cell>
          <cell r="O2156">
            <v>44623</v>
          </cell>
          <cell r="P2156">
            <v>44636</v>
          </cell>
          <cell r="Q2156">
            <v>44636</v>
          </cell>
          <cell r="R2156">
            <v>44636</v>
          </cell>
          <cell r="S2156"/>
          <cell r="T2156">
            <v>44637</v>
          </cell>
          <cell r="U2156">
            <v>44643</v>
          </cell>
          <cell r="V2156">
            <v>44643</v>
          </cell>
          <cell r="W2156">
            <v>44643</v>
          </cell>
          <cell r="X2156">
            <v>41100446</v>
          </cell>
        </row>
        <row r="2157">
          <cell r="K2157" t="str">
            <v>DBW-2554</v>
          </cell>
          <cell r="L2157">
            <v>44623</v>
          </cell>
          <cell r="M2157">
            <v>44623</v>
          </cell>
          <cell r="N2157">
            <v>44637</v>
          </cell>
          <cell r="O2157">
            <v>44623</v>
          </cell>
          <cell r="P2157">
            <v>44637</v>
          </cell>
          <cell r="Q2157" t="str">
            <v>2022-03-15 → 3/17</v>
          </cell>
          <cell r="R2157" t="str">
            <v>2022-03-15 → 3/17</v>
          </cell>
          <cell r="S2157"/>
          <cell r="T2157">
            <v>44638</v>
          </cell>
          <cell r="U2157">
            <v>44641</v>
          </cell>
          <cell r="V2157">
            <v>44642</v>
          </cell>
          <cell r="W2157">
            <v>44642</v>
          </cell>
          <cell r="X2157">
            <v>41100452</v>
          </cell>
        </row>
        <row r="2158">
          <cell r="K2158" t="str">
            <v>DBW-2563</v>
          </cell>
          <cell r="L2158">
            <v>44623</v>
          </cell>
          <cell r="M2158">
            <v>44623</v>
          </cell>
          <cell r="N2158">
            <v>44637</v>
          </cell>
          <cell r="O2158">
            <v>44623</v>
          </cell>
          <cell r="P2158">
            <v>44637</v>
          </cell>
          <cell r="Q2158">
            <v>44637</v>
          </cell>
          <cell r="R2158">
            <v>44637</v>
          </cell>
          <cell r="S2158"/>
          <cell r="T2158">
            <v>44641</v>
          </cell>
          <cell r="U2158">
            <v>44642</v>
          </cell>
          <cell r="V2158">
            <v>44642</v>
          </cell>
          <cell r="W2158">
            <v>44643</v>
          </cell>
          <cell r="X2158">
            <v>41100454</v>
          </cell>
        </row>
        <row r="2159">
          <cell r="K2159" t="str">
            <v>DBW-2564</v>
          </cell>
          <cell r="L2159">
            <v>44623</v>
          </cell>
          <cell r="M2159">
            <v>44623</v>
          </cell>
          <cell r="N2159">
            <v>44637</v>
          </cell>
          <cell r="O2159">
            <v>44623</v>
          </cell>
          <cell r="P2159">
            <v>44637</v>
          </cell>
          <cell r="Q2159">
            <v>44637</v>
          </cell>
          <cell r="R2159">
            <v>44637</v>
          </cell>
          <cell r="S2159"/>
          <cell r="T2159">
            <v>44638</v>
          </cell>
          <cell r="U2159">
            <v>44642</v>
          </cell>
          <cell r="V2159">
            <v>44642</v>
          </cell>
          <cell r="W2159">
            <v>44643</v>
          </cell>
          <cell r="X2159">
            <v>41100454</v>
          </cell>
        </row>
        <row r="2160">
          <cell r="K2160" t="str">
            <v>DBW-2559</v>
          </cell>
          <cell r="L2160">
            <v>44623</v>
          </cell>
          <cell r="M2160">
            <v>44623</v>
          </cell>
          <cell r="N2160">
            <v>44636</v>
          </cell>
          <cell r="O2160">
            <v>44623</v>
          </cell>
          <cell r="P2160">
            <v>44636</v>
          </cell>
          <cell r="Q2160" t="str">
            <v>2022-03-15 → 3/16</v>
          </cell>
          <cell r="R2160" t="str">
            <v>2022-03-15 → 3/16</v>
          </cell>
          <cell r="S2160"/>
          <cell r="T2160">
            <v>44637</v>
          </cell>
          <cell r="U2160">
            <v>44638</v>
          </cell>
          <cell r="V2160">
            <v>44642</v>
          </cell>
          <cell r="W2160">
            <v>44642</v>
          </cell>
          <cell r="X2160">
            <v>41100455</v>
          </cell>
        </row>
        <row r="2161">
          <cell r="K2161" t="str">
            <v>GBWS-2107</v>
          </cell>
          <cell r="L2161">
            <v>44608</v>
          </cell>
          <cell r="M2161">
            <v>44609</v>
          </cell>
          <cell r="N2161">
            <v>44622</v>
          </cell>
          <cell r="O2161">
            <v>44609</v>
          </cell>
          <cell r="P2161">
            <v>44623</v>
          </cell>
          <cell r="Q2161" t="str">
            <v>2022-02-25 → 3/2 → 3/3(10시)</v>
          </cell>
          <cell r="R2161" t="str">
            <v>2022-02-25 → 3/2 → 3/3(10시)</v>
          </cell>
          <cell r="S2161"/>
          <cell r="T2161">
            <v>44623</v>
          </cell>
          <cell r="U2161">
            <v>44624</v>
          </cell>
          <cell r="V2161">
            <v>44627</v>
          </cell>
          <cell r="W2161">
            <v>44627</v>
          </cell>
          <cell r="X2161">
            <v>41100168</v>
          </cell>
        </row>
        <row r="2162">
          <cell r="K2162" t="str">
            <v>GBWS-2108</v>
          </cell>
          <cell r="L2162">
            <v>44608</v>
          </cell>
          <cell r="M2162">
            <v>44609</v>
          </cell>
          <cell r="N2162">
            <v>44622</v>
          </cell>
          <cell r="O2162">
            <v>44609</v>
          </cell>
          <cell r="P2162">
            <v>44623</v>
          </cell>
          <cell r="Q2162" t="str">
            <v>2022-02-25 → 3/2 → 3/3(10시)</v>
          </cell>
          <cell r="R2162" t="str">
            <v>2022-02-25 → 3/2 → 3/3(10시)</v>
          </cell>
          <cell r="S2162"/>
          <cell r="T2162">
            <v>44623</v>
          </cell>
          <cell r="U2162">
            <v>44624</v>
          </cell>
          <cell r="V2162">
            <v>44627</v>
          </cell>
          <cell r="W2162">
            <v>44627</v>
          </cell>
          <cell r="X2162">
            <v>41100168</v>
          </cell>
        </row>
        <row r="2163">
          <cell r="K2163" t="str">
            <v>GBWS-2109</v>
          </cell>
          <cell r="L2163">
            <v>44608</v>
          </cell>
          <cell r="M2163">
            <v>44609</v>
          </cell>
          <cell r="N2163">
            <v>44623</v>
          </cell>
          <cell r="O2163">
            <v>44609</v>
          </cell>
          <cell r="P2163">
            <v>44623</v>
          </cell>
          <cell r="Q2163" t="str">
            <v>2022-02-25 → 3/3</v>
          </cell>
          <cell r="R2163" t="str">
            <v>2022-02-25 → 3/3</v>
          </cell>
          <cell r="S2163"/>
          <cell r="T2163">
            <v>44627</v>
          </cell>
          <cell r="U2163">
            <v>44628</v>
          </cell>
          <cell r="V2163">
            <v>44634</v>
          </cell>
          <cell r="W2163">
            <v>44634</v>
          </cell>
          <cell r="X2163">
            <v>41100168</v>
          </cell>
        </row>
        <row r="2164">
          <cell r="K2164" t="str">
            <v>GBWS-2110</v>
          </cell>
          <cell r="L2164">
            <v>44608</v>
          </cell>
          <cell r="M2164">
            <v>44609</v>
          </cell>
          <cell r="N2164">
            <v>44623</v>
          </cell>
          <cell r="O2164">
            <v>44609</v>
          </cell>
          <cell r="P2164">
            <v>44623</v>
          </cell>
          <cell r="Q2164" t="str">
            <v>2022-02-25 → 3/3</v>
          </cell>
          <cell r="R2164" t="str">
            <v>2022-02-25 → 3/3</v>
          </cell>
          <cell r="S2164"/>
          <cell r="T2164">
            <v>44627</v>
          </cell>
          <cell r="U2164">
            <v>44628</v>
          </cell>
          <cell r="V2164">
            <v>44628</v>
          </cell>
          <cell r="W2164">
            <v>44630</v>
          </cell>
          <cell r="X2164">
            <v>41100168</v>
          </cell>
        </row>
        <row r="2165">
          <cell r="K2165" t="str">
            <v>GBWS-2123</v>
          </cell>
          <cell r="L2165">
            <v>44614</v>
          </cell>
          <cell r="M2165">
            <v>44614</v>
          </cell>
          <cell r="N2165">
            <v>44627</v>
          </cell>
          <cell r="O2165">
            <v>44614</v>
          </cell>
          <cell r="P2165">
            <v>44624</v>
          </cell>
          <cell r="Q2165" t="str">
            <v>2022-03-03 → 3/4</v>
          </cell>
          <cell r="R2165" t="str">
            <v>2022-03-03 → 3/4</v>
          </cell>
          <cell r="S2165"/>
          <cell r="T2165">
            <v>44627</v>
          </cell>
          <cell r="U2165">
            <v>44628</v>
          </cell>
          <cell r="V2165">
            <v>44630</v>
          </cell>
          <cell r="W2165">
            <v>44631</v>
          </cell>
          <cell r="X2165">
            <v>41100168</v>
          </cell>
        </row>
        <row r="2166">
          <cell r="K2166" t="str">
            <v>GBWS-2124</v>
          </cell>
          <cell r="L2166">
            <v>44614</v>
          </cell>
          <cell r="M2166">
            <v>44614</v>
          </cell>
          <cell r="N2166">
            <v>44627</v>
          </cell>
          <cell r="O2166">
            <v>44614</v>
          </cell>
          <cell r="P2166">
            <v>44624</v>
          </cell>
          <cell r="Q2166" t="str">
            <v>2022-03-03 → 3/4</v>
          </cell>
          <cell r="R2166" t="str">
            <v>2022-03-03 → 3/4</v>
          </cell>
          <cell r="S2166"/>
          <cell r="T2166">
            <v>44627</v>
          </cell>
          <cell r="U2166">
            <v>44630</v>
          </cell>
          <cell r="V2166">
            <v>44631</v>
          </cell>
          <cell r="W2166">
            <v>44631</v>
          </cell>
          <cell r="X2166">
            <v>41100168</v>
          </cell>
        </row>
        <row r="2167">
          <cell r="K2167" t="str">
            <v>GBWS-1964</v>
          </cell>
          <cell r="L2167">
            <v>44544</v>
          </cell>
          <cell r="M2167">
            <v>44544</v>
          </cell>
          <cell r="N2167">
            <v>44554</v>
          </cell>
          <cell r="O2167">
            <v>44544</v>
          </cell>
          <cell r="P2167">
            <v>44557</v>
          </cell>
          <cell r="Q2167">
            <v>44553</v>
          </cell>
          <cell r="R2167">
            <v>44553</v>
          </cell>
          <cell r="S2167"/>
          <cell r="T2167">
            <v>44557</v>
          </cell>
          <cell r="U2167">
            <v>44559</v>
          </cell>
          <cell r="V2167">
            <v>44565</v>
          </cell>
          <cell r="W2167">
            <v>44573</v>
          </cell>
          <cell r="X2167">
            <v>41100341</v>
          </cell>
        </row>
        <row r="2168">
          <cell r="K2168" t="str">
            <v>GBWS-1965</v>
          </cell>
          <cell r="L2168">
            <v>44544</v>
          </cell>
          <cell r="M2168">
            <v>44544</v>
          </cell>
          <cell r="N2168">
            <v>44554</v>
          </cell>
          <cell r="O2168">
            <v>44544</v>
          </cell>
          <cell r="P2168">
            <v>44557</v>
          </cell>
          <cell r="Q2168">
            <v>44553</v>
          </cell>
          <cell r="R2168">
            <v>44553</v>
          </cell>
          <cell r="S2168"/>
          <cell r="T2168">
            <v>44557</v>
          </cell>
          <cell r="U2168">
            <v>44559</v>
          </cell>
          <cell r="V2168">
            <v>44565</v>
          </cell>
          <cell r="W2168">
            <v>44582</v>
          </cell>
          <cell r="X2168">
            <v>41100341</v>
          </cell>
        </row>
        <row r="2169">
          <cell r="K2169" t="str">
            <v>GBWS-1658</v>
          </cell>
          <cell r="L2169">
            <v>44477</v>
          </cell>
          <cell r="M2169">
            <v>44477</v>
          </cell>
          <cell r="N2169">
            <v>44490</v>
          </cell>
          <cell r="O2169">
            <v>44477</v>
          </cell>
          <cell r="P2169">
            <v>44489</v>
          </cell>
          <cell r="Q2169" t="str">
            <v>2021-10-18 → 10/19 →10/20</v>
          </cell>
          <cell r="R2169" t="str">
            <v>2021-10-18 → 10/19 →10/20</v>
          </cell>
          <cell r="S2169"/>
          <cell r="T2169">
            <v>44490</v>
          </cell>
          <cell r="U2169">
            <v>44490</v>
          </cell>
          <cell r="V2169">
            <v>44494</v>
          </cell>
          <cell r="W2169">
            <v>44494</v>
          </cell>
          <cell r="X2169">
            <v>41100168</v>
          </cell>
        </row>
        <row r="2170">
          <cell r="K2170" t="str">
            <v>GBWS-1659</v>
          </cell>
          <cell r="L2170">
            <v>44477</v>
          </cell>
          <cell r="M2170">
            <v>44477</v>
          </cell>
          <cell r="N2170">
            <v>44490</v>
          </cell>
          <cell r="O2170">
            <v>44477</v>
          </cell>
          <cell r="P2170">
            <v>44489</v>
          </cell>
          <cell r="Q2170" t="str">
            <v>2021-10-18 → 10/19 →10/20</v>
          </cell>
          <cell r="R2170" t="str">
            <v>2021-10-18 → 10/19 →10/20</v>
          </cell>
          <cell r="S2170"/>
          <cell r="T2170">
            <v>44490</v>
          </cell>
          <cell r="U2170">
            <v>44490</v>
          </cell>
          <cell r="V2170">
            <v>44494</v>
          </cell>
          <cell r="W2170">
            <v>44494</v>
          </cell>
          <cell r="X2170">
            <v>41100168</v>
          </cell>
        </row>
        <row r="2171">
          <cell r="K2171" t="str">
            <v>DBW-2494</v>
          </cell>
          <cell r="L2171">
            <v>44523</v>
          </cell>
          <cell r="M2171">
            <v>44523</v>
          </cell>
          <cell r="N2171">
            <v>44533</v>
          </cell>
          <cell r="O2171">
            <v>44523</v>
          </cell>
          <cell r="P2171">
            <v>44533</v>
          </cell>
          <cell r="Q2171" t="str">
            <v>2021-12-01 → 12/2</v>
          </cell>
          <cell r="R2171" t="str">
            <v>2021-12-01 → 12/2</v>
          </cell>
          <cell r="S2171"/>
          <cell r="T2171">
            <v>44533</v>
          </cell>
          <cell r="U2171">
            <v>44536</v>
          </cell>
          <cell r="V2171">
            <v>44537</v>
          </cell>
          <cell r="W2171">
            <v>44537</v>
          </cell>
          <cell r="X2171">
            <v>41100174</v>
          </cell>
        </row>
        <row r="2172">
          <cell r="K2172" t="str">
            <v>DBW-2574</v>
          </cell>
          <cell r="L2172">
            <v>44629</v>
          </cell>
          <cell r="M2172">
            <v>44630</v>
          </cell>
          <cell r="N2172">
            <v>44638</v>
          </cell>
          <cell r="O2172">
            <v>44630</v>
          </cell>
          <cell r="P2172">
            <v>44638</v>
          </cell>
          <cell r="Q2172">
            <v>44638</v>
          </cell>
          <cell r="R2172">
            <v>44638</v>
          </cell>
          <cell r="S2172"/>
          <cell r="T2172">
            <v>44641</v>
          </cell>
          <cell r="U2172">
            <v>44642</v>
          </cell>
          <cell r="V2172">
            <v>44642</v>
          </cell>
          <cell r="W2172">
            <v>44643</v>
          </cell>
          <cell r="X2172">
            <v>41100233</v>
          </cell>
        </row>
        <row r="2173">
          <cell r="K2173" t="str">
            <v>DBW-2575</v>
          </cell>
          <cell r="L2173">
            <v>44629</v>
          </cell>
          <cell r="M2173">
            <v>44630</v>
          </cell>
          <cell r="N2173">
            <v>44638</v>
          </cell>
          <cell r="O2173">
            <v>44630</v>
          </cell>
          <cell r="P2173">
            <v>44638</v>
          </cell>
          <cell r="Q2173">
            <v>44638</v>
          </cell>
          <cell r="R2173">
            <v>44638</v>
          </cell>
          <cell r="S2173"/>
          <cell r="T2173">
            <v>44641</v>
          </cell>
          <cell r="U2173">
            <v>44642</v>
          </cell>
          <cell r="V2173">
            <v>44642</v>
          </cell>
          <cell r="W2173">
            <v>44643</v>
          </cell>
          <cell r="X2173">
            <v>41100233</v>
          </cell>
        </row>
        <row r="2174">
          <cell r="K2174" t="str">
            <v>DBW-2576</v>
          </cell>
          <cell r="L2174">
            <v>44629</v>
          </cell>
          <cell r="M2174">
            <v>44630</v>
          </cell>
          <cell r="N2174">
            <v>44638</v>
          </cell>
          <cell r="O2174">
            <v>44630</v>
          </cell>
          <cell r="P2174">
            <v>44638</v>
          </cell>
          <cell r="Q2174">
            <v>44638</v>
          </cell>
          <cell r="R2174">
            <v>44638</v>
          </cell>
          <cell r="S2174"/>
          <cell r="T2174">
            <v>44641</v>
          </cell>
          <cell r="U2174">
            <v>44642</v>
          </cell>
          <cell r="V2174">
            <v>44642</v>
          </cell>
          <cell r="W2174">
            <v>44643</v>
          </cell>
          <cell r="X2174">
            <v>41100277</v>
          </cell>
        </row>
        <row r="2175">
          <cell r="K2175" t="str">
            <v>GBWS-2041</v>
          </cell>
          <cell r="L2175">
            <v>44573</v>
          </cell>
          <cell r="M2175">
            <v>44573</v>
          </cell>
          <cell r="N2175">
            <v>44588</v>
          </cell>
          <cell r="O2175">
            <v>44573</v>
          </cell>
          <cell r="P2175">
            <v>44587</v>
          </cell>
          <cell r="Q2175">
            <v>44587</v>
          </cell>
          <cell r="R2175">
            <v>44587</v>
          </cell>
          <cell r="S2175"/>
          <cell r="T2175">
            <v>44595</v>
          </cell>
          <cell r="U2175">
            <v>44610</v>
          </cell>
          <cell r="V2175">
            <v>44610</v>
          </cell>
          <cell r="W2175">
            <v>44613</v>
          </cell>
          <cell r="X2175" t="str">
            <v>41100409 → 41100449</v>
          </cell>
        </row>
        <row r="2176">
          <cell r="K2176" t="str">
            <v>GBWS-2042</v>
          </cell>
          <cell r="L2176">
            <v>44573</v>
          </cell>
          <cell r="M2176">
            <v>44573</v>
          </cell>
          <cell r="N2176">
            <v>44588</v>
          </cell>
          <cell r="O2176">
            <v>44573</v>
          </cell>
          <cell r="P2176">
            <v>44587</v>
          </cell>
          <cell r="Q2176">
            <v>44587</v>
          </cell>
          <cell r="R2176">
            <v>44587</v>
          </cell>
          <cell r="S2176"/>
          <cell r="T2176">
            <v>44595</v>
          </cell>
          <cell r="U2176">
            <v>44610</v>
          </cell>
          <cell r="V2176">
            <v>44610</v>
          </cell>
          <cell r="W2176">
            <v>44613</v>
          </cell>
          <cell r="X2176" t="str">
            <v>41100409 → 41100449</v>
          </cell>
        </row>
        <row r="2177">
          <cell r="K2177" t="str">
            <v>GBWS-2045</v>
          </cell>
          <cell r="L2177">
            <v>44573</v>
          </cell>
          <cell r="M2177">
            <v>44573</v>
          </cell>
          <cell r="N2177">
            <v>44588</v>
          </cell>
          <cell r="O2177">
            <v>44573</v>
          </cell>
          <cell r="P2177">
            <v>44587</v>
          </cell>
          <cell r="Q2177">
            <v>44587</v>
          </cell>
          <cell r="R2177">
            <v>44587</v>
          </cell>
          <cell r="S2177"/>
          <cell r="T2177">
            <v>44595</v>
          </cell>
          <cell r="U2177">
            <v>44610</v>
          </cell>
          <cell r="V2177">
            <v>44610</v>
          </cell>
          <cell r="W2177">
            <v>44613</v>
          </cell>
          <cell r="X2177" t="str">
            <v>41100409 → 41100449</v>
          </cell>
        </row>
        <row r="2178">
          <cell r="K2178" t="str">
            <v>GBWS-2046</v>
          </cell>
          <cell r="L2178">
            <v>44573</v>
          </cell>
          <cell r="M2178">
            <v>44573</v>
          </cell>
          <cell r="N2178">
            <v>44588</v>
          </cell>
          <cell r="O2178">
            <v>44573</v>
          </cell>
          <cell r="P2178">
            <v>44587</v>
          </cell>
          <cell r="Q2178">
            <v>44587</v>
          </cell>
          <cell r="R2178">
            <v>44587</v>
          </cell>
          <cell r="S2178"/>
          <cell r="T2178">
            <v>44595</v>
          </cell>
          <cell r="U2178">
            <v>44610</v>
          </cell>
          <cell r="V2178">
            <v>44613</v>
          </cell>
          <cell r="W2178">
            <v>44615</v>
          </cell>
          <cell r="X2178" t="str">
            <v>41100409 → 41100449</v>
          </cell>
        </row>
        <row r="2179">
          <cell r="K2179" t="str">
            <v>GBWS-2047</v>
          </cell>
          <cell r="L2179">
            <v>44573</v>
          </cell>
          <cell r="M2179">
            <v>44573</v>
          </cell>
          <cell r="N2179">
            <v>44588</v>
          </cell>
          <cell r="O2179">
            <v>44573</v>
          </cell>
          <cell r="P2179">
            <v>44587</v>
          </cell>
          <cell r="Q2179">
            <v>44587</v>
          </cell>
          <cell r="R2179">
            <v>44587</v>
          </cell>
          <cell r="S2179"/>
          <cell r="T2179">
            <v>44596</v>
          </cell>
          <cell r="U2179">
            <v>44610</v>
          </cell>
          <cell r="V2179">
            <v>44610</v>
          </cell>
          <cell r="W2179">
            <v>44613</v>
          </cell>
          <cell r="X2179" t="str">
            <v>41100409 → 41100449</v>
          </cell>
        </row>
        <row r="2180">
          <cell r="K2180" t="str">
            <v>GBWS-2048</v>
          </cell>
          <cell r="L2180">
            <v>44573</v>
          </cell>
          <cell r="M2180">
            <v>44573</v>
          </cell>
          <cell r="N2180">
            <v>44588</v>
          </cell>
          <cell r="O2180">
            <v>44573</v>
          </cell>
          <cell r="P2180">
            <v>44587</v>
          </cell>
          <cell r="Q2180">
            <v>44587</v>
          </cell>
          <cell r="R2180">
            <v>44587</v>
          </cell>
          <cell r="S2180"/>
          <cell r="T2180">
            <v>44595</v>
          </cell>
          <cell r="U2180">
            <v>44616</v>
          </cell>
          <cell r="V2180">
            <v>44617</v>
          </cell>
          <cell r="W2180">
            <v>44617</v>
          </cell>
          <cell r="X2180" t="str">
            <v>41100409 → 41100449</v>
          </cell>
        </row>
        <row r="2181">
          <cell r="K2181" t="str">
            <v>GBWS-2049</v>
          </cell>
          <cell r="L2181">
            <v>44573</v>
          </cell>
          <cell r="M2181">
            <v>44573</v>
          </cell>
          <cell r="N2181">
            <v>44588</v>
          </cell>
          <cell r="O2181">
            <v>44573</v>
          </cell>
          <cell r="P2181">
            <v>44587</v>
          </cell>
          <cell r="Q2181">
            <v>44587</v>
          </cell>
          <cell r="R2181">
            <v>44587</v>
          </cell>
          <cell r="S2181"/>
          <cell r="T2181">
            <v>44595</v>
          </cell>
          <cell r="U2181">
            <v>44616</v>
          </cell>
          <cell r="V2181">
            <v>44617</v>
          </cell>
          <cell r="W2181">
            <v>44617</v>
          </cell>
          <cell r="X2181" t="str">
            <v>41100409 → 41100449</v>
          </cell>
        </row>
        <row r="2182">
          <cell r="K2182" t="str">
            <v>GBWS-2050</v>
          </cell>
          <cell r="L2182">
            <v>44573</v>
          </cell>
          <cell r="M2182">
            <v>44573</v>
          </cell>
          <cell r="N2182">
            <v>44588</v>
          </cell>
          <cell r="O2182">
            <v>44573</v>
          </cell>
          <cell r="P2182">
            <v>44587</v>
          </cell>
          <cell r="Q2182">
            <v>44587</v>
          </cell>
          <cell r="R2182">
            <v>44587</v>
          </cell>
          <cell r="S2182"/>
          <cell r="T2182">
            <v>44595</v>
          </cell>
          <cell r="U2182">
            <v>44610</v>
          </cell>
          <cell r="V2182">
            <v>44610</v>
          </cell>
          <cell r="W2182">
            <v>44613</v>
          </cell>
          <cell r="X2182" t="str">
            <v>41100409 → 41100449</v>
          </cell>
        </row>
        <row r="2183">
          <cell r="K2183" t="str">
            <v>GBWS-2043</v>
          </cell>
          <cell r="L2183">
            <v>44573</v>
          </cell>
          <cell r="M2183">
            <v>44573</v>
          </cell>
          <cell r="N2183">
            <v>44588</v>
          </cell>
          <cell r="O2183">
            <v>44573</v>
          </cell>
          <cell r="P2183">
            <v>44587</v>
          </cell>
          <cell r="Q2183">
            <v>44587</v>
          </cell>
          <cell r="R2183">
            <v>44587</v>
          </cell>
          <cell r="S2183"/>
          <cell r="T2183">
            <v>44595</v>
          </cell>
          <cell r="U2183">
            <v>44616</v>
          </cell>
          <cell r="V2183">
            <v>44617</v>
          </cell>
          <cell r="W2183">
            <v>44620</v>
          </cell>
          <cell r="X2183" t="str">
            <v>41100409 → 41100449</v>
          </cell>
        </row>
        <row r="2184">
          <cell r="K2184" t="str">
            <v>GBWS-2074</v>
          </cell>
          <cell r="L2184">
            <v>44581</v>
          </cell>
          <cell r="M2184">
            <v>44581</v>
          </cell>
          <cell r="N2184">
            <v>44615</v>
          </cell>
          <cell r="O2184">
            <v>44581</v>
          </cell>
          <cell r="P2184">
            <v>44600</v>
          </cell>
          <cell r="Q2184">
            <v>44600</v>
          </cell>
          <cell r="R2184">
            <v>44600</v>
          </cell>
          <cell r="S2184"/>
          <cell r="T2184">
            <v>44615</v>
          </cell>
          <cell r="U2184">
            <v>44616</v>
          </cell>
          <cell r="V2184">
            <v>44617</v>
          </cell>
          <cell r="W2184">
            <v>44620</v>
          </cell>
          <cell r="X2184">
            <v>41100411</v>
          </cell>
        </row>
        <row r="2185">
          <cell r="K2185" t="str">
            <v>GBWS-2165</v>
          </cell>
          <cell r="L2185">
            <v>44634</v>
          </cell>
          <cell r="M2185">
            <v>44634</v>
          </cell>
          <cell r="N2185">
            <v>44642</v>
          </cell>
          <cell r="O2185">
            <v>44634</v>
          </cell>
          <cell r="P2185">
            <v>44643</v>
          </cell>
          <cell r="Q2185">
            <v>44643</v>
          </cell>
          <cell r="R2185">
            <v>44643</v>
          </cell>
          <cell r="S2185"/>
          <cell r="T2185">
            <v>44643</v>
          </cell>
          <cell r="U2185">
            <v>44644</v>
          </cell>
          <cell r="V2185">
            <v>44645</v>
          </cell>
          <cell r="W2185">
            <v>44648</v>
          </cell>
          <cell r="X2185">
            <v>41100330</v>
          </cell>
        </row>
        <row r="2186">
          <cell r="K2186" t="str">
            <v>-</v>
          </cell>
          <cell r="L2186">
            <v>44609</v>
          </cell>
          <cell r="M2186">
            <v>44610</v>
          </cell>
          <cell r="N2186">
            <v>44615</v>
          </cell>
          <cell r="O2186">
            <v>44610</v>
          </cell>
          <cell r="P2186">
            <v>44613</v>
          </cell>
          <cell r="Q2186">
            <v>44617</v>
          </cell>
          <cell r="R2186">
            <v>44617</v>
          </cell>
          <cell r="S2186"/>
          <cell r="T2186" t="str">
            <v xml:space="preserve"> -</v>
          </cell>
          <cell r="U2186" t="str">
            <v xml:space="preserve"> -</v>
          </cell>
          <cell r="V2186">
            <v>44622</v>
          </cell>
          <cell r="W2186">
            <v>44622</v>
          </cell>
          <cell r="X2186">
            <v>31101695</v>
          </cell>
        </row>
        <row r="2187">
          <cell r="K2187" t="str">
            <v>-</v>
          </cell>
          <cell r="L2187">
            <v>44609</v>
          </cell>
          <cell r="M2187">
            <v>44610</v>
          </cell>
          <cell r="N2187">
            <v>44614</v>
          </cell>
          <cell r="O2187">
            <v>44610</v>
          </cell>
          <cell r="P2187">
            <v>44613</v>
          </cell>
          <cell r="Q2187">
            <v>44617</v>
          </cell>
          <cell r="R2187">
            <v>44617</v>
          </cell>
          <cell r="S2187"/>
          <cell r="T2187" t="str">
            <v xml:space="preserve"> -</v>
          </cell>
          <cell r="U2187" t="str">
            <v xml:space="preserve"> -</v>
          </cell>
          <cell r="V2187">
            <v>44622</v>
          </cell>
          <cell r="W2187">
            <v>44622</v>
          </cell>
          <cell r="X2187">
            <v>31101929</v>
          </cell>
        </row>
        <row r="2188">
          <cell r="K2188" t="str">
            <v>GBWS-1740</v>
          </cell>
          <cell r="L2188">
            <v>44496</v>
          </cell>
          <cell r="M2188">
            <v>44496</v>
          </cell>
          <cell r="N2188">
            <v>44508</v>
          </cell>
          <cell r="O2188">
            <v>44496</v>
          </cell>
          <cell r="P2188">
            <v>44509</v>
          </cell>
          <cell r="Q2188" t="str">
            <v>2021-11-05 → 11/8</v>
          </cell>
          <cell r="R2188" t="str">
            <v>2021-11-05 → 11/8</v>
          </cell>
          <cell r="S2188"/>
          <cell r="T2188">
            <v>44509</v>
          </cell>
          <cell r="U2188">
            <v>44510</v>
          </cell>
          <cell r="V2188">
            <v>44511</v>
          </cell>
          <cell r="W2188">
            <v>44511</v>
          </cell>
          <cell r="X2188">
            <v>41100375</v>
          </cell>
        </row>
        <row r="2189">
          <cell r="K2189" t="str">
            <v>GBWS-1741</v>
          </cell>
          <cell r="L2189">
            <v>44496</v>
          </cell>
          <cell r="M2189">
            <v>44496</v>
          </cell>
          <cell r="N2189">
            <v>44508</v>
          </cell>
          <cell r="O2189">
            <v>44496</v>
          </cell>
          <cell r="P2189">
            <v>44509</v>
          </cell>
          <cell r="Q2189" t="str">
            <v>2021-11-05 → 11/8</v>
          </cell>
          <cell r="R2189" t="str">
            <v>2021-11-05 → 11/8</v>
          </cell>
          <cell r="S2189"/>
          <cell r="T2189">
            <v>44509</v>
          </cell>
          <cell r="U2189">
            <v>44510</v>
          </cell>
          <cell r="V2189">
            <v>44511</v>
          </cell>
          <cell r="W2189">
            <v>44515</v>
          </cell>
          <cell r="X2189">
            <v>41100375</v>
          </cell>
        </row>
        <row r="2190">
          <cell r="K2190" t="str">
            <v>GBWS-2133</v>
          </cell>
          <cell r="L2190">
            <v>44616</v>
          </cell>
          <cell r="M2190">
            <v>44616</v>
          </cell>
          <cell r="N2190">
            <v>44630</v>
          </cell>
          <cell r="O2190">
            <v>44616</v>
          </cell>
          <cell r="P2190">
            <v>44628</v>
          </cell>
          <cell r="Q2190">
            <v>44630</v>
          </cell>
          <cell r="R2190">
            <v>44630</v>
          </cell>
          <cell r="S2190"/>
          <cell r="T2190">
            <v>44636</v>
          </cell>
          <cell r="U2190">
            <v>44637</v>
          </cell>
          <cell r="V2190">
            <v>44637</v>
          </cell>
          <cell r="W2190">
            <v>44644</v>
          </cell>
          <cell r="X2190">
            <v>41100206</v>
          </cell>
        </row>
        <row r="2191">
          <cell r="K2191" t="str">
            <v>GBWS-2134</v>
          </cell>
          <cell r="L2191">
            <v>44616</v>
          </cell>
          <cell r="M2191">
            <v>44616</v>
          </cell>
          <cell r="N2191">
            <v>44630</v>
          </cell>
          <cell r="O2191">
            <v>44616</v>
          </cell>
          <cell r="P2191">
            <v>44628</v>
          </cell>
          <cell r="Q2191">
            <v>44630</v>
          </cell>
          <cell r="R2191">
            <v>44630</v>
          </cell>
          <cell r="S2191"/>
          <cell r="T2191">
            <v>44634</v>
          </cell>
          <cell r="U2191">
            <v>44637</v>
          </cell>
          <cell r="V2191">
            <v>44638</v>
          </cell>
          <cell r="W2191">
            <v>44644</v>
          </cell>
          <cell r="X2191">
            <v>41100207</v>
          </cell>
        </row>
        <row r="2192">
          <cell r="K2192" t="str">
            <v xml:space="preserve"> -</v>
          </cell>
          <cell r="L2192" t="str">
            <v xml:space="preserve"> -</v>
          </cell>
          <cell r="M2192">
            <v>44635</v>
          </cell>
          <cell r="N2192">
            <v>44643</v>
          </cell>
          <cell r="O2192">
            <v>44635</v>
          </cell>
          <cell r="P2192">
            <v>44643</v>
          </cell>
          <cell r="Q2192" t="str">
            <v>2022-03-22 → 21</v>
          </cell>
          <cell r="R2192" t="str">
            <v>2022-03-22 → 21</v>
          </cell>
          <cell r="S2192"/>
          <cell r="T2192" t="str">
            <v xml:space="preserve"> -</v>
          </cell>
          <cell r="U2192" t="str">
            <v xml:space="preserve"> -</v>
          </cell>
          <cell r="V2192"/>
          <cell r="W2192"/>
          <cell r="X2192">
            <v>31101933</v>
          </cell>
        </row>
        <row r="2193">
          <cell r="K2193" t="str">
            <v xml:space="preserve"> -</v>
          </cell>
          <cell r="L2193" t="str">
            <v xml:space="preserve"> -</v>
          </cell>
          <cell r="M2193">
            <v>44635</v>
          </cell>
          <cell r="N2193">
            <v>44643</v>
          </cell>
          <cell r="O2193">
            <v>44635</v>
          </cell>
          <cell r="P2193">
            <v>44643</v>
          </cell>
          <cell r="Q2193" t="str">
            <v>2022-03-22 → 21</v>
          </cell>
          <cell r="R2193" t="str">
            <v>2022-03-22 → 21</v>
          </cell>
          <cell r="S2193"/>
          <cell r="T2193" t="str">
            <v xml:space="preserve"> -</v>
          </cell>
          <cell r="U2193" t="str">
            <v xml:space="preserve"> -</v>
          </cell>
          <cell r="V2193"/>
          <cell r="W2193"/>
          <cell r="X2193">
            <v>31102001</v>
          </cell>
        </row>
        <row r="2194">
          <cell r="K2194" t="str">
            <v>GBWS-2148</v>
          </cell>
          <cell r="L2194">
            <v>44627</v>
          </cell>
          <cell r="M2194">
            <v>44628</v>
          </cell>
          <cell r="N2194">
            <v>44641</v>
          </cell>
          <cell r="O2194">
            <v>44628</v>
          </cell>
          <cell r="P2194">
            <v>44642</v>
          </cell>
          <cell r="Q2194" t="str">
            <v>2022-03-21 → 3/23</v>
          </cell>
          <cell r="R2194" t="str">
            <v>2022-03-21 → 3/23</v>
          </cell>
          <cell r="S2194"/>
          <cell r="T2194">
            <v>44643</v>
          </cell>
          <cell r="U2194">
            <v>44644</v>
          </cell>
          <cell r="V2194">
            <v>44645</v>
          </cell>
          <cell r="W2194">
            <v>44648</v>
          </cell>
          <cell r="X2194">
            <v>41100422</v>
          </cell>
        </row>
        <row r="2195">
          <cell r="K2195" t="str">
            <v>DBW-2558</v>
          </cell>
          <cell r="L2195">
            <v>44623</v>
          </cell>
          <cell r="M2195">
            <v>44623</v>
          </cell>
          <cell r="N2195">
            <v>44643</v>
          </cell>
          <cell r="O2195">
            <v>44623</v>
          </cell>
          <cell r="P2195">
            <v>44642</v>
          </cell>
          <cell r="Q2195" t="str">
            <v>2022-03-17 → 3/24</v>
          </cell>
          <cell r="R2195" t="str">
            <v>2022-03-17 → 3/24</v>
          </cell>
          <cell r="S2195"/>
          <cell r="T2195">
            <v>44644</v>
          </cell>
          <cell r="U2195">
            <v>44648</v>
          </cell>
          <cell r="V2195">
            <v>44649</v>
          </cell>
          <cell r="W2195">
            <v>44650</v>
          </cell>
          <cell r="X2195">
            <v>41100452</v>
          </cell>
        </row>
        <row r="2196">
          <cell r="K2196" t="str">
            <v>DBW-2565</v>
          </cell>
          <cell r="L2196">
            <v>44623</v>
          </cell>
          <cell r="M2196">
            <v>44623</v>
          </cell>
          <cell r="N2196">
            <v>44637</v>
          </cell>
          <cell r="O2196">
            <v>44623</v>
          </cell>
          <cell r="P2196">
            <v>44637</v>
          </cell>
          <cell r="Q2196">
            <v>44637</v>
          </cell>
          <cell r="R2196">
            <v>44637</v>
          </cell>
          <cell r="S2196"/>
          <cell r="T2196">
            <v>44638</v>
          </cell>
          <cell r="U2196">
            <v>44642</v>
          </cell>
          <cell r="V2196">
            <v>44642</v>
          </cell>
          <cell r="W2196">
            <v>44648</v>
          </cell>
          <cell r="X2196">
            <v>41100454</v>
          </cell>
        </row>
        <row r="2197">
          <cell r="K2197" t="str">
            <v>DBW-2580</v>
          </cell>
          <cell r="L2197">
            <v>44630</v>
          </cell>
          <cell r="M2197">
            <v>44631</v>
          </cell>
          <cell r="N2197">
            <v>44643</v>
          </cell>
          <cell r="O2197">
            <v>44631</v>
          </cell>
          <cell r="P2197">
            <v>44645</v>
          </cell>
          <cell r="Q2197" t="str">
            <v>2022-03-23 → 3/24</v>
          </cell>
          <cell r="R2197" t="str">
            <v>2022-03-23 → 3/24</v>
          </cell>
          <cell r="S2197"/>
          <cell r="T2197">
            <v>44645</v>
          </cell>
          <cell r="U2197">
            <v>44649</v>
          </cell>
          <cell r="V2197">
            <v>44649</v>
          </cell>
          <cell r="W2197">
            <v>44650</v>
          </cell>
          <cell r="X2197">
            <v>41100453</v>
          </cell>
        </row>
        <row r="2198">
          <cell r="K2198" t="str">
            <v>DBW-2581</v>
          </cell>
          <cell r="L2198">
            <v>44630</v>
          </cell>
          <cell r="M2198">
            <v>44631</v>
          </cell>
          <cell r="N2198">
            <v>44643</v>
          </cell>
          <cell r="O2198">
            <v>44631</v>
          </cell>
          <cell r="P2198">
            <v>44645</v>
          </cell>
          <cell r="Q2198" t="str">
            <v>2022-03-23 → 3/24</v>
          </cell>
          <cell r="R2198" t="str">
            <v>2022-03-23 → 3/24</v>
          </cell>
          <cell r="S2198"/>
          <cell r="T2198">
            <v>44645</v>
          </cell>
          <cell r="U2198">
            <v>44649</v>
          </cell>
          <cell r="V2198">
            <v>44651</v>
          </cell>
          <cell r="W2198">
            <v>44651</v>
          </cell>
          <cell r="X2198">
            <v>41100453</v>
          </cell>
        </row>
        <row r="2199">
          <cell r="K2199" t="str">
            <v>GBWS-2172</v>
          </cell>
          <cell r="L2199">
            <v>44637</v>
          </cell>
          <cell r="M2199">
            <v>44637</v>
          </cell>
          <cell r="N2199">
            <v>44649</v>
          </cell>
          <cell r="O2199">
            <v>44637</v>
          </cell>
          <cell r="P2199">
            <v>44648</v>
          </cell>
          <cell r="Q2199" t="str">
            <v>2022-03-28 → 3/29</v>
          </cell>
          <cell r="R2199" t="str">
            <v>2022-03-28 → 3/29</v>
          </cell>
          <cell r="S2199"/>
          <cell r="T2199">
            <v>44650</v>
          </cell>
          <cell r="U2199">
            <v>44651</v>
          </cell>
          <cell r="V2199">
            <v>44652</v>
          </cell>
          <cell r="W2199">
            <v>44652</v>
          </cell>
          <cell r="X2199">
            <v>41100458</v>
          </cell>
        </row>
        <row r="2200">
          <cell r="K2200" t="str">
            <v>GBWS-2149</v>
          </cell>
          <cell r="L2200">
            <v>44627</v>
          </cell>
          <cell r="M2200">
            <v>44628</v>
          </cell>
          <cell r="N2200">
            <v>44638</v>
          </cell>
          <cell r="O2200">
            <v>44628</v>
          </cell>
          <cell r="P2200">
            <v>44637</v>
          </cell>
          <cell r="Q2200">
            <v>44638</v>
          </cell>
          <cell r="R2200">
            <v>44638</v>
          </cell>
          <cell r="S2200"/>
          <cell r="T2200">
            <v>44641</v>
          </cell>
          <cell r="U2200">
            <v>44643</v>
          </cell>
          <cell r="V2200">
            <v>44644</v>
          </cell>
          <cell r="W2200">
            <v>44645</v>
          </cell>
          <cell r="X2200">
            <v>41100467</v>
          </cell>
        </row>
        <row r="2201">
          <cell r="K2201" t="str">
            <v>GBWS-2150</v>
          </cell>
          <cell r="L2201">
            <v>44627</v>
          </cell>
          <cell r="M2201">
            <v>44628</v>
          </cell>
          <cell r="N2201">
            <v>44638</v>
          </cell>
          <cell r="O2201">
            <v>44628</v>
          </cell>
          <cell r="P2201">
            <v>44637</v>
          </cell>
          <cell r="Q2201">
            <v>44638</v>
          </cell>
          <cell r="R2201">
            <v>44638</v>
          </cell>
          <cell r="S2201"/>
          <cell r="T2201">
            <v>44641</v>
          </cell>
          <cell r="U2201">
            <v>44643</v>
          </cell>
          <cell r="V2201">
            <v>44644</v>
          </cell>
          <cell r="W2201">
            <v>44645</v>
          </cell>
          <cell r="X2201">
            <v>41100467</v>
          </cell>
        </row>
        <row r="2202">
          <cell r="K2202" t="str">
            <v>GBWS-2151</v>
          </cell>
          <cell r="L2202">
            <v>44627</v>
          </cell>
          <cell r="M2202">
            <v>44628</v>
          </cell>
          <cell r="N2202">
            <v>44638</v>
          </cell>
          <cell r="O2202">
            <v>44628</v>
          </cell>
          <cell r="P2202">
            <v>44637</v>
          </cell>
          <cell r="Q2202">
            <v>44638</v>
          </cell>
          <cell r="R2202">
            <v>44638</v>
          </cell>
          <cell r="S2202"/>
          <cell r="T2202">
            <v>44641</v>
          </cell>
          <cell r="U2202">
            <v>44644</v>
          </cell>
          <cell r="V2202">
            <v>44644</v>
          </cell>
          <cell r="W2202">
            <v>44645</v>
          </cell>
          <cell r="X2202">
            <v>41100467</v>
          </cell>
        </row>
        <row r="2203">
          <cell r="K2203" t="str">
            <v>GBWS-2152</v>
          </cell>
          <cell r="L2203">
            <v>44627</v>
          </cell>
          <cell r="M2203">
            <v>44628</v>
          </cell>
          <cell r="N2203">
            <v>44638</v>
          </cell>
          <cell r="O2203">
            <v>44628</v>
          </cell>
          <cell r="P2203">
            <v>44637</v>
          </cell>
          <cell r="Q2203">
            <v>44638</v>
          </cell>
          <cell r="R2203">
            <v>44638</v>
          </cell>
          <cell r="S2203"/>
          <cell r="T2203">
            <v>44641</v>
          </cell>
          <cell r="U2203">
            <v>44645</v>
          </cell>
          <cell r="V2203">
            <v>44648</v>
          </cell>
          <cell r="W2203">
            <v>44649</v>
          </cell>
          <cell r="X2203">
            <v>41100467</v>
          </cell>
        </row>
        <row r="2204">
          <cell r="K2204" t="str">
            <v>GBWS-2153</v>
          </cell>
          <cell r="L2204">
            <v>44627</v>
          </cell>
          <cell r="M2204">
            <v>44628</v>
          </cell>
          <cell r="N2204">
            <v>44638</v>
          </cell>
          <cell r="O2204">
            <v>44628</v>
          </cell>
          <cell r="P2204">
            <v>44637</v>
          </cell>
          <cell r="Q2204">
            <v>44641</v>
          </cell>
          <cell r="R2204">
            <v>44641</v>
          </cell>
          <cell r="S2204"/>
          <cell r="T2204">
            <v>44641</v>
          </cell>
          <cell r="U2204">
            <v>44644</v>
          </cell>
          <cell r="V2204">
            <v>44645</v>
          </cell>
          <cell r="W2204">
            <v>44645</v>
          </cell>
          <cell r="X2204">
            <v>41100467</v>
          </cell>
        </row>
        <row r="2205">
          <cell r="K2205" t="str">
            <v>GBWS-2154</v>
          </cell>
          <cell r="L2205">
            <v>44627</v>
          </cell>
          <cell r="M2205">
            <v>44628</v>
          </cell>
          <cell r="N2205">
            <v>44638</v>
          </cell>
          <cell r="O2205">
            <v>44628</v>
          </cell>
          <cell r="P2205">
            <v>44637</v>
          </cell>
          <cell r="Q2205">
            <v>44641</v>
          </cell>
          <cell r="R2205">
            <v>44641</v>
          </cell>
          <cell r="S2205"/>
          <cell r="T2205">
            <v>44641</v>
          </cell>
          <cell r="U2205">
            <v>44644</v>
          </cell>
          <cell r="V2205">
            <v>44645</v>
          </cell>
          <cell r="W2205">
            <v>44648</v>
          </cell>
          <cell r="X2205">
            <v>41100467</v>
          </cell>
        </row>
        <row r="2206">
          <cell r="K2206" t="str">
            <v>GBWS-2155</v>
          </cell>
          <cell r="L2206">
            <v>44627</v>
          </cell>
          <cell r="M2206">
            <v>44628</v>
          </cell>
          <cell r="N2206">
            <v>44638</v>
          </cell>
          <cell r="O2206">
            <v>44628</v>
          </cell>
          <cell r="P2206">
            <v>44637</v>
          </cell>
          <cell r="Q2206">
            <v>44641</v>
          </cell>
          <cell r="R2206">
            <v>44641</v>
          </cell>
          <cell r="S2206"/>
          <cell r="T2206">
            <v>44642</v>
          </cell>
          <cell r="U2206">
            <v>44645</v>
          </cell>
          <cell r="V2206">
            <v>44648</v>
          </cell>
          <cell r="W2206">
            <v>44649</v>
          </cell>
          <cell r="X2206">
            <v>41100467</v>
          </cell>
        </row>
        <row r="2207">
          <cell r="K2207" t="str">
            <v>GBWS-2156</v>
          </cell>
          <cell r="L2207">
            <v>44627</v>
          </cell>
          <cell r="M2207">
            <v>44628</v>
          </cell>
          <cell r="N2207">
            <v>44638</v>
          </cell>
          <cell r="O2207">
            <v>44628</v>
          </cell>
          <cell r="P2207">
            <v>44637</v>
          </cell>
          <cell r="Q2207">
            <v>44641</v>
          </cell>
          <cell r="R2207">
            <v>44641</v>
          </cell>
          <cell r="S2207"/>
          <cell r="T2207">
            <v>44642</v>
          </cell>
          <cell r="U2207">
            <v>44645</v>
          </cell>
          <cell r="V2207">
            <v>44648</v>
          </cell>
          <cell r="W2207">
            <v>44649</v>
          </cell>
          <cell r="X2207">
            <v>41100467</v>
          </cell>
        </row>
        <row r="2208">
          <cell r="K2208" t="str">
            <v>GBWS-2157</v>
          </cell>
          <cell r="L2208">
            <v>44627</v>
          </cell>
          <cell r="M2208">
            <v>44628</v>
          </cell>
          <cell r="N2208">
            <v>44638</v>
          </cell>
          <cell r="O2208">
            <v>44628</v>
          </cell>
          <cell r="P2208">
            <v>44637</v>
          </cell>
          <cell r="Q2208">
            <v>44642</v>
          </cell>
          <cell r="R2208">
            <v>44642</v>
          </cell>
          <cell r="S2208"/>
          <cell r="T2208">
            <v>44642</v>
          </cell>
          <cell r="U2208">
            <v>44645</v>
          </cell>
          <cell r="V2208">
            <v>44648</v>
          </cell>
          <cell r="W2208">
            <v>44649</v>
          </cell>
          <cell r="X2208">
            <v>41100467</v>
          </cell>
        </row>
        <row r="2209">
          <cell r="K2209" t="str">
            <v>GBWS-2158</v>
          </cell>
          <cell r="L2209">
            <v>44627</v>
          </cell>
          <cell r="M2209">
            <v>44628</v>
          </cell>
          <cell r="N2209">
            <v>44638</v>
          </cell>
          <cell r="O2209">
            <v>44628</v>
          </cell>
          <cell r="P2209">
            <v>44637</v>
          </cell>
          <cell r="Q2209">
            <v>44642</v>
          </cell>
          <cell r="R2209">
            <v>44642</v>
          </cell>
          <cell r="S2209"/>
          <cell r="T2209">
            <v>44642</v>
          </cell>
          <cell r="U2209">
            <v>44649</v>
          </cell>
          <cell r="V2209">
            <v>44649</v>
          </cell>
          <cell r="W2209">
            <v>44650</v>
          </cell>
          <cell r="X2209">
            <v>41100467</v>
          </cell>
        </row>
        <row r="2210">
          <cell r="K2210" t="str">
            <v>GBWS-2159</v>
          </cell>
          <cell r="L2210">
            <v>44627</v>
          </cell>
          <cell r="M2210">
            <v>44628</v>
          </cell>
          <cell r="N2210">
            <v>44638</v>
          </cell>
          <cell r="O2210">
            <v>44628</v>
          </cell>
          <cell r="P2210">
            <v>44637</v>
          </cell>
          <cell r="Q2210">
            <v>44642</v>
          </cell>
          <cell r="R2210">
            <v>44642</v>
          </cell>
          <cell r="S2210"/>
          <cell r="T2210">
            <v>44642</v>
          </cell>
          <cell r="U2210">
            <v>44649</v>
          </cell>
          <cell r="V2210">
            <v>44650</v>
          </cell>
          <cell r="W2210">
            <v>44650</v>
          </cell>
          <cell r="X2210">
            <v>41100467</v>
          </cell>
        </row>
        <row r="2211">
          <cell r="K2211" t="str">
            <v>GBWS-2160</v>
          </cell>
          <cell r="L2211">
            <v>44627</v>
          </cell>
          <cell r="M2211">
            <v>44628</v>
          </cell>
          <cell r="N2211">
            <v>44638</v>
          </cell>
          <cell r="O2211">
            <v>44628</v>
          </cell>
          <cell r="P2211">
            <v>44637</v>
          </cell>
          <cell r="Q2211">
            <v>44642</v>
          </cell>
          <cell r="R2211">
            <v>44642</v>
          </cell>
          <cell r="S2211"/>
          <cell r="T2211">
            <v>44642</v>
          </cell>
          <cell r="U2211">
            <v>44644</v>
          </cell>
          <cell r="V2211">
            <v>44644</v>
          </cell>
          <cell r="W2211">
            <v>44645</v>
          </cell>
          <cell r="X2211">
            <v>41100467</v>
          </cell>
        </row>
        <row r="2212">
          <cell r="K2212" t="str">
            <v>GBWS-2166</v>
          </cell>
          <cell r="L2212">
            <v>44635</v>
          </cell>
          <cell r="M2212">
            <v>44635</v>
          </cell>
          <cell r="N2212">
            <v>44648</v>
          </cell>
          <cell r="O2212">
            <v>44635</v>
          </cell>
          <cell r="P2212">
            <v>44648</v>
          </cell>
          <cell r="Q2212" t="str">
            <v>2022-03-25 → 3/28</v>
          </cell>
          <cell r="R2212" t="str">
            <v>2022-03-25 → 3/28</v>
          </cell>
          <cell r="S2212"/>
          <cell r="T2212">
            <v>44649</v>
          </cell>
          <cell r="U2212">
            <v>44650</v>
          </cell>
          <cell r="V2212">
            <v>44651</v>
          </cell>
          <cell r="W2212">
            <v>44651</v>
          </cell>
          <cell r="X2212">
            <v>41100321</v>
          </cell>
        </row>
        <row r="2213">
          <cell r="K2213" t="str">
            <v>GBWS-2167</v>
          </cell>
          <cell r="L2213">
            <v>44635</v>
          </cell>
          <cell r="M2213">
            <v>44635</v>
          </cell>
          <cell r="N2213">
            <v>44648</v>
          </cell>
          <cell r="O2213">
            <v>44635</v>
          </cell>
          <cell r="P2213">
            <v>44648</v>
          </cell>
          <cell r="Q2213" t="str">
            <v>2022-03-25 → 3/28</v>
          </cell>
          <cell r="R2213" t="str">
            <v>2022-03-25 → 3/28</v>
          </cell>
          <cell r="S2213"/>
          <cell r="T2213">
            <v>44649</v>
          </cell>
          <cell r="U2213">
            <v>44650</v>
          </cell>
          <cell r="V2213">
            <v>44651</v>
          </cell>
          <cell r="W2213">
            <v>44651</v>
          </cell>
          <cell r="X2213">
            <v>41100321</v>
          </cell>
        </row>
        <row r="2214">
          <cell r="K2214" t="str">
            <v>GBWS-2168</v>
          </cell>
          <cell r="L2214">
            <v>44635</v>
          </cell>
          <cell r="M2214">
            <v>44635</v>
          </cell>
          <cell r="N2214">
            <v>44648</v>
          </cell>
          <cell r="O2214">
            <v>44635</v>
          </cell>
          <cell r="P2214">
            <v>44648</v>
          </cell>
          <cell r="Q2214" t="str">
            <v>2022-03-25 → 3/28</v>
          </cell>
          <cell r="R2214" t="str">
            <v>2022-03-25 → 3/28</v>
          </cell>
          <cell r="S2214"/>
          <cell r="T2214">
            <v>44649</v>
          </cell>
          <cell r="U2214">
            <v>44650</v>
          </cell>
          <cell r="V2214">
            <v>44651</v>
          </cell>
          <cell r="W2214">
            <v>44651</v>
          </cell>
          <cell r="X2214">
            <v>41100321</v>
          </cell>
        </row>
        <row r="2215">
          <cell r="K2215" t="str">
            <v>GBWS-2161</v>
          </cell>
          <cell r="L2215">
            <v>44634</v>
          </cell>
          <cell r="M2215">
            <v>44634</v>
          </cell>
          <cell r="N2215">
            <v>44648</v>
          </cell>
          <cell r="O2215">
            <v>44634</v>
          </cell>
          <cell r="P2215">
            <v>44644</v>
          </cell>
          <cell r="Q2215">
            <v>44643</v>
          </cell>
          <cell r="R2215">
            <v>44643</v>
          </cell>
          <cell r="S2215"/>
          <cell r="T2215">
            <v>44648</v>
          </cell>
          <cell r="U2215">
            <v>44650</v>
          </cell>
          <cell r="V2215">
            <v>44650</v>
          </cell>
          <cell r="W2215">
            <v>44651</v>
          </cell>
          <cell r="X2215">
            <v>41100443</v>
          </cell>
        </row>
        <row r="2216">
          <cell r="K2216" t="str">
            <v>GBWS-2162</v>
          </cell>
          <cell r="L2216">
            <v>44634</v>
          </cell>
          <cell r="M2216">
            <v>44634</v>
          </cell>
          <cell r="N2216">
            <v>44648</v>
          </cell>
          <cell r="O2216">
            <v>44634</v>
          </cell>
          <cell r="P2216">
            <v>44644</v>
          </cell>
          <cell r="Q2216">
            <v>44643</v>
          </cell>
          <cell r="R2216">
            <v>44643</v>
          </cell>
          <cell r="S2216"/>
          <cell r="T2216">
            <v>44648</v>
          </cell>
          <cell r="U2216">
            <v>44649</v>
          </cell>
          <cell r="V2216">
            <v>44650</v>
          </cell>
          <cell r="W2216">
            <v>44651</v>
          </cell>
          <cell r="X2216">
            <v>41100443</v>
          </cell>
        </row>
        <row r="2217">
          <cell r="K2217" t="str">
            <v>GBWS-2163</v>
          </cell>
          <cell r="L2217">
            <v>44634</v>
          </cell>
          <cell r="M2217">
            <v>44634</v>
          </cell>
          <cell r="N2217">
            <v>44648</v>
          </cell>
          <cell r="O2217">
            <v>44634</v>
          </cell>
          <cell r="P2217">
            <v>44644</v>
          </cell>
          <cell r="Q2217">
            <v>44643</v>
          </cell>
          <cell r="R2217">
            <v>44643</v>
          </cell>
          <cell r="S2217"/>
          <cell r="T2217">
            <v>44648</v>
          </cell>
          <cell r="U2217">
            <v>44649</v>
          </cell>
          <cell r="V2217">
            <v>44651</v>
          </cell>
          <cell r="W2217">
            <v>44651</v>
          </cell>
          <cell r="X2217">
            <v>41100443</v>
          </cell>
        </row>
        <row r="2218">
          <cell r="K2218" t="str">
            <v>GBWS-2164</v>
          </cell>
          <cell r="L2218">
            <v>44634</v>
          </cell>
          <cell r="M2218">
            <v>44634</v>
          </cell>
          <cell r="N2218">
            <v>44648</v>
          </cell>
          <cell r="O2218">
            <v>44634</v>
          </cell>
          <cell r="P2218">
            <v>44644</v>
          </cell>
          <cell r="Q2218">
            <v>44643</v>
          </cell>
          <cell r="R2218">
            <v>44643</v>
          </cell>
          <cell r="S2218"/>
          <cell r="T2218">
            <v>44648</v>
          </cell>
          <cell r="U2218">
            <v>44649</v>
          </cell>
          <cell r="V2218">
            <v>44650</v>
          </cell>
          <cell r="W2218">
            <v>44651</v>
          </cell>
          <cell r="X2218">
            <v>41100443</v>
          </cell>
        </row>
        <row r="2219">
          <cell r="K2219" t="str">
            <v>GBWS-2169</v>
          </cell>
          <cell r="L2219">
            <v>44635</v>
          </cell>
          <cell r="M2219">
            <v>44635</v>
          </cell>
          <cell r="N2219">
            <v>44649</v>
          </cell>
          <cell r="O2219">
            <v>44635</v>
          </cell>
          <cell r="P2219">
            <v>44649</v>
          </cell>
          <cell r="Q2219">
            <v>44649</v>
          </cell>
          <cell r="R2219">
            <v>44649</v>
          </cell>
          <cell r="S2219"/>
          <cell r="T2219">
            <v>44650</v>
          </cell>
          <cell r="U2219">
            <v>44651</v>
          </cell>
          <cell r="V2219">
            <v>44652</v>
          </cell>
          <cell r="W2219">
            <v>44656</v>
          </cell>
          <cell r="X2219">
            <v>41100363</v>
          </cell>
        </row>
        <row r="2220">
          <cell r="K2220" t="str">
            <v>IVAS-133</v>
          </cell>
          <cell r="L2220">
            <v>44627</v>
          </cell>
          <cell r="M2220">
            <v>44628</v>
          </cell>
          <cell r="N2220">
            <v>44643</v>
          </cell>
          <cell r="O2220">
            <v>44628</v>
          </cell>
          <cell r="P2220">
            <v>44642</v>
          </cell>
          <cell r="Q2220">
            <v>44638</v>
          </cell>
          <cell r="R2220">
            <v>44638</v>
          </cell>
          <cell r="S2220"/>
          <cell r="T2220">
            <v>44642</v>
          </cell>
          <cell r="U2220">
            <v>44652</v>
          </cell>
          <cell r="V2220">
            <v>44657</v>
          </cell>
          <cell r="W2220">
            <v>44657</v>
          </cell>
          <cell r="X2220">
            <v>41100433</v>
          </cell>
        </row>
        <row r="2221">
          <cell r="K2221" t="str">
            <v>GBWS-2051</v>
          </cell>
          <cell r="L2221">
            <v>44573</v>
          </cell>
          <cell r="M2221">
            <v>44573</v>
          </cell>
          <cell r="N2221">
            <v>44589</v>
          </cell>
          <cell r="O2221">
            <v>44573</v>
          </cell>
          <cell r="P2221">
            <v>44588</v>
          </cell>
          <cell r="Q2221">
            <v>44587</v>
          </cell>
          <cell r="R2221">
            <v>44587</v>
          </cell>
          <cell r="S2221"/>
          <cell r="T2221">
            <v>44600</v>
          </cell>
          <cell r="U2221">
            <v>44610</v>
          </cell>
          <cell r="V2221">
            <v>44610</v>
          </cell>
          <cell r="W2221">
            <v>44613</v>
          </cell>
          <cell r="X2221" t="str">
            <v>41100409 → 41100449</v>
          </cell>
        </row>
        <row r="2222">
          <cell r="K2222" t="str">
            <v>GBWS-2052</v>
          </cell>
          <cell r="L2222">
            <v>44573</v>
          </cell>
          <cell r="M2222">
            <v>44573</v>
          </cell>
          <cell r="N2222">
            <v>44589</v>
          </cell>
          <cell r="O2222">
            <v>44573</v>
          </cell>
          <cell r="P2222">
            <v>44588</v>
          </cell>
          <cell r="Q2222">
            <v>44587</v>
          </cell>
          <cell r="R2222">
            <v>44587</v>
          </cell>
          <cell r="S2222"/>
          <cell r="T2222">
            <v>44600</v>
          </cell>
          <cell r="U2222">
            <v>44614</v>
          </cell>
          <cell r="V2222">
            <v>44615</v>
          </cell>
          <cell r="W2222">
            <v>44616</v>
          </cell>
          <cell r="X2222" t="str">
            <v>41100409 → 41100449</v>
          </cell>
        </row>
        <row r="2223">
          <cell r="K2223" t="str">
            <v>GBWS-2053</v>
          </cell>
          <cell r="L2223">
            <v>44573</v>
          </cell>
          <cell r="M2223">
            <v>44573</v>
          </cell>
          <cell r="N2223">
            <v>44589</v>
          </cell>
          <cell r="O2223">
            <v>44573</v>
          </cell>
          <cell r="P2223">
            <v>44588</v>
          </cell>
          <cell r="Q2223">
            <v>44587</v>
          </cell>
          <cell r="R2223">
            <v>44587</v>
          </cell>
          <cell r="S2223"/>
          <cell r="T2223">
            <v>44600</v>
          </cell>
          <cell r="U2223">
            <v>44616</v>
          </cell>
          <cell r="V2223">
            <v>44617</v>
          </cell>
          <cell r="W2223">
            <v>44617</v>
          </cell>
          <cell r="X2223" t="str">
            <v>41100409 → 41100449</v>
          </cell>
        </row>
        <row r="2224">
          <cell r="K2224" t="str">
            <v>GBWS-2054</v>
          </cell>
          <cell r="L2224">
            <v>44573</v>
          </cell>
          <cell r="M2224">
            <v>44573</v>
          </cell>
          <cell r="N2224">
            <v>44589</v>
          </cell>
          <cell r="O2224">
            <v>44573</v>
          </cell>
          <cell r="P2224">
            <v>44588</v>
          </cell>
          <cell r="Q2224">
            <v>44587</v>
          </cell>
          <cell r="R2224">
            <v>44587</v>
          </cell>
          <cell r="S2224"/>
          <cell r="T2224">
            <v>44600</v>
          </cell>
          <cell r="U2224">
            <v>44614</v>
          </cell>
          <cell r="V2224">
            <v>44615</v>
          </cell>
          <cell r="W2224">
            <v>44616</v>
          </cell>
          <cell r="X2224" t="str">
            <v>41100409 → 41100449</v>
          </cell>
        </row>
        <row r="2225">
          <cell r="K2225" t="str">
            <v>GBWS-2055</v>
          </cell>
          <cell r="L2225">
            <v>44573</v>
          </cell>
          <cell r="M2225">
            <v>44573</v>
          </cell>
          <cell r="N2225">
            <v>44589</v>
          </cell>
          <cell r="O2225">
            <v>44573</v>
          </cell>
          <cell r="P2225">
            <v>44588</v>
          </cell>
          <cell r="Q2225">
            <v>44587</v>
          </cell>
          <cell r="R2225">
            <v>44587</v>
          </cell>
          <cell r="S2225"/>
          <cell r="T2225">
            <v>44596</v>
          </cell>
          <cell r="U2225">
            <v>44616</v>
          </cell>
          <cell r="V2225">
            <v>44617</v>
          </cell>
          <cell r="W2225">
            <v>44620</v>
          </cell>
          <cell r="X2225" t="str">
            <v>41100409 → 41100449</v>
          </cell>
        </row>
        <row r="2226">
          <cell r="K2226" t="str">
            <v>GBWS-2111</v>
          </cell>
          <cell r="L2226">
            <v>44614</v>
          </cell>
          <cell r="M2226">
            <v>44614</v>
          </cell>
          <cell r="N2226">
            <v>44623</v>
          </cell>
          <cell r="O2226">
            <v>44614</v>
          </cell>
          <cell r="P2226">
            <v>44624</v>
          </cell>
          <cell r="Q2226">
            <v>44627</v>
          </cell>
          <cell r="R2226">
            <v>44627</v>
          </cell>
          <cell r="S2226"/>
          <cell r="T2226">
            <v>44628</v>
          </cell>
          <cell r="U2226">
            <v>44637</v>
          </cell>
          <cell r="V2226">
            <v>44638</v>
          </cell>
          <cell r="W2226">
            <v>44651</v>
          </cell>
          <cell r="X2226">
            <v>41100449</v>
          </cell>
        </row>
        <row r="2227">
          <cell r="K2227" t="str">
            <v>GBWS-2112</v>
          </cell>
          <cell r="L2227">
            <v>44614</v>
          </cell>
          <cell r="M2227">
            <v>44614</v>
          </cell>
          <cell r="N2227">
            <v>44623</v>
          </cell>
          <cell r="O2227">
            <v>44614</v>
          </cell>
          <cell r="P2227">
            <v>44624</v>
          </cell>
          <cell r="Q2227">
            <v>44627</v>
          </cell>
          <cell r="R2227">
            <v>44627</v>
          </cell>
          <cell r="S2227"/>
          <cell r="T2227">
            <v>44628</v>
          </cell>
          <cell r="U2227">
            <v>44637</v>
          </cell>
          <cell r="V2227">
            <v>44638</v>
          </cell>
          <cell r="W2227">
            <v>44651</v>
          </cell>
          <cell r="X2227">
            <v>41100449</v>
          </cell>
        </row>
        <row r="2228">
          <cell r="K2228" t="str">
            <v>GBWS-2113</v>
          </cell>
          <cell r="L2228">
            <v>44614</v>
          </cell>
          <cell r="M2228">
            <v>44614</v>
          </cell>
          <cell r="N2228">
            <v>44623</v>
          </cell>
          <cell r="O2228">
            <v>44614</v>
          </cell>
          <cell r="P2228">
            <v>44624</v>
          </cell>
          <cell r="Q2228">
            <v>44627</v>
          </cell>
          <cell r="R2228">
            <v>44627</v>
          </cell>
          <cell r="S2228"/>
          <cell r="T2228">
            <v>44628</v>
          </cell>
          <cell r="U2228">
            <v>44637</v>
          </cell>
          <cell r="V2228">
            <v>44638</v>
          </cell>
          <cell r="W2228">
            <v>44651</v>
          </cell>
          <cell r="X2228">
            <v>41100449</v>
          </cell>
        </row>
        <row r="2229">
          <cell r="K2229" t="str">
            <v>GBWS-2114</v>
          </cell>
          <cell r="L2229">
            <v>44614</v>
          </cell>
          <cell r="M2229">
            <v>44614</v>
          </cell>
          <cell r="N2229">
            <v>44623</v>
          </cell>
          <cell r="O2229">
            <v>44614</v>
          </cell>
          <cell r="P2229">
            <v>44624</v>
          </cell>
          <cell r="Q2229">
            <v>44627</v>
          </cell>
          <cell r="R2229">
            <v>44627</v>
          </cell>
          <cell r="S2229"/>
          <cell r="T2229">
            <v>44628</v>
          </cell>
          <cell r="U2229">
            <v>44637</v>
          </cell>
          <cell r="V2229">
            <v>44638</v>
          </cell>
          <cell r="W2229">
            <v>44651</v>
          </cell>
          <cell r="X2229">
            <v>41100449</v>
          </cell>
        </row>
        <row r="2230">
          <cell r="K2230" t="str">
            <v>GBWS-2115</v>
          </cell>
          <cell r="L2230">
            <v>44614</v>
          </cell>
          <cell r="M2230">
            <v>44614</v>
          </cell>
          <cell r="N2230">
            <v>44624</v>
          </cell>
          <cell r="O2230">
            <v>44614</v>
          </cell>
          <cell r="P2230">
            <v>44628</v>
          </cell>
          <cell r="Q2230">
            <v>44628</v>
          </cell>
          <cell r="R2230">
            <v>44628</v>
          </cell>
          <cell r="S2230"/>
          <cell r="T2230">
            <v>44630</v>
          </cell>
          <cell r="U2230">
            <v>44638</v>
          </cell>
          <cell r="V2230">
            <v>44649</v>
          </cell>
          <cell r="W2230">
            <v>44651</v>
          </cell>
          <cell r="X2230">
            <v>41100449</v>
          </cell>
        </row>
        <row r="2231">
          <cell r="K2231" t="str">
            <v>GBWS-2101</v>
          </cell>
          <cell r="L2231">
            <v>44603</v>
          </cell>
          <cell r="M2231">
            <v>44603</v>
          </cell>
          <cell r="N2231">
            <v>44622</v>
          </cell>
          <cell r="O2231">
            <v>44603</v>
          </cell>
          <cell r="P2231">
            <v>44623</v>
          </cell>
          <cell r="Q2231" t="str">
            <v>2022-02-21 → 2/23 → 2/28 → 3/2 → 3/3(오전)</v>
          </cell>
          <cell r="R2231" t="str">
            <v>2022-02-21 → 2/23 → 2/28 → 3/2 → 3/3(오전)</v>
          </cell>
          <cell r="S2231"/>
          <cell r="T2231">
            <v>44624</v>
          </cell>
          <cell r="U2231">
            <v>44627</v>
          </cell>
          <cell r="V2231">
            <v>44628</v>
          </cell>
          <cell r="W2231">
            <v>44630</v>
          </cell>
          <cell r="X2231">
            <v>41100457</v>
          </cell>
        </row>
        <row r="2232">
          <cell r="K2232" t="str">
            <v>GBWS-2125</v>
          </cell>
          <cell r="L2232">
            <v>44614</v>
          </cell>
          <cell r="M2232">
            <v>44614</v>
          </cell>
          <cell r="N2232">
            <v>44627</v>
          </cell>
          <cell r="O2232">
            <v>44614</v>
          </cell>
          <cell r="P2232">
            <v>44624</v>
          </cell>
          <cell r="Q2232" t="str">
            <v>2022-03-03 → 3/4</v>
          </cell>
          <cell r="R2232" t="str">
            <v>2022-03-03 → 3/4</v>
          </cell>
          <cell r="S2232"/>
          <cell r="T2232">
            <v>44627</v>
          </cell>
          <cell r="U2232">
            <v>44630</v>
          </cell>
          <cell r="V2232">
            <v>44631</v>
          </cell>
          <cell r="W2232">
            <v>44631</v>
          </cell>
          <cell r="X2232">
            <v>41100168</v>
          </cell>
        </row>
        <row r="2233">
          <cell r="K2233" t="str">
            <v>GBWS-2126</v>
          </cell>
          <cell r="L2233">
            <v>44614</v>
          </cell>
          <cell r="M2233">
            <v>44614</v>
          </cell>
          <cell r="N2233">
            <v>44623</v>
          </cell>
          <cell r="O2233">
            <v>44614</v>
          </cell>
          <cell r="P2233">
            <v>44623</v>
          </cell>
          <cell r="Q2233">
            <v>44623</v>
          </cell>
          <cell r="R2233">
            <v>44623</v>
          </cell>
          <cell r="S2233"/>
          <cell r="T2233">
            <v>44624</v>
          </cell>
          <cell r="U2233">
            <v>44628</v>
          </cell>
          <cell r="V2233">
            <v>44628</v>
          </cell>
          <cell r="W2233">
            <v>44630</v>
          </cell>
          <cell r="X2233">
            <v>41100168</v>
          </cell>
        </row>
        <row r="2234">
          <cell r="K2234" t="str">
            <v>GBWS-2127</v>
          </cell>
          <cell r="L2234">
            <v>44614</v>
          </cell>
          <cell r="M2234">
            <v>44614</v>
          </cell>
          <cell r="N2234">
            <v>44623</v>
          </cell>
          <cell r="O2234">
            <v>44614</v>
          </cell>
          <cell r="P2234">
            <v>44623</v>
          </cell>
          <cell r="Q2234">
            <v>44623</v>
          </cell>
          <cell r="R2234">
            <v>44623</v>
          </cell>
          <cell r="S2234"/>
          <cell r="T2234">
            <v>44624</v>
          </cell>
          <cell r="U2234">
            <v>44627</v>
          </cell>
          <cell r="V2234">
            <v>44627</v>
          </cell>
          <cell r="W2234">
            <v>44628</v>
          </cell>
          <cell r="X2234">
            <v>41100168</v>
          </cell>
        </row>
        <row r="2235">
          <cell r="K2235" t="str">
            <v>GBWS-2128</v>
          </cell>
          <cell r="L2235">
            <v>44614</v>
          </cell>
          <cell r="M2235">
            <v>44614</v>
          </cell>
          <cell r="N2235">
            <v>44623</v>
          </cell>
          <cell r="O2235">
            <v>44614</v>
          </cell>
          <cell r="P2235">
            <v>44623</v>
          </cell>
          <cell r="Q2235">
            <v>44623</v>
          </cell>
          <cell r="R2235">
            <v>44623</v>
          </cell>
          <cell r="S2235"/>
          <cell r="T2235">
            <v>44624</v>
          </cell>
          <cell r="U2235">
            <v>44627</v>
          </cell>
          <cell r="V2235">
            <v>44627</v>
          </cell>
          <cell r="W2235">
            <v>44628</v>
          </cell>
          <cell r="X2235">
            <v>41100168</v>
          </cell>
        </row>
        <row r="2236">
          <cell r="K2236" t="str">
            <v xml:space="preserve"> -</v>
          </cell>
          <cell r="L2236" t="str">
            <v xml:space="preserve"> -</v>
          </cell>
          <cell r="M2236">
            <v>44635</v>
          </cell>
          <cell r="N2236">
            <v>44643</v>
          </cell>
          <cell r="O2236">
            <v>44635</v>
          </cell>
          <cell r="P2236" t="str">
            <v xml:space="preserve"> -</v>
          </cell>
          <cell r="Q2236" t="str">
            <v>2022-03-18 → 3/21</v>
          </cell>
          <cell r="R2236" t="str">
            <v>2022-03-18 → 3/21</v>
          </cell>
          <cell r="S2236"/>
          <cell r="T2236" t="str">
            <v xml:space="preserve"> -</v>
          </cell>
          <cell r="U2236" t="str">
            <v xml:space="preserve"> -</v>
          </cell>
          <cell r="V2236"/>
          <cell r="W2236"/>
          <cell r="X2236">
            <v>31101929</v>
          </cell>
        </row>
        <row r="2237">
          <cell r="K2237" t="str">
            <v xml:space="preserve"> -</v>
          </cell>
          <cell r="L2237" t="str">
            <v xml:space="preserve"> -</v>
          </cell>
          <cell r="M2237">
            <v>44635</v>
          </cell>
          <cell r="N2237">
            <v>44643</v>
          </cell>
          <cell r="O2237">
            <v>44635</v>
          </cell>
          <cell r="P2237">
            <v>44643</v>
          </cell>
          <cell r="Q2237" t="str">
            <v>2022-03-22 → 21</v>
          </cell>
          <cell r="R2237" t="str">
            <v>2022-03-22 → 21</v>
          </cell>
          <cell r="S2237"/>
          <cell r="T2237" t="str">
            <v xml:space="preserve"> -</v>
          </cell>
          <cell r="U2237" t="str">
            <v xml:space="preserve"> -</v>
          </cell>
          <cell r="V2237"/>
          <cell r="W2237"/>
          <cell r="X2237">
            <v>31101933</v>
          </cell>
        </row>
        <row r="2238">
          <cell r="K2238" t="str">
            <v>GBWS-2184</v>
          </cell>
          <cell r="L2238">
            <v>44643</v>
          </cell>
          <cell r="M2238">
            <v>44643</v>
          </cell>
          <cell r="N2238">
            <v>44653</v>
          </cell>
          <cell r="O2238">
            <v>44643</v>
          </cell>
          <cell r="P2238">
            <v>44655</v>
          </cell>
          <cell r="Q2238" t="str">
            <v>2022-03-31 → 4/1</v>
          </cell>
          <cell r="R2238" t="str">
            <v>2022-03-31 → 4/1</v>
          </cell>
          <cell r="S2238"/>
          <cell r="T2238">
            <v>44655</v>
          </cell>
          <cell r="U2238">
            <v>44656</v>
          </cell>
          <cell r="V2238">
            <v>44658</v>
          </cell>
          <cell r="W2238">
            <v>44658</v>
          </cell>
          <cell r="X2238">
            <v>41100328</v>
          </cell>
        </row>
        <row r="2239">
          <cell r="K2239" t="str">
            <v>GBWS-2185</v>
          </cell>
          <cell r="L2239">
            <v>44643</v>
          </cell>
          <cell r="M2239">
            <v>44643</v>
          </cell>
          <cell r="N2239">
            <v>44653</v>
          </cell>
          <cell r="O2239">
            <v>44643</v>
          </cell>
          <cell r="P2239">
            <v>44655</v>
          </cell>
          <cell r="Q2239" t="str">
            <v>2022-03-31 → 4/1</v>
          </cell>
          <cell r="R2239" t="str">
            <v>2022-03-31 → 4/1</v>
          </cell>
          <cell r="S2239"/>
          <cell r="T2239">
            <v>44655</v>
          </cell>
          <cell r="U2239">
            <v>44656</v>
          </cell>
          <cell r="V2239">
            <v>44658</v>
          </cell>
          <cell r="W2239">
            <v>44658</v>
          </cell>
          <cell r="X2239">
            <v>41100328</v>
          </cell>
        </row>
        <row r="2240">
          <cell r="K2240" t="str">
            <v xml:space="preserve"> -</v>
          </cell>
          <cell r="L2240" t="str">
            <v xml:space="preserve"> -</v>
          </cell>
          <cell r="M2240">
            <v>44635</v>
          </cell>
          <cell r="N2240">
            <v>44643</v>
          </cell>
          <cell r="O2240">
            <v>44635</v>
          </cell>
          <cell r="P2240">
            <v>44643</v>
          </cell>
          <cell r="Q2240">
            <v>44642</v>
          </cell>
          <cell r="R2240">
            <v>44642</v>
          </cell>
          <cell r="S2240"/>
          <cell r="T2240" t="str">
            <v xml:space="preserve"> -</v>
          </cell>
          <cell r="U2240" t="str">
            <v xml:space="preserve"> -</v>
          </cell>
          <cell r="V2240"/>
          <cell r="W2240"/>
          <cell r="X2240">
            <v>31101929</v>
          </cell>
        </row>
        <row r="2241">
          <cell r="K2241" t="str">
            <v>GBWS-2182</v>
          </cell>
          <cell r="L2241">
            <v>44644</v>
          </cell>
          <cell r="M2241">
            <v>44643</v>
          </cell>
          <cell r="N2241">
            <v>44653</v>
          </cell>
          <cell r="O2241">
            <v>44643</v>
          </cell>
          <cell r="P2241">
            <v>44655</v>
          </cell>
          <cell r="Q2241" t="str">
            <v>2022-04-01 → 4/2</v>
          </cell>
          <cell r="R2241" t="str">
            <v>2022-04-01 → 4/2</v>
          </cell>
          <cell r="S2241"/>
          <cell r="T2241">
            <v>44655</v>
          </cell>
          <cell r="U2241">
            <v>44657</v>
          </cell>
          <cell r="V2241">
            <v>44658</v>
          </cell>
          <cell r="W2241">
            <v>44659</v>
          </cell>
          <cell r="X2241">
            <v>41100459</v>
          </cell>
        </row>
        <row r="2242">
          <cell r="K2242" t="str">
            <v>GBWS-2183</v>
          </cell>
          <cell r="L2242">
            <v>44644</v>
          </cell>
          <cell r="M2242">
            <v>44643</v>
          </cell>
          <cell r="N2242">
            <v>44653</v>
          </cell>
          <cell r="O2242">
            <v>44643</v>
          </cell>
          <cell r="P2242">
            <v>44655</v>
          </cell>
          <cell r="Q2242" t="str">
            <v>2022-04-01 → 4/2</v>
          </cell>
          <cell r="R2242" t="str">
            <v>2022-04-01 → 4/2</v>
          </cell>
          <cell r="S2242"/>
          <cell r="T2242">
            <v>44655</v>
          </cell>
          <cell r="U2242">
            <v>44657</v>
          </cell>
          <cell r="V2242">
            <v>44658</v>
          </cell>
          <cell r="W2242">
            <v>44659</v>
          </cell>
          <cell r="X2242">
            <v>41100459</v>
          </cell>
        </row>
        <row r="2243">
          <cell r="K2243" t="str">
            <v>DBW-2555</v>
          </cell>
          <cell r="L2243">
            <v>44623</v>
          </cell>
          <cell r="M2243">
            <v>44623</v>
          </cell>
          <cell r="N2243">
            <v>44643</v>
          </cell>
          <cell r="O2243">
            <v>44623</v>
          </cell>
          <cell r="P2243">
            <v>44642</v>
          </cell>
          <cell r="Q2243" t="str">
            <v>2022-03-17 → 3/24</v>
          </cell>
          <cell r="R2243" t="str">
            <v>2022-03-17 → 3/24</v>
          </cell>
          <cell r="S2243"/>
          <cell r="T2243">
            <v>44644</v>
          </cell>
          <cell r="U2243">
            <v>44648</v>
          </cell>
          <cell r="V2243">
            <v>44648</v>
          </cell>
          <cell r="W2243">
            <v>44649</v>
          </cell>
          <cell r="X2243">
            <v>41100452</v>
          </cell>
        </row>
        <row r="2244">
          <cell r="K2244" t="str">
            <v>DBW-2556</v>
          </cell>
          <cell r="L2244">
            <v>44623</v>
          </cell>
          <cell r="M2244">
            <v>44623</v>
          </cell>
          <cell r="N2244">
            <v>44643</v>
          </cell>
          <cell r="O2244">
            <v>44623</v>
          </cell>
          <cell r="P2244">
            <v>44642</v>
          </cell>
          <cell r="Q2244" t="str">
            <v>2022-03-17 → 3/24</v>
          </cell>
          <cell r="R2244" t="str">
            <v>2022-03-17 → 3/24</v>
          </cell>
          <cell r="S2244"/>
          <cell r="T2244">
            <v>44644</v>
          </cell>
          <cell r="U2244">
            <v>44648</v>
          </cell>
          <cell r="V2244">
            <v>44649</v>
          </cell>
          <cell r="W2244">
            <v>44650</v>
          </cell>
          <cell r="X2244">
            <v>41100452</v>
          </cell>
        </row>
        <row r="2245">
          <cell r="K2245" t="str">
            <v>DBW-2557</v>
          </cell>
          <cell r="L2245">
            <v>44623</v>
          </cell>
          <cell r="M2245">
            <v>44623</v>
          </cell>
          <cell r="N2245">
            <v>44643</v>
          </cell>
          <cell r="O2245">
            <v>44623</v>
          </cell>
          <cell r="P2245">
            <v>44642</v>
          </cell>
          <cell r="Q2245" t="str">
            <v>2022-03-17 → 3/24</v>
          </cell>
          <cell r="R2245" t="str">
            <v>2022-03-17 → 3/24</v>
          </cell>
          <cell r="S2245"/>
          <cell r="T2245">
            <v>44644</v>
          </cell>
          <cell r="U2245">
            <v>44645</v>
          </cell>
          <cell r="V2245">
            <v>44649</v>
          </cell>
          <cell r="W2245">
            <v>44649</v>
          </cell>
          <cell r="X2245">
            <v>41100452</v>
          </cell>
        </row>
        <row r="2246">
          <cell r="K2246" t="str">
            <v>DBW-2560</v>
          </cell>
          <cell r="L2246">
            <v>44623</v>
          </cell>
          <cell r="M2246">
            <v>44623</v>
          </cell>
          <cell r="N2246">
            <v>44643</v>
          </cell>
          <cell r="O2246">
            <v>44623</v>
          </cell>
          <cell r="P2246">
            <v>44643</v>
          </cell>
          <cell r="Q2246" t="str">
            <v>2022-03-17 → 3/23</v>
          </cell>
          <cell r="R2246" t="str">
            <v>2022-03-17 → 3/23</v>
          </cell>
          <cell r="S2246"/>
          <cell r="T2246">
            <v>44644</v>
          </cell>
          <cell r="U2246">
            <v>44648</v>
          </cell>
          <cell r="V2246">
            <v>44650</v>
          </cell>
          <cell r="W2246">
            <v>44650</v>
          </cell>
          <cell r="X2246">
            <v>41100455</v>
          </cell>
        </row>
        <row r="2247">
          <cell r="K2247" t="str">
            <v>DBW-2561</v>
          </cell>
          <cell r="L2247">
            <v>44623</v>
          </cell>
          <cell r="M2247">
            <v>44623</v>
          </cell>
          <cell r="N2247">
            <v>44643</v>
          </cell>
          <cell r="O2247">
            <v>44623</v>
          </cell>
          <cell r="P2247">
            <v>44643</v>
          </cell>
          <cell r="Q2247" t="str">
            <v>2022-03-17 → 3/23</v>
          </cell>
          <cell r="R2247" t="str">
            <v>2022-03-17 → 3/23</v>
          </cell>
          <cell r="S2247"/>
          <cell r="T2247">
            <v>44644</v>
          </cell>
          <cell r="U2247">
            <v>44645</v>
          </cell>
          <cell r="V2247">
            <v>44648</v>
          </cell>
          <cell r="W2247">
            <v>44648</v>
          </cell>
          <cell r="X2247">
            <v>41100455</v>
          </cell>
        </row>
        <row r="2248">
          <cell r="K2248" t="str">
            <v>DBW-2562</v>
          </cell>
          <cell r="L2248">
            <v>44623</v>
          </cell>
          <cell r="M2248">
            <v>44623</v>
          </cell>
          <cell r="N2248">
            <v>44643</v>
          </cell>
          <cell r="O2248">
            <v>44623</v>
          </cell>
          <cell r="P2248">
            <v>44643</v>
          </cell>
          <cell r="Q2248" t="str">
            <v>2022-03-17 → 3/23</v>
          </cell>
          <cell r="R2248" t="str">
            <v>2022-03-17 → 3/23</v>
          </cell>
          <cell r="S2248"/>
          <cell r="T2248">
            <v>44644</v>
          </cell>
          <cell r="U2248">
            <v>44648</v>
          </cell>
          <cell r="V2248">
            <v>44650</v>
          </cell>
          <cell r="W2248">
            <v>44650</v>
          </cell>
          <cell r="X2248">
            <v>41100455</v>
          </cell>
        </row>
        <row r="2249">
          <cell r="K2249" t="str">
            <v>DBW-2583</v>
          </cell>
          <cell r="L2249">
            <v>44637</v>
          </cell>
          <cell r="M2249">
            <v>44637</v>
          </cell>
          <cell r="N2249">
            <v>44649</v>
          </cell>
          <cell r="O2249">
            <v>44637</v>
          </cell>
          <cell r="P2249">
            <v>44649</v>
          </cell>
          <cell r="Q2249">
            <v>44649</v>
          </cell>
          <cell r="R2249">
            <v>44649</v>
          </cell>
          <cell r="S2249"/>
          <cell r="T2249">
            <v>44651</v>
          </cell>
          <cell r="U2249">
            <v>44652</v>
          </cell>
          <cell r="V2249">
            <v>44655</v>
          </cell>
          <cell r="W2249">
            <v>44656</v>
          </cell>
          <cell r="X2249">
            <v>41100174</v>
          </cell>
        </row>
        <row r="2250">
          <cell r="K2250" t="str">
            <v>DBW-2584</v>
          </cell>
          <cell r="L2250">
            <v>44637</v>
          </cell>
          <cell r="M2250">
            <v>44637</v>
          </cell>
          <cell r="N2250">
            <v>44649</v>
          </cell>
          <cell r="O2250">
            <v>44637</v>
          </cell>
          <cell r="P2250">
            <v>44649</v>
          </cell>
          <cell r="Q2250">
            <v>44649</v>
          </cell>
          <cell r="R2250">
            <v>44649</v>
          </cell>
          <cell r="S2250"/>
          <cell r="T2250">
            <v>44651</v>
          </cell>
          <cell r="U2250">
            <v>44652</v>
          </cell>
          <cell r="V2250">
            <v>44655</v>
          </cell>
          <cell r="W2250">
            <v>44662</v>
          </cell>
          <cell r="X2250">
            <v>41100174</v>
          </cell>
        </row>
        <row r="2251">
          <cell r="K2251" t="str">
            <v>DBW-2566</v>
          </cell>
          <cell r="L2251">
            <v>44624</v>
          </cell>
          <cell r="M2251">
            <v>44624</v>
          </cell>
          <cell r="N2251">
            <v>44635</v>
          </cell>
          <cell r="O2251">
            <v>44624</v>
          </cell>
          <cell r="P2251">
            <v>44635</v>
          </cell>
          <cell r="Q2251">
            <v>44635</v>
          </cell>
          <cell r="R2251">
            <v>44635</v>
          </cell>
          <cell r="S2251"/>
          <cell r="T2251">
            <v>44636</v>
          </cell>
          <cell r="U2251">
            <v>44637</v>
          </cell>
          <cell r="V2251">
            <v>44638</v>
          </cell>
          <cell r="W2251">
            <v>44641</v>
          </cell>
          <cell r="X2251">
            <v>41100473</v>
          </cell>
        </row>
        <row r="2252">
          <cell r="K2252" t="str">
            <v>DBW-2567</v>
          </cell>
          <cell r="L2252">
            <v>44624</v>
          </cell>
          <cell r="M2252">
            <v>44624</v>
          </cell>
          <cell r="N2252">
            <v>44635</v>
          </cell>
          <cell r="O2252">
            <v>44624</v>
          </cell>
          <cell r="P2252">
            <v>44635</v>
          </cell>
          <cell r="Q2252">
            <v>44635</v>
          </cell>
          <cell r="R2252">
            <v>44635</v>
          </cell>
          <cell r="S2252"/>
          <cell r="T2252">
            <v>44636</v>
          </cell>
          <cell r="U2252">
            <v>44637</v>
          </cell>
          <cell r="V2252">
            <v>44638</v>
          </cell>
          <cell r="W2252">
            <v>44641</v>
          </cell>
          <cell r="X2252">
            <v>41100473</v>
          </cell>
        </row>
        <row r="2253">
          <cell r="K2253" t="str">
            <v>DBW-2568</v>
          </cell>
          <cell r="L2253">
            <v>44624</v>
          </cell>
          <cell r="M2253">
            <v>44624</v>
          </cell>
          <cell r="N2253">
            <v>44635</v>
          </cell>
          <cell r="O2253">
            <v>44624</v>
          </cell>
          <cell r="P2253">
            <v>44635</v>
          </cell>
          <cell r="Q2253">
            <v>44635</v>
          </cell>
          <cell r="R2253">
            <v>44635</v>
          </cell>
          <cell r="S2253"/>
          <cell r="T2253">
            <v>44636</v>
          </cell>
          <cell r="U2253">
            <v>44637</v>
          </cell>
          <cell r="V2253">
            <v>44637</v>
          </cell>
          <cell r="W2253">
            <v>44641</v>
          </cell>
          <cell r="X2253">
            <v>41100473</v>
          </cell>
        </row>
        <row r="2254">
          <cell r="K2254" t="str">
            <v>DBW-2569</v>
          </cell>
          <cell r="L2254">
            <v>44624</v>
          </cell>
          <cell r="M2254">
            <v>44624</v>
          </cell>
          <cell r="N2254">
            <v>44635</v>
          </cell>
          <cell r="O2254">
            <v>44624</v>
          </cell>
          <cell r="P2254">
            <v>44635</v>
          </cell>
          <cell r="Q2254">
            <v>44635</v>
          </cell>
          <cell r="R2254">
            <v>44635</v>
          </cell>
          <cell r="S2254"/>
          <cell r="T2254">
            <v>44636</v>
          </cell>
          <cell r="U2254">
            <v>44637</v>
          </cell>
          <cell r="V2254">
            <v>44638</v>
          </cell>
          <cell r="W2254">
            <v>44641</v>
          </cell>
          <cell r="X2254">
            <v>41100473</v>
          </cell>
        </row>
        <row r="2255">
          <cell r="K2255" t="str">
            <v>GBWS-2044</v>
          </cell>
          <cell r="L2255">
            <v>44573</v>
          </cell>
          <cell r="M2255">
            <v>44573</v>
          </cell>
          <cell r="N2255">
            <v>44588</v>
          </cell>
          <cell r="O2255">
            <v>44573</v>
          </cell>
          <cell r="P2255">
            <v>44587</v>
          </cell>
          <cell r="Q2255">
            <v>44587</v>
          </cell>
          <cell r="R2255">
            <v>44587</v>
          </cell>
          <cell r="S2255"/>
          <cell r="T2255">
            <v>44595</v>
          </cell>
          <cell r="U2255">
            <v>44616</v>
          </cell>
          <cell r="V2255">
            <v>44617</v>
          </cell>
          <cell r="W2255">
            <v>44620</v>
          </cell>
          <cell r="X2255" t="str">
            <v>41100409 → 41100449</v>
          </cell>
        </row>
        <row r="2256">
          <cell r="K2256" t="str">
            <v>GBWS-2056</v>
          </cell>
          <cell r="L2256">
            <v>44573</v>
          </cell>
          <cell r="M2256">
            <v>44573</v>
          </cell>
          <cell r="N2256">
            <v>44589</v>
          </cell>
          <cell r="O2256">
            <v>44573</v>
          </cell>
          <cell r="P2256">
            <v>44588</v>
          </cell>
          <cell r="Q2256">
            <v>44587</v>
          </cell>
          <cell r="R2256">
            <v>44587</v>
          </cell>
          <cell r="S2256"/>
          <cell r="T2256">
            <v>44596</v>
          </cell>
          <cell r="U2256">
            <v>44616</v>
          </cell>
          <cell r="V2256">
            <v>44617</v>
          </cell>
          <cell r="W2256">
            <v>44617</v>
          </cell>
          <cell r="X2256" t="str">
            <v>41100409 → 41100449</v>
          </cell>
        </row>
        <row r="2257">
          <cell r="K2257" t="str">
            <v>GBWS-2057</v>
          </cell>
          <cell r="L2257">
            <v>44573</v>
          </cell>
          <cell r="M2257">
            <v>44573</v>
          </cell>
          <cell r="N2257">
            <v>44589</v>
          </cell>
          <cell r="O2257">
            <v>44573</v>
          </cell>
          <cell r="P2257">
            <v>44588</v>
          </cell>
          <cell r="Q2257">
            <v>44587</v>
          </cell>
          <cell r="R2257">
            <v>44587</v>
          </cell>
          <cell r="S2257"/>
          <cell r="T2257">
            <v>44596</v>
          </cell>
          <cell r="U2257">
            <v>44615</v>
          </cell>
          <cell r="V2257">
            <v>44616</v>
          </cell>
          <cell r="W2257">
            <v>44616</v>
          </cell>
          <cell r="X2257" t="str">
            <v>41100409 → 41100449</v>
          </cell>
        </row>
        <row r="2258">
          <cell r="K2258" t="str">
            <v>GBWS-2058</v>
          </cell>
          <cell r="L2258">
            <v>44573</v>
          </cell>
          <cell r="M2258">
            <v>44573</v>
          </cell>
          <cell r="N2258">
            <v>44589</v>
          </cell>
          <cell r="O2258">
            <v>44573</v>
          </cell>
          <cell r="P2258">
            <v>44588</v>
          </cell>
          <cell r="Q2258">
            <v>44587</v>
          </cell>
          <cell r="R2258">
            <v>44587</v>
          </cell>
          <cell r="S2258"/>
          <cell r="T2258">
            <v>44596</v>
          </cell>
          <cell r="U2258">
            <v>44610</v>
          </cell>
          <cell r="V2258">
            <v>44610</v>
          </cell>
          <cell r="W2258">
            <v>44613</v>
          </cell>
          <cell r="X2258" t="str">
            <v>41100409 → 41100449</v>
          </cell>
        </row>
        <row r="2259">
          <cell r="K2259" t="str">
            <v>GBWS-2060</v>
          </cell>
          <cell r="L2259">
            <v>44573</v>
          </cell>
          <cell r="M2259">
            <v>44573</v>
          </cell>
          <cell r="N2259">
            <v>44589</v>
          </cell>
          <cell r="O2259">
            <v>44573</v>
          </cell>
          <cell r="P2259">
            <v>44588</v>
          </cell>
          <cell r="Q2259">
            <v>44587</v>
          </cell>
          <cell r="R2259">
            <v>44587</v>
          </cell>
          <cell r="S2259"/>
          <cell r="T2259">
            <v>44600</v>
          </cell>
          <cell r="U2259">
            <v>44615</v>
          </cell>
          <cell r="V2259">
            <v>44616</v>
          </cell>
          <cell r="W2259">
            <v>44616</v>
          </cell>
          <cell r="X2259" t="str">
            <v>41100409 → 41100449</v>
          </cell>
        </row>
        <row r="2260">
          <cell r="K2260" t="str">
            <v>GBWS-2116</v>
          </cell>
          <cell r="L2260">
            <v>44614</v>
          </cell>
          <cell r="M2260">
            <v>44614</v>
          </cell>
          <cell r="N2260">
            <v>44624</v>
          </cell>
          <cell r="O2260">
            <v>44614</v>
          </cell>
          <cell r="P2260">
            <v>44628</v>
          </cell>
          <cell r="Q2260">
            <v>44628</v>
          </cell>
          <cell r="R2260">
            <v>44628</v>
          </cell>
          <cell r="S2260"/>
          <cell r="T2260">
            <v>44630</v>
          </cell>
          <cell r="U2260">
            <v>44638</v>
          </cell>
          <cell r="V2260">
            <v>44638</v>
          </cell>
          <cell r="W2260">
            <v>44650</v>
          </cell>
          <cell r="X2260">
            <v>41100449</v>
          </cell>
        </row>
        <row r="2261">
          <cell r="K2261" t="str">
            <v>GBWS-2059</v>
          </cell>
          <cell r="L2261">
            <v>44573</v>
          </cell>
          <cell r="M2261">
            <v>44573</v>
          </cell>
          <cell r="N2261">
            <v>44589</v>
          </cell>
          <cell r="O2261">
            <v>44573</v>
          </cell>
          <cell r="P2261">
            <v>44588</v>
          </cell>
          <cell r="Q2261">
            <v>44587</v>
          </cell>
          <cell r="R2261">
            <v>44587</v>
          </cell>
          <cell r="S2261"/>
          <cell r="T2261">
            <v>44596</v>
          </cell>
          <cell r="U2261">
            <v>44616</v>
          </cell>
          <cell r="V2261">
            <v>44617</v>
          </cell>
          <cell r="W2261">
            <v>44620</v>
          </cell>
          <cell r="X2261" t="str">
            <v>41100409 → 41100449</v>
          </cell>
        </row>
        <row r="2262">
          <cell r="K2262" t="str">
            <v>GBWS-2200</v>
          </cell>
          <cell r="L2262">
            <v>44649</v>
          </cell>
          <cell r="M2262">
            <v>44649</v>
          </cell>
          <cell r="N2262">
            <v>44658</v>
          </cell>
          <cell r="O2262">
            <v>44649</v>
          </cell>
          <cell r="P2262">
            <v>44658</v>
          </cell>
          <cell r="Q2262">
            <v>44658</v>
          </cell>
          <cell r="R2262">
            <v>44658</v>
          </cell>
          <cell r="S2262"/>
          <cell r="T2262">
            <v>44659</v>
          </cell>
          <cell r="U2262">
            <v>44662</v>
          </cell>
          <cell r="V2262">
            <v>44663</v>
          </cell>
          <cell r="W2262">
            <v>44663</v>
          </cell>
          <cell r="X2262">
            <v>41100320</v>
          </cell>
        </row>
        <row r="2263">
          <cell r="K2263" t="str">
            <v>GPWS-0175</v>
          </cell>
          <cell r="L2263">
            <v>43595</v>
          </cell>
          <cell r="M2263">
            <v>43598</v>
          </cell>
          <cell r="N2263">
            <v>43609</v>
          </cell>
          <cell r="O2263">
            <v>43598</v>
          </cell>
          <cell r="P2263">
            <v>43613</v>
          </cell>
          <cell r="Q2263" t="str">
            <v>-</v>
          </cell>
          <cell r="R2263" t="str">
            <v>-</v>
          </cell>
          <cell r="S2263"/>
          <cell r="T2263">
            <v>43615</v>
          </cell>
          <cell r="U2263">
            <v>43615</v>
          </cell>
          <cell r="V2263">
            <v>43616</v>
          </cell>
          <cell r="W2263">
            <v>43616</v>
          </cell>
          <cell r="X2263" t="str">
            <v>41100072 → 41100445</v>
          </cell>
        </row>
        <row r="2264">
          <cell r="K2264"/>
          <cell r="L2264"/>
          <cell r="M2264">
            <v>44607</v>
          </cell>
          <cell r="N2264">
            <v>44617</v>
          </cell>
          <cell r="O2264">
            <v>44607</v>
          </cell>
          <cell r="P2264">
            <v>44614</v>
          </cell>
          <cell r="Q2264">
            <v>44613</v>
          </cell>
          <cell r="R2264">
            <v>44613</v>
          </cell>
          <cell r="S2264"/>
          <cell r="T2264">
            <v>44617</v>
          </cell>
          <cell r="U2264">
            <v>44635</v>
          </cell>
          <cell r="V2264">
            <v>44635</v>
          </cell>
          <cell r="W2264">
            <v>44636</v>
          </cell>
          <cell r="X2264"/>
        </row>
        <row r="2265">
          <cell r="K2265" t="str">
            <v>DBW-2597</v>
          </cell>
          <cell r="L2265">
            <v>44650</v>
          </cell>
          <cell r="M2265">
            <v>44650</v>
          </cell>
          <cell r="N2265">
            <v>44659</v>
          </cell>
          <cell r="O2265">
            <v>44650</v>
          </cell>
          <cell r="P2265">
            <v>44658</v>
          </cell>
          <cell r="Q2265">
            <v>44658</v>
          </cell>
          <cell r="R2265">
            <v>44658</v>
          </cell>
          <cell r="S2265"/>
          <cell r="T2265">
            <v>44659</v>
          </cell>
          <cell r="U2265">
            <v>44662</v>
          </cell>
          <cell r="V2265">
            <v>44663</v>
          </cell>
          <cell r="W2265">
            <v>44664</v>
          </cell>
          <cell r="X2265">
            <v>41100471</v>
          </cell>
        </row>
        <row r="2266">
          <cell r="K2266" t="str">
            <v>GBWS-2194</v>
          </cell>
          <cell r="L2266">
            <v>44649</v>
          </cell>
          <cell r="M2266">
            <v>44649</v>
          </cell>
          <cell r="N2266">
            <v>44658</v>
          </cell>
          <cell r="O2266">
            <v>44649</v>
          </cell>
          <cell r="P2266">
            <v>44658</v>
          </cell>
          <cell r="Q2266">
            <v>44658</v>
          </cell>
          <cell r="R2266">
            <v>44658</v>
          </cell>
          <cell r="S2266"/>
          <cell r="T2266">
            <v>44659</v>
          </cell>
          <cell r="U2266">
            <v>44662</v>
          </cell>
          <cell r="V2266">
            <v>44665</v>
          </cell>
          <cell r="W2266">
            <v>44665</v>
          </cell>
          <cell r="X2266">
            <v>41100223</v>
          </cell>
        </row>
        <row r="2267">
          <cell r="K2267" t="str">
            <v>GBWS-2195</v>
          </cell>
          <cell r="L2267">
            <v>44649</v>
          </cell>
          <cell r="M2267">
            <v>44649</v>
          </cell>
          <cell r="N2267">
            <v>44658</v>
          </cell>
          <cell r="O2267">
            <v>44649</v>
          </cell>
          <cell r="P2267">
            <v>44658</v>
          </cell>
          <cell r="Q2267">
            <v>44658</v>
          </cell>
          <cell r="R2267">
            <v>44658</v>
          </cell>
          <cell r="S2267"/>
          <cell r="T2267">
            <v>44659</v>
          </cell>
          <cell r="U2267">
            <v>44662</v>
          </cell>
          <cell r="V2267">
            <v>44665</v>
          </cell>
          <cell r="W2267">
            <v>44665</v>
          </cell>
          <cell r="X2267">
            <v>41100223</v>
          </cell>
        </row>
        <row r="2268">
          <cell r="K2268" t="str">
            <v>GBWS-1944</v>
          </cell>
          <cell r="L2268">
            <v>44537</v>
          </cell>
          <cell r="M2268">
            <v>44537</v>
          </cell>
          <cell r="N2268">
            <v>44545</v>
          </cell>
          <cell r="O2268">
            <v>44537</v>
          </cell>
          <cell r="P2268">
            <v>44545</v>
          </cell>
          <cell r="Q2268">
            <v>44547</v>
          </cell>
          <cell r="R2268">
            <v>44547</v>
          </cell>
          <cell r="S2268"/>
          <cell r="T2268">
            <v>44546</v>
          </cell>
          <cell r="U2268">
            <v>44549</v>
          </cell>
          <cell r="V2268">
            <v>44550</v>
          </cell>
          <cell r="W2268">
            <v>44553</v>
          </cell>
          <cell r="X2268">
            <v>41100264</v>
          </cell>
        </row>
        <row r="2269">
          <cell r="K2269" t="str">
            <v>GBWS-1945</v>
          </cell>
          <cell r="L2269">
            <v>44537</v>
          </cell>
          <cell r="M2269">
            <v>44537</v>
          </cell>
          <cell r="N2269">
            <v>44545</v>
          </cell>
          <cell r="O2269">
            <v>44537</v>
          </cell>
          <cell r="P2269">
            <v>44545</v>
          </cell>
          <cell r="Q2269">
            <v>44547</v>
          </cell>
          <cell r="R2269">
            <v>44547</v>
          </cell>
          <cell r="S2269"/>
          <cell r="T2269">
            <v>44546</v>
          </cell>
          <cell r="U2269">
            <v>44549</v>
          </cell>
          <cell r="V2269">
            <v>44550</v>
          </cell>
          <cell r="W2269">
            <v>44553</v>
          </cell>
          <cell r="X2269">
            <v>41100264</v>
          </cell>
        </row>
        <row r="2270">
          <cell r="K2270" t="str">
            <v>DS-0356</v>
          </cell>
          <cell r="L2270">
            <v>44662</v>
          </cell>
          <cell r="M2270">
            <v>44663</v>
          </cell>
          <cell r="N2270">
            <v>44663</v>
          </cell>
          <cell r="O2270">
            <v>44663</v>
          </cell>
          <cell r="P2270">
            <v>44663</v>
          </cell>
          <cell r="Q2270">
            <v>44663</v>
          </cell>
          <cell r="R2270">
            <v>44663</v>
          </cell>
          <cell r="S2270"/>
          <cell r="T2270">
            <v>44663</v>
          </cell>
          <cell r="U2270">
            <v>44663</v>
          </cell>
          <cell r="V2270">
            <v>44663</v>
          </cell>
          <cell r="W2270">
            <v>44663</v>
          </cell>
          <cell r="X2270">
            <v>31010363</v>
          </cell>
        </row>
        <row r="2271">
          <cell r="K2271" t="str">
            <v>DS-0357</v>
          </cell>
          <cell r="L2271">
            <v>44662</v>
          </cell>
          <cell r="M2271">
            <v>44663</v>
          </cell>
          <cell r="N2271">
            <v>44663</v>
          </cell>
          <cell r="O2271">
            <v>44663</v>
          </cell>
          <cell r="P2271">
            <v>44663</v>
          </cell>
          <cell r="Q2271">
            <v>44663</v>
          </cell>
          <cell r="R2271">
            <v>44663</v>
          </cell>
          <cell r="S2271"/>
          <cell r="T2271">
            <v>44663</v>
          </cell>
          <cell r="U2271">
            <v>44663</v>
          </cell>
          <cell r="V2271">
            <v>44663</v>
          </cell>
          <cell r="W2271">
            <v>44663</v>
          </cell>
          <cell r="X2271">
            <v>31010363</v>
          </cell>
        </row>
        <row r="2272">
          <cell r="K2272" t="str">
            <v>DBW-2594</v>
          </cell>
          <cell r="L2272">
            <v>44643</v>
          </cell>
          <cell r="M2272">
            <v>44643</v>
          </cell>
          <cell r="N2272">
            <v>44656</v>
          </cell>
          <cell r="O2272">
            <v>44643</v>
          </cell>
          <cell r="P2272">
            <v>44651</v>
          </cell>
          <cell r="Q2272">
            <v>44656</v>
          </cell>
          <cell r="R2272">
            <v>44656</v>
          </cell>
          <cell r="S2272"/>
          <cell r="T2272">
            <v>44657</v>
          </cell>
          <cell r="U2272">
            <v>44658</v>
          </cell>
          <cell r="V2272">
            <v>44659</v>
          </cell>
          <cell r="W2272">
            <v>44663</v>
          </cell>
          <cell r="X2272">
            <v>41100360</v>
          </cell>
        </row>
        <row r="2273">
          <cell r="K2273" t="str">
            <v>DBW-2595</v>
          </cell>
          <cell r="L2273">
            <v>44643</v>
          </cell>
          <cell r="M2273">
            <v>44643</v>
          </cell>
          <cell r="N2273">
            <v>44656</v>
          </cell>
          <cell r="O2273">
            <v>44643</v>
          </cell>
          <cell r="P2273">
            <v>44651</v>
          </cell>
          <cell r="Q2273">
            <v>44656</v>
          </cell>
          <cell r="R2273">
            <v>44656</v>
          </cell>
          <cell r="S2273"/>
          <cell r="T2273">
            <v>44657</v>
          </cell>
          <cell r="U2273">
            <v>44658</v>
          </cell>
          <cell r="V2273">
            <v>44659</v>
          </cell>
          <cell r="W2273">
            <v>44663</v>
          </cell>
          <cell r="X2273">
            <v>41100360</v>
          </cell>
        </row>
        <row r="2274">
          <cell r="K2274" t="str">
            <v>DBW-2596</v>
          </cell>
          <cell r="L2274">
            <v>44643</v>
          </cell>
          <cell r="M2274">
            <v>44643</v>
          </cell>
          <cell r="N2274">
            <v>44656</v>
          </cell>
          <cell r="O2274">
            <v>44643</v>
          </cell>
          <cell r="P2274">
            <v>44651</v>
          </cell>
          <cell r="Q2274">
            <v>44656</v>
          </cell>
          <cell r="R2274">
            <v>44656</v>
          </cell>
          <cell r="S2274"/>
          <cell r="T2274">
            <v>44657</v>
          </cell>
          <cell r="U2274">
            <v>44658</v>
          </cell>
          <cell r="V2274">
            <v>44664</v>
          </cell>
          <cell r="W2274">
            <v>44664</v>
          </cell>
          <cell r="X2274">
            <v>41100360</v>
          </cell>
        </row>
        <row r="2275">
          <cell r="K2275" t="str">
            <v>GBA-0104</v>
          </cell>
          <cell r="L2275">
            <v>44641</v>
          </cell>
          <cell r="M2275">
            <v>44641</v>
          </cell>
          <cell r="N2275">
            <v>44657</v>
          </cell>
          <cell r="O2275">
            <v>44641</v>
          </cell>
          <cell r="P2275">
            <v>44655</v>
          </cell>
          <cell r="Q2275">
            <v>44655</v>
          </cell>
          <cell r="R2275">
            <v>44655</v>
          </cell>
          <cell r="S2275"/>
          <cell r="T2275">
            <v>44656</v>
          </cell>
          <cell r="U2275">
            <v>44657</v>
          </cell>
          <cell r="V2275">
            <v>44664</v>
          </cell>
          <cell r="W2275">
            <v>44665</v>
          </cell>
          <cell r="X2275">
            <v>41100164</v>
          </cell>
        </row>
        <row r="2276">
          <cell r="K2276" t="str">
            <v>GBA-0105</v>
          </cell>
          <cell r="L2276">
            <v>44641</v>
          </cell>
          <cell r="M2276">
            <v>44641</v>
          </cell>
          <cell r="N2276">
            <v>44657</v>
          </cell>
          <cell r="O2276">
            <v>44641</v>
          </cell>
          <cell r="P2276">
            <v>44655</v>
          </cell>
          <cell r="Q2276">
            <v>44655</v>
          </cell>
          <cell r="R2276">
            <v>44655</v>
          </cell>
          <cell r="S2276"/>
          <cell r="T2276">
            <v>44656</v>
          </cell>
          <cell r="U2276">
            <v>44657</v>
          </cell>
          <cell r="V2276">
            <v>44664</v>
          </cell>
          <cell r="W2276">
            <v>44665</v>
          </cell>
          <cell r="X2276">
            <v>41100164</v>
          </cell>
        </row>
        <row r="2277">
          <cell r="K2277" t="str">
            <v>GBA-0106</v>
          </cell>
          <cell r="L2277">
            <v>44641</v>
          </cell>
          <cell r="M2277">
            <v>44641</v>
          </cell>
          <cell r="N2277">
            <v>44657</v>
          </cell>
          <cell r="O2277">
            <v>44641</v>
          </cell>
          <cell r="P2277">
            <v>44655</v>
          </cell>
          <cell r="Q2277">
            <v>44655</v>
          </cell>
          <cell r="R2277">
            <v>44655</v>
          </cell>
          <cell r="S2277"/>
          <cell r="T2277">
            <v>44656</v>
          </cell>
          <cell r="U2277">
            <v>44657</v>
          </cell>
          <cell r="V2277">
            <v>44664</v>
          </cell>
          <cell r="W2277">
            <v>44665</v>
          </cell>
          <cell r="X2277">
            <v>41100164</v>
          </cell>
        </row>
        <row r="2278">
          <cell r="K2278" t="str">
            <v>DBW-2541</v>
          </cell>
          <cell r="L2278">
            <v>44608</v>
          </cell>
          <cell r="M2278">
            <v>44609</v>
          </cell>
          <cell r="N2278">
            <v>44622</v>
          </cell>
          <cell r="O2278">
            <v>44609</v>
          </cell>
          <cell r="P2278">
            <v>44623</v>
          </cell>
          <cell r="Q2278" t="str">
            <v>2022-03-02 → 3/3</v>
          </cell>
          <cell r="R2278" t="str">
            <v>2022-03-02 → 3/3</v>
          </cell>
          <cell r="S2278"/>
          <cell r="T2278">
            <v>44628</v>
          </cell>
          <cell r="U2278">
            <v>44637</v>
          </cell>
          <cell r="V2278">
            <v>44637</v>
          </cell>
          <cell r="W2278">
            <v>44641</v>
          </cell>
          <cell r="X2278">
            <v>41100258</v>
          </cell>
        </row>
        <row r="2279">
          <cell r="K2279" t="str">
            <v>GBWS-2118</v>
          </cell>
          <cell r="L2279">
            <v>44614</v>
          </cell>
          <cell r="M2279">
            <v>44614</v>
          </cell>
          <cell r="N2279">
            <v>44630</v>
          </cell>
          <cell r="O2279">
            <v>44614</v>
          </cell>
          <cell r="P2279">
            <v>44630</v>
          </cell>
          <cell r="Q2279">
            <v>44630</v>
          </cell>
          <cell r="R2279">
            <v>44630</v>
          </cell>
          <cell r="S2279"/>
          <cell r="T2279">
            <v>44631</v>
          </cell>
          <cell r="U2279">
            <v>44637</v>
          </cell>
          <cell r="V2279">
            <v>44641</v>
          </cell>
          <cell r="W2279">
            <v>44650</v>
          </cell>
          <cell r="X2279">
            <v>41100449</v>
          </cell>
        </row>
        <row r="2280">
          <cell r="K2280" t="str">
            <v>GBWS-2119</v>
          </cell>
          <cell r="L2280">
            <v>44614</v>
          </cell>
          <cell r="M2280">
            <v>44614</v>
          </cell>
          <cell r="N2280">
            <v>44630</v>
          </cell>
          <cell r="O2280">
            <v>44614</v>
          </cell>
          <cell r="P2280">
            <v>44630</v>
          </cell>
          <cell r="Q2280">
            <v>44630</v>
          </cell>
          <cell r="R2280">
            <v>44630</v>
          </cell>
          <cell r="S2280"/>
          <cell r="T2280">
            <v>44631</v>
          </cell>
          <cell r="U2280">
            <v>44637</v>
          </cell>
          <cell r="V2280">
            <v>44641</v>
          </cell>
          <cell r="W2280">
            <v>44650</v>
          </cell>
          <cell r="X2280">
            <v>41100449</v>
          </cell>
        </row>
        <row r="2281">
          <cell r="K2281" t="str">
            <v>GBWS-2120</v>
          </cell>
          <cell r="L2281">
            <v>44614</v>
          </cell>
          <cell r="M2281">
            <v>44614</v>
          </cell>
          <cell r="N2281">
            <v>44630</v>
          </cell>
          <cell r="O2281">
            <v>44614</v>
          </cell>
          <cell r="P2281">
            <v>44641</v>
          </cell>
          <cell r="Q2281">
            <v>44630</v>
          </cell>
          <cell r="R2281">
            <v>44630</v>
          </cell>
          <cell r="S2281"/>
          <cell r="T2281">
            <v>44643</v>
          </cell>
          <cell r="U2281">
            <v>44649</v>
          </cell>
          <cell r="V2281">
            <v>44650</v>
          </cell>
          <cell r="W2281">
            <v>44651</v>
          </cell>
          <cell r="X2281">
            <v>41100449</v>
          </cell>
        </row>
        <row r="2282">
          <cell r="K2282" t="str">
            <v>GBWS-2117</v>
          </cell>
          <cell r="L2282">
            <v>44614</v>
          </cell>
          <cell r="M2282">
            <v>44614</v>
          </cell>
          <cell r="N2282">
            <v>44624</v>
          </cell>
          <cell r="O2282">
            <v>44614</v>
          </cell>
          <cell r="P2282">
            <v>44628</v>
          </cell>
          <cell r="Q2282">
            <v>44628</v>
          </cell>
          <cell r="R2282">
            <v>44628</v>
          </cell>
          <cell r="S2282"/>
          <cell r="T2282">
            <v>44630</v>
          </cell>
          <cell r="U2282">
            <v>44641</v>
          </cell>
          <cell r="V2282">
            <v>44641</v>
          </cell>
          <cell r="W2282">
            <v>44650</v>
          </cell>
          <cell r="X2282">
            <v>41100449</v>
          </cell>
        </row>
        <row r="2283">
          <cell r="K2283" t="str">
            <v>GBWS-2139</v>
          </cell>
          <cell r="L2283">
            <v>44627</v>
          </cell>
          <cell r="M2283">
            <v>44628</v>
          </cell>
          <cell r="N2283">
            <v>44645</v>
          </cell>
          <cell r="O2283">
            <v>44628</v>
          </cell>
          <cell r="P2283">
            <v>44650</v>
          </cell>
          <cell r="Q2283" t="str">
            <v>2022-03-23 → 3/25</v>
          </cell>
          <cell r="R2283" t="str">
            <v>2022-03-23 → 3/25</v>
          </cell>
          <cell r="S2283"/>
          <cell r="T2283">
            <v>44649</v>
          </cell>
          <cell r="U2283">
            <v>44651</v>
          </cell>
          <cell r="V2283">
            <v>44655</v>
          </cell>
          <cell r="W2283">
            <v>44662</v>
          </cell>
          <cell r="X2283">
            <v>41100449</v>
          </cell>
        </row>
        <row r="2284">
          <cell r="K2284" t="str">
            <v>GBWS-2140</v>
          </cell>
          <cell r="L2284">
            <v>44627</v>
          </cell>
          <cell r="M2284">
            <v>44628</v>
          </cell>
          <cell r="N2284">
            <v>44645</v>
          </cell>
          <cell r="O2284">
            <v>44628</v>
          </cell>
          <cell r="P2284">
            <v>44650</v>
          </cell>
          <cell r="Q2284" t="str">
            <v>2022-03-23 → 3/25</v>
          </cell>
          <cell r="R2284" t="str">
            <v>2022-03-23 → 3/25</v>
          </cell>
          <cell r="S2284"/>
          <cell r="T2284">
            <v>44649</v>
          </cell>
          <cell r="U2284">
            <v>44652</v>
          </cell>
          <cell r="V2284">
            <v>44655</v>
          </cell>
          <cell r="W2284">
            <v>44658</v>
          </cell>
          <cell r="X2284">
            <v>41100449</v>
          </cell>
        </row>
        <row r="2285">
          <cell r="K2285" t="str">
            <v>GBWS-2141</v>
          </cell>
          <cell r="L2285">
            <v>44627</v>
          </cell>
          <cell r="M2285">
            <v>44628</v>
          </cell>
          <cell r="N2285">
            <v>44645</v>
          </cell>
          <cell r="O2285">
            <v>44628</v>
          </cell>
          <cell r="P2285">
            <v>44650</v>
          </cell>
          <cell r="Q2285" t="str">
            <v>2022-03-23 → 3/25</v>
          </cell>
          <cell r="R2285" t="str">
            <v>2022-03-23 → 3/25</v>
          </cell>
          <cell r="S2285"/>
          <cell r="T2285">
            <v>44648</v>
          </cell>
          <cell r="U2285">
            <v>44655</v>
          </cell>
          <cell r="V2285">
            <v>44655</v>
          </cell>
          <cell r="W2285">
            <v>44658</v>
          </cell>
          <cell r="X2285">
            <v>41100449</v>
          </cell>
        </row>
        <row r="2286">
          <cell r="K2286" t="str">
            <v>GBWS-2142</v>
          </cell>
          <cell r="L2286">
            <v>44627</v>
          </cell>
          <cell r="M2286">
            <v>44628</v>
          </cell>
          <cell r="N2286">
            <v>44645</v>
          </cell>
          <cell r="O2286">
            <v>44628</v>
          </cell>
          <cell r="P2286">
            <v>44650</v>
          </cell>
          <cell r="Q2286" t="str">
            <v>2022-03-23 → 3/25</v>
          </cell>
          <cell r="R2286" t="str">
            <v>2022-03-23 → 3/25</v>
          </cell>
          <cell r="S2286"/>
          <cell r="T2286">
            <v>44649</v>
          </cell>
          <cell r="U2286">
            <v>44651</v>
          </cell>
          <cell r="V2286">
            <v>44655</v>
          </cell>
          <cell r="W2286">
            <v>44664</v>
          </cell>
          <cell r="X2286">
            <v>41100449</v>
          </cell>
        </row>
        <row r="2287">
          <cell r="K2287" t="str">
            <v>GBWS-2135</v>
          </cell>
          <cell r="L2287">
            <v>44623</v>
          </cell>
          <cell r="M2287">
            <v>44623</v>
          </cell>
          <cell r="N2287">
            <v>44638</v>
          </cell>
          <cell r="O2287">
            <v>44623</v>
          </cell>
          <cell r="P2287">
            <v>44650</v>
          </cell>
          <cell r="Q2287" t="str">
            <v>2022-03-16 → 3/18</v>
          </cell>
          <cell r="R2287" t="str">
            <v>2022-03-16 → 3/18</v>
          </cell>
          <cell r="S2287"/>
          <cell r="T2287">
            <v>44643</v>
          </cell>
          <cell r="U2287">
            <v>44656</v>
          </cell>
          <cell r="V2287">
            <v>44657</v>
          </cell>
          <cell r="W2287">
            <v>44662</v>
          </cell>
          <cell r="X2287">
            <v>41100449</v>
          </cell>
        </row>
        <row r="2288">
          <cell r="K2288" t="str">
            <v>DBW-2582</v>
          </cell>
          <cell r="L2288">
            <v>44637</v>
          </cell>
          <cell r="M2288">
            <v>44637</v>
          </cell>
          <cell r="N2288">
            <v>44649</v>
          </cell>
          <cell r="O2288">
            <v>44637</v>
          </cell>
          <cell r="P2288">
            <v>44649</v>
          </cell>
          <cell r="Q2288">
            <v>44649</v>
          </cell>
          <cell r="R2288">
            <v>44649</v>
          </cell>
          <cell r="S2288"/>
          <cell r="T2288">
            <v>44651</v>
          </cell>
          <cell r="U2288">
            <v>44652</v>
          </cell>
          <cell r="V2288">
            <v>44655</v>
          </cell>
          <cell r="W2288">
            <v>44657</v>
          </cell>
          <cell r="X2288">
            <v>41100471</v>
          </cell>
        </row>
        <row r="2289">
          <cell r="K2289" t="str">
            <v>IVAS-132</v>
          </cell>
          <cell r="L2289">
            <v>44620</v>
          </cell>
          <cell r="M2289">
            <v>44620</v>
          </cell>
          <cell r="N2289">
            <v>44641</v>
          </cell>
          <cell r="O2289">
            <v>44620</v>
          </cell>
          <cell r="P2289">
            <v>44641</v>
          </cell>
          <cell r="Q2289">
            <v>44637</v>
          </cell>
          <cell r="R2289">
            <v>44637</v>
          </cell>
          <cell r="S2289"/>
          <cell r="T2289">
            <v>44641</v>
          </cell>
          <cell r="U2289">
            <v>44662</v>
          </cell>
          <cell r="V2289">
            <v>44671</v>
          </cell>
          <cell r="W2289">
            <v>44671</v>
          </cell>
          <cell r="X2289">
            <v>41100414</v>
          </cell>
        </row>
        <row r="2290">
          <cell r="K2290" t="str">
            <v>IVAS-131</v>
          </cell>
          <cell r="L2290">
            <v>44601</v>
          </cell>
          <cell r="M2290">
            <v>44601</v>
          </cell>
          <cell r="N2290">
            <v>44620</v>
          </cell>
          <cell r="O2290">
            <v>44601</v>
          </cell>
          <cell r="P2290">
            <v>44635</v>
          </cell>
          <cell r="Q2290">
            <v>44617</v>
          </cell>
          <cell r="R2290">
            <v>44617</v>
          </cell>
          <cell r="S2290"/>
          <cell r="T2290">
            <v>44620</v>
          </cell>
          <cell r="U2290">
            <v>44648</v>
          </cell>
          <cell r="V2290">
            <v>44649</v>
          </cell>
          <cell r="W2290">
            <v>44651</v>
          </cell>
          <cell r="X2290">
            <v>41100271</v>
          </cell>
        </row>
        <row r="2291">
          <cell r="K2291" t="str">
            <v>DBW-2610</v>
          </cell>
          <cell r="L2291">
            <v>44658</v>
          </cell>
          <cell r="M2291" t="str">
            <v>2022-04-14 → 4/8</v>
          </cell>
          <cell r="N2291">
            <v>44669</v>
          </cell>
          <cell r="O2291" t="str">
            <v>2022-04-14 → 4/8</v>
          </cell>
          <cell r="P2291">
            <v>44667</v>
          </cell>
          <cell r="Q2291" t="str">
            <v>2022-04-25 → 4/16</v>
          </cell>
          <cell r="R2291" t="str">
            <v>2022-04-25 → 4/16</v>
          </cell>
          <cell r="S2291"/>
          <cell r="T2291">
            <v>44669</v>
          </cell>
          <cell r="U2291">
            <v>44670</v>
          </cell>
          <cell r="V2291">
            <v>44671</v>
          </cell>
          <cell r="W2291">
            <v>44671</v>
          </cell>
          <cell r="X2291">
            <v>41100471</v>
          </cell>
        </row>
        <row r="2292">
          <cell r="K2292" t="str">
            <v>GBWS-2229</v>
          </cell>
          <cell r="L2292">
            <v>44657</v>
          </cell>
          <cell r="M2292">
            <v>44658</v>
          </cell>
          <cell r="N2292">
            <v>44669</v>
          </cell>
          <cell r="O2292">
            <v>44658</v>
          </cell>
          <cell r="P2292">
            <v>44669</v>
          </cell>
          <cell r="Q2292">
            <v>44669</v>
          </cell>
          <cell r="R2292">
            <v>44669</v>
          </cell>
          <cell r="S2292"/>
          <cell r="T2292">
            <v>44670</v>
          </cell>
          <cell r="U2292">
            <v>44671</v>
          </cell>
          <cell r="V2292">
            <v>44673</v>
          </cell>
          <cell r="W2292">
            <v>44673</v>
          </cell>
          <cell r="X2292">
            <v>41100408</v>
          </cell>
        </row>
        <row r="2293">
          <cell r="K2293" t="str">
            <v>GBWS-2170</v>
          </cell>
          <cell r="L2293">
            <v>44635</v>
          </cell>
          <cell r="M2293">
            <v>44636</v>
          </cell>
          <cell r="N2293">
            <v>44645</v>
          </cell>
          <cell r="O2293">
            <v>44636</v>
          </cell>
          <cell r="P2293">
            <v>44649</v>
          </cell>
          <cell r="Q2293">
            <v>44649</v>
          </cell>
          <cell r="R2293">
            <v>44649</v>
          </cell>
          <cell r="S2293"/>
          <cell r="T2293">
            <v>44651</v>
          </cell>
          <cell r="U2293">
            <v>44652</v>
          </cell>
          <cell r="V2293">
            <v>44655</v>
          </cell>
          <cell r="W2293">
            <v>44656</v>
          </cell>
          <cell r="X2293">
            <v>41100254</v>
          </cell>
        </row>
        <row r="2294">
          <cell r="K2294" t="str">
            <v>GBWS-2171</v>
          </cell>
          <cell r="L2294">
            <v>44635</v>
          </cell>
          <cell r="M2294">
            <v>44636</v>
          </cell>
          <cell r="N2294">
            <v>44645</v>
          </cell>
          <cell r="O2294">
            <v>44636</v>
          </cell>
          <cell r="P2294">
            <v>44649</v>
          </cell>
          <cell r="Q2294">
            <v>44649</v>
          </cell>
          <cell r="R2294">
            <v>44649</v>
          </cell>
          <cell r="S2294"/>
          <cell r="T2294">
            <v>44651</v>
          </cell>
          <cell r="U2294">
            <v>44651</v>
          </cell>
          <cell r="V2294">
            <v>44659</v>
          </cell>
          <cell r="W2294">
            <v>44662</v>
          </cell>
          <cell r="X2294">
            <v>41100254</v>
          </cell>
        </row>
        <row r="2295">
          <cell r="K2295" t="str">
            <v>DBW-2601</v>
          </cell>
          <cell r="L2295">
            <v>44651</v>
          </cell>
          <cell r="M2295">
            <v>44651</v>
          </cell>
          <cell r="N2295">
            <v>44658</v>
          </cell>
          <cell r="O2295">
            <v>44651</v>
          </cell>
          <cell r="P2295">
            <v>44659</v>
          </cell>
          <cell r="Q2295">
            <v>44659</v>
          </cell>
          <cell r="R2295">
            <v>44659</v>
          </cell>
          <cell r="S2295"/>
          <cell r="T2295">
            <v>44663</v>
          </cell>
          <cell r="U2295">
            <v>44664</v>
          </cell>
          <cell r="V2295">
            <v>44665</v>
          </cell>
          <cell r="W2295">
            <v>44665</v>
          </cell>
          <cell r="X2295">
            <v>41100472</v>
          </cell>
        </row>
        <row r="2296">
          <cell r="K2296" t="str">
            <v>DBW-2602</v>
          </cell>
          <cell r="L2296">
            <v>44651</v>
          </cell>
          <cell r="M2296">
            <v>44651</v>
          </cell>
          <cell r="N2296">
            <v>44658</v>
          </cell>
          <cell r="O2296">
            <v>44651</v>
          </cell>
          <cell r="P2296">
            <v>44659</v>
          </cell>
          <cell r="Q2296">
            <v>44659</v>
          </cell>
          <cell r="R2296">
            <v>44659</v>
          </cell>
          <cell r="S2296"/>
          <cell r="T2296">
            <v>44663</v>
          </cell>
          <cell r="U2296">
            <v>44664</v>
          </cell>
          <cell r="V2296">
            <v>44665</v>
          </cell>
          <cell r="W2296">
            <v>44665</v>
          </cell>
          <cell r="X2296">
            <v>41100472</v>
          </cell>
        </row>
        <row r="2297">
          <cell r="K2297" t="str">
            <v>DBW-2606</v>
          </cell>
          <cell r="L2297">
            <v>44657</v>
          </cell>
          <cell r="M2297">
            <v>44656</v>
          </cell>
          <cell r="N2297">
            <v>44664</v>
          </cell>
          <cell r="O2297">
            <v>44656</v>
          </cell>
          <cell r="P2297">
            <v>44664</v>
          </cell>
          <cell r="Q2297">
            <v>44664</v>
          </cell>
          <cell r="R2297">
            <v>44664</v>
          </cell>
          <cell r="S2297"/>
          <cell r="T2297">
            <v>44665</v>
          </cell>
          <cell r="U2297">
            <v>44665</v>
          </cell>
          <cell r="V2297">
            <v>44669</v>
          </cell>
          <cell r="W2297">
            <v>44670</v>
          </cell>
          <cell r="X2297">
            <v>41100480</v>
          </cell>
        </row>
        <row r="2298">
          <cell r="K2298" t="str">
            <v>DBW-2607</v>
          </cell>
          <cell r="L2298">
            <v>44657</v>
          </cell>
          <cell r="M2298">
            <v>44656</v>
          </cell>
          <cell r="N2298">
            <v>44664</v>
          </cell>
          <cell r="O2298">
            <v>44656</v>
          </cell>
          <cell r="P2298">
            <v>44664</v>
          </cell>
          <cell r="Q2298">
            <v>44664</v>
          </cell>
          <cell r="R2298">
            <v>44664</v>
          </cell>
          <cell r="S2298"/>
          <cell r="T2298">
            <v>44665</v>
          </cell>
          <cell r="U2298">
            <v>44665</v>
          </cell>
          <cell r="V2298">
            <v>44670</v>
          </cell>
          <cell r="W2298">
            <v>44672</v>
          </cell>
          <cell r="X2298">
            <v>41100480</v>
          </cell>
        </row>
        <row r="2299">
          <cell r="K2299" t="str">
            <v>GBWS-2199</v>
          </cell>
          <cell r="L2299">
            <v>44649</v>
          </cell>
          <cell r="M2299">
            <v>44649</v>
          </cell>
          <cell r="N2299">
            <v>44662</v>
          </cell>
          <cell r="O2299">
            <v>44649</v>
          </cell>
          <cell r="P2299">
            <v>44662</v>
          </cell>
          <cell r="Q2299">
            <v>44659</v>
          </cell>
          <cell r="R2299">
            <v>44659</v>
          </cell>
          <cell r="S2299"/>
          <cell r="T2299">
            <v>44662</v>
          </cell>
          <cell r="U2299">
            <v>44663</v>
          </cell>
          <cell r="V2299">
            <v>44663</v>
          </cell>
          <cell r="W2299">
            <v>44669</v>
          </cell>
          <cell r="X2299">
            <v>41100363</v>
          </cell>
        </row>
        <row r="2300">
          <cell r="K2300" t="str">
            <v>GBWS-2226</v>
          </cell>
          <cell r="L2300">
            <v>44656</v>
          </cell>
          <cell r="M2300">
            <v>44657</v>
          </cell>
          <cell r="N2300">
            <v>44669</v>
          </cell>
          <cell r="O2300">
            <v>44657</v>
          </cell>
          <cell r="P2300">
            <v>44669</v>
          </cell>
          <cell r="Q2300" t="str">
            <v>2022-04-15 → 4/18</v>
          </cell>
          <cell r="R2300" t="str">
            <v>2022-04-15 → 4/18</v>
          </cell>
          <cell r="S2300"/>
          <cell r="T2300">
            <v>44670</v>
          </cell>
          <cell r="U2300">
            <v>44671</v>
          </cell>
          <cell r="V2300">
            <v>44671</v>
          </cell>
          <cell r="W2300">
            <v>44672</v>
          </cell>
          <cell r="X2300">
            <v>41100090</v>
          </cell>
        </row>
        <row r="2301">
          <cell r="K2301" t="str">
            <v>GBWS-2227</v>
          </cell>
          <cell r="L2301">
            <v>44656</v>
          </cell>
          <cell r="M2301">
            <v>44657</v>
          </cell>
          <cell r="N2301">
            <v>44669</v>
          </cell>
          <cell r="O2301">
            <v>44657</v>
          </cell>
          <cell r="P2301">
            <v>44669</v>
          </cell>
          <cell r="Q2301" t="str">
            <v>2022-04-15 → 4/18</v>
          </cell>
          <cell r="R2301" t="str">
            <v>2022-04-15 → 4/18</v>
          </cell>
          <cell r="S2301"/>
          <cell r="T2301">
            <v>44670</v>
          </cell>
          <cell r="U2301">
            <v>44671</v>
          </cell>
          <cell r="V2301">
            <v>44671</v>
          </cell>
          <cell r="W2301">
            <v>44672</v>
          </cell>
          <cell r="X2301">
            <v>41100090</v>
          </cell>
        </row>
        <row r="2302">
          <cell r="K2302" t="str">
            <v>GBWS-2187</v>
          </cell>
          <cell r="L2302">
            <v>44645</v>
          </cell>
          <cell r="M2302">
            <v>44645</v>
          </cell>
          <cell r="N2302">
            <v>44662</v>
          </cell>
          <cell r="O2302">
            <v>44645</v>
          </cell>
          <cell r="P2302">
            <v>44662</v>
          </cell>
          <cell r="Q2302" t="str">
            <v>2022-04-06 → 4/11</v>
          </cell>
          <cell r="R2302" t="str">
            <v>2022-04-06 → 4/11</v>
          </cell>
          <cell r="S2302"/>
          <cell r="T2302">
            <v>44663</v>
          </cell>
          <cell r="U2302">
            <v>44664</v>
          </cell>
          <cell r="V2302">
            <v>44666</v>
          </cell>
          <cell r="W2302">
            <v>44669</v>
          </cell>
          <cell r="X2302">
            <v>41100416</v>
          </cell>
        </row>
        <row r="2303">
          <cell r="K2303" t="str">
            <v>GBWS-2228</v>
          </cell>
          <cell r="L2303">
            <v>44656</v>
          </cell>
          <cell r="M2303">
            <v>44657</v>
          </cell>
          <cell r="N2303">
            <v>44670</v>
          </cell>
          <cell r="O2303">
            <v>44657</v>
          </cell>
          <cell r="P2303">
            <v>44670</v>
          </cell>
          <cell r="Q2303" t="str">
            <v>2022-04-15 → 4/18</v>
          </cell>
          <cell r="R2303" t="str">
            <v>2022-04-15 → 4/18</v>
          </cell>
          <cell r="S2303"/>
          <cell r="T2303">
            <v>44671</v>
          </cell>
          <cell r="U2303">
            <v>44672</v>
          </cell>
          <cell r="V2303">
            <v>44672</v>
          </cell>
          <cell r="W2303">
            <v>44672</v>
          </cell>
          <cell r="X2303">
            <v>41100416</v>
          </cell>
        </row>
        <row r="2304">
          <cell r="K2304" t="str">
            <v>GBWS-2213</v>
          </cell>
          <cell r="L2304">
            <v>44650</v>
          </cell>
          <cell r="M2304">
            <v>44650</v>
          </cell>
          <cell r="N2304">
            <v>44665</v>
          </cell>
          <cell r="O2304">
            <v>44650</v>
          </cell>
          <cell r="P2304">
            <v>44665</v>
          </cell>
          <cell r="Q2304" t="str">
            <v>2022-04-12 → 4/14</v>
          </cell>
          <cell r="R2304" t="str">
            <v>2022-04-12 → 4/14</v>
          </cell>
          <cell r="S2304"/>
          <cell r="T2304">
            <v>44666</v>
          </cell>
          <cell r="U2304">
            <v>44669</v>
          </cell>
          <cell r="V2304">
            <v>44670</v>
          </cell>
          <cell r="W2304">
            <v>44670</v>
          </cell>
          <cell r="X2304">
            <v>41100408</v>
          </cell>
        </row>
        <row r="2305">
          <cell r="K2305" t="str">
            <v>DS-0358</v>
          </cell>
          <cell r="L2305">
            <v>44671</v>
          </cell>
          <cell r="M2305">
            <v>44672</v>
          </cell>
          <cell r="N2305">
            <v>44672</v>
          </cell>
          <cell r="O2305">
            <v>44672</v>
          </cell>
          <cell r="P2305">
            <v>44672</v>
          </cell>
          <cell r="Q2305">
            <v>44672</v>
          </cell>
          <cell r="R2305">
            <v>44672</v>
          </cell>
          <cell r="S2305"/>
          <cell r="T2305">
            <v>44672</v>
          </cell>
          <cell r="U2305">
            <v>44672</v>
          </cell>
          <cell r="V2305">
            <v>44672</v>
          </cell>
          <cell r="W2305">
            <v>44672</v>
          </cell>
          <cell r="X2305">
            <v>31010314</v>
          </cell>
        </row>
        <row r="2306">
          <cell r="K2306" t="str">
            <v>DS-0359</v>
          </cell>
          <cell r="L2306">
            <v>44671</v>
          </cell>
          <cell r="M2306">
            <v>44672</v>
          </cell>
          <cell r="N2306">
            <v>44672</v>
          </cell>
          <cell r="O2306">
            <v>44672</v>
          </cell>
          <cell r="P2306">
            <v>44672</v>
          </cell>
          <cell r="Q2306">
            <v>44672</v>
          </cell>
          <cell r="R2306">
            <v>44672</v>
          </cell>
          <cell r="S2306"/>
          <cell r="T2306">
            <v>44672</v>
          </cell>
          <cell r="U2306">
            <v>44672</v>
          </cell>
          <cell r="V2306">
            <v>44672</v>
          </cell>
          <cell r="W2306">
            <v>44672</v>
          </cell>
          <cell r="X2306">
            <v>31010314</v>
          </cell>
        </row>
        <row r="2307">
          <cell r="K2307" t="str">
            <v>DS-0360</v>
          </cell>
          <cell r="L2307">
            <v>44671</v>
          </cell>
          <cell r="M2307">
            <v>44672</v>
          </cell>
          <cell r="N2307">
            <v>44672</v>
          </cell>
          <cell r="O2307">
            <v>44672</v>
          </cell>
          <cell r="P2307">
            <v>44672</v>
          </cell>
          <cell r="Q2307">
            <v>44672</v>
          </cell>
          <cell r="R2307">
            <v>44672</v>
          </cell>
          <cell r="S2307"/>
          <cell r="T2307">
            <v>44672</v>
          </cell>
          <cell r="U2307">
            <v>44672</v>
          </cell>
          <cell r="V2307">
            <v>44672</v>
          </cell>
          <cell r="W2307">
            <v>44672</v>
          </cell>
          <cell r="X2307">
            <v>31010314</v>
          </cell>
        </row>
        <row r="2308">
          <cell r="K2308" t="str">
            <v>DS-0361</v>
          </cell>
          <cell r="L2308">
            <v>44671</v>
          </cell>
          <cell r="M2308">
            <v>44672</v>
          </cell>
          <cell r="N2308">
            <v>44672</v>
          </cell>
          <cell r="O2308">
            <v>44672</v>
          </cell>
          <cell r="P2308">
            <v>44672</v>
          </cell>
          <cell r="Q2308">
            <v>44672</v>
          </cell>
          <cell r="R2308">
            <v>44672</v>
          </cell>
          <cell r="S2308"/>
          <cell r="T2308">
            <v>44672</v>
          </cell>
          <cell r="U2308">
            <v>44672</v>
          </cell>
          <cell r="V2308">
            <v>44672</v>
          </cell>
          <cell r="W2308">
            <v>44672</v>
          </cell>
          <cell r="X2308">
            <v>31010314</v>
          </cell>
        </row>
        <row r="2309">
          <cell r="K2309" t="str">
            <v>-</v>
          </cell>
          <cell r="L2309">
            <v>44664</v>
          </cell>
          <cell r="M2309">
            <v>44665</v>
          </cell>
          <cell r="N2309">
            <v>44672</v>
          </cell>
          <cell r="O2309">
            <v>44665</v>
          </cell>
          <cell r="P2309">
            <v>44672</v>
          </cell>
          <cell r="Q2309">
            <v>44671</v>
          </cell>
          <cell r="R2309">
            <v>44671</v>
          </cell>
          <cell r="S2309"/>
          <cell r="T2309" t="str">
            <v>-</v>
          </cell>
          <cell r="U2309">
            <v>44673</v>
          </cell>
          <cell r="V2309">
            <v>44673</v>
          </cell>
          <cell r="W2309">
            <v>44673</v>
          </cell>
          <cell r="X2309">
            <v>31101695</v>
          </cell>
        </row>
        <row r="2310">
          <cell r="K2310" t="str">
            <v>DBW-2599</v>
          </cell>
          <cell r="L2310">
            <v>44651</v>
          </cell>
          <cell r="M2310">
            <v>44651</v>
          </cell>
          <cell r="N2310">
            <v>44658</v>
          </cell>
          <cell r="O2310">
            <v>44651</v>
          </cell>
          <cell r="P2310">
            <v>44659</v>
          </cell>
          <cell r="Q2310">
            <v>44659</v>
          </cell>
          <cell r="R2310">
            <v>44659</v>
          </cell>
          <cell r="S2310"/>
          <cell r="T2310">
            <v>44663</v>
          </cell>
          <cell r="U2310">
            <v>44664</v>
          </cell>
          <cell r="V2310">
            <v>44665</v>
          </cell>
          <cell r="W2310">
            <v>44665</v>
          </cell>
          <cell r="X2310">
            <v>41100472</v>
          </cell>
        </row>
        <row r="2311">
          <cell r="K2311" t="str">
            <v>DBW-2600</v>
          </cell>
          <cell r="L2311">
            <v>44651</v>
          </cell>
          <cell r="M2311">
            <v>44651</v>
          </cell>
          <cell r="N2311">
            <v>44658</v>
          </cell>
          <cell r="O2311">
            <v>44651</v>
          </cell>
          <cell r="P2311">
            <v>44659</v>
          </cell>
          <cell r="Q2311">
            <v>44659</v>
          </cell>
          <cell r="R2311">
            <v>44659</v>
          </cell>
          <cell r="S2311"/>
          <cell r="T2311">
            <v>44663</v>
          </cell>
          <cell r="U2311">
            <v>44664</v>
          </cell>
          <cell r="V2311">
            <v>44665</v>
          </cell>
          <cell r="W2311">
            <v>44665</v>
          </cell>
          <cell r="X2311">
            <v>41100472</v>
          </cell>
        </row>
        <row r="2312">
          <cell r="K2312" t="str">
            <v>DBW-2608</v>
          </cell>
          <cell r="L2312">
            <v>44657</v>
          </cell>
          <cell r="M2312">
            <v>44656</v>
          </cell>
          <cell r="N2312">
            <v>44664</v>
          </cell>
          <cell r="O2312">
            <v>44656</v>
          </cell>
          <cell r="P2312">
            <v>44664</v>
          </cell>
          <cell r="Q2312">
            <v>44664</v>
          </cell>
          <cell r="R2312">
            <v>44664</v>
          </cell>
          <cell r="S2312"/>
          <cell r="T2312">
            <v>44665</v>
          </cell>
          <cell r="U2312">
            <v>44665</v>
          </cell>
          <cell r="V2312">
            <v>44669</v>
          </cell>
          <cell r="W2312">
            <v>44673</v>
          </cell>
          <cell r="X2312">
            <v>41100471</v>
          </cell>
        </row>
        <row r="2313">
          <cell r="K2313" t="str">
            <v>GBWS-2180</v>
          </cell>
          <cell r="L2313">
            <v>44641</v>
          </cell>
          <cell r="M2313">
            <v>44642</v>
          </cell>
          <cell r="N2313">
            <v>44660</v>
          </cell>
          <cell r="O2313">
            <v>44642</v>
          </cell>
          <cell r="P2313">
            <v>44659</v>
          </cell>
          <cell r="Q2313">
            <v>44659</v>
          </cell>
          <cell r="R2313">
            <v>44659</v>
          </cell>
          <cell r="S2313"/>
          <cell r="T2313">
            <v>44662</v>
          </cell>
          <cell r="U2313">
            <v>44663</v>
          </cell>
          <cell r="V2313">
            <v>44669</v>
          </cell>
          <cell r="W2313">
            <v>44670</v>
          </cell>
          <cell r="X2313">
            <v>41100385</v>
          </cell>
        </row>
        <row r="2314">
          <cell r="K2314" t="str">
            <v>GBWS-2211</v>
          </cell>
          <cell r="L2314">
            <v>44650</v>
          </cell>
          <cell r="M2314">
            <v>44650</v>
          </cell>
          <cell r="N2314">
            <v>44662</v>
          </cell>
          <cell r="O2314">
            <v>44650</v>
          </cell>
          <cell r="P2314">
            <v>44662</v>
          </cell>
          <cell r="Q2314">
            <v>44662</v>
          </cell>
          <cell r="R2314">
            <v>44662</v>
          </cell>
          <cell r="S2314"/>
          <cell r="T2314">
            <v>44663</v>
          </cell>
          <cell r="U2314">
            <v>44664</v>
          </cell>
          <cell r="V2314">
            <v>44669</v>
          </cell>
          <cell r="W2314">
            <v>44669</v>
          </cell>
          <cell r="X2314">
            <v>41100311</v>
          </cell>
        </row>
        <row r="2315">
          <cell r="K2315" t="str">
            <v>GBWS-2212</v>
          </cell>
          <cell r="L2315">
            <v>44650</v>
          </cell>
          <cell r="M2315">
            <v>44650</v>
          </cell>
          <cell r="N2315">
            <v>44662</v>
          </cell>
          <cell r="O2315">
            <v>44650</v>
          </cell>
          <cell r="P2315">
            <v>44662</v>
          </cell>
          <cell r="Q2315">
            <v>44662</v>
          </cell>
          <cell r="R2315">
            <v>44662</v>
          </cell>
          <cell r="S2315"/>
          <cell r="T2315">
            <v>44663</v>
          </cell>
          <cell r="U2315">
            <v>44664</v>
          </cell>
          <cell r="V2315">
            <v>44669</v>
          </cell>
          <cell r="W2315">
            <v>44669</v>
          </cell>
          <cell r="X2315">
            <v>41100311</v>
          </cell>
        </row>
        <row r="2316">
          <cell r="K2316" t="str">
            <v>GBWS-1754</v>
          </cell>
          <cell r="L2316">
            <v>44497</v>
          </cell>
          <cell r="M2316">
            <v>44497</v>
          </cell>
          <cell r="N2316">
            <v>44510</v>
          </cell>
          <cell r="O2316">
            <v>44497</v>
          </cell>
          <cell r="P2316">
            <v>44510</v>
          </cell>
          <cell r="Q2316">
            <v>44509</v>
          </cell>
          <cell r="R2316">
            <v>44509</v>
          </cell>
          <cell r="S2316"/>
          <cell r="T2316">
            <v>44510</v>
          </cell>
          <cell r="U2316">
            <v>44511</v>
          </cell>
          <cell r="V2316">
            <v>44512</v>
          </cell>
          <cell r="W2316">
            <v>44512</v>
          </cell>
          <cell r="X2316">
            <v>41100313</v>
          </cell>
        </row>
        <row r="2317">
          <cell r="K2317" t="str">
            <v>GBWS-2188</v>
          </cell>
          <cell r="L2317">
            <v>44649</v>
          </cell>
          <cell r="M2317">
            <v>44649</v>
          </cell>
          <cell r="N2317">
            <v>44665</v>
          </cell>
          <cell r="O2317">
            <v>44649</v>
          </cell>
          <cell r="P2317">
            <v>44664</v>
          </cell>
          <cell r="Q2317" t="str">
            <v>2022-04-12 → 4/13 오전</v>
          </cell>
          <cell r="R2317" t="str">
            <v>2022-04-12 → 4/13 오전</v>
          </cell>
          <cell r="S2317"/>
          <cell r="T2317">
            <v>44666</v>
          </cell>
          <cell r="U2317">
            <v>44670</v>
          </cell>
          <cell r="V2317">
            <v>44672</v>
          </cell>
          <cell r="W2317">
            <v>44673</v>
          </cell>
          <cell r="X2317">
            <v>41100314</v>
          </cell>
        </row>
        <row r="2318">
          <cell r="K2318" t="str">
            <v>GBWS-2178</v>
          </cell>
          <cell r="L2318">
            <v>44641</v>
          </cell>
          <cell r="M2318">
            <v>44642</v>
          </cell>
          <cell r="N2318">
            <v>44660</v>
          </cell>
          <cell r="O2318">
            <v>44642</v>
          </cell>
          <cell r="P2318">
            <v>44659</v>
          </cell>
          <cell r="Q2318">
            <v>44659</v>
          </cell>
          <cell r="R2318">
            <v>44659</v>
          </cell>
          <cell r="S2318"/>
          <cell r="T2318">
            <v>44662</v>
          </cell>
          <cell r="U2318">
            <v>44663</v>
          </cell>
          <cell r="V2318">
            <v>44669</v>
          </cell>
          <cell r="W2318">
            <v>44670</v>
          </cell>
          <cell r="X2318">
            <v>41100316</v>
          </cell>
        </row>
        <row r="2319">
          <cell r="K2319" t="str">
            <v>GBWS-2179</v>
          </cell>
          <cell r="L2319">
            <v>44641</v>
          </cell>
          <cell r="M2319">
            <v>44642</v>
          </cell>
          <cell r="N2319">
            <v>44660</v>
          </cell>
          <cell r="O2319">
            <v>44642</v>
          </cell>
          <cell r="P2319">
            <v>44659</v>
          </cell>
          <cell r="Q2319">
            <v>44659</v>
          </cell>
          <cell r="R2319">
            <v>44659</v>
          </cell>
          <cell r="S2319"/>
          <cell r="T2319">
            <v>44662</v>
          </cell>
          <cell r="U2319">
            <v>44663</v>
          </cell>
          <cell r="V2319">
            <v>44669</v>
          </cell>
          <cell r="W2319">
            <v>44671</v>
          </cell>
          <cell r="X2319">
            <v>41100316</v>
          </cell>
        </row>
        <row r="2320">
          <cell r="K2320" t="str">
            <v>GBWS-2192</v>
          </cell>
          <cell r="L2320">
            <v>44649</v>
          </cell>
          <cell r="M2320">
            <v>44649</v>
          </cell>
          <cell r="N2320">
            <v>44665</v>
          </cell>
          <cell r="O2320">
            <v>44649</v>
          </cell>
          <cell r="P2320">
            <v>44665</v>
          </cell>
          <cell r="Q2320" t="str">
            <v>2022-04-12 →4/14</v>
          </cell>
          <cell r="R2320" t="str">
            <v>2022-04-12 →4/14</v>
          </cell>
          <cell r="S2320"/>
          <cell r="T2320">
            <v>44666</v>
          </cell>
          <cell r="U2320">
            <v>44669</v>
          </cell>
          <cell r="V2320">
            <v>44670</v>
          </cell>
          <cell r="W2320">
            <v>44673</v>
          </cell>
          <cell r="X2320">
            <v>41100385</v>
          </cell>
        </row>
        <row r="2321">
          <cell r="K2321" t="str">
            <v>GBWS-2193</v>
          </cell>
          <cell r="L2321">
            <v>44649</v>
          </cell>
          <cell r="M2321">
            <v>44649</v>
          </cell>
          <cell r="N2321">
            <v>44665</v>
          </cell>
          <cell r="O2321">
            <v>44649</v>
          </cell>
          <cell r="P2321">
            <v>44665</v>
          </cell>
          <cell r="Q2321" t="str">
            <v>2022-04-12 →4/14</v>
          </cell>
          <cell r="R2321" t="str">
            <v>2022-04-12 →4/14</v>
          </cell>
          <cell r="S2321"/>
          <cell r="T2321">
            <v>44666</v>
          </cell>
          <cell r="U2321">
            <v>44669</v>
          </cell>
          <cell r="V2321">
            <v>44670</v>
          </cell>
          <cell r="W2321">
            <v>44672</v>
          </cell>
          <cell r="X2321">
            <v>41100385</v>
          </cell>
        </row>
        <row r="2322">
          <cell r="K2322" t="str">
            <v>GBWS-2191</v>
          </cell>
          <cell r="L2322">
            <v>44649</v>
          </cell>
          <cell r="M2322">
            <v>44649</v>
          </cell>
          <cell r="N2322">
            <v>44666</v>
          </cell>
          <cell r="O2322">
            <v>44649</v>
          </cell>
          <cell r="P2322">
            <v>44666</v>
          </cell>
          <cell r="Q2322" t="str">
            <v>2022-04-12 →4/15</v>
          </cell>
          <cell r="R2322" t="str">
            <v>2022-04-12 →4/15</v>
          </cell>
          <cell r="S2322"/>
          <cell r="T2322">
            <v>44669</v>
          </cell>
          <cell r="U2322">
            <v>44670</v>
          </cell>
          <cell r="V2322">
            <v>44670</v>
          </cell>
          <cell r="W2322">
            <v>44673</v>
          </cell>
          <cell r="X2322">
            <v>41100385</v>
          </cell>
        </row>
        <row r="2323">
          <cell r="K2323" t="str">
            <v>GBWS-2181</v>
          </cell>
          <cell r="L2323">
            <v>44641</v>
          </cell>
          <cell r="M2323">
            <v>44642</v>
          </cell>
          <cell r="N2323">
            <v>44660</v>
          </cell>
          <cell r="O2323">
            <v>44642</v>
          </cell>
          <cell r="P2323">
            <v>44659</v>
          </cell>
          <cell r="Q2323">
            <v>44659</v>
          </cell>
          <cell r="R2323">
            <v>44659</v>
          </cell>
          <cell r="S2323"/>
          <cell r="T2323">
            <v>44662</v>
          </cell>
          <cell r="U2323">
            <v>44663</v>
          </cell>
          <cell r="V2323">
            <v>44669</v>
          </cell>
          <cell r="W2323">
            <v>44676</v>
          </cell>
          <cell r="X2323">
            <v>41100329</v>
          </cell>
        </row>
        <row r="2324">
          <cell r="K2324" t="str">
            <v>GBWS-2189</v>
          </cell>
          <cell r="L2324">
            <v>44649</v>
          </cell>
          <cell r="M2324">
            <v>44649</v>
          </cell>
          <cell r="N2324">
            <v>44664</v>
          </cell>
          <cell r="O2324">
            <v>44649</v>
          </cell>
          <cell r="P2324">
            <v>44664</v>
          </cell>
          <cell r="Q2324" t="str">
            <v>2022-04-12 → 4/13 오전</v>
          </cell>
          <cell r="R2324" t="str">
            <v>2022-04-12 → 4/13 오전</v>
          </cell>
          <cell r="S2324"/>
          <cell r="T2324">
            <v>44664</v>
          </cell>
          <cell r="U2324">
            <v>44665</v>
          </cell>
          <cell r="V2324">
            <v>44666</v>
          </cell>
          <cell r="W2324">
            <v>44669</v>
          </cell>
          <cell r="X2324">
            <v>41100329</v>
          </cell>
        </row>
        <row r="2325">
          <cell r="K2325" t="str">
            <v>GBWS-2190</v>
          </cell>
          <cell r="L2325">
            <v>44649</v>
          </cell>
          <cell r="M2325">
            <v>44649</v>
          </cell>
          <cell r="N2325">
            <v>44664</v>
          </cell>
          <cell r="O2325">
            <v>44649</v>
          </cell>
          <cell r="P2325">
            <v>44664</v>
          </cell>
          <cell r="Q2325" t="str">
            <v>2022-04-12 → 4/13 오전</v>
          </cell>
          <cell r="R2325" t="str">
            <v>2022-04-12 → 4/13 오전</v>
          </cell>
          <cell r="S2325"/>
          <cell r="T2325">
            <v>44664</v>
          </cell>
          <cell r="U2325">
            <v>44665</v>
          </cell>
          <cell r="V2325">
            <v>44666</v>
          </cell>
          <cell r="W2325">
            <v>44669</v>
          </cell>
          <cell r="X2325">
            <v>41100329</v>
          </cell>
        </row>
        <row r="2326">
          <cell r="K2326" t="str">
            <v>GPWS-0216</v>
          </cell>
          <cell r="L2326">
            <v>44645</v>
          </cell>
          <cell r="M2326">
            <v>44645</v>
          </cell>
          <cell r="N2326">
            <v>44655</v>
          </cell>
          <cell r="O2326">
            <v>44645</v>
          </cell>
          <cell r="P2326">
            <v>44655</v>
          </cell>
          <cell r="Q2326">
            <v>44656</v>
          </cell>
          <cell r="R2326">
            <v>44656</v>
          </cell>
          <cell r="S2326"/>
          <cell r="T2326">
            <v>44656</v>
          </cell>
          <cell r="U2326">
            <v>44657</v>
          </cell>
          <cell r="V2326">
            <v>44659</v>
          </cell>
          <cell r="W2326">
            <v>44664</v>
          </cell>
          <cell r="X2326">
            <v>41100477</v>
          </cell>
        </row>
        <row r="2327">
          <cell r="K2327" t="str">
            <v>GBWS-2143</v>
          </cell>
          <cell r="L2327">
            <v>44627</v>
          </cell>
          <cell r="M2327">
            <v>44628</v>
          </cell>
          <cell r="N2327">
            <v>44645</v>
          </cell>
          <cell r="O2327">
            <v>44628</v>
          </cell>
          <cell r="P2327">
            <v>44650</v>
          </cell>
          <cell r="Q2327" t="str">
            <v>2022-03-23 → 3/25</v>
          </cell>
          <cell r="R2327" t="str">
            <v>2022-03-23 → 3/25</v>
          </cell>
          <cell r="S2327"/>
          <cell r="T2327">
            <v>44648</v>
          </cell>
          <cell r="U2327">
            <v>44655</v>
          </cell>
          <cell r="V2327">
            <v>44655</v>
          </cell>
          <cell r="W2327">
            <v>44659</v>
          </cell>
          <cell r="X2327">
            <v>41100449</v>
          </cell>
        </row>
        <row r="2328">
          <cell r="K2328" t="str">
            <v>GBWS-2144</v>
          </cell>
          <cell r="L2328">
            <v>44627</v>
          </cell>
          <cell r="M2328">
            <v>44628</v>
          </cell>
          <cell r="N2328">
            <v>44645</v>
          </cell>
          <cell r="O2328">
            <v>44628</v>
          </cell>
          <cell r="P2328">
            <v>44650</v>
          </cell>
          <cell r="Q2328" t="str">
            <v>2022-03-23 → 3/25</v>
          </cell>
          <cell r="R2328" t="str">
            <v>2022-03-23 → 3/25</v>
          </cell>
          <cell r="S2328"/>
          <cell r="T2328">
            <v>44648</v>
          </cell>
          <cell r="U2328">
            <v>44651</v>
          </cell>
          <cell r="V2328">
            <v>44657</v>
          </cell>
          <cell r="W2328">
            <v>44659</v>
          </cell>
          <cell r="X2328">
            <v>41100449</v>
          </cell>
        </row>
        <row r="2329">
          <cell r="K2329" t="str">
            <v>GBWS-2145</v>
          </cell>
          <cell r="L2329">
            <v>44627</v>
          </cell>
          <cell r="M2329">
            <v>44628</v>
          </cell>
          <cell r="N2329">
            <v>44645</v>
          </cell>
          <cell r="O2329">
            <v>44628</v>
          </cell>
          <cell r="P2329">
            <v>44650</v>
          </cell>
          <cell r="Q2329" t="str">
            <v>2022-03-23 → 3/25</v>
          </cell>
          <cell r="R2329" t="str">
            <v>2022-03-23 → 3/25</v>
          </cell>
          <cell r="S2329"/>
          <cell r="T2329">
            <v>44648</v>
          </cell>
          <cell r="U2329">
            <v>44656</v>
          </cell>
          <cell r="V2329">
            <v>44657</v>
          </cell>
          <cell r="W2329">
            <v>44659</v>
          </cell>
          <cell r="X2329">
            <v>41100449</v>
          </cell>
        </row>
        <row r="2330">
          <cell r="K2330" t="str">
            <v>GBWS-2146</v>
          </cell>
          <cell r="L2330">
            <v>44627</v>
          </cell>
          <cell r="M2330">
            <v>44628</v>
          </cell>
          <cell r="N2330">
            <v>44645</v>
          </cell>
          <cell r="O2330">
            <v>44628</v>
          </cell>
          <cell r="P2330">
            <v>44650</v>
          </cell>
          <cell r="Q2330" t="str">
            <v>2022-03-23 → 3/25</v>
          </cell>
          <cell r="R2330" t="str">
            <v>2022-03-23 → 3/25</v>
          </cell>
          <cell r="S2330"/>
          <cell r="T2330">
            <v>44649</v>
          </cell>
          <cell r="U2330">
            <v>44651</v>
          </cell>
          <cell r="V2330">
            <v>44655</v>
          </cell>
          <cell r="W2330">
            <v>44658</v>
          </cell>
          <cell r="X2330">
            <v>41100449</v>
          </cell>
        </row>
        <row r="2331">
          <cell r="K2331" t="str">
            <v>GBWS-2147</v>
          </cell>
          <cell r="L2331">
            <v>44627</v>
          </cell>
          <cell r="M2331">
            <v>44628</v>
          </cell>
          <cell r="N2331">
            <v>44645</v>
          </cell>
          <cell r="O2331">
            <v>44628</v>
          </cell>
          <cell r="P2331">
            <v>44650</v>
          </cell>
          <cell r="Q2331" t="str">
            <v>2022-03-23 → 3/25</v>
          </cell>
          <cell r="R2331" t="str">
            <v>2022-03-23 → 3/25</v>
          </cell>
          <cell r="S2331"/>
          <cell r="T2331">
            <v>44648</v>
          </cell>
          <cell r="U2331">
            <v>44651</v>
          </cell>
          <cell r="V2331">
            <v>44657</v>
          </cell>
          <cell r="W2331">
            <v>44659</v>
          </cell>
          <cell r="X2331">
            <v>41100449</v>
          </cell>
        </row>
        <row r="2332">
          <cell r="K2332" t="str">
            <v>GBWS-2136</v>
          </cell>
          <cell r="L2332">
            <v>44623</v>
          </cell>
          <cell r="M2332">
            <v>44623</v>
          </cell>
          <cell r="N2332">
            <v>44638</v>
          </cell>
          <cell r="O2332">
            <v>44623</v>
          </cell>
          <cell r="P2332">
            <v>44650</v>
          </cell>
          <cell r="Q2332" t="str">
            <v>2022-03-16 → 3/18</v>
          </cell>
          <cell r="R2332" t="str">
            <v>2022-03-16 → 3/18</v>
          </cell>
          <cell r="S2332"/>
          <cell r="T2332">
            <v>44643</v>
          </cell>
          <cell r="U2332">
            <v>44664</v>
          </cell>
          <cell r="V2332">
            <v>44664</v>
          </cell>
          <cell r="W2332">
            <v>44665</v>
          </cell>
          <cell r="X2332">
            <v>41100449</v>
          </cell>
        </row>
        <row r="2333">
          <cell r="K2333" t="str">
            <v>GBWS-2137</v>
          </cell>
          <cell r="L2333">
            <v>44623</v>
          </cell>
          <cell r="M2333">
            <v>44623</v>
          </cell>
          <cell r="N2333">
            <v>44638</v>
          </cell>
          <cell r="O2333">
            <v>44623</v>
          </cell>
          <cell r="P2333">
            <v>44650</v>
          </cell>
          <cell r="Q2333" t="str">
            <v>2022-03-16 → 3/18</v>
          </cell>
          <cell r="R2333" t="str">
            <v>2022-03-16 → 3/18</v>
          </cell>
          <cell r="S2333"/>
          <cell r="T2333">
            <v>44643</v>
          </cell>
          <cell r="U2333">
            <v>44656</v>
          </cell>
          <cell r="V2333">
            <v>44657</v>
          </cell>
          <cell r="W2333">
            <v>44658</v>
          </cell>
          <cell r="X2333">
            <v>41100449</v>
          </cell>
        </row>
        <row r="2334">
          <cell r="K2334" t="str">
            <v>IVAS-134</v>
          </cell>
          <cell r="L2334">
            <v>44644</v>
          </cell>
          <cell r="M2334">
            <v>44644</v>
          </cell>
          <cell r="N2334">
            <v>44658</v>
          </cell>
          <cell r="O2334">
            <v>44644</v>
          </cell>
          <cell r="P2334">
            <v>44672</v>
          </cell>
          <cell r="Q2334">
            <v>44657</v>
          </cell>
          <cell r="R2334">
            <v>44657</v>
          </cell>
          <cell r="S2334"/>
          <cell r="T2334">
            <v>44662</v>
          </cell>
          <cell r="U2334">
            <v>44677</v>
          </cell>
          <cell r="V2334">
            <v>44678</v>
          </cell>
          <cell r="W2334">
            <v>44679</v>
          </cell>
          <cell r="X2334" t="str">
            <v>41100414 → 41100383</v>
          </cell>
        </row>
        <row r="2335">
          <cell r="K2335" t="str">
            <v>GBA-0101</v>
          </cell>
          <cell r="L2335">
            <v>44627</v>
          </cell>
          <cell r="M2335">
            <v>44628</v>
          </cell>
          <cell r="N2335">
            <v>44638</v>
          </cell>
          <cell r="O2335">
            <v>44628</v>
          </cell>
          <cell r="P2335">
            <v>44643</v>
          </cell>
          <cell r="Q2335" t="str">
            <v>2022-03-21 → 3/23</v>
          </cell>
          <cell r="R2335" t="str">
            <v>2022-03-21 → 3/23</v>
          </cell>
          <cell r="S2335"/>
          <cell r="T2335">
            <v>44644</v>
          </cell>
          <cell r="U2335">
            <v>44656</v>
          </cell>
          <cell r="V2335">
            <v>44665</v>
          </cell>
          <cell r="W2335">
            <v>44666</v>
          </cell>
          <cell r="X2335">
            <v>41100439</v>
          </cell>
        </row>
        <row r="2336">
          <cell r="K2336" t="str">
            <v>GBA-0102</v>
          </cell>
          <cell r="L2336">
            <v>44627</v>
          </cell>
          <cell r="M2336">
            <v>44628</v>
          </cell>
          <cell r="N2336">
            <v>44638</v>
          </cell>
          <cell r="O2336">
            <v>44628</v>
          </cell>
          <cell r="P2336">
            <v>44643</v>
          </cell>
          <cell r="Q2336" t="str">
            <v>2022-03-21 → 3/23</v>
          </cell>
          <cell r="R2336" t="str">
            <v>2022-03-21 → 3/23</v>
          </cell>
          <cell r="S2336"/>
          <cell r="T2336">
            <v>44644</v>
          </cell>
          <cell r="U2336">
            <v>44657</v>
          </cell>
          <cell r="V2336">
            <v>44665</v>
          </cell>
          <cell r="W2336">
            <v>44666</v>
          </cell>
          <cell r="X2336">
            <v>41100439</v>
          </cell>
        </row>
        <row r="2337">
          <cell r="K2337" t="str">
            <v>GBA-0103</v>
          </cell>
          <cell r="L2337">
            <v>44627</v>
          </cell>
          <cell r="M2337">
            <v>44628</v>
          </cell>
          <cell r="N2337">
            <v>44638</v>
          </cell>
          <cell r="O2337">
            <v>44628</v>
          </cell>
          <cell r="P2337">
            <v>44643</v>
          </cell>
          <cell r="Q2337" t="str">
            <v>2022-03-21 → 3/23</v>
          </cell>
          <cell r="R2337" t="str">
            <v>2022-03-21 → 3/23</v>
          </cell>
          <cell r="S2337"/>
          <cell r="T2337">
            <v>44644</v>
          </cell>
          <cell r="U2337">
            <v>44656</v>
          </cell>
          <cell r="V2337">
            <v>44665</v>
          </cell>
          <cell r="W2337">
            <v>44666</v>
          </cell>
          <cell r="X2337">
            <v>41100439</v>
          </cell>
        </row>
        <row r="2338">
          <cell r="K2338" t="str">
            <v>GBWS-2186</v>
          </cell>
          <cell r="L2338">
            <v>44644</v>
          </cell>
          <cell r="M2338">
            <v>44644</v>
          </cell>
          <cell r="N2338">
            <v>44655</v>
          </cell>
          <cell r="O2338">
            <v>44643</v>
          </cell>
          <cell r="P2338">
            <v>44653</v>
          </cell>
          <cell r="Q2338">
            <v>44652</v>
          </cell>
          <cell r="R2338">
            <v>44652</v>
          </cell>
          <cell r="S2338"/>
          <cell r="T2338">
            <v>44655</v>
          </cell>
          <cell r="U2338">
            <v>44657</v>
          </cell>
          <cell r="V2338">
            <v>44659</v>
          </cell>
          <cell r="W2338">
            <v>44664</v>
          </cell>
          <cell r="X2338">
            <v>41100482</v>
          </cell>
        </row>
        <row r="2339">
          <cell r="K2339" t="str">
            <v>IVAS-135</v>
          </cell>
          <cell r="L2339">
            <v>44657</v>
          </cell>
          <cell r="M2339">
            <v>44658</v>
          </cell>
          <cell r="N2339">
            <v>44674</v>
          </cell>
          <cell r="O2339">
            <v>44658</v>
          </cell>
          <cell r="P2339">
            <v>44678</v>
          </cell>
          <cell r="Q2339" t="str">
            <v>2022-04-20 → 4/22</v>
          </cell>
          <cell r="R2339" t="str">
            <v>2022-04-20 → 4/22</v>
          </cell>
          <cell r="S2339"/>
          <cell r="T2339">
            <v>44676</v>
          </cell>
          <cell r="U2339">
            <v>44683</v>
          </cell>
          <cell r="V2339">
            <v>44683</v>
          </cell>
          <cell r="W2339">
            <v>44684</v>
          </cell>
          <cell r="X2339">
            <v>41100433</v>
          </cell>
        </row>
        <row r="2340">
          <cell r="K2340" t="str">
            <v xml:space="preserve"> -</v>
          </cell>
          <cell r="L2340" t="str">
            <v xml:space="preserve"> -</v>
          </cell>
          <cell r="M2340">
            <v>44635</v>
          </cell>
          <cell r="N2340">
            <v>44643</v>
          </cell>
          <cell r="O2340">
            <v>44635</v>
          </cell>
          <cell r="P2340">
            <v>44643</v>
          </cell>
          <cell r="Q2340" t="str">
            <v>2022-03-22 → 21</v>
          </cell>
          <cell r="R2340" t="str">
            <v>2022-03-22 → 21</v>
          </cell>
          <cell r="S2340"/>
          <cell r="T2340" t="str">
            <v xml:space="preserve"> -</v>
          </cell>
          <cell r="U2340" t="str">
            <v xml:space="preserve"> -</v>
          </cell>
          <cell r="V2340"/>
          <cell r="W2340"/>
          <cell r="X2340">
            <v>31102001</v>
          </cell>
        </row>
        <row r="2341">
          <cell r="K2341" t="str">
            <v>GBWS-2252</v>
          </cell>
          <cell r="L2341">
            <v>44664</v>
          </cell>
          <cell r="M2341">
            <v>44665</v>
          </cell>
          <cell r="N2341">
            <v>44677</v>
          </cell>
          <cell r="O2341">
            <v>44665</v>
          </cell>
          <cell r="P2341">
            <v>44677</v>
          </cell>
          <cell r="Q2341">
            <v>44677</v>
          </cell>
          <cell r="R2341">
            <v>44677</v>
          </cell>
          <cell r="S2341"/>
          <cell r="T2341">
            <v>44678</v>
          </cell>
          <cell r="U2341">
            <v>44683</v>
          </cell>
          <cell r="V2341">
            <v>44684</v>
          </cell>
          <cell r="W2341">
            <v>44684</v>
          </cell>
          <cell r="X2341">
            <v>41100328</v>
          </cell>
        </row>
        <row r="2342">
          <cell r="K2342" t="str">
            <v>GBWS-2286</v>
          </cell>
          <cell r="L2342">
            <v>44672</v>
          </cell>
          <cell r="M2342">
            <v>44673</v>
          </cell>
          <cell r="N2342">
            <v>44680</v>
          </cell>
          <cell r="O2342">
            <v>44673</v>
          </cell>
          <cell r="P2342">
            <v>44683</v>
          </cell>
          <cell r="Q2342" t="str">
            <v>2022-05-03 →5/2</v>
          </cell>
          <cell r="R2342" t="str">
            <v>2022-05-03 →5/2</v>
          </cell>
          <cell r="S2342"/>
          <cell r="T2342">
            <v>44684</v>
          </cell>
          <cell r="U2342">
            <v>44684</v>
          </cell>
          <cell r="V2342">
            <v>44685</v>
          </cell>
          <cell r="W2342">
            <v>44685</v>
          </cell>
          <cell r="X2342">
            <v>41100495</v>
          </cell>
        </row>
        <row r="2343">
          <cell r="K2343" t="str">
            <v>GBWS-2253</v>
          </cell>
          <cell r="L2343">
            <v>44664</v>
          </cell>
          <cell r="M2343">
            <v>44665</v>
          </cell>
          <cell r="N2343">
            <v>44676</v>
          </cell>
          <cell r="O2343">
            <v>44665</v>
          </cell>
          <cell r="P2343">
            <v>44676</v>
          </cell>
          <cell r="Q2343">
            <v>44676</v>
          </cell>
          <cell r="R2343">
            <v>44676</v>
          </cell>
          <cell r="S2343"/>
          <cell r="T2343">
            <v>44677</v>
          </cell>
          <cell r="U2343">
            <v>44677</v>
          </cell>
          <cell r="V2343">
            <v>44678</v>
          </cell>
          <cell r="W2343">
            <v>44678</v>
          </cell>
          <cell r="X2343">
            <v>41100302</v>
          </cell>
        </row>
        <row r="2344">
          <cell r="K2344" t="str">
            <v>-</v>
          </cell>
          <cell r="L2344">
            <v>44664</v>
          </cell>
          <cell r="M2344">
            <v>44665</v>
          </cell>
          <cell r="N2344">
            <v>44672</v>
          </cell>
          <cell r="O2344">
            <v>44665</v>
          </cell>
          <cell r="P2344">
            <v>44672</v>
          </cell>
          <cell r="Q2344">
            <v>44671</v>
          </cell>
          <cell r="R2344">
            <v>44671</v>
          </cell>
          <cell r="S2344"/>
          <cell r="T2344" t="str">
            <v>-</v>
          </cell>
          <cell r="U2344">
            <v>44673</v>
          </cell>
          <cell r="V2344">
            <v>44673</v>
          </cell>
          <cell r="W2344">
            <v>44673</v>
          </cell>
          <cell r="X2344">
            <v>31101695</v>
          </cell>
        </row>
        <row r="2345">
          <cell r="K2345" t="str">
            <v>GBWS-2251</v>
          </cell>
          <cell r="L2345">
            <v>44662</v>
          </cell>
          <cell r="M2345">
            <v>44663</v>
          </cell>
          <cell r="N2345">
            <v>44673</v>
          </cell>
          <cell r="O2345">
            <v>44663</v>
          </cell>
          <cell r="P2345">
            <v>44674</v>
          </cell>
          <cell r="Q2345">
            <v>44673</v>
          </cell>
          <cell r="R2345">
            <v>44673</v>
          </cell>
          <cell r="S2345"/>
          <cell r="T2345">
            <v>44676</v>
          </cell>
          <cell r="U2345">
            <v>44677</v>
          </cell>
          <cell r="V2345">
            <v>44678</v>
          </cell>
          <cell r="W2345">
            <v>44678</v>
          </cell>
          <cell r="X2345">
            <v>41100334</v>
          </cell>
        </row>
        <row r="2346">
          <cell r="K2346" t="str">
            <v>DS-0363</v>
          </cell>
          <cell r="L2346">
            <v>44683</v>
          </cell>
          <cell r="M2346">
            <v>44684</v>
          </cell>
          <cell r="N2346">
            <v>44687</v>
          </cell>
          <cell r="O2346">
            <v>44684</v>
          </cell>
          <cell r="P2346">
            <v>44687</v>
          </cell>
          <cell r="Q2346">
            <v>44684</v>
          </cell>
          <cell r="R2346">
            <v>44684</v>
          </cell>
          <cell r="S2346"/>
          <cell r="T2346">
            <v>44687</v>
          </cell>
          <cell r="U2346">
            <v>44687</v>
          </cell>
          <cell r="V2346">
            <v>44687</v>
          </cell>
          <cell r="W2346">
            <v>44687</v>
          </cell>
          <cell r="X2346">
            <v>31010363</v>
          </cell>
        </row>
        <row r="2347">
          <cell r="K2347" t="str">
            <v>DBW-2614</v>
          </cell>
          <cell r="L2347">
            <v>44670</v>
          </cell>
          <cell r="M2347">
            <v>44671</v>
          </cell>
          <cell r="N2347">
            <v>44687</v>
          </cell>
          <cell r="O2347">
            <v>44671</v>
          </cell>
          <cell r="P2347">
            <v>44678</v>
          </cell>
          <cell r="Q2347">
            <v>44680</v>
          </cell>
          <cell r="R2347">
            <v>44680</v>
          </cell>
          <cell r="S2347"/>
          <cell r="T2347">
            <v>44684</v>
          </cell>
          <cell r="U2347">
            <v>44685</v>
          </cell>
          <cell r="V2347">
            <v>44687</v>
          </cell>
          <cell r="W2347">
            <v>44687</v>
          </cell>
          <cell r="X2347" t="str">
            <v>41100258 → 41100496</v>
          </cell>
        </row>
        <row r="2348">
          <cell r="K2348" t="str">
            <v>DBW-2512</v>
          </cell>
          <cell r="L2348">
            <v>44532</v>
          </cell>
          <cell r="M2348">
            <v>44532</v>
          </cell>
          <cell r="N2348">
            <v>44543</v>
          </cell>
          <cell r="O2348">
            <v>44532</v>
          </cell>
          <cell r="P2348">
            <v>44544</v>
          </cell>
          <cell r="Q2348" t="str">
            <v>2021-12-13 → 12/14</v>
          </cell>
          <cell r="R2348" t="str">
            <v>2021-12-13 → 12/14</v>
          </cell>
          <cell r="S2348"/>
          <cell r="T2348">
            <v>44545</v>
          </cell>
          <cell r="U2348">
            <v>44546</v>
          </cell>
          <cell r="V2348">
            <v>44550</v>
          </cell>
          <cell r="W2348">
            <v>44553</v>
          </cell>
          <cell r="X2348">
            <v>41100423</v>
          </cell>
        </row>
        <row r="2349">
          <cell r="K2349"/>
          <cell r="L2349"/>
          <cell r="M2349">
            <v>44617</v>
          </cell>
          <cell r="N2349">
            <v>44620</v>
          </cell>
          <cell r="O2349">
            <v>44617</v>
          </cell>
          <cell r="P2349">
            <v>44620</v>
          </cell>
          <cell r="Q2349">
            <v>44620</v>
          </cell>
          <cell r="R2349">
            <v>44620</v>
          </cell>
          <cell r="S2349"/>
          <cell r="T2349">
            <v>44622</v>
          </cell>
          <cell r="U2349">
            <v>44623</v>
          </cell>
          <cell r="V2349">
            <v>44623</v>
          </cell>
          <cell r="W2349">
            <v>44624</v>
          </cell>
          <cell r="X2349"/>
        </row>
        <row r="2350">
          <cell r="K2350" t="str">
            <v>DBW-2513</v>
          </cell>
          <cell r="L2350">
            <v>44532</v>
          </cell>
          <cell r="M2350">
            <v>44532</v>
          </cell>
          <cell r="N2350">
            <v>44543</v>
          </cell>
          <cell r="O2350">
            <v>44532</v>
          </cell>
          <cell r="P2350">
            <v>44544</v>
          </cell>
          <cell r="Q2350" t="str">
            <v>2021-12-13 → 12/14</v>
          </cell>
          <cell r="R2350" t="str">
            <v>2021-12-13 → 12/14</v>
          </cell>
          <cell r="S2350"/>
          <cell r="T2350">
            <v>44545</v>
          </cell>
          <cell r="U2350">
            <v>44546</v>
          </cell>
          <cell r="V2350">
            <v>44550</v>
          </cell>
          <cell r="W2350">
            <v>44553</v>
          </cell>
          <cell r="X2350">
            <v>41100423</v>
          </cell>
        </row>
        <row r="2351">
          <cell r="K2351"/>
          <cell r="L2351"/>
          <cell r="M2351">
            <v>44617</v>
          </cell>
          <cell r="N2351">
            <v>44620</v>
          </cell>
          <cell r="O2351">
            <v>44617</v>
          </cell>
          <cell r="P2351">
            <v>44620</v>
          </cell>
          <cell r="Q2351">
            <v>44620</v>
          </cell>
          <cell r="R2351">
            <v>44620</v>
          </cell>
          <cell r="S2351"/>
          <cell r="T2351">
            <v>44622</v>
          </cell>
          <cell r="U2351">
            <v>44623</v>
          </cell>
          <cell r="V2351">
            <v>44623</v>
          </cell>
          <cell r="W2351">
            <v>44624</v>
          </cell>
          <cell r="X2351"/>
        </row>
        <row r="2352">
          <cell r="K2352" t="str">
            <v>DBW-2577</v>
          </cell>
          <cell r="L2352">
            <v>44629</v>
          </cell>
          <cell r="M2352">
            <v>44630</v>
          </cell>
          <cell r="N2352">
            <v>44638</v>
          </cell>
          <cell r="O2352">
            <v>44630</v>
          </cell>
          <cell r="P2352">
            <v>44638</v>
          </cell>
          <cell r="Q2352">
            <v>44638</v>
          </cell>
          <cell r="R2352">
            <v>44638</v>
          </cell>
          <cell r="S2352"/>
          <cell r="T2352">
            <v>44642</v>
          </cell>
          <cell r="U2352">
            <v>44644</v>
          </cell>
          <cell r="V2352">
            <v>44645</v>
          </cell>
          <cell r="W2352">
            <v>44648</v>
          </cell>
          <cell r="X2352">
            <v>41100466</v>
          </cell>
        </row>
        <row r="2353">
          <cell r="K2353" t="str">
            <v>DBW-2578</v>
          </cell>
          <cell r="L2353">
            <v>44629</v>
          </cell>
          <cell r="M2353">
            <v>44630</v>
          </cell>
          <cell r="N2353">
            <v>44638</v>
          </cell>
          <cell r="O2353">
            <v>44630</v>
          </cell>
          <cell r="P2353">
            <v>44638</v>
          </cell>
          <cell r="Q2353">
            <v>44638</v>
          </cell>
          <cell r="R2353">
            <v>44638</v>
          </cell>
          <cell r="S2353"/>
          <cell r="T2353">
            <v>44642</v>
          </cell>
          <cell r="U2353">
            <v>44644</v>
          </cell>
          <cell r="V2353">
            <v>44645</v>
          </cell>
          <cell r="W2353">
            <v>44648</v>
          </cell>
          <cell r="X2353">
            <v>41100466</v>
          </cell>
        </row>
        <row r="2354">
          <cell r="K2354" t="str">
            <v>DBW-2579</v>
          </cell>
          <cell r="L2354">
            <v>44629</v>
          </cell>
          <cell r="M2354">
            <v>44630</v>
          </cell>
          <cell r="N2354">
            <v>44638</v>
          </cell>
          <cell r="O2354">
            <v>44630</v>
          </cell>
          <cell r="P2354">
            <v>44638</v>
          </cell>
          <cell r="Q2354">
            <v>44638</v>
          </cell>
          <cell r="R2354">
            <v>44638</v>
          </cell>
          <cell r="S2354"/>
          <cell r="T2354">
            <v>44642</v>
          </cell>
          <cell r="U2354">
            <v>44644</v>
          </cell>
          <cell r="V2354">
            <v>44645</v>
          </cell>
          <cell r="W2354">
            <v>44648</v>
          </cell>
          <cell r="X2354">
            <v>41100466</v>
          </cell>
        </row>
        <row r="2355">
          <cell r="K2355" t="str">
            <v>GBWS-2203</v>
          </cell>
          <cell r="L2355">
            <v>44649</v>
          </cell>
          <cell r="M2355">
            <v>44649</v>
          </cell>
          <cell r="N2355">
            <v>44669</v>
          </cell>
          <cell r="O2355">
            <v>44649</v>
          </cell>
          <cell r="P2355">
            <v>44665</v>
          </cell>
          <cell r="Q2355" t="str">
            <v>2022-04-07 → 4/18</v>
          </cell>
          <cell r="R2355" t="str">
            <v>2022-04-07 → 4/18</v>
          </cell>
          <cell r="S2355"/>
          <cell r="T2355">
            <v>44669</v>
          </cell>
          <cell r="U2355">
            <v>44670</v>
          </cell>
          <cell r="V2355">
            <v>44673</v>
          </cell>
          <cell r="W2355">
            <v>44676</v>
          </cell>
          <cell r="X2355">
            <v>41100467</v>
          </cell>
        </row>
        <row r="2356">
          <cell r="K2356" t="str">
            <v>GBWS-2204</v>
          </cell>
          <cell r="L2356">
            <v>44649</v>
          </cell>
          <cell r="M2356">
            <v>44649</v>
          </cell>
          <cell r="N2356">
            <v>44669</v>
          </cell>
          <cell r="O2356">
            <v>44649</v>
          </cell>
          <cell r="P2356">
            <v>44665</v>
          </cell>
          <cell r="Q2356" t="str">
            <v>2022-04-07 → 4/18</v>
          </cell>
          <cell r="R2356" t="str">
            <v>2022-04-07 → 4/18</v>
          </cell>
          <cell r="S2356"/>
          <cell r="T2356">
            <v>44669</v>
          </cell>
          <cell r="U2356">
            <v>44670</v>
          </cell>
          <cell r="V2356">
            <v>44670</v>
          </cell>
          <cell r="W2356">
            <v>44672</v>
          </cell>
          <cell r="X2356">
            <v>41100467</v>
          </cell>
        </row>
        <row r="2357">
          <cell r="K2357" t="str">
            <v>GBWS-2205</v>
          </cell>
          <cell r="L2357">
            <v>44649</v>
          </cell>
          <cell r="M2357">
            <v>44649</v>
          </cell>
          <cell r="N2357">
            <v>44669</v>
          </cell>
          <cell r="O2357">
            <v>44649</v>
          </cell>
          <cell r="P2357">
            <v>44665</v>
          </cell>
          <cell r="Q2357" t="str">
            <v>2022-04-07 → 4/18</v>
          </cell>
          <cell r="R2357" t="str">
            <v>2022-04-07 → 4/18</v>
          </cell>
          <cell r="S2357"/>
          <cell r="T2357">
            <v>44669</v>
          </cell>
          <cell r="U2357">
            <v>44670</v>
          </cell>
          <cell r="V2357">
            <v>44673</v>
          </cell>
          <cell r="W2357">
            <v>44678</v>
          </cell>
          <cell r="X2357">
            <v>41100467</v>
          </cell>
        </row>
        <row r="2358">
          <cell r="K2358" t="str">
            <v>GBWS-2206</v>
          </cell>
          <cell r="L2358">
            <v>44649</v>
          </cell>
          <cell r="M2358">
            <v>44649</v>
          </cell>
          <cell r="N2358">
            <v>44669</v>
          </cell>
          <cell r="O2358">
            <v>44649</v>
          </cell>
          <cell r="P2358">
            <v>44665</v>
          </cell>
          <cell r="Q2358" t="str">
            <v>2022-04-07 → 4/18</v>
          </cell>
          <cell r="R2358" t="str">
            <v>2022-04-07 → 4/18</v>
          </cell>
          <cell r="S2358"/>
          <cell r="T2358">
            <v>44669</v>
          </cell>
          <cell r="U2358">
            <v>44670</v>
          </cell>
          <cell r="V2358">
            <v>44673</v>
          </cell>
          <cell r="W2358">
            <v>44676</v>
          </cell>
          <cell r="X2358">
            <v>41100467</v>
          </cell>
        </row>
        <row r="2359">
          <cell r="K2359" t="str">
            <v>GBWS-2173</v>
          </cell>
          <cell r="L2359">
            <v>44641</v>
          </cell>
          <cell r="M2359">
            <v>44638</v>
          </cell>
          <cell r="N2359">
            <v>44649</v>
          </cell>
          <cell r="O2359">
            <v>44638</v>
          </cell>
          <cell r="P2359">
            <v>44649</v>
          </cell>
          <cell r="Q2359">
            <v>44649</v>
          </cell>
          <cell r="R2359">
            <v>44649</v>
          </cell>
          <cell r="S2359"/>
          <cell r="T2359">
            <v>44650</v>
          </cell>
          <cell r="U2359">
            <v>44655</v>
          </cell>
          <cell r="V2359">
            <v>44656</v>
          </cell>
          <cell r="W2359">
            <v>44657</v>
          </cell>
          <cell r="X2359">
            <v>41100168</v>
          </cell>
        </row>
        <row r="2360">
          <cell r="K2360" t="str">
            <v>GBWS-2174</v>
          </cell>
          <cell r="L2360">
            <v>44641</v>
          </cell>
          <cell r="M2360">
            <v>44638</v>
          </cell>
          <cell r="N2360">
            <v>44649</v>
          </cell>
          <cell r="O2360">
            <v>44638</v>
          </cell>
          <cell r="P2360">
            <v>44649</v>
          </cell>
          <cell r="Q2360">
            <v>44649</v>
          </cell>
          <cell r="R2360">
            <v>44649</v>
          </cell>
          <cell r="S2360"/>
          <cell r="T2360">
            <v>44650</v>
          </cell>
          <cell r="U2360">
            <v>44655</v>
          </cell>
          <cell r="V2360">
            <v>44656</v>
          </cell>
          <cell r="W2360">
            <v>44657</v>
          </cell>
          <cell r="X2360">
            <v>41100168</v>
          </cell>
        </row>
        <row r="2361">
          <cell r="K2361" t="str">
            <v>GBWS-2175</v>
          </cell>
          <cell r="L2361">
            <v>44641</v>
          </cell>
          <cell r="M2361">
            <v>44638</v>
          </cell>
          <cell r="N2361">
            <v>44649</v>
          </cell>
          <cell r="O2361">
            <v>44638</v>
          </cell>
          <cell r="P2361">
            <v>44649</v>
          </cell>
          <cell r="Q2361">
            <v>44649</v>
          </cell>
          <cell r="R2361">
            <v>44649</v>
          </cell>
          <cell r="S2361"/>
          <cell r="T2361">
            <v>44650</v>
          </cell>
          <cell r="U2361">
            <v>44652</v>
          </cell>
          <cell r="V2361">
            <v>44655</v>
          </cell>
          <cell r="W2361">
            <v>44656</v>
          </cell>
          <cell r="X2361">
            <v>41100168</v>
          </cell>
        </row>
        <row r="2362">
          <cell r="K2362" t="str">
            <v>GBWS-2176</v>
          </cell>
          <cell r="L2362">
            <v>44641</v>
          </cell>
          <cell r="M2362">
            <v>44638</v>
          </cell>
          <cell r="N2362">
            <v>44649</v>
          </cell>
          <cell r="O2362">
            <v>44638</v>
          </cell>
          <cell r="P2362">
            <v>44649</v>
          </cell>
          <cell r="Q2362">
            <v>44649</v>
          </cell>
          <cell r="R2362">
            <v>44649</v>
          </cell>
          <cell r="S2362"/>
          <cell r="T2362">
            <v>44650</v>
          </cell>
          <cell r="U2362">
            <v>44652</v>
          </cell>
          <cell r="V2362">
            <v>44655</v>
          </cell>
          <cell r="W2362">
            <v>44656</v>
          </cell>
          <cell r="X2362">
            <v>41100168</v>
          </cell>
        </row>
        <row r="2363">
          <cell r="K2363" t="str">
            <v>DS-0364</v>
          </cell>
          <cell r="L2363">
            <v>44690</v>
          </cell>
          <cell r="M2363" t="str">
            <v>2022-05-12 → 5/9</v>
          </cell>
          <cell r="N2363">
            <v>44693</v>
          </cell>
          <cell r="O2363" t="str">
            <v>2022-05-12 → 5/9</v>
          </cell>
          <cell r="P2363">
            <v>44693</v>
          </cell>
          <cell r="Q2363">
            <v>44693</v>
          </cell>
          <cell r="R2363">
            <v>44693</v>
          </cell>
          <cell r="S2363"/>
          <cell r="T2363">
            <v>44693</v>
          </cell>
          <cell r="U2363">
            <v>44693</v>
          </cell>
          <cell r="V2363">
            <v>44693</v>
          </cell>
          <cell r="W2363">
            <v>44693</v>
          </cell>
          <cell r="X2363">
            <v>31010314</v>
          </cell>
        </row>
        <row r="2364">
          <cell r="K2364" t="str">
            <v>DS-0365</v>
          </cell>
          <cell r="L2364">
            <v>44690</v>
          </cell>
          <cell r="M2364" t="str">
            <v>2022-05-12 → 5/9</v>
          </cell>
          <cell r="N2364">
            <v>44693</v>
          </cell>
          <cell r="O2364" t="str">
            <v>2022-05-12 → 5/9</v>
          </cell>
          <cell r="P2364">
            <v>44693</v>
          </cell>
          <cell r="Q2364">
            <v>44693</v>
          </cell>
          <cell r="R2364">
            <v>44693</v>
          </cell>
          <cell r="S2364"/>
          <cell r="T2364">
            <v>44693</v>
          </cell>
          <cell r="U2364">
            <v>44693</v>
          </cell>
          <cell r="V2364">
            <v>44693</v>
          </cell>
          <cell r="W2364">
            <v>44693</v>
          </cell>
          <cell r="X2364">
            <v>31010314</v>
          </cell>
        </row>
        <row r="2365">
          <cell r="K2365" t="str">
            <v>DS-0366</v>
          </cell>
          <cell r="L2365">
            <v>44690</v>
          </cell>
          <cell r="M2365" t="str">
            <v>2022-05-12 → 5/9</v>
          </cell>
          <cell r="N2365">
            <v>44693</v>
          </cell>
          <cell r="O2365" t="str">
            <v>2022-05-12 → 5/9</v>
          </cell>
          <cell r="P2365">
            <v>44693</v>
          </cell>
          <cell r="Q2365">
            <v>44693</v>
          </cell>
          <cell r="R2365">
            <v>44693</v>
          </cell>
          <cell r="S2365"/>
          <cell r="T2365">
            <v>44693</v>
          </cell>
          <cell r="U2365">
            <v>44693</v>
          </cell>
          <cell r="V2365">
            <v>44693</v>
          </cell>
          <cell r="W2365">
            <v>44693</v>
          </cell>
          <cell r="X2365">
            <v>31010314</v>
          </cell>
        </row>
        <row r="2366">
          <cell r="K2366" t="str">
            <v>DS-0367</v>
          </cell>
          <cell r="L2366">
            <v>44690</v>
          </cell>
          <cell r="M2366" t="str">
            <v>2022-05-12 → 5/9</v>
          </cell>
          <cell r="N2366">
            <v>44693</v>
          </cell>
          <cell r="O2366" t="str">
            <v>2022-05-12 → 5/9</v>
          </cell>
          <cell r="P2366">
            <v>44693</v>
          </cell>
          <cell r="Q2366">
            <v>44693</v>
          </cell>
          <cell r="R2366">
            <v>44693</v>
          </cell>
          <cell r="S2366"/>
          <cell r="T2366">
            <v>44693</v>
          </cell>
          <cell r="U2366">
            <v>44693</v>
          </cell>
          <cell r="V2366">
            <v>44693</v>
          </cell>
          <cell r="W2366">
            <v>44693</v>
          </cell>
          <cell r="X2366">
            <v>31010314</v>
          </cell>
        </row>
        <row r="2367">
          <cell r="K2367" t="str">
            <v>GBWS-2287</v>
          </cell>
          <cell r="L2367">
            <v>44674</v>
          </cell>
          <cell r="M2367" t="str">
            <v>2022-04-22 → 4/25</v>
          </cell>
          <cell r="N2367">
            <v>44685</v>
          </cell>
          <cell r="O2367">
            <v>44673</v>
          </cell>
          <cell r="P2367">
            <v>44690</v>
          </cell>
          <cell r="Q2367" t="str">
            <v>2022-05-03 → 5/4</v>
          </cell>
          <cell r="R2367" t="str">
            <v>2022-05-03 → 5/4</v>
          </cell>
          <cell r="S2367"/>
          <cell r="T2367">
            <v>44690</v>
          </cell>
          <cell r="U2367">
            <v>44693</v>
          </cell>
          <cell r="V2367">
            <v>44693</v>
          </cell>
          <cell r="W2367">
            <v>44693</v>
          </cell>
          <cell r="X2367">
            <v>41100489</v>
          </cell>
        </row>
        <row r="2368">
          <cell r="K2368" t="str">
            <v>DBW-2624</v>
          </cell>
          <cell r="L2368">
            <v>44676</v>
          </cell>
          <cell r="M2368">
            <v>44677</v>
          </cell>
          <cell r="N2368">
            <v>44691</v>
          </cell>
          <cell r="O2368">
            <v>44677</v>
          </cell>
          <cell r="P2368">
            <v>44691</v>
          </cell>
          <cell r="Q2368">
            <v>44690</v>
          </cell>
          <cell r="R2368">
            <v>44690</v>
          </cell>
          <cell r="S2368"/>
          <cell r="T2368">
            <v>44691</v>
          </cell>
          <cell r="U2368">
            <v>44692</v>
          </cell>
          <cell r="V2368">
            <v>44693</v>
          </cell>
          <cell r="W2368">
            <v>44693</v>
          </cell>
          <cell r="X2368">
            <v>41100455</v>
          </cell>
        </row>
        <row r="2369">
          <cell r="K2369" t="str">
            <v>GBWS-2198</v>
          </cell>
          <cell r="L2369">
            <v>44649</v>
          </cell>
          <cell r="M2369">
            <v>44649</v>
          </cell>
          <cell r="N2369">
            <v>44662</v>
          </cell>
          <cell r="O2369">
            <v>44649</v>
          </cell>
          <cell r="P2369">
            <v>44662</v>
          </cell>
          <cell r="Q2369">
            <v>44659</v>
          </cell>
          <cell r="R2369">
            <v>44659</v>
          </cell>
          <cell r="S2369"/>
          <cell r="T2369">
            <v>44662</v>
          </cell>
          <cell r="U2369">
            <v>44663</v>
          </cell>
          <cell r="V2369">
            <v>44663</v>
          </cell>
          <cell r="W2369">
            <v>44678</v>
          </cell>
          <cell r="X2369">
            <v>41100363</v>
          </cell>
        </row>
        <row r="2370">
          <cell r="K2370" t="str">
            <v>GBWS-2254</v>
          </cell>
          <cell r="L2370">
            <v>44664</v>
          </cell>
          <cell r="M2370" t="str">
            <v>2022-04-19 → 4/14</v>
          </cell>
          <cell r="N2370">
            <v>44677</v>
          </cell>
          <cell r="O2370" t="str">
            <v>2022-04-19 → 4/14</v>
          </cell>
          <cell r="P2370">
            <v>44676</v>
          </cell>
          <cell r="Q2370" t="str">
            <v>2022-04-28 → 4/26</v>
          </cell>
          <cell r="R2370" t="str">
            <v>2022-04-28 → 4/26</v>
          </cell>
          <cell r="S2370"/>
          <cell r="T2370">
            <v>44678</v>
          </cell>
          <cell r="U2370">
            <v>44679</v>
          </cell>
          <cell r="V2370">
            <v>44683</v>
          </cell>
          <cell r="W2370">
            <v>44683</v>
          </cell>
          <cell r="X2370">
            <v>41100388</v>
          </cell>
        </row>
        <row r="2371">
          <cell r="K2371" t="str">
            <v>DBW-2396</v>
          </cell>
          <cell r="L2371">
            <v>44452</v>
          </cell>
          <cell r="M2371">
            <v>44452</v>
          </cell>
          <cell r="N2371">
            <v>44468</v>
          </cell>
          <cell r="O2371">
            <v>44452</v>
          </cell>
          <cell r="P2371">
            <v>44469</v>
          </cell>
          <cell r="Q2371" t="str">
            <v>2021-09-28 → 9/29</v>
          </cell>
          <cell r="R2371" t="str">
            <v>2021-09-28 → 9/29</v>
          </cell>
          <cell r="S2371"/>
          <cell r="T2371">
            <v>44470</v>
          </cell>
          <cell r="U2371">
            <v>44474</v>
          </cell>
          <cell r="V2371">
            <v>44475</v>
          </cell>
          <cell r="W2371">
            <v>44475</v>
          </cell>
          <cell r="X2371" t="str">
            <v>41100234 → 41100500</v>
          </cell>
        </row>
        <row r="2372">
          <cell r="K2372"/>
          <cell r="L2372">
            <v>44683</v>
          </cell>
          <cell r="M2372">
            <v>44684</v>
          </cell>
          <cell r="N2372">
            <v>44691</v>
          </cell>
          <cell r="O2372">
            <v>44684</v>
          </cell>
          <cell r="P2372">
            <v>44691</v>
          </cell>
          <cell r="Q2372">
            <v>44687</v>
          </cell>
          <cell r="R2372">
            <v>44687</v>
          </cell>
          <cell r="S2372"/>
          <cell r="T2372">
            <v>44692</v>
          </cell>
          <cell r="U2372">
            <v>44693</v>
          </cell>
          <cell r="V2372">
            <v>44694</v>
          </cell>
          <cell r="W2372">
            <v>44694</v>
          </cell>
          <cell r="X2372"/>
        </row>
        <row r="2373">
          <cell r="K2373" t="str">
            <v>-</v>
          </cell>
          <cell r="L2373">
            <v>44664</v>
          </cell>
          <cell r="M2373">
            <v>44665</v>
          </cell>
          <cell r="N2373">
            <v>44672</v>
          </cell>
          <cell r="O2373">
            <v>44665</v>
          </cell>
          <cell r="P2373">
            <v>44672</v>
          </cell>
          <cell r="Q2373">
            <v>44671</v>
          </cell>
          <cell r="R2373">
            <v>44671</v>
          </cell>
          <cell r="S2373"/>
          <cell r="T2373" t="str">
            <v>-</v>
          </cell>
          <cell r="U2373">
            <v>44673</v>
          </cell>
          <cell r="V2373">
            <v>44673</v>
          </cell>
          <cell r="W2373">
            <v>44673</v>
          </cell>
          <cell r="X2373">
            <v>31101695</v>
          </cell>
        </row>
        <row r="2374">
          <cell r="K2374" t="str">
            <v>DBW-2587</v>
          </cell>
          <cell r="L2374">
            <v>44641</v>
          </cell>
          <cell r="M2374">
            <v>44642</v>
          </cell>
          <cell r="N2374">
            <v>44651</v>
          </cell>
          <cell r="O2374">
            <v>44628</v>
          </cell>
          <cell r="P2374">
            <v>44650</v>
          </cell>
          <cell r="Q2374" t="str">
            <v>2022-03-30 → 3/31</v>
          </cell>
          <cell r="R2374" t="str">
            <v>2022-03-30 → 3/31</v>
          </cell>
          <cell r="S2374"/>
          <cell r="T2374">
            <v>44652</v>
          </cell>
          <cell r="U2374">
            <v>44655</v>
          </cell>
          <cell r="V2374">
            <v>44655</v>
          </cell>
          <cell r="W2374">
            <v>44657</v>
          </cell>
          <cell r="X2374">
            <v>41100465</v>
          </cell>
        </row>
        <row r="2375">
          <cell r="K2375" t="str">
            <v>DBW-2588</v>
          </cell>
          <cell r="L2375">
            <v>44641</v>
          </cell>
          <cell r="M2375">
            <v>44642</v>
          </cell>
          <cell r="N2375">
            <v>44651</v>
          </cell>
          <cell r="O2375">
            <v>44642</v>
          </cell>
          <cell r="P2375">
            <v>44650</v>
          </cell>
          <cell r="Q2375" t="str">
            <v>2022-03-30 → 3/31</v>
          </cell>
          <cell r="R2375" t="str">
            <v>2022-03-30 → 3/31</v>
          </cell>
          <cell r="S2375"/>
          <cell r="T2375">
            <v>44652</v>
          </cell>
          <cell r="U2375">
            <v>44655</v>
          </cell>
          <cell r="V2375">
            <v>44655</v>
          </cell>
          <cell r="W2375">
            <v>44657</v>
          </cell>
          <cell r="X2375">
            <v>41100469</v>
          </cell>
        </row>
        <row r="2376">
          <cell r="K2376" t="str">
            <v>DBW-2592</v>
          </cell>
          <cell r="L2376">
            <v>44641</v>
          </cell>
          <cell r="M2376">
            <v>44642</v>
          </cell>
          <cell r="N2376">
            <v>44651</v>
          </cell>
          <cell r="O2376">
            <v>44642</v>
          </cell>
          <cell r="P2376">
            <v>44650</v>
          </cell>
          <cell r="Q2376" t="str">
            <v>2022-03-30 → 3/31</v>
          </cell>
          <cell r="R2376" t="str">
            <v>2022-03-30 → 3/31</v>
          </cell>
          <cell r="S2376"/>
          <cell r="T2376">
            <v>44652</v>
          </cell>
          <cell r="U2376">
            <v>44655</v>
          </cell>
          <cell r="V2376">
            <v>44657</v>
          </cell>
          <cell r="W2376">
            <v>44664</v>
          </cell>
          <cell r="X2376">
            <v>41100469</v>
          </cell>
        </row>
        <row r="2377">
          <cell r="K2377" t="str">
            <v>DBW-2593</v>
          </cell>
          <cell r="L2377">
            <v>44641</v>
          </cell>
          <cell r="M2377">
            <v>44642</v>
          </cell>
          <cell r="N2377">
            <v>44651</v>
          </cell>
          <cell r="O2377">
            <v>44642</v>
          </cell>
          <cell r="P2377">
            <v>44650</v>
          </cell>
          <cell r="Q2377" t="str">
            <v>2022-03-30 → 3/31</v>
          </cell>
          <cell r="R2377" t="str">
            <v>2022-03-30 → 3/31</v>
          </cell>
          <cell r="S2377"/>
          <cell r="T2377">
            <v>44652</v>
          </cell>
          <cell r="U2377">
            <v>44655</v>
          </cell>
          <cell r="V2377">
            <v>44657</v>
          </cell>
          <cell r="W2377">
            <v>44657</v>
          </cell>
          <cell r="X2377">
            <v>41100469</v>
          </cell>
        </row>
        <row r="2378">
          <cell r="K2378" t="str">
            <v>GBWS-2207</v>
          </cell>
          <cell r="L2378">
            <v>44649</v>
          </cell>
          <cell r="M2378">
            <v>44649</v>
          </cell>
          <cell r="N2378">
            <v>44669</v>
          </cell>
          <cell r="O2378">
            <v>44649</v>
          </cell>
          <cell r="P2378">
            <v>44665</v>
          </cell>
          <cell r="Q2378" t="str">
            <v>2022-04-07 → 4/18</v>
          </cell>
          <cell r="R2378" t="str">
            <v>2022-04-07 → 4/18</v>
          </cell>
          <cell r="S2378"/>
          <cell r="T2378">
            <v>44669</v>
          </cell>
          <cell r="U2378">
            <v>44670</v>
          </cell>
          <cell r="V2378">
            <v>44673</v>
          </cell>
          <cell r="W2378">
            <v>44676</v>
          </cell>
          <cell r="X2378">
            <v>41100467</v>
          </cell>
        </row>
        <row r="2379">
          <cell r="K2379" t="str">
            <v>GBWS-2208</v>
          </cell>
          <cell r="L2379">
            <v>44649</v>
          </cell>
          <cell r="M2379">
            <v>44649</v>
          </cell>
          <cell r="N2379">
            <v>44669</v>
          </cell>
          <cell r="O2379">
            <v>44649</v>
          </cell>
          <cell r="P2379">
            <v>44665</v>
          </cell>
          <cell r="Q2379" t="str">
            <v>2022-04-07 → 4/18</v>
          </cell>
          <cell r="R2379" t="str">
            <v>2022-04-07 → 4/18</v>
          </cell>
          <cell r="S2379"/>
          <cell r="T2379">
            <v>44669</v>
          </cell>
          <cell r="U2379">
            <v>44670</v>
          </cell>
          <cell r="V2379">
            <v>44670</v>
          </cell>
          <cell r="W2379">
            <v>44673</v>
          </cell>
          <cell r="X2379">
            <v>41100467</v>
          </cell>
        </row>
        <row r="2380">
          <cell r="K2380" t="str">
            <v>GBWS-2209</v>
          </cell>
          <cell r="L2380">
            <v>44649</v>
          </cell>
          <cell r="M2380">
            <v>44649</v>
          </cell>
          <cell r="N2380">
            <v>44669</v>
          </cell>
          <cell r="O2380">
            <v>44649</v>
          </cell>
          <cell r="P2380">
            <v>44665</v>
          </cell>
          <cell r="Q2380" t="str">
            <v>2022-04-07 → 4/18</v>
          </cell>
          <cell r="R2380" t="str">
            <v>2022-04-07 → 4/18</v>
          </cell>
          <cell r="S2380"/>
          <cell r="T2380">
            <v>44670</v>
          </cell>
          <cell r="U2380">
            <v>44671</v>
          </cell>
          <cell r="V2380">
            <v>44676</v>
          </cell>
          <cell r="W2380">
            <v>44676</v>
          </cell>
          <cell r="X2380">
            <v>41100467</v>
          </cell>
        </row>
        <row r="2381">
          <cell r="K2381" t="str">
            <v>GBWS-2210</v>
          </cell>
          <cell r="L2381">
            <v>44649</v>
          </cell>
          <cell r="M2381">
            <v>44649</v>
          </cell>
          <cell r="N2381">
            <v>44669</v>
          </cell>
          <cell r="O2381">
            <v>44649</v>
          </cell>
          <cell r="P2381">
            <v>44665</v>
          </cell>
          <cell r="Q2381" t="str">
            <v>2022-04-07 → 4/18</v>
          </cell>
          <cell r="R2381" t="str">
            <v>2022-04-07 → 4/18</v>
          </cell>
          <cell r="S2381"/>
          <cell r="T2381">
            <v>44670</v>
          </cell>
          <cell r="U2381">
            <v>44671</v>
          </cell>
          <cell r="V2381">
            <v>44673</v>
          </cell>
          <cell r="W2381">
            <v>44676</v>
          </cell>
          <cell r="X2381">
            <v>41100467</v>
          </cell>
        </row>
        <row r="2382">
          <cell r="K2382" t="str">
            <v>GBWS-2214</v>
          </cell>
          <cell r="L2382">
            <v>44656</v>
          </cell>
          <cell r="M2382">
            <v>44656</v>
          </cell>
          <cell r="N2382">
            <v>44664</v>
          </cell>
          <cell r="O2382">
            <v>44656</v>
          </cell>
          <cell r="P2382">
            <v>44664</v>
          </cell>
          <cell r="Q2382">
            <v>44664</v>
          </cell>
          <cell r="R2382">
            <v>44664</v>
          </cell>
          <cell r="S2382"/>
          <cell r="T2382">
            <v>44665</v>
          </cell>
          <cell r="U2382">
            <v>44666</v>
          </cell>
          <cell r="V2382">
            <v>44670</v>
          </cell>
          <cell r="W2382">
            <v>44671</v>
          </cell>
          <cell r="X2382">
            <v>41100467</v>
          </cell>
        </row>
        <row r="2383">
          <cell r="K2383" t="str">
            <v>GBWS-2215</v>
          </cell>
          <cell r="L2383">
            <v>44656</v>
          </cell>
          <cell r="M2383">
            <v>44656</v>
          </cell>
          <cell r="N2383">
            <v>44664</v>
          </cell>
          <cell r="O2383">
            <v>44656</v>
          </cell>
          <cell r="P2383">
            <v>44664</v>
          </cell>
          <cell r="Q2383">
            <v>44664</v>
          </cell>
          <cell r="R2383">
            <v>44664</v>
          </cell>
          <cell r="S2383"/>
          <cell r="T2383">
            <v>44665</v>
          </cell>
          <cell r="U2383">
            <v>44666</v>
          </cell>
          <cell r="V2383">
            <v>44670</v>
          </cell>
          <cell r="W2383">
            <v>44672</v>
          </cell>
          <cell r="X2383">
            <v>41100467</v>
          </cell>
        </row>
        <row r="2384">
          <cell r="K2384" t="str">
            <v>GBWS-2216</v>
          </cell>
          <cell r="L2384">
            <v>44656</v>
          </cell>
          <cell r="M2384">
            <v>44656</v>
          </cell>
          <cell r="N2384">
            <v>44664</v>
          </cell>
          <cell r="O2384">
            <v>44656</v>
          </cell>
          <cell r="P2384">
            <v>44664</v>
          </cell>
          <cell r="Q2384">
            <v>44664</v>
          </cell>
          <cell r="R2384">
            <v>44664</v>
          </cell>
          <cell r="S2384"/>
          <cell r="T2384">
            <v>44665</v>
          </cell>
          <cell r="U2384">
            <v>44666</v>
          </cell>
          <cell r="V2384">
            <v>44677</v>
          </cell>
          <cell r="W2384">
            <v>44678</v>
          </cell>
          <cell r="X2384">
            <v>41100467</v>
          </cell>
        </row>
        <row r="2385">
          <cell r="K2385" t="str">
            <v>GBWS-2217</v>
          </cell>
          <cell r="L2385">
            <v>44656</v>
          </cell>
          <cell r="M2385">
            <v>44656</v>
          </cell>
          <cell r="N2385">
            <v>44664</v>
          </cell>
          <cell r="O2385">
            <v>44656</v>
          </cell>
          <cell r="P2385">
            <v>44664</v>
          </cell>
          <cell r="Q2385">
            <v>44664</v>
          </cell>
          <cell r="R2385">
            <v>44664</v>
          </cell>
          <cell r="S2385"/>
          <cell r="T2385">
            <v>44665</v>
          </cell>
          <cell r="U2385">
            <v>44666</v>
          </cell>
          <cell r="V2385">
            <v>44670</v>
          </cell>
          <cell r="W2385">
            <v>44671</v>
          </cell>
          <cell r="X2385">
            <v>41100467</v>
          </cell>
        </row>
        <row r="2386">
          <cell r="K2386" t="str">
            <v>GBWS-2232</v>
          </cell>
          <cell r="L2386">
            <v>44657</v>
          </cell>
          <cell r="M2386">
            <v>44658</v>
          </cell>
          <cell r="N2386">
            <v>44672</v>
          </cell>
          <cell r="O2386">
            <v>44658</v>
          </cell>
          <cell r="P2386">
            <v>44672</v>
          </cell>
          <cell r="Q2386" t="str">
            <v>2022-04-19 → 4/21</v>
          </cell>
          <cell r="R2386" t="str">
            <v>2022-04-19 → 4/21</v>
          </cell>
          <cell r="S2386"/>
          <cell r="T2386">
            <v>44673</v>
          </cell>
          <cell r="U2386">
            <v>44676</v>
          </cell>
          <cell r="V2386">
            <v>44677</v>
          </cell>
          <cell r="W2386">
            <v>44677</v>
          </cell>
          <cell r="X2386">
            <v>41100168</v>
          </cell>
        </row>
        <row r="2387">
          <cell r="K2387" t="str">
            <v>GBWS-2233</v>
          </cell>
          <cell r="L2387">
            <v>44657</v>
          </cell>
          <cell r="M2387">
            <v>44658</v>
          </cell>
          <cell r="N2387">
            <v>44672</v>
          </cell>
          <cell r="O2387">
            <v>44658</v>
          </cell>
          <cell r="P2387">
            <v>44672</v>
          </cell>
          <cell r="Q2387" t="str">
            <v>2022-04-19 → 4/21</v>
          </cell>
          <cell r="R2387" t="str">
            <v>2022-04-19 → 4/21</v>
          </cell>
          <cell r="S2387"/>
          <cell r="T2387">
            <v>44673</v>
          </cell>
          <cell r="U2387">
            <v>44676</v>
          </cell>
          <cell r="V2387">
            <v>44677</v>
          </cell>
          <cell r="W2387">
            <v>44677</v>
          </cell>
          <cell r="X2387">
            <v>41100168</v>
          </cell>
        </row>
        <row r="2388">
          <cell r="K2388" t="str">
            <v>GBWS-2234</v>
          </cell>
          <cell r="L2388">
            <v>44657</v>
          </cell>
          <cell r="M2388">
            <v>44658</v>
          </cell>
          <cell r="N2388">
            <v>44672</v>
          </cell>
          <cell r="O2388">
            <v>44658</v>
          </cell>
          <cell r="P2388">
            <v>44672</v>
          </cell>
          <cell r="Q2388" t="str">
            <v>2022-04-19 → 4/21</v>
          </cell>
          <cell r="R2388" t="str">
            <v>2022-04-19 → 4/21</v>
          </cell>
          <cell r="S2388"/>
          <cell r="T2388">
            <v>44673</v>
          </cell>
          <cell r="U2388">
            <v>44676</v>
          </cell>
          <cell r="V2388">
            <v>44677</v>
          </cell>
          <cell r="W2388">
            <v>44677</v>
          </cell>
          <cell r="X2388">
            <v>41100168</v>
          </cell>
        </row>
        <row r="2389">
          <cell r="K2389" t="str">
            <v>GBWS-2235</v>
          </cell>
          <cell r="L2389">
            <v>44657</v>
          </cell>
          <cell r="M2389">
            <v>44658</v>
          </cell>
          <cell r="N2389">
            <v>44672</v>
          </cell>
          <cell r="O2389">
            <v>44658</v>
          </cell>
          <cell r="P2389">
            <v>44672</v>
          </cell>
          <cell r="Q2389" t="str">
            <v>2022-04-19 → 4/21</v>
          </cell>
          <cell r="R2389" t="str">
            <v>2022-04-19 → 4/21</v>
          </cell>
          <cell r="S2389"/>
          <cell r="T2389">
            <v>44673</v>
          </cell>
          <cell r="U2389">
            <v>44676</v>
          </cell>
          <cell r="V2389">
            <v>44677</v>
          </cell>
          <cell r="W2389">
            <v>44677</v>
          </cell>
          <cell r="X2389">
            <v>41100168</v>
          </cell>
        </row>
        <row r="2390">
          <cell r="K2390" t="str">
            <v>GBWS-2288</v>
          </cell>
          <cell r="L2390">
            <v>44676</v>
          </cell>
          <cell r="M2390">
            <v>44676</v>
          </cell>
          <cell r="N2390">
            <v>44690</v>
          </cell>
          <cell r="O2390">
            <v>44676</v>
          </cell>
          <cell r="P2390">
            <v>44687</v>
          </cell>
          <cell r="Q2390">
            <v>44687</v>
          </cell>
          <cell r="R2390">
            <v>44687</v>
          </cell>
          <cell r="S2390"/>
          <cell r="T2390">
            <v>44691</v>
          </cell>
          <cell r="U2390">
            <v>44692</v>
          </cell>
          <cell r="V2390">
            <v>44693</v>
          </cell>
          <cell r="W2390">
            <v>44697</v>
          </cell>
          <cell r="X2390">
            <v>41100321</v>
          </cell>
        </row>
        <row r="2391">
          <cell r="K2391" t="str">
            <v>GBWS-2289</v>
          </cell>
          <cell r="L2391">
            <v>44676</v>
          </cell>
          <cell r="M2391">
            <v>44676</v>
          </cell>
          <cell r="N2391">
            <v>44690</v>
          </cell>
          <cell r="O2391">
            <v>44676</v>
          </cell>
          <cell r="P2391">
            <v>44687</v>
          </cell>
          <cell r="Q2391">
            <v>44687</v>
          </cell>
          <cell r="R2391">
            <v>44687</v>
          </cell>
          <cell r="S2391"/>
          <cell r="T2391">
            <v>44691</v>
          </cell>
          <cell r="U2391">
            <v>44693</v>
          </cell>
          <cell r="V2391">
            <v>44697</v>
          </cell>
          <cell r="W2391">
            <v>44697</v>
          </cell>
          <cell r="X2391">
            <v>41100321</v>
          </cell>
        </row>
        <row r="2392">
          <cell r="K2392" t="str">
            <v>GBWS-2246</v>
          </cell>
          <cell r="L2392">
            <v>44663</v>
          </cell>
          <cell r="M2392">
            <v>44663</v>
          </cell>
          <cell r="N2392">
            <v>44678</v>
          </cell>
          <cell r="O2392">
            <v>44663</v>
          </cell>
          <cell r="P2392">
            <v>44677</v>
          </cell>
          <cell r="Q2392">
            <v>44677</v>
          </cell>
          <cell r="R2392">
            <v>44677</v>
          </cell>
          <cell r="S2392"/>
          <cell r="T2392">
            <v>44679</v>
          </cell>
          <cell r="U2392">
            <v>44683</v>
          </cell>
          <cell r="V2392">
            <v>44684</v>
          </cell>
          <cell r="W2392">
            <v>44684</v>
          </cell>
          <cell r="X2392">
            <v>41100460</v>
          </cell>
        </row>
        <row r="2393">
          <cell r="K2393" t="str">
            <v>GBWS-2259</v>
          </cell>
          <cell r="L2393">
            <v>44670</v>
          </cell>
          <cell r="M2393">
            <v>44670</v>
          </cell>
          <cell r="N2393">
            <v>44684</v>
          </cell>
          <cell r="O2393">
            <v>44670</v>
          </cell>
          <cell r="P2393">
            <v>44684</v>
          </cell>
          <cell r="Q2393">
            <v>44684</v>
          </cell>
          <cell r="R2393">
            <v>44684</v>
          </cell>
          <cell r="S2393"/>
          <cell r="T2393">
            <v>44685</v>
          </cell>
          <cell r="U2393">
            <v>44691</v>
          </cell>
          <cell r="V2393">
            <v>44692</v>
          </cell>
          <cell r="W2393">
            <v>44692</v>
          </cell>
          <cell r="X2393">
            <v>41100462</v>
          </cell>
        </row>
        <row r="2394">
          <cell r="K2394" t="str">
            <v>GBWS-2260</v>
          </cell>
          <cell r="L2394">
            <v>44670</v>
          </cell>
          <cell r="M2394">
            <v>44670</v>
          </cell>
          <cell r="N2394">
            <v>44684</v>
          </cell>
          <cell r="O2394">
            <v>44670</v>
          </cell>
          <cell r="P2394">
            <v>44684</v>
          </cell>
          <cell r="Q2394">
            <v>44684</v>
          </cell>
          <cell r="R2394">
            <v>44684</v>
          </cell>
          <cell r="S2394"/>
          <cell r="T2394">
            <v>44685</v>
          </cell>
          <cell r="U2394">
            <v>44687</v>
          </cell>
          <cell r="V2394">
            <v>44687</v>
          </cell>
          <cell r="W2394">
            <v>44687</v>
          </cell>
          <cell r="X2394">
            <v>41100462</v>
          </cell>
        </row>
        <row r="2395">
          <cell r="K2395" t="str">
            <v>GBWS-2261</v>
          </cell>
          <cell r="L2395">
            <v>44670</v>
          </cell>
          <cell r="M2395">
            <v>44670</v>
          </cell>
          <cell r="N2395">
            <v>44684</v>
          </cell>
          <cell r="O2395">
            <v>44670</v>
          </cell>
          <cell r="P2395">
            <v>44684</v>
          </cell>
          <cell r="Q2395">
            <v>44684</v>
          </cell>
          <cell r="R2395">
            <v>44684</v>
          </cell>
          <cell r="S2395"/>
          <cell r="T2395">
            <v>44685</v>
          </cell>
          <cell r="U2395">
            <v>44690</v>
          </cell>
          <cell r="V2395">
            <v>44690</v>
          </cell>
          <cell r="W2395">
            <v>44694</v>
          </cell>
          <cell r="X2395">
            <v>41100462</v>
          </cell>
        </row>
        <row r="2396">
          <cell r="K2396" t="str">
            <v>GBWS-2308</v>
          </cell>
          <cell r="L2396">
            <v>44676</v>
          </cell>
          <cell r="M2396">
            <v>44678</v>
          </cell>
          <cell r="N2396">
            <v>44688</v>
          </cell>
          <cell r="O2396">
            <v>44678</v>
          </cell>
          <cell r="P2396">
            <v>44687</v>
          </cell>
          <cell r="Q2396">
            <v>44690</v>
          </cell>
          <cell r="R2396">
            <v>44690</v>
          </cell>
          <cell r="S2396"/>
          <cell r="T2396">
            <v>44691</v>
          </cell>
          <cell r="U2396">
            <v>44693</v>
          </cell>
          <cell r="V2396">
            <v>44697</v>
          </cell>
          <cell r="W2396">
            <v>44698</v>
          </cell>
          <cell r="X2396">
            <v>41100311</v>
          </cell>
        </row>
        <row r="2397">
          <cell r="K2397" t="str">
            <v>GBWS-2309</v>
          </cell>
          <cell r="L2397">
            <v>44676</v>
          </cell>
          <cell r="M2397">
            <v>44678</v>
          </cell>
          <cell r="N2397">
            <v>44688</v>
          </cell>
          <cell r="O2397">
            <v>44678</v>
          </cell>
          <cell r="P2397">
            <v>44687</v>
          </cell>
          <cell r="Q2397">
            <v>44690</v>
          </cell>
          <cell r="R2397">
            <v>44690</v>
          </cell>
          <cell r="S2397"/>
          <cell r="T2397">
            <v>44691</v>
          </cell>
          <cell r="U2397">
            <v>44693</v>
          </cell>
          <cell r="V2397">
            <v>44694</v>
          </cell>
          <cell r="W2397">
            <v>44697</v>
          </cell>
          <cell r="X2397">
            <v>41100311</v>
          </cell>
        </row>
        <row r="2398">
          <cell r="K2398" t="str">
            <v>GBWS-2310</v>
          </cell>
          <cell r="L2398">
            <v>44676</v>
          </cell>
          <cell r="M2398">
            <v>44678</v>
          </cell>
          <cell r="N2398">
            <v>44688</v>
          </cell>
          <cell r="O2398">
            <v>44678</v>
          </cell>
          <cell r="P2398">
            <v>44687</v>
          </cell>
          <cell r="Q2398">
            <v>44690</v>
          </cell>
          <cell r="R2398">
            <v>44690</v>
          </cell>
          <cell r="S2398"/>
          <cell r="T2398">
            <v>44691</v>
          </cell>
          <cell r="U2398">
            <v>44693</v>
          </cell>
          <cell r="V2398">
            <v>44694</v>
          </cell>
          <cell r="W2398">
            <v>44697</v>
          </cell>
          <cell r="X2398">
            <v>41100311</v>
          </cell>
        </row>
        <row r="2399">
          <cell r="K2399" t="str">
            <v>GBWS-2311</v>
          </cell>
          <cell r="L2399">
            <v>44676</v>
          </cell>
          <cell r="M2399">
            <v>44678</v>
          </cell>
          <cell r="N2399">
            <v>44688</v>
          </cell>
          <cell r="O2399">
            <v>44678</v>
          </cell>
          <cell r="P2399">
            <v>44687</v>
          </cell>
          <cell r="Q2399">
            <v>44690</v>
          </cell>
          <cell r="R2399">
            <v>44690</v>
          </cell>
          <cell r="S2399"/>
          <cell r="T2399">
            <v>44691</v>
          </cell>
          <cell r="U2399">
            <v>44693</v>
          </cell>
          <cell r="V2399">
            <v>44697</v>
          </cell>
          <cell r="W2399">
            <v>44698</v>
          </cell>
          <cell r="X2399">
            <v>41100311</v>
          </cell>
        </row>
        <row r="2400">
          <cell r="K2400" t="str">
            <v>GBWS-2285</v>
          </cell>
          <cell r="L2400">
            <v>44671</v>
          </cell>
          <cell r="M2400">
            <v>44672</v>
          </cell>
          <cell r="N2400">
            <v>44687</v>
          </cell>
          <cell r="O2400">
            <v>44672</v>
          </cell>
          <cell r="P2400">
            <v>44684</v>
          </cell>
          <cell r="Q2400">
            <v>44687</v>
          </cell>
          <cell r="R2400">
            <v>44687</v>
          </cell>
          <cell r="S2400"/>
          <cell r="T2400">
            <v>44690</v>
          </cell>
          <cell r="U2400">
            <v>44691</v>
          </cell>
          <cell r="V2400">
            <v>44692</v>
          </cell>
          <cell r="W2400">
            <v>44693</v>
          </cell>
          <cell r="X2400">
            <v>41100331</v>
          </cell>
        </row>
        <row r="2401">
          <cell r="K2401" t="str">
            <v>GBWS-2281</v>
          </cell>
          <cell r="L2401">
            <v>44671</v>
          </cell>
          <cell r="M2401">
            <v>44672</v>
          </cell>
          <cell r="N2401">
            <v>44687</v>
          </cell>
          <cell r="O2401">
            <v>44672</v>
          </cell>
          <cell r="P2401">
            <v>44684</v>
          </cell>
          <cell r="Q2401">
            <v>44687</v>
          </cell>
          <cell r="R2401">
            <v>44687</v>
          </cell>
          <cell r="S2401"/>
          <cell r="T2401">
            <v>44690</v>
          </cell>
          <cell r="U2401">
            <v>44691</v>
          </cell>
          <cell r="V2401">
            <v>44692</v>
          </cell>
          <cell r="W2401">
            <v>44693</v>
          </cell>
          <cell r="X2401">
            <v>41100329</v>
          </cell>
        </row>
        <row r="2402">
          <cell r="K2402" t="str">
            <v>GBWS-2282</v>
          </cell>
          <cell r="L2402">
            <v>44671</v>
          </cell>
          <cell r="M2402">
            <v>44672</v>
          </cell>
          <cell r="N2402">
            <v>44687</v>
          </cell>
          <cell r="O2402">
            <v>44672</v>
          </cell>
          <cell r="P2402">
            <v>44684</v>
          </cell>
          <cell r="Q2402">
            <v>44687</v>
          </cell>
          <cell r="R2402">
            <v>44687</v>
          </cell>
          <cell r="S2402"/>
          <cell r="T2402">
            <v>44690</v>
          </cell>
          <cell r="U2402">
            <v>44692</v>
          </cell>
          <cell r="V2402">
            <v>44693</v>
          </cell>
          <cell r="W2402">
            <v>44694</v>
          </cell>
          <cell r="X2402">
            <v>41100329</v>
          </cell>
        </row>
        <row r="2403">
          <cell r="K2403" t="str">
            <v>GBWS-2279</v>
          </cell>
          <cell r="L2403">
            <v>44671</v>
          </cell>
          <cell r="M2403">
            <v>44672</v>
          </cell>
          <cell r="N2403">
            <v>44687</v>
          </cell>
          <cell r="O2403">
            <v>44672</v>
          </cell>
          <cell r="P2403">
            <v>44684</v>
          </cell>
          <cell r="Q2403">
            <v>44687</v>
          </cell>
          <cell r="R2403">
            <v>44687</v>
          </cell>
          <cell r="S2403"/>
          <cell r="T2403">
            <v>44690</v>
          </cell>
          <cell r="U2403">
            <v>44692</v>
          </cell>
          <cell r="V2403">
            <v>44698</v>
          </cell>
          <cell r="W2403">
            <v>44698</v>
          </cell>
          <cell r="X2403">
            <v>41100315</v>
          </cell>
        </row>
        <row r="2404">
          <cell r="K2404" t="str">
            <v>GBWS-2280</v>
          </cell>
          <cell r="L2404">
            <v>44671</v>
          </cell>
          <cell r="M2404">
            <v>44672</v>
          </cell>
          <cell r="N2404">
            <v>44687</v>
          </cell>
          <cell r="O2404">
            <v>44672</v>
          </cell>
          <cell r="P2404">
            <v>44684</v>
          </cell>
          <cell r="Q2404">
            <v>44687</v>
          </cell>
          <cell r="R2404">
            <v>44687</v>
          </cell>
          <cell r="S2404"/>
          <cell r="T2404">
            <v>44690</v>
          </cell>
          <cell r="U2404">
            <v>44692</v>
          </cell>
          <cell r="V2404">
            <v>44698</v>
          </cell>
          <cell r="W2404">
            <v>44698</v>
          </cell>
          <cell r="X2404">
            <v>41100315</v>
          </cell>
        </row>
        <row r="2405">
          <cell r="K2405" t="str">
            <v>GBWS-2278</v>
          </cell>
          <cell r="L2405">
            <v>44671</v>
          </cell>
          <cell r="M2405">
            <v>44672</v>
          </cell>
          <cell r="N2405">
            <v>44687</v>
          </cell>
          <cell r="O2405">
            <v>44672</v>
          </cell>
          <cell r="P2405">
            <v>44684</v>
          </cell>
          <cell r="Q2405">
            <v>44687</v>
          </cell>
          <cell r="R2405">
            <v>44687</v>
          </cell>
          <cell r="S2405"/>
          <cell r="T2405">
            <v>44690</v>
          </cell>
          <cell r="U2405">
            <v>44692</v>
          </cell>
          <cell r="V2405">
            <v>44693</v>
          </cell>
          <cell r="W2405">
            <v>44693</v>
          </cell>
          <cell r="X2405">
            <v>41100313</v>
          </cell>
        </row>
        <row r="2406">
          <cell r="K2406" t="str">
            <v>GBWS-2129</v>
          </cell>
          <cell r="L2406">
            <v>44614</v>
          </cell>
          <cell r="M2406">
            <v>44614</v>
          </cell>
          <cell r="N2406">
            <v>44624</v>
          </cell>
          <cell r="O2406">
            <v>44614</v>
          </cell>
          <cell r="P2406">
            <v>44624</v>
          </cell>
          <cell r="Q2406" t="str">
            <v>2022-03-03 → 3/4</v>
          </cell>
          <cell r="R2406" t="str">
            <v>2022-03-03 → 3/4</v>
          </cell>
          <cell r="S2406"/>
          <cell r="T2406">
            <v>44627</v>
          </cell>
          <cell r="U2406">
            <v>44628</v>
          </cell>
          <cell r="V2406">
            <v>44634</v>
          </cell>
          <cell r="W2406">
            <v>44634</v>
          </cell>
          <cell r="X2406">
            <v>41100168</v>
          </cell>
        </row>
        <row r="2407">
          <cell r="K2407" t="str">
            <v>GBWS-2130</v>
          </cell>
          <cell r="L2407">
            <v>44614</v>
          </cell>
          <cell r="M2407">
            <v>44614</v>
          </cell>
          <cell r="N2407">
            <v>44624</v>
          </cell>
          <cell r="O2407">
            <v>44614</v>
          </cell>
          <cell r="P2407">
            <v>44624</v>
          </cell>
          <cell r="Q2407" t="str">
            <v>2022-03-03 → 3/4</v>
          </cell>
          <cell r="R2407" t="str">
            <v>2022-03-03 → 3/4</v>
          </cell>
          <cell r="S2407"/>
          <cell r="T2407">
            <v>44627</v>
          </cell>
          <cell r="U2407">
            <v>44628</v>
          </cell>
          <cell r="V2407">
            <v>44631</v>
          </cell>
          <cell r="W2407">
            <v>44631</v>
          </cell>
          <cell r="X2407">
            <v>41100168</v>
          </cell>
        </row>
        <row r="2408">
          <cell r="K2408" t="str">
            <v>DBW-2585</v>
          </cell>
          <cell r="L2408">
            <v>44637</v>
          </cell>
          <cell r="M2408">
            <v>44637</v>
          </cell>
          <cell r="N2408">
            <v>44648</v>
          </cell>
          <cell r="O2408">
            <v>44637</v>
          </cell>
          <cell r="P2408">
            <v>44645</v>
          </cell>
          <cell r="Q2408">
            <v>44648</v>
          </cell>
          <cell r="R2408">
            <v>44648</v>
          </cell>
          <cell r="S2408"/>
          <cell r="T2408">
            <v>44650</v>
          </cell>
          <cell r="U2408">
            <v>44650</v>
          </cell>
          <cell r="V2408">
            <v>44651</v>
          </cell>
          <cell r="W2408">
            <v>44652</v>
          </cell>
          <cell r="X2408">
            <v>41100466</v>
          </cell>
        </row>
        <row r="2409">
          <cell r="K2409" t="str">
            <v>DBW-2586</v>
          </cell>
          <cell r="L2409">
            <v>44637</v>
          </cell>
          <cell r="M2409">
            <v>44637</v>
          </cell>
          <cell r="N2409">
            <v>44648</v>
          </cell>
          <cell r="O2409">
            <v>44637</v>
          </cell>
          <cell r="P2409">
            <v>44645</v>
          </cell>
          <cell r="Q2409">
            <v>44648</v>
          </cell>
          <cell r="R2409">
            <v>44648</v>
          </cell>
          <cell r="S2409"/>
          <cell r="T2409">
            <v>44650</v>
          </cell>
          <cell r="U2409">
            <v>44650</v>
          </cell>
          <cell r="V2409">
            <v>44652</v>
          </cell>
          <cell r="W2409">
            <v>44656</v>
          </cell>
          <cell r="X2409">
            <v>41100466</v>
          </cell>
        </row>
        <row r="2410">
          <cell r="K2410" t="str">
            <v>DBW-2615</v>
          </cell>
          <cell r="L2410">
            <v>44670</v>
          </cell>
          <cell r="M2410">
            <v>44671</v>
          </cell>
          <cell r="N2410">
            <v>44688</v>
          </cell>
          <cell r="O2410">
            <v>44671</v>
          </cell>
          <cell r="P2410">
            <v>44683</v>
          </cell>
          <cell r="Q2410">
            <v>44679</v>
          </cell>
          <cell r="R2410">
            <v>44679</v>
          </cell>
          <cell r="S2410"/>
          <cell r="T2410">
            <v>44684</v>
          </cell>
          <cell r="U2410">
            <v>44690</v>
          </cell>
          <cell r="V2410">
            <v>44690</v>
          </cell>
          <cell r="W2410">
            <v>44691</v>
          </cell>
          <cell r="X2410">
            <v>41100465</v>
          </cell>
        </row>
        <row r="2411">
          <cell r="K2411" t="str">
            <v>DBW-2616</v>
          </cell>
          <cell r="L2411">
            <v>44670</v>
          </cell>
          <cell r="M2411">
            <v>44671</v>
          </cell>
          <cell r="N2411">
            <v>44688</v>
          </cell>
          <cell r="O2411">
            <v>44671</v>
          </cell>
          <cell r="P2411">
            <v>44683</v>
          </cell>
          <cell r="Q2411">
            <v>44679</v>
          </cell>
          <cell r="R2411">
            <v>44679</v>
          </cell>
          <cell r="S2411"/>
          <cell r="T2411">
            <v>44684</v>
          </cell>
          <cell r="U2411">
            <v>44690</v>
          </cell>
          <cell r="V2411">
            <v>44691</v>
          </cell>
          <cell r="W2411">
            <v>44691</v>
          </cell>
          <cell r="X2411">
            <v>41100465</v>
          </cell>
        </row>
        <row r="2412">
          <cell r="K2412" t="str">
            <v>DBW-2589</v>
          </cell>
          <cell r="L2412">
            <v>44641</v>
          </cell>
          <cell r="M2412">
            <v>44642</v>
          </cell>
          <cell r="N2412">
            <v>44651</v>
          </cell>
          <cell r="O2412">
            <v>44642</v>
          </cell>
          <cell r="P2412">
            <v>44650</v>
          </cell>
          <cell r="Q2412" t="str">
            <v>2022-03-30 → 3/31</v>
          </cell>
          <cell r="R2412" t="str">
            <v>2022-03-30 → 3/31</v>
          </cell>
          <cell r="S2412"/>
          <cell r="T2412">
            <v>44652</v>
          </cell>
          <cell r="U2412">
            <v>44655</v>
          </cell>
          <cell r="V2412">
            <v>44657</v>
          </cell>
          <cell r="W2412">
            <v>44659</v>
          </cell>
          <cell r="X2412">
            <v>41100469</v>
          </cell>
        </row>
        <row r="2413">
          <cell r="K2413" t="str">
            <v>DBW-2590</v>
          </cell>
          <cell r="L2413">
            <v>44641</v>
          </cell>
          <cell r="M2413">
            <v>44642</v>
          </cell>
          <cell r="N2413">
            <v>44651</v>
          </cell>
          <cell r="O2413">
            <v>44642</v>
          </cell>
          <cell r="P2413">
            <v>44650</v>
          </cell>
          <cell r="Q2413" t="str">
            <v>2022-03-30 → 3/31</v>
          </cell>
          <cell r="R2413" t="str">
            <v>2022-03-30 → 3/31</v>
          </cell>
          <cell r="S2413"/>
          <cell r="T2413">
            <v>44652</v>
          </cell>
          <cell r="U2413">
            <v>44655</v>
          </cell>
          <cell r="V2413">
            <v>44655</v>
          </cell>
          <cell r="W2413">
            <v>44657</v>
          </cell>
          <cell r="X2413">
            <v>41100469</v>
          </cell>
        </row>
        <row r="2414">
          <cell r="K2414" t="str">
            <v>DBW-2591</v>
          </cell>
          <cell r="L2414">
            <v>44641</v>
          </cell>
          <cell r="M2414">
            <v>44642</v>
          </cell>
          <cell r="N2414">
            <v>44651</v>
          </cell>
          <cell r="O2414">
            <v>44642</v>
          </cell>
          <cell r="P2414">
            <v>44650</v>
          </cell>
          <cell r="Q2414" t="str">
            <v>2022-03-30 → 3/31</v>
          </cell>
          <cell r="R2414" t="str">
            <v>2022-03-30 → 3/31</v>
          </cell>
          <cell r="S2414"/>
          <cell r="T2414">
            <v>44652</v>
          </cell>
          <cell r="U2414">
            <v>44655</v>
          </cell>
          <cell r="V2414">
            <v>44655</v>
          </cell>
          <cell r="W2414">
            <v>44664</v>
          </cell>
          <cell r="X2414">
            <v>41100469</v>
          </cell>
        </row>
        <row r="2415">
          <cell r="K2415" t="str">
            <v>DBW-2605</v>
          </cell>
          <cell r="L2415">
            <v>44641</v>
          </cell>
          <cell r="M2415">
            <v>44642</v>
          </cell>
          <cell r="N2415">
            <v>44651</v>
          </cell>
          <cell r="O2415">
            <v>44642</v>
          </cell>
          <cell r="P2415">
            <v>44650</v>
          </cell>
          <cell r="Q2415" t="str">
            <v>2022-03-30 → 3/31</v>
          </cell>
          <cell r="R2415" t="str">
            <v>2022-03-30 → 3/31</v>
          </cell>
          <cell r="S2415"/>
          <cell r="T2415">
            <v>44652</v>
          </cell>
          <cell r="U2415">
            <v>44656</v>
          </cell>
          <cell r="V2415">
            <v>44657</v>
          </cell>
          <cell r="W2415">
            <v>44659</v>
          </cell>
          <cell r="X2415">
            <v>41100469</v>
          </cell>
        </row>
        <row r="2416">
          <cell r="K2416" t="str">
            <v>GBWS-2238</v>
          </cell>
          <cell r="L2416">
            <v>44663</v>
          </cell>
          <cell r="M2416">
            <v>44663</v>
          </cell>
          <cell r="N2416">
            <v>44677</v>
          </cell>
          <cell r="O2416">
            <v>44663</v>
          </cell>
          <cell r="P2416">
            <v>44676</v>
          </cell>
          <cell r="Q2416">
            <v>44677</v>
          </cell>
          <cell r="R2416">
            <v>44677</v>
          </cell>
          <cell r="S2416"/>
          <cell r="T2416">
            <v>44677</v>
          </cell>
          <cell r="U2416">
            <v>44679</v>
          </cell>
          <cell r="V2416">
            <v>44680</v>
          </cell>
          <cell r="W2416">
            <v>44680</v>
          </cell>
          <cell r="X2416">
            <v>41100460</v>
          </cell>
        </row>
        <row r="2417">
          <cell r="K2417" t="str">
            <v>GBWS-2240</v>
          </cell>
          <cell r="L2417">
            <v>44663</v>
          </cell>
          <cell r="M2417">
            <v>44663</v>
          </cell>
          <cell r="N2417">
            <v>44677</v>
          </cell>
          <cell r="O2417">
            <v>44663</v>
          </cell>
          <cell r="P2417">
            <v>44676</v>
          </cell>
          <cell r="Q2417">
            <v>44677</v>
          </cell>
          <cell r="R2417">
            <v>44677</v>
          </cell>
          <cell r="S2417"/>
          <cell r="T2417">
            <v>44677</v>
          </cell>
          <cell r="U2417">
            <v>44678</v>
          </cell>
          <cell r="V2417">
            <v>44679</v>
          </cell>
          <cell r="W2417">
            <v>44679</v>
          </cell>
          <cell r="X2417">
            <v>41100460</v>
          </cell>
        </row>
        <row r="2418">
          <cell r="K2418" t="str">
            <v>GBWS-2245</v>
          </cell>
          <cell r="L2418">
            <v>44663</v>
          </cell>
          <cell r="M2418">
            <v>44663</v>
          </cell>
          <cell r="N2418">
            <v>44677</v>
          </cell>
          <cell r="O2418">
            <v>44663</v>
          </cell>
          <cell r="P2418">
            <v>44672</v>
          </cell>
          <cell r="Q2418">
            <v>44677</v>
          </cell>
          <cell r="R2418">
            <v>44677</v>
          </cell>
          <cell r="S2418"/>
          <cell r="T2418">
            <v>44678</v>
          </cell>
          <cell r="U2418">
            <v>44680</v>
          </cell>
          <cell r="V2418">
            <v>44683</v>
          </cell>
          <cell r="W2418">
            <v>44683</v>
          </cell>
          <cell r="X2418">
            <v>41100460</v>
          </cell>
        </row>
        <row r="2419">
          <cell r="K2419" t="str">
            <v>GPWS-0219</v>
          </cell>
          <cell r="L2419">
            <v>44676</v>
          </cell>
          <cell r="M2419">
            <v>44677</v>
          </cell>
          <cell r="N2419">
            <v>44687</v>
          </cell>
          <cell r="O2419">
            <v>44677</v>
          </cell>
          <cell r="P2419">
            <v>44687</v>
          </cell>
          <cell r="Q2419">
            <v>44685</v>
          </cell>
          <cell r="R2419">
            <v>44685</v>
          </cell>
          <cell r="S2419"/>
          <cell r="T2419">
            <v>44690</v>
          </cell>
          <cell r="U2419">
            <v>44693</v>
          </cell>
          <cell r="V2419">
            <v>44694</v>
          </cell>
          <cell r="W2419">
            <v>44694</v>
          </cell>
          <cell r="X2419">
            <v>41100487</v>
          </cell>
        </row>
        <row r="2420">
          <cell r="K2420" t="str">
            <v>GPWS-0220</v>
          </cell>
          <cell r="L2420">
            <v>44676</v>
          </cell>
          <cell r="M2420">
            <v>44677</v>
          </cell>
          <cell r="N2420">
            <v>44687</v>
          </cell>
          <cell r="O2420">
            <v>44677</v>
          </cell>
          <cell r="P2420">
            <v>44687</v>
          </cell>
          <cell r="Q2420">
            <v>44685</v>
          </cell>
          <cell r="R2420">
            <v>44685</v>
          </cell>
          <cell r="S2420"/>
          <cell r="T2420">
            <v>44690</v>
          </cell>
          <cell r="U2420">
            <v>44693</v>
          </cell>
          <cell r="V2420">
            <v>44694</v>
          </cell>
          <cell r="W2420">
            <v>44694</v>
          </cell>
          <cell r="X2420">
            <v>41100487</v>
          </cell>
        </row>
        <row r="2421">
          <cell r="K2421" t="str">
            <v>GPWS-0221</v>
          </cell>
          <cell r="L2421">
            <v>44676</v>
          </cell>
          <cell r="M2421">
            <v>44677</v>
          </cell>
          <cell r="N2421">
            <v>44687</v>
          </cell>
          <cell r="O2421">
            <v>44677</v>
          </cell>
          <cell r="P2421">
            <v>44687</v>
          </cell>
          <cell r="Q2421">
            <v>44685</v>
          </cell>
          <cell r="R2421">
            <v>44685</v>
          </cell>
          <cell r="S2421"/>
          <cell r="T2421">
            <v>44690</v>
          </cell>
          <cell r="U2421">
            <v>44693</v>
          </cell>
          <cell r="V2421">
            <v>44694</v>
          </cell>
          <cell r="W2421">
            <v>44694</v>
          </cell>
          <cell r="X2421">
            <v>41100487</v>
          </cell>
        </row>
        <row r="2422">
          <cell r="K2422" t="str">
            <v>GPWS-0222</v>
          </cell>
          <cell r="L2422">
            <v>44676</v>
          </cell>
          <cell r="M2422">
            <v>44677</v>
          </cell>
          <cell r="N2422">
            <v>44687</v>
          </cell>
          <cell r="O2422">
            <v>44677</v>
          </cell>
          <cell r="P2422">
            <v>44687</v>
          </cell>
          <cell r="Q2422">
            <v>44685</v>
          </cell>
          <cell r="R2422">
            <v>44685</v>
          </cell>
          <cell r="S2422"/>
          <cell r="T2422">
            <v>44690</v>
          </cell>
          <cell r="U2422">
            <v>44694</v>
          </cell>
          <cell r="V2422">
            <v>44697</v>
          </cell>
          <cell r="W2422">
            <v>44697</v>
          </cell>
          <cell r="X2422">
            <v>41100487</v>
          </cell>
        </row>
        <row r="2423">
          <cell r="K2423" t="str">
            <v>DBW-2611</v>
          </cell>
          <cell r="L2423">
            <v>44658</v>
          </cell>
          <cell r="M2423" t="str">
            <v>2022-04-14 → 4/8</v>
          </cell>
          <cell r="N2423">
            <v>44669</v>
          </cell>
          <cell r="O2423" t="str">
            <v>2022-04-14 → 4/8</v>
          </cell>
          <cell r="P2423">
            <v>44667</v>
          </cell>
          <cell r="Q2423" t="str">
            <v>2022-04-25 → 4/16</v>
          </cell>
          <cell r="R2423" t="str">
            <v>2022-04-25 → 4/16</v>
          </cell>
          <cell r="S2423"/>
          <cell r="T2423">
            <v>44669</v>
          </cell>
          <cell r="U2423">
            <v>44670</v>
          </cell>
          <cell r="V2423">
            <v>44673</v>
          </cell>
          <cell r="W2423">
            <v>44677</v>
          </cell>
          <cell r="X2423">
            <v>41100471</v>
          </cell>
        </row>
        <row r="2424">
          <cell r="K2424" t="str">
            <v>GBWS-2312</v>
          </cell>
          <cell r="L2424">
            <v>44679</v>
          </cell>
          <cell r="M2424">
            <v>44680</v>
          </cell>
          <cell r="N2424">
            <v>44694</v>
          </cell>
          <cell r="O2424">
            <v>44680</v>
          </cell>
          <cell r="P2424">
            <v>44694</v>
          </cell>
          <cell r="Q2424">
            <v>44694</v>
          </cell>
          <cell r="R2424">
            <v>44694</v>
          </cell>
          <cell r="S2424"/>
          <cell r="T2424">
            <v>44697</v>
          </cell>
          <cell r="U2424">
            <v>44698</v>
          </cell>
          <cell r="V2424">
            <v>44699</v>
          </cell>
          <cell r="W2424">
            <v>44699</v>
          </cell>
          <cell r="X2424">
            <v>41100408</v>
          </cell>
        </row>
        <row r="2425">
          <cell r="K2425" t="str">
            <v>GBWS-2239</v>
          </cell>
          <cell r="L2425">
            <v>44663</v>
          </cell>
          <cell r="M2425">
            <v>44663</v>
          </cell>
          <cell r="N2425">
            <v>44677</v>
          </cell>
          <cell r="O2425">
            <v>44663</v>
          </cell>
          <cell r="P2425">
            <v>44676</v>
          </cell>
          <cell r="Q2425">
            <v>44677</v>
          </cell>
          <cell r="R2425">
            <v>44677</v>
          </cell>
          <cell r="S2425"/>
          <cell r="T2425">
            <v>44677</v>
          </cell>
          <cell r="U2425">
            <v>44678</v>
          </cell>
          <cell r="V2425">
            <v>44679</v>
          </cell>
          <cell r="W2425">
            <v>44679</v>
          </cell>
          <cell r="X2425">
            <v>41100460</v>
          </cell>
        </row>
        <row r="2426">
          <cell r="K2426" t="str">
            <v>GBWS-2242</v>
          </cell>
          <cell r="L2426">
            <v>44663</v>
          </cell>
          <cell r="M2426">
            <v>44663</v>
          </cell>
          <cell r="N2426">
            <v>44677</v>
          </cell>
          <cell r="O2426">
            <v>44663</v>
          </cell>
          <cell r="P2426">
            <v>44677</v>
          </cell>
          <cell r="Q2426">
            <v>44677</v>
          </cell>
          <cell r="R2426">
            <v>44677</v>
          </cell>
          <cell r="S2426"/>
          <cell r="T2426">
            <v>44677</v>
          </cell>
          <cell r="U2426">
            <v>44679</v>
          </cell>
          <cell r="V2426">
            <v>44680</v>
          </cell>
          <cell r="W2426">
            <v>44680</v>
          </cell>
          <cell r="X2426">
            <v>41100460</v>
          </cell>
        </row>
        <row r="2427">
          <cell r="K2427" t="str">
            <v>GBWS-2250</v>
          </cell>
          <cell r="L2427">
            <v>44663</v>
          </cell>
          <cell r="M2427">
            <v>44663</v>
          </cell>
          <cell r="N2427">
            <v>44678</v>
          </cell>
          <cell r="O2427">
            <v>44663</v>
          </cell>
          <cell r="P2427">
            <v>44677</v>
          </cell>
          <cell r="Q2427">
            <v>44677</v>
          </cell>
          <cell r="R2427">
            <v>44677</v>
          </cell>
          <cell r="S2427"/>
          <cell r="T2427">
            <v>44679</v>
          </cell>
          <cell r="U2427">
            <v>44684</v>
          </cell>
          <cell r="V2427">
            <v>44685</v>
          </cell>
          <cell r="W2427">
            <v>44685</v>
          </cell>
          <cell r="X2427">
            <v>41100461</v>
          </cell>
        </row>
        <row r="2428">
          <cell r="K2428" t="str">
            <v>GBWS-2270</v>
          </cell>
          <cell r="L2428">
            <v>44670</v>
          </cell>
          <cell r="M2428">
            <v>44670</v>
          </cell>
          <cell r="N2428">
            <v>44684</v>
          </cell>
          <cell r="O2428">
            <v>44670</v>
          </cell>
          <cell r="P2428">
            <v>44684</v>
          </cell>
          <cell r="Q2428">
            <v>44684</v>
          </cell>
          <cell r="R2428">
            <v>44684</v>
          </cell>
          <cell r="S2428"/>
          <cell r="T2428">
            <v>44687</v>
          </cell>
          <cell r="U2428">
            <v>44691</v>
          </cell>
          <cell r="V2428">
            <v>44692</v>
          </cell>
          <cell r="W2428">
            <v>44693</v>
          </cell>
          <cell r="X2428">
            <v>41100462</v>
          </cell>
        </row>
        <row r="2429">
          <cell r="K2429" t="str">
            <v>DBW-2627</v>
          </cell>
          <cell r="L2429">
            <v>44684</v>
          </cell>
          <cell r="M2429">
            <v>44685</v>
          </cell>
          <cell r="N2429">
            <v>44693</v>
          </cell>
          <cell r="O2429">
            <v>44685</v>
          </cell>
          <cell r="P2429">
            <v>44693</v>
          </cell>
          <cell r="Q2429">
            <v>44693</v>
          </cell>
          <cell r="R2429">
            <v>44693</v>
          </cell>
          <cell r="S2429"/>
          <cell r="T2429">
            <v>44694</v>
          </cell>
          <cell r="U2429">
            <v>44697</v>
          </cell>
          <cell r="V2429">
            <v>44698</v>
          </cell>
          <cell r="W2429">
            <v>44698</v>
          </cell>
          <cell r="X2429">
            <v>41100499</v>
          </cell>
        </row>
        <row r="2430">
          <cell r="K2430" t="str">
            <v>DBW-2628</v>
          </cell>
          <cell r="L2430">
            <v>44684</v>
          </cell>
          <cell r="M2430">
            <v>44685</v>
          </cell>
          <cell r="N2430">
            <v>44693</v>
          </cell>
          <cell r="O2430">
            <v>44685</v>
          </cell>
          <cell r="P2430">
            <v>44693</v>
          </cell>
          <cell r="Q2430">
            <v>44693</v>
          </cell>
          <cell r="R2430">
            <v>44693</v>
          </cell>
          <cell r="S2430"/>
          <cell r="T2430">
            <v>44694</v>
          </cell>
          <cell r="U2430">
            <v>44697</v>
          </cell>
          <cell r="V2430">
            <v>44698</v>
          </cell>
          <cell r="W2430">
            <v>44698</v>
          </cell>
          <cell r="X2430">
            <v>41100499</v>
          </cell>
        </row>
        <row r="2431">
          <cell r="K2431" t="str">
            <v>DBW-2635</v>
          </cell>
          <cell r="L2431">
            <v>44683</v>
          </cell>
          <cell r="M2431">
            <v>44684</v>
          </cell>
          <cell r="N2431">
            <v>44691</v>
          </cell>
          <cell r="O2431">
            <v>44684</v>
          </cell>
          <cell r="P2431">
            <v>44691</v>
          </cell>
          <cell r="Q2431">
            <v>44691</v>
          </cell>
          <cell r="R2431">
            <v>44691</v>
          </cell>
          <cell r="S2431"/>
          <cell r="T2431">
            <v>44692</v>
          </cell>
          <cell r="U2431">
            <v>44694</v>
          </cell>
          <cell r="V2431">
            <v>44697</v>
          </cell>
          <cell r="W2431">
            <v>44698</v>
          </cell>
          <cell r="X2431">
            <v>41100496</v>
          </cell>
        </row>
        <row r="2432">
          <cell r="K2432" t="str">
            <v>DBW-2603</v>
          </cell>
          <cell r="L2432">
            <v>44662</v>
          </cell>
          <cell r="M2432">
            <v>44656</v>
          </cell>
          <cell r="N2432">
            <v>44669</v>
          </cell>
          <cell r="O2432">
            <v>44656</v>
          </cell>
          <cell r="P2432">
            <v>44669</v>
          </cell>
          <cell r="Q2432" t="str">
            <v>2022-04-14 → 4/18</v>
          </cell>
          <cell r="R2432" t="str">
            <v>2022-04-14 → 4/18</v>
          </cell>
          <cell r="S2432"/>
          <cell r="T2432">
            <v>44670</v>
          </cell>
          <cell r="U2432">
            <v>44671</v>
          </cell>
          <cell r="V2432">
            <v>44673</v>
          </cell>
          <cell r="W2432">
            <v>44676</v>
          </cell>
          <cell r="X2432">
            <v>41100470</v>
          </cell>
        </row>
        <row r="2433">
          <cell r="K2433" t="str">
            <v>DBW-2604</v>
          </cell>
          <cell r="L2433">
            <v>44662</v>
          </cell>
          <cell r="M2433">
            <v>44656</v>
          </cell>
          <cell r="N2433">
            <v>44669</v>
          </cell>
          <cell r="O2433">
            <v>44656</v>
          </cell>
          <cell r="P2433">
            <v>44669</v>
          </cell>
          <cell r="Q2433" t="str">
            <v>2022-04-14 → 4/18</v>
          </cell>
          <cell r="R2433" t="str">
            <v>2022-04-14 → 4/18</v>
          </cell>
          <cell r="S2433"/>
          <cell r="T2433">
            <v>44670</v>
          </cell>
          <cell r="U2433">
            <v>44671</v>
          </cell>
          <cell r="V2433">
            <v>44673</v>
          </cell>
          <cell r="W2433">
            <v>44676</v>
          </cell>
          <cell r="X2433">
            <v>41100470</v>
          </cell>
        </row>
        <row r="2434">
          <cell r="K2434" t="str">
            <v>DBW-2625</v>
          </cell>
          <cell r="L2434">
            <v>44679</v>
          </cell>
          <cell r="M2434">
            <v>44680</v>
          </cell>
          <cell r="N2434">
            <v>44692</v>
          </cell>
          <cell r="O2434">
            <v>44680</v>
          </cell>
          <cell r="P2434">
            <v>44692</v>
          </cell>
          <cell r="Q2434">
            <v>44692</v>
          </cell>
          <cell r="R2434">
            <v>44692</v>
          </cell>
          <cell r="S2434"/>
          <cell r="T2434">
            <v>44693</v>
          </cell>
          <cell r="U2434">
            <v>44694</v>
          </cell>
          <cell r="V2434">
            <v>44697</v>
          </cell>
          <cell r="W2434">
            <v>44697</v>
          </cell>
          <cell r="X2434">
            <v>41100465</v>
          </cell>
        </row>
        <row r="2435">
          <cell r="K2435" t="str">
            <v>DBW-2626</v>
          </cell>
          <cell r="L2435">
            <v>44679</v>
          </cell>
          <cell r="M2435">
            <v>44680</v>
          </cell>
          <cell r="N2435">
            <v>44692</v>
          </cell>
          <cell r="O2435">
            <v>44680</v>
          </cell>
          <cell r="P2435">
            <v>44692</v>
          </cell>
          <cell r="Q2435">
            <v>44692</v>
          </cell>
          <cell r="R2435">
            <v>44692</v>
          </cell>
          <cell r="S2435"/>
          <cell r="T2435">
            <v>44693</v>
          </cell>
          <cell r="U2435">
            <v>44694</v>
          </cell>
          <cell r="V2435">
            <v>44697</v>
          </cell>
          <cell r="W2435">
            <v>44698</v>
          </cell>
          <cell r="X2435">
            <v>41100465</v>
          </cell>
        </row>
        <row r="2436">
          <cell r="K2436" t="str">
            <v>DBW-2617</v>
          </cell>
          <cell r="L2436">
            <v>44670</v>
          </cell>
          <cell r="M2436">
            <v>44671</v>
          </cell>
          <cell r="N2436">
            <v>44688</v>
          </cell>
          <cell r="O2436">
            <v>44671</v>
          </cell>
          <cell r="P2436">
            <v>44683</v>
          </cell>
          <cell r="Q2436">
            <v>44679</v>
          </cell>
          <cell r="R2436">
            <v>44679</v>
          </cell>
          <cell r="S2436"/>
          <cell r="T2436">
            <v>44684</v>
          </cell>
          <cell r="U2436">
            <v>44690</v>
          </cell>
          <cell r="V2436">
            <v>44690</v>
          </cell>
          <cell r="W2436">
            <v>44691</v>
          </cell>
          <cell r="X2436">
            <v>41100469</v>
          </cell>
        </row>
        <row r="2437">
          <cell r="K2437" t="str">
            <v>DBW-2618</v>
          </cell>
          <cell r="L2437">
            <v>44670</v>
          </cell>
          <cell r="M2437">
            <v>44671</v>
          </cell>
          <cell r="N2437">
            <v>44688</v>
          </cell>
          <cell r="O2437">
            <v>44671</v>
          </cell>
          <cell r="P2437">
            <v>44683</v>
          </cell>
          <cell r="Q2437">
            <v>44679</v>
          </cell>
          <cell r="R2437">
            <v>44679</v>
          </cell>
          <cell r="S2437"/>
          <cell r="T2437">
            <v>44684</v>
          </cell>
          <cell r="U2437">
            <v>44690</v>
          </cell>
          <cell r="V2437">
            <v>44691</v>
          </cell>
          <cell r="W2437">
            <v>44691</v>
          </cell>
          <cell r="X2437">
            <v>41100469</v>
          </cell>
        </row>
        <row r="2438">
          <cell r="K2438" t="str">
            <v>DBW-2619</v>
          </cell>
          <cell r="L2438">
            <v>44670</v>
          </cell>
          <cell r="M2438">
            <v>44671</v>
          </cell>
          <cell r="N2438">
            <v>44687</v>
          </cell>
          <cell r="O2438">
            <v>44671</v>
          </cell>
          <cell r="P2438">
            <v>44678</v>
          </cell>
          <cell r="Q2438">
            <v>44680</v>
          </cell>
          <cell r="R2438">
            <v>44680</v>
          </cell>
          <cell r="S2438"/>
          <cell r="T2438">
            <v>44684</v>
          </cell>
          <cell r="U2438">
            <v>44690</v>
          </cell>
          <cell r="V2438">
            <v>44690</v>
          </cell>
          <cell r="W2438">
            <v>44691</v>
          </cell>
          <cell r="X2438">
            <v>41100466</v>
          </cell>
        </row>
        <row r="2439">
          <cell r="K2439" t="str">
            <v>DBW-2620</v>
          </cell>
          <cell r="L2439">
            <v>44670</v>
          </cell>
          <cell r="M2439">
            <v>44671</v>
          </cell>
          <cell r="N2439">
            <v>44687</v>
          </cell>
          <cell r="O2439">
            <v>44671</v>
          </cell>
          <cell r="P2439">
            <v>44678</v>
          </cell>
          <cell r="Q2439">
            <v>44680</v>
          </cell>
          <cell r="R2439">
            <v>44680</v>
          </cell>
          <cell r="S2439"/>
          <cell r="T2439">
            <v>44684</v>
          </cell>
          <cell r="U2439">
            <v>44690</v>
          </cell>
          <cell r="V2439">
            <v>44690</v>
          </cell>
          <cell r="W2439">
            <v>44691</v>
          </cell>
          <cell r="X2439">
            <v>41100466</v>
          </cell>
        </row>
        <row r="2440">
          <cell r="K2440" t="str">
            <v>DBW-2622</v>
          </cell>
          <cell r="L2440">
            <v>44676</v>
          </cell>
          <cell r="M2440">
            <v>44677</v>
          </cell>
          <cell r="N2440">
            <v>44690</v>
          </cell>
          <cell r="O2440">
            <v>44677</v>
          </cell>
          <cell r="P2440">
            <v>44687</v>
          </cell>
          <cell r="Q2440">
            <v>44685</v>
          </cell>
          <cell r="R2440">
            <v>44685</v>
          </cell>
          <cell r="S2440"/>
          <cell r="T2440">
            <v>44690</v>
          </cell>
          <cell r="U2440">
            <v>44693</v>
          </cell>
          <cell r="V2440">
            <v>44694</v>
          </cell>
          <cell r="W2440">
            <v>44697</v>
          </cell>
          <cell r="X2440">
            <v>41100472</v>
          </cell>
        </row>
        <row r="2441">
          <cell r="K2441" t="str">
            <v>DBW-2623</v>
          </cell>
          <cell r="L2441">
            <v>44676</v>
          </cell>
          <cell r="M2441">
            <v>44677</v>
          </cell>
          <cell r="N2441">
            <v>44690</v>
          </cell>
          <cell r="O2441">
            <v>44677</v>
          </cell>
          <cell r="P2441">
            <v>44687</v>
          </cell>
          <cell r="Q2441">
            <v>44685</v>
          </cell>
          <cell r="R2441">
            <v>44685</v>
          </cell>
          <cell r="S2441"/>
          <cell r="T2441">
            <v>44690</v>
          </cell>
          <cell r="U2441">
            <v>44693</v>
          </cell>
          <cell r="V2441">
            <v>44693</v>
          </cell>
          <cell r="W2441">
            <v>44697</v>
          </cell>
          <cell r="X2441">
            <v>41100472</v>
          </cell>
        </row>
        <row r="2442">
          <cell r="K2442" t="str">
            <v>GBWS-2283</v>
          </cell>
          <cell r="L2442">
            <v>44656</v>
          </cell>
          <cell r="M2442">
            <v>44656</v>
          </cell>
          <cell r="N2442">
            <v>44664</v>
          </cell>
          <cell r="O2442">
            <v>44656</v>
          </cell>
          <cell r="P2442">
            <v>44664</v>
          </cell>
          <cell r="Q2442">
            <v>44664</v>
          </cell>
          <cell r="R2442">
            <v>44664</v>
          </cell>
          <cell r="S2442"/>
          <cell r="T2442">
            <v>44670</v>
          </cell>
          <cell r="U2442">
            <v>44671</v>
          </cell>
          <cell r="V2442">
            <v>44673</v>
          </cell>
          <cell r="W2442">
            <v>44676</v>
          </cell>
          <cell r="X2442">
            <v>41100468</v>
          </cell>
        </row>
        <row r="2443">
          <cell r="K2443" t="str">
            <v>GBWS-2284</v>
          </cell>
          <cell r="L2443">
            <v>44656</v>
          </cell>
          <cell r="M2443">
            <v>44656</v>
          </cell>
          <cell r="N2443">
            <v>44664</v>
          </cell>
          <cell r="O2443">
            <v>44656</v>
          </cell>
          <cell r="P2443">
            <v>44664</v>
          </cell>
          <cell r="Q2443">
            <v>44664</v>
          </cell>
          <cell r="R2443">
            <v>44664</v>
          </cell>
          <cell r="S2443"/>
          <cell r="T2443">
            <v>44670</v>
          </cell>
          <cell r="U2443">
            <v>44671</v>
          </cell>
          <cell r="V2443">
            <v>44672</v>
          </cell>
          <cell r="W2443">
            <v>44677</v>
          </cell>
          <cell r="X2443">
            <v>41100468</v>
          </cell>
        </row>
        <row r="2444">
          <cell r="K2444" t="str">
            <v>GBWS-2274</v>
          </cell>
          <cell r="L2444">
            <v>44670</v>
          </cell>
          <cell r="M2444">
            <v>44671</v>
          </cell>
          <cell r="N2444">
            <v>44688</v>
          </cell>
          <cell r="O2444">
            <v>44671</v>
          </cell>
          <cell r="P2444">
            <v>44683</v>
          </cell>
          <cell r="Q2444">
            <v>44680</v>
          </cell>
          <cell r="R2444">
            <v>44680</v>
          </cell>
          <cell r="S2444"/>
          <cell r="T2444">
            <v>44684</v>
          </cell>
          <cell r="U2444">
            <v>44690</v>
          </cell>
          <cell r="V2444">
            <v>44691</v>
          </cell>
          <cell r="W2444">
            <v>44691</v>
          </cell>
          <cell r="X2444">
            <v>41100467</v>
          </cell>
        </row>
        <row r="2445">
          <cell r="K2445" t="str">
            <v>GBWS-2275</v>
          </cell>
          <cell r="L2445">
            <v>44670</v>
          </cell>
          <cell r="M2445">
            <v>44671</v>
          </cell>
          <cell r="N2445">
            <v>44688</v>
          </cell>
          <cell r="O2445">
            <v>44671</v>
          </cell>
          <cell r="P2445">
            <v>44683</v>
          </cell>
          <cell r="Q2445">
            <v>44680</v>
          </cell>
          <cell r="R2445">
            <v>44680</v>
          </cell>
          <cell r="S2445"/>
          <cell r="T2445">
            <v>44684</v>
          </cell>
          <cell r="U2445">
            <v>44690</v>
          </cell>
          <cell r="V2445">
            <v>44691</v>
          </cell>
          <cell r="W2445">
            <v>44691</v>
          </cell>
          <cell r="X2445">
            <v>41100467</v>
          </cell>
        </row>
        <row r="2446">
          <cell r="K2446" t="str">
            <v>GBWS-2276</v>
          </cell>
          <cell r="L2446">
            <v>44670</v>
          </cell>
          <cell r="M2446">
            <v>44671</v>
          </cell>
          <cell r="N2446">
            <v>44688</v>
          </cell>
          <cell r="O2446">
            <v>44671</v>
          </cell>
          <cell r="P2446">
            <v>44683</v>
          </cell>
          <cell r="Q2446">
            <v>44680</v>
          </cell>
          <cell r="R2446">
            <v>44680</v>
          </cell>
          <cell r="S2446"/>
          <cell r="T2446">
            <v>44685</v>
          </cell>
          <cell r="U2446">
            <v>44690</v>
          </cell>
          <cell r="V2446">
            <v>44691</v>
          </cell>
          <cell r="W2446">
            <v>44691</v>
          </cell>
          <cell r="X2446">
            <v>41100467</v>
          </cell>
        </row>
        <row r="2447">
          <cell r="K2447" t="str">
            <v>GBWS-2277</v>
          </cell>
          <cell r="L2447">
            <v>44670</v>
          </cell>
          <cell r="M2447">
            <v>44671</v>
          </cell>
          <cell r="N2447">
            <v>44688</v>
          </cell>
          <cell r="O2447">
            <v>44671</v>
          </cell>
          <cell r="P2447">
            <v>44683</v>
          </cell>
          <cell r="Q2447">
            <v>44680</v>
          </cell>
          <cell r="R2447">
            <v>44680</v>
          </cell>
          <cell r="S2447"/>
          <cell r="T2447">
            <v>44684</v>
          </cell>
          <cell r="U2447">
            <v>44690</v>
          </cell>
          <cell r="V2447">
            <v>44691</v>
          </cell>
          <cell r="W2447">
            <v>44691</v>
          </cell>
          <cell r="X2447">
            <v>41100467</v>
          </cell>
        </row>
        <row r="2448">
          <cell r="K2448" t="str">
            <v>GBWS-2295</v>
          </cell>
          <cell r="L2448">
            <v>44676</v>
          </cell>
          <cell r="M2448">
            <v>44677</v>
          </cell>
          <cell r="N2448">
            <v>44690</v>
          </cell>
          <cell r="O2448">
            <v>44677</v>
          </cell>
          <cell r="P2448">
            <v>44690</v>
          </cell>
          <cell r="Q2448">
            <v>44690</v>
          </cell>
          <cell r="R2448">
            <v>44690</v>
          </cell>
          <cell r="S2448"/>
          <cell r="T2448">
            <v>44691</v>
          </cell>
          <cell r="U2448">
            <v>44693</v>
          </cell>
          <cell r="V2448">
            <v>44697</v>
          </cell>
          <cell r="W2448">
            <v>44699</v>
          </cell>
          <cell r="X2448">
            <v>41100320</v>
          </cell>
        </row>
        <row r="2449">
          <cell r="K2449" t="str">
            <v>GBWS-2294</v>
          </cell>
          <cell r="L2449">
            <v>44676</v>
          </cell>
          <cell r="M2449">
            <v>44677</v>
          </cell>
          <cell r="N2449">
            <v>44690</v>
          </cell>
          <cell r="O2449">
            <v>44677</v>
          </cell>
          <cell r="P2449">
            <v>44687</v>
          </cell>
          <cell r="Q2449">
            <v>44687</v>
          </cell>
          <cell r="R2449">
            <v>44687</v>
          </cell>
          <cell r="S2449"/>
          <cell r="T2449">
            <v>44691</v>
          </cell>
          <cell r="U2449">
            <v>44693</v>
          </cell>
          <cell r="V2449">
            <v>44694</v>
          </cell>
          <cell r="W2449">
            <v>44694</v>
          </cell>
          <cell r="X2449">
            <v>41100486</v>
          </cell>
        </row>
        <row r="2450">
          <cell r="K2450" t="str">
            <v>DBW-2630</v>
          </cell>
          <cell r="L2450">
            <v>44683</v>
          </cell>
          <cell r="M2450">
            <v>44684</v>
          </cell>
          <cell r="N2450">
            <v>44694</v>
          </cell>
          <cell r="O2450">
            <v>44684</v>
          </cell>
          <cell r="P2450">
            <v>44694</v>
          </cell>
          <cell r="Q2450">
            <v>44694</v>
          </cell>
          <cell r="R2450">
            <v>44694</v>
          </cell>
          <cell r="S2450"/>
          <cell r="T2450">
            <v>44697</v>
          </cell>
          <cell r="U2450">
            <v>44698</v>
          </cell>
          <cell r="V2450">
            <v>44699</v>
          </cell>
          <cell r="W2450">
            <v>44699</v>
          </cell>
          <cell r="X2450">
            <v>41100497</v>
          </cell>
        </row>
        <row r="2451">
          <cell r="K2451" t="str">
            <v>GPWS-0217</v>
          </cell>
          <cell r="L2451">
            <v>44649</v>
          </cell>
          <cell r="M2451">
            <v>44649</v>
          </cell>
          <cell r="N2451">
            <v>44660</v>
          </cell>
          <cell r="O2451">
            <v>44649</v>
          </cell>
          <cell r="P2451">
            <v>44660</v>
          </cell>
          <cell r="Q2451">
            <v>44658</v>
          </cell>
          <cell r="R2451">
            <v>44658</v>
          </cell>
          <cell r="S2451"/>
          <cell r="T2451">
            <v>44660</v>
          </cell>
          <cell r="U2451">
            <v>44663</v>
          </cell>
          <cell r="V2451">
            <v>44705</v>
          </cell>
          <cell r="W2451">
            <v>44705</v>
          </cell>
          <cell r="X2451" t="str">
            <v>41100474 → 41100475</v>
          </cell>
        </row>
        <row r="2452">
          <cell r="K2452" t="str">
            <v>GBWS-2320</v>
          </cell>
          <cell r="L2452">
            <v>44684</v>
          </cell>
          <cell r="M2452">
            <v>44685</v>
          </cell>
          <cell r="N2452">
            <v>44697</v>
          </cell>
          <cell r="O2452">
            <v>44685</v>
          </cell>
          <cell r="P2452">
            <v>44697</v>
          </cell>
          <cell r="Q2452">
            <v>44697</v>
          </cell>
          <cell r="R2452">
            <v>44697</v>
          </cell>
          <cell r="S2452"/>
          <cell r="T2452">
            <v>44699</v>
          </cell>
          <cell r="U2452">
            <v>44700</v>
          </cell>
          <cell r="V2452">
            <v>44701</v>
          </cell>
          <cell r="W2452">
            <v>44704</v>
          </cell>
          <cell r="X2452">
            <v>41100481</v>
          </cell>
        </row>
        <row r="2453">
          <cell r="K2453" t="str">
            <v>GBWS-2321</v>
          </cell>
          <cell r="L2453">
            <v>44684</v>
          </cell>
          <cell r="M2453">
            <v>44685</v>
          </cell>
          <cell r="N2453">
            <v>44697</v>
          </cell>
          <cell r="O2453">
            <v>44685</v>
          </cell>
          <cell r="P2453">
            <v>44697</v>
          </cell>
          <cell r="Q2453">
            <v>44697</v>
          </cell>
          <cell r="R2453">
            <v>44697</v>
          </cell>
          <cell r="S2453"/>
          <cell r="T2453">
            <v>44700</v>
          </cell>
          <cell r="U2453">
            <v>44705</v>
          </cell>
          <cell r="V2453">
            <v>44706</v>
          </cell>
          <cell r="W2453">
            <v>44706</v>
          </cell>
          <cell r="X2453">
            <v>41100286</v>
          </cell>
        </row>
        <row r="2454">
          <cell r="K2454" t="str">
            <v>DBW-2598</v>
          </cell>
          <cell r="L2454">
            <v>44650</v>
          </cell>
          <cell r="M2454">
            <v>44650</v>
          </cell>
          <cell r="N2454">
            <v>44659</v>
          </cell>
          <cell r="O2454">
            <v>44650</v>
          </cell>
          <cell r="P2454">
            <v>44658</v>
          </cell>
          <cell r="Q2454">
            <v>44658</v>
          </cell>
          <cell r="R2454">
            <v>44658</v>
          </cell>
          <cell r="S2454"/>
          <cell r="T2454">
            <v>44659</v>
          </cell>
          <cell r="U2454">
            <v>44662</v>
          </cell>
          <cell r="V2454">
            <v>44663</v>
          </cell>
          <cell r="W2454">
            <v>44664</v>
          </cell>
          <cell r="X2454">
            <v>41100471</v>
          </cell>
        </row>
        <row r="2455">
          <cell r="K2455" t="str">
            <v>DBW-2537</v>
          </cell>
          <cell r="L2455">
            <v>44564</v>
          </cell>
          <cell r="M2455">
            <v>44565</v>
          </cell>
          <cell r="N2455">
            <v>44582</v>
          </cell>
          <cell r="O2455">
            <v>44565</v>
          </cell>
          <cell r="P2455">
            <v>44581</v>
          </cell>
          <cell r="Q2455" t="str">
            <v>2022-01-17 → 1/19 → 1/21</v>
          </cell>
          <cell r="R2455" t="str">
            <v>2022-01-17 → 1/19 → 1/21</v>
          </cell>
          <cell r="S2455"/>
          <cell r="T2455">
            <v>44586</v>
          </cell>
          <cell r="U2455">
            <v>44706</v>
          </cell>
          <cell r="V2455">
            <v>44707</v>
          </cell>
          <cell r="W2455">
            <v>44707</v>
          </cell>
          <cell r="X2455">
            <v>41100075</v>
          </cell>
        </row>
        <row r="2456">
          <cell r="K2456" t="str">
            <v>DBW-2609</v>
          </cell>
          <cell r="L2456">
            <v>44657</v>
          </cell>
          <cell r="M2456">
            <v>44658</v>
          </cell>
          <cell r="N2456">
            <v>44670</v>
          </cell>
          <cell r="O2456">
            <v>44658</v>
          </cell>
          <cell r="P2456">
            <v>44670</v>
          </cell>
          <cell r="Q2456">
            <v>44670</v>
          </cell>
          <cell r="R2456">
            <v>44670</v>
          </cell>
          <cell r="S2456"/>
          <cell r="T2456">
            <v>44671</v>
          </cell>
          <cell r="U2456">
            <v>44673</v>
          </cell>
          <cell r="V2456">
            <v>44677</v>
          </cell>
          <cell r="W2456">
            <v>44677</v>
          </cell>
          <cell r="X2456">
            <v>41100256</v>
          </cell>
        </row>
        <row r="2457">
          <cell r="K2457" t="str">
            <v>DBW-2629</v>
          </cell>
          <cell r="L2457">
            <v>44683</v>
          </cell>
          <cell r="M2457">
            <v>44684</v>
          </cell>
          <cell r="N2457">
            <v>44694</v>
          </cell>
          <cell r="O2457">
            <v>44684</v>
          </cell>
          <cell r="P2457">
            <v>44694</v>
          </cell>
          <cell r="Q2457">
            <v>44694</v>
          </cell>
          <cell r="R2457">
            <v>44694</v>
          </cell>
          <cell r="S2457"/>
          <cell r="T2457">
            <v>44697</v>
          </cell>
          <cell r="U2457">
            <v>44698</v>
          </cell>
          <cell r="V2457">
            <v>44699</v>
          </cell>
          <cell r="W2457">
            <v>44699</v>
          </cell>
          <cell r="X2457">
            <v>41100496</v>
          </cell>
        </row>
        <row r="2458">
          <cell r="K2458" t="str">
            <v>SOS-0261</v>
          </cell>
          <cell r="L2458">
            <v>44635</v>
          </cell>
          <cell r="M2458">
            <v>44635</v>
          </cell>
          <cell r="N2458">
            <v>44636</v>
          </cell>
          <cell r="O2458">
            <v>44635</v>
          </cell>
          <cell r="P2458">
            <v>44637</v>
          </cell>
          <cell r="Q2458">
            <v>44637</v>
          </cell>
          <cell r="R2458">
            <v>44637</v>
          </cell>
          <cell r="S2458"/>
          <cell r="T2458">
            <v>44637</v>
          </cell>
          <cell r="U2458">
            <v>44649</v>
          </cell>
          <cell r="V2458">
            <v>44649</v>
          </cell>
          <cell r="W2458">
            <v>44649</v>
          </cell>
          <cell r="X2458">
            <v>41100182</v>
          </cell>
        </row>
        <row r="2459">
          <cell r="K2459" t="str">
            <v>SOS-0263</v>
          </cell>
          <cell r="L2459">
            <v>44635</v>
          </cell>
          <cell r="M2459">
            <v>44635</v>
          </cell>
          <cell r="N2459">
            <v>44636</v>
          </cell>
          <cell r="O2459">
            <v>44635</v>
          </cell>
          <cell r="P2459">
            <v>44637</v>
          </cell>
          <cell r="Q2459">
            <v>44637</v>
          </cell>
          <cell r="R2459">
            <v>44637</v>
          </cell>
          <cell r="S2459"/>
          <cell r="T2459">
            <v>44637</v>
          </cell>
          <cell r="U2459">
            <v>44638</v>
          </cell>
          <cell r="V2459">
            <v>44641</v>
          </cell>
          <cell r="W2459">
            <v>44641</v>
          </cell>
          <cell r="X2459">
            <v>41100182</v>
          </cell>
        </row>
        <row r="2460">
          <cell r="K2460" t="str">
            <v>SOS-0267</v>
          </cell>
          <cell r="L2460">
            <v>44700</v>
          </cell>
          <cell r="M2460">
            <v>44700</v>
          </cell>
          <cell r="N2460">
            <v>44704</v>
          </cell>
          <cell r="O2460">
            <v>44700</v>
          </cell>
          <cell r="P2460">
            <v>44704</v>
          </cell>
          <cell r="Q2460">
            <v>44704</v>
          </cell>
          <cell r="R2460">
            <v>44704</v>
          </cell>
          <cell r="S2460"/>
          <cell r="T2460">
            <v>44704</v>
          </cell>
          <cell r="U2460">
            <v>44706</v>
          </cell>
          <cell r="V2460">
            <v>44708</v>
          </cell>
          <cell r="W2460">
            <v>44708</v>
          </cell>
          <cell r="X2460">
            <v>41100182</v>
          </cell>
        </row>
        <row r="2461">
          <cell r="K2461" t="str">
            <v>-</v>
          </cell>
          <cell r="L2461">
            <v>44700</v>
          </cell>
          <cell r="M2461">
            <v>44700</v>
          </cell>
          <cell r="N2461">
            <v>44704</v>
          </cell>
          <cell r="O2461">
            <v>44700</v>
          </cell>
          <cell r="P2461">
            <v>44704</v>
          </cell>
          <cell r="Q2461">
            <v>44704</v>
          </cell>
          <cell r="R2461">
            <v>44704</v>
          </cell>
          <cell r="S2461"/>
          <cell r="T2461">
            <v>44704</v>
          </cell>
          <cell r="U2461">
            <v>44706</v>
          </cell>
          <cell r="V2461">
            <v>44708</v>
          </cell>
          <cell r="W2461">
            <v>44708</v>
          </cell>
          <cell r="X2461">
            <v>31010312</v>
          </cell>
        </row>
        <row r="2462">
          <cell r="K2462" t="str">
            <v>GBWS-2230</v>
          </cell>
          <cell r="L2462">
            <v>44657</v>
          </cell>
          <cell r="M2462">
            <v>44658</v>
          </cell>
          <cell r="N2462">
            <v>44672</v>
          </cell>
          <cell r="O2462">
            <v>44658</v>
          </cell>
          <cell r="P2462">
            <v>44672</v>
          </cell>
          <cell r="Q2462" t="str">
            <v>2022-04-19 → 4/21</v>
          </cell>
          <cell r="R2462" t="str">
            <v>2022-04-19 → 4/21</v>
          </cell>
          <cell r="S2462"/>
          <cell r="T2462">
            <v>44673</v>
          </cell>
          <cell r="U2462">
            <v>44683</v>
          </cell>
          <cell r="V2462">
            <v>44684</v>
          </cell>
          <cell r="W2462">
            <v>44684</v>
          </cell>
          <cell r="X2462">
            <v>41100232</v>
          </cell>
        </row>
        <row r="2463">
          <cell r="K2463" t="str">
            <v>GBWS-2231</v>
          </cell>
          <cell r="L2463">
            <v>44657</v>
          </cell>
          <cell r="M2463">
            <v>44658</v>
          </cell>
          <cell r="N2463">
            <v>44672</v>
          </cell>
          <cell r="O2463">
            <v>44658</v>
          </cell>
          <cell r="P2463">
            <v>44672</v>
          </cell>
          <cell r="Q2463" t="str">
            <v>2022-04-19 → 4/21</v>
          </cell>
          <cell r="R2463" t="str">
            <v>2022-04-19 → 4/21</v>
          </cell>
          <cell r="S2463"/>
          <cell r="T2463">
            <v>44673</v>
          </cell>
          <cell r="U2463">
            <v>44684</v>
          </cell>
          <cell r="V2463">
            <v>44685</v>
          </cell>
          <cell r="W2463">
            <v>44685</v>
          </cell>
          <cell r="X2463">
            <v>41100232</v>
          </cell>
        </row>
        <row r="2464">
          <cell r="K2464" t="str">
            <v>RT-0017</v>
          </cell>
          <cell r="L2464">
            <v>44669</v>
          </cell>
          <cell r="M2464">
            <v>44658</v>
          </cell>
          <cell r="N2464">
            <v>44672</v>
          </cell>
          <cell r="O2464">
            <v>44658</v>
          </cell>
          <cell r="P2464">
            <v>44672</v>
          </cell>
          <cell r="Q2464">
            <v>44670</v>
          </cell>
          <cell r="R2464">
            <v>44670</v>
          </cell>
          <cell r="S2464"/>
          <cell r="T2464" t="str">
            <v>-</v>
          </cell>
          <cell r="U2464">
            <v>44683</v>
          </cell>
          <cell r="V2464">
            <v>44684</v>
          </cell>
          <cell r="W2464">
            <v>44684</v>
          </cell>
          <cell r="X2464">
            <v>31101044</v>
          </cell>
        </row>
        <row r="2465">
          <cell r="K2465" t="str">
            <v>RT-0018</v>
          </cell>
          <cell r="L2465">
            <v>44669</v>
          </cell>
          <cell r="M2465">
            <v>44658</v>
          </cell>
          <cell r="N2465">
            <v>44672</v>
          </cell>
          <cell r="O2465">
            <v>44658</v>
          </cell>
          <cell r="P2465">
            <v>44672</v>
          </cell>
          <cell r="Q2465">
            <v>44670</v>
          </cell>
          <cell r="R2465">
            <v>44670</v>
          </cell>
          <cell r="S2465"/>
          <cell r="T2465" t="str">
            <v>-</v>
          </cell>
          <cell r="U2465">
            <v>44684</v>
          </cell>
          <cell r="V2465">
            <v>44684</v>
          </cell>
          <cell r="W2465">
            <v>44684</v>
          </cell>
          <cell r="X2465">
            <v>31101044</v>
          </cell>
        </row>
        <row r="2466">
          <cell r="K2466" t="str">
            <v>GBWS-2338</v>
          </cell>
          <cell r="L2466">
            <v>44692</v>
          </cell>
          <cell r="M2466">
            <v>44692</v>
          </cell>
          <cell r="N2466">
            <v>44701</v>
          </cell>
          <cell r="O2466">
            <v>44692</v>
          </cell>
          <cell r="P2466">
            <v>44701</v>
          </cell>
          <cell r="Q2466">
            <v>44701</v>
          </cell>
          <cell r="R2466">
            <v>44701</v>
          </cell>
          <cell r="S2466"/>
          <cell r="T2466">
            <v>44704</v>
          </cell>
          <cell r="U2466">
            <v>44707</v>
          </cell>
          <cell r="V2466">
            <v>44711</v>
          </cell>
          <cell r="W2466">
            <v>44711</v>
          </cell>
          <cell r="X2466">
            <v>41100498</v>
          </cell>
        </row>
        <row r="2467">
          <cell r="K2467" t="str">
            <v>GBWS-2241</v>
          </cell>
          <cell r="L2467">
            <v>44663</v>
          </cell>
          <cell r="M2467">
            <v>44663</v>
          </cell>
          <cell r="N2467">
            <v>44677</v>
          </cell>
          <cell r="O2467">
            <v>44663</v>
          </cell>
          <cell r="P2467">
            <v>44676</v>
          </cell>
          <cell r="Q2467">
            <v>44677</v>
          </cell>
          <cell r="R2467">
            <v>44677</v>
          </cell>
          <cell r="S2467"/>
          <cell r="T2467">
            <v>44677</v>
          </cell>
          <cell r="U2467">
            <v>44678</v>
          </cell>
          <cell r="V2467">
            <v>44679</v>
          </cell>
          <cell r="W2467">
            <v>44679</v>
          </cell>
          <cell r="X2467">
            <v>41100460</v>
          </cell>
        </row>
        <row r="2468">
          <cell r="K2468" t="str">
            <v>GBWS-2243</v>
          </cell>
          <cell r="L2468">
            <v>44663</v>
          </cell>
          <cell r="M2468">
            <v>44663</v>
          </cell>
          <cell r="N2468">
            <v>44677</v>
          </cell>
          <cell r="O2468">
            <v>44663</v>
          </cell>
          <cell r="P2468">
            <v>44677</v>
          </cell>
          <cell r="Q2468">
            <v>44677</v>
          </cell>
          <cell r="R2468">
            <v>44677</v>
          </cell>
          <cell r="S2468"/>
          <cell r="T2468">
            <v>44678</v>
          </cell>
          <cell r="U2468">
            <v>44679</v>
          </cell>
          <cell r="V2468">
            <v>44680</v>
          </cell>
          <cell r="W2468">
            <v>44680</v>
          </cell>
          <cell r="X2468">
            <v>41100460</v>
          </cell>
        </row>
        <row r="2469">
          <cell r="K2469" t="str">
            <v>GBWS-2244</v>
          </cell>
          <cell r="L2469">
            <v>44663</v>
          </cell>
          <cell r="M2469">
            <v>44663</v>
          </cell>
          <cell r="N2469">
            <v>44677</v>
          </cell>
          <cell r="O2469">
            <v>44663</v>
          </cell>
          <cell r="P2469">
            <v>44672</v>
          </cell>
          <cell r="Q2469">
            <v>44677</v>
          </cell>
          <cell r="R2469">
            <v>44677</v>
          </cell>
          <cell r="S2469"/>
          <cell r="T2469">
            <v>44678</v>
          </cell>
          <cell r="U2469">
            <v>44679</v>
          </cell>
          <cell r="V2469">
            <v>44680</v>
          </cell>
          <cell r="W2469">
            <v>44680</v>
          </cell>
          <cell r="X2469">
            <v>41100460</v>
          </cell>
        </row>
        <row r="2470">
          <cell r="K2470" t="str">
            <v>GBWS-2297</v>
          </cell>
          <cell r="L2470">
            <v>44676</v>
          </cell>
          <cell r="M2470">
            <v>44677</v>
          </cell>
          <cell r="N2470">
            <v>44690</v>
          </cell>
          <cell r="O2470">
            <v>44677</v>
          </cell>
          <cell r="P2470">
            <v>44690</v>
          </cell>
          <cell r="Q2470">
            <v>44690</v>
          </cell>
          <cell r="R2470">
            <v>44690</v>
          </cell>
          <cell r="S2470"/>
          <cell r="T2470">
            <v>44692</v>
          </cell>
          <cell r="U2470">
            <v>44694</v>
          </cell>
          <cell r="V2470">
            <v>44698</v>
          </cell>
          <cell r="W2470">
            <v>44699</v>
          </cell>
          <cell r="X2470">
            <v>41100460</v>
          </cell>
        </row>
        <row r="2471">
          <cell r="K2471" t="str">
            <v>GBWS-2262</v>
          </cell>
          <cell r="L2471">
            <v>44670</v>
          </cell>
          <cell r="M2471">
            <v>44670</v>
          </cell>
          <cell r="N2471">
            <v>44684</v>
          </cell>
          <cell r="O2471">
            <v>44670</v>
          </cell>
          <cell r="P2471">
            <v>44684</v>
          </cell>
          <cell r="Q2471">
            <v>44684</v>
          </cell>
          <cell r="R2471">
            <v>44684</v>
          </cell>
          <cell r="S2471"/>
          <cell r="T2471">
            <v>44685</v>
          </cell>
          <cell r="U2471">
            <v>44690</v>
          </cell>
          <cell r="V2471">
            <v>44690</v>
          </cell>
          <cell r="W2471">
            <v>44694</v>
          </cell>
          <cell r="X2471">
            <v>41100462</v>
          </cell>
        </row>
        <row r="2472">
          <cell r="K2472" t="str">
            <v>GBWS-2263</v>
          </cell>
          <cell r="L2472">
            <v>44670</v>
          </cell>
          <cell r="M2472">
            <v>44670</v>
          </cell>
          <cell r="N2472">
            <v>44684</v>
          </cell>
          <cell r="O2472">
            <v>44670</v>
          </cell>
          <cell r="P2472">
            <v>44684</v>
          </cell>
          <cell r="Q2472">
            <v>44684</v>
          </cell>
          <cell r="R2472">
            <v>44684</v>
          </cell>
          <cell r="S2472"/>
          <cell r="T2472">
            <v>44685</v>
          </cell>
          <cell r="U2472">
            <v>44691</v>
          </cell>
          <cell r="V2472">
            <v>44691</v>
          </cell>
          <cell r="W2472">
            <v>44692</v>
          </cell>
          <cell r="X2472">
            <v>41100462</v>
          </cell>
        </row>
        <row r="2473">
          <cell r="K2473" t="str">
            <v>GBWS-2266</v>
          </cell>
          <cell r="L2473">
            <v>44670</v>
          </cell>
          <cell r="M2473">
            <v>44670</v>
          </cell>
          <cell r="N2473">
            <v>44684</v>
          </cell>
          <cell r="O2473">
            <v>44670</v>
          </cell>
          <cell r="P2473">
            <v>44684</v>
          </cell>
          <cell r="Q2473">
            <v>44684</v>
          </cell>
          <cell r="R2473">
            <v>44684</v>
          </cell>
          <cell r="S2473"/>
          <cell r="T2473">
            <v>44687</v>
          </cell>
          <cell r="U2473">
            <v>44691</v>
          </cell>
          <cell r="V2473">
            <v>44692</v>
          </cell>
          <cell r="W2473">
            <v>44692</v>
          </cell>
          <cell r="X2473">
            <v>41100462</v>
          </cell>
        </row>
        <row r="2474">
          <cell r="K2474" t="str">
            <v>GBWS-2268</v>
          </cell>
          <cell r="L2474">
            <v>44670</v>
          </cell>
          <cell r="M2474">
            <v>44670</v>
          </cell>
          <cell r="N2474">
            <v>44684</v>
          </cell>
          <cell r="O2474">
            <v>44670</v>
          </cell>
          <cell r="P2474">
            <v>44684</v>
          </cell>
          <cell r="Q2474">
            <v>44684</v>
          </cell>
          <cell r="R2474">
            <v>44684</v>
          </cell>
          <cell r="S2474"/>
          <cell r="T2474">
            <v>44687</v>
          </cell>
          <cell r="U2474">
            <v>44691</v>
          </cell>
          <cell r="V2474">
            <v>44692</v>
          </cell>
          <cell r="W2474">
            <v>44694</v>
          </cell>
          <cell r="X2474">
            <v>41100462</v>
          </cell>
        </row>
        <row r="2475">
          <cell r="K2475" t="str">
            <v>GBWS-2319</v>
          </cell>
          <cell r="L2475">
            <v>44684</v>
          </cell>
          <cell r="M2475">
            <v>44685</v>
          </cell>
          <cell r="N2475">
            <v>44698</v>
          </cell>
          <cell r="O2475">
            <v>44685</v>
          </cell>
          <cell r="P2475">
            <v>44697</v>
          </cell>
          <cell r="Q2475">
            <v>44697</v>
          </cell>
          <cell r="R2475">
            <v>44697</v>
          </cell>
          <cell r="S2475"/>
          <cell r="T2475">
            <v>44698</v>
          </cell>
          <cell r="U2475">
            <v>44699</v>
          </cell>
          <cell r="V2475">
            <v>44700</v>
          </cell>
          <cell r="W2475">
            <v>44701</v>
          </cell>
          <cell r="X2475">
            <v>41100463</v>
          </cell>
        </row>
        <row r="2476">
          <cell r="K2476" t="str">
            <v>GBWS-1958</v>
          </cell>
          <cell r="L2476">
            <v>44539</v>
          </cell>
          <cell r="M2476">
            <v>44539</v>
          </cell>
          <cell r="N2476">
            <v>44551</v>
          </cell>
          <cell r="O2476">
            <v>44539</v>
          </cell>
          <cell r="P2476">
            <v>44548</v>
          </cell>
          <cell r="Q2476">
            <v>44550</v>
          </cell>
          <cell r="R2476">
            <v>44550</v>
          </cell>
          <cell r="S2476"/>
          <cell r="T2476">
            <v>44551</v>
          </cell>
          <cell r="U2476">
            <v>44552</v>
          </cell>
          <cell r="V2476">
            <v>44553</v>
          </cell>
          <cell r="W2476">
            <v>44553</v>
          </cell>
          <cell r="X2476">
            <v>41100424</v>
          </cell>
        </row>
        <row r="2477">
          <cell r="K2477" t="str">
            <v>DS-0374~0380</v>
          </cell>
          <cell r="L2477">
            <v>44705</v>
          </cell>
          <cell r="M2477">
            <v>44706</v>
          </cell>
          <cell r="N2477">
            <v>44706</v>
          </cell>
          <cell r="O2477">
            <v>44706</v>
          </cell>
          <cell r="P2477">
            <v>44706</v>
          </cell>
          <cell r="Q2477">
            <v>44706</v>
          </cell>
          <cell r="R2477">
            <v>44706</v>
          </cell>
          <cell r="S2477"/>
          <cell r="T2477">
            <v>44706</v>
          </cell>
          <cell r="U2477">
            <v>44706</v>
          </cell>
          <cell r="V2477">
            <v>44706</v>
          </cell>
          <cell r="W2477">
            <v>44706</v>
          </cell>
          <cell r="X2477">
            <v>31010314</v>
          </cell>
        </row>
        <row r="2478">
          <cell r="K2478" t="str">
            <v>DS-0368~0373</v>
          </cell>
          <cell r="L2478">
            <v>44705</v>
          </cell>
          <cell r="M2478">
            <v>44706</v>
          </cell>
          <cell r="N2478">
            <v>44706</v>
          </cell>
          <cell r="O2478">
            <v>44706</v>
          </cell>
          <cell r="P2478">
            <v>44706</v>
          </cell>
          <cell r="Q2478">
            <v>44706</v>
          </cell>
          <cell r="R2478">
            <v>44706</v>
          </cell>
          <cell r="S2478"/>
          <cell r="T2478">
            <v>44706</v>
          </cell>
          <cell r="U2478">
            <v>44706</v>
          </cell>
          <cell r="V2478">
            <v>44706</v>
          </cell>
          <cell r="W2478">
            <v>44706</v>
          </cell>
          <cell r="X2478">
            <v>31010315</v>
          </cell>
        </row>
        <row r="2479">
          <cell r="K2479" t="str">
            <v>GBWS-2366</v>
          </cell>
          <cell r="L2479">
            <v>44697</v>
          </cell>
          <cell r="M2479">
            <v>44698</v>
          </cell>
          <cell r="N2479">
            <v>44707</v>
          </cell>
          <cell r="O2479">
            <v>44698</v>
          </cell>
          <cell r="P2479">
            <v>44707</v>
          </cell>
          <cell r="Q2479">
            <v>44707</v>
          </cell>
          <cell r="R2479">
            <v>44707</v>
          </cell>
          <cell r="S2479"/>
          <cell r="T2479">
            <v>44708</v>
          </cell>
          <cell r="U2479">
            <v>44711</v>
          </cell>
          <cell r="V2479">
            <v>44712</v>
          </cell>
          <cell r="W2479">
            <v>44712</v>
          </cell>
          <cell r="X2479">
            <v>41100503</v>
          </cell>
        </row>
        <row r="2480">
          <cell r="K2480" t="str">
            <v>DBW-2570</v>
          </cell>
          <cell r="L2480">
            <v>44624</v>
          </cell>
          <cell r="M2480">
            <v>44624</v>
          </cell>
          <cell r="N2480">
            <v>44632</v>
          </cell>
          <cell r="O2480">
            <v>44624</v>
          </cell>
          <cell r="P2480">
            <v>44634</v>
          </cell>
          <cell r="Q2480">
            <v>44631</v>
          </cell>
          <cell r="R2480">
            <v>44631</v>
          </cell>
          <cell r="S2480"/>
          <cell r="T2480">
            <v>44634</v>
          </cell>
          <cell r="U2480">
            <v>44637</v>
          </cell>
          <cell r="V2480">
            <v>44643</v>
          </cell>
          <cell r="W2480">
            <v>44645</v>
          </cell>
          <cell r="X2480">
            <v>41100472</v>
          </cell>
        </row>
        <row r="2481">
          <cell r="K2481" t="str">
            <v>DBW-2571</v>
          </cell>
          <cell r="L2481">
            <v>44624</v>
          </cell>
          <cell r="M2481">
            <v>44624</v>
          </cell>
          <cell r="N2481">
            <v>44632</v>
          </cell>
          <cell r="O2481">
            <v>44624</v>
          </cell>
          <cell r="P2481">
            <v>44634</v>
          </cell>
          <cell r="Q2481">
            <v>44631</v>
          </cell>
          <cell r="R2481">
            <v>44631</v>
          </cell>
          <cell r="S2481"/>
          <cell r="T2481">
            <v>44634</v>
          </cell>
          <cell r="U2481">
            <v>44643</v>
          </cell>
          <cell r="V2481">
            <v>44644</v>
          </cell>
          <cell r="W2481">
            <v>44644</v>
          </cell>
          <cell r="X2481">
            <v>41100472</v>
          </cell>
        </row>
        <row r="2482">
          <cell r="K2482" t="str">
            <v>DS-0093</v>
          </cell>
          <cell r="L2482">
            <v>44700</v>
          </cell>
          <cell r="M2482">
            <v>44700</v>
          </cell>
          <cell r="N2482">
            <v>44707</v>
          </cell>
          <cell r="O2482">
            <v>44700</v>
          </cell>
          <cell r="P2482">
            <v>44708</v>
          </cell>
          <cell r="Q2482">
            <v>44707</v>
          </cell>
          <cell r="R2482">
            <v>44707</v>
          </cell>
          <cell r="S2482"/>
          <cell r="T2482">
            <v>44708</v>
          </cell>
          <cell r="U2482">
            <v>44712</v>
          </cell>
          <cell r="V2482">
            <v>44714</v>
          </cell>
          <cell r="W2482">
            <v>44714</v>
          </cell>
          <cell r="X2482">
            <v>41100510</v>
          </cell>
        </row>
        <row r="2483">
          <cell r="K2483" t="str">
            <v>GBWS-2317</v>
          </cell>
          <cell r="L2483">
            <v>44683</v>
          </cell>
          <cell r="M2483">
            <v>44684</v>
          </cell>
          <cell r="N2483">
            <v>44698</v>
          </cell>
          <cell r="O2483">
            <v>44684</v>
          </cell>
          <cell r="P2483">
            <v>44697</v>
          </cell>
          <cell r="Q2483">
            <v>44697</v>
          </cell>
          <cell r="R2483">
            <v>44697</v>
          </cell>
          <cell r="S2483"/>
          <cell r="T2483">
            <v>44698</v>
          </cell>
          <cell r="U2483">
            <v>44699</v>
          </cell>
          <cell r="V2483">
            <v>44700</v>
          </cell>
          <cell r="W2483">
            <v>44700</v>
          </cell>
          <cell r="X2483">
            <v>41100296</v>
          </cell>
        </row>
        <row r="2484">
          <cell r="K2484" t="str">
            <v>GBWS-2372</v>
          </cell>
          <cell r="L2484">
            <v>44698</v>
          </cell>
          <cell r="M2484">
            <v>44699</v>
          </cell>
          <cell r="N2484">
            <v>44707</v>
          </cell>
          <cell r="O2484">
            <v>44699</v>
          </cell>
          <cell r="P2484">
            <v>44708</v>
          </cell>
          <cell r="Q2484" t="str">
            <v>2022-05-27 → 5/26</v>
          </cell>
          <cell r="R2484" t="str">
            <v>2022-05-27 → 5/26</v>
          </cell>
          <cell r="S2484"/>
          <cell r="T2484">
            <v>44708</v>
          </cell>
          <cell r="U2484">
            <v>44711</v>
          </cell>
          <cell r="V2484">
            <v>44711</v>
          </cell>
          <cell r="W2484">
            <v>44712</v>
          </cell>
          <cell r="X2484" t="str">
            <v>41100090 →  41100093</v>
          </cell>
        </row>
        <row r="2485">
          <cell r="K2485" t="str">
            <v>GBWS-2298</v>
          </cell>
          <cell r="L2485">
            <v>44676</v>
          </cell>
          <cell r="M2485">
            <v>44677</v>
          </cell>
          <cell r="N2485">
            <v>44690</v>
          </cell>
          <cell r="O2485">
            <v>44677</v>
          </cell>
          <cell r="P2485">
            <v>44690</v>
          </cell>
          <cell r="Q2485">
            <v>44690</v>
          </cell>
          <cell r="R2485">
            <v>44690</v>
          </cell>
          <cell r="S2485"/>
          <cell r="T2485">
            <v>44692</v>
          </cell>
          <cell r="U2485">
            <v>44698</v>
          </cell>
          <cell r="V2485">
            <v>44700</v>
          </cell>
          <cell r="W2485">
            <v>44700</v>
          </cell>
          <cell r="X2485">
            <v>41100460</v>
          </cell>
        </row>
        <row r="2486">
          <cell r="K2486" t="str">
            <v>GBWS-2300</v>
          </cell>
          <cell r="L2486">
            <v>44676</v>
          </cell>
          <cell r="M2486">
            <v>44677</v>
          </cell>
          <cell r="N2486">
            <v>44690</v>
          </cell>
          <cell r="O2486">
            <v>44677</v>
          </cell>
          <cell r="P2486">
            <v>44690</v>
          </cell>
          <cell r="Q2486">
            <v>44690</v>
          </cell>
          <cell r="R2486">
            <v>44690</v>
          </cell>
          <cell r="S2486"/>
          <cell r="T2486">
            <v>44692</v>
          </cell>
          <cell r="U2486">
            <v>44694</v>
          </cell>
          <cell r="V2486">
            <v>44697</v>
          </cell>
          <cell r="W2486">
            <v>44698</v>
          </cell>
          <cell r="X2486">
            <v>41100460</v>
          </cell>
        </row>
        <row r="2487">
          <cell r="K2487" t="str">
            <v>GBWS-2301</v>
          </cell>
          <cell r="L2487">
            <v>44676</v>
          </cell>
          <cell r="M2487">
            <v>44677</v>
          </cell>
          <cell r="N2487">
            <v>44690</v>
          </cell>
          <cell r="O2487">
            <v>44677</v>
          </cell>
          <cell r="P2487">
            <v>44690</v>
          </cell>
          <cell r="Q2487">
            <v>44690</v>
          </cell>
          <cell r="R2487">
            <v>44690</v>
          </cell>
          <cell r="S2487"/>
          <cell r="T2487">
            <v>44692</v>
          </cell>
          <cell r="U2487">
            <v>44697</v>
          </cell>
          <cell r="V2487">
            <v>44698</v>
          </cell>
          <cell r="W2487">
            <v>44699</v>
          </cell>
          <cell r="X2487">
            <v>41100460</v>
          </cell>
        </row>
        <row r="2488">
          <cell r="K2488" t="str">
            <v>GBWS-2302</v>
          </cell>
          <cell r="L2488">
            <v>44676</v>
          </cell>
          <cell r="M2488">
            <v>44677</v>
          </cell>
          <cell r="N2488">
            <v>44690</v>
          </cell>
          <cell r="O2488">
            <v>44677</v>
          </cell>
          <cell r="P2488">
            <v>44690</v>
          </cell>
          <cell r="Q2488">
            <v>44690</v>
          </cell>
          <cell r="R2488">
            <v>44690</v>
          </cell>
          <cell r="S2488"/>
          <cell r="T2488">
            <v>44693</v>
          </cell>
          <cell r="U2488">
            <v>44698</v>
          </cell>
          <cell r="V2488">
            <v>44698</v>
          </cell>
          <cell r="W2488">
            <v>44699</v>
          </cell>
          <cell r="X2488">
            <v>41100460</v>
          </cell>
        </row>
        <row r="2489">
          <cell r="K2489" t="str">
            <v>GBWS-2303</v>
          </cell>
          <cell r="L2489">
            <v>44676</v>
          </cell>
          <cell r="M2489">
            <v>44677</v>
          </cell>
          <cell r="N2489">
            <v>44690</v>
          </cell>
          <cell r="O2489">
            <v>44677</v>
          </cell>
          <cell r="P2489">
            <v>44690</v>
          </cell>
          <cell r="Q2489">
            <v>44690</v>
          </cell>
          <cell r="R2489">
            <v>44690</v>
          </cell>
          <cell r="S2489"/>
          <cell r="T2489">
            <v>44693</v>
          </cell>
          <cell r="U2489">
            <v>44697</v>
          </cell>
          <cell r="V2489">
            <v>44698</v>
          </cell>
          <cell r="W2489">
            <v>44699</v>
          </cell>
          <cell r="X2489">
            <v>41100460</v>
          </cell>
        </row>
        <row r="2490">
          <cell r="K2490" t="str">
            <v>GBWS-2236</v>
          </cell>
          <cell r="L2490">
            <v>44663</v>
          </cell>
          <cell r="M2490">
            <v>44663</v>
          </cell>
          <cell r="N2490">
            <v>44677</v>
          </cell>
          <cell r="O2490">
            <v>44663</v>
          </cell>
          <cell r="P2490">
            <v>44677</v>
          </cell>
          <cell r="Q2490">
            <v>44677</v>
          </cell>
          <cell r="R2490">
            <v>44677</v>
          </cell>
          <cell r="S2490"/>
          <cell r="T2490">
            <v>44677</v>
          </cell>
          <cell r="U2490">
            <v>44679</v>
          </cell>
          <cell r="V2490">
            <v>44683</v>
          </cell>
          <cell r="W2490">
            <v>44683</v>
          </cell>
          <cell r="X2490">
            <v>41100460</v>
          </cell>
        </row>
        <row r="2491">
          <cell r="K2491" t="str">
            <v>GBWS-2237</v>
          </cell>
          <cell r="L2491">
            <v>44663</v>
          </cell>
          <cell r="M2491">
            <v>44663</v>
          </cell>
          <cell r="N2491">
            <v>44677</v>
          </cell>
          <cell r="O2491">
            <v>44663</v>
          </cell>
          <cell r="P2491">
            <v>44677</v>
          </cell>
          <cell r="Q2491">
            <v>44677</v>
          </cell>
          <cell r="R2491">
            <v>44677</v>
          </cell>
          <cell r="S2491"/>
          <cell r="T2491">
            <v>44677</v>
          </cell>
          <cell r="U2491">
            <v>44678</v>
          </cell>
          <cell r="V2491">
            <v>44679</v>
          </cell>
          <cell r="W2491">
            <v>44679</v>
          </cell>
          <cell r="X2491">
            <v>41100460</v>
          </cell>
        </row>
        <row r="2492">
          <cell r="K2492" t="str">
            <v>GBWS-2357</v>
          </cell>
          <cell r="L2492">
            <v>44697</v>
          </cell>
          <cell r="M2492" t="str">
            <v>2022-05-11 → 5/16</v>
          </cell>
          <cell r="N2492">
            <v>44708</v>
          </cell>
          <cell r="O2492" t="str">
            <v>2022-05-11 → 5/16</v>
          </cell>
          <cell r="P2492">
            <v>44708</v>
          </cell>
          <cell r="Q2492" t="str">
            <v>2022-05-23 → 5/27</v>
          </cell>
          <cell r="R2492" t="str">
            <v>2022-05-23 → 5/27</v>
          </cell>
          <cell r="S2492"/>
          <cell r="T2492">
            <v>44711</v>
          </cell>
          <cell r="U2492">
            <v>44712</v>
          </cell>
          <cell r="V2492">
            <v>44714</v>
          </cell>
          <cell r="W2492">
            <v>44714</v>
          </cell>
          <cell r="X2492">
            <v>41100494</v>
          </cell>
        </row>
        <row r="2493">
          <cell r="K2493" t="str">
            <v>GBWS-2247</v>
          </cell>
          <cell r="L2493">
            <v>44663</v>
          </cell>
          <cell r="M2493">
            <v>44663</v>
          </cell>
          <cell r="N2493">
            <v>44678</v>
          </cell>
          <cell r="O2493">
            <v>44663</v>
          </cell>
          <cell r="P2493">
            <v>44677</v>
          </cell>
          <cell r="Q2493">
            <v>44677</v>
          </cell>
          <cell r="R2493">
            <v>44677</v>
          </cell>
          <cell r="S2493"/>
          <cell r="T2493">
            <v>44679</v>
          </cell>
          <cell r="U2493">
            <v>44684</v>
          </cell>
          <cell r="V2493">
            <v>44685</v>
          </cell>
          <cell r="W2493">
            <v>44685</v>
          </cell>
          <cell r="X2493">
            <v>41100461</v>
          </cell>
        </row>
        <row r="2494">
          <cell r="K2494" t="str">
            <v>GBWS-2255</v>
          </cell>
          <cell r="L2494">
            <v>44669</v>
          </cell>
          <cell r="M2494">
            <v>44669</v>
          </cell>
          <cell r="N2494">
            <v>44678</v>
          </cell>
          <cell r="O2494">
            <v>44669</v>
          </cell>
          <cell r="P2494">
            <v>44678</v>
          </cell>
          <cell r="Q2494">
            <v>44678</v>
          </cell>
          <cell r="R2494">
            <v>44678</v>
          </cell>
          <cell r="S2494"/>
          <cell r="T2494">
            <v>44679</v>
          </cell>
          <cell r="U2494">
            <v>44685</v>
          </cell>
          <cell r="V2494">
            <v>44690</v>
          </cell>
          <cell r="W2494">
            <v>44690</v>
          </cell>
          <cell r="X2494">
            <v>41100223</v>
          </cell>
        </row>
        <row r="2495">
          <cell r="K2495" t="str">
            <v>GBWS-2256</v>
          </cell>
          <cell r="L2495">
            <v>44669</v>
          </cell>
          <cell r="M2495">
            <v>44669</v>
          </cell>
          <cell r="N2495">
            <v>44678</v>
          </cell>
          <cell r="O2495">
            <v>44669</v>
          </cell>
          <cell r="P2495">
            <v>44678</v>
          </cell>
          <cell r="Q2495">
            <v>44678</v>
          </cell>
          <cell r="R2495">
            <v>44678</v>
          </cell>
          <cell r="S2495"/>
          <cell r="T2495">
            <v>44679</v>
          </cell>
          <cell r="U2495">
            <v>44687</v>
          </cell>
          <cell r="V2495">
            <v>44687</v>
          </cell>
          <cell r="W2495">
            <v>44687</v>
          </cell>
          <cell r="X2495">
            <v>41100223</v>
          </cell>
        </row>
        <row r="2496">
          <cell r="K2496" t="str">
            <v>DBW-2612</v>
          </cell>
          <cell r="L2496">
            <v>44664</v>
          </cell>
          <cell r="M2496">
            <v>44665</v>
          </cell>
          <cell r="N2496">
            <v>44677</v>
          </cell>
          <cell r="O2496">
            <v>44665</v>
          </cell>
          <cell r="P2496">
            <v>44676</v>
          </cell>
          <cell r="Q2496">
            <v>44676</v>
          </cell>
          <cell r="R2496">
            <v>44676</v>
          </cell>
          <cell r="S2496"/>
          <cell r="T2496">
            <v>44678</v>
          </cell>
          <cell r="U2496">
            <v>44680</v>
          </cell>
          <cell r="V2496">
            <v>44683</v>
          </cell>
          <cell r="W2496">
            <v>44683</v>
          </cell>
          <cell r="X2496">
            <v>41100480</v>
          </cell>
        </row>
        <row r="2497">
          <cell r="K2497" t="str">
            <v>DBW-2613</v>
          </cell>
          <cell r="L2497">
            <v>44664</v>
          </cell>
          <cell r="M2497">
            <v>44665</v>
          </cell>
          <cell r="N2497">
            <v>44677</v>
          </cell>
          <cell r="O2497">
            <v>44665</v>
          </cell>
          <cell r="P2497">
            <v>44676</v>
          </cell>
          <cell r="Q2497">
            <v>44676</v>
          </cell>
          <cell r="R2497">
            <v>44676</v>
          </cell>
          <cell r="S2497"/>
          <cell r="T2497">
            <v>44678</v>
          </cell>
          <cell r="U2497">
            <v>44680</v>
          </cell>
          <cell r="V2497">
            <v>44683</v>
          </cell>
          <cell r="W2497">
            <v>44683</v>
          </cell>
          <cell r="X2497">
            <v>41100480</v>
          </cell>
        </row>
        <row r="2498">
          <cell r="K2498" t="str">
            <v>DBW-2631</v>
          </cell>
          <cell r="L2498">
            <v>44683</v>
          </cell>
          <cell r="M2498">
            <v>44684</v>
          </cell>
          <cell r="N2498">
            <v>44693</v>
          </cell>
          <cell r="O2498">
            <v>44684</v>
          </cell>
          <cell r="P2498">
            <v>44697</v>
          </cell>
          <cell r="Q2498">
            <v>44697</v>
          </cell>
          <cell r="R2498">
            <v>44697</v>
          </cell>
          <cell r="S2498"/>
          <cell r="T2498">
            <v>44698</v>
          </cell>
          <cell r="U2498">
            <v>44699</v>
          </cell>
          <cell r="V2498">
            <v>44701</v>
          </cell>
          <cell r="W2498">
            <v>44701</v>
          </cell>
          <cell r="X2498">
            <v>41100465</v>
          </cell>
        </row>
        <row r="2499">
          <cell r="K2499" t="str">
            <v>DBW-2632</v>
          </cell>
          <cell r="L2499">
            <v>44683</v>
          </cell>
          <cell r="M2499">
            <v>44684</v>
          </cell>
          <cell r="N2499">
            <v>44693</v>
          </cell>
          <cell r="O2499">
            <v>44684</v>
          </cell>
          <cell r="P2499">
            <v>44697</v>
          </cell>
          <cell r="Q2499">
            <v>44697</v>
          </cell>
          <cell r="R2499">
            <v>44697</v>
          </cell>
          <cell r="S2499"/>
          <cell r="T2499">
            <v>44698</v>
          </cell>
          <cell r="U2499">
            <v>44699</v>
          </cell>
          <cell r="V2499">
            <v>44700</v>
          </cell>
          <cell r="W2499">
            <v>44701</v>
          </cell>
          <cell r="X2499">
            <v>41100465</v>
          </cell>
        </row>
        <row r="2500">
          <cell r="K2500" t="str">
            <v>DBW-2645</v>
          </cell>
          <cell r="L2500">
            <v>44700</v>
          </cell>
          <cell r="M2500" t="str">
            <v>2022-05-13 → 5/20</v>
          </cell>
          <cell r="N2500">
            <v>44707</v>
          </cell>
          <cell r="O2500" t="str">
            <v>2022-05-13 → 5/20</v>
          </cell>
          <cell r="P2500">
            <v>44708</v>
          </cell>
          <cell r="Q2500" t="str">
            <v>2022-05-24 → 5/27</v>
          </cell>
          <cell r="R2500" t="str">
            <v>2022-05-24 → 5/27</v>
          </cell>
          <cell r="S2500"/>
          <cell r="T2500">
            <v>44712</v>
          </cell>
          <cell r="U2500">
            <v>44712</v>
          </cell>
          <cell r="V2500">
            <v>44712</v>
          </cell>
          <cell r="W2500">
            <v>44714</v>
          </cell>
          <cell r="X2500">
            <v>41100469</v>
          </cell>
        </row>
        <row r="2501">
          <cell r="K2501" t="str">
            <v>DBW-2646</v>
          </cell>
          <cell r="L2501">
            <v>44700</v>
          </cell>
          <cell r="M2501" t="str">
            <v>2022-05-13 → 5/20</v>
          </cell>
          <cell r="N2501">
            <v>44707</v>
          </cell>
          <cell r="O2501" t="str">
            <v>2022-05-13 → 5/20</v>
          </cell>
          <cell r="P2501">
            <v>44708</v>
          </cell>
          <cell r="Q2501" t="str">
            <v>2022-05-24 → 5/27</v>
          </cell>
          <cell r="R2501" t="str">
            <v>2022-05-24 → 5/27</v>
          </cell>
          <cell r="S2501"/>
          <cell r="T2501">
            <v>44712</v>
          </cell>
          <cell r="U2501">
            <v>44712</v>
          </cell>
          <cell r="V2501">
            <v>44714</v>
          </cell>
          <cell r="W2501">
            <v>44714</v>
          </cell>
          <cell r="X2501">
            <v>41100469</v>
          </cell>
        </row>
        <row r="2502">
          <cell r="K2502"/>
          <cell r="L2502">
            <v>44705</v>
          </cell>
          <cell r="M2502">
            <v>44706</v>
          </cell>
          <cell r="N2502">
            <v>44706</v>
          </cell>
          <cell r="O2502">
            <v>44706</v>
          </cell>
          <cell r="P2502">
            <v>44706</v>
          </cell>
          <cell r="Q2502">
            <v>44706</v>
          </cell>
          <cell r="R2502">
            <v>44706</v>
          </cell>
          <cell r="S2502"/>
          <cell r="T2502">
            <v>44706</v>
          </cell>
          <cell r="U2502">
            <v>44706</v>
          </cell>
          <cell r="V2502">
            <v>44706</v>
          </cell>
          <cell r="W2502">
            <v>44706</v>
          </cell>
          <cell r="X2502">
            <v>31102153</v>
          </cell>
        </row>
        <row r="2503">
          <cell r="K2503" t="str">
            <v>GBWS-2292</v>
          </cell>
          <cell r="L2503">
            <v>44676</v>
          </cell>
          <cell r="M2503">
            <v>44677</v>
          </cell>
          <cell r="N2503">
            <v>44690</v>
          </cell>
          <cell r="O2503">
            <v>44677</v>
          </cell>
          <cell r="P2503">
            <v>44690</v>
          </cell>
          <cell r="Q2503">
            <v>44690</v>
          </cell>
          <cell r="R2503">
            <v>44690</v>
          </cell>
          <cell r="S2503"/>
          <cell r="T2503">
            <v>44691</v>
          </cell>
          <cell r="U2503">
            <v>44692</v>
          </cell>
          <cell r="V2503">
            <v>44693</v>
          </cell>
          <cell r="W2503">
            <v>44694</v>
          </cell>
          <cell r="X2503" t="str">
            <v>41100293 → 41100320</v>
          </cell>
        </row>
        <row r="2504">
          <cell r="K2504" t="str">
            <v>GBWS-2293</v>
          </cell>
          <cell r="L2504">
            <v>44676</v>
          </cell>
          <cell r="M2504">
            <v>44677</v>
          </cell>
          <cell r="N2504">
            <v>44690</v>
          </cell>
          <cell r="O2504">
            <v>44677</v>
          </cell>
          <cell r="P2504">
            <v>44690</v>
          </cell>
          <cell r="Q2504">
            <v>44690</v>
          </cell>
          <cell r="R2504">
            <v>44690</v>
          </cell>
          <cell r="S2504"/>
          <cell r="T2504">
            <v>44691</v>
          </cell>
          <cell r="U2504">
            <v>44692</v>
          </cell>
          <cell r="V2504">
            <v>44693</v>
          </cell>
          <cell r="W2504">
            <v>44694</v>
          </cell>
          <cell r="X2504" t="str">
            <v>41100293 → 41100320</v>
          </cell>
        </row>
        <row r="2505">
          <cell r="K2505" t="str">
            <v>GBWS-2335</v>
          </cell>
          <cell r="L2505">
            <v>44690</v>
          </cell>
          <cell r="M2505">
            <v>44691</v>
          </cell>
          <cell r="N2505">
            <v>44701</v>
          </cell>
          <cell r="O2505">
            <v>44691</v>
          </cell>
          <cell r="P2505">
            <v>44704</v>
          </cell>
          <cell r="Q2505">
            <v>44701</v>
          </cell>
          <cell r="R2505">
            <v>44701</v>
          </cell>
          <cell r="S2505"/>
          <cell r="T2505">
            <v>44704</v>
          </cell>
          <cell r="U2505">
            <v>44705</v>
          </cell>
          <cell r="V2505">
            <v>44706</v>
          </cell>
          <cell r="W2505">
            <v>44707</v>
          </cell>
          <cell r="X2505">
            <v>41100334</v>
          </cell>
        </row>
        <row r="2506">
          <cell r="K2506" t="str">
            <v>GPWS-0218</v>
          </cell>
          <cell r="L2506">
            <v>44649</v>
          </cell>
          <cell r="M2506">
            <v>44649</v>
          </cell>
          <cell r="N2506">
            <v>44660</v>
          </cell>
          <cell r="O2506">
            <v>44649</v>
          </cell>
          <cell r="P2506">
            <v>44660</v>
          </cell>
          <cell r="Q2506">
            <v>44658</v>
          </cell>
          <cell r="R2506">
            <v>44658</v>
          </cell>
          <cell r="S2506"/>
          <cell r="T2506">
            <v>44660</v>
          </cell>
          <cell r="U2506">
            <v>44663</v>
          </cell>
          <cell r="V2506">
            <v>44705</v>
          </cell>
          <cell r="W2506">
            <v>44705</v>
          </cell>
          <cell r="X2506">
            <v>41100474</v>
          </cell>
        </row>
        <row r="2507">
          <cell r="K2507" t="str">
            <v>GBWS-2384</v>
          </cell>
          <cell r="L2507">
            <v>44700</v>
          </cell>
          <cell r="M2507">
            <v>44701</v>
          </cell>
          <cell r="N2507">
            <v>44712</v>
          </cell>
          <cell r="O2507">
            <v>44701</v>
          </cell>
          <cell r="P2507">
            <v>44714</v>
          </cell>
          <cell r="Q2507">
            <v>44712</v>
          </cell>
          <cell r="R2507">
            <v>44712</v>
          </cell>
          <cell r="S2507"/>
          <cell r="T2507">
            <v>44714</v>
          </cell>
          <cell r="U2507">
            <v>44719</v>
          </cell>
          <cell r="V2507">
            <v>44720</v>
          </cell>
          <cell r="W2507">
            <v>44720</v>
          </cell>
          <cell r="X2507">
            <v>41100443</v>
          </cell>
        </row>
        <row r="2508">
          <cell r="K2508" t="str">
            <v>GBWS-2385</v>
          </cell>
          <cell r="L2508">
            <v>44700</v>
          </cell>
          <cell r="M2508">
            <v>44701</v>
          </cell>
          <cell r="N2508">
            <v>44712</v>
          </cell>
          <cell r="O2508">
            <v>44701</v>
          </cell>
          <cell r="P2508">
            <v>44714</v>
          </cell>
          <cell r="Q2508">
            <v>44712</v>
          </cell>
          <cell r="R2508">
            <v>44712</v>
          </cell>
          <cell r="S2508"/>
          <cell r="T2508">
            <v>44714</v>
          </cell>
          <cell r="U2508">
            <v>44719</v>
          </cell>
          <cell r="V2508">
            <v>44720</v>
          </cell>
          <cell r="W2508">
            <v>44720</v>
          </cell>
          <cell r="X2508">
            <v>41100443</v>
          </cell>
        </row>
        <row r="2509">
          <cell r="K2509" t="str">
            <v>GBWS-2354</v>
          </cell>
          <cell r="L2509">
            <v>44693</v>
          </cell>
          <cell r="M2509">
            <v>44694</v>
          </cell>
          <cell r="N2509">
            <v>44706</v>
          </cell>
          <cell r="O2509">
            <v>44694</v>
          </cell>
          <cell r="P2509">
            <v>44707</v>
          </cell>
          <cell r="Q2509">
            <v>44706</v>
          </cell>
          <cell r="R2509">
            <v>44706</v>
          </cell>
          <cell r="S2509"/>
          <cell r="T2509">
            <v>44707</v>
          </cell>
          <cell r="U2509">
            <v>44708</v>
          </cell>
          <cell r="V2509">
            <v>44711</v>
          </cell>
          <cell r="W2509">
            <v>44711</v>
          </cell>
          <cell r="X2509">
            <v>41100338</v>
          </cell>
        </row>
        <row r="2510">
          <cell r="K2510" t="str">
            <v>GBWS-2355</v>
          </cell>
          <cell r="L2510">
            <v>44693</v>
          </cell>
          <cell r="M2510">
            <v>44694</v>
          </cell>
          <cell r="N2510">
            <v>44706</v>
          </cell>
          <cell r="O2510">
            <v>44694</v>
          </cell>
          <cell r="P2510">
            <v>44707</v>
          </cell>
          <cell r="Q2510">
            <v>44706</v>
          </cell>
          <cell r="R2510">
            <v>44706</v>
          </cell>
          <cell r="S2510"/>
          <cell r="T2510">
            <v>44707</v>
          </cell>
          <cell r="U2510">
            <v>44708</v>
          </cell>
          <cell r="V2510">
            <v>44711</v>
          </cell>
          <cell r="W2510">
            <v>44711</v>
          </cell>
          <cell r="X2510">
            <v>41100338</v>
          </cell>
        </row>
        <row r="2511">
          <cell r="K2511" t="str">
            <v>DBW-2648</v>
          </cell>
          <cell r="L2511">
            <v>44704</v>
          </cell>
          <cell r="M2511" t="str">
            <v>2022-05-24 → 5/23</v>
          </cell>
          <cell r="N2511">
            <v>44712</v>
          </cell>
          <cell r="O2511" t="str">
            <v>2022-05-24 → 5/23</v>
          </cell>
          <cell r="P2511">
            <v>44714</v>
          </cell>
          <cell r="Q2511" t="str">
            <v>2022-06-02 → 5/31</v>
          </cell>
          <cell r="R2511" t="str">
            <v>2022-06-02 → 5/31</v>
          </cell>
          <cell r="S2511"/>
          <cell r="T2511">
            <v>44714</v>
          </cell>
          <cell r="U2511">
            <v>44719</v>
          </cell>
          <cell r="V2511">
            <v>44719</v>
          </cell>
          <cell r="W2511">
            <v>44720</v>
          </cell>
          <cell r="X2511">
            <v>41100496</v>
          </cell>
        </row>
        <row r="2512">
          <cell r="K2512" t="str">
            <v>GBWS-2343</v>
          </cell>
          <cell r="L2512">
            <v>44692</v>
          </cell>
          <cell r="M2512">
            <v>44692</v>
          </cell>
          <cell r="N2512">
            <v>44704</v>
          </cell>
          <cell r="O2512">
            <v>44692</v>
          </cell>
          <cell r="P2512">
            <v>44708</v>
          </cell>
          <cell r="Q2512">
            <v>44704</v>
          </cell>
          <cell r="R2512">
            <v>44704</v>
          </cell>
          <cell r="S2512"/>
          <cell r="T2512">
            <v>44706</v>
          </cell>
          <cell r="U2512">
            <v>44711</v>
          </cell>
          <cell r="V2512">
            <v>44712</v>
          </cell>
          <cell r="W2512">
            <v>44714</v>
          </cell>
          <cell r="X2512">
            <v>41100460</v>
          </cell>
        </row>
        <row r="2513">
          <cell r="K2513" t="str">
            <v>GBWS-2344</v>
          </cell>
          <cell r="L2513">
            <v>44692</v>
          </cell>
          <cell r="M2513">
            <v>44692</v>
          </cell>
          <cell r="N2513">
            <v>44704</v>
          </cell>
          <cell r="O2513">
            <v>44692</v>
          </cell>
          <cell r="P2513">
            <v>44708</v>
          </cell>
          <cell r="Q2513">
            <v>44704</v>
          </cell>
          <cell r="R2513">
            <v>44704</v>
          </cell>
          <cell r="S2513"/>
          <cell r="T2513">
            <v>44706</v>
          </cell>
          <cell r="U2513">
            <v>44711</v>
          </cell>
          <cell r="V2513">
            <v>44712</v>
          </cell>
          <cell r="W2513">
            <v>44712</v>
          </cell>
          <cell r="X2513">
            <v>41100460</v>
          </cell>
        </row>
        <row r="2514">
          <cell r="K2514" t="str">
            <v>GBWS-2345</v>
          </cell>
          <cell r="L2514">
            <v>44692</v>
          </cell>
          <cell r="M2514">
            <v>44692</v>
          </cell>
          <cell r="N2514">
            <v>44704</v>
          </cell>
          <cell r="O2514">
            <v>44692</v>
          </cell>
          <cell r="P2514">
            <v>44708</v>
          </cell>
          <cell r="Q2514">
            <v>44704</v>
          </cell>
          <cell r="R2514">
            <v>44704</v>
          </cell>
          <cell r="S2514"/>
          <cell r="T2514">
            <v>44706</v>
          </cell>
          <cell r="U2514">
            <v>44711</v>
          </cell>
          <cell r="V2514">
            <v>44712</v>
          </cell>
          <cell r="W2514">
            <v>44712</v>
          </cell>
          <cell r="X2514">
            <v>41100460</v>
          </cell>
        </row>
        <row r="2515">
          <cell r="K2515" t="str">
            <v>GBWS-2356</v>
          </cell>
          <cell r="L2515">
            <v>44697</v>
          </cell>
          <cell r="M2515" t="str">
            <v>2022-05-11 → 5/16</v>
          </cell>
          <cell r="N2515">
            <v>44708</v>
          </cell>
          <cell r="O2515" t="str">
            <v>2022-05-11 → 5/16</v>
          </cell>
          <cell r="P2515">
            <v>44708</v>
          </cell>
          <cell r="Q2515" t="str">
            <v>2022-05-23 → 5/27</v>
          </cell>
          <cell r="R2515" t="str">
            <v>2022-05-23 → 5/27</v>
          </cell>
          <cell r="S2515"/>
          <cell r="T2515">
            <v>44711</v>
          </cell>
          <cell r="U2515">
            <v>44712</v>
          </cell>
          <cell r="V2515">
            <v>44714</v>
          </cell>
          <cell r="W2515">
            <v>44714</v>
          </cell>
          <cell r="X2515">
            <v>41100494</v>
          </cell>
        </row>
        <row r="2516">
          <cell r="K2516" t="str">
            <v>GBWS-2358</v>
          </cell>
          <cell r="L2516">
            <v>44697</v>
          </cell>
          <cell r="M2516" t="str">
            <v>2022-05-11 → 5/16</v>
          </cell>
          <cell r="N2516">
            <v>44708</v>
          </cell>
          <cell r="O2516" t="str">
            <v>2022-05-11 → 5/16</v>
          </cell>
          <cell r="P2516">
            <v>44708</v>
          </cell>
          <cell r="Q2516" t="str">
            <v>2022-05-23 → 5/27</v>
          </cell>
          <cell r="R2516" t="str">
            <v>2022-05-23 → 5/27</v>
          </cell>
          <cell r="S2516"/>
          <cell r="T2516">
            <v>44711</v>
          </cell>
          <cell r="U2516">
            <v>44712</v>
          </cell>
          <cell r="V2516">
            <v>44714</v>
          </cell>
          <cell r="W2516">
            <v>44719</v>
          </cell>
          <cell r="X2516">
            <v>41100494</v>
          </cell>
        </row>
        <row r="2517">
          <cell r="K2517" t="str">
            <v>DS-0381</v>
          </cell>
          <cell r="L2517">
            <v>44707</v>
          </cell>
          <cell r="M2517">
            <v>44708</v>
          </cell>
          <cell r="N2517">
            <v>44708</v>
          </cell>
          <cell r="O2517">
            <v>44708</v>
          </cell>
          <cell r="P2517">
            <v>44708</v>
          </cell>
          <cell r="Q2517">
            <v>44711</v>
          </cell>
          <cell r="R2517">
            <v>44711</v>
          </cell>
          <cell r="S2517"/>
          <cell r="T2517">
            <v>44708</v>
          </cell>
          <cell r="U2517">
            <v>44708</v>
          </cell>
          <cell r="V2517">
            <v>44708</v>
          </cell>
          <cell r="W2517">
            <v>44708</v>
          </cell>
          <cell r="X2517">
            <v>31010426</v>
          </cell>
        </row>
        <row r="2518">
          <cell r="K2518" t="str">
            <v>GBWS-2346</v>
          </cell>
          <cell r="L2518">
            <v>44692</v>
          </cell>
          <cell r="M2518">
            <v>44692</v>
          </cell>
          <cell r="N2518">
            <v>44704</v>
          </cell>
          <cell r="O2518">
            <v>44692</v>
          </cell>
          <cell r="P2518">
            <v>44708</v>
          </cell>
          <cell r="Q2518">
            <v>44704</v>
          </cell>
          <cell r="R2518">
            <v>44704</v>
          </cell>
          <cell r="S2518"/>
          <cell r="T2518">
            <v>44706</v>
          </cell>
          <cell r="U2518">
            <v>44711</v>
          </cell>
          <cell r="V2518">
            <v>44712</v>
          </cell>
          <cell r="W2518">
            <v>44714</v>
          </cell>
          <cell r="X2518">
            <v>41100460</v>
          </cell>
        </row>
        <row r="2519">
          <cell r="K2519" t="str">
            <v>GBWS-2347</v>
          </cell>
          <cell r="L2519">
            <v>44692</v>
          </cell>
          <cell r="M2519">
            <v>44692</v>
          </cell>
          <cell r="N2519">
            <v>44704</v>
          </cell>
          <cell r="O2519">
            <v>44692</v>
          </cell>
          <cell r="P2519">
            <v>44708</v>
          </cell>
          <cell r="Q2519">
            <v>44704</v>
          </cell>
          <cell r="R2519">
            <v>44704</v>
          </cell>
          <cell r="S2519"/>
          <cell r="T2519">
            <v>44706</v>
          </cell>
          <cell r="U2519">
            <v>44711</v>
          </cell>
          <cell r="V2519">
            <v>44712</v>
          </cell>
          <cell r="W2519">
            <v>44712</v>
          </cell>
          <cell r="X2519">
            <v>41100460</v>
          </cell>
        </row>
        <row r="2520">
          <cell r="K2520" t="str">
            <v>GBWS-2348</v>
          </cell>
          <cell r="L2520">
            <v>44692</v>
          </cell>
          <cell r="M2520">
            <v>44692</v>
          </cell>
          <cell r="N2520">
            <v>44704</v>
          </cell>
          <cell r="O2520">
            <v>44692</v>
          </cell>
          <cell r="P2520">
            <v>44708</v>
          </cell>
          <cell r="Q2520">
            <v>44704</v>
          </cell>
          <cell r="R2520">
            <v>44704</v>
          </cell>
          <cell r="S2520"/>
          <cell r="T2520">
            <v>44706</v>
          </cell>
          <cell r="U2520">
            <v>44711</v>
          </cell>
          <cell r="V2520">
            <v>44711</v>
          </cell>
          <cell r="W2520">
            <v>44712</v>
          </cell>
          <cell r="X2520">
            <v>41100460</v>
          </cell>
        </row>
        <row r="2521">
          <cell r="K2521" t="str">
            <v>GBWS-2359</v>
          </cell>
          <cell r="L2521">
            <v>44697</v>
          </cell>
          <cell r="M2521" t="str">
            <v>2022-05-11 → 5/16</v>
          </cell>
          <cell r="N2521">
            <v>44708</v>
          </cell>
          <cell r="O2521" t="str">
            <v>2022-05-11 → 5/16</v>
          </cell>
          <cell r="P2521">
            <v>44708</v>
          </cell>
          <cell r="Q2521" t="str">
            <v>2022-05-23 → 5/27</v>
          </cell>
          <cell r="R2521" t="str">
            <v>2022-05-23 → 5/27</v>
          </cell>
          <cell r="S2521"/>
          <cell r="T2521">
            <v>44711</v>
          </cell>
          <cell r="U2521">
            <v>44712</v>
          </cell>
          <cell r="V2521">
            <v>44714</v>
          </cell>
          <cell r="W2521">
            <v>44719</v>
          </cell>
          <cell r="X2521">
            <v>41100461</v>
          </cell>
        </row>
        <row r="2522">
          <cell r="K2522" t="str">
            <v>GBWS-2272</v>
          </cell>
          <cell r="L2522">
            <v>44670</v>
          </cell>
          <cell r="M2522">
            <v>44670</v>
          </cell>
          <cell r="N2522">
            <v>44678</v>
          </cell>
          <cell r="O2522">
            <v>44670</v>
          </cell>
          <cell r="P2522">
            <v>44680</v>
          </cell>
          <cell r="Q2522">
            <v>44679</v>
          </cell>
          <cell r="R2522">
            <v>44679</v>
          </cell>
          <cell r="S2522"/>
          <cell r="T2522">
            <v>44680</v>
          </cell>
          <cell r="U2522">
            <v>44683</v>
          </cell>
          <cell r="V2522">
            <v>44685</v>
          </cell>
          <cell r="W2522">
            <v>44687</v>
          </cell>
          <cell r="X2522">
            <v>41100363</v>
          </cell>
        </row>
        <row r="2523">
          <cell r="K2523" t="str">
            <v>GBWS-2318</v>
          </cell>
          <cell r="L2523">
            <v>44683</v>
          </cell>
          <cell r="M2523">
            <v>44684</v>
          </cell>
          <cell r="N2523">
            <v>44697</v>
          </cell>
          <cell r="O2523">
            <v>44684</v>
          </cell>
          <cell r="P2523">
            <v>44697</v>
          </cell>
          <cell r="Q2523">
            <v>44697</v>
          </cell>
          <cell r="R2523">
            <v>44697</v>
          </cell>
          <cell r="S2523"/>
          <cell r="T2523">
            <v>44698</v>
          </cell>
          <cell r="U2523">
            <v>44699</v>
          </cell>
          <cell r="V2523">
            <v>44700</v>
          </cell>
          <cell r="W2523">
            <v>44701</v>
          </cell>
          <cell r="X2523">
            <v>41100320</v>
          </cell>
        </row>
        <row r="2524">
          <cell r="K2524" t="str">
            <v>GBWS-2336</v>
          </cell>
          <cell r="L2524">
            <v>44690</v>
          </cell>
          <cell r="M2524">
            <v>44691</v>
          </cell>
          <cell r="N2524">
            <v>44701</v>
          </cell>
          <cell r="O2524">
            <v>44691</v>
          </cell>
          <cell r="P2524">
            <v>44704</v>
          </cell>
          <cell r="Q2524">
            <v>44701</v>
          </cell>
          <cell r="R2524">
            <v>44701</v>
          </cell>
          <cell r="S2524"/>
          <cell r="T2524">
            <v>44704</v>
          </cell>
          <cell r="U2524">
            <v>44705</v>
          </cell>
          <cell r="V2524">
            <v>44706</v>
          </cell>
          <cell r="W2524">
            <v>44706</v>
          </cell>
          <cell r="X2524">
            <v>41100334</v>
          </cell>
        </row>
        <row r="2525">
          <cell r="K2525" t="str">
            <v>-</v>
          </cell>
          <cell r="L2525">
            <v>44705</v>
          </cell>
          <cell r="M2525">
            <v>44706</v>
          </cell>
          <cell r="N2525">
            <v>44712</v>
          </cell>
          <cell r="O2525">
            <v>44706</v>
          </cell>
          <cell r="P2525">
            <v>44714</v>
          </cell>
          <cell r="Q2525">
            <v>44711</v>
          </cell>
          <cell r="R2525">
            <v>44711</v>
          </cell>
          <cell r="S2525"/>
          <cell r="T2525">
            <v>44712</v>
          </cell>
          <cell r="U2525">
            <v>44719</v>
          </cell>
          <cell r="V2525">
            <v>44720</v>
          </cell>
          <cell r="W2525">
            <v>44720</v>
          </cell>
          <cell r="X2525">
            <v>31102148</v>
          </cell>
        </row>
        <row r="2526">
          <cell r="K2526" t="str">
            <v>DBW-2649</v>
          </cell>
          <cell r="L2526">
            <v>44704</v>
          </cell>
          <cell r="M2526" t="str">
            <v>2022-05-20 → 5/24</v>
          </cell>
          <cell r="N2526">
            <v>44715</v>
          </cell>
          <cell r="O2526" t="str">
            <v>2022-05-20 → 5/24</v>
          </cell>
          <cell r="P2526">
            <v>44715</v>
          </cell>
          <cell r="Q2526" t="str">
            <v>2022-06-01 → 6/3</v>
          </cell>
          <cell r="R2526" t="str">
            <v>2022-06-01 → 6/3</v>
          </cell>
          <cell r="S2526"/>
          <cell r="T2526">
            <v>44719</v>
          </cell>
          <cell r="U2526">
            <v>44720</v>
          </cell>
          <cell r="V2526">
            <v>44721</v>
          </cell>
          <cell r="W2526">
            <v>44721</v>
          </cell>
          <cell r="X2526">
            <v>41100466</v>
          </cell>
        </row>
        <row r="2527">
          <cell r="K2527" t="str">
            <v>DBW-2650</v>
          </cell>
          <cell r="L2527">
            <v>44704</v>
          </cell>
          <cell r="M2527" t="str">
            <v>2022-05-20 → 5/24</v>
          </cell>
          <cell r="N2527">
            <v>44715</v>
          </cell>
          <cell r="O2527" t="str">
            <v>2022-05-20 → 5/24</v>
          </cell>
          <cell r="P2527">
            <v>44715</v>
          </cell>
          <cell r="Q2527" t="str">
            <v>2022-06-01 → 6/3</v>
          </cell>
          <cell r="R2527" t="str">
            <v>2022-06-01 → 6/3</v>
          </cell>
          <cell r="S2527"/>
          <cell r="T2527">
            <v>44719</v>
          </cell>
          <cell r="U2527">
            <v>44720</v>
          </cell>
          <cell r="V2527">
            <v>44722</v>
          </cell>
          <cell r="W2527">
            <v>44722</v>
          </cell>
          <cell r="X2527">
            <v>41100466</v>
          </cell>
        </row>
        <row r="2528">
          <cell r="K2528" t="str">
            <v>GBWS-2218</v>
          </cell>
          <cell r="L2528">
            <v>44656</v>
          </cell>
          <cell r="M2528">
            <v>44656</v>
          </cell>
          <cell r="N2528">
            <v>44664</v>
          </cell>
          <cell r="O2528">
            <v>44656</v>
          </cell>
          <cell r="P2528">
            <v>44664</v>
          </cell>
          <cell r="Q2528">
            <v>44664</v>
          </cell>
          <cell r="R2528">
            <v>44664</v>
          </cell>
          <cell r="S2528"/>
          <cell r="T2528">
            <v>44665</v>
          </cell>
          <cell r="U2528">
            <v>44666</v>
          </cell>
          <cell r="V2528">
            <v>44677</v>
          </cell>
          <cell r="W2528">
            <v>44678</v>
          </cell>
          <cell r="X2528">
            <v>41100467</v>
          </cell>
        </row>
        <row r="2529">
          <cell r="K2529" t="str">
            <v>GBWS-2219</v>
          </cell>
          <cell r="L2529">
            <v>44656</v>
          </cell>
          <cell r="M2529">
            <v>44656</v>
          </cell>
          <cell r="N2529">
            <v>44664</v>
          </cell>
          <cell r="O2529">
            <v>44656</v>
          </cell>
          <cell r="P2529">
            <v>44664</v>
          </cell>
          <cell r="Q2529">
            <v>44664</v>
          </cell>
          <cell r="R2529">
            <v>44664</v>
          </cell>
          <cell r="S2529"/>
          <cell r="T2529">
            <v>44665</v>
          </cell>
          <cell r="U2529">
            <v>44666</v>
          </cell>
          <cell r="V2529">
            <v>44677</v>
          </cell>
          <cell r="W2529">
            <v>44677</v>
          </cell>
          <cell r="X2529">
            <v>41100467</v>
          </cell>
        </row>
        <row r="2530">
          <cell r="K2530" t="str">
            <v>GBWS-2220</v>
          </cell>
          <cell r="L2530">
            <v>44656</v>
          </cell>
          <cell r="M2530">
            <v>44656</v>
          </cell>
          <cell r="N2530">
            <v>44664</v>
          </cell>
          <cell r="O2530">
            <v>44656</v>
          </cell>
          <cell r="P2530">
            <v>44664</v>
          </cell>
          <cell r="Q2530">
            <v>44664</v>
          </cell>
          <cell r="R2530">
            <v>44664</v>
          </cell>
          <cell r="S2530"/>
          <cell r="T2530">
            <v>44665</v>
          </cell>
          <cell r="U2530">
            <v>44666</v>
          </cell>
          <cell r="V2530">
            <v>44670</v>
          </cell>
          <cell r="W2530">
            <v>44673</v>
          </cell>
          <cell r="X2530">
            <v>41100467</v>
          </cell>
        </row>
        <row r="2531">
          <cell r="K2531" t="str">
            <v>GBWS-2221</v>
          </cell>
          <cell r="L2531">
            <v>44656</v>
          </cell>
          <cell r="M2531">
            <v>44656</v>
          </cell>
          <cell r="N2531">
            <v>44664</v>
          </cell>
          <cell r="O2531">
            <v>44656</v>
          </cell>
          <cell r="P2531">
            <v>44664</v>
          </cell>
          <cell r="Q2531">
            <v>44664</v>
          </cell>
          <cell r="R2531">
            <v>44664</v>
          </cell>
          <cell r="S2531"/>
          <cell r="T2531">
            <v>44665</v>
          </cell>
          <cell r="U2531">
            <v>44666</v>
          </cell>
          <cell r="V2531">
            <v>44677</v>
          </cell>
          <cell r="W2531">
            <v>44677</v>
          </cell>
          <cell r="X2531">
            <v>41100467</v>
          </cell>
        </row>
        <row r="2532">
          <cell r="K2532" t="str">
            <v>GBWS-2222</v>
          </cell>
          <cell r="L2532">
            <v>44656</v>
          </cell>
          <cell r="M2532">
            <v>44656</v>
          </cell>
          <cell r="N2532">
            <v>44664</v>
          </cell>
          <cell r="O2532">
            <v>44656</v>
          </cell>
          <cell r="P2532">
            <v>44664</v>
          </cell>
          <cell r="Q2532">
            <v>44664</v>
          </cell>
          <cell r="R2532">
            <v>44664</v>
          </cell>
          <cell r="S2532"/>
          <cell r="T2532">
            <v>44665</v>
          </cell>
          <cell r="U2532">
            <v>44666</v>
          </cell>
          <cell r="V2532">
            <v>44677</v>
          </cell>
          <cell r="W2532">
            <v>44678</v>
          </cell>
          <cell r="X2532">
            <v>41100467</v>
          </cell>
        </row>
        <row r="2533">
          <cell r="K2533" t="str">
            <v>GBWS-2223</v>
          </cell>
          <cell r="L2533">
            <v>44656</v>
          </cell>
          <cell r="M2533">
            <v>44656</v>
          </cell>
          <cell r="N2533">
            <v>44664</v>
          </cell>
          <cell r="O2533">
            <v>44656</v>
          </cell>
          <cell r="P2533">
            <v>44664</v>
          </cell>
          <cell r="Q2533">
            <v>44664</v>
          </cell>
          <cell r="R2533">
            <v>44664</v>
          </cell>
          <cell r="S2533"/>
          <cell r="T2533">
            <v>44666</v>
          </cell>
          <cell r="U2533">
            <v>44669</v>
          </cell>
          <cell r="V2533">
            <v>44670</v>
          </cell>
          <cell r="W2533">
            <v>44672</v>
          </cell>
          <cell r="X2533">
            <v>41100467</v>
          </cell>
        </row>
        <row r="2534">
          <cell r="K2534" t="str">
            <v>GBWS-2224</v>
          </cell>
          <cell r="L2534">
            <v>44656</v>
          </cell>
          <cell r="M2534">
            <v>44656</v>
          </cell>
          <cell r="N2534">
            <v>44664</v>
          </cell>
          <cell r="O2534">
            <v>44656</v>
          </cell>
          <cell r="P2534">
            <v>44664</v>
          </cell>
          <cell r="Q2534">
            <v>44664</v>
          </cell>
          <cell r="R2534">
            <v>44664</v>
          </cell>
          <cell r="S2534"/>
          <cell r="T2534">
            <v>44666</v>
          </cell>
          <cell r="U2534">
            <v>44669</v>
          </cell>
          <cell r="V2534">
            <v>44670</v>
          </cell>
          <cell r="W2534">
            <v>44672</v>
          </cell>
          <cell r="X2534">
            <v>41100467</v>
          </cell>
        </row>
        <row r="2535">
          <cell r="K2535" t="str">
            <v>GBWS-2225</v>
          </cell>
          <cell r="L2535">
            <v>44656</v>
          </cell>
          <cell r="M2535">
            <v>44656</v>
          </cell>
          <cell r="N2535">
            <v>44664</v>
          </cell>
          <cell r="O2535">
            <v>44656</v>
          </cell>
          <cell r="P2535">
            <v>44664</v>
          </cell>
          <cell r="Q2535">
            <v>44664</v>
          </cell>
          <cell r="R2535">
            <v>44664</v>
          </cell>
          <cell r="S2535"/>
          <cell r="T2535">
            <v>44669</v>
          </cell>
          <cell r="U2535">
            <v>44669</v>
          </cell>
          <cell r="V2535">
            <v>44673</v>
          </cell>
          <cell r="W2535">
            <v>44676</v>
          </cell>
          <cell r="X2535">
            <v>41100467</v>
          </cell>
        </row>
        <row r="2536">
          <cell r="K2536" t="str">
            <v>GBWS-2337</v>
          </cell>
          <cell r="L2536">
            <v>44692</v>
          </cell>
          <cell r="M2536">
            <v>44692</v>
          </cell>
          <cell r="N2536">
            <v>44704</v>
          </cell>
          <cell r="O2536">
            <v>44692</v>
          </cell>
          <cell r="P2536">
            <v>44704</v>
          </cell>
          <cell r="Q2536" t="str">
            <v>2022-05-20 → 5/21</v>
          </cell>
          <cell r="R2536" t="str">
            <v>2022-05-20 → 5/21</v>
          </cell>
          <cell r="S2536"/>
          <cell r="T2536">
            <v>44704</v>
          </cell>
          <cell r="U2536">
            <v>44705</v>
          </cell>
          <cell r="V2536">
            <v>44706</v>
          </cell>
          <cell r="W2536">
            <v>44706</v>
          </cell>
          <cell r="X2536">
            <v>41100311</v>
          </cell>
        </row>
        <row r="2537">
          <cell r="K2537" t="str">
            <v>GBWS-2323</v>
          </cell>
          <cell r="L2537">
            <v>44684</v>
          </cell>
          <cell r="M2537">
            <v>44685</v>
          </cell>
          <cell r="N2537">
            <v>44701</v>
          </cell>
          <cell r="O2537">
            <v>44685</v>
          </cell>
          <cell r="P2537">
            <v>44700</v>
          </cell>
          <cell r="Q2537" t="str">
            <v>2022-05-18 → 5/20</v>
          </cell>
          <cell r="R2537" t="str">
            <v>2022-05-18 → 5/20</v>
          </cell>
          <cell r="S2537"/>
          <cell r="T2537">
            <v>44702</v>
          </cell>
          <cell r="U2537">
            <v>44704</v>
          </cell>
          <cell r="V2537">
            <v>44705</v>
          </cell>
          <cell r="W2537">
            <v>44705</v>
          </cell>
          <cell r="X2537">
            <v>41100314</v>
          </cell>
        </row>
        <row r="2538">
          <cell r="K2538" t="str">
            <v>GBWS-2324</v>
          </cell>
          <cell r="L2538">
            <v>44684</v>
          </cell>
          <cell r="M2538">
            <v>44685</v>
          </cell>
          <cell r="N2538">
            <v>44701</v>
          </cell>
          <cell r="O2538">
            <v>44685</v>
          </cell>
          <cell r="P2538">
            <v>44700</v>
          </cell>
          <cell r="Q2538" t="str">
            <v>2022-05-18 → 5/20</v>
          </cell>
          <cell r="R2538" t="str">
            <v>2022-05-18 → 5/20</v>
          </cell>
          <cell r="S2538"/>
          <cell r="T2538">
            <v>44702</v>
          </cell>
          <cell r="U2538">
            <v>44704</v>
          </cell>
          <cell r="V2538">
            <v>44705</v>
          </cell>
          <cell r="W2538">
            <v>44706</v>
          </cell>
          <cell r="X2538">
            <v>41100314</v>
          </cell>
        </row>
        <row r="2539">
          <cell r="K2539" t="str">
            <v>GBWS-2325</v>
          </cell>
          <cell r="L2539">
            <v>44684</v>
          </cell>
          <cell r="M2539">
            <v>44685</v>
          </cell>
          <cell r="N2539">
            <v>44701</v>
          </cell>
          <cell r="O2539">
            <v>44685</v>
          </cell>
          <cell r="P2539">
            <v>44700</v>
          </cell>
          <cell r="Q2539" t="str">
            <v>2022-05-18 → 5/20</v>
          </cell>
          <cell r="R2539" t="str">
            <v>2022-05-18 → 5/20</v>
          </cell>
          <cell r="S2539"/>
          <cell r="T2539">
            <v>44704</v>
          </cell>
          <cell r="U2539">
            <v>44706</v>
          </cell>
          <cell r="V2539">
            <v>44707</v>
          </cell>
          <cell r="W2539">
            <v>44707</v>
          </cell>
          <cell r="X2539">
            <v>41100314</v>
          </cell>
        </row>
        <row r="2540">
          <cell r="K2540" t="str">
            <v>GBWS-2326</v>
          </cell>
          <cell r="L2540">
            <v>44684</v>
          </cell>
          <cell r="M2540">
            <v>44685</v>
          </cell>
          <cell r="N2540">
            <v>44701</v>
          </cell>
          <cell r="O2540">
            <v>44685</v>
          </cell>
          <cell r="P2540">
            <v>44700</v>
          </cell>
          <cell r="Q2540" t="str">
            <v>2022-05-18 → 20</v>
          </cell>
          <cell r="R2540" t="str">
            <v>2022-05-18 → 20</v>
          </cell>
          <cell r="S2540"/>
          <cell r="T2540">
            <v>44702</v>
          </cell>
          <cell r="U2540">
            <v>44704</v>
          </cell>
          <cell r="V2540">
            <v>44705</v>
          </cell>
          <cell r="W2540">
            <v>44705</v>
          </cell>
          <cell r="X2540">
            <v>41100329</v>
          </cell>
        </row>
        <row r="2541">
          <cell r="K2541" t="str">
            <v>GBWS-2327</v>
          </cell>
          <cell r="L2541">
            <v>44684</v>
          </cell>
          <cell r="M2541">
            <v>44685</v>
          </cell>
          <cell r="N2541">
            <v>44701</v>
          </cell>
          <cell r="O2541">
            <v>44685</v>
          </cell>
          <cell r="P2541">
            <v>44700</v>
          </cell>
          <cell r="Q2541" t="str">
            <v>2022-05-18 → 20</v>
          </cell>
          <cell r="R2541" t="str">
            <v>2022-05-18 → 20</v>
          </cell>
          <cell r="S2541"/>
          <cell r="T2541">
            <v>44702</v>
          </cell>
          <cell r="U2541">
            <v>44704</v>
          </cell>
          <cell r="V2541">
            <v>44704</v>
          </cell>
          <cell r="W2541">
            <v>44704</v>
          </cell>
          <cell r="X2541">
            <v>41100329</v>
          </cell>
        </row>
        <row r="2542">
          <cell r="K2542" t="str">
            <v>GBWS-2328</v>
          </cell>
          <cell r="L2542">
            <v>44684</v>
          </cell>
          <cell r="M2542">
            <v>44685</v>
          </cell>
          <cell r="N2542">
            <v>44701</v>
          </cell>
          <cell r="O2542">
            <v>44685</v>
          </cell>
          <cell r="P2542">
            <v>44700</v>
          </cell>
          <cell r="Q2542" t="str">
            <v>2022-05-18 → 20</v>
          </cell>
          <cell r="R2542" t="str">
            <v>2022-05-18 → 20</v>
          </cell>
          <cell r="S2542"/>
          <cell r="T2542">
            <v>44702</v>
          </cell>
          <cell r="U2542">
            <v>44704</v>
          </cell>
          <cell r="V2542">
            <v>44704</v>
          </cell>
          <cell r="W2542">
            <v>44704</v>
          </cell>
          <cell r="X2542">
            <v>41100329</v>
          </cell>
        </row>
        <row r="2543">
          <cell r="K2543" t="str">
            <v>GBWS-2329</v>
          </cell>
          <cell r="L2543">
            <v>44684</v>
          </cell>
          <cell r="M2543">
            <v>44685</v>
          </cell>
          <cell r="N2543">
            <v>44701</v>
          </cell>
          <cell r="O2543">
            <v>44685</v>
          </cell>
          <cell r="P2543">
            <v>44700</v>
          </cell>
          <cell r="Q2543" t="str">
            <v>2022-05-18 → 20</v>
          </cell>
          <cell r="R2543" t="str">
            <v>2022-05-18 → 20</v>
          </cell>
          <cell r="S2543"/>
          <cell r="T2543">
            <v>44702</v>
          </cell>
          <cell r="U2543">
            <v>44704</v>
          </cell>
          <cell r="V2543">
            <v>44704</v>
          </cell>
          <cell r="W2543">
            <v>44705</v>
          </cell>
          <cell r="X2543">
            <v>41100329</v>
          </cell>
        </row>
        <row r="2544">
          <cell r="K2544" t="str">
            <v>GBWS-2330</v>
          </cell>
          <cell r="L2544">
            <v>44684</v>
          </cell>
          <cell r="M2544">
            <v>44685</v>
          </cell>
          <cell r="N2544">
            <v>44701</v>
          </cell>
          <cell r="O2544">
            <v>44685</v>
          </cell>
          <cell r="P2544">
            <v>44700</v>
          </cell>
          <cell r="Q2544" t="str">
            <v>2022-05-18 → 20</v>
          </cell>
          <cell r="R2544" t="str">
            <v>2022-05-18 → 20</v>
          </cell>
          <cell r="S2544"/>
          <cell r="T2544">
            <v>44702</v>
          </cell>
          <cell r="U2544">
            <v>44704</v>
          </cell>
          <cell r="V2544">
            <v>44705</v>
          </cell>
          <cell r="W2544">
            <v>44705</v>
          </cell>
          <cell r="X2544">
            <v>41100330</v>
          </cell>
        </row>
        <row r="2545">
          <cell r="K2545" t="str">
            <v>GBWS-2331</v>
          </cell>
          <cell r="L2545">
            <v>44684</v>
          </cell>
          <cell r="M2545">
            <v>44685</v>
          </cell>
          <cell r="N2545">
            <v>44701</v>
          </cell>
          <cell r="O2545">
            <v>44685</v>
          </cell>
          <cell r="P2545">
            <v>44700</v>
          </cell>
          <cell r="Q2545" t="str">
            <v>2022-05-18 → 20</v>
          </cell>
          <cell r="R2545" t="str">
            <v>2022-05-18 → 20</v>
          </cell>
          <cell r="S2545"/>
          <cell r="T2545">
            <v>44702</v>
          </cell>
          <cell r="U2545">
            <v>44704</v>
          </cell>
          <cell r="V2545">
            <v>44704</v>
          </cell>
          <cell r="W2545">
            <v>44704</v>
          </cell>
          <cell r="X2545">
            <v>41100331</v>
          </cell>
        </row>
        <row r="2546">
          <cell r="K2546" t="str">
            <v>GBWS-2339</v>
          </cell>
          <cell r="L2546">
            <v>44692</v>
          </cell>
          <cell r="M2546">
            <v>44692</v>
          </cell>
          <cell r="N2546">
            <v>44704</v>
          </cell>
          <cell r="O2546">
            <v>44692</v>
          </cell>
          <cell r="P2546">
            <v>44704</v>
          </cell>
          <cell r="Q2546" t="str">
            <v>2022-05-20 → 5/23</v>
          </cell>
          <cell r="R2546" t="str">
            <v>2022-05-20 → 5/23</v>
          </cell>
          <cell r="S2546"/>
          <cell r="T2546">
            <v>44706</v>
          </cell>
          <cell r="U2546">
            <v>44707</v>
          </cell>
          <cell r="V2546">
            <v>44707</v>
          </cell>
          <cell r="W2546">
            <v>44708</v>
          </cell>
          <cell r="X2546">
            <v>41100331</v>
          </cell>
        </row>
        <row r="2547">
          <cell r="K2547" t="str">
            <v>GBWS-2340</v>
          </cell>
          <cell r="L2547">
            <v>44692</v>
          </cell>
          <cell r="M2547">
            <v>44692</v>
          </cell>
          <cell r="N2547">
            <v>44704</v>
          </cell>
          <cell r="O2547">
            <v>44692</v>
          </cell>
          <cell r="P2547">
            <v>44704</v>
          </cell>
          <cell r="Q2547" t="str">
            <v>2022-05-20 → 5/23</v>
          </cell>
          <cell r="R2547" t="str">
            <v>2022-05-20 → 5/23</v>
          </cell>
          <cell r="S2547"/>
          <cell r="T2547">
            <v>44706</v>
          </cell>
          <cell r="U2547">
            <v>44707</v>
          </cell>
          <cell r="V2547">
            <v>44708</v>
          </cell>
          <cell r="W2547">
            <v>44708</v>
          </cell>
          <cell r="X2547">
            <v>41100314</v>
          </cell>
        </row>
        <row r="2548">
          <cell r="K2548" t="str">
            <v>GBWS-2341</v>
          </cell>
          <cell r="L2548">
            <v>44692</v>
          </cell>
          <cell r="M2548">
            <v>44692</v>
          </cell>
          <cell r="N2548">
            <v>44704</v>
          </cell>
          <cell r="O2548">
            <v>44692</v>
          </cell>
          <cell r="P2548">
            <v>44704</v>
          </cell>
          <cell r="Q2548" t="str">
            <v>2022-05-20 → 5/21</v>
          </cell>
          <cell r="R2548" t="str">
            <v>2022-05-20 → 5/21</v>
          </cell>
          <cell r="S2548"/>
          <cell r="T2548">
            <v>44704</v>
          </cell>
          <cell r="U2548">
            <v>44705</v>
          </cell>
          <cell r="V2548">
            <v>44706</v>
          </cell>
          <cell r="W2548">
            <v>44706</v>
          </cell>
          <cell r="X2548">
            <v>41100085</v>
          </cell>
        </row>
        <row r="2549">
          <cell r="K2549" t="str">
            <v>GBWS-2342</v>
          </cell>
          <cell r="L2549">
            <v>44692</v>
          </cell>
          <cell r="M2549">
            <v>44692</v>
          </cell>
          <cell r="N2549">
            <v>44704</v>
          </cell>
          <cell r="O2549">
            <v>44692</v>
          </cell>
          <cell r="P2549">
            <v>44704</v>
          </cell>
          <cell r="Q2549" t="str">
            <v>2022-05-20 → 5/21</v>
          </cell>
          <cell r="R2549" t="str">
            <v>2022-05-20 → 5/21</v>
          </cell>
          <cell r="S2549"/>
          <cell r="T2549">
            <v>44705</v>
          </cell>
          <cell r="U2549">
            <v>44707</v>
          </cell>
          <cell r="V2549">
            <v>44708</v>
          </cell>
          <cell r="W2549">
            <v>44708</v>
          </cell>
          <cell r="X2549">
            <v>41100085</v>
          </cell>
        </row>
        <row r="2550">
          <cell r="K2550" t="str">
            <v>GBWS-2349</v>
          </cell>
          <cell r="L2550">
            <v>44692</v>
          </cell>
          <cell r="M2550">
            <v>44692</v>
          </cell>
          <cell r="N2550">
            <v>44704</v>
          </cell>
          <cell r="O2550">
            <v>44692</v>
          </cell>
          <cell r="P2550">
            <v>44704</v>
          </cell>
          <cell r="Q2550" t="str">
            <v>2022-05-20 → 5/21</v>
          </cell>
          <cell r="R2550" t="str">
            <v>2022-05-20 → 5/21</v>
          </cell>
          <cell r="S2550"/>
          <cell r="T2550">
            <v>44704</v>
          </cell>
          <cell r="U2550">
            <v>44705</v>
          </cell>
          <cell r="V2550">
            <v>44706</v>
          </cell>
          <cell r="W2550">
            <v>44706</v>
          </cell>
          <cell r="X2550">
            <v>41100085</v>
          </cell>
        </row>
        <row r="2551">
          <cell r="K2551" t="str">
            <v>GBWS-2350</v>
          </cell>
          <cell r="L2551">
            <v>44692</v>
          </cell>
          <cell r="M2551">
            <v>44692</v>
          </cell>
          <cell r="N2551">
            <v>44704</v>
          </cell>
          <cell r="O2551">
            <v>44692</v>
          </cell>
          <cell r="P2551">
            <v>44704</v>
          </cell>
          <cell r="Q2551" t="str">
            <v>2022-05-20 → 5/21</v>
          </cell>
          <cell r="R2551" t="str">
            <v>2022-05-20 → 5/21</v>
          </cell>
          <cell r="S2551"/>
          <cell r="T2551">
            <v>44704</v>
          </cell>
          <cell r="U2551">
            <v>44705</v>
          </cell>
          <cell r="V2551">
            <v>44706</v>
          </cell>
          <cell r="W2551">
            <v>44706</v>
          </cell>
          <cell r="X2551">
            <v>41100085</v>
          </cell>
        </row>
        <row r="2552">
          <cell r="K2552" t="str">
            <v>GBWS-2351</v>
          </cell>
          <cell r="L2552">
            <v>44692</v>
          </cell>
          <cell r="M2552">
            <v>44692</v>
          </cell>
          <cell r="N2552">
            <v>44704</v>
          </cell>
          <cell r="O2552">
            <v>44692</v>
          </cell>
          <cell r="P2552">
            <v>44704</v>
          </cell>
          <cell r="Q2552" t="str">
            <v>2022-05-20 → 5/21</v>
          </cell>
          <cell r="R2552" t="str">
            <v>2022-05-20 → 5/21</v>
          </cell>
          <cell r="S2552"/>
          <cell r="T2552">
            <v>44704</v>
          </cell>
          <cell r="U2552">
            <v>44705</v>
          </cell>
          <cell r="V2552">
            <v>44706</v>
          </cell>
          <cell r="W2552">
            <v>44706</v>
          </cell>
          <cell r="X2552">
            <v>41100085</v>
          </cell>
        </row>
        <row r="2553">
          <cell r="K2553" t="str">
            <v>GBWS-2367</v>
          </cell>
          <cell r="L2553">
            <v>44698</v>
          </cell>
          <cell r="M2553">
            <v>44699</v>
          </cell>
          <cell r="N2553">
            <v>44711</v>
          </cell>
          <cell r="O2553">
            <v>44699</v>
          </cell>
          <cell r="P2553">
            <v>44711</v>
          </cell>
          <cell r="Q2553">
            <v>44711</v>
          </cell>
          <cell r="R2553">
            <v>44711</v>
          </cell>
          <cell r="S2553"/>
          <cell r="T2553">
            <v>44712</v>
          </cell>
          <cell r="U2553">
            <v>44719</v>
          </cell>
          <cell r="V2553">
            <v>44720</v>
          </cell>
          <cell r="W2553">
            <v>44720</v>
          </cell>
          <cell r="X2553">
            <v>41100085</v>
          </cell>
        </row>
        <row r="2554">
          <cell r="K2554" t="str">
            <v>GBWS-2368</v>
          </cell>
          <cell r="L2554">
            <v>44698</v>
          </cell>
          <cell r="M2554">
            <v>44699</v>
          </cell>
          <cell r="N2554">
            <v>44711</v>
          </cell>
          <cell r="O2554">
            <v>44699</v>
          </cell>
          <cell r="P2554">
            <v>44711</v>
          </cell>
          <cell r="Q2554">
            <v>44711</v>
          </cell>
          <cell r="R2554">
            <v>44711</v>
          </cell>
          <cell r="S2554"/>
          <cell r="T2554">
            <v>44712</v>
          </cell>
          <cell r="U2554">
            <v>44714</v>
          </cell>
          <cell r="V2554">
            <v>44719</v>
          </cell>
          <cell r="W2554">
            <v>44719</v>
          </cell>
          <cell r="X2554">
            <v>41100085</v>
          </cell>
        </row>
        <row r="2555">
          <cell r="K2555" t="str">
            <v>GBWS-2369</v>
          </cell>
          <cell r="L2555">
            <v>44698</v>
          </cell>
          <cell r="M2555">
            <v>44699</v>
          </cell>
          <cell r="N2555">
            <v>44711</v>
          </cell>
          <cell r="O2555">
            <v>44699</v>
          </cell>
          <cell r="P2555">
            <v>44711</v>
          </cell>
          <cell r="Q2555">
            <v>44711</v>
          </cell>
          <cell r="R2555">
            <v>44711</v>
          </cell>
          <cell r="S2555"/>
          <cell r="T2555">
            <v>44712</v>
          </cell>
          <cell r="U2555">
            <v>44714</v>
          </cell>
          <cell r="V2555">
            <v>44719</v>
          </cell>
          <cell r="W2555">
            <v>44719</v>
          </cell>
          <cell r="X2555">
            <v>41100085</v>
          </cell>
        </row>
        <row r="2556">
          <cell r="K2556" t="str">
            <v>GBWS-2370</v>
          </cell>
          <cell r="L2556">
            <v>44698</v>
          </cell>
          <cell r="M2556">
            <v>44699</v>
          </cell>
          <cell r="N2556">
            <v>44711</v>
          </cell>
          <cell r="O2556">
            <v>44699</v>
          </cell>
          <cell r="P2556">
            <v>44711</v>
          </cell>
          <cell r="Q2556">
            <v>44711</v>
          </cell>
          <cell r="R2556">
            <v>44711</v>
          </cell>
          <cell r="S2556"/>
          <cell r="T2556">
            <v>44712</v>
          </cell>
          <cell r="U2556">
            <v>44714</v>
          </cell>
          <cell r="V2556">
            <v>44719</v>
          </cell>
          <cell r="W2556">
            <v>44720</v>
          </cell>
          <cell r="X2556">
            <v>41100085</v>
          </cell>
        </row>
        <row r="2557">
          <cell r="K2557" t="str">
            <v>GBWS-2371</v>
          </cell>
          <cell r="L2557">
            <v>44698</v>
          </cell>
          <cell r="M2557">
            <v>44699</v>
          </cell>
          <cell r="N2557">
            <v>44707</v>
          </cell>
          <cell r="O2557">
            <v>44699</v>
          </cell>
          <cell r="P2557">
            <v>44708</v>
          </cell>
          <cell r="Q2557">
            <v>44708</v>
          </cell>
          <cell r="R2557">
            <v>44708</v>
          </cell>
          <cell r="S2557"/>
          <cell r="T2557">
            <v>44711</v>
          </cell>
          <cell r="U2557">
            <v>44712</v>
          </cell>
          <cell r="V2557">
            <v>44714</v>
          </cell>
          <cell r="W2557">
            <v>44719</v>
          </cell>
          <cell r="X2557">
            <v>41100090</v>
          </cell>
        </row>
        <row r="2558">
          <cell r="K2558" t="str">
            <v>GBWS-2396</v>
          </cell>
          <cell r="L2558">
            <v>44707</v>
          </cell>
          <cell r="M2558">
            <v>44708</v>
          </cell>
          <cell r="N2558">
            <v>44719</v>
          </cell>
          <cell r="O2558">
            <v>44708</v>
          </cell>
          <cell r="P2558">
            <v>44719</v>
          </cell>
          <cell r="Q2558">
            <v>44715</v>
          </cell>
          <cell r="R2558">
            <v>44715</v>
          </cell>
          <cell r="S2558"/>
          <cell r="T2558">
            <v>44719</v>
          </cell>
          <cell r="U2558">
            <v>44720</v>
          </cell>
          <cell r="V2558">
            <v>44721</v>
          </cell>
          <cell r="W2558">
            <v>44721</v>
          </cell>
          <cell r="X2558">
            <v>41100090</v>
          </cell>
        </row>
        <row r="2559">
          <cell r="K2559" t="str">
            <v>GBWS-2322</v>
          </cell>
          <cell r="L2559">
            <v>44684</v>
          </cell>
          <cell r="M2559">
            <v>44685</v>
          </cell>
          <cell r="N2559">
            <v>44701</v>
          </cell>
          <cell r="O2559">
            <v>44685</v>
          </cell>
          <cell r="P2559">
            <v>44700</v>
          </cell>
          <cell r="Q2559" t="str">
            <v>2022-05-18 → 20</v>
          </cell>
          <cell r="R2559" t="str">
            <v>2022-05-18 → 20</v>
          </cell>
          <cell r="S2559"/>
          <cell r="T2559">
            <v>44702</v>
          </cell>
          <cell r="U2559">
            <v>44704</v>
          </cell>
          <cell r="V2559">
            <v>44705</v>
          </cell>
          <cell r="W2559">
            <v>44705</v>
          </cell>
          <cell r="X2559">
            <v>41100090</v>
          </cell>
        </row>
        <row r="2560">
          <cell r="K2560" t="str">
            <v>DBW-2637</v>
          </cell>
          <cell r="L2560">
            <v>44687</v>
          </cell>
          <cell r="M2560">
            <v>44687</v>
          </cell>
          <cell r="N2560">
            <v>44698</v>
          </cell>
          <cell r="O2560">
            <v>44687</v>
          </cell>
          <cell r="P2560">
            <v>44697</v>
          </cell>
          <cell r="Q2560">
            <v>44697</v>
          </cell>
          <cell r="R2560">
            <v>44697</v>
          </cell>
          <cell r="S2560"/>
          <cell r="T2560">
            <v>44699</v>
          </cell>
          <cell r="U2560">
            <v>44699</v>
          </cell>
          <cell r="V2560">
            <v>44700</v>
          </cell>
          <cell r="W2560">
            <v>44701</v>
          </cell>
          <cell r="X2560">
            <v>41100470</v>
          </cell>
        </row>
        <row r="2561">
          <cell r="K2561" t="str">
            <v>DBW-2647</v>
          </cell>
          <cell r="L2561">
            <v>44687</v>
          </cell>
          <cell r="M2561">
            <v>44687</v>
          </cell>
          <cell r="N2561">
            <v>44698</v>
          </cell>
          <cell r="O2561">
            <v>44687</v>
          </cell>
          <cell r="P2561">
            <v>44697</v>
          </cell>
          <cell r="Q2561">
            <v>44697</v>
          </cell>
          <cell r="R2561">
            <v>44697</v>
          </cell>
          <cell r="S2561"/>
          <cell r="T2561">
            <v>44699</v>
          </cell>
          <cell r="U2561">
            <v>44699</v>
          </cell>
          <cell r="V2561">
            <v>44700</v>
          </cell>
          <cell r="W2561">
            <v>44701</v>
          </cell>
          <cell r="X2561">
            <v>41100470</v>
          </cell>
        </row>
        <row r="2562">
          <cell r="K2562" t="str">
            <v>DBW-2651</v>
          </cell>
          <cell r="L2562">
            <v>44704</v>
          </cell>
          <cell r="M2562" t="str">
            <v>2022-05-20 → 5/24</v>
          </cell>
          <cell r="N2562">
            <v>44719</v>
          </cell>
          <cell r="O2562" t="str">
            <v>2022-05-20 → 5/24</v>
          </cell>
          <cell r="P2562">
            <v>44719</v>
          </cell>
          <cell r="Q2562" t="str">
            <v>2022-06-01 → 6/7</v>
          </cell>
          <cell r="R2562" t="str">
            <v>2022-06-01 → 6/7</v>
          </cell>
          <cell r="S2562"/>
          <cell r="T2562">
            <v>44720</v>
          </cell>
          <cell r="U2562">
            <v>44721</v>
          </cell>
          <cell r="V2562">
            <v>44721</v>
          </cell>
          <cell r="W2562">
            <v>44722</v>
          </cell>
          <cell r="X2562">
            <v>41100466</v>
          </cell>
        </row>
        <row r="2563">
          <cell r="K2563" t="str">
            <v>DBW-2652</v>
          </cell>
          <cell r="L2563">
            <v>44704</v>
          </cell>
          <cell r="M2563" t="str">
            <v>2022-05-20 → 5/24</v>
          </cell>
          <cell r="N2563">
            <v>44719</v>
          </cell>
          <cell r="O2563" t="str">
            <v>2022-05-20 → 5/24</v>
          </cell>
          <cell r="P2563">
            <v>44719</v>
          </cell>
          <cell r="Q2563" t="str">
            <v>2022-06-01 → 6/7</v>
          </cell>
          <cell r="R2563" t="str">
            <v>2022-06-01 → 6/7</v>
          </cell>
          <cell r="S2563"/>
          <cell r="T2563">
            <v>44720</v>
          </cell>
          <cell r="U2563">
            <v>44721</v>
          </cell>
          <cell r="V2563">
            <v>44721</v>
          </cell>
          <cell r="W2563">
            <v>44722</v>
          </cell>
          <cell r="X2563">
            <v>41100466</v>
          </cell>
        </row>
        <row r="2564">
          <cell r="K2564" t="str">
            <v>GBWS-2392</v>
          </cell>
          <cell r="L2564">
            <v>44704</v>
          </cell>
          <cell r="M2564" t="str">
            <v>2022-05-20 → 5/24</v>
          </cell>
          <cell r="N2564">
            <v>44719</v>
          </cell>
          <cell r="O2564" t="str">
            <v>2022-05-20 → 5/24</v>
          </cell>
          <cell r="P2564">
            <v>44712</v>
          </cell>
          <cell r="Q2564" t="str">
            <v>2022-06-01 → 6/7</v>
          </cell>
          <cell r="R2564" t="str">
            <v>2022-06-01 → 6/7</v>
          </cell>
          <cell r="S2564"/>
          <cell r="T2564">
            <v>44720</v>
          </cell>
          <cell r="U2564">
            <v>44721</v>
          </cell>
          <cell r="V2564">
            <v>44721</v>
          </cell>
          <cell r="W2564">
            <v>44722</v>
          </cell>
          <cell r="X2564">
            <v>41100467</v>
          </cell>
        </row>
        <row r="2565">
          <cell r="K2565" t="str">
            <v>GBWS-2393</v>
          </cell>
          <cell r="L2565">
            <v>44704</v>
          </cell>
          <cell r="M2565" t="str">
            <v>2022-05-20 → 5/24</v>
          </cell>
          <cell r="N2565">
            <v>44719</v>
          </cell>
          <cell r="O2565" t="str">
            <v>2022-05-20 → 5/24</v>
          </cell>
          <cell r="P2565">
            <v>44712</v>
          </cell>
          <cell r="Q2565" t="str">
            <v>2022-06-01 → 6/7</v>
          </cell>
          <cell r="R2565" t="str">
            <v>2022-06-01 → 6/7</v>
          </cell>
          <cell r="S2565"/>
          <cell r="T2565">
            <v>44720</v>
          </cell>
          <cell r="U2565">
            <v>44721</v>
          </cell>
          <cell r="V2565">
            <v>44721</v>
          </cell>
          <cell r="W2565">
            <v>44722</v>
          </cell>
          <cell r="X2565">
            <v>41100467</v>
          </cell>
        </row>
        <row r="2566">
          <cell r="K2566" t="str">
            <v>GBWS-2290</v>
          </cell>
          <cell r="L2566">
            <v>44676</v>
          </cell>
          <cell r="M2566">
            <v>44677</v>
          </cell>
          <cell r="N2566">
            <v>44690</v>
          </cell>
          <cell r="O2566">
            <v>44677</v>
          </cell>
          <cell r="P2566">
            <v>44690</v>
          </cell>
          <cell r="Q2566">
            <v>44690</v>
          </cell>
          <cell r="R2566">
            <v>44690</v>
          </cell>
          <cell r="S2566"/>
          <cell r="T2566">
            <v>44691</v>
          </cell>
          <cell r="U2566">
            <v>44692</v>
          </cell>
          <cell r="V2566">
            <v>44693</v>
          </cell>
          <cell r="W2566">
            <v>44697</v>
          </cell>
          <cell r="X2566">
            <v>41100363</v>
          </cell>
        </row>
        <row r="2567">
          <cell r="K2567" t="str">
            <v>GBWS-2363</v>
          </cell>
          <cell r="L2567">
            <v>44697</v>
          </cell>
          <cell r="M2567">
            <v>44698</v>
          </cell>
          <cell r="N2567">
            <v>44708</v>
          </cell>
          <cell r="O2567">
            <v>44698</v>
          </cell>
          <cell r="P2567">
            <v>44708</v>
          </cell>
          <cell r="Q2567">
            <v>44708</v>
          </cell>
          <cell r="R2567">
            <v>44708</v>
          </cell>
          <cell r="S2567"/>
          <cell r="T2567">
            <v>44711</v>
          </cell>
          <cell r="U2567">
            <v>44714</v>
          </cell>
          <cell r="V2567">
            <v>44719</v>
          </cell>
          <cell r="W2567">
            <v>44719</v>
          </cell>
          <cell r="X2567">
            <v>41100320</v>
          </cell>
        </row>
        <row r="2568">
          <cell r="K2568" t="str">
            <v>DBW-2656</v>
          </cell>
          <cell r="L2568">
            <v>44714</v>
          </cell>
          <cell r="M2568">
            <v>44715</v>
          </cell>
          <cell r="N2568">
            <v>44726</v>
          </cell>
          <cell r="O2568">
            <v>44715</v>
          </cell>
          <cell r="P2568">
            <v>44725</v>
          </cell>
          <cell r="Q2568">
            <v>44726</v>
          </cell>
          <cell r="R2568">
            <v>44726</v>
          </cell>
          <cell r="S2568"/>
          <cell r="T2568">
            <v>44727</v>
          </cell>
          <cell r="U2568">
            <v>44728</v>
          </cell>
          <cell r="V2568">
            <v>44729</v>
          </cell>
          <cell r="W2568">
            <v>44732</v>
          </cell>
          <cell r="X2568">
            <v>41100480</v>
          </cell>
        </row>
        <row r="2569">
          <cell r="K2569" t="str">
            <v>DBW-2657</v>
          </cell>
          <cell r="L2569">
            <v>44714</v>
          </cell>
          <cell r="M2569">
            <v>44715</v>
          </cell>
          <cell r="N2569">
            <v>44726</v>
          </cell>
          <cell r="O2569">
            <v>44715</v>
          </cell>
          <cell r="P2569">
            <v>44725</v>
          </cell>
          <cell r="Q2569">
            <v>44726</v>
          </cell>
          <cell r="R2569">
            <v>44726</v>
          </cell>
          <cell r="S2569"/>
          <cell r="T2569">
            <v>44727</v>
          </cell>
          <cell r="U2569">
            <v>44728</v>
          </cell>
          <cell r="V2569">
            <v>44729</v>
          </cell>
          <cell r="W2569">
            <v>44732</v>
          </cell>
          <cell r="X2569">
            <v>41100480</v>
          </cell>
        </row>
        <row r="2570">
          <cell r="K2570" t="str">
            <v>DBW-2639</v>
          </cell>
          <cell r="L2570">
            <v>44693</v>
          </cell>
          <cell r="M2570">
            <v>44693</v>
          </cell>
          <cell r="N2570">
            <v>44701</v>
          </cell>
          <cell r="O2570">
            <v>44693</v>
          </cell>
          <cell r="P2570">
            <v>44701</v>
          </cell>
          <cell r="Q2570">
            <v>44704</v>
          </cell>
          <cell r="R2570">
            <v>44704</v>
          </cell>
          <cell r="S2570"/>
          <cell r="T2570">
            <v>44705</v>
          </cell>
          <cell r="U2570">
            <v>44706</v>
          </cell>
          <cell r="V2570">
            <v>44707</v>
          </cell>
          <cell r="W2570">
            <v>44707</v>
          </cell>
          <cell r="X2570">
            <v>41100479</v>
          </cell>
        </row>
        <row r="2571">
          <cell r="K2571" t="str">
            <v>GBWS-2397</v>
          </cell>
          <cell r="L2571">
            <v>44711</v>
          </cell>
          <cell r="M2571">
            <v>44711</v>
          </cell>
          <cell r="N2571">
            <v>44721</v>
          </cell>
          <cell r="O2571">
            <v>44711</v>
          </cell>
          <cell r="P2571">
            <v>44721</v>
          </cell>
          <cell r="Q2571">
            <v>44721</v>
          </cell>
          <cell r="R2571">
            <v>44721</v>
          </cell>
          <cell r="S2571"/>
          <cell r="T2571">
            <v>44722</v>
          </cell>
          <cell r="U2571">
            <v>44725</v>
          </cell>
          <cell r="V2571">
            <v>44725</v>
          </cell>
          <cell r="W2571">
            <v>44725</v>
          </cell>
          <cell r="X2571">
            <v>41100511</v>
          </cell>
        </row>
        <row r="2572">
          <cell r="K2572" t="str">
            <v>GBWS-2398</v>
          </cell>
          <cell r="L2572">
            <v>44711</v>
          </cell>
          <cell r="M2572">
            <v>44711</v>
          </cell>
          <cell r="N2572">
            <v>44721</v>
          </cell>
          <cell r="O2572">
            <v>44711</v>
          </cell>
          <cell r="P2572">
            <v>44721</v>
          </cell>
          <cell r="Q2572">
            <v>44721</v>
          </cell>
          <cell r="R2572">
            <v>44721</v>
          </cell>
          <cell r="S2572"/>
          <cell r="T2572">
            <v>44722</v>
          </cell>
          <cell r="U2572">
            <v>44725</v>
          </cell>
          <cell r="V2572">
            <v>44726</v>
          </cell>
          <cell r="W2572">
            <v>44726</v>
          </cell>
          <cell r="X2572">
            <v>41100511</v>
          </cell>
        </row>
        <row r="2573">
          <cell r="K2573" t="str">
            <v>GBWS-2399</v>
          </cell>
          <cell r="L2573">
            <v>44711</v>
          </cell>
          <cell r="M2573">
            <v>44711</v>
          </cell>
          <cell r="N2573">
            <v>44721</v>
          </cell>
          <cell r="O2573">
            <v>44711</v>
          </cell>
          <cell r="P2573">
            <v>44721</v>
          </cell>
          <cell r="Q2573">
            <v>44721</v>
          </cell>
          <cell r="R2573">
            <v>44721</v>
          </cell>
          <cell r="S2573"/>
          <cell r="T2573">
            <v>44722</v>
          </cell>
          <cell r="U2573">
            <v>44725</v>
          </cell>
          <cell r="V2573">
            <v>44725</v>
          </cell>
          <cell r="W2573">
            <v>44725</v>
          </cell>
          <cell r="X2573">
            <v>41100511</v>
          </cell>
        </row>
        <row r="2574">
          <cell r="K2574" t="str">
            <v>GBWS-2248</v>
          </cell>
          <cell r="L2574">
            <v>44663</v>
          </cell>
          <cell r="M2574">
            <v>44663</v>
          </cell>
          <cell r="N2574">
            <v>44678</v>
          </cell>
          <cell r="O2574">
            <v>44663</v>
          </cell>
          <cell r="P2574">
            <v>44677</v>
          </cell>
          <cell r="Q2574">
            <v>44677</v>
          </cell>
          <cell r="R2574">
            <v>44677</v>
          </cell>
          <cell r="S2574"/>
          <cell r="T2574">
            <v>44679</v>
          </cell>
          <cell r="U2574">
            <v>44684</v>
          </cell>
          <cell r="V2574">
            <v>44685</v>
          </cell>
          <cell r="W2574">
            <v>44685</v>
          </cell>
          <cell r="X2574">
            <v>41100461</v>
          </cell>
        </row>
        <row r="2575">
          <cell r="K2575" t="str">
            <v>GBWS-2249</v>
          </cell>
          <cell r="L2575">
            <v>44663</v>
          </cell>
          <cell r="M2575">
            <v>44663</v>
          </cell>
          <cell r="N2575">
            <v>44678</v>
          </cell>
          <cell r="O2575">
            <v>44663</v>
          </cell>
          <cell r="P2575">
            <v>44677</v>
          </cell>
          <cell r="Q2575">
            <v>44677</v>
          </cell>
          <cell r="R2575">
            <v>44677</v>
          </cell>
          <cell r="S2575"/>
          <cell r="T2575">
            <v>44679</v>
          </cell>
          <cell r="U2575">
            <v>44684</v>
          </cell>
          <cell r="V2575">
            <v>44685</v>
          </cell>
          <cell r="W2575">
            <v>44685</v>
          </cell>
          <cell r="X2575">
            <v>41100461</v>
          </cell>
        </row>
        <row r="2576">
          <cell r="K2576" t="str">
            <v>GBWS-2373</v>
          </cell>
          <cell r="L2576">
            <v>44700</v>
          </cell>
          <cell r="M2576">
            <v>44701</v>
          </cell>
          <cell r="N2576">
            <v>44714</v>
          </cell>
          <cell r="O2576">
            <v>44701</v>
          </cell>
          <cell r="P2576">
            <v>44714</v>
          </cell>
          <cell r="Q2576" t="str">
            <v>2022-05-31 → 6/1</v>
          </cell>
          <cell r="R2576" t="str">
            <v>2022-05-31 → 6/1</v>
          </cell>
          <cell r="S2576"/>
          <cell r="T2576">
            <v>44714</v>
          </cell>
          <cell r="U2576">
            <v>44719</v>
          </cell>
          <cell r="V2576">
            <v>44720</v>
          </cell>
          <cell r="W2576">
            <v>44720</v>
          </cell>
          <cell r="X2576">
            <v>41100461</v>
          </cell>
        </row>
        <row r="2577">
          <cell r="K2577" t="str">
            <v>GBWS-2374</v>
          </cell>
          <cell r="L2577">
            <v>44700</v>
          </cell>
          <cell r="M2577">
            <v>44701</v>
          </cell>
          <cell r="N2577">
            <v>44713</v>
          </cell>
          <cell r="O2577">
            <v>44701</v>
          </cell>
          <cell r="P2577">
            <v>44714</v>
          </cell>
          <cell r="Q2577" t="str">
            <v>2022-05-31 → 6/1</v>
          </cell>
          <cell r="R2577" t="str">
            <v>2022-05-31 → 6/1</v>
          </cell>
          <cell r="S2577"/>
          <cell r="T2577">
            <v>44719</v>
          </cell>
          <cell r="U2577">
            <v>44720</v>
          </cell>
          <cell r="V2577">
            <v>44720</v>
          </cell>
          <cell r="W2577">
            <v>44721</v>
          </cell>
          <cell r="X2577">
            <v>41100461</v>
          </cell>
        </row>
        <row r="2578">
          <cell r="K2578" t="str">
            <v>GBWS-2376</v>
          </cell>
          <cell r="L2578">
            <v>44700</v>
          </cell>
          <cell r="M2578">
            <v>44701</v>
          </cell>
          <cell r="N2578">
            <v>44713</v>
          </cell>
          <cell r="O2578">
            <v>44701</v>
          </cell>
          <cell r="P2578">
            <v>44714</v>
          </cell>
          <cell r="Q2578" t="str">
            <v>2022-05-31 → 6/1</v>
          </cell>
          <cell r="R2578" t="str">
            <v>2022-05-31 → 6/1</v>
          </cell>
          <cell r="S2578"/>
          <cell r="T2578">
            <v>44719</v>
          </cell>
          <cell r="U2578">
            <v>44720</v>
          </cell>
          <cell r="V2578">
            <v>44720</v>
          </cell>
          <cell r="W2578">
            <v>44721</v>
          </cell>
          <cell r="X2578">
            <v>41100461</v>
          </cell>
        </row>
        <row r="2579">
          <cell r="K2579" t="str">
            <v>GBWS-2379</v>
          </cell>
          <cell r="L2579">
            <v>44700</v>
          </cell>
          <cell r="M2579">
            <v>44701</v>
          </cell>
          <cell r="N2579">
            <v>44713</v>
          </cell>
          <cell r="O2579">
            <v>44701</v>
          </cell>
          <cell r="P2579">
            <v>44714</v>
          </cell>
          <cell r="Q2579" t="str">
            <v>2022-05-31 → 6/2</v>
          </cell>
          <cell r="R2579" t="str">
            <v>2022-05-31 → 6/2</v>
          </cell>
          <cell r="S2579"/>
          <cell r="T2579">
            <v>44719</v>
          </cell>
          <cell r="U2579">
            <v>44720</v>
          </cell>
          <cell r="V2579">
            <v>44720</v>
          </cell>
          <cell r="W2579">
            <v>44721</v>
          </cell>
          <cell r="X2579">
            <v>41100461</v>
          </cell>
        </row>
        <row r="2580">
          <cell r="K2580" t="str">
            <v>GBWS-2380</v>
          </cell>
          <cell r="L2580">
            <v>44700</v>
          </cell>
          <cell r="M2580">
            <v>44701</v>
          </cell>
          <cell r="N2580">
            <v>44713</v>
          </cell>
          <cell r="O2580">
            <v>44701</v>
          </cell>
          <cell r="P2580">
            <v>44714</v>
          </cell>
          <cell r="Q2580" t="str">
            <v>2022-05-31 → 6/2</v>
          </cell>
          <cell r="R2580" t="str">
            <v>2022-05-31 → 6/2</v>
          </cell>
          <cell r="S2580"/>
          <cell r="T2580">
            <v>44719</v>
          </cell>
          <cell r="U2580">
            <v>44720</v>
          </cell>
          <cell r="V2580">
            <v>44721</v>
          </cell>
          <cell r="W2580">
            <v>44721</v>
          </cell>
          <cell r="X2580">
            <v>41100461</v>
          </cell>
        </row>
        <row r="2581">
          <cell r="K2581" t="str">
            <v>GBWS-2413</v>
          </cell>
          <cell r="L2581">
            <v>44711</v>
          </cell>
          <cell r="M2581">
            <v>44712</v>
          </cell>
          <cell r="N2581">
            <v>44726</v>
          </cell>
          <cell r="O2581">
            <v>44712</v>
          </cell>
          <cell r="P2581">
            <v>44725</v>
          </cell>
          <cell r="Q2581">
            <v>44725</v>
          </cell>
          <cell r="R2581">
            <v>44725</v>
          </cell>
          <cell r="S2581"/>
          <cell r="T2581">
            <v>44726</v>
          </cell>
          <cell r="U2581">
            <v>44727</v>
          </cell>
          <cell r="V2581">
            <v>44728</v>
          </cell>
          <cell r="W2581">
            <v>44728</v>
          </cell>
          <cell r="X2581">
            <v>41100462</v>
          </cell>
        </row>
        <row r="2582">
          <cell r="K2582" t="str">
            <v>GBWS-2414</v>
          </cell>
          <cell r="L2582">
            <v>44711</v>
          </cell>
          <cell r="M2582">
            <v>44712</v>
          </cell>
          <cell r="N2582">
            <v>44726</v>
          </cell>
          <cell r="O2582">
            <v>44712</v>
          </cell>
          <cell r="P2582">
            <v>44725</v>
          </cell>
          <cell r="Q2582">
            <v>44725</v>
          </cell>
          <cell r="R2582">
            <v>44725</v>
          </cell>
          <cell r="S2582"/>
          <cell r="T2582">
            <v>44726</v>
          </cell>
          <cell r="U2582">
            <v>44727</v>
          </cell>
          <cell r="V2582">
            <v>44728</v>
          </cell>
          <cell r="W2582">
            <v>44728</v>
          </cell>
          <cell r="X2582">
            <v>41100462</v>
          </cell>
        </row>
        <row r="2583">
          <cell r="K2583" t="str">
            <v>GBWS-2299</v>
          </cell>
          <cell r="L2583">
            <v>44676</v>
          </cell>
          <cell r="M2583">
            <v>44677</v>
          </cell>
          <cell r="N2583">
            <v>44690</v>
          </cell>
          <cell r="O2583">
            <v>44677</v>
          </cell>
          <cell r="P2583">
            <v>44690</v>
          </cell>
          <cell r="Q2583">
            <v>44690</v>
          </cell>
          <cell r="R2583">
            <v>44690</v>
          </cell>
          <cell r="S2583"/>
          <cell r="T2583">
            <v>44692</v>
          </cell>
          <cell r="U2583">
            <v>44694</v>
          </cell>
          <cell r="V2583">
            <v>44697</v>
          </cell>
          <cell r="W2583">
            <v>44697</v>
          </cell>
          <cell r="X2583">
            <v>41100460</v>
          </cell>
        </row>
        <row r="2584">
          <cell r="K2584" t="str">
            <v>GBWS-2304</v>
          </cell>
          <cell r="L2584">
            <v>44676</v>
          </cell>
          <cell r="M2584">
            <v>44677</v>
          </cell>
          <cell r="N2584">
            <v>44690</v>
          </cell>
          <cell r="O2584">
            <v>44677</v>
          </cell>
          <cell r="P2584">
            <v>44690</v>
          </cell>
          <cell r="Q2584">
            <v>44690</v>
          </cell>
          <cell r="R2584">
            <v>44690</v>
          </cell>
          <cell r="S2584"/>
          <cell r="T2584">
            <v>44693</v>
          </cell>
          <cell r="U2584">
            <v>44698</v>
          </cell>
          <cell r="V2584">
            <v>44699</v>
          </cell>
          <cell r="W2584">
            <v>44700</v>
          </cell>
          <cell r="X2584">
            <v>41100460</v>
          </cell>
        </row>
        <row r="2585">
          <cell r="K2585" t="str">
            <v>GBWS-2305</v>
          </cell>
          <cell r="L2585">
            <v>44676</v>
          </cell>
          <cell r="M2585">
            <v>44677</v>
          </cell>
          <cell r="N2585">
            <v>44690</v>
          </cell>
          <cell r="O2585">
            <v>44677</v>
          </cell>
          <cell r="P2585">
            <v>44690</v>
          </cell>
          <cell r="Q2585">
            <v>44690</v>
          </cell>
          <cell r="R2585">
            <v>44690</v>
          </cell>
          <cell r="S2585"/>
          <cell r="T2585">
            <v>44693</v>
          </cell>
          <cell r="U2585">
            <v>44697</v>
          </cell>
          <cell r="V2585">
            <v>44697</v>
          </cell>
          <cell r="W2585">
            <v>44698</v>
          </cell>
          <cell r="X2585">
            <v>41100460</v>
          </cell>
        </row>
        <row r="2586">
          <cell r="K2586" t="str">
            <v>GBWS-1578</v>
          </cell>
          <cell r="L2586">
            <v>44446</v>
          </cell>
          <cell r="M2586">
            <v>44446</v>
          </cell>
          <cell r="N2586">
            <v>44455</v>
          </cell>
          <cell r="O2586">
            <v>44446</v>
          </cell>
          <cell r="P2586">
            <v>44455</v>
          </cell>
          <cell r="Q2586">
            <v>44455</v>
          </cell>
          <cell r="R2586">
            <v>44455</v>
          </cell>
          <cell r="S2586"/>
          <cell r="T2586">
            <v>44455</v>
          </cell>
          <cell r="U2586">
            <v>44462</v>
          </cell>
          <cell r="V2586">
            <v>44466</v>
          </cell>
          <cell r="W2586">
            <v>44466</v>
          </cell>
          <cell r="X2586">
            <v>41100372</v>
          </cell>
        </row>
        <row r="2587">
          <cell r="K2587" t="str">
            <v>GBWS-1820</v>
          </cell>
          <cell r="L2587">
            <v>44510</v>
          </cell>
          <cell r="M2587">
            <v>44510</v>
          </cell>
          <cell r="N2587">
            <v>44519</v>
          </cell>
          <cell r="O2587">
            <v>44510</v>
          </cell>
          <cell r="P2587">
            <v>44519</v>
          </cell>
          <cell r="Q2587">
            <v>44519</v>
          </cell>
          <cell r="R2587">
            <v>44519</v>
          </cell>
          <cell r="S2587"/>
          <cell r="T2587">
            <v>44522</v>
          </cell>
          <cell r="U2587">
            <v>44523</v>
          </cell>
          <cell r="V2587">
            <v>44524</v>
          </cell>
          <cell r="W2587">
            <v>44524</v>
          </cell>
          <cell r="X2587">
            <v>41100318</v>
          </cell>
        </row>
        <row r="2588">
          <cell r="K2588" t="str">
            <v>GBWS-2291</v>
          </cell>
          <cell r="L2588">
            <v>44676</v>
          </cell>
          <cell r="M2588">
            <v>44677</v>
          </cell>
          <cell r="N2588">
            <v>44690</v>
          </cell>
          <cell r="O2588">
            <v>44677</v>
          </cell>
          <cell r="P2588">
            <v>44690</v>
          </cell>
          <cell r="Q2588">
            <v>44690</v>
          </cell>
          <cell r="R2588">
            <v>44690</v>
          </cell>
          <cell r="S2588"/>
          <cell r="T2588">
            <v>44691</v>
          </cell>
          <cell r="U2588">
            <v>44692</v>
          </cell>
          <cell r="V2588">
            <v>44693</v>
          </cell>
          <cell r="W2588">
            <v>44694</v>
          </cell>
          <cell r="X2588">
            <v>41100363</v>
          </cell>
        </row>
        <row r="2589">
          <cell r="K2589" t="str">
            <v>GBWS-2333</v>
          </cell>
          <cell r="L2589">
            <v>44690</v>
          </cell>
          <cell r="M2589">
            <v>44691</v>
          </cell>
          <cell r="N2589">
            <v>44701</v>
          </cell>
          <cell r="O2589">
            <v>44691</v>
          </cell>
          <cell r="P2589">
            <v>44704</v>
          </cell>
          <cell r="Q2589">
            <v>44701</v>
          </cell>
          <cell r="R2589">
            <v>44701</v>
          </cell>
          <cell r="S2589"/>
          <cell r="T2589">
            <v>44704</v>
          </cell>
          <cell r="U2589">
            <v>44706</v>
          </cell>
          <cell r="V2589">
            <v>44707</v>
          </cell>
          <cell r="W2589">
            <v>44707</v>
          </cell>
          <cell r="X2589">
            <v>41100363</v>
          </cell>
        </row>
        <row r="2590">
          <cell r="K2590" t="str">
            <v>GBWS-2395</v>
          </cell>
          <cell r="L2590">
            <v>44706</v>
          </cell>
          <cell r="M2590">
            <v>44707</v>
          </cell>
          <cell r="N2590">
            <v>44721</v>
          </cell>
          <cell r="O2590">
            <v>44707</v>
          </cell>
          <cell r="P2590">
            <v>44719</v>
          </cell>
          <cell r="Q2590">
            <v>44721</v>
          </cell>
          <cell r="R2590">
            <v>44721</v>
          </cell>
          <cell r="S2590"/>
          <cell r="T2590">
            <v>44722</v>
          </cell>
          <cell r="U2590">
            <v>44722</v>
          </cell>
          <cell r="V2590">
            <v>44725</v>
          </cell>
          <cell r="W2590">
            <v>44725</v>
          </cell>
          <cell r="X2590">
            <v>41100296</v>
          </cell>
        </row>
        <row r="2591">
          <cell r="K2591" t="str">
            <v>MMD-0037</v>
          </cell>
          <cell r="L2591">
            <v>44706</v>
          </cell>
          <cell r="M2591">
            <v>44707</v>
          </cell>
          <cell r="N2591">
            <v>44722</v>
          </cell>
          <cell r="O2591">
            <v>44707</v>
          </cell>
          <cell r="P2591">
            <v>44725</v>
          </cell>
          <cell r="Q2591">
            <v>44721</v>
          </cell>
          <cell r="R2591">
            <v>44721</v>
          </cell>
          <cell r="S2591"/>
          <cell r="T2591">
            <v>44725</v>
          </cell>
          <cell r="U2591">
            <v>44727</v>
          </cell>
          <cell r="V2591">
            <v>44727</v>
          </cell>
          <cell r="W2591">
            <v>44727</v>
          </cell>
          <cell r="X2591">
            <v>31101262</v>
          </cell>
        </row>
        <row r="2592">
          <cell r="K2592" t="str">
            <v>GBWS-2394</v>
          </cell>
          <cell r="L2592">
            <v>44705</v>
          </cell>
          <cell r="M2592">
            <v>44706</v>
          </cell>
          <cell r="N2592">
            <v>44721</v>
          </cell>
          <cell r="O2592">
            <v>44706</v>
          </cell>
          <cell r="P2592">
            <v>44719</v>
          </cell>
          <cell r="Q2592">
            <v>44721</v>
          </cell>
          <cell r="R2592">
            <v>44721</v>
          </cell>
          <cell r="S2592"/>
          <cell r="T2592">
            <v>44722</v>
          </cell>
          <cell r="U2592">
            <v>44732</v>
          </cell>
          <cell r="V2592">
            <v>44733</v>
          </cell>
          <cell r="W2592">
            <v>44733</v>
          </cell>
          <cell r="X2592">
            <v>41100336</v>
          </cell>
        </row>
        <row r="2593">
          <cell r="K2593" t="str">
            <v>DBW-2654</v>
          </cell>
          <cell r="L2593">
            <v>44705</v>
          </cell>
          <cell r="M2593">
            <v>44706</v>
          </cell>
          <cell r="N2593">
            <v>44720</v>
          </cell>
          <cell r="O2593">
            <v>44706</v>
          </cell>
          <cell r="P2593">
            <v>44721</v>
          </cell>
          <cell r="Q2593">
            <v>44721</v>
          </cell>
          <cell r="R2593">
            <v>44721</v>
          </cell>
          <cell r="S2593"/>
          <cell r="T2593">
            <v>44722</v>
          </cell>
          <cell r="U2593">
            <v>44725</v>
          </cell>
          <cell r="V2593">
            <v>44726</v>
          </cell>
          <cell r="W2593">
            <v>44726</v>
          </cell>
          <cell r="X2593">
            <v>41100360</v>
          </cell>
        </row>
        <row r="2594">
          <cell r="K2594" t="str">
            <v>DBW-2655</v>
          </cell>
          <cell r="L2594">
            <v>44705</v>
          </cell>
          <cell r="M2594">
            <v>44706</v>
          </cell>
          <cell r="N2594">
            <v>44720</v>
          </cell>
          <cell r="O2594">
            <v>44706</v>
          </cell>
          <cell r="P2594">
            <v>44721</v>
          </cell>
          <cell r="Q2594">
            <v>44721</v>
          </cell>
          <cell r="R2594">
            <v>44721</v>
          </cell>
          <cell r="S2594"/>
          <cell r="T2594">
            <v>44722</v>
          </cell>
          <cell r="U2594">
            <v>44725</v>
          </cell>
          <cell r="V2594">
            <v>44726</v>
          </cell>
          <cell r="W2594">
            <v>44726</v>
          </cell>
          <cell r="X2594">
            <v>41100354</v>
          </cell>
        </row>
        <row r="2595">
          <cell r="K2595" t="str">
            <v>IVAS-136</v>
          </cell>
          <cell r="L2595">
            <v>44711</v>
          </cell>
          <cell r="M2595">
            <v>44712</v>
          </cell>
          <cell r="N2595">
            <v>44722</v>
          </cell>
          <cell r="O2595">
            <v>44712</v>
          </cell>
          <cell r="P2595">
            <v>44725</v>
          </cell>
          <cell r="Q2595">
            <v>44725</v>
          </cell>
          <cell r="R2595">
            <v>44725</v>
          </cell>
          <cell r="S2595"/>
          <cell r="T2595">
            <v>44726</v>
          </cell>
          <cell r="U2595">
            <v>44734</v>
          </cell>
          <cell r="V2595">
            <v>44735</v>
          </cell>
          <cell r="W2595">
            <v>44735</v>
          </cell>
          <cell r="X2595">
            <v>41100273</v>
          </cell>
        </row>
        <row r="2596">
          <cell r="K2596" t="str">
            <v>GBWS-2439</v>
          </cell>
          <cell r="L2596">
            <v>44719</v>
          </cell>
          <cell r="M2596">
            <v>44720</v>
          </cell>
          <cell r="N2596">
            <v>44729</v>
          </cell>
          <cell r="O2596">
            <v>44720</v>
          </cell>
          <cell r="P2596">
            <v>44729</v>
          </cell>
          <cell r="Q2596">
            <v>44729</v>
          </cell>
          <cell r="R2596">
            <v>44729</v>
          </cell>
          <cell r="S2596"/>
          <cell r="T2596">
            <v>44732</v>
          </cell>
          <cell r="U2596">
            <v>44734</v>
          </cell>
          <cell r="V2596">
            <v>44734</v>
          </cell>
          <cell r="W2596">
            <v>44735</v>
          </cell>
          <cell r="X2596">
            <v>41100350</v>
          </cell>
        </row>
        <row r="2597">
          <cell r="K2597" t="str">
            <v>GBWS-2429</v>
          </cell>
          <cell r="L2597">
            <v>44714</v>
          </cell>
          <cell r="M2597">
            <v>44715</v>
          </cell>
          <cell r="N2597">
            <v>44730</v>
          </cell>
          <cell r="O2597">
            <v>44715</v>
          </cell>
          <cell r="P2597">
            <v>44730</v>
          </cell>
          <cell r="Q2597">
            <v>44728</v>
          </cell>
          <cell r="R2597">
            <v>44728</v>
          </cell>
          <cell r="S2597"/>
          <cell r="T2597">
            <v>44733</v>
          </cell>
          <cell r="U2597">
            <v>44733</v>
          </cell>
          <cell r="V2597">
            <v>44734</v>
          </cell>
          <cell r="W2597">
            <v>44734</v>
          </cell>
          <cell r="X2597">
            <v>41100512</v>
          </cell>
        </row>
        <row r="2598">
          <cell r="K2598" t="str">
            <v>GBWS-2427</v>
          </cell>
          <cell r="L2598">
            <v>44714</v>
          </cell>
          <cell r="M2598">
            <v>44715</v>
          </cell>
          <cell r="N2598">
            <v>44725</v>
          </cell>
          <cell r="O2598">
            <v>44715</v>
          </cell>
          <cell r="P2598">
            <v>44726</v>
          </cell>
          <cell r="Q2598">
            <v>44729</v>
          </cell>
          <cell r="R2598">
            <v>44729</v>
          </cell>
          <cell r="S2598"/>
          <cell r="T2598">
            <v>44729</v>
          </cell>
          <cell r="U2598">
            <v>44732</v>
          </cell>
          <cell r="V2598">
            <v>44732</v>
          </cell>
          <cell r="W2598">
            <v>44734</v>
          </cell>
          <cell r="X2598">
            <v>41100334</v>
          </cell>
        </row>
        <row r="2599">
          <cell r="K2599" t="str">
            <v>IVAS-137</v>
          </cell>
          <cell r="L2599">
            <v>44711</v>
          </cell>
          <cell r="M2599">
            <v>44712</v>
          </cell>
          <cell r="N2599">
            <v>44722</v>
          </cell>
          <cell r="O2599">
            <v>44712</v>
          </cell>
          <cell r="P2599">
            <v>44725</v>
          </cell>
          <cell r="Q2599">
            <v>44726</v>
          </cell>
          <cell r="R2599">
            <v>44726</v>
          </cell>
          <cell r="S2599"/>
          <cell r="T2599">
            <v>44726</v>
          </cell>
          <cell r="U2599">
            <v>44736</v>
          </cell>
          <cell r="V2599">
            <v>44739</v>
          </cell>
          <cell r="W2599">
            <v>44739</v>
          </cell>
          <cell r="X2599">
            <v>41100273</v>
          </cell>
        </row>
        <row r="2600">
          <cell r="K2600" t="str">
            <v>IVAS-138</v>
          </cell>
          <cell r="L2600">
            <v>44711</v>
          </cell>
          <cell r="M2600">
            <v>44712</v>
          </cell>
          <cell r="N2600">
            <v>44722</v>
          </cell>
          <cell r="O2600">
            <v>44712</v>
          </cell>
          <cell r="P2600">
            <v>44725</v>
          </cell>
          <cell r="Q2600">
            <v>44726</v>
          </cell>
          <cell r="R2600">
            <v>44726</v>
          </cell>
          <cell r="S2600"/>
          <cell r="T2600">
            <v>44726</v>
          </cell>
          <cell r="U2600">
            <v>44729</v>
          </cell>
          <cell r="V2600">
            <v>44734</v>
          </cell>
          <cell r="W2600">
            <v>44739</v>
          </cell>
          <cell r="X2600">
            <v>41100273</v>
          </cell>
        </row>
        <row r="2601">
          <cell r="K2601" t="str">
            <v>GBWS-2386</v>
          </cell>
          <cell r="L2601">
            <v>44704</v>
          </cell>
          <cell r="M2601">
            <v>44705</v>
          </cell>
          <cell r="N2601">
            <v>44719</v>
          </cell>
          <cell r="O2601">
            <v>44705</v>
          </cell>
          <cell r="P2601">
            <v>44714</v>
          </cell>
          <cell r="Q2601">
            <v>44719</v>
          </cell>
          <cell r="R2601">
            <v>44719</v>
          </cell>
          <cell r="S2601"/>
          <cell r="T2601">
            <v>44721</v>
          </cell>
          <cell r="U2601">
            <v>44733</v>
          </cell>
          <cell r="V2601">
            <v>44736</v>
          </cell>
          <cell r="W2601">
            <v>44736</v>
          </cell>
          <cell r="X2601">
            <v>41100188</v>
          </cell>
        </row>
        <row r="2602">
          <cell r="K2602" t="str">
            <v>GBWS-2387</v>
          </cell>
          <cell r="L2602">
            <v>44704</v>
          </cell>
          <cell r="M2602">
            <v>44705</v>
          </cell>
          <cell r="N2602">
            <v>44719</v>
          </cell>
          <cell r="O2602">
            <v>44705</v>
          </cell>
          <cell r="P2602">
            <v>44714</v>
          </cell>
          <cell r="Q2602">
            <v>44719</v>
          </cell>
          <cell r="R2602">
            <v>44719</v>
          </cell>
          <cell r="S2602"/>
          <cell r="T2602">
            <v>44721</v>
          </cell>
          <cell r="U2602">
            <v>44733</v>
          </cell>
          <cell r="V2602">
            <v>44735</v>
          </cell>
          <cell r="W2602">
            <v>44735</v>
          </cell>
          <cell r="X2602">
            <v>41100188</v>
          </cell>
        </row>
        <row r="2603">
          <cell r="K2603" t="str">
            <v>GBWS-2388</v>
          </cell>
          <cell r="L2603">
            <v>44704</v>
          </cell>
          <cell r="M2603">
            <v>44705</v>
          </cell>
          <cell r="N2603">
            <v>44719</v>
          </cell>
          <cell r="O2603">
            <v>44705</v>
          </cell>
          <cell r="P2603">
            <v>44714</v>
          </cell>
          <cell r="Q2603">
            <v>44719</v>
          </cell>
          <cell r="R2603">
            <v>44719</v>
          </cell>
          <cell r="S2603"/>
          <cell r="T2603">
            <v>44721</v>
          </cell>
          <cell r="U2603">
            <v>44733</v>
          </cell>
          <cell r="V2603">
            <v>44736</v>
          </cell>
          <cell r="W2603">
            <v>44736</v>
          </cell>
          <cell r="X2603">
            <v>41100188</v>
          </cell>
        </row>
        <row r="2604">
          <cell r="K2604" t="str">
            <v>GBWS-2389</v>
          </cell>
          <cell r="L2604">
            <v>44704</v>
          </cell>
          <cell r="M2604">
            <v>44705</v>
          </cell>
          <cell r="N2604">
            <v>44719</v>
          </cell>
          <cell r="O2604">
            <v>44705</v>
          </cell>
          <cell r="P2604">
            <v>44714</v>
          </cell>
          <cell r="Q2604">
            <v>44719</v>
          </cell>
          <cell r="R2604">
            <v>44719</v>
          </cell>
          <cell r="S2604"/>
          <cell r="T2604">
            <v>44721</v>
          </cell>
          <cell r="U2604">
            <v>44733</v>
          </cell>
          <cell r="V2604">
            <v>44736</v>
          </cell>
          <cell r="W2604">
            <v>44736</v>
          </cell>
          <cell r="X2604">
            <v>41100188</v>
          </cell>
        </row>
        <row r="2605">
          <cell r="K2605" t="str">
            <v>GBWS-2390</v>
          </cell>
          <cell r="L2605">
            <v>44704</v>
          </cell>
          <cell r="M2605">
            <v>44705</v>
          </cell>
          <cell r="N2605">
            <v>44719</v>
          </cell>
          <cell r="O2605">
            <v>44705</v>
          </cell>
          <cell r="P2605">
            <v>44714</v>
          </cell>
          <cell r="Q2605">
            <v>44719</v>
          </cell>
          <cell r="R2605">
            <v>44719</v>
          </cell>
          <cell r="S2605"/>
          <cell r="T2605">
            <v>44721</v>
          </cell>
          <cell r="U2605">
            <v>44733</v>
          </cell>
          <cell r="V2605">
            <v>44735</v>
          </cell>
          <cell r="W2605">
            <v>44735</v>
          </cell>
          <cell r="X2605">
            <v>41100188</v>
          </cell>
        </row>
        <row r="2606">
          <cell r="K2606" t="str">
            <v>GBWS-2391</v>
          </cell>
          <cell r="L2606">
            <v>44704</v>
          </cell>
          <cell r="M2606">
            <v>44705</v>
          </cell>
          <cell r="N2606">
            <v>44719</v>
          </cell>
          <cell r="O2606">
            <v>44705</v>
          </cell>
          <cell r="P2606">
            <v>44714</v>
          </cell>
          <cell r="Q2606">
            <v>44719</v>
          </cell>
          <cell r="R2606">
            <v>44719</v>
          </cell>
          <cell r="S2606"/>
          <cell r="T2606">
            <v>44721</v>
          </cell>
          <cell r="U2606">
            <v>44733</v>
          </cell>
          <cell r="V2606">
            <v>44736</v>
          </cell>
          <cell r="W2606">
            <v>44736</v>
          </cell>
          <cell r="X2606">
            <v>41100188</v>
          </cell>
        </row>
        <row r="2607">
          <cell r="K2607" t="str">
            <v>GBWS-2428</v>
          </cell>
          <cell r="L2607">
            <v>44714</v>
          </cell>
          <cell r="M2607">
            <v>44715</v>
          </cell>
          <cell r="N2607">
            <v>44725</v>
          </cell>
          <cell r="O2607">
            <v>44715</v>
          </cell>
          <cell r="P2607">
            <v>44726</v>
          </cell>
          <cell r="Q2607">
            <v>44729</v>
          </cell>
          <cell r="R2607">
            <v>44729</v>
          </cell>
          <cell r="S2607"/>
          <cell r="T2607">
            <v>44729</v>
          </cell>
          <cell r="U2607">
            <v>44732</v>
          </cell>
          <cell r="V2607">
            <v>44732</v>
          </cell>
          <cell r="W2607">
            <v>44734</v>
          </cell>
          <cell r="X2607">
            <v>41100334</v>
          </cell>
        </row>
        <row r="2608">
          <cell r="K2608" t="str">
            <v>GBWS-2438</v>
          </cell>
          <cell r="L2608">
            <v>44719</v>
          </cell>
          <cell r="M2608">
            <v>44720</v>
          </cell>
          <cell r="N2608">
            <v>44729</v>
          </cell>
          <cell r="O2608">
            <v>44720</v>
          </cell>
          <cell r="P2608">
            <v>44729</v>
          </cell>
          <cell r="Q2608">
            <v>44729</v>
          </cell>
          <cell r="R2608">
            <v>44729</v>
          </cell>
          <cell r="S2608"/>
          <cell r="T2608">
            <v>44730</v>
          </cell>
          <cell r="U2608">
            <v>44734</v>
          </cell>
          <cell r="V2608">
            <v>44735</v>
          </cell>
          <cell r="W2608">
            <v>44735</v>
          </cell>
          <cell r="X2608">
            <v>41100350</v>
          </cell>
        </row>
        <row r="2609">
          <cell r="K2609" t="str">
            <v>GBWS-2444</v>
          </cell>
          <cell r="L2609">
            <v>44721</v>
          </cell>
          <cell r="M2609">
            <v>44721</v>
          </cell>
          <cell r="N2609">
            <v>44732</v>
          </cell>
          <cell r="O2609">
            <v>44721</v>
          </cell>
          <cell r="P2609">
            <v>44732</v>
          </cell>
          <cell r="Q2609">
            <v>44733</v>
          </cell>
          <cell r="R2609">
            <v>44733</v>
          </cell>
          <cell r="S2609"/>
          <cell r="T2609">
            <v>44732</v>
          </cell>
          <cell r="U2609">
            <v>44733</v>
          </cell>
          <cell r="V2609">
            <v>44734</v>
          </cell>
          <cell r="W2609">
            <v>44734</v>
          </cell>
          <cell r="X2609">
            <v>41100320</v>
          </cell>
        </row>
        <row r="2610">
          <cell r="K2610" t="str">
            <v>GBWS-2460</v>
          </cell>
          <cell r="L2610">
            <v>44725</v>
          </cell>
          <cell r="M2610">
            <v>44725</v>
          </cell>
          <cell r="N2610">
            <v>44734</v>
          </cell>
          <cell r="O2610">
            <v>44725</v>
          </cell>
          <cell r="P2610">
            <v>44735</v>
          </cell>
          <cell r="Q2610">
            <v>44735</v>
          </cell>
          <cell r="R2610">
            <v>44735</v>
          </cell>
          <cell r="S2610"/>
          <cell r="T2610">
            <v>44736</v>
          </cell>
          <cell r="U2610">
            <v>44739</v>
          </cell>
          <cell r="V2610">
            <v>44740</v>
          </cell>
          <cell r="W2610">
            <v>44740</v>
          </cell>
          <cell r="X2610">
            <v>41100093</v>
          </cell>
        </row>
        <row r="2611">
          <cell r="K2611" t="str">
            <v>GBWS-2375</v>
          </cell>
          <cell r="L2611">
            <v>44700</v>
          </cell>
          <cell r="M2611">
            <v>44701</v>
          </cell>
          <cell r="N2611">
            <v>44714</v>
          </cell>
          <cell r="O2611">
            <v>44701</v>
          </cell>
          <cell r="P2611">
            <v>44714</v>
          </cell>
          <cell r="Q2611" t="str">
            <v>2022-05-31 → 6/1</v>
          </cell>
          <cell r="R2611" t="str">
            <v>2022-05-31 → 6/1</v>
          </cell>
          <cell r="S2611"/>
          <cell r="T2611">
            <v>44714</v>
          </cell>
          <cell r="U2611">
            <v>44719</v>
          </cell>
          <cell r="V2611">
            <v>44720</v>
          </cell>
          <cell r="W2611">
            <v>44720</v>
          </cell>
          <cell r="X2611">
            <v>41100461</v>
          </cell>
        </row>
        <row r="2612">
          <cell r="K2612" t="str">
            <v>GBWS-2377</v>
          </cell>
          <cell r="L2612">
            <v>44700</v>
          </cell>
          <cell r="M2612">
            <v>44701</v>
          </cell>
          <cell r="N2612">
            <v>44714</v>
          </cell>
          <cell r="O2612">
            <v>44701</v>
          </cell>
          <cell r="P2612">
            <v>44714</v>
          </cell>
          <cell r="Q2612" t="str">
            <v>2022-05-31 → 6/1</v>
          </cell>
          <cell r="R2612" t="str">
            <v>2022-05-31 → 6/1</v>
          </cell>
          <cell r="S2612"/>
          <cell r="T2612">
            <v>44714</v>
          </cell>
          <cell r="U2612">
            <v>44719</v>
          </cell>
          <cell r="V2612">
            <v>44720</v>
          </cell>
          <cell r="W2612">
            <v>44720</v>
          </cell>
          <cell r="X2612">
            <v>41100461</v>
          </cell>
        </row>
        <row r="2613">
          <cell r="K2613" t="str">
            <v>GBWS-2378</v>
          </cell>
          <cell r="L2613">
            <v>44700</v>
          </cell>
          <cell r="M2613">
            <v>44701</v>
          </cell>
          <cell r="N2613">
            <v>44714</v>
          </cell>
          <cell r="O2613">
            <v>44701</v>
          </cell>
          <cell r="P2613">
            <v>44714</v>
          </cell>
          <cell r="Q2613" t="str">
            <v>2022-05-31 → 6/2</v>
          </cell>
          <cell r="R2613" t="str">
            <v>2022-05-31 → 6/2</v>
          </cell>
          <cell r="S2613"/>
          <cell r="T2613">
            <v>44714</v>
          </cell>
          <cell r="U2613">
            <v>44719</v>
          </cell>
          <cell r="V2613">
            <v>44719</v>
          </cell>
          <cell r="W2613">
            <v>44720</v>
          </cell>
          <cell r="X2613">
            <v>41100461</v>
          </cell>
        </row>
        <row r="2614">
          <cell r="K2614" t="str">
            <v>GBWS-2306</v>
          </cell>
          <cell r="L2614">
            <v>44676</v>
          </cell>
          <cell r="M2614">
            <v>44677</v>
          </cell>
          <cell r="N2614">
            <v>44690</v>
          </cell>
          <cell r="O2614">
            <v>44677</v>
          </cell>
          <cell r="P2614">
            <v>44690</v>
          </cell>
          <cell r="Q2614">
            <v>44690</v>
          </cell>
          <cell r="R2614">
            <v>44690</v>
          </cell>
          <cell r="S2614"/>
          <cell r="T2614">
            <v>44693</v>
          </cell>
          <cell r="U2614">
            <v>44698</v>
          </cell>
          <cell r="V2614">
            <v>44698</v>
          </cell>
          <cell r="W2614">
            <v>44699</v>
          </cell>
          <cell r="X2614">
            <v>41100460</v>
          </cell>
        </row>
        <row r="2615">
          <cell r="K2615" t="str">
            <v>GBWS-2381</v>
          </cell>
          <cell r="L2615">
            <v>44700</v>
          </cell>
          <cell r="M2615">
            <v>44701</v>
          </cell>
          <cell r="N2615">
            <v>44714</v>
          </cell>
          <cell r="O2615">
            <v>44701</v>
          </cell>
          <cell r="P2615">
            <v>44714</v>
          </cell>
          <cell r="Q2615" t="str">
            <v>2022-05-31 → 6/2</v>
          </cell>
          <cell r="R2615" t="str">
            <v>2022-05-31 → 6/2</v>
          </cell>
          <cell r="S2615"/>
          <cell r="T2615">
            <v>44719</v>
          </cell>
          <cell r="U2615">
            <v>44720</v>
          </cell>
          <cell r="V2615">
            <v>44721</v>
          </cell>
          <cell r="W2615">
            <v>44721</v>
          </cell>
          <cell r="X2615">
            <v>41100460</v>
          </cell>
        </row>
        <row r="2616">
          <cell r="K2616" t="str">
            <v>GBWS-2334</v>
          </cell>
          <cell r="L2616">
            <v>44690</v>
          </cell>
          <cell r="M2616">
            <v>44691</v>
          </cell>
          <cell r="N2616">
            <v>44701</v>
          </cell>
          <cell r="O2616">
            <v>44691</v>
          </cell>
          <cell r="P2616">
            <v>44704</v>
          </cell>
          <cell r="Q2616">
            <v>44701</v>
          </cell>
          <cell r="R2616">
            <v>44701</v>
          </cell>
          <cell r="S2616"/>
          <cell r="T2616">
            <v>44704</v>
          </cell>
          <cell r="U2616">
            <v>44706</v>
          </cell>
          <cell r="V2616">
            <v>44707</v>
          </cell>
          <cell r="W2616">
            <v>44707</v>
          </cell>
          <cell r="X2616">
            <v>41100363</v>
          </cell>
        </row>
        <row r="2617">
          <cell r="K2617" t="str">
            <v>GBWS-2456</v>
          </cell>
          <cell r="L2617">
            <v>44721</v>
          </cell>
          <cell r="M2617">
            <v>44722</v>
          </cell>
          <cell r="N2617">
            <v>44732</v>
          </cell>
          <cell r="O2617">
            <v>44722</v>
          </cell>
          <cell r="P2617">
            <v>44732</v>
          </cell>
          <cell r="Q2617">
            <v>44734</v>
          </cell>
          <cell r="R2617">
            <v>44734</v>
          </cell>
          <cell r="S2617"/>
          <cell r="T2617">
            <v>44733</v>
          </cell>
          <cell r="U2617">
            <v>44734</v>
          </cell>
          <cell r="V2617">
            <v>44735</v>
          </cell>
          <cell r="W2617">
            <v>44735</v>
          </cell>
          <cell r="X2617">
            <v>41100317</v>
          </cell>
        </row>
        <row r="2618">
          <cell r="K2618" t="str">
            <v>GBWS-2476</v>
          </cell>
          <cell r="L2618">
            <v>44725</v>
          </cell>
          <cell r="M2618">
            <v>44726</v>
          </cell>
          <cell r="N2618">
            <v>44735</v>
          </cell>
          <cell r="O2618">
            <v>44726</v>
          </cell>
          <cell r="P2618">
            <v>44735</v>
          </cell>
          <cell r="Q2618">
            <v>44735</v>
          </cell>
          <cell r="R2618">
            <v>44735</v>
          </cell>
          <cell r="S2618"/>
          <cell r="T2618">
            <v>44736</v>
          </cell>
          <cell r="U2618">
            <v>44739</v>
          </cell>
          <cell r="V2618">
            <v>44740</v>
          </cell>
          <cell r="W2618">
            <v>44740</v>
          </cell>
          <cell r="X2618">
            <v>41100372</v>
          </cell>
        </row>
        <row r="2619">
          <cell r="K2619" t="str">
            <v>GBWS-2400</v>
          </cell>
          <cell r="L2619">
            <v>44711</v>
          </cell>
          <cell r="M2619">
            <v>44711</v>
          </cell>
          <cell r="N2619">
            <v>44721</v>
          </cell>
          <cell r="O2619">
            <v>44711</v>
          </cell>
          <cell r="P2619">
            <v>44721</v>
          </cell>
          <cell r="Q2619">
            <v>44721</v>
          </cell>
          <cell r="R2619">
            <v>44721</v>
          </cell>
          <cell r="S2619"/>
          <cell r="T2619">
            <v>44722</v>
          </cell>
          <cell r="U2619">
            <v>44725</v>
          </cell>
          <cell r="V2619">
            <v>44726</v>
          </cell>
          <cell r="W2619">
            <v>44726</v>
          </cell>
          <cell r="X2619">
            <v>41100511</v>
          </cell>
        </row>
        <row r="2620">
          <cell r="K2620" t="str">
            <v>GBWS-2401</v>
          </cell>
          <cell r="L2620">
            <v>44711</v>
          </cell>
          <cell r="M2620">
            <v>44711</v>
          </cell>
          <cell r="N2620">
            <v>44721</v>
          </cell>
          <cell r="O2620">
            <v>44711</v>
          </cell>
          <cell r="P2620">
            <v>44721</v>
          </cell>
          <cell r="Q2620">
            <v>44721</v>
          </cell>
          <cell r="R2620">
            <v>44721</v>
          </cell>
          <cell r="S2620"/>
          <cell r="T2620">
            <v>44725</v>
          </cell>
          <cell r="U2620">
            <v>44725</v>
          </cell>
          <cell r="V2620">
            <v>44726</v>
          </cell>
          <cell r="W2620">
            <v>44726</v>
          </cell>
          <cell r="X2620">
            <v>41100511</v>
          </cell>
        </row>
        <row r="2621">
          <cell r="K2621" t="str">
            <v>GBWS-2402</v>
          </cell>
          <cell r="L2621">
            <v>44711</v>
          </cell>
          <cell r="M2621">
            <v>44711</v>
          </cell>
          <cell r="N2621">
            <v>44721</v>
          </cell>
          <cell r="O2621">
            <v>44711</v>
          </cell>
          <cell r="P2621">
            <v>44721</v>
          </cell>
          <cell r="Q2621">
            <v>44721</v>
          </cell>
          <cell r="R2621">
            <v>44721</v>
          </cell>
          <cell r="S2621"/>
          <cell r="T2621">
            <v>44725</v>
          </cell>
          <cell r="U2621">
            <v>44725</v>
          </cell>
          <cell r="V2621">
            <v>44726</v>
          </cell>
          <cell r="W2621">
            <v>44726</v>
          </cell>
          <cell r="X2621">
            <v>41100511</v>
          </cell>
        </row>
        <row r="2622">
          <cell r="K2622" t="str">
            <v>GBWS-2403</v>
          </cell>
          <cell r="L2622">
            <v>44711</v>
          </cell>
          <cell r="M2622">
            <v>44711</v>
          </cell>
          <cell r="N2622">
            <v>44721</v>
          </cell>
          <cell r="O2622">
            <v>44711</v>
          </cell>
          <cell r="P2622">
            <v>44721</v>
          </cell>
          <cell r="Q2622">
            <v>44721</v>
          </cell>
          <cell r="R2622">
            <v>44721</v>
          </cell>
          <cell r="S2622"/>
          <cell r="T2622">
            <v>44725</v>
          </cell>
          <cell r="U2622">
            <v>44726</v>
          </cell>
          <cell r="V2622">
            <v>44727</v>
          </cell>
          <cell r="W2622">
            <v>44727</v>
          </cell>
          <cell r="X2622">
            <v>41100511</v>
          </cell>
        </row>
        <row r="2623">
          <cell r="K2623" t="str">
            <v>GBWS-2404</v>
          </cell>
          <cell r="L2623">
            <v>44711</v>
          </cell>
          <cell r="M2623">
            <v>44711</v>
          </cell>
          <cell r="N2623">
            <v>44721</v>
          </cell>
          <cell r="O2623">
            <v>44711</v>
          </cell>
          <cell r="P2623">
            <v>44721</v>
          </cell>
          <cell r="Q2623">
            <v>44721</v>
          </cell>
          <cell r="R2623">
            <v>44721</v>
          </cell>
          <cell r="S2623"/>
          <cell r="T2623">
            <v>44725</v>
          </cell>
          <cell r="U2623">
            <v>44726</v>
          </cell>
          <cell r="V2623">
            <v>44727</v>
          </cell>
          <cell r="W2623">
            <v>44727</v>
          </cell>
          <cell r="X2623">
            <v>41100511</v>
          </cell>
        </row>
        <row r="2624">
          <cell r="K2624" t="str">
            <v>GBWS-2405</v>
          </cell>
          <cell r="L2624">
            <v>44711</v>
          </cell>
          <cell r="M2624">
            <v>44711</v>
          </cell>
          <cell r="N2624">
            <v>44723</v>
          </cell>
          <cell r="O2624">
            <v>44711</v>
          </cell>
          <cell r="P2624">
            <v>44723</v>
          </cell>
          <cell r="Q2624">
            <v>44721</v>
          </cell>
          <cell r="R2624">
            <v>44721</v>
          </cell>
          <cell r="S2624"/>
          <cell r="T2624">
            <v>44725</v>
          </cell>
          <cell r="U2624">
            <v>44726</v>
          </cell>
          <cell r="V2624">
            <v>44727</v>
          </cell>
          <cell r="W2624">
            <v>44727</v>
          </cell>
          <cell r="X2624">
            <v>41100511</v>
          </cell>
        </row>
        <row r="2625">
          <cell r="K2625" t="str">
            <v>GBWS-2406</v>
          </cell>
          <cell r="L2625">
            <v>44711</v>
          </cell>
          <cell r="M2625">
            <v>44711</v>
          </cell>
          <cell r="N2625">
            <v>44723</v>
          </cell>
          <cell r="O2625">
            <v>44711</v>
          </cell>
          <cell r="P2625">
            <v>44723</v>
          </cell>
          <cell r="Q2625">
            <v>44721</v>
          </cell>
          <cell r="R2625">
            <v>44721</v>
          </cell>
          <cell r="S2625"/>
          <cell r="T2625">
            <v>44725</v>
          </cell>
          <cell r="U2625">
            <v>44726</v>
          </cell>
          <cell r="V2625">
            <v>44727</v>
          </cell>
          <cell r="W2625">
            <v>44727</v>
          </cell>
          <cell r="X2625">
            <v>41100511</v>
          </cell>
        </row>
        <row r="2626">
          <cell r="K2626" t="str">
            <v>GBWS-2407</v>
          </cell>
          <cell r="L2626">
            <v>44711</v>
          </cell>
          <cell r="M2626">
            <v>44711</v>
          </cell>
          <cell r="N2626">
            <v>44723</v>
          </cell>
          <cell r="O2626">
            <v>44711</v>
          </cell>
          <cell r="P2626">
            <v>44723</v>
          </cell>
          <cell r="Q2626">
            <v>44721</v>
          </cell>
          <cell r="R2626">
            <v>44721</v>
          </cell>
          <cell r="S2626"/>
          <cell r="T2626">
            <v>44725</v>
          </cell>
          <cell r="U2626">
            <v>44726</v>
          </cell>
          <cell r="V2626">
            <v>44727</v>
          </cell>
          <cell r="W2626">
            <v>44727</v>
          </cell>
          <cell r="X2626">
            <v>41100511</v>
          </cell>
        </row>
        <row r="2627">
          <cell r="K2627" t="str">
            <v>GBWS-2445</v>
          </cell>
          <cell r="L2627">
            <v>44721</v>
          </cell>
          <cell r="M2627">
            <v>44722</v>
          </cell>
          <cell r="N2627">
            <v>44735</v>
          </cell>
          <cell r="O2627">
            <v>44722</v>
          </cell>
          <cell r="P2627">
            <v>44734</v>
          </cell>
          <cell r="Q2627" t="str">
            <v>2022-06-21 → 6/24</v>
          </cell>
          <cell r="R2627" t="str">
            <v>2022-06-21 → 6/24</v>
          </cell>
          <cell r="S2627"/>
          <cell r="T2627">
            <v>44739</v>
          </cell>
          <cell r="U2627">
            <v>44741</v>
          </cell>
          <cell r="V2627">
            <v>44742</v>
          </cell>
          <cell r="W2627">
            <v>44742</v>
          </cell>
          <cell r="X2627">
            <v>41100461</v>
          </cell>
        </row>
        <row r="2628">
          <cell r="K2628" t="str">
            <v>GBWS-2446</v>
          </cell>
          <cell r="L2628">
            <v>44721</v>
          </cell>
          <cell r="M2628">
            <v>44722</v>
          </cell>
          <cell r="N2628">
            <v>44735</v>
          </cell>
          <cell r="O2628">
            <v>44722</v>
          </cell>
          <cell r="P2628">
            <v>44734</v>
          </cell>
          <cell r="Q2628" t="str">
            <v>2022-06-21 → 6/24</v>
          </cell>
          <cell r="R2628" t="str">
            <v>2022-06-21 → 6/24</v>
          </cell>
          <cell r="S2628"/>
          <cell r="T2628">
            <v>44739</v>
          </cell>
          <cell r="U2628">
            <v>44741</v>
          </cell>
          <cell r="V2628">
            <v>44742</v>
          </cell>
          <cell r="W2628">
            <v>44742</v>
          </cell>
          <cell r="X2628">
            <v>41100461</v>
          </cell>
        </row>
        <row r="2629">
          <cell r="K2629" t="str">
            <v>GBWS-2382</v>
          </cell>
          <cell r="L2629">
            <v>44700</v>
          </cell>
          <cell r="M2629">
            <v>44701</v>
          </cell>
          <cell r="N2629">
            <v>44714</v>
          </cell>
          <cell r="O2629">
            <v>44701</v>
          </cell>
          <cell r="P2629">
            <v>44714</v>
          </cell>
          <cell r="Q2629" t="str">
            <v>2022-05-31 → 6/2</v>
          </cell>
          <cell r="R2629" t="str">
            <v>2022-05-31 → 6/2</v>
          </cell>
          <cell r="S2629"/>
          <cell r="T2629">
            <v>44720</v>
          </cell>
          <cell r="U2629">
            <v>44721</v>
          </cell>
          <cell r="V2629">
            <v>44721</v>
          </cell>
          <cell r="W2629">
            <v>44722</v>
          </cell>
          <cell r="X2629">
            <v>41100460</v>
          </cell>
        </row>
        <row r="2630">
          <cell r="K2630" t="str">
            <v>GBWS-2383</v>
          </cell>
          <cell r="L2630">
            <v>44700</v>
          </cell>
          <cell r="M2630">
            <v>44701</v>
          </cell>
          <cell r="N2630">
            <v>44714</v>
          </cell>
          <cell r="O2630">
            <v>44701</v>
          </cell>
          <cell r="P2630">
            <v>44714</v>
          </cell>
          <cell r="Q2630" t="str">
            <v>2022-05-31 → 6/2</v>
          </cell>
          <cell r="R2630" t="str">
            <v>2022-05-31 → 6/2</v>
          </cell>
          <cell r="S2630"/>
          <cell r="T2630">
            <v>44720</v>
          </cell>
          <cell r="U2630">
            <v>44720</v>
          </cell>
          <cell r="V2630">
            <v>44721</v>
          </cell>
          <cell r="W2630">
            <v>44721</v>
          </cell>
          <cell r="X2630">
            <v>41100460</v>
          </cell>
        </row>
        <row r="2631">
          <cell r="K2631" t="str">
            <v>GBWS-2415</v>
          </cell>
          <cell r="L2631">
            <v>44714</v>
          </cell>
          <cell r="M2631">
            <v>44715</v>
          </cell>
          <cell r="N2631">
            <v>44727</v>
          </cell>
          <cell r="O2631">
            <v>44715</v>
          </cell>
          <cell r="P2631">
            <v>44727</v>
          </cell>
          <cell r="Q2631">
            <v>44726</v>
          </cell>
          <cell r="R2631">
            <v>44726</v>
          </cell>
          <cell r="S2631"/>
          <cell r="T2631">
            <v>44727</v>
          </cell>
          <cell r="U2631">
            <v>44728</v>
          </cell>
          <cell r="V2631">
            <v>44728</v>
          </cell>
          <cell r="W2631">
            <v>44729</v>
          </cell>
          <cell r="X2631">
            <v>41100460</v>
          </cell>
        </row>
        <row r="2632">
          <cell r="K2632" t="str">
            <v>GBWS-2416</v>
          </cell>
          <cell r="L2632">
            <v>44714</v>
          </cell>
          <cell r="M2632">
            <v>44715</v>
          </cell>
          <cell r="N2632">
            <v>44727</v>
          </cell>
          <cell r="O2632">
            <v>44715</v>
          </cell>
          <cell r="P2632">
            <v>44727</v>
          </cell>
          <cell r="Q2632">
            <v>44726</v>
          </cell>
          <cell r="R2632">
            <v>44726</v>
          </cell>
          <cell r="S2632"/>
          <cell r="T2632">
            <v>44727</v>
          </cell>
          <cell r="U2632">
            <v>44728</v>
          </cell>
          <cell r="V2632">
            <v>44728</v>
          </cell>
          <cell r="W2632">
            <v>44729</v>
          </cell>
          <cell r="X2632">
            <v>41100460</v>
          </cell>
        </row>
        <row r="2633">
          <cell r="K2633" t="str">
            <v>GBWS-2417</v>
          </cell>
          <cell r="L2633">
            <v>44714</v>
          </cell>
          <cell r="M2633">
            <v>44715</v>
          </cell>
          <cell r="N2633">
            <v>44727</v>
          </cell>
          <cell r="O2633">
            <v>44715</v>
          </cell>
          <cell r="P2633">
            <v>44727</v>
          </cell>
          <cell r="Q2633">
            <v>44726</v>
          </cell>
          <cell r="R2633">
            <v>44726</v>
          </cell>
          <cell r="S2633"/>
          <cell r="T2633">
            <v>44727</v>
          </cell>
          <cell r="U2633">
            <v>44728</v>
          </cell>
          <cell r="V2633">
            <v>44729</v>
          </cell>
          <cell r="W2633">
            <v>44732</v>
          </cell>
          <cell r="X2633">
            <v>41100460</v>
          </cell>
        </row>
        <row r="2634">
          <cell r="K2634" t="str">
            <v>GBWS-2418</v>
          </cell>
          <cell r="L2634">
            <v>44714</v>
          </cell>
          <cell r="M2634">
            <v>44715</v>
          </cell>
          <cell r="N2634">
            <v>44727</v>
          </cell>
          <cell r="O2634">
            <v>44715</v>
          </cell>
          <cell r="P2634">
            <v>44727</v>
          </cell>
          <cell r="Q2634">
            <v>44726</v>
          </cell>
          <cell r="R2634">
            <v>44726</v>
          </cell>
          <cell r="S2634"/>
          <cell r="T2634">
            <v>44727</v>
          </cell>
          <cell r="U2634">
            <v>44728</v>
          </cell>
          <cell r="V2634">
            <v>44729</v>
          </cell>
          <cell r="W2634">
            <v>44732</v>
          </cell>
          <cell r="X2634">
            <v>41100460</v>
          </cell>
        </row>
        <row r="2635">
          <cell r="K2635" t="str">
            <v>GBWS-2419</v>
          </cell>
          <cell r="L2635">
            <v>44714</v>
          </cell>
          <cell r="M2635">
            <v>44715</v>
          </cell>
          <cell r="N2635">
            <v>44727</v>
          </cell>
          <cell r="O2635">
            <v>44715</v>
          </cell>
          <cell r="P2635">
            <v>44727</v>
          </cell>
          <cell r="Q2635">
            <v>44726</v>
          </cell>
          <cell r="R2635">
            <v>44726</v>
          </cell>
          <cell r="S2635"/>
          <cell r="T2635">
            <v>44728</v>
          </cell>
          <cell r="U2635">
            <v>44729</v>
          </cell>
          <cell r="V2635">
            <v>44729</v>
          </cell>
          <cell r="W2635">
            <v>44732</v>
          </cell>
          <cell r="X2635">
            <v>41100460</v>
          </cell>
        </row>
        <row r="2636">
          <cell r="K2636" t="str">
            <v>GBWS-2420</v>
          </cell>
          <cell r="L2636">
            <v>44714</v>
          </cell>
          <cell r="M2636">
            <v>44715</v>
          </cell>
          <cell r="N2636">
            <v>44727</v>
          </cell>
          <cell r="O2636">
            <v>44715</v>
          </cell>
          <cell r="P2636">
            <v>44727</v>
          </cell>
          <cell r="Q2636">
            <v>44726</v>
          </cell>
          <cell r="R2636">
            <v>44726</v>
          </cell>
          <cell r="S2636"/>
          <cell r="T2636">
            <v>44728</v>
          </cell>
          <cell r="U2636">
            <v>44729</v>
          </cell>
          <cell r="V2636">
            <v>44729</v>
          </cell>
          <cell r="W2636">
            <v>44732</v>
          </cell>
          <cell r="X2636">
            <v>41100460</v>
          </cell>
        </row>
        <row r="2637">
          <cell r="K2637" t="str">
            <v>GBWS-2421</v>
          </cell>
          <cell r="L2637">
            <v>44714</v>
          </cell>
          <cell r="M2637">
            <v>44715</v>
          </cell>
          <cell r="N2637">
            <v>44727</v>
          </cell>
          <cell r="O2637">
            <v>44715</v>
          </cell>
          <cell r="P2637">
            <v>44727</v>
          </cell>
          <cell r="Q2637">
            <v>44726</v>
          </cell>
          <cell r="R2637">
            <v>44726</v>
          </cell>
          <cell r="S2637"/>
          <cell r="T2637">
            <v>44728</v>
          </cell>
          <cell r="U2637">
            <v>44729</v>
          </cell>
          <cell r="V2637">
            <v>44729</v>
          </cell>
          <cell r="W2637">
            <v>44732</v>
          </cell>
          <cell r="X2637">
            <v>41100460</v>
          </cell>
        </row>
        <row r="2638">
          <cell r="K2638" t="str">
            <v>GBWS-2422</v>
          </cell>
          <cell r="L2638">
            <v>44714</v>
          </cell>
          <cell r="M2638">
            <v>44715</v>
          </cell>
          <cell r="N2638">
            <v>44727</v>
          </cell>
          <cell r="O2638">
            <v>44715</v>
          </cell>
          <cell r="P2638">
            <v>44727</v>
          </cell>
          <cell r="Q2638">
            <v>44726</v>
          </cell>
          <cell r="R2638">
            <v>44726</v>
          </cell>
          <cell r="S2638"/>
          <cell r="T2638">
            <v>44728</v>
          </cell>
          <cell r="U2638">
            <v>44729</v>
          </cell>
          <cell r="V2638">
            <v>44729</v>
          </cell>
          <cell r="W2638">
            <v>44732</v>
          </cell>
          <cell r="X2638">
            <v>41100460</v>
          </cell>
        </row>
        <row r="2639">
          <cell r="K2639" t="str">
            <v>GBWS-2423</v>
          </cell>
          <cell r="L2639">
            <v>44714</v>
          </cell>
          <cell r="M2639">
            <v>44715</v>
          </cell>
          <cell r="N2639">
            <v>44727</v>
          </cell>
          <cell r="O2639">
            <v>44715</v>
          </cell>
          <cell r="P2639">
            <v>44727</v>
          </cell>
          <cell r="Q2639">
            <v>44726</v>
          </cell>
          <cell r="R2639">
            <v>44726</v>
          </cell>
          <cell r="S2639"/>
          <cell r="T2639">
            <v>44729</v>
          </cell>
          <cell r="U2639">
            <v>44729</v>
          </cell>
          <cell r="V2639">
            <v>44732</v>
          </cell>
          <cell r="W2639">
            <v>44732</v>
          </cell>
          <cell r="X2639">
            <v>41100460</v>
          </cell>
        </row>
        <row r="2640">
          <cell r="K2640" t="str">
            <v>GBWS-2424</v>
          </cell>
          <cell r="L2640">
            <v>44714</v>
          </cell>
          <cell r="M2640">
            <v>44715</v>
          </cell>
          <cell r="N2640">
            <v>44727</v>
          </cell>
          <cell r="O2640">
            <v>44715</v>
          </cell>
          <cell r="P2640">
            <v>44727</v>
          </cell>
          <cell r="Q2640">
            <v>44726</v>
          </cell>
          <cell r="R2640">
            <v>44726</v>
          </cell>
          <cell r="S2640"/>
          <cell r="T2640">
            <v>44728</v>
          </cell>
          <cell r="U2640">
            <v>44729</v>
          </cell>
          <cell r="V2640">
            <v>44732</v>
          </cell>
          <cell r="W2640">
            <v>44732</v>
          </cell>
          <cell r="X2640">
            <v>41100460</v>
          </cell>
        </row>
        <row r="2641">
          <cell r="K2641" t="str">
            <v>GBWS-2425</v>
          </cell>
          <cell r="L2641">
            <v>44714</v>
          </cell>
          <cell r="M2641">
            <v>44715</v>
          </cell>
          <cell r="N2641">
            <v>44727</v>
          </cell>
          <cell r="O2641">
            <v>44715</v>
          </cell>
          <cell r="P2641">
            <v>44727</v>
          </cell>
          <cell r="Q2641">
            <v>44726</v>
          </cell>
          <cell r="R2641">
            <v>44726</v>
          </cell>
          <cell r="S2641"/>
          <cell r="T2641">
            <v>44728</v>
          </cell>
          <cell r="U2641">
            <v>44729</v>
          </cell>
          <cell r="V2641">
            <v>44729</v>
          </cell>
          <cell r="W2641">
            <v>44732</v>
          </cell>
          <cell r="X2641">
            <v>41100460</v>
          </cell>
        </row>
        <row r="2642">
          <cell r="K2642" t="str">
            <v>GBWS-2450</v>
          </cell>
          <cell r="L2642">
            <v>44721</v>
          </cell>
          <cell r="M2642">
            <v>44722</v>
          </cell>
          <cell r="N2642">
            <v>44736</v>
          </cell>
          <cell r="O2642">
            <v>44722</v>
          </cell>
          <cell r="P2642">
            <v>44735</v>
          </cell>
          <cell r="Q2642" t="str">
            <v>2022-06-21 → 6/24</v>
          </cell>
          <cell r="R2642" t="str">
            <v>2022-06-21 → 6/24</v>
          </cell>
          <cell r="S2642"/>
          <cell r="T2642">
            <v>44739</v>
          </cell>
          <cell r="U2642">
            <v>44740</v>
          </cell>
          <cell r="V2642">
            <v>44742</v>
          </cell>
          <cell r="W2642">
            <v>44742</v>
          </cell>
          <cell r="X2642">
            <v>41100460</v>
          </cell>
        </row>
        <row r="2643">
          <cell r="K2643" t="str">
            <v>GBWS-2451</v>
          </cell>
          <cell r="L2643">
            <v>44721</v>
          </cell>
          <cell r="M2643">
            <v>44722</v>
          </cell>
          <cell r="N2643">
            <v>44736</v>
          </cell>
          <cell r="O2643">
            <v>44722</v>
          </cell>
          <cell r="P2643">
            <v>44735</v>
          </cell>
          <cell r="Q2643" t="str">
            <v>2022-06-21 → 6/24</v>
          </cell>
          <cell r="R2643" t="str">
            <v>2022-06-21 → 6/24</v>
          </cell>
          <cell r="S2643"/>
          <cell r="T2643">
            <v>44739</v>
          </cell>
          <cell r="U2643">
            <v>44740</v>
          </cell>
          <cell r="V2643">
            <v>44741</v>
          </cell>
          <cell r="W2643">
            <v>44741</v>
          </cell>
          <cell r="X2643">
            <v>41100460</v>
          </cell>
        </row>
        <row r="2644">
          <cell r="K2644" t="str">
            <v>GBWS-2196</v>
          </cell>
          <cell r="L2644">
            <v>44649</v>
          </cell>
          <cell r="M2644">
            <v>44649</v>
          </cell>
          <cell r="N2644">
            <v>44658</v>
          </cell>
          <cell r="O2644">
            <v>44649</v>
          </cell>
          <cell r="P2644">
            <v>44658</v>
          </cell>
          <cell r="Q2644">
            <v>44658</v>
          </cell>
          <cell r="R2644">
            <v>44658</v>
          </cell>
          <cell r="S2644"/>
          <cell r="T2644">
            <v>44659</v>
          </cell>
          <cell r="U2644">
            <v>44662</v>
          </cell>
          <cell r="V2644">
            <v>44669</v>
          </cell>
          <cell r="W2644">
            <v>44670</v>
          </cell>
          <cell r="X2644">
            <v>41100254</v>
          </cell>
        </row>
        <row r="2645">
          <cell r="K2645" t="str">
            <v>GBWS-2197</v>
          </cell>
          <cell r="L2645">
            <v>44649</v>
          </cell>
          <cell r="M2645">
            <v>44649</v>
          </cell>
          <cell r="N2645">
            <v>44658</v>
          </cell>
          <cell r="O2645">
            <v>44649</v>
          </cell>
          <cell r="P2645">
            <v>44658</v>
          </cell>
          <cell r="Q2645">
            <v>44658</v>
          </cell>
          <cell r="R2645">
            <v>44658</v>
          </cell>
          <cell r="S2645"/>
          <cell r="T2645">
            <v>44659</v>
          </cell>
          <cell r="U2645">
            <v>44662</v>
          </cell>
          <cell r="V2645">
            <v>44669</v>
          </cell>
          <cell r="W2645">
            <v>44670</v>
          </cell>
          <cell r="X2645">
            <v>41100254</v>
          </cell>
        </row>
        <row r="2646">
          <cell r="K2646" t="str">
            <v>GBWS-2477</v>
          </cell>
          <cell r="L2646">
            <v>44727</v>
          </cell>
          <cell r="M2646">
            <v>44728</v>
          </cell>
          <cell r="N2646">
            <v>44736</v>
          </cell>
          <cell r="O2646">
            <v>44728</v>
          </cell>
          <cell r="P2646">
            <v>44742</v>
          </cell>
          <cell r="Q2646">
            <v>44736</v>
          </cell>
          <cell r="R2646">
            <v>44736</v>
          </cell>
          <cell r="S2646"/>
          <cell r="T2646">
            <v>44740</v>
          </cell>
          <cell r="U2646">
            <v>44742</v>
          </cell>
          <cell r="V2646">
            <v>44743</v>
          </cell>
          <cell r="W2646">
            <v>44743</v>
          </cell>
          <cell r="X2646">
            <v>41100448</v>
          </cell>
        </row>
        <row r="2647">
          <cell r="K2647" t="str">
            <v>GBWS-2478</v>
          </cell>
          <cell r="L2647">
            <v>44727</v>
          </cell>
          <cell r="M2647">
            <v>44728</v>
          </cell>
          <cell r="N2647">
            <v>44736</v>
          </cell>
          <cell r="O2647">
            <v>44728</v>
          </cell>
          <cell r="P2647">
            <v>44742</v>
          </cell>
          <cell r="Q2647">
            <v>44736</v>
          </cell>
          <cell r="R2647">
            <v>44736</v>
          </cell>
          <cell r="S2647"/>
          <cell r="T2647">
            <v>44740</v>
          </cell>
          <cell r="U2647">
            <v>44742</v>
          </cell>
          <cell r="V2647">
            <v>44743</v>
          </cell>
          <cell r="W2647">
            <v>44743</v>
          </cell>
          <cell r="X2647">
            <v>41100448</v>
          </cell>
        </row>
        <row r="2648">
          <cell r="K2648" t="str">
            <v>GBWS-2430</v>
          </cell>
          <cell r="L2648">
            <v>44719</v>
          </cell>
          <cell r="M2648">
            <v>44719</v>
          </cell>
          <cell r="N2648">
            <v>44734</v>
          </cell>
          <cell r="O2648">
            <v>44719</v>
          </cell>
          <cell r="P2648">
            <v>44729</v>
          </cell>
          <cell r="Q2648">
            <v>44729</v>
          </cell>
          <cell r="R2648">
            <v>44729</v>
          </cell>
          <cell r="S2648"/>
          <cell r="T2648">
            <v>44734</v>
          </cell>
          <cell r="U2648">
            <v>44735</v>
          </cell>
          <cell r="V2648">
            <v>44736</v>
          </cell>
          <cell r="W2648">
            <v>44736</v>
          </cell>
          <cell r="X2648">
            <v>41100511</v>
          </cell>
        </row>
        <row r="2649">
          <cell r="K2649" t="str">
            <v>GBWS-2431</v>
          </cell>
          <cell r="L2649">
            <v>44719</v>
          </cell>
          <cell r="M2649">
            <v>44719</v>
          </cell>
          <cell r="N2649">
            <v>44734</v>
          </cell>
          <cell r="O2649">
            <v>44719</v>
          </cell>
          <cell r="P2649">
            <v>44729</v>
          </cell>
          <cell r="Q2649">
            <v>44729</v>
          </cell>
          <cell r="R2649">
            <v>44729</v>
          </cell>
          <cell r="S2649"/>
          <cell r="T2649">
            <v>44734</v>
          </cell>
          <cell r="U2649">
            <v>44735</v>
          </cell>
          <cell r="V2649">
            <v>44740</v>
          </cell>
          <cell r="W2649">
            <v>44740</v>
          </cell>
          <cell r="X2649">
            <v>41100511</v>
          </cell>
        </row>
        <row r="2650">
          <cell r="K2650" t="str">
            <v>GBWS-2432</v>
          </cell>
          <cell r="L2650">
            <v>44719</v>
          </cell>
          <cell r="M2650">
            <v>44719</v>
          </cell>
          <cell r="N2650">
            <v>44734</v>
          </cell>
          <cell r="O2650">
            <v>44719</v>
          </cell>
          <cell r="P2650">
            <v>44729</v>
          </cell>
          <cell r="Q2650">
            <v>44729</v>
          </cell>
          <cell r="R2650">
            <v>44729</v>
          </cell>
          <cell r="S2650"/>
          <cell r="T2650">
            <v>44734</v>
          </cell>
          <cell r="U2650">
            <v>44735</v>
          </cell>
          <cell r="V2650">
            <v>44736</v>
          </cell>
          <cell r="W2650">
            <v>44736</v>
          </cell>
          <cell r="X2650">
            <v>41100511</v>
          </cell>
        </row>
        <row r="2651">
          <cell r="K2651" t="str">
            <v>GBWS-2433</v>
          </cell>
          <cell r="L2651">
            <v>44719</v>
          </cell>
          <cell r="M2651">
            <v>44719</v>
          </cell>
          <cell r="N2651">
            <v>44734</v>
          </cell>
          <cell r="O2651">
            <v>44719</v>
          </cell>
          <cell r="P2651">
            <v>44729</v>
          </cell>
          <cell r="Q2651">
            <v>44729</v>
          </cell>
          <cell r="R2651">
            <v>44729</v>
          </cell>
          <cell r="S2651"/>
          <cell r="T2651">
            <v>44734</v>
          </cell>
          <cell r="U2651">
            <v>44735</v>
          </cell>
          <cell r="V2651">
            <v>44736</v>
          </cell>
          <cell r="W2651">
            <v>44736</v>
          </cell>
          <cell r="X2651">
            <v>41100511</v>
          </cell>
        </row>
        <row r="2652">
          <cell r="K2652" t="str">
            <v>DBW-2621</v>
          </cell>
          <cell r="L2652">
            <v>44676</v>
          </cell>
          <cell r="M2652">
            <v>44677</v>
          </cell>
          <cell r="N2652">
            <v>44690</v>
          </cell>
          <cell r="O2652">
            <v>44677</v>
          </cell>
          <cell r="P2652">
            <v>44690</v>
          </cell>
          <cell r="Q2652">
            <v>44690</v>
          </cell>
          <cell r="R2652">
            <v>44690</v>
          </cell>
          <cell r="S2652"/>
          <cell r="T2652">
            <v>44691</v>
          </cell>
          <cell r="U2652">
            <v>44694</v>
          </cell>
          <cell r="V2652">
            <v>44699</v>
          </cell>
          <cell r="W2652">
            <v>44700</v>
          </cell>
          <cell r="X2652">
            <v>41100310</v>
          </cell>
        </row>
        <row r="2653">
          <cell r="K2653" t="str">
            <v>GBWS-2360</v>
          </cell>
          <cell r="L2653">
            <v>44697</v>
          </cell>
          <cell r="M2653">
            <v>44698</v>
          </cell>
          <cell r="N2653">
            <v>44708</v>
          </cell>
          <cell r="O2653">
            <v>44698</v>
          </cell>
          <cell r="P2653">
            <v>44708</v>
          </cell>
          <cell r="Q2653">
            <v>44708</v>
          </cell>
          <cell r="R2653">
            <v>44708</v>
          </cell>
          <cell r="S2653"/>
          <cell r="T2653">
            <v>44711</v>
          </cell>
          <cell r="U2653">
            <v>44714</v>
          </cell>
          <cell r="V2653">
            <v>44719</v>
          </cell>
          <cell r="W2653">
            <v>44719</v>
          </cell>
          <cell r="X2653">
            <v>41100363</v>
          </cell>
        </row>
        <row r="2654">
          <cell r="K2654" t="str">
            <v>GBWS-2361</v>
          </cell>
          <cell r="L2654">
            <v>44697</v>
          </cell>
          <cell r="M2654">
            <v>44698</v>
          </cell>
          <cell r="N2654">
            <v>44708</v>
          </cell>
          <cell r="O2654">
            <v>44698</v>
          </cell>
          <cell r="P2654">
            <v>44708</v>
          </cell>
          <cell r="Q2654">
            <v>44708</v>
          </cell>
          <cell r="R2654">
            <v>44708</v>
          </cell>
          <cell r="S2654"/>
          <cell r="T2654">
            <v>44711</v>
          </cell>
          <cell r="U2654">
            <v>44714</v>
          </cell>
          <cell r="V2654">
            <v>44719</v>
          </cell>
          <cell r="W2654">
            <v>44719</v>
          </cell>
          <cell r="X2654">
            <v>41100363</v>
          </cell>
        </row>
        <row r="2655">
          <cell r="K2655" t="str">
            <v>GBWS-2362</v>
          </cell>
          <cell r="L2655">
            <v>44697</v>
          </cell>
          <cell r="M2655">
            <v>44698</v>
          </cell>
          <cell r="N2655">
            <v>44708</v>
          </cell>
          <cell r="O2655">
            <v>44698</v>
          </cell>
          <cell r="P2655">
            <v>44708</v>
          </cell>
          <cell r="Q2655">
            <v>44708</v>
          </cell>
          <cell r="R2655">
            <v>44708</v>
          </cell>
          <cell r="S2655"/>
          <cell r="T2655">
            <v>44711</v>
          </cell>
          <cell r="U2655">
            <v>44714</v>
          </cell>
          <cell r="V2655">
            <v>44719</v>
          </cell>
          <cell r="W2655">
            <v>44719</v>
          </cell>
          <cell r="X2655">
            <v>41100363</v>
          </cell>
        </row>
        <row r="2656">
          <cell r="K2656" t="str">
            <v>GBWS-2479</v>
          </cell>
          <cell r="L2656">
            <v>44727</v>
          </cell>
          <cell r="M2656" t="str">
            <v>2022-06-23 → 6/16</v>
          </cell>
          <cell r="N2656">
            <v>44736</v>
          </cell>
          <cell r="O2656" t="str">
            <v>2022-06-23 → 6/16</v>
          </cell>
          <cell r="P2656">
            <v>44739</v>
          </cell>
          <cell r="Q2656">
            <v>44739</v>
          </cell>
          <cell r="R2656">
            <v>44739</v>
          </cell>
          <cell r="S2656"/>
          <cell r="T2656">
            <v>44740</v>
          </cell>
          <cell r="U2656">
            <v>44741</v>
          </cell>
          <cell r="V2656">
            <v>44742</v>
          </cell>
          <cell r="W2656">
            <v>44742</v>
          </cell>
          <cell r="X2656">
            <v>41100325</v>
          </cell>
        </row>
        <row r="2657">
          <cell r="K2657" t="str">
            <v>WS-0052</v>
          </cell>
          <cell r="L2657">
            <v>44719</v>
          </cell>
          <cell r="M2657">
            <v>44720</v>
          </cell>
          <cell r="N2657">
            <v>44728</v>
          </cell>
          <cell r="O2657">
            <v>44720</v>
          </cell>
          <cell r="P2657">
            <v>44726</v>
          </cell>
          <cell r="Q2657">
            <v>44728</v>
          </cell>
          <cell r="R2657">
            <v>44728</v>
          </cell>
          <cell r="S2657"/>
          <cell r="T2657">
            <v>44728</v>
          </cell>
          <cell r="U2657">
            <v>44732</v>
          </cell>
          <cell r="V2657">
            <v>44733</v>
          </cell>
          <cell r="W2657">
            <v>44733</v>
          </cell>
          <cell r="X2657">
            <v>41100435</v>
          </cell>
        </row>
        <row r="2658">
          <cell r="K2658" t="str">
            <v>WS-0053</v>
          </cell>
          <cell r="L2658">
            <v>44719</v>
          </cell>
          <cell r="M2658">
            <v>44720</v>
          </cell>
          <cell r="N2658">
            <v>44728</v>
          </cell>
          <cell r="O2658">
            <v>44720</v>
          </cell>
          <cell r="P2658">
            <v>44726</v>
          </cell>
          <cell r="Q2658">
            <v>44728</v>
          </cell>
          <cell r="R2658">
            <v>44728</v>
          </cell>
          <cell r="S2658"/>
          <cell r="T2658">
            <v>44728</v>
          </cell>
          <cell r="U2658">
            <v>44732</v>
          </cell>
          <cell r="V2658">
            <v>44732</v>
          </cell>
          <cell r="W2658">
            <v>44733</v>
          </cell>
          <cell r="X2658">
            <v>41100435</v>
          </cell>
        </row>
        <row r="2659">
          <cell r="K2659" t="str">
            <v>DBW-2653</v>
          </cell>
          <cell r="L2659">
            <v>44704</v>
          </cell>
          <cell r="M2659" t="str">
            <v>2022-05-20 → 5/24</v>
          </cell>
          <cell r="N2659">
            <v>44719</v>
          </cell>
          <cell r="O2659" t="str">
            <v>2022-05-20 → 5/24</v>
          </cell>
          <cell r="P2659">
            <v>44719</v>
          </cell>
          <cell r="Q2659" t="str">
            <v>2022-06-01 → 6/7</v>
          </cell>
          <cell r="R2659" t="str">
            <v>2022-06-01 → 6/7</v>
          </cell>
          <cell r="S2659"/>
          <cell r="T2659">
            <v>44720</v>
          </cell>
          <cell r="U2659">
            <v>44721</v>
          </cell>
          <cell r="V2659">
            <v>44721</v>
          </cell>
          <cell r="W2659">
            <v>44722</v>
          </cell>
          <cell r="X2659">
            <v>41100466</v>
          </cell>
        </row>
        <row r="2660">
          <cell r="K2660" t="str">
            <v>WS-0051</v>
          </cell>
          <cell r="L2660">
            <v>44719</v>
          </cell>
          <cell r="M2660">
            <v>44720</v>
          </cell>
          <cell r="N2660">
            <v>44728</v>
          </cell>
          <cell r="O2660">
            <v>44720</v>
          </cell>
          <cell r="P2660">
            <v>44726</v>
          </cell>
          <cell r="Q2660">
            <v>44729</v>
          </cell>
          <cell r="R2660">
            <v>44729</v>
          </cell>
          <cell r="S2660"/>
          <cell r="T2660">
            <v>44728</v>
          </cell>
          <cell r="U2660">
            <v>44732</v>
          </cell>
          <cell r="V2660">
            <v>44732</v>
          </cell>
          <cell r="W2660">
            <v>44733</v>
          </cell>
          <cell r="X2660">
            <v>41100300</v>
          </cell>
        </row>
        <row r="2661">
          <cell r="K2661" t="str">
            <v>DBW-2671</v>
          </cell>
          <cell r="L2661">
            <v>44732</v>
          </cell>
          <cell r="M2661" t="str">
            <v>2022-06-14 → 6/21</v>
          </cell>
          <cell r="N2661">
            <v>44746</v>
          </cell>
          <cell r="O2661" t="str">
            <v>2022-06-14 → 6/21</v>
          </cell>
          <cell r="P2661">
            <v>44744</v>
          </cell>
          <cell r="Q2661" t="str">
            <v>2022-06-23 → 7/1</v>
          </cell>
          <cell r="R2661" t="str">
            <v>2022-06-23 → 7/1</v>
          </cell>
          <cell r="S2661"/>
          <cell r="T2661">
            <v>44746</v>
          </cell>
          <cell r="U2661">
            <v>44748</v>
          </cell>
          <cell r="V2661">
            <v>44749</v>
          </cell>
          <cell r="W2661">
            <v>44749</v>
          </cell>
          <cell r="X2661" t="str">
            <v>41100392 → 41100518</v>
          </cell>
        </row>
        <row r="2662">
          <cell r="K2662" t="str">
            <v>DBW-2636</v>
          </cell>
          <cell r="L2662">
            <v>44684</v>
          </cell>
          <cell r="M2662">
            <v>44685</v>
          </cell>
          <cell r="N2662">
            <v>44699</v>
          </cell>
          <cell r="O2662">
            <v>44685</v>
          </cell>
          <cell r="P2662">
            <v>44699</v>
          </cell>
          <cell r="Q2662">
            <v>44699</v>
          </cell>
          <cell r="R2662">
            <v>44699</v>
          </cell>
          <cell r="S2662"/>
          <cell r="T2662">
            <v>44700</v>
          </cell>
          <cell r="U2662">
            <v>44701</v>
          </cell>
          <cell r="V2662">
            <v>44701</v>
          </cell>
          <cell r="W2662">
            <v>44704</v>
          </cell>
          <cell r="X2662">
            <v>41100466</v>
          </cell>
        </row>
        <row r="2663">
          <cell r="K2663" t="str">
            <v>DBW-2633</v>
          </cell>
          <cell r="L2663">
            <v>44683</v>
          </cell>
          <cell r="M2663">
            <v>44684</v>
          </cell>
          <cell r="N2663">
            <v>44693</v>
          </cell>
          <cell r="O2663">
            <v>44684</v>
          </cell>
          <cell r="P2663">
            <v>44697</v>
          </cell>
          <cell r="Q2663">
            <v>44697</v>
          </cell>
          <cell r="R2663">
            <v>44697</v>
          </cell>
          <cell r="S2663"/>
          <cell r="T2663">
            <v>44698</v>
          </cell>
          <cell r="U2663">
            <v>44699</v>
          </cell>
          <cell r="V2663">
            <v>44700</v>
          </cell>
          <cell r="W2663">
            <v>44701</v>
          </cell>
          <cell r="X2663">
            <v>41100465</v>
          </cell>
        </row>
        <row r="2664">
          <cell r="K2664" t="str">
            <v>DBW-2634</v>
          </cell>
          <cell r="L2664">
            <v>44683</v>
          </cell>
          <cell r="M2664">
            <v>44684</v>
          </cell>
          <cell r="N2664">
            <v>44693</v>
          </cell>
          <cell r="O2664">
            <v>44684</v>
          </cell>
          <cell r="P2664">
            <v>44697</v>
          </cell>
          <cell r="Q2664">
            <v>44697</v>
          </cell>
          <cell r="R2664">
            <v>44697</v>
          </cell>
          <cell r="S2664"/>
          <cell r="T2664">
            <v>44698</v>
          </cell>
          <cell r="U2664">
            <v>44699</v>
          </cell>
          <cell r="V2664">
            <v>44700</v>
          </cell>
          <cell r="W2664">
            <v>44700</v>
          </cell>
          <cell r="X2664">
            <v>41100465</v>
          </cell>
        </row>
        <row r="2665">
          <cell r="K2665" t="str">
            <v>DBW-2659</v>
          </cell>
          <cell r="L2665">
            <v>44719</v>
          </cell>
          <cell r="M2665">
            <v>44720</v>
          </cell>
          <cell r="N2665">
            <v>44729</v>
          </cell>
          <cell r="O2665">
            <v>44720</v>
          </cell>
          <cell r="P2665">
            <v>44729</v>
          </cell>
          <cell r="Q2665">
            <v>44729</v>
          </cell>
          <cell r="R2665">
            <v>44729</v>
          </cell>
          <cell r="S2665"/>
          <cell r="T2665">
            <v>44730</v>
          </cell>
          <cell r="U2665">
            <v>44736</v>
          </cell>
          <cell r="V2665">
            <v>44739</v>
          </cell>
          <cell r="W2665">
            <v>44740</v>
          </cell>
          <cell r="X2665">
            <v>41100480</v>
          </cell>
        </row>
        <row r="2666">
          <cell r="K2666" t="str">
            <v>DBW-2660</v>
          </cell>
          <cell r="L2666">
            <v>44719</v>
          </cell>
          <cell r="M2666">
            <v>44720</v>
          </cell>
          <cell r="N2666">
            <v>44729</v>
          </cell>
          <cell r="O2666">
            <v>44720</v>
          </cell>
          <cell r="P2666">
            <v>44729</v>
          </cell>
          <cell r="Q2666">
            <v>44729</v>
          </cell>
          <cell r="R2666">
            <v>44729</v>
          </cell>
          <cell r="S2666"/>
          <cell r="T2666">
            <v>44730</v>
          </cell>
          <cell r="U2666">
            <v>44736</v>
          </cell>
          <cell r="V2666">
            <v>44739</v>
          </cell>
          <cell r="W2666">
            <v>44740</v>
          </cell>
          <cell r="X2666">
            <v>41100480</v>
          </cell>
        </row>
        <row r="2667">
          <cell r="K2667" t="str">
            <v>DBW-2661</v>
          </cell>
          <cell r="L2667">
            <v>44719</v>
          </cell>
          <cell r="M2667">
            <v>44720</v>
          </cell>
          <cell r="N2667">
            <v>44729</v>
          </cell>
          <cell r="O2667">
            <v>44720</v>
          </cell>
          <cell r="P2667">
            <v>44729</v>
          </cell>
          <cell r="Q2667">
            <v>44729</v>
          </cell>
          <cell r="R2667">
            <v>44729</v>
          </cell>
          <cell r="S2667"/>
          <cell r="T2667">
            <v>44730</v>
          </cell>
          <cell r="U2667">
            <v>44736</v>
          </cell>
          <cell r="V2667">
            <v>44739</v>
          </cell>
          <cell r="W2667">
            <v>44739</v>
          </cell>
          <cell r="X2667">
            <v>41100480</v>
          </cell>
        </row>
        <row r="2668">
          <cell r="K2668" t="str">
            <v>DBW-2662</v>
          </cell>
          <cell r="L2668">
            <v>44719</v>
          </cell>
          <cell r="M2668">
            <v>44720</v>
          </cell>
          <cell r="N2668">
            <v>44729</v>
          </cell>
          <cell r="O2668">
            <v>44720</v>
          </cell>
          <cell r="P2668">
            <v>44729</v>
          </cell>
          <cell r="Q2668">
            <v>44729</v>
          </cell>
          <cell r="R2668">
            <v>44729</v>
          </cell>
          <cell r="S2668"/>
          <cell r="T2668">
            <v>44730</v>
          </cell>
          <cell r="U2668">
            <v>44736</v>
          </cell>
          <cell r="V2668">
            <v>44739</v>
          </cell>
          <cell r="W2668">
            <v>44740</v>
          </cell>
          <cell r="X2668">
            <v>41100480</v>
          </cell>
        </row>
        <row r="2669">
          <cell r="K2669" t="str">
            <v>DBW-2663</v>
          </cell>
          <cell r="L2669">
            <v>44719</v>
          </cell>
          <cell r="M2669">
            <v>44720</v>
          </cell>
          <cell r="N2669">
            <v>44729</v>
          </cell>
          <cell r="O2669">
            <v>44720</v>
          </cell>
          <cell r="P2669">
            <v>44729</v>
          </cell>
          <cell r="Q2669">
            <v>44729</v>
          </cell>
          <cell r="R2669">
            <v>44729</v>
          </cell>
          <cell r="S2669"/>
          <cell r="T2669">
            <v>44730</v>
          </cell>
          <cell r="U2669">
            <v>44732</v>
          </cell>
          <cell r="V2669">
            <v>44732</v>
          </cell>
          <cell r="W2669">
            <v>44733</v>
          </cell>
          <cell r="X2669">
            <v>41100470</v>
          </cell>
        </row>
        <row r="2670">
          <cell r="K2670" t="str">
            <v>DBW-2664</v>
          </cell>
          <cell r="L2670">
            <v>44719</v>
          </cell>
          <cell r="M2670">
            <v>44720</v>
          </cell>
          <cell r="N2670">
            <v>44729</v>
          </cell>
          <cell r="O2670">
            <v>44720</v>
          </cell>
          <cell r="P2670">
            <v>44729</v>
          </cell>
          <cell r="Q2670">
            <v>44729</v>
          </cell>
          <cell r="R2670">
            <v>44729</v>
          </cell>
          <cell r="S2670"/>
          <cell r="T2670">
            <v>44730</v>
          </cell>
          <cell r="U2670">
            <v>44732</v>
          </cell>
          <cell r="V2670">
            <v>44732</v>
          </cell>
          <cell r="W2670">
            <v>44733</v>
          </cell>
          <cell r="X2670">
            <v>41100470</v>
          </cell>
        </row>
        <row r="2671">
          <cell r="K2671" t="str">
            <v>DBW-2673</v>
          </cell>
          <cell r="L2671">
            <v>44733</v>
          </cell>
          <cell r="M2671">
            <v>44734</v>
          </cell>
          <cell r="N2671">
            <v>44742</v>
          </cell>
          <cell r="O2671">
            <v>44734</v>
          </cell>
          <cell r="P2671">
            <v>44742</v>
          </cell>
          <cell r="Q2671">
            <v>44742</v>
          </cell>
          <cell r="R2671">
            <v>44742</v>
          </cell>
          <cell r="S2671"/>
          <cell r="T2671">
            <v>44746</v>
          </cell>
          <cell r="U2671">
            <v>44747</v>
          </cell>
          <cell r="V2671">
            <v>44749</v>
          </cell>
          <cell r="W2671">
            <v>44749</v>
          </cell>
          <cell r="X2671">
            <v>41100521</v>
          </cell>
        </row>
        <row r="2672">
          <cell r="K2672" t="str">
            <v>DBW-2674</v>
          </cell>
          <cell r="L2672">
            <v>44733</v>
          </cell>
          <cell r="M2672">
            <v>44734</v>
          </cell>
          <cell r="N2672">
            <v>44742</v>
          </cell>
          <cell r="O2672">
            <v>44734</v>
          </cell>
          <cell r="P2672">
            <v>44742</v>
          </cell>
          <cell r="Q2672">
            <v>44742</v>
          </cell>
          <cell r="R2672">
            <v>44742</v>
          </cell>
          <cell r="S2672"/>
          <cell r="T2672">
            <v>44746</v>
          </cell>
          <cell r="U2672">
            <v>44747</v>
          </cell>
          <cell r="V2672">
            <v>44748</v>
          </cell>
          <cell r="W2672">
            <v>44748</v>
          </cell>
          <cell r="X2672">
            <v>41100521</v>
          </cell>
        </row>
        <row r="2673">
          <cell r="K2673" t="str">
            <v>GBWS-2489</v>
          </cell>
          <cell r="L2673">
            <v>44732</v>
          </cell>
          <cell r="M2673" t="str">
            <v>2022-06-15 → 6/20</v>
          </cell>
          <cell r="N2673">
            <v>44743</v>
          </cell>
          <cell r="O2673" t="str">
            <v>2022-06-15 → 6/20</v>
          </cell>
          <cell r="P2673">
            <v>44742</v>
          </cell>
          <cell r="Q2673" t="str">
            <v>2022-06-27 → 6/30</v>
          </cell>
          <cell r="R2673" t="str">
            <v>2022-06-27 → 6/30</v>
          </cell>
          <cell r="S2673"/>
          <cell r="T2673">
            <v>44743</v>
          </cell>
          <cell r="U2673">
            <v>44748</v>
          </cell>
          <cell r="V2673">
            <v>44749</v>
          </cell>
          <cell r="W2673">
            <v>44749</v>
          </cell>
          <cell r="X2673">
            <v>41100516</v>
          </cell>
        </row>
        <row r="2674">
          <cell r="K2674" t="str">
            <v>-</v>
          </cell>
          <cell r="L2674" t="str">
            <v>-</v>
          </cell>
          <cell r="M2674">
            <v>44733</v>
          </cell>
          <cell r="N2674">
            <v>44742</v>
          </cell>
          <cell r="O2674">
            <v>44733</v>
          </cell>
          <cell r="P2674">
            <v>44742</v>
          </cell>
          <cell r="Q2674">
            <v>44735</v>
          </cell>
          <cell r="R2674">
            <v>44735</v>
          </cell>
          <cell r="S2674"/>
          <cell r="T2674">
            <v>44748</v>
          </cell>
          <cell r="U2674">
            <v>44748</v>
          </cell>
          <cell r="V2674">
            <v>44748</v>
          </cell>
          <cell r="W2674">
            <v>44748</v>
          </cell>
          <cell r="X2674">
            <v>31101724</v>
          </cell>
        </row>
        <row r="2675">
          <cell r="K2675" t="str">
            <v>GBWS-2177</v>
          </cell>
          <cell r="L2675">
            <v>44645</v>
          </cell>
          <cell r="M2675">
            <v>44642</v>
          </cell>
          <cell r="N2675">
            <v>44657</v>
          </cell>
          <cell r="O2675">
            <v>44642</v>
          </cell>
          <cell r="P2675">
            <v>44657</v>
          </cell>
          <cell r="Q2675">
            <v>44657</v>
          </cell>
          <cell r="R2675">
            <v>44657</v>
          </cell>
          <cell r="S2675"/>
          <cell r="T2675">
            <v>44658</v>
          </cell>
          <cell r="U2675">
            <v>44659</v>
          </cell>
          <cell r="V2675">
            <v>44664</v>
          </cell>
          <cell r="W2675">
            <v>44664</v>
          </cell>
          <cell r="X2675">
            <v>41100386</v>
          </cell>
        </row>
        <row r="2676">
          <cell r="K2676" t="str">
            <v>GBWS-2457</v>
          </cell>
          <cell r="L2676">
            <v>44721</v>
          </cell>
          <cell r="M2676">
            <v>44722</v>
          </cell>
          <cell r="N2676">
            <v>44732</v>
          </cell>
          <cell r="O2676">
            <v>44722</v>
          </cell>
          <cell r="P2676">
            <v>44732</v>
          </cell>
          <cell r="Q2676">
            <v>44734</v>
          </cell>
          <cell r="R2676">
            <v>44734</v>
          </cell>
          <cell r="S2676"/>
          <cell r="T2676">
            <v>44733</v>
          </cell>
          <cell r="U2676">
            <v>44734</v>
          </cell>
          <cell r="V2676">
            <v>44735</v>
          </cell>
          <cell r="W2676">
            <v>44735</v>
          </cell>
          <cell r="X2676">
            <v>41100317</v>
          </cell>
        </row>
        <row r="2677">
          <cell r="K2677" t="str">
            <v>GBWS-2506</v>
          </cell>
          <cell r="L2677">
            <v>44732</v>
          </cell>
          <cell r="M2677" t="str">
            <v>2022-06-16 → 6/21</v>
          </cell>
          <cell r="N2677">
            <v>44743</v>
          </cell>
          <cell r="O2677" t="str">
            <v>2022-06-16 → 6/21</v>
          </cell>
          <cell r="P2677">
            <v>44743</v>
          </cell>
          <cell r="Q2677" t="str">
            <v>2022-06-27 → 7/1</v>
          </cell>
          <cell r="R2677" t="str">
            <v>2022-06-27 → 7/1</v>
          </cell>
          <cell r="S2677"/>
          <cell r="T2677">
            <v>44747</v>
          </cell>
          <cell r="U2677">
            <v>44750</v>
          </cell>
          <cell r="V2677">
            <v>44753</v>
          </cell>
          <cell r="W2677">
            <v>44753</v>
          </cell>
          <cell r="X2677">
            <v>41100318</v>
          </cell>
        </row>
        <row r="2678">
          <cell r="K2678" t="str">
            <v>SOS-0262</v>
          </cell>
          <cell r="L2678">
            <v>44635</v>
          </cell>
          <cell r="M2678">
            <v>44635</v>
          </cell>
          <cell r="N2678">
            <v>44636</v>
          </cell>
          <cell r="O2678">
            <v>44635</v>
          </cell>
          <cell r="P2678">
            <v>44637</v>
          </cell>
          <cell r="Q2678">
            <v>44637</v>
          </cell>
          <cell r="R2678">
            <v>44637</v>
          </cell>
          <cell r="S2678"/>
          <cell r="T2678">
            <v>44637</v>
          </cell>
          <cell r="U2678">
            <v>44649</v>
          </cell>
          <cell r="V2678">
            <v>44649</v>
          </cell>
          <cell r="W2678">
            <v>44649</v>
          </cell>
          <cell r="X2678">
            <v>41100182</v>
          </cell>
        </row>
        <row r="2679">
          <cell r="K2679" t="str">
            <v>SOS-0265</v>
          </cell>
          <cell r="L2679">
            <v>44700</v>
          </cell>
          <cell r="M2679">
            <v>44700</v>
          </cell>
          <cell r="N2679">
            <v>44704</v>
          </cell>
          <cell r="O2679">
            <v>44700</v>
          </cell>
          <cell r="P2679">
            <v>44704</v>
          </cell>
          <cell r="Q2679">
            <v>44704</v>
          </cell>
          <cell r="R2679">
            <v>44704</v>
          </cell>
          <cell r="S2679"/>
          <cell r="T2679">
            <v>44704</v>
          </cell>
          <cell r="U2679">
            <v>44706</v>
          </cell>
          <cell r="V2679">
            <v>44708</v>
          </cell>
          <cell r="W2679">
            <v>44708</v>
          </cell>
          <cell r="X2679">
            <v>41100182</v>
          </cell>
        </row>
        <row r="2680">
          <cell r="K2680" t="str">
            <v>-</v>
          </cell>
          <cell r="L2680">
            <v>44700</v>
          </cell>
          <cell r="M2680">
            <v>44700</v>
          </cell>
          <cell r="N2680">
            <v>44704</v>
          </cell>
          <cell r="O2680">
            <v>44700</v>
          </cell>
          <cell r="P2680">
            <v>44704</v>
          </cell>
          <cell r="Q2680">
            <v>44704</v>
          </cell>
          <cell r="R2680">
            <v>44704</v>
          </cell>
          <cell r="S2680"/>
          <cell r="T2680">
            <v>44704</v>
          </cell>
          <cell r="U2680">
            <v>44706</v>
          </cell>
          <cell r="V2680">
            <v>44708</v>
          </cell>
          <cell r="W2680">
            <v>44708</v>
          </cell>
          <cell r="X2680">
            <v>31010312</v>
          </cell>
        </row>
        <row r="2681">
          <cell r="K2681" t="str">
            <v>SOS-0266</v>
          </cell>
          <cell r="L2681">
            <v>44700</v>
          </cell>
          <cell r="M2681">
            <v>44700</v>
          </cell>
          <cell r="N2681">
            <v>44704</v>
          </cell>
          <cell r="O2681">
            <v>44700</v>
          </cell>
          <cell r="P2681">
            <v>44704</v>
          </cell>
          <cell r="Q2681">
            <v>44704</v>
          </cell>
          <cell r="R2681">
            <v>44704</v>
          </cell>
          <cell r="S2681"/>
          <cell r="T2681">
            <v>44704</v>
          </cell>
          <cell r="U2681">
            <v>44706</v>
          </cell>
          <cell r="V2681">
            <v>44708</v>
          </cell>
          <cell r="W2681">
            <v>44708</v>
          </cell>
          <cell r="X2681">
            <v>41100182</v>
          </cell>
        </row>
        <row r="2682">
          <cell r="K2682" t="str">
            <v>-</v>
          </cell>
          <cell r="L2682">
            <v>44700</v>
          </cell>
          <cell r="M2682">
            <v>44700</v>
          </cell>
          <cell r="N2682">
            <v>44704</v>
          </cell>
          <cell r="O2682">
            <v>44700</v>
          </cell>
          <cell r="P2682">
            <v>44704</v>
          </cell>
          <cell r="Q2682">
            <v>44704</v>
          </cell>
          <cell r="R2682">
            <v>44704</v>
          </cell>
          <cell r="S2682"/>
          <cell r="T2682">
            <v>44704</v>
          </cell>
          <cell r="U2682">
            <v>44706</v>
          </cell>
          <cell r="V2682">
            <v>44708</v>
          </cell>
          <cell r="W2682">
            <v>44708</v>
          </cell>
          <cell r="X2682">
            <v>31010312</v>
          </cell>
        </row>
        <row r="2683">
          <cell r="K2683" t="str">
            <v>SOS-0268</v>
          </cell>
          <cell r="L2683">
            <v>44733</v>
          </cell>
          <cell r="M2683">
            <v>44734</v>
          </cell>
          <cell r="N2683">
            <v>44736</v>
          </cell>
          <cell r="O2683">
            <v>44734</v>
          </cell>
          <cell r="P2683">
            <v>44736</v>
          </cell>
          <cell r="Q2683">
            <v>44736</v>
          </cell>
          <cell r="R2683">
            <v>44736</v>
          </cell>
          <cell r="S2683"/>
          <cell r="T2683">
            <v>44736</v>
          </cell>
          <cell r="U2683">
            <v>44741</v>
          </cell>
          <cell r="V2683">
            <v>44741</v>
          </cell>
          <cell r="W2683">
            <v>44742</v>
          </cell>
          <cell r="X2683">
            <v>41100182</v>
          </cell>
        </row>
        <row r="2684">
          <cell r="K2684" t="str">
            <v>-</v>
          </cell>
          <cell r="L2684"/>
          <cell r="M2684">
            <v>44734</v>
          </cell>
          <cell r="N2684">
            <v>44736</v>
          </cell>
          <cell r="O2684">
            <v>44734</v>
          </cell>
          <cell r="P2684">
            <v>44736</v>
          </cell>
          <cell r="Q2684">
            <v>44736</v>
          </cell>
          <cell r="R2684">
            <v>44736</v>
          </cell>
          <cell r="S2684"/>
          <cell r="T2684">
            <v>44736</v>
          </cell>
          <cell r="U2684">
            <v>44741</v>
          </cell>
          <cell r="V2684">
            <v>44741</v>
          </cell>
          <cell r="W2684">
            <v>44742</v>
          </cell>
          <cell r="X2684">
            <v>31010312</v>
          </cell>
        </row>
        <row r="2685">
          <cell r="K2685" t="str">
            <v>GBWS-2493</v>
          </cell>
          <cell r="L2685">
            <v>44732</v>
          </cell>
          <cell r="M2685">
            <v>44733</v>
          </cell>
          <cell r="N2685">
            <v>44741</v>
          </cell>
          <cell r="O2685">
            <v>44733</v>
          </cell>
          <cell r="P2685">
            <v>44741</v>
          </cell>
          <cell r="Q2685">
            <v>44742</v>
          </cell>
          <cell r="R2685">
            <v>44742</v>
          </cell>
          <cell r="S2685"/>
          <cell r="T2685">
            <v>44742</v>
          </cell>
          <cell r="U2685">
            <v>44742</v>
          </cell>
          <cell r="V2685">
            <v>44746</v>
          </cell>
          <cell r="W2685">
            <v>44746</v>
          </cell>
          <cell r="X2685">
            <v>41100508</v>
          </cell>
        </row>
        <row r="2686">
          <cell r="K2686" t="str">
            <v>GBWS-2494</v>
          </cell>
          <cell r="L2686">
            <v>44732</v>
          </cell>
          <cell r="M2686">
            <v>44733</v>
          </cell>
          <cell r="N2686">
            <v>44741</v>
          </cell>
          <cell r="O2686">
            <v>44733</v>
          </cell>
          <cell r="P2686">
            <v>44741</v>
          </cell>
          <cell r="Q2686">
            <v>44742</v>
          </cell>
          <cell r="R2686">
            <v>44742</v>
          </cell>
          <cell r="S2686"/>
          <cell r="T2686">
            <v>44742</v>
          </cell>
          <cell r="U2686">
            <v>44742</v>
          </cell>
          <cell r="V2686">
            <v>44743</v>
          </cell>
          <cell r="W2686">
            <v>44743</v>
          </cell>
          <cell r="X2686">
            <v>41100508</v>
          </cell>
        </row>
        <row r="2687">
          <cell r="K2687" t="str">
            <v>GBWS-2447</v>
          </cell>
          <cell r="L2687">
            <v>44721</v>
          </cell>
          <cell r="M2687">
            <v>44722</v>
          </cell>
          <cell r="N2687">
            <v>44735</v>
          </cell>
          <cell r="O2687">
            <v>44722</v>
          </cell>
          <cell r="P2687">
            <v>44734</v>
          </cell>
          <cell r="Q2687" t="str">
            <v>2022-06-21 → 6/24</v>
          </cell>
          <cell r="R2687" t="str">
            <v>2022-06-21 → 6/24</v>
          </cell>
          <cell r="S2687"/>
          <cell r="T2687">
            <v>44739</v>
          </cell>
          <cell r="U2687">
            <v>44740</v>
          </cell>
          <cell r="V2687">
            <v>44740</v>
          </cell>
          <cell r="W2687">
            <v>44741</v>
          </cell>
          <cell r="X2687">
            <v>41100461</v>
          </cell>
        </row>
        <row r="2688">
          <cell r="K2688" t="str">
            <v>GBWS-2448</v>
          </cell>
          <cell r="L2688">
            <v>44721</v>
          </cell>
          <cell r="M2688">
            <v>44722</v>
          </cell>
          <cell r="N2688">
            <v>44735</v>
          </cell>
          <cell r="O2688">
            <v>44722</v>
          </cell>
          <cell r="P2688">
            <v>44734</v>
          </cell>
          <cell r="Q2688" t="str">
            <v>2022-06-21 → 6/24</v>
          </cell>
          <cell r="R2688" t="str">
            <v>2022-06-21 → 6/24</v>
          </cell>
          <cell r="S2688"/>
          <cell r="T2688">
            <v>44739</v>
          </cell>
          <cell r="U2688">
            <v>44740</v>
          </cell>
          <cell r="V2688">
            <v>44741</v>
          </cell>
          <cell r="W2688">
            <v>44741</v>
          </cell>
          <cell r="X2688">
            <v>41100461</v>
          </cell>
        </row>
        <row r="2689">
          <cell r="K2689" t="str">
            <v>GBWS-2497</v>
          </cell>
          <cell r="L2689">
            <v>44732</v>
          </cell>
          <cell r="M2689">
            <v>44733</v>
          </cell>
          <cell r="N2689">
            <v>44741</v>
          </cell>
          <cell r="O2689">
            <v>44733</v>
          </cell>
          <cell r="P2689">
            <v>44742</v>
          </cell>
          <cell r="Q2689">
            <v>44742</v>
          </cell>
          <cell r="R2689">
            <v>44742</v>
          </cell>
          <cell r="S2689"/>
          <cell r="T2689">
            <v>44743</v>
          </cell>
          <cell r="U2689">
            <v>44746</v>
          </cell>
          <cell r="V2689">
            <v>44746</v>
          </cell>
          <cell r="W2689">
            <v>44747</v>
          </cell>
          <cell r="X2689">
            <v>41100507</v>
          </cell>
        </row>
        <row r="2690">
          <cell r="K2690" t="str">
            <v>GBWS-2498</v>
          </cell>
          <cell r="L2690">
            <v>44732</v>
          </cell>
          <cell r="M2690">
            <v>44733</v>
          </cell>
          <cell r="N2690">
            <v>44742</v>
          </cell>
          <cell r="O2690">
            <v>44733</v>
          </cell>
          <cell r="P2690">
            <v>44742</v>
          </cell>
          <cell r="Q2690">
            <v>44742</v>
          </cell>
          <cell r="R2690">
            <v>44742</v>
          </cell>
          <cell r="S2690"/>
          <cell r="T2690">
            <v>44743</v>
          </cell>
          <cell r="U2690">
            <v>44746</v>
          </cell>
          <cell r="V2690">
            <v>44747</v>
          </cell>
          <cell r="W2690">
            <v>44747</v>
          </cell>
          <cell r="X2690">
            <v>41100507</v>
          </cell>
        </row>
        <row r="2691">
          <cell r="K2691" t="str">
            <v>GBWS-2499</v>
          </cell>
          <cell r="L2691">
            <v>44732</v>
          </cell>
          <cell r="M2691">
            <v>44733</v>
          </cell>
          <cell r="N2691">
            <v>44742</v>
          </cell>
          <cell r="O2691">
            <v>44733</v>
          </cell>
          <cell r="P2691">
            <v>44742</v>
          </cell>
          <cell r="Q2691">
            <v>44742</v>
          </cell>
          <cell r="R2691">
            <v>44742</v>
          </cell>
          <cell r="S2691"/>
          <cell r="T2691">
            <v>44744</v>
          </cell>
          <cell r="U2691">
            <v>44746</v>
          </cell>
          <cell r="V2691">
            <v>44747</v>
          </cell>
          <cell r="W2691">
            <v>44747</v>
          </cell>
          <cell r="X2691">
            <v>41100509</v>
          </cell>
        </row>
        <row r="2692">
          <cell r="K2692" t="str">
            <v>GBWS-2500</v>
          </cell>
          <cell r="L2692">
            <v>44732</v>
          </cell>
          <cell r="M2692">
            <v>44733</v>
          </cell>
          <cell r="N2692">
            <v>44742</v>
          </cell>
          <cell r="O2692">
            <v>44733</v>
          </cell>
          <cell r="P2692">
            <v>44742</v>
          </cell>
          <cell r="Q2692">
            <v>44742</v>
          </cell>
          <cell r="R2692">
            <v>44742</v>
          </cell>
          <cell r="S2692"/>
          <cell r="T2692">
            <v>44744</v>
          </cell>
          <cell r="U2692">
            <v>44746</v>
          </cell>
          <cell r="V2692">
            <v>44747</v>
          </cell>
          <cell r="W2692">
            <v>44747</v>
          </cell>
          <cell r="X2692">
            <v>41100509</v>
          </cell>
        </row>
        <row r="2693">
          <cell r="K2693" t="str">
            <v>GBWS-2264</v>
          </cell>
          <cell r="L2693">
            <v>44670</v>
          </cell>
          <cell r="M2693">
            <v>44670</v>
          </cell>
          <cell r="N2693">
            <v>44684</v>
          </cell>
          <cell r="O2693">
            <v>44670</v>
          </cell>
          <cell r="P2693">
            <v>44684</v>
          </cell>
          <cell r="Q2693">
            <v>44684</v>
          </cell>
          <cell r="R2693">
            <v>44684</v>
          </cell>
          <cell r="S2693"/>
          <cell r="T2693">
            <v>44685</v>
          </cell>
          <cell r="U2693">
            <v>44691</v>
          </cell>
          <cell r="V2693">
            <v>44691</v>
          </cell>
          <cell r="W2693">
            <v>44692</v>
          </cell>
          <cell r="X2693">
            <v>41100462</v>
          </cell>
        </row>
        <row r="2694">
          <cell r="K2694" t="str">
            <v>GBWS-2265</v>
          </cell>
          <cell r="L2694">
            <v>44670</v>
          </cell>
          <cell r="M2694">
            <v>44670</v>
          </cell>
          <cell r="N2694">
            <v>44684</v>
          </cell>
          <cell r="O2694">
            <v>44670</v>
          </cell>
          <cell r="P2694">
            <v>44684</v>
          </cell>
          <cell r="Q2694">
            <v>44684</v>
          </cell>
          <cell r="R2694">
            <v>44684</v>
          </cell>
          <cell r="S2694"/>
          <cell r="T2694">
            <v>44687</v>
          </cell>
          <cell r="U2694">
            <v>44691</v>
          </cell>
          <cell r="V2694">
            <v>44691</v>
          </cell>
          <cell r="W2694">
            <v>44692</v>
          </cell>
          <cell r="X2694">
            <v>41100462</v>
          </cell>
        </row>
        <row r="2695">
          <cell r="K2695" t="str">
            <v>GBWS-2267</v>
          </cell>
          <cell r="L2695">
            <v>44670</v>
          </cell>
          <cell r="M2695">
            <v>44670</v>
          </cell>
          <cell r="N2695">
            <v>44684</v>
          </cell>
          <cell r="O2695">
            <v>44670</v>
          </cell>
          <cell r="P2695">
            <v>44684</v>
          </cell>
          <cell r="Q2695">
            <v>44684</v>
          </cell>
          <cell r="R2695">
            <v>44684</v>
          </cell>
          <cell r="S2695"/>
          <cell r="T2695">
            <v>44687</v>
          </cell>
          <cell r="U2695">
            <v>44691</v>
          </cell>
          <cell r="V2695">
            <v>44692</v>
          </cell>
          <cell r="W2695">
            <v>44692</v>
          </cell>
          <cell r="X2695">
            <v>41100462</v>
          </cell>
        </row>
        <row r="2696">
          <cell r="K2696" t="str">
            <v>GBWS-2511</v>
          </cell>
          <cell r="L2696">
            <v>44734</v>
          </cell>
          <cell r="M2696">
            <v>44735</v>
          </cell>
          <cell r="N2696">
            <v>44747</v>
          </cell>
          <cell r="O2696">
            <v>44735</v>
          </cell>
          <cell r="P2696">
            <v>44749</v>
          </cell>
          <cell r="Q2696">
            <v>44747</v>
          </cell>
          <cell r="R2696">
            <v>44747</v>
          </cell>
          <cell r="S2696"/>
          <cell r="T2696">
            <v>44748</v>
          </cell>
          <cell r="U2696">
            <v>44750</v>
          </cell>
          <cell r="V2696">
            <v>44753</v>
          </cell>
          <cell r="W2696">
            <v>44753</v>
          </cell>
          <cell r="X2696">
            <v>41100358</v>
          </cell>
        </row>
        <row r="2697">
          <cell r="K2697" t="str">
            <v>GBWS-2509</v>
          </cell>
          <cell r="L2697">
            <v>44733</v>
          </cell>
          <cell r="M2697">
            <v>44734</v>
          </cell>
          <cell r="N2697">
            <v>44746</v>
          </cell>
          <cell r="O2697">
            <v>44734</v>
          </cell>
          <cell r="P2697">
            <v>44748</v>
          </cell>
          <cell r="Q2697">
            <v>44746</v>
          </cell>
          <cell r="R2697">
            <v>44746</v>
          </cell>
          <cell r="S2697"/>
          <cell r="T2697">
            <v>44747</v>
          </cell>
          <cell r="U2697">
            <v>44749</v>
          </cell>
          <cell r="V2697">
            <v>44750</v>
          </cell>
          <cell r="W2697">
            <v>44750</v>
          </cell>
          <cell r="X2697">
            <v>41100350</v>
          </cell>
        </row>
        <row r="2698">
          <cell r="K2698" t="str">
            <v>GBWS-2510</v>
          </cell>
          <cell r="L2698">
            <v>44733</v>
          </cell>
          <cell r="M2698">
            <v>44734</v>
          </cell>
          <cell r="N2698">
            <v>44746</v>
          </cell>
          <cell r="O2698">
            <v>44734</v>
          </cell>
          <cell r="P2698">
            <v>44748</v>
          </cell>
          <cell r="Q2698">
            <v>44746</v>
          </cell>
          <cell r="R2698">
            <v>44746</v>
          </cell>
          <cell r="S2698"/>
          <cell r="T2698">
            <v>44747</v>
          </cell>
          <cell r="U2698">
            <v>44749</v>
          </cell>
          <cell r="V2698">
            <v>44750</v>
          </cell>
          <cell r="W2698">
            <v>44750</v>
          </cell>
          <cell r="X2698">
            <v>41100350</v>
          </cell>
        </row>
        <row r="2699">
          <cell r="K2699" t="str">
            <v>GBWS-1987</v>
          </cell>
          <cell r="L2699">
            <v>44546</v>
          </cell>
          <cell r="M2699">
            <v>44546</v>
          </cell>
          <cell r="N2699">
            <v>44564</v>
          </cell>
          <cell r="O2699">
            <v>44546</v>
          </cell>
          <cell r="P2699">
            <v>44558</v>
          </cell>
          <cell r="Q2699" t="str">
            <v>2021-12-28 → 12/29</v>
          </cell>
          <cell r="R2699" t="str">
            <v>2021-12-28 → 12/29</v>
          </cell>
          <cell r="S2699"/>
          <cell r="T2699">
            <v>44564</v>
          </cell>
          <cell r="U2699">
            <v>44200</v>
          </cell>
          <cell r="V2699">
            <v>44566</v>
          </cell>
          <cell r="W2699">
            <v>44566</v>
          </cell>
          <cell r="X2699">
            <v>41100366</v>
          </cell>
        </row>
        <row r="2700">
          <cell r="K2700" t="str">
            <v>DBW-2638</v>
          </cell>
          <cell r="L2700">
            <v>44690</v>
          </cell>
          <cell r="M2700">
            <v>44691</v>
          </cell>
          <cell r="N2700">
            <v>44700</v>
          </cell>
          <cell r="O2700">
            <v>44691</v>
          </cell>
          <cell r="P2700">
            <v>44700</v>
          </cell>
          <cell r="Q2700">
            <v>44700</v>
          </cell>
          <cell r="R2700">
            <v>44700</v>
          </cell>
          <cell r="S2700"/>
          <cell r="T2700">
            <v>44701</v>
          </cell>
          <cell r="U2700">
            <v>44704</v>
          </cell>
          <cell r="V2700">
            <v>44704</v>
          </cell>
          <cell r="W2700">
            <v>44705</v>
          </cell>
          <cell r="X2700">
            <v>41100471</v>
          </cell>
        </row>
        <row r="2701">
          <cell r="K2701" t="str">
            <v>GBWS-2490</v>
          </cell>
          <cell r="L2701">
            <v>44732</v>
          </cell>
          <cell r="M2701" t="str">
            <v>2022-06-09 → 6/21</v>
          </cell>
          <cell r="N2701">
            <v>44743</v>
          </cell>
          <cell r="O2701" t="str">
            <v>2022-06-09 → 6/21</v>
          </cell>
          <cell r="P2701">
            <v>44743</v>
          </cell>
          <cell r="Q2701" t="str">
            <v>2022-06-21 → 7/1</v>
          </cell>
          <cell r="R2701" t="str">
            <v>2022-06-21 → 7/1</v>
          </cell>
          <cell r="S2701"/>
          <cell r="T2701">
            <v>44746</v>
          </cell>
          <cell r="U2701">
            <v>44747</v>
          </cell>
          <cell r="V2701">
            <v>44748</v>
          </cell>
          <cell r="W2701">
            <v>44748</v>
          </cell>
          <cell r="X2701">
            <v>41100320</v>
          </cell>
        </row>
        <row r="2702">
          <cell r="K2702" t="str">
            <v>GBWS-2491</v>
          </cell>
          <cell r="L2702">
            <v>44732</v>
          </cell>
          <cell r="M2702" t="str">
            <v>2022-06-09 → 6/21</v>
          </cell>
          <cell r="N2702">
            <v>44743</v>
          </cell>
          <cell r="O2702" t="str">
            <v>2022-06-09 → 6/21</v>
          </cell>
          <cell r="P2702">
            <v>44743</v>
          </cell>
          <cell r="Q2702" t="str">
            <v>2022-06-21 → 7/1</v>
          </cell>
          <cell r="R2702" t="str">
            <v>2022-06-21 → 7/1</v>
          </cell>
          <cell r="S2702"/>
          <cell r="T2702">
            <v>44746</v>
          </cell>
          <cell r="U2702">
            <v>44747</v>
          </cell>
          <cell r="V2702">
            <v>44748</v>
          </cell>
          <cell r="W2702">
            <v>44748</v>
          </cell>
          <cell r="X2702">
            <v>41100320</v>
          </cell>
        </row>
        <row r="2703">
          <cell r="K2703" t="str">
            <v>GBWS-2551</v>
          </cell>
          <cell r="L2703">
            <v>44746</v>
          </cell>
          <cell r="M2703">
            <v>44747</v>
          </cell>
          <cell r="N2703">
            <v>44756</v>
          </cell>
          <cell r="O2703">
            <v>44747</v>
          </cell>
          <cell r="P2703">
            <v>44757</v>
          </cell>
          <cell r="Q2703" t="str">
            <v>2022-07-15 → 7/12 → 7/13</v>
          </cell>
          <cell r="R2703" t="str">
            <v>2022-07-15 → 7/12 → 7/13</v>
          </cell>
          <cell r="S2703"/>
          <cell r="T2703">
            <v>44756</v>
          </cell>
          <cell r="U2703">
            <v>44758</v>
          </cell>
          <cell r="V2703">
            <v>44759</v>
          </cell>
          <cell r="W2703">
            <v>44760</v>
          </cell>
          <cell r="X2703">
            <v>41100522</v>
          </cell>
        </row>
        <row r="2704">
          <cell r="K2704" t="str">
            <v>GBWS-2269</v>
          </cell>
          <cell r="L2704">
            <v>44670</v>
          </cell>
          <cell r="M2704">
            <v>44670</v>
          </cell>
          <cell r="N2704">
            <v>44684</v>
          </cell>
          <cell r="O2704">
            <v>44670</v>
          </cell>
          <cell r="P2704">
            <v>44684</v>
          </cell>
          <cell r="Q2704">
            <v>44684</v>
          </cell>
          <cell r="R2704">
            <v>44684</v>
          </cell>
          <cell r="S2704"/>
          <cell r="T2704">
            <v>44687</v>
          </cell>
          <cell r="U2704">
            <v>44691</v>
          </cell>
          <cell r="V2704">
            <v>44692</v>
          </cell>
          <cell r="W2704">
            <v>44693</v>
          </cell>
          <cell r="X2704">
            <v>41100462</v>
          </cell>
        </row>
        <row r="2705">
          <cell r="K2705" t="str">
            <v>GBWS-2271</v>
          </cell>
          <cell r="L2705">
            <v>44670</v>
          </cell>
          <cell r="M2705">
            <v>44670</v>
          </cell>
          <cell r="N2705">
            <v>44684</v>
          </cell>
          <cell r="O2705">
            <v>44670</v>
          </cell>
          <cell r="P2705">
            <v>44684</v>
          </cell>
          <cell r="Q2705">
            <v>44684</v>
          </cell>
          <cell r="R2705">
            <v>44684</v>
          </cell>
          <cell r="S2705"/>
          <cell r="T2705">
            <v>44687</v>
          </cell>
          <cell r="U2705">
            <v>44691</v>
          </cell>
          <cell r="V2705">
            <v>44692</v>
          </cell>
          <cell r="W2705">
            <v>44692</v>
          </cell>
          <cell r="X2705">
            <v>41100462</v>
          </cell>
        </row>
        <row r="2706">
          <cell r="K2706" t="str">
            <v>GBWS-2307</v>
          </cell>
          <cell r="L2706">
            <v>44676</v>
          </cell>
          <cell r="M2706">
            <v>44677</v>
          </cell>
          <cell r="N2706">
            <v>44690</v>
          </cell>
          <cell r="O2706">
            <v>44677</v>
          </cell>
          <cell r="P2706">
            <v>44690</v>
          </cell>
          <cell r="Q2706">
            <v>44690</v>
          </cell>
          <cell r="R2706">
            <v>44690</v>
          </cell>
          <cell r="S2706"/>
          <cell r="T2706">
            <v>44693</v>
          </cell>
          <cell r="U2706">
            <v>44697</v>
          </cell>
          <cell r="V2706">
            <v>44700</v>
          </cell>
          <cell r="W2706">
            <v>44700</v>
          </cell>
          <cell r="X2706">
            <v>41100462</v>
          </cell>
        </row>
        <row r="2707">
          <cell r="K2707" t="str">
            <v>GBWS-2461</v>
          </cell>
          <cell r="L2707">
            <v>44725</v>
          </cell>
          <cell r="M2707">
            <v>44726</v>
          </cell>
          <cell r="N2707">
            <v>44741</v>
          </cell>
          <cell r="O2707">
            <v>44726</v>
          </cell>
          <cell r="P2707">
            <v>44748</v>
          </cell>
          <cell r="Q2707" t="str">
            <v>2022-06-23 → 6/30</v>
          </cell>
          <cell r="R2707" t="str">
            <v>2022-06-23 → 6/30</v>
          </cell>
          <cell r="S2707"/>
          <cell r="T2707">
            <v>44742</v>
          </cell>
          <cell r="U2707">
            <v>44749</v>
          </cell>
          <cell r="V2707">
            <v>44750</v>
          </cell>
          <cell r="W2707">
            <v>44750</v>
          </cell>
          <cell r="X2707">
            <v>41100511</v>
          </cell>
        </row>
        <row r="2708">
          <cell r="K2708" t="str">
            <v>GBWS-2462</v>
          </cell>
          <cell r="L2708">
            <v>44725</v>
          </cell>
          <cell r="M2708">
            <v>44726</v>
          </cell>
          <cell r="N2708">
            <v>44741</v>
          </cell>
          <cell r="O2708">
            <v>44726</v>
          </cell>
          <cell r="P2708">
            <v>44748</v>
          </cell>
          <cell r="Q2708" t="str">
            <v>2022-06-23 → 6/30</v>
          </cell>
          <cell r="R2708" t="str">
            <v>2022-06-23 → 6/30</v>
          </cell>
          <cell r="S2708"/>
          <cell r="T2708">
            <v>44742</v>
          </cell>
          <cell r="U2708">
            <v>44753</v>
          </cell>
          <cell r="V2708">
            <v>44757</v>
          </cell>
          <cell r="W2708">
            <v>44757</v>
          </cell>
          <cell r="X2708">
            <v>41100511</v>
          </cell>
        </row>
        <row r="2709">
          <cell r="K2709" t="str">
            <v>GBWS-2520</v>
          </cell>
          <cell r="L2709">
            <v>44739</v>
          </cell>
          <cell r="M2709">
            <v>44739</v>
          </cell>
          <cell r="N2709">
            <v>44750</v>
          </cell>
          <cell r="O2709">
            <v>44739</v>
          </cell>
          <cell r="P2709">
            <v>44755</v>
          </cell>
          <cell r="Q2709" t="str">
            <v>2022-07-07 → 7/8</v>
          </cell>
          <cell r="R2709" t="str">
            <v>2022-07-07 → 7/8</v>
          </cell>
          <cell r="S2709"/>
          <cell r="T2709">
            <v>44753</v>
          </cell>
          <cell r="U2709">
            <v>44755</v>
          </cell>
          <cell r="V2709">
            <v>44756</v>
          </cell>
          <cell r="W2709">
            <v>44756</v>
          </cell>
          <cell r="X2709">
            <v>41100511</v>
          </cell>
        </row>
        <row r="2710">
          <cell r="K2710" t="str">
            <v>GBWS-2521</v>
          </cell>
          <cell r="L2710">
            <v>44739</v>
          </cell>
          <cell r="M2710">
            <v>44739</v>
          </cell>
          <cell r="N2710">
            <v>44750</v>
          </cell>
          <cell r="O2710">
            <v>44739</v>
          </cell>
          <cell r="P2710">
            <v>44755</v>
          </cell>
          <cell r="Q2710" t="str">
            <v>2022-07-07 → 7/8</v>
          </cell>
          <cell r="R2710" t="str">
            <v>2022-07-07 → 7/8</v>
          </cell>
          <cell r="S2710"/>
          <cell r="T2710">
            <v>44753</v>
          </cell>
          <cell r="U2710">
            <v>44755</v>
          </cell>
          <cell r="V2710">
            <v>44756</v>
          </cell>
          <cell r="W2710">
            <v>44756</v>
          </cell>
          <cell r="X2710">
            <v>41100511</v>
          </cell>
        </row>
        <row r="2711">
          <cell r="K2711" t="str">
            <v>GBWS-2522</v>
          </cell>
          <cell r="L2711">
            <v>44739</v>
          </cell>
          <cell r="M2711">
            <v>44739</v>
          </cell>
          <cell r="N2711">
            <v>44750</v>
          </cell>
          <cell r="O2711">
            <v>44739</v>
          </cell>
          <cell r="P2711">
            <v>44755</v>
          </cell>
          <cell r="Q2711" t="str">
            <v>2022-07-07 → 7/8</v>
          </cell>
          <cell r="R2711" t="str">
            <v>2022-07-07 → 7/8</v>
          </cell>
          <cell r="S2711"/>
          <cell r="T2711">
            <v>44753</v>
          </cell>
          <cell r="U2711">
            <v>44755</v>
          </cell>
          <cell r="V2711">
            <v>44756</v>
          </cell>
          <cell r="W2711">
            <v>44756</v>
          </cell>
          <cell r="X2711">
            <v>41100511</v>
          </cell>
        </row>
        <row r="2712">
          <cell r="K2712" t="str">
            <v>GBWS-2523</v>
          </cell>
          <cell r="L2712">
            <v>44739</v>
          </cell>
          <cell r="M2712">
            <v>44739</v>
          </cell>
          <cell r="N2712">
            <v>44750</v>
          </cell>
          <cell r="O2712">
            <v>44739</v>
          </cell>
          <cell r="P2712">
            <v>44755</v>
          </cell>
          <cell r="Q2712" t="str">
            <v>2022-07-07 → 7/8</v>
          </cell>
          <cell r="R2712" t="str">
            <v>2022-07-07 → 7/8</v>
          </cell>
          <cell r="S2712"/>
          <cell r="T2712">
            <v>44753</v>
          </cell>
          <cell r="U2712">
            <v>44755</v>
          </cell>
          <cell r="V2712">
            <v>44756</v>
          </cell>
          <cell r="W2712">
            <v>44756</v>
          </cell>
          <cell r="X2712">
            <v>41100511</v>
          </cell>
        </row>
        <row r="2713">
          <cell r="K2713" t="str">
            <v>GBWS-2533</v>
          </cell>
          <cell r="L2713">
            <v>44739</v>
          </cell>
          <cell r="M2713">
            <v>44740</v>
          </cell>
          <cell r="N2713">
            <v>44749</v>
          </cell>
          <cell r="O2713">
            <v>44740</v>
          </cell>
          <cell r="P2713">
            <v>44755</v>
          </cell>
          <cell r="Q2713">
            <v>44749</v>
          </cell>
          <cell r="R2713">
            <v>44749</v>
          </cell>
          <cell r="S2713"/>
          <cell r="T2713">
            <v>44750</v>
          </cell>
          <cell r="U2713">
            <v>44756</v>
          </cell>
          <cell r="V2713">
            <v>44757</v>
          </cell>
          <cell r="W2713">
            <v>44757</v>
          </cell>
          <cell r="X2713">
            <v>41100507</v>
          </cell>
        </row>
        <row r="2714">
          <cell r="K2714" t="str">
            <v>GBWS-2561</v>
          </cell>
          <cell r="L2714">
            <v>44746</v>
          </cell>
          <cell r="M2714">
            <v>44747</v>
          </cell>
          <cell r="N2714">
            <v>44756</v>
          </cell>
          <cell r="O2714">
            <v>44747</v>
          </cell>
          <cell r="P2714">
            <v>44757</v>
          </cell>
          <cell r="Q2714">
            <v>44756</v>
          </cell>
          <cell r="R2714">
            <v>44756</v>
          </cell>
          <cell r="S2714"/>
          <cell r="T2714">
            <v>44757</v>
          </cell>
          <cell r="U2714">
            <v>44761</v>
          </cell>
          <cell r="V2714">
            <v>44762</v>
          </cell>
          <cell r="W2714">
            <v>44762</v>
          </cell>
          <cell r="X2714">
            <v>41100411</v>
          </cell>
        </row>
        <row r="2715">
          <cell r="K2715" t="str">
            <v>GBWS-2547</v>
          </cell>
          <cell r="L2715">
            <v>44741</v>
          </cell>
          <cell r="M2715">
            <v>44742</v>
          </cell>
          <cell r="N2715">
            <v>44755</v>
          </cell>
          <cell r="O2715">
            <v>44742</v>
          </cell>
          <cell r="P2715">
            <v>44756</v>
          </cell>
          <cell r="Q2715">
            <v>44755</v>
          </cell>
          <cell r="R2715">
            <v>44755</v>
          </cell>
          <cell r="S2715"/>
          <cell r="T2715">
            <v>44756</v>
          </cell>
          <cell r="U2715">
            <v>44760</v>
          </cell>
          <cell r="V2715">
            <v>44761</v>
          </cell>
          <cell r="W2715">
            <v>44761</v>
          </cell>
          <cell r="X2715">
            <v>41100264</v>
          </cell>
        </row>
        <row r="2716">
          <cell r="K2716" t="str">
            <v>GBWS-2548</v>
          </cell>
          <cell r="L2716">
            <v>44741</v>
          </cell>
          <cell r="M2716">
            <v>44742</v>
          </cell>
          <cell r="N2716">
            <v>44755</v>
          </cell>
          <cell r="O2716">
            <v>44742</v>
          </cell>
          <cell r="P2716">
            <v>44756</v>
          </cell>
          <cell r="Q2716">
            <v>44755</v>
          </cell>
          <cell r="R2716">
            <v>44755</v>
          </cell>
          <cell r="S2716"/>
          <cell r="T2716">
            <v>44756</v>
          </cell>
          <cell r="U2716">
            <v>44760</v>
          </cell>
          <cell r="V2716">
            <v>44761</v>
          </cell>
          <cell r="W2716">
            <v>44761</v>
          </cell>
          <cell r="X2716">
            <v>41100264</v>
          </cell>
        </row>
        <row r="2717">
          <cell r="K2717" t="str">
            <v>GBWS-2481</v>
          </cell>
          <cell r="L2717">
            <v>44732</v>
          </cell>
          <cell r="M2717">
            <v>44732</v>
          </cell>
          <cell r="N2717">
            <v>44748</v>
          </cell>
          <cell r="O2717">
            <v>44732</v>
          </cell>
          <cell r="P2717">
            <v>44749</v>
          </cell>
          <cell r="Q2717" t="str">
            <v>2022-06-30 → 7/6</v>
          </cell>
          <cell r="R2717" t="str">
            <v>2022-06-30 → 7/6</v>
          </cell>
          <cell r="S2717"/>
          <cell r="T2717">
            <v>44749</v>
          </cell>
          <cell r="U2717">
            <v>44753</v>
          </cell>
          <cell r="V2717">
            <v>44754</v>
          </cell>
          <cell r="W2717">
            <v>44754</v>
          </cell>
          <cell r="X2717">
            <v>41100511</v>
          </cell>
        </row>
        <row r="2718">
          <cell r="K2718" t="str">
            <v>GBWS-2482</v>
          </cell>
          <cell r="L2718">
            <v>44732</v>
          </cell>
          <cell r="M2718">
            <v>44732</v>
          </cell>
          <cell r="N2718">
            <v>44748</v>
          </cell>
          <cell r="O2718">
            <v>44732</v>
          </cell>
          <cell r="P2718">
            <v>44749</v>
          </cell>
          <cell r="Q2718" t="str">
            <v>2022-06-30 → 7/6</v>
          </cell>
          <cell r="R2718" t="str">
            <v>2022-06-30 → 7/6</v>
          </cell>
          <cell r="S2718"/>
          <cell r="T2718">
            <v>44749</v>
          </cell>
          <cell r="U2718">
            <v>44753</v>
          </cell>
          <cell r="V2718">
            <v>44754</v>
          </cell>
          <cell r="W2718">
            <v>44754</v>
          </cell>
          <cell r="X2718">
            <v>41100511</v>
          </cell>
        </row>
        <row r="2719">
          <cell r="K2719" t="str">
            <v>GBWS-2483</v>
          </cell>
          <cell r="L2719">
            <v>44732</v>
          </cell>
          <cell r="M2719">
            <v>44732</v>
          </cell>
          <cell r="N2719">
            <v>44748</v>
          </cell>
          <cell r="O2719">
            <v>44732</v>
          </cell>
          <cell r="P2719">
            <v>44749</v>
          </cell>
          <cell r="Q2719" t="str">
            <v>2022-06-30 → 7/6</v>
          </cell>
          <cell r="R2719" t="str">
            <v>2022-06-30 → 7/6</v>
          </cell>
          <cell r="S2719"/>
          <cell r="T2719">
            <v>44749</v>
          </cell>
          <cell r="U2719">
            <v>44753</v>
          </cell>
          <cell r="V2719">
            <v>44754</v>
          </cell>
          <cell r="W2719">
            <v>44754</v>
          </cell>
          <cell r="X2719">
            <v>41100511</v>
          </cell>
        </row>
        <row r="2720">
          <cell r="K2720" t="str">
            <v>GBWS-2517</v>
          </cell>
          <cell r="L2720">
            <v>44734</v>
          </cell>
          <cell r="M2720">
            <v>44735</v>
          </cell>
          <cell r="N2720">
            <v>44748</v>
          </cell>
          <cell r="O2720">
            <v>44735</v>
          </cell>
          <cell r="P2720">
            <v>44763</v>
          </cell>
          <cell r="Q2720" t="str">
            <v>2022-06-30 → 7/6</v>
          </cell>
          <cell r="R2720" t="str">
            <v>2022-06-30 → 7/6</v>
          </cell>
          <cell r="S2720"/>
          <cell r="T2720">
            <v>44749</v>
          </cell>
          <cell r="U2720">
            <v>44753</v>
          </cell>
          <cell r="V2720">
            <v>44754</v>
          </cell>
          <cell r="W2720">
            <v>44754</v>
          </cell>
          <cell r="X2720">
            <v>41100511</v>
          </cell>
        </row>
        <row r="2721">
          <cell r="K2721" t="str">
            <v>GBWS-2466</v>
          </cell>
          <cell r="L2721">
            <v>44725</v>
          </cell>
          <cell r="M2721">
            <v>44726</v>
          </cell>
          <cell r="N2721">
            <v>44741</v>
          </cell>
          <cell r="O2721">
            <v>44726</v>
          </cell>
          <cell r="P2721">
            <v>44748</v>
          </cell>
          <cell r="Q2721" t="str">
            <v>2022-06-23 → 6/30</v>
          </cell>
          <cell r="R2721" t="str">
            <v>2022-06-23 → 6/30</v>
          </cell>
          <cell r="S2721"/>
          <cell r="T2721">
            <v>44742</v>
          </cell>
          <cell r="U2721">
            <v>44750</v>
          </cell>
          <cell r="V2721">
            <v>44753</v>
          </cell>
          <cell r="W2721">
            <v>44753</v>
          </cell>
          <cell r="X2721">
            <v>41100511</v>
          </cell>
        </row>
        <row r="2722">
          <cell r="K2722" t="str">
            <v>GBWS-2467</v>
          </cell>
          <cell r="L2722">
            <v>44725</v>
          </cell>
          <cell r="M2722">
            <v>44726</v>
          </cell>
          <cell r="N2722">
            <v>44741</v>
          </cell>
          <cell r="O2722">
            <v>44726</v>
          </cell>
          <cell r="P2722">
            <v>44748</v>
          </cell>
          <cell r="Q2722" t="str">
            <v>2022-06-23 → 6/30</v>
          </cell>
          <cell r="R2722" t="str">
            <v>2022-06-23 → 6/30</v>
          </cell>
          <cell r="S2722"/>
          <cell r="T2722">
            <v>44742</v>
          </cell>
          <cell r="U2722">
            <v>44750</v>
          </cell>
          <cell r="V2722">
            <v>44753</v>
          </cell>
          <cell r="W2722">
            <v>44753</v>
          </cell>
          <cell r="X2722">
            <v>41100511</v>
          </cell>
        </row>
        <row r="2723">
          <cell r="K2723" t="str">
            <v>GBWS-2468</v>
          </cell>
          <cell r="L2723">
            <v>44725</v>
          </cell>
          <cell r="M2723">
            <v>44726</v>
          </cell>
          <cell r="N2723">
            <v>44741</v>
          </cell>
          <cell r="O2723">
            <v>44726</v>
          </cell>
          <cell r="P2723">
            <v>44748</v>
          </cell>
          <cell r="Q2723" t="str">
            <v>2022-06-23 → 6/30</v>
          </cell>
          <cell r="R2723" t="str">
            <v>2022-06-23 → 6/30</v>
          </cell>
          <cell r="S2723"/>
          <cell r="T2723">
            <v>44742</v>
          </cell>
          <cell r="U2723">
            <v>44750</v>
          </cell>
          <cell r="V2723">
            <v>44753</v>
          </cell>
          <cell r="W2723">
            <v>44753</v>
          </cell>
          <cell r="X2723">
            <v>41100511</v>
          </cell>
        </row>
        <row r="2724">
          <cell r="K2724" t="str">
            <v>GBWS-2469</v>
          </cell>
          <cell r="L2724">
            <v>44725</v>
          </cell>
          <cell r="M2724">
            <v>44726</v>
          </cell>
          <cell r="N2724">
            <v>44741</v>
          </cell>
          <cell r="O2724">
            <v>44726</v>
          </cell>
          <cell r="P2724">
            <v>44748</v>
          </cell>
          <cell r="Q2724" t="str">
            <v>2022-06-23 → 6/30</v>
          </cell>
          <cell r="R2724" t="str">
            <v>2022-06-23 → 6/30</v>
          </cell>
          <cell r="S2724"/>
          <cell r="T2724">
            <v>44742</v>
          </cell>
          <cell r="U2724">
            <v>44753</v>
          </cell>
          <cell r="V2724">
            <v>44754</v>
          </cell>
          <cell r="W2724">
            <v>44754</v>
          </cell>
          <cell r="X2724">
            <v>41100511</v>
          </cell>
        </row>
        <row r="2725">
          <cell r="K2725" t="str">
            <v>GBWS-2470</v>
          </cell>
          <cell r="L2725">
            <v>44725</v>
          </cell>
          <cell r="M2725">
            <v>44726</v>
          </cell>
          <cell r="N2725">
            <v>44741</v>
          </cell>
          <cell r="O2725">
            <v>44726</v>
          </cell>
          <cell r="P2725">
            <v>44748</v>
          </cell>
          <cell r="Q2725" t="str">
            <v>2022-06-23 → 6/30</v>
          </cell>
          <cell r="R2725" t="str">
            <v>2022-06-23 → 6/30</v>
          </cell>
          <cell r="S2725"/>
          <cell r="T2725">
            <v>44742</v>
          </cell>
          <cell r="U2725">
            <v>44749</v>
          </cell>
          <cell r="V2725">
            <v>44750</v>
          </cell>
          <cell r="W2725">
            <v>44750</v>
          </cell>
          <cell r="X2725">
            <v>41100511</v>
          </cell>
        </row>
        <row r="2726">
          <cell r="K2726" t="str">
            <v>GBWS-2471</v>
          </cell>
          <cell r="L2726">
            <v>44725</v>
          </cell>
          <cell r="M2726">
            <v>44726</v>
          </cell>
          <cell r="N2726">
            <v>44741</v>
          </cell>
          <cell r="O2726">
            <v>44726</v>
          </cell>
          <cell r="P2726">
            <v>44748</v>
          </cell>
          <cell r="Q2726" t="str">
            <v>2022-06-23 → 6/30</v>
          </cell>
          <cell r="R2726" t="str">
            <v>2022-06-23 → 6/30</v>
          </cell>
          <cell r="S2726"/>
          <cell r="T2726">
            <v>44742</v>
          </cell>
          <cell r="U2726">
            <v>44749</v>
          </cell>
          <cell r="V2726">
            <v>44753</v>
          </cell>
          <cell r="W2726">
            <v>44753</v>
          </cell>
          <cell r="X2726">
            <v>41100511</v>
          </cell>
        </row>
        <row r="2727">
          <cell r="K2727" t="str">
            <v>GBWS-2472</v>
          </cell>
          <cell r="L2727">
            <v>44725</v>
          </cell>
          <cell r="M2727">
            <v>44726</v>
          </cell>
          <cell r="N2727">
            <v>44741</v>
          </cell>
          <cell r="O2727">
            <v>44726</v>
          </cell>
          <cell r="P2727">
            <v>44748</v>
          </cell>
          <cell r="Q2727" t="str">
            <v>2022-06-23 → 6/30</v>
          </cell>
          <cell r="R2727" t="str">
            <v>2022-06-23 → 6/30</v>
          </cell>
          <cell r="S2727"/>
          <cell r="T2727">
            <v>44742</v>
          </cell>
          <cell r="U2727">
            <v>44750</v>
          </cell>
          <cell r="V2727">
            <v>44753</v>
          </cell>
          <cell r="W2727">
            <v>44753</v>
          </cell>
          <cell r="X2727">
            <v>41100511</v>
          </cell>
        </row>
        <row r="2728">
          <cell r="K2728" t="str">
            <v>GBWS-2473</v>
          </cell>
          <cell r="L2728">
            <v>44725</v>
          </cell>
          <cell r="M2728">
            <v>44726</v>
          </cell>
          <cell r="N2728">
            <v>44741</v>
          </cell>
          <cell r="O2728">
            <v>44726</v>
          </cell>
          <cell r="P2728">
            <v>44748</v>
          </cell>
          <cell r="Q2728" t="str">
            <v>2022-06-23 → 6/30</v>
          </cell>
          <cell r="R2728" t="str">
            <v>2022-06-23 → 6/30</v>
          </cell>
          <cell r="S2728"/>
          <cell r="T2728">
            <v>44742</v>
          </cell>
          <cell r="U2728">
            <v>44750</v>
          </cell>
          <cell r="V2728">
            <v>44753</v>
          </cell>
          <cell r="W2728">
            <v>44753</v>
          </cell>
          <cell r="X2728">
            <v>41100511</v>
          </cell>
        </row>
        <row r="2729">
          <cell r="K2729" t="str">
            <v>GBWS-2474</v>
          </cell>
          <cell r="L2729">
            <v>44725</v>
          </cell>
          <cell r="M2729">
            <v>44726</v>
          </cell>
          <cell r="N2729">
            <v>44741</v>
          </cell>
          <cell r="O2729">
            <v>44726</v>
          </cell>
          <cell r="P2729">
            <v>44748</v>
          </cell>
          <cell r="Q2729" t="str">
            <v>2022-06-23 → 6/30</v>
          </cell>
          <cell r="R2729" t="str">
            <v>2022-06-23 → 6/30</v>
          </cell>
          <cell r="S2729"/>
          <cell r="T2729">
            <v>44742</v>
          </cell>
          <cell r="U2729">
            <v>44750</v>
          </cell>
          <cell r="V2729">
            <v>44753</v>
          </cell>
          <cell r="W2729">
            <v>44753</v>
          </cell>
          <cell r="X2729">
            <v>41100511</v>
          </cell>
        </row>
        <row r="2730">
          <cell r="K2730" t="str">
            <v>GBWS-2440</v>
          </cell>
          <cell r="L2730">
            <v>44719</v>
          </cell>
          <cell r="M2730">
            <v>44720</v>
          </cell>
          <cell r="N2730">
            <v>44729</v>
          </cell>
          <cell r="O2730">
            <v>44720</v>
          </cell>
          <cell r="P2730">
            <v>44729</v>
          </cell>
          <cell r="Q2730">
            <v>44729</v>
          </cell>
          <cell r="R2730">
            <v>44729</v>
          </cell>
          <cell r="S2730"/>
          <cell r="T2730">
            <v>44732</v>
          </cell>
          <cell r="U2730">
            <v>44734</v>
          </cell>
          <cell r="V2730">
            <v>44735</v>
          </cell>
          <cell r="W2730">
            <v>44735</v>
          </cell>
          <cell r="X2730">
            <v>41100511</v>
          </cell>
        </row>
        <row r="2731">
          <cell r="K2731" t="str">
            <v>GBWS-2441</v>
          </cell>
          <cell r="L2731">
            <v>44719</v>
          </cell>
          <cell r="M2731">
            <v>44720</v>
          </cell>
          <cell r="N2731">
            <v>44729</v>
          </cell>
          <cell r="O2731">
            <v>44720</v>
          </cell>
          <cell r="P2731">
            <v>44729</v>
          </cell>
          <cell r="Q2731">
            <v>44729</v>
          </cell>
          <cell r="R2731">
            <v>44729</v>
          </cell>
          <cell r="S2731"/>
          <cell r="T2731">
            <v>44732</v>
          </cell>
          <cell r="U2731">
            <v>44734</v>
          </cell>
          <cell r="V2731">
            <v>44735</v>
          </cell>
          <cell r="W2731">
            <v>44735</v>
          </cell>
          <cell r="X2731">
            <v>41100511</v>
          </cell>
        </row>
        <row r="2732">
          <cell r="K2732" t="str">
            <v>GBWS-2442</v>
          </cell>
          <cell r="L2732">
            <v>44719</v>
          </cell>
          <cell r="M2732">
            <v>44720</v>
          </cell>
          <cell r="N2732">
            <v>44729</v>
          </cell>
          <cell r="O2732">
            <v>44720</v>
          </cell>
          <cell r="P2732">
            <v>44729</v>
          </cell>
          <cell r="Q2732">
            <v>44729</v>
          </cell>
          <cell r="R2732">
            <v>44729</v>
          </cell>
          <cell r="S2732"/>
          <cell r="T2732">
            <v>44732</v>
          </cell>
          <cell r="U2732">
            <v>44734</v>
          </cell>
          <cell r="V2732">
            <v>44736</v>
          </cell>
          <cell r="W2732">
            <v>44736</v>
          </cell>
          <cell r="X2732">
            <v>41100511</v>
          </cell>
        </row>
        <row r="2733">
          <cell r="K2733" t="str">
            <v>GBWS-2452</v>
          </cell>
          <cell r="L2733">
            <v>44721</v>
          </cell>
          <cell r="M2733">
            <v>44722</v>
          </cell>
          <cell r="N2733">
            <v>44736</v>
          </cell>
          <cell r="O2733">
            <v>44722</v>
          </cell>
          <cell r="P2733">
            <v>44735</v>
          </cell>
          <cell r="Q2733" t="str">
            <v>2022-06-21 → 6/24</v>
          </cell>
          <cell r="R2733" t="str">
            <v>2022-06-21 → 6/24</v>
          </cell>
          <cell r="S2733"/>
          <cell r="T2733">
            <v>44739</v>
          </cell>
          <cell r="U2733">
            <v>44740</v>
          </cell>
          <cell r="V2733">
            <v>44741</v>
          </cell>
          <cell r="W2733">
            <v>44741</v>
          </cell>
          <cell r="X2733">
            <v>41100460</v>
          </cell>
        </row>
        <row r="2734">
          <cell r="K2734" t="str">
            <v>GBWS-2453</v>
          </cell>
          <cell r="L2734">
            <v>44721</v>
          </cell>
          <cell r="M2734">
            <v>44722</v>
          </cell>
          <cell r="N2734">
            <v>44736</v>
          </cell>
          <cell r="O2734">
            <v>44722</v>
          </cell>
          <cell r="P2734">
            <v>44735</v>
          </cell>
          <cell r="Q2734" t="str">
            <v>2022-06-21 → 6/24</v>
          </cell>
          <cell r="R2734" t="str">
            <v>2022-06-21 → 6/24</v>
          </cell>
          <cell r="S2734"/>
          <cell r="T2734">
            <v>44739</v>
          </cell>
          <cell r="U2734">
            <v>44740</v>
          </cell>
          <cell r="V2734">
            <v>44740</v>
          </cell>
          <cell r="W2734">
            <v>44741</v>
          </cell>
          <cell r="X2734">
            <v>41100460</v>
          </cell>
        </row>
        <row r="2735">
          <cell r="K2735" t="str">
            <v>GBWS-2454</v>
          </cell>
          <cell r="L2735">
            <v>44721</v>
          </cell>
          <cell r="M2735">
            <v>44722</v>
          </cell>
          <cell r="N2735">
            <v>44736</v>
          </cell>
          <cell r="O2735">
            <v>44722</v>
          </cell>
          <cell r="P2735">
            <v>44735</v>
          </cell>
          <cell r="Q2735" t="str">
            <v>2022-06-21 → 6/24</v>
          </cell>
          <cell r="R2735" t="str">
            <v>2022-06-21 → 6/24</v>
          </cell>
          <cell r="S2735"/>
          <cell r="T2735">
            <v>44739</v>
          </cell>
          <cell r="U2735">
            <v>44741</v>
          </cell>
          <cell r="V2735">
            <v>44742</v>
          </cell>
          <cell r="W2735">
            <v>44742</v>
          </cell>
          <cell r="X2735">
            <v>41100460</v>
          </cell>
        </row>
        <row r="2736">
          <cell r="K2736" t="str">
            <v>GBWS-2455</v>
          </cell>
          <cell r="L2736">
            <v>44721</v>
          </cell>
          <cell r="M2736">
            <v>44722</v>
          </cell>
          <cell r="N2736">
            <v>44736</v>
          </cell>
          <cell r="O2736">
            <v>44722</v>
          </cell>
          <cell r="P2736">
            <v>44735</v>
          </cell>
          <cell r="Q2736" t="str">
            <v>2022-06-21 → 6/24</v>
          </cell>
          <cell r="R2736" t="str">
            <v>2022-06-21 → 6/24</v>
          </cell>
          <cell r="S2736"/>
          <cell r="T2736">
            <v>44739</v>
          </cell>
          <cell r="U2736">
            <v>44740</v>
          </cell>
          <cell r="V2736">
            <v>44741</v>
          </cell>
          <cell r="W2736">
            <v>44741</v>
          </cell>
          <cell r="X2736">
            <v>41100460</v>
          </cell>
        </row>
        <row r="2737">
          <cell r="K2737" t="str">
            <v>GBWS-2501</v>
          </cell>
          <cell r="L2737">
            <v>44732</v>
          </cell>
          <cell r="M2737">
            <v>44733</v>
          </cell>
          <cell r="N2737">
            <v>44742</v>
          </cell>
          <cell r="O2737">
            <v>44733</v>
          </cell>
          <cell r="P2737">
            <v>44742</v>
          </cell>
          <cell r="Q2737">
            <v>44742</v>
          </cell>
          <cell r="R2737">
            <v>44742</v>
          </cell>
          <cell r="S2737"/>
          <cell r="T2737">
            <v>44744</v>
          </cell>
          <cell r="U2737">
            <v>44755</v>
          </cell>
          <cell r="V2737">
            <v>44756</v>
          </cell>
          <cell r="W2737">
            <v>44756</v>
          </cell>
          <cell r="X2737">
            <v>41100460</v>
          </cell>
        </row>
        <row r="2738">
          <cell r="K2738" t="str">
            <v>GBWS-2502</v>
          </cell>
          <cell r="L2738">
            <v>44732</v>
          </cell>
          <cell r="M2738">
            <v>44733</v>
          </cell>
          <cell r="N2738">
            <v>44742</v>
          </cell>
          <cell r="O2738">
            <v>44733</v>
          </cell>
          <cell r="P2738">
            <v>44742</v>
          </cell>
          <cell r="Q2738">
            <v>44742</v>
          </cell>
          <cell r="R2738">
            <v>44742</v>
          </cell>
          <cell r="S2738"/>
          <cell r="T2738">
            <v>44744</v>
          </cell>
          <cell r="U2738">
            <v>44755</v>
          </cell>
          <cell r="V2738">
            <v>44756</v>
          </cell>
          <cell r="W2738">
            <v>44756</v>
          </cell>
          <cell r="X2738">
            <v>41100460</v>
          </cell>
        </row>
        <row r="2739">
          <cell r="K2739" t="str">
            <v>GBWS-2525</v>
          </cell>
          <cell r="L2739">
            <v>44739</v>
          </cell>
          <cell r="M2739">
            <v>44740</v>
          </cell>
          <cell r="N2739">
            <v>44749</v>
          </cell>
          <cell r="O2739">
            <v>44740</v>
          </cell>
          <cell r="P2739">
            <v>44755</v>
          </cell>
          <cell r="Q2739">
            <v>44749</v>
          </cell>
          <cell r="R2739">
            <v>44749</v>
          </cell>
          <cell r="S2739"/>
          <cell r="T2739">
            <v>44750</v>
          </cell>
          <cell r="U2739">
            <v>44756</v>
          </cell>
          <cell r="V2739">
            <v>44757</v>
          </cell>
          <cell r="W2739">
            <v>44757</v>
          </cell>
          <cell r="X2739">
            <v>41100509</v>
          </cell>
        </row>
        <row r="2740">
          <cell r="K2740" t="str">
            <v>GBWS-2515</v>
          </cell>
          <cell r="L2740">
            <v>44734</v>
          </cell>
          <cell r="M2740">
            <v>44735</v>
          </cell>
          <cell r="N2740">
            <v>44749</v>
          </cell>
          <cell r="O2740">
            <v>44735</v>
          </cell>
          <cell r="P2740">
            <v>44749</v>
          </cell>
          <cell r="Q2740" t="str">
            <v>2022-07-05 → 7/6</v>
          </cell>
          <cell r="R2740" t="str">
            <v>2022-07-05 → 7/6</v>
          </cell>
          <cell r="S2740"/>
          <cell r="T2740">
            <v>44755</v>
          </cell>
          <cell r="U2740">
            <v>44760</v>
          </cell>
          <cell r="V2740">
            <v>44761</v>
          </cell>
          <cell r="W2740">
            <v>44761</v>
          </cell>
          <cell r="X2740">
            <v>41100319</v>
          </cell>
        </row>
        <row r="2741">
          <cell r="K2741" t="str">
            <v>GBWS-2513</v>
          </cell>
          <cell r="L2741">
            <v>44734</v>
          </cell>
          <cell r="M2741">
            <v>44735</v>
          </cell>
          <cell r="N2741">
            <v>44749</v>
          </cell>
          <cell r="O2741">
            <v>44735</v>
          </cell>
          <cell r="P2741">
            <v>44748</v>
          </cell>
          <cell r="Q2741" t="str">
            <v>2022-07-05 → 7/6</v>
          </cell>
          <cell r="R2741" t="str">
            <v>2022-07-05 → 7/6</v>
          </cell>
          <cell r="S2741"/>
          <cell r="T2741">
            <v>44754</v>
          </cell>
          <cell r="U2741">
            <v>44760</v>
          </cell>
          <cell r="V2741">
            <v>44760</v>
          </cell>
          <cell r="W2741">
            <v>44760</v>
          </cell>
          <cell r="X2741">
            <v>41100363</v>
          </cell>
        </row>
        <row r="2742">
          <cell r="K2742" t="str">
            <v>-</v>
          </cell>
          <cell r="L2742" t="str">
            <v>-</v>
          </cell>
          <cell r="M2742">
            <v>44740</v>
          </cell>
          <cell r="N2742">
            <v>44755</v>
          </cell>
          <cell r="O2742">
            <v>44740</v>
          </cell>
          <cell r="P2742">
            <v>44755</v>
          </cell>
          <cell r="Q2742">
            <v>44742</v>
          </cell>
          <cell r="R2742">
            <v>44742</v>
          </cell>
          <cell r="S2742"/>
          <cell r="T2742">
            <v>44755</v>
          </cell>
          <cell r="U2742">
            <v>44755</v>
          </cell>
          <cell r="V2742">
            <v>44755</v>
          </cell>
          <cell r="W2742">
            <v>44755</v>
          </cell>
          <cell r="X2742">
            <v>31101724</v>
          </cell>
        </row>
        <row r="2743">
          <cell r="K2743" t="str">
            <v>-</v>
          </cell>
          <cell r="L2743" t="str">
            <v>-</v>
          </cell>
          <cell r="M2743">
            <v>44747</v>
          </cell>
          <cell r="N2743">
            <v>44750</v>
          </cell>
          <cell r="O2743">
            <v>44747</v>
          </cell>
          <cell r="P2743">
            <v>44750</v>
          </cell>
          <cell r="Q2743">
            <v>44750</v>
          </cell>
          <cell r="R2743">
            <v>44750</v>
          </cell>
          <cell r="S2743"/>
          <cell r="T2743">
            <v>44762</v>
          </cell>
          <cell r="U2743">
            <v>44762</v>
          </cell>
          <cell r="V2743">
            <v>44762</v>
          </cell>
          <cell r="W2743">
            <v>44762</v>
          </cell>
          <cell r="X2743">
            <v>31101724</v>
          </cell>
        </row>
        <row r="2744">
          <cell r="K2744" t="str">
            <v>-</v>
          </cell>
          <cell r="L2744" t="str">
            <v>-</v>
          </cell>
          <cell r="M2744" t="str">
            <v>2022-08-09 → 7/5</v>
          </cell>
          <cell r="N2744">
            <v>44750</v>
          </cell>
          <cell r="O2744" t="str">
            <v>2022-08-09 → 7/5</v>
          </cell>
          <cell r="P2744">
            <v>44750</v>
          </cell>
          <cell r="Q2744" t="str">
            <v>2022-08-11 → 7/7</v>
          </cell>
          <cell r="R2744" t="str">
            <v>2022-08-11 → 7/7</v>
          </cell>
          <cell r="S2744"/>
          <cell r="T2744">
            <v>44762</v>
          </cell>
          <cell r="U2744">
            <v>44762</v>
          </cell>
          <cell r="V2744">
            <v>44762</v>
          </cell>
          <cell r="W2744">
            <v>44762</v>
          </cell>
          <cell r="X2744">
            <v>31102213</v>
          </cell>
        </row>
        <row r="2745">
          <cell r="K2745" t="str">
            <v>GBWS-2503</v>
          </cell>
          <cell r="L2745">
            <v>44732</v>
          </cell>
          <cell r="M2745">
            <v>44733</v>
          </cell>
          <cell r="N2745">
            <v>44742</v>
          </cell>
          <cell r="O2745">
            <v>44733</v>
          </cell>
          <cell r="P2745">
            <v>44742</v>
          </cell>
          <cell r="Q2745">
            <v>44742</v>
          </cell>
          <cell r="R2745">
            <v>44742</v>
          </cell>
          <cell r="S2745"/>
          <cell r="T2745">
            <v>44744</v>
          </cell>
          <cell r="U2745">
            <v>44747</v>
          </cell>
          <cell r="V2745">
            <v>44748</v>
          </cell>
          <cell r="W2745">
            <v>44748</v>
          </cell>
          <cell r="X2745">
            <v>41100460</v>
          </cell>
        </row>
        <row r="2746">
          <cell r="K2746" t="str">
            <v>GBWS-2504</v>
          </cell>
          <cell r="L2746">
            <v>44732</v>
          </cell>
          <cell r="M2746">
            <v>44733</v>
          </cell>
          <cell r="N2746">
            <v>44742</v>
          </cell>
          <cell r="O2746">
            <v>44733</v>
          </cell>
          <cell r="P2746">
            <v>44742</v>
          </cell>
          <cell r="Q2746">
            <v>44742</v>
          </cell>
          <cell r="R2746">
            <v>44742</v>
          </cell>
          <cell r="S2746"/>
          <cell r="T2746">
            <v>44747</v>
          </cell>
          <cell r="U2746">
            <v>44755</v>
          </cell>
          <cell r="V2746">
            <v>44756</v>
          </cell>
          <cell r="W2746">
            <v>44756</v>
          </cell>
          <cell r="X2746">
            <v>41100460</v>
          </cell>
        </row>
        <row r="2747">
          <cell r="K2747" t="str">
            <v>GBWS-2505</v>
          </cell>
          <cell r="L2747">
            <v>44732</v>
          </cell>
          <cell r="M2747">
            <v>44733</v>
          </cell>
          <cell r="N2747">
            <v>44742</v>
          </cell>
          <cell r="O2747">
            <v>44733</v>
          </cell>
          <cell r="P2747">
            <v>44742</v>
          </cell>
          <cell r="Q2747">
            <v>44742</v>
          </cell>
          <cell r="R2747">
            <v>44742</v>
          </cell>
          <cell r="S2747"/>
          <cell r="T2747">
            <v>44744</v>
          </cell>
          <cell r="U2747">
            <v>44755</v>
          </cell>
          <cell r="V2747">
            <v>44756</v>
          </cell>
          <cell r="W2747">
            <v>44756</v>
          </cell>
          <cell r="X2747">
            <v>41100460</v>
          </cell>
        </row>
        <row r="2748">
          <cell r="K2748" t="str">
            <v>GBWS-2526</v>
          </cell>
          <cell r="L2748">
            <v>44739</v>
          </cell>
          <cell r="M2748">
            <v>44740</v>
          </cell>
          <cell r="N2748">
            <v>44749</v>
          </cell>
          <cell r="O2748">
            <v>44740</v>
          </cell>
          <cell r="P2748">
            <v>44755</v>
          </cell>
          <cell r="Q2748">
            <v>44749</v>
          </cell>
          <cell r="R2748">
            <v>44749</v>
          </cell>
          <cell r="S2748"/>
          <cell r="T2748">
            <v>44750</v>
          </cell>
          <cell r="U2748">
            <v>44756</v>
          </cell>
          <cell r="V2748">
            <v>44760</v>
          </cell>
          <cell r="W2748">
            <v>44760</v>
          </cell>
          <cell r="X2748">
            <v>41100509</v>
          </cell>
        </row>
        <row r="2749">
          <cell r="K2749" t="str">
            <v>GBWS-2527</v>
          </cell>
          <cell r="L2749">
            <v>44739</v>
          </cell>
          <cell r="M2749">
            <v>44740</v>
          </cell>
          <cell r="N2749">
            <v>44749</v>
          </cell>
          <cell r="O2749">
            <v>44740</v>
          </cell>
          <cell r="P2749">
            <v>44755</v>
          </cell>
          <cell r="Q2749">
            <v>44749</v>
          </cell>
          <cell r="R2749">
            <v>44749</v>
          </cell>
          <cell r="S2749"/>
          <cell r="T2749">
            <v>44750</v>
          </cell>
          <cell r="U2749">
            <v>44756</v>
          </cell>
          <cell r="V2749">
            <v>44757</v>
          </cell>
          <cell r="W2749">
            <v>44757</v>
          </cell>
          <cell r="X2749">
            <v>41100509</v>
          </cell>
        </row>
        <row r="2750">
          <cell r="K2750" t="str">
            <v>GBWS-2528</v>
          </cell>
          <cell r="L2750">
            <v>44739</v>
          </cell>
          <cell r="M2750">
            <v>44740</v>
          </cell>
          <cell r="N2750">
            <v>44749</v>
          </cell>
          <cell r="O2750">
            <v>44740</v>
          </cell>
          <cell r="P2750">
            <v>44755</v>
          </cell>
          <cell r="Q2750">
            <v>44749</v>
          </cell>
          <cell r="R2750">
            <v>44749</v>
          </cell>
          <cell r="S2750"/>
          <cell r="T2750">
            <v>44750</v>
          </cell>
          <cell r="U2750">
            <v>44756</v>
          </cell>
          <cell r="V2750">
            <v>44760</v>
          </cell>
          <cell r="W2750">
            <v>44760</v>
          </cell>
          <cell r="X2750">
            <v>41100509</v>
          </cell>
        </row>
        <row r="2751">
          <cell r="K2751" t="str">
            <v>GBWS-2529</v>
          </cell>
          <cell r="L2751">
            <v>44739</v>
          </cell>
          <cell r="M2751">
            <v>44740</v>
          </cell>
          <cell r="N2751">
            <v>44749</v>
          </cell>
          <cell r="O2751">
            <v>44740</v>
          </cell>
          <cell r="P2751">
            <v>44747</v>
          </cell>
          <cell r="Q2751">
            <v>44749</v>
          </cell>
          <cell r="R2751">
            <v>44749</v>
          </cell>
          <cell r="S2751"/>
          <cell r="T2751">
            <v>44749</v>
          </cell>
          <cell r="U2751">
            <v>44756</v>
          </cell>
          <cell r="V2751">
            <v>44757</v>
          </cell>
          <cell r="W2751">
            <v>44757</v>
          </cell>
          <cell r="X2751">
            <v>41100462</v>
          </cell>
        </row>
        <row r="2752">
          <cell r="K2752" t="str">
            <v>GBWS-2530</v>
          </cell>
          <cell r="L2752">
            <v>44739</v>
          </cell>
          <cell r="M2752">
            <v>44740</v>
          </cell>
          <cell r="N2752">
            <v>44749</v>
          </cell>
          <cell r="O2752">
            <v>44740</v>
          </cell>
          <cell r="P2752">
            <v>44747</v>
          </cell>
          <cell r="Q2752">
            <v>44749</v>
          </cell>
          <cell r="R2752">
            <v>44749</v>
          </cell>
          <cell r="S2752"/>
          <cell r="T2752">
            <v>44749</v>
          </cell>
          <cell r="U2752">
            <v>44756</v>
          </cell>
          <cell r="V2752">
            <v>44757</v>
          </cell>
          <cell r="W2752">
            <v>44757</v>
          </cell>
          <cell r="X2752">
            <v>41100462</v>
          </cell>
        </row>
        <row r="2753">
          <cell r="K2753" t="str">
            <v>GBWS-2524</v>
          </cell>
          <cell r="L2753">
            <v>44739</v>
          </cell>
          <cell r="M2753">
            <v>44740</v>
          </cell>
          <cell r="N2753">
            <v>44748</v>
          </cell>
          <cell r="O2753">
            <v>44740</v>
          </cell>
          <cell r="P2753">
            <v>44747</v>
          </cell>
          <cell r="Q2753">
            <v>44749</v>
          </cell>
          <cell r="R2753">
            <v>44749</v>
          </cell>
          <cell r="S2753"/>
          <cell r="T2753">
            <v>44748</v>
          </cell>
          <cell r="U2753">
            <v>44756</v>
          </cell>
          <cell r="V2753">
            <v>44760</v>
          </cell>
          <cell r="W2753">
            <v>44760</v>
          </cell>
          <cell r="X2753">
            <v>41100461</v>
          </cell>
        </row>
        <row r="2754">
          <cell r="K2754" t="str">
            <v>GBWS-2408</v>
          </cell>
          <cell r="L2754">
            <v>44711</v>
          </cell>
          <cell r="M2754">
            <v>44711</v>
          </cell>
          <cell r="N2754">
            <v>44723</v>
          </cell>
          <cell r="O2754">
            <v>44711</v>
          </cell>
          <cell r="P2754">
            <v>44723</v>
          </cell>
          <cell r="Q2754">
            <v>44721</v>
          </cell>
          <cell r="R2754">
            <v>44721</v>
          </cell>
          <cell r="S2754"/>
          <cell r="T2754">
            <v>44725</v>
          </cell>
          <cell r="U2754">
            <v>44726</v>
          </cell>
          <cell r="V2754">
            <v>44727</v>
          </cell>
          <cell r="W2754">
            <v>44727</v>
          </cell>
          <cell r="X2754">
            <v>41100511</v>
          </cell>
        </row>
        <row r="2755">
          <cell r="K2755" t="str">
            <v>GBWS-2409</v>
          </cell>
          <cell r="L2755">
            <v>44711</v>
          </cell>
          <cell r="M2755">
            <v>44711</v>
          </cell>
          <cell r="N2755">
            <v>44723</v>
          </cell>
          <cell r="O2755">
            <v>44711</v>
          </cell>
          <cell r="P2755">
            <v>44723</v>
          </cell>
          <cell r="Q2755">
            <v>44721</v>
          </cell>
          <cell r="R2755">
            <v>44721</v>
          </cell>
          <cell r="S2755"/>
          <cell r="T2755">
            <v>44725</v>
          </cell>
          <cell r="U2755">
            <v>44726</v>
          </cell>
          <cell r="V2755">
            <v>44727</v>
          </cell>
          <cell r="W2755">
            <v>44727</v>
          </cell>
          <cell r="X2755">
            <v>41100511</v>
          </cell>
        </row>
        <row r="2756">
          <cell r="K2756" t="str">
            <v>GBWS-2410</v>
          </cell>
          <cell r="L2756">
            <v>44711</v>
          </cell>
          <cell r="M2756">
            <v>44711</v>
          </cell>
          <cell r="N2756">
            <v>44723</v>
          </cell>
          <cell r="O2756">
            <v>44711</v>
          </cell>
          <cell r="P2756">
            <v>44723</v>
          </cell>
          <cell r="Q2756">
            <v>44721</v>
          </cell>
          <cell r="R2756">
            <v>44721</v>
          </cell>
          <cell r="S2756"/>
          <cell r="T2756">
            <v>44725</v>
          </cell>
          <cell r="U2756">
            <v>44726</v>
          </cell>
          <cell r="V2756">
            <v>44728</v>
          </cell>
          <cell r="W2756">
            <v>44728</v>
          </cell>
          <cell r="X2756">
            <v>41100511</v>
          </cell>
        </row>
        <row r="2757">
          <cell r="K2757" t="str">
            <v>GBWS-2411</v>
          </cell>
          <cell r="L2757">
            <v>44711</v>
          </cell>
          <cell r="M2757">
            <v>44711</v>
          </cell>
          <cell r="N2757">
            <v>44723</v>
          </cell>
          <cell r="O2757">
            <v>44711</v>
          </cell>
          <cell r="P2757">
            <v>44723</v>
          </cell>
          <cell r="Q2757">
            <v>44721</v>
          </cell>
          <cell r="R2757">
            <v>44721</v>
          </cell>
          <cell r="S2757"/>
          <cell r="T2757">
            <v>44725</v>
          </cell>
          <cell r="U2757">
            <v>44726</v>
          </cell>
          <cell r="V2757">
            <v>44727</v>
          </cell>
          <cell r="W2757">
            <v>44727</v>
          </cell>
          <cell r="X2757">
            <v>41100511</v>
          </cell>
        </row>
        <row r="2758">
          <cell r="K2758" t="str">
            <v>GBWS-2412</v>
          </cell>
          <cell r="L2758">
            <v>44711</v>
          </cell>
          <cell r="M2758">
            <v>44711</v>
          </cell>
          <cell r="N2758">
            <v>44723</v>
          </cell>
          <cell r="O2758">
            <v>44711</v>
          </cell>
          <cell r="P2758">
            <v>44723</v>
          </cell>
          <cell r="Q2758">
            <v>44721</v>
          </cell>
          <cell r="R2758">
            <v>44721</v>
          </cell>
          <cell r="S2758"/>
          <cell r="T2758">
            <v>44725</v>
          </cell>
          <cell r="U2758">
            <v>44726</v>
          </cell>
          <cell r="V2758">
            <v>44727</v>
          </cell>
          <cell r="W2758">
            <v>44727</v>
          </cell>
          <cell r="X2758">
            <v>41100511</v>
          </cell>
        </row>
        <row r="2759">
          <cell r="K2759" t="str">
            <v>GBWS-2434</v>
          </cell>
          <cell r="L2759">
            <v>44719</v>
          </cell>
          <cell r="M2759">
            <v>44719</v>
          </cell>
          <cell r="N2759">
            <v>44734</v>
          </cell>
          <cell r="O2759">
            <v>44719</v>
          </cell>
          <cell r="P2759">
            <v>44729</v>
          </cell>
          <cell r="Q2759">
            <v>44729</v>
          </cell>
          <cell r="R2759">
            <v>44729</v>
          </cell>
          <cell r="S2759"/>
          <cell r="T2759">
            <v>44734</v>
          </cell>
          <cell r="U2759">
            <v>44735</v>
          </cell>
          <cell r="V2759">
            <v>44736</v>
          </cell>
          <cell r="W2759">
            <v>44736</v>
          </cell>
          <cell r="X2759">
            <v>41100511</v>
          </cell>
        </row>
        <row r="2760">
          <cell r="K2760" t="str">
            <v>GBWS-2435</v>
          </cell>
          <cell r="L2760">
            <v>44719</v>
          </cell>
          <cell r="M2760">
            <v>44719</v>
          </cell>
          <cell r="N2760">
            <v>44734</v>
          </cell>
          <cell r="O2760">
            <v>44719</v>
          </cell>
          <cell r="P2760">
            <v>44729</v>
          </cell>
          <cell r="Q2760">
            <v>44729</v>
          </cell>
          <cell r="R2760">
            <v>44729</v>
          </cell>
          <cell r="S2760"/>
          <cell r="T2760">
            <v>44734</v>
          </cell>
          <cell r="U2760">
            <v>44735</v>
          </cell>
          <cell r="V2760">
            <v>44736</v>
          </cell>
          <cell r="W2760">
            <v>44736</v>
          </cell>
          <cell r="X2760">
            <v>41100511</v>
          </cell>
        </row>
        <row r="2761">
          <cell r="K2761" t="str">
            <v>GBWS-2436</v>
          </cell>
          <cell r="L2761">
            <v>44719</v>
          </cell>
          <cell r="M2761">
            <v>44719</v>
          </cell>
          <cell r="N2761">
            <v>44734</v>
          </cell>
          <cell r="O2761">
            <v>44719</v>
          </cell>
          <cell r="P2761">
            <v>44729</v>
          </cell>
          <cell r="Q2761">
            <v>44729</v>
          </cell>
          <cell r="R2761">
            <v>44729</v>
          </cell>
          <cell r="S2761"/>
          <cell r="T2761">
            <v>44734</v>
          </cell>
          <cell r="U2761">
            <v>44735</v>
          </cell>
          <cell r="V2761">
            <v>44736</v>
          </cell>
          <cell r="W2761">
            <v>44736</v>
          </cell>
          <cell r="X2761">
            <v>41100511</v>
          </cell>
        </row>
        <row r="2762">
          <cell r="K2762" t="str">
            <v>GBWS-2437</v>
          </cell>
          <cell r="L2762">
            <v>44719</v>
          </cell>
          <cell r="M2762">
            <v>44719</v>
          </cell>
          <cell r="N2762">
            <v>44734</v>
          </cell>
          <cell r="O2762">
            <v>44719</v>
          </cell>
          <cell r="P2762">
            <v>44729</v>
          </cell>
          <cell r="Q2762">
            <v>44729</v>
          </cell>
          <cell r="R2762">
            <v>44729</v>
          </cell>
          <cell r="S2762"/>
          <cell r="T2762">
            <v>44734</v>
          </cell>
          <cell r="U2762">
            <v>44735</v>
          </cell>
          <cell r="V2762">
            <v>44736</v>
          </cell>
          <cell r="W2762">
            <v>44736</v>
          </cell>
          <cell r="X2762">
            <v>41100511</v>
          </cell>
        </row>
        <row r="2763">
          <cell r="K2763" t="str">
            <v>GBWS-2463</v>
          </cell>
          <cell r="L2763">
            <v>44725</v>
          </cell>
          <cell r="M2763">
            <v>44726</v>
          </cell>
          <cell r="N2763">
            <v>44741</v>
          </cell>
          <cell r="O2763">
            <v>44726</v>
          </cell>
          <cell r="P2763">
            <v>44748</v>
          </cell>
          <cell r="Q2763" t="str">
            <v>2022-06-23 → 6/30</v>
          </cell>
          <cell r="R2763" t="str">
            <v>2022-06-23 → 6/30</v>
          </cell>
          <cell r="S2763"/>
          <cell r="T2763">
            <v>44742</v>
          </cell>
          <cell r="U2763">
            <v>44750</v>
          </cell>
          <cell r="V2763">
            <v>44753</v>
          </cell>
          <cell r="W2763">
            <v>44753</v>
          </cell>
          <cell r="X2763">
            <v>41100511</v>
          </cell>
        </row>
        <row r="2764">
          <cell r="K2764" t="str">
            <v>GBWS-2464</v>
          </cell>
          <cell r="L2764">
            <v>44725</v>
          </cell>
          <cell r="M2764">
            <v>44726</v>
          </cell>
          <cell r="N2764">
            <v>44741</v>
          </cell>
          <cell r="O2764">
            <v>44726</v>
          </cell>
          <cell r="P2764">
            <v>44748</v>
          </cell>
          <cell r="Q2764" t="str">
            <v>2022-06-23 → 6/30</v>
          </cell>
          <cell r="R2764" t="str">
            <v>2022-06-23 → 6/30</v>
          </cell>
          <cell r="S2764"/>
          <cell r="T2764">
            <v>44742</v>
          </cell>
          <cell r="U2764">
            <v>44749</v>
          </cell>
          <cell r="V2764">
            <v>44750</v>
          </cell>
          <cell r="W2764">
            <v>44750</v>
          </cell>
          <cell r="X2764">
            <v>41100511</v>
          </cell>
        </row>
        <row r="2765">
          <cell r="K2765" t="str">
            <v>GBWS-2465</v>
          </cell>
          <cell r="L2765">
            <v>44725</v>
          </cell>
          <cell r="M2765">
            <v>44726</v>
          </cell>
          <cell r="N2765">
            <v>44741</v>
          </cell>
          <cell r="O2765">
            <v>44726</v>
          </cell>
          <cell r="P2765">
            <v>44748</v>
          </cell>
          <cell r="Q2765" t="str">
            <v>2022-06-23 → 6/30</v>
          </cell>
          <cell r="R2765" t="str">
            <v>2022-06-23 → 6/30</v>
          </cell>
          <cell r="S2765"/>
          <cell r="T2765">
            <v>44742</v>
          </cell>
          <cell r="U2765">
            <v>44749</v>
          </cell>
          <cell r="V2765">
            <v>44750</v>
          </cell>
          <cell r="W2765">
            <v>44750</v>
          </cell>
          <cell r="X2765">
            <v>41100511</v>
          </cell>
        </row>
        <row r="2766">
          <cell r="K2766" t="str">
            <v>GBWS-2564</v>
          </cell>
          <cell r="L2766">
            <v>44746</v>
          </cell>
          <cell r="M2766">
            <v>44747</v>
          </cell>
          <cell r="N2766">
            <v>44756</v>
          </cell>
          <cell r="O2766">
            <v>44747</v>
          </cell>
          <cell r="P2766">
            <v>44757</v>
          </cell>
          <cell r="Q2766">
            <v>44757</v>
          </cell>
          <cell r="R2766">
            <v>44757</v>
          </cell>
          <cell r="S2766"/>
          <cell r="T2766">
            <v>44760</v>
          </cell>
          <cell r="U2766">
            <v>44760</v>
          </cell>
          <cell r="V2766">
            <v>44762</v>
          </cell>
          <cell r="W2766">
            <v>44762</v>
          </cell>
          <cell r="X2766">
            <v>41100509</v>
          </cell>
        </row>
        <row r="2767">
          <cell r="K2767" t="str">
            <v>GBWS-2565</v>
          </cell>
          <cell r="L2767">
            <v>44746</v>
          </cell>
          <cell r="M2767">
            <v>44747</v>
          </cell>
          <cell r="N2767">
            <v>44756</v>
          </cell>
          <cell r="O2767">
            <v>44747</v>
          </cell>
          <cell r="P2767">
            <v>44757</v>
          </cell>
          <cell r="Q2767">
            <v>44757</v>
          </cell>
          <cell r="R2767">
            <v>44757</v>
          </cell>
          <cell r="S2767"/>
          <cell r="T2767">
            <v>44760</v>
          </cell>
          <cell r="U2767">
            <v>44760</v>
          </cell>
          <cell r="V2767">
            <v>44763</v>
          </cell>
          <cell r="W2767">
            <v>44763</v>
          </cell>
          <cell r="X2767">
            <v>41100509</v>
          </cell>
        </row>
        <row r="2768">
          <cell r="K2768" t="str">
            <v>WS-0054</v>
          </cell>
          <cell r="L2768">
            <v>44725</v>
          </cell>
          <cell r="M2768">
            <v>44726</v>
          </cell>
          <cell r="N2768">
            <v>44735</v>
          </cell>
          <cell r="O2768">
            <v>44726</v>
          </cell>
          <cell r="P2768">
            <v>44734</v>
          </cell>
          <cell r="Q2768">
            <v>44735</v>
          </cell>
          <cell r="R2768">
            <v>44735</v>
          </cell>
          <cell r="S2768"/>
          <cell r="T2768">
            <v>44735</v>
          </cell>
          <cell r="U2768">
            <v>44736</v>
          </cell>
          <cell r="V2768">
            <v>44739</v>
          </cell>
          <cell r="W2768">
            <v>44739</v>
          </cell>
          <cell r="X2768">
            <v>41100435</v>
          </cell>
        </row>
        <row r="2769">
          <cell r="K2769" t="str">
            <v>WS-0057</v>
          </cell>
          <cell r="L2769">
            <v>44725</v>
          </cell>
          <cell r="M2769">
            <v>44726</v>
          </cell>
          <cell r="N2769">
            <v>44735</v>
          </cell>
          <cell r="O2769">
            <v>44726</v>
          </cell>
          <cell r="P2769">
            <v>44734</v>
          </cell>
          <cell r="Q2769">
            <v>44735</v>
          </cell>
          <cell r="R2769">
            <v>44735</v>
          </cell>
          <cell r="S2769"/>
          <cell r="T2769">
            <v>44735</v>
          </cell>
          <cell r="U2769">
            <v>44736</v>
          </cell>
          <cell r="V2769">
            <v>44739</v>
          </cell>
          <cell r="W2769">
            <v>44739</v>
          </cell>
          <cell r="X2769">
            <v>41100435</v>
          </cell>
        </row>
        <row r="2770">
          <cell r="K2770" t="str">
            <v>WS-0055</v>
          </cell>
          <cell r="L2770">
            <v>44725</v>
          </cell>
          <cell r="M2770">
            <v>44726</v>
          </cell>
          <cell r="N2770">
            <v>44735</v>
          </cell>
          <cell r="O2770">
            <v>44726</v>
          </cell>
          <cell r="P2770">
            <v>44734</v>
          </cell>
          <cell r="Q2770">
            <v>44735</v>
          </cell>
          <cell r="R2770">
            <v>44735</v>
          </cell>
          <cell r="S2770"/>
          <cell r="T2770">
            <v>44735</v>
          </cell>
          <cell r="U2770">
            <v>44736</v>
          </cell>
          <cell r="V2770">
            <v>44739</v>
          </cell>
          <cell r="W2770">
            <v>44739</v>
          </cell>
          <cell r="X2770">
            <v>41100435</v>
          </cell>
        </row>
        <row r="2771">
          <cell r="K2771" t="str">
            <v>WS-0056</v>
          </cell>
          <cell r="L2771">
            <v>44725</v>
          </cell>
          <cell r="M2771">
            <v>44726</v>
          </cell>
          <cell r="N2771">
            <v>44735</v>
          </cell>
          <cell r="O2771">
            <v>44726</v>
          </cell>
          <cell r="P2771">
            <v>44734</v>
          </cell>
          <cell r="Q2771">
            <v>44735</v>
          </cell>
          <cell r="R2771">
            <v>44735</v>
          </cell>
          <cell r="S2771"/>
          <cell r="T2771">
            <v>44735</v>
          </cell>
          <cell r="U2771">
            <v>44736</v>
          </cell>
          <cell r="V2771">
            <v>44739</v>
          </cell>
          <cell r="W2771">
            <v>44739</v>
          </cell>
          <cell r="X2771">
            <v>41100435</v>
          </cell>
        </row>
        <row r="2772">
          <cell r="K2772" t="str">
            <v>DBW-2676</v>
          </cell>
          <cell r="L2772">
            <v>44746</v>
          </cell>
          <cell r="M2772">
            <v>44747</v>
          </cell>
          <cell r="N2772">
            <v>44763</v>
          </cell>
          <cell r="O2772">
            <v>44747</v>
          </cell>
          <cell r="P2772">
            <v>44757</v>
          </cell>
          <cell r="Q2772">
            <v>44757</v>
          </cell>
          <cell r="R2772">
            <v>44757</v>
          </cell>
          <cell r="S2772"/>
          <cell r="T2772">
            <v>44760</v>
          </cell>
          <cell r="U2772">
            <v>44763</v>
          </cell>
          <cell r="V2772">
            <v>44764</v>
          </cell>
          <cell r="W2772">
            <v>44764</v>
          </cell>
          <cell r="X2772">
            <v>41100479</v>
          </cell>
        </row>
        <row r="2773">
          <cell r="K2773" t="str">
            <v>GBWS-2508</v>
          </cell>
          <cell r="L2773">
            <v>44733</v>
          </cell>
          <cell r="M2773">
            <v>44734</v>
          </cell>
          <cell r="N2773">
            <v>44746</v>
          </cell>
          <cell r="O2773">
            <v>44734</v>
          </cell>
          <cell r="P2773">
            <v>44748</v>
          </cell>
          <cell r="Q2773">
            <v>44746</v>
          </cell>
          <cell r="R2773">
            <v>44746</v>
          </cell>
          <cell r="S2773"/>
          <cell r="T2773">
            <v>44747</v>
          </cell>
          <cell r="U2773">
            <v>44764</v>
          </cell>
          <cell r="V2773">
            <v>44765</v>
          </cell>
          <cell r="W2773">
            <v>44765</v>
          </cell>
          <cell r="X2773">
            <v>41100350</v>
          </cell>
        </row>
        <row r="2774">
          <cell r="K2774" t="str">
            <v>GBWS-2549</v>
          </cell>
          <cell r="L2774">
            <v>44743</v>
          </cell>
          <cell r="M2774">
            <v>44746</v>
          </cell>
          <cell r="N2774">
            <v>44757</v>
          </cell>
          <cell r="O2774">
            <v>44746</v>
          </cell>
          <cell r="P2774">
            <v>44760</v>
          </cell>
          <cell r="Q2774">
            <v>44756</v>
          </cell>
          <cell r="R2774">
            <v>44756</v>
          </cell>
          <cell r="S2774"/>
          <cell r="T2774">
            <v>44757</v>
          </cell>
          <cell r="U2774">
            <v>44764</v>
          </cell>
          <cell r="V2774">
            <v>44767</v>
          </cell>
          <cell r="W2774">
            <v>44767</v>
          </cell>
          <cell r="X2774">
            <v>41100286</v>
          </cell>
        </row>
        <row r="2775">
          <cell r="K2775" t="str">
            <v>GBWS-2562</v>
          </cell>
          <cell r="L2775">
            <v>44746</v>
          </cell>
          <cell r="M2775">
            <v>44747</v>
          </cell>
          <cell r="N2775">
            <v>44767</v>
          </cell>
          <cell r="O2775">
            <v>44747</v>
          </cell>
          <cell r="P2775">
            <v>44763</v>
          </cell>
          <cell r="Q2775" t="str">
            <v>2022-07-15 → 7/20</v>
          </cell>
          <cell r="R2775" t="str">
            <v>2022-07-15 → 7/20</v>
          </cell>
          <cell r="S2775"/>
          <cell r="T2775">
            <v>44763</v>
          </cell>
          <cell r="U2775">
            <v>44767</v>
          </cell>
          <cell r="V2775">
            <v>44769</v>
          </cell>
          <cell r="W2775">
            <v>44769</v>
          </cell>
          <cell r="X2775">
            <v>41100504</v>
          </cell>
        </row>
        <row r="2776">
          <cell r="K2776" t="str">
            <v>GBWS-2563</v>
          </cell>
          <cell r="L2776">
            <v>44746</v>
          </cell>
          <cell r="M2776">
            <v>44747</v>
          </cell>
          <cell r="N2776">
            <v>44767</v>
          </cell>
          <cell r="O2776">
            <v>44747</v>
          </cell>
          <cell r="P2776">
            <v>44763</v>
          </cell>
          <cell r="Q2776" t="str">
            <v>2022-07-15 → 7/20</v>
          </cell>
          <cell r="R2776" t="str">
            <v>2022-07-15 → 7/20</v>
          </cell>
          <cell r="S2776"/>
          <cell r="T2776">
            <v>44763</v>
          </cell>
          <cell r="U2776">
            <v>44767</v>
          </cell>
          <cell r="V2776">
            <v>44769</v>
          </cell>
          <cell r="W2776">
            <v>44769</v>
          </cell>
          <cell r="X2776">
            <v>41100504</v>
          </cell>
        </row>
        <row r="2777">
          <cell r="K2777" t="str">
            <v>GBWS-2543</v>
          </cell>
          <cell r="L2777">
            <v>44739</v>
          </cell>
          <cell r="M2777" t="str">
            <v>2022-07-05 → 06-28</v>
          </cell>
          <cell r="N2777">
            <v>44753</v>
          </cell>
          <cell r="O2777" t="str">
            <v>2022-07-05 → 06-28</v>
          </cell>
          <cell r="P2777">
            <v>44750</v>
          </cell>
          <cell r="Q2777" t="str">
            <v>2022-07-08 → 7/11</v>
          </cell>
          <cell r="R2777" t="str">
            <v>2022-07-08 → 7/11</v>
          </cell>
          <cell r="S2777"/>
          <cell r="T2777">
            <v>44754</v>
          </cell>
          <cell r="U2777">
            <v>44763</v>
          </cell>
          <cell r="V2777">
            <v>44764</v>
          </cell>
          <cell r="W2777">
            <v>44764</v>
          </cell>
          <cell r="X2777">
            <v>41100363</v>
          </cell>
        </row>
        <row r="2778">
          <cell r="K2778" t="str">
            <v>GBWS-2544</v>
          </cell>
          <cell r="L2778">
            <v>44739</v>
          </cell>
          <cell r="M2778" t="str">
            <v>2022-07-05 → 6/28</v>
          </cell>
          <cell r="N2778">
            <v>44753</v>
          </cell>
          <cell r="O2778" t="str">
            <v>2022-07-05 → 6/28</v>
          </cell>
          <cell r="P2778">
            <v>44750</v>
          </cell>
          <cell r="Q2778" t="str">
            <v>2022-07-08 → 7/9</v>
          </cell>
          <cell r="R2778" t="str">
            <v>2022-07-08 → 7/9</v>
          </cell>
          <cell r="S2778"/>
          <cell r="T2778">
            <v>44753</v>
          </cell>
          <cell r="U2778">
            <v>44766</v>
          </cell>
          <cell r="V2778">
            <v>44768</v>
          </cell>
          <cell r="W2778">
            <v>44768</v>
          </cell>
          <cell r="X2778">
            <v>41100350</v>
          </cell>
        </row>
        <row r="2779">
          <cell r="K2779" t="str">
            <v>GBWS-2586</v>
          </cell>
          <cell r="L2779">
            <v>44754</v>
          </cell>
          <cell r="M2779">
            <v>44754</v>
          </cell>
          <cell r="N2779">
            <v>44763</v>
          </cell>
          <cell r="O2779">
            <v>44754</v>
          </cell>
          <cell r="P2779">
            <v>44763</v>
          </cell>
          <cell r="Q2779">
            <v>44763</v>
          </cell>
          <cell r="R2779">
            <v>44763</v>
          </cell>
          <cell r="S2779"/>
          <cell r="T2779">
            <v>44764</v>
          </cell>
          <cell r="U2779">
            <v>44766</v>
          </cell>
          <cell r="V2779">
            <v>44769</v>
          </cell>
          <cell r="W2779">
            <v>44769</v>
          </cell>
          <cell r="X2779">
            <v>41100411</v>
          </cell>
        </row>
        <row r="2780">
          <cell r="K2780"/>
          <cell r="L2780" t="str">
            <v>-</v>
          </cell>
          <cell r="M2780">
            <v>44754</v>
          </cell>
          <cell r="N2780">
            <v>44756</v>
          </cell>
          <cell r="O2780">
            <v>44754</v>
          </cell>
          <cell r="P2780">
            <v>44756</v>
          </cell>
          <cell r="Q2780">
            <v>44756</v>
          </cell>
          <cell r="R2780">
            <v>44756</v>
          </cell>
          <cell r="S2780"/>
          <cell r="T2780">
            <v>44756</v>
          </cell>
          <cell r="U2780">
            <v>44756</v>
          </cell>
          <cell r="V2780" t="str">
            <v>022-07-14</v>
          </cell>
          <cell r="W2780">
            <v>44756</v>
          </cell>
          <cell r="X2780">
            <v>31101725</v>
          </cell>
        </row>
        <row r="2781">
          <cell r="K2781"/>
          <cell r="L2781" t="str">
            <v>-</v>
          </cell>
          <cell r="M2781" t="str">
            <v>2022-08-09 → 7/12</v>
          </cell>
          <cell r="N2781">
            <v>44756</v>
          </cell>
          <cell r="O2781" t="str">
            <v>2022-08-09 → 7/12</v>
          </cell>
          <cell r="P2781">
            <v>44756</v>
          </cell>
          <cell r="Q2781" t="str">
            <v>2022-08-11 → 7/14</v>
          </cell>
          <cell r="R2781" t="str">
            <v>2022-08-11 → 7/14</v>
          </cell>
          <cell r="S2781"/>
          <cell r="T2781">
            <v>44756</v>
          </cell>
          <cell r="U2781">
            <v>44756</v>
          </cell>
          <cell r="V2781" t="str">
            <v>022-07-14</v>
          </cell>
          <cell r="W2781">
            <v>44756</v>
          </cell>
          <cell r="X2781">
            <v>31102213</v>
          </cell>
        </row>
        <row r="2782">
          <cell r="K2782" t="str">
            <v>GBWS-2550</v>
          </cell>
          <cell r="L2782">
            <v>44743</v>
          </cell>
          <cell r="M2782">
            <v>44746</v>
          </cell>
          <cell r="N2782">
            <v>44757</v>
          </cell>
          <cell r="O2782">
            <v>44746</v>
          </cell>
          <cell r="P2782">
            <v>44755</v>
          </cell>
          <cell r="Q2782">
            <v>44756</v>
          </cell>
          <cell r="R2782">
            <v>44756</v>
          </cell>
          <cell r="S2782"/>
          <cell r="T2782">
            <v>44760</v>
          </cell>
          <cell r="U2782">
            <v>44767</v>
          </cell>
          <cell r="V2782">
            <v>44768</v>
          </cell>
          <cell r="W2782">
            <v>44768</v>
          </cell>
          <cell r="X2782">
            <v>41100350</v>
          </cell>
        </row>
        <row r="2783">
          <cell r="K2783" t="str">
            <v>GBWS-2587</v>
          </cell>
          <cell r="L2783">
            <v>44754</v>
          </cell>
          <cell r="M2783">
            <v>44754</v>
          </cell>
          <cell r="N2783">
            <v>44764</v>
          </cell>
          <cell r="O2783">
            <v>44754</v>
          </cell>
          <cell r="P2783">
            <v>44763</v>
          </cell>
          <cell r="Q2783">
            <v>44763</v>
          </cell>
          <cell r="R2783">
            <v>44763</v>
          </cell>
          <cell r="S2783"/>
          <cell r="T2783">
            <v>44764</v>
          </cell>
          <cell r="U2783">
            <v>44766</v>
          </cell>
          <cell r="V2783">
            <v>44769</v>
          </cell>
          <cell r="W2783">
            <v>44769</v>
          </cell>
          <cell r="X2783">
            <v>41100302</v>
          </cell>
        </row>
        <row r="2784">
          <cell r="K2784" t="str">
            <v>GBWS-2541</v>
          </cell>
          <cell r="L2784">
            <v>44739</v>
          </cell>
          <cell r="M2784" t="str">
            <v>2022-07-05 → 06-28</v>
          </cell>
          <cell r="N2784">
            <v>44754</v>
          </cell>
          <cell r="O2784" t="str">
            <v>2022-07-05 → 06-28</v>
          </cell>
          <cell r="P2784">
            <v>44763</v>
          </cell>
          <cell r="Q2784" t="str">
            <v>2022-07-08 → 7/11</v>
          </cell>
          <cell r="R2784" t="str">
            <v>2022-07-08 → 7/11</v>
          </cell>
          <cell r="S2784"/>
          <cell r="T2784">
            <v>44754</v>
          </cell>
          <cell r="U2784">
            <v>44766</v>
          </cell>
          <cell r="V2784">
            <v>44767</v>
          </cell>
          <cell r="W2784">
            <v>44767</v>
          </cell>
          <cell r="X2784">
            <v>41100408</v>
          </cell>
        </row>
        <row r="2785">
          <cell r="K2785" t="str">
            <v>GBWS-2542</v>
          </cell>
          <cell r="L2785">
            <v>44739</v>
          </cell>
          <cell r="M2785" t="str">
            <v>2022-07-05 → 06-28</v>
          </cell>
          <cell r="N2785">
            <v>44754</v>
          </cell>
          <cell r="O2785" t="str">
            <v>2022-07-05 → 06-28</v>
          </cell>
          <cell r="P2785">
            <v>44763</v>
          </cell>
          <cell r="Q2785" t="str">
            <v>2022-07-08 → 7/11</v>
          </cell>
          <cell r="R2785" t="str">
            <v>2022-07-08 → 7/11</v>
          </cell>
          <cell r="S2785"/>
          <cell r="T2785">
            <v>44754</v>
          </cell>
          <cell r="U2785">
            <v>44766</v>
          </cell>
          <cell r="V2785">
            <v>44767</v>
          </cell>
          <cell r="W2785">
            <v>44767</v>
          </cell>
          <cell r="X2785">
            <v>41100408</v>
          </cell>
        </row>
        <row r="2786">
          <cell r="K2786" t="str">
            <v>GBWS-2618</v>
          </cell>
          <cell r="L2786">
            <v>44755</v>
          </cell>
          <cell r="M2786">
            <v>44756</v>
          </cell>
          <cell r="N2786">
            <v>44774</v>
          </cell>
          <cell r="O2786">
            <v>44756</v>
          </cell>
          <cell r="P2786">
            <v>44774</v>
          </cell>
          <cell r="Q2786" t="str">
            <v>2022-07-26 →7/29</v>
          </cell>
          <cell r="R2786" t="str">
            <v>2022-07-26 →7/29</v>
          </cell>
          <cell r="S2786"/>
          <cell r="T2786">
            <v>44774</v>
          </cell>
          <cell r="U2786">
            <v>44774</v>
          </cell>
          <cell r="V2786">
            <v>44774</v>
          </cell>
          <cell r="W2786">
            <v>44774</v>
          </cell>
          <cell r="X2786">
            <v>41100093</v>
          </cell>
        </row>
        <row r="2787">
          <cell r="K2787" t="str">
            <v>GBWS-2619</v>
          </cell>
          <cell r="L2787">
            <v>44755</v>
          </cell>
          <cell r="M2787">
            <v>44756</v>
          </cell>
          <cell r="N2787">
            <v>44774</v>
          </cell>
          <cell r="O2787">
            <v>44756</v>
          </cell>
          <cell r="P2787">
            <v>44774</v>
          </cell>
          <cell r="Q2787" t="str">
            <v>2022-07-26 →7/29</v>
          </cell>
          <cell r="R2787" t="str">
            <v>2022-07-26 →7/29</v>
          </cell>
          <cell r="S2787"/>
          <cell r="T2787">
            <v>44774</v>
          </cell>
          <cell r="U2787">
            <v>44774</v>
          </cell>
          <cell r="V2787">
            <v>44774</v>
          </cell>
          <cell r="W2787">
            <v>44774</v>
          </cell>
          <cell r="X2787">
            <v>41100093</v>
          </cell>
        </row>
        <row r="2788">
          <cell r="K2788" t="str">
            <v>GBWS-2559</v>
          </cell>
          <cell r="L2788">
            <v>44746</v>
          </cell>
          <cell r="M2788" t="str">
            <v>2022-07-12 → 7/5</v>
          </cell>
          <cell r="N2788">
            <v>44761</v>
          </cell>
          <cell r="O2788" t="str">
            <v>2022-07-12 → 7/5</v>
          </cell>
          <cell r="P2788">
            <v>44765</v>
          </cell>
          <cell r="Q2788" t="str">
            <v>2022-07-15 → 7/18</v>
          </cell>
          <cell r="R2788" t="str">
            <v>2022-07-15 → 7/18</v>
          </cell>
          <cell r="S2788"/>
          <cell r="T2788">
            <v>44761</v>
          </cell>
          <cell r="U2788">
            <v>44766</v>
          </cell>
          <cell r="V2788">
            <v>44769</v>
          </cell>
          <cell r="W2788">
            <v>44769</v>
          </cell>
          <cell r="X2788">
            <v>41100363</v>
          </cell>
        </row>
        <row r="2789">
          <cell r="K2789" t="str">
            <v>GBWS-2492</v>
          </cell>
          <cell r="L2789">
            <v>44732</v>
          </cell>
          <cell r="M2789" t="str">
            <v>2022-06-09 → 6/21</v>
          </cell>
          <cell r="N2789">
            <v>44743</v>
          </cell>
          <cell r="O2789" t="str">
            <v>2022-06-09 → 6/21</v>
          </cell>
          <cell r="P2789">
            <v>44746</v>
          </cell>
          <cell r="Q2789" t="str">
            <v>2022-06-21 → 7/1</v>
          </cell>
          <cell r="R2789" t="str">
            <v>2022-06-21 → 7/1</v>
          </cell>
          <cell r="S2789"/>
          <cell r="T2789">
            <v>44747</v>
          </cell>
          <cell r="U2789">
            <v>44754</v>
          </cell>
          <cell r="V2789">
            <v>44755</v>
          </cell>
          <cell r="W2789">
            <v>44756</v>
          </cell>
          <cell r="X2789">
            <v>41100320</v>
          </cell>
        </row>
        <row r="2790">
          <cell r="K2790" t="str">
            <v>GBWS-2534</v>
          </cell>
          <cell r="L2790">
            <v>44739</v>
          </cell>
          <cell r="M2790">
            <v>44740</v>
          </cell>
          <cell r="N2790">
            <v>44749</v>
          </cell>
          <cell r="O2790">
            <v>44740</v>
          </cell>
          <cell r="P2790">
            <v>44755</v>
          </cell>
          <cell r="Q2790">
            <v>44749</v>
          </cell>
          <cell r="R2790">
            <v>44749</v>
          </cell>
          <cell r="S2790"/>
          <cell r="T2790">
            <v>44750</v>
          </cell>
          <cell r="U2790">
            <v>44757</v>
          </cell>
          <cell r="V2790">
            <v>44760</v>
          </cell>
          <cell r="W2790">
            <v>44760</v>
          </cell>
          <cell r="X2790">
            <v>41100460</v>
          </cell>
        </row>
        <row r="2791">
          <cell r="K2791" t="str">
            <v>GBWS-2535</v>
          </cell>
          <cell r="L2791">
            <v>44739</v>
          </cell>
          <cell r="M2791">
            <v>44740</v>
          </cell>
          <cell r="N2791">
            <v>44749</v>
          </cell>
          <cell r="O2791">
            <v>44740</v>
          </cell>
          <cell r="P2791">
            <v>44755</v>
          </cell>
          <cell r="Q2791">
            <v>44749</v>
          </cell>
          <cell r="R2791">
            <v>44749</v>
          </cell>
          <cell r="S2791"/>
          <cell r="T2791">
            <v>44750</v>
          </cell>
          <cell r="U2791">
            <v>44757</v>
          </cell>
          <cell r="V2791">
            <v>44760</v>
          </cell>
          <cell r="W2791">
            <v>44760</v>
          </cell>
          <cell r="X2791">
            <v>41100460</v>
          </cell>
        </row>
        <row r="2792">
          <cell r="K2792" t="str">
            <v>GBWS-2536</v>
          </cell>
          <cell r="L2792">
            <v>44739</v>
          </cell>
          <cell r="M2792">
            <v>44740</v>
          </cell>
          <cell r="N2792">
            <v>44749</v>
          </cell>
          <cell r="O2792">
            <v>44740</v>
          </cell>
          <cell r="P2792">
            <v>44755</v>
          </cell>
          <cell r="Q2792">
            <v>44749</v>
          </cell>
          <cell r="R2792">
            <v>44749</v>
          </cell>
          <cell r="S2792"/>
          <cell r="T2792">
            <v>44750</v>
          </cell>
          <cell r="U2792">
            <v>44757</v>
          </cell>
          <cell r="V2792">
            <v>44760</v>
          </cell>
          <cell r="W2792">
            <v>44760</v>
          </cell>
          <cell r="X2792">
            <v>41100460</v>
          </cell>
        </row>
        <row r="2793">
          <cell r="K2793" t="str">
            <v>GBWS-2568</v>
          </cell>
          <cell r="L2793">
            <v>44747</v>
          </cell>
          <cell r="M2793">
            <v>44748</v>
          </cell>
          <cell r="N2793">
            <v>44760</v>
          </cell>
          <cell r="O2793">
            <v>44748</v>
          </cell>
          <cell r="P2793">
            <v>44760</v>
          </cell>
          <cell r="Q2793">
            <v>44760</v>
          </cell>
          <cell r="R2793">
            <v>44760</v>
          </cell>
          <cell r="S2793"/>
          <cell r="T2793">
            <v>44760</v>
          </cell>
          <cell r="U2793">
            <v>44761</v>
          </cell>
          <cell r="V2793">
            <v>44762</v>
          </cell>
          <cell r="W2793">
            <v>44762</v>
          </cell>
          <cell r="X2793">
            <v>41100460</v>
          </cell>
        </row>
        <row r="2794">
          <cell r="K2794" t="str">
            <v>GBWS-2569</v>
          </cell>
          <cell r="L2794">
            <v>44747</v>
          </cell>
          <cell r="M2794">
            <v>44748</v>
          </cell>
          <cell r="N2794">
            <v>44760</v>
          </cell>
          <cell r="O2794">
            <v>44748</v>
          </cell>
          <cell r="P2794">
            <v>44760</v>
          </cell>
          <cell r="Q2794">
            <v>44760</v>
          </cell>
          <cell r="R2794">
            <v>44760</v>
          </cell>
          <cell r="S2794"/>
          <cell r="T2794">
            <v>44760</v>
          </cell>
          <cell r="U2794">
            <v>44761</v>
          </cell>
          <cell r="V2794">
            <v>44762</v>
          </cell>
          <cell r="W2794">
            <v>44762</v>
          </cell>
          <cell r="X2794">
            <v>41100460</v>
          </cell>
        </row>
        <row r="2795">
          <cell r="K2795" t="str">
            <v>WS-0049</v>
          </cell>
          <cell r="L2795">
            <v>44565</v>
          </cell>
          <cell r="M2795">
            <v>44565</v>
          </cell>
          <cell r="N2795">
            <v>44573</v>
          </cell>
          <cell r="O2795">
            <v>44565</v>
          </cell>
          <cell r="P2795">
            <v>44573</v>
          </cell>
          <cell r="Q2795">
            <v>44573</v>
          </cell>
          <cell r="R2795">
            <v>44573</v>
          </cell>
          <cell r="S2795"/>
          <cell r="T2795">
            <v>44578</v>
          </cell>
          <cell r="U2795">
            <v>44595</v>
          </cell>
          <cell r="V2795">
            <v>44603</v>
          </cell>
          <cell r="W2795">
            <v>44603</v>
          </cell>
          <cell r="X2795">
            <v>41100238</v>
          </cell>
        </row>
        <row r="2796">
          <cell r="K2796" t="str">
            <v>GBWS-2573</v>
          </cell>
          <cell r="L2796">
            <v>44747</v>
          </cell>
          <cell r="M2796">
            <v>44748</v>
          </cell>
          <cell r="N2796">
            <v>44760</v>
          </cell>
          <cell r="O2796">
            <v>44748</v>
          </cell>
          <cell r="P2796">
            <v>44760</v>
          </cell>
          <cell r="Q2796">
            <v>44760</v>
          </cell>
          <cell r="R2796">
            <v>44760</v>
          </cell>
          <cell r="S2796"/>
          <cell r="T2796">
            <v>44762</v>
          </cell>
          <cell r="U2796">
            <v>44763</v>
          </cell>
          <cell r="V2796">
            <v>44764</v>
          </cell>
          <cell r="W2796">
            <v>44764</v>
          </cell>
          <cell r="X2796">
            <v>41100507</v>
          </cell>
        </row>
        <row r="2797">
          <cell r="K2797" t="str">
            <v>GBWS-2574</v>
          </cell>
          <cell r="L2797">
            <v>44747</v>
          </cell>
          <cell r="M2797">
            <v>44748</v>
          </cell>
          <cell r="N2797">
            <v>44760</v>
          </cell>
          <cell r="O2797">
            <v>44748</v>
          </cell>
          <cell r="P2797">
            <v>44760</v>
          </cell>
          <cell r="Q2797">
            <v>44760</v>
          </cell>
          <cell r="R2797">
            <v>44760</v>
          </cell>
          <cell r="S2797"/>
          <cell r="T2797">
            <v>44761</v>
          </cell>
          <cell r="U2797">
            <v>44762</v>
          </cell>
          <cell r="V2797">
            <v>44763</v>
          </cell>
          <cell r="W2797">
            <v>44763</v>
          </cell>
          <cell r="X2797">
            <v>41100509</v>
          </cell>
        </row>
        <row r="2798">
          <cell r="K2798" t="str">
            <v>GBWS-2575</v>
          </cell>
          <cell r="L2798">
            <v>44747</v>
          </cell>
          <cell r="M2798">
            <v>44748</v>
          </cell>
          <cell r="N2798">
            <v>44760</v>
          </cell>
          <cell r="O2798">
            <v>44748</v>
          </cell>
          <cell r="P2798">
            <v>44760</v>
          </cell>
          <cell r="Q2798">
            <v>44760</v>
          </cell>
          <cell r="R2798">
            <v>44760</v>
          </cell>
          <cell r="S2798"/>
          <cell r="T2798">
            <v>44761</v>
          </cell>
          <cell r="U2798">
            <v>44762</v>
          </cell>
          <cell r="V2798">
            <v>44763</v>
          </cell>
          <cell r="W2798">
            <v>44763</v>
          </cell>
          <cell r="X2798">
            <v>41100509</v>
          </cell>
        </row>
        <row r="2799">
          <cell r="K2799" t="str">
            <v>GBWS-2576</v>
          </cell>
          <cell r="L2799">
            <v>44747</v>
          </cell>
          <cell r="M2799">
            <v>44748</v>
          </cell>
          <cell r="N2799">
            <v>44760</v>
          </cell>
          <cell r="O2799">
            <v>44748</v>
          </cell>
          <cell r="P2799">
            <v>44760</v>
          </cell>
          <cell r="Q2799">
            <v>44760</v>
          </cell>
          <cell r="R2799">
            <v>44760</v>
          </cell>
          <cell r="S2799"/>
          <cell r="T2799">
            <v>44761</v>
          </cell>
          <cell r="U2799">
            <v>44762</v>
          </cell>
          <cell r="V2799">
            <v>44763</v>
          </cell>
          <cell r="W2799">
            <v>44763</v>
          </cell>
          <cell r="X2799">
            <v>41100509</v>
          </cell>
        </row>
        <row r="2800">
          <cell r="K2800" t="str">
            <v>GBWS-2577</v>
          </cell>
          <cell r="L2800">
            <v>44747</v>
          </cell>
          <cell r="M2800">
            <v>44748</v>
          </cell>
          <cell r="N2800">
            <v>44760</v>
          </cell>
          <cell r="O2800">
            <v>44748</v>
          </cell>
          <cell r="P2800">
            <v>44760</v>
          </cell>
          <cell r="Q2800">
            <v>44760</v>
          </cell>
          <cell r="R2800">
            <v>44760</v>
          </cell>
          <cell r="S2800"/>
          <cell r="T2800">
            <v>44761</v>
          </cell>
          <cell r="U2800">
            <v>44762</v>
          </cell>
          <cell r="V2800">
            <v>44764</v>
          </cell>
          <cell r="W2800">
            <v>44764</v>
          </cell>
          <cell r="X2800">
            <v>41100509</v>
          </cell>
        </row>
        <row r="2801">
          <cell r="K2801" t="str">
            <v>GBWS-2531</v>
          </cell>
          <cell r="L2801">
            <v>44739</v>
          </cell>
          <cell r="M2801">
            <v>44740</v>
          </cell>
          <cell r="N2801">
            <v>44749</v>
          </cell>
          <cell r="O2801">
            <v>44740</v>
          </cell>
          <cell r="P2801">
            <v>44747</v>
          </cell>
          <cell r="Q2801">
            <v>44749</v>
          </cell>
          <cell r="R2801">
            <v>44749</v>
          </cell>
          <cell r="S2801"/>
          <cell r="T2801">
            <v>44749</v>
          </cell>
          <cell r="U2801">
            <v>44756</v>
          </cell>
          <cell r="V2801">
            <v>44757</v>
          </cell>
          <cell r="W2801">
            <v>44757</v>
          </cell>
          <cell r="X2801">
            <v>41100462</v>
          </cell>
        </row>
        <row r="2802">
          <cell r="K2802" t="str">
            <v>GBWS-2556</v>
          </cell>
          <cell r="L2802">
            <v>44746</v>
          </cell>
          <cell r="M2802" t="str">
            <v>2022-07-12 → 7/5</v>
          </cell>
          <cell r="N2802">
            <v>44762</v>
          </cell>
          <cell r="O2802" t="str">
            <v>2022-07-12 → 7/5</v>
          </cell>
          <cell r="P2802">
            <v>44761</v>
          </cell>
          <cell r="Q2802" t="str">
            <v>2022-07-15 → 7/19</v>
          </cell>
          <cell r="R2802" t="str">
            <v>2022-07-15 → 7/19</v>
          </cell>
          <cell r="S2802"/>
          <cell r="T2802">
            <v>44762</v>
          </cell>
          <cell r="U2802">
            <v>44763</v>
          </cell>
          <cell r="V2802">
            <v>44764</v>
          </cell>
          <cell r="W2802">
            <v>44764</v>
          </cell>
          <cell r="X2802">
            <v>41100443</v>
          </cell>
        </row>
        <row r="2803">
          <cell r="K2803" t="str">
            <v>GBWS-2557</v>
          </cell>
          <cell r="L2803">
            <v>44746</v>
          </cell>
          <cell r="M2803" t="str">
            <v>2022-07-12 → 7/5</v>
          </cell>
          <cell r="N2803">
            <v>44762</v>
          </cell>
          <cell r="O2803" t="str">
            <v>2022-07-12 → 7/5</v>
          </cell>
          <cell r="P2803">
            <v>44761</v>
          </cell>
          <cell r="Q2803" t="str">
            <v>2022-07-15 → 7/19</v>
          </cell>
          <cell r="R2803" t="str">
            <v>2022-07-15 → 7/19</v>
          </cell>
          <cell r="S2803"/>
          <cell r="T2803">
            <v>44762</v>
          </cell>
          <cell r="U2803">
            <v>44763</v>
          </cell>
          <cell r="V2803">
            <v>44764</v>
          </cell>
          <cell r="W2803">
            <v>44764</v>
          </cell>
          <cell r="X2803">
            <v>41100443</v>
          </cell>
        </row>
        <row r="2804">
          <cell r="K2804" t="str">
            <v>GBWS-2583</v>
          </cell>
          <cell r="L2804">
            <v>44753</v>
          </cell>
          <cell r="M2804" t="str">
            <v>2022-07-07 → 7/11</v>
          </cell>
          <cell r="N2804">
            <v>44764</v>
          </cell>
          <cell r="O2804" t="str">
            <v>2022-07-07 → 7/11</v>
          </cell>
          <cell r="P2804">
            <v>44763</v>
          </cell>
          <cell r="Q2804" t="str">
            <v>2022-07-15 → 7/21</v>
          </cell>
          <cell r="R2804" t="str">
            <v>2022-07-15 → 7/21</v>
          </cell>
          <cell r="S2804"/>
          <cell r="T2804">
            <v>44764</v>
          </cell>
          <cell r="U2804">
            <v>44774</v>
          </cell>
          <cell r="V2804">
            <v>44775</v>
          </cell>
          <cell r="W2804">
            <v>44775</v>
          </cell>
          <cell r="X2804" t="str">
            <v xml:space="preserve"> 41100523 → 41100537 </v>
          </cell>
        </row>
        <row r="2805">
          <cell r="K2805" t="str">
            <v>GBWS-2558</v>
          </cell>
          <cell r="L2805">
            <v>44746</v>
          </cell>
          <cell r="M2805" t="str">
            <v>2022-07-12 → 7/5</v>
          </cell>
          <cell r="N2805">
            <v>44762</v>
          </cell>
          <cell r="O2805" t="str">
            <v>2022-07-12 → 7/5</v>
          </cell>
          <cell r="P2805">
            <v>44762</v>
          </cell>
          <cell r="Q2805" t="str">
            <v>2022-07-15 → 7/19</v>
          </cell>
          <cell r="R2805" t="str">
            <v>2022-07-15 → 7/19</v>
          </cell>
          <cell r="S2805"/>
          <cell r="T2805">
            <v>44762</v>
          </cell>
          <cell r="U2805">
            <v>44775</v>
          </cell>
          <cell r="V2805">
            <v>44776</v>
          </cell>
          <cell r="W2805">
            <v>44776</v>
          </cell>
          <cell r="X2805">
            <v>41100358</v>
          </cell>
        </row>
        <row r="2806">
          <cell r="K2806"/>
          <cell r="L2806" t="str">
            <v>-</v>
          </cell>
          <cell r="M2806">
            <v>44760</v>
          </cell>
          <cell r="N2806">
            <v>44777</v>
          </cell>
          <cell r="O2806">
            <v>44760</v>
          </cell>
          <cell r="P2806">
            <v>44777</v>
          </cell>
          <cell r="Q2806">
            <v>44763</v>
          </cell>
          <cell r="R2806">
            <v>44763</v>
          </cell>
          <cell r="S2806"/>
          <cell r="T2806">
            <v>44777</v>
          </cell>
          <cell r="U2806">
            <v>44777</v>
          </cell>
          <cell r="V2806">
            <v>44777</v>
          </cell>
          <cell r="W2806">
            <v>44777</v>
          </cell>
          <cell r="X2806">
            <v>31101726</v>
          </cell>
        </row>
        <row r="2807">
          <cell r="K2807" t="str">
            <v>GBWS-2613</v>
          </cell>
          <cell r="L2807">
            <v>44754</v>
          </cell>
          <cell r="M2807">
            <v>44755</v>
          </cell>
          <cell r="N2807">
            <v>44769</v>
          </cell>
          <cell r="O2807">
            <v>44755</v>
          </cell>
          <cell r="P2807">
            <v>44768</v>
          </cell>
          <cell r="Q2807" t="str">
            <v>2022-07-25 → 7/28</v>
          </cell>
          <cell r="R2807" t="str">
            <v>2022-07-25 → 7/28</v>
          </cell>
          <cell r="S2807"/>
          <cell r="T2807">
            <v>44770</v>
          </cell>
          <cell r="U2807">
            <v>44771</v>
          </cell>
          <cell r="V2807">
            <v>44775</v>
          </cell>
          <cell r="W2807">
            <v>44775</v>
          </cell>
          <cell r="X2807">
            <v>41100516</v>
          </cell>
        </row>
        <row r="2808">
          <cell r="K2808" t="str">
            <v>GBWS-2555</v>
          </cell>
          <cell r="L2808">
            <v>44746</v>
          </cell>
          <cell r="M2808" t="str">
            <v>2022-07-12 → 7/5</v>
          </cell>
          <cell r="N2808">
            <v>44762</v>
          </cell>
          <cell r="O2808" t="str">
            <v>2022-07-12 → 7/5</v>
          </cell>
          <cell r="P2808">
            <v>44765</v>
          </cell>
          <cell r="Q2808" t="str">
            <v>2022-07-15 → 7/19</v>
          </cell>
          <cell r="R2808" t="str">
            <v>2022-07-15 → 7/19</v>
          </cell>
          <cell r="S2808"/>
          <cell r="T2808">
            <v>44762</v>
          </cell>
          <cell r="U2808">
            <v>44766</v>
          </cell>
          <cell r="V2808">
            <v>44769</v>
          </cell>
          <cell r="W2808">
            <v>44769</v>
          </cell>
          <cell r="X2808">
            <v>41100320</v>
          </cell>
        </row>
        <row r="2809">
          <cell r="K2809" t="str">
            <v>GPWS-0226</v>
          </cell>
          <cell r="L2809">
            <v>44762</v>
          </cell>
          <cell r="M2809">
            <v>44762</v>
          </cell>
          <cell r="N2809">
            <v>44775</v>
          </cell>
          <cell r="O2809">
            <v>44762</v>
          </cell>
          <cell r="P2809">
            <v>44775</v>
          </cell>
          <cell r="Q2809">
            <v>44771</v>
          </cell>
          <cell r="R2809">
            <v>44771</v>
          </cell>
          <cell r="S2809"/>
          <cell r="T2809">
            <v>44776</v>
          </cell>
          <cell r="U2809">
            <v>44777</v>
          </cell>
          <cell r="V2809">
            <v>44778</v>
          </cell>
          <cell r="W2809">
            <v>44778</v>
          </cell>
          <cell r="X2809">
            <v>41100380</v>
          </cell>
        </row>
        <row r="2810">
          <cell r="K2810" t="str">
            <v>GPWS-0227</v>
          </cell>
          <cell r="L2810">
            <v>44762</v>
          </cell>
          <cell r="M2810">
            <v>44762</v>
          </cell>
          <cell r="N2810">
            <v>44775</v>
          </cell>
          <cell r="O2810">
            <v>44762</v>
          </cell>
          <cell r="P2810">
            <v>44775</v>
          </cell>
          <cell r="Q2810">
            <v>44771</v>
          </cell>
          <cell r="R2810">
            <v>44771</v>
          </cell>
          <cell r="S2810"/>
          <cell r="T2810">
            <v>44776</v>
          </cell>
          <cell r="U2810">
            <v>44777</v>
          </cell>
          <cell r="V2810">
            <v>44778</v>
          </cell>
          <cell r="W2810">
            <v>44778</v>
          </cell>
          <cell r="X2810">
            <v>41100380</v>
          </cell>
        </row>
        <row r="2811">
          <cell r="K2811" t="str">
            <v>GBWS-2512</v>
          </cell>
          <cell r="L2811">
            <v>44734</v>
          </cell>
          <cell r="M2811">
            <v>44735</v>
          </cell>
          <cell r="N2811">
            <v>44749</v>
          </cell>
          <cell r="O2811">
            <v>44735</v>
          </cell>
          <cell r="P2811">
            <v>44749</v>
          </cell>
          <cell r="Q2811">
            <v>44748</v>
          </cell>
          <cell r="R2811">
            <v>44748</v>
          </cell>
          <cell r="S2811"/>
          <cell r="T2811">
            <v>44754</v>
          </cell>
          <cell r="U2811">
            <v>44760</v>
          </cell>
          <cell r="V2811">
            <v>44761</v>
          </cell>
          <cell r="W2811">
            <v>44761</v>
          </cell>
          <cell r="X2811">
            <v>41100325</v>
          </cell>
        </row>
        <row r="2812">
          <cell r="K2812" t="str">
            <v>GBWS-2620</v>
          </cell>
          <cell r="L2812">
            <v>44760</v>
          </cell>
          <cell r="M2812">
            <v>44760</v>
          </cell>
          <cell r="N2812">
            <v>44775</v>
          </cell>
          <cell r="O2812">
            <v>44760</v>
          </cell>
          <cell r="P2812">
            <v>44775</v>
          </cell>
          <cell r="Q2812" t="str">
            <v>2022-07-29 →8/1</v>
          </cell>
          <cell r="R2812" t="str">
            <v>2022-07-29 →8/1</v>
          </cell>
          <cell r="S2812"/>
          <cell r="T2812">
            <v>44776</v>
          </cell>
          <cell r="U2812">
            <v>44777</v>
          </cell>
          <cell r="V2812">
            <v>44778</v>
          </cell>
          <cell r="W2812">
            <v>44778</v>
          </cell>
          <cell r="X2812">
            <v>41100318</v>
          </cell>
        </row>
        <row r="2813">
          <cell r="K2813" t="str">
            <v>DBW-2658</v>
          </cell>
          <cell r="L2813">
            <v>44714</v>
          </cell>
          <cell r="M2813">
            <v>44715</v>
          </cell>
          <cell r="N2813">
            <v>44725</v>
          </cell>
          <cell r="O2813">
            <v>44715</v>
          </cell>
          <cell r="P2813">
            <v>44726</v>
          </cell>
          <cell r="Q2813">
            <v>44726</v>
          </cell>
          <cell r="R2813">
            <v>44726</v>
          </cell>
          <cell r="S2813"/>
          <cell r="T2813">
            <v>44727</v>
          </cell>
          <cell r="U2813">
            <v>44728</v>
          </cell>
          <cell r="V2813">
            <v>44733</v>
          </cell>
          <cell r="W2813">
            <v>44733</v>
          </cell>
          <cell r="X2813">
            <v>41100360</v>
          </cell>
        </row>
        <row r="2814">
          <cell r="K2814" t="str">
            <v>DBW-2680</v>
          </cell>
          <cell r="L2814">
            <v>44750</v>
          </cell>
          <cell r="M2814" t="str">
            <v>2022-07-14 → 7/8</v>
          </cell>
          <cell r="N2814">
            <v>44767</v>
          </cell>
          <cell r="O2814" t="str">
            <v>2022-07-14 → 7/8</v>
          </cell>
          <cell r="P2814">
            <v>44767</v>
          </cell>
          <cell r="Q2814" t="str">
            <v>2022-07-20 → 7/22</v>
          </cell>
          <cell r="R2814" t="str">
            <v>2022-07-20 → 7/22</v>
          </cell>
          <cell r="S2814"/>
          <cell r="T2814">
            <v>44767</v>
          </cell>
          <cell r="U2814">
            <v>44768</v>
          </cell>
          <cell r="V2814">
            <v>44770</v>
          </cell>
          <cell r="W2814">
            <v>44770</v>
          </cell>
          <cell r="X2814">
            <v>41100360</v>
          </cell>
        </row>
        <row r="2815">
          <cell r="K2815" t="str">
            <v>DBW-2681</v>
          </cell>
          <cell r="L2815">
            <v>44750</v>
          </cell>
          <cell r="M2815" t="str">
            <v>2022-07-14 → 7/8</v>
          </cell>
          <cell r="N2815">
            <v>44767</v>
          </cell>
          <cell r="O2815" t="str">
            <v>2022-07-14 → 7/8</v>
          </cell>
          <cell r="P2815">
            <v>44767</v>
          </cell>
          <cell r="Q2815" t="str">
            <v>2022-07-20 → 7/22</v>
          </cell>
          <cell r="R2815" t="str">
            <v>2022-07-20 → 7/22</v>
          </cell>
          <cell r="S2815"/>
          <cell r="T2815">
            <v>44767</v>
          </cell>
          <cell r="U2815">
            <v>44768</v>
          </cell>
          <cell r="V2815">
            <v>44770</v>
          </cell>
          <cell r="W2815">
            <v>44770</v>
          </cell>
          <cell r="X2815">
            <v>41100360</v>
          </cell>
        </row>
        <row r="2816">
          <cell r="K2816" t="str">
            <v>DBW-2688</v>
          </cell>
          <cell r="L2816">
            <v>44760</v>
          </cell>
          <cell r="M2816">
            <v>44761</v>
          </cell>
          <cell r="N2816">
            <v>44774</v>
          </cell>
          <cell r="O2816">
            <v>44761</v>
          </cell>
          <cell r="P2816">
            <v>44774</v>
          </cell>
          <cell r="Q2816" t="str">
            <v>2022-07-27 → 7/29</v>
          </cell>
          <cell r="R2816" t="str">
            <v>2022-07-27 → 7/29</v>
          </cell>
          <cell r="S2816"/>
          <cell r="T2816">
            <v>44774</v>
          </cell>
          <cell r="U2816">
            <v>44775</v>
          </cell>
          <cell r="V2816">
            <v>44776</v>
          </cell>
          <cell r="W2816">
            <v>44776</v>
          </cell>
          <cell r="X2816">
            <v>41100354</v>
          </cell>
        </row>
        <row r="2817">
          <cell r="K2817" t="str">
            <v>GPWS-0224</v>
          </cell>
          <cell r="L2817">
            <v>44755</v>
          </cell>
          <cell r="M2817">
            <v>44756</v>
          </cell>
          <cell r="N2817">
            <v>44775</v>
          </cell>
          <cell r="O2817">
            <v>44756</v>
          </cell>
          <cell r="P2817">
            <v>44774</v>
          </cell>
          <cell r="Q2817" t="str">
            <v>2022-07-26 →7/29</v>
          </cell>
          <cell r="R2817" t="str">
            <v>2022-07-26 →7/29</v>
          </cell>
          <cell r="S2817"/>
          <cell r="T2817">
            <v>44775</v>
          </cell>
          <cell r="U2817">
            <v>44776</v>
          </cell>
          <cell r="V2817">
            <v>44777</v>
          </cell>
          <cell r="W2817">
            <v>44777</v>
          </cell>
          <cell r="X2817">
            <v>41100064</v>
          </cell>
        </row>
        <row r="2818">
          <cell r="K2818" t="str">
            <v>GBWS-2624</v>
          </cell>
          <cell r="L2818">
            <v>44760</v>
          </cell>
          <cell r="M2818">
            <v>44761</v>
          </cell>
          <cell r="N2818">
            <v>44775</v>
          </cell>
          <cell r="O2818">
            <v>44761</v>
          </cell>
          <cell r="P2818">
            <v>44774</v>
          </cell>
          <cell r="Q2818" t="str">
            <v>2022-07-29 →8/1</v>
          </cell>
          <cell r="R2818" t="str">
            <v>2022-07-29 →8/1</v>
          </cell>
          <cell r="S2818"/>
          <cell r="T2818">
            <v>44777</v>
          </cell>
          <cell r="U2818">
            <v>44778</v>
          </cell>
          <cell r="V2818">
            <v>44781</v>
          </cell>
          <cell r="W2818">
            <v>44781</v>
          </cell>
          <cell r="X2818">
            <v>41100391</v>
          </cell>
        </row>
        <row r="2819">
          <cell r="K2819" t="str">
            <v>GBWS-2625</v>
          </cell>
          <cell r="L2819">
            <v>44760</v>
          </cell>
          <cell r="M2819">
            <v>44761</v>
          </cell>
          <cell r="N2819">
            <v>44775</v>
          </cell>
          <cell r="O2819">
            <v>44761</v>
          </cell>
          <cell r="P2819">
            <v>44774</v>
          </cell>
          <cell r="Q2819" t="str">
            <v>2022-07-29 →8/1</v>
          </cell>
          <cell r="R2819" t="str">
            <v>2022-07-29 →8/1</v>
          </cell>
          <cell r="S2819"/>
          <cell r="T2819">
            <v>44776</v>
          </cell>
          <cell r="U2819">
            <v>44777</v>
          </cell>
          <cell r="V2819">
            <v>44781</v>
          </cell>
          <cell r="W2819">
            <v>44781</v>
          </cell>
          <cell r="X2819">
            <v>41100366</v>
          </cell>
        </row>
        <row r="2820">
          <cell r="K2820" t="str">
            <v>DBW-2640</v>
          </cell>
          <cell r="L2820">
            <v>44693</v>
          </cell>
          <cell r="M2820">
            <v>44693</v>
          </cell>
          <cell r="N2820">
            <v>44701</v>
          </cell>
          <cell r="O2820">
            <v>44693</v>
          </cell>
          <cell r="P2820">
            <v>44701</v>
          </cell>
          <cell r="Q2820">
            <v>44704</v>
          </cell>
          <cell r="R2820">
            <v>44704</v>
          </cell>
          <cell r="S2820"/>
          <cell r="T2820">
            <v>44705</v>
          </cell>
          <cell r="U2820">
            <v>44706</v>
          </cell>
          <cell r="V2820">
            <v>44707</v>
          </cell>
          <cell r="W2820">
            <v>44707</v>
          </cell>
          <cell r="X2820">
            <v>41100479</v>
          </cell>
        </row>
        <row r="2821">
          <cell r="K2821" t="str">
            <v>GBWS-2545</v>
          </cell>
          <cell r="L2821">
            <v>44739</v>
          </cell>
          <cell r="M2821" t="str">
            <v>2022-07-05 → 6/28</v>
          </cell>
          <cell r="N2821">
            <v>44753</v>
          </cell>
          <cell r="O2821" t="str">
            <v>2022-07-05 → 6/28</v>
          </cell>
          <cell r="P2821">
            <v>44750</v>
          </cell>
          <cell r="Q2821" t="str">
            <v>2022-07-08 → 7/9</v>
          </cell>
          <cell r="R2821" t="str">
            <v>2022-07-08 → 7/9</v>
          </cell>
          <cell r="S2821"/>
          <cell r="T2821">
            <v>44753</v>
          </cell>
          <cell r="U2821">
            <v>44776</v>
          </cell>
          <cell r="V2821">
            <v>44777</v>
          </cell>
          <cell r="W2821">
            <v>44777</v>
          </cell>
          <cell r="X2821">
            <v>41100350</v>
          </cell>
        </row>
        <row r="2822">
          <cell r="K2822" t="str">
            <v>-</v>
          </cell>
          <cell r="L2822">
            <v>44768</v>
          </cell>
          <cell r="M2822">
            <v>44769</v>
          </cell>
          <cell r="N2822">
            <v>44781</v>
          </cell>
          <cell r="O2822">
            <v>44769</v>
          </cell>
          <cell r="P2822">
            <v>44781</v>
          </cell>
          <cell r="Q2822">
            <v>44769</v>
          </cell>
          <cell r="R2822">
            <v>44769</v>
          </cell>
          <cell r="S2822"/>
          <cell r="T2822">
            <v>44781</v>
          </cell>
          <cell r="U2822">
            <v>44781</v>
          </cell>
          <cell r="V2822">
            <v>44781</v>
          </cell>
          <cell r="W2822">
            <v>44781</v>
          </cell>
          <cell r="X2822">
            <v>31010363</v>
          </cell>
        </row>
        <row r="2823">
          <cell r="K2823" t="str">
            <v>GBWS-2537</v>
          </cell>
          <cell r="L2823">
            <v>44739</v>
          </cell>
          <cell r="M2823">
            <v>44740</v>
          </cell>
          <cell r="N2823">
            <v>44750</v>
          </cell>
          <cell r="O2823">
            <v>44740</v>
          </cell>
          <cell r="P2823">
            <v>44763</v>
          </cell>
          <cell r="Q2823">
            <v>44750</v>
          </cell>
          <cell r="R2823">
            <v>44750</v>
          </cell>
          <cell r="S2823"/>
          <cell r="T2823">
            <v>44753</v>
          </cell>
          <cell r="U2823">
            <v>44764</v>
          </cell>
          <cell r="V2823">
            <v>44770</v>
          </cell>
          <cell r="W2823">
            <v>44770</v>
          </cell>
          <cell r="X2823">
            <v>41100467</v>
          </cell>
        </row>
        <row r="2824">
          <cell r="K2824" t="str">
            <v>GBWS-2538</v>
          </cell>
          <cell r="L2824">
            <v>44739</v>
          </cell>
          <cell r="M2824">
            <v>44740</v>
          </cell>
          <cell r="N2824">
            <v>44750</v>
          </cell>
          <cell r="O2824">
            <v>44740</v>
          </cell>
          <cell r="P2824">
            <v>44763</v>
          </cell>
          <cell r="Q2824">
            <v>44750</v>
          </cell>
          <cell r="R2824">
            <v>44750</v>
          </cell>
          <cell r="S2824"/>
          <cell r="T2824">
            <v>44753</v>
          </cell>
          <cell r="U2824">
            <v>44764</v>
          </cell>
          <cell r="V2824">
            <v>44768</v>
          </cell>
          <cell r="W2824">
            <v>44768</v>
          </cell>
          <cell r="X2824">
            <v>41100467</v>
          </cell>
        </row>
        <row r="2825">
          <cell r="K2825" t="str">
            <v>GBWS-2539</v>
          </cell>
          <cell r="L2825">
            <v>44739</v>
          </cell>
          <cell r="M2825">
            <v>44740</v>
          </cell>
          <cell r="N2825">
            <v>44750</v>
          </cell>
          <cell r="O2825">
            <v>44740</v>
          </cell>
          <cell r="P2825">
            <v>44763</v>
          </cell>
          <cell r="Q2825">
            <v>44750</v>
          </cell>
          <cell r="R2825">
            <v>44750</v>
          </cell>
          <cell r="S2825"/>
          <cell r="T2825">
            <v>44753</v>
          </cell>
          <cell r="U2825">
            <v>44764</v>
          </cell>
          <cell r="V2825">
            <v>44767</v>
          </cell>
          <cell r="W2825">
            <v>44767</v>
          </cell>
          <cell r="X2825">
            <v>41100467</v>
          </cell>
        </row>
        <row r="2826">
          <cell r="K2826" t="str">
            <v>GBWS-2540</v>
          </cell>
          <cell r="L2826">
            <v>44739</v>
          </cell>
          <cell r="M2826">
            <v>44740</v>
          </cell>
          <cell r="N2826">
            <v>44750</v>
          </cell>
          <cell r="O2826">
            <v>44740</v>
          </cell>
          <cell r="P2826">
            <v>44763</v>
          </cell>
          <cell r="Q2826">
            <v>44750</v>
          </cell>
          <cell r="R2826">
            <v>44750</v>
          </cell>
          <cell r="S2826"/>
          <cell r="T2826">
            <v>44753</v>
          </cell>
          <cell r="U2826">
            <v>44764</v>
          </cell>
          <cell r="V2826">
            <v>44767</v>
          </cell>
          <cell r="W2826">
            <v>44767</v>
          </cell>
          <cell r="X2826">
            <v>41100467</v>
          </cell>
        </row>
        <row r="2827">
          <cell r="K2827" t="str">
            <v>DBW-2667</v>
          </cell>
          <cell r="L2827">
            <v>44727</v>
          </cell>
          <cell r="M2827">
            <v>44727</v>
          </cell>
          <cell r="N2827">
            <v>44736</v>
          </cell>
          <cell r="O2827">
            <v>44727</v>
          </cell>
          <cell r="P2827">
            <v>44742</v>
          </cell>
          <cell r="Q2827">
            <v>44736</v>
          </cell>
          <cell r="R2827">
            <v>44736</v>
          </cell>
          <cell r="S2827"/>
          <cell r="T2827">
            <v>44740</v>
          </cell>
          <cell r="U2827">
            <v>44743</v>
          </cell>
          <cell r="V2827">
            <v>44746</v>
          </cell>
          <cell r="W2827">
            <v>44746</v>
          </cell>
          <cell r="X2827">
            <v>41100480</v>
          </cell>
        </row>
        <row r="2828">
          <cell r="K2828" t="str">
            <v>DBW-2668</v>
          </cell>
          <cell r="L2828">
            <v>44727</v>
          </cell>
          <cell r="M2828">
            <v>44727</v>
          </cell>
          <cell r="N2828">
            <v>44736</v>
          </cell>
          <cell r="O2828">
            <v>44727</v>
          </cell>
          <cell r="P2828">
            <v>44742</v>
          </cell>
          <cell r="Q2828">
            <v>44736</v>
          </cell>
          <cell r="R2828">
            <v>44736</v>
          </cell>
          <cell r="S2828"/>
          <cell r="T2828">
            <v>44740</v>
          </cell>
          <cell r="U2828">
            <v>44743</v>
          </cell>
          <cell r="V2828">
            <v>44746</v>
          </cell>
          <cell r="W2828">
            <v>44746</v>
          </cell>
          <cell r="X2828">
            <v>41100480</v>
          </cell>
        </row>
        <row r="2829">
          <cell r="K2829" t="str">
            <v>DBW-2641</v>
          </cell>
          <cell r="L2829">
            <v>44693</v>
          </cell>
          <cell r="M2829">
            <v>44694</v>
          </cell>
          <cell r="N2829">
            <v>44704</v>
          </cell>
          <cell r="O2829">
            <v>44694</v>
          </cell>
          <cell r="P2829">
            <v>44704</v>
          </cell>
          <cell r="Q2829">
            <v>44705</v>
          </cell>
          <cell r="R2829">
            <v>44705</v>
          </cell>
          <cell r="S2829"/>
          <cell r="T2829">
            <v>44705</v>
          </cell>
          <cell r="U2829">
            <v>44706</v>
          </cell>
          <cell r="V2829">
            <v>44706</v>
          </cell>
          <cell r="W2829">
            <v>44707</v>
          </cell>
          <cell r="X2829">
            <v>41100470</v>
          </cell>
        </row>
        <row r="2830">
          <cell r="K2830" t="str">
            <v>DBW-2642</v>
          </cell>
          <cell r="L2830">
            <v>44693</v>
          </cell>
          <cell r="M2830">
            <v>44694</v>
          </cell>
          <cell r="N2830">
            <v>44704</v>
          </cell>
          <cell r="O2830">
            <v>44694</v>
          </cell>
          <cell r="P2830">
            <v>44704</v>
          </cell>
          <cell r="Q2830">
            <v>44705</v>
          </cell>
          <cell r="R2830">
            <v>44705</v>
          </cell>
          <cell r="S2830"/>
          <cell r="T2830">
            <v>44705</v>
          </cell>
          <cell r="U2830">
            <v>44706</v>
          </cell>
          <cell r="V2830">
            <v>44706</v>
          </cell>
          <cell r="W2830">
            <v>44707</v>
          </cell>
          <cell r="X2830">
            <v>41100470</v>
          </cell>
        </row>
        <row r="2831">
          <cell r="K2831" t="str">
            <v>DBW-2643</v>
          </cell>
          <cell r="L2831">
            <v>44693</v>
          </cell>
          <cell r="M2831">
            <v>44694</v>
          </cell>
          <cell r="N2831">
            <v>44704</v>
          </cell>
          <cell r="O2831">
            <v>44694</v>
          </cell>
          <cell r="P2831">
            <v>44704</v>
          </cell>
          <cell r="Q2831">
            <v>44705</v>
          </cell>
          <cell r="R2831">
            <v>44705</v>
          </cell>
          <cell r="S2831"/>
          <cell r="T2831">
            <v>44705</v>
          </cell>
          <cell r="U2831">
            <v>44706</v>
          </cell>
          <cell r="V2831">
            <v>44706</v>
          </cell>
          <cell r="W2831">
            <v>44706</v>
          </cell>
          <cell r="X2831">
            <v>41100470</v>
          </cell>
        </row>
        <row r="2832">
          <cell r="K2832" t="str">
            <v>DBW-2644</v>
          </cell>
          <cell r="L2832">
            <v>44693</v>
          </cell>
          <cell r="M2832">
            <v>44694</v>
          </cell>
          <cell r="N2832">
            <v>44704</v>
          </cell>
          <cell r="O2832">
            <v>44694</v>
          </cell>
          <cell r="P2832">
            <v>44704</v>
          </cell>
          <cell r="Q2832">
            <v>44705</v>
          </cell>
          <cell r="R2832">
            <v>44705</v>
          </cell>
          <cell r="S2832"/>
          <cell r="T2832">
            <v>44705</v>
          </cell>
          <cell r="U2832">
            <v>44706</v>
          </cell>
          <cell r="V2832">
            <v>44706</v>
          </cell>
          <cell r="W2832">
            <v>44706</v>
          </cell>
          <cell r="X2832">
            <v>41100470</v>
          </cell>
        </row>
        <row r="2833">
          <cell r="K2833" t="str">
            <v>AWS-0007</v>
          </cell>
          <cell r="L2833">
            <v>44526</v>
          </cell>
          <cell r="M2833">
            <v>44512</v>
          </cell>
          <cell r="N2833">
            <v>44518</v>
          </cell>
          <cell r="O2833">
            <v>44512</v>
          </cell>
          <cell r="P2833">
            <v>44518</v>
          </cell>
          <cell r="Q2833">
            <v>44515</v>
          </cell>
          <cell r="R2833">
            <v>44515</v>
          </cell>
          <cell r="S2833"/>
          <cell r="T2833" t="str">
            <v>가압불가</v>
          </cell>
          <cell r="U2833">
            <v>44776</v>
          </cell>
          <cell r="V2833">
            <v>44782</v>
          </cell>
          <cell r="W2833">
            <v>44782</v>
          </cell>
          <cell r="X2833">
            <v>41100382</v>
          </cell>
        </row>
        <row r="2834">
          <cell r="K2834" t="str">
            <v>GBWS-2609</v>
          </cell>
          <cell r="L2834">
            <v>44754</v>
          </cell>
          <cell r="M2834">
            <v>44755</v>
          </cell>
          <cell r="N2834">
            <v>44769</v>
          </cell>
          <cell r="O2834">
            <v>44755</v>
          </cell>
          <cell r="P2834">
            <v>44769</v>
          </cell>
          <cell r="Q2834" t="str">
            <v>2022-07-25 → 7/28</v>
          </cell>
          <cell r="R2834" t="str">
            <v>2022-07-25 → 7/28</v>
          </cell>
          <cell r="S2834"/>
          <cell r="T2834">
            <v>44770</v>
          </cell>
          <cell r="U2834">
            <v>44774</v>
          </cell>
          <cell r="V2834">
            <v>44774</v>
          </cell>
          <cell r="W2834">
            <v>44775</v>
          </cell>
          <cell r="X2834">
            <v>41100090</v>
          </cell>
        </row>
        <row r="2835">
          <cell r="K2835" t="str">
            <v>GBWS-2610</v>
          </cell>
          <cell r="L2835">
            <v>44754</v>
          </cell>
          <cell r="M2835">
            <v>44755</v>
          </cell>
          <cell r="N2835">
            <v>44769</v>
          </cell>
          <cell r="O2835">
            <v>44755</v>
          </cell>
          <cell r="P2835">
            <v>44769</v>
          </cell>
          <cell r="Q2835" t="str">
            <v>2022-07-25 → 7/28</v>
          </cell>
          <cell r="R2835" t="str">
            <v>2022-07-25 → 7/28</v>
          </cell>
          <cell r="S2835"/>
          <cell r="T2835">
            <v>44770</v>
          </cell>
          <cell r="U2835">
            <v>44771</v>
          </cell>
          <cell r="V2835">
            <v>44774</v>
          </cell>
          <cell r="W2835">
            <v>44775</v>
          </cell>
          <cell r="X2835">
            <v>41100090</v>
          </cell>
        </row>
        <row r="2836">
          <cell r="K2836" t="str">
            <v>GBWS-2611</v>
          </cell>
          <cell r="L2836">
            <v>44754</v>
          </cell>
          <cell r="M2836">
            <v>44755</v>
          </cell>
          <cell r="N2836">
            <v>44769</v>
          </cell>
          <cell r="O2836">
            <v>44755</v>
          </cell>
          <cell r="P2836">
            <v>44769</v>
          </cell>
          <cell r="Q2836" t="str">
            <v>2022-07-25 → 7/28</v>
          </cell>
          <cell r="R2836" t="str">
            <v>2022-07-25 → 7/28</v>
          </cell>
          <cell r="S2836"/>
          <cell r="T2836">
            <v>44770</v>
          </cell>
          <cell r="U2836">
            <v>44774</v>
          </cell>
          <cell r="V2836">
            <v>44774</v>
          </cell>
          <cell r="W2836">
            <v>44775</v>
          </cell>
          <cell r="X2836">
            <v>41100090</v>
          </cell>
        </row>
        <row r="2837">
          <cell r="K2837" t="str">
            <v>GBWS-2612</v>
          </cell>
          <cell r="L2837">
            <v>44754</v>
          </cell>
          <cell r="M2837">
            <v>44755</v>
          </cell>
          <cell r="N2837">
            <v>44769</v>
          </cell>
          <cell r="O2837">
            <v>44755</v>
          </cell>
          <cell r="P2837">
            <v>44769</v>
          </cell>
          <cell r="Q2837" t="str">
            <v>2022-07-25 → 7/28</v>
          </cell>
          <cell r="R2837" t="str">
            <v>2022-07-25 → 7/28</v>
          </cell>
          <cell r="S2837"/>
          <cell r="T2837">
            <v>44770</v>
          </cell>
          <cell r="U2837">
            <v>44771</v>
          </cell>
          <cell r="V2837">
            <v>44774</v>
          </cell>
          <cell r="W2837">
            <v>44775</v>
          </cell>
          <cell r="X2837">
            <v>41100090</v>
          </cell>
        </row>
        <row r="2838">
          <cell r="K2838" t="str">
            <v>GBWS-2614</v>
          </cell>
          <cell r="L2838">
            <v>44754</v>
          </cell>
          <cell r="M2838">
            <v>44755</v>
          </cell>
          <cell r="N2838">
            <v>44769</v>
          </cell>
          <cell r="O2838">
            <v>44755</v>
          </cell>
          <cell r="P2838">
            <v>44768</v>
          </cell>
          <cell r="Q2838" t="str">
            <v>2022-07-25 → 7/28</v>
          </cell>
          <cell r="R2838" t="str">
            <v>2022-07-25 → 7/28</v>
          </cell>
          <cell r="S2838"/>
          <cell r="T2838">
            <v>44770</v>
          </cell>
          <cell r="U2838">
            <v>44771</v>
          </cell>
          <cell r="V2838">
            <v>44774</v>
          </cell>
          <cell r="W2838">
            <v>44775</v>
          </cell>
          <cell r="X2838">
            <v>41100516</v>
          </cell>
        </row>
        <row r="2839">
          <cell r="K2839" t="str">
            <v>GBWS-2553</v>
          </cell>
          <cell r="L2839">
            <v>44746</v>
          </cell>
          <cell r="M2839">
            <v>44747</v>
          </cell>
          <cell r="N2839">
            <v>44756</v>
          </cell>
          <cell r="O2839">
            <v>44747</v>
          </cell>
          <cell r="P2839">
            <v>44757</v>
          </cell>
          <cell r="Q2839">
            <v>44757</v>
          </cell>
          <cell r="R2839">
            <v>44757</v>
          </cell>
          <cell r="S2839"/>
          <cell r="T2839">
            <v>44756</v>
          </cell>
          <cell r="U2839">
            <v>44760</v>
          </cell>
          <cell r="V2839">
            <v>44761</v>
          </cell>
          <cell r="W2839">
            <v>44761</v>
          </cell>
          <cell r="X2839">
            <v>41100522</v>
          </cell>
        </row>
        <row r="2840">
          <cell r="K2840" t="str">
            <v>DBW-2689</v>
          </cell>
          <cell r="L2840">
            <v>44763</v>
          </cell>
          <cell r="M2840">
            <v>44763</v>
          </cell>
          <cell r="N2840">
            <v>44775</v>
          </cell>
          <cell r="O2840">
            <v>44763</v>
          </cell>
          <cell r="P2840">
            <v>44774</v>
          </cell>
          <cell r="Q2840">
            <v>44771</v>
          </cell>
          <cell r="R2840">
            <v>44771</v>
          </cell>
          <cell r="S2840"/>
          <cell r="T2840">
            <v>44774</v>
          </cell>
          <cell r="U2840">
            <v>44775</v>
          </cell>
          <cell r="V2840">
            <v>44782</v>
          </cell>
          <cell r="W2840">
            <v>44782</v>
          </cell>
          <cell r="X2840">
            <v>41100465</v>
          </cell>
        </row>
        <row r="2841">
          <cell r="K2841" t="str">
            <v>DBW-2690</v>
          </cell>
          <cell r="L2841">
            <v>44763</v>
          </cell>
          <cell r="M2841">
            <v>44763</v>
          </cell>
          <cell r="N2841">
            <v>44775</v>
          </cell>
          <cell r="O2841">
            <v>44763</v>
          </cell>
          <cell r="P2841">
            <v>44774</v>
          </cell>
          <cell r="Q2841">
            <v>44771</v>
          </cell>
          <cell r="R2841">
            <v>44771</v>
          </cell>
          <cell r="S2841"/>
          <cell r="T2841">
            <v>44774</v>
          </cell>
          <cell r="U2841">
            <v>44775</v>
          </cell>
          <cell r="V2841">
            <v>44782</v>
          </cell>
          <cell r="W2841">
            <v>44782</v>
          </cell>
          <cell r="X2841">
            <v>41100465</v>
          </cell>
        </row>
        <row r="2842">
          <cell r="K2842" t="str">
            <v>DBW-2691</v>
          </cell>
          <cell r="L2842">
            <v>44763</v>
          </cell>
          <cell r="M2842">
            <v>44763</v>
          </cell>
          <cell r="N2842">
            <v>44775</v>
          </cell>
          <cell r="O2842">
            <v>44763</v>
          </cell>
          <cell r="P2842">
            <v>44774</v>
          </cell>
          <cell r="Q2842">
            <v>44771</v>
          </cell>
          <cell r="R2842">
            <v>44771</v>
          </cell>
          <cell r="S2842"/>
          <cell r="T2842">
            <v>44774</v>
          </cell>
          <cell r="U2842">
            <v>44775</v>
          </cell>
          <cell r="V2842">
            <v>44782</v>
          </cell>
          <cell r="W2842">
            <v>44782</v>
          </cell>
          <cell r="X2842">
            <v>41100465</v>
          </cell>
        </row>
        <row r="2843">
          <cell r="K2843" t="str">
            <v>DBW-2692</v>
          </cell>
          <cell r="L2843">
            <v>44763</v>
          </cell>
          <cell r="M2843">
            <v>44763</v>
          </cell>
          <cell r="N2843">
            <v>44775</v>
          </cell>
          <cell r="O2843">
            <v>44763</v>
          </cell>
          <cell r="P2843">
            <v>44774</v>
          </cell>
          <cell r="Q2843">
            <v>44771</v>
          </cell>
          <cell r="R2843">
            <v>44771</v>
          </cell>
          <cell r="S2843"/>
          <cell r="T2843">
            <v>44774</v>
          </cell>
          <cell r="U2843">
            <v>44776</v>
          </cell>
          <cell r="V2843">
            <v>44782</v>
          </cell>
          <cell r="W2843">
            <v>44782</v>
          </cell>
          <cell r="X2843">
            <v>41100465</v>
          </cell>
        </row>
        <row r="2844">
          <cell r="K2844" t="str">
            <v>-</v>
          </cell>
          <cell r="L2844">
            <v>44767</v>
          </cell>
          <cell r="M2844">
            <v>44768</v>
          </cell>
          <cell r="N2844">
            <v>44777</v>
          </cell>
          <cell r="O2844">
            <v>44768</v>
          </cell>
          <cell r="P2844">
            <v>44777</v>
          </cell>
          <cell r="Q2844">
            <v>44768</v>
          </cell>
          <cell r="R2844">
            <v>44768</v>
          </cell>
          <cell r="S2844"/>
          <cell r="T2844">
            <v>44777</v>
          </cell>
          <cell r="U2844">
            <v>44777</v>
          </cell>
          <cell r="V2844">
            <v>44777</v>
          </cell>
          <cell r="W2844">
            <v>44777</v>
          </cell>
          <cell r="X2844">
            <v>31010314</v>
          </cell>
        </row>
        <row r="2845">
          <cell r="K2845" t="str">
            <v>IVAS-139</v>
          </cell>
          <cell r="L2845">
            <v>44760</v>
          </cell>
          <cell r="M2845" t="str">
            <v>2022-07-21 → 7/19</v>
          </cell>
          <cell r="N2845">
            <v>44777</v>
          </cell>
          <cell r="O2845" t="str">
            <v>2022-07-21 → 7/19</v>
          </cell>
          <cell r="P2845">
            <v>44777</v>
          </cell>
          <cell r="Q2845" t="str">
            <v>2022-08-03 → 8/1 → 8/3</v>
          </cell>
          <cell r="R2845" t="str">
            <v>2022-08-03 → 8/1 → 8/3</v>
          </cell>
          <cell r="S2845"/>
          <cell r="T2845">
            <v>44778</v>
          </cell>
          <cell r="U2845">
            <v>44782</v>
          </cell>
          <cell r="V2845">
            <v>44782</v>
          </cell>
          <cell r="W2845">
            <v>44783</v>
          </cell>
          <cell r="X2845">
            <v>41100492</v>
          </cell>
        </row>
        <row r="2846">
          <cell r="K2846" t="str">
            <v>IVAS-140</v>
          </cell>
          <cell r="L2846">
            <v>44760</v>
          </cell>
          <cell r="M2846" t="str">
            <v>2022-07-21 → 7/19</v>
          </cell>
          <cell r="N2846">
            <v>44777</v>
          </cell>
          <cell r="O2846" t="str">
            <v>2022-07-21 → 7/19</v>
          </cell>
          <cell r="P2846">
            <v>44777</v>
          </cell>
          <cell r="Q2846" t="str">
            <v>2022-08-03 → 8/1 → 8/3</v>
          </cell>
          <cell r="R2846" t="str">
            <v>2022-08-03 → 8/1 → 8/3</v>
          </cell>
          <cell r="S2846"/>
          <cell r="T2846">
            <v>44778</v>
          </cell>
          <cell r="U2846">
            <v>44781</v>
          </cell>
          <cell r="V2846">
            <v>44782</v>
          </cell>
          <cell r="W2846">
            <v>44783</v>
          </cell>
          <cell r="X2846">
            <v>41100492</v>
          </cell>
        </row>
        <row r="2847">
          <cell r="K2847" t="str">
            <v>DBW-2677</v>
          </cell>
          <cell r="L2847">
            <v>44748</v>
          </cell>
          <cell r="M2847" t="str">
            <v>2022-07-13 → 7/7</v>
          </cell>
          <cell r="N2847">
            <v>44763</v>
          </cell>
          <cell r="O2847" t="str">
            <v>2022-07-13 → 7/7</v>
          </cell>
          <cell r="P2847">
            <v>44757</v>
          </cell>
          <cell r="Q2847">
            <v>44757</v>
          </cell>
          <cell r="R2847">
            <v>44757</v>
          </cell>
          <cell r="S2847"/>
          <cell r="T2847">
            <v>44760</v>
          </cell>
          <cell r="U2847">
            <v>44763</v>
          </cell>
          <cell r="V2847">
            <v>44764</v>
          </cell>
          <cell r="W2847">
            <v>44764</v>
          </cell>
          <cell r="X2847">
            <v>41100472</v>
          </cell>
        </row>
        <row r="2848">
          <cell r="K2848" t="str">
            <v>DBW-2678</v>
          </cell>
          <cell r="L2848">
            <v>44748</v>
          </cell>
          <cell r="M2848" t="str">
            <v>2022-07-13 → 7/7</v>
          </cell>
          <cell r="N2848">
            <v>44763</v>
          </cell>
          <cell r="O2848" t="str">
            <v>2022-07-13 → 7/7</v>
          </cell>
          <cell r="P2848">
            <v>44757</v>
          </cell>
          <cell r="Q2848">
            <v>44757</v>
          </cell>
          <cell r="R2848">
            <v>44757</v>
          </cell>
          <cell r="S2848"/>
          <cell r="T2848">
            <v>44760</v>
          </cell>
          <cell r="U2848">
            <v>44763</v>
          </cell>
          <cell r="V2848">
            <v>44764</v>
          </cell>
          <cell r="W2848">
            <v>44764</v>
          </cell>
          <cell r="X2848">
            <v>41100472</v>
          </cell>
        </row>
        <row r="2849">
          <cell r="K2849" t="str">
            <v>GBWS-2584</v>
          </cell>
          <cell r="L2849">
            <v>44754</v>
          </cell>
          <cell r="M2849">
            <v>44754</v>
          </cell>
          <cell r="N2849">
            <v>44767</v>
          </cell>
          <cell r="O2849">
            <v>44754</v>
          </cell>
          <cell r="P2849">
            <v>44767</v>
          </cell>
          <cell r="Q2849">
            <v>44764</v>
          </cell>
          <cell r="R2849">
            <v>44764</v>
          </cell>
          <cell r="S2849"/>
          <cell r="T2849">
            <v>44767</v>
          </cell>
          <cell r="U2849">
            <v>44768</v>
          </cell>
          <cell r="V2849">
            <v>44770</v>
          </cell>
          <cell r="W2849">
            <v>44770</v>
          </cell>
          <cell r="X2849">
            <v>41100338</v>
          </cell>
        </row>
        <row r="2850">
          <cell r="K2850" t="str">
            <v>GBWS-2585</v>
          </cell>
          <cell r="L2850">
            <v>44754</v>
          </cell>
          <cell r="M2850">
            <v>44754</v>
          </cell>
          <cell r="N2850">
            <v>44767</v>
          </cell>
          <cell r="O2850">
            <v>44754</v>
          </cell>
          <cell r="P2850">
            <v>44767</v>
          </cell>
          <cell r="Q2850">
            <v>44764</v>
          </cell>
          <cell r="R2850">
            <v>44764</v>
          </cell>
          <cell r="S2850"/>
          <cell r="T2850">
            <v>44767</v>
          </cell>
          <cell r="U2850">
            <v>44768</v>
          </cell>
          <cell r="V2850">
            <v>44770</v>
          </cell>
          <cell r="W2850">
            <v>44770</v>
          </cell>
          <cell r="X2850">
            <v>41100338</v>
          </cell>
        </row>
        <row r="2851">
          <cell r="K2851" t="str">
            <v>GBWS-2616</v>
          </cell>
          <cell r="L2851">
            <v>44754</v>
          </cell>
          <cell r="M2851" t="str">
            <v>2022-06-29 → 7/13</v>
          </cell>
          <cell r="N2851">
            <v>44767</v>
          </cell>
          <cell r="O2851" t="str">
            <v>2022-06-29 → 7/13</v>
          </cell>
          <cell r="P2851">
            <v>44767</v>
          </cell>
          <cell r="Q2851" t="str">
            <v>2022-07-07 → 7/21 → 7/22 → 7/26</v>
          </cell>
          <cell r="R2851" t="str">
            <v>2022-07-07 → 7/21 → 7/22 → 7/26</v>
          </cell>
          <cell r="S2851"/>
          <cell r="T2851">
            <v>44767</v>
          </cell>
          <cell r="U2851">
            <v>44768</v>
          </cell>
          <cell r="V2851">
            <v>44769</v>
          </cell>
          <cell r="W2851">
            <v>44769</v>
          </cell>
          <cell r="X2851" t="str">
            <v>41100513 →  41100375</v>
          </cell>
        </row>
        <row r="2852">
          <cell r="K2852" t="str">
            <v>GBWS-2617</v>
          </cell>
          <cell r="L2852">
            <v>44754</v>
          </cell>
          <cell r="M2852" t="str">
            <v>2022-06-29 → 7/13</v>
          </cell>
          <cell r="N2852">
            <v>44767</v>
          </cell>
          <cell r="O2852" t="str">
            <v>2022-06-29 → 7/13</v>
          </cell>
          <cell r="P2852">
            <v>44767</v>
          </cell>
          <cell r="Q2852" t="str">
            <v>2022-07-07 → 7/21 → 7/22 → 7/26</v>
          </cell>
          <cell r="R2852" t="str">
            <v>2022-07-07 → 7/21 → 7/22 → 7/26</v>
          </cell>
          <cell r="S2852"/>
          <cell r="T2852">
            <v>44767</v>
          </cell>
          <cell r="U2852">
            <v>44768</v>
          </cell>
          <cell r="V2852">
            <v>44769</v>
          </cell>
          <cell r="W2852">
            <v>44769</v>
          </cell>
          <cell r="X2852" t="str">
            <v>41100513 →  41100375</v>
          </cell>
        </row>
        <row r="2853">
          <cell r="K2853" t="str">
            <v>GBWS-2458</v>
          </cell>
          <cell r="L2853">
            <v>44725</v>
          </cell>
          <cell r="M2853">
            <v>44725</v>
          </cell>
          <cell r="N2853">
            <v>44735</v>
          </cell>
          <cell r="O2853">
            <v>44725</v>
          </cell>
          <cell r="P2853">
            <v>44735</v>
          </cell>
          <cell r="Q2853">
            <v>44734</v>
          </cell>
          <cell r="R2853">
            <v>44734</v>
          </cell>
          <cell r="S2853"/>
          <cell r="T2853">
            <v>44735</v>
          </cell>
          <cell r="U2853">
            <v>44739</v>
          </cell>
          <cell r="V2853">
            <v>44741</v>
          </cell>
          <cell r="W2853">
            <v>44741</v>
          </cell>
          <cell r="X2853">
            <v>41100520</v>
          </cell>
        </row>
        <row r="2854">
          <cell r="K2854" t="str">
            <v>GBWS-2459</v>
          </cell>
          <cell r="L2854">
            <v>44725</v>
          </cell>
          <cell r="M2854">
            <v>44725</v>
          </cell>
          <cell r="N2854">
            <v>44735</v>
          </cell>
          <cell r="O2854">
            <v>44725</v>
          </cell>
          <cell r="P2854">
            <v>44735</v>
          </cell>
          <cell r="Q2854">
            <v>44734</v>
          </cell>
          <cell r="R2854">
            <v>44734</v>
          </cell>
          <cell r="S2854"/>
          <cell r="T2854">
            <v>44735</v>
          </cell>
          <cell r="U2854">
            <v>44739</v>
          </cell>
          <cell r="V2854">
            <v>44741</v>
          </cell>
          <cell r="W2854">
            <v>44742</v>
          </cell>
          <cell r="X2854">
            <v>41100520</v>
          </cell>
        </row>
        <row r="2855">
          <cell r="K2855" t="str">
            <v>GBW-0275</v>
          </cell>
          <cell r="L2855">
            <v>44753</v>
          </cell>
          <cell r="M2855" t="str">
            <v>2022-06-24 → 7/11</v>
          </cell>
          <cell r="N2855">
            <v>44775</v>
          </cell>
          <cell r="O2855" t="str">
            <v>2022-06-24 → 7/11</v>
          </cell>
          <cell r="P2855">
            <v>44776</v>
          </cell>
          <cell r="Q2855" t="str">
            <v>2022-07-11 → 7/29</v>
          </cell>
          <cell r="R2855" t="str">
            <v>2022-07-11 → 7/29</v>
          </cell>
          <cell r="S2855"/>
          <cell r="T2855" t="str">
            <v xml:space="preserve">가압불가 </v>
          </cell>
          <cell r="U2855">
            <v>44783</v>
          </cell>
          <cell r="V2855">
            <v>44783</v>
          </cell>
          <cell r="W2855">
            <v>44783</v>
          </cell>
          <cell r="X2855">
            <v>41000318</v>
          </cell>
        </row>
        <row r="2856">
          <cell r="K2856" t="str">
            <v>GBW-0276</v>
          </cell>
          <cell r="L2856">
            <v>44753</v>
          </cell>
          <cell r="M2856" t="str">
            <v>2022-06-24 → 7/11</v>
          </cell>
          <cell r="N2856">
            <v>44775</v>
          </cell>
          <cell r="O2856" t="str">
            <v>2022-06-24 → 7/11</v>
          </cell>
          <cell r="P2856">
            <v>44776</v>
          </cell>
          <cell r="Q2856" t="str">
            <v>2022-07-11 → 7/29</v>
          </cell>
          <cell r="R2856" t="str">
            <v>2022-07-11 → 7/29</v>
          </cell>
          <cell r="S2856"/>
          <cell r="T2856" t="str">
            <v xml:space="preserve">가압불가 </v>
          </cell>
          <cell r="U2856">
            <v>44783</v>
          </cell>
          <cell r="V2856">
            <v>44783</v>
          </cell>
          <cell r="W2856">
            <v>44783</v>
          </cell>
          <cell r="X2856">
            <v>41000318</v>
          </cell>
        </row>
        <row r="2857">
          <cell r="K2857" t="str">
            <v>AWS-0065</v>
          </cell>
          <cell r="L2857">
            <v>44753</v>
          </cell>
          <cell r="M2857" t="str">
            <v>2022-06-24 → 7/8</v>
          </cell>
          <cell r="N2857">
            <v>44775</v>
          </cell>
          <cell r="O2857" t="str">
            <v>2022-06-24 → 7/8</v>
          </cell>
          <cell r="P2857">
            <v>44778</v>
          </cell>
          <cell r="Q2857" t="str">
            <v>2022-07-11 → 7/28</v>
          </cell>
          <cell r="R2857" t="str">
            <v>2022-07-11 → 7/28</v>
          </cell>
          <cell r="S2857"/>
          <cell r="T2857" t="str">
            <v xml:space="preserve">가압불가 </v>
          </cell>
          <cell r="U2857">
            <v>44783</v>
          </cell>
          <cell r="V2857">
            <v>44783</v>
          </cell>
          <cell r="W2857">
            <v>44783</v>
          </cell>
          <cell r="X2857">
            <v>41000320</v>
          </cell>
        </row>
        <row r="2858">
          <cell r="K2858" t="str">
            <v>AWS-0066</v>
          </cell>
          <cell r="L2858">
            <v>44753</v>
          </cell>
          <cell r="M2858" t="str">
            <v>2022-06-24 → 7/8</v>
          </cell>
          <cell r="N2858">
            <v>44775</v>
          </cell>
          <cell r="O2858" t="str">
            <v>2022-06-24 → 7/8</v>
          </cell>
          <cell r="P2858">
            <v>44778</v>
          </cell>
          <cell r="Q2858" t="str">
            <v>2022-07-11 → 7/28</v>
          </cell>
          <cell r="R2858" t="str">
            <v>2022-07-11 → 7/28</v>
          </cell>
          <cell r="S2858"/>
          <cell r="T2858" t="str">
            <v xml:space="preserve">가압불가 </v>
          </cell>
          <cell r="U2858">
            <v>44783</v>
          </cell>
          <cell r="V2858">
            <v>44783</v>
          </cell>
          <cell r="W2858">
            <v>44783</v>
          </cell>
          <cell r="X2858">
            <v>41000320</v>
          </cell>
        </row>
        <row r="2859">
          <cell r="K2859" t="str">
            <v>GBWS-2598</v>
          </cell>
          <cell r="L2859">
            <v>44754</v>
          </cell>
          <cell r="M2859">
            <v>44755</v>
          </cell>
          <cell r="N2859">
            <v>44767</v>
          </cell>
          <cell r="O2859">
            <v>44755</v>
          </cell>
          <cell r="P2859">
            <v>44767</v>
          </cell>
          <cell r="Q2859">
            <v>44767</v>
          </cell>
          <cell r="R2859">
            <v>44767</v>
          </cell>
          <cell r="S2859"/>
          <cell r="T2859">
            <v>44768</v>
          </cell>
          <cell r="U2859">
            <v>44770</v>
          </cell>
          <cell r="V2859">
            <v>44771</v>
          </cell>
          <cell r="W2859">
            <v>44771</v>
          </cell>
          <cell r="X2859">
            <v>41100462</v>
          </cell>
        </row>
        <row r="2860">
          <cell r="K2860" t="str">
            <v>GBWS-2600</v>
          </cell>
          <cell r="L2860">
            <v>44754</v>
          </cell>
          <cell r="M2860">
            <v>44755</v>
          </cell>
          <cell r="N2860">
            <v>44767</v>
          </cell>
          <cell r="O2860">
            <v>44755</v>
          </cell>
          <cell r="P2860">
            <v>44767</v>
          </cell>
          <cell r="Q2860">
            <v>44767</v>
          </cell>
          <cell r="R2860">
            <v>44767</v>
          </cell>
          <cell r="S2860"/>
          <cell r="T2860">
            <v>44768</v>
          </cell>
          <cell r="U2860">
            <v>44770</v>
          </cell>
          <cell r="V2860">
            <v>44771</v>
          </cell>
          <cell r="W2860">
            <v>44771</v>
          </cell>
          <cell r="X2860">
            <v>41100462</v>
          </cell>
        </row>
        <row r="2861">
          <cell r="K2861" t="str">
            <v>GBWS-2578</v>
          </cell>
          <cell r="L2861">
            <v>44747</v>
          </cell>
          <cell r="M2861">
            <v>44748</v>
          </cell>
          <cell r="N2861">
            <v>44760</v>
          </cell>
          <cell r="O2861">
            <v>44748</v>
          </cell>
          <cell r="P2861">
            <v>44760</v>
          </cell>
          <cell r="Q2861">
            <v>44760</v>
          </cell>
          <cell r="R2861">
            <v>44760</v>
          </cell>
          <cell r="S2861"/>
          <cell r="T2861">
            <v>44761</v>
          </cell>
          <cell r="U2861">
            <v>44762</v>
          </cell>
          <cell r="V2861">
            <v>44763</v>
          </cell>
          <cell r="W2861">
            <v>44763</v>
          </cell>
          <cell r="X2861">
            <v>41100462</v>
          </cell>
        </row>
        <row r="2862">
          <cell r="K2862" t="str">
            <v>GBWS-2596</v>
          </cell>
          <cell r="L2862">
            <v>44754</v>
          </cell>
          <cell r="M2862">
            <v>44755</v>
          </cell>
          <cell r="N2862">
            <v>44765</v>
          </cell>
          <cell r="O2862">
            <v>44755</v>
          </cell>
          <cell r="P2862">
            <v>44767</v>
          </cell>
          <cell r="Q2862">
            <v>44767</v>
          </cell>
          <cell r="R2862">
            <v>44767</v>
          </cell>
          <cell r="S2862"/>
          <cell r="T2862">
            <v>44769</v>
          </cell>
          <cell r="U2862">
            <v>44769</v>
          </cell>
          <cell r="V2862">
            <v>44771</v>
          </cell>
          <cell r="W2862">
            <v>44771</v>
          </cell>
          <cell r="X2862">
            <v>41100507</v>
          </cell>
        </row>
        <row r="2863">
          <cell r="K2863" t="str">
            <v>GBWS-2597</v>
          </cell>
          <cell r="L2863">
            <v>44754</v>
          </cell>
          <cell r="M2863">
            <v>44755</v>
          </cell>
          <cell r="N2863">
            <v>44765</v>
          </cell>
          <cell r="O2863">
            <v>44755</v>
          </cell>
          <cell r="P2863">
            <v>44767</v>
          </cell>
          <cell r="Q2863">
            <v>44767</v>
          </cell>
          <cell r="R2863">
            <v>44767</v>
          </cell>
          <cell r="S2863"/>
          <cell r="T2863">
            <v>44769</v>
          </cell>
          <cell r="U2863">
            <v>44770</v>
          </cell>
          <cell r="V2863">
            <v>44771</v>
          </cell>
          <cell r="W2863">
            <v>44771</v>
          </cell>
          <cell r="X2863">
            <v>41100507</v>
          </cell>
        </row>
        <row r="2864">
          <cell r="K2864" t="str">
            <v>GBWS-2604</v>
          </cell>
          <cell r="L2864">
            <v>44754</v>
          </cell>
          <cell r="M2864">
            <v>44755</v>
          </cell>
          <cell r="N2864">
            <v>44765</v>
          </cell>
          <cell r="O2864">
            <v>44755</v>
          </cell>
          <cell r="P2864">
            <v>44764</v>
          </cell>
          <cell r="Q2864">
            <v>44767</v>
          </cell>
          <cell r="R2864">
            <v>44767</v>
          </cell>
          <cell r="S2864"/>
          <cell r="T2864">
            <v>44768</v>
          </cell>
          <cell r="U2864">
            <v>44769</v>
          </cell>
          <cell r="V2864">
            <v>44771</v>
          </cell>
          <cell r="W2864">
            <v>44771</v>
          </cell>
          <cell r="X2864">
            <v>41100507</v>
          </cell>
        </row>
        <row r="2865">
          <cell r="K2865" t="str">
            <v>GBWS-2605</v>
          </cell>
          <cell r="L2865">
            <v>44754</v>
          </cell>
          <cell r="M2865">
            <v>44755</v>
          </cell>
          <cell r="N2865">
            <v>44765</v>
          </cell>
          <cell r="O2865">
            <v>44755</v>
          </cell>
          <cell r="P2865">
            <v>44764</v>
          </cell>
          <cell r="Q2865">
            <v>44767</v>
          </cell>
          <cell r="R2865">
            <v>44767</v>
          </cell>
          <cell r="S2865"/>
          <cell r="T2865">
            <v>44768</v>
          </cell>
          <cell r="U2865">
            <v>44769</v>
          </cell>
          <cell r="V2865">
            <v>44771</v>
          </cell>
          <cell r="W2865">
            <v>44771</v>
          </cell>
          <cell r="X2865">
            <v>41100507</v>
          </cell>
        </row>
        <row r="2866">
          <cell r="K2866" t="str">
            <v>GBWS-2601</v>
          </cell>
          <cell r="L2866">
            <v>44754</v>
          </cell>
          <cell r="M2866">
            <v>44755</v>
          </cell>
          <cell r="N2866">
            <v>44767</v>
          </cell>
          <cell r="O2866">
            <v>44755</v>
          </cell>
          <cell r="P2866">
            <v>44767</v>
          </cell>
          <cell r="Q2866">
            <v>44767</v>
          </cell>
          <cell r="R2866">
            <v>44767</v>
          </cell>
          <cell r="S2866"/>
          <cell r="T2866">
            <v>44768</v>
          </cell>
          <cell r="U2866">
            <v>44770</v>
          </cell>
          <cell r="V2866">
            <v>44771</v>
          </cell>
          <cell r="W2866">
            <v>44771</v>
          </cell>
          <cell r="X2866">
            <v>41100509</v>
          </cell>
        </row>
        <row r="2867">
          <cell r="K2867" t="str">
            <v>GBWS-2602</v>
          </cell>
          <cell r="L2867">
            <v>44754</v>
          </cell>
          <cell r="M2867">
            <v>44755</v>
          </cell>
          <cell r="N2867">
            <v>44767</v>
          </cell>
          <cell r="O2867">
            <v>44755</v>
          </cell>
          <cell r="P2867">
            <v>44767</v>
          </cell>
          <cell r="Q2867">
            <v>44767</v>
          </cell>
          <cell r="R2867">
            <v>44767</v>
          </cell>
          <cell r="S2867"/>
          <cell r="T2867">
            <v>44768</v>
          </cell>
          <cell r="U2867">
            <v>44770</v>
          </cell>
          <cell r="V2867">
            <v>44771</v>
          </cell>
          <cell r="W2867">
            <v>44771</v>
          </cell>
          <cell r="X2867">
            <v>41100509</v>
          </cell>
        </row>
        <row r="2868">
          <cell r="K2868" t="str">
            <v>GBWS-2582</v>
          </cell>
          <cell r="L2868">
            <v>44747</v>
          </cell>
          <cell r="M2868">
            <v>44748</v>
          </cell>
          <cell r="N2868">
            <v>44760</v>
          </cell>
          <cell r="O2868">
            <v>44748</v>
          </cell>
          <cell r="P2868">
            <v>44758</v>
          </cell>
          <cell r="Q2868">
            <v>44760</v>
          </cell>
          <cell r="R2868">
            <v>44760</v>
          </cell>
          <cell r="S2868"/>
          <cell r="T2868">
            <v>44760</v>
          </cell>
          <cell r="U2868">
            <v>44761</v>
          </cell>
          <cell r="V2868">
            <v>44768</v>
          </cell>
          <cell r="W2868">
            <v>44768</v>
          </cell>
          <cell r="X2868">
            <v>41100460</v>
          </cell>
        </row>
        <row r="2869">
          <cell r="K2869" t="str">
            <v>GBWS-2579</v>
          </cell>
          <cell r="L2869">
            <v>44747</v>
          </cell>
          <cell r="M2869">
            <v>44748</v>
          </cell>
          <cell r="N2869">
            <v>44760</v>
          </cell>
          <cell r="O2869">
            <v>44748</v>
          </cell>
          <cell r="P2869">
            <v>44760</v>
          </cell>
          <cell r="Q2869">
            <v>44760</v>
          </cell>
          <cell r="R2869">
            <v>44760</v>
          </cell>
          <cell r="S2869"/>
          <cell r="T2869">
            <v>44761</v>
          </cell>
          <cell r="U2869">
            <v>44762</v>
          </cell>
          <cell r="V2869">
            <v>44763</v>
          </cell>
          <cell r="W2869">
            <v>44763</v>
          </cell>
          <cell r="X2869">
            <v>41100463</v>
          </cell>
        </row>
        <row r="2870">
          <cell r="K2870" t="str">
            <v>GBWS-2480</v>
          </cell>
          <cell r="L2870">
            <v>44732</v>
          </cell>
          <cell r="M2870">
            <v>44732</v>
          </cell>
          <cell r="N2870">
            <v>44743</v>
          </cell>
          <cell r="O2870">
            <v>44732</v>
          </cell>
          <cell r="P2870">
            <v>44742</v>
          </cell>
          <cell r="Q2870">
            <v>44742</v>
          </cell>
          <cell r="R2870">
            <v>44742</v>
          </cell>
          <cell r="S2870"/>
          <cell r="T2870">
            <v>44743</v>
          </cell>
          <cell r="U2870">
            <v>44746</v>
          </cell>
          <cell r="V2870">
            <v>44747</v>
          </cell>
          <cell r="W2870">
            <v>44747</v>
          </cell>
          <cell r="X2870">
            <v>41100350</v>
          </cell>
        </row>
        <row r="2871">
          <cell r="K2871" t="str">
            <v>DBW-2682</v>
          </cell>
          <cell r="L2871">
            <v>44754</v>
          </cell>
          <cell r="M2871">
            <v>44755</v>
          </cell>
          <cell r="N2871">
            <v>44768</v>
          </cell>
          <cell r="O2871">
            <v>44755</v>
          </cell>
          <cell r="P2871">
            <v>44767</v>
          </cell>
          <cell r="Q2871">
            <v>44764</v>
          </cell>
          <cell r="R2871">
            <v>44764</v>
          </cell>
          <cell r="S2871"/>
          <cell r="T2871">
            <v>44767</v>
          </cell>
          <cell r="U2871">
            <v>44770</v>
          </cell>
          <cell r="V2871">
            <v>44771</v>
          </cell>
          <cell r="W2871">
            <v>44771</v>
          </cell>
          <cell r="X2871">
            <v>41100496</v>
          </cell>
        </row>
        <row r="2872">
          <cell r="K2872" t="str">
            <v>GBWS-2649</v>
          </cell>
          <cell r="L2872">
            <v>44767</v>
          </cell>
          <cell r="M2872" t="str">
            <v>2022-07-20 → 7/26</v>
          </cell>
          <cell r="N2872">
            <v>44778</v>
          </cell>
          <cell r="O2872" t="str">
            <v>2022-07-20 → 7/26</v>
          </cell>
          <cell r="P2872">
            <v>44777</v>
          </cell>
          <cell r="Q2872" t="str">
            <v>2022-07-28 → 8/4</v>
          </cell>
          <cell r="R2872" t="str">
            <v>2022-07-28 → 8/4</v>
          </cell>
          <cell r="S2872"/>
          <cell r="T2872">
            <v>44778</v>
          </cell>
          <cell r="U2872">
            <v>44783</v>
          </cell>
          <cell r="V2872">
            <v>44784</v>
          </cell>
          <cell r="W2872">
            <v>44784</v>
          </cell>
          <cell r="X2872">
            <v>41100502</v>
          </cell>
        </row>
        <row r="2873">
          <cell r="K2873" t="str">
            <v>GBWS-2650</v>
          </cell>
          <cell r="L2873">
            <v>44767</v>
          </cell>
          <cell r="M2873" t="str">
            <v>2022-07-20 → 7/26</v>
          </cell>
          <cell r="N2873">
            <v>44778</v>
          </cell>
          <cell r="O2873" t="str">
            <v>2022-07-20 → 7/26</v>
          </cell>
          <cell r="P2873">
            <v>44777</v>
          </cell>
          <cell r="Q2873" t="str">
            <v>2022-07-28 → 8/4</v>
          </cell>
          <cell r="R2873" t="str">
            <v>2022-07-28 → 8/4</v>
          </cell>
          <cell r="S2873"/>
          <cell r="T2873">
            <v>44778</v>
          </cell>
          <cell r="U2873">
            <v>44783</v>
          </cell>
          <cell r="V2873">
            <v>44784</v>
          </cell>
          <cell r="W2873">
            <v>44784</v>
          </cell>
          <cell r="X2873">
            <v>41100502</v>
          </cell>
        </row>
        <row r="2874">
          <cell r="K2874" t="str">
            <v>GBWS-2646</v>
          </cell>
          <cell r="L2874">
            <v>44763</v>
          </cell>
          <cell r="M2874">
            <v>44763</v>
          </cell>
          <cell r="N2874">
            <v>44777</v>
          </cell>
          <cell r="O2874">
            <v>44763</v>
          </cell>
          <cell r="P2874">
            <v>44777</v>
          </cell>
          <cell r="Q2874" t="str">
            <v>2022-08-02 → 8/3</v>
          </cell>
          <cell r="R2874" t="str">
            <v>2022-08-02 → 8/3</v>
          </cell>
          <cell r="S2874"/>
          <cell r="T2874">
            <v>44778</v>
          </cell>
          <cell r="U2874">
            <v>44784</v>
          </cell>
          <cell r="V2874">
            <v>44784</v>
          </cell>
          <cell r="W2874">
            <v>44784</v>
          </cell>
          <cell r="X2874">
            <v>41100286</v>
          </cell>
        </row>
        <row r="2875">
          <cell r="K2875" t="str">
            <v>GBWS-2560</v>
          </cell>
          <cell r="L2875">
            <v>44746</v>
          </cell>
          <cell r="M2875">
            <v>44747</v>
          </cell>
          <cell r="N2875">
            <v>44767</v>
          </cell>
          <cell r="O2875">
            <v>44747</v>
          </cell>
          <cell r="P2875">
            <v>44763</v>
          </cell>
          <cell r="Q2875" t="str">
            <v>2022-07-15 → 7/20</v>
          </cell>
          <cell r="R2875" t="str">
            <v>2022-07-15 → 7/20</v>
          </cell>
          <cell r="S2875"/>
          <cell r="T2875">
            <v>44762</v>
          </cell>
          <cell r="U2875">
            <v>44767</v>
          </cell>
          <cell r="V2875">
            <v>44771</v>
          </cell>
          <cell r="W2875">
            <v>44771</v>
          </cell>
          <cell r="X2875">
            <v>41100504</v>
          </cell>
        </row>
        <row r="2876">
          <cell r="K2876" t="str">
            <v>GBWS-2566</v>
          </cell>
          <cell r="L2876">
            <v>44746</v>
          </cell>
          <cell r="M2876">
            <v>44747</v>
          </cell>
          <cell r="N2876">
            <v>44767</v>
          </cell>
          <cell r="O2876">
            <v>44747</v>
          </cell>
          <cell r="P2876">
            <v>44763</v>
          </cell>
          <cell r="Q2876" t="str">
            <v>2022-07-15 → 7/20</v>
          </cell>
          <cell r="R2876" t="str">
            <v>2022-07-15 → 7/20</v>
          </cell>
          <cell r="S2876"/>
          <cell r="T2876">
            <v>44763</v>
          </cell>
          <cell r="U2876">
            <v>44767</v>
          </cell>
          <cell r="V2876">
            <v>44770</v>
          </cell>
          <cell r="W2876">
            <v>44770</v>
          </cell>
          <cell r="X2876">
            <v>41100504</v>
          </cell>
        </row>
        <row r="2877">
          <cell r="K2877" t="str">
            <v>GBWS-2622</v>
          </cell>
          <cell r="L2877">
            <v>44762</v>
          </cell>
          <cell r="M2877">
            <v>44761</v>
          </cell>
          <cell r="N2877">
            <v>44775</v>
          </cell>
          <cell r="O2877">
            <v>44761</v>
          </cell>
          <cell r="P2877">
            <v>44774</v>
          </cell>
          <cell r="Q2877">
            <v>44771</v>
          </cell>
          <cell r="R2877">
            <v>44771</v>
          </cell>
          <cell r="S2877"/>
          <cell r="T2877">
            <v>44775</v>
          </cell>
          <cell r="U2877">
            <v>44777</v>
          </cell>
          <cell r="V2877">
            <v>44781</v>
          </cell>
          <cell r="W2877">
            <v>44781</v>
          </cell>
          <cell r="X2877">
            <v>41100526</v>
          </cell>
        </row>
        <row r="2878">
          <cell r="K2878" t="str">
            <v>GBWS-2623</v>
          </cell>
          <cell r="L2878">
            <v>44762</v>
          </cell>
          <cell r="M2878">
            <v>44761</v>
          </cell>
          <cell r="N2878">
            <v>44775</v>
          </cell>
          <cell r="O2878">
            <v>44761</v>
          </cell>
          <cell r="P2878">
            <v>44774</v>
          </cell>
          <cell r="Q2878">
            <v>44771</v>
          </cell>
          <cell r="R2878">
            <v>44771</v>
          </cell>
          <cell r="S2878"/>
          <cell r="T2878">
            <v>44775</v>
          </cell>
          <cell r="U2878">
            <v>44778</v>
          </cell>
          <cell r="V2878">
            <v>44781</v>
          </cell>
          <cell r="W2878">
            <v>44781</v>
          </cell>
          <cell r="X2878">
            <v>41100525</v>
          </cell>
        </row>
        <row r="2879">
          <cell r="K2879" t="str">
            <v>GBWS-2296</v>
          </cell>
          <cell r="L2879">
            <v>44676</v>
          </cell>
          <cell r="M2879">
            <v>44677</v>
          </cell>
          <cell r="N2879">
            <v>44690</v>
          </cell>
          <cell r="O2879">
            <v>44677</v>
          </cell>
          <cell r="P2879">
            <v>44690</v>
          </cell>
          <cell r="Q2879">
            <v>44690</v>
          </cell>
          <cell r="R2879">
            <v>44690</v>
          </cell>
          <cell r="S2879"/>
          <cell r="T2879">
            <v>44692</v>
          </cell>
          <cell r="U2879">
            <v>44694</v>
          </cell>
          <cell r="V2879">
            <v>44698</v>
          </cell>
          <cell r="W2879">
            <v>44699</v>
          </cell>
          <cell r="X2879">
            <v>41100460</v>
          </cell>
        </row>
        <row r="2880">
          <cell r="K2880" t="str">
            <v>GBWS-2580</v>
          </cell>
          <cell r="L2880">
            <v>44747</v>
          </cell>
          <cell r="M2880">
            <v>44748</v>
          </cell>
          <cell r="N2880">
            <v>44760</v>
          </cell>
          <cell r="O2880">
            <v>44748</v>
          </cell>
          <cell r="P2880">
            <v>44761</v>
          </cell>
          <cell r="Q2880">
            <v>44760</v>
          </cell>
          <cell r="R2880">
            <v>44760</v>
          </cell>
          <cell r="S2880"/>
          <cell r="T2880">
            <v>44761</v>
          </cell>
          <cell r="U2880">
            <v>44762</v>
          </cell>
          <cell r="V2880">
            <v>44763</v>
          </cell>
          <cell r="W2880">
            <v>44763</v>
          </cell>
          <cell r="X2880">
            <v>41100460</v>
          </cell>
        </row>
        <row r="2881">
          <cell r="K2881" t="str">
            <v>GBWS-2581</v>
          </cell>
          <cell r="L2881">
            <v>44747</v>
          </cell>
          <cell r="M2881">
            <v>44748</v>
          </cell>
          <cell r="N2881">
            <v>44760</v>
          </cell>
          <cell r="O2881">
            <v>44748</v>
          </cell>
          <cell r="P2881">
            <v>44761</v>
          </cell>
          <cell r="Q2881">
            <v>44760</v>
          </cell>
          <cell r="R2881">
            <v>44760</v>
          </cell>
          <cell r="S2881"/>
          <cell r="T2881">
            <v>44761</v>
          </cell>
          <cell r="U2881">
            <v>44762</v>
          </cell>
          <cell r="V2881">
            <v>44763</v>
          </cell>
          <cell r="W2881">
            <v>44763</v>
          </cell>
          <cell r="X2881">
            <v>41100460</v>
          </cell>
        </row>
        <row r="2882">
          <cell r="K2882" t="str">
            <v>GBWS-2628</v>
          </cell>
          <cell r="L2882">
            <v>44762</v>
          </cell>
          <cell r="M2882">
            <v>44762</v>
          </cell>
          <cell r="N2882">
            <v>44771</v>
          </cell>
          <cell r="O2882">
            <v>44762</v>
          </cell>
          <cell r="P2882">
            <v>44775</v>
          </cell>
          <cell r="Q2882">
            <v>44775</v>
          </cell>
          <cell r="R2882">
            <v>44775</v>
          </cell>
          <cell r="S2882"/>
          <cell r="T2882">
            <v>44776</v>
          </cell>
          <cell r="U2882">
            <v>44778</v>
          </cell>
          <cell r="V2882">
            <v>44781</v>
          </cell>
          <cell r="W2882">
            <v>44781</v>
          </cell>
          <cell r="X2882">
            <v>41100460</v>
          </cell>
        </row>
        <row r="2883">
          <cell r="K2883" t="str">
            <v>GBWS-2629</v>
          </cell>
          <cell r="L2883">
            <v>44762</v>
          </cell>
          <cell r="M2883">
            <v>44762</v>
          </cell>
          <cell r="N2883">
            <v>44771</v>
          </cell>
          <cell r="O2883">
            <v>44762</v>
          </cell>
          <cell r="P2883">
            <v>44775</v>
          </cell>
          <cell r="Q2883">
            <v>44775</v>
          </cell>
          <cell r="R2883">
            <v>44775</v>
          </cell>
          <cell r="S2883"/>
          <cell r="T2883">
            <v>44776</v>
          </cell>
          <cell r="U2883">
            <v>44777</v>
          </cell>
          <cell r="V2883">
            <v>44781</v>
          </cell>
          <cell r="W2883">
            <v>44781</v>
          </cell>
          <cell r="X2883">
            <v>41100460</v>
          </cell>
        </row>
        <row r="2884">
          <cell r="K2884" t="str">
            <v>GBWS-2630</v>
          </cell>
          <cell r="L2884">
            <v>44762</v>
          </cell>
          <cell r="M2884">
            <v>44762</v>
          </cell>
          <cell r="N2884">
            <v>44771</v>
          </cell>
          <cell r="O2884">
            <v>44762</v>
          </cell>
          <cell r="P2884">
            <v>44775</v>
          </cell>
          <cell r="Q2884">
            <v>44775</v>
          </cell>
          <cell r="R2884">
            <v>44775</v>
          </cell>
          <cell r="S2884"/>
          <cell r="T2884">
            <v>44776</v>
          </cell>
          <cell r="U2884">
            <v>44778</v>
          </cell>
          <cell r="V2884">
            <v>44781</v>
          </cell>
          <cell r="W2884">
            <v>44781</v>
          </cell>
          <cell r="X2884">
            <v>41100460</v>
          </cell>
        </row>
        <row r="2885">
          <cell r="K2885" t="str">
            <v>GBWS-2608</v>
          </cell>
          <cell r="L2885">
            <v>44754</v>
          </cell>
          <cell r="M2885">
            <v>44755</v>
          </cell>
          <cell r="N2885">
            <v>44764</v>
          </cell>
          <cell r="O2885">
            <v>44755</v>
          </cell>
          <cell r="P2885">
            <v>44764</v>
          </cell>
          <cell r="Q2885">
            <v>44767</v>
          </cell>
          <cell r="R2885">
            <v>44767</v>
          </cell>
          <cell r="S2885"/>
          <cell r="T2885">
            <v>44769</v>
          </cell>
          <cell r="U2885">
            <v>44771</v>
          </cell>
          <cell r="V2885">
            <v>44775</v>
          </cell>
          <cell r="W2885">
            <v>44775</v>
          </cell>
          <cell r="X2885">
            <v>41100462</v>
          </cell>
        </row>
        <row r="2886">
          <cell r="K2886" t="str">
            <v>GBWS-2651</v>
          </cell>
          <cell r="L2886">
            <v>44767</v>
          </cell>
          <cell r="M2886">
            <v>44768</v>
          </cell>
          <cell r="N2886">
            <v>44783</v>
          </cell>
          <cell r="O2886">
            <v>44768</v>
          </cell>
          <cell r="P2886">
            <v>44778</v>
          </cell>
          <cell r="Q2886">
            <v>44778</v>
          </cell>
          <cell r="R2886">
            <v>44778</v>
          </cell>
          <cell r="S2886"/>
          <cell r="T2886">
            <v>44783</v>
          </cell>
          <cell r="U2886">
            <v>44785</v>
          </cell>
          <cell r="V2886">
            <v>44789</v>
          </cell>
          <cell r="W2886">
            <v>44789</v>
          </cell>
          <cell r="X2886">
            <v>41100296</v>
          </cell>
        </row>
        <row r="2887">
          <cell r="K2887" t="str">
            <v>GBWS-2647</v>
          </cell>
          <cell r="L2887">
            <v>44767</v>
          </cell>
          <cell r="M2887">
            <v>44767</v>
          </cell>
          <cell r="N2887">
            <v>44778</v>
          </cell>
          <cell r="O2887">
            <v>44767</v>
          </cell>
          <cell r="P2887">
            <v>44778</v>
          </cell>
          <cell r="Q2887">
            <v>44778</v>
          </cell>
          <cell r="R2887">
            <v>44778</v>
          </cell>
          <cell r="S2887"/>
          <cell r="T2887">
            <v>44781</v>
          </cell>
          <cell r="U2887">
            <v>44785</v>
          </cell>
          <cell r="V2887">
            <v>44785</v>
          </cell>
          <cell r="W2887">
            <v>44789</v>
          </cell>
          <cell r="X2887">
            <v>41100363</v>
          </cell>
        </row>
        <row r="2888">
          <cell r="K2888" t="str">
            <v>DBW-2683</v>
          </cell>
          <cell r="L2888">
            <v>44754</v>
          </cell>
          <cell r="M2888">
            <v>44755</v>
          </cell>
          <cell r="N2888">
            <v>44768</v>
          </cell>
          <cell r="O2888">
            <v>44755</v>
          </cell>
          <cell r="P2888">
            <v>44767</v>
          </cell>
          <cell r="Q2888">
            <v>44764</v>
          </cell>
          <cell r="R2888">
            <v>44764</v>
          </cell>
          <cell r="S2888"/>
          <cell r="T2888">
            <v>44767</v>
          </cell>
          <cell r="U2888">
            <v>44770</v>
          </cell>
          <cell r="V2888">
            <v>44771</v>
          </cell>
          <cell r="W2888">
            <v>44771</v>
          </cell>
          <cell r="X2888">
            <v>41100479</v>
          </cell>
        </row>
        <row r="2889">
          <cell r="K2889" t="str">
            <v>AWS-0008</v>
          </cell>
          <cell r="L2889">
            <v>44754</v>
          </cell>
          <cell r="M2889">
            <v>44588</v>
          </cell>
          <cell r="N2889">
            <v>44768</v>
          </cell>
          <cell r="O2889">
            <v>44588</v>
          </cell>
          <cell r="P2889">
            <v>44767</v>
          </cell>
          <cell r="Q2889">
            <v>44588</v>
          </cell>
          <cell r="R2889">
            <v>44588</v>
          </cell>
          <cell r="S2889"/>
          <cell r="T2889" t="str">
            <v>가압불가</v>
          </cell>
          <cell r="U2889">
            <v>44784</v>
          </cell>
          <cell r="V2889">
            <v>44784</v>
          </cell>
          <cell r="W2889">
            <v>44784</v>
          </cell>
          <cell r="X2889">
            <v>41100382</v>
          </cell>
        </row>
        <row r="2890">
          <cell r="K2890" t="str">
            <v>GBWS-2546</v>
          </cell>
          <cell r="L2890">
            <v>44739</v>
          </cell>
          <cell r="M2890" t="str">
            <v>2022-07-05 → 6/28</v>
          </cell>
          <cell r="N2890">
            <v>44753</v>
          </cell>
          <cell r="O2890" t="str">
            <v>2022-07-05 → 6/28</v>
          </cell>
          <cell r="P2890">
            <v>44750</v>
          </cell>
          <cell r="Q2890" t="str">
            <v>2022-07-08 → 7/9</v>
          </cell>
          <cell r="R2890" t="str">
            <v>2022-07-08 → 7/9</v>
          </cell>
          <cell r="S2890"/>
          <cell r="T2890">
            <v>44754</v>
          </cell>
          <cell r="U2890">
            <v>44786</v>
          </cell>
          <cell r="V2890">
            <v>44790</v>
          </cell>
          <cell r="W2890">
            <v>44790</v>
          </cell>
          <cell r="X2890">
            <v>41100350</v>
          </cell>
        </row>
        <row r="2891">
          <cell r="K2891" t="str">
            <v>GBWS-2554</v>
          </cell>
          <cell r="L2891">
            <v>44746</v>
          </cell>
          <cell r="M2891" t="str">
            <v>2022-07-12 → 7/5</v>
          </cell>
          <cell r="N2891">
            <v>44760</v>
          </cell>
          <cell r="O2891" t="str">
            <v>2022-07-12 → 7/5</v>
          </cell>
          <cell r="P2891">
            <v>44762</v>
          </cell>
          <cell r="Q2891" t="str">
            <v>2022-07-15 → 7/19</v>
          </cell>
          <cell r="R2891" t="str">
            <v>2022-07-15 → 7/19</v>
          </cell>
          <cell r="S2891"/>
          <cell r="T2891">
            <v>44762</v>
          </cell>
          <cell r="U2891">
            <v>44785</v>
          </cell>
          <cell r="V2891">
            <v>44790</v>
          </cell>
          <cell r="W2891">
            <v>44790</v>
          </cell>
          <cell r="X2891">
            <v>41100350</v>
          </cell>
        </row>
        <row r="2892">
          <cell r="K2892" t="str">
            <v>IVAS-141</v>
          </cell>
          <cell r="L2892">
            <v>44763</v>
          </cell>
          <cell r="M2892" t="str">
            <v>2022-07-14 → 7/21</v>
          </cell>
          <cell r="N2892">
            <v>44783</v>
          </cell>
          <cell r="O2892" t="str">
            <v>2022-07-14 → 7/21</v>
          </cell>
          <cell r="P2892">
            <v>44777</v>
          </cell>
          <cell r="Q2892" t="str">
            <v>2022-07-28 → 8/4</v>
          </cell>
          <cell r="R2892" t="str">
            <v>2022-07-28 → 8/4</v>
          </cell>
          <cell r="S2892"/>
          <cell r="T2892">
            <v>44782</v>
          </cell>
          <cell r="U2892">
            <v>44790</v>
          </cell>
          <cell r="V2892">
            <v>44790</v>
          </cell>
          <cell r="W2892">
            <v>44790</v>
          </cell>
          <cell r="X2892">
            <v>41100272</v>
          </cell>
        </row>
        <row r="2893">
          <cell r="K2893" t="str">
            <v>IVAS-142</v>
          </cell>
          <cell r="L2893">
            <v>44767</v>
          </cell>
          <cell r="M2893">
            <v>44767</v>
          </cell>
          <cell r="N2893">
            <v>44783</v>
          </cell>
          <cell r="O2893">
            <v>44767</v>
          </cell>
          <cell r="P2893">
            <v>44789</v>
          </cell>
          <cell r="Q2893">
            <v>44778</v>
          </cell>
          <cell r="R2893">
            <v>44778</v>
          </cell>
          <cell r="S2893"/>
          <cell r="T2893">
            <v>44783</v>
          </cell>
          <cell r="U2893">
            <v>44789</v>
          </cell>
          <cell r="V2893">
            <v>44790</v>
          </cell>
          <cell r="W2893">
            <v>44790</v>
          </cell>
          <cell r="X2893">
            <v>41100290</v>
          </cell>
        </row>
        <row r="2894">
          <cell r="K2894" t="str">
            <v>DBW-2701</v>
          </cell>
          <cell r="L2894">
            <v>44770</v>
          </cell>
          <cell r="M2894">
            <v>44771</v>
          </cell>
          <cell r="N2894">
            <v>44784</v>
          </cell>
          <cell r="O2894">
            <v>44771</v>
          </cell>
          <cell r="P2894">
            <v>44784</v>
          </cell>
          <cell r="Q2894">
            <v>44781</v>
          </cell>
          <cell r="R2894">
            <v>44781</v>
          </cell>
          <cell r="S2894"/>
          <cell r="T2894">
            <v>44784</v>
          </cell>
          <cell r="U2894">
            <v>44785</v>
          </cell>
          <cell r="V2894">
            <v>44789</v>
          </cell>
          <cell r="W2894">
            <v>44789</v>
          </cell>
          <cell r="X2894">
            <v>41100531</v>
          </cell>
        </row>
        <row r="2895">
          <cell r="K2895" t="str">
            <v>DBW-2702</v>
          </cell>
          <cell r="L2895">
            <v>44770</v>
          </cell>
          <cell r="M2895">
            <v>44771</v>
          </cell>
          <cell r="N2895">
            <v>44784</v>
          </cell>
          <cell r="O2895">
            <v>44771</v>
          </cell>
          <cell r="P2895">
            <v>44784</v>
          </cell>
          <cell r="Q2895">
            <v>44781</v>
          </cell>
          <cell r="R2895">
            <v>44781</v>
          </cell>
          <cell r="S2895"/>
          <cell r="T2895">
            <v>44784</v>
          </cell>
          <cell r="U2895">
            <v>44785</v>
          </cell>
          <cell r="V2895">
            <v>44789</v>
          </cell>
          <cell r="W2895">
            <v>44789</v>
          </cell>
          <cell r="X2895">
            <v>41100531</v>
          </cell>
        </row>
        <row r="2896">
          <cell r="K2896"/>
          <cell r="L2896">
            <v>44785</v>
          </cell>
          <cell r="M2896">
            <v>44785</v>
          </cell>
          <cell r="N2896">
            <v>44790</v>
          </cell>
          <cell r="O2896">
            <v>44785</v>
          </cell>
          <cell r="P2896">
            <v>44790</v>
          </cell>
          <cell r="Q2896">
            <v>44785</v>
          </cell>
          <cell r="R2896">
            <v>44785</v>
          </cell>
          <cell r="S2896"/>
          <cell r="T2896">
            <v>44790</v>
          </cell>
          <cell r="U2896">
            <v>44790</v>
          </cell>
          <cell r="V2896">
            <v>44790</v>
          </cell>
          <cell r="W2896">
            <v>44790</v>
          </cell>
          <cell r="X2896">
            <v>31010315</v>
          </cell>
        </row>
        <row r="2897">
          <cell r="K2897" t="str">
            <v>GBWS-2313</v>
          </cell>
          <cell r="L2897">
            <v>44683</v>
          </cell>
          <cell r="M2897">
            <v>44684</v>
          </cell>
          <cell r="N2897">
            <v>44698</v>
          </cell>
          <cell r="O2897">
            <v>44684</v>
          </cell>
          <cell r="P2897">
            <v>44697</v>
          </cell>
          <cell r="Q2897">
            <v>44693</v>
          </cell>
          <cell r="R2897">
            <v>44693</v>
          </cell>
          <cell r="S2897"/>
          <cell r="T2897">
            <v>44698</v>
          </cell>
          <cell r="U2897">
            <v>44699</v>
          </cell>
          <cell r="V2897">
            <v>44700</v>
          </cell>
          <cell r="W2897">
            <v>44700</v>
          </cell>
          <cell r="X2897">
            <v>41100468</v>
          </cell>
        </row>
        <row r="2898">
          <cell r="K2898" t="str">
            <v>GBWS-2314</v>
          </cell>
          <cell r="L2898">
            <v>44683</v>
          </cell>
          <cell r="M2898">
            <v>44684</v>
          </cell>
          <cell r="N2898">
            <v>44698</v>
          </cell>
          <cell r="O2898">
            <v>44684</v>
          </cell>
          <cell r="P2898">
            <v>44697</v>
          </cell>
          <cell r="Q2898">
            <v>44693</v>
          </cell>
          <cell r="R2898">
            <v>44693</v>
          </cell>
          <cell r="S2898"/>
          <cell r="T2898">
            <v>44698</v>
          </cell>
          <cell r="U2898">
            <v>44699</v>
          </cell>
          <cell r="V2898">
            <v>44700</v>
          </cell>
          <cell r="W2898">
            <v>44700</v>
          </cell>
          <cell r="X2898">
            <v>41100468</v>
          </cell>
        </row>
        <row r="2899">
          <cell r="K2899" t="str">
            <v>GBWS-2315</v>
          </cell>
          <cell r="L2899">
            <v>44683</v>
          </cell>
          <cell r="M2899">
            <v>44684</v>
          </cell>
          <cell r="N2899">
            <v>44698</v>
          </cell>
          <cell r="O2899">
            <v>44684</v>
          </cell>
          <cell r="P2899">
            <v>44697</v>
          </cell>
          <cell r="Q2899">
            <v>44693</v>
          </cell>
          <cell r="R2899">
            <v>44693</v>
          </cell>
          <cell r="S2899"/>
          <cell r="T2899">
            <v>44698</v>
          </cell>
          <cell r="U2899">
            <v>44699</v>
          </cell>
          <cell r="V2899">
            <v>44700</v>
          </cell>
          <cell r="W2899">
            <v>44700</v>
          </cell>
          <cell r="X2899">
            <v>41100468</v>
          </cell>
        </row>
        <row r="2900">
          <cell r="K2900" t="str">
            <v>GBWS-2316</v>
          </cell>
          <cell r="L2900">
            <v>44683</v>
          </cell>
          <cell r="M2900">
            <v>44684</v>
          </cell>
          <cell r="N2900">
            <v>44698</v>
          </cell>
          <cell r="O2900">
            <v>44684</v>
          </cell>
          <cell r="P2900">
            <v>44697</v>
          </cell>
          <cell r="Q2900">
            <v>44693</v>
          </cell>
          <cell r="R2900">
            <v>44693</v>
          </cell>
          <cell r="S2900"/>
          <cell r="T2900">
            <v>44698</v>
          </cell>
          <cell r="U2900">
            <v>44699</v>
          </cell>
          <cell r="V2900">
            <v>44700</v>
          </cell>
          <cell r="W2900">
            <v>44700</v>
          </cell>
          <cell r="X2900">
            <v>41100468</v>
          </cell>
        </row>
        <row r="2901">
          <cell r="K2901"/>
          <cell r="L2901" t="str">
            <v>-</v>
          </cell>
          <cell r="M2901" t="str">
            <v>2022-08-09 → 7/12</v>
          </cell>
          <cell r="N2901">
            <v>44763</v>
          </cell>
          <cell r="O2901" t="str">
            <v>2022-08-09 → 7/12</v>
          </cell>
          <cell r="P2901">
            <v>44763</v>
          </cell>
          <cell r="Q2901" t="str">
            <v>2022-08-11 → 7/14</v>
          </cell>
          <cell r="R2901" t="str">
            <v>2022-08-11 → 7/14</v>
          </cell>
          <cell r="S2901"/>
          <cell r="T2901">
            <v>44767</v>
          </cell>
          <cell r="U2901">
            <v>44767</v>
          </cell>
          <cell r="V2901">
            <v>44767</v>
          </cell>
          <cell r="W2901">
            <v>44767</v>
          </cell>
          <cell r="X2901">
            <v>31102214</v>
          </cell>
        </row>
        <row r="2902">
          <cell r="K2902"/>
          <cell r="L2902" t="str">
            <v>-</v>
          </cell>
          <cell r="M2902" t="str">
            <v>2022-08-09 → 7/18</v>
          </cell>
          <cell r="N2902">
            <v>44777</v>
          </cell>
          <cell r="O2902" t="str">
            <v>2022-08-09 → 7/18</v>
          </cell>
          <cell r="P2902">
            <v>44777</v>
          </cell>
          <cell r="Q2902" t="str">
            <v>2022-08-11 → 7/21</v>
          </cell>
          <cell r="R2902" t="str">
            <v>2022-08-11 → 7/21</v>
          </cell>
          <cell r="S2902"/>
          <cell r="T2902">
            <v>44789</v>
          </cell>
          <cell r="U2902">
            <v>44789</v>
          </cell>
          <cell r="V2902">
            <v>44789</v>
          </cell>
          <cell r="W2902">
            <v>44789</v>
          </cell>
          <cell r="X2902">
            <v>31102214</v>
          </cell>
        </row>
        <row r="2903">
          <cell r="K2903"/>
          <cell r="L2903" t="str">
            <v>-</v>
          </cell>
          <cell r="M2903" t="str">
            <v>2022-07-25 → 7/18</v>
          </cell>
          <cell r="N2903">
            <v>44777</v>
          </cell>
          <cell r="O2903" t="str">
            <v>2022-07-25 → 7/18</v>
          </cell>
          <cell r="P2903">
            <v>44777</v>
          </cell>
          <cell r="Q2903" t="str">
            <v>2022-08-11 → 7/28</v>
          </cell>
          <cell r="R2903" t="str">
            <v>2022-08-11 → 7/28</v>
          </cell>
          <cell r="S2903"/>
          <cell r="T2903">
            <v>44777</v>
          </cell>
          <cell r="U2903">
            <v>44777</v>
          </cell>
          <cell r="V2903">
            <v>44777</v>
          </cell>
          <cell r="W2903">
            <v>44777</v>
          </cell>
          <cell r="X2903">
            <v>31102214</v>
          </cell>
        </row>
        <row r="2904">
          <cell r="K2904"/>
          <cell r="L2904" t="str">
            <v>-</v>
          </cell>
          <cell r="M2904">
            <v>44767</v>
          </cell>
          <cell r="N2904">
            <v>44767</v>
          </cell>
          <cell r="O2904">
            <v>44767</v>
          </cell>
          <cell r="P2904">
            <v>44767</v>
          </cell>
          <cell r="Q2904">
            <v>44770</v>
          </cell>
          <cell r="R2904">
            <v>44770</v>
          </cell>
          <cell r="S2904"/>
          <cell r="T2904">
            <v>44767</v>
          </cell>
          <cell r="U2904">
            <v>44767</v>
          </cell>
          <cell r="V2904">
            <v>44767</v>
          </cell>
          <cell r="W2904">
            <v>44767</v>
          </cell>
          <cell r="X2904">
            <v>31101727</v>
          </cell>
        </row>
        <row r="2905">
          <cell r="K2905" t="str">
            <v>GBWS-2626</v>
          </cell>
          <cell r="L2905">
            <v>44760</v>
          </cell>
          <cell r="M2905" t="str">
            <v>2022-07-12 → 7/19</v>
          </cell>
          <cell r="N2905">
            <v>44775</v>
          </cell>
          <cell r="O2905" t="str">
            <v>2022-07-12 → 7/19</v>
          </cell>
          <cell r="P2905">
            <v>44770</v>
          </cell>
          <cell r="Q2905" t="str">
            <v>2022-07-21 → 7/27 → 7/28</v>
          </cell>
          <cell r="R2905" t="str">
            <v>2022-07-21 → 7/27 → 7/28</v>
          </cell>
          <cell r="S2905"/>
          <cell r="T2905">
            <v>44771</v>
          </cell>
          <cell r="U2905">
            <v>44776</v>
          </cell>
          <cell r="V2905">
            <v>44777</v>
          </cell>
          <cell r="W2905">
            <v>44777</v>
          </cell>
          <cell r="X2905">
            <v>41100524</v>
          </cell>
        </row>
        <row r="2906">
          <cell r="K2906" t="str">
            <v>GBWS-2627</v>
          </cell>
          <cell r="L2906">
            <v>44760</v>
          </cell>
          <cell r="M2906" t="str">
            <v>2022-07-12 → 7/19</v>
          </cell>
          <cell r="N2906">
            <v>44775</v>
          </cell>
          <cell r="O2906" t="str">
            <v>2022-07-12 → 7/19</v>
          </cell>
          <cell r="P2906">
            <v>44770</v>
          </cell>
          <cell r="Q2906" t="str">
            <v>2022-07-21 → 7/27 → 7/28</v>
          </cell>
          <cell r="R2906" t="str">
            <v>2022-07-21 → 7/27 → 7/28</v>
          </cell>
          <cell r="S2906"/>
          <cell r="T2906">
            <v>44771</v>
          </cell>
          <cell r="U2906">
            <v>44777</v>
          </cell>
          <cell r="V2906">
            <v>44777</v>
          </cell>
          <cell r="W2906">
            <v>44777</v>
          </cell>
          <cell r="X2906">
            <v>41100524</v>
          </cell>
        </row>
        <row r="2907">
          <cell r="K2907" t="str">
            <v>GBWS-2552</v>
          </cell>
          <cell r="L2907">
            <v>44746</v>
          </cell>
          <cell r="M2907">
            <v>44747</v>
          </cell>
          <cell r="N2907">
            <v>44756</v>
          </cell>
          <cell r="O2907">
            <v>44747</v>
          </cell>
          <cell r="P2907">
            <v>44757</v>
          </cell>
          <cell r="Q2907" t="str">
            <v>2022-07-15 → 7/12 → 7/13</v>
          </cell>
          <cell r="R2907" t="str">
            <v>2022-07-15 → 7/12 → 7/13</v>
          </cell>
          <cell r="S2907"/>
          <cell r="T2907">
            <v>44756</v>
          </cell>
          <cell r="U2907">
            <v>44758</v>
          </cell>
          <cell r="V2907">
            <v>44759</v>
          </cell>
          <cell r="W2907">
            <v>44760</v>
          </cell>
          <cell r="X2907">
            <v>41100522</v>
          </cell>
        </row>
        <row r="2908">
          <cell r="K2908" t="str">
            <v>DBW-2679</v>
          </cell>
          <cell r="L2908">
            <v>44750</v>
          </cell>
          <cell r="M2908" t="str">
            <v>2022-07-14 → 7/8</v>
          </cell>
          <cell r="N2908">
            <v>44767</v>
          </cell>
          <cell r="O2908" t="str">
            <v>2022-07-14 → 7/8</v>
          </cell>
          <cell r="P2908">
            <v>44767</v>
          </cell>
          <cell r="Q2908" t="str">
            <v>2022-07-20 → 7/22</v>
          </cell>
          <cell r="R2908" t="str">
            <v>2022-07-20 → 7/22</v>
          </cell>
          <cell r="S2908"/>
          <cell r="T2908">
            <v>44767</v>
          </cell>
          <cell r="U2908">
            <v>44768</v>
          </cell>
          <cell r="V2908">
            <v>44771</v>
          </cell>
          <cell r="W2908">
            <v>44771</v>
          </cell>
          <cell r="X2908">
            <v>41100360</v>
          </cell>
        </row>
        <row r="2909">
          <cell r="K2909" t="str">
            <v>GBWS-2332</v>
          </cell>
          <cell r="L2909">
            <v>44684</v>
          </cell>
          <cell r="M2909">
            <v>44685</v>
          </cell>
          <cell r="N2909">
            <v>44698</v>
          </cell>
          <cell r="O2909">
            <v>44685</v>
          </cell>
          <cell r="P2909">
            <v>44697</v>
          </cell>
          <cell r="Q2909">
            <v>44699</v>
          </cell>
          <cell r="R2909">
            <v>44699</v>
          </cell>
          <cell r="S2909"/>
          <cell r="T2909">
            <v>44699</v>
          </cell>
          <cell r="U2909">
            <v>44700</v>
          </cell>
          <cell r="V2909">
            <v>44705</v>
          </cell>
          <cell r="W2909">
            <v>44705</v>
          </cell>
          <cell r="X2909">
            <v>41100463</v>
          </cell>
        </row>
        <row r="2910">
          <cell r="K2910" t="str">
            <v>DBW-2703</v>
          </cell>
          <cell r="L2910">
            <v>44774</v>
          </cell>
          <cell r="M2910">
            <v>44775</v>
          </cell>
          <cell r="N2910">
            <v>44788</v>
          </cell>
          <cell r="O2910">
            <v>44775</v>
          </cell>
          <cell r="P2910">
            <v>44791</v>
          </cell>
          <cell r="Q2910">
            <v>44785</v>
          </cell>
          <cell r="R2910">
            <v>44785</v>
          </cell>
          <cell r="S2910"/>
          <cell r="T2910">
            <v>44789</v>
          </cell>
          <cell r="U2910">
            <v>44792</v>
          </cell>
          <cell r="V2910">
            <v>44792</v>
          </cell>
          <cell r="W2910">
            <v>44792</v>
          </cell>
          <cell r="X2910">
            <v>41100501</v>
          </cell>
        </row>
        <row r="2911">
          <cell r="K2911" t="str">
            <v>GBWS-2621</v>
          </cell>
          <cell r="L2911">
            <v>44760</v>
          </cell>
          <cell r="M2911">
            <v>44760</v>
          </cell>
          <cell r="N2911">
            <v>44774</v>
          </cell>
          <cell r="O2911">
            <v>44760</v>
          </cell>
          <cell r="P2911">
            <v>44774</v>
          </cell>
          <cell r="Q2911" t="str">
            <v>2022-07-27 → 7/30</v>
          </cell>
          <cell r="R2911" t="str">
            <v>2022-07-27 → 7/30</v>
          </cell>
          <cell r="S2911"/>
          <cell r="T2911">
            <v>44776</v>
          </cell>
          <cell r="U2911">
            <v>44789</v>
          </cell>
          <cell r="V2911">
            <v>44791</v>
          </cell>
          <cell r="W2911">
            <v>44791</v>
          </cell>
          <cell r="X2911">
            <v>41100350</v>
          </cell>
        </row>
        <row r="2912">
          <cell r="K2912" t="str">
            <v>GBWS-2570</v>
          </cell>
          <cell r="L2912">
            <v>44747</v>
          </cell>
          <cell r="M2912">
            <v>44748</v>
          </cell>
          <cell r="N2912">
            <v>44760</v>
          </cell>
          <cell r="O2912">
            <v>44748</v>
          </cell>
          <cell r="P2912">
            <v>44760</v>
          </cell>
          <cell r="Q2912">
            <v>44760</v>
          </cell>
          <cell r="R2912">
            <v>44760</v>
          </cell>
          <cell r="S2912"/>
          <cell r="T2912">
            <v>44760</v>
          </cell>
          <cell r="U2912">
            <v>44761</v>
          </cell>
          <cell r="V2912">
            <v>44762</v>
          </cell>
          <cell r="W2912">
            <v>44762</v>
          </cell>
          <cell r="X2912">
            <v>41100460</v>
          </cell>
        </row>
        <row r="2913">
          <cell r="K2913" t="str">
            <v>GBWS-2571</v>
          </cell>
          <cell r="L2913">
            <v>44747</v>
          </cell>
          <cell r="M2913">
            <v>44748</v>
          </cell>
          <cell r="N2913">
            <v>44760</v>
          </cell>
          <cell r="O2913">
            <v>44748</v>
          </cell>
          <cell r="P2913">
            <v>44760</v>
          </cell>
          <cell r="Q2913">
            <v>44760</v>
          </cell>
          <cell r="R2913">
            <v>44760</v>
          </cell>
          <cell r="S2913"/>
          <cell r="T2913">
            <v>44760</v>
          </cell>
          <cell r="U2913">
            <v>44761</v>
          </cell>
          <cell r="V2913">
            <v>44763</v>
          </cell>
          <cell r="W2913">
            <v>44763</v>
          </cell>
          <cell r="X2913">
            <v>41100460</v>
          </cell>
        </row>
        <row r="2914">
          <cell r="K2914" t="str">
            <v>GBWS-2572</v>
          </cell>
          <cell r="L2914">
            <v>44747</v>
          </cell>
          <cell r="M2914">
            <v>44748</v>
          </cell>
          <cell r="N2914">
            <v>44760</v>
          </cell>
          <cell r="O2914">
            <v>44748</v>
          </cell>
          <cell r="P2914">
            <v>44760</v>
          </cell>
          <cell r="Q2914">
            <v>44760</v>
          </cell>
          <cell r="R2914">
            <v>44760</v>
          </cell>
          <cell r="S2914"/>
          <cell r="T2914">
            <v>44760</v>
          </cell>
          <cell r="U2914">
            <v>44762</v>
          </cell>
          <cell r="V2914">
            <v>44762</v>
          </cell>
          <cell r="W2914">
            <v>44762</v>
          </cell>
          <cell r="X2914">
            <v>41100460</v>
          </cell>
        </row>
        <row r="2915">
          <cell r="K2915" t="str">
            <v>GBWS-2632</v>
          </cell>
          <cell r="L2915">
            <v>44762</v>
          </cell>
          <cell r="M2915">
            <v>44762</v>
          </cell>
          <cell r="N2915">
            <v>44775</v>
          </cell>
          <cell r="O2915">
            <v>44762</v>
          </cell>
          <cell r="P2915">
            <v>44775</v>
          </cell>
          <cell r="Q2915">
            <v>44775</v>
          </cell>
          <cell r="R2915">
            <v>44775</v>
          </cell>
          <cell r="S2915"/>
          <cell r="T2915">
            <v>44777</v>
          </cell>
          <cell r="U2915">
            <v>44779</v>
          </cell>
          <cell r="V2915">
            <v>44783</v>
          </cell>
          <cell r="W2915">
            <v>44783</v>
          </cell>
          <cell r="X2915">
            <v>41100460</v>
          </cell>
        </row>
        <row r="2916">
          <cell r="K2916" t="str">
            <v>GBWS-2634</v>
          </cell>
          <cell r="L2916">
            <v>44762</v>
          </cell>
          <cell r="M2916">
            <v>44762</v>
          </cell>
          <cell r="N2916">
            <v>44775</v>
          </cell>
          <cell r="O2916">
            <v>44762</v>
          </cell>
          <cell r="P2916">
            <v>44775</v>
          </cell>
          <cell r="Q2916">
            <v>44775</v>
          </cell>
          <cell r="R2916">
            <v>44775</v>
          </cell>
          <cell r="S2916"/>
          <cell r="T2916">
            <v>44777</v>
          </cell>
          <cell r="U2916">
            <v>44781</v>
          </cell>
          <cell r="V2916">
            <v>44783</v>
          </cell>
          <cell r="W2916">
            <v>44783</v>
          </cell>
          <cell r="X2916">
            <v>41100460</v>
          </cell>
        </row>
        <row r="2917">
          <cell r="K2917" t="str">
            <v>GBWS-2635</v>
          </cell>
          <cell r="L2917">
            <v>44762</v>
          </cell>
          <cell r="M2917">
            <v>44762</v>
          </cell>
          <cell r="N2917">
            <v>44775</v>
          </cell>
          <cell r="O2917">
            <v>44762</v>
          </cell>
          <cell r="P2917">
            <v>44775</v>
          </cell>
          <cell r="Q2917">
            <v>44775</v>
          </cell>
          <cell r="R2917">
            <v>44775</v>
          </cell>
          <cell r="S2917"/>
          <cell r="T2917">
            <v>44777</v>
          </cell>
          <cell r="U2917">
            <v>44781</v>
          </cell>
          <cell r="V2917">
            <v>44785</v>
          </cell>
          <cell r="W2917">
            <v>44785</v>
          </cell>
          <cell r="X2917">
            <v>41100460</v>
          </cell>
        </row>
        <row r="2918">
          <cell r="K2918" t="str">
            <v>GBWS-2636</v>
          </cell>
          <cell r="L2918">
            <v>44762</v>
          </cell>
          <cell r="M2918">
            <v>44762</v>
          </cell>
          <cell r="N2918">
            <v>44775</v>
          </cell>
          <cell r="O2918">
            <v>44762</v>
          </cell>
          <cell r="P2918">
            <v>44775</v>
          </cell>
          <cell r="Q2918">
            <v>44775</v>
          </cell>
          <cell r="R2918">
            <v>44775</v>
          </cell>
          <cell r="S2918"/>
          <cell r="T2918">
            <v>44781</v>
          </cell>
          <cell r="U2918">
            <v>44782</v>
          </cell>
          <cell r="V2918">
            <v>44786</v>
          </cell>
          <cell r="W2918">
            <v>44786</v>
          </cell>
          <cell r="X2918">
            <v>41100460</v>
          </cell>
        </row>
        <row r="2919">
          <cell r="K2919" t="str">
            <v>GBWS-2637</v>
          </cell>
          <cell r="L2919">
            <v>44762</v>
          </cell>
          <cell r="M2919">
            <v>44762</v>
          </cell>
          <cell r="N2919">
            <v>44775</v>
          </cell>
          <cell r="O2919">
            <v>44762</v>
          </cell>
          <cell r="P2919">
            <v>44775</v>
          </cell>
          <cell r="Q2919">
            <v>44775</v>
          </cell>
          <cell r="R2919">
            <v>44775</v>
          </cell>
          <cell r="S2919"/>
          <cell r="T2919">
            <v>44781</v>
          </cell>
          <cell r="U2919">
            <v>44782</v>
          </cell>
          <cell r="V2919">
            <v>44784</v>
          </cell>
          <cell r="W2919">
            <v>44791</v>
          </cell>
          <cell r="X2919">
            <v>41100460</v>
          </cell>
        </row>
        <row r="2920">
          <cell r="K2920" t="str">
            <v>GBWS-2638</v>
          </cell>
          <cell r="L2920">
            <v>44762</v>
          </cell>
          <cell r="M2920">
            <v>44762</v>
          </cell>
          <cell r="N2920">
            <v>44775</v>
          </cell>
          <cell r="O2920">
            <v>44762</v>
          </cell>
          <cell r="P2920">
            <v>44775</v>
          </cell>
          <cell r="Q2920">
            <v>44775</v>
          </cell>
          <cell r="R2920">
            <v>44775</v>
          </cell>
          <cell r="S2920"/>
          <cell r="T2920">
            <v>44781</v>
          </cell>
          <cell r="U2920">
            <v>44782</v>
          </cell>
          <cell r="V2920">
            <v>44784</v>
          </cell>
          <cell r="W2920">
            <v>44791</v>
          </cell>
          <cell r="X2920">
            <v>41100460</v>
          </cell>
        </row>
        <row r="2921">
          <cell r="K2921" t="str">
            <v>GBWS-2639</v>
          </cell>
          <cell r="L2921">
            <v>44762</v>
          </cell>
          <cell r="M2921">
            <v>44762</v>
          </cell>
          <cell r="N2921">
            <v>44775</v>
          </cell>
          <cell r="O2921">
            <v>44762</v>
          </cell>
          <cell r="P2921">
            <v>44775</v>
          </cell>
          <cell r="Q2921">
            <v>44775</v>
          </cell>
          <cell r="R2921">
            <v>44775</v>
          </cell>
          <cell r="S2921"/>
          <cell r="T2921">
            <v>44777</v>
          </cell>
          <cell r="U2921">
            <v>44779</v>
          </cell>
          <cell r="V2921">
            <v>44785</v>
          </cell>
          <cell r="W2921">
            <v>44785</v>
          </cell>
          <cell r="X2921">
            <v>41100460</v>
          </cell>
        </row>
        <row r="2922">
          <cell r="K2922" t="str">
            <v>DBW-2693</v>
          </cell>
          <cell r="L2922">
            <v>44763</v>
          </cell>
          <cell r="M2922">
            <v>44763</v>
          </cell>
          <cell r="N2922">
            <v>44775</v>
          </cell>
          <cell r="O2922">
            <v>44763</v>
          </cell>
          <cell r="P2922">
            <v>44774</v>
          </cell>
          <cell r="Q2922">
            <v>44771</v>
          </cell>
          <cell r="R2922">
            <v>44771</v>
          </cell>
          <cell r="S2922"/>
          <cell r="T2922">
            <v>44774</v>
          </cell>
          <cell r="U2922">
            <v>44784</v>
          </cell>
          <cell r="V2922">
            <v>44789</v>
          </cell>
          <cell r="W2922">
            <v>44789</v>
          </cell>
          <cell r="X2922">
            <v>41100465</v>
          </cell>
        </row>
        <row r="2923">
          <cell r="K2923" t="str">
            <v>DBW-2695</v>
          </cell>
          <cell r="L2923">
            <v>44763</v>
          </cell>
          <cell r="M2923">
            <v>44763</v>
          </cell>
          <cell r="N2923">
            <v>44783</v>
          </cell>
          <cell r="O2923">
            <v>44763</v>
          </cell>
          <cell r="P2923">
            <v>44774</v>
          </cell>
          <cell r="Q2923">
            <v>44771</v>
          </cell>
          <cell r="R2923">
            <v>44771</v>
          </cell>
          <cell r="S2923"/>
          <cell r="T2923">
            <v>44774</v>
          </cell>
          <cell r="U2923">
            <v>44784</v>
          </cell>
          <cell r="V2923">
            <v>44789</v>
          </cell>
          <cell r="W2923">
            <v>44789</v>
          </cell>
          <cell r="X2923">
            <v>41100465</v>
          </cell>
        </row>
        <row r="2924">
          <cell r="K2924" t="str">
            <v>DBW-2696</v>
          </cell>
          <cell r="L2924">
            <v>44763</v>
          </cell>
          <cell r="M2924">
            <v>44763</v>
          </cell>
          <cell r="N2924">
            <v>44783</v>
          </cell>
          <cell r="O2924">
            <v>44763</v>
          </cell>
          <cell r="P2924">
            <v>44774</v>
          </cell>
          <cell r="Q2924">
            <v>44771</v>
          </cell>
          <cell r="R2924">
            <v>44771</v>
          </cell>
          <cell r="S2924"/>
          <cell r="T2924">
            <v>44774</v>
          </cell>
          <cell r="U2924">
            <v>44784</v>
          </cell>
          <cell r="V2924">
            <v>44789</v>
          </cell>
          <cell r="W2924">
            <v>44789</v>
          </cell>
          <cell r="X2924">
            <v>41100465</v>
          </cell>
        </row>
        <row r="2925">
          <cell r="K2925" t="str">
            <v>DBW-2697</v>
          </cell>
          <cell r="L2925">
            <v>44763</v>
          </cell>
          <cell r="M2925">
            <v>44763</v>
          </cell>
          <cell r="N2925">
            <v>44783</v>
          </cell>
          <cell r="O2925">
            <v>44763</v>
          </cell>
          <cell r="P2925">
            <v>44774</v>
          </cell>
          <cell r="Q2925">
            <v>44771</v>
          </cell>
          <cell r="R2925">
            <v>44771</v>
          </cell>
          <cell r="S2925"/>
          <cell r="T2925">
            <v>44774</v>
          </cell>
          <cell r="U2925">
            <v>44784</v>
          </cell>
          <cell r="V2925">
            <v>44789</v>
          </cell>
          <cell r="W2925">
            <v>44789</v>
          </cell>
          <cell r="X2925">
            <v>41100465</v>
          </cell>
        </row>
        <row r="2926">
          <cell r="K2926" t="str">
            <v>DBW-2698</v>
          </cell>
          <cell r="L2926">
            <v>44763</v>
          </cell>
          <cell r="M2926">
            <v>44763</v>
          </cell>
          <cell r="N2926">
            <v>44783</v>
          </cell>
          <cell r="O2926">
            <v>44763</v>
          </cell>
          <cell r="P2926">
            <v>44774</v>
          </cell>
          <cell r="Q2926">
            <v>44771</v>
          </cell>
          <cell r="R2926">
            <v>44771</v>
          </cell>
          <cell r="S2926"/>
          <cell r="T2926">
            <v>44774</v>
          </cell>
          <cell r="U2926">
            <v>44784</v>
          </cell>
          <cell r="V2926">
            <v>44789</v>
          </cell>
          <cell r="W2926">
            <v>44789</v>
          </cell>
          <cell r="X2926">
            <v>41100465</v>
          </cell>
        </row>
        <row r="2927">
          <cell r="K2927" t="str">
            <v>DBW-2694</v>
          </cell>
          <cell r="L2927">
            <v>44763</v>
          </cell>
          <cell r="M2927">
            <v>44763</v>
          </cell>
          <cell r="N2927">
            <v>44775</v>
          </cell>
          <cell r="O2927">
            <v>44763</v>
          </cell>
          <cell r="P2927">
            <v>44774</v>
          </cell>
          <cell r="Q2927">
            <v>44771</v>
          </cell>
          <cell r="R2927">
            <v>44771</v>
          </cell>
          <cell r="S2927"/>
          <cell r="T2927">
            <v>44775</v>
          </cell>
          <cell r="U2927">
            <v>44776</v>
          </cell>
          <cell r="V2927">
            <v>44776</v>
          </cell>
          <cell r="W2927">
            <v>44776</v>
          </cell>
          <cell r="X2927" t="str">
            <v>41100465 → 41100469</v>
          </cell>
        </row>
        <row r="2928">
          <cell r="K2928" t="str">
            <v>DBW-2669</v>
          </cell>
          <cell r="L2928">
            <v>44727</v>
          </cell>
          <cell r="M2928">
            <v>44727</v>
          </cell>
          <cell r="N2928">
            <v>44736</v>
          </cell>
          <cell r="O2928">
            <v>44727</v>
          </cell>
          <cell r="P2928">
            <v>44742</v>
          </cell>
          <cell r="Q2928">
            <v>44736</v>
          </cell>
          <cell r="R2928">
            <v>44736</v>
          </cell>
          <cell r="S2928"/>
          <cell r="T2928">
            <v>44740</v>
          </cell>
          <cell r="U2928">
            <v>44743</v>
          </cell>
          <cell r="V2928">
            <v>44743</v>
          </cell>
          <cell r="W2928">
            <v>44746</v>
          </cell>
          <cell r="X2928">
            <v>41100480</v>
          </cell>
        </row>
        <row r="2929">
          <cell r="K2929" t="str">
            <v>DBW-2670</v>
          </cell>
          <cell r="L2929">
            <v>44727</v>
          </cell>
          <cell r="M2929">
            <v>44727</v>
          </cell>
          <cell r="N2929">
            <v>44736</v>
          </cell>
          <cell r="O2929">
            <v>44727</v>
          </cell>
          <cell r="P2929">
            <v>44742</v>
          </cell>
          <cell r="Q2929">
            <v>44736</v>
          </cell>
          <cell r="R2929">
            <v>44736</v>
          </cell>
          <cell r="S2929"/>
          <cell r="T2929">
            <v>44740</v>
          </cell>
          <cell r="U2929">
            <v>44743</v>
          </cell>
          <cell r="V2929">
            <v>44746</v>
          </cell>
          <cell r="W2929">
            <v>44746</v>
          </cell>
          <cell r="X2929">
            <v>41100480</v>
          </cell>
        </row>
        <row r="2930">
          <cell r="K2930" t="str">
            <v>GBWS-2673</v>
          </cell>
          <cell r="L2930">
            <v>44771</v>
          </cell>
          <cell r="M2930" t="str">
            <v>2022-07-27 → 8/1</v>
          </cell>
          <cell r="N2930">
            <v>44785</v>
          </cell>
          <cell r="O2930" t="str">
            <v>2022-07-27 → 8/1</v>
          </cell>
          <cell r="P2930">
            <v>44785</v>
          </cell>
          <cell r="Q2930" t="str">
            <v>2022-08-08 → 8/11</v>
          </cell>
          <cell r="R2930" t="str">
            <v>2022-08-08 → 8/11</v>
          </cell>
          <cell r="S2930"/>
          <cell r="T2930">
            <v>44790</v>
          </cell>
          <cell r="U2930">
            <v>44795</v>
          </cell>
          <cell r="V2930">
            <v>44795</v>
          </cell>
          <cell r="W2930">
            <v>44795</v>
          </cell>
          <cell r="X2930">
            <v>41100538</v>
          </cell>
        </row>
        <row r="2931">
          <cell r="K2931" t="str">
            <v>GBWS-2692</v>
          </cell>
          <cell r="L2931">
            <v>44774</v>
          </cell>
          <cell r="M2931" t="str">
            <v>2022-07-26 → 8/2</v>
          </cell>
          <cell r="N2931">
            <v>44788</v>
          </cell>
          <cell r="O2931" t="str">
            <v>2022-07-26 → 8/2</v>
          </cell>
          <cell r="P2931">
            <v>44788</v>
          </cell>
          <cell r="Q2931" t="str">
            <v>2022-08-03 → 8/10 → 8/12</v>
          </cell>
          <cell r="R2931" t="str">
            <v>2022-08-03 → 8/10 → 8/12</v>
          </cell>
          <cell r="S2931"/>
          <cell r="T2931">
            <v>44789</v>
          </cell>
          <cell r="U2931">
            <v>44791</v>
          </cell>
          <cell r="V2931">
            <v>44792</v>
          </cell>
          <cell r="W2931">
            <v>44792</v>
          </cell>
          <cell r="X2931">
            <v>41100534</v>
          </cell>
        </row>
        <row r="2932">
          <cell r="K2932" t="str">
            <v>GBWS-2693</v>
          </cell>
          <cell r="L2932">
            <v>44774</v>
          </cell>
          <cell r="M2932" t="str">
            <v>2022-07-26 → 8/2</v>
          </cell>
          <cell r="N2932">
            <v>44788</v>
          </cell>
          <cell r="O2932" t="str">
            <v>2022-07-26 → 8/2</v>
          </cell>
          <cell r="P2932">
            <v>44788</v>
          </cell>
          <cell r="Q2932" t="str">
            <v>2022-08-03 → 8/10 → 8/12</v>
          </cell>
          <cell r="R2932" t="str">
            <v>2022-08-03 → 8/10 → 8/12</v>
          </cell>
          <cell r="S2932"/>
          <cell r="T2932">
            <v>44789</v>
          </cell>
          <cell r="U2932">
            <v>44791</v>
          </cell>
          <cell r="V2932">
            <v>44792</v>
          </cell>
          <cell r="W2932">
            <v>44792</v>
          </cell>
          <cell r="X2932">
            <v>41100534</v>
          </cell>
        </row>
        <row r="2933">
          <cell r="K2933" t="str">
            <v>GBWS-2694</v>
          </cell>
          <cell r="L2933">
            <v>44774</v>
          </cell>
          <cell r="M2933" t="str">
            <v>2022-07-26 → 8/2</v>
          </cell>
          <cell r="N2933">
            <v>44788</v>
          </cell>
          <cell r="O2933" t="str">
            <v>2022-07-26 → 8/2</v>
          </cell>
          <cell r="P2933">
            <v>44788</v>
          </cell>
          <cell r="Q2933" t="str">
            <v>2022-08-03 → 8/10 → 8/12</v>
          </cell>
          <cell r="R2933" t="str">
            <v>2022-08-03 → 8/10 → 8/12</v>
          </cell>
          <cell r="S2933"/>
          <cell r="T2933">
            <v>44789</v>
          </cell>
          <cell r="U2933">
            <v>44791</v>
          </cell>
          <cell r="V2933">
            <v>44792</v>
          </cell>
          <cell r="W2933">
            <v>44792</v>
          </cell>
          <cell r="X2933">
            <v>41100534</v>
          </cell>
        </row>
        <row r="2934">
          <cell r="K2934" t="str">
            <v>GBWS-2695</v>
          </cell>
          <cell r="L2934">
            <v>44774</v>
          </cell>
          <cell r="M2934" t="str">
            <v>2022-07-26 → 8/2</v>
          </cell>
          <cell r="N2934">
            <v>44788</v>
          </cell>
          <cell r="O2934" t="str">
            <v>2022-07-26 → 8/2</v>
          </cell>
          <cell r="P2934">
            <v>44788</v>
          </cell>
          <cell r="Q2934" t="str">
            <v>2022-08-03 → 8/10 → 8/12</v>
          </cell>
          <cell r="R2934" t="str">
            <v>2022-08-03 → 8/10 → 8/12</v>
          </cell>
          <cell r="S2934"/>
          <cell r="T2934">
            <v>44789</v>
          </cell>
          <cell r="U2934">
            <v>44790</v>
          </cell>
          <cell r="V2934">
            <v>44792</v>
          </cell>
          <cell r="W2934">
            <v>44792</v>
          </cell>
          <cell r="X2934">
            <v>41100534</v>
          </cell>
        </row>
        <row r="2935">
          <cell r="K2935" t="str">
            <v>GBWS-2696</v>
          </cell>
          <cell r="L2935">
            <v>44774</v>
          </cell>
          <cell r="M2935" t="str">
            <v>2022-07-26 → 8/2</v>
          </cell>
          <cell r="N2935">
            <v>44788</v>
          </cell>
          <cell r="O2935" t="str">
            <v>2022-07-26 → 8/2</v>
          </cell>
          <cell r="P2935">
            <v>44788</v>
          </cell>
          <cell r="Q2935" t="str">
            <v>2022-08-03 → 8/10 → 8/12</v>
          </cell>
          <cell r="R2935" t="str">
            <v>2022-08-03 → 8/10 → 8/12</v>
          </cell>
          <cell r="S2935"/>
          <cell r="T2935">
            <v>44790</v>
          </cell>
          <cell r="U2935">
            <v>44791</v>
          </cell>
          <cell r="V2935">
            <v>44792</v>
          </cell>
          <cell r="W2935">
            <v>44792</v>
          </cell>
          <cell r="X2935">
            <v>41100534</v>
          </cell>
        </row>
        <row r="2936">
          <cell r="K2936" t="str">
            <v>GBWS-2697</v>
          </cell>
          <cell r="L2936">
            <v>44774</v>
          </cell>
          <cell r="M2936" t="str">
            <v>2022-07-26 → 8/2</v>
          </cell>
          <cell r="N2936">
            <v>44788</v>
          </cell>
          <cell r="O2936" t="str">
            <v>2022-07-26 → 8/2</v>
          </cell>
          <cell r="P2936">
            <v>44788</v>
          </cell>
          <cell r="Q2936" t="str">
            <v>2022-08-03 → 8/10 → 8/12</v>
          </cell>
          <cell r="R2936" t="str">
            <v>2022-08-03 → 8/10 → 8/12</v>
          </cell>
          <cell r="S2936"/>
          <cell r="T2936">
            <v>44789</v>
          </cell>
          <cell r="U2936">
            <v>44791</v>
          </cell>
          <cell r="V2936">
            <v>44792</v>
          </cell>
          <cell r="W2936">
            <v>44792</v>
          </cell>
          <cell r="X2936">
            <v>41100534</v>
          </cell>
        </row>
        <row r="2937">
          <cell r="K2937" t="str">
            <v>GBWS-2698</v>
          </cell>
          <cell r="L2937">
            <v>44774</v>
          </cell>
          <cell r="M2937" t="str">
            <v>2022-07-26 → 8/2</v>
          </cell>
          <cell r="N2937">
            <v>44788</v>
          </cell>
          <cell r="O2937" t="str">
            <v>2022-07-26 → 8/2</v>
          </cell>
          <cell r="P2937">
            <v>44788</v>
          </cell>
          <cell r="Q2937" t="str">
            <v>2022-08-03 → 8/10 → 8/12</v>
          </cell>
          <cell r="R2937" t="str">
            <v>2022-08-03 → 8/10 → 8/12</v>
          </cell>
          <cell r="S2937"/>
          <cell r="T2937">
            <v>44789</v>
          </cell>
          <cell r="U2937">
            <v>44791</v>
          </cell>
          <cell r="V2937">
            <v>44792</v>
          </cell>
          <cell r="W2937">
            <v>44792</v>
          </cell>
          <cell r="X2937">
            <v>41100534</v>
          </cell>
        </row>
        <row r="2938">
          <cell r="K2938" t="str">
            <v>GBWS-2699</v>
          </cell>
          <cell r="L2938">
            <v>44774</v>
          </cell>
          <cell r="M2938" t="str">
            <v>2022-07-26 → 8/2</v>
          </cell>
          <cell r="N2938">
            <v>44790</v>
          </cell>
          <cell r="O2938" t="str">
            <v>2022-07-26 → 8/2</v>
          </cell>
          <cell r="P2938">
            <v>44788</v>
          </cell>
          <cell r="Q2938" t="str">
            <v>2022-08-03 → 8/10 → 8/12</v>
          </cell>
          <cell r="R2938" t="str">
            <v>2022-08-03 → 8/10 → 8/12</v>
          </cell>
          <cell r="S2938"/>
          <cell r="T2938">
            <v>44789</v>
          </cell>
          <cell r="U2938">
            <v>44791</v>
          </cell>
          <cell r="V2938">
            <v>44792</v>
          </cell>
          <cell r="W2938">
            <v>44792</v>
          </cell>
          <cell r="X2938">
            <v>41100535</v>
          </cell>
        </row>
        <row r="2939">
          <cell r="K2939" t="str">
            <v>GBWS-2700</v>
          </cell>
          <cell r="L2939">
            <v>44774</v>
          </cell>
          <cell r="M2939" t="str">
            <v>2022-07-26 → 8/2</v>
          </cell>
          <cell r="N2939">
            <v>44790</v>
          </cell>
          <cell r="O2939" t="str">
            <v>2022-07-26 → 8/2</v>
          </cell>
          <cell r="P2939">
            <v>44788</v>
          </cell>
          <cell r="Q2939" t="str">
            <v>2022-08-03 → 8/10 → 8/12</v>
          </cell>
          <cell r="R2939" t="str">
            <v>2022-08-03 → 8/10 → 8/12</v>
          </cell>
          <cell r="S2939"/>
          <cell r="T2939">
            <v>44789</v>
          </cell>
          <cell r="U2939">
            <v>44791</v>
          </cell>
          <cell r="V2939">
            <v>44792</v>
          </cell>
          <cell r="W2939">
            <v>44792</v>
          </cell>
          <cell r="X2939">
            <v>41100535</v>
          </cell>
        </row>
        <row r="2940">
          <cell r="K2940" t="str">
            <v>GBWS-2701</v>
          </cell>
          <cell r="L2940">
            <v>44774</v>
          </cell>
          <cell r="M2940" t="str">
            <v>2022-07-26 → 8/2</v>
          </cell>
          <cell r="N2940">
            <v>44788</v>
          </cell>
          <cell r="O2940" t="str">
            <v>2022-07-26 → 8/2</v>
          </cell>
          <cell r="P2940">
            <v>44788</v>
          </cell>
          <cell r="Q2940" t="str">
            <v>2022-08-05 → 8/12</v>
          </cell>
          <cell r="R2940" t="str">
            <v>2022-08-05 → 8/12</v>
          </cell>
          <cell r="S2940"/>
          <cell r="T2940">
            <v>44789</v>
          </cell>
          <cell r="U2940">
            <v>44792</v>
          </cell>
          <cell r="V2940">
            <v>44795</v>
          </cell>
          <cell r="W2940">
            <v>44795</v>
          </cell>
          <cell r="X2940">
            <v>41100536</v>
          </cell>
        </row>
        <row r="2941">
          <cell r="K2941" t="str">
            <v>GBWS-2606</v>
          </cell>
          <cell r="L2941">
            <v>44754</v>
          </cell>
          <cell r="M2941">
            <v>44755</v>
          </cell>
          <cell r="N2941">
            <v>44765</v>
          </cell>
          <cell r="O2941">
            <v>44755</v>
          </cell>
          <cell r="P2941">
            <v>44764</v>
          </cell>
          <cell r="Q2941">
            <v>44767</v>
          </cell>
          <cell r="R2941">
            <v>44767</v>
          </cell>
          <cell r="S2941"/>
          <cell r="T2941">
            <v>44768</v>
          </cell>
          <cell r="U2941">
            <v>44770</v>
          </cell>
          <cell r="V2941">
            <v>44771</v>
          </cell>
          <cell r="W2941">
            <v>44771</v>
          </cell>
          <cell r="X2941">
            <v>41100507</v>
          </cell>
        </row>
        <row r="2942">
          <cell r="K2942" t="str">
            <v>GBWS-2607</v>
          </cell>
          <cell r="L2942">
            <v>44754</v>
          </cell>
          <cell r="M2942">
            <v>44755</v>
          </cell>
          <cell r="N2942">
            <v>44765</v>
          </cell>
          <cell r="O2942">
            <v>44755</v>
          </cell>
          <cell r="P2942">
            <v>44764</v>
          </cell>
          <cell r="Q2942">
            <v>44767</v>
          </cell>
          <cell r="R2942">
            <v>44767</v>
          </cell>
          <cell r="S2942"/>
          <cell r="T2942">
            <v>44768</v>
          </cell>
          <cell r="U2942">
            <v>44770</v>
          </cell>
          <cell r="V2942">
            <v>44775</v>
          </cell>
          <cell r="W2942">
            <v>44775</v>
          </cell>
          <cell r="X2942">
            <v>41100507</v>
          </cell>
        </row>
        <row r="2943">
          <cell r="K2943" t="str">
            <v>GBWS-2603</v>
          </cell>
          <cell r="L2943">
            <v>44754</v>
          </cell>
          <cell r="M2943">
            <v>44755</v>
          </cell>
          <cell r="N2943">
            <v>44767</v>
          </cell>
          <cell r="O2943">
            <v>44755</v>
          </cell>
          <cell r="P2943">
            <v>44767</v>
          </cell>
          <cell r="Q2943">
            <v>44767</v>
          </cell>
          <cell r="R2943">
            <v>44767</v>
          </cell>
          <cell r="S2943"/>
          <cell r="T2943">
            <v>44769</v>
          </cell>
          <cell r="U2943">
            <v>44770</v>
          </cell>
          <cell r="V2943">
            <v>44771</v>
          </cell>
          <cell r="W2943">
            <v>44771</v>
          </cell>
          <cell r="X2943">
            <v>41100463</v>
          </cell>
        </row>
        <row r="2944">
          <cell r="K2944" t="str">
            <v>GBWS-2633</v>
          </cell>
          <cell r="L2944">
            <v>44762</v>
          </cell>
          <cell r="M2944">
            <v>44762</v>
          </cell>
          <cell r="N2944">
            <v>44775</v>
          </cell>
          <cell r="O2944">
            <v>44762</v>
          </cell>
          <cell r="P2944">
            <v>44775</v>
          </cell>
          <cell r="Q2944">
            <v>44775</v>
          </cell>
          <cell r="R2944">
            <v>44775</v>
          </cell>
          <cell r="S2944"/>
          <cell r="T2944">
            <v>44777</v>
          </cell>
          <cell r="U2944">
            <v>44781</v>
          </cell>
          <cell r="V2944">
            <v>44783</v>
          </cell>
          <cell r="W2944">
            <v>44783</v>
          </cell>
          <cell r="X2944">
            <v>41100460</v>
          </cell>
        </row>
        <row r="2945">
          <cell r="K2945" t="str">
            <v>GBWS-2660</v>
          </cell>
          <cell r="L2945">
            <v>44768</v>
          </cell>
          <cell r="M2945">
            <v>44769</v>
          </cell>
          <cell r="N2945">
            <v>44783</v>
          </cell>
          <cell r="O2945">
            <v>44769</v>
          </cell>
          <cell r="P2945">
            <v>44782</v>
          </cell>
          <cell r="Q2945">
            <v>44781</v>
          </cell>
          <cell r="R2945">
            <v>44781</v>
          </cell>
          <cell r="S2945"/>
          <cell r="T2945">
            <v>44785</v>
          </cell>
          <cell r="U2945">
            <v>44789</v>
          </cell>
          <cell r="V2945">
            <v>44791</v>
          </cell>
          <cell r="W2945">
            <v>44791</v>
          </cell>
          <cell r="X2945">
            <v>41100509</v>
          </cell>
        </row>
        <row r="2946">
          <cell r="K2946" t="str">
            <v>GBWS-2661</v>
          </cell>
          <cell r="L2946">
            <v>44768</v>
          </cell>
          <cell r="M2946">
            <v>44769</v>
          </cell>
          <cell r="N2946">
            <v>44783</v>
          </cell>
          <cell r="O2946">
            <v>44769</v>
          </cell>
          <cell r="P2946">
            <v>44782</v>
          </cell>
          <cell r="Q2946">
            <v>44781</v>
          </cell>
          <cell r="R2946">
            <v>44781</v>
          </cell>
          <cell r="S2946"/>
          <cell r="T2946">
            <v>44785</v>
          </cell>
          <cell r="U2946">
            <v>44789</v>
          </cell>
          <cell r="V2946">
            <v>44791</v>
          </cell>
          <cell r="W2946">
            <v>44791</v>
          </cell>
          <cell r="X2946">
            <v>41100509</v>
          </cell>
        </row>
        <row r="2947">
          <cell r="K2947" t="str">
            <v>GBWS-2652</v>
          </cell>
          <cell r="L2947">
            <v>44768</v>
          </cell>
          <cell r="M2947" t="str">
            <v>2022-07-20 → 7/27</v>
          </cell>
          <cell r="N2947">
            <v>44784</v>
          </cell>
          <cell r="O2947" t="str">
            <v>2022-07-20 → 7/27</v>
          </cell>
          <cell r="P2947">
            <v>44783</v>
          </cell>
          <cell r="Q2947" t="str">
            <v>2022-07-29 → 8/5</v>
          </cell>
          <cell r="R2947" t="str">
            <v>2022-07-29 → 8/5</v>
          </cell>
          <cell r="S2947"/>
          <cell r="T2947">
            <v>44783</v>
          </cell>
          <cell r="U2947">
            <v>44786</v>
          </cell>
          <cell r="V2947">
            <v>44795</v>
          </cell>
          <cell r="W2947">
            <v>44795</v>
          </cell>
          <cell r="X2947">
            <v>41100511</v>
          </cell>
        </row>
        <row r="2948">
          <cell r="K2948" t="str">
            <v>GBWS-2653</v>
          </cell>
          <cell r="L2948">
            <v>44768</v>
          </cell>
          <cell r="M2948" t="str">
            <v>2022-07-20 → 7/27</v>
          </cell>
          <cell r="N2948">
            <v>44784</v>
          </cell>
          <cell r="O2948" t="str">
            <v>2022-07-20 → 7/27</v>
          </cell>
          <cell r="P2948">
            <v>44783</v>
          </cell>
          <cell r="Q2948" t="str">
            <v>2022-07-29 → 8/5</v>
          </cell>
          <cell r="R2948" t="str">
            <v>2022-07-29 → 8/5</v>
          </cell>
          <cell r="S2948"/>
          <cell r="T2948">
            <v>44783</v>
          </cell>
          <cell r="U2948">
            <v>44789</v>
          </cell>
          <cell r="V2948">
            <v>44791</v>
          </cell>
          <cell r="W2948">
            <v>44791</v>
          </cell>
          <cell r="X2948">
            <v>41100511</v>
          </cell>
        </row>
        <row r="2949">
          <cell r="K2949" t="str">
            <v>GBWS-2654</v>
          </cell>
          <cell r="L2949">
            <v>44768</v>
          </cell>
          <cell r="M2949" t="str">
            <v>2022-07-20 → 7/27</v>
          </cell>
          <cell r="N2949">
            <v>44784</v>
          </cell>
          <cell r="O2949" t="str">
            <v>2022-07-20 → 7/27</v>
          </cell>
          <cell r="P2949">
            <v>44783</v>
          </cell>
          <cell r="Q2949" t="str">
            <v>2022-07-29 → 8/5</v>
          </cell>
          <cell r="R2949" t="str">
            <v>2022-07-29 → 8/5</v>
          </cell>
          <cell r="S2949"/>
          <cell r="T2949">
            <v>44783</v>
          </cell>
          <cell r="U2949">
            <v>44786</v>
          </cell>
          <cell r="V2949">
            <v>44795</v>
          </cell>
          <cell r="W2949">
            <v>44795</v>
          </cell>
          <cell r="X2949">
            <v>41100511</v>
          </cell>
        </row>
        <row r="2950">
          <cell r="K2950" t="str">
            <v>GBWS-2655</v>
          </cell>
          <cell r="L2950">
            <v>44768</v>
          </cell>
          <cell r="M2950" t="str">
            <v>2022-07-20 → 7/27</v>
          </cell>
          <cell r="N2950">
            <v>44784</v>
          </cell>
          <cell r="O2950" t="str">
            <v>2022-07-20 → 7/27</v>
          </cell>
          <cell r="P2950">
            <v>44783</v>
          </cell>
          <cell r="Q2950" t="str">
            <v>2022-07-29 → 8/5</v>
          </cell>
          <cell r="R2950" t="str">
            <v>2022-07-29 → 8/5</v>
          </cell>
          <cell r="S2950"/>
          <cell r="T2950">
            <v>44783</v>
          </cell>
          <cell r="U2950">
            <v>44789</v>
          </cell>
          <cell r="V2950">
            <v>44791</v>
          </cell>
          <cell r="W2950">
            <v>44791</v>
          </cell>
          <cell r="X2950">
            <v>41100511</v>
          </cell>
        </row>
        <row r="2951">
          <cell r="K2951" t="str">
            <v>GBWS-2656</v>
          </cell>
          <cell r="L2951">
            <v>44768</v>
          </cell>
          <cell r="M2951" t="str">
            <v>2022-07-20 → 7/27</v>
          </cell>
          <cell r="N2951">
            <v>44784</v>
          </cell>
          <cell r="O2951" t="str">
            <v>2022-07-20 → 7/27</v>
          </cell>
          <cell r="P2951">
            <v>44783</v>
          </cell>
          <cell r="Q2951" t="str">
            <v>2022-07-29 → 8/5</v>
          </cell>
          <cell r="R2951" t="str">
            <v>2022-07-29 → 8/5</v>
          </cell>
          <cell r="S2951"/>
          <cell r="T2951">
            <v>44783</v>
          </cell>
          <cell r="U2951">
            <v>44786</v>
          </cell>
          <cell r="V2951">
            <v>44795</v>
          </cell>
          <cell r="W2951">
            <v>44795</v>
          </cell>
          <cell r="X2951">
            <v>41100511</v>
          </cell>
        </row>
        <row r="2952">
          <cell r="K2952" t="str">
            <v>GBWS-2657</v>
          </cell>
          <cell r="L2952">
            <v>44768</v>
          </cell>
          <cell r="M2952" t="str">
            <v>2022-07-20 → 7/27</v>
          </cell>
          <cell r="N2952">
            <v>44784</v>
          </cell>
          <cell r="O2952" t="str">
            <v>2022-07-20 → 7/27</v>
          </cell>
          <cell r="P2952">
            <v>44783</v>
          </cell>
          <cell r="Q2952" t="str">
            <v>2022-07-29 → 8/5</v>
          </cell>
          <cell r="R2952" t="str">
            <v>2022-07-29 → 8/5</v>
          </cell>
          <cell r="S2952"/>
          <cell r="T2952">
            <v>44784</v>
          </cell>
          <cell r="U2952">
            <v>44789</v>
          </cell>
          <cell r="V2952">
            <v>44791</v>
          </cell>
          <cell r="W2952">
            <v>44791</v>
          </cell>
          <cell r="X2952">
            <v>41100511</v>
          </cell>
        </row>
        <row r="2953">
          <cell r="K2953" t="str">
            <v>GBWS-2658</v>
          </cell>
          <cell r="L2953">
            <v>44768</v>
          </cell>
          <cell r="M2953" t="str">
            <v>2022-07-20 → 7/27</v>
          </cell>
          <cell r="N2953">
            <v>44784</v>
          </cell>
          <cell r="O2953" t="str">
            <v>2022-07-20 → 7/27</v>
          </cell>
          <cell r="P2953">
            <v>44783</v>
          </cell>
          <cell r="Q2953" t="str">
            <v>2022-07-29 → 8/5</v>
          </cell>
          <cell r="R2953" t="str">
            <v>2022-07-29 → 8/5</v>
          </cell>
          <cell r="S2953"/>
          <cell r="T2953">
            <v>44784</v>
          </cell>
          <cell r="U2953">
            <v>44789</v>
          </cell>
          <cell r="V2953">
            <v>44795</v>
          </cell>
          <cell r="W2953">
            <v>44795</v>
          </cell>
          <cell r="X2953">
            <v>41100511</v>
          </cell>
        </row>
        <row r="2954">
          <cell r="K2954" t="str">
            <v>GBWS-2659</v>
          </cell>
          <cell r="L2954">
            <v>44768</v>
          </cell>
          <cell r="M2954" t="str">
            <v>2022-07-20 → 7/27</v>
          </cell>
          <cell r="N2954">
            <v>44784</v>
          </cell>
          <cell r="O2954" t="str">
            <v>2022-07-20 → 7/27</v>
          </cell>
          <cell r="P2954">
            <v>44783</v>
          </cell>
          <cell r="Q2954" t="str">
            <v>2022-07-29 → 8/5</v>
          </cell>
          <cell r="R2954" t="str">
            <v>2022-07-29 → 8/5</v>
          </cell>
          <cell r="S2954"/>
          <cell r="T2954">
            <v>44784</v>
          </cell>
          <cell r="U2954">
            <v>44786</v>
          </cell>
          <cell r="V2954">
            <v>44795</v>
          </cell>
          <cell r="W2954">
            <v>44795</v>
          </cell>
          <cell r="X2954">
            <v>41100511</v>
          </cell>
        </row>
        <row r="2955">
          <cell r="K2955" t="str">
            <v>GBWS-2662</v>
          </cell>
          <cell r="L2955">
            <v>44768</v>
          </cell>
          <cell r="M2955">
            <v>44769</v>
          </cell>
          <cell r="N2955">
            <v>44784</v>
          </cell>
          <cell r="O2955">
            <v>44769</v>
          </cell>
          <cell r="P2955">
            <v>44783</v>
          </cell>
          <cell r="Q2955">
            <v>44778</v>
          </cell>
          <cell r="R2955">
            <v>44778</v>
          </cell>
          <cell r="S2955"/>
          <cell r="T2955">
            <v>44783</v>
          </cell>
          <cell r="U2955">
            <v>44786</v>
          </cell>
          <cell r="V2955">
            <v>44791</v>
          </cell>
          <cell r="W2955">
            <v>44791</v>
          </cell>
          <cell r="X2955">
            <v>41100511</v>
          </cell>
        </row>
        <row r="2956">
          <cell r="K2956" t="str">
            <v>GBWS-2663</v>
          </cell>
          <cell r="L2956">
            <v>44768</v>
          </cell>
          <cell r="M2956">
            <v>44769</v>
          </cell>
          <cell r="N2956">
            <v>44784</v>
          </cell>
          <cell r="O2956">
            <v>44769</v>
          </cell>
          <cell r="P2956">
            <v>44783</v>
          </cell>
          <cell r="Q2956">
            <v>44778</v>
          </cell>
          <cell r="R2956">
            <v>44778</v>
          </cell>
          <cell r="S2956"/>
          <cell r="T2956">
            <v>44784</v>
          </cell>
          <cell r="U2956">
            <v>44786</v>
          </cell>
          <cell r="V2956">
            <v>44795</v>
          </cell>
          <cell r="W2956">
            <v>44795</v>
          </cell>
          <cell r="X2956">
            <v>41100511</v>
          </cell>
        </row>
        <row r="2957">
          <cell r="K2957" t="str">
            <v>GBWS-2664</v>
          </cell>
          <cell r="L2957">
            <v>44768</v>
          </cell>
          <cell r="M2957">
            <v>44769</v>
          </cell>
          <cell r="N2957">
            <v>44784</v>
          </cell>
          <cell r="O2957">
            <v>44769</v>
          </cell>
          <cell r="P2957">
            <v>44783</v>
          </cell>
          <cell r="Q2957">
            <v>44778</v>
          </cell>
          <cell r="R2957">
            <v>44778</v>
          </cell>
          <cell r="S2957"/>
          <cell r="T2957">
            <v>44783</v>
          </cell>
          <cell r="U2957">
            <v>44789</v>
          </cell>
          <cell r="V2957">
            <v>44791</v>
          </cell>
          <cell r="W2957">
            <v>44791</v>
          </cell>
          <cell r="X2957">
            <v>41100511</v>
          </cell>
        </row>
        <row r="2958">
          <cell r="K2958" t="str">
            <v>GBWS-2665</v>
          </cell>
          <cell r="L2958">
            <v>44768</v>
          </cell>
          <cell r="M2958">
            <v>44769</v>
          </cell>
          <cell r="N2958">
            <v>44784</v>
          </cell>
          <cell r="O2958">
            <v>44769</v>
          </cell>
          <cell r="P2958">
            <v>44783</v>
          </cell>
          <cell r="Q2958">
            <v>44778</v>
          </cell>
          <cell r="R2958">
            <v>44778</v>
          </cell>
          <cell r="S2958"/>
          <cell r="T2958">
            <v>44783</v>
          </cell>
          <cell r="U2958">
            <v>44786</v>
          </cell>
          <cell r="V2958">
            <v>44795</v>
          </cell>
          <cell r="W2958">
            <v>44795</v>
          </cell>
          <cell r="X2958">
            <v>41100511</v>
          </cell>
        </row>
        <row r="2959">
          <cell r="K2959" t="str">
            <v>GBWS-2352</v>
          </cell>
          <cell r="L2959">
            <v>44693</v>
          </cell>
          <cell r="M2959">
            <v>44694</v>
          </cell>
          <cell r="N2959">
            <v>44706</v>
          </cell>
          <cell r="O2959">
            <v>44694</v>
          </cell>
          <cell r="P2959">
            <v>44707</v>
          </cell>
          <cell r="Q2959">
            <v>44706</v>
          </cell>
          <cell r="R2959">
            <v>44706</v>
          </cell>
          <cell r="S2959"/>
          <cell r="T2959">
            <v>44707</v>
          </cell>
          <cell r="U2959">
            <v>44708</v>
          </cell>
          <cell r="V2959">
            <v>44711</v>
          </cell>
          <cell r="W2959">
            <v>44711</v>
          </cell>
          <cell r="X2959">
            <v>41100207</v>
          </cell>
        </row>
        <row r="2960">
          <cell r="K2960" t="str">
            <v>GBWS-2353</v>
          </cell>
          <cell r="L2960">
            <v>44693</v>
          </cell>
          <cell r="M2960">
            <v>44694</v>
          </cell>
          <cell r="N2960">
            <v>44706</v>
          </cell>
          <cell r="O2960">
            <v>44694</v>
          </cell>
          <cell r="P2960">
            <v>44707</v>
          </cell>
          <cell r="Q2960">
            <v>44706</v>
          </cell>
          <cell r="R2960">
            <v>44706</v>
          </cell>
          <cell r="S2960"/>
          <cell r="T2960">
            <v>44708</v>
          </cell>
          <cell r="U2960">
            <v>44711</v>
          </cell>
          <cell r="V2960">
            <v>44712</v>
          </cell>
          <cell r="W2960">
            <v>44712</v>
          </cell>
          <cell r="X2960">
            <v>41100206</v>
          </cell>
        </row>
        <row r="2961">
          <cell r="K2961" t="str">
            <v>GBWS-2690</v>
          </cell>
          <cell r="L2961">
            <v>44774</v>
          </cell>
          <cell r="M2961">
            <v>44775</v>
          </cell>
          <cell r="N2961">
            <v>44786</v>
          </cell>
          <cell r="O2961">
            <v>44775</v>
          </cell>
          <cell r="P2961">
            <v>44791</v>
          </cell>
          <cell r="Q2961">
            <v>44785</v>
          </cell>
          <cell r="R2961">
            <v>44785</v>
          </cell>
          <cell r="S2961"/>
          <cell r="T2961">
            <v>44788</v>
          </cell>
          <cell r="U2961">
            <v>44796</v>
          </cell>
          <cell r="V2961">
            <v>44797</v>
          </cell>
          <cell r="W2961">
            <v>44797</v>
          </cell>
          <cell r="X2961">
            <v>41100320</v>
          </cell>
        </row>
        <row r="2962">
          <cell r="K2962" t="str">
            <v>GBWS-2685</v>
          </cell>
          <cell r="L2962">
            <v>44771</v>
          </cell>
          <cell r="M2962">
            <v>44774</v>
          </cell>
          <cell r="N2962">
            <v>44784</v>
          </cell>
          <cell r="O2962">
            <v>44774</v>
          </cell>
          <cell r="P2962">
            <v>44783</v>
          </cell>
          <cell r="Q2962">
            <v>44782</v>
          </cell>
          <cell r="R2962">
            <v>44782</v>
          </cell>
          <cell r="S2962"/>
          <cell r="T2962">
            <v>44785</v>
          </cell>
          <cell r="U2962">
            <v>44790</v>
          </cell>
          <cell r="V2962">
            <v>44795</v>
          </cell>
          <cell r="W2962">
            <v>44795</v>
          </cell>
          <cell r="X2962">
            <v>41100350</v>
          </cell>
        </row>
        <row r="2963">
          <cell r="K2963" t="str">
            <v>GBWS-2516</v>
          </cell>
          <cell r="L2963">
            <v>44734</v>
          </cell>
          <cell r="M2963">
            <v>44735</v>
          </cell>
          <cell r="N2963">
            <v>44748</v>
          </cell>
          <cell r="O2963">
            <v>44735</v>
          </cell>
          <cell r="P2963">
            <v>44763</v>
          </cell>
          <cell r="Q2963" t="str">
            <v>2022-06-30 → 7/6</v>
          </cell>
          <cell r="R2963" t="str">
            <v>2022-06-30 → 7/6</v>
          </cell>
          <cell r="S2963"/>
          <cell r="T2963">
            <v>44749</v>
          </cell>
          <cell r="U2963">
            <v>44764</v>
          </cell>
          <cell r="V2963">
            <v>44768</v>
          </cell>
          <cell r="W2963">
            <v>44768</v>
          </cell>
          <cell r="X2963">
            <v>41100511</v>
          </cell>
        </row>
        <row r="2964">
          <cell r="K2964" t="str">
            <v>GBWS-2484</v>
          </cell>
          <cell r="L2964">
            <v>44732</v>
          </cell>
          <cell r="M2964">
            <v>44732</v>
          </cell>
          <cell r="N2964">
            <v>44748</v>
          </cell>
          <cell r="O2964">
            <v>44732</v>
          </cell>
          <cell r="P2964">
            <v>44749</v>
          </cell>
          <cell r="Q2964" t="str">
            <v>2022-06-30 → 7/6</v>
          </cell>
          <cell r="R2964" t="str">
            <v>2022-06-30 → 7/6</v>
          </cell>
          <cell r="S2964"/>
          <cell r="T2964">
            <v>44749</v>
          </cell>
          <cell r="U2964">
            <v>44764</v>
          </cell>
          <cell r="V2964">
            <v>44768</v>
          </cell>
          <cell r="W2964">
            <v>44768</v>
          </cell>
          <cell r="X2964">
            <v>41100511</v>
          </cell>
        </row>
        <row r="2965">
          <cell r="K2965" t="str">
            <v>GBWS-2485</v>
          </cell>
          <cell r="L2965">
            <v>44732</v>
          </cell>
          <cell r="M2965">
            <v>44732</v>
          </cell>
          <cell r="N2965">
            <v>44748</v>
          </cell>
          <cell r="O2965">
            <v>44732</v>
          </cell>
          <cell r="P2965">
            <v>44749</v>
          </cell>
          <cell r="Q2965" t="str">
            <v>2022-06-30 → 7/6</v>
          </cell>
          <cell r="R2965" t="str">
            <v>2022-06-30 → 7/6</v>
          </cell>
          <cell r="S2965"/>
          <cell r="T2965">
            <v>44749</v>
          </cell>
          <cell r="U2965">
            <v>44753</v>
          </cell>
          <cell r="V2965">
            <v>44756</v>
          </cell>
          <cell r="W2965">
            <v>44756</v>
          </cell>
          <cell r="X2965">
            <v>41100511</v>
          </cell>
        </row>
        <row r="2966">
          <cell r="K2966" t="str">
            <v>GBWS-2486</v>
          </cell>
          <cell r="L2966">
            <v>44732</v>
          </cell>
          <cell r="M2966">
            <v>44732</v>
          </cell>
          <cell r="N2966">
            <v>44748</v>
          </cell>
          <cell r="O2966">
            <v>44732</v>
          </cell>
          <cell r="P2966">
            <v>44749</v>
          </cell>
          <cell r="Q2966" t="str">
            <v>2022-06-30 → 7/6</v>
          </cell>
          <cell r="R2966" t="str">
            <v>2022-06-30 → 7/6</v>
          </cell>
          <cell r="S2966"/>
          <cell r="T2966">
            <v>44749</v>
          </cell>
          <cell r="U2966">
            <v>44753</v>
          </cell>
          <cell r="V2966">
            <v>44754</v>
          </cell>
          <cell r="W2966">
            <v>44754</v>
          </cell>
          <cell r="X2966">
            <v>41100511</v>
          </cell>
        </row>
        <row r="2967">
          <cell r="K2967" t="str">
            <v>GBWS-2487</v>
          </cell>
          <cell r="L2967">
            <v>44732</v>
          </cell>
          <cell r="M2967">
            <v>44732</v>
          </cell>
          <cell r="N2967">
            <v>44748</v>
          </cell>
          <cell r="O2967">
            <v>44732</v>
          </cell>
          <cell r="P2967">
            <v>44749</v>
          </cell>
          <cell r="Q2967" t="str">
            <v>2022-06-30 → 7/6</v>
          </cell>
          <cell r="R2967" t="str">
            <v>2022-06-30 → 7/6</v>
          </cell>
          <cell r="S2967"/>
          <cell r="T2967">
            <v>44749</v>
          </cell>
          <cell r="U2967">
            <v>44753</v>
          </cell>
          <cell r="V2967">
            <v>44754</v>
          </cell>
          <cell r="W2967">
            <v>44754</v>
          </cell>
          <cell r="X2967">
            <v>41100511</v>
          </cell>
        </row>
        <row r="2968">
          <cell r="K2968" t="str">
            <v>GBWS-2488</v>
          </cell>
          <cell r="L2968">
            <v>44732</v>
          </cell>
          <cell r="M2968">
            <v>44732</v>
          </cell>
          <cell r="N2968">
            <v>44748</v>
          </cell>
          <cell r="O2968">
            <v>44732</v>
          </cell>
          <cell r="P2968">
            <v>44749</v>
          </cell>
          <cell r="Q2968" t="str">
            <v>2022-06-30 → 7/6</v>
          </cell>
          <cell r="R2968" t="str">
            <v>2022-06-30 → 7/6</v>
          </cell>
          <cell r="S2968"/>
          <cell r="T2968">
            <v>44749</v>
          </cell>
          <cell r="U2968">
            <v>44764</v>
          </cell>
          <cell r="V2968">
            <v>44769</v>
          </cell>
          <cell r="W2968">
            <v>44769</v>
          </cell>
          <cell r="X2968">
            <v>41100511</v>
          </cell>
        </row>
        <row r="2969">
          <cell r="K2969" t="str">
            <v>GBWS-2588</v>
          </cell>
          <cell r="L2969">
            <v>44753</v>
          </cell>
          <cell r="M2969">
            <v>44754</v>
          </cell>
          <cell r="N2969">
            <v>44768</v>
          </cell>
          <cell r="O2969">
            <v>44754</v>
          </cell>
          <cell r="P2969">
            <v>44764</v>
          </cell>
          <cell r="Q2969">
            <v>44764</v>
          </cell>
          <cell r="R2969">
            <v>44764</v>
          </cell>
          <cell r="S2969"/>
          <cell r="T2969">
            <v>44764</v>
          </cell>
          <cell r="U2969">
            <v>44769</v>
          </cell>
          <cell r="V2969">
            <v>44770</v>
          </cell>
          <cell r="W2969">
            <v>44770</v>
          </cell>
          <cell r="X2969">
            <v>41100511</v>
          </cell>
        </row>
        <row r="2970">
          <cell r="K2970" t="str">
            <v>GBWS-2589</v>
          </cell>
          <cell r="L2970">
            <v>44753</v>
          </cell>
          <cell r="M2970">
            <v>44754</v>
          </cell>
          <cell r="N2970">
            <v>44768</v>
          </cell>
          <cell r="O2970">
            <v>44754</v>
          </cell>
          <cell r="P2970">
            <v>44764</v>
          </cell>
          <cell r="Q2970">
            <v>44764</v>
          </cell>
          <cell r="R2970">
            <v>44764</v>
          </cell>
          <cell r="S2970"/>
          <cell r="T2970">
            <v>44764</v>
          </cell>
          <cell r="U2970">
            <v>44769</v>
          </cell>
          <cell r="V2970">
            <v>44771</v>
          </cell>
          <cell r="W2970">
            <v>44771</v>
          </cell>
          <cell r="X2970">
            <v>41100511</v>
          </cell>
        </row>
        <row r="2971">
          <cell r="K2971" t="str">
            <v>GBWS-2590</v>
          </cell>
          <cell r="L2971">
            <v>44753</v>
          </cell>
          <cell r="M2971">
            <v>44754</v>
          </cell>
          <cell r="N2971">
            <v>44768</v>
          </cell>
          <cell r="O2971">
            <v>44754</v>
          </cell>
          <cell r="P2971">
            <v>44764</v>
          </cell>
          <cell r="Q2971">
            <v>44764</v>
          </cell>
          <cell r="R2971">
            <v>44764</v>
          </cell>
          <cell r="S2971"/>
          <cell r="T2971">
            <v>44764</v>
          </cell>
          <cell r="U2971">
            <v>44769</v>
          </cell>
          <cell r="V2971">
            <v>44770</v>
          </cell>
          <cell r="W2971">
            <v>44770</v>
          </cell>
          <cell r="X2971">
            <v>41100511</v>
          </cell>
        </row>
        <row r="2972">
          <cell r="K2972" t="str">
            <v>GBWS-2591</v>
          </cell>
          <cell r="L2972">
            <v>44753</v>
          </cell>
          <cell r="M2972">
            <v>44754</v>
          </cell>
          <cell r="N2972">
            <v>44768</v>
          </cell>
          <cell r="O2972">
            <v>44754</v>
          </cell>
          <cell r="P2972">
            <v>44764</v>
          </cell>
          <cell r="Q2972">
            <v>44764</v>
          </cell>
          <cell r="R2972">
            <v>44764</v>
          </cell>
          <cell r="S2972"/>
          <cell r="T2972">
            <v>44764</v>
          </cell>
          <cell r="U2972">
            <v>44769</v>
          </cell>
          <cell r="V2972">
            <v>44770</v>
          </cell>
          <cell r="W2972">
            <v>44770</v>
          </cell>
          <cell r="X2972">
            <v>41100511</v>
          </cell>
        </row>
        <row r="2973">
          <cell r="K2973" t="str">
            <v>GBWS-2592</v>
          </cell>
          <cell r="L2973">
            <v>44753</v>
          </cell>
          <cell r="M2973">
            <v>44754</v>
          </cell>
          <cell r="N2973">
            <v>44768</v>
          </cell>
          <cell r="O2973">
            <v>44754</v>
          </cell>
          <cell r="P2973">
            <v>44764</v>
          </cell>
          <cell r="Q2973">
            <v>44764</v>
          </cell>
          <cell r="R2973">
            <v>44764</v>
          </cell>
          <cell r="S2973"/>
          <cell r="T2973">
            <v>44764</v>
          </cell>
          <cell r="U2973">
            <v>44769</v>
          </cell>
          <cell r="V2973">
            <v>44770</v>
          </cell>
          <cell r="W2973">
            <v>44770</v>
          </cell>
          <cell r="X2973">
            <v>41100511</v>
          </cell>
        </row>
        <row r="2974">
          <cell r="K2974" t="str">
            <v>GBWS-2593</v>
          </cell>
          <cell r="L2974">
            <v>44753</v>
          </cell>
          <cell r="M2974">
            <v>44754</v>
          </cell>
          <cell r="N2974">
            <v>44768</v>
          </cell>
          <cell r="O2974">
            <v>44754</v>
          </cell>
          <cell r="P2974">
            <v>44764</v>
          </cell>
          <cell r="Q2974">
            <v>44764</v>
          </cell>
          <cell r="R2974">
            <v>44764</v>
          </cell>
          <cell r="S2974"/>
          <cell r="T2974">
            <v>44764</v>
          </cell>
          <cell r="U2974">
            <v>44769</v>
          </cell>
          <cell r="V2974">
            <v>44770</v>
          </cell>
          <cell r="W2974">
            <v>44770</v>
          </cell>
          <cell r="X2974">
            <v>41100511</v>
          </cell>
        </row>
        <row r="2975">
          <cell r="K2975" t="str">
            <v>GBWS-2594</v>
          </cell>
          <cell r="L2975">
            <v>44753</v>
          </cell>
          <cell r="M2975">
            <v>44754</v>
          </cell>
          <cell r="N2975">
            <v>44768</v>
          </cell>
          <cell r="O2975">
            <v>44754</v>
          </cell>
          <cell r="P2975">
            <v>44764</v>
          </cell>
          <cell r="Q2975">
            <v>44764</v>
          </cell>
          <cell r="R2975">
            <v>44764</v>
          </cell>
          <cell r="S2975"/>
          <cell r="T2975">
            <v>44764</v>
          </cell>
          <cell r="U2975">
            <v>44769</v>
          </cell>
          <cell r="V2975">
            <v>44770</v>
          </cell>
          <cell r="W2975">
            <v>44770</v>
          </cell>
          <cell r="X2975">
            <v>41100511</v>
          </cell>
        </row>
        <row r="2976">
          <cell r="K2976" t="str">
            <v>GBWS-2595</v>
          </cell>
          <cell r="L2976">
            <v>44753</v>
          </cell>
          <cell r="M2976">
            <v>44754</v>
          </cell>
          <cell r="N2976">
            <v>44768</v>
          </cell>
          <cell r="O2976">
            <v>44754</v>
          </cell>
          <cell r="P2976">
            <v>44764</v>
          </cell>
          <cell r="Q2976">
            <v>44764</v>
          </cell>
          <cell r="R2976">
            <v>44764</v>
          </cell>
          <cell r="S2976"/>
          <cell r="T2976">
            <v>44764</v>
          </cell>
          <cell r="U2976">
            <v>44769</v>
          </cell>
          <cell r="V2976">
            <v>44770</v>
          </cell>
          <cell r="W2976">
            <v>44770</v>
          </cell>
          <cell r="X2976">
            <v>41100511</v>
          </cell>
        </row>
        <row r="2977">
          <cell r="K2977" t="str">
            <v>GBWS-2507</v>
          </cell>
          <cell r="L2977">
            <v>44732</v>
          </cell>
          <cell r="M2977" t="str">
            <v>2022-06-16 → 6/21</v>
          </cell>
          <cell r="N2977">
            <v>44743</v>
          </cell>
          <cell r="O2977" t="str">
            <v>2022-06-16 → 6/21</v>
          </cell>
          <cell r="P2977">
            <v>44743</v>
          </cell>
          <cell r="Q2977" t="str">
            <v>2022-06-27 → 7/1</v>
          </cell>
          <cell r="R2977" t="str">
            <v>2022-06-27 → 7/1</v>
          </cell>
          <cell r="S2977"/>
          <cell r="T2977">
            <v>44747</v>
          </cell>
          <cell r="U2977">
            <v>44750</v>
          </cell>
          <cell r="V2977">
            <v>44755</v>
          </cell>
          <cell r="W2977">
            <v>44756</v>
          </cell>
          <cell r="X2977">
            <v>41100318</v>
          </cell>
        </row>
        <row r="2978">
          <cell r="K2978" t="str">
            <v>GBWS-2688</v>
          </cell>
          <cell r="L2978">
            <v>44774</v>
          </cell>
          <cell r="M2978">
            <v>44775</v>
          </cell>
          <cell r="N2978">
            <v>44786</v>
          </cell>
          <cell r="O2978">
            <v>44775</v>
          </cell>
          <cell r="P2978">
            <v>44791</v>
          </cell>
          <cell r="Q2978">
            <v>44784</v>
          </cell>
          <cell r="R2978">
            <v>44784</v>
          </cell>
          <cell r="S2978"/>
          <cell r="T2978">
            <v>44788</v>
          </cell>
          <cell r="U2978">
            <v>44796</v>
          </cell>
          <cell r="V2978">
            <v>44797</v>
          </cell>
          <cell r="W2978">
            <v>44797</v>
          </cell>
          <cell r="X2978">
            <v>41100294</v>
          </cell>
        </row>
        <row r="2979">
          <cell r="K2979" t="str">
            <v>IVAS-144</v>
          </cell>
          <cell r="L2979">
            <v>44771</v>
          </cell>
          <cell r="M2979">
            <v>44774</v>
          </cell>
          <cell r="N2979">
            <v>44789</v>
          </cell>
          <cell r="O2979">
            <v>44774</v>
          </cell>
          <cell r="P2979">
            <v>44791</v>
          </cell>
          <cell r="Q2979">
            <v>44785</v>
          </cell>
          <cell r="R2979">
            <v>44785</v>
          </cell>
          <cell r="S2979"/>
          <cell r="T2979">
            <v>44788</v>
          </cell>
          <cell r="U2979">
            <v>44796</v>
          </cell>
          <cell r="V2979">
            <v>44796</v>
          </cell>
          <cell r="W2979">
            <v>44797</v>
          </cell>
          <cell r="X2979">
            <v>41100527</v>
          </cell>
        </row>
        <row r="2980">
          <cell r="K2980" t="str">
            <v>IVAS-145</v>
          </cell>
          <cell r="L2980">
            <v>44771</v>
          </cell>
          <cell r="M2980">
            <v>44774</v>
          </cell>
          <cell r="N2980">
            <v>44789</v>
          </cell>
          <cell r="O2980">
            <v>44774</v>
          </cell>
          <cell r="P2980">
            <v>44791</v>
          </cell>
          <cell r="Q2980">
            <v>44785</v>
          </cell>
          <cell r="R2980">
            <v>44785</v>
          </cell>
          <cell r="S2980"/>
          <cell r="T2980">
            <v>44788</v>
          </cell>
          <cell r="U2980">
            <v>44796</v>
          </cell>
          <cell r="V2980">
            <v>44796</v>
          </cell>
          <cell r="W2980">
            <v>44797</v>
          </cell>
          <cell r="X2980">
            <v>41100527</v>
          </cell>
        </row>
        <row r="2981">
          <cell r="K2981" t="str">
            <v>-</v>
          </cell>
          <cell r="L2981" t="str">
            <v>-</v>
          </cell>
          <cell r="M2981" t="str">
            <v>2022-08-09 → 7/18</v>
          </cell>
          <cell r="N2981">
            <v>44763</v>
          </cell>
          <cell r="O2981" t="str">
            <v>2022-08-09 → 7/18</v>
          </cell>
          <cell r="P2981">
            <v>44763</v>
          </cell>
          <cell r="Q2981" t="str">
            <v>2022-08-11 → 7/21</v>
          </cell>
          <cell r="R2981" t="str">
            <v>2022-08-11 → 7/21</v>
          </cell>
          <cell r="S2981"/>
          <cell r="T2981">
            <v>44792</v>
          </cell>
          <cell r="U2981">
            <v>44792</v>
          </cell>
          <cell r="V2981">
            <v>44792</v>
          </cell>
          <cell r="W2981">
            <v>44792</v>
          </cell>
          <cell r="X2981">
            <v>31102213</v>
          </cell>
        </row>
        <row r="2982">
          <cell r="K2982" t="str">
            <v>-</v>
          </cell>
          <cell r="L2982" t="str">
            <v>-</v>
          </cell>
          <cell r="M2982" t="str">
            <v>2022-08-09 → 7/18</v>
          </cell>
          <cell r="N2982">
            <v>44777</v>
          </cell>
          <cell r="O2982" t="str">
            <v>2022-08-09 → 7/18</v>
          </cell>
          <cell r="P2982">
            <v>44777</v>
          </cell>
          <cell r="Q2982" t="str">
            <v>2022-08-11 → 7/21</v>
          </cell>
          <cell r="R2982" t="str">
            <v>2022-08-11 → 7/21</v>
          </cell>
          <cell r="S2982"/>
          <cell r="T2982">
            <v>44792</v>
          </cell>
          <cell r="U2982">
            <v>44792</v>
          </cell>
          <cell r="V2982">
            <v>44792</v>
          </cell>
          <cell r="W2982">
            <v>44792</v>
          </cell>
          <cell r="X2982">
            <v>31102213</v>
          </cell>
        </row>
        <row r="2983">
          <cell r="K2983" t="str">
            <v>-</v>
          </cell>
          <cell r="L2983" t="str">
            <v>-</v>
          </cell>
          <cell r="M2983" t="str">
            <v>2022-08-08 → 7/27</v>
          </cell>
          <cell r="N2983">
            <v>44784</v>
          </cell>
          <cell r="O2983" t="str">
            <v>2022-08-08 → 7/27</v>
          </cell>
          <cell r="P2983">
            <v>44784</v>
          </cell>
          <cell r="Q2983" t="str">
            <v>2022-08-25 → 8/11</v>
          </cell>
          <cell r="R2983" t="str">
            <v>2022-08-25 → 8/11</v>
          </cell>
          <cell r="S2983"/>
          <cell r="T2983">
            <v>44784</v>
          </cell>
          <cell r="U2983">
            <v>44784</v>
          </cell>
          <cell r="V2983">
            <v>44784</v>
          </cell>
          <cell r="W2983">
            <v>44784</v>
          </cell>
          <cell r="X2983">
            <v>31102214</v>
          </cell>
        </row>
        <row r="2984">
          <cell r="K2984" t="str">
            <v>-</v>
          </cell>
          <cell r="L2984" t="str">
            <v>-</v>
          </cell>
          <cell r="M2984" t="str">
            <v>2022-08-01 → 7/21</v>
          </cell>
          <cell r="N2984">
            <v>44777</v>
          </cell>
          <cell r="O2984" t="str">
            <v>2022-08-01 → 7/21</v>
          </cell>
          <cell r="P2984">
            <v>44777</v>
          </cell>
          <cell r="Q2984" t="str">
            <v>2022-08-18 → 8/4</v>
          </cell>
          <cell r="R2984" t="str">
            <v>2022-08-18 → 8/4</v>
          </cell>
          <cell r="S2984"/>
          <cell r="T2984">
            <v>44777</v>
          </cell>
          <cell r="U2984">
            <v>44777</v>
          </cell>
          <cell r="V2984">
            <v>44777</v>
          </cell>
          <cell r="W2984">
            <v>44777</v>
          </cell>
          <cell r="X2984">
            <v>31102214</v>
          </cell>
        </row>
        <row r="2985">
          <cell r="K2985" t="str">
            <v>-</v>
          </cell>
          <cell r="L2985" t="str">
            <v>-</v>
          </cell>
          <cell r="M2985" t="str">
            <v>2022-08-08 → 7/27</v>
          </cell>
          <cell r="N2985">
            <v>44784</v>
          </cell>
          <cell r="O2985" t="str">
            <v>2022-08-08 → 7/27</v>
          </cell>
          <cell r="P2985">
            <v>44784</v>
          </cell>
          <cell r="Q2985" t="str">
            <v>2022-08-18 → 8/11</v>
          </cell>
          <cell r="R2985" t="str">
            <v>2022-08-18 → 8/11</v>
          </cell>
          <cell r="S2985"/>
          <cell r="T2985">
            <v>44784</v>
          </cell>
          <cell r="U2985">
            <v>44784</v>
          </cell>
          <cell r="V2985">
            <v>44784</v>
          </cell>
          <cell r="W2985">
            <v>44784</v>
          </cell>
          <cell r="X2985">
            <v>31102214</v>
          </cell>
        </row>
        <row r="2986">
          <cell r="K2986" t="str">
            <v>-</v>
          </cell>
          <cell r="L2986" t="str">
            <v>-</v>
          </cell>
          <cell r="M2986" t="str">
            <v>2022-08-08 → 7/27</v>
          </cell>
          <cell r="N2986">
            <v>44784</v>
          </cell>
          <cell r="O2986" t="str">
            <v>2022-08-08 → 7/27</v>
          </cell>
          <cell r="P2986">
            <v>44784</v>
          </cell>
          <cell r="Q2986" t="str">
            <v>2022-08-18 → 8/11</v>
          </cell>
          <cell r="R2986" t="str">
            <v>2022-08-18 → 8/11</v>
          </cell>
          <cell r="S2986"/>
          <cell r="T2986">
            <v>44784</v>
          </cell>
          <cell r="U2986">
            <v>44784</v>
          </cell>
          <cell r="V2986">
            <v>44784</v>
          </cell>
          <cell r="W2986">
            <v>44784</v>
          </cell>
          <cell r="X2986">
            <v>31102214</v>
          </cell>
        </row>
        <row r="2987">
          <cell r="K2987" t="str">
            <v>-</v>
          </cell>
          <cell r="L2987" t="str">
            <v>-</v>
          </cell>
          <cell r="M2987">
            <v>44781</v>
          </cell>
          <cell r="N2987">
            <v>44784</v>
          </cell>
          <cell r="O2987">
            <v>44781</v>
          </cell>
          <cell r="P2987">
            <v>44784</v>
          </cell>
          <cell r="Q2987">
            <v>44784</v>
          </cell>
          <cell r="R2987">
            <v>44784</v>
          </cell>
          <cell r="S2987"/>
          <cell r="T2987">
            <v>44784</v>
          </cell>
          <cell r="U2987">
            <v>44784</v>
          </cell>
          <cell r="V2987">
            <v>44784</v>
          </cell>
          <cell r="W2987">
            <v>44784</v>
          </cell>
          <cell r="X2987">
            <v>31102212</v>
          </cell>
        </row>
        <row r="2988">
          <cell r="K2988" t="str">
            <v>-</v>
          </cell>
          <cell r="L2988" t="str">
            <v>-</v>
          </cell>
          <cell r="M2988" t="str">
            <v>2022-08-01 → 8/2</v>
          </cell>
          <cell r="N2988">
            <v>44777</v>
          </cell>
          <cell r="O2988" t="str">
            <v>2022-08-01 → 8/2</v>
          </cell>
          <cell r="P2988">
            <v>44777</v>
          </cell>
          <cell r="Q2988">
            <v>44777</v>
          </cell>
          <cell r="R2988">
            <v>44777</v>
          </cell>
          <cell r="S2988"/>
          <cell r="T2988">
            <v>44777</v>
          </cell>
          <cell r="U2988">
            <v>44777</v>
          </cell>
          <cell r="V2988">
            <v>44777</v>
          </cell>
          <cell r="W2988">
            <v>44777</v>
          </cell>
          <cell r="X2988">
            <v>31102212</v>
          </cell>
        </row>
        <row r="2989">
          <cell r="K2989" t="str">
            <v>IVAS-146</v>
          </cell>
          <cell r="L2989">
            <v>44776</v>
          </cell>
          <cell r="M2989">
            <v>44777</v>
          </cell>
          <cell r="N2989">
            <v>44793</v>
          </cell>
          <cell r="O2989">
            <v>44777</v>
          </cell>
          <cell r="P2989">
            <v>44795</v>
          </cell>
          <cell r="Q2989" t="str">
            <v>2022-08-19 → 8/22</v>
          </cell>
          <cell r="R2989" t="str">
            <v>2022-08-19 → 8/22</v>
          </cell>
          <cell r="S2989"/>
          <cell r="T2989">
            <v>44795</v>
          </cell>
          <cell r="U2989">
            <v>44796</v>
          </cell>
          <cell r="V2989">
            <v>44799</v>
          </cell>
          <cell r="W2989">
            <v>44799</v>
          </cell>
          <cell r="X2989">
            <v>41100544</v>
          </cell>
        </row>
        <row r="2990">
          <cell r="K2990" t="str">
            <v>GBWS-2686</v>
          </cell>
          <cell r="L2990">
            <v>44771</v>
          </cell>
          <cell r="M2990">
            <v>44774</v>
          </cell>
          <cell r="N2990">
            <v>44784</v>
          </cell>
          <cell r="O2990">
            <v>44774</v>
          </cell>
          <cell r="P2990">
            <v>44783</v>
          </cell>
          <cell r="Q2990">
            <v>44782</v>
          </cell>
          <cell r="R2990">
            <v>44782</v>
          </cell>
          <cell r="S2990"/>
          <cell r="T2990">
            <v>44785</v>
          </cell>
          <cell r="U2990">
            <v>44786</v>
          </cell>
          <cell r="V2990">
            <v>44798</v>
          </cell>
          <cell r="W2990">
            <v>44798</v>
          </cell>
          <cell r="X2990">
            <v>41100350</v>
          </cell>
        </row>
        <row r="2991">
          <cell r="K2991" t="str">
            <v>GBWS-2720</v>
          </cell>
          <cell r="L2991">
            <v>44781</v>
          </cell>
          <cell r="M2991">
            <v>44782</v>
          </cell>
          <cell r="N2991">
            <v>44792</v>
          </cell>
          <cell r="O2991">
            <v>44782</v>
          </cell>
          <cell r="P2991">
            <v>44792</v>
          </cell>
          <cell r="Q2991">
            <v>44792</v>
          </cell>
          <cell r="R2991">
            <v>44792</v>
          </cell>
          <cell r="S2991"/>
          <cell r="T2991">
            <v>44795</v>
          </cell>
          <cell r="U2991">
            <v>44796</v>
          </cell>
          <cell r="V2991">
            <v>44798</v>
          </cell>
          <cell r="W2991">
            <v>44798</v>
          </cell>
          <cell r="X2991">
            <v>41100090</v>
          </cell>
        </row>
        <row r="2992">
          <cell r="K2992" t="str">
            <v>GBWS-2702</v>
          </cell>
          <cell r="L2992">
            <v>44775</v>
          </cell>
          <cell r="M2992">
            <v>44776</v>
          </cell>
          <cell r="N2992">
            <v>44791</v>
          </cell>
          <cell r="O2992">
            <v>44776</v>
          </cell>
          <cell r="P2992">
            <v>44796</v>
          </cell>
          <cell r="Q2992">
            <v>44789</v>
          </cell>
          <cell r="R2992">
            <v>44789</v>
          </cell>
          <cell r="S2992"/>
          <cell r="T2992">
            <v>44795</v>
          </cell>
          <cell r="U2992">
            <v>44798</v>
          </cell>
          <cell r="V2992">
            <v>44802</v>
          </cell>
          <cell r="W2992">
            <v>44802</v>
          </cell>
          <cell r="X2992">
            <v>41100350</v>
          </cell>
        </row>
        <row r="2993">
          <cell r="K2993" t="str">
            <v>SOS-0269</v>
          </cell>
          <cell r="L2993">
            <v>44756</v>
          </cell>
          <cell r="M2993">
            <v>44757</v>
          </cell>
          <cell r="N2993">
            <v>44761</v>
          </cell>
          <cell r="O2993">
            <v>44757</v>
          </cell>
          <cell r="P2993">
            <v>44763</v>
          </cell>
          <cell r="Q2993">
            <v>44761</v>
          </cell>
          <cell r="R2993">
            <v>44761</v>
          </cell>
          <cell r="S2993"/>
          <cell r="T2993">
            <v>44761</v>
          </cell>
          <cell r="U2993">
            <v>44767</v>
          </cell>
          <cell r="V2993">
            <v>44768</v>
          </cell>
          <cell r="W2993">
            <v>44768</v>
          </cell>
          <cell r="X2993">
            <v>41100182</v>
          </cell>
        </row>
        <row r="2994">
          <cell r="K2994" t="str">
            <v>GBWS-2518</v>
          </cell>
          <cell r="L2994">
            <v>44734</v>
          </cell>
          <cell r="M2994">
            <v>44735</v>
          </cell>
          <cell r="N2994">
            <v>44748</v>
          </cell>
          <cell r="O2994">
            <v>44735</v>
          </cell>
          <cell r="P2994">
            <v>44763</v>
          </cell>
          <cell r="Q2994" t="str">
            <v>2022-06-30 → 7/6</v>
          </cell>
          <cell r="R2994" t="str">
            <v>2022-06-30 → 7/6</v>
          </cell>
          <cell r="S2994"/>
          <cell r="T2994">
            <v>44749</v>
          </cell>
          <cell r="U2994">
            <v>44764</v>
          </cell>
          <cell r="V2994">
            <v>44768</v>
          </cell>
          <cell r="W2994">
            <v>44768</v>
          </cell>
          <cell r="X2994">
            <v>41100511</v>
          </cell>
        </row>
        <row r="2995">
          <cell r="K2995" t="str">
            <v>GBWS-2519</v>
          </cell>
          <cell r="L2995">
            <v>44734</v>
          </cell>
          <cell r="M2995">
            <v>44735</v>
          </cell>
          <cell r="N2995">
            <v>44748</v>
          </cell>
          <cell r="O2995">
            <v>44735</v>
          </cell>
          <cell r="P2995">
            <v>44763</v>
          </cell>
          <cell r="Q2995" t="str">
            <v>2022-06-30 → 7/6</v>
          </cell>
          <cell r="R2995" t="str">
            <v>2022-06-30 → 7/6</v>
          </cell>
          <cell r="S2995"/>
          <cell r="T2995">
            <v>44749</v>
          </cell>
          <cell r="U2995">
            <v>44753</v>
          </cell>
          <cell r="V2995">
            <v>44754</v>
          </cell>
          <cell r="W2995">
            <v>44754</v>
          </cell>
          <cell r="X2995">
            <v>41100511</v>
          </cell>
        </row>
        <row r="2996">
          <cell r="K2996" t="str">
            <v>GBWS-2764</v>
          </cell>
          <cell r="L2996">
            <v>44781</v>
          </cell>
          <cell r="M2996">
            <v>44782</v>
          </cell>
          <cell r="N2996">
            <v>44795</v>
          </cell>
          <cell r="O2996">
            <v>44782</v>
          </cell>
          <cell r="P2996">
            <v>44803</v>
          </cell>
          <cell r="Q2996">
            <v>44792</v>
          </cell>
          <cell r="R2996">
            <v>44792</v>
          </cell>
          <cell r="S2996"/>
          <cell r="T2996">
            <v>44796</v>
          </cell>
          <cell r="U2996">
            <v>44802</v>
          </cell>
          <cell r="V2996">
            <v>44804</v>
          </cell>
          <cell r="W2996">
            <v>44804</v>
          </cell>
          <cell r="X2996">
            <v>41100320</v>
          </cell>
        </row>
        <row r="2997">
          <cell r="K2997" t="str">
            <v>GBWS-2640</v>
          </cell>
          <cell r="L2997">
            <v>44762</v>
          </cell>
          <cell r="M2997">
            <v>44762</v>
          </cell>
          <cell r="N2997">
            <v>44775</v>
          </cell>
          <cell r="O2997">
            <v>44762</v>
          </cell>
          <cell r="P2997">
            <v>44775</v>
          </cell>
          <cell r="Q2997">
            <v>44775</v>
          </cell>
          <cell r="R2997">
            <v>44775</v>
          </cell>
          <cell r="S2997"/>
          <cell r="T2997">
            <v>44777</v>
          </cell>
          <cell r="U2997">
            <v>44779</v>
          </cell>
          <cell r="V2997">
            <v>44785</v>
          </cell>
          <cell r="W2997">
            <v>44785</v>
          </cell>
          <cell r="X2997">
            <v>41100460</v>
          </cell>
        </row>
        <row r="2998">
          <cell r="K2998" t="str">
            <v>GBWS-2641</v>
          </cell>
          <cell r="L2998">
            <v>44762</v>
          </cell>
          <cell r="M2998">
            <v>44762</v>
          </cell>
          <cell r="N2998">
            <v>44775</v>
          </cell>
          <cell r="O2998">
            <v>44762</v>
          </cell>
          <cell r="P2998">
            <v>44775</v>
          </cell>
          <cell r="Q2998">
            <v>44775</v>
          </cell>
          <cell r="R2998">
            <v>44775</v>
          </cell>
          <cell r="S2998"/>
          <cell r="T2998">
            <v>44777</v>
          </cell>
          <cell r="U2998">
            <v>44777</v>
          </cell>
          <cell r="V2998">
            <v>44781</v>
          </cell>
          <cell r="W2998">
            <v>44781</v>
          </cell>
          <cell r="X2998">
            <v>41100460</v>
          </cell>
        </row>
        <row r="2999">
          <cell r="K2999" t="str">
            <v>GBWS-2704</v>
          </cell>
          <cell r="L2999">
            <v>44776</v>
          </cell>
          <cell r="M2999">
            <v>44777</v>
          </cell>
          <cell r="N2999">
            <v>44790</v>
          </cell>
          <cell r="O2999">
            <v>44777</v>
          </cell>
          <cell r="P2999">
            <v>44790</v>
          </cell>
          <cell r="Q2999">
            <v>44790</v>
          </cell>
          <cell r="R2999">
            <v>44790</v>
          </cell>
          <cell r="S2999"/>
          <cell r="T2999">
            <v>44791</v>
          </cell>
          <cell r="U2999">
            <v>44795</v>
          </cell>
          <cell r="V2999">
            <v>44796</v>
          </cell>
          <cell r="W2999">
            <v>44796</v>
          </cell>
          <cell r="X2999">
            <v>41100460</v>
          </cell>
        </row>
        <row r="3000">
          <cell r="K3000" t="str">
            <v>GBWS-2705</v>
          </cell>
          <cell r="L3000">
            <v>44776</v>
          </cell>
          <cell r="M3000">
            <v>44777</v>
          </cell>
          <cell r="N3000">
            <v>44790</v>
          </cell>
          <cell r="O3000">
            <v>44777</v>
          </cell>
          <cell r="P3000">
            <v>44790</v>
          </cell>
          <cell r="Q3000">
            <v>44790</v>
          </cell>
          <cell r="R3000">
            <v>44790</v>
          </cell>
          <cell r="S3000"/>
          <cell r="T3000">
            <v>44791</v>
          </cell>
          <cell r="U3000">
            <v>44797</v>
          </cell>
          <cell r="V3000">
            <v>44798</v>
          </cell>
          <cell r="W3000">
            <v>44798</v>
          </cell>
          <cell r="X3000">
            <v>41100460</v>
          </cell>
        </row>
        <row r="3001">
          <cell r="K3001" t="str">
            <v>GBWS-2706</v>
          </cell>
          <cell r="L3001">
            <v>44776</v>
          </cell>
          <cell r="M3001">
            <v>44777</v>
          </cell>
          <cell r="N3001">
            <v>44790</v>
          </cell>
          <cell r="O3001">
            <v>44777</v>
          </cell>
          <cell r="P3001">
            <v>44790</v>
          </cell>
          <cell r="Q3001">
            <v>44790</v>
          </cell>
          <cell r="R3001">
            <v>44790</v>
          </cell>
          <cell r="S3001"/>
          <cell r="T3001">
            <v>44796</v>
          </cell>
          <cell r="U3001">
            <v>44798</v>
          </cell>
          <cell r="V3001">
            <v>44799</v>
          </cell>
          <cell r="W3001">
            <v>44799</v>
          </cell>
          <cell r="X3001">
            <v>41100460</v>
          </cell>
        </row>
        <row r="3002">
          <cell r="K3002" t="str">
            <v>GBWS-2707</v>
          </cell>
          <cell r="L3002">
            <v>44776</v>
          </cell>
          <cell r="M3002">
            <v>44777</v>
          </cell>
          <cell r="N3002">
            <v>44790</v>
          </cell>
          <cell r="O3002">
            <v>44777</v>
          </cell>
          <cell r="P3002">
            <v>44790</v>
          </cell>
          <cell r="Q3002">
            <v>44790</v>
          </cell>
          <cell r="R3002">
            <v>44790</v>
          </cell>
          <cell r="S3002"/>
          <cell r="T3002">
            <v>44791</v>
          </cell>
          <cell r="U3002">
            <v>44792</v>
          </cell>
          <cell r="V3002">
            <v>44796</v>
          </cell>
          <cell r="W3002">
            <v>44796</v>
          </cell>
          <cell r="X3002">
            <v>41100460</v>
          </cell>
        </row>
        <row r="3003">
          <cell r="K3003" t="str">
            <v>GBWS-2708</v>
          </cell>
          <cell r="L3003">
            <v>44776</v>
          </cell>
          <cell r="M3003">
            <v>44777</v>
          </cell>
          <cell r="N3003">
            <v>44790</v>
          </cell>
          <cell r="O3003">
            <v>44777</v>
          </cell>
          <cell r="P3003">
            <v>44790</v>
          </cell>
          <cell r="Q3003">
            <v>44790</v>
          </cell>
          <cell r="R3003">
            <v>44790</v>
          </cell>
          <cell r="S3003"/>
          <cell r="T3003">
            <v>44791</v>
          </cell>
          <cell r="U3003">
            <v>44795</v>
          </cell>
          <cell r="V3003">
            <v>44796</v>
          </cell>
          <cell r="W3003">
            <v>44796</v>
          </cell>
          <cell r="X3003">
            <v>41100460</v>
          </cell>
        </row>
        <row r="3004">
          <cell r="K3004" t="str">
            <v>GBWS-2709</v>
          </cell>
          <cell r="L3004">
            <v>44776</v>
          </cell>
          <cell r="M3004">
            <v>44777</v>
          </cell>
          <cell r="N3004">
            <v>44790</v>
          </cell>
          <cell r="O3004">
            <v>44777</v>
          </cell>
          <cell r="P3004">
            <v>44790</v>
          </cell>
          <cell r="Q3004">
            <v>44790</v>
          </cell>
          <cell r="R3004">
            <v>44790</v>
          </cell>
          <cell r="S3004"/>
          <cell r="T3004">
            <v>44791</v>
          </cell>
          <cell r="U3004">
            <v>44792</v>
          </cell>
          <cell r="V3004">
            <v>44796</v>
          </cell>
          <cell r="W3004">
            <v>44796</v>
          </cell>
          <cell r="X3004">
            <v>41100460</v>
          </cell>
        </row>
        <row r="3005">
          <cell r="K3005" t="str">
            <v>GBWS-2710</v>
          </cell>
          <cell r="L3005">
            <v>44776</v>
          </cell>
          <cell r="M3005">
            <v>44777</v>
          </cell>
          <cell r="N3005">
            <v>44790</v>
          </cell>
          <cell r="O3005">
            <v>44777</v>
          </cell>
          <cell r="P3005">
            <v>44790</v>
          </cell>
          <cell r="Q3005">
            <v>44790</v>
          </cell>
          <cell r="R3005">
            <v>44790</v>
          </cell>
          <cell r="S3005"/>
          <cell r="T3005">
            <v>44796</v>
          </cell>
          <cell r="U3005">
            <v>44798</v>
          </cell>
          <cell r="V3005">
            <v>44799</v>
          </cell>
          <cell r="W3005">
            <v>44799</v>
          </cell>
          <cell r="X3005">
            <v>41100460</v>
          </cell>
        </row>
        <row r="3006">
          <cell r="K3006" t="str">
            <v>GBWS-2711</v>
          </cell>
          <cell r="L3006">
            <v>44776</v>
          </cell>
          <cell r="M3006">
            <v>44777</v>
          </cell>
          <cell r="N3006">
            <v>44790</v>
          </cell>
          <cell r="O3006">
            <v>44777</v>
          </cell>
          <cell r="P3006">
            <v>44790</v>
          </cell>
          <cell r="Q3006">
            <v>44790</v>
          </cell>
          <cell r="R3006">
            <v>44790</v>
          </cell>
          <cell r="S3006"/>
          <cell r="T3006">
            <v>44791</v>
          </cell>
          <cell r="U3006">
            <v>44795</v>
          </cell>
          <cell r="V3006">
            <v>44796</v>
          </cell>
          <cell r="W3006">
            <v>44796</v>
          </cell>
          <cell r="X3006">
            <v>41100460</v>
          </cell>
        </row>
        <row r="3007">
          <cell r="K3007" t="str">
            <v>GBWS-2677</v>
          </cell>
          <cell r="L3007">
            <v>44771</v>
          </cell>
          <cell r="M3007">
            <v>44774</v>
          </cell>
          <cell r="N3007">
            <v>44789</v>
          </cell>
          <cell r="O3007">
            <v>44774</v>
          </cell>
          <cell r="P3007">
            <v>44785</v>
          </cell>
          <cell r="Q3007">
            <v>44789</v>
          </cell>
          <cell r="R3007">
            <v>44789</v>
          </cell>
          <cell r="S3007"/>
          <cell r="T3007">
            <v>44790</v>
          </cell>
          <cell r="U3007">
            <v>44795</v>
          </cell>
          <cell r="V3007">
            <v>44796</v>
          </cell>
          <cell r="W3007">
            <v>44796</v>
          </cell>
          <cell r="X3007">
            <v>41100509</v>
          </cell>
        </row>
        <row r="3008">
          <cell r="K3008" t="str">
            <v>GBWS-2678</v>
          </cell>
          <cell r="L3008">
            <v>44771</v>
          </cell>
          <cell r="M3008">
            <v>44774</v>
          </cell>
          <cell r="N3008">
            <v>44789</v>
          </cell>
          <cell r="O3008">
            <v>44774</v>
          </cell>
          <cell r="P3008">
            <v>44785</v>
          </cell>
          <cell r="Q3008">
            <v>44789</v>
          </cell>
          <cell r="R3008">
            <v>44789</v>
          </cell>
          <cell r="S3008"/>
          <cell r="T3008">
            <v>44790</v>
          </cell>
          <cell r="U3008">
            <v>44797</v>
          </cell>
          <cell r="V3008">
            <v>44798</v>
          </cell>
          <cell r="W3008">
            <v>44798</v>
          </cell>
          <cell r="X3008">
            <v>41100509</v>
          </cell>
        </row>
        <row r="3009">
          <cell r="K3009" t="str">
            <v>GBWS-2679</v>
          </cell>
          <cell r="L3009">
            <v>44771</v>
          </cell>
          <cell r="M3009">
            <v>44774</v>
          </cell>
          <cell r="N3009">
            <v>44789</v>
          </cell>
          <cell r="O3009">
            <v>44774</v>
          </cell>
          <cell r="P3009">
            <v>44785</v>
          </cell>
          <cell r="Q3009">
            <v>44789</v>
          </cell>
          <cell r="R3009">
            <v>44789</v>
          </cell>
          <cell r="S3009"/>
          <cell r="T3009">
            <v>44790</v>
          </cell>
          <cell r="U3009">
            <v>44792</v>
          </cell>
          <cell r="V3009">
            <v>44796</v>
          </cell>
          <cell r="W3009">
            <v>44796</v>
          </cell>
          <cell r="X3009">
            <v>41100509</v>
          </cell>
        </row>
        <row r="3010">
          <cell r="K3010" t="str">
            <v>GBWS-2680</v>
          </cell>
          <cell r="L3010">
            <v>44771</v>
          </cell>
          <cell r="M3010">
            <v>44774</v>
          </cell>
          <cell r="N3010">
            <v>44789</v>
          </cell>
          <cell r="O3010">
            <v>44774</v>
          </cell>
          <cell r="P3010">
            <v>44785</v>
          </cell>
          <cell r="Q3010">
            <v>44789</v>
          </cell>
          <cell r="R3010">
            <v>44789</v>
          </cell>
          <cell r="S3010"/>
          <cell r="T3010">
            <v>44790</v>
          </cell>
          <cell r="U3010">
            <v>44795</v>
          </cell>
          <cell r="V3010">
            <v>44796</v>
          </cell>
          <cell r="W3010">
            <v>44796</v>
          </cell>
          <cell r="X3010">
            <v>41100509</v>
          </cell>
        </row>
        <row r="3011">
          <cell r="K3011" t="str">
            <v>IVAS-143</v>
          </cell>
          <cell r="L3011">
            <v>44767</v>
          </cell>
          <cell r="M3011">
            <v>44767</v>
          </cell>
          <cell r="N3011">
            <v>44783</v>
          </cell>
          <cell r="O3011">
            <v>44767</v>
          </cell>
          <cell r="P3011">
            <v>44789</v>
          </cell>
          <cell r="Q3011">
            <v>44778</v>
          </cell>
          <cell r="R3011">
            <v>44778</v>
          </cell>
          <cell r="S3011"/>
          <cell r="T3011">
            <v>44783</v>
          </cell>
          <cell r="U3011">
            <v>44792</v>
          </cell>
          <cell r="V3011">
            <v>44795</v>
          </cell>
          <cell r="W3011">
            <v>44796</v>
          </cell>
          <cell r="X3011">
            <v>41100290</v>
          </cell>
        </row>
        <row r="3012">
          <cell r="K3012" t="str">
            <v>GBWS-2687</v>
          </cell>
          <cell r="L3012">
            <v>44771</v>
          </cell>
          <cell r="M3012">
            <v>44774</v>
          </cell>
          <cell r="N3012">
            <v>44784</v>
          </cell>
          <cell r="O3012">
            <v>44774</v>
          </cell>
          <cell r="P3012">
            <v>44783</v>
          </cell>
          <cell r="Q3012">
            <v>44782</v>
          </cell>
          <cell r="R3012">
            <v>44782</v>
          </cell>
          <cell r="S3012"/>
          <cell r="T3012">
            <v>44788</v>
          </cell>
          <cell r="U3012">
            <v>44791</v>
          </cell>
          <cell r="V3012">
            <v>44795</v>
          </cell>
          <cell r="W3012">
            <v>44795</v>
          </cell>
          <cell r="X3012">
            <v>41100350</v>
          </cell>
        </row>
        <row r="3013">
          <cell r="K3013" t="str">
            <v>GBWS-2742</v>
          </cell>
          <cell r="L3013">
            <v>44789</v>
          </cell>
          <cell r="M3013">
            <v>44790</v>
          </cell>
          <cell r="N3013">
            <v>44798</v>
          </cell>
          <cell r="O3013">
            <v>44790</v>
          </cell>
          <cell r="P3013">
            <v>44802</v>
          </cell>
          <cell r="Q3013">
            <v>44798</v>
          </cell>
          <cell r="R3013">
            <v>44798</v>
          </cell>
          <cell r="S3013"/>
          <cell r="T3013">
            <v>44799</v>
          </cell>
          <cell r="U3013">
            <v>44803</v>
          </cell>
          <cell r="V3013">
            <v>44804</v>
          </cell>
          <cell r="W3013">
            <v>44804</v>
          </cell>
          <cell r="X3013">
            <v>41100524</v>
          </cell>
        </row>
        <row r="3014">
          <cell r="K3014" t="str">
            <v>GBWS-2674</v>
          </cell>
          <cell r="L3014">
            <v>44771</v>
          </cell>
          <cell r="M3014">
            <v>44774</v>
          </cell>
          <cell r="N3014">
            <v>44789</v>
          </cell>
          <cell r="O3014">
            <v>44774</v>
          </cell>
          <cell r="P3014">
            <v>44789</v>
          </cell>
          <cell r="Q3014">
            <v>44789</v>
          </cell>
          <cell r="R3014">
            <v>44789</v>
          </cell>
          <cell r="S3014"/>
          <cell r="T3014">
            <v>44790</v>
          </cell>
          <cell r="U3014">
            <v>44795</v>
          </cell>
          <cell r="V3014">
            <v>44797</v>
          </cell>
          <cell r="W3014">
            <v>44797</v>
          </cell>
          <cell r="X3014">
            <v>41100508</v>
          </cell>
        </row>
        <row r="3015">
          <cell r="K3015" t="str">
            <v>GBWS-2675</v>
          </cell>
          <cell r="L3015">
            <v>44771</v>
          </cell>
          <cell r="M3015">
            <v>44774</v>
          </cell>
          <cell r="N3015">
            <v>44789</v>
          </cell>
          <cell r="O3015">
            <v>44774</v>
          </cell>
          <cell r="P3015">
            <v>44789</v>
          </cell>
          <cell r="Q3015">
            <v>44789</v>
          </cell>
          <cell r="R3015">
            <v>44789</v>
          </cell>
          <cell r="S3015"/>
          <cell r="T3015">
            <v>44790</v>
          </cell>
          <cell r="U3015">
            <v>44792</v>
          </cell>
          <cell r="V3015">
            <v>44796</v>
          </cell>
          <cell r="W3015">
            <v>44796</v>
          </cell>
          <cell r="X3015">
            <v>41100508</v>
          </cell>
        </row>
        <row r="3016">
          <cell r="K3016" t="str">
            <v>GBWS-2676</v>
          </cell>
          <cell r="L3016">
            <v>44771</v>
          </cell>
          <cell r="M3016">
            <v>44774</v>
          </cell>
          <cell r="N3016">
            <v>44789</v>
          </cell>
          <cell r="O3016">
            <v>44774</v>
          </cell>
          <cell r="P3016">
            <v>44789</v>
          </cell>
          <cell r="Q3016">
            <v>44789</v>
          </cell>
          <cell r="R3016">
            <v>44789</v>
          </cell>
          <cell r="S3016"/>
          <cell r="T3016">
            <v>44790</v>
          </cell>
          <cell r="U3016">
            <v>44795</v>
          </cell>
          <cell r="V3016">
            <v>44796</v>
          </cell>
          <cell r="W3016">
            <v>44796</v>
          </cell>
          <cell r="X3016">
            <v>41100508</v>
          </cell>
        </row>
        <row r="3017">
          <cell r="K3017"/>
          <cell r="L3017" t="str">
            <v>-</v>
          </cell>
          <cell r="M3017" t="str">
            <v>2022-08-23 → 8/16</v>
          </cell>
          <cell r="N3017">
            <v>44791</v>
          </cell>
          <cell r="O3017" t="str">
            <v>2022-08-23 → 8/16</v>
          </cell>
          <cell r="P3017">
            <v>44791</v>
          </cell>
          <cell r="Q3017" t="str">
            <v>2022-08-25 → 8/18</v>
          </cell>
          <cell r="R3017" t="str">
            <v>2022-08-25 → 8/18</v>
          </cell>
          <cell r="S3017"/>
          <cell r="T3017">
            <v>44791</v>
          </cell>
          <cell r="U3017">
            <v>44791</v>
          </cell>
          <cell r="V3017">
            <v>44791</v>
          </cell>
          <cell r="W3017">
            <v>44791</v>
          </cell>
          <cell r="X3017">
            <v>31102214</v>
          </cell>
        </row>
        <row r="3018">
          <cell r="K3018"/>
          <cell r="L3018" t="str">
            <v>-</v>
          </cell>
          <cell r="M3018" t="str">
            <v>2022-08-23 → 8/16</v>
          </cell>
          <cell r="N3018">
            <v>44791</v>
          </cell>
          <cell r="O3018" t="str">
            <v>2022-08-23 → 8/16</v>
          </cell>
          <cell r="P3018">
            <v>44791</v>
          </cell>
          <cell r="Q3018" t="str">
            <v>2022-08-25 → 8/18</v>
          </cell>
          <cell r="R3018" t="str">
            <v>2022-08-25 → 8/18</v>
          </cell>
          <cell r="S3018"/>
          <cell r="T3018">
            <v>44791</v>
          </cell>
          <cell r="U3018">
            <v>44791</v>
          </cell>
          <cell r="V3018">
            <v>44791</v>
          </cell>
          <cell r="W3018">
            <v>44791</v>
          </cell>
          <cell r="X3018">
            <v>31102214</v>
          </cell>
        </row>
        <row r="3019">
          <cell r="K3019"/>
          <cell r="L3019" t="str">
            <v>-</v>
          </cell>
          <cell r="M3019" t="str">
            <v>2022-08-23 → 8/16</v>
          </cell>
          <cell r="N3019">
            <v>44791</v>
          </cell>
          <cell r="O3019" t="str">
            <v>2022-08-23 → 8/16</v>
          </cell>
          <cell r="P3019">
            <v>44791</v>
          </cell>
          <cell r="Q3019" t="str">
            <v>2022-08-25 → 8/18</v>
          </cell>
          <cell r="R3019" t="str">
            <v>2022-08-25 → 8/18</v>
          </cell>
          <cell r="S3019"/>
          <cell r="T3019">
            <v>44791</v>
          </cell>
          <cell r="U3019">
            <v>44791</v>
          </cell>
          <cell r="V3019">
            <v>44791</v>
          </cell>
          <cell r="W3019">
            <v>44791</v>
          </cell>
          <cell r="X3019">
            <v>31102214</v>
          </cell>
        </row>
        <row r="3020">
          <cell r="K3020" t="str">
            <v>GBWS-2734</v>
          </cell>
          <cell r="L3020">
            <v>44785</v>
          </cell>
          <cell r="M3020">
            <v>44789</v>
          </cell>
          <cell r="N3020">
            <v>44799</v>
          </cell>
          <cell r="O3020">
            <v>44789</v>
          </cell>
          <cell r="P3020">
            <v>44804</v>
          </cell>
          <cell r="Q3020">
            <v>44799</v>
          </cell>
          <cell r="R3020">
            <v>44799</v>
          </cell>
          <cell r="S3020"/>
          <cell r="T3020">
            <v>44802</v>
          </cell>
          <cell r="U3020">
            <v>44804</v>
          </cell>
          <cell r="V3020">
            <v>44804</v>
          </cell>
          <cell r="W3020">
            <v>44804</v>
          </cell>
          <cell r="X3020">
            <v>41100356</v>
          </cell>
        </row>
        <row r="3021">
          <cell r="K3021" t="str">
            <v>GBWS-2666</v>
          </cell>
          <cell r="L3021">
            <v>44768</v>
          </cell>
          <cell r="M3021">
            <v>44769</v>
          </cell>
          <cell r="N3021">
            <v>44779</v>
          </cell>
          <cell r="O3021">
            <v>44769</v>
          </cell>
          <cell r="P3021">
            <v>44782</v>
          </cell>
          <cell r="Q3021">
            <v>44781</v>
          </cell>
          <cell r="R3021">
            <v>44781</v>
          </cell>
          <cell r="S3021"/>
          <cell r="T3021">
            <v>44782</v>
          </cell>
          <cell r="U3021">
            <v>44802</v>
          </cell>
          <cell r="V3021">
            <v>44803</v>
          </cell>
          <cell r="W3021">
            <v>44803</v>
          </cell>
          <cell r="X3021" t="str">
            <v>41100493 → 41100406</v>
          </cell>
        </row>
        <row r="3022">
          <cell r="K3022"/>
          <cell r="L3022"/>
          <cell r="M3022">
            <v>44796</v>
          </cell>
          <cell r="N3022">
            <v>44799</v>
          </cell>
          <cell r="O3022">
            <v>44796</v>
          </cell>
          <cell r="P3022">
            <v>44799</v>
          </cell>
          <cell r="Q3022">
            <v>44799</v>
          </cell>
          <cell r="R3022">
            <v>44799</v>
          </cell>
          <cell r="S3022"/>
          <cell r="T3022">
            <v>44799</v>
          </cell>
          <cell r="U3022"/>
          <cell r="V3022"/>
          <cell r="W3022"/>
          <cell r="X3022"/>
        </row>
        <row r="3023">
          <cell r="K3023" t="str">
            <v>GBWS-2721</v>
          </cell>
          <cell r="L3023">
            <v>44782</v>
          </cell>
          <cell r="M3023">
            <v>44783</v>
          </cell>
          <cell r="N3023">
            <v>44796</v>
          </cell>
          <cell r="O3023">
            <v>44783</v>
          </cell>
          <cell r="P3023">
            <v>44803</v>
          </cell>
          <cell r="Q3023" t="str">
            <v>2022-08-23 → 8/24</v>
          </cell>
          <cell r="R3023" t="str">
            <v>2022-08-23 → 8/24</v>
          </cell>
          <cell r="S3023"/>
          <cell r="T3023">
            <v>44798</v>
          </cell>
          <cell r="U3023">
            <v>44803</v>
          </cell>
          <cell r="V3023">
            <v>44804</v>
          </cell>
          <cell r="W3023">
            <v>44804</v>
          </cell>
          <cell r="X3023">
            <v>41100286</v>
          </cell>
        </row>
        <row r="3024">
          <cell r="K3024" t="str">
            <v>DBW-2705</v>
          </cell>
          <cell r="L3024">
            <v>44781</v>
          </cell>
          <cell r="M3024">
            <v>44782</v>
          </cell>
          <cell r="N3024">
            <v>44792</v>
          </cell>
          <cell r="O3024">
            <v>44782</v>
          </cell>
          <cell r="P3024">
            <v>44799</v>
          </cell>
          <cell r="Q3024">
            <v>44792</v>
          </cell>
          <cell r="R3024">
            <v>44792</v>
          </cell>
          <cell r="S3024"/>
          <cell r="T3024">
            <v>44795</v>
          </cell>
          <cell r="U3024">
            <v>44803</v>
          </cell>
          <cell r="V3024">
            <v>44804</v>
          </cell>
          <cell r="W3024">
            <v>44804</v>
          </cell>
          <cell r="X3024">
            <v>41100496</v>
          </cell>
        </row>
        <row r="3025">
          <cell r="K3025" t="str">
            <v>DBW-2706</v>
          </cell>
          <cell r="L3025">
            <v>44783</v>
          </cell>
          <cell r="M3025">
            <v>44784</v>
          </cell>
          <cell r="N3025">
            <v>44792</v>
          </cell>
          <cell r="O3025">
            <v>44784</v>
          </cell>
          <cell r="P3025">
            <v>44799</v>
          </cell>
          <cell r="Q3025">
            <v>44797</v>
          </cell>
          <cell r="R3025">
            <v>44797</v>
          </cell>
          <cell r="S3025"/>
          <cell r="T3025">
            <v>44798</v>
          </cell>
          <cell r="U3025">
            <v>44799</v>
          </cell>
          <cell r="V3025">
            <v>44803</v>
          </cell>
          <cell r="W3025">
            <v>44803</v>
          </cell>
          <cell r="X3025">
            <v>41100496</v>
          </cell>
        </row>
        <row r="3026">
          <cell r="K3026" t="str">
            <v>DBW-2707</v>
          </cell>
          <cell r="L3026">
            <v>44789</v>
          </cell>
          <cell r="M3026">
            <v>44790</v>
          </cell>
          <cell r="N3026">
            <v>44802</v>
          </cell>
          <cell r="O3026">
            <v>44790</v>
          </cell>
          <cell r="P3026">
            <v>44803</v>
          </cell>
          <cell r="Q3026">
            <v>44802</v>
          </cell>
          <cell r="R3026">
            <v>44802</v>
          </cell>
          <cell r="S3026"/>
          <cell r="T3026">
            <v>44804</v>
          </cell>
          <cell r="U3026">
            <v>44805</v>
          </cell>
          <cell r="V3026">
            <v>44806</v>
          </cell>
          <cell r="W3026">
            <v>44809</v>
          </cell>
          <cell r="X3026">
            <v>41100496</v>
          </cell>
        </row>
        <row r="3027">
          <cell r="K3027" t="str">
            <v>GBWS-2763</v>
          </cell>
          <cell r="L3027">
            <v>44791</v>
          </cell>
          <cell r="M3027">
            <v>44792</v>
          </cell>
          <cell r="N3027">
            <v>44804</v>
          </cell>
          <cell r="O3027">
            <v>44792</v>
          </cell>
          <cell r="P3027">
            <v>44804</v>
          </cell>
          <cell r="Q3027">
            <v>44804</v>
          </cell>
          <cell r="R3027">
            <v>44804</v>
          </cell>
          <cell r="S3027"/>
          <cell r="T3027">
            <v>44805</v>
          </cell>
          <cell r="U3027">
            <v>44806</v>
          </cell>
          <cell r="V3027">
            <v>44809</v>
          </cell>
          <cell r="W3027">
            <v>44809</v>
          </cell>
          <cell r="X3027">
            <v>41100295</v>
          </cell>
        </row>
        <row r="3028">
          <cell r="K3028" t="str">
            <v>GBWS-2703</v>
          </cell>
          <cell r="L3028">
            <v>44775</v>
          </cell>
          <cell r="M3028">
            <v>44776</v>
          </cell>
          <cell r="N3028">
            <v>44791</v>
          </cell>
          <cell r="O3028">
            <v>44776</v>
          </cell>
          <cell r="P3028">
            <v>44796</v>
          </cell>
          <cell r="Q3028">
            <v>44789</v>
          </cell>
          <cell r="R3028">
            <v>44789</v>
          </cell>
          <cell r="S3028"/>
          <cell r="T3028">
            <v>44796</v>
          </cell>
          <cell r="U3028">
            <v>44802</v>
          </cell>
          <cell r="V3028">
            <v>44803</v>
          </cell>
          <cell r="W3028">
            <v>44803</v>
          </cell>
          <cell r="X3028">
            <v>41100350</v>
          </cell>
        </row>
        <row r="3029">
          <cell r="K3029" t="str">
            <v>GBWS-2426</v>
          </cell>
          <cell r="L3029">
            <v>44714</v>
          </cell>
          <cell r="M3029">
            <v>44715</v>
          </cell>
          <cell r="N3029">
            <v>44725</v>
          </cell>
          <cell r="O3029">
            <v>44715</v>
          </cell>
          <cell r="P3029">
            <v>44726</v>
          </cell>
          <cell r="Q3029">
            <v>44728</v>
          </cell>
          <cell r="R3029">
            <v>44728</v>
          </cell>
          <cell r="S3029"/>
          <cell r="T3029">
            <v>44729</v>
          </cell>
          <cell r="U3029">
            <v>44741</v>
          </cell>
          <cell r="V3029">
            <v>44742</v>
          </cell>
          <cell r="W3029">
            <v>44742</v>
          </cell>
          <cell r="X3029">
            <v>41100478</v>
          </cell>
        </row>
        <row r="3030">
          <cell r="K3030" t="str">
            <v>GBWS-2689</v>
          </cell>
          <cell r="L3030">
            <v>44774</v>
          </cell>
          <cell r="M3030">
            <v>44775</v>
          </cell>
          <cell r="N3030">
            <v>44786</v>
          </cell>
          <cell r="O3030">
            <v>44775</v>
          </cell>
          <cell r="P3030">
            <v>44791</v>
          </cell>
          <cell r="Q3030">
            <v>44785</v>
          </cell>
          <cell r="R3030">
            <v>44785</v>
          </cell>
          <cell r="S3030"/>
          <cell r="T3030">
            <v>44788</v>
          </cell>
          <cell r="U3030">
            <v>44796</v>
          </cell>
          <cell r="V3030">
            <v>44797</v>
          </cell>
          <cell r="W3030">
            <v>44797</v>
          </cell>
          <cell r="X3030">
            <v>41100318</v>
          </cell>
        </row>
        <row r="3031">
          <cell r="K3031" t="str">
            <v>GBWS-2733</v>
          </cell>
          <cell r="L3031">
            <v>44784</v>
          </cell>
          <cell r="M3031">
            <v>44785</v>
          </cell>
          <cell r="N3031">
            <v>44795</v>
          </cell>
          <cell r="O3031">
            <v>44785</v>
          </cell>
          <cell r="P3031">
            <v>44803</v>
          </cell>
          <cell r="Q3031">
            <v>44798</v>
          </cell>
          <cell r="R3031">
            <v>44798</v>
          </cell>
          <cell r="S3031"/>
          <cell r="T3031">
            <v>44795</v>
          </cell>
          <cell r="U3031">
            <v>44804</v>
          </cell>
          <cell r="V3031">
            <v>44804</v>
          </cell>
          <cell r="W3031">
            <v>44804</v>
          </cell>
          <cell r="X3031">
            <v>41100318</v>
          </cell>
        </row>
        <row r="3032">
          <cell r="K3032" t="str">
            <v>GBWS-2740</v>
          </cell>
          <cell r="L3032">
            <v>44785</v>
          </cell>
          <cell r="M3032">
            <v>44789</v>
          </cell>
          <cell r="N3032">
            <v>44800</v>
          </cell>
          <cell r="O3032">
            <v>44789</v>
          </cell>
          <cell r="P3032">
            <v>44804</v>
          </cell>
          <cell r="Q3032">
            <v>44799</v>
          </cell>
          <cell r="R3032">
            <v>44799</v>
          </cell>
          <cell r="S3032"/>
          <cell r="T3032">
            <v>44803</v>
          </cell>
          <cell r="U3032">
            <v>44804</v>
          </cell>
          <cell r="V3032">
            <v>44806</v>
          </cell>
          <cell r="W3032">
            <v>44806</v>
          </cell>
          <cell r="X3032">
            <v>41100320</v>
          </cell>
        </row>
        <row r="3033">
          <cell r="K3033" t="str">
            <v>GBWS-2741</v>
          </cell>
          <cell r="L3033">
            <v>44785</v>
          </cell>
          <cell r="M3033">
            <v>44789</v>
          </cell>
          <cell r="N3033">
            <v>44800</v>
          </cell>
          <cell r="O3033">
            <v>44789</v>
          </cell>
          <cell r="P3033">
            <v>44804</v>
          </cell>
          <cell r="Q3033">
            <v>44799</v>
          </cell>
          <cell r="R3033">
            <v>44799</v>
          </cell>
          <cell r="S3033"/>
          <cell r="T3033">
            <v>44803</v>
          </cell>
          <cell r="U3033">
            <v>44810</v>
          </cell>
          <cell r="V3033">
            <v>44810</v>
          </cell>
          <cell r="W3033">
            <v>44810</v>
          </cell>
          <cell r="X3033">
            <v>41100317</v>
          </cell>
        </row>
        <row r="3034">
          <cell r="K3034" t="str">
            <v>GBWS-2681</v>
          </cell>
          <cell r="L3034">
            <v>44771</v>
          </cell>
          <cell r="M3034">
            <v>44774</v>
          </cell>
          <cell r="N3034">
            <v>44789</v>
          </cell>
          <cell r="O3034">
            <v>44774</v>
          </cell>
          <cell r="P3034">
            <v>44785</v>
          </cell>
          <cell r="Q3034">
            <v>44789</v>
          </cell>
          <cell r="R3034">
            <v>44789</v>
          </cell>
          <cell r="S3034"/>
          <cell r="T3034">
            <v>44790</v>
          </cell>
          <cell r="U3034">
            <v>44797</v>
          </cell>
          <cell r="V3034">
            <v>44798</v>
          </cell>
          <cell r="W3034">
            <v>44798</v>
          </cell>
          <cell r="X3034">
            <v>41100509</v>
          </cell>
        </row>
        <row r="3035">
          <cell r="K3035" t="str">
            <v>GBWS-2682</v>
          </cell>
          <cell r="L3035">
            <v>44771</v>
          </cell>
          <cell r="M3035">
            <v>44774</v>
          </cell>
          <cell r="N3035">
            <v>44789</v>
          </cell>
          <cell r="O3035">
            <v>44774</v>
          </cell>
          <cell r="P3035">
            <v>44785</v>
          </cell>
          <cell r="Q3035">
            <v>44789</v>
          </cell>
          <cell r="R3035">
            <v>44789</v>
          </cell>
          <cell r="S3035"/>
          <cell r="T3035">
            <v>44790</v>
          </cell>
          <cell r="U3035">
            <v>44797</v>
          </cell>
          <cell r="V3035">
            <v>44798</v>
          </cell>
          <cell r="W3035">
            <v>44798</v>
          </cell>
          <cell r="X3035">
            <v>41100509</v>
          </cell>
        </row>
        <row r="3036">
          <cell r="K3036" t="str">
            <v>GBWS-2683</v>
          </cell>
          <cell r="L3036">
            <v>44771</v>
          </cell>
          <cell r="M3036">
            <v>44774</v>
          </cell>
          <cell r="N3036">
            <v>44789</v>
          </cell>
          <cell r="O3036">
            <v>44774</v>
          </cell>
          <cell r="P3036">
            <v>44785</v>
          </cell>
          <cell r="Q3036">
            <v>44789</v>
          </cell>
          <cell r="R3036">
            <v>44789</v>
          </cell>
          <cell r="S3036"/>
          <cell r="T3036">
            <v>44790</v>
          </cell>
          <cell r="U3036">
            <v>44795</v>
          </cell>
          <cell r="V3036">
            <v>44796</v>
          </cell>
          <cell r="W3036">
            <v>44796</v>
          </cell>
          <cell r="X3036">
            <v>41100509</v>
          </cell>
        </row>
        <row r="3037">
          <cell r="K3037" t="str">
            <v>GBWS-2684</v>
          </cell>
          <cell r="L3037">
            <v>44771</v>
          </cell>
          <cell r="M3037">
            <v>44774</v>
          </cell>
          <cell r="N3037">
            <v>44784</v>
          </cell>
          <cell r="O3037">
            <v>44774</v>
          </cell>
          <cell r="P3037">
            <v>44785</v>
          </cell>
          <cell r="Q3037">
            <v>44789</v>
          </cell>
          <cell r="R3037">
            <v>44789</v>
          </cell>
          <cell r="S3037"/>
          <cell r="T3037">
            <v>44790</v>
          </cell>
          <cell r="U3037">
            <v>44797</v>
          </cell>
          <cell r="V3037">
            <v>44798</v>
          </cell>
          <cell r="W3037">
            <v>44798</v>
          </cell>
          <cell r="X3037">
            <v>41100461</v>
          </cell>
        </row>
        <row r="3038">
          <cell r="K3038" t="str">
            <v>GBWS-2726</v>
          </cell>
          <cell r="L3038">
            <v>44783</v>
          </cell>
          <cell r="M3038">
            <v>44784</v>
          </cell>
          <cell r="N3038">
            <v>44796</v>
          </cell>
          <cell r="O3038">
            <v>44784</v>
          </cell>
          <cell r="P3038">
            <v>44795</v>
          </cell>
          <cell r="Q3038" t="str">
            <v>2022-08-23 → 8/24</v>
          </cell>
          <cell r="R3038" t="str">
            <v>2022-08-23 → 8/24</v>
          </cell>
          <cell r="S3038"/>
          <cell r="T3038">
            <v>44797</v>
          </cell>
          <cell r="U3038">
            <v>44798</v>
          </cell>
          <cell r="V3038">
            <v>44802</v>
          </cell>
          <cell r="W3038">
            <v>44802</v>
          </cell>
          <cell r="X3038">
            <v>41100507</v>
          </cell>
        </row>
        <row r="3039">
          <cell r="K3039" t="str">
            <v>GBWS-2727</v>
          </cell>
          <cell r="L3039">
            <v>44783</v>
          </cell>
          <cell r="M3039">
            <v>44784</v>
          </cell>
          <cell r="N3039">
            <v>44796</v>
          </cell>
          <cell r="O3039">
            <v>44784</v>
          </cell>
          <cell r="P3039">
            <v>44795</v>
          </cell>
          <cell r="Q3039" t="str">
            <v>2022-08-23 → 8/24</v>
          </cell>
          <cell r="R3039" t="str">
            <v>2022-08-23 → 8/24</v>
          </cell>
          <cell r="S3039"/>
          <cell r="T3039">
            <v>44798</v>
          </cell>
          <cell r="U3039">
            <v>44799</v>
          </cell>
          <cell r="V3039">
            <v>44802</v>
          </cell>
          <cell r="W3039">
            <v>44802</v>
          </cell>
          <cell r="X3039">
            <v>41100507</v>
          </cell>
        </row>
        <row r="3040">
          <cell r="K3040" t="str">
            <v>GBWS-2732</v>
          </cell>
          <cell r="L3040">
            <v>44783</v>
          </cell>
          <cell r="M3040">
            <v>44784</v>
          </cell>
          <cell r="N3040">
            <v>44797</v>
          </cell>
          <cell r="O3040">
            <v>44784</v>
          </cell>
          <cell r="P3040">
            <v>44796</v>
          </cell>
          <cell r="Q3040" t="str">
            <v>2022-08-23 → 8/24</v>
          </cell>
          <cell r="R3040" t="str">
            <v>2022-08-23 → 8/24</v>
          </cell>
          <cell r="S3040"/>
          <cell r="T3040">
            <v>44799</v>
          </cell>
          <cell r="U3040">
            <v>44802</v>
          </cell>
          <cell r="V3040">
            <v>44803</v>
          </cell>
          <cell r="W3040">
            <v>44803</v>
          </cell>
          <cell r="X3040">
            <v>41100386</v>
          </cell>
        </row>
        <row r="3041">
          <cell r="K3041" t="str">
            <v>GBWS-2750</v>
          </cell>
          <cell r="L3041">
            <v>44790</v>
          </cell>
          <cell r="M3041">
            <v>44791</v>
          </cell>
          <cell r="N3041">
            <v>44804</v>
          </cell>
          <cell r="O3041">
            <v>44791</v>
          </cell>
          <cell r="P3041">
            <v>44803</v>
          </cell>
          <cell r="Q3041" t="str">
            <v>2022-08-29 → 8/30</v>
          </cell>
          <cell r="R3041" t="str">
            <v>2022-08-29 → 8/30</v>
          </cell>
          <cell r="S3041"/>
          <cell r="T3041">
            <v>44804</v>
          </cell>
          <cell r="U3041">
            <v>44805</v>
          </cell>
          <cell r="V3041">
            <v>44806</v>
          </cell>
          <cell r="W3041">
            <v>44806</v>
          </cell>
          <cell r="X3041">
            <v>41100460</v>
          </cell>
        </row>
        <row r="3042">
          <cell r="K3042" t="str">
            <v>GBWS-2739</v>
          </cell>
          <cell r="L3042">
            <v>44785</v>
          </cell>
          <cell r="M3042">
            <v>44789</v>
          </cell>
          <cell r="N3042">
            <v>44802</v>
          </cell>
          <cell r="O3042">
            <v>44789</v>
          </cell>
          <cell r="P3042">
            <v>44804</v>
          </cell>
          <cell r="Q3042">
            <v>44799</v>
          </cell>
          <cell r="R3042">
            <v>44799</v>
          </cell>
          <cell r="S3042"/>
          <cell r="T3042">
            <v>44803</v>
          </cell>
          <cell r="U3042">
            <v>44811</v>
          </cell>
          <cell r="V3042">
            <v>44811</v>
          </cell>
          <cell r="W3042">
            <v>44811</v>
          </cell>
          <cell r="X3042">
            <v>41100358</v>
          </cell>
        </row>
        <row r="3043">
          <cell r="K3043" t="str">
            <v>IVAS-147</v>
          </cell>
          <cell r="L3043">
            <v>44782</v>
          </cell>
          <cell r="M3043">
            <v>44783</v>
          </cell>
          <cell r="N3043">
            <v>44799</v>
          </cell>
          <cell r="O3043">
            <v>44783</v>
          </cell>
          <cell r="P3043">
            <v>44804</v>
          </cell>
          <cell r="Q3043" t="str">
            <v>2022-08-26 → 8/27</v>
          </cell>
          <cell r="R3043" t="str">
            <v>2022-08-26 → 8/27</v>
          </cell>
          <cell r="S3043"/>
          <cell r="T3043">
            <v>44802</v>
          </cell>
          <cell r="U3043">
            <v>44806</v>
          </cell>
          <cell r="V3043">
            <v>44809</v>
          </cell>
          <cell r="W3043">
            <v>44810</v>
          </cell>
          <cell r="X3043">
            <v>41100548</v>
          </cell>
        </row>
        <row r="3044">
          <cell r="K3044" t="str">
            <v>IVAS-148</v>
          </cell>
          <cell r="L3044">
            <v>44785</v>
          </cell>
          <cell r="M3044">
            <v>44789</v>
          </cell>
          <cell r="N3044">
            <v>44800</v>
          </cell>
          <cell r="O3044">
            <v>44789</v>
          </cell>
          <cell r="P3044">
            <v>44804</v>
          </cell>
          <cell r="Q3044" t="str">
            <v>2022-08-26 → 8/27</v>
          </cell>
          <cell r="R3044" t="str">
            <v>2022-08-26 → 8/27</v>
          </cell>
          <cell r="S3044"/>
          <cell r="T3044">
            <v>44802</v>
          </cell>
          <cell r="U3044">
            <v>44806</v>
          </cell>
          <cell r="V3044">
            <v>44809</v>
          </cell>
          <cell r="W3044">
            <v>44810</v>
          </cell>
          <cell r="X3044">
            <v>41100273</v>
          </cell>
        </row>
        <row r="3045">
          <cell r="K3045" t="str">
            <v>DBW-2704</v>
          </cell>
          <cell r="L3045">
            <v>44781</v>
          </cell>
          <cell r="M3045">
            <v>44782</v>
          </cell>
          <cell r="N3045">
            <v>44797</v>
          </cell>
          <cell r="O3045">
            <v>44782</v>
          </cell>
          <cell r="P3045">
            <v>44799</v>
          </cell>
          <cell r="Q3045">
            <v>44795</v>
          </cell>
          <cell r="R3045">
            <v>44795</v>
          </cell>
          <cell r="S3045"/>
          <cell r="T3045">
            <v>44797</v>
          </cell>
          <cell r="U3045">
            <v>44799</v>
          </cell>
          <cell r="V3045">
            <v>44803</v>
          </cell>
          <cell r="W3045">
            <v>44803</v>
          </cell>
          <cell r="X3045">
            <v>41100471</v>
          </cell>
        </row>
        <row r="3046">
          <cell r="K3046" t="str">
            <v>DBW-2708</v>
          </cell>
          <cell r="L3046">
            <v>44797</v>
          </cell>
          <cell r="M3046">
            <v>44798</v>
          </cell>
          <cell r="N3046">
            <v>44809</v>
          </cell>
          <cell r="O3046">
            <v>44798</v>
          </cell>
          <cell r="P3046">
            <v>44806</v>
          </cell>
          <cell r="Q3046">
            <v>44806</v>
          </cell>
          <cell r="R3046">
            <v>44806</v>
          </cell>
          <cell r="S3046"/>
          <cell r="T3046">
            <v>44809</v>
          </cell>
          <cell r="U3046">
            <v>44811</v>
          </cell>
          <cell r="V3046">
            <v>44812</v>
          </cell>
          <cell r="W3046">
            <v>44812</v>
          </cell>
          <cell r="X3046">
            <v>41100521</v>
          </cell>
        </row>
        <row r="3047">
          <cell r="K3047" t="str">
            <v>DBW-2709</v>
          </cell>
          <cell r="L3047">
            <v>44797</v>
          </cell>
          <cell r="M3047">
            <v>44798</v>
          </cell>
          <cell r="N3047">
            <v>44809</v>
          </cell>
          <cell r="O3047">
            <v>44798</v>
          </cell>
          <cell r="P3047">
            <v>44806</v>
          </cell>
          <cell r="Q3047">
            <v>44806</v>
          </cell>
          <cell r="R3047">
            <v>44806</v>
          </cell>
          <cell r="S3047"/>
          <cell r="T3047">
            <v>44809</v>
          </cell>
          <cell r="U3047">
            <v>44811</v>
          </cell>
          <cell r="V3047">
            <v>44812</v>
          </cell>
          <cell r="W3047">
            <v>44812</v>
          </cell>
          <cell r="X3047">
            <v>41100521</v>
          </cell>
        </row>
        <row r="3048">
          <cell r="K3048" t="str">
            <v>DBW-1278</v>
          </cell>
          <cell r="L3048">
            <v>43452</v>
          </cell>
          <cell r="M3048" t="str">
            <v>-</v>
          </cell>
          <cell r="N3048" t="str">
            <v>-</v>
          </cell>
          <cell r="O3048" t="str">
            <v>-</v>
          </cell>
          <cell r="P3048" t="str">
            <v>-</v>
          </cell>
          <cell r="Q3048" t="str">
            <v>-</v>
          </cell>
          <cell r="R3048" t="str">
            <v>-</v>
          </cell>
          <cell r="S3048"/>
          <cell r="T3048">
            <v>43508</v>
          </cell>
          <cell r="U3048">
            <v>43521</v>
          </cell>
          <cell r="V3048">
            <v>43509</v>
          </cell>
          <cell r="W3048">
            <v>43522</v>
          </cell>
          <cell r="X3048" t="str">
            <v>41000505 → 41100389</v>
          </cell>
        </row>
        <row r="3049">
          <cell r="K3049"/>
          <cell r="L3049">
            <v>44770</v>
          </cell>
          <cell r="M3049" t="str">
            <v>2022-08-26 → 8/31</v>
          </cell>
          <cell r="N3049" t="str">
            <v>2022-09-05</v>
          </cell>
          <cell r="O3049" t="str">
            <v>2022-08-26 → 8/31</v>
          </cell>
          <cell r="P3049" t="str">
            <v>2022-09-05</v>
          </cell>
          <cell r="Q3049" t="str">
            <v>2022-09-05 → 9/6</v>
          </cell>
          <cell r="R3049" t="str">
            <v>2022-09-05 → 9/6</v>
          </cell>
          <cell r="S3049"/>
          <cell r="T3049">
            <v>44810</v>
          </cell>
          <cell r="U3049">
            <v>44811</v>
          </cell>
          <cell r="V3049">
            <v>44812</v>
          </cell>
          <cell r="W3049">
            <v>44812</v>
          </cell>
          <cell r="X3049"/>
        </row>
        <row r="3050">
          <cell r="K3050" t="str">
            <v>GBWS-2514</v>
          </cell>
          <cell r="L3050">
            <v>44734</v>
          </cell>
          <cell r="M3050">
            <v>44735</v>
          </cell>
          <cell r="N3050">
            <v>44749</v>
          </cell>
          <cell r="O3050">
            <v>44735</v>
          </cell>
          <cell r="P3050">
            <v>44749</v>
          </cell>
          <cell r="Q3050" t="str">
            <v>2022-07-05 → 7/6</v>
          </cell>
          <cell r="R3050" t="str">
            <v>2022-07-05 → 7/6</v>
          </cell>
          <cell r="S3050"/>
          <cell r="T3050">
            <v>44754</v>
          </cell>
          <cell r="U3050">
            <v>44755</v>
          </cell>
          <cell r="V3050">
            <v>44755</v>
          </cell>
          <cell r="W3050">
            <v>44756</v>
          </cell>
          <cell r="X3050">
            <v>41100320</v>
          </cell>
        </row>
        <row r="3051">
          <cell r="K3051" t="str">
            <v>WS-0058</v>
          </cell>
          <cell r="L3051">
            <v>44796</v>
          </cell>
          <cell r="M3051">
            <v>44797</v>
          </cell>
          <cell r="N3051">
            <v>44806</v>
          </cell>
          <cell r="O3051">
            <v>44797</v>
          </cell>
          <cell r="P3051">
            <v>44805</v>
          </cell>
          <cell r="Q3051">
            <v>44806</v>
          </cell>
          <cell r="R3051">
            <v>44806</v>
          </cell>
          <cell r="S3051"/>
          <cell r="T3051">
            <v>44810</v>
          </cell>
          <cell r="U3051">
            <v>44812</v>
          </cell>
          <cell r="V3051">
            <v>44817</v>
          </cell>
          <cell r="W3051">
            <v>44817</v>
          </cell>
          <cell r="X3051">
            <v>41100435</v>
          </cell>
        </row>
        <row r="3052">
          <cell r="K3052" t="str">
            <v>WS-0059</v>
          </cell>
          <cell r="L3052">
            <v>44796</v>
          </cell>
          <cell r="M3052">
            <v>44797</v>
          </cell>
          <cell r="N3052">
            <v>44806</v>
          </cell>
          <cell r="O3052">
            <v>44797</v>
          </cell>
          <cell r="P3052">
            <v>44805</v>
          </cell>
          <cell r="Q3052">
            <v>44806</v>
          </cell>
          <cell r="R3052">
            <v>44806</v>
          </cell>
          <cell r="S3052"/>
          <cell r="T3052">
            <v>44810</v>
          </cell>
          <cell r="U3052">
            <v>44812</v>
          </cell>
          <cell r="V3052">
            <v>44817</v>
          </cell>
          <cell r="W3052">
            <v>44817</v>
          </cell>
          <cell r="X3052">
            <v>41100435</v>
          </cell>
        </row>
        <row r="3053">
          <cell r="K3053" t="str">
            <v>WS-0060</v>
          </cell>
          <cell r="L3053">
            <v>44796</v>
          </cell>
          <cell r="M3053">
            <v>44797</v>
          </cell>
          <cell r="N3053">
            <v>44806</v>
          </cell>
          <cell r="O3053">
            <v>44797</v>
          </cell>
          <cell r="P3053">
            <v>44805</v>
          </cell>
          <cell r="Q3053">
            <v>44806</v>
          </cell>
          <cell r="R3053">
            <v>44806</v>
          </cell>
          <cell r="S3053"/>
          <cell r="T3053">
            <v>44810</v>
          </cell>
          <cell r="U3053">
            <v>44811</v>
          </cell>
          <cell r="V3053">
            <v>44812</v>
          </cell>
          <cell r="W3053">
            <v>44812</v>
          </cell>
          <cell r="X3053">
            <v>41100435</v>
          </cell>
        </row>
        <row r="3054">
          <cell r="K3054" t="str">
            <v>WS-0061</v>
          </cell>
          <cell r="L3054">
            <v>44796</v>
          </cell>
          <cell r="M3054">
            <v>44797</v>
          </cell>
          <cell r="N3054">
            <v>44806</v>
          </cell>
          <cell r="O3054">
            <v>44797</v>
          </cell>
          <cell r="P3054">
            <v>44805</v>
          </cell>
          <cell r="Q3054">
            <v>44806</v>
          </cell>
          <cell r="R3054">
            <v>44806</v>
          </cell>
          <cell r="S3054"/>
          <cell r="T3054">
            <v>44809</v>
          </cell>
          <cell r="U3054">
            <v>44812</v>
          </cell>
          <cell r="V3054">
            <v>44817</v>
          </cell>
          <cell r="W3054">
            <v>44817</v>
          </cell>
          <cell r="X3054">
            <v>41100435</v>
          </cell>
        </row>
        <row r="3055">
          <cell r="K3055" t="str">
            <v>WS-0062</v>
          </cell>
          <cell r="L3055">
            <v>44796</v>
          </cell>
          <cell r="M3055">
            <v>44797</v>
          </cell>
          <cell r="N3055">
            <v>44806</v>
          </cell>
          <cell r="O3055">
            <v>44797</v>
          </cell>
          <cell r="P3055">
            <v>44805</v>
          </cell>
          <cell r="Q3055">
            <v>44806</v>
          </cell>
          <cell r="R3055">
            <v>44806</v>
          </cell>
          <cell r="S3055"/>
          <cell r="T3055">
            <v>44810</v>
          </cell>
          <cell r="U3055">
            <v>44812</v>
          </cell>
          <cell r="V3055">
            <v>44817</v>
          </cell>
          <cell r="W3055">
            <v>44817</v>
          </cell>
          <cell r="X3055">
            <v>41100435</v>
          </cell>
        </row>
        <row r="3056">
          <cell r="K3056" t="str">
            <v>WS-0063</v>
          </cell>
          <cell r="L3056">
            <v>44796</v>
          </cell>
          <cell r="M3056">
            <v>44797</v>
          </cell>
          <cell r="N3056">
            <v>44806</v>
          </cell>
          <cell r="O3056">
            <v>44797</v>
          </cell>
          <cell r="P3056">
            <v>44805</v>
          </cell>
          <cell r="Q3056">
            <v>44806</v>
          </cell>
          <cell r="R3056">
            <v>44806</v>
          </cell>
          <cell r="S3056"/>
          <cell r="T3056">
            <v>44809</v>
          </cell>
          <cell r="U3056">
            <v>44810</v>
          </cell>
          <cell r="V3056">
            <v>44811</v>
          </cell>
          <cell r="W3056">
            <v>44811</v>
          </cell>
          <cell r="X3056">
            <v>41100435</v>
          </cell>
        </row>
        <row r="3057">
          <cell r="K3057" t="str">
            <v>WS-0064</v>
          </cell>
          <cell r="L3057">
            <v>44796</v>
          </cell>
          <cell r="M3057">
            <v>44797</v>
          </cell>
          <cell r="N3057">
            <v>44806</v>
          </cell>
          <cell r="O3057">
            <v>44797</v>
          </cell>
          <cell r="P3057">
            <v>44805</v>
          </cell>
          <cell r="Q3057">
            <v>44806</v>
          </cell>
          <cell r="R3057">
            <v>44806</v>
          </cell>
          <cell r="S3057"/>
          <cell r="T3057">
            <v>44809</v>
          </cell>
          <cell r="U3057">
            <v>44812</v>
          </cell>
          <cell r="V3057">
            <v>44817</v>
          </cell>
          <cell r="W3057">
            <v>44817</v>
          </cell>
          <cell r="X3057">
            <v>41100435</v>
          </cell>
        </row>
        <row r="3058">
          <cell r="K3058" t="str">
            <v>DS-0396~0401</v>
          </cell>
          <cell r="L3058">
            <v>44811</v>
          </cell>
          <cell r="M3058">
            <v>44812</v>
          </cell>
          <cell r="N3058">
            <v>44812</v>
          </cell>
          <cell r="O3058">
            <v>44812</v>
          </cell>
          <cell r="P3058">
            <v>44812</v>
          </cell>
          <cell r="Q3058">
            <v>44812</v>
          </cell>
          <cell r="R3058">
            <v>44812</v>
          </cell>
          <cell r="S3058"/>
          <cell r="T3058">
            <v>44812</v>
          </cell>
          <cell r="U3058">
            <v>44812</v>
          </cell>
          <cell r="V3058">
            <v>44812</v>
          </cell>
          <cell r="W3058">
            <v>44812</v>
          </cell>
          <cell r="X3058">
            <v>31010314</v>
          </cell>
        </row>
        <row r="3059">
          <cell r="K3059" t="str">
            <v>SOS-0270</v>
          </cell>
          <cell r="L3059">
            <v>44771</v>
          </cell>
          <cell r="M3059">
            <v>44774</v>
          </cell>
          <cell r="N3059">
            <v>44776</v>
          </cell>
          <cell r="O3059">
            <v>44774</v>
          </cell>
          <cell r="P3059">
            <v>44776</v>
          </cell>
          <cell r="Q3059">
            <v>44776</v>
          </cell>
          <cell r="R3059">
            <v>44776</v>
          </cell>
          <cell r="S3059"/>
          <cell r="T3059">
            <v>44776</v>
          </cell>
          <cell r="U3059">
            <v>44777</v>
          </cell>
          <cell r="V3059">
            <v>44792</v>
          </cell>
          <cell r="W3059">
            <v>44792</v>
          </cell>
          <cell r="X3059">
            <v>41100182</v>
          </cell>
        </row>
        <row r="3060">
          <cell r="K3060" t="str">
            <v>-</v>
          </cell>
          <cell r="L3060">
            <v>44771</v>
          </cell>
          <cell r="M3060">
            <v>44774</v>
          </cell>
          <cell r="N3060">
            <v>44776</v>
          </cell>
          <cell r="O3060">
            <v>44774</v>
          </cell>
          <cell r="P3060">
            <v>44776</v>
          </cell>
          <cell r="Q3060">
            <v>44776</v>
          </cell>
          <cell r="R3060">
            <v>44776</v>
          </cell>
          <cell r="S3060"/>
          <cell r="T3060">
            <v>44776</v>
          </cell>
          <cell r="U3060">
            <v>44777</v>
          </cell>
          <cell r="V3060">
            <v>44792</v>
          </cell>
          <cell r="W3060">
            <v>44792</v>
          </cell>
          <cell r="X3060">
            <v>31010312</v>
          </cell>
        </row>
        <row r="3061">
          <cell r="K3061" t="str">
            <v>SOS-0271</v>
          </cell>
          <cell r="L3061">
            <v>44771</v>
          </cell>
          <cell r="M3061">
            <v>44774</v>
          </cell>
          <cell r="N3061">
            <v>44776</v>
          </cell>
          <cell r="O3061">
            <v>44774</v>
          </cell>
          <cell r="P3061">
            <v>44776</v>
          </cell>
          <cell r="Q3061">
            <v>44776</v>
          </cell>
          <cell r="R3061">
            <v>44776</v>
          </cell>
          <cell r="S3061"/>
          <cell r="T3061">
            <v>44776</v>
          </cell>
          <cell r="U3061">
            <v>44777</v>
          </cell>
          <cell r="V3061">
            <v>44792</v>
          </cell>
          <cell r="W3061">
            <v>44792</v>
          </cell>
          <cell r="X3061">
            <v>41100182</v>
          </cell>
        </row>
        <row r="3062">
          <cell r="K3062" t="str">
            <v>-</v>
          </cell>
          <cell r="L3062">
            <v>44771</v>
          </cell>
          <cell r="M3062">
            <v>44774</v>
          </cell>
          <cell r="N3062">
            <v>44776</v>
          </cell>
          <cell r="O3062">
            <v>44774</v>
          </cell>
          <cell r="P3062">
            <v>44776</v>
          </cell>
          <cell r="Q3062">
            <v>44776</v>
          </cell>
          <cell r="R3062">
            <v>44776</v>
          </cell>
          <cell r="S3062"/>
          <cell r="T3062">
            <v>44776</v>
          </cell>
          <cell r="U3062">
            <v>44777</v>
          </cell>
          <cell r="V3062">
            <v>44792</v>
          </cell>
          <cell r="W3062">
            <v>44792</v>
          </cell>
          <cell r="X3062">
            <v>31010312</v>
          </cell>
        </row>
        <row r="3063">
          <cell r="K3063" t="str">
            <v>SOS-0272</v>
          </cell>
          <cell r="L3063">
            <v>44771</v>
          </cell>
          <cell r="M3063">
            <v>44774</v>
          </cell>
          <cell r="N3063">
            <v>44776</v>
          </cell>
          <cell r="O3063">
            <v>44774</v>
          </cell>
          <cell r="P3063">
            <v>44776</v>
          </cell>
          <cell r="Q3063">
            <v>44776</v>
          </cell>
          <cell r="R3063">
            <v>44776</v>
          </cell>
          <cell r="S3063"/>
          <cell r="T3063">
            <v>44776</v>
          </cell>
          <cell r="U3063">
            <v>44777</v>
          </cell>
          <cell r="V3063">
            <v>44792</v>
          </cell>
          <cell r="W3063">
            <v>44792</v>
          </cell>
          <cell r="X3063">
            <v>41100182</v>
          </cell>
        </row>
        <row r="3064">
          <cell r="K3064" t="str">
            <v>-</v>
          </cell>
          <cell r="L3064">
            <v>44771</v>
          </cell>
          <cell r="M3064">
            <v>44774</v>
          </cell>
          <cell r="N3064">
            <v>44776</v>
          </cell>
          <cell r="O3064">
            <v>44774</v>
          </cell>
          <cell r="P3064">
            <v>44776</v>
          </cell>
          <cell r="Q3064">
            <v>44776</v>
          </cell>
          <cell r="R3064">
            <v>44776</v>
          </cell>
          <cell r="S3064"/>
          <cell r="T3064">
            <v>44776</v>
          </cell>
          <cell r="U3064">
            <v>44777</v>
          </cell>
          <cell r="V3064">
            <v>44792</v>
          </cell>
          <cell r="W3064">
            <v>44792</v>
          </cell>
          <cell r="X3064">
            <v>31010312</v>
          </cell>
        </row>
        <row r="3065">
          <cell r="K3065" t="str">
            <v>DS-0393~0395</v>
          </cell>
          <cell r="L3065">
            <v>44811</v>
          </cell>
          <cell r="M3065">
            <v>44812</v>
          </cell>
          <cell r="N3065">
            <v>44812</v>
          </cell>
          <cell r="O3065">
            <v>44812</v>
          </cell>
          <cell r="P3065">
            <v>44812</v>
          </cell>
          <cell r="Q3065">
            <v>44812</v>
          </cell>
          <cell r="R3065">
            <v>44812</v>
          </cell>
          <cell r="S3065"/>
          <cell r="T3065">
            <v>44812</v>
          </cell>
          <cell r="U3065">
            <v>44812</v>
          </cell>
          <cell r="V3065">
            <v>44812</v>
          </cell>
          <cell r="W3065">
            <v>44812</v>
          </cell>
          <cell r="X3065">
            <v>31010363</v>
          </cell>
        </row>
        <row r="3066">
          <cell r="K3066" t="str">
            <v>GBWS-2717</v>
          </cell>
          <cell r="L3066">
            <v>44781</v>
          </cell>
          <cell r="M3066">
            <v>44782</v>
          </cell>
          <cell r="N3066">
            <v>44795</v>
          </cell>
          <cell r="O3066">
            <v>44782</v>
          </cell>
          <cell r="P3066">
            <v>44803</v>
          </cell>
          <cell r="Q3066">
            <v>44795</v>
          </cell>
          <cell r="R3066">
            <v>44795</v>
          </cell>
          <cell r="S3066"/>
          <cell r="T3066">
            <v>44796</v>
          </cell>
          <cell r="U3066">
            <v>44799</v>
          </cell>
          <cell r="V3066">
            <v>44800</v>
          </cell>
          <cell r="W3066">
            <v>44800</v>
          </cell>
          <cell r="X3066">
            <v>41100350</v>
          </cell>
        </row>
        <row r="3067">
          <cell r="K3067" t="str">
            <v>GBWS-2737</v>
          </cell>
          <cell r="L3067">
            <v>44785</v>
          </cell>
          <cell r="M3067">
            <v>44789</v>
          </cell>
          <cell r="N3067">
            <v>44802</v>
          </cell>
          <cell r="O3067">
            <v>44789</v>
          </cell>
          <cell r="P3067">
            <v>44804</v>
          </cell>
          <cell r="Q3067">
            <v>44799</v>
          </cell>
          <cell r="R3067">
            <v>44799</v>
          </cell>
          <cell r="S3067"/>
          <cell r="T3067">
            <v>44804</v>
          </cell>
          <cell r="U3067">
            <v>44809</v>
          </cell>
          <cell r="V3067">
            <v>44810</v>
          </cell>
          <cell r="W3067">
            <v>44810</v>
          </cell>
          <cell r="X3067">
            <v>41100350</v>
          </cell>
        </row>
        <row r="3068">
          <cell r="K3068" t="str">
            <v>GBWS-2762</v>
          </cell>
          <cell r="L3068">
            <v>44791</v>
          </cell>
          <cell r="M3068">
            <v>44792</v>
          </cell>
          <cell r="N3068">
            <v>44804</v>
          </cell>
          <cell r="O3068">
            <v>44792</v>
          </cell>
          <cell r="P3068">
            <v>44804</v>
          </cell>
          <cell r="Q3068">
            <v>44804</v>
          </cell>
          <cell r="R3068">
            <v>44804</v>
          </cell>
          <cell r="S3068"/>
          <cell r="T3068">
            <v>44805</v>
          </cell>
          <cell r="U3068">
            <v>44810</v>
          </cell>
          <cell r="V3068">
            <v>44811</v>
          </cell>
          <cell r="W3068">
            <v>44811</v>
          </cell>
          <cell r="X3068">
            <v>41100295</v>
          </cell>
        </row>
        <row r="3069">
          <cell r="K3069" t="str">
            <v>IVAS-149</v>
          </cell>
          <cell r="L3069">
            <v>44790</v>
          </cell>
          <cell r="M3069">
            <v>44791</v>
          </cell>
          <cell r="N3069">
            <v>44804</v>
          </cell>
          <cell r="O3069">
            <v>44791</v>
          </cell>
          <cell r="P3069">
            <v>44803</v>
          </cell>
          <cell r="Q3069">
            <v>44804</v>
          </cell>
          <cell r="R3069">
            <v>44804</v>
          </cell>
          <cell r="S3069"/>
          <cell r="T3069">
            <v>44805</v>
          </cell>
          <cell r="U3069">
            <v>44818</v>
          </cell>
          <cell r="V3069">
            <v>44818</v>
          </cell>
          <cell r="W3069">
            <v>44818</v>
          </cell>
          <cell r="X3069">
            <v>41100528</v>
          </cell>
        </row>
        <row r="3070">
          <cell r="K3070" t="str">
            <v>GBWS-2767</v>
          </cell>
          <cell r="L3070">
            <v>44795</v>
          </cell>
          <cell r="M3070">
            <v>44796</v>
          </cell>
          <cell r="N3070">
            <v>44809</v>
          </cell>
          <cell r="O3070">
            <v>44796</v>
          </cell>
          <cell r="P3070">
            <v>44806</v>
          </cell>
          <cell r="Q3070">
            <v>44806</v>
          </cell>
          <cell r="R3070">
            <v>44806</v>
          </cell>
          <cell r="S3070"/>
          <cell r="T3070">
            <v>44809</v>
          </cell>
          <cell r="U3070">
            <v>44817</v>
          </cell>
          <cell r="V3070">
            <v>44818</v>
          </cell>
          <cell r="W3070">
            <v>44818</v>
          </cell>
          <cell r="X3070">
            <v>41100443</v>
          </cell>
        </row>
        <row r="3071">
          <cell r="K3071" t="str">
            <v>IVAS-150</v>
          </cell>
          <cell r="L3071">
            <v>44795</v>
          </cell>
          <cell r="M3071">
            <v>44796</v>
          </cell>
          <cell r="N3071">
            <v>44810</v>
          </cell>
          <cell r="O3071">
            <v>44796</v>
          </cell>
          <cell r="P3071">
            <v>44817</v>
          </cell>
          <cell r="Q3071">
            <v>44809</v>
          </cell>
          <cell r="R3071">
            <v>44809</v>
          </cell>
          <cell r="S3071"/>
          <cell r="T3071">
            <v>44810</v>
          </cell>
          <cell r="U3071">
            <v>44818</v>
          </cell>
          <cell r="V3071">
            <v>44818</v>
          </cell>
          <cell r="W3071">
            <v>44820</v>
          </cell>
          <cell r="X3071">
            <v>41100383</v>
          </cell>
        </row>
        <row r="3072">
          <cell r="K3072" t="str">
            <v>GBWS-2728</v>
          </cell>
          <cell r="L3072">
            <v>44783</v>
          </cell>
          <cell r="M3072">
            <v>44784</v>
          </cell>
          <cell r="N3072">
            <v>44797</v>
          </cell>
          <cell r="O3072">
            <v>44784</v>
          </cell>
          <cell r="P3072">
            <v>44796</v>
          </cell>
          <cell r="Q3072" t="str">
            <v>2022-08-23 → 8/24</v>
          </cell>
          <cell r="R3072" t="str">
            <v>2022-08-23 → 8/24</v>
          </cell>
          <cell r="S3072"/>
          <cell r="T3072">
            <v>44798</v>
          </cell>
          <cell r="U3072">
            <v>44799</v>
          </cell>
          <cell r="V3072">
            <v>44803</v>
          </cell>
          <cell r="W3072">
            <v>44803</v>
          </cell>
          <cell r="X3072">
            <v>41100509</v>
          </cell>
        </row>
        <row r="3073">
          <cell r="K3073" t="str">
            <v>GBWS-2729</v>
          </cell>
          <cell r="L3073">
            <v>44783</v>
          </cell>
          <cell r="M3073">
            <v>44784</v>
          </cell>
          <cell r="N3073">
            <v>44797</v>
          </cell>
          <cell r="O3073">
            <v>44784</v>
          </cell>
          <cell r="P3073">
            <v>44796</v>
          </cell>
          <cell r="Q3073" t="str">
            <v>2022-08-23 → 8/24</v>
          </cell>
          <cell r="R3073" t="str">
            <v>2022-08-23 → 8/24</v>
          </cell>
          <cell r="S3073"/>
          <cell r="T3073">
            <v>44798</v>
          </cell>
          <cell r="U3073">
            <v>44802</v>
          </cell>
          <cell r="V3073">
            <v>44803</v>
          </cell>
          <cell r="W3073">
            <v>44803</v>
          </cell>
          <cell r="X3073">
            <v>41100509</v>
          </cell>
        </row>
        <row r="3074">
          <cell r="K3074" t="str">
            <v>GBWS-2712</v>
          </cell>
          <cell r="L3074">
            <v>44776</v>
          </cell>
          <cell r="M3074">
            <v>44777</v>
          </cell>
          <cell r="N3074">
            <v>44790</v>
          </cell>
          <cell r="O3074">
            <v>44777</v>
          </cell>
          <cell r="P3074">
            <v>44790</v>
          </cell>
          <cell r="Q3074">
            <v>44790</v>
          </cell>
          <cell r="R3074">
            <v>44790</v>
          </cell>
          <cell r="S3074"/>
          <cell r="T3074">
            <v>44791</v>
          </cell>
          <cell r="U3074">
            <v>44798</v>
          </cell>
          <cell r="V3074">
            <v>44799</v>
          </cell>
          <cell r="W3074">
            <v>44799</v>
          </cell>
          <cell r="X3074">
            <v>41100463</v>
          </cell>
        </row>
        <row r="3075">
          <cell r="K3075" t="str">
            <v>GBWS-2745</v>
          </cell>
          <cell r="L3075">
            <v>44790</v>
          </cell>
          <cell r="M3075">
            <v>44791</v>
          </cell>
          <cell r="N3075">
            <v>44802</v>
          </cell>
          <cell r="O3075">
            <v>44791</v>
          </cell>
          <cell r="P3075">
            <v>44802</v>
          </cell>
          <cell r="Q3075">
            <v>44802</v>
          </cell>
          <cell r="R3075">
            <v>44802</v>
          </cell>
          <cell r="S3075"/>
          <cell r="T3075">
            <v>44802</v>
          </cell>
          <cell r="U3075">
            <v>44804</v>
          </cell>
          <cell r="V3075">
            <v>44805</v>
          </cell>
          <cell r="W3075">
            <v>44805</v>
          </cell>
          <cell r="X3075">
            <v>41100507</v>
          </cell>
        </row>
        <row r="3076">
          <cell r="K3076" t="str">
            <v>GBWS-2746</v>
          </cell>
          <cell r="L3076">
            <v>44790</v>
          </cell>
          <cell r="M3076">
            <v>44791</v>
          </cell>
          <cell r="N3076">
            <v>44802</v>
          </cell>
          <cell r="O3076">
            <v>44791</v>
          </cell>
          <cell r="P3076">
            <v>44802</v>
          </cell>
          <cell r="Q3076">
            <v>44802</v>
          </cell>
          <cell r="R3076">
            <v>44802</v>
          </cell>
          <cell r="S3076"/>
          <cell r="T3076">
            <v>44802</v>
          </cell>
          <cell r="U3076">
            <v>44804</v>
          </cell>
          <cell r="V3076">
            <v>44805</v>
          </cell>
          <cell r="W3076">
            <v>44805</v>
          </cell>
          <cell r="X3076">
            <v>41100507</v>
          </cell>
        </row>
        <row r="3077">
          <cell r="K3077" t="str">
            <v>GBWS-2770</v>
          </cell>
          <cell r="L3077">
            <v>44796</v>
          </cell>
          <cell r="M3077">
            <v>44797</v>
          </cell>
          <cell r="N3077">
            <v>44810</v>
          </cell>
          <cell r="O3077">
            <v>44797</v>
          </cell>
          <cell r="P3077">
            <v>44810</v>
          </cell>
          <cell r="Q3077" t="str">
            <v xml:space="preserve">2022-09-02 → 9/6 </v>
          </cell>
          <cell r="R3077" t="str">
            <v xml:space="preserve">2022-09-02 → 9/6 </v>
          </cell>
          <cell r="S3077"/>
          <cell r="T3077">
            <v>44810</v>
          </cell>
          <cell r="U3077">
            <v>44812</v>
          </cell>
          <cell r="V3077">
            <v>44817</v>
          </cell>
          <cell r="W3077">
            <v>44817</v>
          </cell>
          <cell r="X3077">
            <v>41100507</v>
          </cell>
        </row>
        <row r="3078">
          <cell r="K3078" t="str">
            <v>GBWS-2771</v>
          </cell>
          <cell r="L3078">
            <v>44796</v>
          </cell>
          <cell r="M3078">
            <v>44797</v>
          </cell>
          <cell r="N3078">
            <v>44810</v>
          </cell>
          <cell r="O3078">
            <v>44797</v>
          </cell>
          <cell r="P3078">
            <v>44810</v>
          </cell>
          <cell r="Q3078" t="str">
            <v xml:space="preserve">2022-09-02 → 9/6 </v>
          </cell>
          <cell r="R3078" t="str">
            <v xml:space="preserve">2022-09-02 → 9/6 </v>
          </cell>
          <cell r="S3078"/>
          <cell r="T3078">
            <v>44810</v>
          </cell>
          <cell r="U3078">
            <v>44812</v>
          </cell>
          <cell r="V3078">
            <v>44817</v>
          </cell>
          <cell r="W3078">
            <v>44817</v>
          </cell>
          <cell r="X3078">
            <v>41100507</v>
          </cell>
        </row>
        <row r="3079">
          <cell r="K3079" t="str">
            <v>GBWS-2772</v>
          </cell>
          <cell r="L3079">
            <v>44796</v>
          </cell>
          <cell r="M3079">
            <v>44797</v>
          </cell>
          <cell r="N3079">
            <v>44810</v>
          </cell>
          <cell r="O3079">
            <v>44797</v>
          </cell>
          <cell r="P3079">
            <v>44810</v>
          </cell>
          <cell r="Q3079" t="str">
            <v xml:space="preserve">2022-09-02 → 9/6 </v>
          </cell>
          <cell r="R3079" t="str">
            <v xml:space="preserve">2022-09-02 → 9/6 </v>
          </cell>
          <cell r="S3079"/>
          <cell r="T3079">
            <v>44810</v>
          </cell>
          <cell r="U3079">
            <v>44812</v>
          </cell>
          <cell r="V3079">
            <v>44817</v>
          </cell>
          <cell r="W3079">
            <v>44817</v>
          </cell>
          <cell r="X3079">
            <v>41100507</v>
          </cell>
        </row>
        <row r="3080">
          <cell r="K3080" t="str">
            <v>GBWS-2773</v>
          </cell>
          <cell r="L3080">
            <v>44796</v>
          </cell>
          <cell r="M3080">
            <v>44797</v>
          </cell>
          <cell r="N3080">
            <v>44810</v>
          </cell>
          <cell r="O3080">
            <v>44797</v>
          </cell>
          <cell r="P3080">
            <v>44810</v>
          </cell>
          <cell r="Q3080" t="str">
            <v xml:space="preserve">2022-09-02 → 9/6 </v>
          </cell>
          <cell r="R3080" t="str">
            <v xml:space="preserve">2022-09-02 → 9/6 </v>
          </cell>
          <cell r="S3080"/>
          <cell r="T3080">
            <v>44810</v>
          </cell>
          <cell r="U3080">
            <v>44812</v>
          </cell>
          <cell r="V3080">
            <v>44818</v>
          </cell>
          <cell r="W3080">
            <v>44818</v>
          </cell>
          <cell r="X3080">
            <v>41100507</v>
          </cell>
        </row>
        <row r="3081">
          <cell r="K3081" t="str">
            <v>GBWS-2782</v>
          </cell>
          <cell r="L3081">
            <v>44796</v>
          </cell>
          <cell r="M3081">
            <v>44797</v>
          </cell>
          <cell r="N3081">
            <v>44811</v>
          </cell>
          <cell r="O3081">
            <v>44797</v>
          </cell>
          <cell r="P3081">
            <v>44811</v>
          </cell>
          <cell r="Q3081" t="str">
            <v xml:space="preserve">2022-09-02 → 9/8 </v>
          </cell>
          <cell r="R3081" t="str">
            <v xml:space="preserve">2022-09-02 → 9/8 </v>
          </cell>
          <cell r="S3081"/>
          <cell r="T3081">
            <v>44812</v>
          </cell>
          <cell r="U3081">
            <v>44818</v>
          </cell>
          <cell r="V3081">
            <v>44819</v>
          </cell>
          <cell r="W3081">
            <v>44819</v>
          </cell>
          <cell r="X3081">
            <v>41100461</v>
          </cell>
        </row>
        <row r="3082">
          <cell r="K3082" t="str">
            <v>GBWS-2567</v>
          </cell>
          <cell r="L3082">
            <v>44746</v>
          </cell>
          <cell r="M3082">
            <v>44747</v>
          </cell>
          <cell r="N3082">
            <v>44761</v>
          </cell>
          <cell r="O3082">
            <v>44747</v>
          </cell>
          <cell r="P3082">
            <v>44760</v>
          </cell>
          <cell r="Q3082" t="str">
            <v>2022-07-15 → 7/18</v>
          </cell>
          <cell r="R3082" t="str">
            <v>2022-07-15 → 7/18</v>
          </cell>
          <cell r="S3082"/>
          <cell r="T3082">
            <v>44761</v>
          </cell>
          <cell r="U3082">
            <v>44764</v>
          </cell>
          <cell r="V3082">
            <v>44763</v>
          </cell>
          <cell r="W3082">
            <v>44763</v>
          </cell>
          <cell r="X3082">
            <v>41100334</v>
          </cell>
        </row>
        <row r="3083">
          <cell r="K3083" t="str">
            <v>DBW-2686</v>
          </cell>
          <cell r="L3083">
            <v>44762</v>
          </cell>
          <cell r="M3083">
            <v>44761</v>
          </cell>
          <cell r="N3083">
            <v>44781</v>
          </cell>
          <cell r="O3083">
            <v>44761</v>
          </cell>
          <cell r="P3083">
            <v>44774</v>
          </cell>
          <cell r="Q3083">
            <v>44771</v>
          </cell>
          <cell r="R3083">
            <v>44771</v>
          </cell>
          <cell r="S3083"/>
          <cell r="T3083">
            <v>44775</v>
          </cell>
          <cell r="U3083">
            <v>44784</v>
          </cell>
          <cell r="V3083">
            <v>44791</v>
          </cell>
          <cell r="W3083">
            <v>44791</v>
          </cell>
          <cell r="X3083">
            <v>41100480</v>
          </cell>
        </row>
        <row r="3084">
          <cell r="K3084" t="str">
            <v>DBW-2687</v>
          </cell>
          <cell r="L3084">
            <v>44762</v>
          </cell>
          <cell r="M3084">
            <v>44761</v>
          </cell>
          <cell r="N3084">
            <v>44781</v>
          </cell>
          <cell r="O3084">
            <v>44761</v>
          </cell>
          <cell r="P3084">
            <v>44774</v>
          </cell>
          <cell r="Q3084">
            <v>44771</v>
          </cell>
          <cell r="R3084">
            <v>44771</v>
          </cell>
          <cell r="S3084"/>
          <cell r="T3084">
            <v>44775</v>
          </cell>
          <cell r="U3084">
            <v>44784</v>
          </cell>
          <cell r="V3084">
            <v>44791</v>
          </cell>
          <cell r="W3084">
            <v>44791</v>
          </cell>
          <cell r="X3084">
            <v>41100480</v>
          </cell>
        </row>
        <row r="3085">
          <cell r="K3085" t="str">
            <v>GBWS-2765</v>
          </cell>
          <cell r="L3085">
            <v>44792</v>
          </cell>
          <cell r="M3085">
            <v>44795</v>
          </cell>
          <cell r="N3085">
            <v>44804</v>
          </cell>
          <cell r="O3085">
            <v>44795</v>
          </cell>
          <cell r="P3085">
            <v>44805</v>
          </cell>
          <cell r="Q3085">
            <v>44805</v>
          </cell>
          <cell r="R3085">
            <v>44805</v>
          </cell>
          <cell r="S3085"/>
          <cell r="T3085">
            <v>44806</v>
          </cell>
          <cell r="U3085">
            <v>44810</v>
          </cell>
          <cell r="V3085">
            <v>44819</v>
          </cell>
          <cell r="W3085">
            <v>44819</v>
          </cell>
          <cell r="X3085">
            <v>41100334</v>
          </cell>
        </row>
        <row r="3086">
          <cell r="K3086" t="str">
            <v>GBWS-2790</v>
          </cell>
          <cell r="L3086">
            <v>44797</v>
          </cell>
          <cell r="M3086">
            <v>44798</v>
          </cell>
          <cell r="N3086">
            <v>44810</v>
          </cell>
          <cell r="O3086">
            <v>44798</v>
          </cell>
          <cell r="P3086">
            <v>44817</v>
          </cell>
          <cell r="Q3086">
            <v>44810</v>
          </cell>
          <cell r="R3086">
            <v>44810</v>
          </cell>
          <cell r="S3086"/>
          <cell r="T3086">
            <v>44811</v>
          </cell>
          <cell r="U3086">
            <v>44818</v>
          </cell>
          <cell r="V3086">
            <v>44819</v>
          </cell>
          <cell r="W3086">
            <v>44819</v>
          </cell>
          <cell r="X3086">
            <v>41100254</v>
          </cell>
        </row>
        <row r="3087">
          <cell r="K3087" t="str">
            <v>GBWS-2791</v>
          </cell>
          <cell r="L3087">
            <v>44797</v>
          </cell>
          <cell r="M3087">
            <v>44798</v>
          </cell>
          <cell r="N3087">
            <v>44810</v>
          </cell>
          <cell r="O3087">
            <v>44798</v>
          </cell>
          <cell r="P3087">
            <v>44817</v>
          </cell>
          <cell r="Q3087">
            <v>44810</v>
          </cell>
          <cell r="R3087">
            <v>44810</v>
          </cell>
          <cell r="S3087"/>
          <cell r="T3087">
            <v>44811</v>
          </cell>
          <cell r="U3087">
            <v>44818</v>
          </cell>
          <cell r="V3087">
            <v>44819</v>
          </cell>
          <cell r="W3087">
            <v>44819</v>
          </cell>
          <cell r="X3087">
            <v>41100254</v>
          </cell>
        </row>
        <row r="3088">
          <cell r="K3088" t="str">
            <v>GBWS-2794</v>
          </cell>
          <cell r="L3088">
            <v>44799</v>
          </cell>
          <cell r="M3088">
            <v>44802</v>
          </cell>
          <cell r="N3088">
            <v>44811</v>
          </cell>
          <cell r="O3088">
            <v>44802</v>
          </cell>
          <cell r="P3088">
            <v>44817</v>
          </cell>
          <cell r="Q3088">
            <v>44810</v>
          </cell>
          <cell r="R3088">
            <v>44810</v>
          </cell>
          <cell r="S3088"/>
          <cell r="T3088">
            <v>44817</v>
          </cell>
          <cell r="U3088">
            <v>44818</v>
          </cell>
          <cell r="V3088">
            <v>44819</v>
          </cell>
          <cell r="W3088">
            <v>44819</v>
          </cell>
          <cell r="X3088">
            <v>41100333</v>
          </cell>
        </row>
        <row r="3089">
          <cell r="K3089" t="str">
            <v>GBWS-2789</v>
          </cell>
          <cell r="L3089">
            <v>44797</v>
          </cell>
          <cell r="M3089">
            <v>44798</v>
          </cell>
          <cell r="N3089">
            <v>44810</v>
          </cell>
          <cell r="O3089">
            <v>44798</v>
          </cell>
          <cell r="P3089">
            <v>44810</v>
          </cell>
          <cell r="Q3089">
            <v>44810</v>
          </cell>
          <cell r="R3089">
            <v>44810</v>
          </cell>
          <cell r="S3089"/>
          <cell r="T3089">
            <v>44811</v>
          </cell>
          <cell r="U3089">
            <v>44818</v>
          </cell>
          <cell r="V3089">
            <v>44819</v>
          </cell>
          <cell r="W3089">
            <v>44819</v>
          </cell>
          <cell r="X3089">
            <v>41100320</v>
          </cell>
        </row>
        <row r="3090">
          <cell r="K3090" t="str">
            <v>GBWS-2749</v>
          </cell>
          <cell r="L3090">
            <v>44790</v>
          </cell>
          <cell r="M3090">
            <v>44791</v>
          </cell>
          <cell r="N3090">
            <v>44804</v>
          </cell>
          <cell r="O3090">
            <v>44791</v>
          </cell>
          <cell r="P3090">
            <v>44803</v>
          </cell>
          <cell r="Q3090" t="str">
            <v>2022-08-29 → 8/30</v>
          </cell>
          <cell r="R3090" t="str">
            <v>2022-08-29 → 8/30</v>
          </cell>
          <cell r="S3090"/>
          <cell r="T3090">
            <v>44805</v>
          </cell>
          <cell r="U3090">
            <v>44809</v>
          </cell>
          <cell r="V3090">
            <v>44811</v>
          </cell>
          <cell r="W3090">
            <v>44811</v>
          </cell>
          <cell r="X3090">
            <v>41100460</v>
          </cell>
        </row>
        <row r="3091">
          <cell r="K3091" t="str">
            <v>GBWS-2751</v>
          </cell>
          <cell r="L3091">
            <v>44790</v>
          </cell>
          <cell r="M3091">
            <v>44791</v>
          </cell>
          <cell r="N3091">
            <v>44804</v>
          </cell>
          <cell r="O3091">
            <v>44791</v>
          </cell>
          <cell r="P3091">
            <v>44803</v>
          </cell>
          <cell r="Q3091" t="str">
            <v>2022-08-29 → 8/30</v>
          </cell>
          <cell r="R3091" t="str">
            <v>2022-08-29 → 8/30</v>
          </cell>
          <cell r="S3091"/>
          <cell r="T3091">
            <v>44804</v>
          </cell>
          <cell r="U3091">
            <v>44806</v>
          </cell>
          <cell r="V3091">
            <v>44809</v>
          </cell>
          <cell r="W3091">
            <v>44809</v>
          </cell>
          <cell r="X3091">
            <v>41100460</v>
          </cell>
        </row>
        <row r="3092">
          <cell r="K3092" t="str">
            <v>GBWS-2752</v>
          </cell>
          <cell r="L3092">
            <v>44790</v>
          </cell>
          <cell r="M3092">
            <v>44791</v>
          </cell>
          <cell r="N3092">
            <v>44804</v>
          </cell>
          <cell r="O3092">
            <v>44791</v>
          </cell>
          <cell r="P3092">
            <v>44803</v>
          </cell>
          <cell r="Q3092" t="str">
            <v>2022-08-29 → 8/30</v>
          </cell>
          <cell r="R3092" t="str">
            <v>2022-08-29 → 8/30</v>
          </cell>
          <cell r="S3092"/>
          <cell r="T3092">
            <v>44804</v>
          </cell>
          <cell r="U3092">
            <v>44806</v>
          </cell>
          <cell r="V3092">
            <v>44809</v>
          </cell>
          <cell r="W3092">
            <v>44809</v>
          </cell>
          <cell r="X3092">
            <v>41100460</v>
          </cell>
        </row>
        <row r="3093">
          <cell r="K3093" t="str">
            <v>GBWS-2753</v>
          </cell>
          <cell r="L3093">
            <v>44790</v>
          </cell>
          <cell r="M3093">
            <v>44791</v>
          </cell>
          <cell r="N3093">
            <v>44804</v>
          </cell>
          <cell r="O3093">
            <v>44791</v>
          </cell>
          <cell r="P3093">
            <v>44803</v>
          </cell>
          <cell r="Q3093" t="str">
            <v>2022-08-29 → 8/30</v>
          </cell>
          <cell r="R3093" t="str">
            <v>2022-08-29 → 8/30</v>
          </cell>
          <cell r="S3093"/>
          <cell r="T3093">
            <v>44804</v>
          </cell>
          <cell r="U3093">
            <v>44809</v>
          </cell>
          <cell r="V3093">
            <v>44810</v>
          </cell>
          <cell r="W3093">
            <v>44810</v>
          </cell>
          <cell r="X3093">
            <v>41100460</v>
          </cell>
        </row>
        <row r="3094">
          <cell r="K3094" t="str">
            <v>GBWS-2754</v>
          </cell>
          <cell r="L3094">
            <v>44790</v>
          </cell>
          <cell r="M3094">
            <v>44791</v>
          </cell>
          <cell r="N3094">
            <v>44804</v>
          </cell>
          <cell r="O3094">
            <v>44791</v>
          </cell>
          <cell r="P3094">
            <v>44803</v>
          </cell>
          <cell r="Q3094" t="str">
            <v>2022-08-29 → 8/30</v>
          </cell>
          <cell r="R3094" t="str">
            <v>2022-08-29 → 8/30</v>
          </cell>
          <cell r="S3094"/>
          <cell r="T3094">
            <v>44805</v>
          </cell>
          <cell r="U3094">
            <v>44809</v>
          </cell>
          <cell r="V3094">
            <v>44810</v>
          </cell>
          <cell r="W3094">
            <v>44810</v>
          </cell>
          <cell r="X3094">
            <v>41100460</v>
          </cell>
        </row>
        <row r="3095">
          <cell r="K3095" t="str">
            <v>GBWS-2755</v>
          </cell>
          <cell r="L3095">
            <v>44790</v>
          </cell>
          <cell r="M3095">
            <v>44791</v>
          </cell>
          <cell r="N3095">
            <v>44804</v>
          </cell>
          <cell r="O3095">
            <v>44791</v>
          </cell>
          <cell r="P3095">
            <v>44803</v>
          </cell>
          <cell r="Q3095" t="str">
            <v>2022-08-29 → 8/30</v>
          </cell>
          <cell r="R3095" t="str">
            <v>2022-08-29 → 8/30</v>
          </cell>
          <cell r="S3095"/>
          <cell r="T3095">
            <v>44804</v>
          </cell>
          <cell r="U3095">
            <v>44809</v>
          </cell>
          <cell r="V3095">
            <v>44810</v>
          </cell>
          <cell r="W3095">
            <v>44810</v>
          </cell>
          <cell r="X3095">
            <v>41100460</v>
          </cell>
        </row>
        <row r="3096">
          <cell r="K3096" t="str">
            <v>GBWS-2756</v>
          </cell>
          <cell r="L3096">
            <v>44790</v>
          </cell>
          <cell r="M3096">
            <v>44791</v>
          </cell>
          <cell r="N3096">
            <v>44804</v>
          </cell>
          <cell r="O3096">
            <v>44791</v>
          </cell>
          <cell r="P3096">
            <v>44803</v>
          </cell>
          <cell r="Q3096" t="str">
            <v>2022-08-29 → 8/30</v>
          </cell>
          <cell r="R3096" t="str">
            <v>2022-08-29 → 8/30</v>
          </cell>
          <cell r="S3096"/>
          <cell r="T3096">
            <v>44804</v>
          </cell>
          <cell r="U3096">
            <v>44806</v>
          </cell>
          <cell r="V3096">
            <v>44809</v>
          </cell>
          <cell r="W3096">
            <v>44809</v>
          </cell>
          <cell r="X3096">
            <v>41100460</v>
          </cell>
        </row>
        <row r="3097">
          <cell r="K3097" t="str">
            <v>GBWS-2757</v>
          </cell>
          <cell r="L3097">
            <v>44790</v>
          </cell>
          <cell r="M3097">
            <v>44791</v>
          </cell>
          <cell r="N3097">
            <v>44804</v>
          </cell>
          <cell r="O3097">
            <v>44791</v>
          </cell>
          <cell r="P3097">
            <v>44803</v>
          </cell>
          <cell r="Q3097" t="str">
            <v>2022-08-29 → 8/30</v>
          </cell>
          <cell r="R3097" t="str">
            <v>2022-08-29 → 8/30</v>
          </cell>
          <cell r="S3097"/>
          <cell r="T3097">
            <v>44805</v>
          </cell>
          <cell r="U3097">
            <v>44809</v>
          </cell>
          <cell r="V3097">
            <v>44811</v>
          </cell>
          <cell r="W3097">
            <v>44811</v>
          </cell>
          <cell r="X3097">
            <v>41100460</v>
          </cell>
        </row>
        <row r="3098">
          <cell r="K3098" t="str">
            <v>GBWS-2758</v>
          </cell>
          <cell r="L3098">
            <v>44790</v>
          </cell>
          <cell r="M3098">
            <v>44791</v>
          </cell>
          <cell r="N3098">
            <v>44804</v>
          </cell>
          <cell r="O3098">
            <v>44791</v>
          </cell>
          <cell r="P3098">
            <v>44803</v>
          </cell>
          <cell r="Q3098" t="str">
            <v>2022-08-29 → 8/30</v>
          </cell>
          <cell r="R3098" t="str">
            <v>2022-08-29 → 8/30</v>
          </cell>
          <cell r="S3098"/>
          <cell r="T3098">
            <v>44806</v>
          </cell>
          <cell r="U3098">
            <v>44810</v>
          </cell>
          <cell r="V3098">
            <v>44811</v>
          </cell>
          <cell r="W3098">
            <v>44811</v>
          </cell>
          <cell r="X3098">
            <v>41100460</v>
          </cell>
        </row>
        <row r="3099">
          <cell r="K3099" t="str">
            <v>GBWS-2759</v>
          </cell>
          <cell r="L3099">
            <v>44790</v>
          </cell>
          <cell r="M3099">
            <v>44791</v>
          </cell>
          <cell r="N3099">
            <v>44804</v>
          </cell>
          <cell r="O3099">
            <v>44791</v>
          </cell>
          <cell r="P3099">
            <v>44803</v>
          </cell>
          <cell r="Q3099" t="str">
            <v>2022-08-29 → 8/30</v>
          </cell>
          <cell r="R3099" t="str">
            <v>2022-08-29 → 8/30</v>
          </cell>
          <cell r="S3099"/>
          <cell r="T3099">
            <v>44804</v>
          </cell>
          <cell r="U3099">
            <v>44806</v>
          </cell>
          <cell r="V3099">
            <v>44809</v>
          </cell>
          <cell r="W3099">
            <v>44809</v>
          </cell>
          <cell r="X3099">
            <v>41100460</v>
          </cell>
        </row>
        <row r="3100">
          <cell r="K3100" t="str">
            <v>GBWS-2792</v>
          </cell>
          <cell r="L3100">
            <v>44797</v>
          </cell>
          <cell r="M3100">
            <v>44798</v>
          </cell>
          <cell r="N3100">
            <v>44809</v>
          </cell>
          <cell r="O3100">
            <v>44798</v>
          </cell>
          <cell r="P3100">
            <v>44806</v>
          </cell>
          <cell r="Q3100">
            <v>44806</v>
          </cell>
          <cell r="R3100">
            <v>44806</v>
          </cell>
          <cell r="S3100"/>
          <cell r="T3100">
            <v>44809</v>
          </cell>
          <cell r="U3100">
            <v>44810</v>
          </cell>
          <cell r="V3100">
            <v>44811</v>
          </cell>
          <cell r="W3100">
            <v>44811</v>
          </cell>
          <cell r="X3100">
            <v>41100085</v>
          </cell>
        </row>
        <row r="3101">
          <cell r="K3101" t="str">
            <v>GBWS-2532</v>
          </cell>
          <cell r="L3101">
            <v>44739</v>
          </cell>
          <cell r="M3101">
            <v>44740</v>
          </cell>
          <cell r="N3101">
            <v>44749</v>
          </cell>
          <cell r="O3101">
            <v>44740</v>
          </cell>
          <cell r="P3101">
            <v>44747</v>
          </cell>
          <cell r="Q3101">
            <v>44749</v>
          </cell>
          <cell r="R3101">
            <v>44749</v>
          </cell>
          <cell r="S3101"/>
          <cell r="T3101">
            <v>44750</v>
          </cell>
          <cell r="U3101">
            <v>44756</v>
          </cell>
          <cell r="V3101">
            <v>44760</v>
          </cell>
          <cell r="W3101">
            <v>44760</v>
          </cell>
          <cell r="X3101">
            <v>41100462</v>
          </cell>
        </row>
        <row r="3102">
          <cell r="K3102" t="str">
            <v>GBWS-2599</v>
          </cell>
          <cell r="L3102">
            <v>44754</v>
          </cell>
          <cell r="M3102">
            <v>44755</v>
          </cell>
          <cell r="N3102">
            <v>44767</v>
          </cell>
          <cell r="O3102">
            <v>44755</v>
          </cell>
          <cell r="P3102">
            <v>44767</v>
          </cell>
          <cell r="Q3102">
            <v>44767</v>
          </cell>
          <cell r="R3102">
            <v>44767</v>
          </cell>
          <cell r="S3102"/>
          <cell r="T3102">
            <v>44771</v>
          </cell>
          <cell r="U3102">
            <v>44774</v>
          </cell>
          <cell r="V3102">
            <v>44776</v>
          </cell>
          <cell r="W3102">
            <v>44776</v>
          </cell>
          <cell r="X3102">
            <v>41100462</v>
          </cell>
        </row>
        <row r="3103">
          <cell r="K3103" t="str">
            <v>GBWS-2631</v>
          </cell>
          <cell r="L3103">
            <v>44762</v>
          </cell>
          <cell r="M3103">
            <v>44762</v>
          </cell>
          <cell r="N3103">
            <v>44771</v>
          </cell>
          <cell r="O3103">
            <v>44762</v>
          </cell>
          <cell r="P3103">
            <v>44775</v>
          </cell>
          <cell r="Q3103">
            <v>44775</v>
          </cell>
          <cell r="R3103">
            <v>44775</v>
          </cell>
          <cell r="S3103"/>
          <cell r="T3103">
            <v>44776</v>
          </cell>
          <cell r="U3103">
            <v>44778</v>
          </cell>
          <cell r="V3103">
            <v>44781</v>
          </cell>
          <cell r="W3103">
            <v>44781</v>
          </cell>
          <cell r="X3103">
            <v>41100460</v>
          </cell>
        </row>
        <row r="3104">
          <cell r="K3104" t="str">
            <v>GBWS-2776</v>
          </cell>
          <cell r="L3104">
            <v>44796</v>
          </cell>
          <cell r="M3104">
            <v>44797</v>
          </cell>
          <cell r="N3104">
            <v>44806</v>
          </cell>
          <cell r="O3104">
            <v>44797</v>
          </cell>
          <cell r="P3104">
            <v>44806</v>
          </cell>
          <cell r="Q3104">
            <v>44806</v>
          </cell>
          <cell r="R3104">
            <v>44806</v>
          </cell>
          <cell r="S3104"/>
          <cell r="T3104">
            <v>44809</v>
          </cell>
          <cell r="U3104">
            <v>44812</v>
          </cell>
          <cell r="V3104">
            <v>44818</v>
          </cell>
          <cell r="W3104">
            <v>44818</v>
          </cell>
          <cell r="X3104">
            <v>41100463</v>
          </cell>
        </row>
        <row r="3105">
          <cell r="K3105" t="str">
            <v>GBWS-2777</v>
          </cell>
          <cell r="L3105">
            <v>44796</v>
          </cell>
          <cell r="M3105">
            <v>44797</v>
          </cell>
          <cell r="N3105">
            <v>44806</v>
          </cell>
          <cell r="O3105">
            <v>44797</v>
          </cell>
          <cell r="P3105">
            <v>44806</v>
          </cell>
          <cell r="Q3105">
            <v>44806</v>
          </cell>
          <cell r="R3105">
            <v>44806</v>
          </cell>
          <cell r="S3105"/>
          <cell r="T3105">
            <v>44809</v>
          </cell>
          <cell r="U3105">
            <v>44812</v>
          </cell>
          <cell r="V3105">
            <v>44818</v>
          </cell>
          <cell r="W3105">
            <v>44818</v>
          </cell>
          <cell r="X3105">
            <v>41100463</v>
          </cell>
        </row>
        <row r="3106">
          <cell r="K3106" t="str">
            <v>GBWS-2747</v>
          </cell>
          <cell r="L3106">
            <v>44790</v>
          </cell>
          <cell r="M3106">
            <v>44791</v>
          </cell>
          <cell r="N3106">
            <v>44803</v>
          </cell>
          <cell r="O3106">
            <v>44791</v>
          </cell>
          <cell r="P3106">
            <v>44802</v>
          </cell>
          <cell r="Q3106">
            <v>44802</v>
          </cell>
          <cell r="R3106">
            <v>44802</v>
          </cell>
          <cell r="S3106"/>
          <cell r="T3106">
            <v>44802</v>
          </cell>
          <cell r="U3106">
            <v>44804</v>
          </cell>
          <cell r="V3106">
            <v>44805</v>
          </cell>
          <cell r="W3106">
            <v>44805</v>
          </cell>
          <cell r="X3106">
            <v>41100507</v>
          </cell>
        </row>
        <row r="3107">
          <cell r="K3107" t="str">
            <v>GBWS-2748</v>
          </cell>
          <cell r="L3107">
            <v>44790</v>
          </cell>
          <cell r="M3107">
            <v>44791</v>
          </cell>
          <cell r="N3107">
            <v>44803</v>
          </cell>
          <cell r="O3107">
            <v>44791</v>
          </cell>
          <cell r="P3107">
            <v>44802</v>
          </cell>
          <cell r="Q3107">
            <v>44802</v>
          </cell>
          <cell r="R3107">
            <v>44802</v>
          </cell>
          <cell r="S3107"/>
          <cell r="T3107">
            <v>44802</v>
          </cell>
          <cell r="U3107">
            <v>44804</v>
          </cell>
          <cell r="V3107">
            <v>44805</v>
          </cell>
          <cell r="W3107">
            <v>44805</v>
          </cell>
          <cell r="X3107">
            <v>41100507</v>
          </cell>
        </row>
        <row r="3108">
          <cell r="K3108" t="str">
            <v>GBWS-2760</v>
          </cell>
          <cell r="L3108">
            <v>44790</v>
          </cell>
          <cell r="M3108">
            <v>44791</v>
          </cell>
          <cell r="N3108">
            <v>44803</v>
          </cell>
          <cell r="O3108">
            <v>44791</v>
          </cell>
          <cell r="P3108">
            <v>44802</v>
          </cell>
          <cell r="Q3108">
            <v>44802</v>
          </cell>
          <cell r="R3108">
            <v>44802</v>
          </cell>
          <cell r="S3108"/>
          <cell r="T3108">
            <v>44803</v>
          </cell>
          <cell r="U3108">
            <v>44804</v>
          </cell>
          <cell r="V3108">
            <v>44805</v>
          </cell>
          <cell r="W3108">
            <v>44805</v>
          </cell>
          <cell r="X3108">
            <v>41100507</v>
          </cell>
        </row>
        <row r="3109">
          <cell r="K3109" t="str">
            <v>GBWS-2761</v>
          </cell>
          <cell r="L3109">
            <v>44790</v>
          </cell>
          <cell r="M3109">
            <v>44791</v>
          </cell>
          <cell r="N3109">
            <v>44803</v>
          </cell>
          <cell r="O3109">
            <v>44791</v>
          </cell>
          <cell r="P3109">
            <v>44802</v>
          </cell>
          <cell r="Q3109">
            <v>44802</v>
          </cell>
          <cell r="R3109">
            <v>44802</v>
          </cell>
          <cell r="S3109"/>
          <cell r="T3109">
            <v>44803</v>
          </cell>
          <cell r="U3109">
            <v>44804</v>
          </cell>
          <cell r="V3109">
            <v>44805</v>
          </cell>
          <cell r="W3109">
            <v>44805</v>
          </cell>
          <cell r="X3109">
            <v>41100507</v>
          </cell>
        </row>
        <row r="3110">
          <cell r="K3110" t="str">
            <v>GBWS-2778</v>
          </cell>
          <cell r="L3110">
            <v>44796</v>
          </cell>
          <cell r="M3110">
            <v>44797</v>
          </cell>
          <cell r="N3110">
            <v>44811</v>
          </cell>
          <cell r="O3110">
            <v>44797</v>
          </cell>
          <cell r="P3110">
            <v>44811</v>
          </cell>
          <cell r="Q3110" t="str">
            <v xml:space="preserve">2022-09-02 → 9/8 </v>
          </cell>
          <cell r="R3110" t="str">
            <v xml:space="preserve">2022-09-02 → 9/8 </v>
          </cell>
          <cell r="S3110"/>
          <cell r="T3110">
            <v>44817</v>
          </cell>
          <cell r="U3110">
            <v>44819</v>
          </cell>
          <cell r="V3110">
            <v>44820</v>
          </cell>
          <cell r="W3110">
            <v>44820</v>
          </cell>
          <cell r="X3110">
            <v>41100460</v>
          </cell>
        </row>
        <row r="3111">
          <cell r="K3111" t="str">
            <v>GBWS-2779</v>
          </cell>
          <cell r="L3111">
            <v>44796</v>
          </cell>
          <cell r="M3111">
            <v>44797</v>
          </cell>
          <cell r="N3111">
            <v>44811</v>
          </cell>
          <cell r="O3111">
            <v>44797</v>
          </cell>
          <cell r="P3111">
            <v>44811</v>
          </cell>
          <cell r="Q3111" t="str">
            <v xml:space="preserve">2022-09-02 → 9/8 </v>
          </cell>
          <cell r="R3111" t="str">
            <v xml:space="preserve">2022-09-02 → 9/8 </v>
          </cell>
          <cell r="S3111"/>
          <cell r="T3111">
            <v>44817</v>
          </cell>
          <cell r="U3111">
            <v>44820</v>
          </cell>
          <cell r="V3111">
            <v>44823</v>
          </cell>
          <cell r="W3111">
            <v>44823</v>
          </cell>
          <cell r="X3111">
            <v>41100460</v>
          </cell>
        </row>
        <row r="3112">
          <cell r="K3112" t="str">
            <v>GBWS-2780</v>
          </cell>
          <cell r="L3112">
            <v>44796</v>
          </cell>
          <cell r="M3112">
            <v>44797</v>
          </cell>
          <cell r="N3112">
            <v>44811</v>
          </cell>
          <cell r="O3112">
            <v>44797</v>
          </cell>
          <cell r="P3112">
            <v>44811</v>
          </cell>
          <cell r="Q3112" t="str">
            <v xml:space="preserve">2022-09-02 → 9/8 </v>
          </cell>
          <cell r="R3112" t="str">
            <v xml:space="preserve">2022-09-02 → 9/8 </v>
          </cell>
          <cell r="S3112"/>
          <cell r="T3112">
            <v>44817</v>
          </cell>
          <cell r="U3112">
            <v>44819</v>
          </cell>
          <cell r="V3112">
            <v>44820</v>
          </cell>
          <cell r="W3112">
            <v>44820</v>
          </cell>
          <cell r="X3112">
            <v>41100460</v>
          </cell>
        </row>
        <row r="3113">
          <cell r="K3113" t="str">
            <v>GBWS-2781</v>
          </cell>
          <cell r="L3113">
            <v>44796</v>
          </cell>
          <cell r="M3113">
            <v>44797</v>
          </cell>
          <cell r="N3113">
            <v>44811</v>
          </cell>
          <cell r="O3113">
            <v>44797</v>
          </cell>
          <cell r="P3113">
            <v>44811</v>
          </cell>
          <cell r="Q3113" t="str">
            <v xml:space="preserve">2022-09-02 → 9/8 </v>
          </cell>
          <cell r="R3113" t="str">
            <v xml:space="preserve">2022-09-02 → 9/8 </v>
          </cell>
          <cell r="S3113"/>
          <cell r="T3113">
            <v>44818</v>
          </cell>
          <cell r="U3113">
            <v>44820</v>
          </cell>
          <cell r="V3113">
            <v>44823</v>
          </cell>
          <cell r="W3113">
            <v>44823</v>
          </cell>
          <cell r="X3113">
            <v>41100460</v>
          </cell>
        </row>
        <row r="3114">
          <cell r="K3114" t="str">
            <v>GBWS-2774</v>
          </cell>
          <cell r="L3114">
            <v>44796</v>
          </cell>
          <cell r="M3114">
            <v>44797</v>
          </cell>
          <cell r="N3114">
            <v>44809</v>
          </cell>
          <cell r="O3114">
            <v>44797</v>
          </cell>
          <cell r="P3114">
            <v>44809</v>
          </cell>
          <cell r="Q3114" t="str">
            <v xml:space="preserve">2022-09-02 → 9/6 </v>
          </cell>
          <cell r="R3114" t="str">
            <v xml:space="preserve">2022-09-02 → 9/6 </v>
          </cell>
          <cell r="S3114"/>
          <cell r="T3114">
            <v>44811</v>
          </cell>
          <cell r="U3114">
            <v>44819</v>
          </cell>
          <cell r="V3114">
            <v>44820</v>
          </cell>
          <cell r="W3114">
            <v>44820</v>
          </cell>
          <cell r="X3114">
            <v>41100462</v>
          </cell>
        </row>
        <row r="3115">
          <cell r="K3115" t="str">
            <v>GBWS-2775</v>
          </cell>
          <cell r="L3115">
            <v>44796</v>
          </cell>
          <cell r="M3115">
            <v>44797</v>
          </cell>
          <cell r="N3115">
            <v>44809</v>
          </cell>
          <cell r="O3115">
            <v>44797</v>
          </cell>
          <cell r="P3115">
            <v>44809</v>
          </cell>
          <cell r="Q3115" t="str">
            <v xml:space="preserve">2022-09-02 → 9/6 </v>
          </cell>
          <cell r="R3115" t="str">
            <v xml:space="preserve">2022-09-02 → 9/6 </v>
          </cell>
          <cell r="S3115"/>
          <cell r="T3115">
            <v>44811</v>
          </cell>
          <cell r="U3115">
            <v>44819</v>
          </cell>
          <cell r="V3115">
            <v>44820</v>
          </cell>
          <cell r="W3115">
            <v>44820</v>
          </cell>
          <cell r="X3115">
            <v>41100462</v>
          </cell>
        </row>
        <row r="3116">
          <cell r="K3116" t="str">
            <v>GBWS-2797</v>
          </cell>
          <cell r="L3116">
            <v>44803</v>
          </cell>
          <cell r="M3116">
            <v>44804</v>
          </cell>
          <cell r="N3116">
            <v>44812</v>
          </cell>
          <cell r="O3116">
            <v>44804</v>
          </cell>
          <cell r="P3116">
            <v>44817</v>
          </cell>
          <cell r="Q3116">
            <v>44812</v>
          </cell>
          <cell r="R3116">
            <v>44812</v>
          </cell>
          <cell r="S3116"/>
          <cell r="T3116">
            <v>44817</v>
          </cell>
          <cell r="U3116">
            <v>44823</v>
          </cell>
          <cell r="V3116">
            <v>44823</v>
          </cell>
          <cell r="W3116">
            <v>44823</v>
          </cell>
          <cell r="X3116">
            <v>41100311</v>
          </cell>
        </row>
        <row r="3117">
          <cell r="K3117" t="str">
            <v>GBWS-2783</v>
          </cell>
          <cell r="L3117">
            <v>44796</v>
          </cell>
          <cell r="M3117">
            <v>44797</v>
          </cell>
          <cell r="N3117">
            <v>44811</v>
          </cell>
          <cell r="O3117">
            <v>44797</v>
          </cell>
          <cell r="P3117">
            <v>44811</v>
          </cell>
          <cell r="Q3117" t="str">
            <v>2022-09-02 → 9/8</v>
          </cell>
          <cell r="R3117" t="str">
            <v>2022-09-02 → 9/8</v>
          </cell>
          <cell r="S3117"/>
          <cell r="T3117">
            <v>44812</v>
          </cell>
          <cell r="U3117">
            <v>44820</v>
          </cell>
          <cell r="V3117">
            <v>44823</v>
          </cell>
          <cell r="W3117">
            <v>44823</v>
          </cell>
          <cell r="X3117">
            <v>41100462</v>
          </cell>
        </row>
        <row r="3118">
          <cell r="K3118" t="str">
            <v>GBWS-2784</v>
          </cell>
          <cell r="L3118">
            <v>44796</v>
          </cell>
          <cell r="M3118">
            <v>44797</v>
          </cell>
          <cell r="N3118">
            <v>44811</v>
          </cell>
          <cell r="O3118">
            <v>44797</v>
          </cell>
          <cell r="P3118">
            <v>44811</v>
          </cell>
          <cell r="Q3118" t="str">
            <v>2022-09-02 → 9/8</v>
          </cell>
          <cell r="R3118" t="str">
            <v>2022-09-02 → 9/8</v>
          </cell>
          <cell r="S3118"/>
          <cell r="T3118">
            <v>44817</v>
          </cell>
          <cell r="U3118">
            <v>44819</v>
          </cell>
          <cell r="V3118">
            <v>44820</v>
          </cell>
          <cell r="W3118">
            <v>44820</v>
          </cell>
          <cell r="X3118">
            <v>41100462</v>
          </cell>
        </row>
        <row r="3119">
          <cell r="K3119" t="str">
            <v>GBWS-2785</v>
          </cell>
          <cell r="L3119">
            <v>44796</v>
          </cell>
          <cell r="M3119">
            <v>44797</v>
          </cell>
          <cell r="N3119">
            <v>44811</v>
          </cell>
          <cell r="O3119">
            <v>44797</v>
          </cell>
          <cell r="P3119">
            <v>44811</v>
          </cell>
          <cell r="Q3119" t="str">
            <v>2022-09-02 → 9/8</v>
          </cell>
          <cell r="R3119" t="str">
            <v>2022-09-02 → 9/8</v>
          </cell>
          <cell r="S3119"/>
          <cell r="T3119">
            <v>44818</v>
          </cell>
          <cell r="U3119">
            <v>44820</v>
          </cell>
          <cell r="V3119">
            <v>44823</v>
          </cell>
          <cell r="W3119">
            <v>44823</v>
          </cell>
          <cell r="X3119">
            <v>41100462</v>
          </cell>
        </row>
        <row r="3120">
          <cell r="K3120" t="str">
            <v>GBWS-2730</v>
          </cell>
          <cell r="L3120">
            <v>44783</v>
          </cell>
          <cell r="M3120">
            <v>44784</v>
          </cell>
          <cell r="N3120">
            <v>44797</v>
          </cell>
          <cell r="O3120">
            <v>44784</v>
          </cell>
          <cell r="P3120">
            <v>44796</v>
          </cell>
          <cell r="Q3120" t="str">
            <v>2022-08-23 → 8/24</v>
          </cell>
          <cell r="R3120" t="str">
            <v>2022-08-23 → 8/24</v>
          </cell>
          <cell r="S3120"/>
          <cell r="T3120">
            <v>44798</v>
          </cell>
          <cell r="U3120">
            <v>44799</v>
          </cell>
          <cell r="V3120">
            <v>44802</v>
          </cell>
          <cell r="W3120">
            <v>44802</v>
          </cell>
          <cell r="X3120">
            <v>41100509</v>
          </cell>
        </row>
        <row r="3121">
          <cell r="K3121" t="str">
            <v>GBWS-2731</v>
          </cell>
          <cell r="L3121">
            <v>44783</v>
          </cell>
          <cell r="M3121">
            <v>44784</v>
          </cell>
          <cell r="N3121">
            <v>44797</v>
          </cell>
          <cell r="O3121">
            <v>44784</v>
          </cell>
          <cell r="P3121">
            <v>44796</v>
          </cell>
          <cell r="Q3121" t="str">
            <v>2022-08-23 → 8/24</v>
          </cell>
          <cell r="R3121" t="str">
            <v>2022-08-23 → 8/24</v>
          </cell>
          <cell r="S3121"/>
          <cell r="T3121">
            <v>44798</v>
          </cell>
          <cell r="U3121">
            <v>44802</v>
          </cell>
          <cell r="V3121">
            <v>44803</v>
          </cell>
          <cell r="W3121">
            <v>44803</v>
          </cell>
          <cell r="X3121">
            <v>41100509</v>
          </cell>
        </row>
        <row r="3122">
          <cell r="K3122" t="str">
            <v>GBWS-2769</v>
          </cell>
          <cell r="L3122">
            <v>44796</v>
          </cell>
          <cell r="M3122">
            <v>44797</v>
          </cell>
          <cell r="N3122">
            <v>44810</v>
          </cell>
          <cell r="O3122">
            <v>44797</v>
          </cell>
          <cell r="P3122">
            <v>44809</v>
          </cell>
          <cell r="Q3122" t="str">
            <v xml:space="preserve">2022-09-02 → 9/6 </v>
          </cell>
          <cell r="R3122" t="str">
            <v xml:space="preserve">2022-09-02 → 9/6 </v>
          </cell>
          <cell r="S3122"/>
          <cell r="T3122">
            <v>44811</v>
          </cell>
          <cell r="U3122">
            <v>44820</v>
          </cell>
          <cell r="V3122">
            <v>44823</v>
          </cell>
          <cell r="W3122">
            <v>44823</v>
          </cell>
          <cell r="X3122">
            <v>41100494</v>
          </cell>
        </row>
        <row r="3123">
          <cell r="K3123" t="str">
            <v>GBWS-2795</v>
          </cell>
          <cell r="L3123">
            <v>44799</v>
          </cell>
          <cell r="M3123">
            <v>44802</v>
          </cell>
          <cell r="N3123">
            <v>44810</v>
          </cell>
          <cell r="O3123">
            <v>44802</v>
          </cell>
          <cell r="P3123">
            <v>44817</v>
          </cell>
          <cell r="Q3123">
            <v>44812</v>
          </cell>
          <cell r="R3123">
            <v>44812</v>
          </cell>
          <cell r="S3123"/>
          <cell r="T3123">
            <v>44817</v>
          </cell>
          <cell r="U3123">
            <v>44823</v>
          </cell>
          <cell r="V3123">
            <v>44824</v>
          </cell>
          <cell r="W3123">
            <v>44824</v>
          </cell>
          <cell r="X3123">
            <v>41100223</v>
          </cell>
        </row>
        <row r="3124">
          <cell r="K3124" t="str">
            <v>GBWS-2796</v>
          </cell>
          <cell r="L3124">
            <v>44799</v>
          </cell>
          <cell r="M3124">
            <v>44802</v>
          </cell>
          <cell r="N3124">
            <v>44810</v>
          </cell>
          <cell r="O3124">
            <v>44802</v>
          </cell>
          <cell r="P3124">
            <v>44817</v>
          </cell>
          <cell r="Q3124">
            <v>44812</v>
          </cell>
          <cell r="R3124">
            <v>44812</v>
          </cell>
          <cell r="S3124"/>
          <cell r="T3124">
            <v>44817</v>
          </cell>
          <cell r="U3124">
            <v>44823</v>
          </cell>
          <cell r="V3124">
            <v>44824</v>
          </cell>
          <cell r="W3124">
            <v>44824</v>
          </cell>
          <cell r="X3124">
            <v>41100223</v>
          </cell>
        </row>
        <row r="3125">
          <cell r="K3125"/>
          <cell r="L3125">
            <v>44823</v>
          </cell>
          <cell r="M3125">
            <v>44823</v>
          </cell>
          <cell r="N3125">
            <v>44823</v>
          </cell>
          <cell r="O3125">
            <v>44823</v>
          </cell>
          <cell r="P3125">
            <v>44823</v>
          </cell>
          <cell r="Q3125">
            <v>44823</v>
          </cell>
          <cell r="R3125">
            <v>44823</v>
          </cell>
          <cell r="S3125"/>
          <cell r="T3125">
            <v>44823</v>
          </cell>
          <cell r="U3125">
            <v>44823</v>
          </cell>
          <cell r="V3125">
            <v>44823</v>
          </cell>
          <cell r="W3125">
            <v>44823</v>
          </cell>
          <cell r="X3125">
            <v>31100938</v>
          </cell>
        </row>
        <row r="3126">
          <cell r="K3126" t="str">
            <v>IVAS-153</v>
          </cell>
          <cell r="L3126">
            <v>44805</v>
          </cell>
          <cell r="M3126">
            <v>44806</v>
          </cell>
          <cell r="N3126">
            <v>44820</v>
          </cell>
          <cell r="O3126">
            <v>44806</v>
          </cell>
          <cell r="P3126">
            <v>44820</v>
          </cell>
          <cell r="Q3126">
            <v>44820</v>
          </cell>
          <cell r="R3126">
            <v>44820</v>
          </cell>
          <cell r="S3126"/>
          <cell r="T3126">
            <v>44821</v>
          </cell>
          <cell r="U3126">
            <v>44825</v>
          </cell>
          <cell r="V3126">
            <v>44826</v>
          </cell>
          <cell r="W3126">
            <v>44826</v>
          </cell>
          <cell r="X3126">
            <v>41100540</v>
          </cell>
        </row>
        <row r="3127">
          <cell r="K3127" t="str">
            <v>GBWS-2738</v>
          </cell>
          <cell r="L3127">
            <v>44785</v>
          </cell>
          <cell r="M3127">
            <v>44789</v>
          </cell>
          <cell r="N3127">
            <v>44802</v>
          </cell>
          <cell r="O3127">
            <v>44789</v>
          </cell>
          <cell r="P3127">
            <v>44804</v>
          </cell>
          <cell r="Q3127">
            <v>44799</v>
          </cell>
          <cell r="R3127">
            <v>44799</v>
          </cell>
          <cell r="S3127"/>
          <cell r="T3127">
            <v>44804</v>
          </cell>
          <cell r="U3127">
            <v>44817</v>
          </cell>
          <cell r="V3127">
            <v>44820</v>
          </cell>
          <cell r="W3127">
            <v>44820</v>
          </cell>
          <cell r="X3127">
            <v>41100350</v>
          </cell>
        </row>
        <row r="3128">
          <cell r="K3128" t="str">
            <v>GBWS-2768</v>
          </cell>
          <cell r="L3128">
            <v>44796</v>
          </cell>
          <cell r="M3128">
            <v>44797</v>
          </cell>
          <cell r="N3128">
            <v>44809</v>
          </cell>
          <cell r="O3128">
            <v>44797</v>
          </cell>
          <cell r="P3128">
            <v>44809</v>
          </cell>
          <cell r="Q3128">
            <v>44809</v>
          </cell>
          <cell r="R3128">
            <v>44809</v>
          </cell>
          <cell r="S3128"/>
          <cell r="T3128">
            <v>44811</v>
          </cell>
          <cell r="U3128">
            <v>44817</v>
          </cell>
          <cell r="V3128">
            <v>44818</v>
          </cell>
          <cell r="W3128">
            <v>44818</v>
          </cell>
          <cell r="X3128">
            <v>41100552</v>
          </cell>
        </row>
        <row r="3129">
          <cell r="K3129" t="str">
            <v>GBWS-2798</v>
          </cell>
          <cell r="L3129">
            <v>44803</v>
          </cell>
          <cell r="M3129">
            <v>44804</v>
          </cell>
          <cell r="N3129">
            <v>44818</v>
          </cell>
          <cell r="O3129">
            <v>44804</v>
          </cell>
          <cell r="P3129">
            <v>44812</v>
          </cell>
          <cell r="Q3129">
            <v>44818</v>
          </cell>
          <cell r="R3129">
            <v>44818</v>
          </cell>
          <cell r="S3129"/>
          <cell r="T3129">
            <v>44820</v>
          </cell>
          <cell r="U3129">
            <v>44824</v>
          </cell>
          <cell r="V3129">
            <v>44825</v>
          </cell>
          <cell r="W3129">
            <v>44825</v>
          </cell>
          <cell r="X3129">
            <v>41100443</v>
          </cell>
        </row>
        <row r="3130">
          <cell r="K3130" t="str">
            <v>GBWS-2799</v>
          </cell>
          <cell r="L3130">
            <v>44803</v>
          </cell>
          <cell r="M3130">
            <v>44804</v>
          </cell>
          <cell r="N3130">
            <v>44818</v>
          </cell>
          <cell r="O3130">
            <v>44804</v>
          </cell>
          <cell r="P3130">
            <v>44812</v>
          </cell>
          <cell r="Q3130">
            <v>44818</v>
          </cell>
          <cell r="R3130">
            <v>44818</v>
          </cell>
          <cell r="S3130"/>
          <cell r="T3130">
            <v>44819</v>
          </cell>
          <cell r="U3130">
            <v>44824</v>
          </cell>
          <cell r="V3130">
            <v>44825</v>
          </cell>
          <cell r="W3130">
            <v>44825</v>
          </cell>
          <cell r="X3130">
            <v>41100443</v>
          </cell>
        </row>
        <row r="3131">
          <cell r="K3131" t="str">
            <v>GBWS-2800</v>
          </cell>
          <cell r="L3131">
            <v>44803</v>
          </cell>
          <cell r="M3131">
            <v>44804</v>
          </cell>
          <cell r="N3131">
            <v>44818</v>
          </cell>
          <cell r="O3131">
            <v>44804</v>
          </cell>
          <cell r="P3131">
            <v>44812</v>
          </cell>
          <cell r="Q3131">
            <v>44818</v>
          </cell>
          <cell r="R3131">
            <v>44818</v>
          </cell>
          <cell r="S3131"/>
          <cell r="T3131">
            <v>44819</v>
          </cell>
          <cell r="U3131">
            <v>44824</v>
          </cell>
          <cell r="V3131">
            <v>44825</v>
          </cell>
          <cell r="W3131">
            <v>44825</v>
          </cell>
          <cell r="X3131">
            <v>41100443</v>
          </cell>
        </row>
        <row r="3132">
          <cell r="K3132" t="str">
            <v>GBWS-2766</v>
          </cell>
          <cell r="L3132">
            <v>44792</v>
          </cell>
          <cell r="M3132">
            <v>44795</v>
          </cell>
          <cell r="N3132">
            <v>44804</v>
          </cell>
          <cell r="O3132">
            <v>44795</v>
          </cell>
          <cell r="P3132">
            <v>44805</v>
          </cell>
          <cell r="Q3132">
            <v>44805</v>
          </cell>
          <cell r="R3132">
            <v>44805</v>
          </cell>
          <cell r="S3132"/>
          <cell r="T3132">
            <v>44806</v>
          </cell>
          <cell r="U3132">
            <v>44810</v>
          </cell>
          <cell r="V3132">
            <v>44811</v>
          </cell>
          <cell r="W3132">
            <v>44811</v>
          </cell>
          <cell r="X3132">
            <v>41100334</v>
          </cell>
        </row>
        <row r="3133">
          <cell r="K3133" t="str">
            <v>DBW-2712</v>
          </cell>
          <cell r="L3133">
            <v>44806</v>
          </cell>
          <cell r="M3133">
            <v>44809</v>
          </cell>
          <cell r="N3133">
            <v>44823</v>
          </cell>
          <cell r="O3133">
            <v>44809</v>
          </cell>
          <cell r="P3133">
            <v>44823</v>
          </cell>
          <cell r="Q3133">
            <v>44820</v>
          </cell>
          <cell r="R3133">
            <v>44820</v>
          </cell>
          <cell r="S3133"/>
          <cell r="T3133">
            <v>44823</v>
          </cell>
          <cell r="U3133">
            <v>44825</v>
          </cell>
          <cell r="V3133">
            <v>44826</v>
          </cell>
          <cell r="W3133">
            <v>44826</v>
          </cell>
          <cell r="X3133">
            <v>41100496</v>
          </cell>
        </row>
        <row r="3134">
          <cell r="K3134" t="str">
            <v>DBW-2713</v>
          </cell>
          <cell r="L3134">
            <v>44806</v>
          </cell>
          <cell r="M3134">
            <v>44809</v>
          </cell>
          <cell r="N3134">
            <v>44823</v>
          </cell>
          <cell r="O3134">
            <v>44809</v>
          </cell>
          <cell r="P3134">
            <v>44823</v>
          </cell>
          <cell r="Q3134">
            <v>44820</v>
          </cell>
          <cell r="R3134">
            <v>44820</v>
          </cell>
          <cell r="S3134"/>
          <cell r="T3134">
            <v>44823</v>
          </cell>
          <cell r="U3134">
            <v>44825</v>
          </cell>
          <cell r="V3134">
            <v>44826</v>
          </cell>
          <cell r="W3134">
            <v>44826</v>
          </cell>
          <cell r="X3134">
            <v>41100496</v>
          </cell>
        </row>
        <row r="3135">
          <cell r="K3135" t="str">
            <v>GBWS-2803</v>
          </cell>
          <cell r="L3135">
            <v>44805</v>
          </cell>
          <cell r="M3135">
            <v>44806</v>
          </cell>
          <cell r="N3135">
            <v>44818</v>
          </cell>
          <cell r="O3135">
            <v>44806</v>
          </cell>
          <cell r="P3135">
            <v>44817</v>
          </cell>
          <cell r="Q3135">
            <v>44820</v>
          </cell>
          <cell r="R3135">
            <v>44820</v>
          </cell>
          <cell r="S3135"/>
          <cell r="T3135">
            <v>44820</v>
          </cell>
          <cell r="U3135">
            <v>44824</v>
          </cell>
          <cell r="V3135">
            <v>44825</v>
          </cell>
          <cell r="W3135">
            <v>44825</v>
          </cell>
          <cell r="X3135">
            <v>41100317</v>
          </cell>
        </row>
        <row r="3136">
          <cell r="K3136" t="str">
            <v>GBWS-2804</v>
          </cell>
          <cell r="L3136">
            <v>44805</v>
          </cell>
          <cell r="M3136">
            <v>44806</v>
          </cell>
          <cell r="N3136">
            <v>44818</v>
          </cell>
          <cell r="O3136">
            <v>44806</v>
          </cell>
          <cell r="P3136">
            <v>44817</v>
          </cell>
          <cell r="Q3136">
            <v>44820</v>
          </cell>
          <cell r="R3136">
            <v>44820</v>
          </cell>
          <cell r="S3136"/>
          <cell r="T3136">
            <v>44820</v>
          </cell>
          <cell r="U3136">
            <v>44824</v>
          </cell>
          <cell r="V3136">
            <v>44825</v>
          </cell>
          <cell r="W3136">
            <v>44825</v>
          </cell>
          <cell r="X3136">
            <v>41100363</v>
          </cell>
        </row>
        <row r="3137">
          <cell r="K3137" t="str">
            <v>GBWS-2786</v>
          </cell>
          <cell r="L3137">
            <v>44797</v>
          </cell>
          <cell r="M3137">
            <v>44798</v>
          </cell>
          <cell r="N3137">
            <v>44810</v>
          </cell>
          <cell r="O3137">
            <v>44798</v>
          </cell>
          <cell r="P3137">
            <v>44810</v>
          </cell>
          <cell r="Q3137">
            <v>44810</v>
          </cell>
          <cell r="R3137">
            <v>44810</v>
          </cell>
          <cell r="S3137"/>
          <cell r="T3137">
            <v>44818</v>
          </cell>
          <cell r="U3137">
            <v>44830</v>
          </cell>
          <cell r="V3137">
            <v>44830</v>
          </cell>
          <cell r="W3137">
            <v>44830</v>
          </cell>
          <cell r="X3137">
            <v>41100350</v>
          </cell>
        </row>
        <row r="3138">
          <cell r="K3138" t="str">
            <v>GBWS-2801</v>
          </cell>
          <cell r="L3138">
            <v>44804</v>
          </cell>
          <cell r="M3138">
            <v>44805</v>
          </cell>
          <cell r="N3138">
            <v>44819</v>
          </cell>
          <cell r="O3138">
            <v>44805</v>
          </cell>
          <cell r="P3138">
            <v>44818</v>
          </cell>
          <cell r="Q3138">
            <v>44818</v>
          </cell>
          <cell r="R3138">
            <v>44818</v>
          </cell>
          <cell r="S3138"/>
          <cell r="T3138">
            <v>44820</v>
          </cell>
          <cell r="U3138">
            <v>44830</v>
          </cell>
          <cell r="V3138">
            <v>44830</v>
          </cell>
          <cell r="W3138">
            <v>44830</v>
          </cell>
          <cell r="X3138">
            <v>41100358</v>
          </cell>
        </row>
        <row r="3139">
          <cell r="K3139" t="str">
            <v>GBWS-2787</v>
          </cell>
          <cell r="L3139">
            <v>44797</v>
          </cell>
          <cell r="M3139">
            <v>44798</v>
          </cell>
          <cell r="N3139">
            <v>44810</v>
          </cell>
          <cell r="O3139">
            <v>44798</v>
          </cell>
          <cell r="P3139">
            <v>44810</v>
          </cell>
          <cell r="Q3139">
            <v>44810</v>
          </cell>
          <cell r="R3139">
            <v>44810</v>
          </cell>
          <cell r="S3139"/>
          <cell r="T3139">
            <v>44812</v>
          </cell>
          <cell r="U3139">
            <v>44819</v>
          </cell>
          <cell r="V3139">
            <v>44820</v>
          </cell>
          <cell r="W3139">
            <v>44820</v>
          </cell>
          <cell r="X3139">
            <v>41100286</v>
          </cell>
        </row>
        <row r="3140">
          <cell r="K3140" t="str">
            <v>DBW-2710</v>
          </cell>
          <cell r="L3140">
            <v>44806</v>
          </cell>
          <cell r="M3140">
            <v>44809</v>
          </cell>
          <cell r="N3140">
            <v>44823</v>
          </cell>
          <cell r="O3140">
            <v>44809</v>
          </cell>
          <cell r="P3140">
            <v>44823</v>
          </cell>
          <cell r="Q3140">
            <v>44820</v>
          </cell>
          <cell r="R3140">
            <v>44820</v>
          </cell>
          <cell r="S3140"/>
          <cell r="T3140">
            <v>44823</v>
          </cell>
          <cell r="U3140">
            <v>44825</v>
          </cell>
          <cell r="V3140">
            <v>44826</v>
          </cell>
          <cell r="W3140">
            <v>44826</v>
          </cell>
          <cell r="X3140">
            <v>41100471</v>
          </cell>
        </row>
        <row r="3141">
          <cell r="K3141"/>
          <cell r="L3141" t="str">
            <v>-</v>
          </cell>
          <cell r="M3141">
            <v>44789</v>
          </cell>
          <cell r="N3141">
            <v>44811</v>
          </cell>
          <cell r="O3141">
            <v>44789</v>
          </cell>
          <cell r="P3141">
            <v>44811</v>
          </cell>
          <cell r="Q3141">
            <v>44791</v>
          </cell>
          <cell r="R3141">
            <v>44791</v>
          </cell>
          <cell r="S3141"/>
          <cell r="T3141">
            <v>44811</v>
          </cell>
          <cell r="U3141">
            <v>44811</v>
          </cell>
          <cell r="V3141">
            <v>44811</v>
          </cell>
          <cell r="W3141">
            <v>44811</v>
          </cell>
          <cell r="X3141">
            <v>31101724</v>
          </cell>
        </row>
        <row r="3142">
          <cell r="K3142"/>
          <cell r="L3142" t="str">
            <v>-</v>
          </cell>
          <cell r="M3142">
            <v>44802</v>
          </cell>
          <cell r="N3142">
            <v>44804</v>
          </cell>
          <cell r="O3142">
            <v>44802</v>
          </cell>
          <cell r="P3142">
            <v>44804</v>
          </cell>
          <cell r="Q3142">
            <v>44804</v>
          </cell>
          <cell r="R3142">
            <v>44804</v>
          </cell>
          <cell r="S3142"/>
          <cell r="T3142">
            <v>44804</v>
          </cell>
          <cell r="U3142">
            <v>44804</v>
          </cell>
          <cell r="V3142">
            <v>44804</v>
          </cell>
          <cell r="W3142">
            <v>44804</v>
          </cell>
          <cell r="X3142">
            <v>31101725</v>
          </cell>
        </row>
        <row r="3143">
          <cell r="K3143"/>
          <cell r="L3143" t="str">
            <v>-</v>
          </cell>
          <cell r="M3143">
            <v>44802</v>
          </cell>
          <cell r="N3143">
            <v>44804</v>
          </cell>
          <cell r="O3143">
            <v>44802</v>
          </cell>
          <cell r="P3143">
            <v>44804</v>
          </cell>
          <cell r="Q3143">
            <v>44804</v>
          </cell>
          <cell r="R3143">
            <v>44804</v>
          </cell>
          <cell r="S3143"/>
          <cell r="T3143">
            <v>44827</v>
          </cell>
          <cell r="U3143">
            <v>44827</v>
          </cell>
          <cell r="V3143">
            <v>44827</v>
          </cell>
          <cell r="W3143">
            <v>44827</v>
          </cell>
          <cell r="X3143">
            <v>31101726</v>
          </cell>
        </row>
        <row r="3144">
          <cell r="K3144"/>
          <cell r="L3144" t="str">
            <v>-</v>
          </cell>
          <cell r="M3144">
            <v>44802</v>
          </cell>
          <cell r="N3144">
            <v>44804</v>
          </cell>
          <cell r="O3144">
            <v>44802</v>
          </cell>
          <cell r="P3144">
            <v>44804</v>
          </cell>
          <cell r="Q3144">
            <v>44804</v>
          </cell>
          <cell r="R3144">
            <v>44804</v>
          </cell>
          <cell r="S3144"/>
          <cell r="T3144">
            <v>44827</v>
          </cell>
          <cell r="U3144">
            <v>44827</v>
          </cell>
          <cell r="V3144">
            <v>44827</v>
          </cell>
          <cell r="W3144">
            <v>44827</v>
          </cell>
          <cell r="X3144">
            <v>31101727</v>
          </cell>
        </row>
        <row r="3145">
          <cell r="K3145"/>
          <cell r="L3145" t="str">
            <v>-</v>
          </cell>
          <cell r="M3145">
            <v>44795</v>
          </cell>
          <cell r="N3145">
            <v>44797</v>
          </cell>
          <cell r="O3145">
            <v>44795</v>
          </cell>
          <cell r="P3145">
            <v>44797</v>
          </cell>
          <cell r="Q3145">
            <v>44797</v>
          </cell>
          <cell r="R3145">
            <v>44797</v>
          </cell>
          <cell r="S3145"/>
          <cell r="T3145">
            <v>44804</v>
          </cell>
          <cell r="U3145">
            <v>44804</v>
          </cell>
          <cell r="V3145">
            <v>44804</v>
          </cell>
          <cell r="W3145">
            <v>44804</v>
          </cell>
          <cell r="X3145">
            <v>31101724</v>
          </cell>
        </row>
        <row r="3146">
          <cell r="K3146"/>
          <cell r="L3146" t="str">
            <v>-</v>
          </cell>
          <cell r="M3146">
            <v>44795</v>
          </cell>
          <cell r="N3146">
            <v>44797</v>
          </cell>
          <cell r="O3146">
            <v>44795</v>
          </cell>
          <cell r="P3146">
            <v>44797</v>
          </cell>
          <cell r="Q3146">
            <v>44797</v>
          </cell>
          <cell r="R3146">
            <v>44797</v>
          </cell>
          <cell r="S3146"/>
          <cell r="T3146">
            <v>44804</v>
          </cell>
          <cell r="U3146">
            <v>44804</v>
          </cell>
          <cell r="V3146">
            <v>44804</v>
          </cell>
          <cell r="W3146">
            <v>44804</v>
          </cell>
          <cell r="X3146">
            <v>31101725</v>
          </cell>
        </row>
        <row r="3147">
          <cell r="K3147" t="str">
            <v>GBWS-2722</v>
          </cell>
          <cell r="L3147">
            <v>44783</v>
          </cell>
          <cell r="M3147">
            <v>44784</v>
          </cell>
          <cell r="N3147">
            <v>44796</v>
          </cell>
          <cell r="O3147">
            <v>44784</v>
          </cell>
          <cell r="P3147">
            <v>44795</v>
          </cell>
          <cell r="Q3147" t="str">
            <v>2022-08-23 → 8/24</v>
          </cell>
          <cell r="R3147" t="str">
            <v>2022-08-23 → 8/24</v>
          </cell>
          <cell r="S3147"/>
          <cell r="T3147">
            <v>44797</v>
          </cell>
          <cell r="U3147">
            <v>44798</v>
          </cell>
          <cell r="V3147">
            <v>44802</v>
          </cell>
          <cell r="W3147">
            <v>44802</v>
          </cell>
          <cell r="X3147">
            <v>41100507</v>
          </cell>
        </row>
        <row r="3148">
          <cell r="K3148" t="str">
            <v>GBWS-2723</v>
          </cell>
          <cell r="L3148">
            <v>44783</v>
          </cell>
          <cell r="M3148">
            <v>44784</v>
          </cell>
          <cell r="N3148">
            <v>44796</v>
          </cell>
          <cell r="O3148">
            <v>44784</v>
          </cell>
          <cell r="P3148">
            <v>44795</v>
          </cell>
          <cell r="Q3148" t="str">
            <v>2022-08-23 → 8/24</v>
          </cell>
          <cell r="R3148" t="str">
            <v>2022-08-23 → 8/24</v>
          </cell>
          <cell r="S3148"/>
          <cell r="T3148">
            <v>44798</v>
          </cell>
          <cell r="U3148">
            <v>44799</v>
          </cell>
          <cell r="V3148">
            <v>44802</v>
          </cell>
          <cell r="W3148">
            <v>44802</v>
          </cell>
          <cell r="X3148">
            <v>41100507</v>
          </cell>
        </row>
        <row r="3149">
          <cell r="K3149" t="str">
            <v>GBWS-2724</v>
          </cell>
          <cell r="L3149">
            <v>44783</v>
          </cell>
          <cell r="M3149">
            <v>44784</v>
          </cell>
          <cell r="N3149">
            <v>44796</v>
          </cell>
          <cell r="O3149">
            <v>44784</v>
          </cell>
          <cell r="P3149">
            <v>44795</v>
          </cell>
          <cell r="Q3149" t="str">
            <v>2022-08-23 → 8/24</v>
          </cell>
          <cell r="R3149" t="str">
            <v>2022-08-23 → 8/24</v>
          </cell>
          <cell r="S3149"/>
          <cell r="T3149">
            <v>44797</v>
          </cell>
          <cell r="U3149">
            <v>44798</v>
          </cell>
          <cell r="V3149">
            <v>44799</v>
          </cell>
          <cell r="W3149">
            <v>44799</v>
          </cell>
          <cell r="X3149">
            <v>41100507</v>
          </cell>
        </row>
        <row r="3150">
          <cell r="K3150" t="str">
            <v>GBWS-2725</v>
          </cell>
          <cell r="L3150">
            <v>44783</v>
          </cell>
          <cell r="M3150">
            <v>44784</v>
          </cell>
          <cell r="N3150">
            <v>44796</v>
          </cell>
          <cell r="O3150">
            <v>44784</v>
          </cell>
          <cell r="P3150">
            <v>44795</v>
          </cell>
          <cell r="Q3150" t="str">
            <v>2022-08-23 → 8/24</v>
          </cell>
          <cell r="R3150" t="str">
            <v>2022-08-23 → 8/24</v>
          </cell>
          <cell r="S3150"/>
          <cell r="T3150">
            <v>44797</v>
          </cell>
          <cell r="U3150">
            <v>44798</v>
          </cell>
          <cell r="V3150">
            <v>44799</v>
          </cell>
          <cell r="W3150">
            <v>44799</v>
          </cell>
          <cell r="X3150">
            <v>41100507</v>
          </cell>
        </row>
        <row r="3151">
          <cell r="K3151" t="str">
            <v>GPWS-0223</v>
          </cell>
          <cell r="L3151">
            <v>44741</v>
          </cell>
          <cell r="M3151" t="str">
            <v>2022-05-25 → 6/30</v>
          </cell>
          <cell r="N3151">
            <v>44757</v>
          </cell>
          <cell r="O3151" t="str">
            <v>2022-05-25 → 6/30</v>
          </cell>
          <cell r="P3151">
            <v>44755</v>
          </cell>
          <cell r="Q3151" t="str">
            <v>2022-06-03 → 7/11 → 7/14</v>
          </cell>
          <cell r="R3151" t="str">
            <v>2022-06-03 → 7/11 → 7/14</v>
          </cell>
          <cell r="S3151"/>
          <cell r="T3151">
            <v>44760</v>
          </cell>
          <cell r="U3151">
            <v>44827</v>
          </cell>
          <cell r="V3151">
            <v>44830</v>
          </cell>
          <cell r="W3151">
            <v>44831</v>
          </cell>
          <cell r="X3151">
            <v>41100491</v>
          </cell>
        </row>
        <row r="3152">
          <cell r="K3152" t="str">
            <v>GPWS-0225</v>
          </cell>
          <cell r="L3152">
            <v>44760</v>
          </cell>
          <cell r="M3152">
            <v>44761</v>
          </cell>
          <cell r="N3152">
            <v>44770</v>
          </cell>
          <cell r="O3152">
            <v>44761</v>
          </cell>
          <cell r="P3152">
            <v>44770</v>
          </cell>
          <cell r="Q3152" t="str">
            <v>2022-07-27 → 7/28</v>
          </cell>
          <cell r="R3152" t="str">
            <v>2022-07-27 → 7/28</v>
          </cell>
          <cell r="S3152"/>
          <cell r="T3152">
            <v>44771</v>
          </cell>
          <cell r="U3152">
            <v>44827</v>
          </cell>
          <cell r="V3152">
            <v>44830</v>
          </cell>
          <cell r="W3152">
            <v>44831</v>
          </cell>
          <cell r="X3152">
            <v>41100491</v>
          </cell>
        </row>
        <row r="3153">
          <cell r="K3153" t="str">
            <v>SOS-0282</v>
          </cell>
          <cell r="L3153">
            <v>44818</v>
          </cell>
          <cell r="M3153">
            <v>44819</v>
          </cell>
          <cell r="N3153">
            <v>44823</v>
          </cell>
          <cell r="O3153">
            <v>44819</v>
          </cell>
          <cell r="P3153">
            <v>44824</v>
          </cell>
          <cell r="Q3153" t="str">
            <v>2022-09-20 → 9/19</v>
          </cell>
          <cell r="R3153" t="str">
            <v>2022-09-20 → 9/19</v>
          </cell>
          <cell r="S3153"/>
          <cell r="T3153">
            <v>44823</v>
          </cell>
          <cell r="U3153">
            <v>44825</v>
          </cell>
          <cell r="V3153">
            <v>44827</v>
          </cell>
          <cell r="W3153">
            <v>44827</v>
          </cell>
          <cell r="X3153">
            <v>41100299</v>
          </cell>
        </row>
        <row r="3154">
          <cell r="K3154" t="str">
            <v>GBWS-2810</v>
          </cell>
          <cell r="L3154">
            <v>44810</v>
          </cell>
          <cell r="M3154">
            <v>44811</v>
          </cell>
          <cell r="N3154">
            <v>44825</v>
          </cell>
          <cell r="O3154">
            <v>44811</v>
          </cell>
          <cell r="P3154">
            <v>44824</v>
          </cell>
          <cell r="Q3154" t="str">
            <v>2022-09-21 → 9/20</v>
          </cell>
          <cell r="R3154" t="str">
            <v>2022-09-21 → 9/20</v>
          </cell>
          <cell r="S3154"/>
          <cell r="T3154">
            <v>44824</v>
          </cell>
          <cell r="U3154">
            <v>44826</v>
          </cell>
          <cell r="V3154">
            <v>44827</v>
          </cell>
          <cell r="W3154">
            <v>44827</v>
          </cell>
          <cell r="X3154">
            <v>41100494</v>
          </cell>
        </row>
        <row r="3155">
          <cell r="K3155" t="str">
            <v>GBWS-2667</v>
          </cell>
          <cell r="L3155">
            <v>44768</v>
          </cell>
          <cell r="M3155">
            <v>44769</v>
          </cell>
          <cell r="N3155">
            <v>44779</v>
          </cell>
          <cell r="O3155">
            <v>44769</v>
          </cell>
          <cell r="P3155">
            <v>44782</v>
          </cell>
          <cell r="Q3155">
            <v>44781</v>
          </cell>
          <cell r="R3155">
            <v>44781</v>
          </cell>
          <cell r="S3155"/>
          <cell r="T3155">
            <v>44782</v>
          </cell>
          <cell r="U3155">
            <v>44824</v>
          </cell>
          <cell r="V3155">
            <v>44825</v>
          </cell>
          <cell r="W3155">
            <v>44825</v>
          </cell>
          <cell r="X3155">
            <v>41100493</v>
          </cell>
        </row>
        <row r="3156">
          <cell r="K3156"/>
          <cell r="L3156"/>
          <cell r="M3156">
            <v>44796</v>
          </cell>
          <cell r="N3156">
            <v>44806</v>
          </cell>
          <cell r="O3156">
            <v>44796</v>
          </cell>
          <cell r="P3156">
            <v>44806</v>
          </cell>
          <cell r="Q3156">
            <v>44806</v>
          </cell>
          <cell r="R3156">
            <v>44806</v>
          </cell>
          <cell r="S3156"/>
          <cell r="T3156">
            <v>44818</v>
          </cell>
          <cell r="U3156"/>
          <cell r="V3156"/>
          <cell r="W3156"/>
          <cell r="X3156"/>
        </row>
        <row r="3157">
          <cell r="K3157" t="str">
            <v>GBWS-2668</v>
          </cell>
          <cell r="L3157">
            <v>44768</v>
          </cell>
          <cell r="M3157">
            <v>44769</v>
          </cell>
          <cell r="N3157">
            <v>44779</v>
          </cell>
          <cell r="O3157">
            <v>44769</v>
          </cell>
          <cell r="P3157">
            <v>44782</v>
          </cell>
          <cell r="Q3157">
            <v>44781</v>
          </cell>
          <cell r="R3157">
            <v>44781</v>
          </cell>
          <cell r="S3157"/>
          <cell r="T3157">
            <v>44782</v>
          </cell>
          <cell r="U3157">
            <v>44824</v>
          </cell>
          <cell r="V3157">
            <v>44825</v>
          </cell>
          <cell r="W3157">
            <v>44825</v>
          </cell>
          <cell r="X3157">
            <v>41100493</v>
          </cell>
        </row>
        <row r="3158">
          <cell r="K3158"/>
          <cell r="L3158"/>
          <cell r="M3158">
            <v>44796</v>
          </cell>
          <cell r="N3158">
            <v>44806</v>
          </cell>
          <cell r="O3158">
            <v>44796</v>
          </cell>
          <cell r="P3158">
            <v>44806</v>
          </cell>
          <cell r="Q3158">
            <v>44806</v>
          </cell>
          <cell r="R3158">
            <v>44806</v>
          </cell>
          <cell r="S3158"/>
          <cell r="T3158">
            <v>44818</v>
          </cell>
          <cell r="U3158"/>
          <cell r="V3158"/>
          <cell r="W3158"/>
          <cell r="X3158"/>
        </row>
        <row r="3159">
          <cell r="K3159" t="str">
            <v>GBWS-2806</v>
          </cell>
          <cell r="L3159">
            <v>44810</v>
          </cell>
          <cell r="M3159">
            <v>44811</v>
          </cell>
          <cell r="N3159">
            <v>44825</v>
          </cell>
          <cell r="O3159">
            <v>44811</v>
          </cell>
          <cell r="P3159">
            <v>44825</v>
          </cell>
          <cell r="Q3159" t="str">
            <v>2022-09-21 → 9/20</v>
          </cell>
          <cell r="R3159" t="str">
            <v>2022-09-21 → 9/20</v>
          </cell>
          <cell r="S3159"/>
          <cell r="T3159">
            <v>44825</v>
          </cell>
          <cell r="U3159">
            <v>44826</v>
          </cell>
          <cell r="V3159">
            <v>44827</v>
          </cell>
          <cell r="W3159">
            <v>44827</v>
          </cell>
          <cell r="X3159">
            <v>41100493</v>
          </cell>
        </row>
        <row r="3160">
          <cell r="K3160" t="str">
            <v>GBWS-2691</v>
          </cell>
          <cell r="L3160">
            <v>44774</v>
          </cell>
          <cell r="M3160">
            <v>44775</v>
          </cell>
          <cell r="N3160">
            <v>44786</v>
          </cell>
          <cell r="O3160">
            <v>44775</v>
          </cell>
          <cell r="P3160">
            <v>44791</v>
          </cell>
          <cell r="Q3160">
            <v>44785</v>
          </cell>
          <cell r="R3160">
            <v>44785</v>
          </cell>
          <cell r="S3160"/>
          <cell r="T3160">
            <v>44789</v>
          </cell>
          <cell r="U3160">
            <v>44792</v>
          </cell>
          <cell r="V3160">
            <v>44798</v>
          </cell>
          <cell r="W3160">
            <v>44798</v>
          </cell>
          <cell r="X3160">
            <v>41100481</v>
          </cell>
        </row>
        <row r="3161">
          <cell r="K3161" t="str">
            <v>GBWS-2793</v>
          </cell>
          <cell r="L3161">
            <v>44798</v>
          </cell>
          <cell r="M3161">
            <v>44799</v>
          </cell>
          <cell r="N3161">
            <v>44810</v>
          </cell>
          <cell r="O3161">
            <v>44799</v>
          </cell>
          <cell r="P3161">
            <v>44817</v>
          </cell>
          <cell r="Q3161">
            <v>44811</v>
          </cell>
          <cell r="R3161">
            <v>44811</v>
          </cell>
          <cell r="S3161"/>
          <cell r="T3161">
            <v>44811</v>
          </cell>
          <cell r="U3161">
            <v>44820</v>
          </cell>
          <cell r="V3161">
            <v>44823</v>
          </cell>
          <cell r="W3161">
            <v>44823</v>
          </cell>
          <cell r="X3161">
            <v>41100366</v>
          </cell>
        </row>
        <row r="3162">
          <cell r="K3162" t="str">
            <v>IVAS-152</v>
          </cell>
          <cell r="L3162">
            <v>44802</v>
          </cell>
          <cell r="M3162">
            <v>44803</v>
          </cell>
          <cell r="N3162">
            <v>44828</v>
          </cell>
          <cell r="O3162">
            <v>44803</v>
          </cell>
          <cell r="P3162">
            <v>44827</v>
          </cell>
          <cell r="Q3162" t="str">
            <v>2022-09-14 → 9/23</v>
          </cell>
          <cell r="R3162" t="str">
            <v>2022-09-14 → 9/23</v>
          </cell>
          <cell r="S3162"/>
          <cell r="T3162">
            <v>44826</v>
          </cell>
          <cell r="U3162">
            <v>44833</v>
          </cell>
          <cell r="V3162">
            <v>44833</v>
          </cell>
          <cell r="W3162">
            <v>44833</v>
          </cell>
          <cell r="X3162" t="str">
            <v>41100529 → 41100544</v>
          </cell>
        </row>
        <row r="3163">
          <cell r="K3163" t="str">
            <v>GBWS-2829</v>
          </cell>
          <cell r="L3163">
            <v>44816</v>
          </cell>
          <cell r="M3163">
            <v>44817</v>
          </cell>
          <cell r="N3163">
            <v>44830</v>
          </cell>
          <cell r="O3163">
            <v>44817</v>
          </cell>
          <cell r="P3163">
            <v>44830</v>
          </cell>
          <cell r="Q3163">
            <v>44827</v>
          </cell>
          <cell r="R3163">
            <v>44827</v>
          </cell>
          <cell r="S3163"/>
          <cell r="T3163">
            <v>44830</v>
          </cell>
          <cell r="U3163">
            <v>44832</v>
          </cell>
          <cell r="V3163">
            <v>44832</v>
          </cell>
          <cell r="W3163">
            <v>44832</v>
          </cell>
          <cell r="X3163">
            <v>41100443</v>
          </cell>
        </row>
        <row r="3164">
          <cell r="K3164" t="str">
            <v>GBWS-2830</v>
          </cell>
          <cell r="L3164">
            <v>44816</v>
          </cell>
          <cell r="M3164">
            <v>44817</v>
          </cell>
          <cell r="N3164">
            <v>44830</v>
          </cell>
          <cell r="O3164">
            <v>44817</v>
          </cell>
          <cell r="P3164">
            <v>44830</v>
          </cell>
          <cell r="Q3164">
            <v>44827</v>
          </cell>
          <cell r="R3164">
            <v>44827</v>
          </cell>
          <cell r="S3164"/>
          <cell r="T3164">
            <v>44830</v>
          </cell>
          <cell r="U3164">
            <v>44832</v>
          </cell>
          <cell r="V3164">
            <v>44832</v>
          </cell>
          <cell r="W3164">
            <v>44832</v>
          </cell>
          <cell r="X3164">
            <v>41100443</v>
          </cell>
        </row>
        <row r="3165">
          <cell r="K3165" t="str">
            <v>GBWS-2831</v>
          </cell>
          <cell r="L3165">
            <v>44816</v>
          </cell>
          <cell r="M3165">
            <v>44817</v>
          </cell>
          <cell r="N3165">
            <v>44830</v>
          </cell>
          <cell r="O3165">
            <v>44817</v>
          </cell>
          <cell r="P3165">
            <v>44830</v>
          </cell>
          <cell r="Q3165">
            <v>44827</v>
          </cell>
          <cell r="R3165">
            <v>44827</v>
          </cell>
          <cell r="S3165"/>
          <cell r="T3165">
            <v>44830</v>
          </cell>
          <cell r="U3165">
            <v>44832</v>
          </cell>
          <cell r="V3165">
            <v>44832</v>
          </cell>
          <cell r="W3165">
            <v>44832</v>
          </cell>
          <cell r="X3165">
            <v>41100443</v>
          </cell>
        </row>
        <row r="3166">
          <cell r="K3166" t="str">
            <v>GBWS-2671</v>
          </cell>
          <cell r="L3166">
            <v>44770</v>
          </cell>
          <cell r="M3166">
            <v>44771</v>
          </cell>
          <cell r="N3166">
            <v>44784</v>
          </cell>
          <cell r="O3166">
            <v>44771</v>
          </cell>
          <cell r="P3166">
            <v>44783</v>
          </cell>
          <cell r="Q3166">
            <v>44781</v>
          </cell>
          <cell r="R3166">
            <v>44781</v>
          </cell>
          <cell r="S3166"/>
          <cell r="T3166">
            <v>44784</v>
          </cell>
          <cell r="U3166">
            <v>44786</v>
          </cell>
          <cell r="V3166">
            <v>44791</v>
          </cell>
          <cell r="W3166">
            <v>44791</v>
          </cell>
          <cell r="X3166">
            <v>41100511</v>
          </cell>
        </row>
        <row r="3167">
          <cell r="K3167" t="str">
            <v>GBWS-2672</v>
          </cell>
          <cell r="L3167">
            <v>44770</v>
          </cell>
          <cell r="M3167">
            <v>44771</v>
          </cell>
          <cell r="N3167">
            <v>44784</v>
          </cell>
          <cell r="O3167">
            <v>44771</v>
          </cell>
          <cell r="P3167">
            <v>44783</v>
          </cell>
          <cell r="Q3167">
            <v>44781</v>
          </cell>
          <cell r="R3167">
            <v>44781</v>
          </cell>
          <cell r="S3167"/>
          <cell r="T3167">
            <v>44784</v>
          </cell>
          <cell r="U3167">
            <v>44786</v>
          </cell>
          <cell r="V3167">
            <v>44795</v>
          </cell>
          <cell r="W3167">
            <v>44795</v>
          </cell>
          <cell r="X3167">
            <v>41100511</v>
          </cell>
        </row>
        <row r="3168">
          <cell r="K3168" t="str">
            <v>GBWS-2826</v>
          </cell>
          <cell r="L3168">
            <v>44816</v>
          </cell>
          <cell r="M3168">
            <v>44817</v>
          </cell>
          <cell r="N3168">
            <v>44827</v>
          </cell>
          <cell r="O3168">
            <v>44817</v>
          </cell>
          <cell r="P3168">
            <v>44827</v>
          </cell>
          <cell r="Q3168">
            <v>44827</v>
          </cell>
          <cell r="R3168">
            <v>44827</v>
          </cell>
          <cell r="S3168"/>
          <cell r="T3168">
            <v>44830</v>
          </cell>
          <cell r="U3168">
            <v>44831</v>
          </cell>
          <cell r="V3168">
            <v>44832</v>
          </cell>
          <cell r="W3168">
            <v>44832</v>
          </cell>
          <cell r="X3168">
            <v>41100574</v>
          </cell>
        </row>
        <row r="3169">
          <cell r="K3169" t="str">
            <v>-</v>
          </cell>
          <cell r="L3169">
            <v>44818</v>
          </cell>
          <cell r="M3169">
            <v>44819</v>
          </cell>
          <cell r="N3169">
            <v>44827</v>
          </cell>
          <cell r="O3169">
            <v>44819</v>
          </cell>
          <cell r="P3169">
            <v>44827</v>
          </cell>
          <cell r="Q3169">
            <v>44826</v>
          </cell>
          <cell r="R3169">
            <v>44826</v>
          </cell>
          <cell r="S3169"/>
          <cell r="T3169">
            <v>44832</v>
          </cell>
          <cell r="U3169">
            <v>44833</v>
          </cell>
          <cell r="V3169">
            <v>44833</v>
          </cell>
          <cell r="W3169">
            <v>44833</v>
          </cell>
          <cell r="X3169">
            <v>31102253</v>
          </cell>
        </row>
        <row r="3170">
          <cell r="K3170" t="str">
            <v>-</v>
          </cell>
          <cell r="L3170">
            <v>44818</v>
          </cell>
          <cell r="M3170">
            <v>44819</v>
          </cell>
          <cell r="N3170">
            <v>44827</v>
          </cell>
          <cell r="O3170">
            <v>44819</v>
          </cell>
          <cell r="P3170">
            <v>44827</v>
          </cell>
          <cell r="Q3170">
            <v>44826</v>
          </cell>
          <cell r="R3170">
            <v>44826</v>
          </cell>
          <cell r="S3170"/>
          <cell r="T3170">
            <v>44832</v>
          </cell>
          <cell r="U3170">
            <v>44833</v>
          </cell>
          <cell r="V3170">
            <v>44833</v>
          </cell>
          <cell r="W3170">
            <v>44833</v>
          </cell>
          <cell r="X3170">
            <v>31102253</v>
          </cell>
        </row>
        <row r="3171">
          <cell r="K3171" t="str">
            <v>-</v>
          </cell>
          <cell r="L3171">
            <v>44818</v>
          </cell>
          <cell r="M3171">
            <v>44819</v>
          </cell>
          <cell r="N3171">
            <v>44827</v>
          </cell>
          <cell r="O3171">
            <v>44819</v>
          </cell>
          <cell r="P3171">
            <v>44827</v>
          </cell>
          <cell r="Q3171">
            <v>44826</v>
          </cell>
          <cell r="R3171">
            <v>44826</v>
          </cell>
          <cell r="S3171"/>
          <cell r="T3171">
            <v>44832</v>
          </cell>
          <cell r="U3171">
            <v>44833</v>
          </cell>
          <cell r="V3171">
            <v>44833</v>
          </cell>
          <cell r="W3171">
            <v>44833</v>
          </cell>
          <cell r="X3171">
            <v>31102253</v>
          </cell>
        </row>
        <row r="3172">
          <cell r="K3172" t="str">
            <v>GBWS-2788</v>
          </cell>
          <cell r="L3172">
            <v>44797</v>
          </cell>
          <cell r="M3172">
            <v>44798</v>
          </cell>
          <cell r="N3172">
            <v>44810</v>
          </cell>
          <cell r="O3172">
            <v>44798</v>
          </cell>
          <cell r="P3172">
            <v>44810</v>
          </cell>
          <cell r="Q3172">
            <v>44810</v>
          </cell>
          <cell r="R3172">
            <v>44810</v>
          </cell>
          <cell r="S3172"/>
          <cell r="T3172">
            <v>44819</v>
          </cell>
          <cell r="U3172">
            <v>44830</v>
          </cell>
          <cell r="V3172">
            <v>44831</v>
          </cell>
          <cell r="W3172">
            <v>44831</v>
          </cell>
          <cell r="X3172">
            <v>41100286</v>
          </cell>
        </row>
        <row r="3173">
          <cell r="K3173" t="str">
            <v>GBWS-2822</v>
          </cell>
          <cell r="L3173">
            <v>44816</v>
          </cell>
          <cell r="M3173">
            <v>44817</v>
          </cell>
          <cell r="N3173">
            <v>44830</v>
          </cell>
          <cell r="O3173">
            <v>44817</v>
          </cell>
          <cell r="P3173">
            <v>44830</v>
          </cell>
          <cell r="Q3173">
            <v>44827</v>
          </cell>
          <cell r="R3173">
            <v>44827</v>
          </cell>
          <cell r="S3173"/>
          <cell r="T3173">
            <v>44831</v>
          </cell>
          <cell r="U3173">
            <v>44832</v>
          </cell>
          <cell r="V3173">
            <v>44833</v>
          </cell>
          <cell r="W3173">
            <v>44833</v>
          </cell>
          <cell r="X3173">
            <v>41100363</v>
          </cell>
        </row>
        <row r="3174">
          <cell r="K3174" t="str">
            <v>GBWS-2823</v>
          </cell>
          <cell r="L3174">
            <v>44816</v>
          </cell>
          <cell r="M3174">
            <v>44817</v>
          </cell>
          <cell r="N3174">
            <v>44830</v>
          </cell>
          <cell r="O3174">
            <v>44817</v>
          </cell>
          <cell r="P3174">
            <v>44830</v>
          </cell>
          <cell r="Q3174">
            <v>44827</v>
          </cell>
          <cell r="R3174">
            <v>44827</v>
          </cell>
          <cell r="S3174"/>
          <cell r="T3174">
            <v>44831</v>
          </cell>
          <cell r="U3174">
            <v>44832</v>
          </cell>
          <cell r="V3174">
            <v>44833</v>
          </cell>
          <cell r="W3174">
            <v>44833</v>
          </cell>
          <cell r="X3174">
            <v>41100363</v>
          </cell>
        </row>
        <row r="3175">
          <cell r="K3175" t="str">
            <v>GBWS-2824</v>
          </cell>
          <cell r="L3175">
            <v>44816</v>
          </cell>
          <cell r="M3175">
            <v>44817</v>
          </cell>
          <cell r="N3175">
            <v>44830</v>
          </cell>
          <cell r="O3175">
            <v>44817</v>
          </cell>
          <cell r="P3175">
            <v>44830</v>
          </cell>
          <cell r="Q3175">
            <v>44827</v>
          </cell>
          <cell r="R3175">
            <v>44827</v>
          </cell>
          <cell r="S3175"/>
          <cell r="T3175">
            <v>44831</v>
          </cell>
          <cell r="U3175">
            <v>44832</v>
          </cell>
          <cell r="V3175">
            <v>44833</v>
          </cell>
          <cell r="W3175">
            <v>44833</v>
          </cell>
          <cell r="X3175">
            <v>41100363</v>
          </cell>
        </row>
        <row r="3176">
          <cell r="K3176" t="str">
            <v>GBWS-2835</v>
          </cell>
          <cell r="L3176">
            <v>44818</v>
          </cell>
          <cell r="M3176">
            <v>44819</v>
          </cell>
          <cell r="N3176">
            <v>44830</v>
          </cell>
          <cell r="O3176">
            <v>44819</v>
          </cell>
          <cell r="P3176">
            <v>44830</v>
          </cell>
          <cell r="Q3176">
            <v>44827</v>
          </cell>
          <cell r="R3176">
            <v>44827</v>
          </cell>
          <cell r="S3176"/>
          <cell r="T3176">
            <v>44831</v>
          </cell>
          <cell r="U3176">
            <v>44832</v>
          </cell>
          <cell r="V3176">
            <v>44833</v>
          </cell>
          <cell r="W3176">
            <v>44833</v>
          </cell>
          <cell r="X3176">
            <v>41100320</v>
          </cell>
        </row>
        <row r="3177">
          <cell r="K3177" t="str">
            <v>GBWS-2836</v>
          </cell>
          <cell r="L3177">
            <v>44818</v>
          </cell>
          <cell r="M3177">
            <v>44819</v>
          </cell>
          <cell r="N3177">
            <v>44830</v>
          </cell>
          <cell r="O3177">
            <v>44819</v>
          </cell>
          <cell r="P3177">
            <v>44830</v>
          </cell>
          <cell r="Q3177">
            <v>44827</v>
          </cell>
          <cell r="R3177">
            <v>44827</v>
          </cell>
          <cell r="S3177"/>
          <cell r="T3177">
            <v>44831</v>
          </cell>
          <cell r="U3177">
            <v>44832</v>
          </cell>
          <cell r="V3177">
            <v>44833</v>
          </cell>
          <cell r="W3177">
            <v>44833</v>
          </cell>
          <cell r="X3177">
            <v>41100320</v>
          </cell>
        </row>
        <row r="3178">
          <cell r="K3178" t="str">
            <v>GBWS-2837</v>
          </cell>
          <cell r="L3178">
            <v>44818</v>
          </cell>
          <cell r="M3178">
            <v>44819</v>
          </cell>
          <cell r="N3178">
            <v>44830</v>
          </cell>
          <cell r="O3178">
            <v>44819</v>
          </cell>
          <cell r="P3178">
            <v>44830</v>
          </cell>
          <cell r="Q3178">
            <v>44827</v>
          </cell>
          <cell r="R3178">
            <v>44827</v>
          </cell>
          <cell r="S3178"/>
          <cell r="T3178">
            <v>44831</v>
          </cell>
          <cell r="U3178">
            <v>44832</v>
          </cell>
          <cell r="V3178">
            <v>44833</v>
          </cell>
          <cell r="W3178">
            <v>44833</v>
          </cell>
          <cell r="X3178">
            <v>41100320</v>
          </cell>
        </row>
        <row r="3179">
          <cell r="K3179" t="str">
            <v>GBWS-2838</v>
          </cell>
          <cell r="L3179">
            <v>44818</v>
          </cell>
          <cell r="M3179">
            <v>44819</v>
          </cell>
          <cell r="N3179">
            <v>44830</v>
          </cell>
          <cell r="O3179">
            <v>44819</v>
          </cell>
          <cell r="P3179">
            <v>44831</v>
          </cell>
          <cell r="Q3179">
            <v>44827</v>
          </cell>
          <cell r="R3179">
            <v>44827</v>
          </cell>
          <cell r="S3179"/>
          <cell r="T3179">
            <v>44831</v>
          </cell>
          <cell r="U3179">
            <v>44833</v>
          </cell>
          <cell r="V3179">
            <v>44833</v>
          </cell>
          <cell r="W3179">
            <v>44833</v>
          </cell>
          <cell r="X3179">
            <v>41100334</v>
          </cell>
        </row>
        <row r="3180">
          <cell r="K3180" t="str">
            <v>DBW-2716</v>
          </cell>
          <cell r="L3180">
            <v>44811</v>
          </cell>
          <cell r="M3180">
            <v>44812</v>
          </cell>
          <cell r="N3180">
            <v>44825</v>
          </cell>
          <cell r="O3180">
            <v>44812</v>
          </cell>
          <cell r="P3180">
            <v>44825</v>
          </cell>
          <cell r="Q3180" t="str">
            <v>2022-09-20 → 9/22</v>
          </cell>
          <cell r="R3180" t="str">
            <v>2022-09-20 → 9/22</v>
          </cell>
          <cell r="S3180"/>
          <cell r="T3180">
            <v>44827</v>
          </cell>
          <cell r="U3180">
            <v>44830</v>
          </cell>
          <cell r="V3180">
            <v>44831</v>
          </cell>
          <cell r="W3180">
            <v>44831</v>
          </cell>
          <cell r="X3180">
            <v>41100575</v>
          </cell>
        </row>
        <row r="3181">
          <cell r="K3181" t="str">
            <v>DBW-2717</v>
          </cell>
          <cell r="L3181">
            <v>44811</v>
          </cell>
          <cell r="M3181">
            <v>44812</v>
          </cell>
          <cell r="N3181">
            <v>44825</v>
          </cell>
          <cell r="O3181">
            <v>44812</v>
          </cell>
          <cell r="P3181">
            <v>44825</v>
          </cell>
          <cell r="Q3181" t="str">
            <v>2022-09-20 → 9/22</v>
          </cell>
          <cell r="R3181" t="str">
            <v>2022-09-20 → 9/22</v>
          </cell>
          <cell r="S3181"/>
          <cell r="T3181">
            <v>44827</v>
          </cell>
          <cell r="U3181">
            <v>44830</v>
          </cell>
          <cell r="V3181">
            <v>44831</v>
          </cell>
          <cell r="W3181">
            <v>44831</v>
          </cell>
          <cell r="X3181">
            <v>41100575</v>
          </cell>
        </row>
        <row r="3182">
          <cell r="K3182" t="str">
            <v>GBWS-2443</v>
          </cell>
          <cell r="L3182">
            <v>44721</v>
          </cell>
          <cell r="M3182">
            <v>44721</v>
          </cell>
          <cell r="N3182">
            <v>44735</v>
          </cell>
          <cell r="O3182">
            <v>44721</v>
          </cell>
          <cell r="P3182">
            <v>44735</v>
          </cell>
          <cell r="Q3182" t="str">
            <v>2022-06-21 → 6/23</v>
          </cell>
          <cell r="R3182" t="str">
            <v>2022-06-21 → 6/23</v>
          </cell>
          <cell r="S3182"/>
          <cell r="T3182">
            <v>44736</v>
          </cell>
          <cell r="U3182">
            <v>44739</v>
          </cell>
          <cell r="V3182">
            <v>44740</v>
          </cell>
          <cell r="W3182">
            <v>44740</v>
          </cell>
          <cell r="X3182">
            <v>41100460</v>
          </cell>
        </row>
        <row r="3183">
          <cell r="K3183" t="str">
            <v>GBWS-2816</v>
          </cell>
          <cell r="L3183">
            <v>44810</v>
          </cell>
          <cell r="M3183" t="str">
            <v>2022-08-31 →9/7</v>
          </cell>
          <cell r="N3183">
            <v>44823</v>
          </cell>
          <cell r="O3183" t="str">
            <v>2022-08-31 →9/7</v>
          </cell>
          <cell r="P3183">
            <v>44825</v>
          </cell>
          <cell r="Q3183" t="str">
            <v>2022-09-14 → 9/20</v>
          </cell>
          <cell r="R3183" t="str">
            <v>2022-09-14 → 9/20</v>
          </cell>
          <cell r="S3183"/>
          <cell r="T3183">
            <v>44824</v>
          </cell>
          <cell r="U3183">
            <v>44831</v>
          </cell>
          <cell r="V3183">
            <v>44832</v>
          </cell>
          <cell r="W3183">
            <v>44832</v>
          </cell>
          <cell r="X3183">
            <v>41100460</v>
          </cell>
        </row>
        <row r="3184">
          <cell r="K3184" t="str">
            <v>GBWS-2817</v>
          </cell>
          <cell r="L3184">
            <v>44810</v>
          </cell>
          <cell r="M3184" t="str">
            <v>2022-08-31 →9/7</v>
          </cell>
          <cell r="N3184">
            <v>44823</v>
          </cell>
          <cell r="O3184" t="str">
            <v>2022-08-31 →9/7</v>
          </cell>
          <cell r="P3184">
            <v>44825</v>
          </cell>
          <cell r="Q3184" t="str">
            <v>2022-09-14 → 9/20</v>
          </cell>
          <cell r="R3184" t="str">
            <v>2022-09-14 → 9/20</v>
          </cell>
          <cell r="S3184"/>
          <cell r="T3184">
            <v>44825</v>
          </cell>
          <cell r="U3184">
            <v>44827</v>
          </cell>
          <cell r="V3184">
            <v>44832</v>
          </cell>
          <cell r="W3184">
            <v>44832</v>
          </cell>
          <cell r="X3184">
            <v>41100460</v>
          </cell>
        </row>
        <row r="3185">
          <cell r="K3185" t="str">
            <v>GBWS-2818</v>
          </cell>
          <cell r="L3185">
            <v>44810</v>
          </cell>
          <cell r="M3185" t="str">
            <v>2022-08-31 →9/7</v>
          </cell>
          <cell r="N3185">
            <v>44823</v>
          </cell>
          <cell r="O3185" t="str">
            <v>2022-08-31 →9/7</v>
          </cell>
          <cell r="P3185">
            <v>44825</v>
          </cell>
          <cell r="Q3185" t="str">
            <v>2022-09-14 → 9/20</v>
          </cell>
          <cell r="R3185" t="str">
            <v>2022-09-14 → 9/20</v>
          </cell>
          <cell r="S3185"/>
          <cell r="T3185">
            <v>44824</v>
          </cell>
          <cell r="U3185">
            <v>44831</v>
          </cell>
          <cell r="V3185">
            <v>44832</v>
          </cell>
          <cell r="W3185">
            <v>44832</v>
          </cell>
          <cell r="X3185">
            <v>41100460</v>
          </cell>
        </row>
        <row r="3186">
          <cell r="K3186" t="str">
            <v>GBWS-2819</v>
          </cell>
          <cell r="L3186">
            <v>44810</v>
          </cell>
          <cell r="M3186" t="str">
            <v>2022-08-31 → 9/7</v>
          </cell>
          <cell r="N3186">
            <v>44824</v>
          </cell>
          <cell r="O3186" t="str">
            <v>2022-08-31 → 9/7</v>
          </cell>
          <cell r="P3186">
            <v>44825</v>
          </cell>
          <cell r="Q3186" t="str">
            <v>2022-09-14 → 9/20</v>
          </cell>
          <cell r="R3186" t="str">
            <v>2022-09-14 → 9/20</v>
          </cell>
          <cell r="S3186"/>
          <cell r="T3186">
            <v>44824</v>
          </cell>
          <cell r="U3186">
            <v>44831</v>
          </cell>
          <cell r="V3186">
            <v>44831</v>
          </cell>
          <cell r="W3186">
            <v>44831</v>
          </cell>
          <cell r="X3186">
            <v>41100462</v>
          </cell>
        </row>
        <row r="3187">
          <cell r="K3187" t="str">
            <v>GBWS-2807</v>
          </cell>
          <cell r="L3187">
            <v>44810</v>
          </cell>
          <cell r="M3187">
            <v>44811</v>
          </cell>
          <cell r="N3187">
            <v>44825</v>
          </cell>
          <cell r="O3187">
            <v>44811</v>
          </cell>
          <cell r="P3187">
            <v>44825</v>
          </cell>
          <cell r="Q3187" t="str">
            <v>2022-09-21 → 9/20</v>
          </cell>
          <cell r="R3187" t="str">
            <v>2022-09-21 → 9/20</v>
          </cell>
          <cell r="S3187"/>
          <cell r="T3187">
            <v>44826</v>
          </cell>
          <cell r="U3187">
            <v>44827</v>
          </cell>
          <cell r="V3187">
            <v>44831</v>
          </cell>
          <cell r="W3187">
            <v>44831</v>
          </cell>
          <cell r="X3187">
            <v>41100507</v>
          </cell>
        </row>
        <row r="3188">
          <cell r="K3188" t="str">
            <v>GBWS-2808</v>
          </cell>
          <cell r="L3188">
            <v>44810</v>
          </cell>
          <cell r="M3188">
            <v>44811</v>
          </cell>
          <cell r="N3188">
            <v>44825</v>
          </cell>
          <cell r="O3188">
            <v>44811</v>
          </cell>
          <cell r="P3188">
            <v>44825</v>
          </cell>
          <cell r="Q3188" t="str">
            <v>2022-09-21 → 9/20</v>
          </cell>
          <cell r="R3188" t="str">
            <v>2022-09-21 → 9/20</v>
          </cell>
          <cell r="S3188"/>
          <cell r="T3188">
            <v>44826</v>
          </cell>
          <cell r="U3188">
            <v>44831</v>
          </cell>
          <cell r="V3188">
            <v>44831</v>
          </cell>
          <cell r="W3188">
            <v>44831</v>
          </cell>
          <cell r="X3188">
            <v>41100507</v>
          </cell>
        </row>
        <row r="3189">
          <cell r="K3189" t="str">
            <v>GBWS-2809</v>
          </cell>
          <cell r="L3189">
            <v>44810</v>
          </cell>
          <cell r="M3189">
            <v>44811</v>
          </cell>
          <cell r="N3189">
            <v>44825</v>
          </cell>
          <cell r="O3189">
            <v>44811</v>
          </cell>
          <cell r="P3189">
            <v>44825</v>
          </cell>
          <cell r="Q3189" t="str">
            <v>2022-09-21 → 9/20</v>
          </cell>
          <cell r="R3189" t="str">
            <v>2022-09-21 → 9/20</v>
          </cell>
          <cell r="S3189"/>
          <cell r="T3189">
            <v>44826</v>
          </cell>
          <cell r="U3189">
            <v>44831</v>
          </cell>
          <cell r="V3189">
            <v>44831</v>
          </cell>
          <cell r="W3189">
            <v>44831</v>
          </cell>
          <cell r="X3189">
            <v>41100507</v>
          </cell>
        </row>
        <row r="3190">
          <cell r="K3190" t="str">
            <v>GBWS-2811</v>
          </cell>
          <cell r="L3190">
            <v>44810</v>
          </cell>
          <cell r="M3190" t="str">
            <v>2022-08-31 → 9/7</v>
          </cell>
          <cell r="N3190">
            <v>44825</v>
          </cell>
          <cell r="O3190" t="str">
            <v>2022-08-31 → 9/7</v>
          </cell>
          <cell r="P3190">
            <v>44825</v>
          </cell>
          <cell r="Q3190" t="str">
            <v>2022-09-14 → 9/20</v>
          </cell>
          <cell r="R3190" t="str">
            <v>2022-09-14 → 9/20</v>
          </cell>
          <cell r="S3190"/>
          <cell r="T3190">
            <v>44825</v>
          </cell>
          <cell r="U3190">
            <v>44827</v>
          </cell>
          <cell r="V3190">
            <v>44832</v>
          </cell>
          <cell r="W3190">
            <v>44832</v>
          </cell>
          <cell r="X3190">
            <v>41100507</v>
          </cell>
        </row>
        <row r="3191">
          <cell r="K3191" t="str">
            <v>GBWS-2812</v>
          </cell>
          <cell r="L3191">
            <v>44810</v>
          </cell>
          <cell r="M3191" t="str">
            <v>2022-08-31 → 9/7</v>
          </cell>
          <cell r="N3191">
            <v>44825</v>
          </cell>
          <cell r="O3191" t="str">
            <v>2022-08-31 → 9/7</v>
          </cell>
          <cell r="P3191">
            <v>44825</v>
          </cell>
          <cell r="Q3191" t="str">
            <v>2022-09-14 → 9/20</v>
          </cell>
          <cell r="R3191" t="str">
            <v>2022-09-14 → 9/20</v>
          </cell>
          <cell r="S3191"/>
          <cell r="T3191">
            <v>44826</v>
          </cell>
          <cell r="U3191">
            <v>44831</v>
          </cell>
          <cell r="V3191">
            <v>44831</v>
          </cell>
          <cell r="W3191">
            <v>44831</v>
          </cell>
          <cell r="X3191">
            <v>41100507</v>
          </cell>
        </row>
        <row r="3192">
          <cell r="K3192" t="str">
            <v>GBWS-2813</v>
          </cell>
          <cell r="L3192">
            <v>44810</v>
          </cell>
          <cell r="M3192" t="str">
            <v>2022-08-31 → 9/7</v>
          </cell>
          <cell r="N3192">
            <v>44825</v>
          </cell>
          <cell r="O3192" t="str">
            <v>2022-08-31 → 9/7</v>
          </cell>
          <cell r="P3192">
            <v>44825</v>
          </cell>
          <cell r="Q3192" t="str">
            <v>2022-09-14 → 9/20</v>
          </cell>
          <cell r="R3192" t="str">
            <v>2022-09-14 → 9/20</v>
          </cell>
          <cell r="S3192"/>
          <cell r="T3192">
            <v>44825</v>
          </cell>
          <cell r="U3192">
            <v>44826</v>
          </cell>
          <cell r="V3192">
            <v>44832</v>
          </cell>
          <cell r="W3192">
            <v>44832</v>
          </cell>
          <cell r="X3192">
            <v>41100507</v>
          </cell>
        </row>
        <row r="3193">
          <cell r="K3193" t="str">
            <v>GBWS-2814</v>
          </cell>
          <cell r="L3193">
            <v>44810</v>
          </cell>
          <cell r="M3193" t="str">
            <v>2022-08-31 → 9/7</v>
          </cell>
          <cell r="N3193">
            <v>44825</v>
          </cell>
          <cell r="O3193" t="str">
            <v>2022-08-31 → 9/7</v>
          </cell>
          <cell r="P3193">
            <v>44825</v>
          </cell>
          <cell r="Q3193" t="str">
            <v>2022-09-14 → 9/20</v>
          </cell>
          <cell r="R3193" t="str">
            <v>2022-09-14 → 9/20</v>
          </cell>
          <cell r="S3193"/>
          <cell r="T3193">
            <v>44825</v>
          </cell>
          <cell r="U3193">
            <v>44826</v>
          </cell>
          <cell r="V3193">
            <v>44832</v>
          </cell>
          <cell r="W3193">
            <v>44832</v>
          </cell>
          <cell r="X3193">
            <v>41100507</v>
          </cell>
        </row>
        <row r="3194">
          <cell r="K3194" t="str">
            <v>GBWS-2815</v>
          </cell>
          <cell r="L3194">
            <v>44810</v>
          </cell>
          <cell r="M3194" t="str">
            <v>2022-08-31 → 9/7</v>
          </cell>
          <cell r="N3194">
            <v>44825</v>
          </cell>
          <cell r="O3194" t="str">
            <v>2022-08-31 → 9/7</v>
          </cell>
          <cell r="P3194">
            <v>44825</v>
          </cell>
          <cell r="Q3194" t="str">
            <v>2022-09-14 → 9/20</v>
          </cell>
          <cell r="R3194" t="str">
            <v>2022-09-14 → 9/20</v>
          </cell>
          <cell r="S3194"/>
          <cell r="T3194">
            <v>44825</v>
          </cell>
          <cell r="U3194">
            <v>44826</v>
          </cell>
          <cell r="V3194">
            <v>44832</v>
          </cell>
          <cell r="W3194">
            <v>44832</v>
          </cell>
          <cell r="X3194">
            <v>41100507</v>
          </cell>
        </row>
        <row r="3195">
          <cell r="K3195" t="str">
            <v>GBWS-2449</v>
          </cell>
          <cell r="L3195">
            <v>44721</v>
          </cell>
          <cell r="M3195">
            <v>44722</v>
          </cell>
          <cell r="N3195">
            <v>44735</v>
          </cell>
          <cell r="O3195">
            <v>44722</v>
          </cell>
          <cell r="P3195">
            <v>44734</v>
          </cell>
          <cell r="Q3195" t="str">
            <v>2022-06-21 → 6/24</v>
          </cell>
          <cell r="R3195" t="str">
            <v>2022-06-21 → 6/24</v>
          </cell>
          <cell r="S3195"/>
          <cell r="T3195">
            <v>44739</v>
          </cell>
          <cell r="U3195">
            <v>44740</v>
          </cell>
          <cell r="V3195">
            <v>44742</v>
          </cell>
          <cell r="W3195">
            <v>44742</v>
          </cell>
          <cell r="X3195">
            <v>41100461</v>
          </cell>
        </row>
        <row r="3196">
          <cell r="K3196" t="str">
            <v>SOS-0273</v>
          </cell>
          <cell r="L3196">
            <v>44776</v>
          </cell>
          <cell r="M3196">
            <v>44777</v>
          </cell>
          <cell r="N3196">
            <v>44777</v>
          </cell>
          <cell r="O3196">
            <v>44777</v>
          </cell>
          <cell r="P3196">
            <v>44782</v>
          </cell>
          <cell r="Q3196">
            <v>44782</v>
          </cell>
          <cell r="R3196">
            <v>44782</v>
          </cell>
          <cell r="S3196"/>
          <cell r="T3196">
            <v>44781</v>
          </cell>
          <cell r="U3196">
            <v>44790</v>
          </cell>
          <cell r="V3196">
            <v>44792</v>
          </cell>
          <cell r="W3196">
            <v>44792</v>
          </cell>
          <cell r="X3196">
            <v>41100182</v>
          </cell>
        </row>
        <row r="3197">
          <cell r="K3197" t="str">
            <v>GBWS-2743</v>
          </cell>
          <cell r="L3197">
            <v>44789</v>
          </cell>
          <cell r="M3197">
            <v>44790</v>
          </cell>
          <cell r="N3197">
            <v>44798</v>
          </cell>
          <cell r="O3197">
            <v>44790</v>
          </cell>
          <cell r="P3197">
            <v>44802</v>
          </cell>
          <cell r="Q3197">
            <v>44798</v>
          </cell>
          <cell r="R3197">
            <v>44798</v>
          </cell>
          <cell r="S3197"/>
          <cell r="T3197">
            <v>44799</v>
          </cell>
          <cell r="U3197">
            <v>44803</v>
          </cell>
          <cell r="V3197">
            <v>44804</v>
          </cell>
          <cell r="W3197">
            <v>44804</v>
          </cell>
          <cell r="X3197">
            <v>41100524</v>
          </cell>
        </row>
        <row r="3198">
          <cell r="K3198" t="str">
            <v>WS-0065</v>
          </cell>
          <cell r="L3198">
            <v>44824</v>
          </cell>
          <cell r="M3198">
            <v>44825</v>
          </cell>
          <cell r="N3198">
            <v>44832</v>
          </cell>
          <cell r="O3198">
            <v>44825</v>
          </cell>
          <cell r="P3198">
            <v>44834</v>
          </cell>
          <cell r="Q3198">
            <v>44834</v>
          </cell>
          <cell r="R3198">
            <v>44834</v>
          </cell>
          <cell r="S3198"/>
          <cell r="T3198">
            <v>44832</v>
          </cell>
          <cell r="U3198">
            <v>44838</v>
          </cell>
          <cell r="V3198">
            <v>44566</v>
          </cell>
          <cell r="W3198">
            <v>44839</v>
          </cell>
          <cell r="X3198">
            <v>41100435</v>
          </cell>
        </row>
        <row r="3199">
          <cell r="K3199" t="str">
            <v>GBWS-2827</v>
          </cell>
          <cell r="L3199">
            <v>44816</v>
          </cell>
          <cell r="M3199">
            <v>44817</v>
          </cell>
          <cell r="N3199">
            <v>44827</v>
          </cell>
          <cell r="O3199">
            <v>44817</v>
          </cell>
          <cell r="P3199">
            <v>44827</v>
          </cell>
          <cell r="Q3199">
            <v>44827</v>
          </cell>
          <cell r="R3199">
            <v>44827</v>
          </cell>
          <cell r="S3199"/>
          <cell r="T3199">
            <v>44831</v>
          </cell>
          <cell r="U3199">
            <v>44833</v>
          </cell>
          <cell r="V3199">
            <v>44834</v>
          </cell>
          <cell r="W3199">
            <v>44834</v>
          </cell>
          <cell r="X3199">
            <v>41100350</v>
          </cell>
        </row>
        <row r="3200">
          <cell r="K3200" t="str">
            <v>GBWS-2847</v>
          </cell>
          <cell r="L3200">
            <v>44823</v>
          </cell>
          <cell r="M3200">
            <v>44823</v>
          </cell>
          <cell r="N3200">
            <v>44833</v>
          </cell>
          <cell r="O3200">
            <v>44823</v>
          </cell>
          <cell r="P3200">
            <v>44838</v>
          </cell>
          <cell r="Q3200">
            <v>44832</v>
          </cell>
          <cell r="R3200">
            <v>44832</v>
          </cell>
          <cell r="S3200"/>
          <cell r="T3200">
            <v>44834</v>
          </cell>
          <cell r="U3200">
            <v>44839</v>
          </cell>
          <cell r="V3200">
            <v>44839</v>
          </cell>
          <cell r="W3200">
            <v>44840</v>
          </cell>
          <cell r="X3200">
            <v>41100286</v>
          </cell>
        </row>
        <row r="3201">
          <cell r="K3201" t="str">
            <v>IVAS-151</v>
          </cell>
          <cell r="L3201">
            <v>44802</v>
          </cell>
          <cell r="M3201">
            <v>44803</v>
          </cell>
          <cell r="N3201">
            <v>44828</v>
          </cell>
          <cell r="O3201">
            <v>44803</v>
          </cell>
          <cell r="P3201">
            <v>44831</v>
          </cell>
          <cell r="Q3201" t="str">
            <v>2022-09-14 → 9/28</v>
          </cell>
          <cell r="R3201" t="str">
            <v>2022-09-14 → 9/28</v>
          </cell>
          <cell r="S3201"/>
          <cell r="T3201">
            <v>44827</v>
          </cell>
          <cell r="U3201">
            <v>44838</v>
          </cell>
          <cell r="V3201">
            <v>44840</v>
          </cell>
          <cell r="W3201">
            <v>44840</v>
          </cell>
          <cell r="X3201">
            <v>41100383</v>
          </cell>
        </row>
        <row r="3202">
          <cell r="K3202" t="str">
            <v>IVAS-155</v>
          </cell>
          <cell r="L3202">
            <v>44811</v>
          </cell>
          <cell r="M3202">
            <v>44812</v>
          </cell>
          <cell r="N3202">
            <v>44832</v>
          </cell>
          <cell r="O3202">
            <v>44812</v>
          </cell>
          <cell r="P3202">
            <v>44831</v>
          </cell>
          <cell r="Q3202" t="str">
            <v>2022-09-26 → 9/20 → 9/28</v>
          </cell>
          <cell r="R3202" t="str">
            <v>2022-09-26 → 9/20 → 9/28</v>
          </cell>
          <cell r="S3202"/>
          <cell r="T3202">
            <v>44834</v>
          </cell>
          <cell r="U3202">
            <v>44840</v>
          </cell>
          <cell r="V3202">
            <v>44840</v>
          </cell>
          <cell r="W3202">
            <v>44840</v>
          </cell>
          <cell r="X3202">
            <v>41100274</v>
          </cell>
        </row>
        <row r="3203">
          <cell r="K3203" t="str">
            <v>GPWS-0228</v>
          </cell>
          <cell r="L3203">
            <v>44819</v>
          </cell>
          <cell r="M3203">
            <v>44820</v>
          </cell>
          <cell r="N3203">
            <v>44831</v>
          </cell>
          <cell r="O3203">
            <v>44820</v>
          </cell>
          <cell r="P3203">
            <v>44831</v>
          </cell>
          <cell r="Q3203">
            <v>44830</v>
          </cell>
          <cell r="R3203">
            <v>44830</v>
          </cell>
          <cell r="S3203"/>
          <cell r="T3203">
            <v>44831</v>
          </cell>
          <cell r="U3203">
            <v>44832</v>
          </cell>
          <cell r="V3203">
            <v>44838</v>
          </cell>
          <cell r="W3203">
            <v>44838</v>
          </cell>
          <cell r="X3203">
            <v>41100553</v>
          </cell>
        </row>
        <row r="3204">
          <cell r="K3204" t="str">
            <v>GPWS-0229</v>
          </cell>
          <cell r="L3204">
            <v>44819</v>
          </cell>
          <cell r="M3204">
            <v>44820</v>
          </cell>
          <cell r="N3204">
            <v>44831</v>
          </cell>
          <cell r="O3204">
            <v>44820</v>
          </cell>
          <cell r="P3204">
            <v>44831</v>
          </cell>
          <cell r="Q3204">
            <v>44830</v>
          </cell>
          <cell r="R3204">
            <v>44830</v>
          </cell>
          <cell r="S3204"/>
          <cell r="T3204">
            <v>44831</v>
          </cell>
          <cell r="U3204">
            <v>44838</v>
          </cell>
          <cell r="V3204">
            <v>44838</v>
          </cell>
          <cell r="W3204">
            <v>44838</v>
          </cell>
          <cell r="X3204">
            <v>41100553</v>
          </cell>
        </row>
        <row r="3205">
          <cell r="K3205" t="str">
            <v>SOS-0278</v>
          </cell>
          <cell r="L3205">
            <v>44804</v>
          </cell>
          <cell r="M3205">
            <v>44805</v>
          </cell>
          <cell r="N3205">
            <v>44810</v>
          </cell>
          <cell r="O3205">
            <v>44805</v>
          </cell>
          <cell r="P3205">
            <v>44811</v>
          </cell>
          <cell r="Q3205">
            <v>44809</v>
          </cell>
          <cell r="R3205">
            <v>44809</v>
          </cell>
          <cell r="S3205"/>
          <cell r="T3205">
            <v>44810</v>
          </cell>
          <cell r="U3205">
            <v>44817</v>
          </cell>
          <cell r="V3205">
            <v>44820</v>
          </cell>
          <cell r="W3205">
            <v>44820</v>
          </cell>
          <cell r="X3205">
            <v>41100182</v>
          </cell>
        </row>
        <row r="3206">
          <cell r="K3206" t="str">
            <v>SOS-0279</v>
          </cell>
          <cell r="L3206">
            <v>44804</v>
          </cell>
          <cell r="M3206">
            <v>44805</v>
          </cell>
          <cell r="N3206">
            <v>44810</v>
          </cell>
          <cell r="O3206">
            <v>44805</v>
          </cell>
          <cell r="P3206">
            <v>44811</v>
          </cell>
          <cell r="Q3206">
            <v>44809</v>
          </cell>
          <cell r="R3206">
            <v>44809</v>
          </cell>
          <cell r="S3206"/>
          <cell r="T3206">
            <v>44810</v>
          </cell>
          <cell r="U3206">
            <v>44817</v>
          </cell>
          <cell r="V3206">
            <v>44820</v>
          </cell>
          <cell r="W3206">
            <v>44820</v>
          </cell>
          <cell r="X3206">
            <v>41100182</v>
          </cell>
        </row>
        <row r="3207">
          <cell r="K3207" t="str">
            <v>DBW-2665</v>
          </cell>
          <cell r="L3207">
            <v>44721</v>
          </cell>
          <cell r="M3207">
            <v>44722</v>
          </cell>
          <cell r="N3207">
            <v>44733</v>
          </cell>
          <cell r="O3207">
            <v>44722</v>
          </cell>
          <cell r="P3207">
            <v>44734</v>
          </cell>
          <cell r="Q3207">
            <v>44734</v>
          </cell>
          <cell r="R3207">
            <v>44734</v>
          </cell>
          <cell r="S3207"/>
          <cell r="T3207">
            <v>44735</v>
          </cell>
          <cell r="U3207">
            <v>44736</v>
          </cell>
          <cell r="V3207">
            <v>44739</v>
          </cell>
          <cell r="W3207">
            <v>44739</v>
          </cell>
          <cell r="X3207">
            <v>41100310</v>
          </cell>
        </row>
        <row r="3208">
          <cell r="K3208" t="str">
            <v>GBWS-2475</v>
          </cell>
          <cell r="L3208">
            <v>44725</v>
          </cell>
          <cell r="M3208">
            <v>44726</v>
          </cell>
          <cell r="N3208">
            <v>44735</v>
          </cell>
          <cell r="O3208">
            <v>44726</v>
          </cell>
          <cell r="P3208">
            <v>44735</v>
          </cell>
          <cell r="Q3208">
            <v>44735</v>
          </cell>
          <cell r="R3208">
            <v>44735</v>
          </cell>
          <cell r="S3208"/>
          <cell r="T3208">
            <v>44736</v>
          </cell>
          <cell r="U3208">
            <v>44739</v>
          </cell>
          <cell r="V3208">
            <v>44740</v>
          </cell>
          <cell r="W3208">
            <v>44740</v>
          </cell>
          <cell r="X3208">
            <v>41100372</v>
          </cell>
        </row>
        <row r="3209">
          <cell r="K3209" t="str">
            <v>-</v>
          </cell>
          <cell r="L3209">
            <v>44829</v>
          </cell>
          <cell r="M3209">
            <v>44830</v>
          </cell>
          <cell r="N3209">
            <v>44845</v>
          </cell>
          <cell r="O3209">
            <v>44830</v>
          </cell>
          <cell r="P3209">
            <v>44838</v>
          </cell>
          <cell r="Q3209">
            <v>44834</v>
          </cell>
          <cell r="R3209">
            <v>44834</v>
          </cell>
          <cell r="S3209"/>
          <cell r="T3209">
            <v>44839</v>
          </cell>
          <cell r="U3209">
            <v>44845</v>
          </cell>
          <cell r="V3209">
            <v>44845</v>
          </cell>
          <cell r="W3209">
            <v>44845</v>
          </cell>
          <cell r="X3209">
            <v>31102258</v>
          </cell>
        </row>
        <row r="3210">
          <cell r="K3210" t="str">
            <v>-</v>
          </cell>
          <cell r="L3210">
            <v>44829</v>
          </cell>
          <cell r="M3210">
            <v>44830</v>
          </cell>
          <cell r="N3210">
            <v>44845</v>
          </cell>
          <cell r="O3210">
            <v>44830</v>
          </cell>
          <cell r="P3210">
            <v>44838</v>
          </cell>
          <cell r="Q3210">
            <v>44834</v>
          </cell>
          <cell r="R3210">
            <v>44834</v>
          </cell>
          <cell r="S3210"/>
          <cell r="T3210">
            <v>44839</v>
          </cell>
          <cell r="U3210">
            <v>44845</v>
          </cell>
          <cell r="V3210">
            <v>44845</v>
          </cell>
          <cell r="W3210">
            <v>44845</v>
          </cell>
          <cell r="X3210">
            <v>31102306</v>
          </cell>
        </row>
        <row r="3211">
          <cell r="K3211" t="str">
            <v>-</v>
          </cell>
          <cell r="L3211">
            <v>44829</v>
          </cell>
          <cell r="M3211">
            <v>44830</v>
          </cell>
          <cell r="N3211">
            <v>44845</v>
          </cell>
          <cell r="O3211">
            <v>44830</v>
          </cell>
          <cell r="P3211">
            <v>44838</v>
          </cell>
          <cell r="Q3211">
            <v>44834</v>
          </cell>
          <cell r="R3211">
            <v>44834</v>
          </cell>
          <cell r="S3211"/>
          <cell r="T3211">
            <v>44839</v>
          </cell>
          <cell r="U3211">
            <v>44845</v>
          </cell>
          <cell r="V3211">
            <v>44845</v>
          </cell>
          <cell r="W3211">
            <v>44845</v>
          </cell>
          <cell r="X3211">
            <v>31102305</v>
          </cell>
        </row>
        <row r="3212">
          <cell r="K3212" t="str">
            <v>-</v>
          </cell>
          <cell r="L3212">
            <v>44829</v>
          </cell>
          <cell r="M3212">
            <v>44830</v>
          </cell>
          <cell r="N3212">
            <v>44845</v>
          </cell>
          <cell r="O3212">
            <v>44830</v>
          </cell>
          <cell r="P3212">
            <v>44838</v>
          </cell>
          <cell r="Q3212">
            <v>44834</v>
          </cell>
          <cell r="R3212">
            <v>44834</v>
          </cell>
          <cell r="S3212"/>
          <cell r="T3212">
            <v>44839</v>
          </cell>
          <cell r="U3212">
            <v>44845</v>
          </cell>
          <cell r="V3212">
            <v>44845</v>
          </cell>
          <cell r="W3212">
            <v>44845</v>
          </cell>
          <cell r="X3212">
            <v>31102303</v>
          </cell>
        </row>
        <row r="3213">
          <cell r="K3213" t="str">
            <v>-</v>
          </cell>
          <cell r="L3213">
            <v>44829</v>
          </cell>
          <cell r="M3213">
            <v>44830</v>
          </cell>
          <cell r="N3213">
            <v>44845</v>
          </cell>
          <cell r="O3213">
            <v>44830</v>
          </cell>
          <cell r="P3213">
            <v>44838</v>
          </cell>
          <cell r="Q3213">
            <v>44834</v>
          </cell>
          <cell r="R3213">
            <v>44834</v>
          </cell>
          <cell r="S3213"/>
          <cell r="T3213">
            <v>44839</v>
          </cell>
          <cell r="U3213">
            <v>44845</v>
          </cell>
          <cell r="V3213">
            <v>44845</v>
          </cell>
          <cell r="W3213">
            <v>44845</v>
          </cell>
          <cell r="X3213">
            <v>31102262</v>
          </cell>
        </row>
        <row r="3214">
          <cell r="K3214" t="str">
            <v>-</v>
          </cell>
          <cell r="L3214">
            <v>44829</v>
          </cell>
          <cell r="M3214">
            <v>44830</v>
          </cell>
          <cell r="N3214">
            <v>44845</v>
          </cell>
          <cell r="O3214">
            <v>44830</v>
          </cell>
          <cell r="P3214">
            <v>44838</v>
          </cell>
          <cell r="Q3214">
            <v>44834</v>
          </cell>
          <cell r="R3214">
            <v>44834</v>
          </cell>
          <cell r="S3214"/>
          <cell r="T3214">
            <v>44839</v>
          </cell>
          <cell r="U3214">
            <v>44845</v>
          </cell>
          <cell r="V3214">
            <v>44845</v>
          </cell>
          <cell r="W3214">
            <v>44845</v>
          </cell>
          <cell r="X3214">
            <v>31102303</v>
          </cell>
        </row>
        <row r="3215">
          <cell r="K3215" t="str">
            <v>-</v>
          </cell>
          <cell r="L3215">
            <v>44829</v>
          </cell>
          <cell r="M3215">
            <v>44830</v>
          </cell>
          <cell r="N3215">
            <v>44845</v>
          </cell>
          <cell r="O3215">
            <v>44830</v>
          </cell>
          <cell r="P3215">
            <v>44838</v>
          </cell>
          <cell r="Q3215">
            <v>44834</v>
          </cell>
          <cell r="R3215">
            <v>44834</v>
          </cell>
          <cell r="S3215"/>
          <cell r="T3215">
            <v>44839</v>
          </cell>
          <cell r="U3215">
            <v>44845</v>
          </cell>
          <cell r="V3215">
            <v>44845</v>
          </cell>
          <cell r="W3215">
            <v>44845</v>
          </cell>
          <cell r="X3215">
            <v>31102253</v>
          </cell>
        </row>
        <row r="3216">
          <cell r="K3216" t="str">
            <v>IVAS-157</v>
          </cell>
          <cell r="L3216">
            <v>44826</v>
          </cell>
          <cell r="M3216">
            <v>44827</v>
          </cell>
          <cell r="N3216">
            <v>44840</v>
          </cell>
          <cell r="O3216">
            <v>44827</v>
          </cell>
          <cell r="P3216">
            <v>44845</v>
          </cell>
          <cell r="Q3216">
            <v>44838</v>
          </cell>
          <cell r="R3216">
            <v>44838</v>
          </cell>
          <cell r="S3216"/>
          <cell r="T3216">
            <v>44841</v>
          </cell>
          <cell r="U3216">
            <v>44846</v>
          </cell>
          <cell r="V3216">
            <v>44846</v>
          </cell>
          <cell r="W3216">
            <v>44846</v>
          </cell>
          <cell r="X3216">
            <v>41100541</v>
          </cell>
        </row>
        <row r="3217">
          <cell r="K3217" t="str">
            <v>GBWS-2874</v>
          </cell>
          <cell r="L3217">
            <v>44825</v>
          </cell>
          <cell r="M3217">
            <v>44826</v>
          </cell>
          <cell r="N3217">
            <v>44839</v>
          </cell>
          <cell r="O3217">
            <v>44826</v>
          </cell>
          <cell r="P3217">
            <v>44838</v>
          </cell>
          <cell r="Q3217">
            <v>44838</v>
          </cell>
          <cell r="R3217">
            <v>44838</v>
          </cell>
          <cell r="S3217"/>
          <cell r="T3217">
            <v>44839</v>
          </cell>
          <cell r="U3217">
            <v>44841</v>
          </cell>
          <cell r="V3217">
            <v>44846</v>
          </cell>
          <cell r="W3217">
            <v>44846</v>
          </cell>
          <cell r="X3217">
            <v>41100573</v>
          </cell>
        </row>
        <row r="3218">
          <cell r="K3218" t="str">
            <v>IVAS-154</v>
          </cell>
          <cell r="L3218">
            <v>44806</v>
          </cell>
          <cell r="M3218">
            <v>44809</v>
          </cell>
          <cell r="N3218">
            <v>44828</v>
          </cell>
          <cell r="O3218">
            <v>44809</v>
          </cell>
          <cell r="P3218">
            <v>44839</v>
          </cell>
          <cell r="Q3218">
            <v>44840</v>
          </cell>
          <cell r="R3218">
            <v>44840</v>
          </cell>
          <cell r="S3218"/>
          <cell r="T3218">
            <v>44832</v>
          </cell>
          <cell r="U3218">
            <v>44847</v>
          </cell>
          <cell r="V3218">
            <v>44847</v>
          </cell>
          <cell r="W3218">
            <v>44847</v>
          </cell>
          <cell r="X3218">
            <v>41100290</v>
          </cell>
        </row>
        <row r="3219">
          <cell r="K3219" t="str">
            <v>GBWS-2825</v>
          </cell>
          <cell r="L3219">
            <v>44816</v>
          </cell>
          <cell r="M3219">
            <v>44817</v>
          </cell>
          <cell r="N3219">
            <v>44827</v>
          </cell>
          <cell r="O3219">
            <v>44817</v>
          </cell>
          <cell r="P3219">
            <v>44827</v>
          </cell>
          <cell r="Q3219">
            <v>44827</v>
          </cell>
          <cell r="R3219">
            <v>44827</v>
          </cell>
          <cell r="S3219"/>
          <cell r="T3219">
            <v>44828</v>
          </cell>
          <cell r="U3219">
            <v>44831</v>
          </cell>
          <cell r="V3219">
            <v>44832</v>
          </cell>
          <cell r="W3219">
            <v>44832</v>
          </cell>
          <cell r="X3219">
            <v>41100350</v>
          </cell>
        </row>
        <row r="3220">
          <cell r="K3220" t="str">
            <v>IVAS-156</v>
          </cell>
          <cell r="L3220">
            <v>44818</v>
          </cell>
          <cell r="M3220">
            <v>44819</v>
          </cell>
          <cell r="N3220">
            <v>44840</v>
          </cell>
          <cell r="O3220">
            <v>44819</v>
          </cell>
          <cell r="P3220">
            <v>44840</v>
          </cell>
          <cell r="Q3220">
            <v>44840</v>
          </cell>
          <cell r="R3220">
            <v>44840</v>
          </cell>
          <cell r="S3220"/>
          <cell r="T3220">
            <v>44840</v>
          </cell>
          <cell r="U3220">
            <v>44845</v>
          </cell>
          <cell r="V3220">
            <v>44847</v>
          </cell>
          <cell r="W3220">
            <v>44847</v>
          </cell>
          <cell r="X3220">
            <v>41100571</v>
          </cell>
        </row>
        <row r="3221">
          <cell r="K3221" t="str">
            <v>GBWS-2848</v>
          </cell>
          <cell r="L3221">
            <v>44823</v>
          </cell>
          <cell r="M3221">
            <v>44824</v>
          </cell>
          <cell r="N3221">
            <v>44839</v>
          </cell>
          <cell r="O3221">
            <v>44840</v>
          </cell>
          <cell r="P3221">
            <v>44840</v>
          </cell>
          <cell r="Q3221">
            <v>44839</v>
          </cell>
          <cell r="R3221">
            <v>44839</v>
          </cell>
          <cell r="S3221"/>
          <cell r="T3221">
            <v>44840</v>
          </cell>
          <cell r="U3221">
            <v>44845</v>
          </cell>
          <cell r="V3221">
            <v>44847</v>
          </cell>
          <cell r="W3221">
            <v>44848</v>
          </cell>
          <cell r="X3221">
            <v>41100350</v>
          </cell>
        </row>
        <row r="3222">
          <cell r="K3222" t="str">
            <v>DBW-2741</v>
          </cell>
          <cell r="L3222">
            <v>44823</v>
          </cell>
          <cell r="M3222">
            <v>44824</v>
          </cell>
          <cell r="N3222">
            <v>44838</v>
          </cell>
          <cell r="O3222">
            <v>44824</v>
          </cell>
          <cell r="P3222">
            <v>44839</v>
          </cell>
          <cell r="Q3222">
            <v>44834</v>
          </cell>
          <cell r="R3222">
            <v>44834</v>
          </cell>
          <cell r="S3222"/>
          <cell r="T3222">
            <v>44838</v>
          </cell>
          <cell r="U3222">
            <v>44841</v>
          </cell>
          <cell r="V3222">
            <v>44841</v>
          </cell>
          <cell r="W3222">
            <v>44841</v>
          </cell>
          <cell r="X3222">
            <v>41100472</v>
          </cell>
        </row>
        <row r="3223">
          <cell r="K3223" t="str">
            <v>DBW-2742</v>
          </cell>
          <cell r="L3223">
            <v>44823</v>
          </cell>
          <cell r="M3223">
            <v>44824</v>
          </cell>
          <cell r="N3223">
            <v>44838</v>
          </cell>
          <cell r="O3223">
            <v>44824</v>
          </cell>
          <cell r="P3223">
            <v>44839</v>
          </cell>
          <cell r="Q3223">
            <v>44834</v>
          </cell>
          <cell r="R3223">
            <v>44834</v>
          </cell>
          <cell r="S3223"/>
          <cell r="T3223">
            <v>44838</v>
          </cell>
          <cell r="U3223">
            <v>44841</v>
          </cell>
          <cell r="V3223">
            <v>44845</v>
          </cell>
          <cell r="W3223">
            <v>44845</v>
          </cell>
          <cell r="X3223">
            <v>41100472</v>
          </cell>
        </row>
        <row r="3224">
          <cell r="K3224" t="str">
            <v>GBWS-2849</v>
          </cell>
          <cell r="L3224">
            <v>44823</v>
          </cell>
          <cell r="M3224">
            <v>44824</v>
          </cell>
          <cell r="N3224">
            <v>44846</v>
          </cell>
          <cell r="O3224">
            <v>44824</v>
          </cell>
          <cell r="P3224">
            <v>44846</v>
          </cell>
          <cell r="Q3224">
            <v>44845</v>
          </cell>
          <cell r="R3224">
            <v>44845</v>
          </cell>
          <cell r="S3224"/>
          <cell r="T3224">
            <v>44846</v>
          </cell>
          <cell r="U3224">
            <v>44848</v>
          </cell>
          <cell r="V3224">
            <v>44848</v>
          </cell>
          <cell r="W3224">
            <v>44848</v>
          </cell>
          <cell r="X3224">
            <v>41100468</v>
          </cell>
        </row>
        <row r="3225">
          <cell r="K3225" t="str">
            <v>GBWS-2850</v>
          </cell>
          <cell r="L3225">
            <v>44823</v>
          </cell>
          <cell r="M3225">
            <v>44824</v>
          </cell>
          <cell r="N3225">
            <v>44846</v>
          </cell>
          <cell r="O3225">
            <v>44824</v>
          </cell>
          <cell r="P3225">
            <v>44846</v>
          </cell>
          <cell r="Q3225">
            <v>44845</v>
          </cell>
          <cell r="R3225">
            <v>44845</v>
          </cell>
          <cell r="S3225"/>
          <cell r="T3225">
            <v>44846</v>
          </cell>
          <cell r="U3225">
            <v>44848</v>
          </cell>
          <cell r="V3225">
            <v>44848</v>
          </cell>
          <cell r="W3225">
            <v>44848</v>
          </cell>
          <cell r="X3225">
            <v>41100468</v>
          </cell>
        </row>
        <row r="3226">
          <cell r="K3226" t="str">
            <v>GBWS-2851</v>
          </cell>
          <cell r="L3226">
            <v>44823</v>
          </cell>
          <cell r="M3226">
            <v>44824</v>
          </cell>
          <cell r="N3226">
            <v>44846</v>
          </cell>
          <cell r="O3226">
            <v>44824</v>
          </cell>
          <cell r="P3226">
            <v>44846</v>
          </cell>
          <cell r="Q3226">
            <v>44845</v>
          </cell>
          <cell r="R3226">
            <v>44845</v>
          </cell>
          <cell r="S3226"/>
          <cell r="T3226">
            <v>44846</v>
          </cell>
          <cell r="U3226">
            <v>44848</v>
          </cell>
          <cell r="V3226">
            <v>44848</v>
          </cell>
          <cell r="W3226">
            <v>44848</v>
          </cell>
          <cell r="X3226">
            <v>41100468</v>
          </cell>
        </row>
        <row r="3227">
          <cell r="K3227" t="str">
            <v>GBWS-2852</v>
          </cell>
          <cell r="L3227">
            <v>44823</v>
          </cell>
          <cell r="M3227">
            <v>44824</v>
          </cell>
          <cell r="N3227">
            <v>44846</v>
          </cell>
          <cell r="O3227">
            <v>44824</v>
          </cell>
          <cell r="P3227">
            <v>44846</v>
          </cell>
          <cell r="Q3227">
            <v>44845</v>
          </cell>
          <cell r="R3227">
            <v>44845</v>
          </cell>
          <cell r="S3227"/>
          <cell r="T3227">
            <v>44846</v>
          </cell>
          <cell r="U3227">
            <v>44848</v>
          </cell>
          <cell r="V3227">
            <v>44848</v>
          </cell>
          <cell r="W3227">
            <v>44848</v>
          </cell>
          <cell r="X3227">
            <v>41100468</v>
          </cell>
        </row>
        <row r="3228">
          <cell r="K3228" t="str">
            <v>GBWS-2853</v>
          </cell>
          <cell r="L3228">
            <v>44823</v>
          </cell>
          <cell r="M3228">
            <v>44824</v>
          </cell>
          <cell r="N3228">
            <v>44846</v>
          </cell>
          <cell r="O3228">
            <v>44824</v>
          </cell>
          <cell r="P3228">
            <v>44846</v>
          </cell>
          <cell r="Q3228">
            <v>44845</v>
          </cell>
          <cell r="R3228">
            <v>44845</v>
          </cell>
          <cell r="S3228"/>
          <cell r="T3228">
            <v>44846</v>
          </cell>
          <cell r="U3228">
            <v>44848</v>
          </cell>
          <cell r="V3228">
            <v>44848</v>
          </cell>
          <cell r="W3228">
            <v>44848</v>
          </cell>
          <cell r="X3228">
            <v>41100468</v>
          </cell>
        </row>
        <row r="3229">
          <cell r="K3229" t="str">
            <v>GBWS-2854</v>
          </cell>
          <cell r="L3229">
            <v>44823</v>
          </cell>
          <cell r="M3229">
            <v>44824</v>
          </cell>
          <cell r="N3229">
            <v>44846</v>
          </cell>
          <cell r="O3229">
            <v>44824</v>
          </cell>
          <cell r="P3229">
            <v>44846</v>
          </cell>
          <cell r="Q3229">
            <v>44845</v>
          </cell>
          <cell r="R3229">
            <v>44845</v>
          </cell>
          <cell r="S3229"/>
          <cell r="T3229">
            <v>44846</v>
          </cell>
          <cell r="U3229">
            <v>44848</v>
          </cell>
          <cell r="V3229">
            <v>44848</v>
          </cell>
          <cell r="W3229">
            <v>44848</v>
          </cell>
          <cell r="X3229">
            <v>41100468</v>
          </cell>
        </row>
        <row r="3230">
          <cell r="K3230" t="str">
            <v>-</v>
          </cell>
          <cell r="L3230">
            <v>44818</v>
          </cell>
          <cell r="M3230">
            <v>44819</v>
          </cell>
          <cell r="N3230">
            <v>44827</v>
          </cell>
          <cell r="O3230">
            <v>44819</v>
          </cell>
          <cell r="P3230">
            <v>44827</v>
          </cell>
          <cell r="Q3230">
            <v>44826</v>
          </cell>
          <cell r="R3230">
            <v>44826</v>
          </cell>
          <cell r="S3230"/>
          <cell r="T3230">
            <v>44832</v>
          </cell>
          <cell r="U3230">
            <v>44848</v>
          </cell>
          <cell r="V3230">
            <v>44848</v>
          </cell>
          <cell r="W3230">
            <v>44848</v>
          </cell>
          <cell r="X3230">
            <v>31102364</v>
          </cell>
        </row>
        <row r="3231">
          <cell r="K3231" t="str">
            <v>GPWS-0230</v>
          </cell>
          <cell r="L3231">
            <v>44830</v>
          </cell>
          <cell r="M3231">
            <v>44831</v>
          </cell>
          <cell r="N3231">
            <v>44842</v>
          </cell>
          <cell r="O3231">
            <v>44831</v>
          </cell>
          <cell r="P3231">
            <v>44846</v>
          </cell>
          <cell r="Q3231">
            <v>44841</v>
          </cell>
          <cell r="R3231">
            <v>44841</v>
          </cell>
          <cell r="S3231"/>
          <cell r="T3231">
            <v>44842</v>
          </cell>
          <cell r="U3231">
            <v>44847</v>
          </cell>
          <cell r="V3231">
            <v>44848</v>
          </cell>
          <cell r="W3231">
            <v>44848</v>
          </cell>
          <cell r="X3231">
            <v>41100554</v>
          </cell>
        </row>
        <row r="3232">
          <cell r="K3232" t="str">
            <v>GBWS-2855</v>
          </cell>
          <cell r="L3232">
            <v>44823</v>
          </cell>
          <cell r="M3232">
            <v>44824</v>
          </cell>
          <cell r="N3232">
            <v>44845</v>
          </cell>
          <cell r="O3232">
            <v>44824</v>
          </cell>
          <cell r="P3232">
            <v>44845</v>
          </cell>
          <cell r="Q3232">
            <v>44845</v>
          </cell>
          <cell r="R3232">
            <v>44845</v>
          </cell>
          <cell r="S3232"/>
          <cell r="T3232">
            <v>44846</v>
          </cell>
          <cell r="U3232">
            <v>44847</v>
          </cell>
          <cell r="V3232">
            <v>44848</v>
          </cell>
          <cell r="W3232">
            <v>44848</v>
          </cell>
          <cell r="X3232">
            <v>41100511</v>
          </cell>
        </row>
        <row r="3233">
          <cell r="K3233" t="str">
            <v>GBWS-2856</v>
          </cell>
          <cell r="L3233">
            <v>44823</v>
          </cell>
          <cell r="M3233">
            <v>44824</v>
          </cell>
          <cell r="N3233">
            <v>44845</v>
          </cell>
          <cell r="O3233">
            <v>44824</v>
          </cell>
          <cell r="P3233">
            <v>44845</v>
          </cell>
          <cell r="Q3233">
            <v>44845</v>
          </cell>
          <cell r="R3233">
            <v>44845</v>
          </cell>
          <cell r="S3233"/>
          <cell r="T3233">
            <v>44846</v>
          </cell>
          <cell r="U3233">
            <v>44846</v>
          </cell>
          <cell r="V3233">
            <v>44848</v>
          </cell>
          <cell r="W3233">
            <v>44848</v>
          </cell>
          <cell r="X3233">
            <v>41100511</v>
          </cell>
        </row>
        <row r="3234">
          <cell r="K3234" t="str">
            <v>GBWS-2857</v>
          </cell>
          <cell r="L3234">
            <v>44823</v>
          </cell>
          <cell r="M3234">
            <v>44824</v>
          </cell>
          <cell r="N3234">
            <v>44845</v>
          </cell>
          <cell r="O3234">
            <v>44824</v>
          </cell>
          <cell r="P3234">
            <v>44845</v>
          </cell>
          <cell r="Q3234">
            <v>44845</v>
          </cell>
          <cell r="R3234">
            <v>44845</v>
          </cell>
          <cell r="S3234"/>
          <cell r="T3234">
            <v>44846</v>
          </cell>
          <cell r="U3234">
            <v>44847</v>
          </cell>
          <cell r="V3234">
            <v>44848</v>
          </cell>
          <cell r="W3234">
            <v>44848</v>
          </cell>
          <cell r="X3234">
            <v>41100511</v>
          </cell>
        </row>
        <row r="3235">
          <cell r="K3235" t="str">
            <v xml:space="preserve"> -</v>
          </cell>
          <cell r="L3235">
            <v>44641</v>
          </cell>
          <cell r="M3235">
            <v>44642</v>
          </cell>
          <cell r="N3235">
            <v>44644</v>
          </cell>
          <cell r="O3235">
            <v>44642</v>
          </cell>
          <cell r="P3235" t="str">
            <v xml:space="preserve"> -</v>
          </cell>
          <cell r="Q3235">
            <v>44644</v>
          </cell>
          <cell r="R3235">
            <v>44644</v>
          </cell>
          <cell r="S3235"/>
          <cell r="T3235" t="str">
            <v xml:space="preserve"> -</v>
          </cell>
          <cell r="U3235">
            <v>44649</v>
          </cell>
          <cell r="V3235" t="str">
            <v xml:space="preserve"> -</v>
          </cell>
          <cell r="W3235">
            <v>44650</v>
          </cell>
          <cell r="X3235">
            <v>31100994</v>
          </cell>
        </row>
        <row r="3236">
          <cell r="K3236" t="str">
            <v>-</v>
          </cell>
          <cell r="L3236">
            <v>44789</v>
          </cell>
          <cell r="M3236">
            <v>44790</v>
          </cell>
          <cell r="N3236">
            <v>44797</v>
          </cell>
          <cell r="O3236">
            <v>44790</v>
          </cell>
          <cell r="P3236">
            <v>44797</v>
          </cell>
          <cell r="Q3236">
            <v>44792</v>
          </cell>
          <cell r="R3236">
            <v>44792</v>
          </cell>
          <cell r="S3236"/>
          <cell r="T3236">
            <v>44797</v>
          </cell>
          <cell r="U3236">
            <v>44797</v>
          </cell>
          <cell r="V3236">
            <v>44798</v>
          </cell>
          <cell r="W3236">
            <v>44798</v>
          </cell>
          <cell r="X3236">
            <v>31100994</v>
          </cell>
        </row>
        <row r="3237">
          <cell r="K3237" t="str">
            <v>-</v>
          </cell>
          <cell r="L3237">
            <v>44791</v>
          </cell>
          <cell r="M3237">
            <v>44792</v>
          </cell>
          <cell r="N3237">
            <v>44797</v>
          </cell>
          <cell r="O3237">
            <v>44792</v>
          </cell>
          <cell r="P3237">
            <v>44797</v>
          </cell>
          <cell r="Q3237">
            <v>44796</v>
          </cell>
          <cell r="R3237">
            <v>44796</v>
          </cell>
          <cell r="S3237"/>
          <cell r="T3237">
            <v>44797</v>
          </cell>
          <cell r="U3237">
            <v>44797</v>
          </cell>
          <cell r="V3237">
            <v>44798</v>
          </cell>
          <cell r="W3237">
            <v>44798</v>
          </cell>
          <cell r="X3237">
            <v>31100994</v>
          </cell>
        </row>
        <row r="3238">
          <cell r="K3238" t="str">
            <v>GBWS-2858</v>
          </cell>
          <cell r="L3238">
            <v>44823</v>
          </cell>
          <cell r="M3238">
            <v>44824</v>
          </cell>
          <cell r="N3238">
            <v>44845</v>
          </cell>
          <cell r="O3238">
            <v>44824</v>
          </cell>
          <cell r="P3238">
            <v>44845</v>
          </cell>
          <cell r="Q3238">
            <v>44845</v>
          </cell>
          <cell r="R3238">
            <v>44845</v>
          </cell>
          <cell r="S3238"/>
          <cell r="T3238">
            <v>44846</v>
          </cell>
          <cell r="U3238">
            <v>44846</v>
          </cell>
          <cell r="V3238">
            <v>44848</v>
          </cell>
          <cell r="W3238">
            <v>44848</v>
          </cell>
          <cell r="X3238">
            <v>41100511</v>
          </cell>
        </row>
        <row r="3239">
          <cell r="K3239" t="str">
            <v>GBWS-2805</v>
          </cell>
          <cell r="L3239">
            <v>44809</v>
          </cell>
          <cell r="M3239">
            <v>44810</v>
          </cell>
          <cell r="N3239">
            <v>44827</v>
          </cell>
          <cell r="O3239">
            <v>44810</v>
          </cell>
          <cell r="P3239">
            <v>44826</v>
          </cell>
          <cell r="Q3239" t="str">
            <v>2022-09-19 → 9/21</v>
          </cell>
          <cell r="R3239" t="str">
            <v>2022-09-19 → 9/21</v>
          </cell>
          <cell r="S3239"/>
          <cell r="T3239">
            <v>44830</v>
          </cell>
          <cell r="U3239">
            <v>44832</v>
          </cell>
          <cell r="V3239">
            <v>44833</v>
          </cell>
          <cell r="W3239">
            <v>44833</v>
          </cell>
          <cell r="X3239">
            <v>41100249</v>
          </cell>
        </row>
        <row r="3240">
          <cell r="K3240" t="str">
            <v>G1H3007</v>
          </cell>
          <cell r="L3240"/>
          <cell r="M3240">
            <v>44810</v>
          </cell>
          <cell r="N3240">
            <v>44848</v>
          </cell>
          <cell r="O3240" t="str">
            <v>-</v>
          </cell>
          <cell r="P3240" t="str">
            <v>-</v>
          </cell>
          <cell r="Q3240">
            <v>44848</v>
          </cell>
          <cell r="R3240">
            <v>44848</v>
          </cell>
          <cell r="S3240"/>
          <cell r="T3240">
            <v>44849</v>
          </cell>
          <cell r="U3240">
            <v>44850</v>
          </cell>
          <cell r="V3240">
            <v>44851</v>
          </cell>
          <cell r="W3240">
            <v>44851</v>
          </cell>
          <cell r="X3240" t="str">
            <v>-</v>
          </cell>
        </row>
        <row r="3241">
          <cell r="K3241" t="str">
            <v>G13090003</v>
          </cell>
          <cell r="L3241"/>
          <cell r="M3241">
            <v>44810</v>
          </cell>
          <cell r="N3241">
            <v>44848</v>
          </cell>
          <cell r="O3241" t="str">
            <v>-</v>
          </cell>
          <cell r="P3241" t="str">
            <v>-</v>
          </cell>
          <cell r="Q3241">
            <v>44848</v>
          </cell>
          <cell r="R3241">
            <v>44848</v>
          </cell>
          <cell r="S3241"/>
          <cell r="T3241">
            <v>44849</v>
          </cell>
          <cell r="U3241">
            <v>44850</v>
          </cell>
          <cell r="V3241">
            <v>44851</v>
          </cell>
          <cell r="W3241">
            <v>44851</v>
          </cell>
          <cell r="X3241" t="str">
            <v>-</v>
          </cell>
        </row>
        <row r="3242">
          <cell r="K3242" t="str">
            <v>GBWS-2615</v>
          </cell>
          <cell r="L3242">
            <v>44754</v>
          </cell>
          <cell r="M3242">
            <v>44755</v>
          </cell>
          <cell r="N3242">
            <v>44769</v>
          </cell>
          <cell r="O3242">
            <v>44755</v>
          </cell>
          <cell r="P3242">
            <v>44768</v>
          </cell>
          <cell r="Q3242" t="str">
            <v>2022-07-25 → 7/28</v>
          </cell>
          <cell r="R3242" t="str">
            <v>2022-07-25 → 7/28</v>
          </cell>
          <cell r="S3242"/>
          <cell r="T3242">
            <v>44770</v>
          </cell>
          <cell r="U3242">
            <v>44771</v>
          </cell>
          <cell r="V3242">
            <v>44774</v>
          </cell>
          <cell r="W3242">
            <v>44775</v>
          </cell>
          <cell r="X3242">
            <v>41100516</v>
          </cell>
        </row>
        <row r="3243">
          <cell r="K3243" t="str">
            <v>SOS-0280</v>
          </cell>
          <cell r="L3243">
            <v>44805</v>
          </cell>
          <cell r="M3243">
            <v>44806</v>
          </cell>
          <cell r="N3243">
            <v>44810</v>
          </cell>
          <cell r="O3243">
            <v>44806</v>
          </cell>
          <cell r="P3243">
            <v>44811</v>
          </cell>
          <cell r="Q3243">
            <v>44810</v>
          </cell>
          <cell r="R3243">
            <v>44810</v>
          </cell>
          <cell r="S3243"/>
          <cell r="T3243">
            <v>44810</v>
          </cell>
          <cell r="U3243">
            <v>44817</v>
          </cell>
          <cell r="V3243">
            <v>44820</v>
          </cell>
          <cell r="W3243">
            <v>44820</v>
          </cell>
          <cell r="X3243">
            <v>41100182</v>
          </cell>
        </row>
        <row r="3244">
          <cell r="K3244" t="str">
            <v>DBW-2724</v>
          </cell>
          <cell r="L3244">
            <v>44818</v>
          </cell>
          <cell r="M3244">
            <v>44819</v>
          </cell>
          <cell r="N3244">
            <v>44832</v>
          </cell>
          <cell r="O3244">
            <v>44819</v>
          </cell>
          <cell r="P3244">
            <v>44833</v>
          </cell>
          <cell r="Q3244" t="str">
            <v>2022-09-23 → 9/27 → 9/28</v>
          </cell>
          <cell r="R3244" t="str">
            <v>2022-09-23 → 9/27 → 9/28</v>
          </cell>
          <cell r="S3244"/>
          <cell r="T3244">
            <v>44833</v>
          </cell>
          <cell r="U3244">
            <v>44834</v>
          </cell>
          <cell r="V3244">
            <v>44838</v>
          </cell>
          <cell r="W3244">
            <v>44838</v>
          </cell>
          <cell r="X3244">
            <v>41100480</v>
          </cell>
        </row>
        <row r="3245">
          <cell r="K3245" t="str">
            <v>DBW-2725</v>
          </cell>
          <cell r="L3245">
            <v>44818</v>
          </cell>
          <cell r="M3245">
            <v>44819</v>
          </cell>
          <cell r="N3245">
            <v>44832</v>
          </cell>
          <cell r="O3245">
            <v>44819</v>
          </cell>
          <cell r="P3245">
            <v>44833</v>
          </cell>
          <cell r="Q3245" t="str">
            <v>2022-09-23 → 9/27 → 9/28</v>
          </cell>
          <cell r="R3245" t="str">
            <v>2022-09-23 → 9/27 → 9/28</v>
          </cell>
          <cell r="S3245"/>
          <cell r="T3245">
            <v>44833</v>
          </cell>
          <cell r="U3245">
            <v>44834</v>
          </cell>
          <cell r="V3245">
            <v>44838</v>
          </cell>
          <cell r="W3245">
            <v>44838</v>
          </cell>
          <cell r="X3245">
            <v>41100480</v>
          </cell>
        </row>
        <row r="3246">
          <cell r="K3246" t="str">
            <v>DBW-2726</v>
          </cell>
          <cell r="L3246">
            <v>44818</v>
          </cell>
          <cell r="M3246">
            <v>44819</v>
          </cell>
          <cell r="N3246">
            <v>44832</v>
          </cell>
          <cell r="O3246">
            <v>44819</v>
          </cell>
          <cell r="P3246">
            <v>44833</v>
          </cell>
          <cell r="Q3246" t="str">
            <v>2022-09-23 → 9/27 → 9/28</v>
          </cell>
          <cell r="R3246" t="str">
            <v>2022-09-23 → 9/27 → 9/28</v>
          </cell>
          <cell r="S3246"/>
          <cell r="T3246">
            <v>44833</v>
          </cell>
          <cell r="U3246">
            <v>44834</v>
          </cell>
          <cell r="V3246">
            <v>44838</v>
          </cell>
          <cell r="W3246">
            <v>44838</v>
          </cell>
          <cell r="X3246">
            <v>41100480</v>
          </cell>
        </row>
        <row r="3247">
          <cell r="K3247" t="str">
            <v>IVAS-160</v>
          </cell>
          <cell r="L3247">
            <v>44831</v>
          </cell>
          <cell r="M3247">
            <v>44832</v>
          </cell>
          <cell r="N3247">
            <v>44848</v>
          </cell>
          <cell r="O3247">
            <v>44832</v>
          </cell>
          <cell r="P3247">
            <v>44851</v>
          </cell>
          <cell r="Q3247" t="str">
            <v>2022-10-11 → 10/12 오전</v>
          </cell>
          <cell r="R3247" t="str">
            <v>2022-10-11 → 10/12 오전</v>
          </cell>
          <cell r="S3247"/>
          <cell r="T3247">
            <v>44846</v>
          </cell>
          <cell r="U3247">
            <v>44851</v>
          </cell>
          <cell r="V3247">
            <v>44852</v>
          </cell>
          <cell r="W3247">
            <v>44852</v>
          </cell>
          <cell r="X3247" t="str">
            <v>41100271 → 41100589</v>
          </cell>
        </row>
        <row r="3248">
          <cell r="K3248" t="str">
            <v>GBWS-2364</v>
          </cell>
          <cell r="L3248">
            <v>44697</v>
          </cell>
          <cell r="M3248">
            <v>44698</v>
          </cell>
          <cell r="N3248">
            <v>44708</v>
          </cell>
          <cell r="O3248">
            <v>44698</v>
          </cell>
          <cell r="P3248">
            <v>44708</v>
          </cell>
          <cell r="Q3248">
            <v>44708</v>
          </cell>
          <cell r="R3248">
            <v>44708</v>
          </cell>
          <cell r="S3248"/>
          <cell r="T3248">
            <v>44711</v>
          </cell>
          <cell r="U3248">
            <v>44712</v>
          </cell>
          <cell r="V3248">
            <v>44712</v>
          </cell>
          <cell r="W3248">
            <v>44714</v>
          </cell>
          <cell r="X3248">
            <v>41100468</v>
          </cell>
        </row>
        <row r="3249">
          <cell r="K3249" t="str">
            <v>GBWS-2365</v>
          </cell>
          <cell r="L3249">
            <v>44697</v>
          </cell>
          <cell r="M3249">
            <v>44698</v>
          </cell>
          <cell r="N3249">
            <v>44708</v>
          </cell>
          <cell r="O3249">
            <v>44698</v>
          </cell>
          <cell r="P3249">
            <v>44708</v>
          </cell>
          <cell r="Q3249">
            <v>44708</v>
          </cell>
          <cell r="R3249">
            <v>44708</v>
          </cell>
          <cell r="S3249"/>
          <cell r="T3249">
            <v>44711</v>
          </cell>
          <cell r="U3249">
            <v>44712</v>
          </cell>
          <cell r="V3249">
            <v>44712</v>
          </cell>
          <cell r="W3249">
            <v>44714</v>
          </cell>
          <cell r="X3249">
            <v>41100468</v>
          </cell>
        </row>
        <row r="3250">
          <cell r="K3250" t="str">
            <v>DBW-2739</v>
          </cell>
          <cell r="L3250">
            <v>44831</v>
          </cell>
          <cell r="M3250">
            <v>44832</v>
          </cell>
          <cell r="N3250">
            <v>44846</v>
          </cell>
          <cell r="O3250">
            <v>44832</v>
          </cell>
          <cell r="P3250">
            <v>44845</v>
          </cell>
          <cell r="Q3250">
            <v>44841</v>
          </cell>
          <cell r="R3250">
            <v>44841</v>
          </cell>
          <cell r="S3250"/>
          <cell r="T3250">
            <v>44842</v>
          </cell>
          <cell r="U3250">
            <v>44847</v>
          </cell>
          <cell r="V3250">
            <v>44848</v>
          </cell>
          <cell r="W3250">
            <v>44848</v>
          </cell>
          <cell r="X3250">
            <v>41100472</v>
          </cell>
        </row>
        <row r="3251">
          <cell r="K3251" t="str">
            <v>DBW-2740</v>
          </cell>
          <cell r="L3251">
            <v>44831</v>
          </cell>
          <cell r="M3251">
            <v>44832</v>
          </cell>
          <cell r="N3251">
            <v>44846</v>
          </cell>
          <cell r="O3251">
            <v>44832</v>
          </cell>
          <cell r="P3251">
            <v>44845</v>
          </cell>
          <cell r="Q3251">
            <v>44841</v>
          </cell>
          <cell r="R3251">
            <v>44841</v>
          </cell>
          <cell r="S3251"/>
          <cell r="T3251">
            <v>44842</v>
          </cell>
          <cell r="U3251">
            <v>44847</v>
          </cell>
          <cell r="V3251">
            <v>44848</v>
          </cell>
          <cell r="W3251">
            <v>44848</v>
          </cell>
          <cell r="X3251">
            <v>41100472</v>
          </cell>
        </row>
        <row r="3252">
          <cell r="K3252" t="str">
            <v>2102-051</v>
          </cell>
          <cell r="L3252" t="str">
            <v>-</v>
          </cell>
          <cell r="M3252">
            <v>44846</v>
          </cell>
          <cell r="N3252">
            <v>44846</v>
          </cell>
          <cell r="O3252" t="str">
            <v>-</v>
          </cell>
          <cell r="P3252" t="str">
            <v>-</v>
          </cell>
          <cell r="Q3252">
            <v>44846</v>
          </cell>
          <cell r="R3252">
            <v>44846</v>
          </cell>
          <cell r="S3252"/>
          <cell r="T3252">
            <v>44847</v>
          </cell>
          <cell r="U3252">
            <v>44848</v>
          </cell>
          <cell r="V3252">
            <v>44853</v>
          </cell>
          <cell r="W3252">
            <v>44853</v>
          </cell>
          <cell r="X3252" t="str">
            <v>-</v>
          </cell>
        </row>
        <row r="3253">
          <cell r="K3253" t="str">
            <v>1812-004</v>
          </cell>
          <cell r="L3253" t="str">
            <v>-</v>
          </cell>
          <cell r="M3253">
            <v>44848</v>
          </cell>
          <cell r="N3253">
            <v>44848</v>
          </cell>
          <cell r="O3253" t="str">
            <v>-</v>
          </cell>
          <cell r="P3253" t="str">
            <v>-</v>
          </cell>
          <cell r="Q3253">
            <v>44848</v>
          </cell>
          <cell r="R3253">
            <v>44848</v>
          </cell>
          <cell r="S3253"/>
          <cell r="T3253">
            <v>44847</v>
          </cell>
          <cell r="U3253">
            <v>44848</v>
          </cell>
          <cell r="V3253">
            <v>44853</v>
          </cell>
          <cell r="W3253">
            <v>44853</v>
          </cell>
          <cell r="X3253" t="str">
            <v>-</v>
          </cell>
        </row>
        <row r="3254">
          <cell r="K3254" t="str">
            <v>IVAS-158</v>
          </cell>
          <cell r="L3254">
            <v>44829</v>
          </cell>
          <cell r="M3254">
            <v>44830</v>
          </cell>
          <cell r="N3254">
            <v>44848</v>
          </cell>
          <cell r="O3254">
            <v>44830</v>
          </cell>
          <cell r="P3254">
            <v>44851</v>
          </cell>
          <cell r="Q3254">
            <v>44841</v>
          </cell>
          <cell r="R3254">
            <v>44841</v>
          </cell>
          <cell r="S3254"/>
          <cell r="T3254">
            <v>44845</v>
          </cell>
          <cell r="U3254">
            <v>44852</v>
          </cell>
          <cell r="V3254">
            <v>44853</v>
          </cell>
          <cell r="W3254">
            <v>44853</v>
          </cell>
          <cell r="X3254">
            <v>41100383</v>
          </cell>
        </row>
        <row r="3255">
          <cell r="K3255" t="str">
            <v>IVAS-159</v>
          </cell>
          <cell r="L3255">
            <v>44829</v>
          </cell>
          <cell r="M3255">
            <v>44830</v>
          </cell>
          <cell r="N3255">
            <v>44848</v>
          </cell>
          <cell r="O3255">
            <v>44830</v>
          </cell>
          <cell r="P3255">
            <v>44851</v>
          </cell>
          <cell r="Q3255">
            <v>44841</v>
          </cell>
          <cell r="R3255">
            <v>44841</v>
          </cell>
          <cell r="S3255"/>
          <cell r="T3255">
            <v>44845</v>
          </cell>
          <cell r="U3255">
            <v>44852</v>
          </cell>
          <cell r="V3255">
            <v>44852</v>
          </cell>
          <cell r="W3255">
            <v>44852</v>
          </cell>
          <cell r="X3255">
            <v>41100383</v>
          </cell>
        </row>
        <row r="3256">
          <cell r="K3256" t="str">
            <v>GBWS-2884</v>
          </cell>
          <cell r="L3256">
            <v>44832</v>
          </cell>
          <cell r="M3256">
            <v>44833</v>
          </cell>
          <cell r="N3256">
            <v>44848</v>
          </cell>
          <cell r="O3256">
            <v>44833</v>
          </cell>
          <cell r="P3256">
            <v>44847</v>
          </cell>
          <cell r="Q3256" t="str">
            <v>2022-10-11 → 10/13 오전</v>
          </cell>
          <cell r="R3256" t="str">
            <v>2022-10-11 → 10/13 오전</v>
          </cell>
          <cell r="S3256"/>
          <cell r="T3256">
            <v>44847</v>
          </cell>
          <cell r="U3256">
            <v>44851</v>
          </cell>
          <cell r="V3256">
            <v>44851</v>
          </cell>
          <cell r="W3256">
            <v>44852</v>
          </cell>
          <cell r="X3256">
            <v>41100584</v>
          </cell>
        </row>
        <row r="3257">
          <cell r="K3257" t="str">
            <v>GBWS-2885</v>
          </cell>
          <cell r="L3257">
            <v>44832</v>
          </cell>
          <cell r="M3257">
            <v>44833</v>
          </cell>
          <cell r="N3257">
            <v>44848</v>
          </cell>
          <cell r="O3257">
            <v>44833</v>
          </cell>
          <cell r="P3257">
            <v>44847</v>
          </cell>
          <cell r="Q3257" t="str">
            <v>2022-10-11 → 10/13 오전</v>
          </cell>
          <cell r="R3257" t="str">
            <v>2022-10-11 → 10/13 오전</v>
          </cell>
          <cell r="S3257"/>
          <cell r="T3257">
            <v>44847</v>
          </cell>
          <cell r="U3257">
            <v>44851</v>
          </cell>
          <cell r="V3257">
            <v>44851</v>
          </cell>
          <cell r="W3257">
            <v>44852</v>
          </cell>
          <cell r="X3257">
            <v>41100584</v>
          </cell>
        </row>
        <row r="3258">
          <cell r="K3258" t="str">
            <v>GBWS-2886</v>
          </cell>
          <cell r="L3258">
            <v>44832</v>
          </cell>
          <cell r="M3258">
            <v>44833</v>
          </cell>
          <cell r="N3258">
            <v>44848</v>
          </cell>
          <cell r="O3258">
            <v>44833</v>
          </cell>
          <cell r="P3258">
            <v>44847</v>
          </cell>
          <cell r="Q3258" t="str">
            <v>2022-10-11 → 10/13 오전</v>
          </cell>
          <cell r="R3258" t="str">
            <v>2022-10-11 → 10/13 오전</v>
          </cell>
          <cell r="S3258"/>
          <cell r="T3258">
            <v>44848</v>
          </cell>
          <cell r="U3258">
            <v>44851</v>
          </cell>
          <cell r="V3258">
            <v>44851</v>
          </cell>
          <cell r="W3258">
            <v>44852</v>
          </cell>
          <cell r="X3258">
            <v>41100584</v>
          </cell>
        </row>
        <row r="3259">
          <cell r="K3259" t="str">
            <v>GBWS-2887</v>
          </cell>
          <cell r="L3259">
            <v>44832</v>
          </cell>
          <cell r="M3259">
            <v>44833</v>
          </cell>
          <cell r="N3259">
            <v>44848</v>
          </cell>
          <cell r="O3259">
            <v>44833</v>
          </cell>
          <cell r="P3259">
            <v>44847</v>
          </cell>
          <cell r="Q3259" t="str">
            <v>2022-10-11 → 10/13 오전</v>
          </cell>
          <cell r="R3259" t="str">
            <v>2022-10-11 → 10/13 오전</v>
          </cell>
          <cell r="S3259"/>
          <cell r="T3259">
            <v>44848</v>
          </cell>
          <cell r="U3259">
            <v>44851</v>
          </cell>
          <cell r="V3259">
            <v>44851</v>
          </cell>
          <cell r="W3259">
            <v>44852</v>
          </cell>
          <cell r="X3259">
            <v>41100584</v>
          </cell>
        </row>
        <row r="3260">
          <cell r="K3260" t="str">
            <v>DBW-2728</v>
          </cell>
          <cell r="L3260">
            <v>44823</v>
          </cell>
          <cell r="M3260">
            <v>44823</v>
          </cell>
          <cell r="N3260">
            <v>44833</v>
          </cell>
          <cell r="O3260">
            <v>44823</v>
          </cell>
          <cell r="P3260">
            <v>44839</v>
          </cell>
          <cell r="Q3260">
            <v>44832</v>
          </cell>
          <cell r="R3260">
            <v>44832</v>
          </cell>
          <cell r="S3260"/>
          <cell r="T3260">
            <v>44834</v>
          </cell>
          <cell r="U3260">
            <v>44841</v>
          </cell>
          <cell r="V3260">
            <v>44846</v>
          </cell>
          <cell r="W3260">
            <v>44846</v>
          </cell>
          <cell r="X3260">
            <v>41100579</v>
          </cell>
        </row>
        <row r="3261">
          <cell r="K3261" t="str">
            <v>DBW-2729</v>
          </cell>
          <cell r="L3261">
            <v>44823</v>
          </cell>
          <cell r="M3261">
            <v>44823</v>
          </cell>
          <cell r="N3261">
            <v>44833</v>
          </cell>
          <cell r="O3261">
            <v>44823</v>
          </cell>
          <cell r="P3261">
            <v>44839</v>
          </cell>
          <cell r="Q3261">
            <v>44832</v>
          </cell>
          <cell r="R3261">
            <v>44832</v>
          </cell>
          <cell r="S3261"/>
          <cell r="T3261">
            <v>44834</v>
          </cell>
          <cell r="U3261">
            <v>44841</v>
          </cell>
          <cell r="V3261">
            <v>44846</v>
          </cell>
          <cell r="W3261">
            <v>44846</v>
          </cell>
          <cell r="X3261">
            <v>41100579</v>
          </cell>
        </row>
        <row r="3262">
          <cell r="K3262" t="str">
            <v>DBW-2730</v>
          </cell>
          <cell r="L3262">
            <v>44823</v>
          </cell>
          <cell r="M3262">
            <v>44823</v>
          </cell>
          <cell r="N3262">
            <v>44833</v>
          </cell>
          <cell r="O3262">
            <v>44823</v>
          </cell>
          <cell r="P3262">
            <v>44841</v>
          </cell>
          <cell r="Q3262">
            <v>44832</v>
          </cell>
          <cell r="R3262">
            <v>44832</v>
          </cell>
          <cell r="S3262"/>
          <cell r="T3262">
            <v>44834</v>
          </cell>
          <cell r="U3262">
            <v>44845</v>
          </cell>
          <cell r="V3262">
            <v>44848</v>
          </cell>
          <cell r="W3262">
            <v>44848</v>
          </cell>
          <cell r="X3262">
            <v>41100580</v>
          </cell>
        </row>
        <row r="3263">
          <cell r="K3263" t="str">
            <v>DBW-2731</v>
          </cell>
          <cell r="L3263">
            <v>44823</v>
          </cell>
          <cell r="M3263">
            <v>44823</v>
          </cell>
          <cell r="N3263">
            <v>44833</v>
          </cell>
          <cell r="O3263">
            <v>44823</v>
          </cell>
          <cell r="P3263">
            <v>44841</v>
          </cell>
          <cell r="Q3263">
            <v>44832</v>
          </cell>
          <cell r="R3263">
            <v>44832</v>
          </cell>
          <cell r="S3263"/>
          <cell r="T3263">
            <v>44834</v>
          </cell>
          <cell r="U3263">
            <v>44845</v>
          </cell>
          <cell r="V3263">
            <v>44846</v>
          </cell>
          <cell r="W3263">
            <v>44846</v>
          </cell>
          <cell r="X3263">
            <v>41100580</v>
          </cell>
        </row>
        <row r="3264">
          <cell r="K3264" t="str">
            <v>GBWS-2878</v>
          </cell>
          <cell r="L3264">
            <v>44830</v>
          </cell>
          <cell r="M3264">
            <v>44831</v>
          </cell>
          <cell r="N3264">
            <v>44845</v>
          </cell>
          <cell r="O3264">
            <v>44831</v>
          </cell>
          <cell r="P3264">
            <v>44846</v>
          </cell>
          <cell r="Q3264">
            <v>44845</v>
          </cell>
          <cell r="R3264">
            <v>44845</v>
          </cell>
          <cell r="S3264"/>
          <cell r="T3264">
            <v>44846</v>
          </cell>
          <cell r="U3264">
            <v>44852</v>
          </cell>
          <cell r="V3264">
            <v>44853</v>
          </cell>
          <cell r="W3264">
            <v>44853</v>
          </cell>
          <cell r="X3264">
            <v>41100358</v>
          </cell>
        </row>
        <row r="3265">
          <cell r="K3265" t="str">
            <v>GBWS-2881</v>
          </cell>
          <cell r="L3265">
            <v>44830</v>
          </cell>
          <cell r="M3265">
            <v>44831</v>
          </cell>
          <cell r="N3265">
            <v>44848</v>
          </cell>
          <cell r="O3265">
            <v>44831</v>
          </cell>
          <cell r="P3265">
            <v>44849</v>
          </cell>
          <cell r="Q3265" t="str">
            <v>2022-10-11 → 10/14 오전</v>
          </cell>
          <cell r="R3265" t="str">
            <v>2022-10-11 → 10/14 오전</v>
          </cell>
          <cell r="S3265"/>
          <cell r="T3265">
            <v>44849</v>
          </cell>
          <cell r="U3265">
            <v>44851</v>
          </cell>
          <cell r="V3265">
            <v>44852</v>
          </cell>
          <cell r="W3265">
            <v>44852</v>
          </cell>
          <cell r="X3265">
            <v>41100320</v>
          </cell>
        </row>
        <row r="3266">
          <cell r="K3266" t="str">
            <v>GBWS-2882</v>
          </cell>
          <cell r="L3266">
            <v>44830</v>
          </cell>
          <cell r="M3266">
            <v>44831</v>
          </cell>
          <cell r="N3266">
            <v>44848</v>
          </cell>
          <cell r="O3266">
            <v>44831</v>
          </cell>
          <cell r="P3266">
            <v>44849</v>
          </cell>
          <cell r="Q3266" t="str">
            <v>2022-10-11 → 10/14 오전</v>
          </cell>
          <cell r="R3266" t="str">
            <v>2022-10-11 → 10/14 오전</v>
          </cell>
          <cell r="S3266"/>
          <cell r="T3266">
            <v>44849</v>
          </cell>
          <cell r="U3266">
            <v>44851</v>
          </cell>
          <cell r="V3266">
            <v>44853</v>
          </cell>
          <cell r="W3266">
            <v>44853</v>
          </cell>
          <cell r="X3266">
            <v>41100320</v>
          </cell>
        </row>
        <row r="3267">
          <cell r="K3267" t="str">
            <v>GBWS-2883</v>
          </cell>
          <cell r="L3267">
            <v>44830</v>
          </cell>
          <cell r="M3267">
            <v>44831</v>
          </cell>
          <cell r="N3267">
            <v>44848</v>
          </cell>
          <cell r="O3267">
            <v>44831</v>
          </cell>
          <cell r="P3267">
            <v>44849</v>
          </cell>
          <cell r="Q3267" t="str">
            <v>2022-10-11 → 10/14 오전</v>
          </cell>
          <cell r="R3267" t="str">
            <v>2022-10-11 → 10/14 오전</v>
          </cell>
          <cell r="S3267"/>
          <cell r="T3267">
            <v>44849</v>
          </cell>
          <cell r="U3267">
            <v>44851</v>
          </cell>
          <cell r="V3267">
            <v>44851</v>
          </cell>
          <cell r="W3267">
            <v>44851</v>
          </cell>
          <cell r="X3267">
            <v>41100320</v>
          </cell>
        </row>
        <row r="3268">
          <cell r="K3268" t="str">
            <v>GBWS-2718</v>
          </cell>
          <cell r="L3268">
            <v>44781</v>
          </cell>
          <cell r="M3268">
            <v>44782</v>
          </cell>
          <cell r="N3268">
            <v>44792</v>
          </cell>
          <cell r="O3268">
            <v>44782</v>
          </cell>
          <cell r="P3268">
            <v>44795</v>
          </cell>
          <cell r="Q3268" t="str">
            <v>2022-08-18 → 8/19 오전</v>
          </cell>
          <cell r="R3268" t="str">
            <v>2022-08-18 → 8/19 오전</v>
          </cell>
          <cell r="S3268"/>
          <cell r="T3268">
            <v>44795</v>
          </cell>
          <cell r="U3268">
            <v>44796</v>
          </cell>
          <cell r="V3268">
            <v>44798</v>
          </cell>
          <cell r="W3268">
            <v>44798</v>
          </cell>
          <cell r="X3268" t="str">
            <v>41100340 → 41100468</v>
          </cell>
        </row>
        <row r="3269">
          <cell r="K3269" t="str">
            <v>GBWS-2719</v>
          </cell>
          <cell r="L3269">
            <v>44781</v>
          </cell>
          <cell r="M3269">
            <v>44782</v>
          </cell>
          <cell r="N3269">
            <v>44792</v>
          </cell>
          <cell r="O3269">
            <v>44782</v>
          </cell>
          <cell r="P3269">
            <v>44795</v>
          </cell>
          <cell r="Q3269" t="str">
            <v>2022-08-18 → 8/21</v>
          </cell>
          <cell r="R3269" t="str">
            <v>2022-08-18 → 8/21</v>
          </cell>
          <cell r="S3269"/>
          <cell r="T3269">
            <v>44795</v>
          </cell>
          <cell r="U3269">
            <v>44796</v>
          </cell>
          <cell r="V3269">
            <v>44798</v>
          </cell>
          <cell r="W3269">
            <v>44798</v>
          </cell>
          <cell r="X3269" t="str">
            <v>41100340 → 41100468</v>
          </cell>
        </row>
        <row r="3270">
          <cell r="K3270" t="str">
            <v>GBWS-2713</v>
          </cell>
          <cell r="L3270">
            <v>44776</v>
          </cell>
          <cell r="M3270">
            <v>44777</v>
          </cell>
          <cell r="N3270">
            <v>44791</v>
          </cell>
          <cell r="O3270">
            <v>44777</v>
          </cell>
          <cell r="P3270">
            <v>44795</v>
          </cell>
          <cell r="Q3270" t="str">
            <v>2022-08-12 → 8/14</v>
          </cell>
          <cell r="R3270" t="str">
            <v>2022-08-12 → 8/14</v>
          </cell>
          <cell r="S3270"/>
          <cell r="T3270">
            <v>44792</v>
          </cell>
          <cell r="U3270">
            <v>44796</v>
          </cell>
          <cell r="V3270">
            <v>44797</v>
          </cell>
          <cell r="W3270">
            <v>44797</v>
          </cell>
          <cell r="X3270">
            <v>41100467</v>
          </cell>
        </row>
        <row r="3271">
          <cell r="K3271" t="str">
            <v>GBWS-2714</v>
          </cell>
          <cell r="L3271">
            <v>44776</v>
          </cell>
          <cell r="M3271">
            <v>44777</v>
          </cell>
          <cell r="N3271">
            <v>44791</v>
          </cell>
          <cell r="O3271">
            <v>44777</v>
          </cell>
          <cell r="P3271">
            <v>44795</v>
          </cell>
          <cell r="Q3271" t="str">
            <v>2022-08-12 → 8/14</v>
          </cell>
          <cell r="R3271" t="str">
            <v>2022-08-12 → 8/14</v>
          </cell>
          <cell r="S3271"/>
          <cell r="T3271">
            <v>44792</v>
          </cell>
          <cell r="U3271">
            <v>44796</v>
          </cell>
          <cell r="V3271">
            <v>44797</v>
          </cell>
          <cell r="W3271">
            <v>44797</v>
          </cell>
          <cell r="X3271">
            <v>41100467</v>
          </cell>
        </row>
        <row r="3272">
          <cell r="K3272" t="str">
            <v>GBWS-2715</v>
          </cell>
          <cell r="L3272">
            <v>44776</v>
          </cell>
          <cell r="M3272">
            <v>44777</v>
          </cell>
          <cell r="N3272">
            <v>44791</v>
          </cell>
          <cell r="O3272">
            <v>44777</v>
          </cell>
          <cell r="P3272">
            <v>44795</v>
          </cell>
          <cell r="Q3272" t="str">
            <v>2022-08-12 → 8/14</v>
          </cell>
          <cell r="R3272" t="str">
            <v>2022-08-12 → 8/14</v>
          </cell>
          <cell r="S3272"/>
          <cell r="T3272">
            <v>44792</v>
          </cell>
          <cell r="U3272">
            <v>44796</v>
          </cell>
          <cell r="V3272">
            <v>44797</v>
          </cell>
          <cell r="W3272">
            <v>44797</v>
          </cell>
          <cell r="X3272">
            <v>41100467</v>
          </cell>
        </row>
        <row r="3273">
          <cell r="K3273" t="str">
            <v>GBWS-2716</v>
          </cell>
          <cell r="L3273">
            <v>44776</v>
          </cell>
          <cell r="M3273">
            <v>44777</v>
          </cell>
          <cell r="N3273">
            <v>44791</v>
          </cell>
          <cell r="O3273">
            <v>44777</v>
          </cell>
          <cell r="P3273">
            <v>44795</v>
          </cell>
          <cell r="Q3273" t="str">
            <v>2022-08-12 → 8/14</v>
          </cell>
          <cell r="R3273" t="str">
            <v>2022-08-12 → 8/14</v>
          </cell>
          <cell r="S3273"/>
          <cell r="T3273">
            <v>44792</v>
          </cell>
          <cell r="U3273">
            <v>44796</v>
          </cell>
          <cell r="V3273">
            <v>44797</v>
          </cell>
          <cell r="W3273">
            <v>44797</v>
          </cell>
          <cell r="X3273">
            <v>41100467</v>
          </cell>
        </row>
        <row r="3274">
          <cell r="K3274" t="str">
            <v>GBWS-2903</v>
          </cell>
          <cell r="L3274">
            <v>44831</v>
          </cell>
          <cell r="M3274">
            <v>44832</v>
          </cell>
          <cell r="N3274">
            <v>44846</v>
          </cell>
          <cell r="O3274">
            <v>44832</v>
          </cell>
          <cell r="P3274">
            <v>44845</v>
          </cell>
          <cell r="Q3274">
            <v>44841</v>
          </cell>
          <cell r="R3274">
            <v>44841</v>
          </cell>
          <cell r="S3274"/>
          <cell r="T3274">
            <v>44845</v>
          </cell>
          <cell r="U3274">
            <v>44846</v>
          </cell>
          <cell r="V3274">
            <v>44848</v>
          </cell>
          <cell r="W3274">
            <v>44848</v>
          </cell>
          <cell r="X3274">
            <v>41100467</v>
          </cell>
        </row>
        <row r="3275">
          <cell r="K3275" t="str">
            <v>GBWS-2904</v>
          </cell>
          <cell r="L3275">
            <v>44831</v>
          </cell>
          <cell r="M3275">
            <v>44832</v>
          </cell>
          <cell r="N3275">
            <v>44846</v>
          </cell>
          <cell r="O3275">
            <v>44832</v>
          </cell>
          <cell r="P3275">
            <v>44845</v>
          </cell>
          <cell r="Q3275">
            <v>44841</v>
          </cell>
          <cell r="R3275">
            <v>44841</v>
          </cell>
          <cell r="S3275"/>
          <cell r="T3275">
            <v>44845</v>
          </cell>
          <cell r="U3275">
            <v>44846</v>
          </cell>
          <cell r="V3275">
            <v>44848</v>
          </cell>
          <cell r="W3275">
            <v>44848</v>
          </cell>
          <cell r="X3275">
            <v>41100467</v>
          </cell>
        </row>
        <row r="3276">
          <cell r="K3276" t="str">
            <v>GBWS-2875</v>
          </cell>
          <cell r="L3276">
            <v>44830</v>
          </cell>
          <cell r="M3276">
            <v>44831</v>
          </cell>
          <cell r="N3276">
            <v>44845</v>
          </cell>
          <cell r="O3276">
            <v>44831</v>
          </cell>
          <cell r="P3276">
            <v>44845</v>
          </cell>
          <cell r="Q3276">
            <v>44845</v>
          </cell>
          <cell r="R3276">
            <v>44845</v>
          </cell>
          <cell r="S3276"/>
          <cell r="T3276">
            <v>44847</v>
          </cell>
          <cell r="U3276">
            <v>44852</v>
          </cell>
          <cell r="V3276">
            <v>44853</v>
          </cell>
          <cell r="W3276">
            <v>44853</v>
          </cell>
          <cell r="X3276">
            <v>41100350</v>
          </cell>
        </row>
        <row r="3277">
          <cell r="K3277" t="str">
            <v>GBWS-2877</v>
          </cell>
          <cell r="L3277">
            <v>44830</v>
          </cell>
          <cell r="M3277">
            <v>44831</v>
          </cell>
          <cell r="N3277">
            <v>44845</v>
          </cell>
          <cell r="O3277">
            <v>44831</v>
          </cell>
          <cell r="P3277">
            <v>44846</v>
          </cell>
          <cell r="Q3277">
            <v>44845</v>
          </cell>
          <cell r="R3277">
            <v>44845</v>
          </cell>
          <cell r="S3277"/>
          <cell r="T3277">
            <v>44847</v>
          </cell>
          <cell r="U3277">
            <v>44850</v>
          </cell>
          <cell r="V3277">
            <v>44851</v>
          </cell>
          <cell r="W3277">
            <v>44851</v>
          </cell>
          <cell r="X3277">
            <v>41100286</v>
          </cell>
        </row>
        <row r="3278">
          <cell r="K3278" t="str">
            <v>DBW-2711</v>
          </cell>
          <cell r="L3278">
            <v>44806</v>
          </cell>
          <cell r="M3278">
            <v>44809</v>
          </cell>
          <cell r="N3278">
            <v>44823</v>
          </cell>
          <cell r="O3278">
            <v>44809</v>
          </cell>
          <cell r="P3278">
            <v>44823</v>
          </cell>
          <cell r="Q3278">
            <v>44820</v>
          </cell>
          <cell r="R3278">
            <v>44820</v>
          </cell>
          <cell r="S3278"/>
          <cell r="T3278">
            <v>44823</v>
          </cell>
          <cell r="U3278">
            <v>44825</v>
          </cell>
          <cell r="V3278">
            <v>44826</v>
          </cell>
          <cell r="W3278">
            <v>44826</v>
          </cell>
          <cell r="X3278">
            <v>41100496</v>
          </cell>
        </row>
        <row r="3279">
          <cell r="K3279" t="str">
            <v>G13030027</v>
          </cell>
          <cell r="L3279" t="str">
            <v>-</v>
          </cell>
          <cell r="M3279">
            <v>44803</v>
          </cell>
          <cell r="N3279">
            <v>44846</v>
          </cell>
          <cell r="O3279" t="str">
            <v xml:space="preserve"> - </v>
          </cell>
          <cell r="P3279" t="str">
            <v xml:space="preserve"> - </v>
          </cell>
          <cell r="Q3279">
            <v>44846</v>
          </cell>
          <cell r="R3279">
            <v>44846</v>
          </cell>
          <cell r="S3279"/>
          <cell r="T3279">
            <v>44847</v>
          </cell>
          <cell r="U3279">
            <v>44853</v>
          </cell>
          <cell r="V3279">
            <v>44858</v>
          </cell>
          <cell r="W3279">
            <v>44858</v>
          </cell>
          <cell r="X3279" t="str">
            <v xml:space="preserve"> - </v>
          </cell>
        </row>
        <row r="3280">
          <cell r="K3280" t="str">
            <v>G13030036</v>
          </cell>
          <cell r="L3280" t="str">
            <v>-</v>
          </cell>
          <cell r="M3280">
            <v>44819</v>
          </cell>
          <cell r="N3280">
            <v>44853</v>
          </cell>
          <cell r="O3280" t="str">
            <v>-</v>
          </cell>
          <cell r="P3280" t="str">
            <v>-</v>
          </cell>
          <cell r="Q3280">
            <v>44853</v>
          </cell>
          <cell r="R3280">
            <v>44853</v>
          </cell>
          <cell r="S3280"/>
          <cell r="T3280">
            <v>44853</v>
          </cell>
          <cell r="U3280">
            <v>44853</v>
          </cell>
          <cell r="V3280">
            <v>44853</v>
          </cell>
          <cell r="W3280">
            <v>44853</v>
          </cell>
          <cell r="X3280" t="str">
            <v>-</v>
          </cell>
        </row>
        <row r="3281">
          <cell r="K3281" t="str">
            <v>G1H3014</v>
          </cell>
          <cell r="L3281">
            <v>44847</v>
          </cell>
          <cell r="M3281">
            <v>44848</v>
          </cell>
          <cell r="N3281">
            <v>44853</v>
          </cell>
          <cell r="O3281">
            <v>44848</v>
          </cell>
          <cell r="P3281">
            <v>44853</v>
          </cell>
          <cell r="Q3281">
            <v>44853</v>
          </cell>
          <cell r="R3281">
            <v>44853</v>
          </cell>
          <cell r="S3281"/>
          <cell r="T3281">
            <v>44854</v>
          </cell>
          <cell r="U3281">
            <v>44858</v>
          </cell>
          <cell r="V3281">
            <v>44858</v>
          </cell>
          <cell r="W3281">
            <v>44858</v>
          </cell>
          <cell r="X3281" t="str">
            <v>-</v>
          </cell>
        </row>
        <row r="3282">
          <cell r="K3282" t="str">
            <v>DBW-2672</v>
          </cell>
          <cell r="L3282">
            <v>44732</v>
          </cell>
          <cell r="M3282">
            <v>44733</v>
          </cell>
          <cell r="N3282">
            <v>44743</v>
          </cell>
          <cell r="O3282">
            <v>44733</v>
          </cell>
          <cell r="P3282">
            <v>44742</v>
          </cell>
          <cell r="Q3282">
            <v>44742</v>
          </cell>
          <cell r="R3282">
            <v>44742</v>
          </cell>
          <cell r="S3282"/>
          <cell r="T3282">
            <v>44743</v>
          </cell>
          <cell r="U3282">
            <v>44746</v>
          </cell>
          <cell r="V3282">
            <v>44746</v>
          </cell>
          <cell r="W3282">
            <v>44747</v>
          </cell>
          <cell r="X3282">
            <v>41100310</v>
          </cell>
        </row>
        <row r="3283">
          <cell r="K3283" t="str">
            <v>GBWS-2257</v>
          </cell>
          <cell r="L3283">
            <v>44670</v>
          </cell>
          <cell r="M3283">
            <v>44670</v>
          </cell>
          <cell r="N3283">
            <v>44688</v>
          </cell>
          <cell r="O3283">
            <v>44670</v>
          </cell>
          <cell r="P3283">
            <v>44683</v>
          </cell>
          <cell r="Q3283" t="str">
            <v>2022-04-28 →4/29</v>
          </cell>
          <cell r="R3283" t="str">
            <v>2022-04-28 →4/29</v>
          </cell>
          <cell r="S3283"/>
          <cell r="T3283">
            <v>44684</v>
          </cell>
          <cell r="U3283">
            <v>44722</v>
          </cell>
          <cell r="V3283">
            <v>44726</v>
          </cell>
          <cell r="W3283">
            <v>44726</v>
          </cell>
          <cell r="X3283">
            <v>41100490</v>
          </cell>
        </row>
        <row r="3284">
          <cell r="K3284" t="str">
            <v>GBWS-2258</v>
          </cell>
          <cell r="L3284">
            <v>44670</v>
          </cell>
          <cell r="M3284">
            <v>44670</v>
          </cell>
          <cell r="N3284">
            <v>44688</v>
          </cell>
          <cell r="O3284">
            <v>44670</v>
          </cell>
          <cell r="P3284">
            <v>44683</v>
          </cell>
          <cell r="Q3284" t="str">
            <v>2022-04-28 →4/29</v>
          </cell>
          <cell r="R3284" t="str">
            <v>2022-04-28 →4/29</v>
          </cell>
          <cell r="S3284"/>
          <cell r="T3284">
            <v>44684</v>
          </cell>
          <cell r="U3284">
            <v>44727</v>
          </cell>
          <cell r="V3284">
            <v>44740</v>
          </cell>
          <cell r="W3284">
            <v>44742</v>
          </cell>
          <cell r="X3284">
            <v>41100490</v>
          </cell>
        </row>
        <row r="3285">
          <cell r="K3285" t="str">
            <v>GBWS-2669</v>
          </cell>
          <cell r="L3285">
            <v>44768</v>
          </cell>
          <cell r="M3285">
            <v>44769</v>
          </cell>
          <cell r="N3285">
            <v>44800</v>
          </cell>
          <cell r="O3285">
            <v>44769</v>
          </cell>
          <cell r="P3285">
            <v>44805</v>
          </cell>
          <cell r="Q3285" t="str">
            <v>2022-07-29 → 8/5 → 9/2</v>
          </cell>
          <cell r="R3285" t="str">
            <v>2022-07-29 → 8/5 → 9/2</v>
          </cell>
          <cell r="S3285"/>
          <cell r="T3285">
            <v>44806</v>
          </cell>
          <cell r="U3285">
            <v>44833</v>
          </cell>
          <cell r="V3285">
            <v>44834</v>
          </cell>
          <cell r="W3285">
            <v>44834</v>
          </cell>
          <cell r="X3285">
            <v>41100549</v>
          </cell>
        </row>
        <row r="3286">
          <cell r="K3286" t="str">
            <v>GBWS-2670</v>
          </cell>
          <cell r="L3286">
            <v>44768</v>
          </cell>
          <cell r="M3286">
            <v>44769</v>
          </cell>
          <cell r="N3286">
            <v>44800</v>
          </cell>
          <cell r="O3286">
            <v>44769</v>
          </cell>
          <cell r="P3286">
            <v>44805</v>
          </cell>
          <cell r="Q3286" t="str">
            <v>2022-07-29 → 8/5 → 9/2</v>
          </cell>
          <cell r="R3286" t="str">
            <v>2022-07-29 → 8/5 → 9/2</v>
          </cell>
          <cell r="S3286"/>
          <cell r="T3286">
            <v>44806</v>
          </cell>
          <cell r="U3286">
            <v>44833</v>
          </cell>
          <cell r="V3286">
            <v>44834</v>
          </cell>
          <cell r="W3286">
            <v>44834</v>
          </cell>
          <cell r="X3286">
            <v>41100549</v>
          </cell>
        </row>
        <row r="3287">
          <cell r="K3287" t="str">
            <v>DBW-2718</v>
          </cell>
          <cell r="L3287">
            <v>44819</v>
          </cell>
          <cell r="M3287">
            <v>44820</v>
          </cell>
          <cell r="N3287">
            <v>44832</v>
          </cell>
          <cell r="O3287">
            <v>44820</v>
          </cell>
          <cell r="P3287">
            <v>44839</v>
          </cell>
          <cell r="Q3287" t="str">
            <v>2022-09-20 → 9/26 → 9/27 → 9/28</v>
          </cell>
          <cell r="R3287" t="str">
            <v>2022-09-20 → 9/26 → 9/27 → 9/28</v>
          </cell>
          <cell r="S3287"/>
          <cell r="T3287">
            <v>44833</v>
          </cell>
          <cell r="U3287">
            <v>44839</v>
          </cell>
          <cell r="V3287">
            <v>44841</v>
          </cell>
          <cell r="W3287">
            <v>44841</v>
          </cell>
          <cell r="X3287">
            <v>41100530</v>
          </cell>
        </row>
        <row r="3288">
          <cell r="K3288" t="str">
            <v>DBW-2719</v>
          </cell>
          <cell r="L3288">
            <v>44819</v>
          </cell>
          <cell r="M3288">
            <v>44820</v>
          </cell>
          <cell r="N3288">
            <v>44832</v>
          </cell>
          <cell r="O3288">
            <v>44820</v>
          </cell>
          <cell r="P3288">
            <v>44839</v>
          </cell>
          <cell r="Q3288" t="str">
            <v>2022-09-20 → 9/26 → 9/27 → 9/28</v>
          </cell>
          <cell r="R3288" t="str">
            <v>2022-09-20 → 9/26 → 9/27 → 9/28</v>
          </cell>
          <cell r="S3288"/>
          <cell r="T3288">
            <v>44833</v>
          </cell>
          <cell r="U3288">
            <v>44839</v>
          </cell>
          <cell r="V3288">
            <v>44841</v>
          </cell>
          <cell r="W3288">
            <v>44841</v>
          </cell>
          <cell r="X3288">
            <v>41100530</v>
          </cell>
        </row>
        <row r="3289">
          <cell r="K3289" t="str">
            <v>DBW-2720</v>
          </cell>
          <cell r="L3289">
            <v>44811</v>
          </cell>
          <cell r="M3289">
            <v>44812</v>
          </cell>
          <cell r="N3289">
            <v>44826</v>
          </cell>
          <cell r="O3289">
            <v>44812</v>
          </cell>
          <cell r="P3289">
            <v>44826</v>
          </cell>
          <cell r="Q3289" t="str">
            <v>2022-09-20 → 9/22</v>
          </cell>
          <cell r="R3289" t="str">
            <v>2022-09-20 → 9/22</v>
          </cell>
          <cell r="S3289"/>
          <cell r="T3289">
            <v>44827</v>
          </cell>
          <cell r="U3289">
            <v>44830</v>
          </cell>
          <cell r="V3289">
            <v>44830</v>
          </cell>
          <cell r="W3289">
            <v>44830</v>
          </cell>
          <cell r="X3289">
            <v>41100531</v>
          </cell>
        </row>
        <row r="3290">
          <cell r="K3290" t="str">
            <v>DBW-2721</v>
          </cell>
          <cell r="L3290">
            <v>44811</v>
          </cell>
          <cell r="M3290">
            <v>44812</v>
          </cell>
          <cell r="N3290">
            <v>44826</v>
          </cell>
          <cell r="O3290">
            <v>44812</v>
          </cell>
          <cell r="P3290">
            <v>44826</v>
          </cell>
          <cell r="Q3290" t="str">
            <v>2022-09-20 → 9/22</v>
          </cell>
          <cell r="R3290" t="str">
            <v>2022-09-20 → 9/22</v>
          </cell>
          <cell r="S3290"/>
          <cell r="T3290">
            <v>44827</v>
          </cell>
          <cell r="U3290">
            <v>44830</v>
          </cell>
          <cell r="V3290">
            <v>44830</v>
          </cell>
          <cell r="W3290">
            <v>44830</v>
          </cell>
          <cell r="X3290">
            <v>41100531</v>
          </cell>
        </row>
        <row r="3291">
          <cell r="K3291" t="str">
            <v>DBW-2732</v>
          </cell>
          <cell r="L3291">
            <v>44829</v>
          </cell>
          <cell r="M3291">
            <v>44830</v>
          </cell>
          <cell r="N3291">
            <v>44839</v>
          </cell>
          <cell r="O3291">
            <v>44830</v>
          </cell>
          <cell r="P3291">
            <v>44840</v>
          </cell>
          <cell r="Q3291">
            <v>44839</v>
          </cell>
          <cell r="R3291">
            <v>44839</v>
          </cell>
          <cell r="S3291"/>
          <cell r="T3291">
            <v>44840</v>
          </cell>
          <cell r="U3291">
            <v>44841</v>
          </cell>
          <cell r="V3291">
            <v>44845</v>
          </cell>
          <cell r="W3291">
            <v>44845</v>
          </cell>
          <cell r="X3291">
            <v>41100470</v>
          </cell>
        </row>
        <row r="3292">
          <cell r="K3292" t="str">
            <v>DBW-2733</v>
          </cell>
          <cell r="L3292">
            <v>44829</v>
          </cell>
          <cell r="M3292">
            <v>44830</v>
          </cell>
          <cell r="N3292">
            <v>44839</v>
          </cell>
          <cell r="O3292">
            <v>44830</v>
          </cell>
          <cell r="P3292">
            <v>44840</v>
          </cell>
          <cell r="Q3292">
            <v>44839</v>
          </cell>
          <cell r="R3292">
            <v>44839</v>
          </cell>
          <cell r="S3292"/>
          <cell r="T3292">
            <v>44840</v>
          </cell>
          <cell r="U3292">
            <v>44841</v>
          </cell>
          <cell r="V3292">
            <v>44845</v>
          </cell>
          <cell r="W3292">
            <v>44845</v>
          </cell>
          <cell r="X3292">
            <v>41100470</v>
          </cell>
        </row>
        <row r="3293">
          <cell r="K3293" t="str">
            <v>DBW-2734</v>
          </cell>
          <cell r="L3293">
            <v>44829</v>
          </cell>
          <cell r="M3293">
            <v>44830</v>
          </cell>
          <cell r="N3293">
            <v>44839</v>
          </cell>
          <cell r="O3293">
            <v>44830</v>
          </cell>
          <cell r="P3293">
            <v>44840</v>
          </cell>
          <cell r="Q3293">
            <v>44839</v>
          </cell>
          <cell r="R3293">
            <v>44839</v>
          </cell>
          <cell r="S3293"/>
          <cell r="T3293">
            <v>44840</v>
          </cell>
          <cell r="U3293">
            <v>44841</v>
          </cell>
          <cell r="V3293">
            <v>44846</v>
          </cell>
          <cell r="W3293">
            <v>44846</v>
          </cell>
          <cell r="X3293">
            <v>41100470</v>
          </cell>
        </row>
        <row r="3294">
          <cell r="K3294" t="str">
            <v>DBW-2735</v>
          </cell>
          <cell r="L3294">
            <v>44829</v>
          </cell>
          <cell r="M3294">
            <v>44830</v>
          </cell>
          <cell r="N3294">
            <v>44839</v>
          </cell>
          <cell r="O3294">
            <v>44830</v>
          </cell>
          <cell r="P3294">
            <v>44840</v>
          </cell>
          <cell r="Q3294">
            <v>44839</v>
          </cell>
          <cell r="R3294">
            <v>44839</v>
          </cell>
          <cell r="S3294"/>
          <cell r="T3294">
            <v>44840</v>
          </cell>
          <cell r="U3294">
            <v>44841</v>
          </cell>
          <cell r="V3294">
            <v>44845</v>
          </cell>
          <cell r="W3294">
            <v>44845</v>
          </cell>
          <cell r="X3294">
            <v>41100470</v>
          </cell>
        </row>
        <row r="3295">
          <cell r="K3295" t="str">
            <v>GBWS-2876</v>
          </cell>
          <cell r="L3295">
            <v>44830</v>
          </cell>
          <cell r="M3295">
            <v>44831</v>
          </cell>
          <cell r="N3295">
            <v>44845</v>
          </cell>
          <cell r="O3295">
            <v>44831</v>
          </cell>
          <cell r="P3295">
            <v>44845</v>
          </cell>
          <cell r="Q3295">
            <v>44845</v>
          </cell>
          <cell r="R3295">
            <v>44845</v>
          </cell>
          <cell r="S3295"/>
          <cell r="T3295">
            <v>44847</v>
          </cell>
          <cell r="U3295">
            <v>44852</v>
          </cell>
          <cell r="V3295">
            <v>44853</v>
          </cell>
          <cell r="W3295">
            <v>44853</v>
          </cell>
          <cell r="X3295">
            <v>41100350</v>
          </cell>
        </row>
        <row r="3296">
          <cell r="K3296" t="str">
            <v>GBWS-2893</v>
          </cell>
          <cell r="L3296">
            <v>44833</v>
          </cell>
          <cell r="M3296">
            <v>44834</v>
          </cell>
          <cell r="N3296">
            <v>44853</v>
          </cell>
          <cell r="O3296">
            <v>44834</v>
          </cell>
          <cell r="P3296">
            <v>44852</v>
          </cell>
          <cell r="Q3296" t="str">
            <v>2022-10-13 → 10/17 → 10/18</v>
          </cell>
          <cell r="R3296" t="str">
            <v>2022-10-13 → 10/17 → 10/18</v>
          </cell>
          <cell r="S3296"/>
          <cell r="T3296">
            <v>44853</v>
          </cell>
          <cell r="U3296">
            <v>44854</v>
          </cell>
          <cell r="V3296">
            <v>44855</v>
          </cell>
          <cell r="W3296">
            <v>44855</v>
          </cell>
          <cell r="X3296">
            <v>41100286</v>
          </cell>
        </row>
        <row r="3297">
          <cell r="K3297" t="str">
            <v>IVAS-162</v>
          </cell>
          <cell r="L3297">
            <v>44844</v>
          </cell>
          <cell r="M3297">
            <v>44845</v>
          </cell>
          <cell r="N3297">
            <v>44855</v>
          </cell>
          <cell r="O3297">
            <v>44845</v>
          </cell>
          <cell r="P3297">
            <v>44858</v>
          </cell>
          <cell r="Q3297" t="str">
            <v>2022-10-19 → 10/20</v>
          </cell>
          <cell r="R3297" t="str">
            <v>2022-10-19 → 10/20</v>
          </cell>
          <cell r="S3297"/>
          <cell r="T3297">
            <v>44855</v>
          </cell>
          <cell r="U3297">
            <v>44860</v>
          </cell>
          <cell r="V3297">
            <v>44860</v>
          </cell>
          <cell r="W3297">
            <v>44860</v>
          </cell>
          <cell r="X3297">
            <v>41100542</v>
          </cell>
        </row>
        <row r="3298">
          <cell r="K3298" t="str">
            <v>DBW-2727</v>
          </cell>
          <cell r="L3298">
            <v>44819</v>
          </cell>
          <cell r="M3298">
            <v>44820</v>
          </cell>
          <cell r="N3298">
            <v>44832</v>
          </cell>
          <cell r="O3298">
            <v>44820</v>
          </cell>
          <cell r="P3298">
            <v>44833</v>
          </cell>
          <cell r="Q3298">
            <v>44832</v>
          </cell>
          <cell r="R3298">
            <v>44832</v>
          </cell>
          <cell r="S3298"/>
          <cell r="T3298">
            <v>44833</v>
          </cell>
          <cell r="U3298">
            <v>44838</v>
          </cell>
          <cell r="V3298">
            <v>44839</v>
          </cell>
          <cell r="W3298">
            <v>44839</v>
          </cell>
          <cell r="X3298">
            <v>41100547</v>
          </cell>
        </row>
        <row r="3299">
          <cell r="K3299" t="str">
            <v>DBW-2759</v>
          </cell>
          <cell r="L3299">
            <v>44839</v>
          </cell>
          <cell r="M3299">
            <v>44840</v>
          </cell>
          <cell r="N3299">
            <v>44855</v>
          </cell>
          <cell r="O3299">
            <v>44840</v>
          </cell>
          <cell r="P3299">
            <v>44854</v>
          </cell>
          <cell r="Q3299" t="str">
            <v>2022-10-18 → 10/20</v>
          </cell>
          <cell r="R3299" t="str">
            <v>2022-10-18 → 10/20</v>
          </cell>
          <cell r="S3299"/>
          <cell r="T3299">
            <v>44855</v>
          </cell>
          <cell r="U3299">
            <v>44858</v>
          </cell>
          <cell r="V3299">
            <v>44859</v>
          </cell>
          <cell r="W3299">
            <v>44859</v>
          </cell>
          <cell r="X3299">
            <v>41100479</v>
          </cell>
        </row>
        <row r="3300">
          <cell r="K3300" t="str">
            <v>SOS-0284</v>
          </cell>
          <cell r="L3300">
            <v>44844</v>
          </cell>
          <cell r="M3300">
            <v>44845</v>
          </cell>
          <cell r="N3300">
            <v>44847</v>
          </cell>
          <cell r="O3300">
            <v>44845</v>
          </cell>
          <cell r="P3300">
            <v>44847</v>
          </cell>
          <cell r="Q3300">
            <v>44848</v>
          </cell>
          <cell r="R3300">
            <v>44848</v>
          </cell>
          <cell r="S3300"/>
          <cell r="T3300">
            <v>44847</v>
          </cell>
          <cell r="U3300">
            <v>44851</v>
          </cell>
          <cell r="V3300">
            <v>44851</v>
          </cell>
          <cell r="W3300">
            <v>44851</v>
          </cell>
          <cell r="X3300">
            <v>41100182</v>
          </cell>
        </row>
        <row r="3301">
          <cell r="K3301" t="str">
            <v>GBWS-2905</v>
          </cell>
          <cell r="L3301">
            <v>44838</v>
          </cell>
          <cell r="M3301">
            <v>44839</v>
          </cell>
          <cell r="N3301">
            <v>44857</v>
          </cell>
          <cell r="O3301">
            <v>44839</v>
          </cell>
          <cell r="P3301">
            <v>44858</v>
          </cell>
          <cell r="Q3301" t="str">
            <v>2022-10-17 → 10/20 → 10/24</v>
          </cell>
          <cell r="R3301" t="str">
            <v>2022-10-17 → 10/20 → 10/24</v>
          </cell>
          <cell r="S3301"/>
          <cell r="T3301">
            <v>44859</v>
          </cell>
          <cell r="U3301">
            <v>44860</v>
          </cell>
          <cell r="V3301">
            <v>44860</v>
          </cell>
          <cell r="W3301">
            <v>44860</v>
          </cell>
          <cell r="X3301">
            <v>41100317</v>
          </cell>
        </row>
        <row r="3302">
          <cell r="K3302" t="str">
            <v>GBWS-2916</v>
          </cell>
          <cell r="L3302">
            <v>44839</v>
          </cell>
          <cell r="M3302">
            <v>44840</v>
          </cell>
          <cell r="N3302">
            <v>44853</v>
          </cell>
          <cell r="O3302">
            <v>44840</v>
          </cell>
          <cell r="P3302">
            <v>44852</v>
          </cell>
          <cell r="Q3302" t="str">
            <v>2022-10-17 → 10/19 오전</v>
          </cell>
          <cell r="R3302" t="str">
            <v>2022-10-17 → 10/19 오전</v>
          </cell>
          <cell r="S3302"/>
          <cell r="T3302">
            <v>44853</v>
          </cell>
          <cell r="U3302">
            <v>44854</v>
          </cell>
          <cell r="V3302">
            <v>44854</v>
          </cell>
          <cell r="W3302">
            <v>44855</v>
          </cell>
          <cell r="X3302">
            <v>41100296</v>
          </cell>
        </row>
        <row r="3303">
          <cell r="K3303" t="str">
            <v>MMD-0040</v>
          </cell>
          <cell r="L3303">
            <v>44839</v>
          </cell>
          <cell r="M3303">
            <v>44840</v>
          </cell>
          <cell r="N3303">
            <v>44851</v>
          </cell>
          <cell r="O3303">
            <v>44840</v>
          </cell>
          <cell r="P3303">
            <v>44841</v>
          </cell>
          <cell r="Q3303">
            <v>44851</v>
          </cell>
          <cell r="R3303">
            <v>44851</v>
          </cell>
          <cell r="S3303"/>
          <cell r="T3303">
            <v>44853</v>
          </cell>
          <cell r="U3303">
            <v>44854</v>
          </cell>
          <cell r="V3303">
            <v>44855</v>
          </cell>
          <cell r="W3303">
            <v>44855</v>
          </cell>
          <cell r="X3303">
            <v>31101262</v>
          </cell>
        </row>
        <row r="3304">
          <cell r="K3304" t="str">
            <v>GBWS-2936</v>
          </cell>
          <cell r="L3304">
            <v>44845</v>
          </cell>
          <cell r="M3304">
            <v>44846</v>
          </cell>
          <cell r="N3304">
            <v>44858</v>
          </cell>
          <cell r="O3304">
            <v>44846</v>
          </cell>
          <cell r="P3304">
            <v>44856</v>
          </cell>
          <cell r="Q3304" t="str">
            <v>2022-10-21 → 10/24</v>
          </cell>
          <cell r="R3304" t="str">
            <v>2022-10-21 → 10/24</v>
          </cell>
          <cell r="S3304"/>
          <cell r="T3304">
            <v>44859</v>
          </cell>
          <cell r="U3304">
            <v>44860</v>
          </cell>
          <cell r="V3304">
            <v>44861</v>
          </cell>
          <cell r="W3304">
            <v>44861</v>
          </cell>
          <cell r="X3304">
            <v>41100364</v>
          </cell>
        </row>
        <row r="3305">
          <cell r="K3305" t="str">
            <v>GBWS-2937</v>
          </cell>
          <cell r="L3305">
            <v>44845</v>
          </cell>
          <cell r="M3305">
            <v>44846</v>
          </cell>
          <cell r="N3305">
            <v>44858</v>
          </cell>
          <cell r="O3305">
            <v>44846</v>
          </cell>
          <cell r="P3305">
            <v>44856</v>
          </cell>
          <cell r="Q3305" t="str">
            <v>2022-10-21 → 10/24</v>
          </cell>
          <cell r="R3305" t="str">
            <v>2022-10-21 → 10/24</v>
          </cell>
          <cell r="S3305"/>
          <cell r="T3305">
            <v>44859</v>
          </cell>
          <cell r="U3305">
            <v>44860</v>
          </cell>
          <cell r="V3305">
            <v>44861</v>
          </cell>
          <cell r="W3305">
            <v>44861</v>
          </cell>
          <cell r="X3305">
            <v>41100364</v>
          </cell>
        </row>
        <row r="3306">
          <cell r="K3306" t="str">
            <v>GBWS-2911</v>
          </cell>
          <cell r="L3306">
            <v>44839</v>
          </cell>
          <cell r="M3306">
            <v>44840</v>
          </cell>
          <cell r="N3306">
            <v>44855</v>
          </cell>
          <cell r="O3306">
            <v>44840</v>
          </cell>
          <cell r="P3306">
            <v>44854</v>
          </cell>
          <cell r="Q3306" t="str">
            <v>2022-10-19 → 10/21</v>
          </cell>
          <cell r="R3306" t="str">
            <v>2022-10-19 → 10/21</v>
          </cell>
          <cell r="S3306"/>
          <cell r="T3306">
            <v>44858</v>
          </cell>
          <cell r="U3306">
            <v>44859</v>
          </cell>
          <cell r="V3306">
            <v>44859</v>
          </cell>
          <cell r="W3306">
            <v>44860</v>
          </cell>
          <cell r="X3306">
            <v>41100349</v>
          </cell>
        </row>
        <row r="3307">
          <cell r="K3307" t="str">
            <v>GBWS-2912</v>
          </cell>
          <cell r="L3307">
            <v>44839</v>
          </cell>
          <cell r="M3307">
            <v>44840</v>
          </cell>
          <cell r="N3307">
            <v>44855</v>
          </cell>
          <cell r="O3307">
            <v>44840</v>
          </cell>
          <cell r="P3307">
            <v>44854</v>
          </cell>
          <cell r="Q3307" t="str">
            <v>2022-10-19 → 10/21</v>
          </cell>
          <cell r="R3307" t="str">
            <v>2022-10-19 → 10/21</v>
          </cell>
          <cell r="S3307"/>
          <cell r="T3307">
            <v>44858</v>
          </cell>
          <cell r="U3307">
            <v>44859</v>
          </cell>
          <cell r="V3307">
            <v>44859</v>
          </cell>
          <cell r="W3307">
            <v>44860</v>
          </cell>
          <cell r="X3307">
            <v>41100349</v>
          </cell>
        </row>
        <row r="3308">
          <cell r="K3308" t="str">
            <v>GBWS-2913</v>
          </cell>
          <cell r="L3308">
            <v>44839</v>
          </cell>
          <cell r="M3308">
            <v>44840</v>
          </cell>
          <cell r="N3308">
            <v>44855</v>
          </cell>
          <cell r="O3308">
            <v>44840</v>
          </cell>
          <cell r="P3308">
            <v>44854</v>
          </cell>
          <cell r="Q3308" t="str">
            <v>2022-10-19 → 10/21</v>
          </cell>
          <cell r="R3308" t="str">
            <v>2022-10-19 → 10/21</v>
          </cell>
          <cell r="S3308"/>
          <cell r="T3308">
            <v>44858</v>
          </cell>
          <cell r="U3308">
            <v>44859</v>
          </cell>
          <cell r="V3308">
            <v>44859</v>
          </cell>
          <cell r="W3308">
            <v>44860</v>
          </cell>
          <cell r="X3308">
            <v>41100349</v>
          </cell>
        </row>
        <row r="3309">
          <cell r="K3309" t="str">
            <v>GBWS-2914</v>
          </cell>
          <cell r="L3309">
            <v>44839</v>
          </cell>
          <cell r="M3309">
            <v>44840</v>
          </cell>
          <cell r="N3309">
            <v>44855</v>
          </cell>
          <cell r="O3309">
            <v>44840</v>
          </cell>
          <cell r="P3309">
            <v>44854</v>
          </cell>
          <cell r="Q3309" t="str">
            <v>2022-10-19 → 10/21</v>
          </cell>
          <cell r="R3309" t="str">
            <v>2022-10-19 → 10/21</v>
          </cell>
          <cell r="S3309"/>
          <cell r="T3309">
            <v>44858</v>
          </cell>
          <cell r="U3309">
            <v>44860</v>
          </cell>
          <cell r="V3309">
            <v>44860</v>
          </cell>
          <cell r="W3309">
            <v>44860</v>
          </cell>
          <cell r="X3309">
            <v>41100349</v>
          </cell>
        </row>
        <row r="3310">
          <cell r="K3310" t="str">
            <v>GBWS-2915</v>
          </cell>
          <cell r="L3310">
            <v>44839</v>
          </cell>
          <cell r="M3310">
            <v>44840</v>
          </cell>
          <cell r="N3310">
            <v>44855</v>
          </cell>
          <cell r="O3310">
            <v>44840</v>
          </cell>
          <cell r="P3310">
            <v>44854</v>
          </cell>
          <cell r="Q3310" t="str">
            <v>2022-10-19 → 10/21</v>
          </cell>
          <cell r="R3310" t="str">
            <v>2022-10-19 → 10/21</v>
          </cell>
          <cell r="S3310"/>
          <cell r="T3310">
            <v>44858</v>
          </cell>
          <cell r="U3310">
            <v>44860</v>
          </cell>
          <cell r="V3310">
            <v>44860</v>
          </cell>
          <cell r="W3310">
            <v>44860</v>
          </cell>
          <cell r="X3310">
            <v>41100349</v>
          </cell>
        </row>
        <row r="3311">
          <cell r="K3311" t="str">
            <v>DBW-2753</v>
          </cell>
          <cell r="L3311">
            <v>44839</v>
          </cell>
          <cell r="M3311">
            <v>44840</v>
          </cell>
          <cell r="N3311">
            <v>44851</v>
          </cell>
          <cell r="O3311">
            <v>44840</v>
          </cell>
          <cell r="P3311">
            <v>44851</v>
          </cell>
          <cell r="Q3311">
            <v>44851</v>
          </cell>
          <cell r="R3311">
            <v>44851</v>
          </cell>
          <cell r="S3311"/>
          <cell r="T3311">
            <v>44852</v>
          </cell>
          <cell r="U3311">
            <v>44853</v>
          </cell>
          <cell r="V3311">
            <v>44854</v>
          </cell>
          <cell r="W3311">
            <v>44854</v>
          </cell>
          <cell r="X3311">
            <v>41100473</v>
          </cell>
        </row>
        <row r="3312">
          <cell r="K3312" t="str">
            <v>DBW-2754</v>
          </cell>
          <cell r="L3312">
            <v>44839</v>
          </cell>
          <cell r="M3312">
            <v>44840</v>
          </cell>
          <cell r="N3312">
            <v>44851</v>
          </cell>
          <cell r="O3312">
            <v>44840</v>
          </cell>
          <cell r="P3312">
            <v>44851</v>
          </cell>
          <cell r="Q3312">
            <v>44851</v>
          </cell>
          <cell r="R3312">
            <v>44851</v>
          </cell>
          <cell r="S3312"/>
          <cell r="T3312">
            <v>44852</v>
          </cell>
          <cell r="U3312">
            <v>44853</v>
          </cell>
          <cell r="V3312">
            <v>44853</v>
          </cell>
          <cell r="W3312">
            <v>44854</v>
          </cell>
          <cell r="X3312">
            <v>41100473</v>
          </cell>
        </row>
        <row r="3313">
          <cell r="K3313" t="str">
            <v>DBW-2755</v>
          </cell>
          <cell r="L3313">
            <v>44839</v>
          </cell>
          <cell r="M3313">
            <v>44840</v>
          </cell>
          <cell r="N3313">
            <v>44851</v>
          </cell>
          <cell r="O3313">
            <v>44840</v>
          </cell>
          <cell r="P3313">
            <v>44851</v>
          </cell>
          <cell r="Q3313">
            <v>44851</v>
          </cell>
          <cell r="R3313">
            <v>44851</v>
          </cell>
          <cell r="S3313"/>
          <cell r="T3313">
            <v>44852</v>
          </cell>
          <cell r="U3313">
            <v>44853</v>
          </cell>
          <cell r="V3313">
            <v>44853</v>
          </cell>
          <cell r="W3313">
            <v>44854</v>
          </cell>
          <cell r="X3313">
            <v>41100473</v>
          </cell>
        </row>
        <row r="3314">
          <cell r="K3314" t="str">
            <v>DBW-2756</v>
          </cell>
          <cell r="L3314">
            <v>44839</v>
          </cell>
          <cell r="M3314">
            <v>44840</v>
          </cell>
          <cell r="N3314">
            <v>44851</v>
          </cell>
          <cell r="O3314">
            <v>44840</v>
          </cell>
          <cell r="P3314">
            <v>44851</v>
          </cell>
          <cell r="Q3314">
            <v>44851</v>
          </cell>
          <cell r="R3314">
            <v>44851</v>
          </cell>
          <cell r="S3314"/>
          <cell r="T3314">
            <v>44852</v>
          </cell>
          <cell r="U3314">
            <v>44853</v>
          </cell>
          <cell r="V3314">
            <v>44853</v>
          </cell>
          <cell r="W3314">
            <v>44854</v>
          </cell>
          <cell r="X3314">
            <v>41100473</v>
          </cell>
        </row>
        <row r="3315">
          <cell r="K3315" t="str">
            <v>DBW-2757</v>
          </cell>
          <cell r="L3315">
            <v>44839</v>
          </cell>
          <cell r="M3315">
            <v>44840</v>
          </cell>
          <cell r="N3315">
            <v>44851</v>
          </cell>
          <cell r="O3315">
            <v>44840</v>
          </cell>
          <cell r="P3315">
            <v>44851</v>
          </cell>
          <cell r="Q3315">
            <v>44851</v>
          </cell>
          <cell r="R3315">
            <v>44851</v>
          </cell>
          <cell r="S3315"/>
          <cell r="T3315">
            <v>44852</v>
          </cell>
          <cell r="U3315">
            <v>44853</v>
          </cell>
          <cell r="V3315">
            <v>44854</v>
          </cell>
          <cell r="W3315">
            <v>44854</v>
          </cell>
          <cell r="X3315">
            <v>41100465</v>
          </cell>
        </row>
        <row r="3316">
          <cell r="K3316" t="str">
            <v>DBW-2758</v>
          </cell>
          <cell r="L3316">
            <v>44839</v>
          </cell>
          <cell r="M3316">
            <v>44840</v>
          </cell>
          <cell r="N3316">
            <v>44851</v>
          </cell>
          <cell r="O3316">
            <v>44840</v>
          </cell>
          <cell r="P3316">
            <v>44851</v>
          </cell>
          <cell r="Q3316">
            <v>44851</v>
          </cell>
          <cell r="R3316">
            <v>44851</v>
          </cell>
          <cell r="S3316"/>
          <cell r="T3316">
            <v>44852</v>
          </cell>
          <cell r="U3316">
            <v>44853</v>
          </cell>
          <cell r="V3316">
            <v>44853</v>
          </cell>
          <cell r="W3316">
            <v>44854</v>
          </cell>
          <cell r="X3316">
            <v>41100465</v>
          </cell>
        </row>
        <row r="3317">
          <cell r="K3317" t="str">
            <v>-</v>
          </cell>
          <cell r="L3317">
            <v>44844</v>
          </cell>
          <cell r="M3317">
            <v>44845</v>
          </cell>
          <cell r="N3317">
            <v>44852</v>
          </cell>
          <cell r="O3317">
            <v>44845</v>
          </cell>
          <cell r="P3317">
            <v>44853</v>
          </cell>
          <cell r="Q3317">
            <v>44852</v>
          </cell>
          <cell r="R3317">
            <v>44852</v>
          </cell>
          <cell r="S3317"/>
          <cell r="T3317">
            <v>44853</v>
          </cell>
          <cell r="U3317">
            <v>44859</v>
          </cell>
          <cell r="V3317">
            <v>44860</v>
          </cell>
          <cell r="W3317">
            <v>44860</v>
          </cell>
          <cell r="X3317">
            <v>31102288</v>
          </cell>
        </row>
        <row r="3318">
          <cell r="K3318" t="str">
            <v>-</v>
          </cell>
          <cell r="L3318">
            <v>44844</v>
          </cell>
          <cell r="M3318">
            <v>44845</v>
          </cell>
          <cell r="N3318">
            <v>44852</v>
          </cell>
          <cell r="O3318">
            <v>44845</v>
          </cell>
          <cell r="P3318">
            <v>44853</v>
          </cell>
          <cell r="Q3318">
            <v>44852</v>
          </cell>
          <cell r="R3318">
            <v>44852</v>
          </cell>
          <cell r="S3318"/>
          <cell r="T3318">
            <v>44853</v>
          </cell>
          <cell r="U3318">
            <v>44859</v>
          </cell>
          <cell r="V3318">
            <v>44860</v>
          </cell>
          <cell r="W3318">
            <v>44860</v>
          </cell>
          <cell r="X3318">
            <v>31102289</v>
          </cell>
        </row>
        <row r="3319">
          <cell r="K3319" t="str">
            <v>-</v>
          </cell>
          <cell r="L3319">
            <v>44844</v>
          </cell>
          <cell r="M3319">
            <v>44845</v>
          </cell>
          <cell r="N3319">
            <v>44852</v>
          </cell>
          <cell r="O3319">
            <v>44845</v>
          </cell>
          <cell r="P3319">
            <v>44853</v>
          </cell>
          <cell r="Q3319">
            <v>44852</v>
          </cell>
          <cell r="R3319">
            <v>44852</v>
          </cell>
          <cell r="S3319"/>
          <cell r="T3319">
            <v>44853</v>
          </cell>
          <cell r="U3319">
            <v>44859</v>
          </cell>
          <cell r="V3319">
            <v>44860</v>
          </cell>
          <cell r="W3319">
            <v>44860</v>
          </cell>
          <cell r="X3319">
            <v>31102303</v>
          </cell>
        </row>
        <row r="3320">
          <cell r="K3320" t="str">
            <v>-</v>
          </cell>
          <cell r="L3320">
            <v>44844</v>
          </cell>
          <cell r="M3320">
            <v>44845</v>
          </cell>
          <cell r="N3320">
            <v>44852</v>
          </cell>
          <cell r="O3320">
            <v>44845</v>
          </cell>
          <cell r="P3320">
            <v>44853</v>
          </cell>
          <cell r="Q3320">
            <v>44852</v>
          </cell>
          <cell r="R3320">
            <v>44852</v>
          </cell>
          <cell r="S3320"/>
          <cell r="T3320">
            <v>44853</v>
          </cell>
          <cell r="U3320">
            <v>44859</v>
          </cell>
          <cell r="V3320">
            <v>44860</v>
          </cell>
          <cell r="W3320">
            <v>44860</v>
          </cell>
          <cell r="X3320">
            <v>31102257</v>
          </cell>
        </row>
        <row r="3321">
          <cell r="K3321" t="str">
            <v>-</v>
          </cell>
          <cell r="L3321">
            <v>44844</v>
          </cell>
          <cell r="M3321">
            <v>44845</v>
          </cell>
          <cell r="N3321">
            <v>44852</v>
          </cell>
          <cell r="O3321">
            <v>44845</v>
          </cell>
          <cell r="P3321">
            <v>44853</v>
          </cell>
          <cell r="Q3321">
            <v>44852</v>
          </cell>
          <cell r="R3321">
            <v>44852</v>
          </cell>
          <cell r="S3321"/>
          <cell r="T3321">
            <v>44853</v>
          </cell>
          <cell r="U3321">
            <v>44858</v>
          </cell>
          <cell r="V3321">
            <v>44861</v>
          </cell>
          <cell r="W3321">
            <v>44861</v>
          </cell>
          <cell r="X3321">
            <v>31102303</v>
          </cell>
        </row>
        <row r="3322">
          <cell r="K3322" t="str">
            <v>-</v>
          </cell>
          <cell r="L3322">
            <v>44844</v>
          </cell>
          <cell r="M3322">
            <v>44845</v>
          </cell>
          <cell r="N3322">
            <v>44852</v>
          </cell>
          <cell r="O3322">
            <v>44845</v>
          </cell>
          <cell r="P3322">
            <v>44853</v>
          </cell>
          <cell r="Q3322">
            <v>44852</v>
          </cell>
          <cell r="R3322">
            <v>44852</v>
          </cell>
          <cell r="S3322"/>
          <cell r="T3322">
            <v>44853</v>
          </cell>
          <cell r="U3322">
            <v>44858</v>
          </cell>
          <cell r="V3322">
            <v>44860</v>
          </cell>
          <cell r="W3322">
            <v>44860</v>
          </cell>
          <cell r="X3322">
            <v>31102304</v>
          </cell>
        </row>
        <row r="3323">
          <cell r="K3323" t="str">
            <v>-</v>
          </cell>
          <cell r="L3323">
            <v>44844</v>
          </cell>
          <cell r="M3323">
            <v>44845</v>
          </cell>
          <cell r="N3323">
            <v>44852</v>
          </cell>
          <cell r="O3323">
            <v>44845</v>
          </cell>
          <cell r="P3323">
            <v>44853</v>
          </cell>
          <cell r="Q3323">
            <v>44852</v>
          </cell>
          <cell r="R3323">
            <v>44852</v>
          </cell>
          <cell r="S3323"/>
          <cell r="T3323">
            <v>44853</v>
          </cell>
          <cell r="U3323">
            <v>44860</v>
          </cell>
          <cell r="V3323">
            <v>44860</v>
          </cell>
          <cell r="W3323">
            <v>44860</v>
          </cell>
          <cell r="X3323">
            <v>31102303</v>
          </cell>
        </row>
        <row r="3324">
          <cell r="K3324" t="str">
            <v>G14030014</v>
          </cell>
          <cell r="L3324" t="str">
            <v>-</v>
          </cell>
          <cell r="M3324">
            <v>44862</v>
          </cell>
          <cell r="N3324">
            <v>44862</v>
          </cell>
          <cell r="O3324" t="str">
            <v>-</v>
          </cell>
          <cell r="P3324" t="str">
            <v>-</v>
          </cell>
          <cell r="Q3324">
            <v>44862</v>
          </cell>
          <cell r="R3324">
            <v>44862</v>
          </cell>
          <cell r="S3324"/>
          <cell r="T3324">
            <v>44865</v>
          </cell>
          <cell r="U3324">
            <v>44861</v>
          </cell>
          <cell r="V3324">
            <v>44862</v>
          </cell>
          <cell r="W3324">
            <v>44862</v>
          </cell>
          <cell r="X3324" t="str">
            <v>-</v>
          </cell>
        </row>
        <row r="3325">
          <cell r="K3325" t="str">
            <v>WS-0066</v>
          </cell>
          <cell r="L3325">
            <v>44845</v>
          </cell>
          <cell r="M3325">
            <v>44846</v>
          </cell>
          <cell r="N3325">
            <v>44855</v>
          </cell>
          <cell r="O3325">
            <v>44846</v>
          </cell>
          <cell r="P3325">
            <v>44855</v>
          </cell>
          <cell r="Q3325">
            <v>44854</v>
          </cell>
          <cell r="R3325">
            <v>44854</v>
          </cell>
          <cell r="S3325"/>
          <cell r="T3325">
            <v>44858</v>
          </cell>
          <cell r="U3325">
            <v>44859</v>
          </cell>
          <cell r="V3325">
            <v>44859</v>
          </cell>
          <cell r="W3325">
            <v>44859</v>
          </cell>
          <cell r="X3325">
            <v>41100583</v>
          </cell>
        </row>
        <row r="3326">
          <cell r="K3326" t="str">
            <v>DBW-2736</v>
          </cell>
          <cell r="L3326">
            <v>44830</v>
          </cell>
          <cell r="M3326">
            <v>44831</v>
          </cell>
          <cell r="N3326">
            <v>44840</v>
          </cell>
          <cell r="O3326">
            <v>44831</v>
          </cell>
          <cell r="P3326">
            <v>44845</v>
          </cell>
          <cell r="Q3326">
            <v>44840</v>
          </cell>
          <cell r="R3326">
            <v>44840</v>
          </cell>
          <cell r="S3326"/>
          <cell r="T3326">
            <v>44841</v>
          </cell>
          <cell r="U3326">
            <v>44847</v>
          </cell>
          <cell r="V3326">
            <v>44847</v>
          </cell>
          <cell r="W3326">
            <v>44848</v>
          </cell>
          <cell r="X3326">
            <v>41100471</v>
          </cell>
        </row>
        <row r="3327">
          <cell r="K3327" t="str">
            <v>DBW-2684</v>
          </cell>
          <cell r="L3327">
            <v>44754</v>
          </cell>
          <cell r="M3327">
            <v>44757</v>
          </cell>
          <cell r="N3327">
            <v>44769</v>
          </cell>
          <cell r="O3327">
            <v>44757</v>
          </cell>
          <cell r="P3327">
            <v>44767</v>
          </cell>
          <cell r="Q3327">
            <v>44768</v>
          </cell>
          <cell r="R3327">
            <v>44768</v>
          </cell>
          <cell r="S3327"/>
          <cell r="T3327">
            <v>44769</v>
          </cell>
          <cell r="U3327">
            <v>44771</v>
          </cell>
          <cell r="V3327">
            <v>44776</v>
          </cell>
          <cell r="W3327">
            <v>44776</v>
          </cell>
          <cell r="X3327">
            <v>41100465</v>
          </cell>
        </row>
        <row r="3328">
          <cell r="K3328" t="str">
            <v>DBW-2685</v>
          </cell>
          <cell r="L3328">
            <v>44754</v>
          </cell>
          <cell r="M3328">
            <v>44757</v>
          </cell>
          <cell r="N3328">
            <v>44769</v>
          </cell>
          <cell r="O3328">
            <v>44757</v>
          </cell>
          <cell r="P3328">
            <v>44767</v>
          </cell>
          <cell r="Q3328">
            <v>44768</v>
          </cell>
          <cell r="R3328">
            <v>44768</v>
          </cell>
          <cell r="S3328"/>
          <cell r="T3328">
            <v>44769</v>
          </cell>
          <cell r="U3328">
            <v>44771</v>
          </cell>
          <cell r="V3328">
            <v>44776</v>
          </cell>
          <cell r="W3328">
            <v>44776</v>
          </cell>
          <cell r="X3328">
            <v>41100465</v>
          </cell>
        </row>
        <row r="3329">
          <cell r="K3329" t="str">
            <v>DS-0402~0407</v>
          </cell>
          <cell r="L3329" t="str">
            <v>-</v>
          </cell>
          <cell r="M3329">
            <v>44862</v>
          </cell>
          <cell r="N3329">
            <v>44865</v>
          </cell>
          <cell r="O3329">
            <v>44862</v>
          </cell>
          <cell r="P3329">
            <v>44865</v>
          </cell>
          <cell r="Q3329">
            <v>44862</v>
          </cell>
          <cell r="R3329">
            <v>44862</v>
          </cell>
          <cell r="S3329"/>
          <cell r="T3329">
            <v>44865</v>
          </cell>
          <cell r="U3329">
            <v>44865</v>
          </cell>
          <cell r="V3329">
            <v>44865</v>
          </cell>
          <cell r="W3329">
            <v>44865</v>
          </cell>
          <cell r="X3329">
            <v>31010315</v>
          </cell>
        </row>
        <row r="3330">
          <cell r="K3330" t="str">
            <v>GBWS-2933</v>
          </cell>
          <cell r="L3330">
            <v>44845</v>
          </cell>
          <cell r="M3330">
            <v>44846</v>
          </cell>
          <cell r="N3330">
            <v>44865</v>
          </cell>
          <cell r="O3330">
            <v>44846</v>
          </cell>
          <cell r="P3330">
            <v>44865</v>
          </cell>
          <cell r="Q3330" t="str">
            <v>2022-10-24 → 10/30</v>
          </cell>
          <cell r="R3330" t="str">
            <v>2022-10-24 → 10/30</v>
          </cell>
          <cell r="S3330"/>
          <cell r="T3330">
            <v>44865</v>
          </cell>
          <cell r="U3330">
            <v>44865</v>
          </cell>
          <cell r="V3330">
            <v>44865</v>
          </cell>
          <cell r="W3330">
            <v>44865</v>
          </cell>
          <cell r="X3330">
            <v>41100363</v>
          </cell>
        </row>
        <row r="3331">
          <cell r="K3331" t="str">
            <v>WS-0067</v>
          </cell>
          <cell r="L3331">
            <v>44851</v>
          </cell>
          <cell r="M3331">
            <v>44852</v>
          </cell>
          <cell r="N3331">
            <v>44860</v>
          </cell>
          <cell r="O3331">
            <v>44852</v>
          </cell>
          <cell r="P3331">
            <v>44861</v>
          </cell>
          <cell r="Q3331">
            <v>44860</v>
          </cell>
          <cell r="R3331">
            <v>44860</v>
          </cell>
          <cell r="S3331"/>
          <cell r="T3331">
            <v>44862</v>
          </cell>
          <cell r="U3331">
            <v>44862</v>
          </cell>
          <cell r="V3331">
            <v>44865</v>
          </cell>
          <cell r="W3331">
            <v>44865</v>
          </cell>
          <cell r="X3331">
            <v>41100435</v>
          </cell>
        </row>
        <row r="3332">
          <cell r="K3332" t="str">
            <v>G13030006</v>
          </cell>
          <cell r="L3332" t="str">
            <v>-</v>
          </cell>
          <cell r="M3332">
            <v>44860</v>
          </cell>
          <cell r="N3332">
            <v>44860</v>
          </cell>
          <cell r="O3332" t="str">
            <v>-</v>
          </cell>
          <cell r="P3332" t="str">
            <v>-</v>
          </cell>
          <cell r="Q3332">
            <v>44860</v>
          </cell>
          <cell r="R3332">
            <v>44860</v>
          </cell>
          <cell r="S3332"/>
          <cell r="T3332">
            <v>44860</v>
          </cell>
          <cell r="U3332">
            <v>44865</v>
          </cell>
          <cell r="V3332">
            <v>44865</v>
          </cell>
          <cell r="W3332">
            <v>44865</v>
          </cell>
          <cell r="X3332" t="str">
            <v>-</v>
          </cell>
        </row>
        <row r="3333">
          <cell r="K3333" t="str">
            <v>G1H2005</v>
          </cell>
          <cell r="L3333" t="str">
            <v>-</v>
          </cell>
          <cell r="M3333">
            <v>44862</v>
          </cell>
          <cell r="N3333">
            <v>44862</v>
          </cell>
          <cell r="O3333" t="str">
            <v>-</v>
          </cell>
          <cell r="P3333" t="str">
            <v>-</v>
          </cell>
          <cell r="Q3333">
            <v>44862</v>
          </cell>
          <cell r="R3333">
            <v>44862</v>
          </cell>
          <cell r="S3333"/>
          <cell r="T3333">
            <v>44865</v>
          </cell>
          <cell r="U3333">
            <v>44865</v>
          </cell>
          <cell r="V3333">
            <v>44865</v>
          </cell>
          <cell r="W3333">
            <v>44865</v>
          </cell>
          <cell r="X3333" t="str">
            <v>-</v>
          </cell>
        </row>
        <row r="3334">
          <cell r="K3334" t="str">
            <v>G2H3001</v>
          </cell>
          <cell r="L3334" t="str">
            <v>-</v>
          </cell>
          <cell r="M3334">
            <v>44855</v>
          </cell>
          <cell r="N3334">
            <v>44855</v>
          </cell>
          <cell r="O3334" t="str">
            <v>-</v>
          </cell>
          <cell r="P3334" t="str">
            <v>-</v>
          </cell>
          <cell r="Q3334">
            <v>44855</v>
          </cell>
          <cell r="R3334">
            <v>44855</v>
          </cell>
          <cell r="S3334"/>
          <cell r="T3334">
            <v>44855</v>
          </cell>
          <cell r="U3334">
            <v>44865</v>
          </cell>
          <cell r="V3334">
            <v>44865</v>
          </cell>
          <cell r="W3334">
            <v>44865</v>
          </cell>
          <cell r="X3334" t="str">
            <v>-</v>
          </cell>
        </row>
        <row r="3335">
          <cell r="K3335" t="str">
            <v>G13030040</v>
          </cell>
          <cell r="L3335" t="str">
            <v>-</v>
          </cell>
          <cell r="M3335">
            <v>44812</v>
          </cell>
          <cell r="N3335">
            <v>44853</v>
          </cell>
          <cell r="O3335" t="str">
            <v>-</v>
          </cell>
          <cell r="P3335" t="str">
            <v>-</v>
          </cell>
          <cell r="Q3335">
            <v>44853</v>
          </cell>
          <cell r="R3335">
            <v>44853</v>
          </cell>
          <cell r="S3335"/>
          <cell r="T3335">
            <v>44853</v>
          </cell>
          <cell r="U3335">
            <v>44867</v>
          </cell>
          <cell r="V3335">
            <v>44868</v>
          </cell>
          <cell r="W3335">
            <v>44868</v>
          </cell>
          <cell r="X3335" t="str">
            <v>-</v>
          </cell>
        </row>
        <row r="3336">
          <cell r="K3336" t="str">
            <v>IVAS-161</v>
          </cell>
          <cell r="L3336">
            <v>44844</v>
          </cell>
          <cell r="M3336">
            <v>44845</v>
          </cell>
          <cell r="N3336">
            <v>44861</v>
          </cell>
          <cell r="O3336">
            <v>44845</v>
          </cell>
          <cell r="P3336">
            <v>44859</v>
          </cell>
          <cell r="Q3336" t="str">
            <v>2022-10-24 → 10/26</v>
          </cell>
          <cell r="R3336" t="str">
            <v>2022-10-24 → 10/26</v>
          </cell>
          <cell r="S3336"/>
          <cell r="T3336">
            <v>44861</v>
          </cell>
          <cell r="U3336">
            <v>44867</v>
          </cell>
          <cell r="V3336">
            <v>44867</v>
          </cell>
          <cell r="W3336">
            <v>44867</v>
          </cell>
          <cell r="X3336">
            <v>41100543</v>
          </cell>
        </row>
        <row r="3337">
          <cell r="K3337" t="str">
            <v>IVAS-163</v>
          </cell>
          <cell r="L3337">
            <v>44844</v>
          </cell>
          <cell r="M3337">
            <v>44845</v>
          </cell>
          <cell r="N3337">
            <v>44861</v>
          </cell>
          <cell r="O3337">
            <v>44845</v>
          </cell>
          <cell r="P3337">
            <v>44859</v>
          </cell>
          <cell r="Q3337" t="str">
            <v>2022-10-20 → 10/24</v>
          </cell>
          <cell r="R3337" t="str">
            <v>2022-10-20 → 10/24</v>
          </cell>
          <cell r="S3337"/>
          <cell r="T3337">
            <v>44859</v>
          </cell>
          <cell r="U3337">
            <v>44867</v>
          </cell>
          <cell r="V3337">
            <v>44867</v>
          </cell>
          <cell r="W3337">
            <v>44867</v>
          </cell>
          <cell r="X3337">
            <v>41100273</v>
          </cell>
        </row>
        <row r="3338">
          <cell r="K3338" t="str">
            <v>GBWS-2940</v>
          </cell>
          <cell r="L3338">
            <v>44846</v>
          </cell>
          <cell r="M3338">
            <v>44847</v>
          </cell>
          <cell r="N3338">
            <v>44865</v>
          </cell>
          <cell r="O3338">
            <v>44847</v>
          </cell>
          <cell r="P3338">
            <v>44866</v>
          </cell>
          <cell r="Q3338" t="str">
            <v>2022-10-21 → 10/31</v>
          </cell>
          <cell r="R3338" t="str">
            <v>2022-10-21 → 10/31</v>
          </cell>
          <cell r="S3338"/>
          <cell r="T3338">
            <v>44866</v>
          </cell>
          <cell r="U3338">
            <v>44867</v>
          </cell>
          <cell r="V3338">
            <v>44867</v>
          </cell>
          <cell r="W3338">
            <v>44867</v>
          </cell>
          <cell r="X3338">
            <v>41100286</v>
          </cell>
        </row>
        <row r="3339">
          <cell r="K3339" t="str">
            <v>DBW-2666</v>
          </cell>
          <cell r="L3339">
            <v>44725</v>
          </cell>
          <cell r="M3339">
            <v>44725</v>
          </cell>
          <cell r="N3339">
            <v>44734</v>
          </cell>
          <cell r="O3339">
            <v>44725</v>
          </cell>
          <cell r="P3339">
            <v>44735</v>
          </cell>
          <cell r="Q3339">
            <v>44735</v>
          </cell>
          <cell r="R3339">
            <v>44735</v>
          </cell>
          <cell r="S3339"/>
          <cell r="T3339">
            <v>44736</v>
          </cell>
          <cell r="U3339">
            <v>44739</v>
          </cell>
          <cell r="V3339">
            <v>44740</v>
          </cell>
          <cell r="W3339">
            <v>44741</v>
          </cell>
          <cell r="X3339">
            <v>41100496</v>
          </cell>
        </row>
        <row r="3340">
          <cell r="K3340" t="str">
            <v>DBW-2722</v>
          </cell>
          <cell r="L3340">
            <v>44811</v>
          </cell>
          <cell r="M3340">
            <v>44812</v>
          </cell>
          <cell r="N3340">
            <v>44826</v>
          </cell>
          <cell r="O3340">
            <v>44812</v>
          </cell>
          <cell r="P3340">
            <v>44826</v>
          </cell>
          <cell r="Q3340">
            <v>44824</v>
          </cell>
          <cell r="R3340">
            <v>44824</v>
          </cell>
          <cell r="S3340"/>
          <cell r="T3340">
            <v>44827</v>
          </cell>
          <cell r="U3340">
            <v>44830</v>
          </cell>
          <cell r="V3340">
            <v>44830</v>
          </cell>
          <cell r="W3340">
            <v>44830</v>
          </cell>
          <cell r="X3340">
            <v>41100531</v>
          </cell>
        </row>
        <row r="3341">
          <cell r="K3341" t="str">
            <v>DBW-2723</v>
          </cell>
          <cell r="L3341">
            <v>44811</v>
          </cell>
          <cell r="M3341">
            <v>44812</v>
          </cell>
          <cell r="N3341">
            <v>44826</v>
          </cell>
          <cell r="O3341">
            <v>44812</v>
          </cell>
          <cell r="P3341">
            <v>44826</v>
          </cell>
          <cell r="Q3341">
            <v>44824</v>
          </cell>
          <cell r="R3341">
            <v>44824</v>
          </cell>
          <cell r="S3341"/>
          <cell r="T3341">
            <v>44827</v>
          </cell>
          <cell r="U3341">
            <v>44830</v>
          </cell>
          <cell r="V3341">
            <v>44831</v>
          </cell>
          <cell r="W3341">
            <v>44831</v>
          </cell>
          <cell r="X3341">
            <v>41100531</v>
          </cell>
        </row>
        <row r="3342">
          <cell r="K3342" t="str">
            <v>GBWS-2934</v>
          </cell>
          <cell r="L3342">
            <v>44845</v>
          </cell>
          <cell r="M3342">
            <v>44846</v>
          </cell>
          <cell r="N3342">
            <v>44865</v>
          </cell>
          <cell r="O3342">
            <v>44846</v>
          </cell>
          <cell r="P3342">
            <v>44866</v>
          </cell>
          <cell r="Q3342" t="str">
            <v>2022-10-21 → 10/31</v>
          </cell>
          <cell r="R3342" t="str">
            <v>2022-10-21 → 10/31</v>
          </cell>
          <cell r="S3342"/>
          <cell r="T3342">
            <v>44866</v>
          </cell>
          <cell r="U3342">
            <v>44867</v>
          </cell>
          <cell r="V3342">
            <v>44867</v>
          </cell>
          <cell r="W3342">
            <v>44867</v>
          </cell>
          <cell r="X3342">
            <v>41100350</v>
          </cell>
        </row>
        <row r="3343">
          <cell r="K3343" t="str">
            <v>DBW-2743</v>
          </cell>
          <cell r="L3343">
            <v>44823</v>
          </cell>
          <cell r="M3343">
            <v>44824</v>
          </cell>
          <cell r="N3343">
            <v>44838</v>
          </cell>
          <cell r="O3343">
            <v>44824</v>
          </cell>
          <cell r="P3343">
            <v>44839</v>
          </cell>
          <cell r="Q3343">
            <v>44834</v>
          </cell>
          <cell r="R3343">
            <v>44834</v>
          </cell>
          <cell r="S3343"/>
          <cell r="T3343">
            <v>44838</v>
          </cell>
          <cell r="U3343">
            <v>44839</v>
          </cell>
          <cell r="V3343">
            <v>44840</v>
          </cell>
          <cell r="W3343">
            <v>44840</v>
          </cell>
          <cell r="X3343">
            <v>41100472</v>
          </cell>
        </row>
        <row r="3344">
          <cell r="K3344" t="str">
            <v>DBW-2744</v>
          </cell>
          <cell r="L3344">
            <v>44823</v>
          </cell>
          <cell r="M3344">
            <v>44824</v>
          </cell>
          <cell r="N3344">
            <v>44838</v>
          </cell>
          <cell r="O3344">
            <v>44824</v>
          </cell>
          <cell r="P3344">
            <v>44839</v>
          </cell>
          <cell r="Q3344">
            <v>44834</v>
          </cell>
          <cell r="R3344">
            <v>44834</v>
          </cell>
          <cell r="S3344"/>
          <cell r="T3344">
            <v>44838</v>
          </cell>
          <cell r="U3344">
            <v>44839</v>
          </cell>
          <cell r="V3344">
            <v>44840</v>
          </cell>
          <cell r="W3344">
            <v>44840</v>
          </cell>
          <cell r="X3344">
            <v>41100472</v>
          </cell>
        </row>
        <row r="3345">
          <cell r="K3345" t="str">
            <v>DBW-2761</v>
          </cell>
          <cell r="L3345">
            <v>44844</v>
          </cell>
          <cell r="M3345">
            <v>44845</v>
          </cell>
          <cell r="N3345">
            <v>44857</v>
          </cell>
          <cell r="O3345">
            <v>44845</v>
          </cell>
          <cell r="P3345">
            <v>44857</v>
          </cell>
          <cell r="Q3345" t="str">
            <v>2022-10-20 → 10/23</v>
          </cell>
          <cell r="R3345" t="str">
            <v>2022-10-20 → 10/23</v>
          </cell>
          <cell r="S3345"/>
          <cell r="T3345">
            <v>44858</v>
          </cell>
          <cell r="U3345">
            <v>44859</v>
          </cell>
          <cell r="V3345">
            <v>44859</v>
          </cell>
          <cell r="W3345">
            <v>44860</v>
          </cell>
          <cell r="X3345">
            <v>41100470</v>
          </cell>
        </row>
        <row r="3346">
          <cell r="K3346" t="str">
            <v>DBW-2762</v>
          </cell>
          <cell r="L3346">
            <v>44844</v>
          </cell>
          <cell r="M3346">
            <v>44845</v>
          </cell>
          <cell r="N3346">
            <v>44857</v>
          </cell>
          <cell r="O3346">
            <v>44845</v>
          </cell>
          <cell r="P3346">
            <v>44857</v>
          </cell>
          <cell r="Q3346" t="str">
            <v>2022-10-20 → 10/23</v>
          </cell>
          <cell r="R3346" t="str">
            <v>2022-10-20 → 10/23</v>
          </cell>
          <cell r="S3346"/>
          <cell r="T3346">
            <v>44858</v>
          </cell>
          <cell r="U3346">
            <v>44859</v>
          </cell>
          <cell r="V3346">
            <v>44859</v>
          </cell>
          <cell r="W3346">
            <v>44860</v>
          </cell>
          <cell r="X3346">
            <v>41100470</v>
          </cell>
        </row>
        <row r="3347">
          <cell r="K3347" t="str">
            <v>DBW-2763</v>
          </cell>
          <cell r="L3347">
            <v>44844</v>
          </cell>
          <cell r="M3347">
            <v>44845</v>
          </cell>
          <cell r="N3347">
            <v>44857</v>
          </cell>
          <cell r="O3347">
            <v>44845</v>
          </cell>
          <cell r="P3347">
            <v>44857</v>
          </cell>
          <cell r="Q3347" t="str">
            <v>2022-10-20 → 10/23</v>
          </cell>
          <cell r="R3347" t="str">
            <v>2022-10-20 → 10/23</v>
          </cell>
          <cell r="S3347"/>
          <cell r="T3347">
            <v>44858</v>
          </cell>
          <cell r="U3347">
            <v>44859</v>
          </cell>
          <cell r="V3347">
            <v>44860</v>
          </cell>
          <cell r="W3347">
            <v>44860</v>
          </cell>
          <cell r="X3347">
            <v>41100470</v>
          </cell>
        </row>
        <row r="3348">
          <cell r="K3348" t="str">
            <v>DBW-2764</v>
          </cell>
          <cell r="L3348">
            <v>44844</v>
          </cell>
          <cell r="M3348">
            <v>44845</v>
          </cell>
          <cell r="N3348">
            <v>44857</v>
          </cell>
          <cell r="O3348">
            <v>44845</v>
          </cell>
          <cell r="P3348">
            <v>44857</v>
          </cell>
          <cell r="Q3348" t="str">
            <v>2022-10-20 → 10/23</v>
          </cell>
          <cell r="R3348" t="str">
            <v>2022-10-20 → 10/23</v>
          </cell>
          <cell r="S3348"/>
          <cell r="T3348">
            <v>44858</v>
          </cell>
          <cell r="U3348">
            <v>44859</v>
          </cell>
          <cell r="V3348">
            <v>44859</v>
          </cell>
          <cell r="W3348">
            <v>44860</v>
          </cell>
          <cell r="X3348">
            <v>41100470</v>
          </cell>
        </row>
        <row r="3349">
          <cell r="K3349" t="str">
            <v>DBW-2769</v>
          </cell>
          <cell r="L3349">
            <v>44844</v>
          </cell>
          <cell r="M3349">
            <v>44845</v>
          </cell>
          <cell r="N3349">
            <v>44855</v>
          </cell>
          <cell r="O3349">
            <v>44845</v>
          </cell>
          <cell r="P3349">
            <v>44855</v>
          </cell>
          <cell r="Q3349" t="str">
            <v>2022-10-20 → 10/21 오전</v>
          </cell>
          <cell r="R3349" t="str">
            <v>2022-10-20 → 10/21 오전</v>
          </cell>
          <cell r="S3349"/>
          <cell r="T3349">
            <v>44855</v>
          </cell>
          <cell r="U3349">
            <v>44858</v>
          </cell>
          <cell r="V3349">
            <v>44859</v>
          </cell>
          <cell r="W3349">
            <v>44859</v>
          </cell>
          <cell r="X3349">
            <v>41100480</v>
          </cell>
        </row>
        <row r="3350">
          <cell r="K3350" t="str">
            <v>GBWS-2744</v>
          </cell>
          <cell r="L3350">
            <v>44789</v>
          </cell>
          <cell r="M3350">
            <v>44790</v>
          </cell>
          <cell r="N3350">
            <v>44798</v>
          </cell>
          <cell r="O3350">
            <v>44790</v>
          </cell>
          <cell r="P3350">
            <v>44802</v>
          </cell>
          <cell r="Q3350">
            <v>44798</v>
          </cell>
          <cell r="R3350">
            <v>44798</v>
          </cell>
          <cell r="S3350"/>
          <cell r="T3350">
            <v>44799</v>
          </cell>
          <cell r="U3350">
            <v>44803</v>
          </cell>
          <cell r="V3350">
            <v>44804</v>
          </cell>
          <cell r="W3350">
            <v>44804</v>
          </cell>
          <cell r="X3350">
            <v>41100524</v>
          </cell>
        </row>
        <row r="3351">
          <cell r="K3351" t="str">
            <v>DBW-2745</v>
          </cell>
          <cell r="L3351">
            <v>44823</v>
          </cell>
          <cell r="M3351">
            <v>44824</v>
          </cell>
          <cell r="N3351">
            <v>44838</v>
          </cell>
          <cell r="O3351">
            <v>44824</v>
          </cell>
          <cell r="P3351">
            <v>44839</v>
          </cell>
          <cell r="Q3351">
            <v>44834</v>
          </cell>
          <cell r="R3351">
            <v>44834</v>
          </cell>
          <cell r="S3351"/>
          <cell r="T3351">
            <v>44838</v>
          </cell>
          <cell r="U3351">
            <v>44839</v>
          </cell>
          <cell r="V3351">
            <v>44840</v>
          </cell>
          <cell r="W3351">
            <v>44840</v>
          </cell>
          <cell r="X3351">
            <v>41100472</v>
          </cell>
        </row>
        <row r="3352">
          <cell r="K3352" t="str">
            <v>DBW-2746</v>
          </cell>
          <cell r="L3352">
            <v>44823</v>
          </cell>
          <cell r="M3352">
            <v>44824</v>
          </cell>
          <cell r="N3352">
            <v>44838</v>
          </cell>
          <cell r="O3352">
            <v>44824</v>
          </cell>
          <cell r="P3352">
            <v>44839</v>
          </cell>
          <cell r="Q3352">
            <v>44834</v>
          </cell>
          <cell r="R3352">
            <v>44834</v>
          </cell>
          <cell r="S3352"/>
          <cell r="T3352">
            <v>44838</v>
          </cell>
          <cell r="U3352">
            <v>44841</v>
          </cell>
          <cell r="V3352">
            <v>44845</v>
          </cell>
          <cell r="W3352">
            <v>44845</v>
          </cell>
          <cell r="X3352">
            <v>41100472</v>
          </cell>
        </row>
        <row r="3353">
          <cell r="K3353" t="str">
            <v>DBW-2747</v>
          </cell>
          <cell r="L3353">
            <v>44838</v>
          </cell>
          <cell r="M3353">
            <v>44839</v>
          </cell>
          <cell r="N3353">
            <v>44851</v>
          </cell>
          <cell r="O3353">
            <v>44839</v>
          </cell>
          <cell r="P3353">
            <v>44851</v>
          </cell>
          <cell r="Q3353">
            <v>44851</v>
          </cell>
          <cell r="R3353">
            <v>44851</v>
          </cell>
          <cell r="S3353"/>
          <cell r="T3353">
            <v>44852</v>
          </cell>
          <cell r="U3353">
            <v>44853</v>
          </cell>
          <cell r="V3353">
            <v>44853</v>
          </cell>
          <cell r="W3353">
            <v>44854</v>
          </cell>
          <cell r="X3353">
            <v>41100472</v>
          </cell>
        </row>
        <row r="3354">
          <cell r="K3354" t="str">
            <v>DBW-2748</v>
          </cell>
          <cell r="L3354">
            <v>44838</v>
          </cell>
          <cell r="M3354">
            <v>44839</v>
          </cell>
          <cell r="N3354">
            <v>44851</v>
          </cell>
          <cell r="O3354">
            <v>44839</v>
          </cell>
          <cell r="P3354">
            <v>44851</v>
          </cell>
          <cell r="Q3354">
            <v>44851</v>
          </cell>
          <cell r="R3354">
            <v>44851</v>
          </cell>
          <cell r="S3354"/>
          <cell r="T3354">
            <v>44852</v>
          </cell>
          <cell r="U3354">
            <v>44853</v>
          </cell>
          <cell r="V3354">
            <v>44853</v>
          </cell>
          <cell r="W3354">
            <v>44854</v>
          </cell>
          <cell r="X3354">
            <v>41100472</v>
          </cell>
        </row>
        <row r="3355">
          <cell r="K3355" t="str">
            <v>DBW-2749</v>
          </cell>
          <cell r="L3355">
            <v>44838</v>
          </cell>
          <cell r="M3355">
            <v>44839</v>
          </cell>
          <cell r="N3355">
            <v>44851</v>
          </cell>
          <cell r="O3355">
            <v>44839</v>
          </cell>
          <cell r="P3355">
            <v>44851</v>
          </cell>
          <cell r="Q3355">
            <v>44851</v>
          </cell>
          <cell r="R3355">
            <v>44851</v>
          </cell>
          <cell r="S3355"/>
          <cell r="T3355">
            <v>44852</v>
          </cell>
          <cell r="U3355">
            <v>44853</v>
          </cell>
          <cell r="V3355">
            <v>44853</v>
          </cell>
          <cell r="W3355">
            <v>44854</v>
          </cell>
          <cell r="X3355">
            <v>41100472</v>
          </cell>
        </row>
        <row r="3356">
          <cell r="K3356" t="str">
            <v>DBW-2750</v>
          </cell>
          <cell r="L3356">
            <v>44838</v>
          </cell>
          <cell r="M3356">
            <v>44839</v>
          </cell>
          <cell r="N3356">
            <v>44851</v>
          </cell>
          <cell r="O3356">
            <v>44839</v>
          </cell>
          <cell r="P3356">
            <v>44851</v>
          </cell>
          <cell r="Q3356">
            <v>44851</v>
          </cell>
          <cell r="R3356">
            <v>44851</v>
          </cell>
          <cell r="S3356"/>
          <cell r="T3356">
            <v>44852</v>
          </cell>
          <cell r="U3356">
            <v>44853</v>
          </cell>
          <cell r="V3356">
            <v>44853</v>
          </cell>
          <cell r="W3356">
            <v>44854</v>
          </cell>
          <cell r="X3356">
            <v>41100472</v>
          </cell>
        </row>
        <row r="3357">
          <cell r="K3357" t="str">
            <v>DBW-2751</v>
          </cell>
          <cell r="L3357">
            <v>44838</v>
          </cell>
          <cell r="M3357">
            <v>44839</v>
          </cell>
          <cell r="N3357">
            <v>44851</v>
          </cell>
          <cell r="O3357">
            <v>44839</v>
          </cell>
          <cell r="P3357">
            <v>44851</v>
          </cell>
          <cell r="Q3357">
            <v>44851</v>
          </cell>
          <cell r="R3357">
            <v>44851</v>
          </cell>
          <cell r="S3357"/>
          <cell r="T3357">
            <v>44852</v>
          </cell>
          <cell r="U3357">
            <v>44853</v>
          </cell>
          <cell r="V3357">
            <v>44853</v>
          </cell>
          <cell r="W3357">
            <v>44854</v>
          </cell>
          <cell r="X3357">
            <v>41100472</v>
          </cell>
        </row>
        <row r="3358">
          <cell r="K3358" t="str">
            <v>DBW-2752</v>
          </cell>
          <cell r="L3358">
            <v>44838</v>
          </cell>
          <cell r="M3358">
            <v>44839</v>
          </cell>
          <cell r="N3358">
            <v>44851</v>
          </cell>
          <cell r="O3358">
            <v>44839</v>
          </cell>
          <cell r="P3358">
            <v>44851</v>
          </cell>
          <cell r="Q3358">
            <v>44851</v>
          </cell>
          <cell r="R3358">
            <v>44851</v>
          </cell>
          <cell r="S3358"/>
          <cell r="T3358">
            <v>44852</v>
          </cell>
          <cell r="U3358">
            <v>44853</v>
          </cell>
          <cell r="V3358">
            <v>44854</v>
          </cell>
          <cell r="W3358">
            <v>44854</v>
          </cell>
          <cell r="X3358">
            <v>41100472</v>
          </cell>
        </row>
        <row r="3359">
          <cell r="K3359" t="str">
            <v>G14030007</v>
          </cell>
          <cell r="L3359" t="str">
            <v>-</v>
          </cell>
          <cell r="M3359">
            <v>44820</v>
          </cell>
          <cell r="N3359">
            <v>44853</v>
          </cell>
          <cell r="O3359" t="str">
            <v>-</v>
          </cell>
          <cell r="P3359" t="str">
            <v>-</v>
          </cell>
          <cell r="Q3359">
            <v>44853</v>
          </cell>
          <cell r="R3359">
            <v>44853</v>
          </cell>
          <cell r="S3359"/>
          <cell r="T3359">
            <v>44853</v>
          </cell>
          <cell r="U3359">
            <v>44861</v>
          </cell>
          <cell r="V3359">
            <v>44868</v>
          </cell>
          <cell r="W3359">
            <v>44868</v>
          </cell>
          <cell r="X3359" t="str">
            <v>-</v>
          </cell>
        </row>
        <row r="3360">
          <cell r="K3360" t="str">
            <v>G14030030</v>
          </cell>
          <cell r="L3360" t="str">
            <v>-</v>
          </cell>
          <cell r="M3360">
            <v>44869</v>
          </cell>
          <cell r="N3360">
            <v>44869</v>
          </cell>
          <cell r="O3360" t="str">
            <v>-</v>
          </cell>
          <cell r="P3360" t="str">
            <v>-</v>
          </cell>
          <cell r="Q3360">
            <v>44869</v>
          </cell>
          <cell r="R3360">
            <v>44869</v>
          </cell>
          <cell r="S3360"/>
          <cell r="T3360">
            <v>44869</v>
          </cell>
          <cell r="U3360">
            <v>44868</v>
          </cell>
          <cell r="V3360">
            <v>44868</v>
          </cell>
          <cell r="W3360">
            <v>44868</v>
          </cell>
          <cell r="X3360" t="str">
            <v>-</v>
          </cell>
        </row>
        <row r="3361">
          <cell r="K3361" t="str">
            <v>-</v>
          </cell>
          <cell r="L3361">
            <v>44851</v>
          </cell>
          <cell r="M3361">
            <v>44852</v>
          </cell>
          <cell r="N3361">
            <v>44865</v>
          </cell>
          <cell r="O3361">
            <v>44852</v>
          </cell>
          <cell r="P3361">
            <v>44865</v>
          </cell>
          <cell r="Q3361">
            <v>44854</v>
          </cell>
          <cell r="R3361">
            <v>44854</v>
          </cell>
          <cell r="S3361"/>
          <cell r="T3361">
            <v>44865</v>
          </cell>
          <cell r="U3361">
            <v>44866</v>
          </cell>
          <cell r="V3361">
            <v>44866</v>
          </cell>
          <cell r="W3361">
            <v>44866</v>
          </cell>
          <cell r="X3361">
            <v>31102371</v>
          </cell>
        </row>
        <row r="3362">
          <cell r="K3362" t="str">
            <v>GBWS-2944</v>
          </cell>
          <cell r="L3362">
            <v>44844</v>
          </cell>
          <cell r="M3362">
            <v>44845</v>
          </cell>
          <cell r="N3362">
            <v>44863</v>
          </cell>
          <cell r="O3362">
            <v>44845</v>
          </cell>
          <cell r="P3362">
            <v>44864</v>
          </cell>
          <cell r="Q3362" t="str">
            <v>2022-10-20 → 10/30</v>
          </cell>
          <cell r="R3362" t="str">
            <v>2022-10-20 → 10/30</v>
          </cell>
          <cell r="S3362"/>
          <cell r="T3362">
            <v>44867</v>
          </cell>
          <cell r="U3362">
            <v>44866</v>
          </cell>
          <cell r="V3362">
            <v>44868</v>
          </cell>
          <cell r="W3362">
            <v>44868</v>
          </cell>
          <cell r="X3362">
            <v>41100576</v>
          </cell>
        </row>
        <row r="3363">
          <cell r="K3363" t="str">
            <v>GBWS-2945</v>
          </cell>
          <cell r="L3363">
            <v>44844</v>
          </cell>
          <cell r="M3363">
            <v>44845</v>
          </cell>
          <cell r="N3363">
            <v>44863</v>
          </cell>
          <cell r="O3363">
            <v>44845</v>
          </cell>
          <cell r="P3363">
            <v>44864</v>
          </cell>
          <cell r="Q3363" t="str">
            <v>2022-10-20 → 10/30</v>
          </cell>
          <cell r="R3363" t="str">
            <v>2022-10-20 → 10/30</v>
          </cell>
          <cell r="S3363"/>
          <cell r="T3363">
            <v>44867</v>
          </cell>
          <cell r="U3363">
            <v>44866</v>
          </cell>
          <cell r="V3363">
            <v>44868</v>
          </cell>
          <cell r="W3363">
            <v>44868</v>
          </cell>
          <cell r="X3363">
            <v>41100576</v>
          </cell>
        </row>
        <row r="3364">
          <cell r="K3364" t="str">
            <v>GBWS-2832</v>
          </cell>
          <cell r="L3364">
            <v>44818</v>
          </cell>
          <cell r="M3364">
            <v>44819</v>
          </cell>
          <cell r="N3364">
            <v>44839</v>
          </cell>
          <cell r="O3364">
            <v>44819</v>
          </cell>
          <cell r="P3364">
            <v>44840</v>
          </cell>
          <cell r="Q3364">
            <v>44839</v>
          </cell>
          <cell r="R3364">
            <v>44839</v>
          </cell>
          <cell r="S3364"/>
          <cell r="T3364">
            <v>44839</v>
          </cell>
          <cell r="U3364">
            <v>44840</v>
          </cell>
          <cell r="V3364">
            <v>44841</v>
          </cell>
          <cell r="W3364">
            <v>44841</v>
          </cell>
          <cell r="X3364">
            <v>41100549</v>
          </cell>
        </row>
        <row r="3365">
          <cell r="K3365" t="str">
            <v>GBWS-2833</v>
          </cell>
          <cell r="L3365">
            <v>44818</v>
          </cell>
          <cell r="M3365">
            <v>44819</v>
          </cell>
          <cell r="N3365">
            <v>44839</v>
          </cell>
          <cell r="O3365">
            <v>44840</v>
          </cell>
          <cell r="P3365">
            <v>44840</v>
          </cell>
          <cell r="Q3365">
            <v>44839</v>
          </cell>
          <cell r="R3365">
            <v>44839</v>
          </cell>
          <cell r="S3365"/>
          <cell r="T3365">
            <v>44839</v>
          </cell>
          <cell r="U3365">
            <v>44840</v>
          </cell>
          <cell r="V3365">
            <v>44841</v>
          </cell>
          <cell r="W3365">
            <v>44841</v>
          </cell>
          <cell r="X3365">
            <v>41100549</v>
          </cell>
        </row>
        <row r="3366">
          <cell r="K3366" t="str">
            <v>GBWS-2834</v>
          </cell>
          <cell r="L3366">
            <v>44818</v>
          </cell>
          <cell r="M3366">
            <v>44819</v>
          </cell>
          <cell r="N3366">
            <v>44839</v>
          </cell>
          <cell r="O3366">
            <v>44840</v>
          </cell>
          <cell r="P3366">
            <v>44840</v>
          </cell>
          <cell r="Q3366">
            <v>44839</v>
          </cell>
          <cell r="R3366">
            <v>44839</v>
          </cell>
          <cell r="S3366"/>
          <cell r="T3366">
            <v>44840</v>
          </cell>
          <cell r="U3366">
            <v>44840</v>
          </cell>
          <cell r="V3366">
            <v>44841</v>
          </cell>
          <cell r="W3366">
            <v>44841</v>
          </cell>
          <cell r="X3366">
            <v>41100549</v>
          </cell>
        </row>
        <row r="3367">
          <cell r="K3367" t="str">
            <v>DBW-2714</v>
          </cell>
          <cell r="L3367">
            <v>44809</v>
          </cell>
          <cell r="M3367">
            <v>44810</v>
          </cell>
          <cell r="N3367">
            <v>44823</v>
          </cell>
          <cell r="O3367">
            <v>44810</v>
          </cell>
          <cell r="P3367">
            <v>44823</v>
          </cell>
          <cell r="Q3367" t="str">
            <v>2022-09-16 → 9/18</v>
          </cell>
          <cell r="R3367" t="str">
            <v>2022-09-16 → 9/18</v>
          </cell>
          <cell r="S3367"/>
          <cell r="T3367">
            <v>44823</v>
          </cell>
          <cell r="U3367">
            <v>44825</v>
          </cell>
          <cell r="V3367">
            <v>44826</v>
          </cell>
          <cell r="W3367">
            <v>44826</v>
          </cell>
          <cell r="X3367">
            <v>41100479</v>
          </cell>
        </row>
        <row r="3368">
          <cell r="K3368" t="str">
            <v>DBW-2715</v>
          </cell>
          <cell r="L3368">
            <v>44809</v>
          </cell>
          <cell r="M3368">
            <v>44810</v>
          </cell>
          <cell r="N3368">
            <v>44823</v>
          </cell>
          <cell r="O3368">
            <v>44810</v>
          </cell>
          <cell r="P3368">
            <v>44823</v>
          </cell>
          <cell r="Q3368" t="str">
            <v>2022-09-16 → 9/18</v>
          </cell>
          <cell r="R3368" t="str">
            <v>2022-09-16 → 9/18</v>
          </cell>
          <cell r="S3368"/>
          <cell r="T3368">
            <v>44823</v>
          </cell>
          <cell r="U3368">
            <v>44825</v>
          </cell>
          <cell r="V3368">
            <v>44826</v>
          </cell>
          <cell r="W3368">
            <v>44826</v>
          </cell>
          <cell r="X3368">
            <v>41100479</v>
          </cell>
        </row>
        <row r="3369">
          <cell r="K3369" t="str">
            <v>DBW-2774</v>
          </cell>
          <cell r="L3369">
            <v>44845</v>
          </cell>
          <cell r="M3369">
            <v>44846</v>
          </cell>
          <cell r="N3369">
            <v>44857</v>
          </cell>
          <cell r="O3369">
            <v>44846</v>
          </cell>
          <cell r="P3369">
            <v>44859</v>
          </cell>
          <cell r="Q3369" t="str">
            <v>2022-10-21 → 10/24 → 10/25(전장)</v>
          </cell>
          <cell r="R3369" t="str">
            <v>2022-10-21 → 10/24 → 10/25(전장)</v>
          </cell>
          <cell r="S3369"/>
          <cell r="T3369">
            <v>44860</v>
          </cell>
          <cell r="U3369">
            <v>44861</v>
          </cell>
          <cell r="V3369">
            <v>44861</v>
          </cell>
          <cell r="W3369">
            <v>44862</v>
          </cell>
          <cell r="X3369">
            <v>41100472</v>
          </cell>
        </row>
        <row r="3370">
          <cell r="K3370" t="str">
            <v>DBW-2775</v>
          </cell>
          <cell r="L3370">
            <v>44845</v>
          </cell>
          <cell r="M3370">
            <v>44846</v>
          </cell>
          <cell r="N3370">
            <v>44857</v>
          </cell>
          <cell r="O3370">
            <v>44846</v>
          </cell>
          <cell r="P3370">
            <v>44859</v>
          </cell>
          <cell r="Q3370" t="str">
            <v>2022-10-21 → 10/24 → 10/25(전장)</v>
          </cell>
          <cell r="R3370" t="str">
            <v>2022-10-21 → 10/24 → 10/25(전장)</v>
          </cell>
          <cell r="S3370"/>
          <cell r="T3370">
            <v>44860</v>
          </cell>
          <cell r="U3370">
            <v>44861</v>
          </cell>
          <cell r="V3370">
            <v>44861</v>
          </cell>
          <cell r="W3370">
            <v>44862</v>
          </cell>
          <cell r="X3370">
            <v>41100472</v>
          </cell>
        </row>
        <row r="3371">
          <cell r="K3371" t="str">
            <v>G13030042</v>
          </cell>
          <cell r="L3371" t="str">
            <v>-</v>
          </cell>
          <cell r="M3371">
            <v>44855</v>
          </cell>
          <cell r="N3371">
            <v>44855</v>
          </cell>
          <cell r="O3371"/>
          <cell r="P3371"/>
          <cell r="Q3371">
            <v>44855</v>
          </cell>
          <cell r="R3371">
            <v>44855</v>
          </cell>
          <cell r="S3371"/>
          <cell r="T3371">
            <v>44858</v>
          </cell>
          <cell r="U3371">
            <v>44858</v>
          </cell>
          <cell r="V3371">
            <v>44858</v>
          </cell>
          <cell r="W3371">
            <v>44858</v>
          </cell>
          <cell r="X3371" t="str">
            <v>-</v>
          </cell>
        </row>
        <row r="3372">
          <cell r="K3372" t="str">
            <v>G13030041</v>
          </cell>
          <cell r="L3372" t="str">
            <v>-</v>
          </cell>
          <cell r="M3372">
            <v>44819</v>
          </cell>
          <cell r="N3372">
            <v>44853</v>
          </cell>
          <cell r="O3372" t="str">
            <v>-</v>
          </cell>
          <cell r="P3372" t="str">
            <v>-</v>
          </cell>
          <cell r="Q3372">
            <v>44855</v>
          </cell>
          <cell r="R3372">
            <v>44855</v>
          </cell>
          <cell r="S3372"/>
          <cell r="T3372">
            <v>44853</v>
          </cell>
          <cell r="U3372">
            <v>44869</v>
          </cell>
          <cell r="V3372">
            <v>44872</v>
          </cell>
          <cell r="W3372">
            <v>44872</v>
          </cell>
          <cell r="X3372" t="str">
            <v>-</v>
          </cell>
        </row>
        <row r="3373">
          <cell r="K3373" t="str">
            <v>G1H3002</v>
          </cell>
          <cell r="L3373" t="str">
            <v>-</v>
          </cell>
          <cell r="M3373">
            <v>44869</v>
          </cell>
          <cell r="N3373">
            <v>44869</v>
          </cell>
          <cell r="O3373" t="str">
            <v>-</v>
          </cell>
          <cell r="P3373" t="str">
            <v>-</v>
          </cell>
          <cell r="Q3373">
            <v>44869</v>
          </cell>
          <cell r="R3373">
            <v>44869</v>
          </cell>
          <cell r="S3373"/>
          <cell r="T3373">
            <v>44869</v>
          </cell>
          <cell r="U3373">
            <v>44872</v>
          </cell>
          <cell r="V3373">
            <v>44872</v>
          </cell>
          <cell r="W3373">
            <v>44872</v>
          </cell>
          <cell r="X3373" t="str">
            <v>-</v>
          </cell>
        </row>
        <row r="3374">
          <cell r="K3374" t="str">
            <v>GBWS-2950</v>
          </cell>
          <cell r="L3374">
            <v>44852</v>
          </cell>
          <cell r="M3374">
            <v>44853</v>
          </cell>
          <cell r="N3374">
            <v>44866</v>
          </cell>
          <cell r="O3374">
            <v>44853</v>
          </cell>
          <cell r="P3374">
            <v>44868</v>
          </cell>
          <cell r="Q3374" t="str">
            <v>2022-10-31 → 11/2</v>
          </cell>
          <cell r="R3374" t="str">
            <v>2022-10-31 → 11/2</v>
          </cell>
          <cell r="S3374"/>
          <cell r="T3374">
            <v>44868</v>
          </cell>
          <cell r="U3374">
            <v>44869</v>
          </cell>
          <cell r="V3374">
            <v>44872</v>
          </cell>
          <cell r="W3374">
            <v>44872</v>
          </cell>
          <cell r="X3374">
            <v>41100584</v>
          </cell>
        </row>
        <row r="3375">
          <cell r="K3375" t="str">
            <v>GBWS-2948</v>
          </cell>
          <cell r="L3375">
            <v>44852</v>
          </cell>
          <cell r="M3375">
            <v>44853</v>
          </cell>
          <cell r="N3375">
            <v>44866</v>
          </cell>
          <cell r="O3375">
            <v>44853</v>
          </cell>
          <cell r="P3375">
            <v>44868</v>
          </cell>
          <cell r="Q3375" t="str">
            <v>2022-10-31 → 11/2</v>
          </cell>
          <cell r="R3375" t="str">
            <v>2022-10-31 → 11/2</v>
          </cell>
          <cell r="S3375"/>
          <cell r="T3375">
            <v>44868</v>
          </cell>
          <cell r="U3375">
            <v>44869</v>
          </cell>
          <cell r="V3375">
            <v>44872</v>
          </cell>
          <cell r="W3375">
            <v>44872</v>
          </cell>
          <cell r="X3375">
            <v>41100584</v>
          </cell>
        </row>
        <row r="3376">
          <cell r="K3376" t="str">
            <v>GBWS-2952</v>
          </cell>
          <cell r="L3376">
            <v>44852</v>
          </cell>
          <cell r="M3376">
            <v>44853</v>
          </cell>
          <cell r="N3376">
            <v>44866</v>
          </cell>
          <cell r="O3376">
            <v>44853</v>
          </cell>
          <cell r="P3376">
            <v>44868</v>
          </cell>
          <cell r="Q3376" t="str">
            <v>2022-10-31 → 11/2</v>
          </cell>
          <cell r="R3376" t="str">
            <v>2022-10-31 → 11/2</v>
          </cell>
          <cell r="S3376"/>
          <cell r="T3376">
            <v>44868</v>
          </cell>
          <cell r="U3376">
            <v>44869</v>
          </cell>
          <cell r="V3376">
            <v>44872</v>
          </cell>
          <cell r="W3376">
            <v>44872</v>
          </cell>
          <cell r="X3376">
            <v>41100584</v>
          </cell>
        </row>
        <row r="3377">
          <cell r="K3377" t="str">
            <v>GBWS-2958</v>
          </cell>
          <cell r="L3377">
            <v>44852</v>
          </cell>
          <cell r="M3377">
            <v>44853</v>
          </cell>
          <cell r="N3377">
            <v>44867</v>
          </cell>
          <cell r="O3377">
            <v>44853</v>
          </cell>
          <cell r="P3377">
            <v>44870</v>
          </cell>
          <cell r="Q3377" t="str">
            <v>2022-10-31 → 11/3</v>
          </cell>
          <cell r="R3377" t="str">
            <v>2022-10-31 → 11/3</v>
          </cell>
          <cell r="S3377"/>
          <cell r="T3377">
            <v>44869</v>
          </cell>
          <cell r="U3377">
            <v>44872</v>
          </cell>
          <cell r="V3377">
            <v>44872</v>
          </cell>
          <cell r="W3377">
            <v>44873</v>
          </cell>
          <cell r="X3377">
            <v>41100584</v>
          </cell>
        </row>
        <row r="3378">
          <cell r="K3378" t="str">
            <v>GBWS-2961</v>
          </cell>
          <cell r="L3378">
            <v>44852</v>
          </cell>
          <cell r="M3378">
            <v>44853</v>
          </cell>
          <cell r="N3378">
            <v>44867</v>
          </cell>
          <cell r="O3378">
            <v>44853</v>
          </cell>
          <cell r="P3378">
            <v>44870</v>
          </cell>
          <cell r="Q3378" t="str">
            <v>2022-10-31 → 11/3</v>
          </cell>
          <cell r="R3378" t="str">
            <v>2022-10-31 → 11/3</v>
          </cell>
          <cell r="S3378"/>
          <cell r="T3378">
            <v>44869</v>
          </cell>
          <cell r="U3378">
            <v>44872</v>
          </cell>
          <cell r="V3378">
            <v>44873</v>
          </cell>
          <cell r="W3378">
            <v>44873</v>
          </cell>
          <cell r="X3378">
            <v>41100584</v>
          </cell>
        </row>
        <row r="3379">
          <cell r="K3379" t="str">
            <v>GBWS-2960</v>
          </cell>
          <cell r="L3379">
            <v>44852</v>
          </cell>
          <cell r="M3379">
            <v>44853</v>
          </cell>
          <cell r="N3379">
            <v>44867</v>
          </cell>
          <cell r="O3379">
            <v>44853</v>
          </cell>
          <cell r="P3379">
            <v>44870</v>
          </cell>
          <cell r="Q3379" t="str">
            <v>2022-10-31 → 11/3</v>
          </cell>
          <cell r="R3379" t="str">
            <v>2022-10-31 → 11/3</v>
          </cell>
          <cell r="S3379"/>
          <cell r="T3379">
            <v>44869</v>
          </cell>
          <cell r="U3379">
            <v>44872</v>
          </cell>
          <cell r="V3379">
            <v>44872</v>
          </cell>
          <cell r="W3379">
            <v>44873</v>
          </cell>
          <cell r="X3379">
            <v>41100584</v>
          </cell>
        </row>
        <row r="3380">
          <cell r="K3380" t="str">
            <v>GBWS-2953</v>
          </cell>
          <cell r="L3380">
            <v>44852</v>
          </cell>
          <cell r="M3380">
            <v>44853</v>
          </cell>
          <cell r="N3380">
            <v>44866</v>
          </cell>
          <cell r="O3380">
            <v>44853</v>
          </cell>
          <cell r="P3380">
            <v>44868</v>
          </cell>
          <cell r="Q3380" t="str">
            <v>2022-10-31 → 11/2</v>
          </cell>
          <cell r="R3380" t="str">
            <v>2022-10-31 → 11/2</v>
          </cell>
          <cell r="S3380"/>
          <cell r="T3380">
            <v>44868</v>
          </cell>
          <cell r="U3380">
            <v>44869</v>
          </cell>
          <cell r="V3380">
            <v>44872</v>
          </cell>
          <cell r="W3380">
            <v>44872</v>
          </cell>
          <cell r="X3380">
            <v>41100584</v>
          </cell>
        </row>
        <row r="3381">
          <cell r="K3381" t="str">
            <v>GBWS-2956</v>
          </cell>
          <cell r="L3381">
            <v>44852</v>
          </cell>
          <cell r="M3381">
            <v>44853</v>
          </cell>
          <cell r="N3381">
            <v>44867</v>
          </cell>
          <cell r="O3381">
            <v>44853</v>
          </cell>
          <cell r="P3381">
            <v>44870</v>
          </cell>
          <cell r="Q3381" t="str">
            <v>2022-10-31 → 11/3</v>
          </cell>
          <cell r="R3381" t="str">
            <v>2022-10-31 → 11/3</v>
          </cell>
          <cell r="S3381"/>
          <cell r="T3381">
            <v>44869</v>
          </cell>
          <cell r="U3381">
            <v>44872</v>
          </cell>
          <cell r="V3381">
            <v>44872</v>
          </cell>
          <cell r="W3381">
            <v>44873</v>
          </cell>
          <cell r="X3381">
            <v>41100584</v>
          </cell>
        </row>
        <row r="3382">
          <cell r="K3382" t="str">
            <v>GBWS-2954</v>
          </cell>
          <cell r="L3382">
            <v>44852</v>
          </cell>
          <cell r="M3382">
            <v>44853</v>
          </cell>
          <cell r="N3382">
            <v>44866</v>
          </cell>
          <cell r="O3382">
            <v>44853</v>
          </cell>
          <cell r="P3382">
            <v>44868</v>
          </cell>
          <cell r="Q3382" t="str">
            <v>2022-10-31 → 11/2</v>
          </cell>
          <cell r="R3382" t="str">
            <v>2022-10-31 → 11/2</v>
          </cell>
          <cell r="S3382"/>
          <cell r="T3382">
            <v>44868</v>
          </cell>
          <cell r="U3382">
            <v>44869</v>
          </cell>
          <cell r="V3382">
            <v>44872</v>
          </cell>
          <cell r="W3382">
            <v>44872</v>
          </cell>
          <cell r="X3382">
            <v>41100584</v>
          </cell>
        </row>
        <row r="3383">
          <cell r="K3383" t="str">
            <v>GBWS-2957</v>
          </cell>
          <cell r="L3383">
            <v>44852</v>
          </cell>
          <cell r="M3383">
            <v>44853</v>
          </cell>
          <cell r="N3383">
            <v>44867</v>
          </cell>
          <cell r="O3383">
            <v>44853</v>
          </cell>
          <cell r="P3383">
            <v>44870</v>
          </cell>
          <cell r="Q3383" t="str">
            <v>2022-10-31 → 11/3</v>
          </cell>
          <cell r="R3383" t="str">
            <v>2022-10-31 → 11/3</v>
          </cell>
          <cell r="S3383"/>
          <cell r="T3383">
            <v>44869</v>
          </cell>
          <cell r="U3383">
            <v>44872</v>
          </cell>
          <cell r="V3383">
            <v>44872</v>
          </cell>
          <cell r="W3383">
            <v>44873</v>
          </cell>
          <cell r="X3383">
            <v>41100584</v>
          </cell>
        </row>
        <row r="3384">
          <cell r="K3384" t="str">
            <v>GBWS-2928</v>
          </cell>
          <cell r="L3384">
            <v>44844</v>
          </cell>
          <cell r="M3384">
            <v>44845</v>
          </cell>
          <cell r="N3384">
            <v>44859</v>
          </cell>
          <cell r="O3384">
            <v>44845</v>
          </cell>
          <cell r="P3384">
            <v>44859</v>
          </cell>
          <cell r="Q3384" t="str">
            <v>2022-10-21 → 10/25</v>
          </cell>
          <cell r="R3384" t="str">
            <v>2022-10-21 → 10/25</v>
          </cell>
          <cell r="S3384"/>
          <cell r="T3384">
            <v>44860</v>
          </cell>
          <cell r="U3384">
            <v>44861</v>
          </cell>
          <cell r="V3384">
            <v>44865</v>
          </cell>
          <cell r="W3384">
            <v>44865</v>
          </cell>
          <cell r="X3384">
            <v>41100443</v>
          </cell>
        </row>
        <row r="3385">
          <cell r="K3385" t="str">
            <v>GBWS-2929</v>
          </cell>
          <cell r="L3385">
            <v>44844</v>
          </cell>
          <cell r="M3385">
            <v>44845</v>
          </cell>
          <cell r="N3385">
            <v>44859</v>
          </cell>
          <cell r="O3385">
            <v>44845</v>
          </cell>
          <cell r="P3385">
            <v>44859</v>
          </cell>
          <cell r="Q3385" t="str">
            <v>2022-10-21 → 10/25</v>
          </cell>
          <cell r="R3385" t="str">
            <v>2022-10-21 → 10/25</v>
          </cell>
          <cell r="S3385"/>
          <cell r="T3385">
            <v>44860</v>
          </cell>
          <cell r="U3385">
            <v>44861</v>
          </cell>
          <cell r="V3385">
            <v>44861</v>
          </cell>
          <cell r="W3385">
            <v>44862</v>
          </cell>
          <cell r="X3385">
            <v>41100443</v>
          </cell>
        </row>
        <row r="3386">
          <cell r="K3386" t="str">
            <v>GBWS-2642</v>
          </cell>
          <cell r="L3386">
            <v>44762</v>
          </cell>
          <cell r="M3386">
            <v>44762</v>
          </cell>
          <cell r="N3386">
            <v>44775</v>
          </cell>
          <cell r="O3386">
            <v>44762</v>
          </cell>
          <cell r="P3386">
            <v>44774</v>
          </cell>
          <cell r="Q3386">
            <v>44771</v>
          </cell>
          <cell r="R3386">
            <v>44771</v>
          </cell>
          <cell r="S3386"/>
          <cell r="T3386">
            <v>44775</v>
          </cell>
          <cell r="U3386">
            <v>44776</v>
          </cell>
          <cell r="V3386">
            <v>44789</v>
          </cell>
          <cell r="W3386">
            <v>44789</v>
          </cell>
          <cell r="X3386">
            <v>41100511</v>
          </cell>
        </row>
        <row r="3387">
          <cell r="K3387" t="str">
            <v>GBWS-2643</v>
          </cell>
          <cell r="L3387">
            <v>44762</v>
          </cell>
          <cell r="M3387">
            <v>44762</v>
          </cell>
          <cell r="N3387">
            <v>44775</v>
          </cell>
          <cell r="O3387">
            <v>44762</v>
          </cell>
          <cell r="P3387">
            <v>44774</v>
          </cell>
          <cell r="Q3387">
            <v>44771</v>
          </cell>
          <cell r="R3387">
            <v>44771</v>
          </cell>
          <cell r="S3387"/>
          <cell r="T3387">
            <v>44775</v>
          </cell>
          <cell r="U3387">
            <v>44776</v>
          </cell>
          <cell r="V3387">
            <v>44782</v>
          </cell>
          <cell r="W3387">
            <v>44783</v>
          </cell>
          <cell r="X3387">
            <v>41100511</v>
          </cell>
        </row>
        <row r="3388">
          <cell r="K3388" t="str">
            <v>GBWS-2644</v>
          </cell>
          <cell r="L3388">
            <v>44762</v>
          </cell>
          <cell r="M3388">
            <v>44762</v>
          </cell>
          <cell r="N3388">
            <v>44775</v>
          </cell>
          <cell r="O3388">
            <v>44762</v>
          </cell>
          <cell r="P3388">
            <v>44774</v>
          </cell>
          <cell r="Q3388">
            <v>44771</v>
          </cell>
          <cell r="R3388">
            <v>44771</v>
          </cell>
          <cell r="S3388"/>
          <cell r="T3388">
            <v>44775</v>
          </cell>
          <cell r="U3388">
            <v>44776</v>
          </cell>
          <cell r="V3388">
            <v>44785</v>
          </cell>
          <cell r="W3388">
            <v>44786</v>
          </cell>
          <cell r="X3388">
            <v>41100511</v>
          </cell>
        </row>
        <row r="3389">
          <cell r="K3389" t="str">
            <v>GBWS-2645</v>
          </cell>
          <cell r="L3389">
            <v>44762</v>
          </cell>
          <cell r="M3389">
            <v>44762</v>
          </cell>
          <cell r="N3389">
            <v>44775</v>
          </cell>
          <cell r="O3389">
            <v>44762</v>
          </cell>
          <cell r="P3389">
            <v>44774</v>
          </cell>
          <cell r="Q3389">
            <v>44771</v>
          </cell>
          <cell r="R3389">
            <v>44771</v>
          </cell>
          <cell r="S3389"/>
          <cell r="T3389">
            <v>44775</v>
          </cell>
          <cell r="U3389">
            <v>44776</v>
          </cell>
          <cell r="V3389">
            <v>44782</v>
          </cell>
          <cell r="W3389">
            <v>44783</v>
          </cell>
          <cell r="X3389">
            <v>41100511</v>
          </cell>
        </row>
        <row r="3390">
          <cell r="K3390" t="str">
            <v>IVAS-165</v>
          </cell>
          <cell r="L3390">
            <v>44854</v>
          </cell>
          <cell r="M3390">
            <v>44855</v>
          </cell>
          <cell r="N3390">
            <v>44868</v>
          </cell>
          <cell r="O3390">
            <v>44855</v>
          </cell>
          <cell r="P3390">
            <v>44869</v>
          </cell>
          <cell r="Q3390">
            <v>44867</v>
          </cell>
          <cell r="R3390">
            <v>44867</v>
          </cell>
          <cell r="S3390"/>
          <cell r="T3390">
            <v>44868</v>
          </cell>
          <cell r="U3390">
            <v>44874</v>
          </cell>
          <cell r="V3390">
            <v>44874</v>
          </cell>
          <cell r="W3390">
            <v>44874</v>
          </cell>
          <cell r="X3390">
            <v>41100383</v>
          </cell>
        </row>
        <row r="3391">
          <cell r="K3391" t="str">
            <v>IVAS-166</v>
          </cell>
          <cell r="L3391">
            <v>44858</v>
          </cell>
          <cell r="M3391">
            <v>44859</v>
          </cell>
          <cell r="N3391">
            <v>44868</v>
          </cell>
          <cell r="O3391">
            <v>44859</v>
          </cell>
          <cell r="P3391">
            <v>44872</v>
          </cell>
          <cell r="Q3391">
            <v>44867</v>
          </cell>
          <cell r="R3391">
            <v>44867</v>
          </cell>
          <cell r="S3391"/>
          <cell r="T3391">
            <v>44868</v>
          </cell>
          <cell r="U3391">
            <v>44874</v>
          </cell>
          <cell r="V3391">
            <v>44874</v>
          </cell>
          <cell r="W3391">
            <v>44874</v>
          </cell>
          <cell r="X3391">
            <v>41100555</v>
          </cell>
        </row>
        <row r="3392">
          <cell r="K3392" t="str">
            <v>GBWS-2949</v>
          </cell>
          <cell r="L3392">
            <v>44852</v>
          </cell>
          <cell r="M3392">
            <v>44853</v>
          </cell>
          <cell r="N3392">
            <v>44866</v>
          </cell>
          <cell r="O3392">
            <v>44853</v>
          </cell>
          <cell r="P3392">
            <v>44868</v>
          </cell>
          <cell r="Q3392" t="str">
            <v>2022-10-31 → 11/2</v>
          </cell>
          <cell r="R3392" t="str">
            <v>2022-10-31 → 11/2</v>
          </cell>
          <cell r="S3392"/>
          <cell r="T3392">
            <v>44872</v>
          </cell>
          <cell r="U3392">
            <v>44873</v>
          </cell>
          <cell r="V3392">
            <v>44874</v>
          </cell>
          <cell r="W3392">
            <v>44874</v>
          </cell>
          <cell r="X3392">
            <v>41100584</v>
          </cell>
        </row>
        <row r="3393">
          <cell r="K3393" t="str">
            <v>GBWS-2951</v>
          </cell>
          <cell r="L3393">
            <v>44852</v>
          </cell>
          <cell r="M3393">
            <v>44853</v>
          </cell>
          <cell r="N3393">
            <v>44866</v>
          </cell>
          <cell r="O3393">
            <v>44853</v>
          </cell>
          <cell r="P3393">
            <v>44868</v>
          </cell>
          <cell r="Q3393" t="str">
            <v>2022-10-31 → 11/2</v>
          </cell>
          <cell r="R3393" t="str">
            <v>2022-10-31 → 11/2</v>
          </cell>
          <cell r="S3393"/>
          <cell r="T3393">
            <v>44872</v>
          </cell>
          <cell r="U3393">
            <v>44873</v>
          </cell>
          <cell r="V3393">
            <v>44873</v>
          </cell>
          <cell r="W3393">
            <v>44873</v>
          </cell>
          <cell r="X3393">
            <v>41100584</v>
          </cell>
        </row>
        <row r="3394">
          <cell r="K3394" t="str">
            <v>GBWS-2955</v>
          </cell>
          <cell r="L3394">
            <v>44852</v>
          </cell>
          <cell r="M3394">
            <v>44853</v>
          </cell>
          <cell r="N3394">
            <v>44867</v>
          </cell>
          <cell r="O3394">
            <v>44853</v>
          </cell>
          <cell r="P3394">
            <v>44870</v>
          </cell>
          <cell r="Q3394" t="str">
            <v>2022-10-31 → 11/3</v>
          </cell>
          <cell r="R3394" t="str">
            <v>2022-10-31 → 11/3</v>
          </cell>
          <cell r="S3394"/>
          <cell r="T3394">
            <v>44872</v>
          </cell>
          <cell r="U3394">
            <v>44873</v>
          </cell>
          <cell r="V3394">
            <v>44873</v>
          </cell>
          <cell r="W3394">
            <v>44874</v>
          </cell>
          <cell r="X3394">
            <v>41100584</v>
          </cell>
        </row>
        <row r="3395">
          <cell r="K3395" t="str">
            <v>GBWS-2959</v>
          </cell>
          <cell r="L3395">
            <v>44852</v>
          </cell>
          <cell r="M3395">
            <v>44853</v>
          </cell>
          <cell r="N3395">
            <v>44867</v>
          </cell>
          <cell r="O3395">
            <v>44853</v>
          </cell>
          <cell r="P3395">
            <v>44870</v>
          </cell>
          <cell r="Q3395" t="str">
            <v>2022-10-31 → 11/3</v>
          </cell>
          <cell r="R3395" t="str">
            <v>2022-10-31 → 11/3</v>
          </cell>
          <cell r="S3395"/>
          <cell r="T3395">
            <v>44869</v>
          </cell>
          <cell r="U3395">
            <v>44873</v>
          </cell>
          <cell r="V3395">
            <v>44874</v>
          </cell>
          <cell r="W3395">
            <v>44874</v>
          </cell>
          <cell r="X3395">
            <v>41100584</v>
          </cell>
        </row>
        <row r="3396">
          <cell r="K3396" t="str">
            <v>DBW-2770</v>
          </cell>
          <cell r="L3396">
            <v>44845</v>
          </cell>
          <cell r="M3396">
            <v>44846</v>
          </cell>
          <cell r="N3396">
            <v>44859</v>
          </cell>
          <cell r="O3396">
            <v>44846</v>
          </cell>
          <cell r="P3396">
            <v>44859</v>
          </cell>
          <cell r="Q3396" t="str">
            <v>2022-10-21 → 10/24</v>
          </cell>
          <cell r="R3396" t="str">
            <v>2022-10-21 → 10/24</v>
          </cell>
          <cell r="S3396"/>
          <cell r="T3396">
            <v>44859</v>
          </cell>
          <cell r="U3396">
            <v>44860</v>
          </cell>
          <cell r="V3396">
            <v>44861</v>
          </cell>
          <cell r="W3396">
            <v>44861</v>
          </cell>
          <cell r="X3396">
            <v>41100471</v>
          </cell>
        </row>
        <row r="3397">
          <cell r="K3397" t="str">
            <v>DBW-2771</v>
          </cell>
          <cell r="L3397">
            <v>44845</v>
          </cell>
          <cell r="M3397">
            <v>44846</v>
          </cell>
          <cell r="N3397">
            <v>44859</v>
          </cell>
          <cell r="O3397">
            <v>44846</v>
          </cell>
          <cell r="P3397">
            <v>44859</v>
          </cell>
          <cell r="Q3397" t="str">
            <v>2022-10-21 → 10/24</v>
          </cell>
          <cell r="R3397" t="str">
            <v>2022-10-21 → 10/24</v>
          </cell>
          <cell r="S3397"/>
          <cell r="T3397">
            <v>44859</v>
          </cell>
          <cell r="U3397">
            <v>44860</v>
          </cell>
          <cell r="V3397">
            <v>44861</v>
          </cell>
          <cell r="W3397">
            <v>44861</v>
          </cell>
          <cell r="X3397">
            <v>41100471</v>
          </cell>
        </row>
        <row r="3398">
          <cell r="K3398" t="str">
            <v>DBW-2760</v>
          </cell>
          <cell r="L3398">
            <v>44844</v>
          </cell>
          <cell r="M3398">
            <v>44845</v>
          </cell>
          <cell r="N3398">
            <v>44859</v>
          </cell>
          <cell r="O3398">
            <v>44845</v>
          </cell>
          <cell r="P3398">
            <v>44859</v>
          </cell>
          <cell r="Q3398" t="str">
            <v>2022-10-21 → 10/24</v>
          </cell>
          <cell r="R3398" t="str">
            <v>2022-10-21 → 10/24</v>
          </cell>
          <cell r="S3398"/>
          <cell r="T3398">
            <v>44859</v>
          </cell>
          <cell r="U3398">
            <v>44860</v>
          </cell>
          <cell r="V3398">
            <v>44861</v>
          </cell>
          <cell r="W3398">
            <v>44861</v>
          </cell>
          <cell r="X3398">
            <v>41100532</v>
          </cell>
        </row>
        <row r="3399">
          <cell r="K3399" t="str">
            <v>DBW-2776</v>
          </cell>
          <cell r="L3399">
            <v>44852</v>
          </cell>
          <cell r="M3399">
            <v>44853</v>
          </cell>
          <cell r="N3399">
            <v>44865</v>
          </cell>
          <cell r="O3399">
            <v>44853</v>
          </cell>
          <cell r="P3399">
            <v>44865</v>
          </cell>
          <cell r="Q3399">
            <v>44865</v>
          </cell>
          <cell r="R3399">
            <v>44865</v>
          </cell>
          <cell r="S3399"/>
          <cell r="T3399">
            <v>44866</v>
          </cell>
          <cell r="U3399">
            <v>44867</v>
          </cell>
          <cell r="V3399">
            <v>44868</v>
          </cell>
          <cell r="W3399">
            <v>44868</v>
          </cell>
          <cell r="X3399">
            <v>41100496</v>
          </cell>
        </row>
        <row r="3400">
          <cell r="K3400" t="str">
            <v>DBW-2765</v>
          </cell>
          <cell r="L3400">
            <v>44844</v>
          </cell>
          <cell r="M3400">
            <v>44845</v>
          </cell>
          <cell r="N3400">
            <v>44857</v>
          </cell>
          <cell r="O3400">
            <v>44845</v>
          </cell>
          <cell r="P3400">
            <v>44857</v>
          </cell>
          <cell r="Q3400" t="str">
            <v>2022-10-20 → 10/23</v>
          </cell>
          <cell r="R3400" t="str">
            <v>2022-10-20 → 10/23</v>
          </cell>
          <cell r="S3400"/>
          <cell r="T3400">
            <v>44858</v>
          </cell>
          <cell r="U3400">
            <v>44859</v>
          </cell>
          <cell r="V3400">
            <v>44860</v>
          </cell>
          <cell r="W3400">
            <v>44860</v>
          </cell>
          <cell r="X3400">
            <v>41100470</v>
          </cell>
        </row>
        <row r="3401">
          <cell r="K3401" t="str">
            <v>DBW-2766</v>
          </cell>
          <cell r="L3401">
            <v>44844</v>
          </cell>
          <cell r="M3401">
            <v>44845</v>
          </cell>
          <cell r="N3401">
            <v>44857</v>
          </cell>
          <cell r="O3401">
            <v>44845</v>
          </cell>
          <cell r="P3401">
            <v>44857</v>
          </cell>
          <cell r="Q3401" t="str">
            <v>2022-10-20 → 10/23</v>
          </cell>
          <cell r="R3401" t="str">
            <v>2022-10-20 → 10/23</v>
          </cell>
          <cell r="S3401"/>
          <cell r="T3401">
            <v>44858</v>
          </cell>
          <cell r="U3401">
            <v>44859</v>
          </cell>
          <cell r="V3401">
            <v>44860</v>
          </cell>
          <cell r="W3401">
            <v>44860</v>
          </cell>
          <cell r="X3401">
            <v>41100470</v>
          </cell>
        </row>
        <row r="3402">
          <cell r="K3402" t="str">
            <v>GBWS-2942</v>
          </cell>
          <cell r="L3402">
            <v>44846</v>
          </cell>
          <cell r="M3402">
            <v>44847</v>
          </cell>
          <cell r="N3402">
            <v>44860</v>
          </cell>
          <cell r="O3402">
            <v>44847</v>
          </cell>
          <cell r="P3402">
            <v>44861</v>
          </cell>
          <cell r="Q3402" t="str">
            <v>2022-10-20 → 10/26</v>
          </cell>
          <cell r="R3402" t="str">
            <v>2022-10-20 → 10/26</v>
          </cell>
          <cell r="S3402"/>
          <cell r="T3402">
            <v>44861</v>
          </cell>
          <cell r="U3402">
            <v>44862</v>
          </cell>
          <cell r="V3402">
            <v>44865</v>
          </cell>
          <cell r="W3402">
            <v>44865</v>
          </cell>
          <cell r="X3402">
            <v>41100468</v>
          </cell>
        </row>
        <row r="3403">
          <cell r="K3403" t="str">
            <v>GBWS-2943</v>
          </cell>
          <cell r="L3403">
            <v>44846</v>
          </cell>
          <cell r="M3403">
            <v>44847</v>
          </cell>
          <cell r="N3403">
            <v>44860</v>
          </cell>
          <cell r="O3403">
            <v>44847</v>
          </cell>
          <cell r="P3403">
            <v>44861</v>
          </cell>
          <cell r="Q3403" t="str">
            <v>2022-10-20 → 10/26</v>
          </cell>
          <cell r="R3403" t="str">
            <v>2022-10-20 → 10/26</v>
          </cell>
          <cell r="S3403"/>
          <cell r="T3403">
            <v>44861</v>
          </cell>
          <cell r="U3403">
            <v>44862</v>
          </cell>
          <cell r="V3403">
            <v>44865</v>
          </cell>
          <cell r="W3403">
            <v>44865</v>
          </cell>
          <cell r="X3403">
            <v>41100468</v>
          </cell>
        </row>
        <row r="3404">
          <cell r="K3404" t="str">
            <v>GBWS-2495</v>
          </cell>
          <cell r="L3404">
            <v>44732</v>
          </cell>
          <cell r="M3404">
            <v>44733</v>
          </cell>
          <cell r="N3404">
            <v>44742</v>
          </cell>
          <cell r="O3404">
            <v>44733</v>
          </cell>
          <cell r="P3404">
            <v>44742</v>
          </cell>
          <cell r="Q3404">
            <v>44742</v>
          </cell>
          <cell r="R3404">
            <v>44742</v>
          </cell>
          <cell r="S3404"/>
          <cell r="T3404">
            <v>44743</v>
          </cell>
          <cell r="U3404">
            <v>44746</v>
          </cell>
          <cell r="V3404">
            <v>44747</v>
          </cell>
          <cell r="W3404">
            <v>44747</v>
          </cell>
          <cell r="X3404">
            <v>41100461</v>
          </cell>
        </row>
        <row r="3405">
          <cell r="K3405" t="str">
            <v>GBWS-2496</v>
          </cell>
          <cell r="L3405">
            <v>44732</v>
          </cell>
          <cell r="M3405">
            <v>44733</v>
          </cell>
          <cell r="N3405">
            <v>44742</v>
          </cell>
          <cell r="O3405">
            <v>44733</v>
          </cell>
          <cell r="P3405">
            <v>44742</v>
          </cell>
          <cell r="Q3405">
            <v>44742</v>
          </cell>
          <cell r="R3405">
            <v>44742</v>
          </cell>
          <cell r="S3405"/>
          <cell r="T3405">
            <v>44743</v>
          </cell>
          <cell r="U3405">
            <v>44743</v>
          </cell>
          <cell r="V3405">
            <v>44747</v>
          </cell>
          <cell r="W3405">
            <v>44747</v>
          </cell>
          <cell r="X3405">
            <v>41100461</v>
          </cell>
        </row>
        <row r="3406">
          <cell r="K3406" t="str">
            <v>GBWS-2820</v>
          </cell>
          <cell r="L3406">
            <v>44810</v>
          </cell>
          <cell r="M3406" t="str">
            <v>2022-08-31 → 9/7</v>
          </cell>
          <cell r="N3406">
            <v>44824</v>
          </cell>
          <cell r="O3406" t="str">
            <v>2022-08-31 → 9/7</v>
          </cell>
          <cell r="P3406">
            <v>44825</v>
          </cell>
          <cell r="Q3406" t="str">
            <v>2022-09-14 → 9/20</v>
          </cell>
          <cell r="R3406" t="str">
            <v>2022-09-14 → 9/20</v>
          </cell>
          <cell r="S3406"/>
          <cell r="T3406">
            <v>44825</v>
          </cell>
          <cell r="U3406">
            <v>44827</v>
          </cell>
          <cell r="V3406">
            <v>44832</v>
          </cell>
          <cell r="W3406">
            <v>44832</v>
          </cell>
          <cell r="X3406">
            <v>41100460</v>
          </cell>
        </row>
        <row r="3407">
          <cell r="K3407" t="str">
            <v>GBWS-2839</v>
          </cell>
          <cell r="L3407">
            <v>44819</v>
          </cell>
          <cell r="M3407">
            <v>44820</v>
          </cell>
          <cell r="N3407">
            <v>44833</v>
          </cell>
          <cell r="O3407">
            <v>44820</v>
          </cell>
          <cell r="P3407">
            <v>44833</v>
          </cell>
          <cell r="Q3407">
            <v>44832</v>
          </cell>
          <cell r="R3407">
            <v>44832</v>
          </cell>
          <cell r="S3407"/>
          <cell r="T3407">
            <v>44833</v>
          </cell>
          <cell r="U3407">
            <v>44834</v>
          </cell>
          <cell r="V3407">
            <v>44845</v>
          </cell>
          <cell r="W3407">
            <v>44845</v>
          </cell>
          <cell r="X3407">
            <v>41100460</v>
          </cell>
        </row>
        <row r="3408">
          <cell r="K3408" t="str">
            <v>GBWS-2843</v>
          </cell>
          <cell r="L3408">
            <v>44819</v>
          </cell>
          <cell r="M3408">
            <v>44820</v>
          </cell>
          <cell r="N3408">
            <v>44833</v>
          </cell>
          <cell r="O3408">
            <v>44820</v>
          </cell>
          <cell r="P3408">
            <v>44833</v>
          </cell>
          <cell r="Q3408">
            <v>44832</v>
          </cell>
          <cell r="R3408">
            <v>44832</v>
          </cell>
          <cell r="S3408"/>
          <cell r="T3408">
            <v>44833</v>
          </cell>
          <cell r="U3408">
            <v>44838</v>
          </cell>
          <cell r="V3408">
            <v>44846</v>
          </cell>
          <cell r="W3408">
            <v>44846</v>
          </cell>
          <cell r="X3408">
            <v>41100507</v>
          </cell>
        </row>
        <row r="3409">
          <cell r="K3409" t="str">
            <v>GBWS-2966</v>
          </cell>
          <cell r="L3409">
            <v>44858</v>
          </cell>
          <cell r="M3409">
            <v>44859</v>
          </cell>
          <cell r="N3409">
            <v>44871</v>
          </cell>
          <cell r="O3409">
            <v>44859</v>
          </cell>
          <cell r="P3409">
            <v>44872</v>
          </cell>
          <cell r="Q3409">
            <v>44869</v>
          </cell>
          <cell r="R3409">
            <v>44869</v>
          </cell>
          <cell r="S3409"/>
          <cell r="T3409">
            <v>44872</v>
          </cell>
          <cell r="U3409">
            <v>44873</v>
          </cell>
          <cell r="V3409">
            <v>44873</v>
          </cell>
          <cell r="W3409">
            <v>44874</v>
          </cell>
          <cell r="X3409">
            <v>41100590</v>
          </cell>
        </row>
        <row r="3410">
          <cell r="K3410" t="str">
            <v>G14090021</v>
          </cell>
          <cell r="L3410" t="str">
            <v>-</v>
          </cell>
          <cell r="M3410">
            <v>44869</v>
          </cell>
          <cell r="N3410">
            <v>44869</v>
          </cell>
          <cell r="O3410" t="str">
            <v>-</v>
          </cell>
          <cell r="P3410" t="str">
            <v>-</v>
          </cell>
          <cell r="Q3410">
            <v>44869</v>
          </cell>
          <cell r="R3410">
            <v>44869</v>
          </cell>
          <cell r="S3410"/>
          <cell r="T3410">
            <v>44869</v>
          </cell>
          <cell r="U3410">
            <v>44875</v>
          </cell>
          <cell r="V3410">
            <v>44875</v>
          </cell>
          <cell r="W3410">
            <v>44875</v>
          </cell>
          <cell r="X3410" t="str">
            <v>-</v>
          </cell>
        </row>
        <row r="3411">
          <cell r="K3411" t="str">
            <v>-</v>
          </cell>
          <cell r="L3411">
            <v>44838</v>
          </cell>
          <cell r="M3411">
            <v>44839</v>
          </cell>
          <cell r="N3411">
            <v>44845</v>
          </cell>
          <cell r="O3411">
            <v>44839</v>
          </cell>
          <cell r="P3411">
            <v>44847</v>
          </cell>
          <cell r="Q3411">
            <v>44845</v>
          </cell>
          <cell r="R3411">
            <v>44845</v>
          </cell>
          <cell r="S3411"/>
          <cell r="T3411">
            <v>44848</v>
          </cell>
          <cell r="U3411">
            <v>44851</v>
          </cell>
          <cell r="V3411">
            <v>44855</v>
          </cell>
          <cell r="W3411">
            <v>44855</v>
          </cell>
          <cell r="X3411">
            <v>31102426</v>
          </cell>
        </row>
        <row r="3412">
          <cell r="K3412" t="str">
            <v>-</v>
          </cell>
          <cell r="L3412">
            <v>44851</v>
          </cell>
          <cell r="M3412">
            <v>44851</v>
          </cell>
          <cell r="N3412">
            <v>44855</v>
          </cell>
          <cell r="O3412">
            <v>44851</v>
          </cell>
          <cell r="P3412">
            <v>44855</v>
          </cell>
          <cell r="Q3412">
            <v>44854</v>
          </cell>
          <cell r="R3412">
            <v>44854</v>
          </cell>
          <cell r="S3412"/>
          <cell r="T3412">
            <v>44858</v>
          </cell>
          <cell r="U3412">
            <v>44862</v>
          </cell>
          <cell r="V3412">
            <v>44866</v>
          </cell>
          <cell r="W3412">
            <v>44866</v>
          </cell>
          <cell r="X3412">
            <v>31102429</v>
          </cell>
        </row>
        <row r="3413">
          <cell r="K3413" t="str">
            <v>-</v>
          </cell>
          <cell r="L3413">
            <v>44851</v>
          </cell>
          <cell r="M3413">
            <v>44851</v>
          </cell>
          <cell r="N3413">
            <v>44855</v>
          </cell>
          <cell r="O3413">
            <v>44851</v>
          </cell>
          <cell r="P3413">
            <v>44855</v>
          </cell>
          <cell r="Q3413">
            <v>44854</v>
          </cell>
          <cell r="R3413">
            <v>44854</v>
          </cell>
          <cell r="S3413"/>
          <cell r="T3413">
            <v>44858</v>
          </cell>
          <cell r="U3413">
            <v>44862</v>
          </cell>
          <cell r="V3413">
            <v>44866</v>
          </cell>
          <cell r="W3413">
            <v>44866</v>
          </cell>
          <cell r="X3413">
            <v>31102429</v>
          </cell>
        </row>
        <row r="3414">
          <cell r="K3414" t="str">
            <v>GBWS-2935</v>
          </cell>
          <cell r="L3414">
            <v>44845</v>
          </cell>
          <cell r="M3414">
            <v>44846</v>
          </cell>
          <cell r="N3414">
            <v>44865</v>
          </cell>
          <cell r="O3414">
            <v>44846</v>
          </cell>
          <cell r="P3414">
            <v>44867</v>
          </cell>
          <cell r="Q3414" t="str">
            <v>2022-10-21 → 10/31 → 11/8</v>
          </cell>
          <cell r="R3414" t="str">
            <v>2022-10-21 → 10/31 → 11/8</v>
          </cell>
          <cell r="S3414"/>
          <cell r="T3414">
            <v>44867</v>
          </cell>
          <cell r="U3414">
            <v>44868</v>
          </cell>
          <cell r="V3414">
            <v>44869</v>
          </cell>
          <cell r="W3414">
            <v>44869</v>
          </cell>
          <cell r="X3414">
            <v>41100350</v>
          </cell>
        </row>
        <row r="3415">
          <cell r="K3415" t="str">
            <v>GBWS-2967</v>
          </cell>
          <cell r="L3415">
            <v>44858</v>
          </cell>
          <cell r="M3415">
            <v>44859</v>
          </cell>
          <cell r="N3415">
            <v>44871</v>
          </cell>
          <cell r="O3415">
            <v>44859</v>
          </cell>
          <cell r="P3415">
            <v>44872</v>
          </cell>
          <cell r="Q3415">
            <v>44869</v>
          </cell>
          <cell r="R3415">
            <v>44869</v>
          </cell>
          <cell r="S3415"/>
          <cell r="T3415">
            <v>44872</v>
          </cell>
          <cell r="U3415">
            <v>44874</v>
          </cell>
          <cell r="V3415">
            <v>44874</v>
          </cell>
          <cell r="W3415">
            <v>44875</v>
          </cell>
          <cell r="X3415">
            <v>41100363</v>
          </cell>
        </row>
        <row r="3416">
          <cell r="K3416" t="str">
            <v>DS-0407~0412</v>
          </cell>
          <cell r="L3416">
            <v>44875</v>
          </cell>
          <cell r="M3416">
            <v>44876</v>
          </cell>
          <cell r="N3416">
            <v>44876</v>
          </cell>
          <cell r="O3416">
            <v>44876</v>
          </cell>
          <cell r="P3416">
            <v>44876</v>
          </cell>
          <cell r="Q3416">
            <v>44876</v>
          </cell>
          <cell r="R3416">
            <v>44876</v>
          </cell>
          <cell r="S3416"/>
          <cell r="T3416">
            <v>44876</v>
          </cell>
          <cell r="U3416">
            <v>44876</v>
          </cell>
          <cell r="V3416">
            <v>44876</v>
          </cell>
          <cell r="W3416">
            <v>44876</v>
          </cell>
          <cell r="X3416">
            <v>31010315</v>
          </cell>
        </row>
        <row r="3417">
          <cell r="K3417" t="str">
            <v>G13030016</v>
          </cell>
          <cell r="L3417" t="str">
            <v>-</v>
          </cell>
          <cell r="M3417">
            <v>44869</v>
          </cell>
          <cell r="N3417">
            <v>44869</v>
          </cell>
          <cell r="O3417">
            <v>44869</v>
          </cell>
          <cell r="P3417">
            <v>44869</v>
          </cell>
          <cell r="Q3417">
            <v>44869</v>
          </cell>
          <cell r="R3417">
            <v>44869</v>
          </cell>
          <cell r="S3417"/>
          <cell r="T3417">
            <v>44869</v>
          </cell>
          <cell r="U3417">
            <v>44875</v>
          </cell>
          <cell r="V3417">
            <v>44879</v>
          </cell>
          <cell r="W3417">
            <v>44879</v>
          </cell>
          <cell r="X3417" t="str">
            <v>-</v>
          </cell>
        </row>
        <row r="3418">
          <cell r="K3418" t="str">
            <v xml:space="preserve">G13030045 </v>
          </cell>
          <cell r="L3418" t="str">
            <v>-</v>
          </cell>
          <cell r="M3418">
            <v>44869</v>
          </cell>
          <cell r="N3418">
            <v>44869</v>
          </cell>
          <cell r="O3418">
            <v>44869</v>
          </cell>
          <cell r="P3418">
            <v>44869</v>
          </cell>
          <cell r="Q3418">
            <v>44869</v>
          </cell>
          <cell r="R3418">
            <v>44869</v>
          </cell>
          <cell r="S3418"/>
          <cell r="T3418">
            <v>44869</v>
          </cell>
          <cell r="U3418">
            <v>44876</v>
          </cell>
          <cell r="V3418">
            <v>44879</v>
          </cell>
          <cell r="W3418">
            <v>44879</v>
          </cell>
          <cell r="X3418" t="str">
            <v>-</v>
          </cell>
        </row>
        <row r="3419">
          <cell r="K3419" t="str">
            <v>-</v>
          </cell>
          <cell r="L3419">
            <v>44865</v>
          </cell>
          <cell r="M3419">
            <v>44866</v>
          </cell>
          <cell r="N3419">
            <v>44873</v>
          </cell>
          <cell r="O3419">
            <v>44866</v>
          </cell>
          <cell r="P3419">
            <v>44873</v>
          </cell>
          <cell r="Q3419">
            <v>44869</v>
          </cell>
          <cell r="R3419">
            <v>44869</v>
          </cell>
          <cell r="S3419"/>
          <cell r="T3419">
            <v>44869</v>
          </cell>
          <cell r="U3419">
            <v>44874</v>
          </cell>
          <cell r="V3419">
            <v>44875</v>
          </cell>
          <cell r="W3419">
            <v>44875</v>
          </cell>
          <cell r="X3419">
            <v>31102257</v>
          </cell>
        </row>
        <row r="3420">
          <cell r="K3420" t="str">
            <v>-</v>
          </cell>
          <cell r="L3420">
            <v>44865</v>
          </cell>
          <cell r="M3420">
            <v>44866</v>
          </cell>
          <cell r="N3420">
            <v>44873</v>
          </cell>
          <cell r="O3420">
            <v>44866</v>
          </cell>
          <cell r="P3420">
            <v>44873</v>
          </cell>
          <cell r="Q3420">
            <v>44869</v>
          </cell>
          <cell r="R3420">
            <v>44869</v>
          </cell>
          <cell r="S3420"/>
          <cell r="T3420">
            <v>44869</v>
          </cell>
          <cell r="U3420">
            <v>44874</v>
          </cell>
          <cell r="V3420">
            <v>44875</v>
          </cell>
          <cell r="W3420">
            <v>44875</v>
          </cell>
          <cell r="X3420">
            <v>31102257</v>
          </cell>
        </row>
        <row r="3421">
          <cell r="K3421" t="str">
            <v>-</v>
          </cell>
          <cell r="L3421">
            <v>44865</v>
          </cell>
          <cell r="M3421">
            <v>44866</v>
          </cell>
          <cell r="N3421">
            <v>44873</v>
          </cell>
          <cell r="O3421">
            <v>44866</v>
          </cell>
          <cell r="P3421">
            <v>44873</v>
          </cell>
          <cell r="Q3421">
            <v>44869</v>
          </cell>
          <cell r="R3421">
            <v>44869</v>
          </cell>
          <cell r="S3421"/>
          <cell r="T3421">
            <v>44869</v>
          </cell>
          <cell r="U3421">
            <v>44874</v>
          </cell>
          <cell r="V3421">
            <v>44875</v>
          </cell>
          <cell r="W3421">
            <v>44875</v>
          </cell>
          <cell r="X3421">
            <v>31102257</v>
          </cell>
        </row>
        <row r="3422">
          <cell r="K3422" t="str">
            <v>-</v>
          </cell>
          <cell r="L3422">
            <v>44865</v>
          </cell>
          <cell r="M3422">
            <v>44866</v>
          </cell>
          <cell r="N3422">
            <v>44873</v>
          </cell>
          <cell r="O3422">
            <v>44866</v>
          </cell>
          <cell r="P3422">
            <v>44873</v>
          </cell>
          <cell r="Q3422">
            <v>44869</v>
          </cell>
          <cell r="R3422">
            <v>44869</v>
          </cell>
          <cell r="S3422"/>
          <cell r="T3422">
            <v>44869</v>
          </cell>
          <cell r="U3422">
            <v>44875</v>
          </cell>
          <cell r="V3422">
            <v>44875</v>
          </cell>
          <cell r="W3422">
            <v>44875</v>
          </cell>
          <cell r="X3422">
            <v>31102257</v>
          </cell>
        </row>
        <row r="3423">
          <cell r="K3423" t="str">
            <v>-</v>
          </cell>
          <cell r="L3423">
            <v>44865</v>
          </cell>
          <cell r="M3423">
            <v>44866</v>
          </cell>
          <cell r="N3423">
            <v>44873</v>
          </cell>
          <cell r="O3423">
            <v>44866</v>
          </cell>
          <cell r="P3423">
            <v>44873</v>
          </cell>
          <cell r="Q3423">
            <v>44869</v>
          </cell>
          <cell r="R3423">
            <v>44869</v>
          </cell>
          <cell r="S3423"/>
          <cell r="T3423">
            <v>44869</v>
          </cell>
          <cell r="U3423">
            <v>44875</v>
          </cell>
          <cell r="V3423">
            <v>44875</v>
          </cell>
          <cell r="W3423">
            <v>44875</v>
          </cell>
          <cell r="X3423">
            <v>31102257</v>
          </cell>
        </row>
        <row r="3424">
          <cell r="K3424" t="str">
            <v>SOS-0276</v>
          </cell>
          <cell r="L3424">
            <v>44791</v>
          </cell>
          <cell r="M3424">
            <v>44792</v>
          </cell>
          <cell r="N3424">
            <v>44795</v>
          </cell>
          <cell r="O3424">
            <v>44792</v>
          </cell>
          <cell r="P3424">
            <v>44796</v>
          </cell>
          <cell r="Q3424">
            <v>44796</v>
          </cell>
          <cell r="R3424">
            <v>44796</v>
          </cell>
          <cell r="S3424"/>
          <cell r="T3424">
            <v>44795</v>
          </cell>
          <cell r="U3424">
            <v>44798</v>
          </cell>
          <cell r="V3424">
            <v>44802</v>
          </cell>
          <cell r="W3424">
            <v>44802</v>
          </cell>
          <cell r="X3424">
            <v>41100182</v>
          </cell>
        </row>
        <row r="3425">
          <cell r="K3425" t="str">
            <v>SOS-0277</v>
          </cell>
          <cell r="L3425">
            <v>44791</v>
          </cell>
          <cell r="M3425">
            <v>44792</v>
          </cell>
          <cell r="N3425">
            <v>44795</v>
          </cell>
          <cell r="O3425">
            <v>44792</v>
          </cell>
          <cell r="P3425">
            <v>44796</v>
          </cell>
          <cell r="Q3425">
            <v>44796</v>
          </cell>
          <cell r="R3425">
            <v>44796</v>
          </cell>
          <cell r="S3425"/>
          <cell r="T3425">
            <v>44795</v>
          </cell>
          <cell r="U3425">
            <v>44798</v>
          </cell>
          <cell r="V3425">
            <v>44802</v>
          </cell>
          <cell r="W3425">
            <v>44802</v>
          </cell>
          <cell r="X3425">
            <v>41100182</v>
          </cell>
        </row>
        <row r="3426">
          <cell r="K3426" t="str">
            <v>SOS-0274</v>
          </cell>
          <cell r="L3426">
            <v>44791</v>
          </cell>
          <cell r="M3426">
            <v>44792</v>
          </cell>
          <cell r="N3426">
            <v>44795</v>
          </cell>
          <cell r="O3426">
            <v>44792</v>
          </cell>
          <cell r="P3426">
            <v>44802</v>
          </cell>
          <cell r="Q3426">
            <v>44796</v>
          </cell>
          <cell r="R3426">
            <v>44796</v>
          </cell>
          <cell r="S3426"/>
          <cell r="T3426">
            <v>44795</v>
          </cell>
          <cell r="U3426">
            <v>44803</v>
          </cell>
          <cell r="V3426">
            <v>44804</v>
          </cell>
          <cell r="W3426">
            <v>44804</v>
          </cell>
          <cell r="X3426">
            <v>41100182</v>
          </cell>
        </row>
        <row r="3427">
          <cell r="K3427" t="str">
            <v>SOS-0275</v>
          </cell>
          <cell r="L3427">
            <v>44791</v>
          </cell>
          <cell r="M3427">
            <v>44792</v>
          </cell>
          <cell r="N3427">
            <v>44795</v>
          </cell>
          <cell r="O3427">
            <v>44792</v>
          </cell>
          <cell r="P3427">
            <v>44802</v>
          </cell>
          <cell r="Q3427">
            <v>44796</v>
          </cell>
          <cell r="R3427">
            <v>44796</v>
          </cell>
          <cell r="S3427"/>
          <cell r="T3427">
            <v>44795</v>
          </cell>
          <cell r="U3427">
            <v>44803</v>
          </cell>
          <cell r="V3427">
            <v>44804</v>
          </cell>
          <cell r="W3427">
            <v>44804</v>
          </cell>
          <cell r="X3427">
            <v>41100182</v>
          </cell>
        </row>
        <row r="3428">
          <cell r="K3428" t="str">
            <v>IVAS-167</v>
          </cell>
          <cell r="L3428">
            <v>44862</v>
          </cell>
          <cell r="M3428" t="str">
            <v>2022-10-21 → 10/31</v>
          </cell>
          <cell r="N3428">
            <v>44875</v>
          </cell>
          <cell r="O3428" t="str">
            <v>2022-10-21 → 10/31</v>
          </cell>
          <cell r="P3428">
            <v>44879</v>
          </cell>
          <cell r="Q3428" t="str">
            <v>2022-11-02 → 11/10</v>
          </cell>
          <cell r="R3428" t="str">
            <v>2022-11-02 → 11/10</v>
          </cell>
          <cell r="S3428"/>
          <cell r="T3428">
            <v>44875</v>
          </cell>
          <cell r="U3428">
            <v>44880</v>
          </cell>
          <cell r="V3428">
            <v>44881</v>
          </cell>
          <cell r="W3428">
            <v>44881</v>
          </cell>
          <cell r="X3428">
            <v>41100290</v>
          </cell>
        </row>
        <row r="3429">
          <cell r="K3429" t="str">
            <v>G1H2003</v>
          </cell>
          <cell r="L3429" t="str">
            <v>-</v>
          </cell>
          <cell r="M3429">
            <v>44866</v>
          </cell>
          <cell r="N3429">
            <v>44866</v>
          </cell>
          <cell r="O3429">
            <v>44866</v>
          </cell>
          <cell r="P3429">
            <v>44866</v>
          </cell>
          <cell r="Q3429">
            <v>44866</v>
          </cell>
          <cell r="R3429">
            <v>44866</v>
          </cell>
          <cell r="S3429"/>
          <cell r="T3429">
            <v>44866</v>
          </cell>
          <cell r="U3429">
            <v>44866</v>
          </cell>
          <cell r="V3429">
            <v>44881</v>
          </cell>
          <cell r="W3429">
            <v>44881</v>
          </cell>
          <cell r="X3429" t="str">
            <v>-</v>
          </cell>
        </row>
        <row r="3430">
          <cell r="K3430" t="str">
            <v>G1H3015</v>
          </cell>
          <cell r="L3430">
            <v>44872</v>
          </cell>
          <cell r="M3430">
            <v>44873</v>
          </cell>
          <cell r="N3430">
            <v>44879</v>
          </cell>
          <cell r="O3430">
            <v>44873</v>
          </cell>
          <cell r="P3430">
            <v>44879</v>
          </cell>
          <cell r="Q3430">
            <v>44879</v>
          </cell>
          <cell r="R3430">
            <v>44879</v>
          </cell>
          <cell r="S3430"/>
          <cell r="T3430">
            <v>44881</v>
          </cell>
          <cell r="U3430">
            <v>44881</v>
          </cell>
          <cell r="V3430">
            <v>44881</v>
          </cell>
          <cell r="W3430">
            <v>44881</v>
          </cell>
          <cell r="X3430" t="str">
            <v>-</v>
          </cell>
        </row>
        <row r="3431">
          <cell r="K3431" t="str">
            <v>1809-003</v>
          </cell>
          <cell r="L3431" t="str">
            <v>-</v>
          </cell>
          <cell r="M3431">
            <v>44855</v>
          </cell>
          <cell r="N3431">
            <v>44855</v>
          </cell>
          <cell r="O3431">
            <v>44855</v>
          </cell>
          <cell r="P3431">
            <v>44855</v>
          </cell>
          <cell r="Q3431">
            <v>44855</v>
          </cell>
          <cell r="R3431">
            <v>44855</v>
          </cell>
          <cell r="S3431"/>
          <cell r="T3431">
            <v>44858</v>
          </cell>
          <cell r="U3431">
            <v>44861</v>
          </cell>
          <cell r="V3431">
            <v>44881</v>
          </cell>
          <cell r="W3431">
            <v>44881</v>
          </cell>
          <cell r="X3431" t="str">
            <v>-</v>
          </cell>
        </row>
        <row r="3432">
          <cell r="K3432" t="str">
            <v>1812-002</v>
          </cell>
          <cell r="L3432" t="str">
            <v>-</v>
          </cell>
          <cell r="M3432">
            <v>44855</v>
          </cell>
          <cell r="N3432">
            <v>44855</v>
          </cell>
          <cell r="O3432">
            <v>44855</v>
          </cell>
          <cell r="P3432">
            <v>44855</v>
          </cell>
          <cell r="Q3432">
            <v>44855</v>
          </cell>
          <cell r="R3432">
            <v>44855</v>
          </cell>
          <cell r="S3432"/>
          <cell r="T3432">
            <v>44858</v>
          </cell>
          <cell r="U3432">
            <v>44861</v>
          </cell>
          <cell r="V3432">
            <v>44881</v>
          </cell>
          <cell r="W3432">
            <v>44881</v>
          </cell>
          <cell r="X3432" t="str">
            <v>-</v>
          </cell>
        </row>
        <row r="3433">
          <cell r="K3433" t="str">
            <v>-</v>
          </cell>
          <cell r="L3433">
            <v>44855</v>
          </cell>
          <cell r="M3433">
            <v>44858</v>
          </cell>
          <cell r="N3433">
            <v>44869</v>
          </cell>
          <cell r="O3433">
            <v>44858</v>
          </cell>
          <cell r="P3433">
            <v>44862</v>
          </cell>
          <cell r="Q3433">
            <v>44862</v>
          </cell>
          <cell r="R3433">
            <v>44862</v>
          </cell>
          <cell r="S3433"/>
          <cell r="T3433">
            <v>44874</v>
          </cell>
          <cell r="U3433">
            <v>44874</v>
          </cell>
          <cell r="V3433">
            <v>44879</v>
          </cell>
          <cell r="W3433">
            <v>44879</v>
          </cell>
          <cell r="X3433">
            <v>31102303</v>
          </cell>
        </row>
        <row r="3434">
          <cell r="K3434" t="str">
            <v>-</v>
          </cell>
          <cell r="L3434">
            <v>44855</v>
          </cell>
          <cell r="M3434">
            <v>44858</v>
          </cell>
          <cell r="N3434">
            <v>44869</v>
          </cell>
          <cell r="O3434">
            <v>44858</v>
          </cell>
          <cell r="P3434">
            <v>44862</v>
          </cell>
          <cell r="Q3434">
            <v>44862</v>
          </cell>
          <cell r="R3434">
            <v>44862</v>
          </cell>
          <cell r="S3434"/>
          <cell r="T3434">
            <v>44872</v>
          </cell>
          <cell r="U3434">
            <v>44875</v>
          </cell>
          <cell r="V3434">
            <v>44879</v>
          </cell>
          <cell r="W3434">
            <v>44879</v>
          </cell>
          <cell r="X3434">
            <v>31102303</v>
          </cell>
        </row>
        <row r="3435">
          <cell r="K3435" t="str">
            <v>-</v>
          </cell>
          <cell r="L3435">
            <v>44855</v>
          </cell>
          <cell r="M3435">
            <v>44858</v>
          </cell>
          <cell r="N3435">
            <v>44869</v>
          </cell>
          <cell r="O3435">
            <v>44858</v>
          </cell>
          <cell r="P3435">
            <v>44862</v>
          </cell>
          <cell r="Q3435">
            <v>44862</v>
          </cell>
          <cell r="R3435">
            <v>44862</v>
          </cell>
          <cell r="S3435"/>
          <cell r="T3435">
            <v>44872</v>
          </cell>
          <cell r="U3435">
            <v>44876</v>
          </cell>
          <cell r="V3435">
            <v>44881</v>
          </cell>
          <cell r="W3435">
            <v>44882</v>
          </cell>
          <cell r="X3435">
            <v>31102303</v>
          </cell>
        </row>
        <row r="3436">
          <cell r="K3436" t="str">
            <v>-</v>
          </cell>
          <cell r="L3436">
            <v>44855</v>
          </cell>
          <cell r="M3436">
            <v>44858</v>
          </cell>
          <cell r="N3436">
            <v>44869</v>
          </cell>
          <cell r="O3436">
            <v>44858</v>
          </cell>
          <cell r="P3436">
            <v>44862</v>
          </cell>
          <cell r="Q3436">
            <v>44862</v>
          </cell>
          <cell r="R3436">
            <v>44862</v>
          </cell>
          <cell r="S3436"/>
          <cell r="T3436">
            <v>44872</v>
          </cell>
          <cell r="U3436">
            <v>44872</v>
          </cell>
          <cell r="V3436">
            <v>44882</v>
          </cell>
          <cell r="W3436">
            <v>44882</v>
          </cell>
          <cell r="X3436">
            <v>31102296</v>
          </cell>
        </row>
        <row r="3437">
          <cell r="K3437" t="str">
            <v>IVAS-164</v>
          </cell>
          <cell r="L3437">
            <v>44853</v>
          </cell>
          <cell r="M3437">
            <v>44854</v>
          </cell>
          <cell r="N3437">
            <v>44868</v>
          </cell>
          <cell r="O3437">
            <v>44854</v>
          </cell>
          <cell r="P3437">
            <v>44868</v>
          </cell>
          <cell r="Q3437" t="str">
            <v>2022-11-01 → 11/7</v>
          </cell>
          <cell r="R3437" t="str">
            <v>2022-11-01 → 11/7</v>
          </cell>
          <cell r="S3437"/>
          <cell r="T3437">
            <v>44868</v>
          </cell>
          <cell r="U3437">
            <v>44876</v>
          </cell>
          <cell r="V3437">
            <v>44879</v>
          </cell>
          <cell r="W3437">
            <v>44880</v>
          </cell>
          <cell r="X3437">
            <v>41100556</v>
          </cell>
        </row>
        <row r="3438">
          <cell r="K3438" t="str">
            <v>G1H4011</v>
          </cell>
          <cell r="L3438" t="str">
            <v>-</v>
          </cell>
          <cell r="M3438">
            <v>44876</v>
          </cell>
          <cell r="N3438">
            <v>44876</v>
          </cell>
          <cell r="O3438">
            <v>44876</v>
          </cell>
          <cell r="P3438">
            <v>44876</v>
          </cell>
          <cell r="Q3438">
            <v>44876</v>
          </cell>
          <cell r="R3438">
            <v>44876</v>
          </cell>
          <cell r="S3438"/>
          <cell r="T3438">
            <v>44881</v>
          </cell>
          <cell r="U3438">
            <v>44881</v>
          </cell>
          <cell r="V3438">
            <v>44882</v>
          </cell>
          <cell r="W3438">
            <v>44882</v>
          </cell>
          <cell r="X3438" t="str">
            <v>-</v>
          </cell>
        </row>
        <row r="3439">
          <cell r="K3439" t="str">
            <v>G14090008</v>
          </cell>
          <cell r="L3439" t="str">
            <v>-</v>
          </cell>
          <cell r="M3439">
            <v>44883</v>
          </cell>
          <cell r="N3439">
            <v>44883</v>
          </cell>
          <cell r="O3439">
            <v>44883</v>
          </cell>
          <cell r="P3439">
            <v>44883</v>
          </cell>
          <cell r="Q3439">
            <v>44883</v>
          </cell>
          <cell r="R3439">
            <v>44883</v>
          </cell>
          <cell r="S3439"/>
          <cell r="T3439">
            <v>44881</v>
          </cell>
          <cell r="U3439">
            <v>44881</v>
          </cell>
          <cell r="V3439">
            <v>44882</v>
          </cell>
          <cell r="W3439">
            <v>44882</v>
          </cell>
          <cell r="X3439" t="str">
            <v>-</v>
          </cell>
        </row>
        <row r="3440">
          <cell r="K3440" t="str">
            <v>GBWS-2974</v>
          </cell>
          <cell r="L3440">
            <v>44868</v>
          </cell>
          <cell r="M3440">
            <v>44868</v>
          </cell>
          <cell r="N3440">
            <v>44875</v>
          </cell>
          <cell r="O3440">
            <v>44868</v>
          </cell>
          <cell r="P3440">
            <v>44875</v>
          </cell>
          <cell r="Q3440">
            <v>44875</v>
          </cell>
          <cell r="R3440">
            <v>44875</v>
          </cell>
          <cell r="S3440"/>
          <cell r="T3440">
            <v>44876</v>
          </cell>
          <cell r="U3440">
            <v>44879</v>
          </cell>
          <cell r="V3440">
            <v>44879</v>
          </cell>
          <cell r="W3440">
            <v>44880</v>
          </cell>
          <cell r="X3440">
            <v>41100584</v>
          </cell>
        </row>
        <row r="3441">
          <cell r="K3441" t="str">
            <v>GBWS-2975</v>
          </cell>
          <cell r="L3441">
            <v>44868</v>
          </cell>
          <cell r="M3441">
            <v>44868</v>
          </cell>
          <cell r="N3441">
            <v>44875</v>
          </cell>
          <cell r="O3441">
            <v>44868</v>
          </cell>
          <cell r="P3441">
            <v>44875</v>
          </cell>
          <cell r="Q3441">
            <v>44875</v>
          </cell>
          <cell r="R3441">
            <v>44875</v>
          </cell>
          <cell r="S3441"/>
          <cell r="T3441">
            <v>44876</v>
          </cell>
          <cell r="U3441">
            <v>44879</v>
          </cell>
          <cell r="V3441">
            <v>44879</v>
          </cell>
          <cell r="W3441">
            <v>44880</v>
          </cell>
          <cell r="X3441">
            <v>41100584</v>
          </cell>
        </row>
        <row r="3442">
          <cell r="K3442" t="str">
            <v>GBWS-2976</v>
          </cell>
          <cell r="L3442">
            <v>44868</v>
          </cell>
          <cell r="M3442">
            <v>44868</v>
          </cell>
          <cell r="N3442">
            <v>44875</v>
          </cell>
          <cell r="O3442">
            <v>44868</v>
          </cell>
          <cell r="P3442">
            <v>44875</v>
          </cell>
          <cell r="Q3442">
            <v>44875</v>
          </cell>
          <cell r="R3442">
            <v>44875</v>
          </cell>
          <cell r="S3442"/>
          <cell r="T3442">
            <v>44876</v>
          </cell>
          <cell r="U3442">
            <v>44879</v>
          </cell>
          <cell r="V3442">
            <v>44879</v>
          </cell>
          <cell r="W3442">
            <v>44880</v>
          </cell>
          <cell r="X3442">
            <v>41100584</v>
          </cell>
        </row>
        <row r="3443">
          <cell r="K3443" t="str">
            <v>GBWS-2977</v>
          </cell>
          <cell r="L3443">
            <v>44868</v>
          </cell>
          <cell r="M3443">
            <v>44868</v>
          </cell>
          <cell r="N3443">
            <v>44875</v>
          </cell>
          <cell r="O3443">
            <v>44868</v>
          </cell>
          <cell r="P3443">
            <v>44875</v>
          </cell>
          <cell r="Q3443">
            <v>44875</v>
          </cell>
          <cell r="R3443">
            <v>44875</v>
          </cell>
          <cell r="S3443"/>
          <cell r="T3443">
            <v>44879</v>
          </cell>
          <cell r="U3443">
            <v>44879</v>
          </cell>
          <cell r="V3443">
            <v>44880</v>
          </cell>
          <cell r="W3443">
            <v>44880</v>
          </cell>
          <cell r="X3443">
            <v>41100584</v>
          </cell>
        </row>
        <row r="3444">
          <cell r="K3444" t="str">
            <v>DBW-2779</v>
          </cell>
          <cell r="L3444">
            <v>44862</v>
          </cell>
          <cell r="M3444">
            <v>44865</v>
          </cell>
          <cell r="N3444">
            <v>44874</v>
          </cell>
          <cell r="O3444">
            <v>44865</v>
          </cell>
          <cell r="P3444">
            <v>44874</v>
          </cell>
          <cell r="Q3444">
            <v>44874</v>
          </cell>
          <cell r="R3444">
            <v>44874</v>
          </cell>
          <cell r="S3444"/>
          <cell r="T3444">
            <v>44875</v>
          </cell>
          <cell r="U3444">
            <v>44876</v>
          </cell>
          <cell r="V3444">
            <v>44879</v>
          </cell>
          <cell r="W3444">
            <v>44879</v>
          </cell>
          <cell r="X3444">
            <v>41100480</v>
          </cell>
        </row>
        <row r="3445">
          <cell r="K3445" t="str">
            <v>DBW-2780</v>
          </cell>
          <cell r="L3445">
            <v>44862</v>
          </cell>
          <cell r="M3445">
            <v>44865</v>
          </cell>
          <cell r="N3445">
            <v>44874</v>
          </cell>
          <cell r="O3445">
            <v>44865</v>
          </cell>
          <cell r="P3445">
            <v>44874</v>
          </cell>
          <cell r="Q3445">
            <v>44874</v>
          </cell>
          <cell r="R3445">
            <v>44874</v>
          </cell>
          <cell r="S3445"/>
          <cell r="T3445">
            <v>44875</v>
          </cell>
          <cell r="U3445">
            <v>44876</v>
          </cell>
          <cell r="V3445">
            <v>44879</v>
          </cell>
          <cell r="W3445">
            <v>44879</v>
          </cell>
          <cell r="X3445">
            <v>41100480</v>
          </cell>
        </row>
        <row r="3446">
          <cell r="K3446" t="str">
            <v>-</v>
          </cell>
          <cell r="L3446">
            <v>44855</v>
          </cell>
          <cell r="M3446">
            <v>44858</v>
          </cell>
          <cell r="N3446">
            <v>44869</v>
          </cell>
          <cell r="O3446">
            <v>44858</v>
          </cell>
          <cell r="P3446">
            <v>44862</v>
          </cell>
          <cell r="Q3446">
            <v>44862</v>
          </cell>
          <cell r="R3446">
            <v>44862</v>
          </cell>
          <cell r="S3446"/>
          <cell r="T3446">
            <v>44872</v>
          </cell>
          <cell r="U3446">
            <v>44879</v>
          </cell>
          <cell r="V3446">
            <v>44881</v>
          </cell>
          <cell r="W3446">
            <v>44882</v>
          </cell>
          <cell r="X3446">
            <v>31102253</v>
          </cell>
        </row>
        <row r="3447">
          <cell r="K3447" t="str">
            <v>-</v>
          </cell>
          <cell r="L3447">
            <v>44855</v>
          </cell>
          <cell r="M3447">
            <v>44858</v>
          </cell>
          <cell r="N3447">
            <v>44869</v>
          </cell>
          <cell r="O3447">
            <v>44858</v>
          </cell>
          <cell r="P3447">
            <v>44862</v>
          </cell>
          <cell r="Q3447">
            <v>44862</v>
          </cell>
          <cell r="R3447">
            <v>44862</v>
          </cell>
          <cell r="S3447"/>
          <cell r="T3447">
            <v>44872</v>
          </cell>
          <cell r="U3447">
            <v>44876</v>
          </cell>
          <cell r="V3447">
            <v>44876</v>
          </cell>
          <cell r="W3447">
            <v>44879</v>
          </cell>
          <cell r="X3447">
            <v>31102253</v>
          </cell>
        </row>
        <row r="3448">
          <cell r="K3448" t="str">
            <v>-</v>
          </cell>
          <cell r="L3448">
            <v>44872</v>
          </cell>
          <cell r="M3448">
            <v>44872</v>
          </cell>
          <cell r="N3448">
            <v>44882</v>
          </cell>
          <cell r="O3448">
            <v>44872</v>
          </cell>
          <cell r="P3448">
            <v>44879</v>
          </cell>
          <cell r="Q3448">
            <v>44875</v>
          </cell>
          <cell r="R3448">
            <v>44875</v>
          </cell>
          <cell r="S3448"/>
          <cell r="T3448">
            <v>44882</v>
          </cell>
          <cell r="U3448">
            <v>44881</v>
          </cell>
          <cell r="V3448">
            <v>44882</v>
          </cell>
          <cell r="W3448">
            <v>44882</v>
          </cell>
          <cell r="X3448">
            <v>31102296</v>
          </cell>
        </row>
        <row r="3449">
          <cell r="K3449" t="str">
            <v>-</v>
          </cell>
          <cell r="L3449">
            <v>44855</v>
          </cell>
          <cell r="M3449">
            <v>44858</v>
          </cell>
          <cell r="N3449">
            <v>44869</v>
          </cell>
          <cell r="O3449">
            <v>44858</v>
          </cell>
          <cell r="P3449">
            <v>44862</v>
          </cell>
          <cell r="Q3449">
            <v>44862</v>
          </cell>
          <cell r="R3449">
            <v>44862</v>
          </cell>
          <cell r="S3449"/>
          <cell r="T3449">
            <v>44872</v>
          </cell>
          <cell r="U3449">
            <v>44872</v>
          </cell>
          <cell r="V3449">
            <v>44882</v>
          </cell>
          <cell r="W3449">
            <v>44882</v>
          </cell>
          <cell r="X3449">
            <v>31102291</v>
          </cell>
        </row>
        <row r="3450">
          <cell r="K3450" t="str">
            <v>-</v>
          </cell>
          <cell r="L3450">
            <v>44872</v>
          </cell>
          <cell r="M3450">
            <v>44872</v>
          </cell>
          <cell r="N3450">
            <v>44882</v>
          </cell>
          <cell r="O3450">
            <v>44872</v>
          </cell>
          <cell r="P3450">
            <v>44879</v>
          </cell>
          <cell r="Q3450">
            <v>44875</v>
          </cell>
          <cell r="R3450">
            <v>44875</v>
          </cell>
          <cell r="S3450"/>
          <cell r="T3450">
            <v>44882</v>
          </cell>
          <cell r="U3450">
            <v>44881</v>
          </cell>
          <cell r="V3450">
            <v>44882</v>
          </cell>
          <cell r="W3450">
            <v>44882</v>
          </cell>
          <cell r="X3450">
            <v>31102291</v>
          </cell>
        </row>
        <row r="3451">
          <cell r="K3451" t="str">
            <v>DBW-2777</v>
          </cell>
          <cell r="L3451">
            <v>44855</v>
          </cell>
          <cell r="M3451">
            <v>44858</v>
          </cell>
          <cell r="N3451">
            <v>44866</v>
          </cell>
          <cell r="O3451">
            <v>44858</v>
          </cell>
          <cell r="P3451">
            <v>44866</v>
          </cell>
          <cell r="Q3451">
            <v>44867</v>
          </cell>
          <cell r="R3451">
            <v>44867</v>
          </cell>
          <cell r="S3451"/>
          <cell r="T3451">
            <v>44867</v>
          </cell>
          <cell r="U3451">
            <v>44868</v>
          </cell>
          <cell r="V3451">
            <v>44869</v>
          </cell>
          <cell r="W3451">
            <v>44869</v>
          </cell>
          <cell r="X3451">
            <v>41100473</v>
          </cell>
        </row>
        <row r="3452">
          <cell r="K3452" t="str">
            <v>DBW-2778</v>
          </cell>
          <cell r="L3452">
            <v>44855</v>
          </cell>
          <cell r="M3452">
            <v>44858</v>
          </cell>
          <cell r="N3452">
            <v>44866</v>
          </cell>
          <cell r="O3452">
            <v>44858</v>
          </cell>
          <cell r="P3452">
            <v>44866</v>
          </cell>
          <cell r="Q3452">
            <v>44867</v>
          </cell>
          <cell r="R3452">
            <v>44867</v>
          </cell>
          <cell r="S3452"/>
          <cell r="T3452">
            <v>44867</v>
          </cell>
          <cell r="U3452">
            <v>44868</v>
          </cell>
          <cell r="V3452">
            <v>44869</v>
          </cell>
          <cell r="W3452">
            <v>44869</v>
          </cell>
          <cell r="X3452">
            <v>41100473</v>
          </cell>
        </row>
        <row r="3453">
          <cell r="K3453" t="str">
            <v>DBW-2772</v>
          </cell>
          <cell r="L3453">
            <v>44845</v>
          </cell>
          <cell r="M3453">
            <v>44846</v>
          </cell>
          <cell r="N3453">
            <v>44857</v>
          </cell>
          <cell r="O3453">
            <v>44846</v>
          </cell>
          <cell r="P3453">
            <v>44858</v>
          </cell>
          <cell r="Q3453" t="str">
            <v>2022-10-20 → 10/23</v>
          </cell>
          <cell r="R3453" t="str">
            <v>2022-10-20 → 10/23</v>
          </cell>
          <cell r="S3453"/>
          <cell r="T3453">
            <v>44858</v>
          </cell>
          <cell r="U3453">
            <v>44859</v>
          </cell>
          <cell r="V3453">
            <v>44860</v>
          </cell>
          <cell r="W3453">
            <v>44860</v>
          </cell>
          <cell r="X3453">
            <v>41100465</v>
          </cell>
        </row>
        <row r="3454">
          <cell r="K3454" t="str">
            <v>DBW-2773</v>
          </cell>
          <cell r="L3454">
            <v>44845</v>
          </cell>
          <cell r="M3454">
            <v>44846</v>
          </cell>
          <cell r="N3454">
            <v>44857</v>
          </cell>
          <cell r="O3454">
            <v>44846</v>
          </cell>
          <cell r="P3454">
            <v>44858</v>
          </cell>
          <cell r="Q3454" t="str">
            <v>2022-10-20 → 10/23</v>
          </cell>
          <cell r="R3454" t="str">
            <v>2022-10-20 → 10/23</v>
          </cell>
          <cell r="S3454"/>
          <cell r="T3454">
            <v>44858</v>
          </cell>
          <cell r="U3454">
            <v>44859</v>
          </cell>
          <cell r="V3454">
            <v>44860</v>
          </cell>
          <cell r="W3454">
            <v>44860</v>
          </cell>
          <cell r="X3454">
            <v>41100465</v>
          </cell>
        </row>
        <row r="3455">
          <cell r="K3455" t="str">
            <v>G1H3010</v>
          </cell>
          <cell r="L3455" t="str">
            <v>-</v>
          </cell>
          <cell r="M3455">
            <v>44876</v>
          </cell>
          <cell r="N3455">
            <v>44876</v>
          </cell>
          <cell r="O3455">
            <v>44876</v>
          </cell>
          <cell r="P3455">
            <v>44876</v>
          </cell>
          <cell r="Q3455">
            <v>44876</v>
          </cell>
          <cell r="R3455">
            <v>44876</v>
          </cell>
          <cell r="S3455"/>
          <cell r="T3455">
            <v>44881</v>
          </cell>
          <cell r="U3455">
            <v>44881</v>
          </cell>
          <cell r="V3455">
            <v>44886</v>
          </cell>
          <cell r="W3455">
            <v>44886</v>
          </cell>
          <cell r="X3455" t="str">
            <v>-</v>
          </cell>
        </row>
        <row r="3456">
          <cell r="K3456" t="str">
            <v>G13030038</v>
          </cell>
          <cell r="L3456" t="str">
            <v>-</v>
          </cell>
          <cell r="M3456">
            <v>44881</v>
          </cell>
          <cell r="N3456">
            <v>44881</v>
          </cell>
          <cell r="O3456">
            <v>44881</v>
          </cell>
          <cell r="P3456">
            <v>44881</v>
          </cell>
          <cell r="Q3456">
            <v>44881</v>
          </cell>
          <cell r="R3456">
            <v>44881</v>
          </cell>
          <cell r="S3456"/>
          <cell r="T3456">
            <v>44881</v>
          </cell>
          <cell r="U3456">
            <v>44882</v>
          </cell>
          <cell r="V3456">
            <v>44882</v>
          </cell>
          <cell r="W3456">
            <v>44886</v>
          </cell>
          <cell r="X3456" t="str">
            <v>-</v>
          </cell>
        </row>
        <row r="3457">
          <cell r="K3457" t="str">
            <v>DBW-2767</v>
          </cell>
          <cell r="L3457">
            <v>44844</v>
          </cell>
          <cell r="M3457">
            <v>44845</v>
          </cell>
          <cell r="N3457">
            <v>44854</v>
          </cell>
          <cell r="O3457">
            <v>44845</v>
          </cell>
          <cell r="P3457">
            <v>44854</v>
          </cell>
          <cell r="Q3457" t="str">
            <v>2022-10-19 → 10/20 오전</v>
          </cell>
          <cell r="R3457" t="str">
            <v>2022-10-19 → 10/20 오전</v>
          </cell>
          <cell r="S3457"/>
          <cell r="T3457">
            <v>44854</v>
          </cell>
          <cell r="U3457">
            <v>44855</v>
          </cell>
          <cell r="V3457">
            <v>44855</v>
          </cell>
          <cell r="W3457">
            <v>44858</v>
          </cell>
          <cell r="X3457">
            <v>41100530</v>
          </cell>
        </row>
        <row r="3458">
          <cell r="K3458" t="str">
            <v>DBW-2768</v>
          </cell>
          <cell r="L3458">
            <v>44844</v>
          </cell>
          <cell r="M3458">
            <v>44845</v>
          </cell>
          <cell r="N3458">
            <v>44854</v>
          </cell>
          <cell r="O3458">
            <v>44845</v>
          </cell>
          <cell r="P3458">
            <v>44854</v>
          </cell>
          <cell r="Q3458" t="str">
            <v>2022-10-19 → 10/20 오전</v>
          </cell>
          <cell r="R3458" t="str">
            <v>2022-10-19 → 10/20 오전</v>
          </cell>
          <cell r="S3458"/>
          <cell r="T3458">
            <v>44854</v>
          </cell>
          <cell r="U3458">
            <v>44855</v>
          </cell>
          <cell r="V3458">
            <v>44855</v>
          </cell>
          <cell r="W3458">
            <v>44858</v>
          </cell>
          <cell r="X3458">
            <v>41100530</v>
          </cell>
        </row>
        <row r="3459">
          <cell r="K3459" t="str">
            <v>DBW-2781</v>
          </cell>
          <cell r="L3459">
            <v>44862</v>
          </cell>
          <cell r="M3459">
            <v>44865</v>
          </cell>
          <cell r="N3459">
            <v>44874</v>
          </cell>
          <cell r="O3459">
            <v>44865</v>
          </cell>
          <cell r="P3459">
            <v>44874</v>
          </cell>
          <cell r="Q3459">
            <v>44874</v>
          </cell>
          <cell r="R3459">
            <v>44874</v>
          </cell>
          <cell r="S3459"/>
          <cell r="T3459">
            <v>44875</v>
          </cell>
          <cell r="U3459">
            <v>44876</v>
          </cell>
          <cell r="V3459">
            <v>44879</v>
          </cell>
          <cell r="W3459">
            <v>44879</v>
          </cell>
          <cell r="X3459">
            <v>41100471</v>
          </cell>
        </row>
        <row r="3460">
          <cell r="K3460" t="str">
            <v>GBWS-2962</v>
          </cell>
          <cell r="L3460">
            <v>44852</v>
          </cell>
          <cell r="M3460">
            <v>44853</v>
          </cell>
          <cell r="N3460">
            <v>44862</v>
          </cell>
          <cell r="O3460">
            <v>44853</v>
          </cell>
          <cell r="P3460">
            <v>44864</v>
          </cell>
          <cell r="Q3460">
            <v>44862</v>
          </cell>
          <cell r="R3460">
            <v>44862</v>
          </cell>
          <cell r="S3460"/>
          <cell r="T3460">
            <v>44865</v>
          </cell>
          <cell r="U3460">
            <v>44866</v>
          </cell>
          <cell r="V3460">
            <v>44866</v>
          </cell>
          <cell r="W3460">
            <v>44867</v>
          </cell>
          <cell r="X3460">
            <v>41100468</v>
          </cell>
        </row>
        <row r="3461">
          <cell r="K3461" t="str">
            <v>GBWS-2963</v>
          </cell>
          <cell r="L3461">
            <v>44852</v>
          </cell>
          <cell r="M3461">
            <v>44853</v>
          </cell>
          <cell r="N3461">
            <v>44862</v>
          </cell>
          <cell r="O3461">
            <v>44853</v>
          </cell>
          <cell r="P3461">
            <v>44864</v>
          </cell>
          <cell r="Q3461">
            <v>44862</v>
          </cell>
          <cell r="R3461">
            <v>44862</v>
          </cell>
          <cell r="S3461"/>
          <cell r="T3461">
            <v>44865</v>
          </cell>
          <cell r="U3461">
            <v>44866</v>
          </cell>
          <cell r="V3461">
            <v>44866</v>
          </cell>
          <cell r="W3461">
            <v>44866</v>
          </cell>
          <cell r="X3461">
            <v>41100468</v>
          </cell>
        </row>
        <row r="3462">
          <cell r="K3462" t="str">
            <v>GBWS-2964</v>
          </cell>
          <cell r="L3462">
            <v>44852</v>
          </cell>
          <cell r="M3462">
            <v>44853</v>
          </cell>
          <cell r="N3462">
            <v>44862</v>
          </cell>
          <cell r="O3462">
            <v>44853</v>
          </cell>
          <cell r="P3462">
            <v>44865</v>
          </cell>
          <cell r="Q3462">
            <v>44862</v>
          </cell>
          <cell r="R3462">
            <v>44862</v>
          </cell>
          <cell r="S3462"/>
          <cell r="T3462">
            <v>44865</v>
          </cell>
          <cell r="U3462">
            <v>44866</v>
          </cell>
          <cell r="V3462">
            <v>44866</v>
          </cell>
          <cell r="W3462">
            <v>44866</v>
          </cell>
          <cell r="X3462">
            <v>41100468</v>
          </cell>
        </row>
        <row r="3463">
          <cell r="K3463" t="str">
            <v>GBWS-2965</v>
          </cell>
          <cell r="L3463">
            <v>44852</v>
          </cell>
          <cell r="M3463">
            <v>44853</v>
          </cell>
          <cell r="N3463">
            <v>44862</v>
          </cell>
          <cell r="O3463">
            <v>44853</v>
          </cell>
          <cell r="P3463">
            <v>44865</v>
          </cell>
          <cell r="Q3463">
            <v>44862</v>
          </cell>
          <cell r="R3463">
            <v>44862</v>
          </cell>
          <cell r="S3463"/>
          <cell r="T3463">
            <v>44865</v>
          </cell>
          <cell r="U3463">
            <v>44866</v>
          </cell>
          <cell r="V3463">
            <v>44866</v>
          </cell>
          <cell r="W3463">
            <v>44866</v>
          </cell>
          <cell r="X3463">
            <v>41100468</v>
          </cell>
        </row>
        <row r="3464">
          <cell r="K3464" t="str">
            <v>GBWS-2980</v>
          </cell>
          <cell r="L3464">
            <v>44868</v>
          </cell>
          <cell r="M3464">
            <v>44869</v>
          </cell>
          <cell r="N3464">
            <v>44880</v>
          </cell>
          <cell r="O3464">
            <v>44869</v>
          </cell>
          <cell r="P3464">
            <v>44880</v>
          </cell>
          <cell r="Q3464">
            <v>44880</v>
          </cell>
          <cell r="R3464">
            <v>44880</v>
          </cell>
          <cell r="S3464"/>
          <cell r="T3464">
            <v>44881</v>
          </cell>
          <cell r="U3464">
            <v>44883</v>
          </cell>
          <cell r="V3464">
            <v>44886</v>
          </cell>
          <cell r="W3464">
            <v>44886</v>
          </cell>
          <cell r="X3464">
            <v>41100511</v>
          </cell>
        </row>
        <row r="3465">
          <cell r="K3465" t="str">
            <v>GBWS-2981</v>
          </cell>
          <cell r="L3465">
            <v>44868</v>
          </cell>
          <cell r="M3465">
            <v>44869</v>
          </cell>
          <cell r="N3465">
            <v>44880</v>
          </cell>
          <cell r="O3465">
            <v>44869</v>
          </cell>
          <cell r="P3465">
            <v>44880</v>
          </cell>
          <cell r="Q3465">
            <v>44880</v>
          </cell>
          <cell r="R3465">
            <v>44880</v>
          </cell>
          <cell r="S3465"/>
          <cell r="T3465">
            <v>44881</v>
          </cell>
          <cell r="U3465">
            <v>44883</v>
          </cell>
          <cell r="V3465">
            <v>44887</v>
          </cell>
          <cell r="W3465">
            <v>44887</v>
          </cell>
          <cell r="X3465">
            <v>41100511</v>
          </cell>
        </row>
        <row r="3466">
          <cell r="K3466" t="str">
            <v>GBWS-2648</v>
          </cell>
          <cell r="L3466">
            <v>44767</v>
          </cell>
          <cell r="M3466">
            <v>44768</v>
          </cell>
          <cell r="N3466">
            <v>44782</v>
          </cell>
          <cell r="O3466">
            <v>44768</v>
          </cell>
          <cell r="P3466">
            <v>44778</v>
          </cell>
          <cell r="Q3466">
            <v>44778</v>
          </cell>
          <cell r="R3466">
            <v>44778</v>
          </cell>
          <cell r="S3466"/>
          <cell r="T3466">
            <v>44782</v>
          </cell>
          <cell r="U3466">
            <v>44785</v>
          </cell>
          <cell r="V3466">
            <v>44791</v>
          </cell>
          <cell r="W3466">
            <v>44791</v>
          </cell>
          <cell r="X3466">
            <v>41100319</v>
          </cell>
        </row>
        <row r="3467">
          <cell r="K3467" t="str">
            <v>IVAS-169</v>
          </cell>
          <cell r="L3467">
            <v>44872</v>
          </cell>
          <cell r="M3467">
            <v>44873</v>
          </cell>
          <cell r="N3467">
            <v>44881</v>
          </cell>
          <cell r="O3467">
            <v>44873</v>
          </cell>
          <cell r="P3467">
            <v>44881</v>
          </cell>
          <cell r="Q3467">
            <v>44881</v>
          </cell>
          <cell r="R3467">
            <v>44881</v>
          </cell>
          <cell r="S3467"/>
          <cell r="T3467">
            <v>44881</v>
          </cell>
          <cell r="U3467">
            <v>44883</v>
          </cell>
          <cell r="V3467">
            <v>44886</v>
          </cell>
          <cell r="W3467">
            <v>44886</v>
          </cell>
          <cell r="X3467">
            <v>41100273</v>
          </cell>
        </row>
        <row r="3468">
          <cell r="K3468" t="str">
            <v>IVAS-171</v>
          </cell>
          <cell r="L3468">
            <v>44872</v>
          </cell>
          <cell r="M3468">
            <v>44873</v>
          </cell>
          <cell r="N3468">
            <v>44882</v>
          </cell>
          <cell r="O3468">
            <v>44873</v>
          </cell>
          <cell r="P3468">
            <v>44882</v>
          </cell>
          <cell r="Q3468">
            <v>44882</v>
          </cell>
          <cell r="R3468">
            <v>44882</v>
          </cell>
          <cell r="S3468"/>
          <cell r="T3468">
            <v>44882</v>
          </cell>
          <cell r="U3468">
            <v>44886</v>
          </cell>
          <cell r="V3468">
            <v>44887</v>
          </cell>
          <cell r="W3468">
            <v>44887</v>
          </cell>
          <cell r="X3468">
            <v>41100414</v>
          </cell>
        </row>
        <row r="3469">
          <cell r="K3469" t="str">
            <v>-</v>
          </cell>
          <cell r="L3469">
            <v>44885</v>
          </cell>
          <cell r="M3469">
            <v>44886</v>
          </cell>
          <cell r="N3469">
            <v>44886</v>
          </cell>
          <cell r="O3469">
            <v>44886</v>
          </cell>
          <cell r="P3469">
            <v>44886</v>
          </cell>
          <cell r="Q3469">
            <v>44889</v>
          </cell>
          <cell r="R3469">
            <v>44889</v>
          </cell>
          <cell r="S3469"/>
          <cell r="T3469">
            <v>44886</v>
          </cell>
          <cell r="U3469">
            <v>44886</v>
          </cell>
          <cell r="V3469">
            <v>44887</v>
          </cell>
          <cell r="W3469">
            <v>44887</v>
          </cell>
          <cell r="X3469">
            <v>31102257</v>
          </cell>
        </row>
        <row r="3470">
          <cell r="K3470" t="str">
            <v>GBWS-2735</v>
          </cell>
          <cell r="L3470">
            <v>44785</v>
          </cell>
          <cell r="M3470">
            <v>44789</v>
          </cell>
          <cell r="N3470">
            <v>44799</v>
          </cell>
          <cell r="O3470">
            <v>44789</v>
          </cell>
          <cell r="P3470">
            <v>44804</v>
          </cell>
          <cell r="Q3470">
            <v>44799</v>
          </cell>
          <cell r="R3470">
            <v>44799</v>
          </cell>
          <cell r="S3470"/>
          <cell r="T3470">
            <v>44802</v>
          </cell>
          <cell r="U3470">
            <v>44805</v>
          </cell>
          <cell r="V3470">
            <v>44806</v>
          </cell>
          <cell r="W3470">
            <v>44806</v>
          </cell>
          <cell r="X3470">
            <v>41100356</v>
          </cell>
        </row>
        <row r="3471">
          <cell r="K3471" t="str">
            <v>GBWS-2894</v>
          </cell>
          <cell r="L3471">
            <v>44833</v>
          </cell>
          <cell r="M3471">
            <v>44834</v>
          </cell>
          <cell r="N3471">
            <v>44853</v>
          </cell>
          <cell r="O3471">
            <v>44834</v>
          </cell>
          <cell r="P3471">
            <v>44852</v>
          </cell>
          <cell r="Q3471" t="str">
            <v>2022-10-13 → 10/17 → 10/18</v>
          </cell>
          <cell r="R3471" t="str">
            <v>2022-10-13 → 10/17 → 10/18</v>
          </cell>
          <cell r="S3471"/>
          <cell r="T3471">
            <v>44854</v>
          </cell>
          <cell r="U3471">
            <v>44855</v>
          </cell>
          <cell r="V3471">
            <v>44855</v>
          </cell>
          <cell r="W3471">
            <v>44858</v>
          </cell>
          <cell r="X3471">
            <v>41100286</v>
          </cell>
        </row>
        <row r="3472">
          <cell r="K3472" t="str">
            <v>GBWS-2925</v>
          </cell>
          <cell r="L3472">
            <v>44840</v>
          </cell>
          <cell r="M3472">
            <v>44841</v>
          </cell>
          <cell r="N3472">
            <v>44858</v>
          </cell>
          <cell r="O3472">
            <v>44841</v>
          </cell>
          <cell r="P3472">
            <v>44858</v>
          </cell>
          <cell r="Q3472" t="str">
            <v>2022-10-17 → 10/20 → 10/24</v>
          </cell>
          <cell r="R3472" t="str">
            <v>2022-10-17 → 10/20 → 10/24</v>
          </cell>
          <cell r="S3472"/>
          <cell r="T3472">
            <v>44859</v>
          </cell>
          <cell r="U3472">
            <v>44860</v>
          </cell>
          <cell r="V3472">
            <v>44860</v>
          </cell>
          <cell r="W3472">
            <v>44861</v>
          </cell>
          <cell r="X3472">
            <v>41100511</v>
          </cell>
        </row>
        <row r="3473">
          <cell r="K3473" t="str">
            <v>GBWS-2926</v>
          </cell>
          <cell r="L3473">
            <v>44840</v>
          </cell>
          <cell r="M3473">
            <v>44841</v>
          </cell>
          <cell r="N3473">
            <v>44858</v>
          </cell>
          <cell r="O3473">
            <v>44841</v>
          </cell>
          <cell r="P3473">
            <v>44858</v>
          </cell>
          <cell r="Q3473" t="str">
            <v>2022-10-17 → 10/20 → 10/24</v>
          </cell>
          <cell r="R3473" t="str">
            <v>2022-10-17 → 10/20 → 10/24</v>
          </cell>
          <cell r="S3473"/>
          <cell r="T3473">
            <v>44859</v>
          </cell>
          <cell r="U3473">
            <v>44860</v>
          </cell>
          <cell r="V3473">
            <v>44860</v>
          </cell>
          <cell r="W3473">
            <v>44861</v>
          </cell>
          <cell r="X3473">
            <v>41100511</v>
          </cell>
        </row>
        <row r="3474">
          <cell r="K3474" t="str">
            <v>GBWS-2938</v>
          </cell>
          <cell r="L3474">
            <v>44845</v>
          </cell>
          <cell r="M3474">
            <v>44846</v>
          </cell>
          <cell r="N3474">
            <v>44859</v>
          </cell>
          <cell r="O3474">
            <v>44846</v>
          </cell>
          <cell r="P3474">
            <v>44860</v>
          </cell>
          <cell r="Q3474" t="str">
            <v>2022-10-21 → 10/26</v>
          </cell>
          <cell r="R3474" t="str">
            <v>2022-10-21 → 10/26</v>
          </cell>
          <cell r="S3474"/>
          <cell r="T3474">
            <v>44860</v>
          </cell>
          <cell r="U3474">
            <v>44862</v>
          </cell>
          <cell r="V3474">
            <v>44865</v>
          </cell>
          <cell r="W3474">
            <v>44865</v>
          </cell>
          <cell r="X3474">
            <v>41100511</v>
          </cell>
        </row>
        <row r="3475">
          <cell r="K3475" t="str">
            <v>GBWS-2939</v>
          </cell>
          <cell r="L3475">
            <v>44845</v>
          </cell>
          <cell r="M3475">
            <v>44846</v>
          </cell>
          <cell r="N3475">
            <v>44859</v>
          </cell>
          <cell r="O3475">
            <v>44846</v>
          </cell>
          <cell r="P3475">
            <v>44860</v>
          </cell>
          <cell r="Q3475" t="str">
            <v>2022-10-21 → 10/26</v>
          </cell>
          <cell r="R3475" t="str">
            <v>2022-10-21 → 10/26</v>
          </cell>
          <cell r="S3475"/>
          <cell r="T3475">
            <v>44860</v>
          </cell>
          <cell r="U3475">
            <v>44862</v>
          </cell>
          <cell r="V3475">
            <v>44865</v>
          </cell>
          <cell r="W3475">
            <v>44865</v>
          </cell>
          <cell r="X3475">
            <v>41100511</v>
          </cell>
        </row>
        <row r="3476">
          <cell r="K3476" t="str">
            <v>DBW-2782</v>
          </cell>
          <cell r="L3476">
            <v>44866</v>
          </cell>
          <cell r="M3476">
            <v>44867</v>
          </cell>
          <cell r="N3476">
            <v>44876</v>
          </cell>
          <cell r="O3476">
            <v>44867</v>
          </cell>
          <cell r="P3476">
            <v>44876</v>
          </cell>
          <cell r="Q3476">
            <v>44876</v>
          </cell>
          <cell r="R3476">
            <v>44876</v>
          </cell>
          <cell r="S3476"/>
          <cell r="T3476">
            <v>44880</v>
          </cell>
          <cell r="U3476">
            <v>44881</v>
          </cell>
          <cell r="V3476">
            <v>44882</v>
          </cell>
          <cell r="W3476">
            <v>44882</v>
          </cell>
          <cell r="X3476">
            <v>41100547</v>
          </cell>
        </row>
        <row r="3477">
          <cell r="K3477" t="str">
            <v>DBW-2783</v>
          </cell>
          <cell r="L3477">
            <v>44866</v>
          </cell>
          <cell r="M3477">
            <v>44867</v>
          </cell>
          <cell r="N3477">
            <v>44876</v>
          </cell>
          <cell r="O3477">
            <v>44867</v>
          </cell>
          <cell r="P3477">
            <v>44876</v>
          </cell>
          <cell r="Q3477">
            <v>44876</v>
          </cell>
          <cell r="R3477">
            <v>44876</v>
          </cell>
          <cell r="S3477"/>
          <cell r="T3477">
            <v>44883</v>
          </cell>
          <cell r="U3477">
            <v>44883</v>
          </cell>
          <cell r="V3477">
            <v>44886</v>
          </cell>
          <cell r="W3477">
            <v>44886</v>
          </cell>
          <cell r="X3477">
            <v>41100547</v>
          </cell>
        </row>
        <row r="3478">
          <cell r="K3478" t="str">
            <v>G13030022</v>
          </cell>
          <cell r="L3478" t="str">
            <v>-</v>
          </cell>
          <cell r="M3478">
            <v>44882</v>
          </cell>
          <cell r="N3478">
            <v>44886</v>
          </cell>
          <cell r="O3478">
            <v>44882</v>
          </cell>
          <cell r="P3478">
            <v>44886</v>
          </cell>
          <cell r="Q3478">
            <v>44886</v>
          </cell>
          <cell r="R3478">
            <v>44886</v>
          </cell>
          <cell r="S3478"/>
          <cell r="T3478">
            <v>44886</v>
          </cell>
          <cell r="U3478">
            <v>44888</v>
          </cell>
          <cell r="V3478">
            <v>44888</v>
          </cell>
          <cell r="W3478">
            <v>44888</v>
          </cell>
          <cell r="X3478" t="str">
            <v>-</v>
          </cell>
        </row>
        <row r="3479">
          <cell r="K3479" t="str">
            <v>G13030020</v>
          </cell>
          <cell r="L3479" t="str">
            <v>-</v>
          </cell>
          <cell r="M3479">
            <v>44882</v>
          </cell>
          <cell r="N3479">
            <v>44886</v>
          </cell>
          <cell r="O3479">
            <v>44882</v>
          </cell>
          <cell r="P3479">
            <v>44886</v>
          </cell>
          <cell r="Q3479">
            <v>44886</v>
          </cell>
          <cell r="R3479">
            <v>44886</v>
          </cell>
          <cell r="S3479"/>
          <cell r="T3479">
            <v>44886</v>
          </cell>
          <cell r="U3479">
            <v>44888</v>
          </cell>
          <cell r="V3479">
            <v>44888</v>
          </cell>
          <cell r="W3479">
            <v>44888</v>
          </cell>
          <cell r="X3479" t="str">
            <v>-</v>
          </cell>
        </row>
        <row r="3480">
          <cell r="K3480" t="str">
            <v xml:space="preserve">G14090009 </v>
          </cell>
          <cell r="L3480" t="str">
            <v>-</v>
          </cell>
          <cell r="M3480">
            <v>44881</v>
          </cell>
          <cell r="N3480">
            <v>44881</v>
          </cell>
          <cell r="O3480">
            <v>44881</v>
          </cell>
          <cell r="P3480">
            <v>44881</v>
          </cell>
          <cell r="Q3480">
            <v>44881</v>
          </cell>
          <cell r="R3480">
            <v>44881</v>
          </cell>
          <cell r="S3480"/>
          <cell r="T3480">
            <v>44881</v>
          </cell>
          <cell r="U3480">
            <v>44882</v>
          </cell>
          <cell r="V3480">
            <v>44882</v>
          </cell>
          <cell r="W3480">
            <v>44889</v>
          </cell>
          <cell r="X3480" t="str">
            <v>-</v>
          </cell>
        </row>
        <row r="3481">
          <cell r="K3481" t="str">
            <v>G14090016</v>
          </cell>
          <cell r="L3481" t="str">
            <v>-</v>
          </cell>
          <cell r="M3481">
            <v>44883</v>
          </cell>
          <cell r="N3481">
            <v>44889</v>
          </cell>
          <cell r="O3481">
            <v>44883</v>
          </cell>
          <cell r="P3481">
            <v>44889</v>
          </cell>
          <cell r="Q3481">
            <v>44887</v>
          </cell>
          <cell r="R3481">
            <v>44887</v>
          </cell>
          <cell r="S3481"/>
          <cell r="T3481">
            <v>44889</v>
          </cell>
          <cell r="U3481">
            <v>44889</v>
          </cell>
          <cell r="V3481">
            <v>44889</v>
          </cell>
          <cell r="W3481">
            <v>44889</v>
          </cell>
          <cell r="X3481" t="str">
            <v>-</v>
          </cell>
        </row>
        <row r="3482">
          <cell r="K3482" t="str">
            <v>G14030004</v>
          </cell>
          <cell r="L3482" t="str">
            <v>-</v>
          </cell>
          <cell r="M3482">
            <v>44883</v>
          </cell>
          <cell r="N3482">
            <v>44889</v>
          </cell>
          <cell r="O3482">
            <v>44883</v>
          </cell>
          <cell r="P3482">
            <v>44889</v>
          </cell>
          <cell r="Q3482">
            <v>44887</v>
          </cell>
          <cell r="R3482">
            <v>44887</v>
          </cell>
          <cell r="S3482"/>
          <cell r="T3482">
            <v>44889</v>
          </cell>
          <cell r="U3482">
            <v>44889</v>
          </cell>
          <cell r="V3482">
            <v>44889</v>
          </cell>
          <cell r="W3482">
            <v>44889</v>
          </cell>
          <cell r="X3482" t="str">
            <v>-</v>
          </cell>
        </row>
        <row r="3483">
          <cell r="K3483" t="str">
            <v>JW-GA1-2102-050</v>
          </cell>
          <cell r="L3483" t="str">
            <v>-</v>
          </cell>
          <cell r="M3483">
            <v>44882</v>
          </cell>
          <cell r="N3483">
            <v>44882</v>
          </cell>
          <cell r="O3483">
            <v>44882</v>
          </cell>
          <cell r="P3483">
            <v>44882</v>
          </cell>
          <cell r="Q3483">
            <v>44882</v>
          </cell>
          <cell r="R3483">
            <v>44882</v>
          </cell>
          <cell r="S3483"/>
          <cell r="T3483">
            <v>44882</v>
          </cell>
          <cell r="U3483">
            <v>44887</v>
          </cell>
          <cell r="V3483">
            <v>44889</v>
          </cell>
          <cell r="W3483">
            <v>44889</v>
          </cell>
          <cell r="X3483" t="str">
            <v>-</v>
          </cell>
        </row>
        <row r="3484">
          <cell r="K3484" t="str">
            <v>JW-GA1-2102-049</v>
          </cell>
          <cell r="L3484" t="str">
            <v>-</v>
          </cell>
          <cell r="M3484">
            <v>44882</v>
          </cell>
          <cell r="N3484">
            <v>44882</v>
          </cell>
          <cell r="O3484">
            <v>44882</v>
          </cell>
          <cell r="P3484">
            <v>44882</v>
          </cell>
          <cell r="Q3484">
            <v>44882</v>
          </cell>
          <cell r="R3484">
            <v>44882</v>
          </cell>
          <cell r="S3484"/>
          <cell r="T3484">
            <v>44882</v>
          </cell>
          <cell r="U3484">
            <v>44887</v>
          </cell>
          <cell r="V3484">
            <v>44889</v>
          </cell>
          <cell r="W3484">
            <v>44889</v>
          </cell>
          <cell r="X3484" t="str">
            <v>-</v>
          </cell>
        </row>
        <row r="3485">
          <cell r="K3485" t="str">
            <v>GBWS-2982</v>
          </cell>
          <cell r="L3485">
            <v>44872</v>
          </cell>
          <cell r="M3485">
            <v>44873</v>
          </cell>
          <cell r="N3485">
            <v>44883</v>
          </cell>
          <cell r="O3485">
            <v>44873</v>
          </cell>
          <cell r="P3485">
            <v>44883</v>
          </cell>
          <cell r="Q3485">
            <v>44883</v>
          </cell>
          <cell r="R3485">
            <v>44883</v>
          </cell>
          <cell r="S3485"/>
          <cell r="T3485">
            <v>44886</v>
          </cell>
          <cell r="U3485">
            <v>44887</v>
          </cell>
          <cell r="V3485">
            <v>44889</v>
          </cell>
          <cell r="W3485">
            <v>44889</v>
          </cell>
          <cell r="X3485">
            <v>41100349</v>
          </cell>
        </row>
        <row r="3486">
          <cell r="K3486" t="str">
            <v>GBWS-2983</v>
          </cell>
          <cell r="L3486">
            <v>44872</v>
          </cell>
          <cell r="M3486">
            <v>44873</v>
          </cell>
          <cell r="N3486">
            <v>44883</v>
          </cell>
          <cell r="O3486">
            <v>44873</v>
          </cell>
          <cell r="P3486">
            <v>44883</v>
          </cell>
          <cell r="Q3486">
            <v>44883</v>
          </cell>
          <cell r="R3486">
            <v>44883</v>
          </cell>
          <cell r="S3486"/>
          <cell r="T3486">
            <v>44886</v>
          </cell>
          <cell r="U3486">
            <v>44887</v>
          </cell>
          <cell r="V3486">
            <v>44889</v>
          </cell>
          <cell r="W3486">
            <v>44889</v>
          </cell>
          <cell r="X3486">
            <v>41100349</v>
          </cell>
        </row>
        <row r="3487">
          <cell r="K3487" t="str">
            <v>GBWS-2984</v>
          </cell>
          <cell r="L3487">
            <v>44872</v>
          </cell>
          <cell r="M3487">
            <v>44873</v>
          </cell>
          <cell r="N3487">
            <v>44883</v>
          </cell>
          <cell r="O3487">
            <v>44873</v>
          </cell>
          <cell r="P3487">
            <v>44883</v>
          </cell>
          <cell r="Q3487">
            <v>44883</v>
          </cell>
          <cell r="R3487">
            <v>44883</v>
          </cell>
          <cell r="S3487"/>
          <cell r="T3487">
            <v>44886</v>
          </cell>
          <cell r="U3487">
            <v>44887</v>
          </cell>
          <cell r="V3487">
            <v>44889</v>
          </cell>
          <cell r="W3487">
            <v>44889</v>
          </cell>
          <cell r="X3487">
            <v>41100349</v>
          </cell>
        </row>
        <row r="3488">
          <cell r="K3488" t="str">
            <v>GBWS-2985</v>
          </cell>
          <cell r="L3488">
            <v>44872</v>
          </cell>
          <cell r="M3488">
            <v>44873</v>
          </cell>
          <cell r="N3488">
            <v>44883</v>
          </cell>
          <cell r="O3488">
            <v>44873</v>
          </cell>
          <cell r="P3488">
            <v>44883</v>
          </cell>
          <cell r="Q3488">
            <v>44883</v>
          </cell>
          <cell r="R3488">
            <v>44883</v>
          </cell>
          <cell r="S3488"/>
          <cell r="T3488">
            <v>44886</v>
          </cell>
          <cell r="U3488">
            <v>44887</v>
          </cell>
          <cell r="V3488">
            <v>44889</v>
          </cell>
          <cell r="W3488">
            <v>44889</v>
          </cell>
          <cell r="X3488">
            <v>41100349</v>
          </cell>
        </row>
        <row r="3489">
          <cell r="K3489" t="str">
            <v>GBWS-2986</v>
          </cell>
          <cell r="L3489">
            <v>44872</v>
          </cell>
          <cell r="M3489">
            <v>44873</v>
          </cell>
          <cell r="N3489">
            <v>44883</v>
          </cell>
          <cell r="O3489">
            <v>44873</v>
          </cell>
          <cell r="P3489">
            <v>44883</v>
          </cell>
          <cell r="Q3489">
            <v>44883</v>
          </cell>
          <cell r="R3489">
            <v>44883</v>
          </cell>
          <cell r="S3489"/>
          <cell r="T3489">
            <v>44886</v>
          </cell>
          <cell r="U3489">
            <v>44887</v>
          </cell>
          <cell r="V3489">
            <v>44889</v>
          </cell>
          <cell r="W3489">
            <v>44889</v>
          </cell>
          <cell r="X3489">
            <v>41100349</v>
          </cell>
        </row>
        <row r="3490">
          <cell r="K3490" t="str">
            <v>GBWS-2987</v>
          </cell>
          <cell r="L3490">
            <v>44872</v>
          </cell>
          <cell r="M3490">
            <v>44873</v>
          </cell>
          <cell r="N3490">
            <v>44883</v>
          </cell>
          <cell r="O3490">
            <v>44873</v>
          </cell>
          <cell r="P3490">
            <v>44883</v>
          </cell>
          <cell r="Q3490">
            <v>44883</v>
          </cell>
          <cell r="R3490">
            <v>44883</v>
          </cell>
          <cell r="S3490"/>
          <cell r="T3490">
            <v>44886</v>
          </cell>
          <cell r="U3490">
            <v>44887</v>
          </cell>
          <cell r="V3490">
            <v>44889</v>
          </cell>
          <cell r="W3490">
            <v>44889</v>
          </cell>
          <cell r="X3490">
            <v>41100349</v>
          </cell>
        </row>
        <row r="3491">
          <cell r="K3491" t="str">
            <v>G1H4010</v>
          </cell>
          <cell r="L3491" t="str">
            <v>-</v>
          </cell>
          <cell r="M3491">
            <v>44876</v>
          </cell>
          <cell r="N3491">
            <v>44876</v>
          </cell>
          <cell r="O3491">
            <v>44876</v>
          </cell>
          <cell r="P3491">
            <v>44876</v>
          </cell>
          <cell r="Q3491">
            <v>44876</v>
          </cell>
          <cell r="R3491">
            <v>44876</v>
          </cell>
          <cell r="S3491"/>
          <cell r="T3491">
            <v>44882</v>
          </cell>
          <cell r="U3491">
            <v>44889</v>
          </cell>
          <cell r="V3491">
            <v>44889</v>
          </cell>
          <cell r="W3491">
            <v>44889</v>
          </cell>
          <cell r="X3491" t="str">
            <v>-</v>
          </cell>
        </row>
        <row r="3492">
          <cell r="K3492" t="str">
            <v>G13030033</v>
          </cell>
          <cell r="L3492" t="str">
            <v>-</v>
          </cell>
          <cell r="M3492">
            <v>44882</v>
          </cell>
          <cell r="N3492">
            <v>44886</v>
          </cell>
          <cell r="O3492">
            <v>44882</v>
          </cell>
          <cell r="P3492">
            <v>44886</v>
          </cell>
          <cell r="Q3492">
            <v>44886</v>
          </cell>
          <cell r="R3492">
            <v>44886</v>
          </cell>
          <cell r="S3492"/>
          <cell r="T3492">
            <v>44886</v>
          </cell>
          <cell r="U3492">
            <v>44889</v>
          </cell>
          <cell r="V3492">
            <v>44893</v>
          </cell>
          <cell r="W3492">
            <v>44893</v>
          </cell>
          <cell r="X3492" t="str">
            <v>-</v>
          </cell>
        </row>
        <row r="3493">
          <cell r="K3493" t="str">
            <v>G14030018</v>
          </cell>
          <cell r="L3493" t="str">
            <v>-</v>
          </cell>
          <cell r="M3493">
            <v>44883</v>
          </cell>
          <cell r="N3493">
            <v>44889</v>
          </cell>
          <cell r="O3493">
            <v>44883</v>
          </cell>
          <cell r="P3493">
            <v>44889</v>
          </cell>
          <cell r="Q3493">
            <v>44887</v>
          </cell>
          <cell r="R3493">
            <v>44887</v>
          </cell>
          <cell r="S3493"/>
          <cell r="T3493">
            <v>44889</v>
          </cell>
          <cell r="U3493">
            <v>44889</v>
          </cell>
          <cell r="V3493">
            <v>44893</v>
          </cell>
          <cell r="W3493">
            <v>44893</v>
          </cell>
          <cell r="X3493" t="str">
            <v>-</v>
          </cell>
        </row>
        <row r="3494">
          <cell r="K3494" t="str">
            <v>G23030001</v>
          </cell>
          <cell r="L3494" t="str">
            <v>-</v>
          </cell>
          <cell r="M3494">
            <v>44876</v>
          </cell>
          <cell r="N3494">
            <v>44876</v>
          </cell>
          <cell r="O3494">
            <v>44876</v>
          </cell>
          <cell r="P3494">
            <v>44876</v>
          </cell>
          <cell r="Q3494">
            <v>44876</v>
          </cell>
          <cell r="R3494">
            <v>44876</v>
          </cell>
          <cell r="S3494"/>
          <cell r="T3494">
            <v>44882</v>
          </cell>
          <cell r="U3494">
            <v>44886</v>
          </cell>
          <cell r="V3494">
            <v>44893</v>
          </cell>
          <cell r="W3494">
            <v>44893</v>
          </cell>
          <cell r="X3494" t="str">
            <v>-</v>
          </cell>
        </row>
        <row r="3495">
          <cell r="K3495" t="str">
            <v>-</v>
          </cell>
          <cell r="L3495">
            <v>44872</v>
          </cell>
          <cell r="M3495">
            <v>44873</v>
          </cell>
          <cell r="N3495">
            <v>44883</v>
          </cell>
          <cell r="O3495">
            <v>44873</v>
          </cell>
          <cell r="P3495">
            <v>44883</v>
          </cell>
          <cell r="Q3495">
            <v>44880</v>
          </cell>
          <cell r="R3495">
            <v>44880</v>
          </cell>
          <cell r="S3495"/>
          <cell r="T3495">
            <v>44890</v>
          </cell>
          <cell r="U3495">
            <v>44893</v>
          </cell>
          <cell r="V3495">
            <v>44893</v>
          </cell>
          <cell r="W3495">
            <v>44893</v>
          </cell>
          <cell r="X3495">
            <v>31102022</v>
          </cell>
        </row>
        <row r="3496">
          <cell r="K3496" t="str">
            <v>-</v>
          </cell>
          <cell r="L3496">
            <v>44866</v>
          </cell>
          <cell r="M3496">
            <v>44867</v>
          </cell>
          <cell r="N3496">
            <v>44872</v>
          </cell>
          <cell r="O3496">
            <v>44867</v>
          </cell>
          <cell r="P3496">
            <v>44872</v>
          </cell>
          <cell r="Q3496">
            <v>44872</v>
          </cell>
          <cell r="R3496">
            <v>44872</v>
          </cell>
          <cell r="S3496"/>
          <cell r="T3496">
            <v>44872</v>
          </cell>
          <cell r="U3496">
            <v>44872</v>
          </cell>
          <cell r="V3496">
            <v>44873</v>
          </cell>
          <cell r="W3496">
            <v>44873</v>
          </cell>
          <cell r="X3496">
            <v>31102473</v>
          </cell>
        </row>
        <row r="3497">
          <cell r="K3497" t="str">
            <v>GBWS-2930</v>
          </cell>
          <cell r="L3497">
            <v>44845</v>
          </cell>
          <cell r="M3497">
            <v>44846</v>
          </cell>
          <cell r="N3497">
            <v>44859</v>
          </cell>
          <cell r="O3497">
            <v>44846</v>
          </cell>
          <cell r="P3497">
            <v>44860</v>
          </cell>
          <cell r="Q3497" t="str">
            <v>2022-10-21 → 10/26</v>
          </cell>
          <cell r="R3497" t="str">
            <v>2022-10-21 → 10/26</v>
          </cell>
          <cell r="S3497"/>
          <cell r="T3497">
            <v>44860</v>
          </cell>
          <cell r="U3497">
            <v>44862</v>
          </cell>
          <cell r="V3497">
            <v>44862</v>
          </cell>
          <cell r="W3497">
            <v>44862</v>
          </cell>
          <cell r="X3497">
            <v>41100511</v>
          </cell>
        </row>
        <row r="3498">
          <cell r="K3498" t="str">
            <v>GBWS-2931</v>
          </cell>
          <cell r="L3498">
            <v>44845</v>
          </cell>
          <cell r="M3498">
            <v>44846</v>
          </cell>
          <cell r="N3498">
            <v>44859</v>
          </cell>
          <cell r="O3498">
            <v>44846</v>
          </cell>
          <cell r="P3498">
            <v>44860</v>
          </cell>
          <cell r="Q3498" t="str">
            <v>2022-10-21 → 10/26</v>
          </cell>
          <cell r="R3498" t="str">
            <v>2022-10-21 → 10/26</v>
          </cell>
          <cell r="S3498"/>
          <cell r="T3498">
            <v>44860</v>
          </cell>
          <cell r="U3498">
            <v>44862</v>
          </cell>
          <cell r="V3498">
            <v>44862</v>
          </cell>
          <cell r="W3498">
            <v>44862</v>
          </cell>
          <cell r="X3498">
            <v>41100511</v>
          </cell>
        </row>
        <row r="3499">
          <cell r="K3499" t="str">
            <v>GBWS-2990</v>
          </cell>
          <cell r="L3499">
            <v>44872</v>
          </cell>
          <cell r="M3499">
            <v>44873</v>
          </cell>
          <cell r="N3499">
            <v>44883</v>
          </cell>
          <cell r="O3499">
            <v>44873</v>
          </cell>
          <cell r="P3499">
            <v>44886</v>
          </cell>
          <cell r="Q3499">
            <v>44883</v>
          </cell>
          <cell r="R3499">
            <v>44883</v>
          </cell>
          <cell r="S3499"/>
          <cell r="T3499">
            <v>44886</v>
          </cell>
          <cell r="U3499">
            <v>44887</v>
          </cell>
          <cell r="V3499">
            <v>44889</v>
          </cell>
          <cell r="W3499">
            <v>44889</v>
          </cell>
          <cell r="X3499">
            <v>41100349</v>
          </cell>
        </row>
        <row r="3500">
          <cell r="K3500" t="str">
            <v>GBWS-2991</v>
          </cell>
          <cell r="L3500">
            <v>44872</v>
          </cell>
          <cell r="M3500">
            <v>44873</v>
          </cell>
          <cell r="N3500">
            <v>44883</v>
          </cell>
          <cell r="O3500">
            <v>44873</v>
          </cell>
          <cell r="P3500">
            <v>44886</v>
          </cell>
          <cell r="Q3500">
            <v>44883</v>
          </cell>
          <cell r="R3500">
            <v>44883</v>
          </cell>
          <cell r="S3500"/>
          <cell r="T3500">
            <v>44886</v>
          </cell>
          <cell r="U3500">
            <v>44887</v>
          </cell>
          <cell r="V3500">
            <v>44889</v>
          </cell>
          <cell r="W3500">
            <v>44889</v>
          </cell>
          <cell r="X3500">
            <v>41100349</v>
          </cell>
        </row>
        <row r="3501">
          <cell r="K3501" t="str">
            <v>GBWS-2988</v>
          </cell>
          <cell r="L3501">
            <v>44872</v>
          </cell>
          <cell r="M3501">
            <v>44873</v>
          </cell>
          <cell r="N3501">
            <v>44883</v>
          </cell>
          <cell r="O3501">
            <v>44873</v>
          </cell>
          <cell r="P3501">
            <v>44883</v>
          </cell>
          <cell r="Q3501">
            <v>44883</v>
          </cell>
          <cell r="R3501">
            <v>44883</v>
          </cell>
          <cell r="S3501"/>
          <cell r="T3501">
            <v>44886</v>
          </cell>
          <cell r="U3501">
            <v>44887</v>
          </cell>
          <cell r="V3501">
            <v>44889</v>
          </cell>
          <cell r="W3501">
            <v>44889</v>
          </cell>
          <cell r="X3501">
            <v>41100349</v>
          </cell>
        </row>
        <row r="3502">
          <cell r="K3502" t="str">
            <v>GBWS-2989</v>
          </cell>
          <cell r="L3502">
            <v>44872</v>
          </cell>
          <cell r="M3502">
            <v>44873</v>
          </cell>
          <cell r="N3502">
            <v>44883</v>
          </cell>
          <cell r="O3502">
            <v>44873</v>
          </cell>
          <cell r="P3502">
            <v>44883</v>
          </cell>
          <cell r="Q3502">
            <v>44883</v>
          </cell>
          <cell r="R3502">
            <v>44883</v>
          </cell>
          <cell r="S3502"/>
          <cell r="T3502">
            <v>44886</v>
          </cell>
          <cell r="U3502">
            <v>44887</v>
          </cell>
          <cell r="V3502">
            <v>44889</v>
          </cell>
          <cell r="W3502">
            <v>44889</v>
          </cell>
          <cell r="X3502">
            <v>41100349</v>
          </cell>
        </row>
        <row r="3503">
          <cell r="K3503" t="str">
            <v>GBWS-2992</v>
          </cell>
          <cell r="L3503">
            <v>44872</v>
          </cell>
          <cell r="M3503">
            <v>44873</v>
          </cell>
          <cell r="N3503">
            <v>44883</v>
          </cell>
          <cell r="O3503">
            <v>44873</v>
          </cell>
          <cell r="P3503">
            <v>44886</v>
          </cell>
          <cell r="Q3503">
            <v>44889</v>
          </cell>
          <cell r="R3503">
            <v>44889</v>
          </cell>
          <cell r="S3503"/>
          <cell r="T3503">
            <v>44888</v>
          </cell>
          <cell r="U3503">
            <v>44889</v>
          </cell>
          <cell r="V3503">
            <v>44890</v>
          </cell>
          <cell r="W3503">
            <v>44890</v>
          </cell>
          <cell r="X3503">
            <v>41100349</v>
          </cell>
        </row>
        <row r="3504">
          <cell r="K3504" t="str">
            <v>GBWS-2993</v>
          </cell>
          <cell r="L3504">
            <v>44872</v>
          </cell>
          <cell r="M3504">
            <v>44873</v>
          </cell>
          <cell r="N3504">
            <v>44883</v>
          </cell>
          <cell r="O3504">
            <v>44873</v>
          </cell>
          <cell r="P3504">
            <v>44886</v>
          </cell>
          <cell r="Q3504">
            <v>44889</v>
          </cell>
          <cell r="R3504">
            <v>44889</v>
          </cell>
          <cell r="S3504"/>
          <cell r="T3504">
            <v>44888</v>
          </cell>
          <cell r="U3504">
            <v>44889</v>
          </cell>
          <cell r="V3504">
            <v>44890</v>
          </cell>
          <cell r="W3504">
            <v>44890</v>
          </cell>
          <cell r="X3504">
            <v>41100349</v>
          </cell>
        </row>
        <row r="3505">
          <cell r="K3505" t="str">
            <v>DBW-2791</v>
          </cell>
          <cell r="L3505">
            <v>44874</v>
          </cell>
          <cell r="M3505" t="str">
            <v>2022-11-23 → 11/10</v>
          </cell>
          <cell r="N3505">
            <v>44887</v>
          </cell>
          <cell r="O3505" t="str">
            <v>2022-11-23 → 11/10</v>
          </cell>
          <cell r="P3505">
            <v>44887</v>
          </cell>
          <cell r="Q3505" t="str">
            <v>2022-12-02 → 11/18</v>
          </cell>
          <cell r="R3505" t="str">
            <v>2022-12-02 → 11/18</v>
          </cell>
          <cell r="S3505"/>
          <cell r="T3505">
            <v>44888</v>
          </cell>
          <cell r="U3505">
            <v>44889</v>
          </cell>
          <cell r="V3505">
            <v>44889</v>
          </cell>
          <cell r="W3505">
            <v>44890</v>
          </cell>
          <cell r="X3505">
            <v>41100530</v>
          </cell>
        </row>
        <row r="3506">
          <cell r="K3506" t="str">
            <v>DBW-2792</v>
          </cell>
          <cell r="L3506">
            <v>44874</v>
          </cell>
          <cell r="M3506" t="str">
            <v>2022-11-23 → 11/10</v>
          </cell>
          <cell r="N3506">
            <v>44887</v>
          </cell>
          <cell r="O3506" t="str">
            <v>2022-11-23 → 11/10</v>
          </cell>
          <cell r="P3506">
            <v>44887</v>
          </cell>
          <cell r="Q3506" t="str">
            <v>2022-12-02 → 11/18</v>
          </cell>
          <cell r="R3506" t="str">
            <v>2022-12-02 → 11/18</v>
          </cell>
          <cell r="S3506"/>
          <cell r="T3506">
            <v>44888</v>
          </cell>
          <cell r="U3506">
            <v>44889</v>
          </cell>
          <cell r="V3506">
            <v>44889</v>
          </cell>
          <cell r="W3506">
            <v>44890</v>
          </cell>
          <cell r="X3506">
            <v>41100530</v>
          </cell>
        </row>
        <row r="3507">
          <cell r="K3507" t="str">
            <v>DBW-2790</v>
          </cell>
          <cell r="L3507">
            <v>44874</v>
          </cell>
          <cell r="M3507" t="str">
            <v>2022-11-22 → 11/10</v>
          </cell>
          <cell r="N3507">
            <v>44887</v>
          </cell>
          <cell r="O3507" t="str">
            <v>2022-11-22 → 11/10</v>
          </cell>
          <cell r="P3507">
            <v>44887</v>
          </cell>
          <cell r="Q3507" t="str">
            <v>2022-12-02 → 11/21</v>
          </cell>
          <cell r="R3507" t="str">
            <v>2022-12-02 → 11/21</v>
          </cell>
          <cell r="S3507"/>
          <cell r="T3507">
            <v>44888</v>
          </cell>
          <cell r="U3507">
            <v>44889</v>
          </cell>
          <cell r="V3507">
            <v>44889</v>
          </cell>
          <cell r="W3507">
            <v>44890</v>
          </cell>
          <cell r="X3507">
            <v>41100480</v>
          </cell>
        </row>
        <row r="3508">
          <cell r="K3508" t="str">
            <v>IVAS-168</v>
          </cell>
          <cell r="L3508">
            <v>44879</v>
          </cell>
          <cell r="M3508" t="str">
            <v>2022-10-11 → 11/15</v>
          </cell>
          <cell r="N3508">
            <v>44893</v>
          </cell>
          <cell r="O3508" t="str">
            <v>2022-10-11 → 11/15</v>
          </cell>
          <cell r="P3508">
            <v>44893</v>
          </cell>
          <cell r="Q3508" t="str">
            <v>2022-10-24 → 11/23</v>
          </cell>
          <cell r="R3508" t="str">
            <v>2022-10-24 → 11/23</v>
          </cell>
          <cell r="S3508"/>
          <cell r="T3508">
            <v>44893</v>
          </cell>
          <cell r="U3508">
            <v>44895</v>
          </cell>
          <cell r="V3508">
            <v>44895</v>
          </cell>
          <cell r="W3508">
            <v>44895</v>
          </cell>
          <cell r="X3508">
            <v>41000475</v>
          </cell>
        </row>
        <row r="3509">
          <cell r="K3509" t="str">
            <v>IVAS-172</v>
          </cell>
          <cell r="L3509">
            <v>44879</v>
          </cell>
          <cell r="M3509">
            <v>44880</v>
          </cell>
          <cell r="N3509">
            <v>44889</v>
          </cell>
          <cell r="O3509">
            <v>44880</v>
          </cell>
          <cell r="P3509">
            <v>44889</v>
          </cell>
          <cell r="Q3509">
            <v>44888</v>
          </cell>
          <cell r="R3509">
            <v>44888</v>
          </cell>
          <cell r="S3509"/>
          <cell r="T3509">
            <v>44889</v>
          </cell>
          <cell r="U3509">
            <v>44895</v>
          </cell>
          <cell r="V3509">
            <v>44895</v>
          </cell>
          <cell r="W3509">
            <v>44895</v>
          </cell>
          <cell r="X3509">
            <v>41100572</v>
          </cell>
        </row>
        <row r="3510">
          <cell r="K3510" t="str">
            <v>GBWS-3002</v>
          </cell>
          <cell r="L3510">
            <v>44879</v>
          </cell>
          <cell r="M3510">
            <v>44879</v>
          </cell>
          <cell r="N3510">
            <v>44886</v>
          </cell>
          <cell r="O3510">
            <v>44879</v>
          </cell>
          <cell r="P3510">
            <v>44887</v>
          </cell>
          <cell r="Q3510">
            <v>44888</v>
          </cell>
          <cell r="R3510">
            <v>44888</v>
          </cell>
          <cell r="S3510"/>
          <cell r="T3510">
            <v>44889</v>
          </cell>
          <cell r="U3510">
            <v>44890</v>
          </cell>
          <cell r="V3510">
            <v>44893</v>
          </cell>
          <cell r="W3510">
            <v>44893</v>
          </cell>
          <cell r="X3510">
            <v>41100524</v>
          </cell>
        </row>
        <row r="3511">
          <cell r="K3511" t="str">
            <v>G12030007</v>
          </cell>
          <cell r="L3511" t="str">
            <v>-</v>
          </cell>
          <cell r="M3511">
            <v>44893</v>
          </cell>
          <cell r="N3511">
            <v>44895</v>
          </cell>
          <cell r="O3511">
            <v>44893</v>
          </cell>
          <cell r="P3511">
            <v>44895</v>
          </cell>
          <cell r="Q3511">
            <v>44893</v>
          </cell>
          <cell r="R3511">
            <v>44893</v>
          </cell>
          <cell r="S3511"/>
          <cell r="T3511">
            <v>44895</v>
          </cell>
          <cell r="U3511">
            <v>44895</v>
          </cell>
          <cell r="V3511">
            <v>44895</v>
          </cell>
          <cell r="W3511">
            <v>44895</v>
          </cell>
          <cell r="X3511" t="str">
            <v>-</v>
          </cell>
        </row>
        <row r="3512">
          <cell r="K3512" t="str">
            <v>G13090008</v>
          </cell>
          <cell r="L3512" t="str">
            <v>-</v>
          </cell>
          <cell r="M3512">
            <v>44893</v>
          </cell>
          <cell r="N3512">
            <v>44895</v>
          </cell>
          <cell r="O3512">
            <v>44893</v>
          </cell>
          <cell r="P3512">
            <v>44895</v>
          </cell>
          <cell r="Q3512">
            <v>44893</v>
          </cell>
          <cell r="R3512">
            <v>44893</v>
          </cell>
          <cell r="S3512"/>
          <cell r="T3512">
            <v>44895</v>
          </cell>
          <cell r="U3512">
            <v>44895</v>
          </cell>
          <cell r="V3512">
            <v>44895</v>
          </cell>
          <cell r="W3512">
            <v>44895</v>
          </cell>
          <cell r="X3512" t="str">
            <v>-</v>
          </cell>
        </row>
        <row r="3513">
          <cell r="K3513" t="str">
            <v>GBWS-3004</v>
          </cell>
          <cell r="L3513">
            <v>44879</v>
          </cell>
          <cell r="M3513">
            <v>44879</v>
          </cell>
          <cell r="N3513">
            <v>44891</v>
          </cell>
          <cell r="O3513">
            <v>44879</v>
          </cell>
          <cell r="P3513">
            <v>44889</v>
          </cell>
          <cell r="Q3513" t="str">
            <v>2022-11-24 → 11/25</v>
          </cell>
          <cell r="R3513" t="str">
            <v>2022-11-24 → 11/25</v>
          </cell>
          <cell r="S3513"/>
          <cell r="T3513">
            <v>44893</v>
          </cell>
          <cell r="U3513">
            <v>44894</v>
          </cell>
          <cell r="V3513">
            <v>44895</v>
          </cell>
          <cell r="W3513">
            <v>44895</v>
          </cell>
          <cell r="X3513">
            <v>41100296</v>
          </cell>
        </row>
        <row r="3514">
          <cell r="K3514" t="str">
            <v>GBWS-3005</v>
          </cell>
          <cell r="L3514">
            <v>44879</v>
          </cell>
          <cell r="M3514">
            <v>44879</v>
          </cell>
          <cell r="N3514">
            <v>44891</v>
          </cell>
          <cell r="O3514">
            <v>44879</v>
          </cell>
          <cell r="P3514">
            <v>44889</v>
          </cell>
          <cell r="Q3514" t="str">
            <v>2022-11-24 → 11/25</v>
          </cell>
          <cell r="R3514" t="str">
            <v>2022-11-24 → 11/25</v>
          </cell>
          <cell r="S3514"/>
          <cell r="T3514">
            <v>44893</v>
          </cell>
          <cell r="U3514">
            <v>44894</v>
          </cell>
          <cell r="V3514">
            <v>44895</v>
          </cell>
          <cell r="W3514">
            <v>44895</v>
          </cell>
          <cell r="X3514">
            <v>41100296</v>
          </cell>
        </row>
        <row r="3515">
          <cell r="K3515" t="str">
            <v>GBWS-2994</v>
          </cell>
          <cell r="L3515">
            <v>44872</v>
          </cell>
          <cell r="M3515">
            <v>44873</v>
          </cell>
          <cell r="N3515">
            <v>44883</v>
          </cell>
          <cell r="O3515">
            <v>44873</v>
          </cell>
          <cell r="P3515">
            <v>44886</v>
          </cell>
          <cell r="Q3515">
            <v>44889</v>
          </cell>
          <cell r="R3515">
            <v>44889</v>
          </cell>
          <cell r="S3515"/>
          <cell r="T3515">
            <v>44888</v>
          </cell>
          <cell r="U3515">
            <v>44890</v>
          </cell>
          <cell r="V3515">
            <v>44893</v>
          </cell>
          <cell r="W3515">
            <v>44893</v>
          </cell>
          <cell r="X3515">
            <v>41100349</v>
          </cell>
        </row>
        <row r="3516">
          <cell r="K3516" t="str">
            <v>GBWS-2995</v>
          </cell>
          <cell r="L3516">
            <v>44872</v>
          </cell>
          <cell r="M3516">
            <v>44873</v>
          </cell>
          <cell r="N3516">
            <v>44883</v>
          </cell>
          <cell r="O3516">
            <v>44873</v>
          </cell>
          <cell r="P3516">
            <v>44886</v>
          </cell>
          <cell r="Q3516">
            <v>44889</v>
          </cell>
          <cell r="R3516">
            <v>44889</v>
          </cell>
          <cell r="S3516"/>
          <cell r="T3516">
            <v>44888</v>
          </cell>
          <cell r="U3516">
            <v>44890</v>
          </cell>
          <cell r="V3516">
            <v>44893</v>
          </cell>
          <cell r="W3516">
            <v>44893</v>
          </cell>
          <cell r="X3516">
            <v>41100349</v>
          </cell>
        </row>
        <row r="3517">
          <cell r="K3517" t="str">
            <v>GBWS-2996</v>
          </cell>
          <cell r="L3517">
            <v>44872</v>
          </cell>
          <cell r="M3517">
            <v>44873</v>
          </cell>
          <cell r="N3517">
            <v>44883</v>
          </cell>
          <cell r="O3517">
            <v>44873</v>
          </cell>
          <cell r="P3517">
            <v>44886</v>
          </cell>
          <cell r="Q3517">
            <v>44889</v>
          </cell>
          <cell r="R3517">
            <v>44889</v>
          </cell>
          <cell r="S3517"/>
          <cell r="T3517">
            <v>44888</v>
          </cell>
          <cell r="U3517">
            <v>44889</v>
          </cell>
          <cell r="V3517">
            <v>44890</v>
          </cell>
          <cell r="W3517">
            <v>44890</v>
          </cell>
          <cell r="X3517">
            <v>41100349</v>
          </cell>
        </row>
        <row r="3518">
          <cell r="K3518" t="str">
            <v>GBWS-2997</v>
          </cell>
          <cell r="L3518">
            <v>44872</v>
          </cell>
          <cell r="M3518">
            <v>44873</v>
          </cell>
          <cell r="N3518">
            <v>44883</v>
          </cell>
          <cell r="O3518">
            <v>44873</v>
          </cell>
          <cell r="P3518">
            <v>44886</v>
          </cell>
          <cell r="Q3518">
            <v>44889</v>
          </cell>
          <cell r="R3518">
            <v>44889</v>
          </cell>
          <cell r="S3518"/>
          <cell r="T3518">
            <v>44888</v>
          </cell>
          <cell r="U3518">
            <v>44890</v>
          </cell>
          <cell r="V3518">
            <v>44893</v>
          </cell>
          <cell r="W3518">
            <v>44893</v>
          </cell>
          <cell r="X3518">
            <v>41100349</v>
          </cell>
        </row>
        <row r="3519">
          <cell r="K3519" t="str">
            <v>G13030028</v>
          </cell>
          <cell r="L3519" t="str">
            <v>-</v>
          </cell>
          <cell r="M3519">
            <v>44893</v>
          </cell>
          <cell r="N3519">
            <v>44893</v>
          </cell>
          <cell r="O3519">
            <v>44893</v>
          </cell>
          <cell r="P3519">
            <v>44893</v>
          </cell>
          <cell r="Q3519">
            <v>44893</v>
          </cell>
          <cell r="R3519">
            <v>44893</v>
          </cell>
          <cell r="S3519"/>
          <cell r="T3519">
            <v>44893</v>
          </cell>
          <cell r="U3519">
            <v>44896</v>
          </cell>
          <cell r="V3519">
            <v>44896</v>
          </cell>
          <cell r="W3519">
            <v>44896</v>
          </cell>
          <cell r="X3519" t="str">
            <v>-</v>
          </cell>
        </row>
        <row r="3520">
          <cell r="K3520" t="str">
            <v>G13030037</v>
          </cell>
          <cell r="L3520" t="str">
            <v>-</v>
          </cell>
          <cell r="M3520">
            <v>44893</v>
          </cell>
          <cell r="N3520">
            <v>44895</v>
          </cell>
          <cell r="O3520">
            <v>44893</v>
          </cell>
          <cell r="P3520">
            <v>44895</v>
          </cell>
          <cell r="Q3520">
            <v>44893</v>
          </cell>
          <cell r="R3520">
            <v>44893</v>
          </cell>
          <cell r="S3520"/>
          <cell r="T3520">
            <v>44895</v>
          </cell>
          <cell r="U3520">
            <v>44896</v>
          </cell>
          <cell r="V3520">
            <v>44896</v>
          </cell>
          <cell r="W3520">
            <v>44896</v>
          </cell>
          <cell r="X3520" t="str">
            <v>-</v>
          </cell>
        </row>
        <row r="3521">
          <cell r="K3521" t="str">
            <v xml:space="preserve">G14090025 </v>
          </cell>
          <cell r="L3521" t="str">
            <v>-</v>
          </cell>
          <cell r="M3521">
            <v>44896</v>
          </cell>
          <cell r="N3521">
            <v>44896</v>
          </cell>
          <cell r="O3521">
            <v>44896</v>
          </cell>
          <cell r="P3521">
            <v>44896</v>
          </cell>
          <cell r="Q3521">
            <v>44896</v>
          </cell>
          <cell r="R3521">
            <v>44896</v>
          </cell>
          <cell r="S3521"/>
          <cell r="T3521">
            <v>44896</v>
          </cell>
          <cell r="U3521">
            <v>44896</v>
          </cell>
          <cell r="V3521">
            <v>44896</v>
          </cell>
          <cell r="W3521">
            <v>44896</v>
          </cell>
          <cell r="X3521" t="str">
            <v>-</v>
          </cell>
        </row>
        <row r="3522">
          <cell r="K3522" t="str">
            <v>GBWS-2892</v>
          </cell>
          <cell r="L3522">
            <v>44879</v>
          </cell>
          <cell r="M3522">
            <v>44880</v>
          </cell>
          <cell r="N3522">
            <v>44893</v>
          </cell>
          <cell r="O3522">
            <v>44880</v>
          </cell>
          <cell r="P3522">
            <v>44893</v>
          </cell>
          <cell r="Q3522">
            <v>44893</v>
          </cell>
          <cell r="R3522">
            <v>44893</v>
          </cell>
          <cell r="S3522"/>
          <cell r="T3522">
            <v>44894</v>
          </cell>
          <cell r="U3522">
            <v>44895</v>
          </cell>
          <cell r="V3522">
            <v>44895</v>
          </cell>
          <cell r="W3522">
            <v>44896</v>
          </cell>
          <cell r="X3522">
            <v>41100386</v>
          </cell>
        </row>
        <row r="3523">
          <cell r="K3523" t="str">
            <v>DBW-2786</v>
          </cell>
          <cell r="L3523">
            <v>44873</v>
          </cell>
          <cell r="M3523">
            <v>44874</v>
          </cell>
          <cell r="N3523">
            <v>44883</v>
          </cell>
          <cell r="O3523">
            <v>44874</v>
          </cell>
          <cell r="P3523">
            <v>44883</v>
          </cell>
          <cell r="Q3523">
            <v>44883</v>
          </cell>
          <cell r="R3523">
            <v>44883</v>
          </cell>
          <cell r="S3523"/>
          <cell r="T3523">
            <v>44886</v>
          </cell>
          <cell r="U3523">
            <v>44888</v>
          </cell>
          <cell r="V3523">
            <v>44888</v>
          </cell>
          <cell r="W3523">
            <v>44888</v>
          </cell>
          <cell r="X3523">
            <v>41100470</v>
          </cell>
        </row>
        <row r="3524">
          <cell r="K3524" t="str">
            <v>DBW-2787</v>
          </cell>
          <cell r="L3524">
            <v>44873</v>
          </cell>
          <cell r="M3524">
            <v>44874</v>
          </cell>
          <cell r="N3524">
            <v>44883</v>
          </cell>
          <cell r="O3524">
            <v>44874</v>
          </cell>
          <cell r="P3524">
            <v>44883</v>
          </cell>
          <cell r="Q3524">
            <v>44883</v>
          </cell>
          <cell r="R3524">
            <v>44883</v>
          </cell>
          <cell r="S3524"/>
          <cell r="T3524">
            <v>44886</v>
          </cell>
          <cell r="U3524">
            <v>44888</v>
          </cell>
          <cell r="V3524">
            <v>44888</v>
          </cell>
          <cell r="W3524">
            <v>44888</v>
          </cell>
          <cell r="X3524">
            <v>41100470</v>
          </cell>
        </row>
        <row r="3525">
          <cell r="K3525" t="str">
            <v>DBW-2788</v>
          </cell>
          <cell r="L3525">
            <v>44873</v>
          </cell>
          <cell r="M3525">
            <v>44874</v>
          </cell>
          <cell r="N3525">
            <v>44887</v>
          </cell>
          <cell r="O3525">
            <v>44874</v>
          </cell>
          <cell r="P3525">
            <v>44887</v>
          </cell>
          <cell r="Q3525">
            <v>44883</v>
          </cell>
          <cell r="R3525">
            <v>44883</v>
          </cell>
          <cell r="S3525"/>
          <cell r="T3525">
            <v>44888</v>
          </cell>
          <cell r="U3525">
            <v>44889</v>
          </cell>
          <cell r="V3525">
            <v>44889</v>
          </cell>
          <cell r="W3525">
            <v>44890</v>
          </cell>
          <cell r="X3525">
            <v>41100470</v>
          </cell>
        </row>
        <row r="3526">
          <cell r="K3526" t="str">
            <v>DBW-2789</v>
          </cell>
          <cell r="L3526">
            <v>44873</v>
          </cell>
          <cell r="M3526">
            <v>44874</v>
          </cell>
          <cell r="N3526">
            <v>44887</v>
          </cell>
          <cell r="O3526">
            <v>44874</v>
          </cell>
          <cell r="P3526">
            <v>44887</v>
          </cell>
          <cell r="Q3526">
            <v>44883</v>
          </cell>
          <cell r="R3526">
            <v>44883</v>
          </cell>
          <cell r="S3526"/>
          <cell r="T3526">
            <v>44888</v>
          </cell>
          <cell r="U3526">
            <v>44889</v>
          </cell>
          <cell r="V3526">
            <v>44889</v>
          </cell>
          <cell r="W3526">
            <v>44890</v>
          </cell>
          <cell r="X3526">
            <v>41100470</v>
          </cell>
        </row>
        <row r="3527">
          <cell r="K3527" t="str">
            <v>GBWS-3006</v>
          </cell>
          <cell r="L3527">
            <v>44879</v>
          </cell>
          <cell r="M3527">
            <v>44879</v>
          </cell>
          <cell r="N3527">
            <v>44891</v>
          </cell>
          <cell r="O3527">
            <v>44879</v>
          </cell>
          <cell r="P3527">
            <v>44889</v>
          </cell>
          <cell r="Q3527" t="str">
            <v>2022-11-24 → 11/25</v>
          </cell>
          <cell r="R3527" t="str">
            <v>2022-11-24 → 11/25</v>
          </cell>
          <cell r="S3527"/>
          <cell r="T3527">
            <v>44893</v>
          </cell>
          <cell r="U3527">
            <v>44894</v>
          </cell>
          <cell r="V3527">
            <v>44895</v>
          </cell>
          <cell r="W3527">
            <v>44895</v>
          </cell>
          <cell r="X3527">
            <v>41100296</v>
          </cell>
        </row>
        <row r="3528">
          <cell r="K3528" t="str">
            <v>GBWS-3007</v>
          </cell>
          <cell r="L3528">
            <v>44879</v>
          </cell>
          <cell r="M3528">
            <v>44879</v>
          </cell>
          <cell r="N3528">
            <v>44891</v>
          </cell>
          <cell r="O3528">
            <v>44879</v>
          </cell>
          <cell r="P3528">
            <v>44889</v>
          </cell>
          <cell r="Q3528" t="str">
            <v>2022-11-24 → 11/25</v>
          </cell>
          <cell r="R3528" t="str">
            <v>2022-11-24 → 11/25</v>
          </cell>
          <cell r="S3528"/>
          <cell r="T3528">
            <v>44893</v>
          </cell>
          <cell r="U3528">
            <v>44894</v>
          </cell>
          <cell r="V3528">
            <v>44895</v>
          </cell>
          <cell r="W3528">
            <v>44895</v>
          </cell>
          <cell r="X3528">
            <v>41100296</v>
          </cell>
        </row>
        <row r="3529">
          <cell r="K3529" t="str">
            <v>GBWS-3008</v>
          </cell>
          <cell r="L3529">
            <v>44879</v>
          </cell>
          <cell r="M3529">
            <v>44879</v>
          </cell>
          <cell r="N3529">
            <v>44891</v>
          </cell>
          <cell r="O3529">
            <v>44879</v>
          </cell>
          <cell r="P3529">
            <v>44889</v>
          </cell>
          <cell r="Q3529">
            <v>44890</v>
          </cell>
          <cell r="R3529">
            <v>44890</v>
          </cell>
          <cell r="S3529"/>
          <cell r="T3529">
            <v>44893</v>
          </cell>
          <cell r="U3529">
            <v>44894</v>
          </cell>
          <cell r="V3529">
            <v>44895</v>
          </cell>
          <cell r="W3529">
            <v>44895</v>
          </cell>
          <cell r="X3529">
            <v>41100296</v>
          </cell>
        </row>
        <row r="3530">
          <cell r="K3530" t="str">
            <v>GBWS-3009</v>
          </cell>
          <cell r="L3530">
            <v>44879</v>
          </cell>
          <cell r="M3530">
            <v>44879</v>
          </cell>
          <cell r="N3530">
            <v>44891</v>
          </cell>
          <cell r="O3530">
            <v>44879</v>
          </cell>
          <cell r="P3530">
            <v>44889</v>
          </cell>
          <cell r="Q3530">
            <v>44890</v>
          </cell>
          <cell r="R3530">
            <v>44890</v>
          </cell>
          <cell r="S3530"/>
          <cell r="T3530">
            <v>44893</v>
          </cell>
          <cell r="U3530">
            <v>44894</v>
          </cell>
          <cell r="V3530">
            <v>44895</v>
          </cell>
          <cell r="W3530">
            <v>44895</v>
          </cell>
          <cell r="X3530">
            <v>41100296</v>
          </cell>
        </row>
        <row r="3531">
          <cell r="K3531" t="str">
            <v>GBWS-3010</v>
          </cell>
          <cell r="L3531">
            <v>44879</v>
          </cell>
          <cell r="M3531">
            <v>44879</v>
          </cell>
          <cell r="N3531">
            <v>44891</v>
          </cell>
          <cell r="O3531">
            <v>44879</v>
          </cell>
          <cell r="P3531">
            <v>44889</v>
          </cell>
          <cell r="Q3531">
            <v>44890</v>
          </cell>
          <cell r="R3531">
            <v>44890</v>
          </cell>
          <cell r="S3531"/>
          <cell r="T3531">
            <v>44893</v>
          </cell>
          <cell r="U3531">
            <v>44894</v>
          </cell>
          <cell r="V3531">
            <v>44895</v>
          </cell>
          <cell r="W3531">
            <v>44895</v>
          </cell>
          <cell r="X3531">
            <v>41100296</v>
          </cell>
        </row>
        <row r="3532">
          <cell r="K3532" t="str">
            <v>GBWS-3011</v>
          </cell>
          <cell r="L3532">
            <v>44879</v>
          </cell>
          <cell r="M3532">
            <v>44879</v>
          </cell>
          <cell r="N3532">
            <v>44891</v>
          </cell>
          <cell r="O3532">
            <v>44879</v>
          </cell>
          <cell r="P3532">
            <v>44889</v>
          </cell>
          <cell r="Q3532">
            <v>44890</v>
          </cell>
          <cell r="R3532">
            <v>44890</v>
          </cell>
          <cell r="S3532"/>
          <cell r="T3532">
            <v>44893</v>
          </cell>
          <cell r="U3532">
            <v>44894</v>
          </cell>
          <cell r="V3532">
            <v>44895</v>
          </cell>
          <cell r="W3532">
            <v>44895</v>
          </cell>
          <cell r="X3532">
            <v>41100296</v>
          </cell>
        </row>
        <row r="3533">
          <cell r="K3533" t="str">
            <v>GBWS-2927</v>
          </cell>
          <cell r="L3533">
            <v>44840</v>
          </cell>
          <cell r="M3533">
            <v>44841</v>
          </cell>
          <cell r="N3533">
            <v>44859</v>
          </cell>
          <cell r="O3533">
            <v>44841</v>
          </cell>
          <cell r="P3533">
            <v>44860</v>
          </cell>
          <cell r="Q3533" t="str">
            <v>2022-10-19 → 10/21 → 10/25</v>
          </cell>
          <cell r="R3533" t="str">
            <v>2022-10-19 → 10/21 → 10/25</v>
          </cell>
          <cell r="S3533"/>
          <cell r="T3533">
            <v>44860</v>
          </cell>
          <cell r="U3533">
            <v>44861</v>
          </cell>
          <cell r="V3533">
            <v>44865</v>
          </cell>
          <cell r="W3533">
            <v>44865</v>
          </cell>
          <cell r="X3533">
            <v>41100386</v>
          </cell>
        </row>
        <row r="3534">
          <cell r="K3534"/>
          <cell r="L3534">
            <v>44885</v>
          </cell>
          <cell r="M3534">
            <v>44886</v>
          </cell>
          <cell r="N3534">
            <v>44893</v>
          </cell>
          <cell r="O3534">
            <v>44886</v>
          </cell>
          <cell r="P3534">
            <v>44890</v>
          </cell>
          <cell r="Q3534">
            <v>44893</v>
          </cell>
          <cell r="R3534">
            <v>44893</v>
          </cell>
          <cell r="S3534"/>
          <cell r="T3534">
            <v>44894</v>
          </cell>
          <cell r="U3534">
            <v>44897</v>
          </cell>
          <cell r="V3534">
            <v>44897</v>
          </cell>
          <cell r="W3534">
            <v>44897</v>
          </cell>
          <cell r="X3534">
            <v>41100617</v>
          </cell>
        </row>
        <row r="3535">
          <cell r="K3535" t="str">
            <v>GBWS-2924</v>
          </cell>
          <cell r="L3535">
            <v>44879</v>
          </cell>
          <cell r="M3535">
            <v>44880</v>
          </cell>
          <cell r="N3535">
            <v>44893</v>
          </cell>
          <cell r="O3535">
            <v>44880</v>
          </cell>
          <cell r="P3535">
            <v>44893</v>
          </cell>
          <cell r="Q3535">
            <v>44893</v>
          </cell>
          <cell r="R3535">
            <v>44893</v>
          </cell>
          <cell r="S3535"/>
          <cell r="T3535">
            <v>44894</v>
          </cell>
          <cell r="U3535">
            <v>44895</v>
          </cell>
          <cell r="V3535">
            <v>44896</v>
          </cell>
          <cell r="W3535">
            <v>44896</v>
          </cell>
          <cell r="X3535">
            <v>41100507</v>
          </cell>
        </row>
        <row r="3536">
          <cell r="K3536" t="str">
            <v>G1H3016</v>
          </cell>
          <cell r="L3536">
            <v>44872</v>
          </cell>
          <cell r="M3536">
            <v>44873</v>
          </cell>
          <cell r="N3536">
            <v>44879</v>
          </cell>
          <cell r="O3536">
            <v>44873</v>
          </cell>
          <cell r="P3536">
            <v>44879</v>
          </cell>
          <cell r="Q3536">
            <v>44879</v>
          </cell>
          <cell r="R3536">
            <v>44879</v>
          </cell>
          <cell r="S3536"/>
          <cell r="T3536">
            <v>44881</v>
          </cell>
          <cell r="U3536">
            <v>44882</v>
          </cell>
          <cell r="V3536">
            <v>44883</v>
          </cell>
          <cell r="W3536">
            <v>44883</v>
          </cell>
          <cell r="X3536" t="str">
            <v>-</v>
          </cell>
        </row>
        <row r="3537">
          <cell r="K3537" t="str">
            <v>G13030011</v>
          </cell>
          <cell r="L3537" t="str">
            <v>-</v>
          </cell>
          <cell r="M3537">
            <v>44881</v>
          </cell>
          <cell r="N3537">
            <v>44881</v>
          </cell>
          <cell r="O3537">
            <v>44881</v>
          </cell>
          <cell r="P3537">
            <v>44881</v>
          </cell>
          <cell r="Q3537">
            <v>44881</v>
          </cell>
          <cell r="R3537">
            <v>44881</v>
          </cell>
          <cell r="S3537"/>
          <cell r="T3537">
            <v>44881</v>
          </cell>
          <cell r="U3537">
            <v>44882</v>
          </cell>
          <cell r="V3537">
            <v>44882</v>
          </cell>
          <cell r="W3537">
            <v>44886</v>
          </cell>
          <cell r="X3537" t="str">
            <v>-</v>
          </cell>
        </row>
        <row r="3538">
          <cell r="K3538" t="str">
            <v>G1H3008</v>
          </cell>
          <cell r="L3538" t="str">
            <v>-</v>
          </cell>
          <cell r="M3538">
            <v>44896</v>
          </cell>
          <cell r="N3538">
            <v>44896</v>
          </cell>
          <cell r="O3538">
            <v>44896</v>
          </cell>
          <cell r="P3538">
            <v>44896</v>
          </cell>
          <cell r="Q3538">
            <v>44896</v>
          </cell>
          <cell r="R3538">
            <v>44896</v>
          </cell>
          <cell r="S3538"/>
          <cell r="T3538">
            <v>44896</v>
          </cell>
          <cell r="U3538">
            <v>44900</v>
          </cell>
          <cell r="V3538">
            <v>44900</v>
          </cell>
          <cell r="W3538">
            <v>44900</v>
          </cell>
          <cell r="X3538" t="str">
            <v>-</v>
          </cell>
        </row>
        <row r="3539">
          <cell r="K3539" t="str">
            <v>GBWS-3012</v>
          </cell>
          <cell r="L3539">
            <v>44879</v>
          </cell>
          <cell r="M3539">
            <v>44879</v>
          </cell>
          <cell r="N3539">
            <v>44891</v>
          </cell>
          <cell r="O3539">
            <v>44879</v>
          </cell>
          <cell r="P3539">
            <v>44889</v>
          </cell>
          <cell r="Q3539">
            <v>44890</v>
          </cell>
          <cell r="R3539">
            <v>44890</v>
          </cell>
          <cell r="S3539"/>
          <cell r="T3539">
            <v>44894</v>
          </cell>
          <cell r="U3539">
            <v>44895</v>
          </cell>
          <cell r="V3539">
            <v>44895</v>
          </cell>
          <cell r="W3539">
            <v>44896</v>
          </cell>
          <cell r="X3539">
            <v>41100296</v>
          </cell>
        </row>
        <row r="3540">
          <cell r="K3540" t="str">
            <v>GBWS-3013</v>
          </cell>
          <cell r="L3540">
            <v>44879</v>
          </cell>
          <cell r="M3540">
            <v>44879</v>
          </cell>
          <cell r="N3540">
            <v>44891</v>
          </cell>
          <cell r="O3540">
            <v>44879</v>
          </cell>
          <cell r="P3540">
            <v>44889</v>
          </cell>
          <cell r="Q3540">
            <v>44890</v>
          </cell>
          <cell r="R3540">
            <v>44890</v>
          </cell>
          <cell r="S3540"/>
          <cell r="T3540">
            <v>44894</v>
          </cell>
          <cell r="U3540">
            <v>44895</v>
          </cell>
          <cell r="V3540">
            <v>44895</v>
          </cell>
          <cell r="W3540">
            <v>44896</v>
          </cell>
          <cell r="X3540">
            <v>41100296</v>
          </cell>
        </row>
        <row r="3541">
          <cell r="K3541" t="str">
            <v>GBWS-3014</v>
          </cell>
          <cell r="L3541">
            <v>44879</v>
          </cell>
          <cell r="M3541">
            <v>44879</v>
          </cell>
          <cell r="N3541">
            <v>44891</v>
          </cell>
          <cell r="O3541">
            <v>44879</v>
          </cell>
          <cell r="P3541">
            <v>44889</v>
          </cell>
          <cell r="Q3541">
            <v>44890</v>
          </cell>
          <cell r="R3541">
            <v>44890</v>
          </cell>
          <cell r="S3541"/>
          <cell r="T3541">
            <v>44895</v>
          </cell>
          <cell r="U3541">
            <v>44895</v>
          </cell>
          <cell r="V3541">
            <v>44896</v>
          </cell>
          <cell r="W3541">
            <v>44896</v>
          </cell>
          <cell r="X3541">
            <v>41100296</v>
          </cell>
        </row>
        <row r="3542">
          <cell r="K3542" t="str">
            <v>GBWS-3015</v>
          </cell>
          <cell r="L3542">
            <v>44879</v>
          </cell>
          <cell r="M3542">
            <v>44879</v>
          </cell>
          <cell r="N3542">
            <v>44891</v>
          </cell>
          <cell r="O3542">
            <v>44879</v>
          </cell>
          <cell r="P3542">
            <v>44889</v>
          </cell>
          <cell r="Q3542">
            <v>44890</v>
          </cell>
          <cell r="R3542">
            <v>44890</v>
          </cell>
          <cell r="S3542"/>
          <cell r="T3542">
            <v>44894</v>
          </cell>
          <cell r="U3542">
            <v>44895</v>
          </cell>
          <cell r="V3542">
            <v>44896</v>
          </cell>
          <cell r="W3542">
            <v>44897</v>
          </cell>
          <cell r="X3542">
            <v>41100296</v>
          </cell>
        </row>
        <row r="3543">
          <cell r="K3543" t="str">
            <v>GBWS-3016</v>
          </cell>
          <cell r="L3543">
            <v>44879</v>
          </cell>
          <cell r="M3543">
            <v>44879</v>
          </cell>
          <cell r="N3543">
            <v>44891</v>
          </cell>
          <cell r="O3543">
            <v>44879</v>
          </cell>
          <cell r="P3543">
            <v>44889</v>
          </cell>
          <cell r="Q3543">
            <v>44890</v>
          </cell>
          <cell r="R3543">
            <v>44890</v>
          </cell>
          <cell r="S3543"/>
          <cell r="T3543">
            <v>44894</v>
          </cell>
          <cell r="U3543">
            <v>44895</v>
          </cell>
          <cell r="V3543">
            <v>44896</v>
          </cell>
          <cell r="W3543">
            <v>44896</v>
          </cell>
          <cell r="X3543">
            <v>41100296</v>
          </cell>
        </row>
        <row r="3544">
          <cell r="K3544" t="str">
            <v>GBWS-3017</v>
          </cell>
          <cell r="L3544">
            <v>44879</v>
          </cell>
          <cell r="M3544">
            <v>44879</v>
          </cell>
          <cell r="N3544">
            <v>44891</v>
          </cell>
          <cell r="O3544">
            <v>44879</v>
          </cell>
          <cell r="P3544">
            <v>44889</v>
          </cell>
          <cell r="Q3544">
            <v>44890</v>
          </cell>
          <cell r="R3544">
            <v>44890</v>
          </cell>
          <cell r="S3544"/>
          <cell r="T3544">
            <v>44894</v>
          </cell>
          <cell r="U3544">
            <v>44895</v>
          </cell>
          <cell r="V3544">
            <v>44895</v>
          </cell>
          <cell r="W3544">
            <v>44896</v>
          </cell>
          <cell r="X3544">
            <v>41100296</v>
          </cell>
        </row>
        <row r="3545">
          <cell r="K3545" t="str">
            <v>GBWS-3018</v>
          </cell>
          <cell r="L3545">
            <v>44879</v>
          </cell>
          <cell r="M3545">
            <v>44880</v>
          </cell>
          <cell r="N3545">
            <v>44894</v>
          </cell>
          <cell r="O3545">
            <v>44880</v>
          </cell>
          <cell r="P3545">
            <v>44893</v>
          </cell>
          <cell r="Q3545" t="str">
            <v>2022-11-25 → 11/28</v>
          </cell>
          <cell r="R3545" t="str">
            <v>2022-11-25 → 11/28</v>
          </cell>
          <cell r="S3545"/>
          <cell r="T3545">
            <v>44895</v>
          </cell>
          <cell r="U3545">
            <v>44896</v>
          </cell>
          <cell r="V3545">
            <v>44897</v>
          </cell>
          <cell r="W3545">
            <v>44897</v>
          </cell>
          <cell r="X3545">
            <v>41100511</v>
          </cell>
        </row>
        <row r="3546">
          <cell r="K3546" t="str">
            <v>GBWS-3019</v>
          </cell>
          <cell r="L3546">
            <v>44879</v>
          </cell>
          <cell r="M3546">
            <v>44880</v>
          </cell>
          <cell r="N3546">
            <v>44894</v>
          </cell>
          <cell r="O3546">
            <v>44880</v>
          </cell>
          <cell r="P3546">
            <v>44893</v>
          </cell>
          <cell r="Q3546" t="str">
            <v>2022-11-25 → 11/28</v>
          </cell>
          <cell r="R3546" t="str">
            <v>2022-11-25 → 11/28</v>
          </cell>
          <cell r="S3546"/>
          <cell r="T3546">
            <v>44895</v>
          </cell>
          <cell r="U3546">
            <v>44896</v>
          </cell>
          <cell r="V3546">
            <v>44896</v>
          </cell>
          <cell r="W3546">
            <v>44897</v>
          </cell>
          <cell r="X3546">
            <v>41100511</v>
          </cell>
        </row>
        <row r="3547">
          <cell r="K3547" t="str">
            <v>GBWS-3020</v>
          </cell>
          <cell r="L3547">
            <v>44879</v>
          </cell>
          <cell r="M3547">
            <v>44880</v>
          </cell>
          <cell r="N3547">
            <v>44894</v>
          </cell>
          <cell r="O3547">
            <v>44880</v>
          </cell>
          <cell r="P3547">
            <v>44893</v>
          </cell>
          <cell r="Q3547" t="str">
            <v>2022-11-25 → 11/28</v>
          </cell>
          <cell r="R3547" t="str">
            <v>2022-11-25 → 11/28</v>
          </cell>
          <cell r="S3547"/>
          <cell r="T3547">
            <v>44895</v>
          </cell>
          <cell r="U3547">
            <v>44896</v>
          </cell>
          <cell r="V3547">
            <v>44900</v>
          </cell>
          <cell r="W3547">
            <v>44900</v>
          </cell>
          <cell r="X3547">
            <v>41100511</v>
          </cell>
        </row>
        <row r="3548">
          <cell r="K3548" t="str">
            <v>GBWS-3021</v>
          </cell>
          <cell r="L3548">
            <v>44879</v>
          </cell>
          <cell r="M3548">
            <v>44880</v>
          </cell>
          <cell r="N3548">
            <v>44894</v>
          </cell>
          <cell r="O3548">
            <v>44880</v>
          </cell>
          <cell r="P3548">
            <v>44893</v>
          </cell>
          <cell r="Q3548" t="str">
            <v>2022-11-25 → 11/28</v>
          </cell>
          <cell r="R3548" t="str">
            <v>2022-11-25 → 11/28</v>
          </cell>
          <cell r="S3548"/>
          <cell r="T3548">
            <v>44895</v>
          </cell>
          <cell r="U3548">
            <v>44896</v>
          </cell>
          <cell r="V3548">
            <v>44897</v>
          </cell>
          <cell r="W3548">
            <v>44897</v>
          </cell>
          <cell r="X3548">
            <v>41100511</v>
          </cell>
        </row>
        <row r="3549">
          <cell r="K3549" t="str">
            <v>GBWS-3022</v>
          </cell>
          <cell r="L3549">
            <v>44879</v>
          </cell>
          <cell r="M3549">
            <v>44880</v>
          </cell>
          <cell r="N3549">
            <v>44894</v>
          </cell>
          <cell r="O3549">
            <v>44880</v>
          </cell>
          <cell r="P3549">
            <v>44893</v>
          </cell>
          <cell r="Q3549" t="str">
            <v>2022-11-25 → 11/28</v>
          </cell>
          <cell r="R3549" t="str">
            <v>2022-11-25 → 11/28</v>
          </cell>
          <cell r="S3549"/>
          <cell r="T3549">
            <v>44895</v>
          </cell>
          <cell r="U3549">
            <v>44896</v>
          </cell>
          <cell r="V3549">
            <v>44897</v>
          </cell>
          <cell r="W3549">
            <v>44897</v>
          </cell>
          <cell r="X3549">
            <v>41100511</v>
          </cell>
        </row>
        <row r="3550">
          <cell r="K3550" t="str">
            <v>GBWS-3023</v>
          </cell>
          <cell r="L3550">
            <v>44879</v>
          </cell>
          <cell r="M3550">
            <v>44880</v>
          </cell>
          <cell r="N3550">
            <v>44894</v>
          </cell>
          <cell r="O3550">
            <v>44880</v>
          </cell>
          <cell r="P3550">
            <v>44893</v>
          </cell>
          <cell r="Q3550" t="str">
            <v>2022-11-25 → 11/28</v>
          </cell>
          <cell r="R3550" t="str">
            <v>2022-11-25 → 11/28</v>
          </cell>
          <cell r="S3550"/>
          <cell r="T3550">
            <v>44895</v>
          </cell>
          <cell r="U3550">
            <v>44896</v>
          </cell>
          <cell r="V3550">
            <v>44896</v>
          </cell>
          <cell r="W3550">
            <v>44897</v>
          </cell>
          <cell r="X3550">
            <v>41100511</v>
          </cell>
        </row>
        <row r="3551">
          <cell r="K3551" t="str">
            <v>DBW-2784</v>
          </cell>
          <cell r="L3551">
            <v>44873</v>
          </cell>
          <cell r="M3551">
            <v>44874</v>
          </cell>
          <cell r="N3551">
            <v>44883</v>
          </cell>
          <cell r="O3551">
            <v>44874</v>
          </cell>
          <cell r="P3551">
            <v>44883</v>
          </cell>
          <cell r="Q3551">
            <v>44883</v>
          </cell>
          <cell r="R3551">
            <v>44883</v>
          </cell>
          <cell r="S3551"/>
          <cell r="T3551">
            <v>44886</v>
          </cell>
          <cell r="U3551">
            <v>44888</v>
          </cell>
          <cell r="V3551">
            <v>44888</v>
          </cell>
          <cell r="W3551">
            <v>44888</v>
          </cell>
          <cell r="X3551">
            <v>41100472</v>
          </cell>
        </row>
        <row r="3552">
          <cell r="K3552" t="str">
            <v>DBW-2785</v>
          </cell>
          <cell r="L3552">
            <v>44873</v>
          </cell>
          <cell r="M3552">
            <v>44874</v>
          </cell>
          <cell r="N3552">
            <v>44883</v>
          </cell>
          <cell r="O3552">
            <v>44874</v>
          </cell>
          <cell r="P3552">
            <v>44883</v>
          </cell>
          <cell r="Q3552">
            <v>44883</v>
          </cell>
          <cell r="R3552">
            <v>44883</v>
          </cell>
          <cell r="S3552"/>
          <cell r="T3552">
            <v>44886</v>
          </cell>
          <cell r="U3552">
            <v>44888</v>
          </cell>
          <cell r="V3552">
            <v>44888</v>
          </cell>
          <cell r="W3552">
            <v>44888</v>
          </cell>
          <cell r="X3552">
            <v>41100472</v>
          </cell>
        </row>
        <row r="3553">
          <cell r="K3553" t="str">
            <v>GBWS-2978</v>
          </cell>
          <cell r="L3553">
            <v>44868</v>
          </cell>
          <cell r="M3553">
            <v>44869</v>
          </cell>
          <cell r="N3553">
            <v>44879</v>
          </cell>
          <cell r="O3553">
            <v>44869</v>
          </cell>
          <cell r="P3553">
            <v>44880</v>
          </cell>
          <cell r="Q3553">
            <v>44880</v>
          </cell>
          <cell r="R3553">
            <v>44880</v>
          </cell>
          <cell r="S3553"/>
          <cell r="T3553">
            <v>44881</v>
          </cell>
          <cell r="U3553">
            <v>44883</v>
          </cell>
          <cell r="V3553">
            <v>44886</v>
          </cell>
          <cell r="W3553">
            <v>44886</v>
          </cell>
          <cell r="X3553">
            <v>41100468</v>
          </cell>
        </row>
        <row r="3554">
          <cell r="K3554" t="str">
            <v>GBWS-2979</v>
          </cell>
          <cell r="L3554">
            <v>44868</v>
          </cell>
          <cell r="M3554">
            <v>44869</v>
          </cell>
          <cell r="N3554">
            <v>44879</v>
          </cell>
          <cell r="O3554">
            <v>44869</v>
          </cell>
          <cell r="P3554">
            <v>44880</v>
          </cell>
          <cell r="Q3554">
            <v>44880</v>
          </cell>
          <cell r="R3554">
            <v>44880</v>
          </cell>
          <cell r="S3554"/>
          <cell r="T3554">
            <v>44881</v>
          </cell>
          <cell r="U3554">
            <v>44883</v>
          </cell>
          <cell r="V3554">
            <v>44886</v>
          </cell>
          <cell r="W3554">
            <v>44886</v>
          </cell>
          <cell r="X3554">
            <v>41100468</v>
          </cell>
        </row>
        <row r="3555">
          <cell r="K3555" t="str">
            <v>IVAS-170</v>
          </cell>
          <cell r="L3555">
            <v>44872</v>
          </cell>
          <cell r="M3555">
            <v>44873</v>
          </cell>
          <cell r="N3555">
            <v>44887</v>
          </cell>
          <cell r="O3555">
            <v>44873</v>
          </cell>
          <cell r="P3555">
            <v>44887</v>
          </cell>
          <cell r="Q3555" t="str">
            <v>2022-11-16 → 11/25</v>
          </cell>
          <cell r="R3555" t="str">
            <v>2022-11-16 → 11/25</v>
          </cell>
          <cell r="S3555"/>
          <cell r="T3555">
            <v>44889</v>
          </cell>
          <cell r="U3555">
            <v>44895</v>
          </cell>
          <cell r="V3555">
            <v>44900</v>
          </cell>
          <cell r="W3555">
            <v>44900</v>
          </cell>
          <cell r="X3555">
            <v>41100557</v>
          </cell>
        </row>
        <row r="3556">
          <cell r="K3556" t="str">
            <v>IVAS-173</v>
          </cell>
          <cell r="L3556">
            <v>44886</v>
          </cell>
          <cell r="M3556">
            <v>44887</v>
          </cell>
          <cell r="N3556">
            <v>44897</v>
          </cell>
          <cell r="O3556">
            <v>44887</v>
          </cell>
          <cell r="P3556">
            <v>44896</v>
          </cell>
          <cell r="Q3556">
            <v>44896</v>
          </cell>
          <cell r="R3556">
            <v>44896</v>
          </cell>
          <cell r="S3556"/>
          <cell r="T3556">
            <v>44897</v>
          </cell>
          <cell r="U3556">
            <v>44902</v>
          </cell>
          <cell r="V3556">
            <v>44902</v>
          </cell>
          <cell r="W3556">
            <v>44902</v>
          </cell>
          <cell r="X3556">
            <v>41100548</v>
          </cell>
        </row>
        <row r="3557">
          <cell r="K3557" t="str">
            <v>DBW-2675</v>
          </cell>
          <cell r="L3557">
            <v>44733</v>
          </cell>
          <cell r="M3557">
            <v>44734</v>
          </cell>
          <cell r="N3557">
            <v>44767</v>
          </cell>
          <cell r="O3557">
            <v>44734</v>
          </cell>
          <cell r="P3557">
            <v>44767</v>
          </cell>
          <cell r="Q3557">
            <v>44764</v>
          </cell>
          <cell r="R3557">
            <v>44764</v>
          </cell>
          <cell r="S3557"/>
          <cell r="T3557">
            <v>44900</v>
          </cell>
          <cell r="U3557">
            <v>44901</v>
          </cell>
          <cell r="V3557">
            <v>44902</v>
          </cell>
          <cell r="W3557">
            <v>44902</v>
          </cell>
          <cell r="X3557" t="str">
            <v>41100075 → 41100609</v>
          </cell>
        </row>
        <row r="3558">
          <cell r="K3558" t="str">
            <v>DBW-2699</v>
          </cell>
          <cell r="L3558">
            <v>44763</v>
          </cell>
          <cell r="M3558">
            <v>44763</v>
          </cell>
          <cell r="N3558">
            <v>44783</v>
          </cell>
          <cell r="O3558">
            <v>44763</v>
          </cell>
          <cell r="P3558">
            <v>44774</v>
          </cell>
          <cell r="Q3558">
            <v>44771</v>
          </cell>
          <cell r="R3558">
            <v>44771</v>
          </cell>
          <cell r="S3558"/>
          <cell r="T3558">
            <v>44774</v>
          </cell>
          <cell r="U3558">
            <v>44784</v>
          </cell>
          <cell r="V3558">
            <v>44789</v>
          </cell>
          <cell r="W3558">
            <v>44789</v>
          </cell>
          <cell r="X3558">
            <v>41100465</v>
          </cell>
        </row>
        <row r="3559">
          <cell r="K3559" t="str">
            <v>DBW-2700</v>
          </cell>
          <cell r="L3559">
            <v>44763</v>
          </cell>
          <cell r="M3559">
            <v>44763</v>
          </cell>
          <cell r="N3559">
            <v>44783</v>
          </cell>
          <cell r="O3559">
            <v>44763</v>
          </cell>
          <cell r="P3559">
            <v>44774</v>
          </cell>
          <cell r="Q3559">
            <v>44771</v>
          </cell>
          <cell r="R3559">
            <v>44771</v>
          </cell>
          <cell r="S3559"/>
          <cell r="T3559">
            <v>44774</v>
          </cell>
          <cell r="U3559">
            <v>44784</v>
          </cell>
          <cell r="V3559">
            <v>44789</v>
          </cell>
          <cell r="W3559">
            <v>44789</v>
          </cell>
          <cell r="X3559">
            <v>41100465</v>
          </cell>
        </row>
        <row r="3560">
          <cell r="K3560" t="str">
            <v>GBWS-2906</v>
          </cell>
          <cell r="L3560">
            <v>44838</v>
          </cell>
          <cell r="M3560">
            <v>44839</v>
          </cell>
          <cell r="N3560">
            <v>44857</v>
          </cell>
          <cell r="O3560">
            <v>44839</v>
          </cell>
          <cell r="P3560">
            <v>44858</v>
          </cell>
          <cell r="Q3560" t="str">
            <v>2022-10-14 → 10/18 → 10/22 → 10/25</v>
          </cell>
          <cell r="R3560" t="str">
            <v>2022-10-14 → 10/18 → 10/22 → 10/25</v>
          </cell>
          <cell r="S3560"/>
          <cell r="T3560">
            <v>44859</v>
          </cell>
          <cell r="U3560">
            <v>44860</v>
          </cell>
          <cell r="V3560">
            <v>44861</v>
          </cell>
          <cell r="W3560">
            <v>44861</v>
          </cell>
          <cell r="X3560">
            <v>41100468</v>
          </cell>
        </row>
        <row r="3561">
          <cell r="K3561" t="str">
            <v>GBWS-2907</v>
          </cell>
          <cell r="L3561">
            <v>44838</v>
          </cell>
          <cell r="M3561">
            <v>44839</v>
          </cell>
          <cell r="N3561">
            <v>44857</v>
          </cell>
          <cell r="O3561">
            <v>44839</v>
          </cell>
          <cell r="P3561">
            <v>44858</v>
          </cell>
          <cell r="Q3561" t="str">
            <v>2022-10-14 → 10/18 → 10/22 → 10/25</v>
          </cell>
          <cell r="R3561" t="str">
            <v>2022-10-14 → 10/18 → 10/22 → 10/25</v>
          </cell>
          <cell r="S3561"/>
          <cell r="T3561">
            <v>44859</v>
          </cell>
          <cell r="U3561">
            <v>44860</v>
          </cell>
          <cell r="V3561">
            <v>44861</v>
          </cell>
          <cell r="W3561">
            <v>44861</v>
          </cell>
          <cell r="X3561">
            <v>41100468</v>
          </cell>
        </row>
        <row r="3562">
          <cell r="K3562" t="str">
            <v>GBWS-2910</v>
          </cell>
          <cell r="L3562">
            <v>44839</v>
          </cell>
          <cell r="M3562">
            <v>44840</v>
          </cell>
          <cell r="N3562">
            <v>44855</v>
          </cell>
          <cell r="O3562">
            <v>44840</v>
          </cell>
          <cell r="P3562">
            <v>44855</v>
          </cell>
          <cell r="Q3562" t="str">
            <v>2022-10-14 → 10/18 → 10/21</v>
          </cell>
          <cell r="R3562" t="str">
            <v>2022-10-14 → 10/18 → 10/21</v>
          </cell>
          <cell r="S3562"/>
          <cell r="T3562">
            <v>44855</v>
          </cell>
          <cell r="U3562">
            <v>44858</v>
          </cell>
          <cell r="V3562">
            <v>44858</v>
          </cell>
          <cell r="W3562">
            <v>44858</v>
          </cell>
          <cell r="X3562">
            <v>41100582</v>
          </cell>
        </row>
        <row r="3563">
          <cell r="K3563" t="str">
            <v>GBWS-2972</v>
          </cell>
          <cell r="L3563">
            <v>44868</v>
          </cell>
          <cell r="M3563">
            <v>44868</v>
          </cell>
          <cell r="N3563">
            <v>44880</v>
          </cell>
          <cell r="O3563">
            <v>44868</v>
          </cell>
          <cell r="P3563">
            <v>44880</v>
          </cell>
          <cell r="Q3563">
            <v>44880</v>
          </cell>
          <cell r="R3563">
            <v>44880</v>
          </cell>
          <cell r="S3563"/>
          <cell r="T3563">
            <v>44886</v>
          </cell>
          <cell r="U3563">
            <v>44888</v>
          </cell>
          <cell r="V3563">
            <v>44889</v>
          </cell>
          <cell r="W3563">
            <v>44889</v>
          </cell>
          <cell r="X3563">
            <v>41100350</v>
          </cell>
        </row>
        <row r="3564">
          <cell r="K3564" t="str">
            <v>GBWS-2869</v>
          </cell>
          <cell r="L3564">
            <v>44872</v>
          </cell>
          <cell r="M3564">
            <v>44873</v>
          </cell>
          <cell r="N3564">
            <v>44883</v>
          </cell>
          <cell r="O3564">
            <v>44873</v>
          </cell>
          <cell r="P3564">
            <v>44882</v>
          </cell>
          <cell r="Q3564">
            <v>44886</v>
          </cell>
          <cell r="R3564">
            <v>44886</v>
          </cell>
          <cell r="S3564"/>
          <cell r="T3564">
            <v>44889</v>
          </cell>
          <cell r="U3564">
            <v>44893</v>
          </cell>
          <cell r="V3564">
            <v>44894</v>
          </cell>
          <cell r="W3564">
            <v>44894</v>
          </cell>
          <cell r="X3564">
            <v>41100462</v>
          </cell>
        </row>
        <row r="3565">
          <cell r="K3565" t="str">
            <v>SOS-0281</v>
          </cell>
          <cell r="L3565">
            <v>44817</v>
          </cell>
          <cell r="M3565">
            <v>44818</v>
          </cell>
          <cell r="N3565">
            <v>44823</v>
          </cell>
          <cell r="O3565">
            <v>44818</v>
          </cell>
          <cell r="P3565">
            <v>44824</v>
          </cell>
          <cell r="Q3565">
            <v>44820</v>
          </cell>
          <cell r="R3565">
            <v>44820</v>
          </cell>
          <cell r="S3565"/>
          <cell r="T3565">
            <v>44823</v>
          </cell>
          <cell r="U3565">
            <v>44825</v>
          </cell>
          <cell r="V3565">
            <v>44827</v>
          </cell>
          <cell r="W3565">
            <v>44827</v>
          </cell>
          <cell r="X3565">
            <v>41100182</v>
          </cell>
        </row>
        <row r="3566">
          <cell r="K3566" t="str">
            <v>SOS-0283</v>
          </cell>
          <cell r="L3566">
            <v>44823</v>
          </cell>
          <cell r="M3566">
            <v>44824</v>
          </cell>
          <cell r="N3566">
            <v>44826</v>
          </cell>
          <cell r="O3566">
            <v>44824</v>
          </cell>
          <cell r="P3566">
            <v>44826</v>
          </cell>
          <cell r="Q3566">
            <v>44827</v>
          </cell>
          <cell r="R3566">
            <v>44827</v>
          </cell>
          <cell r="S3566"/>
          <cell r="T3566">
            <v>44826</v>
          </cell>
          <cell r="U3566">
            <v>44830</v>
          </cell>
          <cell r="V3566">
            <v>44830</v>
          </cell>
          <cell r="W3566">
            <v>44830</v>
          </cell>
          <cell r="X3566">
            <v>41100182</v>
          </cell>
        </row>
        <row r="3567">
          <cell r="K3567" t="str">
            <v>GBWS-3031</v>
          </cell>
          <cell r="L3567">
            <v>44887</v>
          </cell>
          <cell r="M3567" t="str">
            <v>2022-11-16 → 11/23</v>
          </cell>
          <cell r="N3567">
            <v>44900</v>
          </cell>
          <cell r="O3567" t="str">
            <v>2022-11-16 → 11/23</v>
          </cell>
          <cell r="P3567">
            <v>44900</v>
          </cell>
          <cell r="Q3567" t="str">
            <v>2022-11-25 → 12/2</v>
          </cell>
          <cell r="R3567" t="str">
            <v>2022-11-25 → 12/2</v>
          </cell>
          <cell r="S3567"/>
          <cell r="T3567">
            <v>44900</v>
          </cell>
          <cell r="U3567">
            <v>44901</v>
          </cell>
          <cell r="V3567">
            <v>44901</v>
          </cell>
          <cell r="W3567">
            <v>44902</v>
          </cell>
          <cell r="X3567">
            <v>41100468</v>
          </cell>
        </row>
        <row r="3568">
          <cell r="K3568" t="str">
            <v>GBWS-3032</v>
          </cell>
          <cell r="L3568">
            <v>44887</v>
          </cell>
          <cell r="M3568" t="str">
            <v>2022-11-16 → 11/23</v>
          </cell>
          <cell r="N3568">
            <v>44900</v>
          </cell>
          <cell r="O3568" t="str">
            <v>2022-11-16 → 11/23</v>
          </cell>
          <cell r="P3568">
            <v>44900</v>
          </cell>
          <cell r="Q3568" t="str">
            <v>2022-11-25 → 12/2</v>
          </cell>
          <cell r="R3568" t="str">
            <v>2022-11-25 → 12/2</v>
          </cell>
          <cell r="S3568"/>
          <cell r="T3568">
            <v>44900</v>
          </cell>
          <cell r="U3568">
            <v>44901</v>
          </cell>
          <cell r="V3568">
            <v>44902</v>
          </cell>
          <cell r="W3568">
            <v>44902</v>
          </cell>
          <cell r="X3568">
            <v>41100468</v>
          </cell>
        </row>
        <row r="3569">
          <cell r="K3569" t="str">
            <v>GBWS-3033</v>
          </cell>
          <cell r="L3569">
            <v>44887</v>
          </cell>
          <cell r="M3569" t="str">
            <v>2022-11-16 → 11/23</v>
          </cell>
          <cell r="N3569">
            <v>44900</v>
          </cell>
          <cell r="O3569" t="str">
            <v>2022-11-16 → 11/23</v>
          </cell>
          <cell r="P3569">
            <v>44900</v>
          </cell>
          <cell r="Q3569" t="str">
            <v>2022-11-25 → 12/2</v>
          </cell>
          <cell r="R3569" t="str">
            <v>2022-11-25 → 12/2</v>
          </cell>
          <cell r="S3569"/>
          <cell r="T3569">
            <v>44900</v>
          </cell>
          <cell r="U3569">
            <v>44908</v>
          </cell>
          <cell r="V3569">
            <v>44909</v>
          </cell>
          <cell r="W3569">
            <v>44909</v>
          </cell>
          <cell r="X3569">
            <v>41100468</v>
          </cell>
        </row>
        <row r="3570">
          <cell r="K3570" t="str">
            <v>GBWS-3034</v>
          </cell>
          <cell r="L3570">
            <v>44887</v>
          </cell>
          <cell r="M3570" t="str">
            <v>2022-11-16 → 11/23</v>
          </cell>
          <cell r="N3570">
            <v>44900</v>
          </cell>
          <cell r="O3570" t="str">
            <v>2022-11-16 → 11/23</v>
          </cell>
          <cell r="P3570">
            <v>44900</v>
          </cell>
          <cell r="Q3570" t="str">
            <v>2022-11-25 → 12/2</v>
          </cell>
          <cell r="R3570" t="str">
            <v>2022-11-25 → 12/2</v>
          </cell>
          <cell r="S3570"/>
          <cell r="T3570">
            <v>44900</v>
          </cell>
          <cell r="U3570">
            <v>44901</v>
          </cell>
          <cell r="V3570">
            <v>44901</v>
          </cell>
          <cell r="W3570">
            <v>44902</v>
          </cell>
          <cell r="X3570">
            <v>41100468</v>
          </cell>
        </row>
        <row r="3571">
          <cell r="K3571" t="str">
            <v>GBWS-2908</v>
          </cell>
          <cell r="L3571">
            <v>44838</v>
          </cell>
          <cell r="M3571">
            <v>44839</v>
          </cell>
          <cell r="N3571">
            <v>44871</v>
          </cell>
          <cell r="O3571">
            <v>44839</v>
          </cell>
          <cell r="P3571">
            <v>44869</v>
          </cell>
          <cell r="Q3571" t="str">
            <v>2022-10-14 → 10/18 → 10/22 → 11/4</v>
          </cell>
          <cell r="R3571" t="str">
            <v>2022-10-14 → 10/18 → 10/22 → 11/4</v>
          </cell>
          <cell r="S3571"/>
          <cell r="T3571">
            <v>44872</v>
          </cell>
          <cell r="U3571">
            <v>44873</v>
          </cell>
          <cell r="V3571">
            <v>44874</v>
          </cell>
          <cell r="W3571">
            <v>44875</v>
          </cell>
          <cell r="X3571">
            <v>41100468</v>
          </cell>
        </row>
        <row r="3572">
          <cell r="K3572" t="str">
            <v>GBWS-2909</v>
          </cell>
          <cell r="L3572">
            <v>44838</v>
          </cell>
          <cell r="M3572">
            <v>44839</v>
          </cell>
          <cell r="N3572">
            <v>44871</v>
          </cell>
          <cell r="O3572">
            <v>44839</v>
          </cell>
          <cell r="P3572">
            <v>44869</v>
          </cell>
          <cell r="Q3572" t="str">
            <v>2022-10-14 → 10/18 → 10/22 → 11/4</v>
          </cell>
          <cell r="R3572" t="str">
            <v>2022-10-14 → 10/18 → 10/22 → 11/4</v>
          </cell>
          <cell r="S3572"/>
          <cell r="T3572">
            <v>44872</v>
          </cell>
          <cell r="U3572">
            <v>44873</v>
          </cell>
          <cell r="V3572">
            <v>44874</v>
          </cell>
          <cell r="W3572">
            <v>44875</v>
          </cell>
          <cell r="X3572">
            <v>41100468</v>
          </cell>
        </row>
        <row r="3573">
          <cell r="K3573" t="str">
            <v>WS-0069</v>
          </cell>
          <cell r="L3573">
            <v>44890</v>
          </cell>
          <cell r="M3573">
            <v>44893</v>
          </cell>
          <cell r="N3573">
            <v>44904</v>
          </cell>
          <cell r="O3573">
            <v>44893</v>
          </cell>
          <cell r="P3573">
            <v>44903</v>
          </cell>
          <cell r="Q3573" t="str">
            <v>2022-12-07 → 12/8</v>
          </cell>
          <cell r="R3573" t="str">
            <v>2022-12-07 → 12/8</v>
          </cell>
          <cell r="S3573"/>
          <cell r="T3573">
            <v>44904</v>
          </cell>
          <cell r="U3573">
            <v>44907</v>
          </cell>
          <cell r="V3573">
            <v>44908</v>
          </cell>
          <cell r="W3573">
            <v>44908</v>
          </cell>
          <cell r="X3573">
            <v>41100238</v>
          </cell>
        </row>
        <row r="3574">
          <cell r="K3574" t="str">
            <v>IVAS-174</v>
          </cell>
          <cell r="L3574">
            <v>44888</v>
          </cell>
          <cell r="M3574">
            <v>44889</v>
          </cell>
          <cell r="N3574">
            <v>44903</v>
          </cell>
          <cell r="O3574">
            <v>44889</v>
          </cell>
          <cell r="P3574">
            <v>44903</v>
          </cell>
          <cell r="Q3574">
            <v>44902</v>
          </cell>
          <cell r="R3574">
            <v>44902</v>
          </cell>
          <cell r="S3574"/>
          <cell r="T3574">
            <v>44903</v>
          </cell>
          <cell r="U3574">
            <v>44908</v>
          </cell>
          <cell r="V3574">
            <v>44909</v>
          </cell>
          <cell r="W3574">
            <v>44909</v>
          </cell>
          <cell r="X3574">
            <v>41100383</v>
          </cell>
        </row>
        <row r="3575">
          <cell r="K3575" t="str">
            <v>GBWS-3035</v>
          </cell>
          <cell r="L3575">
            <v>44887</v>
          </cell>
          <cell r="M3575">
            <v>44888</v>
          </cell>
          <cell r="N3575">
            <v>44900</v>
          </cell>
          <cell r="O3575">
            <v>44888</v>
          </cell>
          <cell r="P3575">
            <v>44900</v>
          </cell>
          <cell r="Q3575">
            <v>44900</v>
          </cell>
          <cell r="R3575">
            <v>44900</v>
          </cell>
          <cell r="S3575"/>
          <cell r="T3575">
            <v>44901</v>
          </cell>
          <cell r="U3575">
            <v>44902</v>
          </cell>
          <cell r="V3575">
            <v>44902</v>
          </cell>
          <cell r="W3575">
            <v>44903</v>
          </cell>
          <cell r="X3575">
            <v>41100584</v>
          </cell>
        </row>
        <row r="3576">
          <cell r="K3576" t="str">
            <v>GBWS-3036</v>
          </cell>
          <cell r="L3576">
            <v>44887</v>
          </cell>
          <cell r="M3576">
            <v>44888</v>
          </cell>
          <cell r="N3576">
            <v>44900</v>
          </cell>
          <cell r="O3576">
            <v>44888</v>
          </cell>
          <cell r="P3576">
            <v>44900</v>
          </cell>
          <cell r="Q3576">
            <v>44900</v>
          </cell>
          <cell r="R3576">
            <v>44900</v>
          </cell>
          <cell r="S3576"/>
          <cell r="T3576">
            <v>44901</v>
          </cell>
          <cell r="U3576">
            <v>44902</v>
          </cell>
          <cell r="V3576">
            <v>44907</v>
          </cell>
          <cell r="W3576">
            <v>44907</v>
          </cell>
          <cell r="X3576">
            <v>41100584</v>
          </cell>
        </row>
        <row r="3577">
          <cell r="K3577" t="str">
            <v>GBWS-3037</v>
          </cell>
          <cell r="L3577">
            <v>44887</v>
          </cell>
          <cell r="M3577">
            <v>44888</v>
          </cell>
          <cell r="N3577">
            <v>44900</v>
          </cell>
          <cell r="O3577">
            <v>44888</v>
          </cell>
          <cell r="P3577">
            <v>44900</v>
          </cell>
          <cell r="Q3577">
            <v>44900</v>
          </cell>
          <cell r="R3577">
            <v>44900</v>
          </cell>
          <cell r="S3577"/>
          <cell r="T3577">
            <v>44901</v>
          </cell>
          <cell r="U3577">
            <v>44902</v>
          </cell>
          <cell r="V3577">
            <v>44902</v>
          </cell>
          <cell r="W3577">
            <v>44903</v>
          </cell>
          <cell r="X3577">
            <v>41100584</v>
          </cell>
        </row>
        <row r="3578">
          <cell r="K3578" t="str">
            <v>GBWS-3038</v>
          </cell>
          <cell r="L3578">
            <v>44887</v>
          </cell>
          <cell r="M3578">
            <v>44888</v>
          </cell>
          <cell r="N3578">
            <v>44900</v>
          </cell>
          <cell r="O3578">
            <v>44888</v>
          </cell>
          <cell r="P3578">
            <v>44900</v>
          </cell>
          <cell r="Q3578">
            <v>44900</v>
          </cell>
          <cell r="R3578">
            <v>44900</v>
          </cell>
          <cell r="S3578"/>
          <cell r="T3578">
            <v>44901</v>
          </cell>
          <cell r="U3578">
            <v>44902</v>
          </cell>
          <cell r="V3578">
            <v>44903</v>
          </cell>
          <cell r="W3578">
            <v>44903</v>
          </cell>
          <cell r="X3578">
            <v>41100584</v>
          </cell>
        </row>
        <row r="3579">
          <cell r="K3579" t="str">
            <v>GBWS-3039</v>
          </cell>
          <cell r="L3579">
            <v>44887</v>
          </cell>
          <cell r="M3579">
            <v>44888</v>
          </cell>
          <cell r="N3579">
            <v>44900</v>
          </cell>
          <cell r="O3579">
            <v>44888</v>
          </cell>
          <cell r="P3579">
            <v>44900</v>
          </cell>
          <cell r="Q3579">
            <v>44900</v>
          </cell>
          <cell r="R3579">
            <v>44900</v>
          </cell>
          <cell r="S3579"/>
          <cell r="T3579">
            <v>44901</v>
          </cell>
          <cell r="U3579">
            <v>44902</v>
          </cell>
          <cell r="V3579">
            <v>44902</v>
          </cell>
          <cell r="W3579">
            <v>44903</v>
          </cell>
          <cell r="X3579">
            <v>41100584</v>
          </cell>
        </row>
        <row r="3580">
          <cell r="K3580" t="str">
            <v>IVAS-175</v>
          </cell>
          <cell r="L3580">
            <v>44893</v>
          </cell>
          <cell r="M3580">
            <v>44894</v>
          </cell>
          <cell r="N3580">
            <v>44904</v>
          </cell>
          <cell r="O3580">
            <v>44894</v>
          </cell>
          <cell r="P3580">
            <v>44904</v>
          </cell>
          <cell r="Q3580">
            <v>44903</v>
          </cell>
          <cell r="R3580">
            <v>44903</v>
          </cell>
          <cell r="S3580"/>
          <cell r="T3580">
            <v>44904</v>
          </cell>
          <cell r="U3580">
            <v>44909</v>
          </cell>
          <cell r="V3580">
            <v>44909</v>
          </cell>
          <cell r="W3580">
            <v>44909</v>
          </cell>
          <cell r="X3580">
            <v>41100425</v>
          </cell>
        </row>
        <row r="3581">
          <cell r="K3581" t="str">
            <v>GBWS-3025</v>
          </cell>
          <cell r="L3581">
            <v>44886</v>
          </cell>
          <cell r="M3581">
            <v>44887</v>
          </cell>
          <cell r="N3581">
            <v>44900</v>
          </cell>
          <cell r="O3581">
            <v>44887</v>
          </cell>
          <cell r="P3581">
            <v>44900</v>
          </cell>
          <cell r="Q3581" t="str">
            <v>2022-12-01 → 12/2</v>
          </cell>
          <cell r="R3581" t="str">
            <v>2022-12-01 → 12/2</v>
          </cell>
          <cell r="S3581"/>
          <cell r="T3581">
            <v>44900</v>
          </cell>
          <cell r="U3581">
            <v>44901</v>
          </cell>
          <cell r="V3581">
            <v>44901</v>
          </cell>
          <cell r="W3581">
            <v>44902</v>
          </cell>
          <cell r="X3581">
            <v>41100468</v>
          </cell>
        </row>
        <row r="3582">
          <cell r="K3582" t="str">
            <v>GBWS-3026</v>
          </cell>
          <cell r="L3582">
            <v>44886</v>
          </cell>
          <cell r="M3582">
            <v>44887</v>
          </cell>
          <cell r="N3582">
            <v>44900</v>
          </cell>
          <cell r="O3582">
            <v>44887</v>
          </cell>
          <cell r="P3582">
            <v>44900</v>
          </cell>
          <cell r="Q3582" t="str">
            <v>2022-12-01 → 12/2</v>
          </cell>
          <cell r="R3582" t="str">
            <v>2022-12-01 → 12/2</v>
          </cell>
          <cell r="S3582"/>
          <cell r="T3582">
            <v>44900</v>
          </cell>
          <cell r="U3582">
            <v>44901</v>
          </cell>
          <cell r="V3582">
            <v>44901</v>
          </cell>
          <cell r="W3582">
            <v>44902</v>
          </cell>
          <cell r="X3582">
            <v>41100468</v>
          </cell>
        </row>
        <row r="3583">
          <cell r="K3583" t="str">
            <v>GBWS-3027</v>
          </cell>
          <cell r="L3583">
            <v>44886</v>
          </cell>
          <cell r="M3583">
            <v>44887</v>
          </cell>
          <cell r="N3583">
            <v>44900</v>
          </cell>
          <cell r="O3583">
            <v>44887</v>
          </cell>
          <cell r="P3583">
            <v>44900</v>
          </cell>
          <cell r="Q3583" t="str">
            <v>2022-12-01 → 12/2</v>
          </cell>
          <cell r="R3583" t="str">
            <v>2022-12-01 → 12/2</v>
          </cell>
          <cell r="S3583"/>
          <cell r="T3583">
            <v>44900</v>
          </cell>
          <cell r="U3583">
            <v>44901</v>
          </cell>
          <cell r="V3583">
            <v>44901</v>
          </cell>
          <cell r="W3583">
            <v>44902</v>
          </cell>
          <cell r="X3583">
            <v>41100468</v>
          </cell>
        </row>
        <row r="3584">
          <cell r="K3584" t="str">
            <v>GBWS-3040</v>
          </cell>
          <cell r="L3584">
            <v>44887</v>
          </cell>
          <cell r="M3584">
            <v>44888</v>
          </cell>
          <cell r="N3584">
            <v>44900</v>
          </cell>
          <cell r="O3584">
            <v>44888</v>
          </cell>
          <cell r="P3584">
            <v>44900</v>
          </cell>
          <cell r="Q3584">
            <v>44900</v>
          </cell>
          <cell r="R3584">
            <v>44900</v>
          </cell>
          <cell r="S3584"/>
          <cell r="T3584">
            <v>44902</v>
          </cell>
          <cell r="U3584">
            <v>44903</v>
          </cell>
          <cell r="V3584">
            <v>44907</v>
          </cell>
          <cell r="W3584">
            <v>44907</v>
          </cell>
          <cell r="X3584">
            <v>41100584</v>
          </cell>
        </row>
        <row r="3585">
          <cell r="K3585" t="str">
            <v>GBWS-3041</v>
          </cell>
          <cell r="L3585">
            <v>44887</v>
          </cell>
          <cell r="M3585">
            <v>44888</v>
          </cell>
          <cell r="N3585">
            <v>44900</v>
          </cell>
          <cell r="O3585">
            <v>44888</v>
          </cell>
          <cell r="P3585">
            <v>44900</v>
          </cell>
          <cell r="Q3585">
            <v>44900</v>
          </cell>
          <cell r="R3585">
            <v>44900</v>
          </cell>
          <cell r="S3585"/>
          <cell r="T3585">
            <v>44902</v>
          </cell>
          <cell r="U3585">
            <v>44903</v>
          </cell>
          <cell r="V3585">
            <v>44907</v>
          </cell>
          <cell r="W3585">
            <v>44907</v>
          </cell>
          <cell r="X3585">
            <v>41100584</v>
          </cell>
        </row>
        <row r="3586">
          <cell r="K3586" t="str">
            <v>GBWS-3042</v>
          </cell>
          <cell r="L3586">
            <v>44887</v>
          </cell>
          <cell r="M3586">
            <v>44888</v>
          </cell>
          <cell r="N3586">
            <v>44900</v>
          </cell>
          <cell r="O3586">
            <v>44888</v>
          </cell>
          <cell r="P3586">
            <v>44900</v>
          </cell>
          <cell r="Q3586">
            <v>44900</v>
          </cell>
          <cell r="R3586">
            <v>44900</v>
          </cell>
          <cell r="S3586"/>
          <cell r="T3586">
            <v>44902</v>
          </cell>
          <cell r="U3586">
            <v>44903</v>
          </cell>
          <cell r="V3586">
            <v>44907</v>
          </cell>
          <cell r="W3586">
            <v>44907</v>
          </cell>
          <cell r="X3586">
            <v>41100584</v>
          </cell>
        </row>
        <row r="3587">
          <cell r="K3587" t="str">
            <v>GBWS-3043</v>
          </cell>
          <cell r="L3587">
            <v>44887</v>
          </cell>
          <cell r="M3587">
            <v>44888</v>
          </cell>
          <cell r="N3587">
            <v>44900</v>
          </cell>
          <cell r="O3587">
            <v>44888</v>
          </cell>
          <cell r="P3587">
            <v>44900</v>
          </cell>
          <cell r="Q3587">
            <v>44900</v>
          </cell>
          <cell r="R3587">
            <v>44900</v>
          </cell>
          <cell r="S3587"/>
          <cell r="T3587">
            <v>44903</v>
          </cell>
          <cell r="U3587">
            <v>44904</v>
          </cell>
          <cell r="V3587">
            <v>44907</v>
          </cell>
          <cell r="W3587">
            <v>44907</v>
          </cell>
          <cell r="X3587">
            <v>41100584</v>
          </cell>
        </row>
        <row r="3588">
          <cell r="K3588" t="str">
            <v>GBWS-3044</v>
          </cell>
          <cell r="L3588">
            <v>44887</v>
          </cell>
          <cell r="M3588">
            <v>44888</v>
          </cell>
          <cell r="N3588">
            <v>44900</v>
          </cell>
          <cell r="O3588">
            <v>44888</v>
          </cell>
          <cell r="P3588">
            <v>44900</v>
          </cell>
          <cell r="Q3588">
            <v>44900</v>
          </cell>
          <cell r="R3588">
            <v>44900</v>
          </cell>
          <cell r="S3588"/>
          <cell r="T3588">
            <v>44902</v>
          </cell>
          <cell r="U3588">
            <v>44903</v>
          </cell>
          <cell r="V3588">
            <v>44907</v>
          </cell>
          <cell r="W3588">
            <v>44907</v>
          </cell>
          <cell r="X3588">
            <v>41100584</v>
          </cell>
        </row>
        <row r="3589">
          <cell r="K3589" t="str">
            <v>GBWS-3045</v>
          </cell>
          <cell r="L3589">
            <v>44887</v>
          </cell>
          <cell r="M3589">
            <v>44888</v>
          </cell>
          <cell r="N3589">
            <v>44900</v>
          </cell>
          <cell r="O3589">
            <v>44888</v>
          </cell>
          <cell r="P3589">
            <v>44900</v>
          </cell>
          <cell r="Q3589">
            <v>44900</v>
          </cell>
          <cell r="R3589">
            <v>44900</v>
          </cell>
          <cell r="S3589"/>
          <cell r="T3589">
            <v>44902</v>
          </cell>
          <cell r="U3589">
            <v>44903</v>
          </cell>
          <cell r="V3589">
            <v>44907</v>
          </cell>
          <cell r="W3589">
            <v>44907</v>
          </cell>
          <cell r="X3589">
            <v>41100584</v>
          </cell>
        </row>
        <row r="3590">
          <cell r="K3590" t="str">
            <v>PRK-0001</v>
          </cell>
          <cell r="L3590">
            <v>44885</v>
          </cell>
          <cell r="M3590">
            <v>44886</v>
          </cell>
          <cell r="N3590">
            <v>44893</v>
          </cell>
          <cell r="O3590">
            <v>44886</v>
          </cell>
          <cell r="P3590">
            <v>44897</v>
          </cell>
          <cell r="Q3590">
            <v>44890</v>
          </cell>
          <cell r="R3590">
            <v>44890</v>
          </cell>
          <cell r="S3590"/>
          <cell r="T3590">
            <v>44896</v>
          </cell>
          <cell r="U3590">
            <v>44902</v>
          </cell>
          <cell r="V3590">
            <v>44904</v>
          </cell>
          <cell r="W3590">
            <v>44904</v>
          </cell>
          <cell r="X3590">
            <v>41100616</v>
          </cell>
        </row>
        <row r="3591">
          <cell r="K3591" t="str">
            <v>G14030046</v>
          </cell>
          <cell r="L3591" t="str">
            <v>-</v>
          </cell>
          <cell r="M3591">
            <v>44904</v>
          </cell>
          <cell r="N3591">
            <v>44904</v>
          </cell>
          <cell r="O3591">
            <v>44904</v>
          </cell>
          <cell r="P3591">
            <v>44904</v>
          </cell>
          <cell r="Q3591">
            <v>44907</v>
          </cell>
          <cell r="R3591">
            <v>44907</v>
          </cell>
          <cell r="S3591"/>
          <cell r="T3591">
            <v>44904</v>
          </cell>
          <cell r="U3591">
            <v>44907</v>
          </cell>
          <cell r="V3591">
            <v>44910</v>
          </cell>
          <cell r="W3591">
            <v>44910</v>
          </cell>
          <cell r="X3591" t="str">
            <v>-</v>
          </cell>
        </row>
        <row r="3592">
          <cell r="K3592" t="str">
            <v>G14030043</v>
          </cell>
          <cell r="L3592" t="str">
            <v>-</v>
          </cell>
          <cell r="M3592">
            <v>44909</v>
          </cell>
          <cell r="N3592">
            <v>44909</v>
          </cell>
          <cell r="O3592">
            <v>44909</v>
          </cell>
          <cell r="P3592">
            <v>44909</v>
          </cell>
          <cell r="Q3592">
            <v>44909</v>
          </cell>
          <cell r="R3592">
            <v>44909</v>
          </cell>
          <cell r="S3592"/>
          <cell r="T3592">
            <v>44909</v>
          </cell>
          <cell r="U3592">
            <v>44910</v>
          </cell>
          <cell r="V3592">
            <v>44910</v>
          </cell>
          <cell r="W3592">
            <v>44910</v>
          </cell>
          <cell r="X3592" t="str">
            <v>-</v>
          </cell>
        </row>
        <row r="3593">
          <cell r="K3593" t="str">
            <v>GBWS-3051</v>
          </cell>
          <cell r="L3593">
            <v>44893</v>
          </cell>
          <cell r="M3593">
            <v>44894</v>
          </cell>
          <cell r="N3593">
            <v>44907</v>
          </cell>
          <cell r="O3593">
            <v>44894</v>
          </cell>
          <cell r="P3593">
            <v>44907</v>
          </cell>
          <cell r="Q3593" t="str">
            <v>2022-12-08 → 12/9</v>
          </cell>
          <cell r="R3593" t="str">
            <v>2022-12-08 → 12/9</v>
          </cell>
          <cell r="S3593"/>
          <cell r="T3593">
            <v>44907</v>
          </cell>
          <cell r="U3593">
            <v>44908</v>
          </cell>
          <cell r="V3593">
            <v>44909</v>
          </cell>
          <cell r="W3593">
            <v>44909</v>
          </cell>
          <cell r="X3593">
            <v>41100468</v>
          </cell>
        </row>
        <row r="3594">
          <cell r="K3594" t="str">
            <v>GBWS-3052</v>
          </cell>
          <cell r="L3594">
            <v>44893</v>
          </cell>
          <cell r="M3594">
            <v>44894</v>
          </cell>
          <cell r="N3594">
            <v>44907</v>
          </cell>
          <cell r="O3594">
            <v>44894</v>
          </cell>
          <cell r="P3594">
            <v>44907</v>
          </cell>
          <cell r="Q3594" t="str">
            <v>2022-12-08 → 12/9</v>
          </cell>
          <cell r="R3594" t="str">
            <v>2022-12-08 → 12/9</v>
          </cell>
          <cell r="S3594"/>
          <cell r="T3594">
            <v>44907</v>
          </cell>
          <cell r="U3594">
            <v>44908</v>
          </cell>
          <cell r="V3594">
            <v>44909</v>
          </cell>
          <cell r="W3594">
            <v>44909</v>
          </cell>
          <cell r="X3594">
            <v>41100468</v>
          </cell>
        </row>
        <row r="3595">
          <cell r="K3595" t="str">
            <v>GBWS-3053</v>
          </cell>
          <cell r="L3595">
            <v>44893</v>
          </cell>
          <cell r="M3595">
            <v>44894</v>
          </cell>
          <cell r="N3595">
            <v>44907</v>
          </cell>
          <cell r="O3595">
            <v>44894</v>
          </cell>
          <cell r="P3595">
            <v>44907</v>
          </cell>
          <cell r="Q3595" t="str">
            <v>2022-12-08 → 12/9</v>
          </cell>
          <cell r="R3595" t="str">
            <v>2022-12-08 → 12/9</v>
          </cell>
          <cell r="S3595"/>
          <cell r="T3595">
            <v>44907</v>
          </cell>
          <cell r="U3595">
            <v>44908</v>
          </cell>
          <cell r="V3595">
            <v>44909</v>
          </cell>
          <cell r="W3595">
            <v>44909</v>
          </cell>
          <cell r="X3595">
            <v>41100468</v>
          </cell>
        </row>
        <row r="3596">
          <cell r="K3596" t="str">
            <v>GBWS-3054</v>
          </cell>
          <cell r="L3596">
            <v>44893</v>
          </cell>
          <cell r="M3596">
            <v>44894</v>
          </cell>
          <cell r="N3596">
            <v>44907</v>
          </cell>
          <cell r="O3596">
            <v>44894</v>
          </cell>
          <cell r="P3596">
            <v>44907</v>
          </cell>
          <cell r="Q3596" t="str">
            <v>2022-12-08 → 12/9</v>
          </cell>
          <cell r="R3596" t="str">
            <v>2022-12-08 → 12/9</v>
          </cell>
          <cell r="S3596"/>
          <cell r="T3596">
            <v>44907</v>
          </cell>
          <cell r="U3596">
            <v>44908</v>
          </cell>
          <cell r="V3596">
            <v>44909</v>
          </cell>
          <cell r="W3596">
            <v>44909</v>
          </cell>
          <cell r="X3596">
            <v>41100468</v>
          </cell>
        </row>
        <row r="3597">
          <cell r="K3597" t="str">
            <v>GBWS-3024</v>
          </cell>
          <cell r="L3597">
            <v>44886</v>
          </cell>
          <cell r="M3597">
            <v>44887</v>
          </cell>
          <cell r="N3597">
            <v>44900</v>
          </cell>
          <cell r="O3597">
            <v>44887</v>
          </cell>
          <cell r="P3597">
            <v>44900</v>
          </cell>
          <cell r="Q3597" t="str">
            <v>2022-12-01 → 12/2</v>
          </cell>
          <cell r="R3597" t="str">
            <v>2022-12-01 → 12/2</v>
          </cell>
          <cell r="S3597"/>
          <cell r="T3597">
            <v>44900</v>
          </cell>
          <cell r="U3597">
            <v>44901</v>
          </cell>
          <cell r="V3597">
            <v>44901</v>
          </cell>
          <cell r="W3597">
            <v>44902</v>
          </cell>
          <cell r="X3597">
            <v>41100468</v>
          </cell>
        </row>
        <row r="3598">
          <cell r="K3598" t="str">
            <v>G23030002</v>
          </cell>
          <cell r="L3598" t="str">
            <v>-</v>
          </cell>
          <cell r="M3598">
            <v>44909</v>
          </cell>
          <cell r="N3598">
            <v>44909</v>
          </cell>
          <cell r="O3598">
            <v>44909</v>
          </cell>
          <cell r="P3598">
            <v>44909</v>
          </cell>
          <cell r="Q3598">
            <v>44909</v>
          </cell>
          <cell r="R3598">
            <v>44909</v>
          </cell>
          <cell r="S3598"/>
          <cell r="T3598">
            <v>44909</v>
          </cell>
          <cell r="U3598">
            <v>44909</v>
          </cell>
          <cell r="V3598">
            <v>44909</v>
          </cell>
          <cell r="W3598">
            <v>44909</v>
          </cell>
          <cell r="X3598" t="str">
            <v>-</v>
          </cell>
        </row>
        <row r="3599">
          <cell r="K3599" t="str">
            <v>GBWS-3046</v>
          </cell>
          <cell r="L3599">
            <v>44886</v>
          </cell>
          <cell r="M3599">
            <v>44886</v>
          </cell>
          <cell r="N3599">
            <v>44896</v>
          </cell>
          <cell r="O3599">
            <v>44886</v>
          </cell>
          <cell r="P3599">
            <v>44894</v>
          </cell>
          <cell r="Q3599">
            <v>44895</v>
          </cell>
          <cell r="R3599">
            <v>44895</v>
          </cell>
          <cell r="S3599"/>
          <cell r="T3599">
            <v>44896</v>
          </cell>
          <cell r="U3599">
            <v>44897</v>
          </cell>
          <cell r="V3599">
            <v>44900</v>
          </cell>
          <cell r="W3599">
            <v>44900</v>
          </cell>
          <cell r="X3599">
            <v>41100372</v>
          </cell>
        </row>
        <row r="3600">
          <cell r="K3600" t="str">
            <v>GBWS-3030</v>
          </cell>
          <cell r="L3600">
            <v>44886</v>
          </cell>
          <cell r="M3600" t="str">
            <v>2022-07-18 → 11/22</v>
          </cell>
          <cell r="N3600">
            <v>44897</v>
          </cell>
          <cell r="O3600" t="str">
            <v>2022-07-18 → 11/22</v>
          </cell>
          <cell r="P3600">
            <v>44897</v>
          </cell>
          <cell r="Q3600" t="str">
            <v>2022-07-29 → 12/2</v>
          </cell>
          <cell r="R3600" t="str">
            <v>2022-07-29 → 12/2</v>
          </cell>
          <cell r="S3600"/>
          <cell r="T3600">
            <v>44900</v>
          </cell>
          <cell r="U3600">
            <v>44901</v>
          </cell>
          <cell r="V3600">
            <v>44902</v>
          </cell>
          <cell r="W3600">
            <v>44902</v>
          </cell>
          <cell r="X3600">
            <v>41100318</v>
          </cell>
        </row>
        <row r="3601">
          <cell r="K3601" t="str">
            <v>G14090002</v>
          </cell>
          <cell r="L3601">
            <v>44911</v>
          </cell>
          <cell r="M3601">
            <v>44911</v>
          </cell>
          <cell r="N3601">
            <v>44911</v>
          </cell>
          <cell r="O3601">
            <v>44911</v>
          </cell>
          <cell r="P3601">
            <v>44911</v>
          </cell>
          <cell r="Q3601">
            <v>44911</v>
          </cell>
          <cell r="R3601">
            <v>44911</v>
          </cell>
          <cell r="S3601"/>
          <cell r="T3601">
            <v>44911</v>
          </cell>
          <cell r="U3601">
            <v>44914</v>
          </cell>
          <cell r="V3601">
            <v>44914</v>
          </cell>
          <cell r="W3601">
            <v>44914</v>
          </cell>
          <cell r="X3601" t="str">
            <v>-</v>
          </cell>
        </row>
        <row r="3602">
          <cell r="K3602" t="str">
            <v>GBWS-2932</v>
          </cell>
          <cell r="L3602">
            <v>44845</v>
          </cell>
          <cell r="M3602">
            <v>44846</v>
          </cell>
          <cell r="N3602">
            <v>44875</v>
          </cell>
          <cell r="O3602">
            <v>44846</v>
          </cell>
          <cell r="P3602">
            <v>44874</v>
          </cell>
          <cell r="Q3602" t="str">
            <v>2022-10-21 → 11/11</v>
          </cell>
          <cell r="R3602" t="str">
            <v>2022-10-21 → 11/11</v>
          </cell>
          <cell r="S3602"/>
          <cell r="T3602">
            <v>44876</v>
          </cell>
          <cell r="U3602">
            <v>44879</v>
          </cell>
          <cell r="V3602">
            <v>44880</v>
          </cell>
          <cell r="W3602">
            <v>44880</v>
          </cell>
          <cell r="X3602">
            <v>41100350</v>
          </cell>
        </row>
        <row r="3603">
          <cell r="K3603" t="str">
            <v>1812-004</v>
          </cell>
          <cell r="L3603">
            <v>44908</v>
          </cell>
          <cell r="M3603">
            <v>44908</v>
          </cell>
          <cell r="N3603">
            <v>44908</v>
          </cell>
          <cell r="O3603">
            <v>44908</v>
          </cell>
          <cell r="P3603">
            <v>44908</v>
          </cell>
          <cell r="Q3603">
            <v>44908</v>
          </cell>
          <cell r="R3603">
            <v>44908</v>
          </cell>
          <cell r="S3603"/>
          <cell r="T3603">
            <v>44908</v>
          </cell>
          <cell r="U3603">
            <v>44910</v>
          </cell>
          <cell r="V3603">
            <v>44910</v>
          </cell>
          <cell r="W3603">
            <v>44910</v>
          </cell>
          <cell r="X3603" t="str">
            <v>-</v>
          </cell>
        </row>
        <row r="3604">
          <cell r="K3604" t="str">
            <v>2102-051</v>
          </cell>
          <cell r="L3604">
            <v>44908</v>
          </cell>
          <cell r="M3604">
            <v>44908</v>
          </cell>
          <cell r="N3604">
            <v>44908</v>
          </cell>
          <cell r="O3604">
            <v>44908</v>
          </cell>
          <cell r="P3604">
            <v>44908</v>
          </cell>
          <cell r="Q3604">
            <v>44908</v>
          </cell>
          <cell r="R3604">
            <v>44908</v>
          </cell>
          <cell r="S3604"/>
          <cell r="T3604">
            <v>44908</v>
          </cell>
          <cell r="U3604">
            <v>44910</v>
          </cell>
          <cell r="V3604">
            <v>44910</v>
          </cell>
          <cell r="W3604">
            <v>44910</v>
          </cell>
          <cell r="X3604" t="str">
            <v>-</v>
          </cell>
        </row>
        <row r="3605">
          <cell r="K3605" t="str">
            <v>Fr13006761-21050116
Fr13006761-21070008</v>
          </cell>
          <cell r="L3605">
            <v>44820</v>
          </cell>
          <cell r="M3605">
            <v>44823</v>
          </cell>
          <cell r="N3605">
            <v>44830</v>
          </cell>
          <cell r="O3605">
            <v>44823</v>
          </cell>
          <cell r="P3605">
            <v>44830</v>
          </cell>
          <cell r="Q3605">
            <v>44830</v>
          </cell>
          <cell r="R3605">
            <v>44830</v>
          </cell>
          <cell r="S3605"/>
          <cell r="T3605">
            <v>44834</v>
          </cell>
          <cell r="U3605">
            <v>44846</v>
          </cell>
          <cell r="V3605">
            <v>44896</v>
          </cell>
          <cell r="W3605">
            <v>44896</v>
          </cell>
          <cell r="X3605">
            <v>31101371</v>
          </cell>
        </row>
        <row r="3606">
          <cell r="K3606" t="str">
            <v>IVAS-176</v>
          </cell>
          <cell r="L3606">
            <v>44895</v>
          </cell>
          <cell r="M3606">
            <v>44896</v>
          </cell>
          <cell r="N3606">
            <v>44908</v>
          </cell>
          <cell r="O3606">
            <v>44896</v>
          </cell>
          <cell r="P3606">
            <v>44909</v>
          </cell>
          <cell r="Q3606">
            <v>44908</v>
          </cell>
          <cell r="R3606">
            <v>44908</v>
          </cell>
          <cell r="S3606"/>
          <cell r="T3606">
            <v>44909</v>
          </cell>
          <cell r="U3606">
            <v>44915</v>
          </cell>
          <cell r="V3606">
            <v>44916</v>
          </cell>
          <cell r="W3606">
            <v>44916</v>
          </cell>
          <cell r="X3606">
            <v>41100414</v>
          </cell>
        </row>
        <row r="3607">
          <cell r="K3607" t="str">
            <v>IVAS-177</v>
          </cell>
          <cell r="L3607">
            <v>44897</v>
          </cell>
          <cell r="M3607">
            <v>44900</v>
          </cell>
          <cell r="N3607">
            <v>44914</v>
          </cell>
          <cell r="O3607">
            <v>44900</v>
          </cell>
          <cell r="P3607">
            <v>44911</v>
          </cell>
          <cell r="Q3607">
            <v>44910</v>
          </cell>
          <cell r="R3607">
            <v>44910</v>
          </cell>
          <cell r="S3607"/>
          <cell r="T3607">
            <v>44911</v>
          </cell>
          <cell r="U3607">
            <v>44916</v>
          </cell>
          <cell r="V3607">
            <v>44916</v>
          </cell>
          <cell r="W3607">
            <v>44916</v>
          </cell>
          <cell r="X3607">
            <v>41100273</v>
          </cell>
        </row>
        <row r="3608">
          <cell r="K3608" t="str">
            <v>-</v>
          </cell>
          <cell r="L3608">
            <v>44895</v>
          </cell>
          <cell r="M3608">
            <v>44896</v>
          </cell>
          <cell r="N3608">
            <v>44901</v>
          </cell>
          <cell r="O3608">
            <v>44896</v>
          </cell>
          <cell r="P3608">
            <v>44901</v>
          </cell>
          <cell r="Q3608">
            <v>44900</v>
          </cell>
          <cell r="R3608">
            <v>44900</v>
          </cell>
          <cell r="S3608"/>
          <cell r="T3608">
            <v>44907</v>
          </cell>
          <cell r="U3608">
            <v>44907</v>
          </cell>
          <cell r="V3608">
            <v>44907</v>
          </cell>
          <cell r="W3608">
            <v>44907</v>
          </cell>
          <cell r="X3608">
            <v>31100994</v>
          </cell>
        </row>
        <row r="3609">
          <cell r="K3609" t="str">
            <v>G13030003</v>
          </cell>
          <cell r="L3609">
            <v>44911</v>
          </cell>
          <cell r="M3609">
            <v>44911</v>
          </cell>
          <cell r="N3609">
            <v>44911</v>
          </cell>
          <cell r="O3609">
            <v>44911</v>
          </cell>
          <cell r="P3609">
            <v>44911</v>
          </cell>
          <cell r="Q3609">
            <v>44911</v>
          </cell>
          <cell r="R3609">
            <v>44911</v>
          </cell>
          <cell r="S3609"/>
          <cell r="T3609">
            <v>44911</v>
          </cell>
          <cell r="U3609">
            <v>44917</v>
          </cell>
          <cell r="V3609">
            <v>44917</v>
          </cell>
          <cell r="W3609">
            <v>44917</v>
          </cell>
          <cell r="X3609" t="str">
            <v>-</v>
          </cell>
        </row>
        <row r="3610">
          <cell r="K3610" t="str">
            <v>G13030018</v>
          </cell>
          <cell r="L3610">
            <v>44916</v>
          </cell>
          <cell r="M3610">
            <v>44916</v>
          </cell>
          <cell r="N3610">
            <v>44916</v>
          </cell>
          <cell r="O3610">
            <v>44916</v>
          </cell>
          <cell r="P3610">
            <v>44916</v>
          </cell>
          <cell r="Q3610">
            <v>44916</v>
          </cell>
          <cell r="R3610">
            <v>44916</v>
          </cell>
          <cell r="S3610"/>
          <cell r="T3610">
            <v>44916</v>
          </cell>
          <cell r="U3610">
            <v>44917</v>
          </cell>
          <cell r="V3610">
            <v>44917</v>
          </cell>
          <cell r="W3610">
            <v>44917</v>
          </cell>
          <cell r="X3610" t="str">
            <v>-</v>
          </cell>
        </row>
        <row r="3611">
          <cell r="K3611" t="str">
            <v>G14030048</v>
          </cell>
          <cell r="L3611">
            <v>44918</v>
          </cell>
          <cell r="M3611">
            <v>44918</v>
          </cell>
          <cell r="N3611">
            <v>44916</v>
          </cell>
          <cell r="O3611">
            <v>44918</v>
          </cell>
          <cell r="P3611">
            <v>44916</v>
          </cell>
          <cell r="Q3611">
            <v>44918</v>
          </cell>
          <cell r="R3611">
            <v>44918</v>
          </cell>
          <cell r="S3611"/>
          <cell r="T3611">
            <v>44916</v>
          </cell>
          <cell r="U3611">
            <v>44917</v>
          </cell>
          <cell r="V3611">
            <v>44917</v>
          </cell>
          <cell r="W3611">
            <v>44917</v>
          </cell>
          <cell r="X3611" t="str">
            <v>-</v>
          </cell>
        </row>
        <row r="3612">
          <cell r="K3612" t="str">
            <v>GPWS-0232</v>
          </cell>
          <cell r="L3612">
            <v>44901</v>
          </cell>
          <cell r="M3612">
            <v>44902</v>
          </cell>
          <cell r="N3612">
            <v>44910</v>
          </cell>
          <cell r="O3612">
            <v>44902</v>
          </cell>
          <cell r="P3612">
            <v>44910</v>
          </cell>
          <cell r="Q3612">
            <v>44909</v>
          </cell>
          <cell r="R3612">
            <v>44909</v>
          </cell>
          <cell r="S3612"/>
          <cell r="T3612">
            <v>44910</v>
          </cell>
          <cell r="U3612">
            <v>44914</v>
          </cell>
          <cell r="V3612">
            <v>44915</v>
          </cell>
          <cell r="W3612">
            <v>44915</v>
          </cell>
          <cell r="X3612" t="str">
            <v>41100380 → 41100625</v>
          </cell>
        </row>
        <row r="3613">
          <cell r="K3613" t="str">
            <v>GPWS-0233</v>
          </cell>
          <cell r="L3613">
            <v>44901</v>
          </cell>
          <cell r="M3613">
            <v>44902</v>
          </cell>
          <cell r="N3613">
            <v>44910</v>
          </cell>
          <cell r="O3613">
            <v>44902</v>
          </cell>
          <cell r="P3613">
            <v>44910</v>
          </cell>
          <cell r="Q3613">
            <v>44909</v>
          </cell>
          <cell r="R3613">
            <v>44909</v>
          </cell>
          <cell r="S3613"/>
          <cell r="T3613">
            <v>44910</v>
          </cell>
          <cell r="U3613">
            <v>44914</v>
          </cell>
          <cell r="V3613">
            <v>44916</v>
          </cell>
          <cell r="W3613">
            <v>44916</v>
          </cell>
          <cell r="X3613" t="str">
            <v>41100380 → 41100625</v>
          </cell>
        </row>
        <row r="3614">
          <cell r="K3614" t="str">
            <v>GPWS-0234</v>
          </cell>
          <cell r="L3614">
            <v>44901</v>
          </cell>
          <cell r="M3614">
            <v>44902</v>
          </cell>
          <cell r="N3614">
            <v>44910</v>
          </cell>
          <cell r="O3614">
            <v>44902</v>
          </cell>
          <cell r="P3614">
            <v>44910</v>
          </cell>
          <cell r="Q3614">
            <v>44909</v>
          </cell>
          <cell r="R3614">
            <v>44909</v>
          </cell>
          <cell r="S3614"/>
          <cell r="T3614">
            <v>44911</v>
          </cell>
          <cell r="U3614">
            <v>44914</v>
          </cell>
          <cell r="V3614">
            <v>44915</v>
          </cell>
          <cell r="W3614">
            <v>44915</v>
          </cell>
          <cell r="X3614" t="str">
            <v>41100380 → 41100625</v>
          </cell>
        </row>
        <row r="3615">
          <cell r="K3615" t="str">
            <v>GPWS-0235</v>
          </cell>
          <cell r="L3615">
            <v>44901</v>
          </cell>
          <cell r="M3615">
            <v>44902</v>
          </cell>
          <cell r="N3615">
            <v>44910</v>
          </cell>
          <cell r="O3615">
            <v>44902</v>
          </cell>
          <cell r="P3615">
            <v>44910</v>
          </cell>
          <cell r="Q3615">
            <v>44909</v>
          </cell>
          <cell r="R3615">
            <v>44909</v>
          </cell>
          <cell r="S3615"/>
          <cell r="T3615">
            <v>44911</v>
          </cell>
          <cell r="U3615">
            <v>44914</v>
          </cell>
          <cell r="V3615">
            <v>44916</v>
          </cell>
          <cell r="W3615">
            <v>44916</v>
          </cell>
          <cell r="X3615" t="str">
            <v>41100380 → 41100625</v>
          </cell>
        </row>
        <row r="3616">
          <cell r="K3616" t="str">
            <v>GPWS-0231</v>
          </cell>
          <cell r="L3616">
            <v>44888</v>
          </cell>
          <cell r="M3616" t="str">
            <v>2022-11-29 → 11/24</v>
          </cell>
          <cell r="N3616">
            <v>44904</v>
          </cell>
          <cell r="O3616" t="str">
            <v>2022-11-29 → 11/24</v>
          </cell>
          <cell r="P3616">
            <v>44904</v>
          </cell>
          <cell r="Q3616" t="str">
            <v>2022-12-09 → 12/5 → 12/9</v>
          </cell>
          <cell r="R3616" t="str">
            <v>2022-12-09 → 12/5 → 12/9</v>
          </cell>
          <cell r="S3616"/>
          <cell r="T3616">
            <v>44908</v>
          </cell>
          <cell r="U3616">
            <v>44917</v>
          </cell>
          <cell r="V3616">
            <v>44917</v>
          </cell>
          <cell r="W3616">
            <v>44917</v>
          </cell>
          <cell r="X3616">
            <v>41100601</v>
          </cell>
        </row>
        <row r="3617">
          <cell r="K3617" t="str">
            <v>-</v>
          </cell>
          <cell r="L3617">
            <v>44888</v>
          </cell>
          <cell r="M3617" t="str">
            <v>2022-11-29 → 11/24</v>
          </cell>
          <cell r="N3617">
            <v>44904</v>
          </cell>
          <cell r="O3617" t="str">
            <v>2022-11-29 → 11/24</v>
          </cell>
          <cell r="P3617">
            <v>44904</v>
          </cell>
          <cell r="Q3617" t="str">
            <v>2022-12-09 → 12/5</v>
          </cell>
          <cell r="R3617" t="str">
            <v>2022-12-09 → 12/5</v>
          </cell>
          <cell r="S3617"/>
          <cell r="T3617">
            <v>44907</v>
          </cell>
          <cell r="U3617">
            <v>44917</v>
          </cell>
          <cell r="V3617">
            <v>44917</v>
          </cell>
          <cell r="W3617">
            <v>44917</v>
          </cell>
          <cell r="X3617">
            <v>31100994</v>
          </cell>
        </row>
        <row r="3618">
          <cell r="K3618" t="str">
            <v>GBWS-3003</v>
          </cell>
          <cell r="L3618">
            <v>44879</v>
          </cell>
          <cell r="M3618">
            <v>44879</v>
          </cell>
          <cell r="N3618">
            <v>44886</v>
          </cell>
          <cell r="O3618">
            <v>44879</v>
          </cell>
          <cell r="P3618">
            <v>44886</v>
          </cell>
          <cell r="Q3618">
            <v>44888</v>
          </cell>
          <cell r="R3618">
            <v>44888</v>
          </cell>
          <cell r="S3618"/>
          <cell r="T3618">
            <v>44888</v>
          </cell>
          <cell r="U3618">
            <v>44890</v>
          </cell>
          <cell r="V3618">
            <v>44893</v>
          </cell>
          <cell r="W3618">
            <v>44893</v>
          </cell>
          <cell r="X3618">
            <v>41100320</v>
          </cell>
        </row>
        <row r="3619">
          <cell r="K3619" t="str">
            <v>DBW-2802</v>
          </cell>
          <cell r="L3619">
            <v>44903</v>
          </cell>
          <cell r="M3619">
            <v>44904</v>
          </cell>
          <cell r="N3619">
            <v>44911</v>
          </cell>
          <cell r="O3619">
            <v>44904</v>
          </cell>
          <cell r="P3619">
            <v>44914</v>
          </cell>
          <cell r="Q3619">
            <v>44914</v>
          </cell>
          <cell r="R3619">
            <v>44914</v>
          </cell>
          <cell r="S3619"/>
          <cell r="T3619">
            <v>44916</v>
          </cell>
          <cell r="U3619">
            <v>44916</v>
          </cell>
          <cell r="V3619">
            <v>44917</v>
          </cell>
          <cell r="W3619">
            <v>44917</v>
          </cell>
          <cell r="X3619">
            <v>41100310</v>
          </cell>
        </row>
        <row r="3620">
          <cell r="K3620" t="str">
            <v>GBWS-3071</v>
          </cell>
          <cell r="L3620">
            <v>44895</v>
          </cell>
          <cell r="M3620">
            <v>44896</v>
          </cell>
          <cell r="N3620">
            <v>44908</v>
          </cell>
          <cell r="O3620">
            <v>44896</v>
          </cell>
          <cell r="P3620">
            <v>44909</v>
          </cell>
          <cell r="Q3620">
            <v>44909</v>
          </cell>
          <cell r="R3620">
            <v>44909</v>
          </cell>
          <cell r="S3620"/>
          <cell r="T3620">
            <v>44910</v>
          </cell>
          <cell r="U3620">
            <v>44911</v>
          </cell>
          <cell r="V3620">
            <v>44914</v>
          </cell>
          <cell r="W3620">
            <v>44915</v>
          </cell>
          <cell r="X3620">
            <v>41100584</v>
          </cell>
        </row>
        <row r="3621">
          <cell r="K3621" t="str">
            <v>GBWS-3072</v>
          </cell>
          <cell r="L3621">
            <v>44895</v>
          </cell>
          <cell r="M3621">
            <v>44896</v>
          </cell>
          <cell r="N3621">
            <v>44908</v>
          </cell>
          <cell r="O3621">
            <v>44896</v>
          </cell>
          <cell r="P3621">
            <v>44909</v>
          </cell>
          <cell r="Q3621">
            <v>44909</v>
          </cell>
          <cell r="R3621">
            <v>44909</v>
          </cell>
          <cell r="S3621"/>
          <cell r="T3621">
            <v>44910</v>
          </cell>
          <cell r="U3621">
            <v>44911</v>
          </cell>
          <cell r="V3621">
            <v>44914</v>
          </cell>
          <cell r="W3621">
            <v>44915</v>
          </cell>
          <cell r="X3621">
            <v>41100584</v>
          </cell>
        </row>
        <row r="3622">
          <cell r="K3622" t="str">
            <v>GBWS-3073</v>
          </cell>
          <cell r="L3622">
            <v>44895</v>
          </cell>
          <cell r="M3622">
            <v>44896</v>
          </cell>
          <cell r="N3622">
            <v>44908</v>
          </cell>
          <cell r="O3622">
            <v>44896</v>
          </cell>
          <cell r="P3622">
            <v>44909</v>
          </cell>
          <cell r="Q3622">
            <v>44909</v>
          </cell>
          <cell r="R3622">
            <v>44909</v>
          </cell>
          <cell r="S3622"/>
          <cell r="T3622">
            <v>44910</v>
          </cell>
          <cell r="U3622">
            <v>44911</v>
          </cell>
          <cell r="V3622">
            <v>44914</v>
          </cell>
          <cell r="W3622">
            <v>44914</v>
          </cell>
          <cell r="X3622">
            <v>41100584</v>
          </cell>
        </row>
        <row r="3623">
          <cell r="K3623" t="str">
            <v>GBWS-3074</v>
          </cell>
          <cell r="L3623">
            <v>44895</v>
          </cell>
          <cell r="M3623">
            <v>44896</v>
          </cell>
          <cell r="N3623">
            <v>44908</v>
          </cell>
          <cell r="O3623">
            <v>44896</v>
          </cell>
          <cell r="P3623">
            <v>44909</v>
          </cell>
          <cell r="Q3623">
            <v>44909</v>
          </cell>
          <cell r="R3623">
            <v>44909</v>
          </cell>
          <cell r="S3623"/>
          <cell r="T3623">
            <v>44910</v>
          </cell>
          <cell r="U3623">
            <v>44911</v>
          </cell>
          <cell r="V3623">
            <v>44914</v>
          </cell>
          <cell r="W3623">
            <v>44914</v>
          </cell>
          <cell r="X3623">
            <v>41100584</v>
          </cell>
        </row>
        <row r="3624">
          <cell r="K3624" t="str">
            <v>GBWS-3075</v>
          </cell>
          <cell r="L3624">
            <v>44895</v>
          </cell>
          <cell r="M3624">
            <v>44896</v>
          </cell>
          <cell r="N3624">
            <v>44908</v>
          </cell>
          <cell r="O3624">
            <v>44896</v>
          </cell>
          <cell r="P3624">
            <v>44909</v>
          </cell>
          <cell r="Q3624">
            <v>44909</v>
          </cell>
          <cell r="R3624">
            <v>44909</v>
          </cell>
          <cell r="S3624"/>
          <cell r="T3624">
            <v>44910</v>
          </cell>
          <cell r="U3624">
            <v>44911</v>
          </cell>
          <cell r="V3624">
            <v>44914</v>
          </cell>
          <cell r="W3624">
            <v>44915</v>
          </cell>
          <cell r="X3624">
            <v>41100584</v>
          </cell>
        </row>
        <row r="3625">
          <cell r="K3625" t="str">
            <v>GBWS-3076</v>
          </cell>
          <cell r="L3625">
            <v>44895</v>
          </cell>
          <cell r="M3625">
            <v>44896</v>
          </cell>
          <cell r="N3625">
            <v>44908</v>
          </cell>
          <cell r="O3625">
            <v>44896</v>
          </cell>
          <cell r="P3625">
            <v>44909</v>
          </cell>
          <cell r="Q3625">
            <v>44909</v>
          </cell>
          <cell r="R3625">
            <v>44909</v>
          </cell>
          <cell r="S3625"/>
          <cell r="T3625">
            <v>44910</v>
          </cell>
          <cell r="U3625">
            <v>44911</v>
          </cell>
          <cell r="V3625">
            <v>44914</v>
          </cell>
          <cell r="W3625">
            <v>44914</v>
          </cell>
          <cell r="X3625">
            <v>41100584</v>
          </cell>
        </row>
        <row r="3626">
          <cell r="K3626" t="str">
            <v>GBWS-3077</v>
          </cell>
          <cell r="L3626">
            <v>44895</v>
          </cell>
          <cell r="M3626">
            <v>44896</v>
          </cell>
          <cell r="N3626">
            <v>44908</v>
          </cell>
          <cell r="O3626">
            <v>44896</v>
          </cell>
          <cell r="P3626">
            <v>44908</v>
          </cell>
          <cell r="Q3626">
            <v>44909</v>
          </cell>
          <cell r="R3626">
            <v>44909</v>
          </cell>
          <cell r="S3626"/>
          <cell r="T3626">
            <v>44910</v>
          </cell>
          <cell r="U3626">
            <v>44911</v>
          </cell>
          <cell r="V3626">
            <v>44914</v>
          </cell>
          <cell r="W3626">
            <v>44915</v>
          </cell>
          <cell r="X3626">
            <v>41100584</v>
          </cell>
        </row>
        <row r="3627">
          <cell r="K3627" t="str">
            <v>GBWS-3078</v>
          </cell>
          <cell r="L3627">
            <v>44895</v>
          </cell>
          <cell r="M3627">
            <v>44896</v>
          </cell>
          <cell r="N3627">
            <v>44908</v>
          </cell>
          <cell r="O3627">
            <v>44896</v>
          </cell>
          <cell r="P3627">
            <v>44908</v>
          </cell>
          <cell r="Q3627">
            <v>44909</v>
          </cell>
          <cell r="R3627">
            <v>44909</v>
          </cell>
          <cell r="S3627"/>
          <cell r="T3627">
            <v>44911</v>
          </cell>
          <cell r="U3627">
            <v>44914</v>
          </cell>
          <cell r="V3627">
            <v>44914</v>
          </cell>
          <cell r="W3627">
            <v>44915</v>
          </cell>
          <cell r="X3627">
            <v>41100584</v>
          </cell>
        </row>
        <row r="3628">
          <cell r="K3628" t="str">
            <v>GBWS-3085</v>
          </cell>
          <cell r="L3628">
            <v>44900</v>
          </cell>
          <cell r="M3628" t="str">
            <v>2022-11-30 → 12/6</v>
          </cell>
          <cell r="N3628">
            <v>44915</v>
          </cell>
          <cell r="O3628" t="str">
            <v>2022-11-30 → 12/6</v>
          </cell>
          <cell r="P3628">
            <v>44914</v>
          </cell>
          <cell r="Q3628" t="str">
            <v>2022-12-09 → 12/15 → 12/19</v>
          </cell>
          <cell r="R3628" t="str">
            <v>2022-12-09 → 12/15 → 12/19</v>
          </cell>
          <cell r="S3628"/>
          <cell r="T3628">
            <v>44915</v>
          </cell>
          <cell r="U3628">
            <v>44918</v>
          </cell>
          <cell r="V3628">
            <v>44918</v>
          </cell>
          <cell r="W3628">
            <v>44918</v>
          </cell>
          <cell r="X3628">
            <v>41100607</v>
          </cell>
        </row>
        <row r="3629">
          <cell r="K3629" t="str">
            <v>GBWS-3086</v>
          </cell>
          <cell r="L3629">
            <v>44900</v>
          </cell>
          <cell r="M3629" t="str">
            <v>2022-11-30 → 12/6</v>
          </cell>
          <cell r="N3629">
            <v>44915</v>
          </cell>
          <cell r="O3629" t="str">
            <v>2022-11-30 → 12/6</v>
          </cell>
          <cell r="P3629">
            <v>44914</v>
          </cell>
          <cell r="Q3629" t="str">
            <v>2022-12-09 → 12/15 → 12/19</v>
          </cell>
          <cell r="R3629" t="str">
            <v>2022-12-09 → 12/15 → 12/19</v>
          </cell>
          <cell r="S3629"/>
          <cell r="T3629">
            <v>44915</v>
          </cell>
          <cell r="U3629">
            <v>44918</v>
          </cell>
          <cell r="V3629">
            <v>44918</v>
          </cell>
          <cell r="W3629">
            <v>44918</v>
          </cell>
          <cell r="X3629">
            <v>41100607</v>
          </cell>
        </row>
        <row r="3630">
          <cell r="K3630" t="str">
            <v>DBW-2796</v>
          </cell>
          <cell r="L3630">
            <v>44896</v>
          </cell>
          <cell r="M3630">
            <v>44897</v>
          </cell>
          <cell r="N3630">
            <v>44908</v>
          </cell>
          <cell r="O3630">
            <v>44897</v>
          </cell>
          <cell r="P3630">
            <v>44908</v>
          </cell>
          <cell r="Q3630">
            <v>44908</v>
          </cell>
          <cell r="R3630">
            <v>44908</v>
          </cell>
          <cell r="S3630"/>
          <cell r="T3630">
            <v>44909</v>
          </cell>
          <cell r="U3630">
            <v>44910</v>
          </cell>
          <cell r="V3630">
            <v>44914</v>
          </cell>
          <cell r="W3630">
            <v>44914</v>
          </cell>
          <cell r="X3630">
            <v>41100608</v>
          </cell>
        </row>
        <row r="3631">
          <cell r="K3631" t="str">
            <v>DBW-2797</v>
          </cell>
          <cell r="L3631">
            <v>44896</v>
          </cell>
          <cell r="M3631">
            <v>44897</v>
          </cell>
          <cell r="N3631">
            <v>44908</v>
          </cell>
          <cell r="O3631">
            <v>44897</v>
          </cell>
          <cell r="P3631">
            <v>44908</v>
          </cell>
          <cell r="Q3631">
            <v>44908</v>
          </cell>
          <cell r="R3631">
            <v>44908</v>
          </cell>
          <cell r="S3631"/>
          <cell r="T3631">
            <v>44909</v>
          </cell>
          <cell r="U3631">
            <v>44910</v>
          </cell>
          <cell r="V3631">
            <v>44914</v>
          </cell>
          <cell r="W3631">
            <v>44914</v>
          </cell>
          <cell r="X3631">
            <v>41100608</v>
          </cell>
        </row>
        <row r="3632">
          <cell r="K3632" t="str">
            <v>-</v>
          </cell>
          <cell r="L3632">
            <v>44909</v>
          </cell>
          <cell r="M3632">
            <v>44910</v>
          </cell>
          <cell r="N3632">
            <v>44914</v>
          </cell>
          <cell r="O3632">
            <v>44910</v>
          </cell>
          <cell r="P3632">
            <v>44914</v>
          </cell>
          <cell r="Q3632">
            <v>44914</v>
          </cell>
          <cell r="R3632">
            <v>44914</v>
          </cell>
          <cell r="S3632"/>
          <cell r="T3632">
            <v>44917</v>
          </cell>
          <cell r="U3632">
            <v>44917</v>
          </cell>
          <cell r="V3632">
            <v>44918</v>
          </cell>
          <cell r="W3632">
            <v>44918</v>
          </cell>
          <cell r="X3632">
            <v>31102494</v>
          </cell>
        </row>
        <row r="3633">
          <cell r="K3633" t="str">
            <v>GBWS-3079</v>
          </cell>
          <cell r="L3633">
            <v>44895</v>
          </cell>
          <cell r="M3633">
            <v>44896</v>
          </cell>
          <cell r="N3633">
            <v>44908</v>
          </cell>
          <cell r="O3633">
            <v>44896</v>
          </cell>
          <cell r="P3633">
            <v>44908</v>
          </cell>
          <cell r="Q3633">
            <v>44909</v>
          </cell>
          <cell r="R3633">
            <v>44909</v>
          </cell>
          <cell r="S3633"/>
          <cell r="T3633">
            <v>44911</v>
          </cell>
          <cell r="U3633">
            <v>44914</v>
          </cell>
          <cell r="V3633">
            <v>44915</v>
          </cell>
          <cell r="W3633">
            <v>44915</v>
          </cell>
          <cell r="X3633">
            <v>41100584</v>
          </cell>
        </row>
        <row r="3634">
          <cell r="K3634" t="str">
            <v>GBWS-3080</v>
          </cell>
          <cell r="L3634">
            <v>44895</v>
          </cell>
          <cell r="M3634">
            <v>44896</v>
          </cell>
          <cell r="N3634">
            <v>44909</v>
          </cell>
          <cell r="O3634">
            <v>44896</v>
          </cell>
          <cell r="P3634">
            <v>44909</v>
          </cell>
          <cell r="Q3634">
            <v>44909</v>
          </cell>
          <cell r="R3634">
            <v>44909</v>
          </cell>
          <cell r="S3634"/>
          <cell r="T3634">
            <v>44914</v>
          </cell>
          <cell r="U3634">
            <v>44915</v>
          </cell>
          <cell r="V3634">
            <v>44917</v>
          </cell>
          <cell r="W3634">
            <v>44917</v>
          </cell>
          <cell r="X3634">
            <v>41100584</v>
          </cell>
        </row>
        <row r="3635">
          <cell r="K3635" t="str">
            <v>GBWS-3081</v>
          </cell>
          <cell r="L3635">
            <v>44895</v>
          </cell>
          <cell r="M3635">
            <v>44896</v>
          </cell>
          <cell r="N3635">
            <v>44909</v>
          </cell>
          <cell r="O3635">
            <v>44896</v>
          </cell>
          <cell r="P3635">
            <v>44908</v>
          </cell>
          <cell r="Q3635">
            <v>44909</v>
          </cell>
          <cell r="R3635">
            <v>44909</v>
          </cell>
          <cell r="S3635"/>
          <cell r="T3635">
            <v>44914</v>
          </cell>
          <cell r="U3635">
            <v>44915</v>
          </cell>
          <cell r="V3635">
            <v>44917</v>
          </cell>
          <cell r="W3635">
            <v>44917</v>
          </cell>
          <cell r="X3635">
            <v>41100584</v>
          </cell>
        </row>
        <row r="3636">
          <cell r="K3636" t="str">
            <v>WS-0070</v>
          </cell>
          <cell r="L3636">
            <v>44894</v>
          </cell>
          <cell r="M3636" t="str">
            <v>2022-12-08 → 11/30</v>
          </cell>
          <cell r="N3636">
            <v>44903</v>
          </cell>
          <cell r="O3636" t="str">
            <v>2022-12-08 → 11/30</v>
          </cell>
          <cell r="P3636">
            <v>44903</v>
          </cell>
          <cell r="Q3636" t="str">
            <v>2022-12-19 → 12/8</v>
          </cell>
          <cell r="R3636" t="str">
            <v>2022-12-19 → 12/8</v>
          </cell>
          <cell r="S3636"/>
          <cell r="T3636">
            <v>44907</v>
          </cell>
          <cell r="U3636">
            <v>44908</v>
          </cell>
          <cell r="V3636">
            <v>44910</v>
          </cell>
          <cell r="W3636">
            <v>44910</v>
          </cell>
          <cell r="X3636">
            <v>41100615</v>
          </cell>
        </row>
        <row r="3637">
          <cell r="K3637" t="str">
            <v>WS-0071</v>
          </cell>
          <cell r="L3637">
            <v>44894</v>
          </cell>
          <cell r="M3637" t="str">
            <v>2022-12-08 → 11/30</v>
          </cell>
          <cell r="N3637">
            <v>44903</v>
          </cell>
          <cell r="O3637" t="str">
            <v>2022-12-08 → 11/30</v>
          </cell>
          <cell r="P3637">
            <v>44903</v>
          </cell>
          <cell r="Q3637" t="str">
            <v>2022-12-19 → 12/8</v>
          </cell>
          <cell r="R3637" t="str">
            <v>2022-12-19 → 12/8</v>
          </cell>
          <cell r="S3637"/>
          <cell r="T3637">
            <v>44908</v>
          </cell>
          <cell r="U3637">
            <v>44908</v>
          </cell>
          <cell r="V3637">
            <v>44909</v>
          </cell>
          <cell r="W3637">
            <v>44909</v>
          </cell>
          <cell r="X3637">
            <v>41100615</v>
          </cell>
        </row>
        <row r="3638">
          <cell r="K3638" t="str">
            <v>SOS-0285</v>
          </cell>
          <cell r="L3638">
            <v>44873</v>
          </cell>
          <cell r="M3638">
            <v>44874</v>
          </cell>
          <cell r="N3638">
            <v>44875</v>
          </cell>
          <cell r="O3638">
            <v>44874</v>
          </cell>
          <cell r="P3638">
            <v>44876</v>
          </cell>
          <cell r="Q3638">
            <v>44879</v>
          </cell>
          <cell r="R3638">
            <v>44879</v>
          </cell>
          <cell r="S3638"/>
          <cell r="T3638">
            <v>44875</v>
          </cell>
          <cell r="U3638">
            <v>44879</v>
          </cell>
          <cell r="V3638">
            <v>44880</v>
          </cell>
          <cell r="W3638">
            <v>44880</v>
          </cell>
          <cell r="X3638">
            <v>41100182</v>
          </cell>
        </row>
        <row r="3639">
          <cell r="K3639" t="str">
            <v>G13030035</v>
          </cell>
          <cell r="L3639">
            <v>44911</v>
          </cell>
          <cell r="M3639">
            <v>44911</v>
          </cell>
          <cell r="N3639">
            <v>44915</v>
          </cell>
          <cell r="O3639">
            <v>44911</v>
          </cell>
          <cell r="P3639">
            <v>44915</v>
          </cell>
          <cell r="Q3639">
            <v>44911</v>
          </cell>
          <cell r="R3639">
            <v>44911</v>
          </cell>
          <cell r="S3639"/>
          <cell r="T3639">
            <v>44915</v>
          </cell>
          <cell r="U3639">
            <v>44917</v>
          </cell>
          <cell r="V3639">
            <v>44917</v>
          </cell>
          <cell r="W3639">
            <v>44917</v>
          </cell>
          <cell r="X3639" t="str">
            <v>-</v>
          </cell>
        </row>
        <row r="3640">
          <cell r="K3640" t="str">
            <v>G1H3015</v>
          </cell>
          <cell r="L3640">
            <v>44909</v>
          </cell>
          <cell r="M3640">
            <v>44914</v>
          </cell>
          <cell r="N3640">
            <v>44910</v>
          </cell>
          <cell r="O3640">
            <v>44914</v>
          </cell>
          <cell r="P3640">
            <v>44910</v>
          </cell>
          <cell r="Q3640">
            <v>44918</v>
          </cell>
          <cell r="R3640">
            <v>44918</v>
          </cell>
          <cell r="S3640"/>
          <cell r="T3640">
            <v>44910</v>
          </cell>
          <cell r="U3640">
            <v>44918</v>
          </cell>
          <cell r="V3640">
            <v>44921</v>
          </cell>
          <cell r="W3640">
            <v>44921</v>
          </cell>
          <cell r="X3640" t="str">
            <v>-</v>
          </cell>
        </row>
        <row r="3641">
          <cell r="K3641" t="str">
            <v>G1H3016</v>
          </cell>
          <cell r="L3641">
            <v>44909</v>
          </cell>
          <cell r="M3641">
            <v>44914</v>
          </cell>
          <cell r="N3641">
            <v>44910</v>
          </cell>
          <cell r="O3641">
            <v>44914</v>
          </cell>
          <cell r="P3641">
            <v>44910</v>
          </cell>
          <cell r="Q3641">
            <v>44918</v>
          </cell>
          <cell r="R3641">
            <v>44918</v>
          </cell>
          <cell r="S3641"/>
          <cell r="T3641">
            <v>44910</v>
          </cell>
          <cell r="U3641">
            <v>44918</v>
          </cell>
          <cell r="V3641">
            <v>44921</v>
          </cell>
          <cell r="W3641">
            <v>44921</v>
          </cell>
          <cell r="X3641" t="str">
            <v>-</v>
          </cell>
        </row>
        <row r="3642">
          <cell r="K3642" t="str">
            <v>G13090002</v>
          </cell>
          <cell r="L3642">
            <v>44918</v>
          </cell>
          <cell r="M3642">
            <v>44918</v>
          </cell>
          <cell r="N3642">
            <v>44918</v>
          </cell>
          <cell r="O3642">
            <v>44918</v>
          </cell>
          <cell r="P3642">
            <v>44918</v>
          </cell>
          <cell r="Q3642">
            <v>44918</v>
          </cell>
          <cell r="R3642">
            <v>44918</v>
          </cell>
          <cell r="S3642"/>
          <cell r="T3642">
            <v>44918</v>
          </cell>
          <cell r="U3642">
            <v>44918</v>
          </cell>
          <cell r="V3642">
            <v>44921</v>
          </cell>
          <cell r="W3642">
            <v>44921</v>
          </cell>
          <cell r="X3642" t="str">
            <v>-</v>
          </cell>
        </row>
        <row r="3643">
          <cell r="K3643" t="str">
            <v>G1H4012</v>
          </cell>
          <cell r="L3643">
            <v>44908</v>
          </cell>
          <cell r="M3643">
            <v>44909</v>
          </cell>
          <cell r="N3643">
            <v>44910</v>
          </cell>
          <cell r="O3643">
            <v>44909</v>
          </cell>
          <cell r="P3643">
            <v>44910</v>
          </cell>
          <cell r="Q3643">
            <v>44915</v>
          </cell>
          <cell r="R3643">
            <v>44915</v>
          </cell>
          <cell r="S3643"/>
          <cell r="T3643">
            <v>44910</v>
          </cell>
          <cell r="U3643">
            <v>44918</v>
          </cell>
          <cell r="V3643">
            <v>44922</v>
          </cell>
          <cell r="W3643">
            <v>44922</v>
          </cell>
          <cell r="X3643" t="str">
            <v>-</v>
          </cell>
        </row>
        <row r="3644">
          <cell r="K3644" t="str">
            <v>G1H4013</v>
          </cell>
          <cell r="L3644">
            <v>44908</v>
          </cell>
          <cell r="M3644">
            <v>44909</v>
          </cell>
          <cell r="N3644">
            <v>44910</v>
          </cell>
          <cell r="O3644">
            <v>44909</v>
          </cell>
          <cell r="P3644">
            <v>44910</v>
          </cell>
          <cell r="Q3644">
            <v>44915</v>
          </cell>
          <cell r="R3644">
            <v>44915</v>
          </cell>
          <cell r="S3644"/>
          <cell r="T3644">
            <v>44910</v>
          </cell>
          <cell r="U3644">
            <v>44918</v>
          </cell>
          <cell r="V3644">
            <v>44922</v>
          </cell>
          <cell r="W3644">
            <v>44922</v>
          </cell>
          <cell r="X3644" t="str">
            <v>-</v>
          </cell>
        </row>
        <row r="3645">
          <cell r="K3645" t="str">
            <v>G1H4014</v>
          </cell>
          <cell r="L3645">
            <v>44909</v>
          </cell>
          <cell r="M3645">
            <v>44914</v>
          </cell>
          <cell r="N3645">
            <v>44910</v>
          </cell>
          <cell r="O3645">
            <v>44914</v>
          </cell>
          <cell r="P3645">
            <v>44910</v>
          </cell>
          <cell r="Q3645">
            <v>44918</v>
          </cell>
          <cell r="R3645">
            <v>44918</v>
          </cell>
          <cell r="S3645"/>
          <cell r="T3645">
            <v>44910</v>
          </cell>
          <cell r="U3645">
            <v>44922</v>
          </cell>
          <cell r="V3645">
            <v>44922</v>
          </cell>
          <cell r="W3645">
            <v>44922</v>
          </cell>
          <cell r="X3645" t="str">
            <v>-</v>
          </cell>
        </row>
        <row r="3646">
          <cell r="K3646" t="str">
            <v>G1H4015</v>
          </cell>
          <cell r="L3646">
            <v>44909</v>
          </cell>
          <cell r="M3646">
            <v>44914</v>
          </cell>
          <cell r="N3646">
            <v>44910</v>
          </cell>
          <cell r="O3646">
            <v>44914</v>
          </cell>
          <cell r="P3646">
            <v>44910</v>
          </cell>
          <cell r="Q3646">
            <v>44918</v>
          </cell>
          <cell r="R3646">
            <v>44918</v>
          </cell>
          <cell r="S3646"/>
          <cell r="T3646">
            <v>44910</v>
          </cell>
          <cell r="U3646">
            <v>44922</v>
          </cell>
          <cell r="V3646">
            <v>44922</v>
          </cell>
          <cell r="W3646">
            <v>44922</v>
          </cell>
          <cell r="X3646" t="str">
            <v>-</v>
          </cell>
        </row>
        <row r="3647">
          <cell r="K3647" t="str">
            <v>G1H3009</v>
          </cell>
          <cell r="L3647">
            <v>44916</v>
          </cell>
          <cell r="M3647">
            <v>44916</v>
          </cell>
          <cell r="N3647">
            <v>44918</v>
          </cell>
          <cell r="O3647">
            <v>44916</v>
          </cell>
          <cell r="P3647">
            <v>44918</v>
          </cell>
          <cell r="Q3647">
            <v>44916</v>
          </cell>
          <cell r="R3647">
            <v>44916</v>
          </cell>
          <cell r="S3647"/>
          <cell r="T3647">
            <v>44918</v>
          </cell>
          <cell r="U3647">
            <v>44922</v>
          </cell>
          <cell r="V3647">
            <v>44922</v>
          </cell>
          <cell r="W3647">
            <v>44922</v>
          </cell>
          <cell r="X3647" t="str">
            <v>-</v>
          </cell>
        </row>
        <row r="3648">
          <cell r="K3648" t="str">
            <v>G14090019</v>
          </cell>
          <cell r="L3648">
            <v>44918</v>
          </cell>
          <cell r="M3648">
            <v>44918</v>
          </cell>
          <cell r="N3648">
            <v>44918</v>
          </cell>
          <cell r="O3648">
            <v>44918</v>
          </cell>
          <cell r="P3648">
            <v>44918</v>
          </cell>
          <cell r="Q3648">
            <v>44918</v>
          </cell>
          <cell r="R3648">
            <v>44918</v>
          </cell>
          <cell r="S3648"/>
          <cell r="T3648">
            <v>44918</v>
          </cell>
          <cell r="U3648">
            <v>44922</v>
          </cell>
          <cell r="V3648">
            <v>44922</v>
          </cell>
          <cell r="W3648">
            <v>44922</v>
          </cell>
          <cell r="X3648" t="str">
            <v>-</v>
          </cell>
        </row>
        <row r="3649">
          <cell r="K3649" t="str">
            <v>G12030014</v>
          </cell>
          <cell r="L3649" t="str">
            <v>-</v>
          </cell>
          <cell r="M3649">
            <v>44903</v>
          </cell>
          <cell r="N3649">
            <v>44903</v>
          </cell>
          <cell r="O3649">
            <v>44903</v>
          </cell>
          <cell r="P3649">
            <v>44903</v>
          </cell>
          <cell r="Q3649">
            <v>44903</v>
          </cell>
          <cell r="R3649">
            <v>44903</v>
          </cell>
          <cell r="S3649"/>
          <cell r="T3649">
            <v>44903</v>
          </cell>
          <cell r="U3649">
            <v>44907</v>
          </cell>
          <cell r="V3649">
            <v>44907</v>
          </cell>
          <cell r="W3649">
            <v>44907</v>
          </cell>
          <cell r="X3649" t="str">
            <v>-</v>
          </cell>
        </row>
        <row r="3650">
          <cell r="K3650" t="str">
            <v>G13030025</v>
          </cell>
          <cell r="L3650" t="str">
            <v>-</v>
          </cell>
          <cell r="M3650">
            <v>44904</v>
          </cell>
          <cell r="N3650">
            <v>44904</v>
          </cell>
          <cell r="O3650">
            <v>44904</v>
          </cell>
          <cell r="P3650">
            <v>44904</v>
          </cell>
          <cell r="Q3650">
            <v>44907</v>
          </cell>
          <cell r="R3650">
            <v>44907</v>
          </cell>
          <cell r="S3650"/>
          <cell r="T3650">
            <v>44904</v>
          </cell>
          <cell r="U3650">
            <v>44907</v>
          </cell>
          <cell r="V3650">
            <v>44907</v>
          </cell>
          <cell r="W3650">
            <v>44907</v>
          </cell>
          <cell r="X3650" t="str">
            <v>-</v>
          </cell>
        </row>
        <row r="3651">
          <cell r="K3651" t="str">
            <v>DBW-2801</v>
          </cell>
          <cell r="L3651">
            <v>44903</v>
          </cell>
          <cell r="M3651">
            <v>44904</v>
          </cell>
          <cell r="N3651">
            <v>44917</v>
          </cell>
          <cell r="O3651">
            <v>44904</v>
          </cell>
          <cell r="P3651">
            <v>44916</v>
          </cell>
          <cell r="Q3651" t="str">
            <v>2022-12-20 → 12/22</v>
          </cell>
          <cell r="R3651" t="str">
            <v>2022-12-20 → 12/22</v>
          </cell>
          <cell r="S3651"/>
          <cell r="T3651">
            <v>44918</v>
          </cell>
          <cell r="U3651">
            <v>44921</v>
          </cell>
          <cell r="V3651">
            <v>44921</v>
          </cell>
          <cell r="W3651">
            <v>44921</v>
          </cell>
          <cell r="X3651">
            <v>41100479</v>
          </cell>
        </row>
        <row r="3652">
          <cell r="K3652" t="str">
            <v>DBW-2793</v>
          </cell>
          <cell r="L3652">
            <v>44886</v>
          </cell>
          <cell r="M3652">
            <v>44886</v>
          </cell>
          <cell r="N3652">
            <v>44897</v>
          </cell>
          <cell r="O3652">
            <v>44886</v>
          </cell>
          <cell r="P3652">
            <v>44894</v>
          </cell>
          <cell r="Q3652">
            <v>44896</v>
          </cell>
          <cell r="R3652">
            <v>44896</v>
          </cell>
          <cell r="S3652"/>
          <cell r="T3652">
            <v>44897</v>
          </cell>
          <cell r="U3652">
            <v>44900</v>
          </cell>
          <cell r="V3652">
            <v>44901</v>
          </cell>
          <cell r="W3652">
            <v>44901</v>
          </cell>
          <cell r="X3652">
            <v>41100480</v>
          </cell>
        </row>
        <row r="3653">
          <cell r="K3653" t="str">
            <v>GBWS-3050</v>
          </cell>
          <cell r="L3653">
            <v>44889</v>
          </cell>
          <cell r="M3653">
            <v>44890</v>
          </cell>
          <cell r="N3653">
            <v>44902</v>
          </cell>
          <cell r="O3653">
            <v>44890</v>
          </cell>
          <cell r="P3653">
            <v>44902</v>
          </cell>
          <cell r="Q3653">
            <v>44901</v>
          </cell>
          <cell r="R3653">
            <v>44901</v>
          </cell>
          <cell r="S3653"/>
          <cell r="T3653">
            <v>44902</v>
          </cell>
          <cell r="U3653">
            <v>44904</v>
          </cell>
          <cell r="V3653">
            <v>44907</v>
          </cell>
          <cell r="W3653">
            <v>44907</v>
          </cell>
          <cell r="X3653">
            <v>41100595</v>
          </cell>
        </row>
        <row r="3654">
          <cell r="K3654" t="str">
            <v>GBWS-3097</v>
          </cell>
          <cell r="L3654">
            <v>44907</v>
          </cell>
          <cell r="M3654" t="str">
            <v>2022-11-14 → 12/13</v>
          </cell>
          <cell r="N3654">
            <v>44918</v>
          </cell>
          <cell r="O3654" t="str">
            <v>2022-11-14 → 12/13</v>
          </cell>
          <cell r="P3654">
            <v>44918</v>
          </cell>
          <cell r="Q3654" t="str">
            <v>2022-11-23 → 12/23</v>
          </cell>
          <cell r="R3654" t="str">
            <v>2022-11-23 → 12/23</v>
          </cell>
          <cell r="S3654"/>
          <cell r="T3654">
            <v>44921</v>
          </cell>
          <cell r="U3654">
            <v>44922</v>
          </cell>
          <cell r="V3654">
            <v>44922</v>
          </cell>
          <cell r="W3654">
            <v>44922</v>
          </cell>
          <cell r="X3654">
            <v>41100524</v>
          </cell>
        </row>
        <row r="3655">
          <cell r="K3655" t="str">
            <v>GBWS-3096</v>
          </cell>
          <cell r="L3655">
            <v>44904</v>
          </cell>
          <cell r="M3655">
            <v>44907</v>
          </cell>
          <cell r="N3655">
            <v>44917</v>
          </cell>
          <cell r="O3655">
            <v>44907</v>
          </cell>
          <cell r="P3655">
            <v>44915</v>
          </cell>
          <cell r="Q3655">
            <v>44917</v>
          </cell>
          <cell r="R3655">
            <v>44917</v>
          </cell>
          <cell r="S3655"/>
          <cell r="T3655">
            <v>44918</v>
          </cell>
          <cell r="U3655">
            <v>44921</v>
          </cell>
          <cell r="V3655">
            <v>44922</v>
          </cell>
          <cell r="W3655">
            <v>44922</v>
          </cell>
          <cell r="X3655">
            <v>41100328</v>
          </cell>
        </row>
        <row r="3656">
          <cell r="K3656" t="str">
            <v>DBW-2803</v>
          </cell>
          <cell r="L3656">
            <v>44907</v>
          </cell>
          <cell r="M3656">
            <v>44908</v>
          </cell>
          <cell r="N3656">
            <v>44918</v>
          </cell>
          <cell r="O3656">
            <v>44908</v>
          </cell>
          <cell r="P3656">
            <v>44921</v>
          </cell>
          <cell r="Q3656" t="str">
            <v>2022-12-22 → 12/26</v>
          </cell>
          <cell r="R3656" t="str">
            <v>2022-12-22 → 12/26</v>
          </cell>
          <cell r="S3656"/>
          <cell r="T3656">
            <v>44922</v>
          </cell>
          <cell r="U3656">
            <v>44928</v>
          </cell>
          <cell r="V3656">
            <v>44928</v>
          </cell>
          <cell r="W3656">
            <v>44928</v>
          </cell>
          <cell r="X3656">
            <v>41100496</v>
          </cell>
        </row>
        <row r="3657">
          <cell r="K3657" t="str">
            <v>DBW-2794</v>
          </cell>
          <cell r="L3657">
            <v>44893</v>
          </cell>
          <cell r="M3657">
            <v>44894</v>
          </cell>
          <cell r="N3657">
            <v>44907</v>
          </cell>
          <cell r="O3657">
            <v>44894</v>
          </cell>
          <cell r="P3657">
            <v>44907</v>
          </cell>
          <cell r="Q3657" t="str">
            <v>2022-12-08 → 12/9</v>
          </cell>
          <cell r="R3657" t="str">
            <v>2022-12-08 → 12/9</v>
          </cell>
          <cell r="S3657"/>
          <cell r="T3657">
            <v>44907</v>
          </cell>
          <cell r="U3657">
            <v>44908</v>
          </cell>
          <cell r="V3657">
            <v>44909</v>
          </cell>
          <cell r="W3657">
            <v>44909</v>
          </cell>
          <cell r="X3657">
            <v>41100470</v>
          </cell>
        </row>
        <row r="3658">
          <cell r="K3658" t="str">
            <v>DBW-2795</v>
          </cell>
          <cell r="L3658">
            <v>44893</v>
          </cell>
          <cell r="M3658">
            <v>44894</v>
          </cell>
          <cell r="N3658">
            <v>44907</v>
          </cell>
          <cell r="O3658">
            <v>44894</v>
          </cell>
          <cell r="P3658">
            <v>44907</v>
          </cell>
          <cell r="Q3658" t="str">
            <v>2022-12-08 → 12/9</v>
          </cell>
          <cell r="R3658" t="str">
            <v>2022-12-08 → 12/9</v>
          </cell>
          <cell r="S3658"/>
          <cell r="T3658">
            <v>44907</v>
          </cell>
          <cell r="U3658">
            <v>44908</v>
          </cell>
          <cell r="V3658">
            <v>44909</v>
          </cell>
          <cell r="W3658">
            <v>44909</v>
          </cell>
          <cell r="X3658">
            <v>41100470</v>
          </cell>
        </row>
        <row r="3659">
          <cell r="K3659" t="str">
            <v>G13090005</v>
          </cell>
          <cell r="L3659">
            <v>44923</v>
          </cell>
          <cell r="M3659">
            <v>44923</v>
          </cell>
          <cell r="N3659">
            <v>44923</v>
          </cell>
          <cell r="O3659">
            <v>44923</v>
          </cell>
          <cell r="P3659">
            <v>44923</v>
          </cell>
          <cell r="Q3659">
            <v>44923</v>
          </cell>
          <cell r="R3659">
            <v>44923</v>
          </cell>
          <cell r="S3659"/>
          <cell r="T3659">
            <v>44923</v>
          </cell>
          <cell r="U3659">
            <v>44929</v>
          </cell>
          <cell r="V3659">
            <v>44930</v>
          </cell>
          <cell r="W3659">
            <v>44930</v>
          </cell>
          <cell r="X3659" t="str">
            <v>-</v>
          </cell>
        </row>
        <row r="3660">
          <cell r="K3660" t="str">
            <v>G13090004</v>
          </cell>
          <cell r="L3660">
            <v>44923</v>
          </cell>
          <cell r="M3660">
            <v>44923</v>
          </cell>
          <cell r="N3660">
            <v>44923</v>
          </cell>
          <cell r="O3660">
            <v>44923</v>
          </cell>
          <cell r="P3660">
            <v>44923</v>
          </cell>
          <cell r="Q3660">
            <v>44923</v>
          </cell>
          <cell r="R3660">
            <v>44923</v>
          </cell>
          <cell r="S3660"/>
          <cell r="T3660">
            <v>44923</v>
          </cell>
          <cell r="U3660">
            <v>44929</v>
          </cell>
          <cell r="V3660">
            <v>44930</v>
          </cell>
          <cell r="W3660">
            <v>44930</v>
          </cell>
          <cell r="X3660" t="str">
            <v>-</v>
          </cell>
        </row>
        <row r="3661">
          <cell r="K3661" t="str">
            <v>G12030008</v>
          </cell>
          <cell r="L3661">
            <v>44923</v>
          </cell>
          <cell r="M3661">
            <v>44923</v>
          </cell>
          <cell r="N3661">
            <v>44923</v>
          </cell>
          <cell r="O3661">
            <v>44923</v>
          </cell>
          <cell r="P3661">
            <v>44923</v>
          </cell>
          <cell r="Q3661">
            <v>44923</v>
          </cell>
          <cell r="R3661">
            <v>44923</v>
          </cell>
          <cell r="S3661"/>
          <cell r="T3661">
            <v>44923</v>
          </cell>
          <cell r="U3661">
            <v>44930</v>
          </cell>
          <cell r="V3661">
            <v>44930</v>
          </cell>
          <cell r="W3661">
            <v>44930</v>
          </cell>
          <cell r="X3661" t="str">
            <v>-</v>
          </cell>
        </row>
        <row r="3662">
          <cell r="K3662" t="str">
            <v>GBWS-3098</v>
          </cell>
          <cell r="L3662">
            <v>44911</v>
          </cell>
          <cell r="M3662" t="str">
            <v>2022-12-13 → 12/19</v>
          </cell>
          <cell r="N3662">
            <v>44922</v>
          </cell>
          <cell r="O3662" t="str">
            <v>2022-12-13 → 12/19</v>
          </cell>
          <cell r="P3662">
            <v>44918</v>
          </cell>
          <cell r="Q3662" t="str">
            <v>2022-12-23 → 12/27</v>
          </cell>
          <cell r="R3662" t="str">
            <v>2022-12-23 → 12/27</v>
          </cell>
          <cell r="S3662"/>
          <cell r="T3662">
            <v>44923</v>
          </cell>
          <cell r="U3662">
            <v>44928</v>
          </cell>
          <cell r="V3662">
            <v>44929</v>
          </cell>
          <cell r="W3662">
            <v>44929</v>
          </cell>
          <cell r="X3662">
            <v>41100618</v>
          </cell>
        </row>
        <row r="3663">
          <cell r="K3663" t="str">
            <v>GBWS-3099</v>
          </cell>
          <cell r="L3663">
            <v>44911</v>
          </cell>
          <cell r="M3663" t="str">
            <v>2022-12-16 → 12/19</v>
          </cell>
          <cell r="N3663">
            <v>44922</v>
          </cell>
          <cell r="O3663" t="str">
            <v>2022-12-16 → 12/19</v>
          </cell>
          <cell r="P3663">
            <v>44918</v>
          </cell>
          <cell r="Q3663">
            <v>44922</v>
          </cell>
          <cell r="R3663">
            <v>44922</v>
          </cell>
          <cell r="S3663"/>
          <cell r="T3663">
            <v>44923</v>
          </cell>
          <cell r="U3663">
            <v>44928</v>
          </cell>
          <cell r="V3663">
            <v>44928</v>
          </cell>
          <cell r="W3663">
            <v>44929</v>
          </cell>
          <cell r="X3663">
            <v>41100611</v>
          </cell>
        </row>
        <row r="3664">
          <cell r="K3664" t="str">
            <v>GBWS-3100</v>
          </cell>
          <cell r="L3664">
            <v>44911</v>
          </cell>
          <cell r="M3664" t="str">
            <v>2022-12-16 → 12/19</v>
          </cell>
          <cell r="N3664">
            <v>44922</v>
          </cell>
          <cell r="O3664" t="str">
            <v>2022-12-16 → 12/19</v>
          </cell>
          <cell r="P3664">
            <v>44918</v>
          </cell>
          <cell r="Q3664">
            <v>44922</v>
          </cell>
          <cell r="R3664">
            <v>44922</v>
          </cell>
          <cell r="S3664"/>
          <cell r="T3664">
            <v>44923</v>
          </cell>
          <cell r="U3664">
            <v>44928</v>
          </cell>
          <cell r="V3664">
            <v>44928</v>
          </cell>
          <cell r="W3664">
            <v>44929</v>
          </cell>
          <cell r="X3664">
            <v>41100611</v>
          </cell>
        </row>
        <row r="3665">
          <cell r="K3665" t="str">
            <v>G13090001</v>
          </cell>
          <cell r="L3665">
            <v>44918</v>
          </cell>
          <cell r="M3665">
            <v>44918</v>
          </cell>
          <cell r="N3665">
            <v>44918</v>
          </cell>
          <cell r="O3665">
            <v>44918</v>
          </cell>
          <cell r="P3665">
            <v>44918</v>
          </cell>
          <cell r="Q3665">
            <v>44918</v>
          </cell>
          <cell r="R3665">
            <v>44918</v>
          </cell>
          <cell r="S3665"/>
          <cell r="T3665">
            <v>44918</v>
          </cell>
          <cell r="U3665">
            <v>44918</v>
          </cell>
          <cell r="V3665">
            <v>44921</v>
          </cell>
          <cell r="W3665">
            <v>44921</v>
          </cell>
          <cell r="X3665" t="str">
            <v>-</v>
          </cell>
        </row>
        <row r="3666">
          <cell r="K3666" t="str">
            <v>G13030039</v>
          </cell>
          <cell r="L3666">
            <v>44930</v>
          </cell>
          <cell r="M3666">
            <v>44930</v>
          </cell>
          <cell r="N3666">
            <v>44929</v>
          </cell>
          <cell r="O3666">
            <v>44930</v>
          </cell>
          <cell r="P3666">
            <v>44929</v>
          </cell>
          <cell r="Q3666">
            <v>44930</v>
          </cell>
          <cell r="R3666">
            <v>44930</v>
          </cell>
          <cell r="S3666"/>
          <cell r="T3666">
            <v>44929</v>
          </cell>
          <cell r="U3666">
            <v>44931</v>
          </cell>
          <cell r="V3666">
            <v>44931</v>
          </cell>
          <cell r="W3666">
            <v>44931</v>
          </cell>
          <cell r="X3666" t="str">
            <v>-</v>
          </cell>
        </row>
        <row r="3667">
          <cell r="K3667" t="str">
            <v>G1H4003</v>
          </cell>
          <cell r="L3667">
            <v>44930</v>
          </cell>
          <cell r="M3667">
            <v>44930</v>
          </cell>
          <cell r="N3667">
            <v>44929</v>
          </cell>
          <cell r="O3667">
            <v>44930</v>
          </cell>
          <cell r="P3667">
            <v>44929</v>
          </cell>
          <cell r="Q3667">
            <v>44930</v>
          </cell>
          <cell r="R3667">
            <v>44930</v>
          </cell>
          <cell r="S3667"/>
          <cell r="T3667">
            <v>44929</v>
          </cell>
          <cell r="U3667">
            <v>44931</v>
          </cell>
          <cell r="V3667">
            <v>44931</v>
          </cell>
          <cell r="W3667">
            <v>44931</v>
          </cell>
          <cell r="X3667" t="str">
            <v>-</v>
          </cell>
        </row>
        <row r="3668">
          <cell r="K3668" t="str">
            <v>DBW-2809</v>
          </cell>
          <cell r="L3668">
            <v>44910</v>
          </cell>
          <cell r="M3668">
            <v>44911</v>
          </cell>
          <cell r="N3668">
            <v>44922</v>
          </cell>
          <cell r="O3668">
            <v>44911</v>
          </cell>
          <cell r="P3668">
            <v>44922</v>
          </cell>
          <cell r="Q3668">
            <v>44922</v>
          </cell>
          <cell r="R3668">
            <v>44922</v>
          </cell>
          <cell r="S3668"/>
          <cell r="T3668">
            <v>44928</v>
          </cell>
          <cell r="U3668">
            <v>44929</v>
          </cell>
          <cell r="V3668">
            <v>44929</v>
          </cell>
          <cell r="W3668">
            <v>44930</v>
          </cell>
          <cell r="X3668">
            <v>41100608</v>
          </cell>
        </row>
        <row r="3669">
          <cell r="K3669" t="str">
            <v>DBW-2810</v>
          </cell>
          <cell r="L3669">
            <v>44910</v>
          </cell>
          <cell r="M3669">
            <v>44911</v>
          </cell>
          <cell r="N3669">
            <v>44922</v>
          </cell>
          <cell r="O3669">
            <v>44911</v>
          </cell>
          <cell r="P3669">
            <v>44922</v>
          </cell>
          <cell r="Q3669">
            <v>44922</v>
          </cell>
          <cell r="R3669">
            <v>44922</v>
          </cell>
          <cell r="S3669"/>
          <cell r="T3669">
            <v>44928</v>
          </cell>
          <cell r="U3669">
            <v>44929</v>
          </cell>
          <cell r="V3669">
            <v>44929</v>
          </cell>
          <cell r="W3669">
            <v>44930</v>
          </cell>
          <cell r="X3669">
            <v>41100608</v>
          </cell>
        </row>
        <row r="3670">
          <cell r="K3670" t="str">
            <v>DBW-2811</v>
          </cell>
          <cell r="L3670">
            <v>44910</v>
          </cell>
          <cell r="M3670">
            <v>44911</v>
          </cell>
          <cell r="N3670">
            <v>44922</v>
          </cell>
          <cell r="O3670">
            <v>44911</v>
          </cell>
          <cell r="P3670">
            <v>44922</v>
          </cell>
          <cell r="Q3670">
            <v>44922</v>
          </cell>
          <cell r="R3670">
            <v>44922</v>
          </cell>
          <cell r="S3670"/>
          <cell r="T3670">
            <v>44928</v>
          </cell>
          <cell r="U3670">
            <v>44929</v>
          </cell>
          <cell r="V3670">
            <v>44930</v>
          </cell>
          <cell r="W3670">
            <v>44930</v>
          </cell>
          <cell r="X3670">
            <v>41100608</v>
          </cell>
        </row>
        <row r="3671">
          <cell r="K3671" t="str">
            <v>DBW-2812</v>
          </cell>
          <cell r="L3671">
            <v>44910</v>
          </cell>
          <cell r="M3671">
            <v>44911</v>
          </cell>
          <cell r="N3671">
            <v>44922</v>
          </cell>
          <cell r="O3671">
            <v>44911</v>
          </cell>
          <cell r="P3671">
            <v>44922</v>
          </cell>
          <cell r="Q3671">
            <v>44922</v>
          </cell>
          <cell r="R3671">
            <v>44922</v>
          </cell>
          <cell r="S3671"/>
          <cell r="T3671">
            <v>44928</v>
          </cell>
          <cell r="U3671">
            <v>44930</v>
          </cell>
          <cell r="V3671">
            <v>44930</v>
          </cell>
          <cell r="W3671">
            <v>44931</v>
          </cell>
          <cell r="X3671">
            <v>41100608</v>
          </cell>
        </row>
        <row r="3672">
          <cell r="K3672" t="str">
            <v>DBW-2813</v>
          </cell>
          <cell r="L3672">
            <v>44910</v>
          </cell>
          <cell r="M3672">
            <v>44911</v>
          </cell>
          <cell r="N3672">
            <v>44922</v>
          </cell>
          <cell r="O3672">
            <v>44911</v>
          </cell>
          <cell r="P3672">
            <v>44922</v>
          </cell>
          <cell r="Q3672">
            <v>44922</v>
          </cell>
          <cell r="R3672">
            <v>44922</v>
          </cell>
          <cell r="S3672"/>
          <cell r="T3672">
            <v>44928</v>
          </cell>
          <cell r="U3672">
            <v>44930</v>
          </cell>
          <cell r="V3672">
            <v>44931</v>
          </cell>
          <cell r="W3672">
            <v>44931</v>
          </cell>
          <cell r="X3672">
            <v>41100500</v>
          </cell>
        </row>
        <row r="3673">
          <cell r="K3673" t="str">
            <v>G13030017</v>
          </cell>
          <cell r="L3673">
            <v>44930</v>
          </cell>
          <cell r="M3673">
            <v>44930</v>
          </cell>
          <cell r="N3673">
            <v>44929</v>
          </cell>
          <cell r="O3673">
            <v>44930</v>
          </cell>
          <cell r="P3673">
            <v>44929</v>
          </cell>
          <cell r="Q3673">
            <v>44930</v>
          </cell>
          <cell r="R3673">
            <v>44930</v>
          </cell>
          <cell r="S3673"/>
          <cell r="T3673">
            <v>44929</v>
          </cell>
          <cell r="U3673">
            <v>44935</v>
          </cell>
          <cell r="V3673">
            <v>44935</v>
          </cell>
          <cell r="W3673">
            <v>44935</v>
          </cell>
          <cell r="X3673" t="str">
            <v>-</v>
          </cell>
        </row>
        <row r="3674">
          <cell r="K3674" t="str">
            <v>G13090010</v>
          </cell>
          <cell r="L3674">
            <v>44932</v>
          </cell>
          <cell r="M3674">
            <v>44932</v>
          </cell>
          <cell r="N3674">
            <v>44932</v>
          </cell>
          <cell r="O3674">
            <v>44932</v>
          </cell>
          <cell r="P3674">
            <v>44932</v>
          </cell>
          <cell r="Q3674">
            <v>44932</v>
          </cell>
          <cell r="R3674">
            <v>44932</v>
          </cell>
          <cell r="S3674"/>
          <cell r="T3674">
            <v>44932</v>
          </cell>
          <cell r="U3674">
            <v>44935</v>
          </cell>
          <cell r="V3674">
            <v>44935</v>
          </cell>
          <cell r="W3674">
            <v>44935</v>
          </cell>
          <cell r="X3674" t="str">
            <v>-</v>
          </cell>
        </row>
        <row r="3675">
          <cell r="K3675" t="str">
            <v>G1H3001</v>
          </cell>
          <cell r="L3675">
            <v>44932</v>
          </cell>
          <cell r="M3675">
            <v>44932</v>
          </cell>
          <cell r="N3675">
            <v>44932</v>
          </cell>
          <cell r="O3675">
            <v>44932</v>
          </cell>
          <cell r="P3675">
            <v>44932</v>
          </cell>
          <cell r="Q3675">
            <v>44932</v>
          </cell>
          <cell r="R3675">
            <v>44932</v>
          </cell>
          <cell r="S3675"/>
          <cell r="T3675">
            <v>44932</v>
          </cell>
          <cell r="U3675">
            <v>44935</v>
          </cell>
          <cell r="V3675">
            <v>44935</v>
          </cell>
          <cell r="W3675">
            <v>44935</v>
          </cell>
          <cell r="X3675" t="str">
            <v>-</v>
          </cell>
        </row>
        <row r="3676">
          <cell r="K3676" t="str">
            <v>DBW-2806</v>
          </cell>
          <cell r="L3676">
            <v>44908</v>
          </cell>
          <cell r="M3676">
            <v>44909</v>
          </cell>
          <cell r="N3676">
            <v>44921</v>
          </cell>
          <cell r="O3676">
            <v>44909</v>
          </cell>
          <cell r="P3676">
            <v>44929</v>
          </cell>
          <cell r="Q3676" t="str">
            <v>2022-12-23 → 23/01/03</v>
          </cell>
          <cell r="R3676" t="str">
            <v>2022-12-23 → 23/01/03</v>
          </cell>
          <cell r="S3676"/>
          <cell r="T3676">
            <v>44930</v>
          </cell>
          <cell r="U3676">
            <v>44931</v>
          </cell>
          <cell r="V3676">
            <v>44931</v>
          </cell>
          <cell r="W3676">
            <v>44932</v>
          </cell>
          <cell r="X3676">
            <v>41100466</v>
          </cell>
        </row>
        <row r="3677">
          <cell r="K3677" t="str">
            <v>DBW-2807</v>
          </cell>
          <cell r="L3677">
            <v>44908</v>
          </cell>
          <cell r="M3677">
            <v>44909</v>
          </cell>
          <cell r="N3677">
            <v>44921</v>
          </cell>
          <cell r="O3677">
            <v>44909</v>
          </cell>
          <cell r="P3677">
            <v>44929</v>
          </cell>
          <cell r="Q3677" t="str">
            <v>2022-12-23 → 23/01/03</v>
          </cell>
          <cell r="R3677" t="str">
            <v>2022-12-23 → 23/01/03</v>
          </cell>
          <cell r="S3677"/>
          <cell r="T3677">
            <v>44930</v>
          </cell>
          <cell r="U3677">
            <v>44931</v>
          </cell>
          <cell r="V3677">
            <v>44932</v>
          </cell>
          <cell r="W3677">
            <v>44932</v>
          </cell>
          <cell r="X3677">
            <v>41100466</v>
          </cell>
        </row>
        <row r="3678">
          <cell r="K3678" t="str">
            <v>G14090015</v>
          </cell>
          <cell r="L3678">
            <v>44923</v>
          </cell>
          <cell r="M3678">
            <v>44923</v>
          </cell>
          <cell r="N3678">
            <v>44923</v>
          </cell>
          <cell r="O3678">
            <v>44923</v>
          </cell>
          <cell r="P3678">
            <v>44923</v>
          </cell>
          <cell r="Q3678">
            <v>44923</v>
          </cell>
          <cell r="R3678">
            <v>44923</v>
          </cell>
          <cell r="S3678"/>
          <cell r="T3678">
            <v>44923</v>
          </cell>
          <cell r="U3678">
            <v>44937</v>
          </cell>
          <cell r="V3678">
            <v>44937</v>
          </cell>
          <cell r="W3678">
            <v>44937</v>
          </cell>
          <cell r="X3678" t="str">
            <v>-</v>
          </cell>
        </row>
        <row r="3679">
          <cell r="K3679" t="str">
            <v>G1H4005</v>
          </cell>
          <cell r="L3679">
            <v>44932</v>
          </cell>
          <cell r="M3679">
            <v>44932</v>
          </cell>
          <cell r="N3679">
            <v>44932</v>
          </cell>
          <cell r="O3679">
            <v>44932</v>
          </cell>
          <cell r="P3679">
            <v>44932</v>
          </cell>
          <cell r="Q3679">
            <v>44932</v>
          </cell>
          <cell r="R3679">
            <v>44932</v>
          </cell>
          <cell r="S3679"/>
          <cell r="T3679">
            <v>44932</v>
          </cell>
          <cell r="U3679">
            <v>44937</v>
          </cell>
          <cell r="V3679">
            <v>44937</v>
          </cell>
          <cell r="W3679">
            <v>44937</v>
          </cell>
          <cell r="X3679" t="str">
            <v>-</v>
          </cell>
        </row>
        <row r="3680">
          <cell r="K3680" t="str">
            <v>DBW-2804</v>
          </cell>
          <cell r="L3680">
            <v>44907</v>
          </cell>
          <cell r="M3680">
            <v>44908</v>
          </cell>
          <cell r="N3680">
            <v>44918</v>
          </cell>
          <cell r="O3680">
            <v>44908</v>
          </cell>
          <cell r="P3680">
            <v>44921</v>
          </cell>
          <cell r="Q3680" t="str">
            <v>2022-12-22 → 12/27</v>
          </cell>
          <cell r="R3680" t="str">
            <v>2022-12-22 → 12/27</v>
          </cell>
          <cell r="S3680"/>
          <cell r="T3680">
            <v>44922</v>
          </cell>
          <cell r="U3680">
            <v>44928</v>
          </cell>
          <cell r="V3680">
            <v>44928</v>
          </cell>
          <cell r="W3680">
            <v>44928</v>
          </cell>
          <cell r="X3680">
            <v>41100496</v>
          </cell>
        </row>
        <row r="3681">
          <cell r="K3681" t="str">
            <v>GBWS-3101</v>
          </cell>
          <cell r="L3681">
            <v>44911</v>
          </cell>
          <cell r="M3681">
            <v>44914</v>
          </cell>
          <cell r="N3681">
            <v>44921</v>
          </cell>
          <cell r="O3681">
            <v>44914</v>
          </cell>
          <cell r="P3681">
            <v>44922</v>
          </cell>
          <cell r="Q3681">
            <v>44921</v>
          </cell>
          <cell r="R3681">
            <v>44921</v>
          </cell>
          <cell r="S3681"/>
          <cell r="T3681">
            <v>44922</v>
          </cell>
          <cell r="U3681">
            <v>44930</v>
          </cell>
          <cell r="V3681">
            <v>44931</v>
          </cell>
          <cell r="W3681">
            <v>44931</v>
          </cell>
          <cell r="X3681">
            <v>41100622</v>
          </cell>
        </row>
        <row r="3682">
          <cell r="K3682" t="str">
            <v>SOS-0286</v>
          </cell>
          <cell r="L3682">
            <v>44911</v>
          </cell>
          <cell r="M3682">
            <v>44914</v>
          </cell>
          <cell r="N3682">
            <v>44916</v>
          </cell>
          <cell r="O3682">
            <v>44914</v>
          </cell>
          <cell r="P3682">
            <v>44917</v>
          </cell>
          <cell r="Q3682">
            <v>44917</v>
          </cell>
          <cell r="R3682">
            <v>44917</v>
          </cell>
          <cell r="S3682"/>
          <cell r="T3682">
            <v>44916</v>
          </cell>
          <cell r="U3682">
            <v>44921</v>
          </cell>
          <cell r="V3682">
            <v>44921</v>
          </cell>
          <cell r="W3682">
            <v>44921</v>
          </cell>
          <cell r="X3682">
            <v>41100299</v>
          </cell>
        </row>
        <row r="3683">
          <cell r="K3683" t="str">
            <v>SOS-0287</v>
          </cell>
          <cell r="L3683">
            <v>44914</v>
          </cell>
          <cell r="M3683">
            <v>44915</v>
          </cell>
          <cell r="N3683">
            <v>44916</v>
          </cell>
          <cell r="O3683">
            <v>44915</v>
          </cell>
          <cell r="P3683">
            <v>44917</v>
          </cell>
          <cell r="Q3683">
            <v>44918</v>
          </cell>
          <cell r="R3683">
            <v>44918</v>
          </cell>
          <cell r="S3683"/>
          <cell r="T3683">
            <v>44916</v>
          </cell>
          <cell r="U3683">
            <v>44921</v>
          </cell>
          <cell r="V3683">
            <v>44921</v>
          </cell>
          <cell r="W3683">
            <v>44921</v>
          </cell>
          <cell r="X3683">
            <v>41100299</v>
          </cell>
        </row>
        <row r="3684">
          <cell r="K3684" t="str">
            <v>DBW-2815</v>
          </cell>
          <cell r="L3684">
            <v>44914</v>
          </cell>
          <cell r="M3684">
            <v>44915</v>
          </cell>
          <cell r="N3684">
            <v>44930</v>
          </cell>
          <cell r="O3684">
            <v>44915</v>
          </cell>
          <cell r="P3684">
            <v>44930</v>
          </cell>
          <cell r="Q3684" t="str">
            <v>2022-12-30 → 23/01/04</v>
          </cell>
          <cell r="R3684" t="str">
            <v>2022-12-30 → 23/01/04</v>
          </cell>
          <cell r="S3684"/>
          <cell r="T3684">
            <v>44931</v>
          </cell>
          <cell r="U3684">
            <v>44932</v>
          </cell>
          <cell r="V3684">
            <v>44937</v>
          </cell>
          <cell r="W3684">
            <v>44937</v>
          </cell>
          <cell r="X3684">
            <v>41100496</v>
          </cell>
        </row>
        <row r="3685">
          <cell r="K3685" t="str">
            <v>GBWS-3048</v>
          </cell>
          <cell r="L3685">
            <v>44889</v>
          </cell>
          <cell r="M3685">
            <v>44890</v>
          </cell>
          <cell r="N3685">
            <v>44903</v>
          </cell>
          <cell r="O3685">
            <v>44890</v>
          </cell>
          <cell r="P3685">
            <v>44902</v>
          </cell>
          <cell r="Q3685" t="str">
            <v>2022-12-05 → 12/7</v>
          </cell>
          <cell r="R3685" t="str">
            <v>2022-12-05 → 12/7</v>
          </cell>
          <cell r="S3685"/>
          <cell r="T3685">
            <v>44903</v>
          </cell>
          <cell r="U3685">
            <v>44908</v>
          </cell>
          <cell r="V3685">
            <v>44909</v>
          </cell>
          <cell r="W3685">
            <v>44909</v>
          </cell>
          <cell r="X3685">
            <v>41100576</v>
          </cell>
        </row>
        <row r="3686">
          <cell r="K3686" t="str">
            <v>GBWS-3049</v>
          </cell>
          <cell r="L3686">
            <v>44889</v>
          </cell>
          <cell r="M3686">
            <v>44890</v>
          </cell>
          <cell r="N3686">
            <v>44903</v>
          </cell>
          <cell r="O3686">
            <v>44890</v>
          </cell>
          <cell r="P3686">
            <v>44902</v>
          </cell>
          <cell r="Q3686" t="str">
            <v>2022-12-05 → 12/7</v>
          </cell>
          <cell r="R3686" t="str">
            <v>2022-12-05 → 12/7</v>
          </cell>
          <cell r="S3686"/>
          <cell r="T3686">
            <v>44903</v>
          </cell>
          <cell r="U3686">
            <v>44908</v>
          </cell>
          <cell r="V3686">
            <v>44909</v>
          </cell>
          <cell r="W3686">
            <v>44909</v>
          </cell>
          <cell r="X3686">
            <v>41100576</v>
          </cell>
        </row>
        <row r="3687">
          <cell r="K3687" t="str">
            <v>IVAS-178</v>
          </cell>
          <cell r="L3687">
            <v>44908</v>
          </cell>
          <cell r="M3687">
            <v>44909</v>
          </cell>
          <cell r="N3687">
            <v>44921</v>
          </cell>
          <cell r="O3687">
            <v>44909</v>
          </cell>
          <cell r="P3687">
            <v>44928</v>
          </cell>
          <cell r="Q3687">
            <v>44921</v>
          </cell>
          <cell r="R3687">
            <v>44921</v>
          </cell>
          <cell r="S3687"/>
          <cell r="T3687">
            <v>44922</v>
          </cell>
          <cell r="U3687">
            <v>44935</v>
          </cell>
          <cell r="V3687">
            <v>44936</v>
          </cell>
          <cell r="W3687">
            <v>44938</v>
          </cell>
          <cell r="X3687">
            <v>41100414</v>
          </cell>
        </row>
        <row r="3688">
          <cell r="K3688" t="str">
            <v>GBWS-3103</v>
          </cell>
          <cell r="L3688">
            <v>44915</v>
          </cell>
          <cell r="M3688">
            <v>44916</v>
          </cell>
          <cell r="N3688">
            <v>44932</v>
          </cell>
          <cell r="O3688">
            <v>44916</v>
          </cell>
          <cell r="P3688">
            <v>44932</v>
          </cell>
          <cell r="Q3688" t="str">
            <v>2022-12-28 → 23/01/04 → 1/6</v>
          </cell>
          <cell r="R3688" t="str">
            <v>2022-12-28 → 23/01/04 → 1/6</v>
          </cell>
          <cell r="S3688"/>
          <cell r="T3688">
            <v>44935</v>
          </cell>
          <cell r="U3688">
            <v>44936</v>
          </cell>
          <cell r="V3688">
            <v>44937</v>
          </cell>
          <cell r="W3688">
            <v>44937</v>
          </cell>
          <cell r="X3688">
            <v>41100468</v>
          </cell>
        </row>
        <row r="3689">
          <cell r="K3689" t="str">
            <v>GBWS-3104</v>
          </cell>
          <cell r="L3689">
            <v>44915</v>
          </cell>
          <cell r="M3689">
            <v>44916</v>
          </cell>
          <cell r="N3689">
            <v>44932</v>
          </cell>
          <cell r="O3689">
            <v>44916</v>
          </cell>
          <cell r="P3689">
            <v>44932</v>
          </cell>
          <cell r="Q3689" t="str">
            <v>2022-12-28 → 23/01/04 → 1/6</v>
          </cell>
          <cell r="R3689" t="str">
            <v>2022-12-28 → 23/01/04 → 1/6</v>
          </cell>
          <cell r="S3689"/>
          <cell r="T3689">
            <v>44935</v>
          </cell>
          <cell r="U3689">
            <v>44936</v>
          </cell>
          <cell r="V3689">
            <v>44937</v>
          </cell>
          <cell r="W3689">
            <v>44937</v>
          </cell>
          <cell r="X3689">
            <v>41100468</v>
          </cell>
        </row>
        <row r="3690">
          <cell r="K3690" t="str">
            <v>GBWS-3105</v>
          </cell>
          <cell r="L3690">
            <v>44915</v>
          </cell>
          <cell r="M3690">
            <v>44916</v>
          </cell>
          <cell r="N3690">
            <v>44932</v>
          </cell>
          <cell r="O3690">
            <v>44916</v>
          </cell>
          <cell r="P3690">
            <v>44932</v>
          </cell>
          <cell r="Q3690" t="str">
            <v>2022-12-28 → 23/01/04 → 1/6</v>
          </cell>
          <cell r="R3690" t="str">
            <v>2022-12-28 → 23/01/04 → 1/6</v>
          </cell>
          <cell r="S3690"/>
          <cell r="T3690">
            <v>44935</v>
          </cell>
          <cell r="U3690">
            <v>44936</v>
          </cell>
          <cell r="V3690">
            <v>44936</v>
          </cell>
          <cell r="W3690">
            <v>44937</v>
          </cell>
          <cell r="X3690">
            <v>41100468</v>
          </cell>
        </row>
        <row r="3691">
          <cell r="K3691" t="str">
            <v>GBWS-3106</v>
          </cell>
          <cell r="L3691">
            <v>44915</v>
          </cell>
          <cell r="M3691">
            <v>44916</v>
          </cell>
          <cell r="N3691">
            <v>44932</v>
          </cell>
          <cell r="O3691">
            <v>44916</v>
          </cell>
          <cell r="P3691">
            <v>44932</v>
          </cell>
          <cell r="Q3691" t="str">
            <v>2022-12-28 → 23/01/04 → 1/6</v>
          </cell>
          <cell r="R3691" t="str">
            <v>2022-12-28 → 23/01/04 → 1/6</v>
          </cell>
          <cell r="S3691"/>
          <cell r="T3691">
            <v>44935</v>
          </cell>
          <cell r="U3691">
            <v>44936</v>
          </cell>
          <cell r="V3691">
            <v>44936</v>
          </cell>
          <cell r="W3691">
            <v>44937</v>
          </cell>
          <cell r="X3691">
            <v>41100468</v>
          </cell>
        </row>
        <row r="3692">
          <cell r="K3692" t="str">
            <v>GBWS-3107</v>
          </cell>
          <cell r="L3692">
            <v>44917</v>
          </cell>
          <cell r="M3692">
            <v>44918</v>
          </cell>
          <cell r="N3692">
            <v>44929</v>
          </cell>
          <cell r="O3692">
            <v>44918</v>
          </cell>
          <cell r="P3692">
            <v>44929</v>
          </cell>
          <cell r="Q3692" t="str">
            <v>2022-12-29 → 23/01/03</v>
          </cell>
          <cell r="R3692" t="str">
            <v>2022-12-29 → 23/01/03</v>
          </cell>
          <cell r="S3692"/>
          <cell r="T3692">
            <v>44930</v>
          </cell>
          <cell r="U3692">
            <v>44931</v>
          </cell>
          <cell r="V3692">
            <v>44932</v>
          </cell>
          <cell r="W3692">
            <v>44932</v>
          </cell>
          <cell r="X3692">
            <v>41100468</v>
          </cell>
        </row>
        <row r="3693">
          <cell r="K3693" t="str">
            <v>GBWS-3108</v>
          </cell>
          <cell r="L3693">
            <v>44917</v>
          </cell>
          <cell r="M3693">
            <v>44918</v>
          </cell>
          <cell r="N3693">
            <v>44929</v>
          </cell>
          <cell r="O3693">
            <v>44918</v>
          </cell>
          <cell r="P3693">
            <v>44929</v>
          </cell>
          <cell r="Q3693" t="str">
            <v>2022-12-29 → 23/01/03</v>
          </cell>
          <cell r="R3693" t="str">
            <v>2022-12-29 → 23/01/03</v>
          </cell>
          <cell r="S3693"/>
          <cell r="T3693">
            <v>44930</v>
          </cell>
          <cell r="U3693">
            <v>44931</v>
          </cell>
          <cell r="V3693">
            <v>44932</v>
          </cell>
          <cell r="W3693">
            <v>44932</v>
          </cell>
          <cell r="X3693">
            <v>41100468</v>
          </cell>
        </row>
        <row r="3694">
          <cell r="K3694" t="str">
            <v>DBW-2826</v>
          </cell>
          <cell r="L3694">
            <v>44921</v>
          </cell>
          <cell r="M3694">
            <v>44922</v>
          </cell>
          <cell r="N3694">
            <v>44931</v>
          </cell>
          <cell r="O3694">
            <v>44922</v>
          </cell>
          <cell r="P3694">
            <v>44931</v>
          </cell>
          <cell r="Q3694">
            <v>44931</v>
          </cell>
          <cell r="R3694">
            <v>44931</v>
          </cell>
          <cell r="S3694"/>
          <cell r="T3694">
            <v>44932</v>
          </cell>
          <cell r="U3694">
            <v>44935</v>
          </cell>
          <cell r="V3694">
            <v>44935</v>
          </cell>
          <cell r="W3694">
            <v>44935</v>
          </cell>
          <cell r="X3694">
            <v>41100465</v>
          </cell>
        </row>
        <row r="3695">
          <cell r="K3695" t="str">
            <v>DBW-2827</v>
          </cell>
          <cell r="L3695">
            <v>44921</v>
          </cell>
          <cell r="M3695">
            <v>44922</v>
          </cell>
          <cell r="N3695">
            <v>44931</v>
          </cell>
          <cell r="O3695">
            <v>44922</v>
          </cell>
          <cell r="P3695">
            <v>44931</v>
          </cell>
          <cell r="Q3695">
            <v>44931</v>
          </cell>
          <cell r="R3695">
            <v>44931</v>
          </cell>
          <cell r="S3695"/>
          <cell r="T3695">
            <v>44932</v>
          </cell>
          <cell r="U3695">
            <v>44935</v>
          </cell>
          <cell r="V3695">
            <v>44935</v>
          </cell>
          <cell r="W3695">
            <v>44935</v>
          </cell>
          <cell r="X3695">
            <v>41100465</v>
          </cell>
        </row>
        <row r="3696">
          <cell r="K3696" t="str">
            <v>DBW-2798</v>
          </cell>
          <cell r="L3696">
            <v>44897</v>
          </cell>
          <cell r="M3696">
            <v>44900</v>
          </cell>
          <cell r="N3696">
            <v>44908</v>
          </cell>
          <cell r="O3696">
            <v>44900</v>
          </cell>
          <cell r="P3696">
            <v>44909</v>
          </cell>
          <cell r="Q3696">
            <v>44909</v>
          </cell>
          <cell r="R3696">
            <v>44909</v>
          </cell>
          <cell r="S3696"/>
          <cell r="T3696">
            <v>44910</v>
          </cell>
          <cell r="U3696">
            <v>44911</v>
          </cell>
          <cell r="V3696">
            <v>44914</v>
          </cell>
          <cell r="W3696">
            <v>44914</v>
          </cell>
          <cell r="X3696">
            <v>41100473</v>
          </cell>
        </row>
        <row r="3697">
          <cell r="K3697" t="str">
            <v>DBW-2799</v>
          </cell>
          <cell r="L3697">
            <v>44897</v>
          </cell>
          <cell r="M3697">
            <v>44900</v>
          </cell>
          <cell r="N3697">
            <v>44908</v>
          </cell>
          <cell r="O3697">
            <v>44900</v>
          </cell>
          <cell r="P3697">
            <v>44909</v>
          </cell>
          <cell r="Q3697">
            <v>44909</v>
          </cell>
          <cell r="R3697">
            <v>44909</v>
          </cell>
          <cell r="S3697"/>
          <cell r="T3697">
            <v>44910</v>
          </cell>
          <cell r="U3697">
            <v>44911</v>
          </cell>
          <cell r="V3697">
            <v>44914</v>
          </cell>
          <cell r="W3697">
            <v>44914</v>
          </cell>
          <cell r="X3697">
            <v>41100473</v>
          </cell>
        </row>
        <row r="3698">
          <cell r="K3698" t="str">
            <v>SOS-0289</v>
          </cell>
          <cell r="L3698">
            <v>44928</v>
          </cell>
          <cell r="M3698">
            <v>44929</v>
          </cell>
          <cell r="N3698">
            <v>44930</v>
          </cell>
          <cell r="O3698">
            <v>44929</v>
          </cell>
          <cell r="P3698">
            <v>44931</v>
          </cell>
          <cell r="Q3698">
            <v>44930</v>
          </cell>
          <cell r="R3698">
            <v>44930</v>
          </cell>
          <cell r="S3698"/>
          <cell r="T3698">
            <v>44931</v>
          </cell>
          <cell r="U3698">
            <v>44932</v>
          </cell>
          <cell r="V3698">
            <v>44935</v>
          </cell>
          <cell r="W3698">
            <v>44935</v>
          </cell>
          <cell r="X3698">
            <v>41100182</v>
          </cell>
        </row>
        <row r="3699">
          <cell r="K3699" t="str">
            <v>SOS-0290</v>
          </cell>
          <cell r="L3699">
            <v>44928</v>
          </cell>
          <cell r="M3699">
            <v>44929</v>
          </cell>
          <cell r="N3699">
            <v>44930</v>
          </cell>
          <cell r="O3699">
            <v>44929</v>
          </cell>
          <cell r="P3699">
            <v>44931</v>
          </cell>
          <cell r="Q3699">
            <v>44930</v>
          </cell>
          <cell r="R3699">
            <v>44930</v>
          </cell>
          <cell r="S3699"/>
          <cell r="T3699">
            <v>44931</v>
          </cell>
          <cell r="U3699">
            <v>44932</v>
          </cell>
          <cell r="V3699">
            <v>44935</v>
          </cell>
          <cell r="W3699">
            <v>44935</v>
          </cell>
          <cell r="X3699">
            <v>41100182</v>
          </cell>
        </row>
        <row r="3700">
          <cell r="K3700" t="str">
            <v>G13030023</v>
          </cell>
          <cell r="L3700">
            <v>44937</v>
          </cell>
          <cell r="M3700">
            <v>44937</v>
          </cell>
          <cell r="N3700">
            <v>44937</v>
          </cell>
          <cell r="O3700">
            <v>44937</v>
          </cell>
          <cell r="P3700">
            <v>44937</v>
          </cell>
          <cell r="Q3700">
            <v>44937</v>
          </cell>
          <cell r="R3700">
            <v>44937</v>
          </cell>
          <cell r="S3700"/>
          <cell r="T3700">
            <v>44937</v>
          </cell>
          <cell r="U3700">
            <v>44938</v>
          </cell>
          <cell r="V3700">
            <v>44938</v>
          </cell>
          <cell r="W3700">
            <v>44938</v>
          </cell>
          <cell r="X3700"/>
        </row>
        <row r="3701">
          <cell r="K3701" t="str">
            <v>G13030015</v>
          </cell>
          <cell r="L3701">
            <v>44937</v>
          </cell>
          <cell r="M3701">
            <v>44937</v>
          </cell>
          <cell r="N3701">
            <v>44937</v>
          </cell>
          <cell r="O3701">
            <v>44937</v>
          </cell>
          <cell r="P3701">
            <v>44937</v>
          </cell>
          <cell r="Q3701">
            <v>44937</v>
          </cell>
          <cell r="R3701">
            <v>44937</v>
          </cell>
          <cell r="S3701"/>
          <cell r="T3701">
            <v>44937</v>
          </cell>
          <cell r="U3701">
            <v>44938</v>
          </cell>
          <cell r="V3701">
            <v>44938</v>
          </cell>
          <cell r="W3701">
            <v>44938</v>
          </cell>
          <cell r="X3701" t="str">
            <v>-</v>
          </cell>
        </row>
        <row r="3702">
          <cell r="K3702" t="str">
            <v>G23030007</v>
          </cell>
          <cell r="L3702">
            <v>44937</v>
          </cell>
          <cell r="M3702">
            <v>44937</v>
          </cell>
          <cell r="N3702">
            <v>44937</v>
          </cell>
          <cell r="O3702">
            <v>44937</v>
          </cell>
          <cell r="P3702">
            <v>44937</v>
          </cell>
          <cell r="Q3702">
            <v>44937</v>
          </cell>
          <cell r="R3702">
            <v>44937</v>
          </cell>
          <cell r="S3702"/>
          <cell r="T3702">
            <v>44937</v>
          </cell>
          <cell r="U3702">
            <v>44938</v>
          </cell>
          <cell r="V3702">
            <v>44938</v>
          </cell>
          <cell r="W3702">
            <v>44938</v>
          </cell>
          <cell r="X3702" t="str">
            <v>-</v>
          </cell>
        </row>
        <row r="3703">
          <cell r="K3703" t="str">
            <v>HNM-0001~0006</v>
          </cell>
          <cell r="L3703">
            <v>44930</v>
          </cell>
          <cell r="M3703">
            <v>44931</v>
          </cell>
          <cell r="N3703">
            <v>44936</v>
          </cell>
          <cell r="O3703">
            <v>44931</v>
          </cell>
          <cell r="P3703">
            <v>44938</v>
          </cell>
          <cell r="Q3703">
            <v>44935</v>
          </cell>
          <cell r="R3703">
            <v>44935</v>
          </cell>
          <cell r="S3703"/>
          <cell r="T3703">
            <v>44937</v>
          </cell>
          <cell r="U3703">
            <v>44938</v>
          </cell>
          <cell r="V3703">
            <v>44938</v>
          </cell>
          <cell r="W3703">
            <v>44938</v>
          </cell>
          <cell r="X3703">
            <v>31102573</v>
          </cell>
        </row>
        <row r="3704">
          <cell r="K3704" t="str">
            <v>GBWS-3087</v>
          </cell>
          <cell r="L3704">
            <v>44901</v>
          </cell>
          <cell r="M3704">
            <v>44902</v>
          </cell>
          <cell r="N3704">
            <v>44911</v>
          </cell>
          <cell r="O3704">
            <v>44902</v>
          </cell>
          <cell r="P3704">
            <v>44911</v>
          </cell>
          <cell r="Q3704" t="str">
            <v>2022-12-14 → 12/15</v>
          </cell>
          <cell r="R3704" t="str">
            <v>2022-12-14 → 12/15</v>
          </cell>
          <cell r="S3704"/>
          <cell r="T3704">
            <v>44914</v>
          </cell>
          <cell r="U3704">
            <v>44915</v>
          </cell>
          <cell r="V3704">
            <v>44916</v>
          </cell>
          <cell r="W3704">
            <v>44916</v>
          </cell>
          <cell r="X3704">
            <v>41100090</v>
          </cell>
        </row>
        <row r="3705">
          <cell r="K3705" t="str">
            <v>GBWS-3088</v>
          </cell>
          <cell r="L3705">
            <v>44901</v>
          </cell>
          <cell r="M3705">
            <v>44902</v>
          </cell>
          <cell r="N3705">
            <v>44911</v>
          </cell>
          <cell r="O3705">
            <v>44902</v>
          </cell>
          <cell r="P3705">
            <v>44911</v>
          </cell>
          <cell r="Q3705" t="str">
            <v>2022-12-14 → 12/15</v>
          </cell>
          <cell r="R3705" t="str">
            <v>2022-12-14 → 12/15</v>
          </cell>
          <cell r="S3705"/>
          <cell r="T3705">
            <v>44914</v>
          </cell>
          <cell r="U3705">
            <v>44915</v>
          </cell>
          <cell r="V3705">
            <v>44916</v>
          </cell>
          <cell r="W3705">
            <v>44916</v>
          </cell>
          <cell r="X3705">
            <v>41100090</v>
          </cell>
        </row>
        <row r="3706">
          <cell r="K3706" t="str">
            <v>GBWS-3089</v>
          </cell>
          <cell r="L3706">
            <v>44901</v>
          </cell>
          <cell r="M3706">
            <v>44902</v>
          </cell>
          <cell r="N3706">
            <v>44911</v>
          </cell>
          <cell r="O3706">
            <v>44902</v>
          </cell>
          <cell r="P3706">
            <v>44911</v>
          </cell>
          <cell r="Q3706" t="str">
            <v>2022-12-14 → 12/15</v>
          </cell>
          <cell r="R3706" t="str">
            <v>2022-12-14 → 12/15</v>
          </cell>
          <cell r="S3706"/>
          <cell r="T3706">
            <v>44914</v>
          </cell>
          <cell r="U3706">
            <v>44915</v>
          </cell>
          <cell r="V3706">
            <v>44915</v>
          </cell>
          <cell r="W3706">
            <v>44915</v>
          </cell>
          <cell r="X3706">
            <v>41100090</v>
          </cell>
        </row>
        <row r="3707">
          <cell r="K3707" t="str">
            <v>GBWS-3090</v>
          </cell>
          <cell r="L3707">
            <v>44901</v>
          </cell>
          <cell r="M3707">
            <v>44902</v>
          </cell>
          <cell r="N3707">
            <v>44911</v>
          </cell>
          <cell r="O3707">
            <v>44902</v>
          </cell>
          <cell r="P3707">
            <v>44911</v>
          </cell>
          <cell r="Q3707" t="str">
            <v>2022-12-14 → 12/15</v>
          </cell>
          <cell r="R3707" t="str">
            <v>2022-12-14 → 12/15</v>
          </cell>
          <cell r="S3707"/>
          <cell r="T3707">
            <v>44911</v>
          </cell>
          <cell r="U3707">
            <v>44915</v>
          </cell>
          <cell r="V3707">
            <v>44915</v>
          </cell>
          <cell r="W3707">
            <v>44916</v>
          </cell>
          <cell r="X3707">
            <v>41100093</v>
          </cell>
        </row>
        <row r="3708">
          <cell r="K3708" t="str">
            <v>GBWS-3091</v>
          </cell>
          <cell r="L3708">
            <v>44901</v>
          </cell>
          <cell r="M3708">
            <v>44902</v>
          </cell>
          <cell r="N3708">
            <v>44911</v>
          </cell>
          <cell r="O3708">
            <v>44902</v>
          </cell>
          <cell r="P3708">
            <v>44911</v>
          </cell>
          <cell r="Q3708" t="str">
            <v>2022-12-14 → 12/15</v>
          </cell>
          <cell r="R3708" t="str">
            <v>2022-12-14 → 12/15</v>
          </cell>
          <cell r="S3708"/>
          <cell r="T3708">
            <v>44911</v>
          </cell>
          <cell r="U3708">
            <v>44914</v>
          </cell>
          <cell r="V3708">
            <v>44915</v>
          </cell>
          <cell r="W3708">
            <v>44916</v>
          </cell>
          <cell r="X3708">
            <v>41100093</v>
          </cell>
        </row>
        <row r="3709">
          <cell r="K3709" t="str">
            <v>GBWS-3092</v>
          </cell>
          <cell r="L3709">
            <v>44901</v>
          </cell>
          <cell r="M3709">
            <v>44902</v>
          </cell>
          <cell r="N3709">
            <v>44911</v>
          </cell>
          <cell r="O3709">
            <v>44902</v>
          </cell>
          <cell r="P3709">
            <v>44911</v>
          </cell>
          <cell r="Q3709" t="str">
            <v>2022-12-14 → 12/15</v>
          </cell>
          <cell r="R3709" t="str">
            <v>2022-12-14 → 12/15</v>
          </cell>
          <cell r="S3709"/>
          <cell r="T3709">
            <v>44914</v>
          </cell>
          <cell r="U3709">
            <v>44915</v>
          </cell>
          <cell r="V3709">
            <v>44915</v>
          </cell>
          <cell r="W3709">
            <v>44915</v>
          </cell>
          <cell r="X3709">
            <v>41100089</v>
          </cell>
        </row>
        <row r="3710">
          <cell r="K3710" t="str">
            <v>GBWS-3109</v>
          </cell>
          <cell r="L3710">
            <v>44917</v>
          </cell>
          <cell r="M3710">
            <v>44918</v>
          </cell>
          <cell r="N3710">
            <v>44937</v>
          </cell>
          <cell r="O3710">
            <v>44918</v>
          </cell>
          <cell r="P3710">
            <v>44937</v>
          </cell>
          <cell r="Q3710" t="str">
            <v>2023-01-02 → 23/01/09 → 1/10</v>
          </cell>
          <cell r="R3710" t="str">
            <v>2023-01-02 → 23/01/09 → 1/10</v>
          </cell>
          <cell r="S3710"/>
          <cell r="T3710">
            <v>44938</v>
          </cell>
          <cell r="U3710">
            <v>44939</v>
          </cell>
          <cell r="V3710">
            <v>44939</v>
          </cell>
          <cell r="W3710">
            <v>44939</v>
          </cell>
          <cell r="X3710">
            <v>41100089</v>
          </cell>
        </row>
        <row r="3711">
          <cell r="K3711" t="str">
            <v>GBWS-3110</v>
          </cell>
          <cell r="L3711">
            <v>44917</v>
          </cell>
          <cell r="M3711">
            <v>44918</v>
          </cell>
          <cell r="N3711">
            <v>44937</v>
          </cell>
          <cell r="O3711">
            <v>44918</v>
          </cell>
          <cell r="P3711">
            <v>44937</v>
          </cell>
          <cell r="Q3711" t="str">
            <v>2023-01-02 → 23/01/09 → 1/10</v>
          </cell>
          <cell r="R3711" t="str">
            <v>2023-01-02 → 23/01/09 → 1/10</v>
          </cell>
          <cell r="S3711"/>
          <cell r="T3711">
            <v>44938</v>
          </cell>
          <cell r="U3711">
            <v>44939</v>
          </cell>
          <cell r="V3711">
            <v>44939</v>
          </cell>
          <cell r="W3711">
            <v>44939</v>
          </cell>
          <cell r="X3711">
            <v>41100089</v>
          </cell>
        </row>
        <row r="3712">
          <cell r="K3712" t="str">
            <v>GBWS-3111</v>
          </cell>
          <cell r="L3712">
            <v>44917</v>
          </cell>
          <cell r="M3712">
            <v>44918</v>
          </cell>
          <cell r="N3712">
            <v>44937</v>
          </cell>
          <cell r="O3712">
            <v>44918</v>
          </cell>
          <cell r="P3712">
            <v>44937</v>
          </cell>
          <cell r="Q3712" t="str">
            <v>2023-01-02 → 23/01/09 → 1/10</v>
          </cell>
          <cell r="R3712" t="str">
            <v>2023-01-02 → 23/01/09 → 1/10</v>
          </cell>
          <cell r="S3712"/>
          <cell r="T3712">
            <v>44938</v>
          </cell>
          <cell r="U3712">
            <v>44939</v>
          </cell>
          <cell r="V3712">
            <v>44939</v>
          </cell>
          <cell r="W3712">
            <v>44939</v>
          </cell>
          <cell r="X3712">
            <v>41100085</v>
          </cell>
        </row>
        <row r="3713">
          <cell r="K3713" t="str">
            <v>IVAS-179</v>
          </cell>
          <cell r="L3713">
            <v>44914</v>
          </cell>
          <cell r="M3713">
            <v>44915</v>
          </cell>
          <cell r="N3713">
            <v>44936</v>
          </cell>
          <cell r="O3713">
            <v>44915</v>
          </cell>
          <cell r="P3713">
            <v>44937</v>
          </cell>
          <cell r="Q3713">
            <v>44936</v>
          </cell>
          <cell r="R3713">
            <v>44936</v>
          </cell>
          <cell r="S3713"/>
          <cell r="T3713">
            <v>44937</v>
          </cell>
          <cell r="U3713">
            <v>44943</v>
          </cell>
          <cell r="V3713">
            <v>44943</v>
          </cell>
          <cell r="W3713">
            <v>44943</v>
          </cell>
          <cell r="X3713">
            <v>41100548</v>
          </cell>
        </row>
        <row r="3714">
          <cell r="K3714" t="str">
            <v>IVAS-180</v>
          </cell>
          <cell r="L3714">
            <v>44914</v>
          </cell>
          <cell r="M3714">
            <v>44915</v>
          </cell>
          <cell r="N3714">
            <v>44936</v>
          </cell>
          <cell r="O3714">
            <v>44915</v>
          </cell>
          <cell r="P3714">
            <v>44937</v>
          </cell>
          <cell r="Q3714">
            <v>44936</v>
          </cell>
          <cell r="R3714">
            <v>44936</v>
          </cell>
          <cell r="S3714"/>
          <cell r="T3714">
            <v>44937</v>
          </cell>
          <cell r="U3714">
            <v>44943</v>
          </cell>
          <cell r="V3714">
            <v>44943</v>
          </cell>
          <cell r="W3714">
            <v>44943</v>
          </cell>
          <cell r="X3714">
            <v>41100540</v>
          </cell>
        </row>
        <row r="3715">
          <cell r="K3715" t="str">
            <v>WS-0072</v>
          </cell>
          <cell r="L3715">
            <v>44902</v>
          </cell>
          <cell r="M3715">
            <v>44903</v>
          </cell>
          <cell r="N3715">
            <v>44911</v>
          </cell>
          <cell r="O3715">
            <v>44903</v>
          </cell>
          <cell r="P3715">
            <v>44914</v>
          </cell>
          <cell r="Q3715">
            <v>44914</v>
          </cell>
          <cell r="R3715">
            <v>44914</v>
          </cell>
          <cell r="S3715"/>
          <cell r="T3715">
            <v>44915</v>
          </cell>
          <cell r="U3715">
            <v>44917</v>
          </cell>
          <cell r="V3715">
            <v>44918</v>
          </cell>
          <cell r="W3715">
            <v>44918</v>
          </cell>
          <cell r="X3715">
            <v>41100615</v>
          </cell>
        </row>
        <row r="3716">
          <cell r="K3716" t="str">
            <v>HNM-0007~0009</v>
          </cell>
          <cell r="L3716">
            <v>44930</v>
          </cell>
          <cell r="M3716">
            <v>44931</v>
          </cell>
          <cell r="N3716">
            <v>44936</v>
          </cell>
          <cell r="O3716">
            <v>44931</v>
          </cell>
          <cell r="P3716">
            <v>44938</v>
          </cell>
          <cell r="Q3716">
            <v>44935</v>
          </cell>
          <cell r="R3716">
            <v>44935</v>
          </cell>
          <cell r="S3716"/>
          <cell r="T3716">
            <v>44944</v>
          </cell>
          <cell r="U3716">
            <v>44944</v>
          </cell>
          <cell r="V3716">
            <v>44944</v>
          </cell>
          <cell r="W3716">
            <v>44944</v>
          </cell>
          <cell r="X3716">
            <v>31102573</v>
          </cell>
        </row>
        <row r="3717">
          <cell r="K3717" t="str">
            <v>G13090006</v>
          </cell>
          <cell r="L3717">
            <v>44939</v>
          </cell>
          <cell r="M3717">
            <v>44939</v>
          </cell>
          <cell r="N3717">
            <v>44939</v>
          </cell>
          <cell r="O3717">
            <v>44939</v>
          </cell>
          <cell r="P3717">
            <v>44939</v>
          </cell>
          <cell r="Q3717">
            <v>44939</v>
          </cell>
          <cell r="R3717">
            <v>44939</v>
          </cell>
          <cell r="S3717"/>
          <cell r="T3717">
            <v>44939</v>
          </cell>
          <cell r="U3717">
            <v>44943</v>
          </cell>
          <cell r="V3717">
            <v>44944</v>
          </cell>
          <cell r="W3717">
            <v>44944</v>
          </cell>
          <cell r="X3717" t="str">
            <v>-</v>
          </cell>
        </row>
        <row r="3718">
          <cell r="K3718" t="str">
            <v>G13090009</v>
          </cell>
          <cell r="L3718">
            <v>44939</v>
          </cell>
          <cell r="M3718">
            <v>44939</v>
          </cell>
          <cell r="N3718">
            <v>44939</v>
          </cell>
          <cell r="O3718">
            <v>44939</v>
          </cell>
          <cell r="P3718">
            <v>0</v>
          </cell>
          <cell r="Q3718">
            <v>44939</v>
          </cell>
          <cell r="R3718">
            <v>44939</v>
          </cell>
          <cell r="S3718"/>
          <cell r="T3718">
            <v>44939</v>
          </cell>
          <cell r="U3718">
            <v>44944</v>
          </cell>
          <cell r="V3718">
            <v>44944</v>
          </cell>
          <cell r="W3718">
            <v>44944</v>
          </cell>
          <cell r="X3718" t="str">
            <v>-</v>
          </cell>
        </row>
        <row r="3719">
          <cell r="K3719" t="str">
            <v xml:space="preserve"> G13030024</v>
          </cell>
          <cell r="L3719">
            <v>44939</v>
          </cell>
          <cell r="M3719">
            <v>44939</v>
          </cell>
          <cell r="N3719">
            <v>44939</v>
          </cell>
          <cell r="O3719">
            <v>44939</v>
          </cell>
          <cell r="P3719">
            <v>44939</v>
          </cell>
          <cell r="Q3719">
            <v>44939</v>
          </cell>
          <cell r="R3719">
            <v>44939</v>
          </cell>
          <cell r="S3719"/>
          <cell r="T3719">
            <v>44939</v>
          </cell>
          <cell r="U3719">
            <v>44944</v>
          </cell>
          <cell r="V3719">
            <v>44944</v>
          </cell>
          <cell r="W3719">
            <v>44944</v>
          </cell>
          <cell r="X3719" t="str">
            <v>-</v>
          </cell>
        </row>
        <row r="3720">
          <cell r="K3720" t="str">
            <v>1809-001</v>
          </cell>
          <cell r="L3720">
            <v>44944</v>
          </cell>
          <cell r="M3720">
            <v>44944</v>
          </cell>
          <cell r="N3720">
            <v>44944</v>
          </cell>
          <cell r="O3720">
            <v>44944</v>
          </cell>
          <cell r="P3720">
            <v>44944</v>
          </cell>
          <cell r="Q3720">
            <v>44944</v>
          </cell>
          <cell r="R3720">
            <v>44944</v>
          </cell>
          <cell r="S3720"/>
          <cell r="T3720">
            <v>44944</v>
          </cell>
          <cell r="U3720">
            <v>44944</v>
          </cell>
          <cell r="V3720">
            <v>44944</v>
          </cell>
          <cell r="W3720">
            <v>44944</v>
          </cell>
          <cell r="X3720" t="str">
            <v>-</v>
          </cell>
        </row>
        <row r="3721">
          <cell r="K3721" t="str">
            <v>1809-008</v>
          </cell>
          <cell r="L3721">
            <v>44944</v>
          </cell>
          <cell r="M3721">
            <v>44944</v>
          </cell>
          <cell r="N3721">
            <v>44944</v>
          </cell>
          <cell r="O3721">
            <v>44944</v>
          </cell>
          <cell r="P3721">
            <v>44944</v>
          </cell>
          <cell r="Q3721">
            <v>44944</v>
          </cell>
          <cell r="R3721">
            <v>44944</v>
          </cell>
          <cell r="S3721"/>
          <cell r="T3721">
            <v>44944</v>
          </cell>
          <cell r="U3721">
            <v>44944</v>
          </cell>
          <cell r="V3721">
            <v>44944</v>
          </cell>
          <cell r="W3721">
            <v>44944</v>
          </cell>
          <cell r="X3721" t="str">
            <v>-</v>
          </cell>
        </row>
        <row r="3722">
          <cell r="K3722" t="str">
            <v>GBWS-3029</v>
          </cell>
          <cell r="L3722">
            <v>44886</v>
          </cell>
          <cell r="M3722">
            <v>44887</v>
          </cell>
          <cell r="N3722">
            <v>44902</v>
          </cell>
          <cell r="O3722">
            <v>44887</v>
          </cell>
          <cell r="P3722">
            <v>44902</v>
          </cell>
          <cell r="Q3722" t="str">
            <v>2022-12-02 → 12/6</v>
          </cell>
          <cell r="R3722" t="str">
            <v>2022-12-02 → 12/6</v>
          </cell>
          <cell r="S3722"/>
          <cell r="T3722">
            <v>44902</v>
          </cell>
          <cell r="U3722">
            <v>44904</v>
          </cell>
          <cell r="V3722">
            <v>44907</v>
          </cell>
          <cell r="W3722">
            <v>44907</v>
          </cell>
          <cell r="X3722" t="str">
            <v>41100577 → 41100498</v>
          </cell>
        </row>
        <row r="3723">
          <cell r="K3723" t="str">
            <v>GBWS-2969</v>
          </cell>
          <cell r="L3723">
            <v>44865</v>
          </cell>
          <cell r="M3723">
            <v>44866</v>
          </cell>
          <cell r="N3723">
            <v>44879</v>
          </cell>
          <cell r="O3723">
            <v>44866</v>
          </cell>
          <cell r="P3723">
            <v>44879</v>
          </cell>
          <cell r="Q3723">
            <v>44876</v>
          </cell>
          <cell r="R3723">
            <v>44876</v>
          </cell>
          <cell r="S3723"/>
          <cell r="T3723">
            <v>44879</v>
          </cell>
          <cell r="U3723">
            <v>44880</v>
          </cell>
          <cell r="V3723">
            <v>44881</v>
          </cell>
          <cell r="W3723">
            <v>44881</v>
          </cell>
          <cell r="X3723">
            <v>41100334</v>
          </cell>
        </row>
        <row r="3724">
          <cell r="K3724" t="str">
            <v>DBW-2828</v>
          </cell>
          <cell r="L3724">
            <v>44921</v>
          </cell>
          <cell r="M3724">
            <v>44922</v>
          </cell>
          <cell r="N3724">
            <v>44937</v>
          </cell>
          <cell r="O3724">
            <v>44922</v>
          </cell>
          <cell r="P3724">
            <v>44937</v>
          </cell>
          <cell r="Q3724" t="str">
            <v>2023-01-10 → 1/11</v>
          </cell>
          <cell r="R3724" t="str">
            <v>2023-01-10 → 1/11</v>
          </cell>
          <cell r="S3724"/>
          <cell r="T3724">
            <v>44938</v>
          </cell>
          <cell r="U3724">
            <v>44942</v>
          </cell>
          <cell r="V3724">
            <v>44943</v>
          </cell>
          <cell r="W3724">
            <v>44943</v>
          </cell>
          <cell r="X3724">
            <v>41100620</v>
          </cell>
        </row>
        <row r="3725">
          <cell r="K3725" t="str">
            <v>GBWS-3112</v>
          </cell>
          <cell r="L3725">
            <v>44917</v>
          </cell>
          <cell r="M3725">
            <v>44918</v>
          </cell>
          <cell r="N3725">
            <v>44937</v>
          </cell>
          <cell r="O3725">
            <v>44918</v>
          </cell>
          <cell r="P3725">
            <v>44937</v>
          </cell>
          <cell r="Q3725" t="str">
            <v>2023-01-02 → 23/01/09 → 1/10</v>
          </cell>
          <cell r="R3725" t="str">
            <v>2023-01-02 → 23/01/09 → 1/10</v>
          </cell>
          <cell r="S3725"/>
          <cell r="T3725">
            <v>44938</v>
          </cell>
          <cell r="U3725">
            <v>44939</v>
          </cell>
          <cell r="V3725">
            <v>44939</v>
          </cell>
          <cell r="W3725">
            <v>44939</v>
          </cell>
          <cell r="X3725">
            <v>41100516</v>
          </cell>
        </row>
        <row r="3726">
          <cell r="K3726" t="str">
            <v>G14090014</v>
          </cell>
          <cell r="L3726">
            <v>44939</v>
          </cell>
          <cell r="M3726">
            <v>44939</v>
          </cell>
          <cell r="N3726">
            <v>44939</v>
          </cell>
          <cell r="O3726">
            <v>44939</v>
          </cell>
          <cell r="P3726">
            <v>44939</v>
          </cell>
          <cell r="Q3726">
            <v>44939</v>
          </cell>
          <cell r="R3726">
            <v>44939</v>
          </cell>
          <cell r="S3726"/>
          <cell r="T3726">
            <v>44939</v>
          </cell>
          <cell r="U3726">
            <v>44945</v>
          </cell>
          <cell r="V3726">
            <v>44945</v>
          </cell>
          <cell r="W3726">
            <v>44945</v>
          </cell>
          <cell r="X3726" t="str">
            <v>-</v>
          </cell>
        </row>
        <row r="3727">
          <cell r="K3727" t="str">
            <v>G14090011</v>
          </cell>
          <cell r="L3727">
            <v>44940</v>
          </cell>
          <cell r="M3727">
            <v>44941</v>
          </cell>
          <cell r="N3727">
            <v>44944</v>
          </cell>
          <cell r="O3727">
            <v>44941</v>
          </cell>
          <cell r="P3727">
            <v>44944</v>
          </cell>
          <cell r="Q3727">
            <v>44941</v>
          </cell>
          <cell r="R3727">
            <v>44941</v>
          </cell>
          <cell r="S3727"/>
          <cell r="T3727">
            <v>44944</v>
          </cell>
          <cell r="U3727">
            <v>44945</v>
          </cell>
          <cell r="V3727">
            <v>44945</v>
          </cell>
          <cell r="W3727">
            <v>44945</v>
          </cell>
          <cell r="X3727" t="str">
            <v>-</v>
          </cell>
        </row>
        <row r="3728">
          <cell r="K3728" t="str">
            <v>G14090001</v>
          </cell>
          <cell r="L3728">
            <v>44940</v>
          </cell>
          <cell r="M3728">
            <v>44941</v>
          </cell>
          <cell r="N3728">
            <v>44944</v>
          </cell>
          <cell r="O3728">
            <v>44941</v>
          </cell>
          <cell r="P3728">
            <v>44944</v>
          </cell>
          <cell r="Q3728">
            <v>44941</v>
          </cell>
          <cell r="R3728">
            <v>44941</v>
          </cell>
          <cell r="S3728"/>
          <cell r="T3728">
            <v>44944</v>
          </cell>
          <cell r="U3728">
            <v>44945</v>
          </cell>
          <cell r="V3728">
            <v>44945</v>
          </cell>
          <cell r="W3728">
            <v>44945</v>
          </cell>
          <cell r="X3728" t="str">
            <v>-</v>
          </cell>
        </row>
        <row r="3729">
          <cell r="K3729" t="str">
            <v>GBWS-3113</v>
          </cell>
          <cell r="L3729">
            <v>44918</v>
          </cell>
          <cell r="M3729">
            <v>44921</v>
          </cell>
          <cell r="N3729">
            <v>44935</v>
          </cell>
          <cell r="O3729">
            <v>44921</v>
          </cell>
          <cell r="P3729">
            <v>44935</v>
          </cell>
          <cell r="Q3729" t="str">
            <v>2023-01-04 →23/01/05 → 1/9(17시)</v>
          </cell>
          <cell r="R3729" t="str">
            <v>2023-01-04 →23/01/05 → 1/9(17시)</v>
          </cell>
          <cell r="S3729"/>
          <cell r="T3729">
            <v>44936</v>
          </cell>
          <cell r="U3729">
            <v>44937</v>
          </cell>
          <cell r="V3729">
            <v>44937</v>
          </cell>
          <cell r="W3729">
            <v>44949</v>
          </cell>
          <cell r="X3729">
            <v>41100468</v>
          </cell>
        </row>
        <row r="3730">
          <cell r="K3730" t="str">
            <v>GBWS-3114</v>
          </cell>
          <cell r="L3730">
            <v>44918</v>
          </cell>
          <cell r="M3730">
            <v>44921</v>
          </cell>
          <cell r="N3730">
            <v>44935</v>
          </cell>
          <cell r="O3730">
            <v>44921</v>
          </cell>
          <cell r="P3730">
            <v>44935</v>
          </cell>
          <cell r="Q3730" t="str">
            <v>2023-01-04 →23/01/05 → 1/9(17시)</v>
          </cell>
          <cell r="R3730" t="str">
            <v>2023-01-04 →23/01/05 → 1/9(17시)</v>
          </cell>
          <cell r="S3730"/>
          <cell r="T3730">
            <v>44936</v>
          </cell>
          <cell r="U3730">
            <v>44937</v>
          </cell>
          <cell r="V3730">
            <v>44937</v>
          </cell>
          <cell r="W3730">
            <v>44949</v>
          </cell>
          <cell r="X3730">
            <v>41100468</v>
          </cell>
        </row>
        <row r="3731">
          <cell r="K3731" t="str">
            <v>GBWS-3115</v>
          </cell>
          <cell r="L3731">
            <v>44918</v>
          </cell>
          <cell r="M3731">
            <v>44921</v>
          </cell>
          <cell r="N3731">
            <v>44935</v>
          </cell>
          <cell r="O3731">
            <v>44921</v>
          </cell>
          <cell r="P3731">
            <v>44935</v>
          </cell>
          <cell r="Q3731" t="str">
            <v>2023-01-04 →23/01/05 → 1/9(17시)</v>
          </cell>
          <cell r="R3731" t="str">
            <v>2023-01-04 →23/01/05 → 1/9(17시)</v>
          </cell>
          <cell r="S3731"/>
          <cell r="T3731">
            <v>44936</v>
          </cell>
          <cell r="U3731">
            <v>44937</v>
          </cell>
          <cell r="V3731">
            <v>44937</v>
          </cell>
          <cell r="W3731">
            <v>44949</v>
          </cell>
          <cell r="X3731">
            <v>41100468</v>
          </cell>
        </row>
        <row r="3732">
          <cell r="K3732" t="str">
            <v>GBWS-3116</v>
          </cell>
          <cell r="L3732">
            <v>44918</v>
          </cell>
          <cell r="M3732">
            <v>44921</v>
          </cell>
          <cell r="N3732">
            <v>44935</v>
          </cell>
          <cell r="O3732">
            <v>44921</v>
          </cell>
          <cell r="P3732">
            <v>44935</v>
          </cell>
          <cell r="Q3732" t="str">
            <v>2023-01-04 →23/01/05 → 1/9(17시)</v>
          </cell>
          <cell r="R3732" t="str">
            <v>2023-01-04 →23/01/05 → 1/9(17시)</v>
          </cell>
          <cell r="S3732"/>
          <cell r="T3732">
            <v>44936</v>
          </cell>
          <cell r="U3732">
            <v>44937</v>
          </cell>
          <cell r="V3732">
            <v>44937</v>
          </cell>
          <cell r="W3732">
            <v>44949</v>
          </cell>
          <cell r="X3732">
            <v>41100468</v>
          </cell>
        </row>
        <row r="3733">
          <cell r="K3733" t="str">
            <v>GBWS-3134</v>
          </cell>
          <cell r="L3733">
            <v>44932</v>
          </cell>
          <cell r="M3733" t="str">
            <v>2022-12-27 → 23/01/09</v>
          </cell>
          <cell r="N3733">
            <v>44943</v>
          </cell>
          <cell r="O3733" t="str">
            <v>2022-12-27 → 23/01/09</v>
          </cell>
          <cell r="P3733">
            <v>44943</v>
          </cell>
          <cell r="Q3733" t="str">
            <v>2023-01-04 → 23/01/17</v>
          </cell>
          <cell r="R3733" t="str">
            <v>2023-01-04 → 23/01/17</v>
          </cell>
          <cell r="S3733"/>
          <cell r="T3733">
            <v>44945</v>
          </cell>
          <cell r="U3733">
            <v>44951</v>
          </cell>
          <cell r="V3733">
            <v>44951</v>
          </cell>
          <cell r="W3733">
            <v>44951</v>
          </cell>
          <cell r="X3733">
            <v>41100505</v>
          </cell>
        </row>
        <row r="3734">
          <cell r="K3734" t="str">
            <v>DBW-2821</v>
          </cell>
          <cell r="L3734">
            <v>44918</v>
          </cell>
          <cell r="M3734">
            <v>44921</v>
          </cell>
          <cell r="N3734">
            <v>44932</v>
          </cell>
          <cell r="O3734">
            <v>44921</v>
          </cell>
          <cell r="P3734">
            <v>44932</v>
          </cell>
          <cell r="Q3734">
            <v>44932</v>
          </cell>
          <cell r="R3734">
            <v>44932</v>
          </cell>
          <cell r="S3734"/>
          <cell r="T3734">
            <v>44935</v>
          </cell>
          <cell r="U3734">
            <v>44936</v>
          </cell>
          <cell r="V3734">
            <v>44937</v>
          </cell>
          <cell r="W3734">
            <v>44937</v>
          </cell>
          <cell r="X3734">
            <v>41100480</v>
          </cell>
        </row>
        <row r="3735">
          <cell r="K3735" t="str">
            <v>DBW-2822</v>
          </cell>
          <cell r="L3735">
            <v>44918</v>
          </cell>
          <cell r="M3735">
            <v>44921</v>
          </cell>
          <cell r="N3735">
            <v>44932</v>
          </cell>
          <cell r="O3735">
            <v>44921</v>
          </cell>
          <cell r="P3735">
            <v>44932</v>
          </cell>
          <cell r="Q3735">
            <v>44932</v>
          </cell>
          <cell r="R3735">
            <v>44932</v>
          </cell>
          <cell r="S3735"/>
          <cell r="T3735">
            <v>44935</v>
          </cell>
          <cell r="U3735">
            <v>44936</v>
          </cell>
          <cell r="V3735">
            <v>44937</v>
          </cell>
          <cell r="W3735">
            <v>44937</v>
          </cell>
          <cell r="X3735">
            <v>41100480</v>
          </cell>
        </row>
        <row r="3736">
          <cell r="K3736" t="str">
            <v>GBWS-3124</v>
          </cell>
          <cell r="L3736">
            <v>44928</v>
          </cell>
          <cell r="M3736">
            <v>44929</v>
          </cell>
          <cell r="N3736">
            <v>44936</v>
          </cell>
          <cell r="O3736">
            <v>44929</v>
          </cell>
          <cell r="P3736">
            <v>44936</v>
          </cell>
          <cell r="Q3736">
            <v>44936</v>
          </cell>
          <cell r="R3736">
            <v>44936</v>
          </cell>
          <cell r="S3736"/>
          <cell r="T3736">
            <v>44937</v>
          </cell>
          <cell r="U3736">
            <v>44938</v>
          </cell>
          <cell r="V3736">
            <v>44939</v>
          </cell>
          <cell r="W3736">
            <v>44939</v>
          </cell>
          <cell r="X3736">
            <v>41100511</v>
          </cell>
        </row>
        <row r="3737">
          <cell r="K3737" t="str">
            <v>GBWS-3125</v>
          </cell>
          <cell r="L3737">
            <v>44928</v>
          </cell>
          <cell r="M3737">
            <v>44929</v>
          </cell>
          <cell r="N3737">
            <v>44936</v>
          </cell>
          <cell r="O3737">
            <v>44929</v>
          </cell>
          <cell r="P3737">
            <v>44936</v>
          </cell>
          <cell r="Q3737">
            <v>44936</v>
          </cell>
          <cell r="R3737">
            <v>44936</v>
          </cell>
          <cell r="S3737"/>
          <cell r="T3737">
            <v>44937</v>
          </cell>
          <cell r="U3737">
            <v>44938</v>
          </cell>
          <cell r="V3737">
            <v>44939</v>
          </cell>
          <cell r="W3737">
            <v>44939</v>
          </cell>
          <cell r="X3737">
            <v>41100511</v>
          </cell>
        </row>
        <row r="3738">
          <cell r="K3738" t="str">
            <v>GBWS-3117</v>
          </cell>
          <cell r="L3738">
            <v>44921</v>
          </cell>
          <cell r="M3738">
            <v>44922</v>
          </cell>
          <cell r="N3738">
            <v>44935</v>
          </cell>
          <cell r="O3738">
            <v>44922</v>
          </cell>
          <cell r="P3738">
            <v>44935</v>
          </cell>
          <cell r="Q3738" t="str">
            <v>2023-01-03 → 23/01/06 → 1/9</v>
          </cell>
          <cell r="R3738" t="str">
            <v>2023-01-03 → 23/01/06 → 1/9</v>
          </cell>
          <cell r="S3738"/>
          <cell r="T3738">
            <v>44936</v>
          </cell>
          <cell r="U3738">
            <v>44937</v>
          </cell>
          <cell r="V3738">
            <v>44937</v>
          </cell>
          <cell r="W3738">
            <v>44949</v>
          </cell>
          <cell r="X3738">
            <v>41100468</v>
          </cell>
        </row>
        <row r="3739">
          <cell r="K3739" t="str">
            <v>GBWS-3118</v>
          </cell>
          <cell r="L3739">
            <v>44921</v>
          </cell>
          <cell r="M3739">
            <v>44922</v>
          </cell>
          <cell r="N3739">
            <v>44935</v>
          </cell>
          <cell r="O3739">
            <v>44922</v>
          </cell>
          <cell r="P3739">
            <v>44935</v>
          </cell>
          <cell r="Q3739" t="str">
            <v>2023-01-03 → 23/01/06 → 1/9</v>
          </cell>
          <cell r="R3739" t="str">
            <v>2023-01-03 → 23/01/06 → 1/9</v>
          </cell>
          <cell r="S3739"/>
          <cell r="T3739">
            <v>44936</v>
          </cell>
          <cell r="U3739">
            <v>44937</v>
          </cell>
          <cell r="V3739">
            <v>44938</v>
          </cell>
          <cell r="W3739">
            <v>44949</v>
          </cell>
          <cell r="X3739">
            <v>41100468</v>
          </cell>
        </row>
        <row r="3740">
          <cell r="K3740" t="str">
            <v>GBWS-3119</v>
          </cell>
          <cell r="L3740">
            <v>44921</v>
          </cell>
          <cell r="M3740">
            <v>44922</v>
          </cell>
          <cell r="N3740">
            <v>44935</v>
          </cell>
          <cell r="O3740">
            <v>44922</v>
          </cell>
          <cell r="P3740">
            <v>44935</v>
          </cell>
          <cell r="Q3740" t="str">
            <v>2023-01-03 → 23/01/06 → 1/9</v>
          </cell>
          <cell r="R3740" t="str">
            <v>2023-01-03 → 23/01/06 → 1/9</v>
          </cell>
          <cell r="S3740"/>
          <cell r="T3740">
            <v>44936</v>
          </cell>
          <cell r="U3740">
            <v>44937</v>
          </cell>
          <cell r="V3740">
            <v>44938</v>
          </cell>
          <cell r="W3740">
            <v>44949</v>
          </cell>
          <cell r="X3740">
            <v>41100468</v>
          </cell>
        </row>
        <row r="3741">
          <cell r="K3741" t="str">
            <v>GBWS-3120</v>
          </cell>
          <cell r="L3741">
            <v>44921</v>
          </cell>
          <cell r="M3741">
            <v>44922</v>
          </cell>
          <cell r="N3741">
            <v>44935</v>
          </cell>
          <cell r="O3741">
            <v>44922</v>
          </cell>
          <cell r="P3741">
            <v>44935</v>
          </cell>
          <cell r="Q3741" t="str">
            <v>2023-01-03 → 23/01/06 → 1/9</v>
          </cell>
          <cell r="R3741" t="str">
            <v>2023-01-03 → 23/01/06 → 1/9</v>
          </cell>
          <cell r="S3741"/>
          <cell r="T3741">
            <v>44936</v>
          </cell>
          <cell r="U3741">
            <v>44937</v>
          </cell>
          <cell r="V3741">
            <v>44938</v>
          </cell>
          <cell r="W3741">
            <v>44949</v>
          </cell>
          <cell r="X3741">
            <v>41100468</v>
          </cell>
        </row>
        <row r="3742">
          <cell r="K3742" t="str">
            <v>GBWS-3122</v>
          </cell>
          <cell r="L3742">
            <v>44928</v>
          </cell>
          <cell r="M3742">
            <v>44929</v>
          </cell>
          <cell r="N3742">
            <v>44937</v>
          </cell>
          <cell r="O3742">
            <v>44929</v>
          </cell>
          <cell r="P3742">
            <v>44937</v>
          </cell>
          <cell r="Q3742" t="str">
            <v>2023-01-10 → 1/11</v>
          </cell>
          <cell r="R3742" t="str">
            <v>2023-01-10 → 1/11</v>
          </cell>
          <cell r="S3742"/>
          <cell r="T3742">
            <v>44938</v>
          </cell>
          <cell r="U3742">
            <v>44942</v>
          </cell>
          <cell r="V3742">
            <v>44943</v>
          </cell>
          <cell r="W3742">
            <v>44943</v>
          </cell>
          <cell r="X3742">
            <v>41100468</v>
          </cell>
        </row>
        <row r="3743">
          <cell r="K3743" t="str">
            <v>GBWS-3123</v>
          </cell>
          <cell r="L3743">
            <v>44928</v>
          </cell>
          <cell r="M3743">
            <v>44929</v>
          </cell>
          <cell r="N3743">
            <v>44937</v>
          </cell>
          <cell r="O3743">
            <v>44929</v>
          </cell>
          <cell r="P3743">
            <v>44937</v>
          </cell>
          <cell r="Q3743" t="str">
            <v>2023-01-10 → 1/11</v>
          </cell>
          <cell r="R3743" t="str">
            <v>2023-01-10 → 1/11</v>
          </cell>
          <cell r="S3743"/>
          <cell r="T3743">
            <v>44938</v>
          </cell>
          <cell r="U3743">
            <v>44942</v>
          </cell>
          <cell r="V3743">
            <v>44943</v>
          </cell>
          <cell r="W3743">
            <v>44943</v>
          </cell>
          <cell r="X3743">
            <v>41100468</v>
          </cell>
        </row>
        <row r="3744">
          <cell r="K3744" t="str">
            <v>DBW-2830</v>
          </cell>
          <cell r="L3744">
            <v>44929</v>
          </cell>
          <cell r="M3744">
            <v>44930</v>
          </cell>
          <cell r="N3744">
            <v>44939</v>
          </cell>
          <cell r="O3744">
            <v>44930</v>
          </cell>
          <cell r="P3744">
            <v>44942</v>
          </cell>
          <cell r="Q3744">
            <v>44942</v>
          </cell>
          <cell r="R3744">
            <v>44942</v>
          </cell>
          <cell r="S3744"/>
          <cell r="T3744">
            <v>44943</v>
          </cell>
          <cell r="U3744">
            <v>44944</v>
          </cell>
          <cell r="V3744">
            <v>44945</v>
          </cell>
          <cell r="W3744">
            <v>44945</v>
          </cell>
          <cell r="X3744">
            <v>41100472</v>
          </cell>
        </row>
        <row r="3745">
          <cell r="K3745" t="str">
            <v>DBW-2831</v>
          </cell>
          <cell r="L3745">
            <v>44929</v>
          </cell>
          <cell r="M3745">
            <v>44930</v>
          </cell>
          <cell r="N3745">
            <v>44939</v>
          </cell>
          <cell r="O3745">
            <v>44930</v>
          </cell>
          <cell r="P3745">
            <v>44942</v>
          </cell>
          <cell r="Q3745">
            <v>44942</v>
          </cell>
          <cell r="R3745">
            <v>44942</v>
          </cell>
          <cell r="S3745"/>
          <cell r="T3745">
            <v>44943</v>
          </cell>
          <cell r="U3745">
            <v>44944</v>
          </cell>
          <cell r="V3745">
            <v>44945</v>
          </cell>
          <cell r="W3745">
            <v>44946</v>
          </cell>
          <cell r="X3745">
            <v>41100472</v>
          </cell>
        </row>
        <row r="3746">
          <cell r="K3746" t="str">
            <v>DBW-2832</v>
          </cell>
          <cell r="L3746">
            <v>44929</v>
          </cell>
          <cell r="M3746">
            <v>44930</v>
          </cell>
          <cell r="N3746">
            <v>44939</v>
          </cell>
          <cell r="O3746">
            <v>44930</v>
          </cell>
          <cell r="P3746">
            <v>44942</v>
          </cell>
          <cell r="Q3746">
            <v>44942</v>
          </cell>
          <cell r="R3746">
            <v>44942</v>
          </cell>
          <cell r="S3746"/>
          <cell r="T3746">
            <v>44943</v>
          </cell>
          <cell r="U3746">
            <v>44944</v>
          </cell>
          <cell r="V3746">
            <v>44945</v>
          </cell>
          <cell r="W3746">
            <v>44945</v>
          </cell>
          <cell r="X3746">
            <v>41100472</v>
          </cell>
        </row>
        <row r="3747">
          <cell r="K3747" t="str">
            <v>DBW-2833</v>
          </cell>
          <cell r="L3747">
            <v>44929</v>
          </cell>
          <cell r="M3747">
            <v>44930</v>
          </cell>
          <cell r="N3747">
            <v>44939</v>
          </cell>
          <cell r="O3747">
            <v>44930</v>
          </cell>
          <cell r="P3747">
            <v>44942</v>
          </cell>
          <cell r="Q3747">
            <v>44942</v>
          </cell>
          <cell r="R3747">
            <v>44942</v>
          </cell>
          <cell r="S3747"/>
          <cell r="T3747">
            <v>44943</v>
          </cell>
          <cell r="U3747">
            <v>44944</v>
          </cell>
          <cell r="V3747">
            <v>44944</v>
          </cell>
          <cell r="W3747">
            <v>44945</v>
          </cell>
          <cell r="X3747">
            <v>41100472</v>
          </cell>
        </row>
        <row r="3748">
          <cell r="K3748" t="str">
            <v>DBW-2834</v>
          </cell>
          <cell r="L3748">
            <v>44929</v>
          </cell>
          <cell r="M3748">
            <v>44930</v>
          </cell>
          <cell r="N3748">
            <v>44939</v>
          </cell>
          <cell r="O3748">
            <v>44930</v>
          </cell>
          <cell r="P3748">
            <v>44942</v>
          </cell>
          <cell r="Q3748">
            <v>44942</v>
          </cell>
          <cell r="R3748">
            <v>44942</v>
          </cell>
          <cell r="S3748"/>
          <cell r="T3748">
            <v>44943</v>
          </cell>
          <cell r="U3748">
            <v>44944</v>
          </cell>
          <cell r="V3748">
            <v>44944</v>
          </cell>
          <cell r="W3748">
            <v>44945</v>
          </cell>
          <cell r="X3748">
            <v>41100472</v>
          </cell>
        </row>
        <row r="3749">
          <cell r="K3749" t="str">
            <v>DBW-2835</v>
          </cell>
          <cell r="L3749">
            <v>44929</v>
          </cell>
          <cell r="M3749">
            <v>44930</v>
          </cell>
          <cell r="N3749">
            <v>44939</v>
          </cell>
          <cell r="O3749">
            <v>44930</v>
          </cell>
          <cell r="P3749">
            <v>44942</v>
          </cell>
          <cell r="Q3749">
            <v>44942</v>
          </cell>
          <cell r="R3749">
            <v>44942</v>
          </cell>
          <cell r="S3749"/>
          <cell r="T3749">
            <v>44943</v>
          </cell>
          <cell r="U3749">
            <v>44944</v>
          </cell>
          <cell r="V3749">
            <v>44944</v>
          </cell>
          <cell r="W3749">
            <v>44945</v>
          </cell>
          <cell r="X3749">
            <v>41100472</v>
          </cell>
        </row>
        <row r="3750">
          <cell r="K3750" t="str">
            <v>G14030012</v>
          </cell>
          <cell r="L3750">
            <v>44951</v>
          </cell>
          <cell r="M3750">
            <v>44951</v>
          </cell>
          <cell r="N3750">
            <v>44951</v>
          </cell>
          <cell r="O3750">
            <v>44951</v>
          </cell>
          <cell r="P3750">
            <v>44951</v>
          </cell>
          <cell r="Q3750">
            <v>44951</v>
          </cell>
          <cell r="R3750">
            <v>44951</v>
          </cell>
          <cell r="S3750"/>
          <cell r="T3750">
            <v>44951</v>
          </cell>
          <cell r="U3750">
            <v>44952</v>
          </cell>
          <cell r="V3750">
            <v>44952</v>
          </cell>
          <cell r="W3750">
            <v>44952</v>
          </cell>
          <cell r="X3750" t="str">
            <v>-</v>
          </cell>
        </row>
        <row r="3751">
          <cell r="K3751" t="str">
            <v>G12030001</v>
          </cell>
          <cell r="L3751">
            <v>44951</v>
          </cell>
          <cell r="M3751">
            <v>44951</v>
          </cell>
          <cell r="N3751">
            <v>44951</v>
          </cell>
          <cell r="O3751">
            <v>44951</v>
          </cell>
          <cell r="P3751">
            <v>44951</v>
          </cell>
          <cell r="Q3751">
            <v>44951</v>
          </cell>
          <cell r="R3751">
            <v>44951</v>
          </cell>
          <cell r="S3751"/>
          <cell r="T3751">
            <v>44951</v>
          </cell>
          <cell r="U3751">
            <v>44952</v>
          </cell>
          <cell r="V3751">
            <v>44952</v>
          </cell>
          <cell r="W3751">
            <v>44952</v>
          </cell>
          <cell r="X3751" t="str">
            <v>-</v>
          </cell>
        </row>
        <row r="3752">
          <cell r="K3752" t="str">
            <v>G1H3004</v>
          </cell>
          <cell r="L3752">
            <v>44951</v>
          </cell>
          <cell r="M3752">
            <v>44951</v>
          </cell>
          <cell r="N3752">
            <v>44951</v>
          </cell>
          <cell r="O3752">
            <v>44951</v>
          </cell>
          <cell r="P3752">
            <v>44951</v>
          </cell>
          <cell r="Q3752">
            <v>44951</v>
          </cell>
          <cell r="R3752">
            <v>44951</v>
          </cell>
          <cell r="S3752"/>
          <cell r="T3752">
            <v>44951</v>
          </cell>
          <cell r="U3752">
            <v>44952</v>
          </cell>
          <cell r="V3752">
            <v>44952</v>
          </cell>
          <cell r="W3752">
            <v>44952</v>
          </cell>
          <cell r="X3752" t="str">
            <v>-</v>
          </cell>
        </row>
        <row r="3753">
          <cell r="K3753" t="str">
            <v>DBW-2808</v>
          </cell>
          <cell r="L3753">
            <v>44909</v>
          </cell>
          <cell r="M3753">
            <v>44910</v>
          </cell>
          <cell r="N3753">
            <v>44921</v>
          </cell>
          <cell r="O3753">
            <v>44910</v>
          </cell>
          <cell r="P3753">
            <v>44929</v>
          </cell>
          <cell r="Q3753" t="str">
            <v>2022-12-22 → 12/26 → 23/01/05</v>
          </cell>
          <cell r="R3753" t="str">
            <v>2022-12-22 → 12/26 → 23/01/05</v>
          </cell>
          <cell r="S3753"/>
          <cell r="T3753">
            <v>44930</v>
          </cell>
          <cell r="U3753">
            <v>44931</v>
          </cell>
          <cell r="V3753">
            <v>44931</v>
          </cell>
          <cell r="W3753">
            <v>44932</v>
          </cell>
          <cell r="X3753">
            <v>41100496</v>
          </cell>
        </row>
        <row r="3754">
          <cell r="K3754" t="str">
            <v>GBWS-3082</v>
          </cell>
          <cell r="L3754">
            <v>44900</v>
          </cell>
          <cell r="M3754">
            <v>44901</v>
          </cell>
          <cell r="N3754">
            <v>44932</v>
          </cell>
          <cell r="O3754">
            <v>44901</v>
          </cell>
          <cell r="P3754">
            <v>44936</v>
          </cell>
          <cell r="Q3754" t="str">
            <v>2022-12-16 → 12/20 → 23/01/11</v>
          </cell>
          <cell r="R3754" t="str">
            <v>2022-12-16 → 12/20 → 23/01/11</v>
          </cell>
          <cell r="S3754"/>
          <cell r="T3754">
            <v>44939</v>
          </cell>
          <cell r="U3754">
            <v>44943</v>
          </cell>
          <cell r="V3754">
            <v>44946</v>
          </cell>
          <cell r="W3754">
            <v>44946</v>
          </cell>
          <cell r="X3754">
            <v>41100576</v>
          </cell>
        </row>
        <row r="3755">
          <cell r="K3755" t="str">
            <v>GBWS-3083</v>
          </cell>
          <cell r="L3755">
            <v>44900</v>
          </cell>
          <cell r="M3755">
            <v>44901</v>
          </cell>
          <cell r="N3755">
            <v>44932</v>
          </cell>
          <cell r="O3755">
            <v>44901</v>
          </cell>
          <cell r="P3755">
            <v>44936</v>
          </cell>
          <cell r="Q3755" t="str">
            <v>2022-12-16 → 12/20 → 23/01/11</v>
          </cell>
          <cell r="R3755" t="str">
            <v>2022-12-16 → 12/20 → 23/01/11</v>
          </cell>
          <cell r="S3755"/>
          <cell r="T3755">
            <v>44939</v>
          </cell>
          <cell r="U3755">
            <v>44952</v>
          </cell>
          <cell r="V3755">
            <v>44953</v>
          </cell>
          <cell r="W3755">
            <v>44953</v>
          </cell>
          <cell r="X3755">
            <v>41100576</v>
          </cell>
        </row>
        <row r="3756">
          <cell r="K3756" t="str">
            <v>GBWS-3102</v>
          </cell>
          <cell r="L3756">
            <v>44915</v>
          </cell>
          <cell r="M3756">
            <v>44916</v>
          </cell>
          <cell r="N3756">
            <v>44930</v>
          </cell>
          <cell r="O3756">
            <v>44916</v>
          </cell>
          <cell r="P3756">
            <v>44930</v>
          </cell>
          <cell r="Q3756" t="str">
            <v>2023-01-02 → 23/01/04</v>
          </cell>
          <cell r="R3756" t="str">
            <v>2023-01-02 → 23/01/04</v>
          </cell>
          <cell r="S3756"/>
          <cell r="T3756">
            <v>44931</v>
          </cell>
          <cell r="U3756">
            <v>44932</v>
          </cell>
          <cell r="V3756">
            <v>44936</v>
          </cell>
          <cell r="W3756">
            <v>44937</v>
          </cell>
          <cell r="X3756">
            <v>41100482</v>
          </cell>
        </row>
        <row r="3757">
          <cell r="K3757" t="str">
            <v>GBWS-3121</v>
          </cell>
          <cell r="L3757">
            <v>44928</v>
          </cell>
          <cell r="M3757" t="str">
            <v>2022-12-20 → 23/01/03</v>
          </cell>
          <cell r="N3757">
            <v>44936</v>
          </cell>
          <cell r="O3757" t="str">
            <v>2022-12-20 → 23/01/03</v>
          </cell>
          <cell r="P3757">
            <v>44937</v>
          </cell>
          <cell r="Q3757" t="str">
            <v>2022-12-29 → 23/01/10</v>
          </cell>
          <cell r="R3757" t="str">
            <v>2022-12-29 → 23/01/10</v>
          </cell>
          <cell r="S3757"/>
          <cell r="T3757">
            <v>44938</v>
          </cell>
          <cell r="U3757">
            <v>44952</v>
          </cell>
          <cell r="V3757">
            <v>44956</v>
          </cell>
          <cell r="W3757">
            <v>44956</v>
          </cell>
          <cell r="X3757">
            <v>41100621</v>
          </cell>
        </row>
        <row r="3758">
          <cell r="K3758" t="str">
            <v>DBW-2805</v>
          </cell>
          <cell r="L3758">
            <v>44907</v>
          </cell>
          <cell r="M3758">
            <v>44908</v>
          </cell>
          <cell r="N3758">
            <v>44921</v>
          </cell>
          <cell r="O3758">
            <v>44908</v>
          </cell>
          <cell r="P3758">
            <v>44929</v>
          </cell>
          <cell r="Q3758" t="str">
            <v>2022-12-22 → 23/01/04</v>
          </cell>
          <cell r="R3758" t="str">
            <v>2022-12-22 → 23/01/04</v>
          </cell>
          <cell r="S3758"/>
          <cell r="T3758">
            <v>44930</v>
          </cell>
          <cell r="U3758">
            <v>44931</v>
          </cell>
          <cell r="V3758">
            <v>44932</v>
          </cell>
          <cell r="W3758">
            <v>44932</v>
          </cell>
          <cell r="X3758">
            <v>41100496</v>
          </cell>
        </row>
        <row r="3759">
          <cell r="K3759" t="str">
            <v>HNM-0010~0012</v>
          </cell>
          <cell r="L3759">
            <v>44937</v>
          </cell>
          <cell r="M3759">
            <v>44938</v>
          </cell>
          <cell r="N3759">
            <v>44951</v>
          </cell>
          <cell r="O3759">
            <v>44938</v>
          </cell>
          <cell r="P3759">
            <v>44951</v>
          </cell>
          <cell r="Q3759">
            <v>44939</v>
          </cell>
          <cell r="R3759">
            <v>44939</v>
          </cell>
          <cell r="S3759"/>
          <cell r="T3759">
            <v>44952</v>
          </cell>
          <cell r="U3759">
            <v>44953</v>
          </cell>
          <cell r="V3759">
            <v>44953</v>
          </cell>
          <cell r="W3759">
            <v>44953</v>
          </cell>
          <cell r="X3759">
            <v>31102573</v>
          </cell>
        </row>
        <row r="3760">
          <cell r="K3760" t="str">
            <v>SOS-0291</v>
          </cell>
          <cell r="L3760">
            <v>44951</v>
          </cell>
          <cell r="M3760">
            <v>44952</v>
          </cell>
          <cell r="N3760">
            <v>44953</v>
          </cell>
          <cell r="O3760">
            <v>44952</v>
          </cell>
          <cell r="P3760">
            <v>44956</v>
          </cell>
          <cell r="Q3760">
            <v>44953</v>
          </cell>
          <cell r="R3760">
            <v>44953</v>
          </cell>
          <cell r="S3760"/>
          <cell r="T3760">
            <v>44953</v>
          </cell>
          <cell r="U3760">
            <v>44957</v>
          </cell>
          <cell r="V3760">
            <v>44957</v>
          </cell>
          <cell r="W3760">
            <v>44957</v>
          </cell>
          <cell r="X3760">
            <v>41100182</v>
          </cell>
        </row>
        <row r="3761">
          <cell r="K3761" t="str">
            <v>GBWS-3151</v>
          </cell>
          <cell r="L3761">
            <v>44936</v>
          </cell>
          <cell r="M3761">
            <v>44937</v>
          </cell>
          <cell r="N3761">
            <v>44952</v>
          </cell>
          <cell r="O3761">
            <v>44937</v>
          </cell>
          <cell r="P3761">
            <v>44951</v>
          </cell>
          <cell r="Q3761">
            <v>44944</v>
          </cell>
          <cell r="R3761">
            <v>44944</v>
          </cell>
          <cell r="S3761"/>
          <cell r="T3761">
            <v>44953</v>
          </cell>
          <cell r="U3761">
            <v>44956</v>
          </cell>
          <cell r="V3761">
            <v>44957</v>
          </cell>
          <cell r="W3761">
            <v>44957</v>
          </cell>
          <cell r="X3761" t="str">
            <v>41100524 → 41100633</v>
          </cell>
        </row>
        <row r="3762">
          <cell r="K3762" t="str">
            <v>WS-0074</v>
          </cell>
          <cell r="L3762">
            <v>44909</v>
          </cell>
          <cell r="M3762">
            <v>44910</v>
          </cell>
          <cell r="N3762">
            <v>44921</v>
          </cell>
          <cell r="O3762">
            <v>44910</v>
          </cell>
          <cell r="P3762">
            <v>44918</v>
          </cell>
          <cell r="Q3762">
            <v>44921</v>
          </cell>
          <cell r="R3762">
            <v>44921</v>
          </cell>
          <cell r="S3762"/>
          <cell r="T3762">
            <v>44921</v>
          </cell>
          <cell r="U3762">
            <v>44929</v>
          </cell>
          <cell r="V3762">
            <v>44929</v>
          </cell>
          <cell r="W3762">
            <v>44930</v>
          </cell>
          <cell r="X3762">
            <v>41100615</v>
          </cell>
        </row>
        <row r="3763">
          <cell r="K3763" t="str">
            <v>SOS-0264</v>
          </cell>
          <cell r="L3763">
            <v>44691</v>
          </cell>
          <cell r="M3763">
            <v>44691</v>
          </cell>
          <cell r="N3763">
            <v>44694</v>
          </cell>
          <cell r="O3763">
            <v>44691</v>
          </cell>
          <cell r="P3763">
            <v>44694</v>
          </cell>
          <cell r="Q3763">
            <v>44694</v>
          </cell>
          <cell r="R3763">
            <v>44694</v>
          </cell>
          <cell r="S3763"/>
          <cell r="T3763">
            <v>44694</v>
          </cell>
          <cell r="U3763">
            <v>44694</v>
          </cell>
          <cell r="V3763">
            <v>44699</v>
          </cell>
          <cell r="W3763">
            <v>44699</v>
          </cell>
          <cell r="X3763">
            <v>41100299</v>
          </cell>
        </row>
        <row r="3764">
          <cell r="K3764"/>
          <cell r="L3764">
            <v>44955</v>
          </cell>
          <cell r="M3764">
            <v>44956</v>
          </cell>
          <cell r="N3764">
            <v>44953</v>
          </cell>
          <cell r="O3764">
            <v>44956</v>
          </cell>
          <cell r="P3764">
            <v>44956</v>
          </cell>
          <cell r="Q3764">
            <v>44957</v>
          </cell>
          <cell r="R3764">
            <v>44957</v>
          </cell>
          <cell r="S3764"/>
          <cell r="T3764">
            <v>44953</v>
          </cell>
          <cell r="U3764">
            <v>44956</v>
          </cell>
          <cell r="V3764">
            <v>44957</v>
          </cell>
          <cell r="W3764">
            <v>44957</v>
          </cell>
          <cell r="X3764">
            <v>41100299</v>
          </cell>
        </row>
        <row r="3765">
          <cell r="K3765" t="str">
            <v>HNM-0013~0015</v>
          </cell>
          <cell r="L3765">
            <v>44937</v>
          </cell>
          <cell r="M3765">
            <v>44938</v>
          </cell>
          <cell r="N3765">
            <v>44956</v>
          </cell>
          <cell r="O3765">
            <v>44938</v>
          </cell>
          <cell r="P3765">
            <v>44956</v>
          </cell>
          <cell r="Q3765">
            <v>44939</v>
          </cell>
          <cell r="R3765">
            <v>44939</v>
          </cell>
          <cell r="S3765"/>
          <cell r="T3765">
            <v>44957</v>
          </cell>
          <cell r="U3765">
            <v>44958</v>
          </cell>
          <cell r="V3765">
            <v>44958</v>
          </cell>
          <cell r="W3765">
            <v>44958</v>
          </cell>
          <cell r="X3765">
            <v>31102573</v>
          </cell>
        </row>
        <row r="3766">
          <cell r="K3766" t="str">
            <v>DBW-2819</v>
          </cell>
          <cell r="L3766">
            <v>44914</v>
          </cell>
          <cell r="M3766">
            <v>44915</v>
          </cell>
          <cell r="N3766">
            <v>44930</v>
          </cell>
          <cell r="O3766">
            <v>44915</v>
          </cell>
          <cell r="P3766">
            <v>44930</v>
          </cell>
          <cell r="Q3766">
            <v>44931</v>
          </cell>
          <cell r="R3766">
            <v>44931</v>
          </cell>
          <cell r="S3766"/>
          <cell r="T3766">
            <v>44932</v>
          </cell>
          <cell r="U3766">
            <v>44935</v>
          </cell>
          <cell r="V3766">
            <v>44936</v>
          </cell>
          <cell r="W3766">
            <v>44937</v>
          </cell>
          <cell r="X3766">
            <v>41100597</v>
          </cell>
        </row>
        <row r="3767">
          <cell r="K3767" t="str">
            <v>DBW-2820</v>
          </cell>
          <cell r="L3767">
            <v>44914</v>
          </cell>
          <cell r="M3767">
            <v>44915</v>
          </cell>
          <cell r="N3767">
            <v>44930</v>
          </cell>
          <cell r="O3767">
            <v>44915</v>
          </cell>
          <cell r="P3767">
            <v>44930</v>
          </cell>
          <cell r="Q3767">
            <v>44931</v>
          </cell>
          <cell r="R3767">
            <v>44931</v>
          </cell>
          <cell r="S3767"/>
          <cell r="T3767">
            <v>44932</v>
          </cell>
          <cell r="U3767">
            <v>44935</v>
          </cell>
          <cell r="V3767">
            <v>44936</v>
          </cell>
          <cell r="W3767">
            <v>44937</v>
          </cell>
          <cell r="X3767">
            <v>41100597</v>
          </cell>
        </row>
        <row r="3768">
          <cell r="K3768" t="str">
            <v>DBW-2824</v>
          </cell>
          <cell r="L3768">
            <v>44918</v>
          </cell>
          <cell r="M3768">
            <v>44921</v>
          </cell>
          <cell r="N3768">
            <v>44932</v>
          </cell>
          <cell r="O3768">
            <v>44921</v>
          </cell>
          <cell r="P3768">
            <v>44932</v>
          </cell>
          <cell r="Q3768">
            <v>44932</v>
          </cell>
          <cell r="R3768">
            <v>44932</v>
          </cell>
          <cell r="S3768"/>
          <cell r="T3768">
            <v>44935</v>
          </cell>
          <cell r="U3768">
            <v>44936</v>
          </cell>
          <cell r="V3768">
            <v>44937</v>
          </cell>
          <cell r="W3768">
            <v>44937</v>
          </cell>
          <cell r="X3768">
            <v>41100596</v>
          </cell>
        </row>
        <row r="3769">
          <cell r="K3769" t="str">
            <v>IVAS-181</v>
          </cell>
          <cell r="L3769">
            <v>44932</v>
          </cell>
          <cell r="M3769">
            <v>44935</v>
          </cell>
          <cell r="N3769">
            <v>44943</v>
          </cell>
          <cell r="O3769">
            <v>44935</v>
          </cell>
          <cell r="P3769">
            <v>44944</v>
          </cell>
          <cell r="Q3769">
            <v>44943</v>
          </cell>
          <cell r="R3769">
            <v>44943</v>
          </cell>
          <cell r="S3769"/>
          <cell r="T3769">
            <v>44944</v>
          </cell>
          <cell r="U3769">
            <v>44951</v>
          </cell>
          <cell r="V3769">
            <v>44951</v>
          </cell>
          <cell r="W3769">
            <v>44952</v>
          </cell>
          <cell r="X3769">
            <v>41100635</v>
          </cell>
        </row>
        <row r="3770">
          <cell r="K3770" t="str">
            <v>IVAS-183</v>
          </cell>
          <cell r="L3770">
            <v>44936</v>
          </cell>
          <cell r="M3770">
            <v>44937</v>
          </cell>
          <cell r="N3770">
            <v>44952</v>
          </cell>
          <cell r="O3770">
            <v>44937</v>
          </cell>
          <cell r="P3770">
            <v>44945</v>
          </cell>
          <cell r="Q3770">
            <v>44945</v>
          </cell>
          <cell r="R3770">
            <v>44945</v>
          </cell>
          <cell r="S3770"/>
          <cell r="T3770">
            <v>44953</v>
          </cell>
          <cell r="U3770">
            <v>44957</v>
          </cell>
          <cell r="V3770">
            <v>44957</v>
          </cell>
          <cell r="W3770">
            <v>44958</v>
          </cell>
          <cell r="X3770">
            <v>41100557</v>
          </cell>
        </row>
        <row r="3771">
          <cell r="K3771" t="str">
            <v>G1H4006</v>
          </cell>
          <cell r="L3771">
            <v>44957</v>
          </cell>
          <cell r="M3771">
            <v>44957</v>
          </cell>
          <cell r="N3771">
            <v>44957</v>
          </cell>
          <cell r="O3771">
            <v>44957</v>
          </cell>
          <cell r="P3771">
            <v>44957</v>
          </cell>
          <cell r="Q3771">
            <v>44957</v>
          </cell>
          <cell r="R3771">
            <v>44957</v>
          </cell>
          <cell r="S3771"/>
          <cell r="T3771">
            <v>44957</v>
          </cell>
          <cell r="U3771">
            <v>44957</v>
          </cell>
          <cell r="V3771">
            <v>44959</v>
          </cell>
          <cell r="W3771">
            <v>44959</v>
          </cell>
          <cell r="X3771" t="str">
            <v>-</v>
          </cell>
        </row>
        <row r="3772">
          <cell r="K3772" t="str">
            <v>G14090005</v>
          </cell>
          <cell r="L3772">
            <v>44957</v>
          </cell>
          <cell r="M3772">
            <v>44957</v>
          </cell>
          <cell r="N3772">
            <v>44957</v>
          </cell>
          <cell r="O3772">
            <v>44957</v>
          </cell>
          <cell r="P3772">
            <v>44957</v>
          </cell>
          <cell r="Q3772">
            <v>44957</v>
          </cell>
          <cell r="R3772">
            <v>44957</v>
          </cell>
          <cell r="S3772"/>
          <cell r="T3772">
            <v>44957</v>
          </cell>
          <cell r="U3772">
            <v>44957</v>
          </cell>
          <cell r="V3772">
            <v>44959</v>
          </cell>
          <cell r="W3772">
            <v>44959</v>
          </cell>
          <cell r="X3772" t="str">
            <v>-</v>
          </cell>
        </row>
        <row r="3773">
          <cell r="K3773" t="str">
            <v>GBWS-3152</v>
          </cell>
          <cell r="L3773">
            <v>44942</v>
          </cell>
          <cell r="M3773" t="str">
            <v>2023-01-20 → 23/01/16</v>
          </cell>
          <cell r="N3773">
            <v>44946</v>
          </cell>
          <cell r="O3773" t="str">
            <v>2023-01-20 → 23/01/16</v>
          </cell>
          <cell r="P3773">
            <v>44951</v>
          </cell>
          <cell r="Q3773" t="str">
            <v>2023-02-03 → 23/01/26 → 23/01/20</v>
          </cell>
          <cell r="R3773" t="str">
            <v>2023-02-03 → 23/01/26 → 23/01/20</v>
          </cell>
          <cell r="S3773"/>
          <cell r="T3773">
            <v>44952</v>
          </cell>
          <cell r="U3773">
            <v>44957</v>
          </cell>
          <cell r="V3773">
            <v>44959</v>
          </cell>
          <cell r="W3773">
            <v>44960</v>
          </cell>
          <cell r="X3773">
            <v>41100627</v>
          </cell>
        </row>
        <row r="3774">
          <cell r="K3774" t="str">
            <v>GBWS-3153</v>
          </cell>
          <cell r="L3774">
            <v>44942</v>
          </cell>
          <cell r="M3774" t="str">
            <v>2023-01-20 → 23/01/16</v>
          </cell>
          <cell r="N3774">
            <v>44946</v>
          </cell>
          <cell r="O3774" t="str">
            <v>2023-01-20 → 23/01/16</v>
          </cell>
          <cell r="P3774">
            <v>44951</v>
          </cell>
          <cell r="Q3774" t="str">
            <v>2023-02-03 → 23/01/26 → 23/01/20</v>
          </cell>
          <cell r="R3774" t="str">
            <v>2023-02-03 → 23/01/26 → 23/01/20</v>
          </cell>
          <cell r="S3774"/>
          <cell r="T3774">
            <v>44952</v>
          </cell>
          <cell r="U3774">
            <v>44959</v>
          </cell>
          <cell r="V3774">
            <v>44960</v>
          </cell>
          <cell r="W3774">
            <v>44960</v>
          </cell>
          <cell r="X3774">
            <v>41100628</v>
          </cell>
        </row>
        <row r="3775">
          <cell r="K3775" t="str">
            <v>DBW-2814</v>
          </cell>
          <cell r="L3775">
            <v>44911</v>
          </cell>
          <cell r="M3775">
            <v>44914</v>
          </cell>
          <cell r="N3775">
            <v>44922</v>
          </cell>
          <cell r="O3775">
            <v>44914</v>
          </cell>
          <cell r="P3775">
            <v>44928</v>
          </cell>
          <cell r="Q3775" t="str">
            <v>2022-12-28 → 23/01/02</v>
          </cell>
          <cell r="R3775" t="str">
            <v>2022-12-28 → 23/01/02</v>
          </cell>
          <cell r="S3775"/>
          <cell r="T3775">
            <v>44929</v>
          </cell>
          <cell r="U3775">
            <v>44930</v>
          </cell>
          <cell r="V3775">
            <v>44930</v>
          </cell>
          <cell r="W3775">
            <v>44931</v>
          </cell>
          <cell r="X3775">
            <v>41100496</v>
          </cell>
        </row>
        <row r="3776">
          <cell r="K3776" t="str">
            <v>DBW-2825</v>
          </cell>
          <cell r="L3776">
            <v>44918</v>
          </cell>
          <cell r="M3776">
            <v>44921</v>
          </cell>
          <cell r="N3776">
            <v>44932</v>
          </cell>
          <cell r="O3776">
            <v>44921</v>
          </cell>
          <cell r="P3776">
            <v>44932</v>
          </cell>
          <cell r="Q3776">
            <v>44932</v>
          </cell>
          <cell r="R3776">
            <v>44932</v>
          </cell>
          <cell r="S3776"/>
          <cell r="T3776">
            <v>44935</v>
          </cell>
          <cell r="U3776">
            <v>44936</v>
          </cell>
          <cell r="V3776">
            <v>44937</v>
          </cell>
          <cell r="W3776">
            <v>44937</v>
          </cell>
          <cell r="X3776">
            <v>41100501</v>
          </cell>
        </row>
        <row r="3777">
          <cell r="K3777" t="str">
            <v>DBW-2840</v>
          </cell>
          <cell r="L3777">
            <v>44932</v>
          </cell>
          <cell r="M3777">
            <v>44935</v>
          </cell>
          <cell r="N3777">
            <v>44944</v>
          </cell>
          <cell r="O3777">
            <v>44935</v>
          </cell>
          <cell r="P3777">
            <v>44944</v>
          </cell>
          <cell r="Q3777">
            <v>44944</v>
          </cell>
          <cell r="R3777">
            <v>44944</v>
          </cell>
          <cell r="S3777"/>
          <cell r="T3777">
            <v>44945</v>
          </cell>
          <cell r="U3777">
            <v>44946</v>
          </cell>
          <cell r="V3777">
            <v>44951</v>
          </cell>
          <cell r="W3777">
            <v>44951</v>
          </cell>
          <cell r="X3777">
            <v>41100473</v>
          </cell>
        </row>
        <row r="3778">
          <cell r="K3778" t="str">
            <v>DBW-2841</v>
          </cell>
          <cell r="L3778">
            <v>44932</v>
          </cell>
          <cell r="M3778">
            <v>44935</v>
          </cell>
          <cell r="N3778">
            <v>44944</v>
          </cell>
          <cell r="O3778">
            <v>44935</v>
          </cell>
          <cell r="P3778">
            <v>44944</v>
          </cell>
          <cell r="Q3778">
            <v>44944</v>
          </cell>
          <cell r="R3778">
            <v>44944</v>
          </cell>
          <cell r="S3778"/>
          <cell r="T3778">
            <v>44945</v>
          </cell>
          <cell r="U3778">
            <v>44946</v>
          </cell>
          <cell r="V3778">
            <v>44951</v>
          </cell>
          <cell r="W3778">
            <v>44951</v>
          </cell>
          <cell r="X3778">
            <v>41100473</v>
          </cell>
        </row>
        <row r="3779">
          <cell r="K3779" t="str">
            <v>G23030006</v>
          </cell>
          <cell r="L3779">
            <v>44953</v>
          </cell>
          <cell r="M3779">
            <v>44953</v>
          </cell>
          <cell r="N3779">
            <v>44957</v>
          </cell>
          <cell r="O3779">
            <v>44953</v>
          </cell>
          <cell r="P3779">
            <v>44957</v>
          </cell>
          <cell r="Q3779">
            <v>44953</v>
          </cell>
          <cell r="R3779">
            <v>44953</v>
          </cell>
          <cell r="S3779"/>
          <cell r="T3779">
            <v>44957</v>
          </cell>
          <cell r="U3779">
            <v>44957</v>
          </cell>
          <cell r="V3779">
            <v>44963</v>
          </cell>
          <cell r="W3779">
            <v>44963</v>
          </cell>
          <cell r="X3779" t="str">
            <v>-</v>
          </cell>
        </row>
        <row r="3780">
          <cell r="K3780" t="str">
            <v>G13030032</v>
          </cell>
          <cell r="L3780">
            <v>44957</v>
          </cell>
          <cell r="M3780">
            <v>44957</v>
          </cell>
          <cell r="N3780">
            <v>44957</v>
          </cell>
          <cell r="O3780">
            <v>44957</v>
          </cell>
          <cell r="P3780">
            <v>44957</v>
          </cell>
          <cell r="Q3780">
            <v>44957</v>
          </cell>
          <cell r="R3780">
            <v>44957</v>
          </cell>
          <cell r="S3780"/>
          <cell r="T3780">
            <v>44957</v>
          </cell>
          <cell r="U3780">
            <v>44957</v>
          </cell>
          <cell r="V3780">
            <v>44963</v>
          </cell>
          <cell r="W3780">
            <v>44963</v>
          </cell>
          <cell r="X3780" t="str">
            <v>-</v>
          </cell>
        </row>
        <row r="3781">
          <cell r="K3781" t="str">
            <v>G13030043</v>
          </cell>
          <cell r="L3781">
            <v>44953</v>
          </cell>
          <cell r="M3781">
            <v>44953</v>
          </cell>
          <cell r="N3781">
            <v>44959</v>
          </cell>
          <cell r="O3781">
            <v>44953</v>
          </cell>
          <cell r="P3781">
            <v>44959</v>
          </cell>
          <cell r="Q3781">
            <v>44953</v>
          </cell>
          <cell r="R3781">
            <v>44953</v>
          </cell>
          <cell r="S3781"/>
          <cell r="T3781">
            <v>44959</v>
          </cell>
          <cell r="U3781">
            <v>44959</v>
          </cell>
          <cell r="V3781">
            <v>44963</v>
          </cell>
          <cell r="W3781">
            <v>44963</v>
          </cell>
          <cell r="X3781" t="str">
            <v>-</v>
          </cell>
        </row>
        <row r="3782">
          <cell r="K3782" t="str">
            <v>DBW-2823</v>
          </cell>
          <cell r="L3782">
            <v>44918</v>
          </cell>
          <cell r="M3782">
            <v>44921</v>
          </cell>
          <cell r="N3782">
            <v>44932</v>
          </cell>
          <cell r="O3782">
            <v>44921</v>
          </cell>
          <cell r="P3782">
            <v>44932</v>
          </cell>
          <cell r="Q3782">
            <v>44932</v>
          </cell>
          <cell r="R3782">
            <v>44932</v>
          </cell>
          <cell r="S3782"/>
          <cell r="T3782">
            <v>44935</v>
          </cell>
          <cell r="U3782">
            <v>44938</v>
          </cell>
          <cell r="V3782">
            <v>44938</v>
          </cell>
          <cell r="W3782">
            <v>44939</v>
          </cell>
          <cell r="X3782">
            <v>41100598</v>
          </cell>
        </row>
        <row r="3783">
          <cell r="K3783" t="str">
            <v>PRK-0002</v>
          </cell>
          <cell r="L3783">
            <v>44959</v>
          </cell>
          <cell r="M3783" t="str">
            <v>2023-01-10 → 23/01/27</v>
          </cell>
          <cell r="N3783">
            <v>44963</v>
          </cell>
          <cell r="O3783" t="str">
            <v>2023-01-10 → 23/01/27</v>
          </cell>
          <cell r="P3783">
            <v>44964</v>
          </cell>
          <cell r="Q3783" t="str">
            <v>2023-01-16 → 23/02/06</v>
          </cell>
          <cell r="R3783" t="str">
            <v>2023-01-16 → 23/02/06</v>
          </cell>
          <cell r="S3783"/>
          <cell r="T3783">
            <v>44963</v>
          </cell>
          <cell r="U3783">
            <v>44964</v>
          </cell>
          <cell r="V3783">
            <v>44965</v>
          </cell>
          <cell r="W3783">
            <v>44965</v>
          </cell>
          <cell r="X3783">
            <v>41100631</v>
          </cell>
        </row>
        <row r="3784">
          <cell r="K3784" t="str">
            <v>DBW-2846</v>
          </cell>
          <cell r="L3784">
            <v>44936</v>
          </cell>
          <cell r="M3784">
            <v>44937</v>
          </cell>
          <cell r="N3784">
            <v>44951</v>
          </cell>
          <cell r="O3784">
            <v>44937</v>
          </cell>
          <cell r="P3784">
            <v>44946</v>
          </cell>
          <cell r="Q3784">
            <v>44946</v>
          </cell>
          <cell r="R3784">
            <v>44946</v>
          </cell>
          <cell r="S3784"/>
          <cell r="T3784">
            <v>44952</v>
          </cell>
          <cell r="U3784">
            <v>44953</v>
          </cell>
          <cell r="V3784">
            <v>44956</v>
          </cell>
          <cell r="W3784">
            <v>44956</v>
          </cell>
          <cell r="X3784">
            <v>41100531</v>
          </cell>
        </row>
        <row r="3785">
          <cell r="K3785" t="str">
            <v>DBW-2847</v>
          </cell>
          <cell r="L3785">
            <v>44936</v>
          </cell>
          <cell r="M3785">
            <v>44937</v>
          </cell>
          <cell r="N3785">
            <v>44951</v>
          </cell>
          <cell r="O3785">
            <v>44937</v>
          </cell>
          <cell r="P3785">
            <v>44946</v>
          </cell>
          <cell r="Q3785">
            <v>44946</v>
          </cell>
          <cell r="R3785">
            <v>44946</v>
          </cell>
          <cell r="S3785"/>
          <cell r="T3785">
            <v>44952</v>
          </cell>
          <cell r="U3785">
            <v>44953</v>
          </cell>
          <cell r="V3785">
            <v>44956</v>
          </cell>
          <cell r="W3785">
            <v>44956</v>
          </cell>
          <cell r="X3785">
            <v>41100531</v>
          </cell>
        </row>
        <row r="3786">
          <cell r="K3786" t="str">
            <v>DBW-2848</v>
          </cell>
          <cell r="L3786">
            <v>44936</v>
          </cell>
          <cell r="M3786">
            <v>44937</v>
          </cell>
          <cell r="N3786">
            <v>44951</v>
          </cell>
          <cell r="O3786">
            <v>44937</v>
          </cell>
          <cell r="P3786">
            <v>44946</v>
          </cell>
          <cell r="Q3786">
            <v>44946</v>
          </cell>
          <cell r="R3786">
            <v>44946</v>
          </cell>
          <cell r="S3786"/>
          <cell r="T3786">
            <v>44952</v>
          </cell>
          <cell r="U3786">
            <v>44953</v>
          </cell>
          <cell r="V3786">
            <v>44956</v>
          </cell>
          <cell r="W3786">
            <v>44956</v>
          </cell>
          <cell r="X3786">
            <v>41100531</v>
          </cell>
        </row>
        <row r="3787">
          <cell r="K3787" t="str">
            <v>DBW-2849</v>
          </cell>
          <cell r="L3787">
            <v>44936</v>
          </cell>
          <cell r="M3787">
            <v>44937</v>
          </cell>
          <cell r="N3787">
            <v>44951</v>
          </cell>
          <cell r="O3787">
            <v>44937</v>
          </cell>
          <cell r="P3787">
            <v>44946</v>
          </cell>
          <cell r="Q3787">
            <v>44946</v>
          </cell>
          <cell r="R3787">
            <v>44946</v>
          </cell>
          <cell r="S3787"/>
          <cell r="T3787">
            <v>44952</v>
          </cell>
          <cell r="U3787">
            <v>44953</v>
          </cell>
          <cell r="V3787">
            <v>44956</v>
          </cell>
          <cell r="W3787">
            <v>44956</v>
          </cell>
          <cell r="X3787">
            <v>41100531</v>
          </cell>
        </row>
        <row r="3788">
          <cell r="K3788" t="str">
            <v>DBW-2836</v>
          </cell>
          <cell r="L3788">
            <v>44929</v>
          </cell>
          <cell r="M3788">
            <v>44930</v>
          </cell>
          <cell r="N3788">
            <v>44939</v>
          </cell>
          <cell r="O3788">
            <v>44930</v>
          </cell>
          <cell r="P3788">
            <v>44942</v>
          </cell>
          <cell r="Q3788">
            <v>44942</v>
          </cell>
          <cell r="R3788">
            <v>44942</v>
          </cell>
          <cell r="S3788"/>
          <cell r="T3788">
            <v>44943</v>
          </cell>
          <cell r="U3788">
            <v>44944</v>
          </cell>
          <cell r="V3788">
            <v>44945</v>
          </cell>
          <cell r="W3788">
            <v>44945</v>
          </cell>
          <cell r="X3788">
            <v>41100472</v>
          </cell>
        </row>
        <row r="3789">
          <cell r="K3789" t="str">
            <v>DBW-2837</v>
          </cell>
          <cell r="L3789">
            <v>44929</v>
          </cell>
          <cell r="M3789">
            <v>44930</v>
          </cell>
          <cell r="N3789">
            <v>44939</v>
          </cell>
          <cell r="O3789">
            <v>44930</v>
          </cell>
          <cell r="P3789">
            <v>44942</v>
          </cell>
          <cell r="Q3789">
            <v>44942</v>
          </cell>
          <cell r="R3789">
            <v>44942</v>
          </cell>
          <cell r="S3789"/>
          <cell r="T3789">
            <v>44943</v>
          </cell>
          <cell r="U3789">
            <v>44944</v>
          </cell>
          <cell r="V3789">
            <v>44945</v>
          </cell>
          <cell r="W3789">
            <v>44946</v>
          </cell>
          <cell r="X3789">
            <v>41100472</v>
          </cell>
        </row>
        <row r="3790">
          <cell r="K3790" t="str">
            <v>DBW-2817</v>
          </cell>
          <cell r="L3790">
            <v>44914</v>
          </cell>
          <cell r="M3790">
            <v>44915</v>
          </cell>
          <cell r="N3790">
            <v>44930</v>
          </cell>
          <cell r="O3790">
            <v>44915</v>
          </cell>
          <cell r="P3790">
            <v>44932</v>
          </cell>
          <cell r="Q3790" t="str">
            <v>2022-12-28 → 23/01/09</v>
          </cell>
          <cell r="R3790" t="str">
            <v>2022-12-28 → 23/01/09</v>
          </cell>
          <cell r="S3790"/>
          <cell r="T3790">
            <v>44936</v>
          </cell>
          <cell r="U3790">
            <v>44939</v>
          </cell>
          <cell r="V3790">
            <v>44939</v>
          </cell>
          <cell r="W3790">
            <v>44939</v>
          </cell>
          <cell r="X3790">
            <v>41100480</v>
          </cell>
        </row>
        <row r="3791">
          <cell r="K3791" t="str">
            <v>DBW-2818</v>
          </cell>
          <cell r="L3791">
            <v>44914</v>
          </cell>
          <cell r="M3791">
            <v>44915</v>
          </cell>
          <cell r="N3791">
            <v>44930</v>
          </cell>
          <cell r="O3791">
            <v>44915</v>
          </cell>
          <cell r="P3791">
            <v>44932</v>
          </cell>
          <cell r="Q3791" t="str">
            <v>2022-12-28 → 23/01/09</v>
          </cell>
          <cell r="R3791" t="str">
            <v>2022-12-28 → 23/01/09</v>
          </cell>
          <cell r="S3791"/>
          <cell r="T3791">
            <v>44936</v>
          </cell>
          <cell r="U3791">
            <v>44939</v>
          </cell>
          <cell r="V3791">
            <v>44939</v>
          </cell>
          <cell r="W3791">
            <v>44939</v>
          </cell>
          <cell r="X3791">
            <v>41100480</v>
          </cell>
        </row>
        <row r="3792">
          <cell r="K3792" t="str">
            <v>DBW-2829</v>
          </cell>
          <cell r="L3792">
            <v>44928</v>
          </cell>
          <cell r="M3792">
            <v>44929</v>
          </cell>
          <cell r="N3792">
            <v>44938</v>
          </cell>
          <cell r="O3792">
            <v>44929</v>
          </cell>
          <cell r="P3792">
            <v>44939</v>
          </cell>
          <cell r="Q3792">
            <v>44939</v>
          </cell>
          <cell r="R3792">
            <v>44939</v>
          </cell>
          <cell r="S3792"/>
          <cell r="T3792">
            <v>44943</v>
          </cell>
          <cell r="U3792">
            <v>44943</v>
          </cell>
          <cell r="V3792">
            <v>44943</v>
          </cell>
          <cell r="W3792">
            <v>44944</v>
          </cell>
          <cell r="X3792">
            <v>41100480</v>
          </cell>
        </row>
        <row r="3793">
          <cell r="K3793" t="str">
            <v>IVAS-182</v>
          </cell>
          <cell r="L3793">
            <v>44936</v>
          </cell>
          <cell r="M3793">
            <v>44937</v>
          </cell>
          <cell r="N3793">
            <v>44956</v>
          </cell>
          <cell r="O3793">
            <v>44937</v>
          </cell>
          <cell r="P3793">
            <v>44953</v>
          </cell>
          <cell r="Q3793">
            <v>44953</v>
          </cell>
          <cell r="R3793">
            <v>44953</v>
          </cell>
          <cell r="S3793"/>
          <cell r="T3793">
            <v>44956</v>
          </cell>
          <cell r="U3793">
            <v>44960</v>
          </cell>
          <cell r="V3793">
            <v>44963</v>
          </cell>
          <cell r="W3793">
            <v>44963</v>
          </cell>
          <cell r="X3793">
            <v>41100383</v>
          </cell>
        </row>
        <row r="3794">
          <cell r="K3794" t="str">
            <v>WS-0075</v>
          </cell>
          <cell r="L3794">
            <v>44909</v>
          </cell>
          <cell r="M3794">
            <v>44910</v>
          </cell>
          <cell r="N3794">
            <v>44921</v>
          </cell>
          <cell r="O3794">
            <v>44910</v>
          </cell>
          <cell r="P3794">
            <v>44918</v>
          </cell>
          <cell r="Q3794">
            <v>44921</v>
          </cell>
          <cell r="R3794">
            <v>44921</v>
          </cell>
          <cell r="S3794"/>
          <cell r="T3794">
            <v>44921</v>
          </cell>
          <cell r="U3794">
            <v>44928</v>
          </cell>
          <cell r="V3794">
            <v>44929</v>
          </cell>
          <cell r="W3794">
            <v>44929</v>
          </cell>
          <cell r="X3794">
            <v>41100615</v>
          </cell>
        </row>
        <row r="3795">
          <cell r="K3795" t="str">
            <v>GBWS-3130</v>
          </cell>
          <cell r="L3795">
            <v>44931</v>
          </cell>
          <cell r="M3795">
            <v>44932</v>
          </cell>
          <cell r="N3795">
            <v>44942</v>
          </cell>
          <cell r="O3795">
            <v>44932</v>
          </cell>
          <cell r="P3795">
            <v>44942</v>
          </cell>
          <cell r="Q3795">
            <v>44942</v>
          </cell>
          <cell r="R3795">
            <v>44942</v>
          </cell>
          <cell r="S3795"/>
          <cell r="T3795">
            <v>44944</v>
          </cell>
          <cell r="U3795">
            <v>44945</v>
          </cell>
          <cell r="V3795">
            <v>44946</v>
          </cell>
          <cell r="W3795">
            <v>44946</v>
          </cell>
          <cell r="X3795">
            <v>41100372</v>
          </cell>
        </row>
        <row r="3796">
          <cell r="K3796" t="str">
            <v>GBWS-3095</v>
          </cell>
          <cell r="L3796">
            <v>44903</v>
          </cell>
          <cell r="M3796">
            <v>44904</v>
          </cell>
          <cell r="N3796">
            <v>44915</v>
          </cell>
          <cell r="O3796">
            <v>44904</v>
          </cell>
          <cell r="P3796">
            <v>44915</v>
          </cell>
          <cell r="Q3796">
            <v>44915</v>
          </cell>
          <cell r="R3796">
            <v>44915</v>
          </cell>
          <cell r="S3796"/>
          <cell r="T3796">
            <v>44916</v>
          </cell>
          <cell r="U3796">
            <v>44917</v>
          </cell>
          <cell r="V3796">
            <v>44918</v>
          </cell>
          <cell r="W3796">
            <v>44918</v>
          </cell>
          <cell r="X3796">
            <v>41100334</v>
          </cell>
        </row>
        <row r="3797">
          <cell r="K3797" t="str">
            <v>G12090008</v>
          </cell>
          <cell r="L3797">
            <v>44957</v>
          </cell>
          <cell r="M3797">
            <v>44957</v>
          </cell>
          <cell r="N3797">
            <v>44964</v>
          </cell>
          <cell r="O3797">
            <v>44957</v>
          </cell>
          <cell r="P3797">
            <v>44964</v>
          </cell>
          <cell r="Q3797">
            <v>44957</v>
          </cell>
          <cell r="R3797">
            <v>44957</v>
          </cell>
          <cell r="S3797"/>
          <cell r="T3797">
            <v>44964</v>
          </cell>
          <cell r="U3797">
            <v>44965</v>
          </cell>
          <cell r="V3797">
            <v>44965</v>
          </cell>
          <cell r="W3797">
            <v>44965</v>
          </cell>
          <cell r="X3797" t="str">
            <v>-</v>
          </cell>
        </row>
        <row r="3798">
          <cell r="K3798" t="str">
            <v>G14030023</v>
          </cell>
          <cell r="L3798">
            <v>44930</v>
          </cell>
          <cell r="M3798">
            <v>44930</v>
          </cell>
          <cell r="N3798">
            <v>44932</v>
          </cell>
          <cell r="O3798">
            <v>44930</v>
          </cell>
          <cell r="P3798">
            <v>44932</v>
          </cell>
          <cell r="Q3798">
            <v>44930</v>
          </cell>
          <cell r="R3798">
            <v>44930</v>
          </cell>
          <cell r="S3798"/>
          <cell r="T3798">
            <v>44932</v>
          </cell>
          <cell r="U3798">
            <v>44943</v>
          </cell>
          <cell r="V3798">
            <v>44943</v>
          </cell>
          <cell r="W3798">
            <v>44943</v>
          </cell>
          <cell r="X3798" t="str">
            <v>-</v>
          </cell>
        </row>
        <row r="3799">
          <cell r="K3799" t="str">
            <v>IVAS-185</v>
          </cell>
          <cell r="L3799">
            <v>44943</v>
          </cell>
          <cell r="M3799" t="str">
            <v>2023-02-22 → 23/01/18</v>
          </cell>
          <cell r="N3799">
            <v>44958</v>
          </cell>
          <cell r="O3799" t="str">
            <v>2023-02-22 → 23/01/18</v>
          </cell>
          <cell r="P3799">
            <v>44958</v>
          </cell>
          <cell r="Q3799" t="str">
            <v>2023-03-07 → 23/01/31 → 2/1</v>
          </cell>
          <cell r="R3799" t="str">
            <v>2023-03-07 → 23/01/31 → 2/1</v>
          </cell>
          <cell r="S3799"/>
          <cell r="T3799">
            <v>44959</v>
          </cell>
          <cell r="U3799">
            <v>44964</v>
          </cell>
          <cell r="V3799">
            <v>44964</v>
          </cell>
          <cell r="W3799">
            <v>44965</v>
          </cell>
          <cell r="X3799">
            <v>41100384</v>
          </cell>
        </row>
        <row r="3800">
          <cell r="K3800" t="str">
            <v>HNM-0016~0018</v>
          </cell>
          <cell r="L3800">
            <v>44945</v>
          </cell>
          <cell r="M3800">
            <v>44946</v>
          </cell>
          <cell r="N3800">
            <v>44963</v>
          </cell>
          <cell r="O3800">
            <v>44946</v>
          </cell>
          <cell r="P3800">
            <v>44963</v>
          </cell>
          <cell r="Q3800">
            <v>44951</v>
          </cell>
          <cell r="R3800">
            <v>44951</v>
          </cell>
          <cell r="S3800"/>
          <cell r="T3800">
            <v>44965</v>
          </cell>
          <cell r="U3800">
            <v>44965</v>
          </cell>
          <cell r="V3800">
            <v>44966</v>
          </cell>
          <cell r="W3800">
            <v>44966</v>
          </cell>
          <cell r="X3800">
            <v>31102573</v>
          </cell>
        </row>
        <row r="3801">
          <cell r="K3801" t="str">
            <v>DBW-2800</v>
          </cell>
          <cell r="L3801">
            <v>44900</v>
          </cell>
          <cell r="M3801">
            <v>44901</v>
          </cell>
          <cell r="N3801">
            <v>44916</v>
          </cell>
          <cell r="O3801">
            <v>44901</v>
          </cell>
          <cell r="P3801">
            <v>44917</v>
          </cell>
          <cell r="Q3801" t="str">
            <v>2022-12-16 → 12/20 → 12/23</v>
          </cell>
          <cell r="R3801" t="str">
            <v>2022-12-16 → 12/20 → 12/23</v>
          </cell>
          <cell r="S3801"/>
          <cell r="T3801">
            <v>44918</v>
          </cell>
          <cell r="U3801">
            <v>44921</v>
          </cell>
          <cell r="V3801">
            <v>44921</v>
          </cell>
          <cell r="W3801">
            <v>44921</v>
          </cell>
          <cell r="X3801">
            <v>41100619</v>
          </cell>
        </row>
        <row r="3802">
          <cell r="K3802" t="str">
            <v>GBWS-3000</v>
          </cell>
          <cell r="L3802">
            <v>44874</v>
          </cell>
          <cell r="M3802" t="str">
            <v>2022-11-24 → 11/10</v>
          </cell>
          <cell r="N3802">
            <v>44886</v>
          </cell>
          <cell r="O3802" t="str">
            <v>2022-11-24 → 11/10</v>
          </cell>
          <cell r="P3802">
            <v>44886</v>
          </cell>
          <cell r="Q3802" t="str">
            <v>2022-12-02 → 11/18</v>
          </cell>
          <cell r="R3802" t="str">
            <v>2022-12-02 → 11/18</v>
          </cell>
          <cell r="S3802"/>
          <cell r="T3802">
            <v>44887</v>
          </cell>
          <cell r="U3802">
            <v>44888</v>
          </cell>
          <cell r="V3802">
            <v>44889</v>
          </cell>
          <cell r="W3802">
            <v>44889</v>
          </cell>
          <cell r="X3802">
            <v>41100264</v>
          </cell>
        </row>
        <row r="3803">
          <cell r="K3803" t="str">
            <v>GBWS-3001</v>
          </cell>
          <cell r="L3803">
            <v>44874</v>
          </cell>
          <cell r="M3803" t="str">
            <v>2022-11-24 → 11/10</v>
          </cell>
          <cell r="N3803">
            <v>44886</v>
          </cell>
          <cell r="O3803" t="str">
            <v>2022-11-24 → 11/10</v>
          </cell>
          <cell r="P3803">
            <v>44886</v>
          </cell>
          <cell r="Q3803" t="str">
            <v>2022-12-02 → 11/18</v>
          </cell>
          <cell r="R3803" t="str">
            <v>2022-12-02 → 11/18</v>
          </cell>
          <cell r="S3803"/>
          <cell r="T3803">
            <v>44887</v>
          </cell>
          <cell r="U3803">
            <v>44888</v>
          </cell>
          <cell r="V3803">
            <v>44889</v>
          </cell>
          <cell r="W3803">
            <v>44889</v>
          </cell>
          <cell r="X3803">
            <v>41100264</v>
          </cell>
        </row>
        <row r="3804">
          <cell r="K3804" t="str">
            <v>GBWS-3070</v>
          </cell>
          <cell r="L3804">
            <v>44895</v>
          </cell>
          <cell r="M3804" t="str">
            <v>2022-11-28 → 12/1</v>
          </cell>
          <cell r="N3804">
            <v>44914</v>
          </cell>
          <cell r="O3804" t="str">
            <v>2022-11-28 → 12/1</v>
          </cell>
          <cell r="P3804">
            <v>44909</v>
          </cell>
          <cell r="Q3804" t="str">
            <v>2022-12-09 → 12/13</v>
          </cell>
          <cell r="R3804" t="str">
            <v>2022-12-09 → 12/13</v>
          </cell>
          <cell r="S3804"/>
          <cell r="T3804">
            <v>44914</v>
          </cell>
          <cell r="U3804">
            <v>44928</v>
          </cell>
          <cell r="V3804">
            <v>44928</v>
          </cell>
          <cell r="W3804">
            <v>44929</v>
          </cell>
          <cell r="X3804">
            <v>41100594</v>
          </cell>
        </row>
        <row r="3805">
          <cell r="K3805" t="str">
            <v>GBWS-3166</v>
          </cell>
          <cell r="L3805">
            <v>44951</v>
          </cell>
          <cell r="M3805">
            <v>44952</v>
          </cell>
          <cell r="N3805">
            <v>44964</v>
          </cell>
          <cell r="O3805">
            <v>44952</v>
          </cell>
          <cell r="P3805">
            <v>44964</v>
          </cell>
          <cell r="Q3805">
            <v>44963</v>
          </cell>
          <cell r="R3805">
            <v>44963</v>
          </cell>
          <cell r="S3805"/>
          <cell r="T3805">
            <v>44964</v>
          </cell>
          <cell r="U3805">
            <v>44966</v>
          </cell>
          <cell r="V3805">
            <v>44967</v>
          </cell>
          <cell r="W3805">
            <v>44967</v>
          </cell>
          <cell r="X3805">
            <v>41100090</v>
          </cell>
        </row>
        <row r="3806">
          <cell r="K3806" t="str">
            <v>GBWS-3167</v>
          </cell>
          <cell r="L3806">
            <v>44951</v>
          </cell>
          <cell r="M3806">
            <v>44952</v>
          </cell>
          <cell r="N3806">
            <v>44964</v>
          </cell>
          <cell r="O3806">
            <v>44952</v>
          </cell>
          <cell r="P3806">
            <v>44964</v>
          </cell>
          <cell r="Q3806">
            <v>44963</v>
          </cell>
          <cell r="R3806">
            <v>44963</v>
          </cell>
          <cell r="S3806"/>
          <cell r="T3806">
            <v>44966</v>
          </cell>
          <cell r="U3806">
            <v>44966</v>
          </cell>
          <cell r="V3806">
            <v>44967</v>
          </cell>
          <cell r="W3806">
            <v>44967</v>
          </cell>
          <cell r="X3806">
            <v>41100090</v>
          </cell>
        </row>
        <row r="3807">
          <cell r="K3807" t="str">
            <v>GBWS-3168</v>
          </cell>
          <cell r="L3807">
            <v>44951</v>
          </cell>
          <cell r="M3807">
            <v>44952</v>
          </cell>
          <cell r="N3807">
            <v>44964</v>
          </cell>
          <cell r="O3807">
            <v>44952</v>
          </cell>
          <cell r="P3807">
            <v>44964</v>
          </cell>
          <cell r="Q3807">
            <v>44963</v>
          </cell>
          <cell r="R3807">
            <v>44963</v>
          </cell>
          <cell r="S3807"/>
          <cell r="T3807">
            <v>44964</v>
          </cell>
          <cell r="U3807">
            <v>44966</v>
          </cell>
          <cell r="V3807">
            <v>44967</v>
          </cell>
          <cell r="W3807">
            <v>44967</v>
          </cell>
          <cell r="X3807">
            <v>41100090</v>
          </cell>
        </row>
        <row r="3808">
          <cell r="K3808" t="str">
            <v>GBWS-3169</v>
          </cell>
          <cell r="L3808">
            <v>44951</v>
          </cell>
          <cell r="M3808">
            <v>44952</v>
          </cell>
          <cell r="N3808">
            <v>44964</v>
          </cell>
          <cell r="O3808">
            <v>44952</v>
          </cell>
          <cell r="P3808">
            <v>44964</v>
          </cell>
          <cell r="Q3808">
            <v>44963</v>
          </cell>
          <cell r="R3808">
            <v>44963</v>
          </cell>
          <cell r="S3808"/>
          <cell r="T3808">
            <v>44964</v>
          </cell>
          <cell r="U3808">
            <v>44966</v>
          </cell>
          <cell r="V3808">
            <v>44967</v>
          </cell>
          <cell r="W3808">
            <v>44967</v>
          </cell>
          <cell r="X3808">
            <v>41100090</v>
          </cell>
        </row>
        <row r="3809">
          <cell r="K3809" t="str">
            <v>GBWS-3133</v>
          </cell>
          <cell r="L3809">
            <v>44931</v>
          </cell>
          <cell r="M3809">
            <v>44932</v>
          </cell>
          <cell r="N3809">
            <v>44942</v>
          </cell>
          <cell r="O3809">
            <v>44932</v>
          </cell>
          <cell r="P3809">
            <v>44942</v>
          </cell>
          <cell r="Q3809">
            <v>44942</v>
          </cell>
          <cell r="R3809">
            <v>44942</v>
          </cell>
          <cell r="S3809"/>
          <cell r="T3809">
            <v>44943</v>
          </cell>
          <cell r="U3809">
            <v>44952</v>
          </cell>
          <cell r="V3809">
            <v>44952</v>
          </cell>
          <cell r="W3809">
            <v>44953</v>
          </cell>
          <cell r="X3809">
            <v>41100576</v>
          </cell>
        </row>
        <row r="3810">
          <cell r="K3810" t="str">
            <v>GBWS-2879</v>
          </cell>
          <cell r="L3810">
            <v>44830</v>
          </cell>
          <cell r="M3810">
            <v>44831</v>
          </cell>
          <cell r="N3810">
            <v>44859</v>
          </cell>
          <cell r="O3810">
            <v>44831</v>
          </cell>
          <cell r="P3810">
            <v>44859</v>
          </cell>
          <cell r="Q3810" t="str">
            <v>2022-10-11 → 10/16 → 10/19 → 10/24</v>
          </cell>
          <cell r="R3810" t="str">
            <v>2022-10-11 → 10/16 → 10/19 → 10/24</v>
          </cell>
          <cell r="S3810"/>
          <cell r="T3810">
            <v>44859</v>
          </cell>
          <cell r="U3810">
            <v>44861</v>
          </cell>
          <cell r="V3810">
            <v>44865</v>
          </cell>
          <cell r="W3810">
            <v>44865</v>
          </cell>
          <cell r="X3810">
            <v>41100551</v>
          </cell>
        </row>
        <row r="3811">
          <cell r="K3811" t="str">
            <v>GBWS-2880</v>
          </cell>
          <cell r="L3811">
            <v>44830</v>
          </cell>
          <cell r="M3811">
            <v>44831</v>
          </cell>
          <cell r="N3811">
            <v>44859</v>
          </cell>
          <cell r="O3811">
            <v>44831</v>
          </cell>
          <cell r="P3811">
            <v>44859</v>
          </cell>
          <cell r="Q3811" t="str">
            <v>2022-10-11 → 10/16 → 10/19 → 10/24</v>
          </cell>
          <cell r="R3811" t="str">
            <v>2022-10-11 → 10/16 → 10/19 → 10/24</v>
          </cell>
          <cell r="S3811"/>
          <cell r="T3811">
            <v>44859</v>
          </cell>
          <cell r="U3811">
            <v>44861</v>
          </cell>
          <cell r="V3811">
            <v>44865</v>
          </cell>
          <cell r="W3811">
            <v>44865</v>
          </cell>
          <cell r="X3811">
            <v>41100546</v>
          </cell>
        </row>
        <row r="3812">
          <cell r="K3812" t="str">
            <v>GBWS-3170</v>
          </cell>
          <cell r="L3812">
            <v>44951</v>
          </cell>
          <cell r="M3812">
            <v>44952</v>
          </cell>
          <cell r="N3812">
            <v>44964</v>
          </cell>
          <cell r="O3812">
            <v>44952</v>
          </cell>
          <cell r="P3812">
            <v>44963</v>
          </cell>
          <cell r="Q3812">
            <v>44963</v>
          </cell>
          <cell r="R3812">
            <v>44963</v>
          </cell>
          <cell r="S3812"/>
          <cell r="T3812">
            <v>44964</v>
          </cell>
          <cell r="U3812">
            <v>44966</v>
          </cell>
          <cell r="V3812">
            <v>44967</v>
          </cell>
          <cell r="W3812">
            <v>44967</v>
          </cell>
          <cell r="X3812">
            <v>41100093</v>
          </cell>
        </row>
        <row r="3813">
          <cell r="K3813" t="str">
            <v>GBWS-3171</v>
          </cell>
          <cell r="L3813">
            <v>44951</v>
          </cell>
          <cell r="M3813">
            <v>44952</v>
          </cell>
          <cell r="N3813">
            <v>44964</v>
          </cell>
          <cell r="O3813">
            <v>44952</v>
          </cell>
          <cell r="P3813">
            <v>44963</v>
          </cell>
          <cell r="Q3813">
            <v>44963</v>
          </cell>
          <cell r="R3813">
            <v>44963</v>
          </cell>
          <cell r="S3813"/>
          <cell r="T3813">
            <v>44964</v>
          </cell>
          <cell r="U3813">
            <v>44966</v>
          </cell>
          <cell r="V3813">
            <v>44967</v>
          </cell>
          <cell r="W3813">
            <v>44967</v>
          </cell>
          <cell r="X3813">
            <v>41100093</v>
          </cell>
        </row>
        <row r="3814">
          <cell r="K3814" t="str">
            <v>GBWS-3172</v>
          </cell>
          <cell r="L3814">
            <v>44951</v>
          </cell>
          <cell r="M3814">
            <v>44952</v>
          </cell>
          <cell r="N3814">
            <v>44964</v>
          </cell>
          <cell r="O3814">
            <v>44952</v>
          </cell>
          <cell r="P3814">
            <v>44963</v>
          </cell>
          <cell r="Q3814">
            <v>44963</v>
          </cell>
          <cell r="R3814">
            <v>44963</v>
          </cell>
          <cell r="S3814"/>
          <cell r="T3814">
            <v>44964</v>
          </cell>
          <cell r="U3814">
            <v>44966</v>
          </cell>
          <cell r="V3814">
            <v>44967</v>
          </cell>
          <cell r="W3814">
            <v>44967</v>
          </cell>
          <cell r="X3814">
            <v>41100093</v>
          </cell>
        </row>
        <row r="3815">
          <cell r="K3815" t="str">
            <v>GBWS-3174</v>
          </cell>
          <cell r="L3815">
            <v>44951</v>
          </cell>
          <cell r="M3815">
            <v>44952</v>
          </cell>
          <cell r="N3815">
            <v>44964</v>
          </cell>
          <cell r="O3815">
            <v>44952</v>
          </cell>
          <cell r="P3815">
            <v>44964</v>
          </cell>
          <cell r="Q3815">
            <v>44963</v>
          </cell>
          <cell r="R3815">
            <v>44963</v>
          </cell>
          <cell r="S3815"/>
          <cell r="T3815">
            <v>44965</v>
          </cell>
          <cell r="U3815">
            <v>44967</v>
          </cell>
          <cell r="V3815">
            <v>44967</v>
          </cell>
          <cell r="W3815">
            <v>44967</v>
          </cell>
          <cell r="X3815">
            <v>41100522</v>
          </cell>
        </row>
        <row r="3816">
          <cell r="K3816" t="str">
            <v>GBWS-3173</v>
          </cell>
          <cell r="L3816">
            <v>44951</v>
          </cell>
          <cell r="M3816">
            <v>44952</v>
          </cell>
          <cell r="N3816">
            <v>44964</v>
          </cell>
          <cell r="O3816">
            <v>44952</v>
          </cell>
          <cell r="P3816">
            <v>44964</v>
          </cell>
          <cell r="Q3816">
            <v>44963</v>
          </cell>
          <cell r="R3816">
            <v>44963</v>
          </cell>
          <cell r="S3816"/>
          <cell r="T3816">
            <v>44964</v>
          </cell>
          <cell r="U3816">
            <v>44965</v>
          </cell>
          <cell r="V3816">
            <v>44966</v>
          </cell>
          <cell r="W3816">
            <v>44966</v>
          </cell>
          <cell r="X3816">
            <v>41100093</v>
          </cell>
        </row>
        <row r="3817">
          <cell r="K3817" t="str">
            <v>DBW-2816</v>
          </cell>
          <cell r="L3817">
            <v>44914</v>
          </cell>
          <cell r="M3817">
            <v>44915</v>
          </cell>
          <cell r="N3817">
            <v>44930</v>
          </cell>
          <cell r="O3817">
            <v>44915</v>
          </cell>
          <cell r="P3817">
            <v>44930</v>
          </cell>
          <cell r="Q3817" t="str">
            <v>2022-12-30 → 23/01/04</v>
          </cell>
          <cell r="R3817" t="str">
            <v>2022-12-30 → 23/01/04</v>
          </cell>
          <cell r="S3817"/>
          <cell r="T3817">
            <v>44931</v>
          </cell>
          <cell r="U3817">
            <v>44932</v>
          </cell>
          <cell r="V3817">
            <v>44935</v>
          </cell>
          <cell r="W3817">
            <v>44935</v>
          </cell>
          <cell r="X3817">
            <v>41100496</v>
          </cell>
        </row>
        <row r="3818">
          <cell r="K3818" t="str">
            <v>DBW-2842</v>
          </cell>
          <cell r="L3818">
            <v>44936</v>
          </cell>
          <cell r="M3818">
            <v>44937</v>
          </cell>
          <cell r="N3818">
            <v>44945</v>
          </cell>
          <cell r="O3818">
            <v>44937</v>
          </cell>
          <cell r="P3818">
            <v>44945</v>
          </cell>
          <cell r="Q3818">
            <v>44945</v>
          </cell>
          <cell r="R3818">
            <v>44945</v>
          </cell>
          <cell r="S3818"/>
          <cell r="T3818">
            <v>44946</v>
          </cell>
          <cell r="U3818">
            <v>44951</v>
          </cell>
          <cell r="V3818">
            <v>44951</v>
          </cell>
          <cell r="W3818">
            <v>44952</v>
          </cell>
          <cell r="X3818">
            <v>41100465</v>
          </cell>
        </row>
        <row r="3819">
          <cell r="K3819" t="str">
            <v>DBW-2843</v>
          </cell>
          <cell r="L3819">
            <v>44936</v>
          </cell>
          <cell r="M3819">
            <v>44937</v>
          </cell>
          <cell r="N3819">
            <v>44945</v>
          </cell>
          <cell r="O3819">
            <v>44937</v>
          </cell>
          <cell r="P3819">
            <v>44945</v>
          </cell>
          <cell r="Q3819">
            <v>44945</v>
          </cell>
          <cell r="R3819">
            <v>44945</v>
          </cell>
          <cell r="S3819"/>
          <cell r="T3819">
            <v>44946</v>
          </cell>
          <cell r="U3819">
            <v>44952</v>
          </cell>
          <cell r="V3819">
            <v>44952</v>
          </cell>
          <cell r="W3819">
            <v>44952</v>
          </cell>
          <cell r="X3819">
            <v>41100465</v>
          </cell>
        </row>
        <row r="3820">
          <cell r="K3820" t="str">
            <v>DBW-2844</v>
          </cell>
          <cell r="L3820">
            <v>44936</v>
          </cell>
          <cell r="M3820">
            <v>44937</v>
          </cell>
          <cell r="N3820">
            <v>44945</v>
          </cell>
          <cell r="O3820">
            <v>44937</v>
          </cell>
          <cell r="P3820">
            <v>44945</v>
          </cell>
          <cell r="Q3820">
            <v>44945</v>
          </cell>
          <cell r="R3820">
            <v>44945</v>
          </cell>
          <cell r="S3820"/>
          <cell r="T3820">
            <v>44946</v>
          </cell>
          <cell r="U3820">
            <v>44952</v>
          </cell>
          <cell r="V3820">
            <v>44953</v>
          </cell>
          <cell r="W3820">
            <v>44953</v>
          </cell>
          <cell r="X3820">
            <v>41100469</v>
          </cell>
        </row>
        <row r="3821">
          <cell r="K3821" t="str">
            <v>DBW-2845</v>
          </cell>
          <cell r="L3821">
            <v>44936</v>
          </cell>
          <cell r="M3821">
            <v>44937</v>
          </cell>
          <cell r="N3821">
            <v>44945</v>
          </cell>
          <cell r="O3821">
            <v>44937</v>
          </cell>
          <cell r="P3821">
            <v>44945</v>
          </cell>
          <cell r="Q3821">
            <v>44945</v>
          </cell>
          <cell r="R3821">
            <v>44945</v>
          </cell>
          <cell r="S3821"/>
          <cell r="T3821">
            <v>44946</v>
          </cell>
          <cell r="U3821">
            <v>44951</v>
          </cell>
          <cell r="V3821">
            <v>44951</v>
          </cell>
          <cell r="W3821">
            <v>44952</v>
          </cell>
          <cell r="X3821">
            <v>41100469</v>
          </cell>
        </row>
        <row r="3822">
          <cell r="K3822" t="str">
            <v>GBWS-3143</v>
          </cell>
          <cell r="L3822">
            <v>44935</v>
          </cell>
          <cell r="M3822">
            <v>44936</v>
          </cell>
          <cell r="N3822">
            <v>44956</v>
          </cell>
          <cell r="O3822">
            <v>44936</v>
          </cell>
          <cell r="P3822">
            <v>44944</v>
          </cell>
          <cell r="Q3822">
            <v>44944</v>
          </cell>
          <cell r="R3822">
            <v>44944</v>
          </cell>
          <cell r="S3822"/>
          <cell r="T3822">
            <v>44945</v>
          </cell>
          <cell r="U3822">
            <v>44957</v>
          </cell>
          <cell r="V3822">
            <v>44958</v>
          </cell>
          <cell r="W3822">
            <v>44958</v>
          </cell>
          <cell r="X3822">
            <v>41100467</v>
          </cell>
        </row>
        <row r="3823">
          <cell r="K3823" t="str">
            <v>GBWS-3144</v>
          </cell>
          <cell r="L3823">
            <v>44935</v>
          </cell>
          <cell r="M3823">
            <v>44936</v>
          </cell>
          <cell r="N3823">
            <v>44956</v>
          </cell>
          <cell r="O3823">
            <v>44936</v>
          </cell>
          <cell r="P3823">
            <v>44944</v>
          </cell>
          <cell r="Q3823">
            <v>44944</v>
          </cell>
          <cell r="R3823">
            <v>44944</v>
          </cell>
          <cell r="S3823"/>
          <cell r="T3823">
            <v>44945</v>
          </cell>
          <cell r="U3823">
            <v>44957</v>
          </cell>
          <cell r="V3823">
            <v>44958</v>
          </cell>
          <cell r="W3823">
            <v>44958</v>
          </cell>
          <cell r="X3823">
            <v>41100467</v>
          </cell>
        </row>
        <row r="3824">
          <cell r="K3824" t="str">
            <v>GBWS-3145</v>
          </cell>
          <cell r="L3824">
            <v>44935</v>
          </cell>
          <cell r="M3824">
            <v>44936</v>
          </cell>
          <cell r="N3824">
            <v>44956</v>
          </cell>
          <cell r="O3824">
            <v>44936</v>
          </cell>
          <cell r="P3824">
            <v>44944</v>
          </cell>
          <cell r="Q3824">
            <v>44944</v>
          </cell>
          <cell r="R3824">
            <v>44944</v>
          </cell>
          <cell r="S3824"/>
          <cell r="T3824">
            <v>44945</v>
          </cell>
          <cell r="U3824">
            <v>44957</v>
          </cell>
          <cell r="V3824">
            <v>44958</v>
          </cell>
          <cell r="W3824">
            <v>44958</v>
          </cell>
          <cell r="X3824">
            <v>41100467</v>
          </cell>
        </row>
        <row r="3825">
          <cell r="K3825" t="str">
            <v>GBWS-3146</v>
          </cell>
          <cell r="L3825">
            <v>44935</v>
          </cell>
          <cell r="M3825">
            <v>44936</v>
          </cell>
          <cell r="N3825">
            <v>44956</v>
          </cell>
          <cell r="O3825">
            <v>44936</v>
          </cell>
          <cell r="P3825">
            <v>44944</v>
          </cell>
          <cell r="Q3825">
            <v>44944</v>
          </cell>
          <cell r="R3825">
            <v>44944</v>
          </cell>
          <cell r="S3825"/>
          <cell r="T3825">
            <v>44951</v>
          </cell>
          <cell r="U3825">
            <v>44957</v>
          </cell>
          <cell r="V3825">
            <v>44957</v>
          </cell>
          <cell r="W3825">
            <v>44958</v>
          </cell>
          <cell r="X3825">
            <v>41100467</v>
          </cell>
        </row>
        <row r="3826">
          <cell r="K3826" t="str">
            <v>GBWS-3147</v>
          </cell>
          <cell r="L3826">
            <v>44935</v>
          </cell>
          <cell r="M3826">
            <v>44936</v>
          </cell>
          <cell r="N3826">
            <v>44956</v>
          </cell>
          <cell r="O3826">
            <v>44936</v>
          </cell>
          <cell r="P3826">
            <v>44944</v>
          </cell>
          <cell r="Q3826">
            <v>44944</v>
          </cell>
          <cell r="R3826">
            <v>44944</v>
          </cell>
          <cell r="S3826"/>
          <cell r="T3826">
            <v>44951</v>
          </cell>
          <cell r="U3826">
            <v>44957</v>
          </cell>
          <cell r="V3826">
            <v>44957</v>
          </cell>
          <cell r="W3826">
            <v>44958</v>
          </cell>
          <cell r="X3826">
            <v>41100467</v>
          </cell>
        </row>
        <row r="3827">
          <cell r="K3827" t="str">
            <v>GBWS-3148</v>
          </cell>
          <cell r="L3827">
            <v>44935</v>
          </cell>
          <cell r="M3827">
            <v>44936</v>
          </cell>
          <cell r="N3827">
            <v>44956</v>
          </cell>
          <cell r="O3827">
            <v>44936</v>
          </cell>
          <cell r="P3827">
            <v>44951</v>
          </cell>
          <cell r="Q3827">
            <v>44944</v>
          </cell>
          <cell r="R3827">
            <v>44944</v>
          </cell>
          <cell r="S3827"/>
          <cell r="T3827">
            <v>44951</v>
          </cell>
          <cell r="U3827">
            <v>44958</v>
          </cell>
          <cell r="V3827">
            <v>44958</v>
          </cell>
          <cell r="W3827">
            <v>44959</v>
          </cell>
          <cell r="X3827">
            <v>41100467</v>
          </cell>
        </row>
        <row r="3828">
          <cell r="K3828" t="str">
            <v>GBWS-3149</v>
          </cell>
          <cell r="L3828">
            <v>44935</v>
          </cell>
          <cell r="M3828">
            <v>44936</v>
          </cell>
          <cell r="N3828">
            <v>44956</v>
          </cell>
          <cell r="O3828">
            <v>44936</v>
          </cell>
          <cell r="P3828">
            <v>44951</v>
          </cell>
          <cell r="Q3828">
            <v>44944</v>
          </cell>
          <cell r="R3828">
            <v>44944</v>
          </cell>
          <cell r="S3828"/>
          <cell r="T3828">
            <v>44956</v>
          </cell>
          <cell r="U3828">
            <v>44958</v>
          </cell>
          <cell r="V3828">
            <v>44958</v>
          </cell>
          <cell r="W3828">
            <v>44959</v>
          </cell>
          <cell r="X3828">
            <v>41100467</v>
          </cell>
        </row>
        <row r="3829">
          <cell r="K3829" t="str">
            <v>GBWS-3150</v>
          </cell>
          <cell r="L3829">
            <v>44935</v>
          </cell>
          <cell r="M3829">
            <v>44936</v>
          </cell>
          <cell r="N3829">
            <v>44956</v>
          </cell>
          <cell r="O3829">
            <v>44936</v>
          </cell>
          <cell r="P3829">
            <v>44951</v>
          </cell>
          <cell r="Q3829">
            <v>44944</v>
          </cell>
          <cell r="R3829">
            <v>44944</v>
          </cell>
          <cell r="S3829"/>
          <cell r="T3829">
            <v>44956</v>
          </cell>
          <cell r="U3829">
            <v>44958</v>
          </cell>
          <cell r="V3829">
            <v>44958</v>
          </cell>
          <cell r="W3829">
            <v>44959</v>
          </cell>
          <cell r="X3829">
            <v>41100467</v>
          </cell>
        </row>
        <row r="3830">
          <cell r="K3830" t="str">
            <v>DBW-2859</v>
          </cell>
          <cell r="L3830">
            <v>44953</v>
          </cell>
          <cell r="M3830">
            <v>44956</v>
          </cell>
          <cell r="N3830">
            <v>44965</v>
          </cell>
          <cell r="O3830">
            <v>44956</v>
          </cell>
          <cell r="P3830">
            <v>44965</v>
          </cell>
          <cell r="Q3830">
            <v>44965</v>
          </cell>
          <cell r="R3830">
            <v>44965</v>
          </cell>
          <cell r="S3830"/>
          <cell r="T3830">
            <v>44966</v>
          </cell>
          <cell r="U3830">
            <v>44967</v>
          </cell>
          <cell r="V3830">
            <v>44970</v>
          </cell>
          <cell r="W3830">
            <v>44970</v>
          </cell>
          <cell r="X3830">
            <v>41100532</v>
          </cell>
        </row>
        <row r="3831">
          <cell r="K3831" t="str">
            <v>G13030001</v>
          </cell>
          <cell r="L3831">
            <v>44964</v>
          </cell>
          <cell r="M3831">
            <v>44964</v>
          </cell>
          <cell r="N3831">
            <v>44966</v>
          </cell>
          <cell r="O3831">
            <v>44964</v>
          </cell>
          <cell r="P3831">
            <v>44966</v>
          </cell>
          <cell r="Q3831">
            <v>44964</v>
          </cell>
          <cell r="R3831">
            <v>44964</v>
          </cell>
          <cell r="S3831"/>
          <cell r="T3831">
            <v>44966</v>
          </cell>
          <cell r="U3831">
            <v>44970</v>
          </cell>
          <cell r="V3831">
            <v>44970</v>
          </cell>
          <cell r="W3831">
            <v>44970</v>
          </cell>
          <cell r="X3831" t="str">
            <v>-</v>
          </cell>
        </row>
        <row r="3832">
          <cell r="K3832" t="str">
            <v>G13030031</v>
          </cell>
          <cell r="L3832">
            <v>44967</v>
          </cell>
          <cell r="M3832">
            <v>44967</v>
          </cell>
          <cell r="N3832">
            <v>44966</v>
          </cell>
          <cell r="O3832">
            <v>44967</v>
          </cell>
          <cell r="P3832">
            <v>44966</v>
          </cell>
          <cell r="Q3832">
            <v>44967</v>
          </cell>
          <cell r="R3832">
            <v>44967</v>
          </cell>
          <cell r="S3832"/>
          <cell r="T3832">
            <v>44966</v>
          </cell>
          <cell r="U3832">
            <v>44970</v>
          </cell>
          <cell r="V3832">
            <v>44970</v>
          </cell>
          <cell r="W3832">
            <v>44970</v>
          </cell>
          <cell r="X3832" t="str">
            <v>-</v>
          </cell>
        </row>
        <row r="3833">
          <cell r="K3833" t="str">
            <v>G13030030</v>
          </cell>
          <cell r="L3833">
            <v>44967</v>
          </cell>
          <cell r="M3833">
            <v>44967</v>
          </cell>
          <cell r="N3833">
            <v>44966</v>
          </cell>
          <cell r="O3833">
            <v>44967</v>
          </cell>
          <cell r="P3833">
            <v>44966</v>
          </cell>
          <cell r="Q3833">
            <v>44967</v>
          </cell>
          <cell r="R3833">
            <v>44967</v>
          </cell>
          <cell r="S3833"/>
          <cell r="T3833">
            <v>44966</v>
          </cell>
          <cell r="U3833">
            <v>44970</v>
          </cell>
          <cell r="V3833">
            <v>44970</v>
          </cell>
          <cell r="W3833">
            <v>44970</v>
          </cell>
          <cell r="X3833" t="str">
            <v>-</v>
          </cell>
        </row>
        <row r="3834">
          <cell r="K3834" t="str">
            <v>DBW-2857</v>
          </cell>
          <cell r="L3834">
            <v>44953</v>
          </cell>
          <cell r="M3834">
            <v>44956</v>
          </cell>
          <cell r="N3834">
            <v>44965</v>
          </cell>
          <cell r="O3834">
            <v>44956</v>
          </cell>
          <cell r="P3834">
            <v>44965</v>
          </cell>
          <cell r="Q3834">
            <v>44965</v>
          </cell>
          <cell r="R3834">
            <v>44965</v>
          </cell>
          <cell r="S3834"/>
          <cell r="T3834">
            <v>44966</v>
          </cell>
          <cell r="U3834">
            <v>44970</v>
          </cell>
          <cell r="V3834">
            <v>44970</v>
          </cell>
          <cell r="W3834">
            <v>44970</v>
          </cell>
          <cell r="X3834">
            <v>41100465</v>
          </cell>
        </row>
        <row r="3835">
          <cell r="K3835" t="str">
            <v>DBW-2858</v>
          </cell>
          <cell r="L3835">
            <v>44953</v>
          </cell>
          <cell r="M3835">
            <v>44956</v>
          </cell>
          <cell r="N3835">
            <v>44965</v>
          </cell>
          <cell r="O3835">
            <v>44956</v>
          </cell>
          <cell r="P3835">
            <v>44965</v>
          </cell>
          <cell r="Q3835">
            <v>44965</v>
          </cell>
          <cell r="R3835">
            <v>44965</v>
          </cell>
          <cell r="S3835"/>
          <cell r="T3835">
            <v>44966</v>
          </cell>
          <cell r="U3835">
            <v>44970</v>
          </cell>
          <cell r="V3835">
            <v>44970</v>
          </cell>
          <cell r="W3835">
            <v>44970</v>
          </cell>
          <cell r="X3835">
            <v>41100465</v>
          </cell>
        </row>
        <row r="3836">
          <cell r="K3836" t="str">
            <v>DBW-2852</v>
          </cell>
          <cell r="L3836">
            <v>44945</v>
          </cell>
          <cell r="M3836">
            <v>44946</v>
          </cell>
          <cell r="N3836">
            <v>44960</v>
          </cell>
          <cell r="O3836">
            <v>44946</v>
          </cell>
          <cell r="P3836">
            <v>44960</v>
          </cell>
          <cell r="Q3836">
            <v>44960</v>
          </cell>
          <cell r="R3836">
            <v>44960</v>
          </cell>
          <cell r="S3836"/>
          <cell r="T3836">
            <v>44963</v>
          </cell>
          <cell r="U3836">
            <v>44965</v>
          </cell>
          <cell r="V3836">
            <v>44966</v>
          </cell>
          <cell r="W3836">
            <v>44967</v>
          </cell>
          <cell r="X3836">
            <v>41100473</v>
          </cell>
        </row>
        <row r="3837">
          <cell r="K3837" t="str">
            <v>DBW-2853</v>
          </cell>
          <cell r="L3837">
            <v>44945</v>
          </cell>
          <cell r="M3837">
            <v>44946</v>
          </cell>
          <cell r="N3837">
            <v>44960</v>
          </cell>
          <cell r="O3837">
            <v>44946</v>
          </cell>
          <cell r="P3837">
            <v>44960</v>
          </cell>
          <cell r="Q3837">
            <v>44960</v>
          </cell>
          <cell r="R3837">
            <v>44960</v>
          </cell>
          <cell r="S3837"/>
          <cell r="T3837">
            <v>44963</v>
          </cell>
          <cell r="U3837">
            <v>44965</v>
          </cell>
          <cell r="V3837">
            <v>44965</v>
          </cell>
          <cell r="W3837">
            <v>44967</v>
          </cell>
          <cell r="X3837">
            <v>41100473</v>
          </cell>
        </row>
        <row r="3838">
          <cell r="K3838" t="str">
            <v>DBW-2854</v>
          </cell>
          <cell r="L3838">
            <v>44945</v>
          </cell>
          <cell r="M3838">
            <v>44946</v>
          </cell>
          <cell r="N3838">
            <v>44960</v>
          </cell>
          <cell r="O3838">
            <v>44946</v>
          </cell>
          <cell r="P3838">
            <v>44960</v>
          </cell>
          <cell r="Q3838">
            <v>44960</v>
          </cell>
          <cell r="R3838">
            <v>44960</v>
          </cell>
          <cell r="S3838"/>
          <cell r="T3838">
            <v>44963</v>
          </cell>
          <cell r="U3838">
            <v>44965</v>
          </cell>
          <cell r="V3838">
            <v>44966</v>
          </cell>
          <cell r="W3838">
            <v>44967</v>
          </cell>
          <cell r="X3838">
            <v>41100473</v>
          </cell>
        </row>
        <row r="3839">
          <cell r="K3839" t="str">
            <v>DBW-2855</v>
          </cell>
          <cell r="L3839">
            <v>44945</v>
          </cell>
          <cell r="M3839">
            <v>44946</v>
          </cell>
          <cell r="N3839">
            <v>44960</v>
          </cell>
          <cell r="O3839">
            <v>44946</v>
          </cell>
          <cell r="P3839">
            <v>44960</v>
          </cell>
          <cell r="Q3839">
            <v>44960</v>
          </cell>
          <cell r="R3839">
            <v>44960</v>
          </cell>
          <cell r="S3839"/>
          <cell r="T3839">
            <v>44963</v>
          </cell>
          <cell r="U3839">
            <v>44965</v>
          </cell>
          <cell r="V3839">
            <v>44966</v>
          </cell>
          <cell r="W3839">
            <v>44967</v>
          </cell>
          <cell r="X3839">
            <v>41100473</v>
          </cell>
        </row>
        <row r="3840">
          <cell r="K3840" t="str">
            <v>GBWS-3135</v>
          </cell>
          <cell r="L3840">
            <v>44935</v>
          </cell>
          <cell r="M3840">
            <v>44936</v>
          </cell>
          <cell r="N3840">
            <v>44956</v>
          </cell>
          <cell r="O3840">
            <v>44936</v>
          </cell>
          <cell r="P3840">
            <v>44944</v>
          </cell>
          <cell r="Q3840">
            <v>44944</v>
          </cell>
          <cell r="R3840">
            <v>44944</v>
          </cell>
          <cell r="S3840"/>
          <cell r="T3840">
            <v>44952</v>
          </cell>
          <cell r="U3840">
            <v>44958</v>
          </cell>
          <cell r="V3840">
            <v>44958</v>
          </cell>
          <cell r="W3840">
            <v>44958</v>
          </cell>
          <cell r="X3840">
            <v>41100468</v>
          </cell>
        </row>
        <row r="3841">
          <cell r="K3841" t="str">
            <v>GBWS-3136</v>
          </cell>
          <cell r="L3841">
            <v>44935</v>
          </cell>
          <cell r="M3841">
            <v>44936</v>
          </cell>
          <cell r="N3841">
            <v>44956</v>
          </cell>
          <cell r="O3841">
            <v>44936</v>
          </cell>
          <cell r="P3841">
            <v>44944</v>
          </cell>
          <cell r="Q3841">
            <v>44944</v>
          </cell>
          <cell r="R3841">
            <v>44944</v>
          </cell>
          <cell r="S3841"/>
          <cell r="T3841">
            <v>44952</v>
          </cell>
          <cell r="U3841">
            <v>44956</v>
          </cell>
          <cell r="V3841">
            <v>44957</v>
          </cell>
          <cell r="W3841">
            <v>44957</v>
          </cell>
          <cell r="X3841">
            <v>41100468</v>
          </cell>
        </row>
        <row r="3842">
          <cell r="K3842" t="str">
            <v>GBWS-3137</v>
          </cell>
          <cell r="L3842">
            <v>44935</v>
          </cell>
          <cell r="M3842">
            <v>44936</v>
          </cell>
          <cell r="N3842">
            <v>44956</v>
          </cell>
          <cell r="O3842">
            <v>44936</v>
          </cell>
          <cell r="P3842">
            <v>44944</v>
          </cell>
          <cell r="Q3842">
            <v>44944</v>
          </cell>
          <cell r="R3842">
            <v>44944</v>
          </cell>
          <cell r="S3842"/>
          <cell r="T3842">
            <v>44956</v>
          </cell>
          <cell r="U3842">
            <v>44958</v>
          </cell>
          <cell r="V3842">
            <v>44960</v>
          </cell>
          <cell r="W3842">
            <v>44960</v>
          </cell>
          <cell r="X3842">
            <v>41100468</v>
          </cell>
        </row>
        <row r="3843">
          <cell r="K3843" t="str">
            <v>GBWS-3138</v>
          </cell>
          <cell r="L3843">
            <v>44935</v>
          </cell>
          <cell r="M3843">
            <v>44936</v>
          </cell>
          <cell r="N3843">
            <v>44956</v>
          </cell>
          <cell r="O3843">
            <v>44936</v>
          </cell>
          <cell r="P3843">
            <v>44944</v>
          </cell>
          <cell r="Q3843">
            <v>44944</v>
          </cell>
          <cell r="R3843">
            <v>44944</v>
          </cell>
          <cell r="S3843"/>
          <cell r="T3843">
            <v>44956</v>
          </cell>
          <cell r="U3843">
            <v>44958</v>
          </cell>
          <cell r="V3843">
            <v>44959</v>
          </cell>
          <cell r="W3843">
            <v>44959</v>
          </cell>
          <cell r="X3843">
            <v>41100468</v>
          </cell>
        </row>
        <row r="3844">
          <cell r="K3844" t="str">
            <v>GBWS-3139</v>
          </cell>
          <cell r="L3844">
            <v>44935</v>
          </cell>
          <cell r="M3844">
            <v>44936</v>
          </cell>
          <cell r="N3844">
            <v>44956</v>
          </cell>
          <cell r="O3844">
            <v>44936</v>
          </cell>
          <cell r="P3844">
            <v>44944</v>
          </cell>
          <cell r="Q3844">
            <v>44944</v>
          </cell>
          <cell r="R3844">
            <v>44944</v>
          </cell>
          <cell r="S3844"/>
          <cell r="T3844">
            <v>44956</v>
          </cell>
          <cell r="U3844">
            <v>44958</v>
          </cell>
          <cell r="V3844">
            <v>44959</v>
          </cell>
          <cell r="W3844">
            <v>44959</v>
          </cell>
          <cell r="X3844">
            <v>41100468</v>
          </cell>
        </row>
        <row r="3845">
          <cell r="K3845" t="str">
            <v>GBWS-3140</v>
          </cell>
          <cell r="L3845">
            <v>44935</v>
          </cell>
          <cell r="M3845">
            <v>44936</v>
          </cell>
          <cell r="N3845">
            <v>44956</v>
          </cell>
          <cell r="O3845">
            <v>44936</v>
          </cell>
          <cell r="P3845">
            <v>44944</v>
          </cell>
          <cell r="Q3845">
            <v>44944</v>
          </cell>
          <cell r="R3845">
            <v>44944</v>
          </cell>
          <cell r="S3845"/>
          <cell r="T3845">
            <v>44956</v>
          </cell>
          <cell r="U3845">
            <v>44959</v>
          </cell>
          <cell r="V3845">
            <v>44960</v>
          </cell>
          <cell r="W3845">
            <v>44960</v>
          </cell>
          <cell r="X3845">
            <v>41100468</v>
          </cell>
        </row>
        <row r="3846">
          <cell r="K3846" t="str">
            <v>G13030021</v>
          </cell>
          <cell r="L3846">
            <v>44964</v>
          </cell>
          <cell r="M3846">
            <v>44964</v>
          </cell>
          <cell r="N3846">
            <v>44964</v>
          </cell>
          <cell r="O3846">
            <v>44964</v>
          </cell>
          <cell r="P3846">
            <v>44964</v>
          </cell>
          <cell r="Q3846">
            <v>44964</v>
          </cell>
          <cell r="R3846">
            <v>44964</v>
          </cell>
          <cell r="S3846"/>
          <cell r="T3846">
            <v>44964</v>
          </cell>
          <cell r="U3846">
            <v>44972</v>
          </cell>
          <cell r="V3846">
            <v>44972</v>
          </cell>
          <cell r="W3846">
            <v>44972</v>
          </cell>
          <cell r="X3846" t="str">
            <v>-</v>
          </cell>
        </row>
        <row r="3847">
          <cell r="K3847" t="str">
            <v>GBWS-3162</v>
          </cell>
          <cell r="L3847">
            <v>44578</v>
          </cell>
          <cell r="M3847">
            <v>44944</v>
          </cell>
          <cell r="N3847">
            <v>44965</v>
          </cell>
          <cell r="O3847">
            <v>44944</v>
          </cell>
          <cell r="P3847">
            <v>44959</v>
          </cell>
          <cell r="Q3847" t="str">
            <v>2023-01-31 → 23/02/02</v>
          </cell>
          <cell r="R3847" t="str">
            <v>2023-01-31 → 23/02/02</v>
          </cell>
          <cell r="S3847"/>
          <cell r="T3847">
            <v>44960</v>
          </cell>
          <cell r="U3847">
            <v>44963</v>
          </cell>
          <cell r="V3847">
            <v>44966</v>
          </cell>
          <cell r="W3847">
            <v>44966</v>
          </cell>
          <cell r="X3847">
            <v>41100468</v>
          </cell>
        </row>
        <row r="3848">
          <cell r="K3848" t="str">
            <v>GBWS-3163</v>
          </cell>
          <cell r="L3848">
            <v>44578</v>
          </cell>
          <cell r="M3848">
            <v>44944</v>
          </cell>
          <cell r="N3848">
            <v>44965</v>
          </cell>
          <cell r="O3848">
            <v>44944</v>
          </cell>
          <cell r="P3848">
            <v>44959</v>
          </cell>
          <cell r="Q3848" t="str">
            <v>2023-01-31 → 23/02/02</v>
          </cell>
          <cell r="R3848" t="str">
            <v>2023-01-31 → 23/02/02</v>
          </cell>
          <cell r="S3848"/>
          <cell r="T3848">
            <v>44965</v>
          </cell>
          <cell r="U3848">
            <v>44967</v>
          </cell>
          <cell r="V3848">
            <v>44970</v>
          </cell>
          <cell r="W3848">
            <v>44970</v>
          </cell>
          <cell r="X3848">
            <v>41100468</v>
          </cell>
        </row>
        <row r="3849">
          <cell r="K3849" t="str">
            <v>GBWS-3164</v>
          </cell>
          <cell r="L3849">
            <v>44578</v>
          </cell>
          <cell r="M3849">
            <v>44944</v>
          </cell>
          <cell r="N3849">
            <v>44965</v>
          </cell>
          <cell r="O3849">
            <v>44944</v>
          </cell>
          <cell r="P3849">
            <v>44959</v>
          </cell>
          <cell r="Q3849" t="str">
            <v>2023-01-31 → 23/02/02</v>
          </cell>
          <cell r="R3849" t="str">
            <v>2023-01-31 → 23/02/02</v>
          </cell>
          <cell r="S3849"/>
          <cell r="T3849">
            <v>44960</v>
          </cell>
          <cell r="U3849">
            <v>44963</v>
          </cell>
          <cell r="V3849">
            <v>44966</v>
          </cell>
          <cell r="W3849">
            <v>44966</v>
          </cell>
          <cell r="X3849">
            <v>41100468</v>
          </cell>
        </row>
        <row r="3850">
          <cell r="K3850" t="str">
            <v>GBWS-3165</v>
          </cell>
          <cell r="L3850">
            <v>44578</v>
          </cell>
          <cell r="M3850">
            <v>44944</v>
          </cell>
          <cell r="N3850">
            <v>44965</v>
          </cell>
          <cell r="O3850">
            <v>44944</v>
          </cell>
          <cell r="P3850">
            <v>44959</v>
          </cell>
          <cell r="Q3850" t="str">
            <v>2023-01-31 → 23/02/02</v>
          </cell>
          <cell r="R3850" t="str">
            <v>2023-01-31 → 23/02/02</v>
          </cell>
          <cell r="S3850"/>
          <cell r="T3850">
            <v>44959</v>
          </cell>
          <cell r="U3850">
            <v>44963</v>
          </cell>
          <cell r="V3850">
            <v>44966</v>
          </cell>
          <cell r="W3850">
            <v>44966</v>
          </cell>
          <cell r="X3850">
            <v>41100468</v>
          </cell>
        </row>
        <row r="3851">
          <cell r="K3851" t="str">
            <v>IVAS-184</v>
          </cell>
          <cell r="L3851">
            <v>44943</v>
          </cell>
          <cell r="M3851">
            <v>44944</v>
          </cell>
          <cell r="N3851">
            <v>44958</v>
          </cell>
          <cell r="O3851">
            <v>44944</v>
          </cell>
          <cell r="P3851">
            <v>44958</v>
          </cell>
          <cell r="Q3851" t="str">
            <v>2023-01-31 → 2/1</v>
          </cell>
          <cell r="R3851" t="str">
            <v>2023-01-31 → 2/1</v>
          </cell>
          <cell r="S3851"/>
          <cell r="T3851">
            <v>44959</v>
          </cell>
          <cell r="U3851">
            <v>44967</v>
          </cell>
          <cell r="V3851">
            <v>44972</v>
          </cell>
          <cell r="W3851">
            <v>44972</v>
          </cell>
          <cell r="X3851">
            <v>41100636</v>
          </cell>
        </row>
        <row r="3852">
          <cell r="K3852" t="str">
            <v>G13030021</v>
          </cell>
          <cell r="L3852">
            <v>44971</v>
          </cell>
          <cell r="M3852">
            <v>44971</v>
          </cell>
          <cell r="N3852">
            <v>44971</v>
          </cell>
          <cell r="O3852">
            <v>44971</v>
          </cell>
          <cell r="P3852">
            <v>44971</v>
          </cell>
          <cell r="Q3852">
            <v>44971</v>
          </cell>
          <cell r="R3852">
            <v>44971</v>
          </cell>
          <cell r="S3852"/>
          <cell r="T3852">
            <v>44971</v>
          </cell>
          <cell r="U3852">
            <v>44972</v>
          </cell>
          <cell r="V3852">
            <v>44972</v>
          </cell>
          <cell r="W3852">
            <v>44972</v>
          </cell>
          <cell r="X3852" t="str">
            <v>-</v>
          </cell>
        </row>
        <row r="3853">
          <cell r="K3853" t="str">
            <v>HNM-0019~0021</v>
          </cell>
          <cell r="L3853">
            <v>44957</v>
          </cell>
          <cell r="M3853">
            <v>44958</v>
          </cell>
          <cell r="N3853">
            <v>44970</v>
          </cell>
          <cell r="O3853">
            <v>44958</v>
          </cell>
          <cell r="P3853">
            <v>44970</v>
          </cell>
          <cell r="Q3853">
            <v>44959</v>
          </cell>
          <cell r="R3853">
            <v>44959</v>
          </cell>
          <cell r="S3853"/>
          <cell r="T3853">
            <v>44970</v>
          </cell>
          <cell r="U3853">
            <v>44971</v>
          </cell>
          <cell r="V3853">
            <v>44972</v>
          </cell>
          <cell r="W3853">
            <v>44972</v>
          </cell>
          <cell r="X3853">
            <v>31102573</v>
          </cell>
        </row>
        <row r="3854">
          <cell r="K3854" t="str">
            <v>AWS-0009</v>
          </cell>
          <cell r="L3854">
            <v>44878</v>
          </cell>
          <cell r="M3854" t="str">
            <v>2022-11-15 → 11/14</v>
          </cell>
          <cell r="N3854">
            <v>44897</v>
          </cell>
          <cell r="O3854" t="str">
            <v>2022-11-15 → 11/14</v>
          </cell>
          <cell r="P3854">
            <v>44897</v>
          </cell>
          <cell r="Q3854" t="str">
            <v>2022-11-15 → 12/5</v>
          </cell>
          <cell r="R3854" t="str">
            <v>2022-11-15 → 12/5</v>
          </cell>
          <cell r="S3854"/>
          <cell r="T3854">
            <v>44907</v>
          </cell>
          <cell r="U3854">
            <v>44910</v>
          </cell>
          <cell r="V3854">
            <v>44963</v>
          </cell>
          <cell r="W3854">
            <v>44963</v>
          </cell>
          <cell r="X3854">
            <v>41100382</v>
          </cell>
        </row>
        <row r="3855">
          <cell r="K3855" t="str">
            <v>IVAS-186</v>
          </cell>
          <cell r="L3855">
            <v>44951</v>
          </cell>
          <cell r="M3855">
            <v>44952</v>
          </cell>
          <cell r="N3855">
            <v>44965</v>
          </cell>
          <cell r="O3855">
            <v>44952</v>
          </cell>
          <cell r="P3855">
            <v>44963</v>
          </cell>
          <cell r="Q3855" t="str">
            <v>2023-02-06 → 2/7</v>
          </cell>
          <cell r="R3855" t="str">
            <v>2023-02-06 → 2/7</v>
          </cell>
          <cell r="S3855"/>
          <cell r="T3855">
            <v>44966</v>
          </cell>
          <cell r="U3855">
            <v>44972</v>
          </cell>
          <cell r="V3855">
            <v>44972</v>
          </cell>
          <cell r="W3855">
            <v>44972</v>
          </cell>
          <cell r="X3855">
            <v>41100606</v>
          </cell>
        </row>
        <row r="3856">
          <cell r="K3856" t="str">
            <v>GBWS-2968</v>
          </cell>
          <cell r="L3856">
            <v>44865</v>
          </cell>
          <cell r="M3856">
            <v>44866</v>
          </cell>
          <cell r="N3856">
            <v>44879</v>
          </cell>
          <cell r="O3856">
            <v>44866</v>
          </cell>
          <cell r="P3856">
            <v>44879</v>
          </cell>
          <cell r="Q3856">
            <v>44876</v>
          </cell>
          <cell r="R3856">
            <v>44876</v>
          </cell>
          <cell r="S3856"/>
          <cell r="T3856">
            <v>44879</v>
          </cell>
          <cell r="U3856">
            <v>44880</v>
          </cell>
          <cell r="V3856">
            <v>44880</v>
          </cell>
          <cell r="W3856">
            <v>44881</v>
          </cell>
          <cell r="X3856">
            <v>41100317</v>
          </cell>
        </row>
        <row r="3857">
          <cell r="K3857" t="str">
            <v>G14030037</v>
          </cell>
          <cell r="L3857">
            <v>44967</v>
          </cell>
          <cell r="M3857">
            <v>44967</v>
          </cell>
          <cell r="N3857">
            <v>44966</v>
          </cell>
          <cell r="O3857">
            <v>44967</v>
          </cell>
          <cell r="P3857">
            <v>44966</v>
          </cell>
          <cell r="Q3857">
            <v>44967</v>
          </cell>
          <cell r="R3857">
            <v>44967</v>
          </cell>
          <cell r="S3857"/>
          <cell r="T3857">
            <v>44966</v>
          </cell>
          <cell r="U3857">
            <v>44973</v>
          </cell>
          <cell r="V3857">
            <v>44973</v>
          </cell>
          <cell r="W3857">
            <v>44973</v>
          </cell>
          <cell r="X3857" t="str">
            <v>-</v>
          </cell>
        </row>
        <row r="3858">
          <cell r="K3858" t="str">
            <v>1812-002</v>
          </cell>
          <cell r="L3858">
            <v>44964</v>
          </cell>
          <cell r="M3858">
            <v>44964</v>
          </cell>
          <cell r="N3858">
            <v>44964</v>
          </cell>
          <cell r="O3858">
            <v>44964</v>
          </cell>
          <cell r="P3858">
            <v>44964</v>
          </cell>
          <cell r="Q3858">
            <v>44964</v>
          </cell>
          <cell r="R3858">
            <v>44964</v>
          </cell>
          <cell r="S3858"/>
          <cell r="T3858">
            <v>44964</v>
          </cell>
          <cell r="U3858">
            <v>44972</v>
          </cell>
          <cell r="V3858">
            <v>44973</v>
          </cell>
          <cell r="W3858">
            <v>44973</v>
          </cell>
          <cell r="X3858" t="str">
            <v>-</v>
          </cell>
        </row>
        <row r="3859">
          <cell r="K3859" t="str">
            <v>1809-012</v>
          </cell>
          <cell r="L3859">
            <v>44964</v>
          </cell>
          <cell r="M3859">
            <v>44964</v>
          </cell>
          <cell r="N3859">
            <v>44964</v>
          </cell>
          <cell r="O3859">
            <v>44964</v>
          </cell>
          <cell r="P3859">
            <v>44964</v>
          </cell>
          <cell r="Q3859">
            <v>44964</v>
          </cell>
          <cell r="R3859">
            <v>44964</v>
          </cell>
          <cell r="S3859"/>
          <cell r="T3859">
            <v>44964</v>
          </cell>
          <cell r="U3859">
            <v>44972</v>
          </cell>
          <cell r="V3859">
            <v>44973</v>
          </cell>
          <cell r="W3859">
            <v>44973</v>
          </cell>
          <cell r="X3859" t="str">
            <v>-</v>
          </cell>
        </row>
        <row r="3860">
          <cell r="K3860" t="str">
            <v>GBWS-3175</v>
          </cell>
          <cell r="L3860">
            <v>44957</v>
          </cell>
          <cell r="M3860">
            <v>44958</v>
          </cell>
          <cell r="N3860">
            <v>44970</v>
          </cell>
          <cell r="O3860">
            <v>44958</v>
          </cell>
          <cell r="P3860">
            <v>44967</v>
          </cell>
          <cell r="Q3860">
            <v>44967</v>
          </cell>
          <cell r="R3860">
            <v>44967</v>
          </cell>
          <cell r="S3860"/>
          <cell r="T3860">
            <v>44970</v>
          </cell>
          <cell r="U3860">
            <v>44971</v>
          </cell>
          <cell r="V3860">
            <v>44972</v>
          </cell>
          <cell r="W3860">
            <v>44973</v>
          </cell>
          <cell r="X3860">
            <v>41100520</v>
          </cell>
        </row>
        <row r="3861">
          <cell r="K3861" t="str">
            <v>GBWS-3176</v>
          </cell>
          <cell r="L3861">
            <v>44957</v>
          </cell>
          <cell r="M3861">
            <v>44958</v>
          </cell>
          <cell r="N3861">
            <v>44970</v>
          </cell>
          <cell r="O3861">
            <v>44958</v>
          </cell>
          <cell r="P3861">
            <v>44967</v>
          </cell>
          <cell r="Q3861">
            <v>44967</v>
          </cell>
          <cell r="R3861">
            <v>44967</v>
          </cell>
          <cell r="S3861"/>
          <cell r="T3861">
            <v>44970</v>
          </cell>
          <cell r="U3861">
            <v>44971</v>
          </cell>
          <cell r="V3861">
            <v>44972</v>
          </cell>
          <cell r="W3861">
            <v>44973</v>
          </cell>
          <cell r="X3861">
            <v>41100520</v>
          </cell>
        </row>
        <row r="3862">
          <cell r="K3862" t="str">
            <v>GBWS-3154</v>
          </cell>
          <cell r="L3862">
            <v>44942</v>
          </cell>
          <cell r="M3862">
            <v>44942</v>
          </cell>
          <cell r="N3862">
            <v>44963</v>
          </cell>
          <cell r="O3862">
            <v>44942</v>
          </cell>
          <cell r="P3862">
            <v>44957</v>
          </cell>
          <cell r="Q3862" t="str">
            <v>2023-01-27 → 23/02/01</v>
          </cell>
          <cell r="R3862" t="str">
            <v>2023-01-27 → 23/02/01</v>
          </cell>
          <cell r="S3862"/>
          <cell r="T3862">
            <v>44959</v>
          </cell>
          <cell r="U3862">
            <v>44960</v>
          </cell>
          <cell r="V3862">
            <v>44960</v>
          </cell>
          <cell r="W3862">
            <v>44963</v>
          </cell>
          <cell r="X3862">
            <v>41100468</v>
          </cell>
        </row>
        <row r="3863">
          <cell r="K3863" t="str">
            <v>GBWS-3155</v>
          </cell>
          <cell r="L3863">
            <v>44942</v>
          </cell>
          <cell r="M3863">
            <v>44942</v>
          </cell>
          <cell r="N3863">
            <v>44963</v>
          </cell>
          <cell r="O3863">
            <v>44942</v>
          </cell>
          <cell r="P3863">
            <v>44957</v>
          </cell>
          <cell r="Q3863" t="str">
            <v>2023-01-27 → 23/02/01</v>
          </cell>
          <cell r="R3863" t="str">
            <v>2023-01-27 → 23/02/01</v>
          </cell>
          <cell r="S3863"/>
          <cell r="T3863">
            <v>44959</v>
          </cell>
          <cell r="U3863">
            <v>44960</v>
          </cell>
          <cell r="V3863">
            <v>44960</v>
          </cell>
          <cell r="W3863">
            <v>44963</v>
          </cell>
          <cell r="X3863">
            <v>41100468</v>
          </cell>
        </row>
        <row r="3864">
          <cell r="K3864" t="str">
            <v>GBWS-3156</v>
          </cell>
          <cell r="L3864">
            <v>44942</v>
          </cell>
          <cell r="M3864">
            <v>44942</v>
          </cell>
          <cell r="N3864">
            <v>44963</v>
          </cell>
          <cell r="O3864">
            <v>44942</v>
          </cell>
          <cell r="P3864">
            <v>44957</v>
          </cell>
          <cell r="Q3864" t="str">
            <v>2023-01-27 → 23/02/01</v>
          </cell>
          <cell r="R3864" t="str">
            <v>2023-01-27 → 23/02/01</v>
          </cell>
          <cell r="S3864"/>
          <cell r="T3864">
            <v>44959</v>
          </cell>
          <cell r="U3864">
            <v>44963</v>
          </cell>
          <cell r="V3864">
            <v>44965</v>
          </cell>
          <cell r="W3864">
            <v>44966</v>
          </cell>
          <cell r="X3864">
            <v>41100468</v>
          </cell>
        </row>
        <row r="3865">
          <cell r="K3865" t="str">
            <v>GBWS-3157</v>
          </cell>
          <cell r="L3865">
            <v>44942</v>
          </cell>
          <cell r="M3865">
            <v>44942</v>
          </cell>
          <cell r="N3865">
            <v>44963</v>
          </cell>
          <cell r="O3865">
            <v>44942</v>
          </cell>
          <cell r="P3865">
            <v>44957</v>
          </cell>
          <cell r="Q3865" t="str">
            <v>2023-01-27 → 23/02/01</v>
          </cell>
          <cell r="R3865" t="str">
            <v>2023-01-27 → 23/02/01</v>
          </cell>
          <cell r="S3865"/>
          <cell r="T3865">
            <v>44959</v>
          </cell>
          <cell r="U3865">
            <v>44964</v>
          </cell>
          <cell r="V3865">
            <v>44965</v>
          </cell>
          <cell r="W3865">
            <v>44966</v>
          </cell>
          <cell r="X3865">
            <v>41100468</v>
          </cell>
        </row>
        <row r="3866">
          <cell r="K3866" t="str">
            <v>GBWS-3158</v>
          </cell>
          <cell r="L3866">
            <v>44942</v>
          </cell>
          <cell r="M3866">
            <v>44942</v>
          </cell>
          <cell r="N3866">
            <v>44963</v>
          </cell>
          <cell r="O3866">
            <v>44942</v>
          </cell>
          <cell r="P3866">
            <v>44957</v>
          </cell>
          <cell r="Q3866" t="str">
            <v>2023-01-27 → 23/02/01</v>
          </cell>
          <cell r="R3866" t="str">
            <v>2023-01-27 → 23/02/01</v>
          </cell>
          <cell r="S3866"/>
          <cell r="T3866">
            <v>44960</v>
          </cell>
          <cell r="U3866">
            <v>44965</v>
          </cell>
          <cell r="V3866">
            <v>44965</v>
          </cell>
          <cell r="W3866">
            <v>44966</v>
          </cell>
          <cell r="X3866">
            <v>41100468</v>
          </cell>
        </row>
        <row r="3867">
          <cell r="K3867" t="str">
            <v>GBWS-3159</v>
          </cell>
          <cell r="L3867">
            <v>44942</v>
          </cell>
          <cell r="M3867">
            <v>44942</v>
          </cell>
          <cell r="N3867">
            <v>44963</v>
          </cell>
          <cell r="O3867">
            <v>44942</v>
          </cell>
          <cell r="P3867">
            <v>44957</v>
          </cell>
          <cell r="Q3867" t="str">
            <v>2023-01-27 → 23/02/01</v>
          </cell>
          <cell r="R3867" t="str">
            <v>2023-01-27 → 23/02/01</v>
          </cell>
          <cell r="S3867"/>
          <cell r="T3867">
            <v>44959</v>
          </cell>
          <cell r="U3867">
            <v>44964</v>
          </cell>
          <cell r="V3867">
            <v>44965</v>
          </cell>
          <cell r="W3867">
            <v>44966</v>
          </cell>
          <cell r="X3867">
            <v>41100468</v>
          </cell>
        </row>
        <row r="3868">
          <cell r="K3868" t="str">
            <v>G13030047</v>
          </cell>
          <cell r="L3868">
            <v>44974</v>
          </cell>
          <cell r="M3868">
            <v>44974</v>
          </cell>
          <cell r="N3868">
            <v>44971</v>
          </cell>
          <cell r="O3868">
            <v>44974</v>
          </cell>
          <cell r="P3868">
            <v>44971</v>
          </cell>
          <cell r="Q3868">
            <v>44974</v>
          </cell>
          <cell r="R3868">
            <v>44974</v>
          </cell>
          <cell r="S3868"/>
          <cell r="T3868">
            <v>44971</v>
          </cell>
          <cell r="U3868">
            <v>44974</v>
          </cell>
          <cell r="V3868">
            <v>44974</v>
          </cell>
          <cell r="W3868">
            <v>44974</v>
          </cell>
          <cell r="X3868" t="str">
            <v>-</v>
          </cell>
        </row>
        <row r="3869">
          <cell r="K3869" t="str">
            <v>G13030044</v>
          </cell>
          <cell r="L3869">
            <v>44971</v>
          </cell>
          <cell r="M3869">
            <v>44971</v>
          </cell>
          <cell r="N3869">
            <v>44972</v>
          </cell>
          <cell r="O3869">
            <v>44971</v>
          </cell>
          <cell r="P3869">
            <v>44972</v>
          </cell>
          <cell r="Q3869">
            <v>44971</v>
          </cell>
          <cell r="R3869">
            <v>44971</v>
          </cell>
          <cell r="S3869"/>
          <cell r="T3869">
            <v>44972</v>
          </cell>
          <cell r="U3869">
            <v>44974</v>
          </cell>
          <cell r="V3869">
            <v>44974</v>
          </cell>
          <cell r="W3869">
            <v>44974</v>
          </cell>
          <cell r="X3869" t="str">
            <v>-</v>
          </cell>
        </row>
        <row r="3870">
          <cell r="K3870" t="str">
            <v>G13030027</v>
          </cell>
          <cell r="L3870">
            <v>44974</v>
          </cell>
          <cell r="M3870">
            <v>44974</v>
          </cell>
          <cell r="N3870">
            <v>44972</v>
          </cell>
          <cell r="O3870">
            <v>44974</v>
          </cell>
          <cell r="P3870">
            <v>44972</v>
          </cell>
          <cell r="Q3870">
            <v>44974</v>
          </cell>
          <cell r="R3870">
            <v>44974</v>
          </cell>
          <cell r="S3870"/>
          <cell r="T3870">
            <v>44972</v>
          </cell>
          <cell r="U3870">
            <v>44974</v>
          </cell>
          <cell r="V3870">
            <v>44974</v>
          </cell>
          <cell r="W3870">
            <v>44974</v>
          </cell>
          <cell r="X3870" t="str">
            <v>-</v>
          </cell>
        </row>
        <row r="3871">
          <cell r="K3871" t="str">
            <v>GBWS-3160</v>
          </cell>
          <cell r="L3871">
            <v>44942</v>
          </cell>
          <cell r="M3871">
            <v>44942</v>
          </cell>
          <cell r="N3871">
            <v>44963</v>
          </cell>
          <cell r="O3871">
            <v>44942</v>
          </cell>
          <cell r="P3871">
            <v>44957</v>
          </cell>
          <cell r="Q3871" t="str">
            <v>2023-01-27 → 23/02/01</v>
          </cell>
          <cell r="R3871" t="str">
            <v>2023-01-27 → 23/02/01</v>
          </cell>
          <cell r="S3871"/>
          <cell r="T3871">
            <v>44959</v>
          </cell>
          <cell r="U3871">
            <v>44964</v>
          </cell>
          <cell r="V3871">
            <v>44965</v>
          </cell>
          <cell r="W3871">
            <v>44966</v>
          </cell>
          <cell r="X3871">
            <v>41100468</v>
          </cell>
        </row>
        <row r="3872">
          <cell r="K3872" t="str">
            <v>GBWS-3161</v>
          </cell>
          <cell r="L3872">
            <v>44942</v>
          </cell>
          <cell r="M3872">
            <v>44942</v>
          </cell>
          <cell r="N3872">
            <v>44963</v>
          </cell>
          <cell r="O3872">
            <v>44942</v>
          </cell>
          <cell r="P3872">
            <v>44957</v>
          </cell>
          <cell r="Q3872" t="str">
            <v>2023-01-27 → 23/02/01</v>
          </cell>
          <cell r="R3872" t="str">
            <v>2023-01-27 → 23/02/01</v>
          </cell>
          <cell r="S3872"/>
          <cell r="T3872">
            <v>44959</v>
          </cell>
          <cell r="U3872">
            <v>44964</v>
          </cell>
          <cell r="V3872">
            <v>44965</v>
          </cell>
          <cell r="W3872">
            <v>44966</v>
          </cell>
          <cell r="X3872">
            <v>41100468</v>
          </cell>
        </row>
        <row r="3873">
          <cell r="K3873" t="str">
            <v>WS-0077</v>
          </cell>
          <cell r="L3873">
            <v>44921</v>
          </cell>
          <cell r="M3873" t="str">
            <v>2022-12-22 → 12/27</v>
          </cell>
          <cell r="N3873">
            <v>44931</v>
          </cell>
          <cell r="O3873" t="str">
            <v>2022-12-22 → 12/27</v>
          </cell>
          <cell r="P3873">
            <v>44931</v>
          </cell>
          <cell r="Q3873" t="str">
            <v>2023-01-03 → 01/05</v>
          </cell>
          <cell r="R3873" t="str">
            <v>2023-01-03 → 01/05</v>
          </cell>
          <cell r="S3873"/>
          <cell r="T3873">
            <v>44932</v>
          </cell>
          <cell r="U3873">
            <v>44935</v>
          </cell>
          <cell r="V3873">
            <v>44935</v>
          </cell>
          <cell r="W3873">
            <v>44935</v>
          </cell>
          <cell r="X3873">
            <v>41100615</v>
          </cell>
        </row>
        <row r="3874">
          <cell r="K3874" t="str">
            <v>HNM-0022~0024</v>
          </cell>
          <cell r="L3874">
            <v>44957</v>
          </cell>
          <cell r="M3874">
            <v>44958</v>
          </cell>
          <cell r="N3874">
            <v>44973</v>
          </cell>
          <cell r="O3874">
            <v>44958</v>
          </cell>
          <cell r="P3874">
            <v>44973</v>
          </cell>
          <cell r="Q3874">
            <v>44959</v>
          </cell>
          <cell r="R3874">
            <v>44959</v>
          </cell>
          <cell r="S3874"/>
          <cell r="T3874">
            <v>44974</v>
          </cell>
          <cell r="U3874">
            <v>44977</v>
          </cell>
          <cell r="V3874">
            <v>44977</v>
          </cell>
          <cell r="W3874">
            <v>44977</v>
          </cell>
          <cell r="X3874">
            <v>31102573</v>
          </cell>
        </row>
        <row r="3875">
          <cell r="K3875" t="str">
            <v>GBWS-3177</v>
          </cell>
          <cell r="L3875">
            <v>44963</v>
          </cell>
          <cell r="M3875">
            <v>44964</v>
          </cell>
          <cell r="N3875">
            <v>44972</v>
          </cell>
          <cell r="O3875">
            <v>44964</v>
          </cell>
          <cell r="P3875">
            <v>44972</v>
          </cell>
          <cell r="Q3875">
            <v>44972</v>
          </cell>
          <cell r="R3875">
            <v>44972</v>
          </cell>
          <cell r="S3875"/>
          <cell r="T3875">
            <v>44973</v>
          </cell>
          <cell r="U3875">
            <v>44974</v>
          </cell>
          <cell r="V3875">
            <v>44977</v>
          </cell>
          <cell r="W3875">
            <v>44977</v>
          </cell>
          <cell r="X3875">
            <v>41100482</v>
          </cell>
        </row>
        <row r="3876">
          <cell r="K3876" t="str">
            <v>IVAS-188</v>
          </cell>
          <cell r="L3876">
            <v>44953</v>
          </cell>
          <cell r="M3876">
            <v>44956</v>
          </cell>
          <cell r="N3876">
            <v>44970</v>
          </cell>
          <cell r="O3876">
            <v>44956</v>
          </cell>
          <cell r="P3876">
            <v>44970</v>
          </cell>
          <cell r="Q3876">
            <v>44966</v>
          </cell>
          <cell r="R3876">
            <v>44966</v>
          </cell>
          <cell r="S3876"/>
          <cell r="T3876">
            <v>44971</v>
          </cell>
          <cell r="U3876">
            <v>44974</v>
          </cell>
          <cell r="V3876">
            <v>44977</v>
          </cell>
          <cell r="W3876">
            <v>44978</v>
          </cell>
          <cell r="X3876">
            <v>41100433</v>
          </cell>
        </row>
        <row r="3877">
          <cell r="K3877" t="str">
            <v>GBWS-2998</v>
          </cell>
          <cell r="L3877">
            <v>44874</v>
          </cell>
          <cell r="M3877" t="str">
            <v>2022-11-22 → 11/10</v>
          </cell>
          <cell r="N3877">
            <v>44887</v>
          </cell>
          <cell r="O3877" t="str">
            <v>2022-11-22 → 11/10</v>
          </cell>
          <cell r="P3877">
            <v>44887</v>
          </cell>
          <cell r="Q3877" t="str">
            <v>2022-12-01 → 11/21</v>
          </cell>
          <cell r="R3877" t="str">
            <v>2022-12-01 → 11/21</v>
          </cell>
          <cell r="S3877"/>
          <cell r="T3877">
            <v>44887</v>
          </cell>
          <cell r="U3877">
            <v>44888</v>
          </cell>
          <cell r="V3877">
            <v>44889</v>
          </cell>
          <cell r="W3877">
            <v>44889</v>
          </cell>
          <cell r="X3877">
            <v>41100468</v>
          </cell>
        </row>
        <row r="3878">
          <cell r="K3878"/>
          <cell r="L3878">
            <v>44920</v>
          </cell>
          <cell r="M3878">
            <v>44921</v>
          </cell>
          <cell r="N3878">
            <v>44966</v>
          </cell>
          <cell r="O3878">
            <v>44921</v>
          </cell>
          <cell r="P3878">
            <v>44566</v>
          </cell>
          <cell r="Q3878" t="str">
            <v>2023-01-02 → 23/01/06 → 23/02/07</v>
          </cell>
          <cell r="R3878" t="str">
            <v>2023-01-02 → 23/01/06 → 23/02/07</v>
          </cell>
          <cell r="S3878"/>
          <cell r="T3878">
            <v>44932</v>
          </cell>
          <cell r="U3878">
            <v>44935</v>
          </cell>
          <cell r="V3878">
            <v>44974</v>
          </cell>
          <cell r="W3878">
            <v>44974</v>
          </cell>
          <cell r="X3878">
            <v>41100632</v>
          </cell>
        </row>
        <row r="3879">
          <cell r="K3879" t="str">
            <v>GBWS-2999</v>
          </cell>
          <cell r="L3879">
            <v>44874</v>
          </cell>
          <cell r="M3879" t="str">
            <v>2022-11-22 → 11/10</v>
          </cell>
          <cell r="N3879">
            <v>44887</v>
          </cell>
          <cell r="O3879" t="str">
            <v>2022-11-22 → 11/10</v>
          </cell>
          <cell r="P3879">
            <v>44887</v>
          </cell>
          <cell r="Q3879" t="str">
            <v>2022-12-01 → 11/21</v>
          </cell>
          <cell r="R3879" t="str">
            <v>2022-12-01 → 11/21</v>
          </cell>
          <cell r="S3879"/>
          <cell r="T3879">
            <v>44887</v>
          </cell>
          <cell r="U3879">
            <v>44888</v>
          </cell>
          <cell r="V3879">
            <v>44889</v>
          </cell>
          <cell r="W3879">
            <v>44889</v>
          </cell>
          <cell r="X3879">
            <v>41100468</v>
          </cell>
        </row>
        <row r="3880">
          <cell r="K3880"/>
          <cell r="L3880">
            <v>44920</v>
          </cell>
          <cell r="M3880">
            <v>44921</v>
          </cell>
          <cell r="N3880">
            <v>44966</v>
          </cell>
          <cell r="O3880">
            <v>44921</v>
          </cell>
          <cell r="P3880">
            <v>44566</v>
          </cell>
          <cell r="Q3880" t="str">
            <v>2023-01-02 → 23/01/06 → 23/02/07</v>
          </cell>
          <cell r="R3880" t="str">
            <v>2023-01-02 → 23/01/06 → 23/02/07</v>
          </cell>
          <cell r="S3880"/>
          <cell r="T3880">
            <v>44932</v>
          </cell>
          <cell r="U3880">
            <v>44935</v>
          </cell>
          <cell r="V3880">
            <v>44974</v>
          </cell>
          <cell r="W3880">
            <v>44974</v>
          </cell>
          <cell r="X3880">
            <v>41100632</v>
          </cell>
        </row>
        <row r="3881">
          <cell r="K3881" t="str">
            <v>SOS-0292</v>
          </cell>
          <cell r="L3881">
            <v>44966</v>
          </cell>
          <cell r="M3881">
            <v>44967</v>
          </cell>
          <cell r="N3881">
            <v>44970</v>
          </cell>
          <cell r="O3881">
            <v>44967</v>
          </cell>
          <cell r="P3881">
            <v>44970</v>
          </cell>
          <cell r="Q3881">
            <v>44970</v>
          </cell>
          <cell r="R3881">
            <v>44970</v>
          </cell>
          <cell r="S3881"/>
          <cell r="T3881">
            <v>44971</v>
          </cell>
          <cell r="U3881">
            <v>44973</v>
          </cell>
          <cell r="V3881">
            <v>44973</v>
          </cell>
          <cell r="W3881">
            <v>44973</v>
          </cell>
          <cell r="X3881">
            <v>41100182</v>
          </cell>
        </row>
        <row r="3882">
          <cell r="K3882" t="str">
            <v>SOS-0293</v>
          </cell>
          <cell r="L3882">
            <v>44966</v>
          </cell>
          <cell r="M3882">
            <v>44967</v>
          </cell>
          <cell r="N3882">
            <v>44970</v>
          </cell>
          <cell r="O3882">
            <v>44967</v>
          </cell>
          <cell r="P3882">
            <v>44970</v>
          </cell>
          <cell r="Q3882">
            <v>44970</v>
          </cell>
          <cell r="R3882">
            <v>44970</v>
          </cell>
          <cell r="S3882"/>
          <cell r="T3882">
            <v>44971</v>
          </cell>
          <cell r="U3882">
            <v>44973</v>
          </cell>
          <cell r="V3882">
            <v>44973</v>
          </cell>
          <cell r="W3882">
            <v>44973</v>
          </cell>
          <cell r="X3882">
            <v>41100182</v>
          </cell>
        </row>
        <row r="3883">
          <cell r="K3883" t="str">
            <v>-</v>
          </cell>
          <cell r="L3883">
            <v>44950</v>
          </cell>
          <cell r="M3883">
            <v>44951</v>
          </cell>
          <cell r="N3883">
            <v>44960</v>
          </cell>
          <cell r="O3883">
            <v>44951</v>
          </cell>
          <cell r="P3883">
            <v>44958</v>
          </cell>
          <cell r="Q3883">
            <v>44953</v>
          </cell>
          <cell r="R3883">
            <v>44953</v>
          </cell>
          <cell r="S3883"/>
          <cell r="T3883">
            <v>44960</v>
          </cell>
          <cell r="U3883">
            <v>44979</v>
          </cell>
          <cell r="V3883">
            <v>44979</v>
          </cell>
          <cell r="W3883">
            <v>44979</v>
          </cell>
          <cell r="X3883">
            <v>31102555</v>
          </cell>
        </row>
        <row r="3884">
          <cell r="K3884" t="str">
            <v>GBWS-2891</v>
          </cell>
          <cell r="L3884">
            <v>44879</v>
          </cell>
          <cell r="M3884">
            <v>44880</v>
          </cell>
          <cell r="N3884">
            <v>44893</v>
          </cell>
          <cell r="O3884">
            <v>44880</v>
          </cell>
          <cell r="P3884">
            <v>44893</v>
          </cell>
          <cell r="Q3884">
            <v>44893</v>
          </cell>
          <cell r="R3884">
            <v>44893</v>
          </cell>
          <cell r="S3884"/>
          <cell r="T3884">
            <v>44903</v>
          </cell>
          <cell r="U3884">
            <v>44907</v>
          </cell>
          <cell r="V3884">
            <v>44908</v>
          </cell>
          <cell r="W3884">
            <v>44908</v>
          </cell>
          <cell r="X3884">
            <v>41100506</v>
          </cell>
        </row>
        <row r="3885">
          <cell r="K3885"/>
          <cell r="L3885">
            <v>44965</v>
          </cell>
          <cell r="M3885" t="str">
            <v>2023-02-08 → 2/9</v>
          </cell>
          <cell r="N3885">
            <v>44972</v>
          </cell>
          <cell r="O3885" t="str">
            <v>2023-02-08 → 2/9</v>
          </cell>
          <cell r="P3885">
            <v>44971</v>
          </cell>
          <cell r="Q3885" t="str">
            <v>2023-02-17 → 2/14</v>
          </cell>
          <cell r="R3885" t="str">
            <v>2023-02-17 → 2/14</v>
          </cell>
          <cell r="S3885"/>
          <cell r="T3885">
            <v>44973</v>
          </cell>
          <cell r="U3885">
            <v>44978</v>
          </cell>
          <cell r="V3885">
            <v>44980</v>
          </cell>
          <cell r="W3885">
            <v>44980</v>
          </cell>
          <cell r="X3885">
            <v>41100644</v>
          </cell>
        </row>
        <row r="3886">
          <cell r="K3886" t="str">
            <v>SOS-0288</v>
          </cell>
          <cell r="L3886">
            <v>44914</v>
          </cell>
          <cell r="M3886">
            <v>44915</v>
          </cell>
          <cell r="N3886">
            <v>44916</v>
          </cell>
          <cell r="O3886">
            <v>44915</v>
          </cell>
          <cell r="P3886">
            <v>44917</v>
          </cell>
          <cell r="Q3886">
            <v>44918</v>
          </cell>
          <cell r="R3886">
            <v>44918</v>
          </cell>
          <cell r="S3886"/>
          <cell r="T3886">
            <v>44916</v>
          </cell>
          <cell r="U3886">
            <v>44921</v>
          </cell>
          <cell r="V3886">
            <v>44921</v>
          </cell>
          <cell r="W3886">
            <v>44921</v>
          </cell>
          <cell r="X3886">
            <v>41100299</v>
          </cell>
        </row>
        <row r="3887">
          <cell r="K3887" t="str">
            <v>G14090027</v>
          </cell>
          <cell r="L3887">
            <v>44974</v>
          </cell>
          <cell r="M3887">
            <v>44974</v>
          </cell>
          <cell r="N3887">
            <v>44974</v>
          </cell>
          <cell r="O3887">
            <v>44974</v>
          </cell>
          <cell r="P3887">
            <v>44974</v>
          </cell>
          <cell r="Q3887">
            <v>44974</v>
          </cell>
          <cell r="R3887">
            <v>44974</v>
          </cell>
          <cell r="S3887"/>
          <cell r="T3887">
            <v>44974</v>
          </cell>
          <cell r="U3887">
            <v>44978</v>
          </cell>
          <cell r="V3887">
            <v>44979</v>
          </cell>
          <cell r="W3887">
            <v>44979</v>
          </cell>
          <cell r="X3887" t="str">
            <v>-</v>
          </cell>
        </row>
        <row r="3888">
          <cell r="K3888" t="str">
            <v>G14090020</v>
          </cell>
          <cell r="L3888">
            <v>44974</v>
          </cell>
          <cell r="M3888">
            <v>44974</v>
          </cell>
          <cell r="N3888">
            <v>44974</v>
          </cell>
          <cell r="O3888">
            <v>44974</v>
          </cell>
          <cell r="P3888">
            <v>44974</v>
          </cell>
          <cell r="Q3888">
            <v>44974</v>
          </cell>
          <cell r="R3888">
            <v>44974</v>
          </cell>
          <cell r="S3888"/>
          <cell r="T3888">
            <v>44974</v>
          </cell>
          <cell r="U3888">
            <v>44978</v>
          </cell>
          <cell r="V3888">
            <v>44979</v>
          </cell>
          <cell r="W3888">
            <v>44979</v>
          </cell>
          <cell r="X3888" t="str">
            <v>-</v>
          </cell>
        </row>
        <row r="3889">
          <cell r="K3889" t="str">
            <v>G14030007</v>
          </cell>
          <cell r="L3889">
            <v>44978</v>
          </cell>
          <cell r="M3889">
            <v>44978</v>
          </cell>
          <cell r="N3889">
            <v>44978</v>
          </cell>
          <cell r="O3889">
            <v>44978</v>
          </cell>
          <cell r="P3889">
            <v>44978</v>
          </cell>
          <cell r="Q3889">
            <v>44978</v>
          </cell>
          <cell r="R3889">
            <v>44978</v>
          </cell>
          <cell r="S3889"/>
          <cell r="T3889">
            <v>44978</v>
          </cell>
          <cell r="U3889">
            <v>44978</v>
          </cell>
          <cell r="V3889">
            <v>44979</v>
          </cell>
          <cell r="W3889">
            <v>44979</v>
          </cell>
          <cell r="X3889" t="str">
            <v>-</v>
          </cell>
        </row>
        <row r="3890">
          <cell r="K3890" t="str">
            <v>GBWS-2273</v>
          </cell>
          <cell r="L3890">
            <v>44670</v>
          </cell>
          <cell r="M3890">
            <v>44671</v>
          </cell>
          <cell r="N3890">
            <v>44687</v>
          </cell>
          <cell r="O3890">
            <v>44671</v>
          </cell>
          <cell r="P3890">
            <v>44683</v>
          </cell>
          <cell r="Q3890">
            <v>44680</v>
          </cell>
          <cell r="R3890">
            <v>44680</v>
          </cell>
          <cell r="S3890"/>
          <cell r="T3890">
            <v>44979</v>
          </cell>
          <cell r="U3890">
            <v>44980</v>
          </cell>
          <cell r="V3890">
            <v>44981</v>
          </cell>
          <cell r="W3890">
            <v>44981</v>
          </cell>
          <cell r="X3890">
            <v>41100482</v>
          </cell>
        </row>
        <row r="3891">
          <cell r="K3891" t="str">
            <v>GPWS-0247</v>
          </cell>
          <cell r="L3891">
            <v>44967</v>
          </cell>
          <cell r="M3891">
            <v>44970</v>
          </cell>
          <cell r="N3891">
            <v>44979</v>
          </cell>
          <cell r="O3891">
            <v>44970</v>
          </cell>
          <cell r="P3891">
            <v>44979</v>
          </cell>
          <cell r="Q3891">
            <v>44977</v>
          </cell>
          <cell r="R3891">
            <v>44977</v>
          </cell>
          <cell r="S3891"/>
          <cell r="T3891">
            <v>44979</v>
          </cell>
          <cell r="U3891">
            <v>44980</v>
          </cell>
          <cell r="V3891">
            <v>44981</v>
          </cell>
          <cell r="W3891">
            <v>44981</v>
          </cell>
          <cell r="X3891">
            <v>41100643</v>
          </cell>
        </row>
        <row r="3892">
          <cell r="K3892" t="str">
            <v>DBW-2850</v>
          </cell>
          <cell r="L3892">
            <v>44938</v>
          </cell>
          <cell r="M3892">
            <v>44939</v>
          </cell>
          <cell r="N3892">
            <v>44951</v>
          </cell>
          <cell r="O3892">
            <v>44939</v>
          </cell>
          <cell r="P3892">
            <v>44952</v>
          </cell>
          <cell r="Q3892">
            <v>44952</v>
          </cell>
          <cell r="R3892">
            <v>44952</v>
          </cell>
          <cell r="S3892"/>
          <cell r="T3892">
            <v>44953</v>
          </cell>
          <cell r="U3892">
            <v>44956</v>
          </cell>
          <cell r="V3892">
            <v>44957</v>
          </cell>
          <cell r="W3892">
            <v>44957</v>
          </cell>
          <cell r="X3892">
            <v>41100480</v>
          </cell>
        </row>
        <row r="3893">
          <cell r="K3893" t="str">
            <v>GBWS-2917</v>
          </cell>
          <cell r="L3893">
            <v>44879</v>
          </cell>
          <cell r="M3893">
            <v>44880</v>
          </cell>
          <cell r="N3893">
            <v>44893</v>
          </cell>
          <cell r="O3893">
            <v>44880</v>
          </cell>
          <cell r="P3893">
            <v>44893</v>
          </cell>
          <cell r="Q3893">
            <v>44893</v>
          </cell>
          <cell r="R3893">
            <v>44893</v>
          </cell>
          <cell r="S3893"/>
          <cell r="T3893">
            <v>44901</v>
          </cell>
          <cell r="U3893">
            <v>44902</v>
          </cell>
          <cell r="V3893">
            <v>44903</v>
          </cell>
          <cell r="W3893">
            <v>44903</v>
          </cell>
          <cell r="X3893">
            <v>41100509</v>
          </cell>
        </row>
        <row r="3894">
          <cell r="K3894"/>
          <cell r="L3894">
            <v>44956</v>
          </cell>
          <cell r="M3894">
            <v>44957</v>
          </cell>
          <cell r="N3894">
            <v>44970</v>
          </cell>
          <cell r="O3894">
            <v>44957</v>
          </cell>
          <cell r="P3894">
            <v>44964</v>
          </cell>
          <cell r="Q3894">
            <v>44964</v>
          </cell>
          <cell r="R3894">
            <v>44964</v>
          </cell>
          <cell r="S3894"/>
          <cell r="T3894">
            <v>44965</v>
          </cell>
          <cell r="U3894">
            <v>44967</v>
          </cell>
          <cell r="V3894">
            <v>44970</v>
          </cell>
          <cell r="W3894">
            <v>44971</v>
          </cell>
          <cell r="X3894">
            <v>41100590</v>
          </cell>
        </row>
        <row r="3895">
          <cell r="K3895" t="str">
            <v>G13030012</v>
          </cell>
          <cell r="L3895">
            <v>44978</v>
          </cell>
          <cell r="M3895">
            <v>44978</v>
          </cell>
          <cell r="N3895">
            <v>44978</v>
          </cell>
          <cell r="O3895">
            <v>44978</v>
          </cell>
          <cell r="P3895">
            <v>44978</v>
          </cell>
          <cell r="Q3895">
            <v>44978</v>
          </cell>
          <cell r="R3895">
            <v>44978</v>
          </cell>
          <cell r="S3895"/>
          <cell r="T3895">
            <v>44978</v>
          </cell>
          <cell r="U3895">
            <v>44984</v>
          </cell>
          <cell r="V3895">
            <v>44984</v>
          </cell>
          <cell r="W3895">
            <v>44984</v>
          </cell>
          <cell r="X3895" t="str">
            <v>-</v>
          </cell>
        </row>
        <row r="3896">
          <cell r="K3896" t="str">
            <v>G13030002</v>
          </cell>
          <cell r="L3896">
            <v>44978</v>
          </cell>
          <cell r="M3896">
            <v>44978</v>
          </cell>
          <cell r="N3896">
            <v>44980</v>
          </cell>
          <cell r="O3896">
            <v>44978</v>
          </cell>
          <cell r="P3896">
            <v>44980</v>
          </cell>
          <cell r="Q3896">
            <v>44978</v>
          </cell>
          <cell r="R3896">
            <v>44978</v>
          </cell>
          <cell r="S3896"/>
          <cell r="T3896">
            <v>44980</v>
          </cell>
          <cell r="U3896">
            <v>44984</v>
          </cell>
          <cell r="V3896">
            <v>44984</v>
          </cell>
          <cell r="W3896">
            <v>44984</v>
          </cell>
          <cell r="X3896" t="str">
            <v>-</v>
          </cell>
        </row>
        <row r="3897">
          <cell r="K3897" t="str">
            <v>G13030013</v>
          </cell>
          <cell r="L3897">
            <v>44981</v>
          </cell>
          <cell r="M3897">
            <v>44981</v>
          </cell>
          <cell r="N3897">
            <v>44980</v>
          </cell>
          <cell r="O3897">
            <v>44981</v>
          </cell>
          <cell r="P3897">
            <v>44980</v>
          </cell>
          <cell r="Q3897">
            <v>44981</v>
          </cell>
          <cell r="R3897">
            <v>44981</v>
          </cell>
          <cell r="S3897"/>
          <cell r="T3897">
            <v>44980</v>
          </cell>
          <cell r="U3897">
            <v>44984</v>
          </cell>
          <cell r="V3897">
            <v>44984</v>
          </cell>
          <cell r="W3897">
            <v>44984</v>
          </cell>
          <cell r="X3897" t="str">
            <v>-</v>
          </cell>
        </row>
        <row r="3898">
          <cell r="K3898" t="str">
            <v>HNM-0025~0027</v>
          </cell>
          <cell r="L3898">
            <v>44970</v>
          </cell>
          <cell r="M3898">
            <v>44971</v>
          </cell>
          <cell r="N3898">
            <v>44980</v>
          </cell>
          <cell r="O3898">
            <v>44971</v>
          </cell>
          <cell r="P3898">
            <v>44980</v>
          </cell>
          <cell r="Q3898">
            <v>44972</v>
          </cell>
          <cell r="R3898">
            <v>44972</v>
          </cell>
          <cell r="S3898"/>
          <cell r="T3898">
            <v>44980</v>
          </cell>
          <cell r="U3898">
            <v>44981</v>
          </cell>
          <cell r="V3898">
            <v>44985</v>
          </cell>
          <cell r="W3898">
            <v>44985</v>
          </cell>
          <cell r="X3898">
            <v>31102573</v>
          </cell>
        </row>
        <row r="3899">
          <cell r="K3899" t="str">
            <v>WS-0078</v>
          </cell>
          <cell r="L3899">
            <v>44921</v>
          </cell>
          <cell r="M3899" t="str">
            <v>2022-12-22 → 12/27</v>
          </cell>
          <cell r="N3899">
            <v>44931</v>
          </cell>
          <cell r="O3899" t="str">
            <v>2022-12-22 → 12/27</v>
          </cell>
          <cell r="P3899">
            <v>44931</v>
          </cell>
          <cell r="Q3899" t="str">
            <v>2023-01-03 → 01/05</v>
          </cell>
          <cell r="R3899" t="str">
            <v>2023-01-03 → 01/05</v>
          </cell>
          <cell r="S3899"/>
          <cell r="T3899">
            <v>44936</v>
          </cell>
          <cell r="U3899">
            <v>44936</v>
          </cell>
          <cell r="V3899">
            <v>44937</v>
          </cell>
          <cell r="W3899">
            <v>44937</v>
          </cell>
          <cell r="X3899">
            <v>41100615</v>
          </cell>
        </row>
        <row r="3900">
          <cell r="K3900" t="str">
            <v>GBWS-3187</v>
          </cell>
          <cell r="L3900">
            <v>44970</v>
          </cell>
          <cell r="M3900">
            <v>44971</v>
          </cell>
          <cell r="N3900">
            <v>44979</v>
          </cell>
          <cell r="O3900">
            <v>44971</v>
          </cell>
          <cell r="P3900">
            <v>44980</v>
          </cell>
          <cell r="Q3900">
            <v>44979</v>
          </cell>
          <cell r="R3900">
            <v>44979</v>
          </cell>
          <cell r="S3900"/>
          <cell r="T3900">
            <v>44980</v>
          </cell>
          <cell r="U3900">
            <v>44981</v>
          </cell>
          <cell r="V3900">
            <v>44981</v>
          </cell>
          <cell r="W3900">
            <v>44984</v>
          </cell>
          <cell r="X3900">
            <v>41100633</v>
          </cell>
        </row>
        <row r="3901">
          <cell r="K3901" t="str">
            <v>DBW-2860</v>
          </cell>
          <cell r="L3901">
            <v>44956</v>
          </cell>
          <cell r="M3901">
            <v>44957</v>
          </cell>
          <cell r="N3901">
            <v>44966</v>
          </cell>
          <cell r="O3901">
            <v>44957</v>
          </cell>
          <cell r="P3901">
            <v>44966</v>
          </cell>
          <cell r="Q3901">
            <v>44966</v>
          </cell>
          <cell r="R3901">
            <v>44966</v>
          </cell>
          <cell r="S3901"/>
          <cell r="T3901">
            <v>44967</v>
          </cell>
          <cell r="U3901">
            <v>44970</v>
          </cell>
          <cell r="V3901">
            <v>44970</v>
          </cell>
          <cell r="W3901">
            <v>44971</v>
          </cell>
          <cell r="X3901">
            <v>41100496</v>
          </cell>
        </row>
        <row r="3902">
          <cell r="K3902" t="str">
            <v>GBWS-3179</v>
          </cell>
          <cell r="L3902">
            <v>44964</v>
          </cell>
          <cell r="M3902">
            <v>44965</v>
          </cell>
          <cell r="N3902">
            <v>44975</v>
          </cell>
          <cell r="O3902">
            <v>44965</v>
          </cell>
          <cell r="P3902">
            <v>44974</v>
          </cell>
          <cell r="Q3902">
            <v>44974</v>
          </cell>
          <cell r="R3902">
            <v>44974</v>
          </cell>
          <cell r="S3902"/>
          <cell r="T3902">
            <v>44977</v>
          </cell>
          <cell r="U3902">
            <v>44978</v>
          </cell>
          <cell r="V3902">
            <v>44979</v>
          </cell>
          <cell r="W3902">
            <v>44979</v>
          </cell>
          <cell r="X3902">
            <v>41100622</v>
          </cell>
        </row>
        <row r="3903">
          <cell r="K3903" t="str">
            <v>GBWS-3180</v>
          </cell>
          <cell r="L3903">
            <v>44964</v>
          </cell>
          <cell r="M3903">
            <v>44965</v>
          </cell>
          <cell r="N3903">
            <v>44975</v>
          </cell>
          <cell r="O3903">
            <v>44965</v>
          </cell>
          <cell r="P3903">
            <v>44974</v>
          </cell>
          <cell r="Q3903">
            <v>44974</v>
          </cell>
          <cell r="R3903">
            <v>44974</v>
          </cell>
          <cell r="S3903"/>
          <cell r="T3903">
            <v>44978</v>
          </cell>
          <cell r="U3903">
            <v>44979</v>
          </cell>
          <cell r="V3903">
            <v>44979</v>
          </cell>
          <cell r="W3903">
            <v>44979</v>
          </cell>
          <cell r="X3903">
            <v>41100622</v>
          </cell>
        </row>
        <row r="3904">
          <cell r="K3904" t="str">
            <v>G14030025</v>
          </cell>
          <cell r="L3904">
            <v>44978</v>
          </cell>
          <cell r="M3904">
            <v>44978</v>
          </cell>
          <cell r="N3904">
            <v>44980</v>
          </cell>
          <cell r="O3904">
            <v>44978</v>
          </cell>
          <cell r="P3904">
            <v>44980</v>
          </cell>
          <cell r="Q3904">
            <v>44978</v>
          </cell>
          <cell r="R3904">
            <v>44978</v>
          </cell>
          <cell r="S3904"/>
          <cell r="T3904">
            <v>44980</v>
          </cell>
          <cell r="U3904">
            <v>44987</v>
          </cell>
          <cell r="V3904">
            <v>44987</v>
          </cell>
          <cell r="W3904">
            <v>44987</v>
          </cell>
          <cell r="X3904" t="str">
            <v>-</v>
          </cell>
        </row>
        <row r="3905">
          <cell r="K3905" t="str">
            <v>DBW-2869</v>
          </cell>
          <cell r="L3905">
            <v>44970</v>
          </cell>
          <cell r="M3905">
            <v>44971</v>
          </cell>
          <cell r="N3905">
            <v>44980</v>
          </cell>
          <cell r="O3905">
            <v>44971</v>
          </cell>
          <cell r="P3905">
            <v>44981</v>
          </cell>
          <cell r="Q3905" t="str">
            <v>2023-02-23 → 2/23</v>
          </cell>
          <cell r="R3905" t="str">
            <v>2023-02-23 → 2/23</v>
          </cell>
          <cell r="S3905">
            <v>44981</v>
          </cell>
          <cell r="T3905">
            <v>44981</v>
          </cell>
          <cell r="U3905">
            <v>44984</v>
          </cell>
          <cell r="V3905">
            <v>44985</v>
          </cell>
          <cell r="W3905">
            <v>44987</v>
          </cell>
          <cell r="X3905">
            <v>41100496</v>
          </cell>
        </row>
        <row r="3906">
          <cell r="K3906" t="str">
            <v>DBW-2870</v>
          </cell>
          <cell r="L3906">
            <v>44970</v>
          </cell>
          <cell r="M3906">
            <v>44971</v>
          </cell>
          <cell r="N3906">
            <v>44980</v>
          </cell>
          <cell r="O3906">
            <v>44971</v>
          </cell>
          <cell r="P3906">
            <v>44981</v>
          </cell>
          <cell r="Q3906" t="str">
            <v>2023-02-23 → 2/23</v>
          </cell>
          <cell r="R3906" t="str">
            <v>2023-02-23 → 2/23</v>
          </cell>
          <cell r="S3906">
            <v>44981</v>
          </cell>
          <cell r="T3906">
            <v>44981</v>
          </cell>
          <cell r="U3906">
            <v>44984</v>
          </cell>
          <cell r="V3906">
            <v>44985</v>
          </cell>
          <cell r="W3906">
            <v>44987</v>
          </cell>
          <cell r="X3906">
            <v>41100496</v>
          </cell>
        </row>
        <row r="3907">
          <cell r="K3907" t="str">
            <v>DBW-2871</v>
          </cell>
          <cell r="L3907">
            <v>44970</v>
          </cell>
          <cell r="M3907">
            <v>44971</v>
          </cell>
          <cell r="N3907">
            <v>44980</v>
          </cell>
          <cell r="O3907">
            <v>44971</v>
          </cell>
          <cell r="P3907">
            <v>44981</v>
          </cell>
          <cell r="Q3907" t="str">
            <v>2023-02-23 → 2/23</v>
          </cell>
          <cell r="R3907" t="str">
            <v>2023-02-23 → 2/23</v>
          </cell>
          <cell r="S3907">
            <v>44984</v>
          </cell>
          <cell r="T3907">
            <v>44984</v>
          </cell>
          <cell r="U3907">
            <v>44987</v>
          </cell>
          <cell r="V3907">
            <v>44987</v>
          </cell>
          <cell r="W3907">
            <v>44987</v>
          </cell>
          <cell r="X3907">
            <v>41100496</v>
          </cell>
        </row>
        <row r="3908">
          <cell r="K3908" t="str">
            <v>DBW-2872</v>
          </cell>
          <cell r="L3908">
            <v>44970</v>
          </cell>
          <cell r="M3908">
            <v>44971</v>
          </cell>
          <cell r="N3908">
            <v>44980</v>
          </cell>
          <cell r="O3908">
            <v>44971</v>
          </cell>
          <cell r="P3908">
            <v>44981</v>
          </cell>
          <cell r="Q3908" t="str">
            <v>2023-02-23 → 2/23</v>
          </cell>
          <cell r="R3908" t="str">
            <v>2023-02-23 → 2/23</v>
          </cell>
          <cell r="S3908">
            <v>44981</v>
          </cell>
          <cell r="T3908">
            <v>44981</v>
          </cell>
          <cell r="U3908">
            <v>44985</v>
          </cell>
          <cell r="V3908">
            <v>44987</v>
          </cell>
          <cell r="W3908">
            <v>44987</v>
          </cell>
          <cell r="X3908">
            <v>41100496</v>
          </cell>
        </row>
        <row r="3909">
          <cell r="K3909" t="str">
            <v>DBW-2873</v>
          </cell>
          <cell r="L3909">
            <v>44970</v>
          </cell>
          <cell r="M3909">
            <v>44971</v>
          </cell>
          <cell r="N3909">
            <v>44980</v>
          </cell>
          <cell r="O3909">
            <v>44971</v>
          </cell>
          <cell r="P3909">
            <v>44981</v>
          </cell>
          <cell r="Q3909" t="str">
            <v>2023-02-23 → 2/23</v>
          </cell>
          <cell r="R3909" t="str">
            <v>2023-02-23 → 2/23</v>
          </cell>
          <cell r="S3909">
            <v>44981</v>
          </cell>
          <cell r="T3909">
            <v>44981</v>
          </cell>
          <cell r="U3909">
            <v>44985</v>
          </cell>
          <cell r="V3909">
            <v>44987</v>
          </cell>
          <cell r="W3909">
            <v>44987</v>
          </cell>
          <cell r="X3909">
            <v>41100496</v>
          </cell>
        </row>
        <row r="3910">
          <cell r="K3910" t="str">
            <v>IVAS-191</v>
          </cell>
          <cell r="L3910">
            <v>44963</v>
          </cell>
          <cell r="M3910">
            <v>44964</v>
          </cell>
          <cell r="N3910">
            <v>44979</v>
          </cell>
          <cell r="O3910">
            <v>44964</v>
          </cell>
          <cell r="P3910">
            <v>44980</v>
          </cell>
          <cell r="Q3910">
            <v>44974</v>
          </cell>
          <cell r="R3910">
            <v>44974</v>
          </cell>
          <cell r="S3910">
            <v>44977</v>
          </cell>
          <cell r="T3910">
            <v>44977</v>
          </cell>
          <cell r="U3910">
            <v>44987</v>
          </cell>
          <cell r="V3910">
            <v>44984</v>
          </cell>
          <cell r="W3910">
            <v>44987</v>
          </cell>
          <cell r="X3910">
            <v>41100548</v>
          </cell>
        </row>
        <row r="3911">
          <cell r="K3911"/>
          <cell r="L3911">
            <v>44973</v>
          </cell>
          <cell r="M3911">
            <v>44974</v>
          </cell>
          <cell r="N3911">
            <v>44978</v>
          </cell>
          <cell r="O3911">
            <v>44974</v>
          </cell>
          <cell r="P3911">
            <v>44978</v>
          </cell>
          <cell r="Q3911">
            <v>44978</v>
          </cell>
          <cell r="R3911">
            <v>44978</v>
          </cell>
          <cell r="S3911"/>
          <cell r="T3911">
            <v>44991</v>
          </cell>
          <cell r="U3911">
            <v>44991</v>
          </cell>
          <cell r="V3911">
            <v>44991</v>
          </cell>
          <cell r="W3911">
            <v>44991</v>
          </cell>
          <cell r="X3911">
            <v>31100994</v>
          </cell>
        </row>
        <row r="3912">
          <cell r="K3912" t="str">
            <v>G23030005</v>
          </cell>
          <cell r="L3912">
            <v>44981</v>
          </cell>
          <cell r="M3912">
            <v>44981</v>
          </cell>
          <cell r="N3912">
            <v>44980</v>
          </cell>
          <cell r="O3912">
            <v>44981</v>
          </cell>
          <cell r="P3912">
            <v>44980</v>
          </cell>
          <cell r="Q3912">
            <v>44981</v>
          </cell>
          <cell r="R3912">
            <v>44981</v>
          </cell>
          <cell r="S3912">
            <v>44980</v>
          </cell>
          <cell r="T3912">
            <v>44980</v>
          </cell>
          <cell r="U3912">
            <v>44991</v>
          </cell>
          <cell r="V3912">
            <v>44991</v>
          </cell>
          <cell r="W3912">
            <v>44991</v>
          </cell>
          <cell r="X3912" t="str">
            <v>-</v>
          </cell>
        </row>
        <row r="3913">
          <cell r="K3913" t="str">
            <v>GBWS-2889</v>
          </cell>
          <cell r="L3913">
            <v>44879</v>
          </cell>
          <cell r="M3913">
            <v>44880</v>
          </cell>
          <cell r="N3913">
            <v>44893</v>
          </cell>
          <cell r="O3913">
            <v>44880</v>
          </cell>
          <cell r="P3913">
            <v>44893</v>
          </cell>
          <cell r="Q3913">
            <v>44893</v>
          </cell>
          <cell r="R3913">
            <v>44893</v>
          </cell>
          <cell r="S3913"/>
          <cell r="T3913">
            <v>44901</v>
          </cell>
          <cell r="U3913">
            <v>44904</v>
          </cell>
          <cell r="V3913">
            <v>44904</v>
          </cell>
          <cell r="W3913">
            <v>44904</v>
          </cell>
          <cell r="X3913">
            <v>41100507</v>
          </cell>
        </row>
        <row r="3914">
          <cell r="K3914"/>
          <cell r="L3914">
            <v>44976</v>
          </cell>
          <cell r="M3914">
            <v>44977</v>
          </cell>
          <cell r="N3914">
            <v>44985</v>
          </cell>
          <cell r="O3914">
            <v>44977</v>
          </cell>
          <cell r="P3914">
            <v>44985</v>
          </cell>
          <cell r="Q3914">
            <v>44984</v>
          </cell>
          <cell r="R3914">
            <v>44984</v>
          </cell>
          <cell r="S3914"/>
          <cell r="T3914">
            <v>44985</v>
          </cell>
          <cell r="U3914">
            <v>44991</v>
          </cell>
          <cell r="V3914">
            <v>44992</v>
          </cell>
          <cell r="W3914">
            <v>44992</v>
          </cell>
          <cell r="X3914">
            <v>41100645</v>
          </cell>
        </row>
        <row r="3915">
          <cell r="K3915" t="str">
            <v>GBWS-2890</v>
          </cell>
          <cell r="L3915">
            <v>44879</v>
          </cell>
          <cell r="M3915">
            <v>44880</v>
          </cell>
          <cell r="N3915">
            <v>44893</v>
          </cell>
          <cell r="O3915">
            <v>44880</v>
          </cell>
          <cell r="P3915">
            <v>44893</v>
          </cell>
          <cell r="Q3915">
            <v>44893</v>
          </cell>
          <cell r="R3915">
            <v>44893</v>
          </cell>
          <cell r="S3915"/>
          <cell r="T3915">
            <v>44901</v>
          </cell>
          <cell r="U3915">
            <v>44902</v>
          </cell>
          <cell r="V3915">
            <v>44902</v>
          </cell>
          <cell r="W3915">
            <v>44903</v>
          </cell>
          <cell r="X3915">
            <v>41100507</v>
          </cell>
        </row>
        <row r="3916">
          <cell r="K3916"/>
          <cell r="L3916">
            <v>44976</v>
          </cell>
          <cell r="M3916">
            <v>44977</v>
          </cell>
          <cell r="N3916">
            <v>44985</v>
          </cell>
          <cell r="O3916">
            <v>44977</v>
          </cell>
          <cell r="P3916">
            <v>44985</v>
          </cell>
          <cell r="Q3916">
            <v>44984</v>
          </cell>
          <cell r="R3916">
            <v>44984</v>
          </cell>
          <cell r="S3916"/>
          <cell r="T3916">
            <v>44987</v>
          </cell>
          <cell r="U3916">
            <v>44988</v>
          </cell>
          <cell r="V3916">
            <v>44991</v>
          </cell>
          <cell r="W3916">
            <v>44991</v>
          </cell>
          <cell r="X3916">
            <v>41100645</v>
          </cell>
        </row>
        <row r="3917">
          <cell r="K3917" t="str">
            <v>GBWS-2919</v>
          </cell>
          <cell r="L3917">
            <v>44879</v>
          </cell>
          <cell r="M3917">
            <v>44880</v>
          </cell>
          <cell r="N3917">
            <v>44893</v>
          </cell>
          <cell r="O3917">
            <v>44880</v>
          </cell>
          <cell r="P3917">
            <v>44893</v>
          </cell>
          <cell r="Q3917">
            <v>44893</v>
          </cell>
          <cell r="R3917">
            <v>44893</v>
          </cell>
          <cell r="S3917"/>
          <cell r="T3917">
            <v>44901</v>
          </cell>
          <cell r="U3917">
            <v>44902</v>
          </cell>
          <cell r="V3917">
            <v>44903</v>
          </cell>
          <cell r="W3917">
            <v>44903</v>
          </cell>
          <cell r="X3917">
            <v>41100507</v>
          </cell>
        </row>
        <row r="3918">
          <cell r="K3918"/>
          <cell r="L3918">
            <v>44976</v>
          </cell>
          <cell r="M3918">
            <v>44977</v>
          </cell>
          <cell r="N3918">
            <v>44985</v>
          </cell>
          <cell r="O3918">
            <v>44977</v>
          </cell>
          <cell r="P3918">
            <v>44985</v>
          </cell>
          <cell r="Q3918">
            <v>44984</v>
          </cell>
          <cell r="R3918">
            <v>44984</v>
          </cell>
          <cell r="S3918"/>
          <cell r="T3918">
            <v>44985</v>
          </cell>
          <cell r="U3918">
            <v>44988</v>
          </cell>
          <cell r="V3918">
            <v>44992</v>
          </cell>
          <cell r="W3918">
            <v>44992</v>
          </cell>
          <cell r="X3918">
            <v>41100645</v>
          </cell>
        </row>
        <row r="3919">
          <cell r="K3919" t="str">
            <v>GBWS-2920</v>
          </cell>
          <cell r="L3919">
            <v>44879</v>
          </cell>
          <cell r="M3919">
            <v>44880</v>
          </cell>
          <cell r="N3919">
            <v>44893</v>
          </cell>
          <cell r="O3919">
            <v>44880</v>
          </cell>
          <cell r="P3919">
            <v>44893</v>
          </cell>
          <cell r="Q3919">
            <v>44893</v>
          </cell>
          <cell r="R3919">
            <v>44893</v>
          </cell>
          <cell r="S3919"/>
          <cell r="T3919">
            <v>44903</v>
          </cell>
          <cell r="U3919">
            <v>44907</v>
          </cell>
          <cell r="V3919">
            <v>44908</v>
          </cell>
          <cell r="W3919">
            <v>44908</v>
          </cell>
          <cell r="X3919">
            <v>41100507</v>
          </cell>
        </row>
        <row r="3920">
          <cell r="K3920"/>
          <cell r="L3920">
            <v>44976</v>
          </cell>
          <cell r="M3920">
            <v>44977</v>
          </cell>
          <cell r="N3920">
            <v>44985</v>
          </cell>
          <cell r="O3920">
            <v>44977</v>
          </cell>
          <cell r="P3920">
            <v>44985</v>
          </cell>
          <cell r="Q3920">
            <v>44984</v>
          </cell>
          <cell r="R3920">
            <v>44984</v>
          </cell>
          <cell r="S3920"/>
          <cell r="T3920">
            <v>44985</v>
          </cell>
          <cell r="U3920">
            <v>44991</v>
          </cell>
          <cell r="V3920">
            <v>44991</v>
          </cell>
          <cell r="W3920">
            <v>44991</v>
          </cell>
          <cell r="X3920">
            <v>41100645</v>
          </cell>
        </row>
        <row r="3921">
          <cell r="K3921" t="str">
            <v>GBWS-2921</v>
          </cell>
          <cell r="L3921">
            <v>44879</v>
          </cell>
          <cell r="M3921">
            <v>44880</v>
          </cell>
          <cell r="N3921">
            <v>44893</v>
          </cell>
          <cell r="O3921">
            <v>44880</v>
          </cell>
          <cell r="P3921">
            <v>44893</v>
          </cell>
          <cell r="Q3921">
            <v>44893</v>
          </cell>
          <cell r="R3921">
            <v>44893</v>
          </cell>
          <cell r="S3921"/>
          <cell r="T3921">
            <v>44902</v>
          </cell>
          <cell r="U3921">
            <v>44904</v>
          </cell>
          <cell r="V3921">
            <v>44904</v>
          </cell>
          <cell r="W3921">
            <v>44904</v>
          </cell>
          <cell r="X3921">
            <v>41100507</v>
          </cell>
        </row>
        <row r="3922">
          <cell r="K3922"/>
          <cell r="L3922">
            <v>44976</v>
          </cell>
          <cell r="M3922">
            <v>44977</v>
          </cell>
          <cell r="N3922">
            <v>44985</v>
          </cell>
          <cell r="O3922">
            <v>44977</v>
          </cell>
          <cell r="P3922">
            <v>44985</v>
          </cell>
          <cell r="Q3922">
            <v>44984</v>
          </cell>
          <cell r="R3922">
            <v>44984</v>
          </cell>
          <cell r="S3922"/>
          <cell r="T3922">
            <v>44985</v>
          </cell>
          <cell r="U3922">
            <v>44988</v>
          </cell>
          <cell r="V3922">
            <v>44991</v>
          </cell>
          <cell r="W3922">
            <v>44991</v>
          </cell>
          <cell r="X3922">
            <v>41100645</v>
          </cell>
        </row>
        <row r="3923">
          <cell r="K3923" t="str">
            <v>GBWS-2922</v>
          </cell>
          <cell r="L3923">
            <v>44879</v>
          </cell>
          <cell r="M3923">
            <v>44880</v>
          </cell>
          <cell r="N3923">
            <v>44893</v>
          </cell>
          <cell r="O3923">
            <v>44880</v>
          </cell>
          <cell r="P3923">
            <v>44893</v>
          </cell>
          <cell r="Q3923">
            <v>44893</v>
          </cell>
          <cell r="R3923">
            <v>44893</v>
          </cell>
          <cell r="S3923"/>
          <cell r="T3923">
            <v>44902</v>
          </cell>
          <cell r="U3923">
            <v>44904</v>
          </cell>
          <cell r="V3923">
            <v>44904</v>
          </cell>
          <cell r="W3923">
            <v>44904</v>
          </cell>
          <cell r="X3923">
            <v>41100507</v>
          </cell>
        </row>
        <row r="3924">
          <cell r="K3924"/>
          <cell r="L3924">
            <v>44976</v>
          </cell>
          <cell r="M3924">
            <v>44977</v>
          </cell>
          <cell r="N3924">
            <v>44985</v>
          </cell>
          <cell r="O3924">
            <v>44977</v>
          </cell>
          <cell r="P3924">
            <v>44985</v>
          </cell>
          <cell r="Q3924">
            <v>44984</v>
          </cell>
          <cell r="R3924">
            <v>44984</v>
          </cell>
          <cell r="S3924"/>
          <cell r="T3924">
            <v>44985</v>
          </cell>
          <cell r="U3924">
            <v>44991</v>
          </cell>
          <cell r="V3924">
            <v>44992</v>
          </cell>
          <cell r="W3924">
            <v>44992</v>
          </cell>
          <cell r="X3924">
            <v>41100645</v>
          </cell>
        </row>
        <row r="3925">
          <cell r="K3925" t="str">
            <v>GBWS-2923</v>
          </cell>
          <cell r="L3925">
            <v>44879</v>
          </cell>
          <cell r="M3925">
            <v>44880</v>
          </cell>
          <cell r="N3925">
            <v>44893</v>
          </cell>
          <cell r="O3925">
            <v>44880</v>
          </cell>
          <cell r="P3925">
            <v>44893</v>
          </cell>
          <cell r="Q3925">
            <v>44893</v>
          </cell>
          <cell r="R3925">
            <v>44893</v>
          </cell>
          <cell r="S3925"/>
          <cell r="T3925">
            <v>44903</v>
          </cell>
          <cell r="U3925">
            <v>44904</v>
          </cell>
          <cell r="V3925">
            <v>44907</v>
          </cell>
          <cell r="W3925">
            <v>44907</v>
          </cell>
          <cell r="X3925">
            <v>41100507</v>
          </cell>
        </row>
        <row r="3926">
          <cell r="K3926"/>
          <cell r="L3926">
            <v>44976</v>
          </cell>
          <cell r="M3926">
            <v>44977</v>
          </cell>
          <cell r="N3926">
            <v>44985</v>
          </cell>
          <cell r="O3926">
            <v>44977</v>
          </cell>
          <cell r="P3926">
            <v>44985</v>
          </cell>
          <cell r="Q3926">
            <v>44984</v>
          </cell>
          <cell r="R3926">
            <v>44984</v>
          </cell>
          <cell r="S3926"/>
          <cell r="T3926">
            <v>44987</v>
          </cell>
          <cell r="U3926">
            <v>44988</v>
          </cell>
          <cell r="V3926">
            <v>44991</v>
          </cell>
          <cell r="W3926">
            <v>44991</v>
          </cell>
          <cell r="X3926">
            <v>41100645</v>
          </cell>
        </row>
        <row r="3927">
          <cell r="K3927" t="str">
            <v>GBWS-2888</v>
          </cell>
          <cell r="L3927">
            <v>44879</v>
          </cell>
          <cell r="M3927">
            <v>44880</v>
          </cell>
          <cell r="N3927">
            <v>44893</v>
          </cell>
          <cell r="O3927">
            <v>44880</v>
          </cell>
          <cell r="P3927">
            <v>44893</v>
          </cell>
          <cell r="Q3927">
            <v>44893</v>
          </cell>
          <cell r="R3927">
            <v>44893</v>
          </cell>
          <cell r="S3927"/>
          <cell r="T3927">
            <v>44901</v>
          </cell>
          <cell r="U3927">
            <v>44902</v>
          </cell>
          <cell r="V3927">
            <v>44904</v>
          </cell>
          <cell r="W3927">
            <v>44904</v>
          </cell>
          <cell r="X3927">
            <v>41100507</v>
          </cell>
        </row>
        <row r="3928">
          <cell r="K3928"/>
          <cell r="L3928">
            <v>44976</v>
          </cell>
          <cell r="M3928">
            <v>44977</v>
          </cell>
          <cell r="N3928">
            <v>44985</v>
          </cell>
          <cell r="O3928">
            <v>44977</v>
          </cell>
          <cell r="P3928">
            <v>44985</v>
          </cell>
          <cell r="Q3928">
            <v>44984</v>
          </cell>
          <cell r="R3928">
            <v>44984</v>
          </cell>
          <cell r="S3928"/>
          <cell r="T3928">
            <v>44985</v>
          </cell>
          <cell r="U3928">
            <v>44988</v>
          </cell>
          <cell r="V3928">
            <v>44991</v>
          </cell>
          <cell r="W3928">
            <v>44991</v>
          </cell>
          <cell r="X3928">
            <v>41100645</v>
          </cell>
        </row>
        <row r="3929">
          <cell r="K3929" t="str">
            <v>GBWS-2840</v>
          </cell>
          <cell r="L3929">
            <v>44819</v>
          </cell>
          <cell r="M3929">
            <v>44820</v>
          </cell>
          <cell r="N3929">
            <v>44833</v>
          </cell>
          <cell r="O3929">
            <v>44820</v>
          </cell>
          <cell r="P3929">
            <v>44833</v>
          </cell>
          <cell r="Q3929">
            <v>44832</v>
          </cell>
          <cell r="R3929">
            <v>44832</v>
          </cell>
          <cell r="S3929"/>
          <cell r="T3929">
            <v>44833</v>
          </cell>
          <cell r="U3929">
            <v>44834</v>
          </cell>
          <cell r="V3929">
            <v>44845</v>
          </cell>
          <cell r="W3929">
            <v>44845</v>
          </cell>
          <cell r="X3929">
            <v>41100460</v>
          </cell>
        </row>
        <row r="3930">
          <cell r="K3930"/>
          <cell r="L3930">
            <v>44976</v>
          </cell>
          <cell r="M3930">
            <v>44977</v>
          </cell>
          <cell r="N3930">
            <v>44988</v>
          </cell>
          <cell r="O3930">
            <v>44977</v>
          </cell>
          <cell r="P3930">
            <v>44992</v>
          </cell>
          <cell r="Q3930" t="str">
            <v>2023-02-27 → 3/1</v>
          </cell>
          <cell r="R3930" t="str">
            <v>2023-02-27 → 3/1</v>
          </cell>
          <cell r="S3930"/>
          <cell r="T3930">
            <v>44988</v>
          </cell>
          <cell r="U3930">
            <v>44991</v>
          </cell>
          <cell r="V3930">
            <v>44992</v>
          </cell>
          <cell r="W3930">
            <v>44992</v>
          </cell>
          <cell r="X3930">
            <v>41100649</v>
          </cell>
        </row>
        <row r="3931">
          <cell r="K3931" t="str">
            <v>GBWS-2842</v>
          </cell>
          <cell r="L3931">
            <v>44819</v>
          </cell>
          <cell r="M3931">
            <v>44820</v>
          </cell>
          <cell r="N3931">
            <v>44833</v>
          </cell>
          <cell r="O3931">
            <v>44820</v>
          </cell>
          <cell r="P3931">
            <v>44833</v>
          </cell>
          <cell r="Q3931">
            <v>44832</v>
          </cell>
          <cell r="R3931">
            <v>44832</v>
          </cell>
          <cell r="S3931"/>
          <cell r="T3931">
            <v>44833</v>
          </cell>
          <cell r="U3931">
            <v>44834</v>
          </cell>
          <cell r="V3931">
            <v>44845</v>
          </cell>
          <cell r="W3931">
            <v>44845</v>
          </cell>
          <cell r="X3931">
            <v>41100460</v>
          </cell>
        </row>
        <row r="3932">
          <cell r="K3932"/>
          <cell r="L3932">
            <v>44976</v>
          </cell>
          <cell r="M3932">
            <v>44977</v>
          </cell>
          <cell r="N3932">
            <v>44988</v>
          </cell>
          <cell r="O3932">
            <v>44977</v>
          </cell>
          <cell r="P3932">
            <v>44992</v>
          </cell>
          <cell r="Q3932" t="str">
            <v>2023-02-27 → 3/1</v>
          </cell>
          <cell r="R3932" t="str">
            <v>2023-02-27 → 3/1</v>
          </cell>
          <cell r="S3932"/>
          <cell r="T3932">
            <v>44988</v>
          </cell>
          <cell r="U3932">
            <v>44991</v>
          </cell>
          <cell r="V3932">
            <v>44992</v>
          </cell>
          <cell r="W3932">
            <v>44992</v>
          </cell>
          <cell r="X3932">
            <v>41100649</v>
          </cell>
        </row>
        <row r="3933">
          <cell r="K3933" t="str">
            <v>GBWS-3178</v>
          </cell>
          <cell r="L3933">
            <v>44963</v>
          </cell>
          <cell r="M3933">
            <v>44964</v>
          </cell>
          <cell r="N3933">
            <v>44971</v>
          </cell>
          <cell r="O3933">
            <v>44964</v>
          </cell>
          <cell r="P3933">
            <v>44971</v>
          </cell>
          <cell r="Q3933">
            <v>44971</v>
          </cell>
          <cell r="R3933">
            <v>44971</v>
          </cell>
          <cell r="S3933"/>
          <cell r="T3933">
            <v>44973</v>
          </cell>
          <cell r="U3933">
            <v>44974</v>
          </cell>
          <cell r="V3933">
            <v>44977</v>
          </cell>
          <cell r="W3933">
            <v>44977</v>
          </cell>
          <cell r="X3933">
            <v>41100089</v>
          </cell>
        </row>
        <row r="3934">
          <cell r="K3934" t="str">
            <v>DBW-2867</v>
          </cell>
          <cell r="L3934">
            <v>44970</v>
          </cell>
          <cell r="M3934">
            <v>44971</v>
          </cell>
          <cell r="N3934">
            <v>44979</v>
          </cell>
          <cell r="O3934">
            <v>44971</v>
          </cell>
          <cell r="P3934">
            <v>44980</v>
          </cell>
          <cell r="Q3934" t="str">
            <v>2023-02-23 → 2/22</v>
          </cell>
          <cell r="R3934" t="str">
            <v>2023-02-23 → 2/22</v>
          </cell>
          <cell r="S3934"/>
          <cell r="T3934">
            <v>44980</v>
          </cell>
          <cell r="U3934">
            <v>44981</v>
          </cell>
          <cell r="V3934">
            <v>44981</v>
          </cell>
          <cell r="W3934">
            <v>44984</v>
          </cell>
          <cell r="X3934">
            <v>41100496</v>
          </cell>
        </row>
        <row r="3935">
          <cell r="K3935" t="str">
            <v>DBW-2868</v>
          </cell>
          <cell r="L3935">
            <v>44970</v>
          </cell>
          <cell r="M3935">
            <v>44971</v>
          </cell>
          <cell r="N3935">
            <v>44979</v>
          </cell>
          <cell r="O3935">
            <v>44971</v>
          </cell>
          <cell r="P3935">
            <v>44980</v>
          </cell>
          <cell r="Q3935" t="str">
            <v>2023-02-23 → 2/22</v>
          </cell>
          <cell r="R3935" t="str">
            <v>2023-02-23 → 2/22</v>
          </cell>
          <cell r="S3935"/>
          <cell r="T3935">
            <v>44980</v>
          </cell>
          <cell r="U3935">
            <v>44981</v>
          </cell>
          <cell r="V3935">
            <v>44981</v>
          </cell>
          <cell r="W3935">
            <v>44984</v>
          </cell>
          <cell r="X3935">
            <v>41100496</v>
          </cell>
        </row>
        <row r="3936">
          <cell r="K3936" t="str">
            <v>WS-0079</v>
          </cell>
          <cell r="L3936">
            <v>44956</v>
          </cell>
          <cell r="M3936">
            <v>44957</v>
          </cell>
          <cell r="N3936">
            <v>44971</v>
          </cell>
          <cell r="O3936">
            <v>44957</v>
          </cell>
          <cell r="P3936">
            <v>44965</v>
          </cell>
          <cell r="Q3936">
            <v>44966</v>
          </cell>
          <cell r="R3936">
            <v>44966</v>
          </cell>
          <cell r="S3936"/>
          <cell r="T3936">
            <v>44971</v>
          </cell>
          <cell r="U3936">
            <v>44972</v>
          </cell>
          <cell r="V3936">
            <v>44972</v>
          </cell>
          <cell r="W3936">
            <v>44973</v>
          </cell>
          <cell r="X3936">
            <v>41100615</v>
          </cell>
        </row>
        <row r="3937">
          <cell r="K3937" t="str">
            <v>HNM-0028~0030</v>
          </cell>
          <cell r="L3937">
            <v>44977</v>
          </cell>
          <cell r="M3937">
            <v>44978</v>
          </cell>
          <cell r="N3937">
            <v>44991</v>
          </cell>
          <cell r="O3937">
            <v>44978</v>
          </cell>
          <cell r="P3937">
            <v>44991</v>
          </cell>
          <cell r="Q3937">
            <v>44979</v>
          </cell>
          <cell r="R3937">
            <v>44979</v>
          </cell>
          <cell r="S3937"/>
          <cell r="T3937">
            <v>44991</v>
          </cell>
          <cell r="U3937">
            <v>44992</v>
          </cell>
          <cell r="V3937">
            <v>44993</v>
          </cell>
          <cell r="W3937">
            <v>44993</v>
          </cell>
          <cell r="X3937">
            <v>31102573</v>
          </cell>
        </row>
        <row r="3938">
          <cell r="K3938" t="str">
            <v>GPWS-0245</v>
          </cell>
          <cell r="L3938">
            <v>44953</v>
          </cell>
          <cell r="M3938" t="str">
            <v>2023-01-31 → 1/30</v>
          </cell>
          <cell r="N3938">
            <v>44970</v>
          </cell>
          <cell r="O3938" t="str">
            <v>2023-01-31 → 1/30</v>
          </cell>
          <cell r="P3938">
            <v>44967</v>
          </cell>
          <cell r="Q3938">
            <v>44967</v>
          </cell>
          <cell r="R3938">
            <v>44967</v>
          </cell>
          <cell r="S3938">
            <v>44970</v>
          </cell>
          <cell r="T3938">
            <v>44970</v>
          </cell>
          <cell r="U3938">
            <v>44973</v>
          </cell>
          <cell r="V3938">
            <v>44981</v>
          </cell>
          <cell r="W3938">
            <v>44981</v>
          </cell>
          <cell r="X3938">
            <v>41100634</v>
          </cell>
        </row>
        <row r="3939">
          <cell r="K3939" t="str">
            <v>GPWS-0246</v>
          </cell>
          <cell r="L3939">
            <v>44953</v>
          </cell>
          <cell r="M3939" t="str">
            <v>2023-01-31 → 1/30</v>
          </cell>
          <cell r="N3939">
            <v>44970</v>
          </cell>
          <cell r="O3939" t="str">
            <v>2023-01-31 → 1/30</v>
          </cell>
          <cell r="P3939">
            <v>44967</v>
          </cell>
          <cell r="Q3939">
            <v>44967</v>
          </cell>
          <cell r="R3939">
            <v>44967</v>
          </cell>
          <cell r="S3939">
            <v>44970</v>
          </cell>
          <cell r="T3939">
            <v>44970</v>
          </cell>
          <cell r="U3939">
            <v>44992</v>
          </cell>
          <cell r="V3939">
            <v>44993</v>
          </cell>
          <cell r="W3939">
            <v>44993</v>
          </cell>
          <cell r="X3939">
            <v>41100634</v>
          </cell>
        </row>
        <row r="3940">
          <cell r="K3940" t="str">
            <v>G14030013</v>
          </cell>
          <cell r="L3940">
            <v>44985</v>
          </cell>
          <cell r="M3940">
            <v>44988</v>
          </cell>
          <cell r="N3940">
            <v>44988</v>
          </cell>
          <cell r="O3940">
            <v>44988</v>
          </cell>
          <cell r="P3940">
            <v>44988</v>
          </cell>
          <cell r="Q3940">
            <v>44988</v>
          </cell>
          <cell r="R3940">
            <v>44988</v>
          </cell>
          <cell r="S3940">
            <v>44970</v>
          </cell>
          <cell r="T3940">
            <v>44988</v>
          </cell>
          <cell r="U3940">
            <v>44994</v>
          </cell>
          <cell r="V3940">
            <v>44994</v>
          </cell>
          <cell r="W3940">
            <v>44994</v>
          </cell>
          <cell r="X3940" t="str">
            <v>-</v>
          </cell>
        </row>
        <row r="3941">
          <cell r="K3941" t="str">
            <v>G1H4008</v>
          </cell>
          <cell r="L3941">
            <v>44988</v>
          </cell>
          <cell r="M3941">
            <v>44988</v>
          </cell>
          <cell r="N3941">
            <v>44988</v>
          </cell>
          <cell r="O3941">
            <v>44988</v>
          </cell>
          <cell r="P3941">
            <v>44988</v>
          </cell>
          <cell r="Q3941">
            <v>44988</v>
          </cell>
          <cell r="R3941">
            <v>44988</v>
          </cell>
          <cell r="S3941"/>
          <cell r="T3941">
            <v>44988</v>
          </cell>
          <cell r="U3941">
            <v>44994</v>
          </cell>
          <cell r="V3941">
            <v>44994</v>
          </cell>
          <cell r="W3941">
            <v>44994</v>
          </cell>
          <cell r="X3941" t="str">
            <v>-</v>
          </cell>
        </row>
        <row r="3942">
          <cell r="K3942" t="str">
            <v>GBWS-3047</v>
          </cell>
          <cell r="L3942">
            <v>44889</v>
          </cell>
          <cell r="M3942">
            <v>44890</v>
          </cell>
          <cell r="N3942">
            <v>44900</v>
          </cell>
          <cell r="O3942">
            <v>44890</v>
          </cell>
          <cell r="P3942">
            <v>44897</v>
          </cell>
          <cell r="Q3942">
            <v>44901</v>
          </cell>
          <cell r="R3942">
            <v>44901</v>
          </cell>
          <cell r="S3942"/>
          <cell r="T3942">
            <v>44901</v>
          </cell>
          <cell r="U3942">
            <v>44903</v>
          </cell>
          <cell r="V3942">
            <v>44904</v>
          </cell>
          <cell r="W3942">
            <v>44904</v>
          </cell>
          <cell r="X3942">
            <v>41100334</v>
          </cell>
        </row>
        <row r="3943">
          <cell r="K3943" t="str">
            <v>GBWS-3131</v>
          </cell>
          <cell r="L3943">
            <v>44931</v>
          </cell>
          <cell r="M3943">
            <v>44932</v>
          </cell>
          <cell r="N3943">
            <v>44942</v>
          </cell>
          <cell r="O3943">
            <v>44932</v>
          </cell>
          <cell r="P3943">
            <v>44942</v>
          </cell>
          <cell r="Q3943">
            <v>44942</v>
          </cell>
          <cell r="R3943">
            <v>44942</v>
          </cell>
          <cell r="S3943"/>
          <cell r="T3943">
            <v>44942</v>
          </cell>
          <cell r="U3943">
            <v>44943</v>
          </cell>
          <cell r="V3943">
            <v>44944</v>
          </cell>
          <cell r="W3943">
            <v>44944</v>
          </cell>
          <cell r="X3943">
            <v>41100363</v>
          </cell>
        </row>
        <row r="3944">
          <cell r="K3944" t="str">
            <v>DBW-2875</v>
          </cell>
          <cell r="L3944">
            <v>44971</v>
          </cell>
          <cell r="M3944">
            <v>44972</v>
          </cell>
          <cell r="N3944">
            <v>44980</v>
          </cell>
          <cell r="O3944">
            <v>44972</v>
          </cell>
          <cell r="P3944">
            <v>44981</v>
          </cell>
          <cell r="Q3944">
            <v>44981</v>
          </cell>
          <cell r="R3944">
            <v>44981</v>
          </cell>
          <cell r="S3944">
            <v>44984</v>
          </cell>
          <cell r="T3944">
            <v>44984</v>
          </cell>
          <cell r="U3944">
            <v>44987</v>
          </cell>
          <cell r="V3944">
            <v>44991</v>
          </cell>
          <cell r="W3944">
            <v>44991</v>
          </cell>
          <cell r="X3944">
            <v>41100501</v>
          </cell>
        </row>
        <row r="3945">
          <cell r="K3945" t="str">
            <v>DBW-2876</v>
          </cell>
          <cell r="L3945">
            <v>44971</v>
          </cell>
          <cell r="M3945">
            <v>44972</v>
          </cell>
          <cell r="N3945">
            <v>44980</v>
          </cell>
          <cell r="O3945">
            <v>44972</v>
          </cell>
          <cell r="P3945">
            <v>44981</v>
          </cell>
          <cell r="Q3945">
            <v>44981</v>
          </cell>
          <cell r="R3945">
            <v>44981</v>
          </cell>
          <cell r="S3945">
            <v>44984</v>
          </cell>
          <cell r="T3945">
            <v>44984</v>
          </cell>
          <cell r="U3945">
            <v>44993</v>
          </cell>
          <cell r="V3945">
            <v>44993</v>
          </cell>
          <cell r="W3945">
            <v>44994</v>
          </cell>
          <cell r="X3945">
            <v>41100501</v>
          </cell>
        </row>
        <row r="3946">
          <cell r="K3946" t="str">
            <v>IVAS-194</v>
          </cell>
          <cell r="L3946">
            <v>44971</v>
          </cell>
          <cell r="M3946">
            <v>44972</v>
          </cell>
          <cell r="N3946">
            <v>44987</v>
          </cell>
          <cell r="O3946">
            <v>44972</v>
          </cell>
          <cell r="P3946">
            <v>44987</v>
          </cell>
          <cell r="Q3946">
            <v>44984</v>
          </cell>
          <cell r="R3946">
            <v>44984</v>
          </cell>
          <cell r="S3946">
            <v>44984</v>
          </cell>
          <cell r="T3946">
            <v>44985</v>
          </cell>
          <cell r="U3946">
            <v>44992</v>
          </cell>
          <cell r="V3946">
            <v>44994</v>
          </cell>
          <cell r="W3946">
            <v>44994</v>
          </cell>
          <cell r="X3946">
            <v>41100556</v>
          </cell>
        </row>
        <row r="3947">
          <cell r="K3947" t="str">
            <v>G1H4011</v>
          </cell>
          <cell r="L3947">
            <v>44988</v>
          </cell>
          <cell r="M3947">
            <v>44988</v>
          </cell>
          <cell r="N3947">
            <v>44988</v>
          </cell>
          <cell r="O3947">
            <v>44988</v>
          </cell>
          <cell r="P3947">
            <v>44988</v>
          </cell>
          <cell r="Q3947">
            <v>44988</v>
          </cell>
          <cell r="R3947">
            <v>44988</v>
          </cell>
          <cell r="S3947">
            <v>44984</v>
          </cell>
          <cell r="T3947">
            <v>44988</v>
          </cell>
          <cell r="U3947">
            <v>44994</v>
          </cell>
          <cell r="V3947">
            <v>44995</v>
          </cell>
          <cell r="W3947">
            <v>44995</v>
          </cell>
          <cell r="X3947" t="str">
            <v>-</v>
          </cell>
        </row>
        <row r="3948">
          <cell r="K3948" t="str">
            <v>G1H2004</v>
          </cell>
          <cell r="L3948">
            <v>44985</v>
          </cell>
          <cell r="M3948">
            <v>44992</v>
          </cell>
          <cell r="N3948">
            <v>44992</v>
          </cell>
          <cell r="O3948">
            <v>44992</v>
          </cell>
          <cell r="P3948">
            <v>44992</v>
          </cell>
          <cell r="Q3948">
            <v>44992</v>
          </cell>
          <cell r="R3948">
            <v>44992</v>
          </cell>
          <cell r="S3948">
            <v>44984</v>
          </cell>
          <cell r="T3948">
            <v>44992</v>
          </cell>
          <cell r="U3948">
            <v>44994</v>
          </cell>
          <cell r="V3948">
            <v>44995</v>
          </cell>
          <cell r="W3948">
            <v>44995</v>
          </cell>
          <cell r="X3948" t="str">
            <v>-</v>
          </cell>
        </row>
        <row r="3949">
          <cell r="K3949" t="str">
            <v>G14030007</v>
          </cell>
          <cell r="L3949">
            <v>44992</v>
          </cell>
          <cell r="M3949">
            <v>44992</v>
          </cell>
          <cell r="N3949">
            <v>44992</v>
          </cell>
          <cell r="O3949">
            <v>44992</v>
          </cell>
          <cell r="P3949">
            <v>44992</v>
          </cell>
          <cell r="Q3949">
            <v>44992</v>
          </cell>
          <cell r="R3949">
            <v>44992</v>
          </cell>
          <cell r="S3949">
            <v>44984</v>
          </cell>
          <cell r="T3949">
            <v>44992</v>
          </cell>
          <cell r="U3949">
            <v>44994</v>
          </cell>
          <cell r="V3949">
            <v>44995</v>
          </cell>
          <cell r="W3949">
            <v>44995</v>
          </cell>
          <cell r="X3949" t="str">
            <v>-</v>
          </cell>
        </row>
        <row r="3950">
          <cell r="K3950" t="str">
            <v>GBWS-2899</v>
          </cell>
          <cell r="L3950">
            <v>44879</v>
          </cell>
          <cell r="M3950">
            <v>44880</v>
          </cell>
          <cell r="N3950">
            <v>44893</v>
          </cell>
          <cell r="O3950">
            <v>44880</v>
          </cell>
          <cell r="P3950">
            <v>44893</v>
          </cell>
          <cell r="Q3950">
            <v>44893</v>
          </cell>
          <cell r="R3950">
            <v>44893</v>
          </cell>
          <cell r="S3950"/>
          <cell r="T3950">
            <v>44896</v>
          </cell>
          <cell r="U3950">
            <v>44897</v>
          </cell>
          <cell r="V3950">
            <v>44900</v>
          </cell>
          <cell r="W3950">
            <v>44900</v>
          </cell>
          <cell r="X3950">
            <v>41100460</v>
          </cell>
        </row>
        <row r="3951">
          <cell r="K3951"/>
          <cell r="L3951">
            <v>44976</v>
          </cell>
          <cell r="M3951">
            <v>44977</v>
          </cell>
          <cell r="N3951">
            <v>44991</v>
          </cell>
          <cell r="O3951">
            <v>44977</v>
          </cell>
          <cell r="P3951">
            <v>44992</v>
          </cell>
          <cell r="Q3951" t="str">
            <v>2023-02-27 → 2/28 → 3/6</v>
          </cell>
          <cell r="R3951" t="str">
            <v>2023-02-27 → 2/28 → 3/6</v>
          </cell>
          <cell r="S3951"/>
          <cell r="T3951">
            <v>44992</v>
          </cell>
          <cell r="U3951">
            <v>44995</v>
          </cell>
          <cell r="V3951">
            <v>44995</v>
          </cell>
          <cell r="W3951">
            <v>44995</v>
          </cell>
          <cell r="X3951">
            <v>41100649</v>
          </cell>
        </row>
        <row r="3952">
          <cell r="K3952" t="str">
            <v>GBWS-2900</v>
          </cell>
          <cell r="L3952">
            <v>44879</v>
          </cell>
          <cell r="M3952">
            <v>44880</v>
          </cell>
          <cell r="N3952">
            <v>44893</v>
          </cell>
          <cell r="O3952">
            <v>44880</v>
          </cell>
          <cell r="P3952">
            <v>44893</v>
          </cell>
          <cell r="Q3952">
            <v>44893</v>
          </cell>
          <cell r="R3952">
            <v>44893</v>
          </cell>
          <cell r="S3952"/>
          <cell r="T3952">
            <v>44896</v>
          </cell>
          <cell r="U3952">
            <v>44897</v>
          </cell>
          <cell r="V3952">
            <v>44900</v>
          </cell>
          <cell r="W3952">
            <v>44900</v>
          </cell>
          <cell r="X3952">
            <v>41100460</v>
          </cell>
        </row>
        <row r="3953">
          <cell r="K3953"/>
          <cell r="L3953">
            <v>44976</v>
          </cell>
          <cell r="M3953">
            <v>44977</v>
          </cell>
          <cell r="N3953">
            <v>44991</v>
          </cell>
          <cell r="O3953">
            <v>44977</v>
          </cell>
          <cell r="P3953">
            <v>44992</v>
          </cell>
          <cell r="Q3953" t="str">
            <v>2023-02-27 → 2/28 → 3/6</v>
          </cell>
          <cell r="R3953" t="str">
            <v>2023-02-27 → 2/28 → 3/6</v>
          </cell>
          <cell r="S3953"/>
          <cell r="T3953">
            <v>44992</v>
          </cell>
          <cell r="U3953">
            <v>44994</v>
          </cell>
          <cell r="V3953">
            <v>44994</v>
          </cell>
          <cell r="W3953">
            <v>44994</v>
          </cell>
          <cell r="X3953">
            <v>41100649</v>
          </cell>
        </row>
        <row r="3954">
          <cell r="K3954" t="str">
            <v>GBWS-2901</v>
          </cell>
          <cell r="L3954">
            <v>44879</v>
          </cell>
          <cell r="M3954">
            <v>44880</v>
          </cell>
          <cell r="N3954">
            <v>44893</v>
          </cell>
          <cell r="O3954">
            <v>44880</v>
          </cell>
          <cell r="P3954">
            <v>44893</v>
          </cell>
          <cell r="Q3954">
            <v>44893</v>
          </cell>
          <cell r="R3954">
            <v>44893</v>
          </cell>
          <cell r="S3954"/>
          <cell r="T3954">
            <v>44896</v>
          </cell>
          <cell r="U3954">
            <v>44897</v>
          </cell>
          <cell r="V3954">
            <v>44900</v>
          </cell>
          <cell r="W3954">
            <v>44900</v>
          </cell>
          <cell r="X3954">
            <v>41100460</v>
          </cell>
        </row>
        <row r="3955">
          <cell r="K3955"/>
          <cell r="L3955">
            <v>44976</v>
          </cell>
          <cell r="M3955">
            <v>44977</v>
          </cell>
          <cell r="N3955">
            <v>44991</v>
          </cell>
          <cell r="O3955">
            <v>44977</v>
          </cell>
          <cell r="P3955">
            <v>44992</v>
          </cell>
          <cell r="Q3955" t="str">
            <v>2023-02-27 → 2/28 → 3/6</v>
          </cell>
          <cell r="R3955" t="str">
            <v>2023-02-27 → 2/28 → 3/6</v>
          </cell>
          <cell r="S3955"/>
          <cell r="T3955">
            <v>44992</v>
          </cell>
          <cell r="U3955">
            <v>44994</v>
          </cell>
          <cell r="V3955">
            <v>44995</v>
          </cell>
          <cell r="W3955">
            <v>44995</v>
          </cell>
          <cell r="X3955">
            <v>41100649</v>
          </cell>
        </row>
        <row r="3956">
          <cell r="K3956" t="str">
            <v>GBWS-3060</v>
          </cell>
          <cell r="L3956">
            <v>44893</v>
          </cell>
          <cell r="M3956">
            <v>44894</v>
          </cell>
          <cell r="N3956">
            <v>44893</v>
          </cell>
          <cell r="O3956">
            <v>44894</v>
          </cell>
          <cell r="P3956">
            <v>44903</v>
          </cell>
          <cell r="Q3956">
            <v>44904</v>
          </cell>
          <cell r="R3956">
            <v>44904</v>
          </cell>
          <cell r="S3956">
            <v>44992</v>
          </cell>
          <cell r="T3956">
            <v>44992</v>
          </cell>
          <cell r="U3956">
            <v>44995</v>
          </cell>
          <cell r="V3956">
            <v>44995</v>
          </cell>
          <cell r="W3956">
            <v>44995</v>
          </cell>
          <cell r="X3956">
            <v>41100460</v>
          </cell>
        </row>
        <row r="3957">
          <cell r="K3957"/>
          <cell r="L3957">
            <v>44976</v>
          </cell>
          <cell r="M3957">
            <v>44977</v>
          </cell>
          <cell r="N3957">
            <v>44991</v>
          </cell>
          <cell r="O3957">
            <v>44977</v>
          </cell>
          <cell r="P3957">
            <v>44992</v>
          </cell>
          <cell r="Q3957" t="str">
            <v>2023-02-27 → 3/1 → 3/7(오전)</v>
          </cell>
          <cell r="R3957" t="str">
            <v>2023-02-27 → 3/1 → 3/7(오전)</v>
          </cell>
          <cell r="S3957">
            <v>44992</v>
          </cell>
          <cell r="T3957">
            <v>44992</v>
          </cell>
          <cell r="U3957">
            <v>44995</v>
          </cell>
          <cell r="V3957">
            <v>44995</v>
          </cell>
          <cell r="W3957">
            <v>44995</v>
          </cell>
          <cell r="X3957">
            <v>41100649</v>
          </cell>
        </row>
        <row r="3958">
          <cell r="K3958" t="str">
            <v>GBWS-3065</v>
          </cell>
          <cell r="L3958">
            <v>44893</v>
          </cell>
          <cell r="M3958">
            <v>44894</v>
          </cell>
          <cell r="N3958">
            <v>44893</v>
          </cell>
          <cell r="O3958">
            <v>44894</v>
          </cell>
          <cell r="P3958">
            <v>44903</v>
          </cell>
          <cell r="Q3958">
            <v>44904</v>
          </cell>
          <cell r="R3958">
            <v>44904</v>
          </cell>
          <cell r="S3958">
            <v>44992</v>
          </cell>
          <cell r="T3958">
            <v>44992</v>
          </cell>
          <cell r="U3958">
            <v>44994</v>
          </cell>
          <cell r="V3958">
            <v>44995</v>
          </cell>
          <cell r="W3958">
            <v>44995</v>
          </cell>
          <cell r="X3958">
            <v>41100460</v>
          </cell>
        </row>
        <row r="3959">
          <cell r="K3959"/>
          <cell r="L3959">
            <v>44976</v>
          </cell>
          <cell r="M3959">
            <v>44977</v>
          </cell>
          <cell r="N3959">
            <v>44991</v>
          </cell>
          <cell r="O3959">
            <v>44977</v>
          </cell>
          <cell r="P3959">
            <v>44992</v>
          </cell>
          <cell r="Q3959" t="str">
            <v>2023-02-27 → 3/1 → 3/7(오후)</v>
          </cell>
          <cell r="R3959" t="str">
            <v>2023-02-27 → 3/1 → 3/7(오후)</v>
          </cell>
          <cell r="S3959">
            <v>44992</v>
          </cell>
          <cell r="T3959">
            <v>44992</v>
          </cell>
          <cell r="U3959">
            <v>44994</v>
          </cell>
          <cell r="V3959">
            <v>44995</v>
          </cell>
          <cell r="W3959">
            <v>44995</v>
          </cell>
          <cell r="X3959">
            <v>41100649</v>
          </cell>
        </row>
        <row r="3960">
          <cell r="K3960" t="str">
            <v>GBWS-3066</v>
          </cell>
          <cell r="L3960">
            <v>44893</v>
          </cell>
          <cell r="M3960">
            <v>44894</v>
          </cell>
          <cell r="N3960">
            <v>44893</v>
          </cell>
          <cell r="O3960">
            <v>44894</v>
          </cell>
          <cell r="P3960">
            <v>44903</v>
          </cell>
          <cell r="Q3960">
            <v>44904</v>
          </cell>
          <cell r="R3960">
            <v>44904</v>
          </cell>
          <cell r="S3960">
            <v>44992</v>
          </cell>
          <cell r="T3960">
            <v>44992</v>
          </cell>
          <cell r="U3960">
            <v>44994</v>
          </cell>
          <cell r="V3960">
            <v>44995</v>
          </cell>
          <cell r="W3960">
            <v>44995</v>
          </cell>
          <cell r="X3960">
            <v>41100460</v>
          </cell>
        </row>
        <row r="3961">
          <cell r="K3961"/>
          <cell r="L3961">
            <v>44976</v>
          </cell>
          <cell r="M3961">
            <v>44977</v>
          </cell>
          <cell r="N3961">
            <v>44991</v>
          </cell>
          <cell r="O3961">
            <v>44977</v>
          </cell>
          <cell r="P3961">
            <v>44992</v>
          </cell>
          <cell r="Q3961" t="str">
            <v>2023-02-27 → 3/1 → 3/7(오후)</v>
          </cell>
          <cell r="R3961" t="str">
            <v>2023-02-27 → 3/1 → 3/7(오후)</v>
          </cell>
          <cell r="S3961">
            <v>44992</v>
          </cell>
          <cell r="T3961">
            <v>44992</v>
          </cell>
          <cell r="U3961">
            <v>44994</v>
          </cell>
          <cell r="V3961">
            <v>44995</v>
          </cell>
          <cell r="W3961">
            <v>44995</v>
          </cell>
          <cell r="X3961">
            <v>41100649</v>
          </cell>
        </row>
        <row r="3962">
          <cell r="K3962" t="str">
            <v>GBWS-3188</v>
          </cell>
          <cell r="L3962">
            <v>44974</v>
          </cell>
          <cell r="M3962">
            <v>44977</v>
          </cell>
          <cell r="N3962">
            <v>44993</v>
          </cell>
          <cell r="O3962">
            <v>44977</v>
          </cell>
          <cell r="P3962">
            <v>44994</v>
          </cell>
          <cell r="Q3962" t="str">
            <v>2023-02-28 → 3/2 → 3/8(오전)</v>
          </cell>
          <cell r="R3962" t="str">
            <v>2023-02-28 → 3/2 → 3/8(오전)</v>
          </cell>
          <cell r="S3962">
            <v>44992</v>
          </cell>
          <cell r="T3962">
            <v>44994</v>
          </cell>
          <cell r="U3962">
            <v>44995</v>
          </cell>
          <cell r="V3962">
            <v>44997</v>
          </cell>
          <cell r="W3962">
            <v>44997</v>
          </cell>
          <cell r="X3962" t="str">
            <v>41100507 → 41100645</v>
          </cell>
        </row>
        <row r="3963">
          <cell r="K3963" t="str">
            <v>DBW-2737</v>
          </cell>
          <cell r="L3963">
            <v>44830</v>
          </cell>
          <cell r="M3963">
            <v>44831</v>
          </cell>
          <cell r="N3963">
            <v>44840</v>
          </cell>
          <cell r="O3963">
            <v>44831</v>
          </cell>
          <cell r="P3963">
            <v>44845</v>
          </cell>
          <cell r="Q3963">
            <v>44840</v>
          </cell>
          <cell r="R3963">
            <v>44840</v>
          </cell>
          <cell r="S3963"/>
          <cell r="T3963">
            <v>44841</v>
          </cell>
          <cell r="U3963">
            <v>44847</v>
          </cell>
          <cell r="V3963">
            <v>44847</v>
          </cell>
          <cell r="W3963">
            <v>44848</v>
          </cell>
          <cell r="X3963">
            <v>41100471</v>
          </cell>
        </row>
        <row r="3964">
          <cell r="K3964" t="str">
            <v>DBW-2738</v>
          </cell>
          <cell r="L3964">
            <v>44830</v>
          </cell>
          <cell r="M3964">
            <v>44831</v>
          </cell>
          <cell r="N3964">
            <v>44840</v>
          </cell>
          <cell r="O3964">
            <v>44831</v>
          </cell>
          <cell r="P3964">
            <v>44845</v>
          </cell>
          <cell r="Q3964">
            <v>44840</v>
          </cell>
          <cell r="R3964">
            <v>44840</v>
          </cell>
          <cell r="S3964"/>
          <cell r="T3964">
            <v>44841</v>
          </cell>
          <cell r="U3964">
            <v>44847</v>
          </cell>
          <cell r="V3964">
            <v>44847</v>
          </cell>
          <cell r="W3964">
            <v>44848</v>
          </cell>
          <cell r="X3964">
            <v>41100471</v>
          </cell>
        </row>
        <row r="3965">
          <cell r="K3965" t="str">
            <v>GBWS-2859</v>
          </cell>
          <cell r="L3965">
            <v>44872</v>
          </cell>
          <cell r="M3965">
            <v>44873</v>
          </cell>
          <cell r="N3965">
            <v>44883</v>
          </cell>
          <cell r="O3965">
            <v>44873</v>
          </cell>
          <cell r="P3965">
            <v>44882</v>
          </cell>
          <cell r="Q3965">
            <v>44886</v>
          </cell>
          <cell r="R3965">
            <v>44886</v>
          </cell>
          <cell r="S3965"/>
          <cell r="T3965">
            <v>44890</v>
          </cell>
          <cell r="U3965">
            <v>44893</v>
          </cell>
          <cell r="V3965">
            <v>44894</v>
          </cell>
          <cell r="W3965">
            <v>44894</v>
          </cell>
          <cell r="X3965">
            <v>41100462</v>
          </cell>
        </row>
        <row r="3966">
          <cell r="K3966"/>
          <cell r="L3966">
            <v>44976</v>
          </cell>
          <cell r="M3966">
            <v>44977</v>
          </cell>
          <cell r="N3966">
            <v>44987</v>
          </cell>
          <cell r="O3966">
            <v>44977</v>
          </cell>
          <cell r="P3966">
            <v>44987</v>
          </cell>
          <cell r="Q3966">
            <v>44984</v>
          </cell>
          <cell r="R3966">
            <v>44984</v>
          </cell>
          <cell r="S3966"/>
          <cell r="T3966">
            <v>44987</v>
          </cell>
          <cell r="U3966">
            <v>44991</v>
          </cell>
          <cell r="V3966">
            <v>44995</v>
          </cell>
          <cell r="W3966">
            <v>44995</v>
          </cell>
          <cell r="X3966">
            <v>41100650</v>
          </cell>
        </row>
        <row r="3967">
          <cell r="K3967" t="str">
            <v>DBW-2888</v>
          </cell>
          <cell r="L3967">
            <v>44977</v>
          </cell>
          <cell r="M3967">
            <v>44978</v>
          </cell>
          <cell r="N3967">
            <v>44987</v>
          </cell>
          <cell r="O3967">
            <v>44978</v>
          </cell>
          <cell r="P3967">
            <v>44991</v>
          </cell>
          <cell r="Q3967">
            <v>44988</v>
          </cell>
          <cell r="R3967">
            <v>44988</v>
          </cell>
          <cell r="S3967">
            <v>44992</v>
          </cell>
          <cell r="T3967">
            <v>44992</v>
          </cell>
          <cell r="U3967">
            <v>44995</v>
          </cell>
          <cell r="V3967">
            <v>44997</v>
          </cell>
          <cell r="W3967">
            <v>44997</v>
          </cell>
          <cell r="X3967" t="str">
            <v>41100455 → 41100656</v>
          </cell>
        </row>
        <row r="3968">
          <cell r="K3968" t="str">
            <v>DBW-2889</v>
          </cell>
          <cell r="L3968">
            <v>44977</v>
          </cell>
          <cell r="M3968">
            <v>44978</v>
          </cell>
          <cell r="N3968">
            <v>44987</v>
          </cell>
          <cell r="O3968">
            <v>44978</v>
          </cell>
          <cell r="P3968">
            <v>44991</v>
          </cell>
          <cell r="Q3968">
            <v>44988</v>
          </cell>
          <cell r="R3968">
            <v>44988</v>
          </cell>
          <cell r="S3968">
            <v>44992</v>
          </cell>
          <cell r="T3968">
            <v>44992</v>
          </cell>
          <cell r="U3968">
            <v>44995</v>
          </cell>
          <cell r="V3968">
            <v>44995</v>
          </cell>
          <cell r="W3968">
            <v>44997</v>
          </cell>
          <cell r="X3968" t="str">
            <v>41100455 → 41100656</v>
          </cell>
        </row>
        <row r="3969">
          <cell r="K3969" t="str">
            <v>DBW-2890</v>
          </cell>
          <cell r="L3969">
            <v>44977</v>
          </cell>
          <cell r="M3969">
            <v>44978</v>
          </cell>
          <cell r="N3969">
            <v>44987</v>
          </cell>
          <cell r="O3969">
            <v>44978</v>
          </cell>
          <cell r="P3969">
            <v>44991</v>
          </cell>
          <cell r="Q3969">
            <v>44988</v>
          </cell>
          <cell r="R3969">
            <v>44988</v>
          </cell>
          <cell r="S3969">
            <v>44992</v>
          </cell>
          <cell r="T3969">
            <v>44992</v>
          </cell>
          <cell r="U3969">
            <v>44995</v>
          </cell>
          <cell r="V3969">
            <v>44997</v>
          </cell>
          <cell r="W3969">
            <v>44997</v>
          </cell>
          <cell r="X3969" t="str">
            <v>41100455 → 41100656</v>
          </cell>
        </row>
        <row r="3970">
          <cell r="K3970" t="str">
            <v>GBWS-2860</v>
          </cell>
          <cell r="L3970">
            <v>44872</v>
          </cell>
          <cell r="M3970">
            <v>44873</v>
          </cell>
          <cell r="N3970">
            <v>44883</v>
          </cell>
          <cell r="O3970">
            <v>44873</v>
          </cell>
          <cell r="P3970">
            <v>44882</v>
          </cell>
          <cell r="Q3970">
            <v>44886</v>
          </cell>
          <cell r="R3970">
            <v>44886</v>
          </cell>
          <cell r="S3970"/>
          <cell r="T3970">
            <v>44890</v>
          </cell>
          <cell r="U3970">
            <v>44893</v>
          </cell>
          <cell r="V3970">
            <v>44894</v>
          </cell>
          <cell r="W3970">
            <v>44894</v>
          </cell>
          <cell r="X3970">
            <v>41100462</v>
          </cell>
        </row>
        <row r="3971">
          <cell r="K3971"/>
          <cell r="L3971">
            <v>44976</v>
          </cell>
          <cell r="M3971">
            <v>44977</v>
          </cell>
          <cell r="N3971">
            <v>44987</v>
          </cell>
          <cell r="O3971">
            <v>44977</v>
          </cell>
          <cell r="P3971">
            <v>44987</v>
          </cell>
          <cell r="Q3971">
            <v>44984</v>
          </cell>
          <cell r="R3971">
            <v>44984</v>
          </cell>
          <cell r="S3971"/>
          <cell r="T3971">
            <v>44987</v>
          </cell>
          <cell r="U3971">
            <v>44991</v>
          </cell>
          <cell r="V3971">
            <v>44992</v>
          </cell>
          <cell r="W3971">
            <v>44998</v>
          </cell>
          <cell r="X3971">
            <v>41100650</v>
          </cell>
        </row>
        <row r="3972">
          <cell r="K3972" t="str">
            <v>GBWS-2861</v>
          </cell>
          <cell r="L3972">
            <v>44872</v>
          </cell>
          <cell r="M3972">
            <v>44873</v>
          </cell>
          <cell r="N3972">
            <v>44883</v>
          </cell>
          <cell r="O3972">
            <v>44873</v>
          </cell>
          <cell r="P3972">
            <v>44882</v>
          </cell>
          <cell r="Q3972">
            <v>44886</v>
          </cell>
          <cell r="R3972">
            <v>44886</v>
          </cell>
          <cell r="S3972"/>
          <cell r="T3972">
            <v>44887</v>
          </cell>
          <cell r="U3972">
            <v>44890</v>
          </cell>
          <cell r="V3972">
            <v>44893</v>
          </cell>
          <cell r="W3972">
            <v>44893</v>
          </cell>
          <cell r="X3972">
            <v>41100460</v>
          </cell>
        </row>
        <row r="3973">
          <cell r="K3973"/>
          <cell r="L3973">
            <v>44976</v>
          </cell>
          <cell r="M3973">
            <v>44977</v>
          </cell>
          <cell r="N3973">
            <v>44991</v>
          </cell>
          <cell r="O3973">
            <v>44977</v>
          </cell>
          <cell r="P3973">
            <v>44992</v>
          </cell>
          <cell r="Q3973" t="str">
            <v>2023-02-27 → 2/28 → 3/5</v>
          </cell>
          <cell r="R3973" t="str">
            <v>2023-02-27 → 2/28 → 3/5</v>
          </cell>
          <cell r="S3973"/>
          <cell r="T3973">
            <v>44991</v>
          </cell>
          <cell r="U3973">
            <v>44992</v>
          </cell>
          <cell r="V3973">
            <v>44993</v>
          </cell>
          <cell r="W3973">
            <v>44998</v>
          </cell>
          <cell r="X3973">
            <v>41100649</v>
          </cell>
        </row>
        <row r="3974">
          <cell r="K3974" t="str">
            <v>GBWS-2841</v>
          </cell>
          <cell r="L3974">
            <v>44819</v>
          </cell>
          <cell r="M3974">
            <v>44820</v>
          </cell>
          <cell r="N3974">
            <v>44833</v>
          </cell>
          <cell r="O3974">
            <v>44820</v>
          </cell>
          <cell r="P3974">
            <v>44833</v>
          </cell>
          <cell r="Q3974">
            <v>44832</v>
          </cell>
          <cell r="R3974">
            <v>44832</v>
          </cell>
          <cell r="S3974"/>
          <cell r="T3974">
            <v>44833</v>
          </cell>
          <cell r="U3974">
            <v>44834</v>
          </cell>
          <cell r="V3974">
            <v>44845</v>
          </cell>
          <cell r="W3974">
            <v>44845</v>
          </cell>
          <cell r="X3974">
            <v>41100460</v>
          </cell>
        </row>
        <row r="3975">
          <cell r="K3975"/>
          <cell r="L3975">
            <v>44976</v>
          </cell>
          <cell r="M3975">
            <v>44977</v>
          </cell>
          <cell r="N3975">
            <v>44988</v>
          </cell>
          <cell r="O3975">
            <v>44977</v>
          </cell>
          <cell r="P3975">
            <v>44992</v>
          </cell>
          <cell r="Q3975" t="str">
            <v>2023-02-27 → 3/1</v>
          </cell>
          <cell r="R3975" t="str">
            <v>2023-02-27 → 3/1</v>
          </cell>
          <cell r="S3975"/>
          <cell r="T3975">
            <v>44988</v>
          </cell>
          <cell r="U3975">
            <v>44992</v>
          </cell>
          <cell r="V3975">
            <v>44993</v>
          </cell>
          <cell r="W3975">
            <v>44998</v>
          </cell>
          <cell r="X3975">
            <v>41100649</v>
          </cell>
        </row>
        <row r="3976">
          <cell r="K3976" t="str">
            <v>GBWS-2867</v>
          </cell>
          <cell r="L3976">
            <v>44872</v>
          </cell>
          <cell r="M3976">
            <v>44873</v>
          </cell>
          <cell r="N3976">
            <v>44883</v>
          </cell>
          <cell r="O3976">
            <v>44873</v>
          </cell>
          <cell r="P3976">
            <v>44882</v>
          </cell>
          <cell r="Q3976">
            <v>44886</v>
          </cell>
          <cell r="R3976">
            <v>44886</v>
          </cell>
          <cell r="S3976"/>
          <cell r="T3976">
            <v>44887</v>
          </cell>
          <cell r="U3976">
            <v>44890</v>
          </cell>
          <cell r="V3976">
            <v>44893</v>
          </cell>
          <cell r="W3976">
            <v>44893</v>
          </cell>
          <cell r="X3976">
            <v>41100460</v>
          </cell>
        </row>
        <row r="3977">
          <cell r="K3977"/>
          <cell r="L3977">
            <v>44976</v>
          </cell>
          <cell r="M3977">
            <v>44977</v>
          </cell>
          <cell r="N3977">
            <v>44991</v>
          </cell>
          <cell r="O3977">
            <v>44977</v>
          </cell>
          <cell r="P3977">
            <v>44992</v>
          </cell>
          <cell r="Q3977" t="str">
            <v>2023-02-27 → 2/28 → 3/6</v>
          </cell>
          <cell r="R3977" t="str">
            <v>2023-02-27 → 2/28 → 3/6</v>
          </cell>
          <cell r="S3977"/>
          <cell r="T3977">
            <v>44993</v>
          </cell>
          <cell r="U3977">
            <v>44998</v>
          </cell>
          <cell r="V3977">
            <v>44998</v>
          </cell>
          <cell r="W3977">
            <v>44998</v>
          </cell>
          <cell r="X3977">
            <v>41100649</v>
          </cell>
        </row>
        <row r="3978">
          <cell r="K3978" t="str">
            <v>GBWS-2863</v>
          </cell>
          <cell r="L3978">
            <v>44872</v>
          </cell>
          <cell r="M3978">
            <v>44873</v>
          </cell>
          <cell r="N3978">
            <v>44883</v>
          </cell>
          <cell r="O3978">
            <v>44873</v>
          </cell>
          <cell r="P3978">
            <v>44882</v>
          </cell>
          <cell r="Q3978">
            <v>44886</v>
          </cell>
          <cell r="R3978">
            <v>44886</v>
          </cell>
          <cell r="S3978"/>
          <cell r="T3978">
            <v>44887</v>
          </cell>
          <cell r="U3978">
            <v>44890</v>
          </cell>
          <cell r="V3978">
            <v>44893</v>
          </cell>
          <cell r="W3978">
            <v>44893</v>
          </cell>
          <cell r="X3978">
            <v>41100460</v>
          </cell>
        </row>
        <row r="3979">
          <cell r="K3979"/>
          <cell r="L3979">
            <v>44976</v>
          </cell>
          <cell r="M3979">
            <v>44977</v>
          </cell>
          <cell r="N3979">
            <v>44991</v>
          </cell>
          <cell r="O3979">
            <v>44977</v>
          </cell>
          <cell r="P3979">
            <v>44992</v>
          </cell>
          <cell r="Q3979" t="str">
            <v>2023-02-27 → 2/28 → 3/5</v>
          </cell>
          <cell r="R3979" t="str">
            <v>2023-02-27 → 2/28 → 3/5</v>
          </cell>
          <cell r="S3979"/>
          <cell r="T3979">
            <v>44991</v>
          </cell>
          <cell r="U3979">
            <v>44993</v>
          </cell>
          <cell r="V3979">
            <v>44998</v>
          </cell>
          <cell r="W3979">
            <v>44998</v>
          </cell>
          <cell r="X3979">
            <v>41100649</v>
          </cell>
        </row>
        <row r="3980">
          <cell r="K3980" t="str">
            <v>GBWS-2864</v>
          </cell>
          <cell r="L3980">
            <v>44872</v>
          </cell>
          <cell r="M3980">
            <v>44873</v>
          </cell>
          <cell r="N3980">
            <v>44883</v>
          </cell>
          <cell r="O3980">
            <v>44873</v>
          </cell>
          <cell r="P3980">
            <v>44882</v>
          </cell>
          <cell r="Q3980">
            <v>44886</v>
          </cell>
          <cell r="R3980">
            <v>44886</v>
          </cell>
          <cell r="S3980"/>
          <cell r="T3980">
            <v>44887</v>
          </cell>
          <cell r="U3980">
            <v>44893</v>
          </cell>
          <cell r="V3980">
            <v>44894</v>
          </cell>
          <cell r="W3980">
            <v>44894</v>
          </cell>
          <cell r="X3980">
            <v>41100460</v>
          </cell>
        </row>
        <row r="3981">
          <cell r="K3981"/>
          <cell r="L3981">
            <v>44976</v>
          </cell>
          <cell r="M3981">
            <v>44977</v>
          </cell>
          <cell r="N3981">
            <v>44991</v>
          </cell>
          <cell r="O3981">
            <v>44977</v>
          </cell>
          <cell r="P3981">
            <v>44992</v>
          </cell>
          <cell r="Q3981" t="str">
            <v>2023-02-27 → 2/28 → 3/5</v>
          </cell>
          <cell r="R3981" t="str">
            <v>2023-02-27 → 2/28 → 3/5</v>
          </cell>
          <cell r="S3981"/>
          <cell r="T3981">
            <v>44991</v>
          </cell>
          <cell r="U3981">
            <v>44993</v>
          </cell>
          <cell r="V3981">
            <v>44994</v>
          </cell>
          <cell r="W3981">
            <v>44998</v>
          </cell>
          <cell r="X3981">
            <v>41100649</v>
          </cell>
        </row>
        <row r="3982">
          <cell r="K3982" t="str">
            <v>GBWS-3058</v>
          </cell>
          <cell r="L3982">
            <v>44893</v>
          </cell>
          <cell r="M3982">
            <v>44894</v>
          </cell>
          <cell r="N3982">
            <v>44903</v>
          </cell>
          <cell r="O3982">
            <v>44894</v>
          </cell>
          <cell r="P3982">
            <v>44903</v>
          </cell>
          <cell r="Q3982">
            <v>44904</v>
          </cell>
          <cell r="R3982">
            <v>44904</v>
          </cell>
          <cell r="S3982"/>
          <cell r="T3982">
            <v>44908</v>
          </cell>
          <cell r="U3982">
            <v>44909</v>
          </cell>
          <cell r="V3982">
            <v>44910</v>
          </cell>
          <cell r="W3982">
            <v>44910</v>
          </cell>
          <cell r="X3982">
            <v>41100460</v>
          </cell>
        </row>
        <row r="3983">
          <cell r="K3983"/>
          <cell r="L3983">
            <v>44976</v>
          </cell>
          <cell r="M3983">
            <v>44977</v>
          </cell>
          <cell r="N3983">
            <v>44991</v>
          </cell>
          <cell r="O3983">
            <v>44977</v>
          </cell>
          <cell r="P3983">
            <v>44992</v>
          </cell>
          <cell r="Q3983" t="str">
            <v>2023-02-27 → 3/1 → 3/7(오전)</v>
          </cell>
          <cell r="R3983" t="str">
            <v>2023-02-27 → 3/1 → 3/7(오전)</v>
          </cell>
          <cell r="S3983"/>
          <cell r="T3983">
            <v>44993</v>
          </cell>
          <cell r="U3983">
            <v>44997</v>
          </cell>
          <cell r="V3983">
            <v>44998</v>
          </cell>
          <cell r="W3983">
            <v>44998</v>
          </cell>
          <cell r="X3983">
            <v>41100649</v>
          </cell>
        </row>
        <row r="3984">
          <cell r="K3984" t="str">
            <v>GBWS-3190</v>
          </cell>
          <cell r="L3984">
            <v>44974</v>
          </cell>
          <cell r="M3984">
            <v>44977</v>
          </cell>
          <cell r="N3984">
            <v>44993</v>
          </cell>
          <cell r="O3984">
            <v>44977</v>
          </cell>
          <cell r="P3984">
            <v>44994</v>
          </cell>
          <cell r="Q3984" t="str">
            <v>2023-02-28 → 3/2 → 3/8</v>
          </cell>
          <cell r="R3984" t="str">
            <v>2023-02-28 → 3/2 → 3/8</v>
          </cell>
          <cell r="S3984">
            <v>44994</v>
          </cell>
          <cell r="T3984">
            <v>44994</v>
          </cell>
          <cell r="U3984">
            <v>44998</v>
          </cell>
          <cell r="V3984">
            <v>44998</v>
          </cell>
          <cell r="W3984">
            <v>44998</v>
          </cell>
          <cell r="X3984" t="str">
            <v>41100507 → 41100645</v>
          </cell>
        </row>
        <row r="3985">
          <cell r="K3985" t="str">
            <v>GBWS-3191</v>
          </cell>
          <cell r="L3985">
            <v>44974</v>
          </cell>
          <cell r="M3985">
            <v>44977</v>
          </cell>
          <cell r="N3985">
            <v>44993</v>
          </cell>
          <cell r="O3985">
            <v>44977</v>
          </cell>
          <cell r="P3985">
            <v>44994</v>
          </cell>
          <cell r="Q3985" t="str">
            <v>2023-02-28 → 3/2 → 3/8</v>
          </cell>
          <cell r="R3985" t="str">
            <v>2023-02-28 → 3/2 → 3/8</v>
          </cell>
          <cell r="S3985">
            <v>44994</v>
          </cell>
          <cell r="T3985">
            <v>44994</v>
          </cell>
          <cell r="U3985">
            <v>44998</v>
          </cell>
          <cell r="V3985">
            <v>44998</v>
          </cell>
          <cell r="W3985">
            <v>44998</v>
          </cell>
          <cell r="X3985" t="str">
            <v>41100507 → 41100653</v>
          </cell>
        </row>
        <row r="3986">
          <cell r="K3986" t="str">
            <v>GBWS-2821</v>
          </cell>
          <cell r="L3986">
            <v>44810</v>
          </cell>
          <cell r="M3986" t="str">
            <v>2022-08-31 → 9/7</v>
          </cell>
          <cell r="N3986">
            <v>44824</v>
          </cell>
          <cell r="O3986" t="str">
            <v>2022-08-31 → 9/7</v>
          </cell>
          <cell r="P3986">
            <v>44825</v>
          </cell>
          <cell r="Q3986" t="str">
            <v>2022-09-14 → 9/20</v>
          </cell>
          <cell r="R3986" t="str">
            <v>2022-09-14 → 9/20</v>
          </cell>
          <cell r="S3986"/>
          <cell r="T3986">
            <v>44824</v>
          </cell>
          <cell r="U3986">
            <v>44831</v>
          </cell>
          <cell r="V3986">
            <v>44831</v>
          </cell>
          <cell r="W3986">
            <v>44831</v>
          </cell>
          <cell r="X3986">
            <v>41100460</v>
          </cell>
        </row>
        <row r="3987">
          <cell r="K3987"/>
          <cell r="L3987">
            <v>44976</v>
          </cell>
          <cell r="M3987">
            <v>44977</v>
          </cell>
          <cell r="N3987">
            <v>44991</v>
          </cell>
          <cell r="O3987">
            <v>44977</v>
          </cell>
          <cell r="P3987">
            <v>44992</v>
          </cell>
          <cell r="Q3987" t="str">
            <v>2023-02-27 → 3/1 → 3/7(오후)</v>
          </cell>
          <cell r="R3987" t="str">
            <v>2023-02-27 → 3/1 → 3/7(오후)</v>
          </cell>
          <cell r="S3987"/>
          <cell r="T3987">
            <v>44993</v>
          </cell>
          <cell r="U3987">
            <v>44998</v>
          </cell>
          <cell r="V3987">
            <v>44998</v>
          </cell>
          <cell r="W3987">
            <v>44998</v>
          </cell>
          <cell r="X3987">
            <v>41100649</v>
          </cell>
        </row>
        <row r="3988">
          <cell r="K3988" t="str">
            <v>GBWS-2866</v>
          </cell>
          <cell r="L3988">
            <v>44872</v>
          </cell>
          <cell r="M3988">
            <v>44873</v>
          </cell>
          <cell r="N3988">
            <v>44883</v>
          </cell>
          <cell r="O3988">
            <v>44873</v>
          </cell>
          <cell r="P3988">
            <v>44882</v>
          </cell>
          <cell r="Q3988">
            <v>44886</v>
          </cell>
          <cell r="R3988">
            <v>44886</v>
          </cell>
          <cell r="S3988"/>
          <cell r="T3988">
            <v>44887</v>
          </cell>
          <cell r="U3988">
            <v>44893</v>
          </cell>
          <cell r="V3988">
            <v>44894</v>
          </cell>
          <cell r="W3988">
            <v>44894</v>
          </cell>
          <cell r="X3988">
            <v>41100460</v>
          </cell>
        </row>
        <row r="3989">
          <cell r="K3989"/>
          <cell r="L3989">
            <v>44976</v>
          </cell>
          <cell r="M3989">
            <v>44977</v>
          </cell>
          <cell r="N3989">
            <v>44988</v>
          </cell>
          <cell r="O3989">
            <v>44977</v>
          </cell>
          <cell r="P3989">
            <v>44992</v>
          </cell>
          <cell r="Q3989" t="str">
            <v>2023-02-27 → 2/28 → 3/6</v>
          </cell>
          <cell r="R3989" t="str">
            <v>2023-02-27 → 2/28 → 3/6</v>
          </cell>
          <cell r="S3989"/>
          <cell r="T3989">
            <v>44988</v>
          </cell>
          <cell r="U3989">
            <v>44998</v>
          </cell>
          <cell r="V3989">
            <v>44998</v>
          </cell>
          <cell r="W3989">
            <v>44998</v>
          </cell>
          <cell r="X3989">
            <v>41100649</v>
          </cell>
        </row>
        <row r="3990">
          <cell r="K3990" t="str">
            <v>GBWS-2868</v>
          </cell>
          <cell r="L3990">
            <v>44872</v>
          </cell>
          <cell r="M3990">
            <v>44873</v>
          </cell>
          <cell r="N3990">
            <v>44883</v>
          </cell>
          <cell r="O3990">
            <v>44873</v>
          </cell>
          <cell r="P3990">
            <v>44882</v>
          </cell>
          <cell r="Q3990">
            <v>44886</v>
          </cell>
          <cell r="R3990">
            <v>44886</v>
          </cell>
          <cell r="S3990"/>
          <cell r="T3990">
            <v>44887</v>
          </cell>
          <cell r="U3990">
            <v>44893</v>
          </cell>
          <cell r="V3990">
            <v>44894</v>
          </cell>
          <cell r="W3990">
            <v>44894</v>
          </cell>
          <cell r="X3990">
            <v>41100460</v>
          </cell>
        </row>
        <row r="3991">
          <cell r="K3991"/>
          <cell r="L3991">
            <v>44976</v>
          </cell>
          <cell r="M3991">
            <v>44977</v>
          </cell>
          <cell r="N3991">
            <v>44991</v>
          </cell>
          <cell r="O3991">
            <v>44977</v>
          </cell>
          <cell r="P3991">
            <v>44992</v>
          </cell>
          <cell r="Q3991" t="str">
            <v>2023-02-27 → 2/28 → 3/6</v>
          </cell>
          <cell r="R3991" t="str">
            <v>2023-02-27 → 2/28 → 3/6</v>
          </cell>
          <cell r="S3991"/>
          <cell r="T3991">
            <v>44993</v>
          </cell>
          <cell r="U3991">
            <v>44998</v>
          </cell>
          <cell r="V3991">
            <v>44998</v>
          </cell>
          <cell r="W3991">
            <v>44998</v>
          </cell>
          <cell r="X3991">
            <v>41100649</v>
          </cell>
        </row>
        <row r="3992">
          <cell r="K3992" t="str">
            <v>GBWS-3189</v>
          </cell>
          <cell r="L3992">
            <v>44974</v>
          </cell>
          <cell r="M3992">
            <v>44977</v>
          </cell>
          <cell r="N3992">
            <v>44993</v>
          </cell>
          <cell r="O3992">
            <v>44977</v>
          </cell>
          <cell r="P3992">
            <v>44994</v>
          </cell>
          <cell r="Q3992" t="str">
            <v>2023-02-28 → 3/2 → 3/8</v>
          </cell>
          <cell r="R3992" t="str">
            <v>2023-02-28 → 3/2 → 3/8</v>
          </cell>
          <cell r="S3992">
            <v>44994</v>
          </cell>
          <cell r="T3992">
            <v>44994</v>
          </cell>
          <cell r="U3992">
            <v>44995</v>
          </cell>
          <cell r="V3992">
            <v>44998</v>
          </cell>
          <cell r="W3992">
            <v>44998</v>
          </cell>
          <cell r="X3992" t="str">
            <v>41100507 → 41100645</v>
          </cell>
        </row>
        <row r="3993">
          <cell r="K3993" t="str">
            <v>GBWS-2865</v>
          </cell>
          <cell r="L3993">
            <v>44872</v>
          </cell>
          <cell r="M3993">
            <v>44873</v>
          </cell>
          <cell r="N3993">
            <v>44883</v>
          </cell>
          <cell r="O3993">
            <v>44873</v>
          </cell>
          <cell r="P3993">
            <v>44882</v>
          </cell>
          <cell r="Q3993">
            <v>44886</v>
          </cell>
          <cell r="R3993">
            <v>44886</v>
          </cell>
          <cell r="S3993"/>
          <cell r="T3993">
            <v>44887</v>
          </cell>
          <cell r="U3993">
            <v>44893</v>
          </cell>
          <cell r="V3993">
            <v>44894</v>
          </cell>
          <cell r="W3993">
            <v>44894</v>
          </cell>
          <cell r="X3993">
            <v>41100460</v>
          </cell>
        </row>
        <row r="3994">
          <cell r="K3994"/>
          <cell r="L3994">
            <v>44976</v>
          </cell>
          <cell r="M3994">
            <v>44977</v>
          </cell>
          <cell r="N3994">
            <v>44991</v>
          </cell>
          <cell r="O3994">
            <v>44977</v>
          </cell>
          <cell r="P3994">
            <v>44992</v>
          </cell>
          <cell r="Q3994" t="str">
            <v>2023-02-27 → 2/28 → 3/5</v>
          </cell>
          <cell r="R3994" t="str">
            <v>2023-02-27 → 2/28 → 3/5</v>
          </cell>
          <cell r="S3994"/>
          <cell r="T3994">
            <v>44991</v>
          </cell>
          <cell r="U3994">
            <v>44993</v>
          </cell>
          <cell r="V3994">
            <v>44994</v>
          </cell>
          <cell r="W3994">
            <v>44994</v>
          </cell>
          <cell r="X3994">
            <v>41100649</v>
          </cell>
        </row>
        <row r="3995">
          <cell r="K3995" t="str">
            <v>GBWS-2862</v>
          </cell>
          <cell r="L3995">
            <v>44872</v>
          </cell>
          <cell r="M3995">
            <v>44873</v>
          </cell>
          <cell r="N3995">
            <v>44883</v>
          </cell>
          <cell r="O3995">
            <v>44873</v>
          </cell>
          <cell r="P3995">
            <v>44882</v>
          </cell>
          <cell r="Q3995">
            <v>44886</v>
          </cell>
          <cell r="R3995">
            <v>44886</v>
          </cell>
          <cell r="S3995"/>
          <cell r="T3995">
            <v>44887</v>
          </cell>
          <cell r="U3995">
            <v>44890</v>
          </cell>
          <cell r="V3995">
            <v>44893</v>
          </cell>
          <cell r="W3995">
            <v>44893</v>
          </cell>
          <cell r="X3995">
            <v>41100460</v>
          </cell>
        </row>
        <row r="3996">
          <cell r="K3996"/>
          <cell r="L3996">
            <v>44976</v>
          </cell>
          <cell r="M3996">
            <v>44977</v>
          </cell>
          <cell r="N3996">
            <v>44991</v>
          </cell>
          <cell r="O3996">
            <v>44977</v>
          </cell>
          <cell r="P3996">
            <v>44992</v>
          </cell>
          <cell r="Q3996" t="str">
            <v>2023-02-27 → 2/28 → 3/5</v>
          </cell>
          <cell r="R3996" t="str">
            <v>2023-02-27 → 2/28 → 3/5</v>
          </cell>
          <cell r="S3996"/>
          <cell r="T3996">
            <v>44991</v>
          </cell>
          <cell r="U3996">
            <v>44992</v>
          </cell>
          <cell r="V3996">
            <v>44993</v>
          </cell>
          <cell r="W3996">
            <v>44994</v>
          </cell>
          <cell r="X3996">
            <v>41100649</v>
          </cell>
        </row>
        <row r="3997">
          <cell r="K3997" t="str">
            <v>GBWS-3059</v>
          </cell>
          <cell r="L3997">
            <v>44893</v>
          </cell>
          <cell r="M3997">
            <v>44894</v>
          </cell>
          <cell r="N3997">
            <v>44903</v>
          </cell>
          <cell r="O3997">
            <v>44894</v>
          </cell>
          <cell r="P3997">
            <v>44903</v>
          </cell>
          <cell r="Q3997">
            <v>44904</v>
          </cell>
          <cell r="R3997">
            <v>44904</v>
          </cell>
          <cell r="S3997"/>
          <cell r="T3997">
            <v>44908</v>
          </cell>
          <cell r="U3997">
            <v>44909</v>
          </cell>
          <cell r="V3997">
            <v>44910</v>
          </cell>
          <cell r="W3997">
            <v>44910</v>
          </cell>
          <cell r="X3997">
            <v>41100460</v>
          </cell>
        </row>
        <row r="3998">
          <cell r="K3998"/>
          <cell r="L3998">
            <v>44976</v>
          </cell>
          <cell r="M3998">
            <v>44977</v>
          </cell>
          <cell r="N3998">
            <v>44991</v>
          </cell>
          <cell r="O3998">
            <v>44977</v>
          </cell>
          <cell r="P3998">
            <v>44992</v>
          </cell>
          <cell r="Q3998" t="str">
            <v>2023-02-27 → 3/1 → 3/7(오전)</v>
          </cell>
          <cell r="R3998" t="str">
            <v>2023-02-27 → 3/1 → 3/7(오전)</v>
          </cell>
          <cell r="S3998"/>
          <cell r="T3998">
            <v>44993</v>
          </cell>
          <cell r="U3998">
            <v>44997</v>
          </cell>
          <cell r="V3998">
            <v>44997</v>
          </cell>
          <cell r="W3998">
            <v>44997</v>
          </cell>
          <cell r="X3998">
            <v>41100649</v>
          </cell>
        </row>
        <row r="3999">
          <cell r="K3999" t="str">
            <v>DBW-2866</v>
          </cell>
          <cell r="L3999">
            <v>44966</v>
          </cell>
          <cell r="M3999">
            <v>44967</v>
          </cell>
          <cell r="N3999">
            <v>44977</v>
          </cell>
          <cell r="O3999">
            <v>44967</v>
          </cell>
          <cell r="P3999">
            <v>44977</v>
          </cell>
          <cell r="Q3999">
            <v>44977</v>
          </cell>
          <cell r="R3999">
            <v>44977</v>
          </cell>
          <cell r="S3999"/>
          <cell r="T3999">
            <v>44978</v>
          </cell>
          <cell r="U3999">
            <v>44980</v>
          </cell>
          <cell r="V3999">
            <v>44981</v>
          </cell>
          <cell r="W3999">
            <v>44981</v>
          </cell>
          <cell r="X3999">
            <v>41100532</v>
          </cell>
        </row>
        <row r="4000">
          <cell r="K4000" t="str">
            <v>DBW-2865</v>
          </cell>
          <cell r="L4000">
            <v>44966</v>
          </cell>
          <cell r="M4000">
            <v>44967</v>
          </cell>
          <cell r="N4000">
            <v>44977</v>
          </cell>
          <cell r="O4000">
            <v>44967</v>
          </cell>
          <cell r="P4000">
            <v>44977</v>
          </cell>
          <cell r="Q4000">
            <v>44977</v>
          </cell>
          <cell r="R4000">
            <v>44977</v>
          </cell>
          <cell r="S4000"/>
          <cell r="T4000">
            <v>44978</v>
          </cell>
          <cell r="U4000">
            <v>44980</v>
          </cell>
          <cell r="V4000">
            <v>44981</v>
          </cell>
          <cell r="W4000">
            <v>44981</v>
          </cell>
          <cell r="X4000">
            <v>41100471</v>
          </cell>
        </row>
        <row r="4001">
          <cell r="K4001" t="str">
            <v>DBW-2877</v>
          </cell>
          <cell r="L4001">
            <v>44971</v>
          </cell>
          <cell r="M4001" t="str">
            <v>2023-02-20 → 2/15</v>
          </cell>
          <cell r="N4001">
            <v>44978</v>
          </cell>
          <cell r="O4001" t="str">
            <v>2023-02-20 → 2/15</v>
          </cell>
          <cell r="P4001">
            <v>44979</v>
          </cell>
          <cell r="Q4001" t="str">
            <v>2023-02-28 → 2/21 → 2/22</v>
          </cell>
          <cell r="R4001" t="str">
            <v>2023-02-28 → 2/21 → 2/22</v>
          </cell>
          <cell r="S4001"/>
          <cell r="T4001">
            <v>44980</v>
          </cell>
          <cell r="U4001">
            <v>44981</v>
          </cell>
          <cell r="V4001">
            <v>44981</v>
          </cell>
          <cell r="W4001">
            <v>44984</v>
          </cell>
          <cell r="X4001">
            <v>41100470</v>
          </cell>
        </row>
        <row r="4002">
          <cell r="K4002" t="str">
            <v>DBW-2878</v>
          </cell>
          <cell r="L4002">
            <v>44971</v>
          </cell>
          <cell r="M4002" t="str">
            <v>2023-02-20 → 2/15</v>
          </cell>
          <cell r="N4002">
            <v>44978</v>
          </cell>
          <cell r="O4002" t="str">
            <v>2023-02-20 → 2/15</v>
          </cell>
          <cell r="P4002">
            <v>44979</v>
          </cell>
          <cell r="Q4002" t="str">
            <v>2023-02-28 → 2/21 → 2/22</v>
          </cell>
          <cell r="R4002" t="str">
            <v>2023-02-28 → 2/21 → 2/22</v>
          </cell>
          <cell r="S4002"/>
          <cell r="T4002">
            <v>44980</v>
          </cell>
          <cell r="U4002">
            <v>44981</v>
          </cell>
          <cell r="V4002">
            <v>44981</v>
          </cell>
          <cell r="W4002">
            <v>44984</v>
          </cell>
          <cell r="X4002">
            <v>41100470</v>
          </cell>
        </row>
        <row r="4003">
          <cell r="K4003" t="str">
            <v>DBW-2883</v>
          </cell>
          <cell r="L4003">
            <v>44971</v>
          </cell>
          <cell r="M4003" t="str">
            <v>2023-02-20 → 2/15</v>
          </cell>
          <cell r="N4003">
            <v>44978</v>
          </cell>
          <cell r="O4003" t="str">
            <v>2023-02-20 → 2/15</v>
          </cell>
          <cell r="P4003">
            <v>44979</v>
          </cell>
          <cell r="Q4003" t="str">
            <v>2023-02-28 → 2/21 → 2/22</v>
          </cell>
          <cell r="R4003" t="str">
            <v>2023-02-28 → 2/21 → 2/22</v>
          </cell>
          <cell r="S4003">
            <v>44984</v>
          </cell>
          <cell r="T4003">
            <v>44984</v>
          </cell>
          <cell r="U4003">
            <v>44985</v>
          </cell>
          <cell r="V4003">
            <v>44987</v>
          </cell>
          <cell r="W4003">
            <v>44988</v>
          </cell>
          <cell r="X4003">
            <v>41100530</v>
          </cell>
        </row>
        <row r="4004">
          <cell r="K4004" t="str">
            <v>DBW-2884</v>
          </cell>
          <cell r="L4004">
            <v>44971</v>
          </cell>
          <cell r="M4004" t="str">
            <v>2023-02-20 → 2/15</v>
          </cell>
          <cell r="N4004">
            <v>44978</v>
          </cell>
          <cell r="O4004" t="str">
            <v>2023-02-20 → 2/15</v>
          </cell>
          <cell r="P4004">
            <v>44979</v>
          </cell>
          <cell r="Q4004" t="str">
            <v>2023-02-28 → 2/21 → 2/22</v>
          </cell>
          <cell r="R4004" t="str">
            <v>2023-02-28 → 2/21 → 2/22</v>
          </cell>
          <cell r="S4004">
            <v>44984</v>
          </cell>
          <cell r="T4004">
            <v>44984</v>
          </cell>
          <cell r="U4004">
            <v>44987</v>
          </cell>
          <cell r="V4004">
            <v>44988</v>
          </cell>
          <cell r="W4004">
            <v>44988</v>
          </cell>
          <cell r="X4004">
            <v>41100530</v>
          </cell>
        </row>
        <row r="4005">
          <cell r="K4005" t="str">
            <v>G13030026</v>
          </cell>
          <cell r="L4005">
            <v>44988</v>
          </cell>
          <cell r="M4005">
            <v>44988</v>
          </cell>
          <cell r="N4005">
            <v>44985</v>
          </cell>
          <cell r="O4005">
            <v>44988</v>
          </cell>
          <cell r="P4005">
            <v>44985</v>
          </cell>
          <cell r="Q4005">
            <v>44988</v>
          </cell>
          <cell r="R4005">
            <v>44988</v>
          </cell>
          <cell r="S4005">
            <v>44984</v>
          </cell>
          <cell r="T4005">
            <v>44985</v>
          </cell>
          <cell r="U4005">
            <v>44998</v>
          </cell>
          <cell r="V4005">
            <v>44998</v>
          </cell>
          <cell r="W4005">
            <v>44998</v>
          </cell>
          <cell r="X4005" t="str">
            <v>-</v>
          </cell>
        </row>
        <row r="4006">
          <cell r="K4006" t="str">
            <v>G1H3014</v>
          </cell>
          <cell r="L4006">
            <v>44981</v>
          </cell>
          <cell r="M4006">
            <v>44992</v>
          </cell>
          <cell r="N4006">
            <v>44992</v>
          </cell>
          <cell r="O4006">
            <v>44992</v>
          </cell>
          <cell r="P4006">
            <v>44992</v>
          </cell>
          <cell r="Q4006">
            <v>44992</v>
          </cell>
          <cell r="R4006">
            <v>44992</v>
          </cell>
          <cell r="S4006">
            <v>44984</v>
          </cell>
          <cell r="T4006">
            <v>44992</v>
          </cell>
          <cell r="U4006">
            <v>44998</v>
          </cell>
          <cell r="V4006">
            <v>44998</v>
          </cell>
          <cell r="W4006">
            <v>44998</v>
          </cell>
          <cell r="X4006" t="str">
            <v>-</v>
          </cell>
        </row>
        <row r="4007">
          <cell r="K4007" t="str">
            <v>G1H3013</v>
          </cell>
          <cell r="L4007">
            <v>44995</v>
          </cell>
          <cell r="M4007">
            <v>44995</v>
          </cell>
          <cell r="N4007">
            <v>44995</v>
          </cell>
          <cell r="O4007">
            <v>44995</v>
          </cell>
          <cell r="P4007">
            <v>44995</v>
          </cell>
          <cell r="Q4007">
            <v>44995</v>
          </cell>
          <cell r="R4007">
            <v>44995</v>
          </cell>
          <cell r="S4007">
            <v>44984</v>
          </cell>
          <cell r="T4007">
            <v>44995</v>
          </cell>
          <cell r="U4007">
            <v>44998</v>
          </cell>
          <cell r="V4007">
            <v>44998</v>
          </cell>
          <cell r="W4007">
            <v>44998</v>
          </cell>
          <cell r="X4007" t="str">
            <v>-</v>
          </cell>
        </row>
        <row r="4008">
          <cell r="K4008" t="str">
            <v>G13030005</v>
          </cell>
          <cell r="L4008">
            <v>44995</v>
          </cell>
          <cell r="M4008">
            <v>44995</v>
          </cell>
          <cell r="N4008">
            <v>44995</v>
          </cell>
          <cell r="O4008">
            <v>44995</v>
          </cell>
          <cell r="P4008">
            <v>44995</v>
          </cell>
          <cell r="Q4008">
            <v>44995</v>
          </cell>
          <cell r="R4008">
            <v>44995</v>
          </cell>
          <cell r="S4008">
            <v>44984</v>
          </cell>
          <cell r="T4008">
            <v>44995</v>
          </cell>
          <cell r="U4008">
            <v>44998</v>
          </cell>
          <cell r="V4008">
            <v>44998</v>
          </cell>
          <cell r="W4008">
            <v>44998</v>
          </cell>
          <cell r="X4008" t="str">
            <v>-</v>
          </cell>
        </row>
        <row r="4009">
          <cell r="K4009" t="str">
            <v>GBWS-3215</v>
          </cell>
          <cell r="L4009">
            <v>44984</v>
          </cell>
          <cell r="M4009">
            <v>44985</v>
          </cell>
          <cell r="N4009">
            <v>44993</v>
          </cell>
          <cell r="O4009">
            <v>44985</v>
          </cell>
          <cell r="P4009">
            <v>44993</v>
          </cell>
          <cell r="Q4009">
            <v>44993</v>
          </cell>
          <cell r="R4009">
            <v>44993</v>
          </cell>
          <cell r="S4009">
            <v>44984</v>
          </cell>
          <cell r="T4009">
            <v>44994</v>
          </cell>
          <cell r="U4009">
            <v>44998</v>
          </cell>
          <cell r="V4009">
            <v>44999</v>
          </cell>
          <cell r="W4009">
            <v>44999</v>
          </cell>
          <cell r="X4009">
            <v>41100468</v>
          </cell>
        </row>
        <row r="4010">
          <cell r="K4010" t="str">
            <v>GBWS-3216</v>
          </cell>
          <cell r="L4010">
            <v>44984</v>
          </cell>
          <cell r="M4010">
            <v>44985</v>
          </cell>
          <cell r="N4010">
            <v>44993</v>
          </cell>
          <cell r="O4010">
            <v>44985</v>
          </cell>
          <cell r="P4010">
            <v>44993</v>
          </cell>
          <cell r="Q4010">
            <v>44993</v>
          </cell>
          <cell r="R4010">
            <v>44993</v>
          </cell>
          <cell r="S4010">
            <v>44984</v>
          </cell>
          <cell r="T4010">
            <v>44994</v>
          </cell>
          <cell r="U4010">
            <v>44998</v>
          </cell>
          <cell r="V4010">
            <v>44999</v>
          </cell>
          <cell r="W4010">
            <v>44999</v>
          </cell>
          <cell r="X4010">
            <v>41100468</v>
          </cell>
        </row>
        <row r="4011">
          <cell r="K4011" t="str">
            <v>DBW-2879</v>
          </cell>
          <cell r="L4011">
            <v>44971</v>
          </cell>
          <cell r="M4011" t="str">
            <v>2023-02-20 → 2/15</v>
          </cell>
          <cell r="N4011">
            <v>44978</v>
          </cell>
          <cell r="O4011" t="str">
            <v>2023-02-20 → 2/15</v>
          </cell>
          <cell r="P4011">
            <v>44979</v>
          </cell>
          <cell r="Q4011" t="str">
            <v>2023-02-28 → 2/21 → 2/22</v>
          </cell>
          <cell r="R4011" t="str">
            <v>2023-02-28 → 2/21 → 2/22</v>
          </cell>
          <cell r="S4011">
            <v>44984</v>
          </cell>
          <cell r="T4011">
            <v>44984</v>
          </cell>
          <cell r="U4011">
            <v>44987</v>
          </cell>
          <cell r="V4011">
            <v>44988</v>
          </cell>
          <cell r="W4011">
            <v>44988</v>
          </cell>
          <cell r="X4011">
            <v>41100473</v>
          </cell>
        </row>
        <row r="4012">
          <cell r="K4012" t="str">
            <v>DBW-2880</v>
          </cell>
          <cell r="L4012">
            <v>44971</v>
          </cell>
          <cell r="M4012" t="str">
            <v>2023-02-20 → 2/15</v>
          </cell>
          <cell r="N4012">
            <v>44978</v>
          </cell>
          <cell r="O4012" t="str">
            <v>2023-02-20 → 2/15</v>
          </cell>
          <cell r="P4012">
            <v>44979</v>
          </cell>
          <cell r="Q4012" t="str">
            <v>2023-02-28 → 2/21 → 2/22</v>
          </cell>
          <cell r="R4012" t="str">
            <v>2023-02-28 → 2/21 → 2/22</v>
          </cell>
          <cell r="S4012">
            <v>44984</v>
          </cell>
          <cell r="T4012">
            <v>44984</v>
          </cell>
          <cell r="U4012">
            <v>44985</v>
          </cell>
          <cell r="V4012">
            <v>44987</v>
          </cell>
          <cell r="W4012">
            <v>44988</v>
          </cell>
          <cell r="X4012">
            <v>41100473</v>
          </cell>
        </row>
        <row r="4013">
          <cell r="K4013" t="str">
            <v>DBW-2881</v>
          </cell>
          <cell r="L4013">
            <v>44971</v>
          </cell>
          <cell r="M4013" t="str">
            <v>2023-02-20 → 2/15</v>
          </cell>
          <cell r="N4013">
            <v>44978</v>
          </cell>
          <cell r="O4013" t="str">
            <v>2023-02-20 → 2/15</v>
          </cell>
          <cell r="P4013">
            <v>44979</v>
          </cell>
          <cell r="Q4013" t="str">
            <v>2023-02-28 → 2/21 → 2/22</v>
          </cell>
          <cell r="R4013" t="str">
            <v>2023-02-28 → 2/21 → 2/22</v>
          </cell>
          <cell r="S4013">
            <v>44984</v>
          </cell>
          <cell r="T4013">
            <v>44984</v>
          </cell>
          <cell r="U4013">
            <v>44985</v>
          </cell>
          <cell r="V4013">
            <v>44987</v>
          </cell>
          <cell r="W4013">
            <v>44988</v>
          </cell>
          <cell r="X4013">
            <v>41100473</v>
          </cell>
        </row>
        <row r="4014">
          <cell r="K4014" t="str">
            <v>DBW-2882</v>
          </cell>
          <cell r="L4014">
            <v>44971</v>
          </cell>
          <cell r="M4014" t="str">
            <v>2023-02-20 → 2/15</v>
          </cell>
          <cell r="N4014">
            <v>44978</v>
          </cell>
          <cell r="O4014" t="str">
            <v>2023-02-20 → 2/15</v>
          </cell>
          <cell r="P4014">
            <v>44979</v>
          </cell>
          <cell r="Q4014" t="str">
            <v>2023-02-28 → 2/21 → 2/22</v>
          </cell>
          <cell r="R4014" t="str">
            <v>2023-02-28 → 2/21 → 2/22</v>
          </cell>
          <cell r="S4014">
            <v>44984</v>
          </cell>
          <cell r="T4014">
            <v>44984</v>
          </cell>
          <cell r="U4014">
            <v>44998</v>
          </cell>
          <cell r="V4014">
            <v>44999</v>
          </cell>
          <cell r="W4014">
            <v>44999</v>
          </cell>
          <cell r="X4014">
            <v>41100473</v>
          </cell>
        </row>
        <row r="4015">
          <cell r="K4015" t="str">
            <v>GBWS-2870</v>
          </cell>
          <cell r="L4015">
            <v>44872</v>
          </cell>
          <cell r="M4015">
            <v>44873</v>
          </cell>
          <cell r="N4015">
            <v>44883</v>
          </cell>
          <cell r="O4015">
            <v>44873</v>
          </cell>
          <cell r="P4015">
            <v>44882</v>
          </cell>
          <cell r="Q4015">
            <v>44886</v>
          </cell>
          <cell r="R4015">
            <v>44886</v>
          </cell>
          <cell r="S4015"/>
          <cell r="T4015">
            <v>44889</v>
          </cell>
          <cell r="U4015">
            <v>44893</v>
          </cell>
          <cell r="V4015">
            <v>44894</v>
          </cell>
          <cell r="W4015">
            <v>44894</v>
          </cell>
          <cell r="X4015">
            <v>41100462</v>
          </cell>
        </row>
        <row r="4016">
          <cell r="K4016"/>
          <cell r="L4016">
            <v>44978</v>
          </cell>
          <cell r="M4016">
            <v>44979</v>
          </cell>
          <cell r="N4016">
            <v>44994</v>
          </cell>
          <cell r="O4016">
            <v>44979</v>
          </cell>
          <cell r="P4016">
            <v>44998</v>
          </cell>
          <cell r="Q4016" t="str">
            <v>2023-03-03 → 3/9</v>
          </cell>
          <cell r="R4016" t="str">
            <v>2023-03-03 → 3/9</v>
          </cell>
          <cell r="S4016"/>
          <cell r="T4016">
            <v>44995</v>
          </cell>
          <cell r="U4016">
            <v>44998</v>
          </cell>
          <cell r="V4016">
            <v>44999</v>
          </cell>
          <cell r="W4016">
            <v>44999</v>
          </cell>
          <cell r="X4016">
            <v>41100651</v>
          </cell>
        </row>
        <row r="4017">
          <cell r="K4017" t="str">
            <v>GBWS-2871</v>
          </cell>
          <cell r="L4017">
            <v>44872</v>
          </cell>
          <cell r="M4017">
            <v>44873</v>
          </cell>
          <cell r="N4017">
            <v>44883</v>
          </cell>
          <cell r="O4017">
            <v>44873</v>
          </cell>
          <cell r="P4017">
            <v>44882</v>
          </cell>
          <cell r="Q4017">
            <v>44886</v>
          </cell>
          <cell r="R4017">
            <v>44886</v>
          </cell>
          <cell r="S4017"/>
          <cell r="T4017">
            <v>44889</v>
          </cell>
          <cell r="U4017">
            <v>44893</v>
          </cell>
          <cell r="V4017">
            <v>44894</v>
          </cell>
          <cell r="W4017">
            <v>44894</v>
          </cell>
          <cell r="X4017">
            <v>41100462</v>
          </cell>
        </row>
        <row r="4018">
          <cell r="K4018"/>
          <cell r="L4018">
            <v>44978</v>
          </cell>
          <cell r="M4018">
            <v>44979</v>
          </cell>
          <cell r="N4018">
            <v>44996</v>
          </cell>
          <cell r="O4018">
            <v>44979</v>
          </cell>
          <cell r="P4018">
            <v>44998</v>
          </cell>
          <cell r="Q4018" t="str">
            <v>2023-03-03 → 3/9</v>
          </cell>
          <cell r="R4018" t="str">
            <v>2023-03-03 → 3/9</v>
          </cell>
          <cell r="S4018"/>
          <cell r="T4018">
            <v>44995</v>
          </cell>
          <cell r="U4018">
            <v>44999</v>
          </cell>
          <cell r="V4018">
            <v>45000</v>
          </cell>
          <cell r="W4018">
            <v>45000</v>
          </cell>
          <cell r="X4018">
            <v>41100651</v>
          </cell>
        </row>
        <row r="4019">
          <cell r="K4019" t="str">
            <v>GBWS-2872</v>
          </cell>
          <cell r="L4019">
            <v>44872</v>
          </cell>
          <cell r="M4019">
            <v>44873</v>
          </cell>
          <cell r="N4019">
            <v>44883</v>
          </cell>
          <cell r="O4019">
            <v>44873</v>
          </cell>
          <cell r="P4019">
            <v>44882</v>
          </cell>
          <cell r="Q4019">
            <v>44886</v>
          </cell>
          <cell r="R4019">
            <v>44886</v>
          </cell>
          <cell r="S4019"/>
          <cell r="T4019">
            <v>44890</v>
          </cell>
          <cell r="U4019">
            <v>44893</v>
          </cell>
          <cell r="V4019">
            <v>44894</v>
          </cell>
          <cell r="W4019">
            <v>44894</v>
          </cell>
          <cell r="X4019">
            <v>41100462</v>
          </cell>
        </row>
        <row r="4020">
          <cell r="K4020"/>
          <cell r="L4020">
            <v>44978</v>
          </cell>
          <cell r="M4020">
            <v>44979</v>
          </cell>
          <cell r="N4020">
            <v>44994</v>
          </cell>
          <cell r="O4020">
            <v>44979</v>
          </cell>
          <cell r="P4020">
            <v>44998</v>
          </cell>
          <cell r="Q4020" t="str">
            <v>2023-03-03 → 3/9</v>
          </cell>
          <cell r="R4020" t="str">
            <v>2023-03-03 → 3/9</v>
          </cell>
          <cell r="S4020"/>
          <cell r="T4020">
            <v>44995</v>
          </cell>
          <cell r="U4020">
            <v>44998</v>
          </cell>
          <cell r="V4020">
            <v>44999</v>
          </cell>
          <cell r="W4020">
            <v>44999</v>
          </cell>
          <cell r="X4020">
            <v>41100651</v>
          </cell>
        </row>
        <row r="4021">
          <cell r="K4021" t="str">
            <v>GBWS-2873</v>
          </cell>
          <cell r="L4021">
            <v>44872</v>
          </cell>
          <cell r="M4021">
            <v>44873</v>
          </cell>
          <cell r="N4021">
            <v>44883</v>
          </cell>
          <cell r="O4021">
            <v>44873</v>
          </cell>
          <cell r="P4021">
            <v>44882</v>
          </cell>
          <cell r="Q4021">
            <v>44886</v>
          </cell>
          <cell r="R4021">
            <v>44886</v>
          </cell>
          <cell r="S4021"/>
          <cell r="T4021">
            <v>44890</v>
          </cell>
          <cell r="U4021">
            <v>44893</v>
          </cell>
          <cell r="V4021">
            <v>44894</v>
          </cell>
          <cell r="W4021">
            <v>44894</v>
          </cell>
          <cell r="X4021">
            <v>41100462</v>
          </cell>
        </row>
        <row r="4022">
          <cell r="K4022"/>
          <cell r="L4022">
            <v>44978</v>
          </cell>
          <cell r="M4022">
            <v>44979</v>
          </cell>
          <cell r="N4022">
            <v>44996</v>
          </cell>
          <cell r="O4022">
            <v>44979</v>
          </cell>
          <cell r="P4022">
            <v>44998</v>
          </cell>
          <cell r="Q4022" t="str">
            <v>2023-03-03 → 3/9</v>
          </cell>
          <cell r="R4022" t="str">
            <v>2023-03-03 → 3/9</v>
          </cell>
          <cell r="S4022"/>
          <cell r="T4022">
            <v>44995</v>
          </cell>
          <cell r="U4022">
            <v>44999</v>
          </cell>
          <cell r="V4022">
            <v>45000</v>
          </cell>
          <cell r="W4022">
            <v>45000</v>
          </cell>
          <cell r="X4022">
            <v>41100651</v>
          </cell>
        </row>
        <row r="4023">
          <cell r="K4023" t="str">
            <v>GBWS-3061</v>
          </cell>
          <cell r="L4023">
            <v>44893</v>
          </cell>
          <cell r="M4023">
            <v>44894</v>
          </cell>
          <cell r="N4023">
            <v>44994</v>
          </cell>
          <cell r="O4023">
            <v>44894</v>
          </cell>
          <cell r="P4023">
            <v>44903</v>
          </cell>
          <cell r="Q4023">
            <v>44904</v>
          </cell>
          <cell r="R4023">
            <v>44904</v>
          </cell>
          <cell r="S4023">
            <v>44995</v>
          </cell>
          <cell r="T4023">
            <v>44995</v>
          </cell>
          <cell r="U4023">
            <v>44999</v>
          </cell>
          <cell r="V4023">
            <v>44999</v>
          </cell>
          <cell r="W4023">
            <v>44999</v>
          </cell>
          <cell r="X4023">
            <v>41100462</v>
          </cell>
        </row>
        <row r="4024">
          <cell r="K4024"/>
          <cell r="L4024">
            <v>44978</v>
          </cell>
          <cell r="M4024">
            <v>44979</v>
          </cell>
          <cell r="N4024">
            <v>44994</v>
          </cell>
          <cell r="O4024">
            <v>44979</v>
          </cell>
          <cell r="P4024">
            <v>44998</v>
          </cell>
          <cell r="Q4024" t="str">
            <v>2023-03-03 → 3/9</v>
          </cell>
          <cell r="R4024" t="str">
            <v>2023-03-03 → 3/9</v>
          </cell>
          <cell r="S4024">
            <v>44995</v>
          </cell>
          <cell r="T4024">
            <v>44995</v>
          </cell>
          <cell r="U4024">
            <v>44999</v>
          </cell>
          <cell r="V4024">
            <v>44999</v>
          </cell>
          <cell r="W4024">
            <v>44999</v>
          </cell>
          <cell r="X4024">
            <v>41100651</v>
          </cell>
        </row>
        <row r="4025">
          <cell r="K4025" t="str">
            <v>GBWS-3062</v>
          </cell>
          <cell r="L4025">
            <v>44893</v>
          </cell>
          <cell r="M4025">
            <v>44894</v>
          </cell>
          <cell r="N4025">
            <v>44996</v>
          </cell>
          <cell r="O4025">
            <v>44894</v>
          </cell>
          <cell r="P4025">
            <v>44903</v>
          </cell>
          <cell r="Q4025">
            <v>44904</v>
          </cell>
          <cell r="R4025">
            <v>44904</v>
          </cell>
          <cell r="S4025">
            <v>44995</v>
          </cell>
          <cell r="T4025">
            <v>44995</v>
          </cell>
          <cell r="U4025">
            <v>44998</v>
          </cell>
          <cell r="V4025">
            <v>44999</v>
          </cell>
          <cell r="W4025">
            <v>44999</v>
          </cell>
          <cell r="X4025">
            <v>41100462</v>
          </cell>
        </row>
        <row r="4026">
          <cell r="K4026"/>
          <cell r="L4026">
            <v>44978</v>
          </cell>
          <cell r="M4026">
            <v>44979</v>
          </cell>
          <cell r="N4026">
            <v>44996</v>
          </cell>
          <cell r="O4026">
            <v>44979</v>
          </cell>
          <cell r="P4026">
            <v>44998</v>
          </cell>
          <cell r="Q4026" t="str">
            <v>2023-03-03 → 3/9</v>
          </cell>
          <cell r="R4026" t="str">
            <v>2023-03-03 → 3/9</v>
          </cell>
          <cell r="S4026">
            <v>44995</v>
          </cell>
          <cell r="T4026">
            <v>44995</v>
          </cell>
          <cell r="U4026">
            <v>44998</v>
          </cell>
          <cell r="V4026">
            <v>44999</v>
          </cell>
          <cell r="W4026">
            <v>44999</v>
          </cell>
          <cell r="X4026">
            <v>41100651</v>
          </cell>
        </row>
        <row r="4027">
          <cell r="K4027" t="str">
            <v>GBWS-3063</v>
          </cell>
          <cell r="L4027">
            <v>44893</v>
          </cell>
          <cell r="M4027">
            <v>44894</v>
          </cell>
          <cell r="N4027">
            <v>44903</v>
          </cell>
          <cell r="O4027">
            <v>44894</v>
          </cell>
          <cell r="P4027">
            <v>44903</v>
          </cell>
          <cell r="Q4027">
            <v>44904</v>
          </cell>
          <cell r="R4027">
            <v>44904</v>
          </cell>
          <cell r="S4027"/>
          <cell r="T4027">
            <v>44909</v>
          </cell>
          <cell r="U4027">
            <v>44910</v>
          </cell>
          <cell r="V4027">
            <v>44911</v>
          </cell>
          <cell r="W4027">
            <v>44911</v>
          </cell>
          <cell r="X4027">
            <v>41100509</v>
          </cell>
        </row>
        <row r="4028">
          <cell r="K4028"/>
          <cell r="L4028">
            <v>44978</v>
          </cell>
          <cell r="M4028">
            <v>44979</v>
          </cell>
          <cell r="N4028">
            <v>44996</v>
          </cell>
          <cell r="O4028">
            <v>44979</v>
          </cell>
          <cell r="P4028">
            <v>44998</v>
          </cell>
          <cell r="Q4028" t="str">
            <v>2023-03-03 → 3/9</v>
          </cell>
          <cell r="R4028" t="str">
            <v>2023-03-03 → 3/9</v>
          </cell>
          <cell r="S4028"/>
          <cell r="T4028">
            <v>44995</v>
          </cell>
          <cell r="U4028">
            <v>44999</v>
          </cell>
          <cell r="V4028">
            <v>45000</v>
          </cell>
          <cell r="W4028">
            <v>45000</v>
          </cell>
          <cell r="X4028">
            <v>41100651</v>
          </cell>
        </row>
        <row r="4029">
          <cell r="K4029" t="str">
            <v>GBWS-3064</v>
          </cell>
          <cell r="L4029">
            <v>44893</v>
          </cell>
          <cell r="M4029">
            <v>44894</v>
          </cell>
          <cell r="N4029">
            <v>44903</v>
          </cell>
          <cell r="O4029">
            <v>44894</v>
          </cell>
          <cell r="P4029">
            <v>44903</v>
          </cell>
          <cell r="Q4029">
            <v>44904</v>
          </cell>
          <cell r="R4029">
            <v>44904</v>
          </cell>
          <cell r="S4029"/>
          <cell r="T4029">
            <v>44909</v>
          </cell>
          <cell r="U4029">
            <v>44910</v>
          </cell>
          <cell r="V4029">
            <v>44911</v>
          </cell>
          <cell r="W4029">
            <v>44911</v>
          </cell>
          <cell r="X4029">
            <v>41100509</v>
          </cell>
        </row>
        <row r="4030">
          <cell r="K4030"/>
          <cell r="L4030">
            <v>44978</v>
          </cell>
          <cell r="M4030">
            <v>44979</v>
          </cell>
          <cell r="N4030">
            <v>44996</v>
          </cell>
          <cell r="O4030">
            <v>44979</v>
          </cell>
          <cell r="P4030">
            <v>44998</v>
          </cell>
          <cell r="Q4030" t="str">
            <v>2023-03-03 → 3/9</v>
          </cell>
          <cell r="R4030" t="str">
            <v>2023-03-03 → 3/9</v>
          </cell>
          <cell r="S4030"/>
          <cell r="T4030">
            <v>44995</v>
          </cell>
          <cell r="U4030">
            <v>44999</v>
          </cell>
          <cell r="V4030">
            <v>45000</v>
          </cell>
          <cell r="W4030">
            <v>45000</v>
          </cell>
          <cell r="X4030">
            <v>41100651</v>
          </cell>
        </row>
        <row r="4031">
          <cell r="K4031" t="str">
            <v>IVAS-193</v>
          </cell>
          <cell r="L4031">
            <v>44966</v>
          </cell>
          <cell r="M4031">
            <v>44967</v>
          </cell>
          <cell r="N4031">
            <v>44981</v>
          </cell>
          <cell r="O4031">
            <v>44967</v>
          </cell>
          <cell r="P4031">
            <v>44985</v>
          </cell>
          <cell r="Q4031">
            <v>44977</v>
          </cell>
          <cell r="R4031">
            <v>44977</v>
          </cell>
          <cell r="S4031">
            <v>44979</v>
          </cell>
          <cell r="T4031">
            <v>44979</v>
          </cell>
          <cell r="U4031">
            <v>44991</v>
          </cell>
          <cell r="V4031">
            <v>44992</v>
          </cell>
          <cell r="W4031">
            <v>44999</v>
          </cell>
          <cell r="X4031">
            <v>41100542</v>
          </cell>
        </row>
        <row r="4032">
          <cell r="K4032" t="str">
            <v>G13030041</v>
          </cell>
          <cell r="L4032">
            <v>44995</v>
          </cell>
          <cell r="M4032">
            <v>44995</v>
          </cell>
          <cell r="N4032">
            <v>44995</v>
          </cell>
          <cell r="O4032">
            <v>44995</v>
          </cell>
          <cell r="P4032">
            <v>44995</v>
          </cell>
          <cell r="Q4032">
            <v>44995</v>
          </cell>
          <cell r="R4032">
            <v>44995</v>
          </cell>
          <cell r="S4032">
            <v>44979</v>
          </cell>
          <cell r="T4032">
            <v>44995</v>
          </cell>
          <cell r="U4032">
            <v>45000</v>
          </cell>
          <cell r="V4032">
            <v>45000</v>
          </cell>
          <cell r="W4032">
            <v>45000</v>
          </cell>
          <cell r="X4032" t="str">
            <v>-</v>
          </cell>
        </row>
        <row r="4033">
          <cell r="K4033" t="str">
            <v>G13030051</v>
          </cell>
          <cell r="L4033">
            <v>44999</v>
          </cell>
          <cell r="M4033">
            <v>44999</v>
          </cell>
          <cell r="N4033">
            <v>44999</v>
          </cell>
          <cell r="O4033">
            <v>44999</v>
          </cell>
          <cell r="P4033">
            <v>44999</v>
          </cell>
          <cell r="Q4033">
            <v>44999</v>
          </cell>
          <cell r="R4033">
            <v>44999</v>
          </cell>
          <cell r="S4033">
            <v>44979</v>
          </cell>
          <cell r="T4033">
            <v>44999</v>
          </cell>
          <cell r="U4033">
            <v>45000</v>
          </cell>
          <cell r="V4033">
            <v>45000</v>
          </cell>
          <cell r="W4033">
            <v>45000</v>
          </cell>
          <cell r="X4033" t="str">
            <v>-</v>
          </cell>
        </row>
        <row r="4034">
          <cell r="K4034" t="str">
            <v xml:space="preserve"> G14030045</v>
          </cell>
          <cell r="L4034">
            <v>44999</v>
          </cell>
          <cell r="M4034">
            <v>44999</v>
          </cell>
          <cell r="N4034">
            <v>44999</v>
          </cell>
          <cell r="O4034">
            <v>44999</v>
          </cell>
          <cell r="P4034">
            <v>44999</v>
          </cell>
          <cell r="Q4034">
            <v>44999</v>
          </cell>
          <cell r="R4034">
            <v>44999</v>
          </cell>
          <cell r="S4034">
            <v>44979</v>
          </cell>
          <cell r="T4034">
            <v>44999</v>
          </cell>
          <cell r="U4034">
            <v>45000</v>
          </cell>
          <cell r="V4034">
            <v>45000</v>
          </cell>
          <cell r="W4034">
            <v>45000</v>
          </cell>
          <cell r="X4034" t="str">
            <v>-</v>
          </cell>
        </row>
        <row r="4035">
          <cell r="K4035" t="str">
            <v>GBWS-2918</v>
          </cell>
          <cell r="L4035">
            <v>44879</v>
          </cell>
          <cell r="M4035">
            <v>44880</v>
          </cell>
          <cell r="N4035">
            <v>44893</v>
          </cell>
          <cell r="O4035">
            <v>44880</v>
          </cell>
          <cell r="P4035">
            <v>44893</v>
          </cell>
          <cell r="Q4035">
            <v>44893</v>
          </cell>
          <cell r="R4035">
            <v>44893</v>
          </cell>
          <cell r="S4035"/>
          <cell r="T4035">
            <v>44903</v>
          </cell>
          <cell r="U4035">
            <v>44904</v>
          </cell>
          <cell r="V4035">
            <v>44904</v>
          </cell>
          <cell r="W4035">
            <v>44904</v>
          </cell>
          <cell r="X4035">
            <v>41100509</v>
          </cell>
        </row>
        <row r="4036">
          <cell r="K4036"/>
          <cell r="L4036">
            <v>44978</v>
          </cell>
          <cell r="M4036">
            <v>44979</v>
          </cell>
          <cell r="N4036">
            <v>44996</v>
          </cell>
          <cell r="O4036">
            <v>44979</v>
          </cell>
          <cell r="P4036">
            <v>44998</v>
          </cell>
          <cell r="Q4036" t="str">
            <v>2023-03-03 → 3/10</v>
          </cell>
          <cell r="R4036" t="str">
            <v>2023-03-03 → 3/10</v>
          </cell>
          <cell r="S4036"/>
          <cell r="T4036">
            <v>44998</v>
          </cell>
          <cell r="U4036">
            <v>45000</v>
          </cell>
          <cell r="V4036">
            <v>45000</v>
          </cell>
          <cell r="W4036">
            <v>45000</v>
          </cell>
          <cell r="X4036">
            <v>41100651</v>
          </cell>
        </row>
        <row r="4037">
          <cell r="K4037" t="str">
            <v>GBWS-3067</v>
          </cell>
          <cell r="L4037">
            <v>44893</v>
          </cell>
          <cell r="M4037">
            <v>44894</v>
          </cell>
          <cell r="N4037">
            <v>44903</v>
          </cell>
          <cell r="O4037">
            <v>44894</v>
          </cell>
          <cell r="P4037">
            <v>44903</v>
          </cell>
          <cell r="Q4037">
            <v>44904</v>
          </cell>
          <cell r="R4037">
            <v>44904</v>
          </cell>
          <cell r="S4037"/>
          <cell r="T4037">
            <v>44909</v>
          </cell>
          <cell r="U4037">
            <v>44910</v>
          </cell>
          <cell r="V4037">
            <v>44911</v>
          </cell>
          <cell r="W4037">
            <v>44911</v>
          </cell>
          <cell r="X4037">
            <v>41100509</v>
          </cell>
        </row>
        <row r="4038">
          <cell r="K4038"/>
          <cell r="L4038">
            <v>44978</v>
          </cell>
          <cell r="M4038">
            <v>44979</v>
          </cell>
          <cell r="N4038">
            <v>44994</v>
          </cell>
          <cell r="O4038">
            <v>44979</v>
          </cell>
          <cell r="P4038">
            <v>44998</v>
          </cell>
          <cell r="Q4038" t="str">
            <v>2023-03-03 → 3/10</v>
          </cell>
          <cell r="R4038" t="str">
            <v>2023-03-03 → 3/10</v>
          </cell>
          <cell r="S4038"/>
          <cell r="T4038">
            <v>44997</v>
          </cell>
          <cell r="U4038">
            <v>45000</v>
          </cell>
          <cell r="V4038">
            <v>45000</v>
          </cell>
          <cell r="W4038">
            <v>45000</v>
          </cell>
          <cell r="X4038">
            <v>41100651</v>
          </cell>
        </row>
        <row r="4039">
          <cell r="K4039" t="str">
            <v>GBWS-3068</v>
          </cell>
          <cell r="L4039">
            <v>44893</v>
          </cell>
          <cell r="M4039">
            <v>44894</v>
          </cell>
          <cell r="N4039">
            <v>44903</v>
          </cell>
          <cell r="O4039">
            <v>44894</v>
          </cell>
          <cell r="P4039">
            <v>44903</v>
          </cell>
          <cell r="Q4039">
            <v>44904</v>
          </cell>
          <cell r="R4039">
            <v>44904</v>
          </cell>
          <cell r="S4039"/>
          <cell r="T4039">
            <v>44909</v>
          </cell>
          <cell r="U4039">
            <v>44910</v>
          </cell>
          <cell r="V4039">
            <v>44911</v>
          </cell>
          <cell r="W4039">
            <v>44911</v>
          </cell>
          <cell r="X4039">
            <v>41100509</v>
          </cell>
        </row>
        <row r="4040">
          <cell r="K4040"/>
          <cell r="L4040">
            <v>44978</v>
          </cell>
          <cell r="M4040">
            <v>44979</v>
          </cell>
          <cell r="N4040">
            <v>44996</v>
          </cell>
          <cell r="O4040">
            <v>44979</v>
          </cell>
          <cell r="P4040">
            <v>44998</v>
          </cell>
          <cell r="Q4040" t="str">
            <v>2023-03-03 → 3/10</v>
          </cell>
          <cell r="R4040" t="str">
            <v>2023-03-03 → 3/10</v>
          </cell>
          <cell r="S4040"/>
          <cell r="T4040">
            <v>44997</v>
          </cell>
          <cell r="U4040">
            <v>45000</v>
          </cell>
          <cell r="V4040">
            <v>45000</v>
          </cell>
          <cell r="W4040">
            <v>45000</v>
          </cell>
          <cell r="X4040">
            <v>41100651</v>
          </cell>
        </row>
        <row r="4041">
          <cell r="K4041" t="str">
            <v>GBWS-3194</v>
          </cell>
          <cell r="L4041">
            <v>44978</v>
          </cell>
          <cell r="M4041">
            <v>44979</v>
          </cell>
          <cell r="N4041">
            <v>44999</v>
          </cell>
          <cell r="O4041">
            <v>44979</v>
          </cell>
          <cell r="P4041">
            <v>45000</v>
          </cell>
          <cell r="Q4041" t="str">
            <v>2023-03-06 → 3/10 → 3/14(오후)</v>
          </cell>
          <cell r="R4041" t="str">
            <v>2023-03-06 → 3/10 → 3/14(오후)</v>
          </cell>
          <cell r="S4041">
            <v>44999</v>
          </cell>
          <cell r="T4041">
            <v>44999</v>
          </cell>
          <cell r="U4041">
            <v>45000</v>
          </cell>
          <cell r="V4041">
            <v>45000</v>
          </cell>
          <cell r="W4041">
            <v>45000</v>
          </cell>
          <cell r="X4041" t="str">
            <v>41100507 → 41100651</v>
          </cell>
        </row>
        <row r="4042">
          <cell r="K4042" t="str">
            <v>GBWS-3195</v>
          </cell>
          <cell r="L4042">
            <v>44978</v>
          </cell>
          <cell r="M4042">
            <v>44979</v>
          </cell>
          <cell r="N4042">
            <v>44999</v>
          </cell>
          <cell r="O4042">
            <v>44979</v>
          </cell>
          <cell r="P4042">
            <v>45000</v>
          </cell>
          <cell r="Q4042" t="str">
            <v>2023-03-06 → 3/10 → 3/14(오후)</v>
          </cell>
          <cell r="R4042" t="str">
            <v>2023-03-06 → 3/10 → 3/14(오후)</v>
          </cell>
          <cell r="S4042">
            <v>44999</v>
          </cell>
          <cell r="T4042">
            <v>45000</v>
          </cell>
          <cell r="U4042">
            <v>45000</v>
          </cell>
          <cell r="V4042">
            <v>45000</v>
          </cell>
          <cell r="W4042">
            <v>45000</v>
          </cell>
          <cell r="X4042" t="str">
            <v>41100507 → 41100651</v>
          </cell>
        </row>
        <row r="4043">
          <cell r="K4043" t="str">
            <v>GBWS-3196</v>
          </cell>
          <cell r="L4043">
            <v>44978</v>
          </cell>
          <cell r="M4043">
            <v>44979</v>
          </cell>
          <cell r="N4043">
            <v>44999</v>
          </cell>
          <cell r="O4043">
            <v>44979</v>
          </cell>
          <cell r="P4043">
            <v>45000</v>
          </cell>
          <cell r="Q4043" t="str">
            <v>2023-03-06 → 3/10 → 3/14(오후)</v>
          </cell>
          <cell r="R4043" t="str">
            <v>2023-03-06 → 3/10 → 3/14(오후)</v>
          </cell>
          <cell r="S4043">
            <v>44999</v>
          </cell>
          <cell r="T4043">
            <v>44999</v>
          </cell>
          <cell r="U4043">
            <v>45000</v>
          </cell>
          <cell r="V4043">
            <v>45000</v>
          </cell>
          <cell r="W4043">
            <v>45000</v>
          </cell>
          <cell r="X4043" t="str">
            <v>41100507 → 41100651</v>
          </cell>
        </row>
        <row r="4044">
          <cell r="K4044" t="str">
            <v>GBWS-3197</v>
          </cell>
          <cell r="L4044">
            <v>44978</v>
          </cell>
          <cell r="M4044">
            <v>44979</v>
          </cell>
          <cell r="N4044">
            <v>44999</v>
          </cell>
          <cell r="O4044">
            <v>44979</v>
          </cell>
          <cell r="P4044">
            <v>45000</v>
          </cell>
          <cell r="Q4044" t="str">
            <v>2023-03-06 → 3/10 → 3/14(오후)</v>
          </cell>
          <cell r="R4044" t="str">
            <v>2023-03-06 → 3/10 → 3/14(오후)</v>
          </cell>
          <cell r="S4044">
            <v>44999</v>
          </cell>
          <cell r="T4044">
            <v>45000</v>
          </cell>
          <cell r="U4044">
            <v>45000</v>
          </cell>
          <cell r="V4044">
            <v>45000</v>
          </cell>
          <cell r="W4044">
            <v>45000</v>
          </cell>
          <cell r="X4044" t="str">
            <v>41100507 → 41100651</v>
          </cell>
        </row>
        <row r="4045">
          <cell r="K4045" t="str">
            <v>GBWS-3198</v>
          </cell>
          <cell r="L4045">
            <v>44978</v>
          </cell>
          <cell r="M4045">
            <v>44979</v>
          </cell>
          <cell r="N4045">
            <v>44999</v>
          </cell>
          <cell r="O4045">
            <v>44979</v>
          </cell>
          <cell r="P4045">
            <v>45000</v>
          </cell>
          <cell r="Q4045" t="str">
            <v>2023-03-06 → 3/10 → 3/13</v>
          </cell>
          <cell r="R4045" t="str">
            <v>2023-03-06 → 3/10 → 3/13</v>
          </cell>
          <cell r="S4045">
            <v>44999</v>
          </cell>
          <cell r="T4045">
            <v>45000</v>
          </cell>
          <cell r="U4045">
            <v>45000</v>
          </cell>
          <cell r="V4045">
            <v>45000</v>
          </cell>
          <cell r="W4045">
            <v>45000</v>
          </cell>
          <cell r="X4045" t="str">
            <v>41100509 → 41100651</v>
          </cell>
        </row>
        <row r="4046">
          <cell r="K4046" t="str">
            <v>IVAS-192</v>
          </cell>
          <cell r="L4046">
            <v>44966</v>
          </cell>
          <cell r="M4046">
            <v>44967</v>
          </cell>
          <cell r="N4046">
            <v>44981</v>
          </cell>
          <cell r="O4046">
            <v>44967</v>
          </cell>
          <cell r="P4046">
            <v>44985</v>
          </cell>
          <cell r="Q4046">
            <v>44977</v>
          </cell>
          <cell r="R4046">
            <v>44977</v>
          </cell>
          <cell r="S4046">
            <v>44999</v>
          </cell>
          <cell r="T4046">
            <v>44979</v>
          </cell>
          <cell r="U4046">
            <v>44991</v>
          </cell>
          <cell r="V4046">
            <v>44992</v>
          </cell>
          <cell r="W4046">
            <v>45000</v>
          </cell>
          <cell r="X4046">
            <v>41100542</v>
          </cell>
        </row>
        <row r="4047">
          <cell r="K4047" t="str">
            <v>WS-0080</v>
          </cell>
          <cell r="L4047">
            <v>44956</v>
          </cell>
          <cell r="M4047">
            <v>44957</v>
          </cell>
          <cell r="N4047">
            <v>44971</v>
          </cell>
          <cell r="O4047">
            <v>44957</v>
          </cell>
          <cell r="P4047">
            <v>44965</v>
          </cell>
          <cell r="Q4047">
            <v>44966</v>
          </cell>
          <cell r="R4047">
            <v>44966</v>
          </cell>
          <cell r="S4047"/>
          <cell r="T4047">
            <v>44970</v>
          </cell>
          <cell r="U4047">
            <v>44971</v>
          </cell>
          <cell r="V4047">
            <v>44972</v>
          </cell>
          <cell r="W4047">
            <v>44973</v>
          </cell>
          <cell r="X4047">
            <v>41100615</v>
          </cell>
        </row>
        <row r="4048">
          <cell r="K4048" t="str">
            <v>HNM-0031~0033</v>
          </cell>
          <cell r="L4048">
            <v>44977</v>
          </cell>
          <cell r="M4048">
            <v>44978</v>
          </cell>
          <cell r="N4048">
            <v>44991</v>
          </cell>
          <cell r="O4048">
            <v>44978</v>
          </cell>
          <cell r="P4048">
            <v>44991</v>
          </cell>
          <cell r="Q4048">
            <v>44979</v>
          </cell>
          <cell r="R4048">
            <v>44979</v>
          </cell>
          <cell r="S4048"/>
          <cell r="T4048">
            <v>44999</v>
          </cell>
          <cell r="U4048">
            <v>45000</v>
          </cell>
          <cell r="V4048">
            <v>45000</v>
          </cell>
          <cell r="W4048">
            <v>45000</v>
          </cell>
          <cell r="X4048">
            <v>31102573</v>
          </cell>
        </row>
        <row r="4049">
          <cell r="K4049" t="str">
            <v>1812-004</v>
          </cell>
          <cell r="L4049">
            <v>44984</v>
          </cell>
          <cell r="M4049">
            <v>44985</v>
          </cell>
          <cell r="N4049">
            <v>44985</v>
          </cell>
          <cell r="O4049">
            <v>44985</v>
          </cell>
          <cell r="P4049">
            <v>44985</v>
          </cell>
          <cell r="Q4049">
            <v>44985</v>
          </cell>
          <cell r="R4049">
            <v>44985</v>
          </cell>
          <cell r="S4049"/>
          <cell r="T4049">
            <v>44985</v>
          </cell>
          <cell r="U4049">
            <v>45000</v>
          </cell>
          <cell r="V4049">
            <v>45000</v>
          </cell>
          <cell r="W4049">
            <v>45000</v>
          </cell>
          <cell r="X4049" t="str">
            <v>-</v>
          </cell>
        </row>
        <row r="4050">
          <cell r="K4050" t="str">
            <v>2012-051</v>
          </cell>
          <cell r="L4050">
            <v>44984</v>
          </cell>
          <cell r="M4050">
            <v>44985</v>
          </cell>
          <cell r="N4050">
            <v>44985</v>
          </cell>
          <cell r="O4050">
            <v>44985</v>
          </cell>
          <cell r="P4050">
            <v>44985</v>
          </cell>
          <cell r="Q4050">
            <v>44985</v>
          </cell>
          <cell r="R4050">
            <v>44985</v>
          </cell>
          <cell r="S4050"/>
          <cell r="T4050">
            <v>44985</v>
          </cell>
          <cell r="U4050">
            <v>45000</v>
          </cell>
          <cell r="V4050">
            <v>45000</v>
          </cell>
          <cell r="W4050">
            <v>45000</v>
          </cell>
          <cell r="X4050" t="str">
            <v>-</v>
          </cell>
        </row>
        <row r="4051">
          <cell r="K4051" t="str">
            <v>DBW-2861</v>
          </cell>
          <cell r="L4051">
            <v>44966</v>
          </cell>
          <cell r="M4051">
            <v>44967</v>
          </cell>
          <cell r="N4051">
            <v>44977</v>
          </cell>
          <cell r="O4051">
            <v>44967</v>
          </cell>
          <cell r="P4051">
            <v>44977</v>
          </cell>
          <cell r="Q4051">
            <v>44977</v>
          </cell>
          <cell r="R4051">
            <v>44977</v>
          </cell>
          <cell r="S4051"/>
          <cell r="T4051">
            <v>44978</v>
          </cell>
          <cell r="U4051">
            <v>44979</v>
          </cell>
          <cell r="V4051">
            <v>44980</v>
          </cell>
          <cell r="W4051">
            <v>44980</v>
          </cell>
          <cell r="X4051">
            <v>41100480</v>
          </cell>
        </row>
        <row r="4052">
          <cell r="K4052" t="str">
            <v>DBW-2862</v>
          </cell>
          <cell r="L4052">
            <v>44966</v>
          </cell>
          <cell r="M4052">
            <v>44967</v>
          </cell>
          <cell r="N4052">
            <v>44977</v>
          </cell>
          <cell r="O4052">
            <v>44967</v>
          </cell>
          <cell r="P4052">
            <v>44977</v>
          </cell>
          <cell r="Q4052">
            <v>44977</v>
          </cell>
          <cell r="R4052">
            <v>44977</v>
          </cell>
          <cell r="S4052"/>
          <cell r="T4052">
            <v>44978</v>
          </cell>
          <cell r="U4052">
            <v>44979</v>
          </cell>
          <cell r="V4052">
            <v>44980</v>
          </cell>
          <cell r="W4052">
            <v>44980</v>
          </cell>
          <cell r="X4052">
            <v>41100480</v>
          </cell>
        </row>
        <row r="4053">
          <cell r="K4053" t="str">
            <v>G14090018</v>
          </cell>
          <cell r="L4053">
            <v>44988</v>
          </cell>
          <cell r="M4053">
            <v>44991</v>
          </cell>
          <cell r="N4053">
            <v>44992</v>
          </cell>
          <cell r="O4053">
            <v>44991</v>
          </cell>
          <cell r="P4053">
            <v>44992</v>
          </cell>
          <cell r="Q4053">
            <v>44991</v>
          </cell>
          <cell r="R4053">
            <v>44991</v>
          </cell>
          <cell r="S4053">
            <v>44992</v>
          </cell>
          <cell r="T4053">
            <v>44992</v>
          </cell>
          <cell r="U4053">
            <v>45001</v>
          </cell>
          <cell r="V4053">
            <v>45001</v>
          </cell>
          <cell r="W4053">
            <v>45001</v>
          </cell>
          <cell r="X4053" t="str">
            <v>-</v>
          </cell>
        </row>
        <row r="4054">
          <cell r="K4054" t="str">
            <v>G14090003</v>
          </cell>
          <cell r="L4054">
            <v>44995</v>
          </cell>
          <cell r="M4054">
            <v>44995</v>
          </cell>
          <cell r="N4054">
            <v>44995</v>
          </cell>
          <cell r="O4054">
            <v>44995</v>
          </cell>
          <cell r="P4054">
            <v>44995</v>
          </cell>
          <cell r="Q4054">
            <v>44995</v>
          </cell>
          <cell r="R4054">
            <v>44995</v>
          </cell>
          <cell r="S4054">
            <v>44992</v>
          </cell>
          <cell r="T4054">
            <v>44995</v>
          </cell>
          <cell r="U4054">
            <v>45001</v>
          </cell>
          <cell r="V4054">
            <v>45001</v>
          </cell>
          <cell r="W4054">
            <v>45001</v>
          </cell>
          <cell r="X4054" t="str">
            <v>-</v>
          </cell>
        </row>
        <row r="4055">
          <cell r="K4055" t="str">
            <v>G14030013</v>
          </cell>
          <cell r="L4055">
            <v>44999</v>
          </cell>
          <cell r="M4055">
            <v>44999</v>
          </cell>
          <cell r="N4055">
            <v>44999</v>
          </cell>
          <cell r="O4055">
            <v>44999</v>
          </cell>
          <cell r="P4055">
            <v>44999</v>
          </cell>
          <cell r="Q4055">
            <v>44999</v>
          </cell>
          <cell r="R4055">
            <v>44999</v>
          </cell>
          <cell r="S4055">
            <v>44992</v>
          </cell>
          <cell r="T4055">
            <v>44999</v>
          </cell>
          <cell r="U4055">
            <v>45001</v>
          </cell>
          <cell r="V4055">
            <v>45001</v>
          </cell>
          <cell r="W4055">
            <v>45001</v>
          </cell>
          <cell r="X4055" t="str">
            <v>-</v>
          </cell>
        </row>
        <row r="4056">
          <cell r="K4056" t="str">
            <v>G13030009</v>
          </cell>
          <cell r="L4056">
            <v>44999</v>
          </cell>
          <cell r="M4056">
            <v>44999</v>
          </cell>
          <cell r="N4056">
            <v>44999</v>
          </cell>
          <cell r="O4056">
            <v>44999</v>
          </cell>
          <cell r="P4056">
            <v>44999</v>
          </cell>
          <cell r="Q4056">
            <v>44999</v>
          </cell>
          <cell r="R4056">
            <v>44999</v>
          </cell>
          <cell r="S4056">
            <v>44992</v>
          </cell>
          <cell r="T4056">
            <v>44999</v>
          </cell>
          <cell r="U4056">
            <v>45005</v>
          </cell>
          <cell r="V4056">
            <v>45005</v>
          </cell>
          <cell r="W4056">
            <v>45005</v>
          </cell>
          <cell r="X4056" t="str">
            <v>-</v>
          </cell>
        </row>
        <row r="4057">
          <cell r="K4057" t="str">
            <v>G13030048</v>
          </cell>
          <cell r="L4057">
            <v>44999</v>
          </cell>
          <cell r="M4057">
            <v>44999</v>
          </cell>
          <cell r="N4057">
            <v>44999</v>
          </cell>
          <cell r="O4057">
            <v>44999</v>
          </cell>
          <cell r="P4057">
            <v>44999</v>
          </cell>
          <cell r="Q4057">
            <v>44999</v>
          </cell>
          <cell r="R4057">
            <v>44999</v>
          </cell>
          <cell r="S4057">
            <v>44992</v>
          </cell>
          <cell r="T4057">
            <v>44999</v>
          </cell>
          <cell r="U4057">
            <v>45005</v>
          </cell>
          <cell r="V4057">
            <v>45005</v>
          </cell>
          <cell r="W4057">
            <v>45005</v>
          </cell>
          <cell r="X4057" t="str">
            <v>-</v>
          </cell>
        </row>
        <row r="4058">
          <cell r="K4058" t="str">
            <v xml:space="preserve"> G13030050</v>
          </cell>
          <cell r="L4058">
            <v>45002</v>
          </cell>
          <cell r="M4058">
            <v>45002</v>
          </cell>
          <cell r="N4058">
            <v>45001</v>
          </cell>
          <cell r="O4058">
            <v>45002</v>
          </cell>
          <cell r="P4058">
            <v>45001</v>
          </cell>
          <cell r="Q4058">
            <v>45002</v>
          </cell>
          <cell r="R4058">
            <v>45002</v>
          </cell>
          <cell r="S4058">
            <v>44992</v>
          </cell>
          <cell r="T4058">
            <v>45001</v>
          </cell>
          <cell r="U4058">
            <v>45005</v>
          </cell>
          <cell r="V4058">
            <v>45005</v>
          </cell>
          <cell r="W4058">
            <v>45005</v>
          </cell>
          <cell r="X4058" t="str">
            <v>-</v>
          </cell>
        </row>
        <row r="4059">
          <cell r="K4059" t="str">
            <v>DBW-2874</v>
          </cell>
          <cell r="L4059">
            <v>44970</v>
          </cell>
          <cell r="M4059">
            <v>44971</v>
          </cell>
          <cell r="N4059">
            <v>44981</v>
          </cell>
          <cell r="O4059">
            <v>44971</v>
          </cell>
          <cell r="P4059">
            <v>44981</v>
          </cell>
          <cell r="Q4059" t="str">
            <v>2023-02-23 → 2/23</v>
          </cell>
          <cell r="R4059" t="str">
            <v>2023-02-23 → 2/23</v>
          </cell>
          <cell r="S4059">
            <v>44992</v>
          </cell>
          <cell r="T4059">
            <v>44981</v>
          </cell>
          <cell r="U4059">
            <v>44985</v>
          </cell>
          <cell r="V4059">
            <v>44987</v>
          </cell>
          <cell r="W4059">
            <v>44987</v>
          </cell>
          <cell r="X4059">
            <v>41100496</v>
          </cell>
        </row>
        <row r="4060">
          <cell r="K4060" t="str">
            <v>DBW-2886</v>
          </cell>
          <cell r="L4060">
            <v>44974</v>
          </cell>
          <cell r="M4060">
            <v>44977</v>
          </cell>
          <cell r="N4060">
            <v>44984</v>
          </cell>
          <cell r="O4060">
            <v>44977</v>
          </cell>
          <cell r="P4060">
            <v>44984</v>
          </cell>
          <cell r="Q4060">
            <v>44987</v>
          </cell>
          <cell r="R4060">
            <v>44987</v>
          </cell>
          <cell r="S4060">
            <v>44992</v>
          </cell>
          <cell r="T4060">
            <v>44988</v>
          </cell>
          <cell r="U4060">
            <v>44994</v>
          </cell>
          <cell r="V4060">
            <v>44994</v>
          </cell>
          <cell r="W4060">
            <v>44998</v>
          </cell>
          <cell r="X4060">
            <v>41100532</v>
          </cell>
        </row>
        <row r="4061">
          <cell r="K4061" t="str">
            <v>DBW-2887</v>
          </cell>
          <cell r="L4061">
            <v>44974</v>
          </cell>
          <cell r="M4061">
            <v>44977</v>
          </cell>
          <cell r="N4061">
            <v>44984</v>
          </cell>
          <cell r="O4061">
            <v>44977</v>
          </cell>
          <cell r="P4061">
            <v>44984</v>
          </cell>
          <cell r="Q4061">
            <v>44987</v>
          </cell>
          <cell r="R4061">
            <v>44987</v>
          </cell>
          <cell r="S4061">
            <v>44992</v>
          </cell>
          <cell r="T4061">
            <v>44988</v>
          </cell>
          <cell r="U4061">
            <v>44994</v>
          </cell>
          <cell r="V4061">
            <v>44994</v>
          </cell>
          <cell r="W4061">
            <v>44998</v>
          </cell>
          <cell r="X4061">
            <v>41100532</v>
          </cell>
        </row>
        <row r="4062">
          <cell r="K4062" t="str">
            <v>DBW-2896</v>
          </cell>
          <cell r="L4062">
            <v>44981</v>
          </cell>
          <cell r="M4062">
            <v>44984</v>
          </cell>
          <cell r="N4062">
            <v>44993</v>
          </cell>
          <cell r="O4062">
            <v>44984</v>
          </cell>
          <cell r="P4062">
            <v>44994</v>
          </cell>
          <cell r="Q4062">
            <v>44993</v>
          </cell>
          <cell r="R4062">
            <v>44993</v>
          </cell>
          <cell r="S4062">
            <v>44992</v>
          </cell>
          <cell r="T4062">
            <v>44998</v>
          </cell>
          <cell r="U4062">
            <v>45001</v>
          </cell>
          <cell r="V4062">
            <v>45001</v>
          </cell>
          <cell r="W4062">
            <v>45002</v>
          </cell>
          <cell r="X4062">
            <v>41100496</v>
          </cell>
        </row>
        <row r="4063">
          <cell r="K4063" t="str">
            <v>DBW-2897</v>
          </cell>
          <cell r="L4063">
            <v>44981</v>
          </cell>
          <cell r="M4063">
            <v>44984</v>
          </cell>
          <cell r="N4063">
            <v>44993</v>
          </cell>
          <cell r="O4063">
            <v>44984</v>
          </cell>
          <cell r="P4063">
            <v>44994</v>
          </cell>
          <cell r="Q4063">
            <v>44993</v>
          </cell>
          <cell r="R4063">
            <v>44993</v>
          </cell>
          <cell r="S4063">
            <v>44992</v>
          </cell>
          <cell r="T4063">
            <v>44999</v>
          </cell>
          <cell r="U4063">
            <v>45001</v>
          </cell>
          <cell r="V4063">
            <v>45001</v>
          </cell>
          <cell r="W4063">
            <v>45001</v>
          </cell>
          <cell r="X4063">
            <v>41100496</v>
          </cell>
        </row>
        <row r="4064">
          <cell r="K4064" t="str">
            <v>DBW-2898</v>
          </cell>
          <cell r="L4064">
            <v>44981</v>
          </cell>
          <cell r="M4064">
            <v>44984</v>
          </cell>
          <cell r="N4064">
            <v>44993</v>
          </cell>
          <cell r="O4064">
            <v>44984</v>
          </cell>
          <cell r="P4064">
            <v>44994</v>
          </cell>
          <cell r="Q4064">
            <v>44993</v>
          </cell>
          <cell r="R4064">
            <v>44993</v>
          </cell>
          <cell r="S4064">
            <v>44992</v>
          </cell>
          <cell r="T4064">
            <v>44999</v>
          </cell>
          <cell r="U4064">
            <v>45001</v>
          </cell>
          <cell r="V4064">
            <v>45002</v>
          </cell>
          <cell r="W4064">
            <v>45002</v>
          </cell>
          <cell r="X4064">
            <v>41100496</v>
          </cell>
        </row>
        <row r="4065">
          <cell r="K4065" t="str">
            <v>DBW-2899</v>
          </cell>
          <cell r="L4065">
            <v>44981</v>
          </cell>
          <cell r="M4065">
            <v>44984</v>
          </cell>
          <cell r="N4065">
            <v>44993</v>
          </cell>
          <cell r="O4065">
            <v>44984</v>
          </cell>
          <cell r="P4065">
            <v>44994</v>
          </cell>
          <cell r="Q4065">
            <v>44993</v>
          </cell>
          <cell r="R4065">
            <v>44993</v>
          </cell>
          <cell r="S4065">
            <v>44992</v>
          </cell>
          <cell r="T4065">
            <v>44999</v>
          </cell>
          <cell r="U4065">
            <v>45001</v>
          </cell>
          <cell r="V4065">
            <v>45001</v>
          </cell>
          <cell r="W4065">
            <v>45002</v>
          </cell>
          <cell r="X4065">
            <v>41100496</v>
          </cell>
        </row>
        <row r="4066">
          <cell r="K4066" t="str">
            <v>DBW-2900</v>
          </cell>
          <cell r="L4066">
            <v>44981</v>
          </cell>
          <cell r="M4066">
            <v>44984</v>
          </cell>
          <cell r="N4066">
            <v>44993</v>
          </cell>
          <cell r="O4066">
            <v>44984</v>
          </cell>
          <cell r="P4066">
            <v>44994</v>
          </cell>
          <cell r="Q4066">
            <v>44993</v>
          </cell>
          <cell r="R4066">
            <v>44993</v>
          </cell>
          <cell r="S4066">
            <v>44992</v>
          </cell>
          <cell r="T4066">
            <v>45000</v>
          </cell>
          <cell r="U4066">
            <v>45001</v>
          </cell>
          <cell r="V4066">
            <v>45001</v>
          </cell>
          <cell r="W4066">
            <v>45002</v>
          </cell>
          <cell r="X4066">
            <v>41100496</v>
          </cell>
        </row>
        <row r="4067">
          <cell r="K4067" t="str">
            <v>GBWS-3183</v>
          </cell>
          <cell r="L4067">
            <v>44967</v>
          </cell>
          <cell r="M4067">
            <v>44970</v>
          </cell>
          <cell r="N4067">
            <v>44979</v>
          </cell>
          <cell r="O4067">
            <v>44970</v>
          </cell>
          <cell r="P4067">
            <v>44980</v>
          </cell>
          <cell r="Q4067" t="str">
            <v>2023-02-22 → 2/23</v>
          </cell>
          <cell r="R4067" t="str">
            <v>2023-02-22 → 2/23</v>
          </cell>
          <cell r="S4067"/>
          <cell r="T4067">
            <v>44981</v>
          </cell>
          <cell r="U4067">
            <v>44984</v>
          </cell>
          <cell r="V4067">
            <v>44985</v>
          </cell>
          <cell r="W4067">
            <v>44985</v>
          </cell>
          <cell r="X4067">
            <v>41100482</v>
          </cell>
        </row>
        <row r="4068">
          <cell r="K4068" t="str">
            <v>SOS-0295</v>
          </cell>
          <cell r="L4068">
            <v>44974</v>
          </cell>
          <cell r="M4068">
            <v>44977</v>
          </cell>
          <cell r="N4068">
            <v>44978</v>
          </cell>
          <cell r="O4068">
            <v>44977</v>
          </cell>
          <cell r="P4068">
            <v>44979</v>
          </cell>
          <cell r="Q4068">
            <v>44979</v>
          </cell>
          <cell r="R4068">
            <v>44979</v>
          </cell>
          <cell r="S4068"/>
          <cell r="T4068">
            <v>44980</v>
          </cell>
          <cell r="U4068">
            <v>44981</v>
          </cell>
          <cell r="V4068">
            <v>44984</v>
          </cell>
          <cell r="W4068">
            <v>44984</v>
          </cell>
          <cell r="X4068">
            <v>41100299</v>
          </cell>
        </row>
        <row r="4069">
          <cell r="K4069" t="str">
            <v>SOS-0296</v>
          </cell>
          <cell r="L4069">
            <v>44981</v>
          </cell>
          <cell r="M4069">
            <v>44984</v>
          </cell>
          <cell r="N4069">
            <v>44985</v>
          </cell>
          <cell r="O4069">
            <v>44984</v>
          </cell>
          <cell r="P4069">
            <v>44985</v>
          </cell>
          <cell r="Q4069">
            <v>44987</v>
          </cell>
          <cell r="R4069">
            <v>44987</v>
          </cell>
          <cell r="S4069">
            <v>44992</v>
          </cell>
          <cell r="T4069">
            <v>44985</v>
          </cell>
          <cell r="U4069">
            <v>44988</v>
          </cell>
          <cell r="V4069">
            <v>44988</v>
          </cell>
          <cell r="W4069">
            <v>44988</v>
          </cell>
          <cell r="X4069">
            <v>41100299</v>
          </cell>
        </row>
        <row r="4070">
          <cell r="K4070" t="str">
            <v>SOS-0297</v>
          </cell>
          <cell r="L4070">
            <v>44993</v>
          </cell>
          <cell r="M4070">
            <v>44994</v>
          </cell>
          <cell r="N4070">
            <v>44998</v>
          </cell>
          <cell r="O4070">
            <v>44994</v>
          </cell>
          <cell r="P4070">
            <v>44998</v>
          </cell>
          <cell r="Q4070">
            <v>44998</v>
          </cell>
          <cell r="R4070">
            <v>44998</v>
          </cell>
          <cell r="S4070">
            <v>44992</v>
          </cell>
          <cell r="T4070">
            <v>44998</v>
          </cell>
          <cell r="U4070">
            <v>45001</v>
          </cell>
          <cell r="V4070">
            <v>45002</v>
          </cell>
          <cell r="W4070">
            <v>45002</v>
          </cell>
          <cell r="X4070">
            <v>41100299</v>
          </cell>
        </row>
        <row r="4071">
          <cell r="K4071" t="str">
            <v>GBWS-2897</v>
          </cell>
          <cell r="L4071">
            <v>44879</v>
          </cell>
          <cell r="M4071">
            <v>44880</v>
          </cell>
          <cell r="N4071">
            <v>44893</v>
          </cell>
          <cell r="O4071">
            <v>44880</v>
          </cell>
          <cell r="P4071">
            <v>44893</v>
          </cell>
          <cell r="Q4071">
            <v>44893</v>
          </cell>
          <cell r="R4071">
            <v>44893</v>
          </cell>
          <cell r="S4071"/>
          <cell r="T4071">
            <v>44903</v>
          </cell>
          <cell r="U4071">
            <v>44904</v>
          </cell>
          <cell r="V4071">
            <v>44907</v>
          </cell>
          <cell r="W4071">
            <v>44907</v>
          </cell>
          <cell r="X4071">
            <v>41100508</v>
          </cell>
        </row>
        <row r="4072">
          <cell r="K4072"/>
          <cell r="L4072">
            <v>44998</v>
          </cell>
          <cell r="M4072">
            <v>44998</v>
          </cell>
          <cell r="N4072">
            <v>45000</v>
          </cell>
          <cell r="O4072">
            <v>44998</v>
          </cell>
          <cell r="P4072">
            <v>45000</v>
          </cell>
          <cell r="Q4072">
            <v>45001</v>
          </cell>
          <cell r="R4072">
            <v>45001</v>
          </cell>
          <cell r="S4072"/>
          <cell r="T4072">
            <v>45001</v>
          </cell>
          <cell r="U4072">
            <v>45005</v>
          </cell>
          <cell r="V4072">
            <v>45006</v>
          </cell>
          <cell r="W4072">
            <v>45006</v>
          </cell>
          <cell r="X4072">
            <v>41100667</v>
          </cell>
        </row>
        <row r="4073">
          <cell r="K4073" t="str">
            <v>GBWS-2898</v>
          </cell>
          <cell r="L4073">
            <v>44879</v>
          </cell>
          <cell r="M4073">
            <v>44880</v>
          </cell>
          <cell r="N4073">
            <v>44893</v>
          </cell>
          <cell r="O4073">
            <v>44880</v>
          </cell>
          <cell r="P4073">
            <v>44893</v>
          </cell>
          <cell r="Q4073">
            <v>44893</v>
          </cell>
          <cell r="R4073">
            <v>44893</v>
          </cell>
          <cell r="S4073"/>
          <cell r="T4073">
            <v>44903</v>
          </cell>
          <cell r="U4073">
            <v>44904</v>
          </cell>
          <cell r="V4073">
            <v>44907</v>
          </cell>
          <cell r="W4073">
            <v>44907</v>
          </cell>
          <cell r="X4073">
            <v>41100508</v>
          </cell>
        </row>
        <row r="4074">
          <cell r="K4074"/>
          <cell r="L4074">
            <v>44998</v>
          </cell>
          <cell r="M4074">
            <v>44998</v>
          </cell>
          <cell r="N4074">
            <v>45000</v>
          </cell>
          <cell r="O4074">
            <v>44998</v>
          </cell>
          <cell r="P4074">
            <v>45000</v>
          </cell>
          <cell r="Q4074">
            <v>45001</v>
          </cell>
          <cell r="R4074">
            <v>45001</v>
          </cell>
          <cell r="S4074"/>
          <cell r="T4074">
            <v>45001</v>
          </cell>
          <cell r="U4074">
            <v>45005</v>
          </cell>
          <cell r="V4074">
            <v>45006</v>
          </cell>
          <cell r="W4074">
            <v>45006</v>
          </cell>
          <cell r="X4074">
            <v>41100667</v>
          </cell>
        </row>
        <row r="4075">
          <cell r="K4075" t="str">
            <v>GBWS-2902</v>
          </cell>
          <cell r="L4075">
            <v>44879</v>
          </cell>
          <cell r="M4075">
            <v>44880</v>
          </cell>
          <cell r="N4075">
            <v>44893</v>
          </cell>
          <cell r="O4075">
            <v>44880</v>
          </cell>
          <cell r="P4075">
            <v>44893</v>
          </cell>
          <cell r="Q4075">
            <v>44893</v>
          </cell>
          <cell r="R4075">
            <v>44893</v>
          </cell>
          <cell r="S4075"/>
          <cell r="T4075">
            <v>44896</v>
          </cell>
          <cell r="U4075">
            <v>44897</v>
          </cell>
          <cell r="V4075">
            <v>44900</v>
          </cell>
          <cell r="W4075">
            <v>44900</v>
          </cell>
          <cell r="X4075">
            <v>41100508</v>
          </cell>
        </row>
        <row r="4076">
          <cell r="K4076" t="str">
            <v>GBWS-3227</v>
          </cell>
          <cell r="L4076">
            <v>44987</v>
          </cell>
          <cell r="M4076">
            <v>44988</v>
          </cell>
          <cell r="N4076">
            <v>45001</v>
          </cell>
          <cell r="O4076">
            <v>44988</v>
          </cell>
          <cell r="P4076">
            <v>45000</v>
          </cell>
          <cell r="Q4076">
            <v>44998</v>
          </cell>
          <cell r="R4076">
            <v>44998</v>
          </cell>
          <cell r="S4076">
            <v>45001</v>
          </cell>
          <cell r="T4076">
            <v>45001</v>
          </cell>
          <cell r="U4076">
            <v>45002</v>
          </cell>
          <cell r="V4076">
            <v>45005</v>
          </cell>
          <cell r="W4076">
            <v>45005</v>
          </cell>
          <cell r="X4076">
            <v>41100461</v>
          </cell>
        </row>
        <row r="4077">
          <cell r="K4077" t="str">
            <v>GBWS-3228</v>
          </cell>
          <cell r="L4077">
            <v>44987</v>
          </cell>
          <cell r="M4077">
            <v>44988</v>
          </cell>
          <cell r="N4077">
            <v>45001</v>
          </cell>
          <cell r="O4077">
            <v>44988</v>
          </cell>
          <cell r="P4077">
            <v>45000</v>
          </cell>
          <cell r="Q4077">
            <v>44998</v>
          </cell>
          <cell r="R4077">
            <v>44998</v>
          </cell>
          <cell r="S4077">
            <v>45001</v>
          </cell>
          <cell r="T4077">
            <v>45000</v>
          </cell>
          <cell r="U4077">
            <v>45005</v>
          </cell>
          <cell r="V4077">
            <v>45006</v>
          </cell>
          <cell r="W4077">
            <v>45006</v>
          </cell>
          <cell r="X4077">
            <v>41100461</v>
          </cell>
        </row>
        <row r="4078">
          <cell r="K4078" t="str">
            <v>GBWS-3229</v>
          </cell>
          <cell r="L4078">
            <v>44987</v>
          </cell>
          <cell r="M4078">
            <v>44988</v>
          </cell>
          <cell r="N4078">
            <v>45001</v>
          </cell>
          <cell r="O4078">
            <v>44988</v>
          </cell>
          <cell r="P4078">
            <v>45000</v>
          </cell>
          <cell r="Q4078">
            <v>44998</v>
          </cell>
          <cell r="R4078">
            <v>44998</v>
          </cell>
          <cell r="S4078">
            <v>45001</v>
          </cell>
          <cell r="T4078">
            <v>45000</v>
          </cell>
          <cell r="U4078">
            <v>45002</v>
          </cell>
          <cell r="V4078">
            <v>45005</v>
          </cell>
          <cell r="W4078">
            <v>45005</v>
          </cell>
          <cell r="X4078">
            <v>41100461</v>
          </cell>
        </row>
        <row r="4079">
          <cell r="K4079" t="str">
            <v>GBWS-3230</v>
          </cell>
          <cell r="L4079">
            <v>44987</v>
          </cell>
          <cell r="M4079">
            <v>44988</v>
          </cell>
          <cell r="N4079">
            <v>45001</v>
          </cell>
          <cell r="O4079">
            <v>44988</v>
          </cell>
          <cell r="P4079">
            <v>45000</v>
          </cell>
          <cell r="Q4079">
            <v>44998</v>
          </cell>
          <cell r="R4079">
            <v>44998</v>
          </cell>
          <cell r="S4079">
            <v>45001</v>
          </cell>
          <cell r="T4079">
            <v>45000</v>
          </cell>
          <cell r="U4079">
            <v>45002</v>
          </cell>
          <cell r="V4079">
            <v>45005</v>
          </cell>
          <cell r="W4079">
            <v>45005</v>
          </cell>
          <cell r="X4079">
            <v>41100461</v>
          </cell>
        </row>
        <row r="4080">
          <cell r="K4080" t="str">
            <v>GBWS-3231</v>
          </cell>
          <cell r="L4080">
            <v>44987</v>
          </cell>
          <cell r="M4080">
            <v>44988</v>
          </cell>
          <cell r="N4080">
            <v>45000</v>
          </cell>
          <cell r="O4080">
            <v>44988</v>
          </cell>
          <cell r="P4080">
            <v>44999</v>
          </cell>
          <cell r="Q4080" t="str">
            <v>2023-03-13 → 3/14</v>
          </cell>
          <cell r="R4080" t="str">
            <v>2023-03-13 → 3/14</v>
          </cell>
          <cell r="S4080">
            <v>45001</v>
          </cell>
          <cell r="T4080">
            <v>45002</v>
          </cell>
          <cell r="U4080">
            <v>45005</v>
          </cell>
          <cell r="V4080">
            <v>45005</v>
          </cell>
          <cell r="W4080">
            <v>45006</v>
          </cell>
          <cell r="X4080">
            <v>41100461</v>
          </cell>
        </row>
        <row r="4081">
          <cell r="K4081" t="str">
            <v>GBWS-3232</v>
          </cell>
          <cell r="L4081">
            <v>44987</v>
          </cell>
          <cell r="M4081">
            <v>44988</v>
          </cell>
          <cell r="N4081">
            <v>45000</v>
          </cell>
          <cell r="O4081">
            <v>44988</v>
          </cell>
          <cell r="P4081">
            <v>44999</v>
          </cell>
          <cell r="Q4081" t="str">
            <v>2023-03-13 → 3/14</v>
          </cell>
          <cell r="R4081" t="str">
            <v>2023-03-13 → 3/14</v>
          </cell>
          <cell r="S4081">
            <v>45001</v>
          </cell>
          <cell r="T4081">
            <v>45002</v>
          </cell>
          <cell r="U4081">
            <v>45005</v>
          </cell>
          <cell r="V4081">
            <v>45006</v>
          </cell>
          <cell r="W4081">
            <v>45006</v>
          </cell>
          <cell r="X4081">
            <v>41100461</v>
          </cell>
        </row>
        <row r="4082">
          <cell r="K4082" t="str">
            <v>GBWS-3233</v>
          </cell>
          <cell r="L4082">
            <v>44987</v>
          </cell>
          <cell r="M4082">
            <v>44988</v>
          </cell>
          <cell r="N4082">
            <v>45000</v>
          </cell>
          <cell r="O4082">
            <v>44988</v>
          </cell>
          <cell r="P4082">
            <v>44999</v>
          </cell>
          <cell r="Q4082" t="str">
            <v>2023-03-13 → 3/14</v>
          </cell>
          <cell r="R4082" t="str">
            <v>2023-03-13 → 3/14</v>
          </cell>
          <cell r="S4082">
            <v>45001</v>
          </cell>
          <cell r="T4082">
            <v>45002</v>
          </cell>
          <cell r="U4082">
            <v>45005</v>
          </cell>
          <cell r="V4082">
            <v>45005</v>
          </cell>
          <cell r="W4082">
            <v>45005</v>
          </cell>
          <cell r="X4082">
            <v>41100461</v>
          </cell>
        </row>
        <row r="4083">
          <cell r="K4083" t="str">
            <v>GBWS-3235</v>
          </cell>
          <cell r="L4083">
            <v>44987</v>
          </cell>
          <cell r="M4083">
            <v>44988</v>
          </cell>
          <cell r="N4083">
            <v>45001</v>
          </cell>
          <cell r="O4083">
            <v>44988</v>
          </cell>
          <cell r="P4083">
            <v>45000</v>
          </cell>
          <cell r="Q4083">
            <v>44998</v>
          </cell>
          <cell r="R4083">
            <v>44998</v>
          </cell>
          <cell r="S4083">
            <v>45001</v>
          </cell>
          <cell r="T4083">
            <v>45000</v>
          </cell>
          <cell r="U4083">
            <v>45002</v>
          </cell>
          <cell r="V4083">
            <v>45005</v>
          </cell>
          <cell r="W4083">
            <v>45005</v>
          </cell>
          <cell r="X4083">
            <v>41100461</v>
          </cell>
        </row>
        <row r="4084">
          <cell r="K4084" t="str">
            <v>GBWS-3234</v>
          </cell>
          <cell r="L4084">
            <v>44987</v>
          </cell>
          <cell r="M4084">
            <v>44988</v>
          </cell>
          <cell r="N4084">
            <v>45001</v>
          </cell>
          <cell r="O4084">
            <v>44988</v>
          </cell>
          <cell r="P4084">
            <v>45000</v>
          </cell>
          <cell r="Q4084">
            <v>44998</v>
          </cell>
          <cell r="R4084">
            <v>44998</v>
          </cell>
          <cell r="S4084">
            <v>45001</v>
          </cell>
          <cell r="T4084">
            <v>45001</v>
          </cell>
          <cell r="U4084">
            <v>45002</v>
          </cell>
          <cell r="V4084">
            <v>45005</v>
          </cell>
          <cell r="W4084">
            <v>45005</v>
          </cell>
          <cell r="X4084">
            <v>41100461</v>
          </cell>
        </row>
        <row r="4085">
          <cell r="K4085" t="str">
            <v>DBW-2892</v>
          </cell>
          <cell r="L4085">
            <v>44981</v>
          </cell>
          <cell r="M4085">
            <v>44984</v>
          </cell>
          <cell r="N4085">
            <v>44992</v>
          </cell>
          <cell r="O4085">
            <v>44984</v>
          </cell>
          <cell r="P4085">
            <v>44992</v>
          </cell>
          <cell r="Q4085">
            <v>44993</v>
          </cell>
          <cell r="R4085">
            <v>44993</v>
          </cell>
          <cell r="S4085">
            <v>45001</v>
          </cell>
          <cell r="T4085">
            <v>44998</v>
          </cell>
          <cell r="U4085">
            <v>45001</v>
          </cell>
          <cell r="V4085">
            <v>45001</v>
          </cell>
          <cell r="W4085">
            <v>45002</v>
          </cell>
          <cell r="X4085">
            <v>41100597</v>
          </cell>
        </row>
        <row r="4086">
          <cell r="K4086" t="str">
            <v>DBW-2905</v>
          </cell>
          <cell r="L4086">
            <v>44992</v>
          </cell>
          <cell r="M4086">
            <v>44993</v>
          </cell>
          <cell r="N4086">
            <v>45001</v>
          </cell>
          <cell r="O4086">
            <v>44993</v>
          </cell>
          <cell r="P4086">
            <v>45001</v>
          </cell>
          <cell r="Q4086">
            <v>45001</v>
          </cell>
          <cell r="R4086">
            <v>45001</v>
          </cell>
          <cell r="S4086">
            <v>45001</v>
          </cell>
          <cell r="T4086">
            <v>45003</v>
          </cell>
          <cell r="U4086">
            <v>45006</v>
          </cell>
          <cell r="V4086">
            <v>45007</v>
          </cell>
          <cell r="W4086">
            <v>45007</v>
          </cell>
          <cell r="X4086">
            <v>41100579</v>
          </cell>
        </row>
        <row r="4087">
          <cell r="K4087" t="str">
            <v>DBW-2906</v>
          </cell>
          <cell r="L4087">
            <v>44992</v>
          </cell>
          <cell r="M4087">
            <v>44993</v>
          </cell>
          <cell r="N4087">
            <v>45001</v>
          </cell>
          <cell r="O4087">
            <v>44993</v>
          </cell>
          <cell r="P4087">
            <v>45001</v>
          </cell>
          <cell r="Q4087">
            <v>45001</v>
          </cell>
          <cell r="R4087">
            <v>45001</v>
          </cell>
          <cell r="S4087">
            <v>45001</v>
          </cell>
          <cell r="T4087">
            <v>45006</v>
          </cell>
          <cell r="U4087">
            <v>45006</v>
          </cell>
          <cell r="V4087">
            <v>45007</v>
          </cell>
          <cell r="W4087">
            <v>45007</v>
          </cell>
          <cell r="X4087">
            <v>41100579</v>
          </cell>
        </row>
        <row r="4088">
          <cell r="K4088" t="str">
            <v>GBWS-3218</v>
          </cell>
          <cell r="L4088">
            <v>44991</v>
          </cell>
          <cell r="M4088" t="str">
            <v>2023-02-27 → 3/6</v>
          </cell>
          <cell r="N4088">
            <v>45001</v>
          </cell>
          <cell r="O4088" t="str">
            <v>2023-02-27 → 3/6</v>
          </cell>
          <cell r="P4088">
            <v>45000</v>
          </cell>
          <cell r="Q4088" t="str">
            <v>2023-03-09 → 3/15</v>
          </cell>
          <cell r="R4088" t="str">
            <v>2023-03-09 → 3/15</v>
          </cell>
          <cell r="S4088">
            <v>45001</v>
          </cell>
          <cell r="T4088">
            <v>45003</v>
          </cell>
          <cell r="U4088">
            <v>45006</v>
          </cell>
          <cell r="V4088">
            <v>45006</v>
          </cell>
          <cell r="W4088">
            <v>45007</v>
          </cell>
          <cell r="X4088">
            <v>41100590</v>
          </cell>
        </row>
        <row r="4089">
          <cell r="K4089" t="str">
            <v>GBWS-1957</v>
          </cell>
          <cell r="L4089">
            <v>44539</v>
          </cell>
          <cell r="M4089">
            <v>44539</v>
          </cell>
          <cell r="N4089">
            <v>44551</v>
          </cell>
          <cell r="O4089">
            <v>44539</v>
          </cell>
          <cell r="P4089">
            <v>44548</v>
          </cell>
          <cell r="Q4089">
            <v>44550</v>
          </cell>
          <cell r="R4089">
            <v>44550</v>
          </cell>
          <cell r="S4089"/>
          <cell r="T4089">
            <v>44551</v>
          </cell>
          <cell r="U4089">
            <v>44552</v>
          </cell>
          <cell r="V4089">
            <v>44553</v>
          </cell>
          <cell r="W4089">
            <v>44553</v>
          </cell>
          <cell r="X4089">
            <v>41100424</v>
          </cell>
        </row>
        <row r="4090">
          <cell r="K4090" t="str">
            <v>GBWS-3200</v>
          </cell>
          <cell r="L4090">
            <v>44981</v>
          </cell>
          <cell r="M4090">
            <v>44984</v>
          </cell>
          <cell r="N4090">
            <v>44997</v>
          </cell>
          <cell r="O4090">
            <v>44984</v>
          </cell>
          <cell r="P4090">
            <v>45000</v>
          </cell>
          <cell r="Q4090" t="str">
            <v>2023-03-08 → 3/15</v>
          </cell>
          <cell r="R4090" t="str">
            <v>2023-03-08 → 3/15</v>
          </cell>
          <cell r="S4090">
            <v>45003</v>
          </cell>
          <cell r="T4090">
            <v>45003</v>
          </cell>
          <cell r="U4090">
            <v>45006</v>
          </cell>
          <cell r="V4090">
            <v>45007</v>
          </cell>
          <cell r="W4090">
            <v>45007</v>
          </cell>
          <cell r="X4090">
            <v>41100407</v>
          </cell>
        </row>
        <row r="4091">
          <cell r="K4091" t="str">
            <v>G14030004</v>
          </cell>
          <cell r="L4091">
            <v>45002</v>
          </cell>
          <cell r="M4091">
            <v>45002</v>
          </cell>
          <cell r="N4091">
            <v>45001</v>
          </cell>
          <cell r="O4091">
            <v>45002</v>
          </cell>
          <cell r="P4091">
            <v>45001</v>
          </cell>
          <cell r="Q4091">
            <v>45002</v>
          </cell>
          <cell r="R4091">
            <v>45002</v>
          </cell>
          <cell r="S4091">
            <v>45003</v>
          </cell>
          <cell r="T4091">
            <v>45001</v>
          </cell>
          <cell r="U4091">
            <v>45007</v>
          </cell>
          <cell r="V4091">
            <v>45007</v>
          </cell>
          <cell r="W4091">
            <v>45007</v>
          </cell>
          <cell r="X4091" t="str">
            <v>-</v>
          </cell>
        </row>
        <row r="4092">
          <cell r="K4092" t="str">
            <v>G14030006</v>
          </cell>
          <cell r="L4092">
            <v>45002</v>
          </cell>
          <cell r="M4092">
            <v>45002</v>
          </cell>
          <cell r="N4092">
            <v>45001</v>
          </cell>
          <cell r="O4092">
            <v>45002</v>
          </cell>
          <cell r="P4092">
            <v>45001</v>
          </cell>
          <cell r="Q4092">
            <v>45002</v>
          </cell>
          <cell r="R4092">
            <v>45002</v>
          </cell>
          <cell r="S4092">
            <v>45003</v>
          </cell>
          <cell r="T4092">
            <v>45001</v>
          </cell>
          <cell r="U4092">
            <v>45007</v>
          </cell>
          <cell r="V4092">
            <v>45007</v>
          </cell>
          <cell r="W4092">
            <v>45007</v>
          </cell>
          <cell r="X4092" t="str">
            <v>-</v>
          </cell>
        </row>
        <row r="4093">
          <cell r="K4093" t="str">
            <v>G14030005</v>
          </cell>
          <cell r="L4093">
            <v>45002</v>
          </cell>
          <cell r="M4093">
            <v>45002</v>
          </cell>
          <cell r="N4093">
            <v>45001</v>
          </cell>
          <cell r="O4093">
            <v>45002</v>
          </cell>
          <cell r="P4093">
            <v>45001</v>
          </cell>
          <cell r="Q4093">
            <v>45002</v>
          </cell>
          <cell r="R4093">
            <v>45002</v>
          </cell>
          <cell r="S4093">
            <v>45003</v>
          </cell>
          <cell r="T4093">
            <v>45001</v>
          </cell>
          <cell r="U4093">
            <v>45007</v>
          </cell>
          <cell r="V4093">
            <v>45007</v>
          </cell>
          <cell r="W4093">
            <v>45007</v>
          </cell>
          <cell r="X4093" t="str">
            <v>-</v>
          </cell>
        </row>
        <row r="4094">
          <cell r="K4094" t="str">
            <v>GBWS-3201</v>
          </cell>
          <cell r="L4094">
            <v>44981</v>
          </cell>
          <cell r="M4094">
            <v>44984</v>
          </cell>
          <cell r="N4094">
            <v>45000</v>
          </cell>
          <cell r="O4094">
            <v>44984</v>
          </cell>
          <cell r="P4094">
            <v>45000</v>
          </cell>
          <cell r="Q4094" t="str">
            <v>2023-03-09 → 3/13 → 3/15</v>
          </cell>
          <cell r="R4094" t="str">
            <v>2023-03-09 → 3/13 → 3/15</v>
          </cell>
          <cell r="S4094">
            <v>45003</v>
          </cell>
          <cell r="T4094">
            <v>45001</v>
          </cell>
          <cell r="U4094">
            <v>45006</v>
          </cell>
          <cell r="V4094">
            <v>45006</v>
          </cell>
          <cell r="W4094">
            <v>45006</v>
          </cell>
          <cell r="X4094">
            <v>41100649</v>
          </cell>
        </row>
        <row r="4095">
          <cell r="K4095" t="str">
            <v>GBWS-3202</v>
          </cell>
          <cell r="L4095">
            <v>44981</v>
          </cell>
          <cell r="M4095">
            <v>44984</v>
          </cell>
          <cell r="N4095">
            <v>45000</v>
          </cell>
          <cell r="O4095">
            <v>44984</v>
          </cell>
          <cell r="P4095">
            <v>45000</v>
          </cell>
          <cell r="Q4095" t="str">
            <v>2023-03-09 → 3/13 → 3/15</v>
          </cell>
          <cell r="R4095" t="str">
            <v>2023-03-09 → 3/13 → 3/15</v>
          </cell>
          <cell r="S4095">
            <v>45003</v>
          </cell>
          <cell r="T4095">
            <v>45001</v>
          </cell>
          <cell r="U4095">
            <v>45005</v>
          </cell>
          <cell r="V4095">
            <v>45006</v>
          </cell>
          <cell r="W4095">
            <v>45006</v>
          </cell>
          <cell r="X4095">
            <v>41100649</v>
          </cell>
        </row>
        <row r="4096">
          <cell r="K4096" t="str">
            <v>GBWS-3203</v>
          </cell>
          <cell r="L4096">
            <v>44981</v>
          </cell>
          <cell r="M4096">
            <v>44984</v>
          </cell>
          <cell r="N4096">
            <v>45000</v>
          </cell>
          <cell r="O4096">
            <v>44984</v>
          </cell>
          <cell r="P4096">
            <v>45000</v>
          </cell>
          <cell r="Q4096" t="str">
            <v>2023-03-09 → 3/13 → 3/15</v>
          </cell>
          <cell r="R4096" t="str">
            <v>2023-03-09 → 3/13 → 3/15</v>
          </cell>
          <cell r="S4096">
            <v>45003</v>
          </cell>
          <cell r="T4096">
            <v>45001</v>
          </cell>
          <cell r="U4096">
            <v>45007</v>
          </cell>
          <cell r="V4096">
            <v>45008</v>
          </cell>
          <cell r="W4096">
            <v>45008</v>
          </cell>
          <cell r="X4096">
            <v>41100649</v>
          </cell>
        </row>
        <row r="4097">
          <cell r="K4097" t="str">
            <v>GBWS-3204</v>
          </cell>
          <cell r="L4097">
            <v>44981</v>
          </cell>
          <cell r="M4097">
            <v>44984</v>
          </cell>
          <cell r="N4097">
            <v>45000</v>
          </cell>
          <cell r="O4097">
            <v>44984</v>
          </cell>
          <cell r="P4097">
            <v>45000</v>
          </cell>
          <cell r="Q4097" t="str">
            <v>2023-03-09 → 3/13 → 3/15</v>
          </cell>
          <cell r="R4097" t="str">
            <v>2023-03-09 → 3/13 → 3/15</v>
          </cell>
          <cell r="S4097">
            <v>45003</v>
          </cell>
          <cell r="T4097">
            <v>45001</v>
          </cell>
          <cell r="U4097">
            <v>45006</v>
          </cell>
          <cell r="V4097">
            <v>45007</v>
          </cell>
          <cell r="W4097">
            <v>45008</v>
          </cell>
          <cell r="X4097">
            <v>41100649</v>
          </cell>
        </row>
        <row r="4098">
          <cell r="K4098" t="str">
            <v>GBWS-3211</v>
          </cell>
          <cell r="L4098">
            <v>44981</v>
          </cell>
          <cell r="M4098">
            <v>44984</v>
          </cell>
          <cell r="N4098">
            <v>45002</v>
          </cell>
          <cell r="O4098">
            <v>44984</v>
          </cell>
          <cell r="P4098">
            <v>45004</v>
          </cell>
          <cell r="Q4098" t="str">
            <v>2023-03-09 → 3/14 → 3/19</v>
          </cell>
          <cell r="R4098" t="str">
            <v>2023-03-09 → 3/14 → 3/19</v>
          </cell>
          <cell r="S4098">
            <v>45003</v>
          </cell>
          <cell r="T4098">
            <v>45005</v>
          </cell>
          <cell r="U4098">
            <v>45007</v>
          </cell>
          <cell r="V4098">
            <v>45007</v>
          </cell>
          <cell r="W4098">
            <v>45008</v>
          </cell>
          <cell r="X4098">
            <v>41100649</v>
          </cell>
        </row>
        <row r="4099">
          <cell r="K4099" t="str">
            <v>GBWS-3212</v>
          </cell>
          <cell r="L4099">
            <v>44981</v>
          </cell>
          <cell r="M4099">
            <v>44984</v>
          </cell>
          <cell r="N4099">
            <v>45002</v>
          </cell>
          <cell r="O4099">
            <v>44984</v>
          </cell>
          <cell r="P4099">
            <v>45004</v>
          </cell>
          <cell r="Q4099" t="str">
            <v>2023-03-09 → 3/14 → 3/19</v>
          </cell>
          <cell r="R4099" t="str">
            <v>2023-03-09 → 3/14 → 3/19</v>
          </cell>
          <cell r="S4099">
            <v>45003</v>
          </cell>
          <cell r="T4099">
            <v>45005</v>
          </cell>
          <cell r="U4099">
            <v>45007</v>
          </cell>
          <cell r="V4099">
            <v>45008</v>
          </cell>
          <cell r="W4099">
            <v>45008</v>
          </cell>
          <cell r="X4099">
            <v>41100649</v>
          </cell>
        </row>
        <row r="4100">
          <cell r="K4100" t="str">
            <v>GBWS-3207</v>
          </cell>
          <cell r="L4100">
            <v>44981</v>
          </cell>
          <cell r="M4100">
            <v>44984</v>
          </cell>
          <cell r="N4100">
            <v>45001</v>
          </cell>
          <cell r="O4100">
            <v>44984</v>
          </cell>
          <cell r="P4100">
            <v>45002</v>
          </cell>
          <cell r="Q4100" t="str">
            <v>2023-03-09 → 3/13 → 3/16</v>
          </cell>
          <cell r="R4100" t="str">
            <v>2023-03-09 → 3/13 → 3/16</v>
          </cell>
          <cell r="S4100">
            <v>45003</v>
          </cell>
          <cell r="T4100">
            <v>45002</v>
          </cell>
          <cell r="U4100">
            <v>45007</v>
          </cell>
          <cell r="V4100">
            <v>45007</v>
          </cell>
          <cell r="W4100">
            <v>45008</v>
          </cell>
          <cell r="X4100">
            <v>41100649</v>
          </cell>
        </row>
        <row r="4101">
          <cell r="K4101" t="str">
            <v>GBWS-3208</v>
          </cell>
          <cell r="L4101">
            <v>44981</v>
          </cell>
          <cell r="M4101">
            <v>44984</v>
          </cell>
          <cell r="N4101">
            <v>45001</v>
          </cell>
          <cell r="O4101">
            <v>44984</v>
          </cell>
          <cell r="P4101">
            <v>45002</v>
          </cell>
          <cell r="Q4101" t="str">
            <v>2023-03-09 → 3/13 → 3/16</v>
          </cell>
          <cell r="R4101" t="str">
            <v>2023-03-09 → 3/13 → 3/16</v>
          </cell>
          <cell r="S4101">
            <v>45003</v>
          </cell>
          <cell r="T4101">
            <v>45002</v>
          </cell>
          <cell r="U4101">
            <v>45006</v>
          </cell>
          <cell r="V4101">
            <v>45006</v>
          </cell>
          <cell r="W4101">
            <v>45006</v>
          </cell>
          <cell r="X4101">
            <v>41100649</v>
          </cell>
        </row>
        <row r="4102">
          <cell r="K4102" t="str">
            <v>GBWS-3209</v>
          </cell>
          <cell r="L4102">
            <v>44981</v>
          </cell>
          <cell r="M4102">
            <v>44984</v>
          </cell>
          <cell r="N4102">
            <v>45002</v>
          </cell>
          <cell r="O4102">
            <v>44984</v>
          </cell>
          <cell r="P4102">
            <v>45003</v>
          </cell>
          <cell r="Q4102" t="str">
            <v>2023-03-09 → 3/14 → 3/19</v>
          </cell>
          <cell r="R4102" t="str">
            <v>2023-03-09 → 3/14 → 3/19</v>
          </cell>
          <cell r="S4102">
            <v>45003</v>
          </cell>
          <cell r="T4102">
            <v>45005</v>
          </cell>
          <cell r="U4102">
            <v>45007</v>
          </cell>
          <cell r="V4102">
            <v>45007</v>
          </cell>
          <cell r="W4102">
            <v>45008</v>
          </cell>
          <cell r="X4102">
            <v>41100649</v>
          </cell>
        </row>
        <row r="4103">
          <cell r="K4103" t="str">
            <v>GBWS-3210</v>
          </cell>
          <cell r="L4103">
            <v>44981</v>
          </cell>
          <cell r="M4103">
            <v>44984</v>
          </cell>
          <cell r="N4103">
            <v>45002</v>
          </cell>
          <cell r="O4103">
            <v>44984</v>
          </cell>
          <cell r="P4103">
            <v>45003</v>
          </cell>
          <cell r="Q4103" t="str">
            <v>2023-03-09 → 3/14 → 3/19</v>
          </cell>
          <cell r="R4103" t="str">
            <v>2023-03-09 → 3/14 → 3/19</v>
          </cell>
          <cell r="S4103">
            <v>45003</v>
          </cell>
          <cell r="T4103">
            <v>45005</v>
          </cell>
          <cell r="U4103">
            <v>45007</v>
          </cell>
          <cell r="V4103">
            <v>45007</v>
          </cell>
          <cell r="W4103">
            <v>45008</v>
          </cell>
          <cell r="X4103">
            <v>41100649</v>
          </cell>
        </row>
        <row r="4104">
          <cell r="K4104" t="str">
            <v>GBWS-3192</v>
          </cell>
          <cell r="L4104">
            <v>44977</v>
          </cell>
          <cell r="M4104" t="str">
            <v>2023-02-21 → 2/23</v>
          </cell>
          <cell r="N4104">
            <v>44991</v>
          </cell>
          <cell r="O4104" t="str">
            <v>2023-02-21 → 2/23</v>
          </cell>
          <cell r="P4104">
            <v>44993</v>
          </cell>
          <cell r="Q4104" t="str">
            <v>2023-03-02 → 3/8</v>
          </cell>
          <cell r="R4104" t="str">
            <v>2023-03-02 → 3/8</v>
          </cell>
          <cell r="S4104">
            <v>45003</v>
          </cell>
          <cell r="T4104">
            <v>44997</v>
          </cell>
          <cell r="U4104">
            <v>45006</v>
          </cell>
          <cell r="V4104">
            <v>45007</v>
          </cell>
          <cell r="W4104">
            <v>45007</v>
          </cell>
          <cell r="X4104">
            <v>41100468</v>
          </cell>
        </row>
        <row r="4105">
          <cell r="K4105" t="str">
            <v>GBWS-3193</v>
          </cell>
          <cell r="L4105">
            <v>44977</v>
          </cell>
          <cell r="M4105" t="str">
            <v>2023-02-21 → 2/23</v>
          </cell>
          <cell r="N4105">
            <v>44991</v>
          </cell>
          <cell r="O4105" t="str">
            <v>2023-02-21 → 2/23</v>
          </cell>
          <cell r="P4105">
            <v>44993</v>
          </cell>
          <cell r="Q4105" t="str">
            <v>2023-03-02 → 3/8</v>
          </cell>
          <cell r="R4105" t="str">
            <v>2023-03-02 → 3/8</v>
          </cell>
          <cell r="S4105">
            <v>45003</v>
          </cell>
          <cell r="T4105">
            <v>44997</v>
          </cell>
          <cell r="U4105">
            <v>45006</v>
          </cell>
          <cell r="V4105">
            <v>45007</v>
          </cell>
          <cell r="W4105">
            <v>45007</v>
          </cell>
          <cell r="X4105">
            <v>41100468</v>
          </cell>
        </row>
        <row r="4106">
          <cell r="K4106" t="str">
            <v>G14090017</v>
          </cell>
          <cell r="L4106">
            <v>45002</v>
          </cell>
          <cell r="M4106">
            <v>45002</v>
          </cell>
          <cell r="N4106">
            <v>45002</v>
          </cell>
          <cell r="O4106">
            <v>45002</v>
          </cell>
          <cell r="P4106">
            <v>45002</v>
          </cell>
          <cell r="Q4106">
            <v>45002</v>
          </cell>
          <cell r="R4106">
            <v>45002</v>
          </cell>
          <cell r="S4106">
            <v>45003</v>
          </cell>
          <cell r="T4106">
            <v>45002</v>
          </cell>
          <cell r="U4106">
            <v>45008</v>
          </cell>
          <cell r="V4106">
            <v>45008</v>
          </cell>
          <cell r="W4106">
            <v>45008</v>
          </cell>
          <cell r="X4106" t="str">
            <v>-</v>
          </cell>
        </row>
        <row r="4107">
          <cell r="K4107" t="str">
            <v>G14090032</v>
          </cell>
          <cell r="L4107">
            <v>45002</v>
          </cell>
          <cell r="M4107">
            <v>45002</v>
          </cell>
          <cell r="N4107">
            <v>45002</v>
          </cell>
          <cell r="O4107">
            <v>45002</v>
          </cell>
          <cell r="P4107">
            <v>45002</v>
          </cell>
          <cell r="Q4107">
            <v>45002</v>
          </cell>
          <cell r="R4107">
            <v>45002</v>
          </cell>
          <cell r="S4107">
            <v>45003</v>
          </cell>
          <cell r="T4107">
            <v>45002</v>
          </cell>
          <cell r="U4107">
            <v>45008</v>
          </cell>
          <cell r="V4107">
            <v>45008</v>
          </cell>
          <cell r="W4107">
            <v>45008</v>
          </cell>
          <cell r="X4107" t="str">
            <v>-</v>
          </cell>
        </row>
        <row r="4108">
          <cell r="K4108" t="str">
            <v>G14030009</v>
          </cell>
          <cell r="L4108">
            <v>45006</v>
          </cell>
          <cell r="M4108">
            <v>45006</v>
          </cell>
          <cell r="N4108">
            <v>45007</v>
          </cell>
          <cell r="O4108">
            <v>45006</v>
          </cell>
          <cell r="P4108">
            <v>45007</v>
          </cell>
          <cell r="Q4108">
            <v>45006</v>
          </cell>
          <cell r="R4108">
            <v>45006</v>
          </cell>
          <cell r="S4108">
            <v>45003</v>
          </cell>
          <cell r="T4108">
            <v>45007</v>
          </cell>
          <cell r="U4108">
            <v>45008</v>
          </cell>
          <cell r="V4108">
            <v>45008</v>
          </cell>
          <cell r="W4108">
            <v>45008</v>
          </cell>
          <cell r="X4108" t="str">
            <v>-</v>
          </cell>
        </row>
        <row r="4109">
          <cell r="K4109" t="str">
            <v>G14090006</v>
          </cell>
          <cell r="L4109">
            <v>45006</v>
          </cell>
          <cell r="M4109">
            <v>45006</v>
          </cell>
          <cell r="N4109">
            <v>45007</v>
          </cell>
          <cell r="O4109">
            <v>45006</v>
          </cell>
          <cell r="P4109">
            <v>45007</v>
          </cell>
          <cell r="Q4109">
            <v>45006</v>
          </cell>
          <cell r="R4109">
            <v>45006</v>
          </cell>
          <cell r="S4109">
            <v>45003</v>
          </cell>
          <cell r="T4109">
            <v>45007</v>
          </cell>
          <cell r="U4109">
            <v>45008</v>
          </cell>
          <cell r="V4109">
            <v>45008</v>
          </cell>
          <cell r="W4109">
            <v>45008</v>
          </cell>
          <cell r="X4109" t="str">
            <v>-</v>
          </cell>
        </row>
        <row r="4110">
          <cell r="K4110" t="str">
            <v>GBWS-3205</v>
          </cell>
          <cell r="L4110">
            <v>44981</v>
          </cell>
          <cell r="M4110">
            <v>44984</v>
          </cell>
          <cell r="N4110">
            <v>45001</v>
          </cell>
          <cell r="O4110">
            <v>44984</v>
          </cell>
          <cell r="P4110">
            <v>45002</v>
          </cell>
          <cell r="Q4110" t="str">
            <v>2023-03-09 → 3/13 → 3/16</v>
          </cell>
          <cell r="R4110" t="str">
            <v>2023-03-09 → 3/13 → 3/16</v>
          </cell>
          <cell r="S4110">
            <v>45003</v>
          </cell>
          <cell r="T4110">
            <v>45002</v>
          </cell>
          <cell r="U4110">
            <v>45007</v>
          </cell>
          <cell r="V4110">
            <v>45009</v>
          </cell>
          <cell r="W4110">
            <v>45009</v>
          </cell>
          <cell r="X4110">
            <v>41100649</v>
          </cell>
        </row>
        <row r="4111">
          <cell r="K4111" t="str">
            <v>GBWS-3217</v>
          </cell>
          <cell r="L4111">
            <v>44991</v>
          </cell>
          <cell r="M4111">
            <v>44991</v>
          </cell>
          <cell r="N4111">
            <v>45004</v>
          </cell>
          <cell r="O4111">
            <v>44991</v>
          </cell>
          <cell r="P4111">
            <v>45004</v>
          </cell>
          <cell r="Q4111" t="str">
            <v>2023-03-09 → 3/14 → 3/19</v>
          </cell>
          <cell r="R4111" t="str">
            <v>2023-03-09 → 3/14 → 3/19</v>
          </cell>
          <cell r="S4111">
            <v>45003</v>
          </cell>
          <cell r="T4111">
            <v>45005</v>
          </cell>
          <cell r="U4111">
            <v>45008</v>
          </cell>
          <cell r="V4111">
            <v>45009</v>
          </cell>
          <cell r="W4111">
            <v>45009</v>
          </cell>
          <cell r="X4111">
            <v>41100651</v>
          </cell>
        </row>
        <row r="4112">
          <cell r="K4112" t="str">
            <v>GBWS-3219</v>
          </cell>
          <cell r="L4112">
            <v>44988</v>
          </cell>
          <cell r="M4112">
            <v>44991</v>
          </cell>
          <cell r="N4112">
            <v>45004</v>
          </cell>
          <cell r="O4112">
            <v>44991</v>
          </cell>
          <cell r="P4112">
            <v>45004</v>
          </cell>
          <cell r="Q4112" t="str">
            <v>2023-03-09 → 3/14 → 3/19</v>
          </cell>
          <cell r="R4112" t="str">
            <v>2023-03-09 → 3/14 → 3/19</v>
          </cell>
          <cell r="S4112">
            <v>45003</v>
          </cell>
          <cell r="T4112">
            <v>45006</v>
          </cell>
          <cell r="U4112">
            <v>45008</v>
          </cell>
          <cell r="V4112">
            <v>45009</v>
          </cell>
          <cell r="W4112">
            <v>45009</v>
          </cell>
          <cell r="X4112" t="str">
            <v>41100507 → 41100645</v>
          </cell>
        </row>
        <row r="4113">
          <cell r="K4113" t="str">
            <v>GBWS-3220</v>
          </cell>
          <cell r="L4113">
            <v>44988</v>
          </cell>
          <cell r="M4113">
            <v>44991</v>
          </cell>
          <cell r="N4113">
            <v>45004</v>
          </cell>
          <cell r="O4113">
            <v>44991</v>
          </cell>
          <cell r="P4113">
            <v>45004</v>
          </cell>
          <cell r="Q4113" t="str">
            <v>2023-03-09 → 3/14 → 3/19</v>
          </cell>
          <cell r="R4113" t="str">
            <v>2023-03-09 → 3/14 → 3/19</v>
          </cell>
          <cell r="S4113">
            <v>45003</v>
          </cell>
          <cell r="T4113">
            <v>45006</v>
          </cell>
          <cell r="U4113">
            <v>45008</v>
          </cell>
          <cell r="V4113">
            <v>45009</v>
          </cell>
          <cell r="W4113">
            <v>45009</v>
          </cell>
          <cell r="X4113" t="str">
            <v>41100507 → 41100645</v>
          </cell>
        </row>
        <row r="4114">
          <cell r="K4114" t="str">
            <v>GBWS-3221</v>
          </cell>
          <cell r="L4114">
            <v>44988</v>
          </cell>
          <cell r="M4114">
            <v>44991</v>
          </cell>
          <cell r="N4114">
            <v>45004</v>
          </cell>
          <cell r="O4114">
            <v>44991</v>
          </cell>
          <cell r="P4114">
            <v>45004</v>
          </cell>
          <cell r="Q4114" t="str">
            <v>2023-03-09 → 3/14 → 3/19</v>
          </cell>
          <cell r="R4114" t="str">
            <v>2023-03-09 → 3/14 → 3/19</v>
          </cell>
          <cell r="S4114">
            <v>45003</v>
          </cell>
          <cell r="T4114">
            <v>45006</v>
          </cell>
          <cell r="U4114">
            <v>45008</v>
          </cell>
          <cell r="V4114">
            <v>45009</v>
          </cell>
          <cell r="W4114">
            <v>45009</v>
          </cell>
          <cell r="X4114" t="str">
            <v>41100507 → 41100645</v>
          </cell>
        </row>
        <row r="4115">
          <cell r="K4115" t="str">
            <v>GBWS-3223</v>
          </cell>
          <cell r="L4115">
            <v>44988</v>
          </cell>
          <cell r="M4115">
            <v>44991</v>
          </cell>
          <cell r="N4115">
            <v>45005</v>
          </cell>
          <cell r="O4115">
            <v>44991</v>
          </cell>
          <cell r="P4115">
            <v>45007</v>
          </cell>
          <cell r="Q4115" t="str">
            <v>2023-03-09 → 3/14 → 3/20</v>
          </cell>
          <cell r="R4115" t="str">
            <v>2023-03-09 → 3/14 → 3/20</v>
          </cell>
          <cell r="S4115">
            <v>45003</v>
          </cell>
          <cell r="T4115">
            <v>45007</v>
          </cell>
          <cell r="U4115">
            <v>45008</v>
          </cell>
          <cell r="V4115">
            <v>45009</v>
          </cell>
          <cell r="W4115">
            <v>45009</v>
          </cell>
          <cell r="X4115" t="str">
            <v>41100509 → 41100651</v>
          </cell>
        </row>
        <row r="4116">
          <cell r="K4116" t="str">
            <v>GBWS-3224</v>
          </cell>
          <cell r="L4116">
            <v>44988</v>
          </cell>
          <cell r="M4116">
            <v>44991</v>
          </cell>
          <cell r="N4116">
            <v>45005</v>
          </cell>
          <cell r="O4116">
            <v>44991</v>
          </cell>
          <cell r="P4116">
            <v>45007</v>
          </cell>
          <cell r="Q4116" t="str">
            <v>2023-03-09 → 3/14 → 3/20</v>
          </cell>
          <cell r="R4116" t="str">
            <v>2023-03-09 → 3/14 → 3/20</v>
          </cell>
          <cell r="S4116">
            <v>45003</v>
          </cell>
          <cell r="T4116">
            <v>45007</v>
          </cell>
          <cell r="U4116">
            <v>45008</v>
          </cell>
          <cell r="V4116">
            <v>45009</v>
          </cell>
          <cell r="W4116">
            <v>45009</v>
          </cell>
          <cell r="X4116" t="str">
            <v>41100509 → 41100651</v>
          </cell>
        </row>
        <row r="4117">
          <cell r="K4117" t="str">
            <v>GBWS-3222</v>
          </cell>
          <cell r="L4117">
            <v>44988</v>
          </cell>
          <cell r="M4117">
            <v>44991</v>
          </cell>
          <cell r="N4117">
            <v>45006</v>
          </cell>
          <cell r="O4117">
            <v>44991</v>
          </cell>
          <cell r="P4117">
            <v>45007</v>
          </cell>
          <cell r="Q4117" t="str">
            <v>2023-03-09 → 3/14 → 3/21</v>
          </cell>
          <cell r="R4117" t="str">
            <v>2023-03-09 → 3/14 → 3/21</v>
          </cell>
          <cell r="S4117">
            <v>45003</v>
          </cell>
          <cell r="T4117">
            <v>45007</v>
          </cell>
          <cell r="U4117">
            <v>45008</v>
          </cell>
          <cell r="V4117">
            <v>45009</v>
          </cell>
          <cell r="W4117">
            <v>45009</v>
          </cell>
          <cell r="X4117" t="str">
            <v>41100509 → 41100651</v>
          </cell>
        </row>
        <row r="4118">
          <cell r="K4118" t="str">
            <v>GBWS-3206</v>
          </cell>
          <cell r="L4118">
            <v>44981</v>
          </cell>
          <cell r="M4118">
            <v>44984</v>
          </cell>
          <cell r="N4118">
            <v>45001</v>
          </cell>
          <cell r="O4118">
            <v>44984</v>
          </cell>
          <cell r="P4118">
            <v>45002</v>
          </cell>
          <cell r="Q4118" t="str">
            <v>2023-03-09 → 3/13 → 3/16</v>
          </cell>
          <cell r="R4118" t="str">
            <v>2023-03-09 → 3/13 → 3/16</v>
          </cell>
          <cell r="S4118">
            <v>45001</v>
          </cell>
          <cell r="T4118">
            <v>45002</v>
          </cell>
          <cell r="U4118">
            <v>45007</v>
          </cell>
          <cell r="V4118">
            <v>45008</v>
          </cell>
          <cell r="W4118">
            <v>45008</v>
          </cell>
          <cell r="X4118">
            <v>41100649</v>
          </cell>
        </row>
        <row r="4119">
          <cell r="K4119" t="str">
            <v>G13030029</v>
          </cell>
          <cell r="L4119">
            <v>45006</v>
          </cell>
          <cell r="M4119">
            <v>45006</v>
          </cell>
          <cell r="N4119">
            <v>45007</v>
          </cell>
          <cell r="O4119">
            <v>45006</v>
          </cell>
          <cell r="P4119">
            <v>45007</v>
          </cell>
          <cell r="Q4119">
            <v>45006</v>
          </cell>
          <cell r="R4119">
            <v>45006</v>
          </cell>
          <cell r="S4119">
            <v>45003</v>
          </cell>
          <cell r="T4119">
            <v>45007</v>
          </cell>
          <cell r="U4119">
            <v>45009</v>
          </cell>
          <cell r="V4119">
            <v>45012</v>
          </cell>
          <cell r="W4119">
            <v>45012</v>
          </cell>
          <cell r="X4119" t="str">
            <v>-</v>
          </cell>
        </row>
        <row r="4120">
          <cell r="K4120" t="str">
            <v>G1H3011</v>
          </cell>
          <cell r="L4120">
            <v>45009</v>
          </cell>
          <cell r="M4120">
            <v>45009</v>
          </cell>
          <cell r="N4120">
            <v>45007</v>
          </cell>
          <cell r="O4120">
            <v>45009</v>
          </cell>
          <cell r="P4120">
            <v>45007</v>
          </cell>
          <cell r="Q4120">
            <v>45009</v>
          </cell>
          <cell r="R4120">
            <v>45009</v>
          </cell>
          <cell r="S4120">
            <v>45003</v>
          </cell>
          <cell r="T4120">
            <v>45007</v>
          </cell>
          <cell r="U4120">
            <v>45009</v>
          </cell>
          <cell r="V4120">
            <v>45012</v>
          </cell>
          <cell r="W4120">
            <v>45012</v>
          </cell>
          <cell r="X4120" t="str">
            <v>-</v>
          </cell>
        </row>
        <row r="4121">
          <cell r="K4121" t="str">
            <v>G13090008</v>
          </cell>
          <cell r="L4121">
            <v>45009</v>
          </cell>
          <cell r="M4121">
            <v>45009</v>
          </cell>
          <cell r="N4121">
            <v>45007</v>
          </cell>
          <cell r="O4121">
            <v>45009</v>
          </cell>
          <cell r="P4121">
            <v>45007</v>
          </cell>
          <cell r="Q4121">
            <v>45009</v>
          </cell>
          <cell r="R4121">
            <v>45009</v>
          </cell>
          <cell r="S4121">
            <v>45003</v>
          </cell>
          <cell r="T4121">
            <v>45007</v>
          </cell>
          <cell r="U4121">
            <v>45009</v>
          </cell>
          <cell r="V4121">
            <v>45012</v>
          </cell>
          <cell r="W4121">
            <v>45012</v>
          </cell>
          <cell r="X4121" t="str">
            <v>-</v>
          </cell>
        </row>
        <row r="4122">
          <cell r="K4122" t="str">
            <v>WS-0081</v>
          </cell>
          <cell r="L4122">
            <v>44999</v>
          </cell>
          <cell r="M4122">
            <v>45000</v>
          </cell>
          <cell r="N4122">
            <v>45009</v>
          </cell>
          <cell r="O4122">
            <v>45000</v>
          </cell>
          <cell r="P4122">
            <v>45009</v>
          </cell>
          <cell r="Q4122" t="str">
            <v>2023-03-23 → 3/24 오전</v>
          </cell>
          <cell r="R4122" t="str">
            <v>2023-03-23 → 3/24 오전</v>
          </cell>
          <cell r="S4122">
            <v>45003</v>
          </cell>
          <cell r="T4122">
            <v>45012</v>
          </cell>
          <cell r="U4122">
            <v>45012</v>
          </cell>
          <cell r="V4122">
            <v>45012</v>
          </cell>
          <cell r="W4122">
            <v>45013</v>
          </cell>
          <cell r="X4122">
            <v>41100238</v>
          </cell>
        </row>
        <row r="4123">
          <cell r="K4123" t="str">
            <v>GBWS-3257</v>
          </cell>
          <cell r="L4123">
            <v>44999</v>
          </cell>
          <cell r="M4123">
            <v>45000</v>
          </cell>
          <cell r="N4123">
            <v>45009</v>
          </cell>
          <cell r="O4123">
            <v>45000</v>
          </cell>
          <cell r="P4123">
            <v>45009</v>
          </cell>
          <cell r="Q4123" t="str">
            <v>2023-03-23 → 3/24 오전</v>
          </cell>
          <cell r="R4123" t="str">
            <v>2023-03-23 → 3/24 오전</v>
          </cell>
          <cell r="S4123">
            <v>45008</v>
          </cell>
          <cell r="T4123">
            <v>45009</v>
          </cell>
          <cell r="U4123">
            <v>45013</v>
          </cell>
          <cell r="V4123">
            <v>45013</v>
          </cell>
          <cell r="W4123">
            <v>45013</v>
          </cell>
          <cell r="X4123">
            <v>41100617</v>
          </cell>
        </row>
        <row r="4124">
          <cell r="K4124" t="str">
            <v>G14030048</v>
          </cell>
          <cell r="L4124">
            <v>45009</v>
          </cell>
          <cell r="M4124">
            <v>45009</v>
          </cell>
          <cell r="N4124">
            <v>45009</v>
          </cell>
          <cell r="O4124">
            <v>45009</v>
          </cell>
          <cell r="P4124">
            <v>45009</v>
          </cell>
          <cell r="Q4124">
            <v>45009</v>
          </cell>
          <cell r="R4124">
            <v>45009</v>
          </cell>
          <cell r="S4124">
            <v>45009</v>
          </cell>
          <cell r="T4124">
            <v>45009</v>
          </cell>
          <cell r="U4124"/>
          <cell r="V4124"/>
          <cell r="W4124"/>
          <cell r="X4124" t="str">
            <v>-</v>
          </cell>
        </row>
        <row r="4125">
          <cell r="K4125" t="str">
            <v>IVAS-195</v>
          </cell>
          <cell r="L4125">
            <v>44985</v>
          </cell>
          <cell r="M4125">
            <v>44987</v>
          </cell>
          <cell r="N4125">
            <v>45000</v>
          </cell>
          <cell r="O4125">
            <v>44987</v>
          </cell>
          <cell r="P4125">
            <v>45000</v>
          </cell>
          <cell r="Q4125">
            <v>44998</v>
          </cell>
          <cell r="R4125">
            <v>44998</v>
          </cell>
          <cell r="S4125">
            <v>45007</v>
          </cell>
          <cell r="T4125">
            <v>45007</v>
          </cell>
          <cell r="U4125">
            <v>45015</v>
          </cell>
          <cell r="V4125">
            <v>45016</v>
          </cell>
          <cell r="W4125">
            <v>45016</v>
          </cell>
          <cell r="X4125">
            <v>41000475</v>
          </cell>
        </row>
        <row r="4126">
          <cell r="K4126" t="str">
            <v>DBW-2901</v>
          </cell>
          <cell r="L4126">
            <v>44985</v>
          </cell>
          <cell r="M4126">
            <v>44987</v>
          </cell>
          <cell r="N4126">
            <v>44995</v>
          </cell>
          <cell r="O4126">
            <v>44987</v>
          </cell>
          <cell r="P4126">
            <v>44995</v>
          </cell>
          <cell r="Q4126">
            <v>44995</v>
          </cell>
          <cell r="R4126">
            <v>44995</v>
          </cell>
          <cell r="S4126">
            <v>45007</v>
          </cell>
          <cell r="T4126">
            <v>45008</v>
          </cell>
          <cell r="U4126">
            <v>45009</v>
          </cell>
          <cell r="V4126">
            <v>45012</v>
          </cell>
          <cell r="W4126">
            <v>45012</v>
          </cell>
          <cell r="X4126">
            <v>41100496</v>
          </cell>
        </row>
        <row r="4127">
          <cell r="K4127" t="str">
            <v>DBW-2902</v>
          </cell>
          <cell r="L4127">
            <v>44985</v>
          </cell>
          <cell r="M4127">
            <v>44987</v>
          </cell>
          <cell r="N4127">
            <v>44995</v>
          </cell>
          <cell r="O4127">
            <v>44987</v>
          </cell>
          <cell r="P4127">
            <v>44995</v>
          </cell>
          <cell r="Q4127">
            <v>44995</v>
          </cell>
          <cell r="R4127">
            <v>44995</v>
          </cell>
          <cell r="S4127">
            <v>45007</v>
          </cell>
          <cell r="T4127">
            <v>45008</v>
          </cell>
          <cell r="U4127">
            <v>45009</v>
          </cell>
          <cell r="V4127">
            <v>45013</v>
          </cell>
          <cell r="W4127">
            <v>45013</v>
          </cell>
          <cell r="X4127">
            <v>41100496</v>
          </cell>
        </row>
        <row r="4128">
          <cell r="K4128" t="str">
            <v>DBW-2903</v>
          </cell>
          <cell r="L4128">
            <v>44985</v>
          </cell>
          <cell r="M4128">
            <v>44987</v>
          </cell>
          <cell r="N4128">
            <v>44995</v>
          </cell>
          <cell r="O4128">
            <v>44987</v>
          </cell>
          <cell r="P4128">
            <v>44995</v>
          </cell>
          <cell r="Q4128">
            <v>44995</v>
          </cell>
          <cell r="R4128">
            <v>44995</v>
          </cell>
          <cell r="S4128">
            <v>45000</v>
          </cell>
          <cell r="T4128">
            <v>45001</v>
          </cell>
          <cell r="U4128">
            <v>45006</v>
          </cell>
          <cell r="V4128">
            <v>45006</v>
          </cell>
          <cell r="W4128">
            <v>45008</v>
          </cell>
          <cell r="X4128">
            <v>41100496</v>
          </cell>
        </row>
        <row r="4129">
          <cell r="K4129" t="str">
            <v>GBWS-3225</v>
          </cell>
          <cell r="L4129">
            <v>44994</v>
          </cell>
          <cell r="M4129">
            <v>44995</v>
          </cell>
          <cell r="N4129">
            <v>45005</v>
          </cell>
          <cell r="O4129">
            <v>44995</v>
          </cell>
          <cell r="P4129">
            <v>45005</v>
          </cell>
          <cell r="Q4129">
            <v>45005</v>
          </cell>
          <cell r="R4129">
            <v>45005</v>
          </cell>
          <cell r="S4129">
            <v>45008</v>
          </cell>
          <cell r="T4129">
            <v>45015</v>
          </cell>
          <cell r="U4129">
            <v>45019</v>
          </cell>
          <cell r="V4129">
            <v>45019</v>
          </cell>
          <cell r="W4129">
            <v>45019</v>
          </cell>
          <cell r="X4129">
            <v>41100551</v>
          </cell>
        </row>
        <row r="4130">
          <cell r="K4130" t="str">
            <v>GBWS-3226</v>
          </cell>
          <cell r="L4130">
            <v>44994</v>
          </cell>
          <cell r="M4130">
            <v>44995</v>
          </cell>
          <cell r="N4130">
            <v>45005</v>
          </cell>
          <cell r="O4130">
            <v>44995</v>
          </cell>
          <cell r="P4130">
            <v>45005</v>
          </cell>
          <cell r="Q4130">
            <v>45005</v>
          </cell>
          <cell r="R4130">
            <v>45005</v>
          </cell>
          <cell r="S4130">
            <v>45008</v>
          </cell>
          <cell r="T4130">
            <v>45015</v>
          </cell>
          <cell r="U4130">
            <v>45019</v>
          </cell>
          <cell r="V4130">
            <v>45019</v>
          </cell>
          <cell r="W4130">
            <v>45019</v>
          </cell>
          <cell r="X4130">
            <v>41100546</v>
          </cell>
        </row>
        <row r="4131">
          <cell r="K4131" t="str">
            <v>GBWS-3264</v>
          </cell>
          <cell r="L4131">
            <v>45001</v>
          </cell>
          <cell r="M4131">
            <v>45002</v>
          </cell>
          <cell r="N4131">
            <v>45015</v>
          </cell>
          <cell r="O4131">
            <v>45002</v>
          </cell>
          <cell r="P4131">
            <v>45015</v>
          </cell>
          <cell r="Q4131" t="str">
            <v>2023-03-27 → 3/29</v>
          </cell>
          <cell r="R4131" t="str">
            <v>2023-03-27 → 3/30 오전</v>
          </cell>
          <cell r="S4131">
            <v>45015</v>
          </cell>
          <cell r="T4131">
            <v>45015</v>
          </cell>
          <cell r="U4131">
            <v>45019</v>
          </cell>
          <cell r="V4131">
            <v>45019</v>
          </cell>
          <cell r="W4131">
            <v>45019</v>
          </cell>
          <cell r="X4131">
            <v>41100576</v>
          </cell>
        </row>
        <row r="4132">
          <cell r="K4132" t="str">
            <v>G12030004</v>
          </cell>
          <cell r="L4132">
            <v>45013</v>
          </cell>
          <cell r="M4132">
            <v>45013</v>
          </cell>
          <cell r="N4132">
            <v>45015</v>
          </cell>
          <cell r="O4132">
            <v>45013</v>
          </cell>
          <cell r="P4132">
            <v>45015</v>
          </cell>
          <cell r="Q4132">
            <v>45013</v>
          </cell>
          <cell r="R4132">
            <v>45013</v>
          </cell>
          <cell r="S4132">
            <v>45015</v>
          </cell>
          <cell r="T4132">
            <v>45015</v>
          </cell>
          <cell r="U4132">
            <v>45019</v>
          </cell>
          <cell r="V4132">
            <v>45019</v>
          </cell>
          <cell r="W4132">
            <v>45019</v>
          </cell>
          <cell r="X4132" t="str">
            <v>-</v>
          </cell>
        </row>
        <row r="4133">
          <cell r="K4133" t="str">
            <v>GPWS-0244</v>
          </cell>
          <cell r="L4133">
            <v>44951</v>
          </cell>
          <cell r="M4133">
            <v>44952</v>
          </cell>
          <cell r="N4133">
            <v>44971</v>
          </cell>
          <cell r="O4133">
            <v>44952</v>
          </cell>
          <cell r="P4133">
            <v>44971</v>
          </cell>
          <cell r="Q4133">
            <v>44963</v>
          </cell>
          <cell r="R4133">
            <v>44963</v>
          </cell>
          <cell r="S4133"/>
          <cell r="T4133">
            <v>44972</v>
          </cell>
          <cell r="U4133">
            <v>44973</v>
          </cell>
          <cell r="V4133">
            <v>44974</v>
          </cell>
          <cell r="W4133">
            <v>44974</v>
          </cell>
          <cell r="X4133">
            <v>41100445</v>
          </cell>
        </row>
        <row r="4134">
          <cell r="K4134" t="str">
            <v>GPWS-0178</v>
          </cell>
          <cell r="L4134">
            <v>43595</v>
          </cell>
          <cell r="M4134">
            <v>43598</v>
          </cell>
          <cell r="N4134">
            <v>43609</v>
          </cell>
          <cell r="O4134">
            <v>43598</v>
          </cell>
          <cell r="P4134">
            <v>43613</v>
          </cell>
          <cell r="Q4134">
            <v>43614</v>
          </cell>
          <cell r="R4134">
            <v>43614</v>
          </cell>
          <cell r="S4134"/>
          <cell r="T4134">
            <v>43615</v>
          </cell>
          <cell r="U4134">
            <v>43615</v>
          </cell>
          <cell r="V4134">
            <v>43616</v>
          </cell>
          <cell r="W4134">
            <v>43616</v>
          </cell>
          <cell r="X4134">
            <v>41100072</v>
          </cell>
        </row>
        <row r="4135">
          <cell r="K4135"/>
          <cell r="L4135">
            <v>44955</v>
          </cell>
          <cell r="M4135">
            <v>44956</v>
          </cell>
          <cell r="N4135">
            <v>44971</v>
          </cell>
          <cell r="O4135">
            <v>44956</v>
          </cell>
          <cell r="P4135">
            <v>44971</v>
          </cell>
          <cell r="Q4135">
            <v>44963</v>
          </cell>
          <cell r="R4135">
            <v>44963</v>
          </cell>
          <cell r="S4135"/>
          <cell r="T4135">
            <v>44971</v>
          </cell>
          <cell r="U4135">
            <v>44973</v>
          </cell>
          <cell r="V4135">
            <v>44974</v>
          </cell>
          <cell r="W4135">
            <v>44974</v>
          </cell>
          <cell r="X4135">
            <v>41100445</v>
          </cell>
        </row>
        <row r="4136">
          <cell r="K4136" t="str">
            <v>IVAS-196</v>
          </cell>
          <cell r="L4136">
            <v>44992</v>
          </cell>
          <cell r="M4136">
            <v>44993</v>
          </cell>
          <cell r="N4136">
            <v>45005</v>
          </cell>
          <cell r="O4136">
            <v>44993</v>
          </cell>
          <cell r="P4136">
            <v>45006</v>
          </cell>
          <cell r="Q4136" t="str">
            <v>2023-03-20 → 3/21(전장 I/O)</v>
          </cell>
          <cell r="R4136" t="str">
            <v>2023-03-20 → 3/21(전장 I/O)</v>
          </cell>
          <cell r="S4136">
            <v>45007</v>
          </cell>
          <cell r="T4136">
            <v>45007</v>
          </cell>
          <cell r="U4136">
            <v>45019</v>
          </cell>
          <cell r="V4136">
            <v>45021</v>
          </cell>
          <cell r="W4136">
            <v>45021</v>
          </cell>
          <cell r="X4136">
            <v>41100383</v>
          </cell>
        </row>
        <row r="4137">
          <cell r="K4137" t="str">
            <v>GBWS-3258</v>
          </cell>
          <cell r="L4137">
            <v>45000</v>
          </cell>
          <cell r="M4137">
            <v>45001</v>
          </cell>
          <cell r="N4137">
            <v>45011</v>
          </cell>
          <cell r="O4137">
            <v>45001</v>
          </cell>
          <cell r="P4137">
            <v>45012</v>
          </cell>
          <cell r="Q4137" t="str">
            <v>2023-03-24 → 3/26</v>
          </cell>
          <cell r="R4137" t="str">
            <v>2023-03-24 → 3/26</v>
          </cell>
          <cell r="S4137">
            <v>45014</v>
          </cell>
          <cell r="T4137">
            <v>45014</v>
          </cell>
          <cell r="U4137">
            <v>45019</v>
          </cell>
          <cell r="V4137">
            <v>45020</v>
          </cell>
          <cell r="W4137">
            <v>45020</v>
          </cell>
          <cell r="X4137">
            <v>41100633</v>
          </cell>
        </row>
        <row r="4138">
          <cell r="K4138" t="str">
            <v>DBW-2907</v>
          </cell>
          <cell r="L4138">
            <v>44993</v>
          </cell>
          <cell r="M4138" t="str">
            <v>2023-02-21 → 3/9</v>
          </cell>
          <cell r="N4138">
            <v>45002</v>
          </cell>
          <cell r="O4138" t="str">
            <v>2023-02-21 → 3/9</v>
          </cell>
          <cell r="P4138">
            <v>45002</v>
          </cell>
          <cell r="Q4138" t="str">
            <v>2023-03-02 → 3/17</v>
          </cell>
          <cell r="R4138" t="str">
            <v>2023-03-02 → 3/17</v>
          </cell>
          <cell r="S4138">
            <v>45008</v>
          </cell>
          <cell r="T4138">
            <v>45008</v>
          </cell>
          <cell r="U4138">
            <v>45013</v>
          </cell>
          <cell r="V4138">
            <v>45013</v>
          </cell>
          <cell r="W4138">
            <v>45014</v>
          </cell>
          <cell r="X4138">
            <v>41100472</v>
          </cell>
        </row>
        <row r="4139">
          <cell r="K4139" t="str">
            <v>DBW-2908</v>
          </cell>
          <cell r="L4139">
            <v>44993</v>
          </cell>
          <cell r="M4139" t="str">
            <v>2023-02-21 → 3/9</v>
          </cell>
          <cell r="N4139">
            <v>45002</v>
          </cell>
          <cell r="O4139" t="str">
            <v>2023-02-21 → 3/9</v>
          </cell>
          <cell r="P4139">
            <v>45002</v>
          </cell>
          <cell r="Q4139" t="str">
            <v>2023-03-02 → 3/17</v>
          </cell>
          <cell r="R4139" t="str">
            <v>2023-03-02 → 3/17</v>
          </cell>
          <cell r="S4139">
            <v>45008</v>
          </cell>
          <cell r="T4139">
            <v>45008</v>
          </cell>
          <cell r="U4139">
            <v>45013</v>
          </cell>
          <cell r="V4139">
            <v>45014</v>
          </cell>
          <cell r="W4139">
            <v>45014</v>
          </cell>
          <cell r="X4139">
            <v>41100472</v>
          </cell>
        </row>
        <row r="4140">
          <cell r="K4140" t="str">
            <v>GBWS-3262</v>
          </cell>
          <cell r="L4140">
            <v>45000</v>
          </cell>
          <cell r="M4140">
            <v>45001</v>
          </cell>
          <cell r="N4140">
            <v>45009</v>
          </cell>
          <cell r="O4140">
            <v>45001</v>
          </cell>
          <cell r="P4140">
            <v>45009</v>
          </cell>
          <cell r="Q4140">
            <v>45009</v>
          </cell>
          <cell r="R4140">
            <v>45009</v>
          </cell>
          <cell r="S4140">
            <v>45012</v>
          </cell>
          <cell r="T4140">
            <v>45012</v>
          </cell>
          <cell r="U4140">
            <v>45014</v>
          </cell>
          <cell r="V4140">
            <v>45015</v>
          </cell>
          <cell r="W4140">
            <v>45015</v>
          </cell>
          <cell r="X4140">
            <v>41100468</v>
          </cell>
        </row>
        <row r="4141">
          <cell r="K4141" t="str">
            <v>GBWS-3263</v>
          </cell>
          <cell r="L4141">
            <v>45000</v>
          </cell>
          <cell r="M4141">
            <v>45001</v>
          </cell>
          <cell r="N4141">
            <v>45009</v>
          </cell>
          <cell r="O4141">
            <v>45001</v>
          </cell>
          <cell r="P4141">
            <v>45009</v>
          </cell>
          <cell r="Q4141">
            <v>45009</v>
          </cell>
          <cell r="R4141">
            <v>45009</v>
          </cell>
          <cell r="S4141">
            <v>45012</v>
          </cell>
          <cell r="T4141">
            <v>45012</v>
          </cell>
          <cell r="U4141">
            <v>45014</v>
          </cell>
          <cell r="V4141">
            <v>45014</v>
          </cell>
          <cell r="W4141">
            <v>45015</v>
          </cell>
          <cell r="X4141">
            <v>41100468</v>
          </cell>
        </row>
        <row r="4142">
          <cell r="K4142" t="str">
            <v>GPWS-0249</v>
          </cell>
          <cell r="L4142">
            <v>44998</v>
          </cell>
          <cell r="M4142">
            <v>44999</v>
          </cell>
          <cell r="N4142">
            <v>45006</v>
          </cell>
          <cell r="O4142">
            <v>44999</v>
          </cell>
          <cell r="P4142">
            <v>45006</v>
          </cell>
          <cell r="Q4142" t="str">
            <v>2023-03-23 → 3/21</v>
          </cell>
          <cell r="R4142" t="str">
            <v>2023-03-23 → 3/21</v>
          </cell>
          <cell r="S4142">
            <v>45013</v>
          </cell>
          <cell r="T4142">
            <v>45019</v>
          </cell>
          <cell r="U4142">
            <v>45021</v>
          </cell>
          <cell r="V4142">
            <v>45021</v>
          </cell>
          <cell r="W4142">
            <v>45021</v>
          </cell>
          <cell r="X4142">
            <v>41100660</v>
          </cell>
        </row>
        <row r="4143">
          <cell r="K4143" t="str">
            <v>GBWS-3236</v>
          </cell>
          <cell r="L4143">
            <v>44998</v>
          </cell>
          <cell r="M4143">
            <v>44999</v>
          </cell>
          <cell r="N4143">
            <v>45012</v>
          </cell>
          <cell r="O4143">
            <v>44999</v>
          </cell>
          <cell r="P4143">
            <v>45012</v>
          </cell>
          <cell r="Q4143" t="str">
            <v>2023-03-23 → 3/26</v>
          </cell>
          <cell r="R4143" t="str">
            <v>2023-03-23 → 3/26</v>
          </cell>
          <cell r="S4143">
            <v>45013</v>
          </cell>
          <cell r="T4143">
            <v>45013</v>
          </cell>
          <cell r="U4143">
            <v>45014</v>
          </cell>
          <cell r="V4143">
            <v>45015</v>
          </cell>
          <cell r="W4143">
            <v>45016</v>
          </cell>
          <cell r="X4143">
            <v>41100651</v>
          </cell>
        </row>
        <row r="4144">
          <cell r="K4144" t="str">
            <v>GBWS-3237</v>
          </cell>
          <cell r="L4144">
            <v>44998</v>
          </cell>
          <cell r="M4144">
            <v>44999</v>
          </cell>
          <cell r="N4144">
            <v>45012</v>
          </cell>
          <cell r="O4144">
            <v>44999</v>
          </cell>
          <cell r="P4144">
            <v>45012</v>
          </cell>
          <cell r="Q4144" t="str">
            <v>2023-03-23 → 3/26</v>
          </cell>
          <cell r="R4144" t="str">
            <v>2023-03-23 → 3/26</v>
          </cell>
          <cell r="S4144">
            <v>45013</v>
          </cell>
          <cell r="T4144">
            <v>45013</v>
          </cell>
          <cell r="U4144">
            <v>45019</v>
          </cell>
          <cell r="V4144">
            <v>45020</v>
          </cell>
          <cell r="W4144">
            <v>45020</v>
          </cell>
          <cell r="X4144">
            <v>41100651</v>
          </cell>
        </row>
        <row r="4145">
          <cell r="K4145" t="str">
            <v>GBWS-3238</v>
          </cell>
          <cell r="L4145">
            <v>44998</v>
          </cell>
          <cell r="M4145">
            <v>44999</v>
          </cell>
          <cell r="N4145">
            <v>45012</v>
          </cell>
          <cell r="O4145">
            <v>44999</v>
          </cell>
          <cell r="P4145">
            <v>45012</v>
          </cell>
          <cell r="Q4145" t="str">
            <v>2023-03-23 → 3/26</v>
          </cell>
          <cell r="R4145" t="str">
            <v>2023-03-23 → 3/26</v>
          </cell>
          <cell r="S4145">
            <v>45013</v>
          </cell>
          <cell r="T4145">
            <v>45013</v>
          </cell>
          <cell r="U4145">
            <v>45019</v>
          </cell>
          <cell r="V4145">
            <v>45020</v>
          </cell>
          <cell r="W4145">
            <v>45020</v>
          </cell>
          <cell r="X4145">
            <v>41100651</v>
          </cell>
        </row>
        <row r="4146">
          <cell r="K4146" t="str">
            <v>GBWS-3239</v>
          </cell>
          <cell r="L4146">
            <v>44998</v>
          </cell>
          <cell r="M4146">
            <v>44999</v>
          </cell>
          <cell r="N4146">
            <v>45012</v>
          </cell>
          <cell r="O4146">
            <v>44999</v>
          </cell>
          <cell r="P4146">
            <v>45012</v>
          </cell>
          <cell r="Q4146" t="str">
            <v>2023-03-23 → 3/26</v>
          </cell>
          <cell r="R4146" t="str">
            <v>2023-03-23 → 3/26</v>
          </cell>
          <cell r="S4146">
            <v>45013</v>
          </cell>
          <cell r="T4146">
            <v>45013</v>
          </cell>
          <cell r="U4146">
            <v>45019</v>
          </cell>
          <cell r="V4146">
            <v>45020</v>
          </cell>
          <cell r="W4146">
            <v>45020</v>
          </cell>
          <cell r="X4146">
            <v>41100651</v>
          </cell>
        </row>
        <row r="4147">
          <cell r="K4147" t="str">
            <v>GBWS-3240</v>
          </cell>
          <cell r="L4147">
            <v>44998</v>
          </cell>
          <cell r="M4147">
            <v>44999</v>
          </cell>
          <cell r="N4147">
            <v>45012</v>
          </cell>
          <cell r="O4147">
            <v>44999</v>
          </cell>
          <cell r="P4147">
            <v>45012</v>
          </cell>
          <cell r="Q4147" t="str">
            <v>2023-03-23 → 3/26</v>
          </cell>
          <cell r="R4147" t="str">
            <v>2023-03-23 → 3/26</v>
          </cell>
          <cell r="S4147">
            <v>45013</v>
          </cell>
          <cell r="T4147">
            <v>45013</v>
          </cell>
          <cell r="U4147">
            <v>45015</v>
          </cell>
          <cell r="V4147">
            <v>45020</v>
          </cell>
          <cell r="W4147">
            <v>45020</v>
          </cell>
          <cell r="X4147">
            <v>41100651</v>
          </cell>
        </row>
        <row r="4148">
          <cell r="K4148" t="str">
            <v>GBWS-3241</v>
          </cell>
          <cell r="L4148">
            <v>44998</v>
          </cell>
          <cell r="M4148">
            <v>44999</v>
          </cell>
          <cell r="N4148">
            <v>45012</v>
          </cell>
          <cell r="O4148">
            <v>44999</v>
          </cell>
          <cell r="P4148">
            <v>45012</v>
          </cell>
          <cell r="Q4148" t="str">
            <v>2023-03-23 → 3/26</v>
          </cell>
          <cell r="R4148" t="str">
            <v>2023-03-23 → 3/26</v>
          </cell>
          <cell r="S4148">
            <v>45013</v>
          </cell>
          <cell r="T4148">
            <v>45013</v>
          </cell>
          <cell r="U4148">
            <v>45015</v>
          </cell>
          <cell r="V4148">
            <v>45016</v>
          </cell>
          <cell r="W4148">
            <v>45016</v>
          </cell>
          <cell r="X4148">
            <v>41100651</v>
          </cell>
        </row>
        <row r="4149">
          <cell r="K4149" t="str">
            <v>GBWS-3242</v>
          </cell>
          <cell r="L4149">
            <v>44998</v>
          </cell>
          <cell r="M4149">
            <v>44999</v>
          </cell>
          <cell r="N4149">
            <v>45012</v>
          </cell>
          <cell r="O4149">
            <v>44999</v>
          </cell>
          <cell r="P4149">
            <v>45012</v>
          </cell>
          <cell r="Q4149" t="str">
            <v>2023-03-23 → 3/26</v>
          </cell>
          <cell r="R4149" t="str">
            <v>2023-03-23 → 3/26</v>
          </cell>
          <cell r="S4149">
            <v>45013</v>
          </cell>
          <cell r="T4149">
            <v>45013</v>
          </cell>
          <cell r="U4149">
            <v>45015</v>
          </cell>
          <cell r="V4149">
            <v>45016</v>
          </cell>
          <cell r="W4149">
            <v>45016</v>
          </cell>
          <cell r="X4149">
            <v>41100651</v>
          </cell>
        </row>
        <row r="4150">
          <cell r="K4150" t="str">
            <v>GBWS-3243</v>
          </cell>
          <cell r="L4150">
            <v>44998</v>
          </cell>
          <cell r="M4150">
            <v>44999</v>
          </cell>
          <cell r="N4150">
            <v>45012</v>
          </cell>
          <cell r="O4150">
            <v>44999</v>
          </cell>
          <cell r="P4150">
            <v>45012</v>
          </cell>
          <cell r="Q4150" t="str">
            <v>2023-03-23 → 3/26</v>
          </cell>
          <cell r="R4150" t="str">
            <v>2023-03-23 → 3/26</v>
          </cell>
          <cell r="S4150">
            <v>45013</v>
          </cell>
          <cell r="T4150">
            <v>45013</v>
          </cell>
          <cell r="U4150">
            <v>45019</v>
          </cell>
          <cell r="V4150">
            <v>45020</v>
          </cell>
          <cell r="W4150">
            <v>45020</v>
          </cell>
          <cell r="X4150">
            <v>41100651</v>
          </cell>
        </row>
        <row r="4151">
          <cell r="K4151" t="str">
            <v>GBWS-3276</v>
          </cell>
          <cell r="L4151">
            <v>45008</v>
          </cell>
          <cell r="M4151" t="str">
            <v>2023-03-17 → 3/24</v>
          </cell>
          <cell r="N4151">
            <v>45022</v>
          </cell>
          <cell r="O4151" t="str">
            <v>2023-03-17 → 3/24</v>
          </cell>
          <cell r="P4151">
            <v>45022</v>
          </cell>
          <cell r="Q4151" t="str">
            <v>2023-03-27 → 4/3</v>
          </cell>
          <cell r="R4151" t="str">
            <v>2023-03-27 → 4/4(기구) → 4/5(전장 오전)</v>
          </cell>
          <cell r="S4151">
            <v>45022</v>
          </cell>
          <cell r="T4151">
            <v>45022</v>
          </cell>
          <cell r="U4151">
            <v>45026</v>
          </cell>
          <cell r="V4151">
            <v>45026</v>
          </cell>
          <cell r="W4151">
            <v>45026</v>
          </cell>
          <cell r="X4151">
            <v>41100551</v>
          </cell>
        </row>
        <row r="4152">
          <cell r="K4152" t="str">
            <v>AWS-0010</v>
          </cell>
          <cell r="L4152">
            <v>44878</v>
          </cell>
          <cell r="M4152" t="str">
            <v>2022-11-15 → 11/14</v>
          </cell>
          <cell r="N4152">
            <v>44897</v>
          </cell>
          <cell r="O4152" t="str">
            <v>2022-11-15 → 11/14</v>
          </cell>
          <cell r="P4152">
            <v>44897</v>
          </cell>
          <cell r="Q4152" t="str">
            <v>2022-11-15 → 12/5</v>
          </cell>
          <cell r="R4152" t="str">
            <v>2022-11-15 → 12/5</v>
          </cell>
          <cell r="S4152">
            <v>44907</v>
          </cell>
          <cell r="T4152">
            <v>44907</v>
          </cell>
          <cell r="U4152">
            <v>45023</v>
          </cell>
          <cell r="V4152">
            <v>45023</v>
          </cell>
          <cell r="W4152">
            <v>45023</v>
          </cell>
          <cell r="X4152">
            <v>41100382</v>
          </cell>
        </row>
        <row r="4153">
          <cell r="K4153" t="str">
            <v>GBWS-3277</v>
          </cell>
          <cell r="L4153">
            <v>45008</v>
          </cell>
          <cell r="M4153" t="str">
            <v>2023-03-17 → 3/24</v>
          </cell>
          <cell r="N4153">
            <v>45022</v>
          </cell>
          <cell r="O4153" t="str">
            <v>2023-03-17 → 3/24</v>
          </cell>
          <cell r="P4153">
            <v>45022</v>
          </cell>
          <cell r="Q4153" t="str">
            <v>2023-03-27 → 4/3</v>
          </cell>
          <cell r="R4153" t="str">
            <v>2023-03-27 → 4/4(기구) → 4/5(전장 오후)</v>
          </cell>
          <cell r="S4153">
            <v>45022</v>
          </cell>
          <cell r="T4153">
            <v>45022</v>
          </cell>
          <cell r="U4153">
            <v>45026</v>
          </cell>
          <cell r="V4153">
            <v>45026</v>
          </cell>
          <cell r="W4153">
            <v>45026</v>
          </cell>
          <cell r="X4153">
            <v>41100546</v>
          </cell>
        </row>
        <row r="4154">
          <cell r="K4154" t="str">
            <v>DS-0414~0416</v>
          </cell>
          <cell r="L4154">
            <v>45020</v>
          </cell>
          <cell r="M4154" t="str">
            <v>2023-03-14 → 4/5</v>
          </cell>
          <cell r="N4154">
            <v>45026</v>
          </cell>
          <cell r="O4154" t="str">
            <v>2023-03-14 → 4/5</v>
          </cell>
          <cell r="P4154">
            <v>45026</v>
          </cell>
          <cell r="Q4154" t="str">
            <v>2023-03-15 → 4/7</v>
          </cell>
          <cell r="R4154" t="str">
            <v>2023-03-15 → 4/7</v>
          </cell>
          <cell r="S4154">
            <v>45026</v>
          </cell>
          <cell r="T4154">
            <v>45026</v>
          </cell>
          <cell r="U4154">
            <v>45026</v>
          </cell>
          <cell r="V4154">
            <v>45026</v>
          </cell>
          <cell r="W4154">
            <v>45026</v>
          </cell>
          <cell r="X4154">
            <v>31010314</v>
          </cell>
        </row>
        <row r="4155">
          <cell r="K4155" t="str">
            <v>G1H3007</v>
          </cell>
          <cell r="L4155">
            <v>45022</v>
          </cell>
          <cell r="M4155">
            <v>45022</v>
          </cell>
          <cell r="N4155">
            <v>45022</v>
          </cell>
          <cell r="O4155">
            <v>45022</v>
          </cell>
          <cell r="P4155">
            <v>45022</v>
          </cell>
          <cell r="Q4155">
            <v>45022</v>
          </cell>
          <cell r="R4155">
            <v>45022</v>
          </cell>
          <cell r="S4155">
            <v>45022</v>
          </cell>
          <cell r="T4155">
            <v>45022</v>
          </cell>
          <cell r="U4155">
            <v>45026</v>
          </cell>
          <cell r="V4155">
            <v>45026</v>
          </cell>
          <cell r="W4155">
            <v>45026</v>
          </cell>
          <cell r="X4155" t="str">
            <v>-</v>
          </cell>
        </row>
        <row r="4156">
          <cell r="K4156" t="str">
            <v>GBWS-3265</v>
          </cell>
          <cell r="L4156">
            <v>45002</v>
          </cell>
          <cell r="M4156">
            <v>45005</v>
          </cell>
          <cell r="N4156">
            <v>45015</v>
          </cell>
          <cell r="O4156">
            <v>45005</v>
          </cell>
          <cell r="P4156">
            <v>45015</v>
          </cell>
          <cell r="Q4156">
            <v>45014</v>
          </cell>
          <cell r="R4156" t="str">
            <v>2023-03-29 → 3/30</v>
          </cell>
          <cell r="S4156">
            <v>45016</v>
          </cell>
          <cell r="T4156">
            <v>45016</v>
          </cell>
          <cell r="U4156">
            <v>45022</v>
          </cell>
          <cell r="V4156">
            <v>45027</v>
          </cell>
          <cell r="W4156">
            <v>45027</v>
          </cell>
          <cell r="X4156">
            <v>41100576</v>
          </cell>
        </row>
        <row r="4157">
          <cell r="K4157" t="str">
            <v>GBWS-3266</v>
          </cell>
          <cell r="L4157">
            <v>45002</v>
          </cell>
          <cell r="M4157">
            <v>45005</v>
          </cell>
          <cell r="N4157">
            <v>45015</v>
          </cell>
          <cell r="O4157">
            <v>45005</v>
          </cell>
          <cell r="P4157">
            <v>45015</v>
          </cell>
          <cell r="Q4157">
            <v>45014</v>
          </cell>
          <cell r="R4157" t="str">
            <v>2023-03-29 → 3/30</v>
          </cell>
          <cell r="S4157">
            <v>45016</v>
          </cell>
          <cell r="T4157">
            <v>45016</v>
          </cell>
          <cell r="U4157">
            <v>45021</v>
          </cell>
          <cell r="V4157">
            <v>45026</v>
          </cell>
          <cell r="W4157">
            <v>45027</v>
          </cell>
          <cell r="X4157">
            <v>41100576</v>
          </cell>
        </row>
        <row r="4158">
          <cell r="K4158" t="str">
            <v>DBW-2915</v>
          </cell>
          <cell r="L4158">
            <v>45006</v>
          </cell>
          <cell r="M4158">
            <v>45007</v>
          </cell>
          <cell r="N4158">
            <v>45019</v>
          </cell>
          <cell r="O4158">
            <v>45007</v>
          </cell>
          <cell r="P4158">
            <v>45019</v>
          </cell>
          <cell r="Q4158">
            <v>45016</v>
          </cell>
          <cell r="R4158">
            <v>45016</v>
          </cell>
          <cell r="S4158">
            <v>45019</v>
          </cell>
          <cell r="T4158">
            <v>45019</v>
          </cell>
          <cell r="U4158">
            <v>45021</v>
          </cell>
          <cell r="V4158">
            <v>45021</v>
          </cell>
          <cell r="W4158">
            <v>45022</v>
          </cell>
          <cell r="X4158">
            <v>41100470</v>
          </cell>
        </row>
        <row r="4159">
          <cell r="K4159" t="str">
            <v>DBW-2916</v>
          </cell>
          <cell r="L4159">
            <v>45006</v>
          </cell>
          <cell r="M4159">
            <v>45007</v>
          </cell>
          <cell r="N4159">
            <v>45019</v>
          </cell>
          <cell r="O4159">
            <v>45007</v>
          </cell>
          <cell r="P4159">
            <v>45019</v>
          </cell>
          <cell r="Q4159">
            <v>45016</v>
          </cell>
          <cell r="R4159">
            <v>45016</v>
          </cell>
          <cell r="S4159">
            <v>45019</v>
          </cell>
          <cell r="T4159">
            <v>45019</v>
          </cell>
          <cell r="U4159">
            <v>45022</v>
          </cell>
          <cell r="V4159">
            <v>45023</v>
          </cell>
          <cell r="W4159">
            <v>45023</v>
          </cell>
          <cell r="X4159">
            <v>41100470</v>
          </cell>
        </row>
        <row r="4160">
          <cell r="K4160" t="str">
            <v>GBWS-3291</v>
          </cell>
          <cell r="L4160">
            <v>45012</v>
          </cell>
          <cell r="M4160">
            <v>45012</v>
          </cell>
          <cell r="N4160">
            <v>45021</v>
          </cell>
          <cell r="O4160">
            <v>45012</v>
          </cell>
          <cell r="P4160">
            <v>45020</v>
          </cell>
          <cell r="Q4160">
            <v>45020</v>
          </cell>
          <cell r="R4160" t="str">
            <v>2023-04-04 → 4/5</v>
          </cell>
          <cell r="S4160">
            <v>45021</v>
          </cell>
          <cell r="T4160">
            <v>45021</v>
          </cell>
          <cell r="U4160">
            <v>45023</v>
          </cell>
          <cell r="V4160">
            <v>45027</v>
          </cell>
          <cell r="W4160">
            <v>45027</v>
          </cell>
          <cell r="X4160">
            <v>41100089</v>
          </cell>
        </row>
        <row r="4161">
          <cell r="K4161" t="str">
            <v>GBWS-3292</v>
          </cell>
          <cell r="L4161">
            <v>45012</v>
          </cell>
          <cell r="M4161">
            <v>45012</v>
          </cell>
          <cell r="N4161">
            <v>45021</v>
          </cell>
          <cell r="O4161">
            <v>45012</v>
          </cell>
          <cell r="P4161">
            <v>45020</v>
          </cell>
          <cell r="Q4161">
            <v>45020</v>
          </cell>
          <cell r="R4161" t="str">
            <v>2023-04-04 → 4/5</v>
          </cell>
          <cell r="S4161">
            <v>45021</v>
          </cell>
          <cell r="T4161">
            <v>45022</v>
          </cell>
          <cell r="U4161">
            <v>45026</v>
          </cell>
          <cell r="V4161">
            <v>45026</v>
          </cell>
          <cell r="W4161">
            <v>45027</v>
          </cell>
          <cell r="X4161">
            <v>41100093</v>
          </cell>
        </row>
        <row r="4162">
          <cell r="K4162" t="str">
            <v>GBWS-3296</v>
          </cell>
          <cell r="L4162">
            <v>45012</v>
          </cell>
          <cell r="M4162">
            <v>45013</v>
          </cell>
          <cell r="N4162">
            <v>45022</v>
          </cell>
          <cell r="O4162">
            <v>45013</v>
          </cell>
          <cell r="P4162">
            <v>45021</v>
          </cell>
          <cell r="Q4162">
            <v>45021</v>
          </cell>
          <cell r="R4162" t="str">
            <v>2023-04-05 → 4/6</v>
          </cell>
          <cell r="S4162">
            <v>45022</v>
          </cell>
          <cell r="T4162">
            <v>45022</v>
          </cell>
          <cell r="U4162">
            <v>45026</v>
          </cell>
          <cell r="V4162">
            <v>45026</v>
          </cell>
          <cell r="W4162">
            <v>45027</v>
          </cell>
          <cell r="X4162">
            <v>41100311</v>
          </cell>
        </row>
        <row r="4163">
          <cell r="K4163" t="str">
            <v>GBWS-3297</v>
          </cell>
          <cell r="L4163">
            <v>45012</v>
          </cell>
          <cell r="M4163">
            <v>45013</v>
          </cell>
          <cell r="N4163">
            <v>45022</v>
          </cell>
          <cell r="O4163">
            <v>45013</v>
          </cell>
          <cell r="P4163">
            <v>45021</v>
          </cell>
          <cell r="Q4163">
            <v>45021</v>
          </cell>
          <cell r="R4163" t="str">
            <v>2023-04-05 → 4/6</v>
          </cell>
          <cell r="S4163">
            <v>45022</v>
          </cell>
          <cell r="T4163">
            <v>45022</v>
          </cell>
          <cell r="U4163">
            <v>45026</v>
          </cell>
          <cell r="V4163">
            <v>45026</v>
          </cell>
          <cell r="W4163">
            <v>45027</v>
          </cell>
          <cell r="X4163">
            <v>41100311</v>
          </cell>
        </row>
        <row r="4164">
          <cell r="K4164" t="str">
            <v>GBWS-3290</v>
          </cell>
          <cell r="L4164">
            <v>45012</v>
          </cell>
          <cell r="M4164">
            <v>45012</v>
          </cell>
          <cell r="N4164">
            <v>45021</v>
          </cell>
          <cell r="O4164">
            <v>45012</v>
          </cell>
          <cell r="P4164">
            <v>45020</v>
          </cell>
          <cell r="Q4164">
            <v>45020</v>
          </cell>
          <cell r="R4164">
            <v>45020</v>
          </cell>
          <cell r="S4164">
            <v>45021</v>
          </cell>
          <cell r="T4164">
            <v>45021</v>
          </cell>
          <cell r="U4164">
            <v>45023</v>
          </cell>
          <cell r="V4164">
            <v>45027</v>
          </cell>
          <cell r="W4164">
            <v>45027</v>
          </cell>
          <cell r="X4164">
            <v>41100093</v>
          </cell>
        </row>
        <row r="4165">
          <cell r="K4165" t="str">
            <v>GBWS-3293</v>
          </cell>
          <cell r="L4165">
            <v>45012</v>
          </cell>
          <cell r="M4165">
            <v>45012</v>
          </cell>
          <cell r="N4165">
            <v>45021</v>
          </cell>
          <cell r="O4165">
            <v>45012</v>
          </cell>
          <cell r="P4165">
            <v>45020</v>
          </cell>
          <cell r="Q4165">
            <v>45020</v>
          </cell>
          <cell r="R4165" t="str">
            <v>2023-04-04 → 4/5</v>
          </cell>
          <cell r="S4165">
            <v>45021</v>
          </cell>
          <cell r="T4165">
            <v>45021</v>
          </cell>
          <cell r="U4165">
            <v>45023</v>
          </cell>
          <cell r="V4165">
            <v>45027</v>
          </cell>
          <cell r="W4165">
            <v>45027</v>
          </cell>
          <cell r="X4165">
            <v>41100522</v>
          </cell>
        </row>
        <row r="4166">
          <cell r="K4166" t="str">
            <v>DBW-2911</v>
          </cell>
          <cell r="L4166">
            <v>45002</v>
          </cell>
          <cell r="M4166">
            <v>45005</v>
          </cell>
          <cell r="N4166">
            <v>45012</v>
          </cell>
          <cell r="O4166">
            <v>45005</v>
          </cell>
          <cell r="P4166">
            <v>45013</v>
          </cell>
          <cell r="Q4166">
            <v>45012</v>
          </cell>
          <cell r="R4166">
            <v>45012</v>
          </cell>
          <cell r="S4166">
            <v>45014</v>
          </cell>
          <cell r="T4166">
            <v>45014</v>
          </cell>
          <cell r="U4166">
            <v>45021</v>
          </cell>
          <cell r="V4166">
            <v>45021</v>
          </cell>
          <cell r="W4166">
            <v>45022</v>
          </cell>
          <cell r="X4166">
            <v>41100657</v>
          </cell>
        </row>
        <row r="4167">
          <cell r="K4167" t="str">
            <v>G14090025</v>
          </cell>
          <cell r="L4167">
            <v>45013</v>
          </cell>
          <cell r="M4167">
            <v>45013</v>
          </cell>
          <cell r="N4167">
            <v>45015</v>
          </cell>
          <cell r="O4167">
            <v>45013</v>
          </cell>
          <cell r="P4167">
            <v>45015</v>
          </cell>
          <cell r="Q4167">
            <v>45013</v>
          </cell>
          <cell r="R4167">
            <v>45013</v>
          </cell>
          <cell r="S4167">
            <v>45015</v>
          </cell>
          <cell r="T4167">
            <v>45015</v>
          </cell>
          <cell r="U4167">
            <v>45021</v>
          </cell>
          <cell r="V4167">
            <v>45021</v>
          </cell>
          <cell r="W4167">
            <v>45021</v>
          </cell>
          <cell r="X4167" t="str">
            <v>-</v>
          </cell>
        </row>
        <row r="4168">
          <cell r="K4168" t="str">
            <v>G14030024</v>
          </cell>
          <cell r="L4168">
            <v>45023</v>
          </cell>
          <cell r="M4168">
            <v>45023</v>
          </cell>
          <cell r="N4168">
            <v>45023</v>
          </cell>
          <cell r="O4168">
            <v>45023</v>
          </cell>
          <cell r="P4168">
            <v>45023</v>
          </cell>
          <cell r="Q4168">
            <v>45023</v>
          </cell>
          <cell r="R4168">
            <v>45023</v>
          </cell>
          <cell r="S4168">
            <v>45023</v>
          </cell>
          <cell r="T4168">
            <v>45023</v>
          </cell>
          <cell r="U4168">
            <v>45028</v>
          </cell>
          <cell r="V4168">
            <v>45028</v>
          </cell>
          <cell r="W4168">
            <v>45028</v>
          </cell>
          <cell r="X4168" t="str">
            <v>-</v>
          </cell>
        </row>
        <row r="4169">
          <cell r="K4169" t="str">
            <v>G14030002</v>
          </cell>
          <cell r="L4169">
            <v>45023</v>
          </cell>
          <cell r="M4169">
            <v>45023</v>
          </cell>
          <cell r="N4169">
            <v>45023</v>
          </cell>
          <cell r="O4169">
            <v>45023</v>
          </cell>
          <cell r="P4169">
            <v>45023</v>
          </cell>
          <cell r="Q4169">
            <v>45023</v>
          </cell>
          <cell r="R4169">
            <v>45023</v>
          </cell>
          <cell r="S4169">
            <v>45023</v>
          </cell>
          <cell r="T4169">
            <v>45023</v>
          </cell>
          <cell r="U4169">
            <v>45028</v>
          </cell>
          <cell r="V4169">
            <v>45028</v>
          </cell>
          <cell r="W4169">
            <v>45028</v>
          </cell>
          <cell r="X4169" t="str">
            <v>-</v>
          </cell>
        </row>
        <row r="4170">
          <cell r="K4170" t="str">
            <v>G14090029</v>
          </cell>
          <cell r="L4170">
            <v>45023</v>
          </cell>
          <cell r="M4170">
            <v>45023</v>
          </cell>
          <cell r="N4170">
            <v>45023</v>
          </cell>
          <cell r="O4170">
            <v>45023</v>
          </cell>
          <cell r="P4170">
            <v>45023</v>
          </cell>
          <cell r="Q4170">
            <v>45023</v>
          </cell>
          <cell r="R4170">
            <v>45023</v>
          </cell>
          <cell r="S4170">
            <v>45023</v>
          </cell>
          <cell r="T4170">
            <v>45023</v>
          </cell>
          <cell r="U4170">
            <v>45028</v>
          </cell>
          <cell r="V4170">
            <v>45028</v>
          </cell>
          <cell r="W4170">
            <v>45028</v>
          </cell>
          <cell r="X4170" t="str">
            <v>-</v>
          </cell>
        </row>
        <row r="4171">
          <cell r="K4171" t="str">
            <v>IVAS-197</v>
          </cell>
          <cell r="L4171">
            <v>45005</v>
          </cell>
          <cell r="M4171" t="str">
            <v>2023-03-24 → 3/21</v>
          </cell>
          <cell r="N4171">
            <v>45016</v>
          </cell>
          <cell r="O4171" t="str">
            <v>2023-03-24 → 3/21</v>
          </cell>
          <cell r="P4171">
            <v>45016</v>
          </cell>
          <cell r="Q4171" t="str">
            <v>2023-04-05 → 3/30</v>
          </cell>
          <cell r="R4171" t="str">
            <v>2023-04-05 → 3/30</v>
          </cell>
          <cell r="S4171">
            <v>45016</v>
          </cell>
          <cell r="T4171">
            <v>45020</v>
          </cell>
          <cell r="U4171">
            <v>45028</v>
          </cell>
          <cell r="V4171">
            <v>45029</v>
          </cell>
          <cell r="W4171">
            <v>45029</v>
          </cell>
          <cell r="X4171">
            <v>41100603</v>
          </cell>
        </row>
        <row r="4172">
          <cell r="K4172" t="str">
            <v>IVAS-198</v>
          </cell>
          <cell r="L4172">
            <v>45005</v>
          </cell>
          <cell r="M4172" t="str">
            <v>2023-03-14 → 3/21</v>
          </cell>
          <cell r="N4172">
            <v>45016</v>
          </cell>
          <cell r="O4172" t="str">
            <v>2023-03-14 → 3/21</v>
          </cell>
          <cell r="P4172">
            <v>45016</v>
          </cell>
          <cell r="Q4172" t="str">
            <v>2023-03-22 → 3/30</v>
          </cell>
          <cell r="R4172" t="str">
            <v>2023-03-22 → 3/30</v>
          </cell>
          <cell r="S4172">
            <v>45016</v>
          </cell>
          <cell r="T4172">
            <v>45020</v>
          </cell>
          <cell r="U4172">
            <v>45028</v>
          </cell>
          <cell r="V4172">
            <v>45029</v>
          </cell>
          <cell r="W4172">
            <v>45029</v>
          </cell>
          <cell r="X4172">
            <v>41100603</v>
          </cell>
        </row>
        <row r="4173">
          <cell r="K4173" t="str">
            <v>GPWS-0250</v>
          </cell>
          <cell r="L4173">
            <v>45012</v>
          </cell>
          <cell r="M4173">
            <v>45013</v>
          </cell>
          <cell r="N4173">
            <v>45020</v>
          </cell>
          <cell r="O4173">
            <v>45013</v>
          </cell>
          <cell r="P4173">
            <v>45020</v>
          </cell>
          <cell r="Q4173">
            <v>45020</v>
          </cell>
          <cell r="R4173">
            <v>45020</v>
          </cell>
          <cell r="S4173">
            <v>45021</v>
          </cell>
          <cell r="T4173">
            <v>45021</v>
          </cell>
          <cell r="U4173">
            <v>45026</v>
          </cell>
          <cell r="V4173">
            <v>45026</v>
          </cell>
          <cell r="W4173">
            <v>45027</v>
          </cell>
          <cell r="X4173">
            <v>41100670</v>
          </cell>
        </row>
        <row r="4174">
          <cell r="K4174" t="str">
            <v>GBWS-3298</v>
          </cell>
          <cell r="L4174">
            <v>45013</v>
          </cell>
          <cell r="M4174">
            <v>45014</v>
          </cell>
          <cell r="N4174">
            <v>45023</v>
          </cell>
          <cell r="O4174">
            <v>45014</v>
          </cell>
          <cell r="P4174">
            <v>45023</v>
          </cell>
          <cell r="Q4174">
            <v>45022</v>
          </cell>
          <cell r="R4174" t="str">
            <v>2023-04-06 →4/7</v>
          </cell>
          <cell r="S4174">
            <v>45026</v>
          </cell>
          <cell r="T4174">
            <v>45026</v>
          </cell>
          <cell r="U4174">
            <v>45027</v>
          </cell>
          <cell r="V4174">
            <v>45028</v>
          </cell>
          <cell r="W4174">
            <v>45028</v>
          </cell>
          <cell r="X4174">
            <v>41100461</v>
          </cell>
        </row>
        <row r="4175">
          <cell r="K4175" t="str">
            <v>GBWS-3299</v>
          </cell>
          <cell r="L4175">
            <v>45013</v>
          </cell>
          <cell r="M4175">
            <v>45014</v>
          </cell>
          <cell r="N4175">
            <v>45023</v>
          </cell>
          <cell r="O4175">
            <v>45014</v>
          </cell>
          <cell r="P4175">
            <v>45023</v>
          </cell>
          <cell r="Q4175">
            <v>45022</v>
          </cell>
          <cell r="R4175" t="str">
            <v>2023-04-06 →4/7</v>
          </cell>
          <cell r="S4175">
            <v>45026</v>
          </cell>
          <cell r="T4175">
            <v>45026</v>
          </cell>
          <cell r="U4175">
            <v>45027</v>
          </cell>
          <cell r="V4175">
            <v>45028</v>
          </cell>
          <cell r="W4175">
            <v>45028</v>
          </cell>
          <cell r="X4175">
            <v>41100461</v>
          </cell>
        </row>
        <row r="4176">
          <cell r="K4176" t="str">
            <v>DBW-2909</v>
          </cell>
          <cell r="L4176">
            <v>44998</v>
          </cell>
          <cell r="M4176">
            <v>44999</v>
          </cell>
          <cell r="N4176">
            <v>45007</v>
          </cell>
          <cell r="O4176">
            <v>44999</v>
          </cell>
          <cell r="P4176">
            <v>45007</v>
          </cell>
          <cell r="Q4176" t="str">
            <v>2023-03-22 → 3/27</v>
          </cell>
          <cell r="R4176" t="str">
            <v>2023-03-22 → 3/27</v>
          </cell>
          <cell r="S4176">
            <v>45008</v>
          </cell>
          <cell r="T4176">
            <v>45015</v>
          </cell>
          <cell r="U4176">
            <v>45020</v>
          </cell>
          <cell r="V4176">
            <v>45021</v>
          </cell>
          <cell r="W4176">
            <v>45021</v>
          </cell>
          <cell r="X4176">
            <v>41100480</v>
          </cell>
        </row>
        <row r="4177">
          <cell r="K4177" t="str">
            <v>DBW-2910</v>
          </cell>
          <cell r="L4177">
            <v>44998</v>
          </cell>
          <cell r="M4177">
            <v>44999</v>
          </cell>
          <cell r="N4177">
            <v>45007</v>
          </cell>
          <cell r="O4177">
            <v>44999</v>
          </cell>
          <cell r="P4177">
            <v>45007</v>
          </cell>
          <cell r="Q4177" t="str">
            <v>2023-03-22 → 3/27</v>
          </cell>
          <cell r="R4177" t="str">
            <v>2023-03-22 → 3/27</v>
          </cell>
          <cell r="S4177">
            <v>45008</v>
          </cell>
          <cell r="T4177">
            <v>45015</v>
          </cell>
          <cell r="U4177">
            <v>45021</v>
          </cell>
          <cell r="V4177">
            <v>45021</v>
          </cell>
          <cell r="W4177">
            <v>45022</v>
          </cell>
          <cell r="X4177">
            <v>41100480</v>
          </cell>
        </row>
        <row r="4178">
          <cell r="K4178" t="str">
            <v>DBW-2913</v>
          </cell>
          <cell r="L4178">
            <v>45006</v>
          </cell>
          <cell r="M4178">
            <v>45007</v>
          </cell>
          <cell r="N4178">
            <v>45019</v>
          </cell>
          <cell r="O4178">
            <v>45007</v>
          </cell>
          <cell r="P4178">
            <v>45019</v>
          </cell>
          <cell r="Q4178">
            <v>45016</v>
          </cell>
          <cell r="R4178">
            <v>45016</v>
          </cell>
          <cell r="S4178">
            <v>45019</v>
          </cell>
          <cell r="T4178">
            <v>45019</v>
          </cell>
          <cell r="U4178">
            <v>45021</v>
          </cell>
          <cell r="V4178">
            <v>45021</v>
          </cell>
          <cell r="W4178">
            <v>45022</v>
          </cell>
          <cell r="X4178">
            <v>41100470</v>
          </cell>
        </row>
        <row r="4179">
          <cell r="K4179" t="str">
            <v>DBW-2914</v>
          </cell>
          <cell r="L4179">
            <v>45006</v>
          </cell>
          <cell r="M4179">
            <v>45007</v>
          </cell>
          <cell r="N4179">
            <v>45019</v>
          </cell>
          <cell r="O4179">
            <v>45007</v>
          </cell>
          <cell r="P4179">
            <v>45019</v>
          </cell>
          <cell r="Q4179">
            <v>45016</v>
          </cell>
          <cell r="R4179">
            <v>45016</v>
          </cell>
          <cell r="S4179">
            <v>45019</v>
          </cell>
          <cell r="T4179">
            <v>45019</v>
          </cell>
          <cell r="U4179">
            <v>45021</v>
          </cell>
          <cell r="V4179">
            <v>45021</v>
          </cell>
          <cell r="W4179">
            <v>45022</v>
          </cell>
          <cell r="X4179">
            <v>41100470</v>
          </cell>
        </row>
        <row r="4180">
          <cell r="K4180" t="str">
            <v>DBW-2904</v>
          </cell>
          <cell r="L4180">
            <v>44985</v>
          </cell>
          <cell r="M4180">
            <v>44987</v>
          </cell>
          <cell r="N4180">
            <v>44995</v>
          </cell>
          <cell r="O4180">
            <v>44987</v>
          </cell>
          <cell r="P4180">
            <v>44995</v>
          </cell>
          <cell r="Q4180" t="str">
            <v>2023-03-09 → 3/10</v>
          </cell>
          <cell r="R4180" t="str">
            <v>2023-03-09 → 3/10</v>
          </cell>
          <cell r="S4180">
            <v>44997</v>
          </cell>
          <cell r="T4180">
            <v>44998</v>
          </cell>
          <cell r="U4180">
            <v>45005</v>
          </cell>
          <cell r="V4180">
            <v>45005</v>
          </cell>
          <cell r="W4180">
            <v>45006</v>
          </cell>
          <cell r="X4180">
            <v>41100496</v>
          </cell>
        </row>
        <row r="4181">
          <cell r="K4181" t="str">
            <v>GBWS-3278</v>
          </cell>
          <cell r="L4181">
            <v>45008</v>
          </cell>
          <cell r="M4181">
            <v>45009</v>
          </cell>
          <cell r="N4181">
            <v>45022</v>
          </cell>
          <cell r="O4181">
            <v>45009</v>
          </cell>
          <cell r="P4181">
            <v>45016</v>
          </cell>
          <cell r="Q4181">
            <v>45020</v>
          </cell>
          <cell r="R4181" t="str">
            <v>2023-04-04 → 4/5</v>
          </cell>
          <cell r="S4181">
            <v>45021</v>
          </cell>
          <cell r="T4181">
            <v>45026</v>
          </cell>
          <cell r="U4181">
            <v>45029</v>
          </cell>
          <cell r="V4181">
            <v>45029</v>
          </cell>
          <cell r="W4181">
            <v>45030</v>
          </cell>
          <cell r="X4181">
            <v>41100461</v>
          </cell>
        </row>
        <row r="4182">
          <cell r="K4182" t="str">
            <v>GBWS-3279</v>
          </cell>
          <cell r="L4182">
            <v>45008</v>
          </cell>
          <cell r="M4182">
            <v>45009</v>
          </cell>
          <cell r="N4182">
            <v>45022</v>
          </cell>
          <cell r="O4182">
            <v>45009</v>
          </cell>
          <cell r="P4182">
            <v>45016</v>
          </cell>
          <cell r="Q4182">
            <v>45020</v>
          </cell>
          <cell r="R4182" t="str">
            <v>2023-04-04 → 4/5</v>
          </cell>
          <cell r="S4182">
            <v>45021</v>
          </cell>
          <cell r="T4182">
            <v>45026</v>
          </cell>
          <cell r="U4182">
            <v>45029</v>
          </cell>
          <cell r="V4182">
            <v>45029</v>
          </cell>
          <cell r="W4182">
            <v>45029</v>
          </cell>
          <cell r="X4182">
            <v>41100461</v>
          </cell>
        </row>
        <row r="4183">
          <cell r="K4183" t="str">
            <v>GBWS-3280</v>
          </cell>
          <cell r="L4183">
            <v>45008</v>
          </cell>
          <cell r="M4183">
            <v>45009</v>
          </cell>
          <cell r="N4183">
            <v>45020</v>
          </cell>
          <cell r="O4183">
            <v>45009</v>
          </cell>
          <cell r="P4183">
            <v>45016</v>
          </cell>
          <cell r="Q4183">
            <v>45020</v>
          </cell>
          <cell r="R4183" t="str">
            <v>2023-04-04 → 4/5</v>
          </cell>
          <cell r="S4183">
            <v>45020</v>
          </cell>
          <cell r="T4183">
            <v>45022</v>
          </cell>
          <cell r="U4183">
            <v>45029</v>
          </cell>
          <cell r="V4183">
            <v>45029</v>
          </cell>
          <cell r="W4183">
            <v>45030</v>
          </cell>
          <cell r="X4183">
            <v>41100461</v>
          </cell>
        </row>
        <row r="4184">
          <cell r="K4184" t="str">
            <v>GBWS-3281</v>
          </cell>
          <cell r="L4184">
            <v>45008</v>
          </cell>
          <cell r="M4184">
            <v>45009</v>
          </cell>
          <cell r="N4184">
            <v>45022</v>
          </cell>
          <cell r="O4184">
            <v>45009</v>
          </cell>
          <cell r="P4184">
            <v>45016</v>
          </cell>
          <cell r="Q4184">
            <v>45020</v>
          </cell>
          <cell r="R4184" t="str">
            <v>2023-04-04 → 4/5</v>
          </cell>
          <cell r="S4184">
            <v>45021</v>
          </cell>
          <cell r="T4184">
            <v>45026</v>
          </cell>
          <cell r="U4184">
            <v>45028</v>
          </cell>
          <cell r="V4184">
            <v>45029</v>
          </cell>
          <cell r="W4184">
            <v>45029</v>
          </cell>
          <cell r="X4184">
            <v>41100461</v>
          </cell>
        </row>
        <row r="4185">
          <cell r="K4185" t="str">
            <v>GBWS-3282</v>
          </cell>
          <cell r="L4185">
            <v>45008</v>
          </cell>
          <cell r="M4185">
            <v>45009</v>
          </cell>
          <cell r="N4185">
            <v>45020</v>
          </cell>
          <cell r="O4185">
            <v>45009</v>
          </cell>
          <cell r="P4185">
            <v>45016</v>
          </cell>
          <cell r="Q4185">
            <v>45020</v>
          </cell>
          <cell r="R4185" t="str">
            <v>2023-04-04 → 4/5</v>
          </cell>
          <cell r="S4185">
            <v>45020</v>
          </cell>
          <cell r="T4185">
            <v>45026</v>
          </cell>
          <cell r="U4185">
            <v>45030</v>
          </cell>
          <cell r="V4185">
            <v>45030</v>
          </cell>
          <cell r="W4185">
            <v>45030</v>
          </cell>
          <cell r="X4185">
            <v>41100461</v>
          </cell>
        </row>
        <row r="4186">
          <cell r="K4186" t="str">
            <v>GBWS-3283</v>
          </cell>
          <cell r="L4186">
            <v>45008</v>
          </cell>
          <cell r="M4186">
            <v>45009</v>
          </cell>
          <cell r="N4186">
            <v>45020</v>
          </cell>
          <cell r="O4186">
            <v>45009</v>
          </cell>
          <cell r="P4186">
            <v>45016</v>
          </cell>
          <cell r="Q4186">
            <v>45020</v>
          </cell>
          <cell r="R4186" t="str">
            <v>2023-04-04 → 4/5</v>
          </cell>
          <cell r="S4186">
            <v>45020</v>
          </cell>
          <cell r="T4186">
            <v>45022</v>
          </cell>
          <cell r="U4186">
            <v>45028</v>
          </cell>
          <cell r="V4186">
            <v>45029</v>
          </cell>
          <cell r="W4186">
            <v>45029</v>
          </cell>
          <cell r="X4186">
            <v>41100461</v>
          </cell>
        </row>
        <row r="4187">
          <cell r="K4187" t="str">
            <v>GBWS-3285</v>
          </cell>
          <cell r="L4187">
            <v>45008</v>
          </cell>
          <cell r="M4187">
            <v>45009</v>
          </cell>
          <cell r="N4187">
            <v>45020</v>
          </cell>
          <cell r="O4187">
            <v>45009</v>
          </cell>
          <cell r="P4187">
            <v>45016</v>
          </cell>
          <cell r="Q4187">
            <v>45020</v>
          </cell>
          <cell r="R4187" t="str">
            <v>2023-04-04 → 4/5</v>
          </cell>
          <cell r="S4187">
            <v>45020</v>
          </cell>
          <cell r="T4187">
            <v>45026</v>
          </cell>
          <cell r="U4187">
            <v>45029</v>
          </cell>
          <cell r="V4187">
            <v>45030</v>
          </cell>
          <cell r="W4187">
            <v>45030</v>
          </cell>
          <cell r="X4187">
            <v>41100461</v>
          </cell>
        </row>
        <row r="4188">
          <cell r="K4188" t="str">
            <v>GBWS-3284</v>
          </cell>
          <cell r="L4188">
            <v>45008</v>
          </cell>
          <cell r="M4188">
            <v>45009</v>
          </cell>
          <cell r="N4188">
            <v>45022</v>
          </cell>
          <cell r="O4188">
            <v>45009</v>
          </cell>
          <cell r="P4188">
            <v>45016</v>
          </cell>
          <cell r="Q4188">
            <v>45020</v>
          </cell>
          <cell r="R4188" t="str">
            <v>2023-04-04 → 4/5</v>
          </cell>
          <cell r="S4188">
            <v>45021</v>
          </cell>
          <cell r="T4188">
            <v>45026</v>
          </cell>
          <cell r="U4188">
            <v>45030</v>
          </cell>
          <cell r="V4188">
            <v>45030</v>
          </cell>
          <cell r="W4188">
            <v>45030</v>
          </cell>
          <cell r="X4188">
            <v>41100461</v>
          </cell>
        </row>
        <row r="4189">
          <cell r="K4189" t="str">
            <v>GBWS-3294</v>
          </cell>
          <cell r="L4189">
            <v>45012</v>
          </cell>
          <cell r="M4189">
            <v>45013</v>
          </cell>
          <cell r="N4189">
            <v>45022</v>
          </cell>
          <cell r="O4189">
            <v>45013</v>
          </cell>
          <cell r="P4189">
            <v>45021</v>
          </cell>
          <cell r="Q4189">
            <v>45020</v>
          </cell>
          <cell r="R4189">
            <v>45020</v>
          </cell>
          <cell r="S4189">
            <v>45022</v>
          </cell>
          <cell r="T4189">
            <v>45022</v>
          </cell>
          <cell r="U4189">
            <v>45029</v>
          </cell>
          <cell r="V4189">
            <v>45029</v>
          </cell>
          <cell r="W4189">
            <v>45029</v>
          </cell>
          <cell r="X4189">
            <v>41100494</v>
          </cell>
        </row>
        <row r="4190">
          <cell r="K4190" t="str">
            <v>GBWS-3295</v>
          </cell>
          <cell r="L4190">
            <v>45012</v>
          </cell>
          <cell r="M4190">
            <v>45013</v>
          </cell>
          <cell r="N4190">
            <v>45022</v>
          </cell>
          <cell r="O4190">
            <v>45013</v>
          </cell>
          <cell r="P4190">
            <v>45021</v>
          </cell>
          <cell r="Q4190">
            <v>45020</v>
          </cell>
          <cell r="R4190">
            <v>45020</v>
          </cell>
          <cell r="S4190">
            <v>45022</v>
          </cell>
          <cell r="T4190">
            <v>45022</v>
          </cell>
          <cell r="U4190">
            <v>45029</v>
          </cell>
          <cell r="V4190">
            <v>45029</v>
          </cell>
          <cell r="W4190">
            <v>45030</v>
          </cell>
          <cell r="X4190">
            <v>41100508</v>
          </cell>
        </row>
        <row r="4191">
          <cell r="K4191" t="str">
            <v>GBWS-3300</v>
          </cell>
          <cell r="L4191">
            <v>45014</v>
          </cell>
          <cell r="M4191">
            <v>45015</v>
          </cell>
          <cell r="N4191">
            <v>45023</v>
          </cell>
          <cell r="O4191">
            <v>45015</v>
          </cell>
          <cell r="P4191">
            <v>45023</v>
          </cell>
          <cell r="Q4191">
            <v>45023</v>
          </cell>
          <cell r="R4191">
            <v>45023</v>
          </cell>
          <cell r="S4191">
            <v>45026</v>
          </cell>
          <cell r="T4191">
            <v>45027</v>
          </cell>
          <cell r="U4191">
            <v>45030</v>
          </cell>
          <cell r="V4191">
            <v>45030</v>
          </cell>
          <cell r="W4191">
            <v>45030</v>
          </cell>
          <cell r="X4191">
            <v>41100667</v>
          </cell>
        </row>
        <row r="4192">
          <cell r="K4192" t="str">
            <v>GBWS-3301</v>
          </cell>
          <cell r="L4192">
            <v>45014</v>
          </cell>
          <cell r="M4192">
            <v>45015</v>
          </cell>
          <cell r="N4192">
            <v>45023</v>
          </cell>
          <cell r="O4192">
            <v>45015</v>
          </cell>
          <cell r="P4192">
            <v>45023</v>
          </cell>
          <cell r="Q4192">
            <v>45023</v>
          </cell>
          <cell r="R4192">
            <v>45023</v>
          </cell>
          <cell r="S4192">
            <v>45026</v>
          </cell>
          <cell r="T4192">
            <v>45027</v>
          </cell>
          <cell r="U4192">
            <v>45029</v>
          </cell>
          <cell r="V4192">
            <v>45029</v>
          </cell>
          <cell r="W4192">
            <v>45030</v>
          </cell>
          <cell r="X4192">
            <v>41100667</v>
          </cell>
        </row>
        <row r="4193">
          <cell r="K4193" t="str">
            <v>GPWS-0248</v>
          </cell>
          <cell r="L4193">
            <v>44979</v>
          </cell>
          <cell r="M4193" t="str">
            <v>2023-03-06 → 2/23</v>
          </cell>
          <cell r="N4193">
            <v>44993</v>
          </cell>
          <cell r="O4193" t="str">
            <v>2023-03-06 → 2/23</v>
          </cell>
          <cell r="P4193">
            <v>44994</v>
          </cell>
          <cell r="Q4193" t="str">
            <v>2023-03-14 → 3/2 → 3/6</v>
          </cell>
          <cell r="R4193" t="str">
            <v>2023-03-14 → 3/2 → 3/6</v>
          </cell>
          <cell r="S4193">
            <v>44993</v>
          </cell>
          <cell r="T4193">
            <v>44993</v>
          </cell>
          <cell r="U4193">
            <v>45015</v>
          </cell>
          <cell r="V4193">
            <v>45016</v>
          </cell>
          <cell r="W4193">
            <v>45016</v>
          </cell>
          <cell r="X4193">
            <v>41100638</v>
          </cell>
        </row>
        <row r="4194">
          <cell r="K4194" t="str">
            <v>DBW-2863</v>
          </cell>
          <cell r="L4194">
            <v>44966</v>
          </cell>
          <cell r="M4194">
            <v>44967</v>
          </cell>
          <cell r="N4194">
            <v>44977</v>
          </cell>
          <cell r="O4194">
            <v>44967</v>
          </cell>
          <cell r="P4194">
            <v>44977</v>
          </cell>
          <cell r="Q4194">
            <v>44977</v>
          </cell>
          <cell r="R4194">
            <v>44977</v>
          </cell>
          <cell r="S4194"/>
          <cell r="T4194">
            <v>44978</v>
          </cell>
          <cell r="U4194">
            <v>44979</v>
          </cell>
          <cell r="V4194">
            <v>44980</v>
          </cell>
          <cell r="W4194">
            <v>44980</v>
          </cell>
          <cell r="X4194">
            <v>41100480</v>
          </cell>
        </row>
        <row r="4195">
          <cell r="K4195" t="str">
            <v>DBW-2864</v>
          </cell>
          <cell r="L4195">
            <v>44966</v>
          </cell>
          <cell r="M4195">
            <v>44967</v>
          </cell>
          <cell r="N4195">
            <v>44977</v>
          </cell>
          <cell r="O4195">
            <v>44967</v>
          </cell>
          <cell r="P4195">
            <v>44977</v>
          </cell>
          <cell r="Q4195">
            <v>44977</v>
          </cell>
          <cell r="R4195">
            <v>44977</v>
          </cell>
          <cell r="S4195"/>
          <cell r="T4195">
            <v>44978</v>
          </cell>
          <cell r="U4195">
            <v>44980</v>
          </cell>
          <cell r="V4195">
            <v>44981</v>
          </cell>
          <cell r="W4195">
            <v>44981</v>
          </cell>
          <cell r="X4195">
            <v>41100480</v>
          </cell>
        </row>
        <row r="4196">
          <cell r="K4196" t="str">
            <v>G12030005</v>
          </cell>
          <cell r="L4196">
            <v>45020</v>
          </cell>
          <cell r="M4196">
            <v>45020</v>
          </cell>
          <cell r="N4196">
            <v>45020</v>
          </cell>
          <cell r="O4196">
            <v>45020</v>
          </cell>
          <cell r="P4196">
            <v>45020</v>
          </cell>
          <cell r="Q4196">
            <v>45020</v>
          </cell>
          <cell r="R4196">
            <v>45020</v>
          </cell>
          <cell r="S4196">
            <v>45020</v>
          </cell>
          <cell r="T4196">
            <v>45020</v>
          </cell>
          <cell r="U4196">
            <v>45034</v>
          </cell>
          <cell r="V4196">
            <v>45034</v>
          </cell>
          <cell r="W4196">
            <v>45034</v>
          </cell>
          <cell r="X4196" t="str">
            <v>-</v>
          </cell>
        </row>
        <row r="4197">
          <cell r="K4197" t="str">
            <v>G13090003</v>
          </cell>
          <cell r="L4197">
            <v>45020</v>
          </cell>
          <cell r="M4197">
            <v>45020</v>
          </cell>
          <cell r="N4197">
            <v>45020</v>
          </cell>
          <cell r="O4197">
            <v>45020</v>
          </cell>
          <cell r="P4197">
            <v>45020</v>
          </cell>
          <cell r="Q4197">
            <v>45020</v>
          </cell>
          <cell r="R4197">
            <v>45020</v>
          </cell>
          <cell r="S4197">
            <v>45020</v>
          </cell>
          <cell r="T4197">
            <v>45020</v>
          </cell>
          <cell r="U4197">
            <v>45034</v>
          </cell>
          <cell r="V4197">
            <v>45034</v>
          </cell>
          <cell r="W4197">
            <v>45034</v>
          </cell>
          <cell r="X4197" t="str">
            <v>-</v>
          </cell>
        </row>
        <row r="4198">
          <cell r="K4198" t="str">
            <v>GBWS-3286</v>
          </cell>
          <cell r="L4198">
            <v>45008</v>
          </cell>
          <cell r="M4198">
            <v>45009</v>
          </cell>
          <cell r="N4198">
            <v>45022</v>
          </cell>
          <cell r="O4198">
            <v>45009</v>
          </cell>
          <cell r="P4198">
            <v>45022</v>
          </cell>
          <cell r="Q4198">
            <v>45021</v>
          </cell>
          <cell r="R4198">
            <v>45021</v>
          </cell>
          <cell r="S4198">
            <v>45022</v>
          </cell>
          <cell r="T4198">
            <v>45028</v>
          </cell>
          <cell r="U4198">
            <v>45033</v>
          </cell>
          <cell r="V4198">
            <v>45035</v>
          </cell>
          <cell r="W4198">
            <v>45035</v>
          </cell>
          <cell r="X4198">
            <v>41100468</v>
          </cell>
        </row>
        <row r="4199">
          <cell r="K4199" t="str">
            <v>GBWS-3287</v>
          </cell>
          <cell r="L4199">
            <v>45008</v>
          </cell>
          <cell r="M4199">
            <v>45009</v>
          </cell>
          <cell r="N4199">
            <v>45022</v>
          </cell>
          <cell r="O4199">
            <v>45009</v>
          </cell>
          <cell r="P4199">
            <v>45022</v>
          </cell>
          <cell r="Q4199">
            <v>45021</v>
          </cell>
          <cell r="R4199">
            <v>45021</v>
          </cell>
          <cell r="S4199">
            <v>45027</v>
          </cell>
          <cell r="T4199">
            <v>45027</v>
          </cell>
          <cell r="U4199">
            <v>45033</v>
          </cell>
          <cell r="V4199">
            <v>45035</v>
          </cell>
          <cell r="W4199">
            <v>45035</v>
          </cell>
          <cell r="X4199">
            <v>41100468</v>
          </cell>
        </row>
        <row r="4200">
          <cell r="K4200" t="str">
            <v>GBWS-3288</v>
          </cell>
          <cell r="L4200">
            <v>45008</v>
          </cell>
          <cell r="M4200">
            <v>45009</v>
          </cell>
          <cell r="N4200">
            <v>45022</v>
          </cell>
          <cell r="O4200">
            <v>45009</v>
          </cell>
          <cell r="P4200">
            <v>45022</v>
          </cell>
          <cell r="Q4200">
            <v>45021</v>
          </cell>
          <cell r="R4200">
            <v>45021</v>
          </cell>
          <cell r="S4200">
            <v>45022</v>
          </cell>
          <cell r="T4200">
            <v>45022</v>
          </cell>
          <cell r="U4200">
            <v>45027</v>
          </cell>
          <cell r="V4200">
            <v>45028</v>
          </cell>
          <cell r="W4200">
            <v>45028</v>
          </cell>
          <cell r="X4200">
            <v>41100468</v>
          </cell>
        </row>
        <row r="4201">
          <cell r="K4201" t="str">
            <v>GBWS-3289</v>
          </cell>
          <cell r="L4201">
            <v>45008</v>
          </cell>
          <cell r="M4201">
            <v>45009</v>
          </cell>
          <cell r="N4201">
            <v>45022</v>
          </cell>
          <cell r="O4201">
            <v>45009</v>
          </cell>
          <cell r="P4201">
            <v>45022</v>
          </cell>
          <cell r="Q4201">
            <v>45021</v>
          </cell>
          <cell r="R4201">
            <v>45021</v>
          </cell>
          <cell r="S4201">
            <v>45022</v>
          </cell>
          <cell r="T4201">
            <v>45022</v>
          </cell>
          <cell r="U4201">
            <v>45027</v>
          </cell>
          <cell r="V4201">
            <v>45028</v>
          </cell>
          <cell r="W4201">
            <v>45028</v>
          </cell>
          <cell r="X4201">
            <v>41100468</v>
          </cell>
        </row>
        <row r="4202">
          <cell r="K4202" t="str">
            <v>DBW-2917</v>
          </cell>
          <cell r="L4202">
            <v>45006</v>
          </cell>
          <cell r="M4202">
            <v>45007</v>
          </cell>
          <cell r="N4202">
            <v>45019</v>
          </cell>
          <cell r="O4202">
            <v>45007</v>
          </cell>
          <cell r="P4202">
            <v>45019</v>
          </cell>
          <cell r="Q4202">
            <v>45016</v>
          </cell>
          <cell r="R4202">
            <v>45016</v>
          </cell>
          <cell r="S4202">
            <v>45019</v>
          </cell>
          <cell r="T4202">
            <v>45019</v>
          </cell>
          <cell r="U4202">
            <v>45026</v>
          </cell>
          <cell r="V4202">
            <v>45026</v>
          </cell>
          <cell r="W4202">
            <v>45026</v>
          </cell>
          <cell r="X4202">
            <v>41100471</v>
          </cell>
        </row>
        <row r="4203">
          <cell r="K4203" t="str">
            <v>DBW-2851</v>
          </cell>
          <cell r="L4203">
            <v>44938</v>
          </cell>
          <cell r="M4203">
            <v>44939</v>
          </cell>
          <cell r="N4203">
            <v>44951</v>
          </cell>
          <cell r="O4203">
            <v>44939</v>
          </cell>
          <cell r="P4203">
            <v>44952</v>
          </cell>
          <cell r="Q4203">
            <v>44952</v>
          </cell>
          <cell r="R4203">
            <v>44952</v>
          </cell>
          <cell r="S4203"/>
          <cell r="T4203">
            <v>44953</v>
          </cell>
          <cell r="U4203">
            <v>44956</v>
          </cell>
          <cell r="V4203">
            <v>44957</v>
          </cell>
          <cell r="W4203">
            <v>44957</v>
          </cell>
          <cell r="X4203">
            <v>41100480</v>
          </cell>
        </row>
        <row r="4204">
          <cell r="K4204" t="str">
            <v>GBWS-3324</v>
          </cell>
          <cell r="L4204">
            <v>45019</v>
          </cell>
          <cell r="M4204">
            <v>45020</v>
          </cell>
          <cell r="N4204">
            <v>45029</v>
          </cell>
          <cell r="O4204">
            <v>45020</v>
          </cell>
          <cell r="P4204">
            <v>45029</v>
          </cell>
          <cell r="Q4204">
            <v>45029</v>
          </cell>
          <cell r="R4204" t="str">
            <v>2023-04-13 → 4/14</v>
          </cell>
          <cell r="S4204">
            <v>45033</v>
          </cell>
          <cell r="T4204">
            <v>45033</v>
          </cell>
          <cell r="U4204">
            <v>45034</v>
          </cell>
          <cell r="V4204">
            <v>45035</v>
          </cell>
          <cell r="W4204">
            <v>45035</v>
          </cell>
          <cell r="X4204">
            <v>41100315</v>
          </cell>
        </row>
        <row r="4205">
          <cell r="K4205" t="str">
            <v>GBWS-2971</v>
          </cell>
          <cell r="L4205">
            <v>44865</v>
          </cell>
          <cell r="M4205">
            <v>44866</v>
          </cell>
          <cell r="N4205">
            <v>44879</v>
          </cell>
          <cell r="O4205">
            <v>44866</v>
          </cell>
          <cell r="P4205">
            <v>44879</v>
          </cell>
          <cell r="Q4205">
            <v>44876</v>
          </cell>
          <cell r="R4205">
            <v>44876</v>
          </cell>
          <cell r="S4205"/>
          <cell r="T4205">
            <v>44881</v>
          </cell>
          <cell r="U4205">
            <v>44882</v>
          </cell>
          <cell r="V4205">
            <v>44883</v>
          </cell>
          <cell r="W4205">
            <v>44883</v>
          </cell>
          <cell r="X4205">
            <v>41100481</v>
          </cell>
        </row>
        <row r="4206">
          <cell r="K4206" t="str">
            <v>GPWS-0236</v>
          </cell>
          <cell r="L4206">
            <v>44901</v>
          </cell>
          <cell r="M4206">
            <v>44902</v>
          </cell>
          <cell r="N4206">
            <v>44911</v>
          </cell>
          <cell r="O4206">
            <v>44902</v>
          </cell>
          <cell r="P4206">
            <v>44914</v>
          </cell>
          <cell r="Q4206">
            <v>44911</v>
          </cell>
          <cell r="R4206">
            <v>44911</v>
          </cell>
          <cell r="S4206"/>
          <cell r="T4206">
            <v>44914</v>
          </cell>
          <cell r="U4206">
            <v>44916</v>
          </cell>
          <cell r="V4206">
            <v>44916</v>
          </cell>
          <cell r="W4206">
            <v>44917</v>
          </cell>
          <cell r="X4206" t="str">
            <v>41100380 → 41100625</v>
          </cell>
        </row>
        <row r="4207">
          <cell r="K4207" t="str">
            <v>GPWS-0237</v>
          </cell>
          <cell r="L4207">
            <v>44901</v>
          </cell>
          <cell r="M4207">
            <v>44902</v>
          </cell>
          <cell r="N4207">
            <v>44911</v>
          </cell>
          <cell r="O4207">
            <v>44902</v>
          </cell>
          <cell r="P4207">
            <v>44914</v>
          </cell>
          <cell r="Q4207">
            <v>44911</v>
          </cell>
          <cell r="R4207">
            <v>44911</v>
          </cell>
          <cell r="S4207"/>
          <cell r="T4207">
            <v>44914</v>
          </cell>
          <cell r="U4207">
            <v>44916</v>
          </cell>
          <cell r="V4207">
            <v>44916</v>
          </cell>
          <cell r="W4207">
            <v>44917</v>
          </cell>
          <cell r="X4207" t="str">
            <v>41100380 → 41100625</v>
          </cell>
        </row>
        <row r="4208">
          <cell r="K4208" t="str">
            <v>GPWS-0238</v>
          </cell>
          <cell r="L4208">
            <v>44942</v>
          </cell>
          <cell r="M4208">
            <v>44943</v>
          </cell>
          <cell r="N4208">
            <v>44958</v>
          </cell>
          <cell r="O4208">
            <v>44943</v>
          </cell>
          <cell r="P4208">
            <v>44958</v>
          </cell>
          <cell r="Q4208">
            <v>44957</v>
          </cell>
          <cell r="R4208">
            <v>44957</v>
          </cell>
          <cell r="S4208"/>
          <cell r="T4208">
            <v>44958</v>
          </cell>
          <cell r="U4208">
            <v>44965</v>
          </cell>
          <cell r="V4208">
            <v>44966</v>
          </cell>
          <cell r="W4208">
            <v>44970</v>
          </cell>
          <cell r="X4208">
            <v>41100623</v>
          </cell>
        </row>
        <row r="4209">
          <cell r="K4209" t="str">
            <v>GPWS-0239</v>
          </cell>
          <cell r="L4209">
            <v>44942</v>
          </cell>
          <cell r="M4209">
            <v>44943</v>
          </cell>
          <cell r="N4209">
            <v>44958</v>
          </cell>
          <cell r="O4209">
            <v>44943</v>
          </cell>
          <cell r="P4209">
            <v>44958</v>
          </cell>
          <cell r="Q4209">
            <v>44957</v>
          </cell>
          <cell r="R4209">
            <v>44957</v>
          </cell>
          <cell r="S4209"/>
          <cell r="T4209">
            <v>44958</v>
          </cell>
          <cell r="U4209">
            <v>44960</v>
          </cell>
          <cell r="V4209">
            <v>44963</v>
          </cell>
          <cell r="W4209">
            <v>44963</v>
          </cell>
          <cell r="X4209">
            <v>41100623</v>
          </cell>
        </row>
        <row r="4210">
          <cell r="K4210" t="str">
            <v>GPWS-0240</v>
          </cell>
          <cell r="L4210">
            <v>44942</v>
          </cell>
          <cell r="M4210">
            <v>44943</v>
          </cell>
          <cell r="N4210">
            <v>44958</v>
          </cell>
          <cell r="O4210">
            <v>44943</v>
          </cell>
          <cell r="P4210">
            <v>44958</v>
          </cell>
          <cell r="Q4210">
            <v>44957</v>
          </cell>
          <cell r="R4210">
            <v>44957</v>
          </cell>
          <cell r="S4210"/>
          <cell r="T4210">
            <v>44958</v>
          </cell>
          <cell r="U4210">
            <v>44964</v>
          </cell>
          <cell r="V4210">
            <v>44965</v>
          </cell>
          <cell r="W4210">
            <v>44965</v>
          </cell>
          <cell r="X4210">
            <v>41100623</v>
          </cell>
        </row>
        <row r="4211">
          <cell r="K4211" t="str">
            <v>GPWS-0241</v>
          </cell>
          <cell r="L4211">
            <v>44942</v>
          </cell>
          <cell r="M4211">
            <v>44943</v>
          </cell>
          <cell r="N4211">
            <v>44958</v>
          </cell>
          <cell r="O4211">
            <v>44943</v>
          </cell>
          <cell r="P4211">
            <v>44958</v>
          </cell>
          <cell r="Q4211">
            <v>44957</v>
          </cell>
          <cell r="R4211">
            <v>44957</v>
          </cell>
          <cell r="S4211"/>
          <cell r="T4211">
            <v>44958</v>
          </cell>
          <cell r="U4211">
            <v>44963</v>
          </cell>
          <cell r="V4211">
            <v>44964</v>
          </cell>
          <cell r="W4211">
            <v>44964</v>
          </cell>
          <cell r="X4211">
            <v>41100623</v>
          </cell>
        </row>
        <row r="4212">
          <cell r="K4212" t="str">
            <v>GPWS-0242</v>
          </cell>
          <cell r="L4212">
            <v>44942</v>
          </cell>
          <cell r="M4212">
            <v>44943</v>
          </cell>
          <cell r="N4212">
            <v>44958</v>
          </cell>
          <cell r="O4212">
            <v>44943</v>
          </cell>
          <cell r="P4212">
            <v>44958</v>
          </cell>
          <cell r="Q4212">
            <v>44957</v>
          </cell>
          <cell r="R4212">
            <v>44957</v>
          </cell>
          <cell r="S4212"/>
          <cell r="T4212">
            <v>44958</v>
          </cell>
          <cell r="U4212">
            <v>44964</v>
          </cell>
          <cell r="V4212">
            <v>44965</v>
          </cell>
          <cell r="W4212">
            <v>44965</v>
          </cell>
          <cell r="X4212">
            <v>41100623</v>
          </cell>
        </row>
        <row r="4213">
          <cell r="K4213" t="str">
            <v>GPWS-0243</v>
          </cell>
          <cell r="L4213">
            <v>44942</v>
          </cell>
          <cell r="M4213">
            <v>44943</v>
          </cell>
          <cell r="N4213">
            <v>44958</v>
          </cell>
          <cell r="O4213">
            <v>44943</v>
          </cell>
          <cell r="P4213">
            <v>44958</v>
          </cell>
          <cell r="Q4213">
            <v>44957</v>
          </cell>
          <cell r="R4213">
            <v>44957</v>
          </cell>
          <cell r="S4213"/>
          <cell r="T4213">
            <v>44958</v>
          </cell>
          <cell r="U4213">
            <v>44963</v>
          </cell>
          <cell r="V4213">
            <v>44964</v>
          </cell>
          <cell r="W4213">
            <v>44964</v>
          </cell>
          <cell r="X4213">
            <v>41100623</v>
          </cell>
        </row>
        <row r="4214">
          <cell r="K4214" t="str">
            <v>G1H3002</v>
          </cell>
          <cell r="L4214">
            <v>45034</v>
          </cell>
          <cell r="M4214">
            <v>45034</v>
          </cell>
          <cell r="N4214">
            <v>45036</v>
          </cell>
          <cell r="O4214">
            <v>45034</v>
          </cell>
          <cell r="P4214">
            <v>45036</v>
          </cell>
          <cell r="Q4214">
            <v>45034</v>
          </cell>
          <cell r="R4214">
            <v>45034</v>
          </cell>
          <cell r="S4214">
            <v>45036</v>
          </cell>
          <cell r="T4214">
            <v>45036</v>
          </cell>
          <cell r="U4214">
            <v>45041</v>
          </cell>
          <cell r="V4214">
            <v>45041</v>
          </cell>
          <cell r="W4214">
            <v>45041</v>
          </cell>
          <cell r="X4214" t="str">
            <v>-</v>
          </cell>
        </row>
        <row r="4215">
          <cell r="K4215" t="str">
            <v>G12030007</v>
          </cell>
          <cell r="L4215">
            <v>45034</v>
          </cell>
          <cell r="M4215">
            <v>45034</v>
          </cell>
          <cell r="N4215">
            <v>45036</v>
          </cell>
          <cell r="O4215">
            <v>45034</v>
          </cell>
          <cell r="P4215">
            <v>45036</v>
          </cell>
          <cell r="Q4215">
            <v>45034</v>
          </cell>
          <cell r="R4215">
            <v>45034</v>
          </cell>
          <cell r="S4215">
            <v>45036</v>
          </cell>
          <cell r="T4215">
            <v>45036</v>
          </cell>
          <cell r="U4215">
            <v>45041</v>
          </cell>
          <cell r="V4215">
            <v>45041</v>
          </cell>
          <cell r="W4215">
            <v>45041</v>
          </cell>
          <cell r="X4215" t="str">
            <v>-</v>
          </cell>
        </row>
        <row r="4216">
          <cell r="K4216" t="str">
            <v>G13030040</v>
          </cell>
          <cell r="L4216">
            <v>45037</v>
          </cell>
          <cell r="M4216">
            <v>45037</v>
          </cell>
          <cell r="N4216">
            <v>45036</v>
          </cell>
          <cell r="O4216">
            <v>45037</v>
          </cell>
          <cell r="P4216">
            <v>45036</v>
          </cell>
          <cell r="Q4216">
            <v>45037</v>
          </cell>
          <cell r="R4216">
            <v>45037</v>
          </cell>
          <cell r="S4216">
            <v>45036</v>
          </cell>
          <cell r="T4216">
            <v>45036</v>
          </cell>
          <cell r="U4216">
            <v>45041</v>
          </cell>
          <cell r="V4216">
            <v>45041</v>
          </cell>
          <cell r="W4216">
            <v>45041</v>
          </cell>
          <cell r="X4216" t="str">
            <v>-</v>
          </cell>
        </row>
        <row r="4217">
          <cell r="K4217" t="str">
            <v>DBW-2920</v>
          </cell>
          <cell r="L4217">
            <v>45019</v>
          </cell>
          <cell r="M4217">
            <v>45020</v>
          </cell>
          <cell r="N4217">
            <v>45030</v>
          </cell>
          <cell r="O4217">
            <v>45020</v>
          </cell>
          <cell r="P4217">
            <v>45030</v>
          </cell>
          <cell r="Q4217">
            <v>45029</v>
          </cell>
          <cell r="R4217" t="str">
            <v>2023-04-13 → 4/14</v>
          </cell>
          <cell r="S4217">
            <v>45033</v>
          </cell>
          <cell r="T4217">
            <v>45035</v>
          </cell>
          <cell r="U4217">
            <v>45037</v>
          </cell>
          <cell r="V4217">
            <v>45040</v>
          </cell>
          <cell r="W4217">
            <v>45040</v>
          </cell>
          <cell r="X4217">
            <v>41100655</v>
          </cell>
        </row>
        <row r="4218">
          <cell r="K4218" t="str">
            <v>GBWS-3181</v>
          </cell>
          <cell r="L4218">
            <v>44963</v>
          </cell>
          <cell r="M4218">
            <v>44964</v>
          </cell>
          <cell r="N4218">
            <v>45008</v>
          </cell>
          <cell r="O4218">
            <v>44964</v>
          </cell>
          <cell r="P4218">
            <v>45003</v>
          </cell>
          <cell r="Q4218" t="str">
            <v>2023-02-17 → 3/16</v>
          </cell>
          <cell r="R4218" t="str">
            <v>2023-02-17 → 3/16</v>
          </cell>
          <cell r="S4218">
            <v>45013</v>
          </cell>
          <cell r="T4218">
            <v>45022</v>
          </cell>
          <cell r="U4218">
            <v>45022</v>
          </cell>
          <cell r="V4218">
            <v>45040</v>
          </cell>
          <cell r="W4218">
            <v>45040</v>
          </cell>
          <cell r="X4218">
            <v>41100629</v>
          </cell>
        </row>
        <row r="4219">
          <cell r="K4219" t="str">
            <v>GBWS-3182</v>
          </cell>
          <cell r="L4219">
            <v>44963</v>
          </cell>
          <cell r="M4219">
            <v>44964</v>
          </cell>
          <cell r="N4219">
            <v>45008</v>
          </cell>
          <cell r="O4219">
            <v>44964</v>
          </cell>
          <cell r="P4219">
            <v>45003</v>
          </cell>
          <cell r="Q4219" t="str">
            <v>2023-02-17 → 3/16</v>
          </cell>
          <cell r="R4219" t="str">
            <v>2023-02-17 → 3/16</v>
          </cell>
          <cell r="S4219">
            <v>45013</v>
          </cell>
          <cell r="T4219">
            <v>45040</v>
          </cell>
          <cell r="U4219">
            <v>45022</v>
          </cell>
          <cell r="V4219">
            <v>45040</v>
          </cell>
          <cell r="W4219">
            <v>45040</v>
          </cell>
          <cell r="X4219">
            <v>41100641</v>
          </cell>
        </row>
        <row r="4220">
          <cell r="K4220" t="str">
            <v>GBWS-3334</v>
          </cell>
          <cell r="L4220">
            <v>45022</v>
          </cell>
          <cell r="M4220">
            <v>45022</v>
          </cell>
          <cell r="N4220">
            <v>45033</v>
          </cell>
          <cell r="O4220">
            <v>45022</v>
          </cell>
          <cell r="P4220">
            <v>45034</v>
          </cell>
          <cell r="Q4220">
            <v>45033</v>
          </cell>
          <cell r="R4220" t="str">
            <v>2023-04-17 → 4/18</v>
          </cell>
          <cell r="S4220">
            <v>45035</v>
          </cell>
          <cell r="T4220">
            <v>45035</v>
          </cell>
          <cell r="U4220">
            <v>45037</v>
          </cell>
          <cell r="V4220">
            <v>45041</v>
          </cell>
          <cell r="W4220">
            <v>45041</v>
          </cell>
          <cell r="X4220">
            <v>41100318</v>
          </cell>
        </row>
        <row r="4221">
          <cell r="K4221" t="str">
            <v>GBWS-3325</v>
          </cell>
          <cell r="L4221">
            <v>45012</v>
          </cell>
          <cell r="M4221" t="str">
            <v>2023-03-24 → 3/28</v>
          </cell>
          <cell r="N4221">
            <v>45026</v>
          </cell>
          <cell r="O4221" t="str">
            <v>2023-03-24 → 3/28</v>
          </cell>
          <cell r="P4221">
            <v>45027</v>
          </cell>
          <cell r="Q4221" t="str">
            <v>2023-04-07 →  4/10(오전) → 4/11(전장)</v>
          </cell>
          <cell r="R4221" t="str">
            <v>2023-04-07 →  4/10(오전) → 4/11(전장)</v>
          </cell>
          <cell r="S4221">
            <v>45028</v>
          </cell>
          <cell r="T4221">
            <v>45028</v>
          </cell>
          <cell r="U4221">
            <v>45037</v>
          </cell>
          <cell r="V4221">
            <v>45040</v>
          </cell>
          <cell r="W4221">
            <v>45040</v>
          </cell>
          <cell r="X4221" t="str">
            <v>41100645 → 41100673</v>
          </cell>
        </row>
        <row r="4222">
          <cell r="K4222" t="str">
            <v>IVAS-189</v>
          </cell>
          <cell r="L4222">
            <v>44960</v>
          </cell>
          <cell r="M4222">
            <v>44963</v>
          </cell>
          <cell r="N4222">
            <v>44975</v>
          </cell>
          <cell r="O4222">
            <v>44963</v>
          </cell>
          <cell r="P4222">
            <v>44977</v>
          </cell>
          <cell r="Q4222">
            <v>44972</v>
          </cell>
          <cell r="R4222">
            <v>44972</v>
          </cell>
          <cell r="S4222">
            <v>44992</v>
          </cell>
          <cell r="T4222">
            <v>44975</v>
          </cell>
          <cell r="U4222">
            <v>44978</v>
          </cell>
          <cell r="V4222">
            <v>44979</v>
          </cell>
          <cell r="W4222">
            <v>44979</v>
          </cell>
          <cell r="X4222">
            <v>41100613</v>
          </cell>
        </row>
        <row r="4223">
          <cell r="K4223"/>
          <cell r="L4223">
            <v>45021</v>
          </cell>
          <cell r="M4223">
            <v>45021</v>
          </cell>
          <cell r="N4223">
            <v>45027</v>
          </cell>
          <cell r="O4223">
            <v>45021</v>
          </cell>
          <cell r="P4223">
            <v>45030</v>
          </cell>
          <cell r="Q4223">
            <v>45028</v>
          </cell>
          <cell r="R4223">
            <v>45028</v>
          </cell>
          <cell r="S4223">
            <v>45030</v>
          </cell>
          <cell r="T4223">
            <v>45030</v>
          </cell>
          <cell r="U4223">
            <v>45041</v>
          </cell>
          <cell r="V4223">
            <v>45041</v>
          </cell>
          <cell r="W4223">
            <v>45041</v>
          </cell>
          <cell r="X4223">
            <v>41100271</v>
          </cell>
        </row>
        <row r="4224">
          <cell r="K4224" t="str">
            <v>DBW-2923</v>
          </cell>
          <cell r="L4224">
            <v>45022</v>
          </cell>
          <cell r="M4224">
            <v>45023</v>
          </cell>
          <cell r="N4224">
            <v>45033</v>
          </cell>
          <cell r="O4224">
            <v>45023</v>
          </cell>
          <cell r="P4224">
            <v>45034</v>
          </cell>
          <cell r="Q4224">
            <v>45033</v>
          </cell>
          <cell r="R4224" t="str">
            <v>2023-04-17 → 4/18</v>
          </cell>
          <cell r="S4224">
            <v>45035</v>
          </cell>
          <cell r="T4224">
            <v>45036</v>
          </cell>
          <cell r="U4224">
            <v>45040</v>
          </cell>
          <cell r="V4224">
            <v>45041</v>
          </cell>
          <cell r="W4224">
            <v>45041</v>
          </cell>
          <cell r="X4224">
            <v>41100360</v>
          </cell>
        </row>
        <row r="4225">
          <cell r="K4225" t="str">
            <v>GBA-0107</v>
          </cell>
          <cell r="L4225">
            <v>45019</v>
          </cell>
          <cell r="M4225">
            <v>45020</v>
          </cell>
          <cell r="N4225">
            <v>45033</v>
          </cell>
          <cell r="O4225">
            <v>45020</v>
          </cell>
          <cell r="P4225">
            <v>45033</v>
          </cell>
          <cell r="Q4225">
            <v>45030</v>
          </cell>
          <cell r="R4225" t="str">
            <v>2023-04-14 → 4/17</v>
          </cell>
          <cell r="S4225">
            <v>45034</v>
          </cell>
          <cell r="T4225">
            <v>45034</v>
          </cell>
          <cell r="U4225">
            <v>45037</v>
          </cell>
          <cell r="V4225">
            <v>45041</v>
          </cell>
          <cell r="W4225">
            <v>45041</v>
          </cell>
          <cell r="X4225">
            <v>41100666</v>
          </cell>
        </row>
        <row r="4226">
          <cell r="K4226" t="str">
            <v>GBA-0108</v>
          </cell>
          <cell r="L4226">
            <v>45019</v>
          </cell>
          <cell r="M4226">
            <v>45020</v>
          </cell>
          <cell r="N4226">
            <v>45033</v>
          </cell>
          <cell r="O4226">
            <v>45020</v>
          </cell>
          <cell r="P4226">
            <v>45033</v>
          </cell>
          <cell r="Q4226">
            <v>45030</v>
          </cell>
          <cell r="R4226" t="str">
            <v>2023-04-14 → 4/17</v>
          </cell>
          <cell r="S4226">
            <v>45034</v>
          </cell>
          <cell r="T4226">
            <v>45034</v>
          </cell>
          <cell r="U4226">
            <v>45037</v>
          </cell>
          <cell r="V4226">
            <v>45041</v>
          </cell>
          <cell r="W4226">
            <v>45041</v>
          </cell>
          <cell r="X4226">
            <v>41100666</v>
          </cell>
        </row>
        <row r="4227">
          <cell r="K4227" t="str">
            <v>GBA-0109</v>
          </cell>
          <cell r="L4227">
            <v>45019</v>
          </cell>
          <cell r="M4227">
            <v>45020</v>
          </cell>
          <cell r="N4227">
            <v>45033</v>
          </cell>
          <cell r="O4227">
            <v>45020</v>
          </cell>
          <cell r="P4227">
            <v>45033</v>
          </cell>
          <cell r="Q4227">
            <v>45030</v>
          </cell>
          <cell r="R4227" t="str">
            <v>2023-04-14 → 4/17</v>
          </cell>
          <cell r="S4227">
            <v>45034</v>
          </cell>
          <cell r="T4227">
            <v>45034</v>
          </cell>
          <cell r="U4227">
            <v>45040</v>
          </cell>
          <cell r="V4227">
            <v>45041</v>
          </cell>
          <cell r="W4227">
            <v>45041</v>
          </cell>
          <cell r="X4227">
            <v>41100666</v>
          </cell>
        </row>
        <row r="4228">
          <cell r="K4228" t="str">
            <v>GBA-0110</v>
          </cell>
          <cell r="L4228">
            <v>45019</v>
          </cell>
          <cell r="M4228">
            <v>45020</v>
          </cell>
          <cell r="N4228">
            <v>45033</v>
          </cell>
          <cell r="O4228">
            <v>45020</v>
          </cell>
          <cell r="P4228">
            <v>45033</v>
          </cell>
          <cell r="Q4228">
            <v>45030</v>
          </cell>
          <cell r="R4228" t="str">
            <v>2023-04-14 → 4/17</v>
          </cell>
          <cell r="S4228">
            <v>45034</v>
          </cell>
          <cell r="T4228">
            <v>45034</v>
          </cell>
          <cell r="U4228">
            <v>45040</v>
          </cell>
          <cell r="V4228">
            <v>45041</v>
          </cell>
          <cell r="W4228">
            <v>45041</v>
          </cell>
          <cell r="X4228">
            <v>41100666</v>
          </cell>
        </row>
        <row r="4229">
          <cell r="K4229" t="str">
            <v>GBA-0111</v>
          </cell>
          <cell r="L4229">
            <v>45019</v>
          </cell>
          <cell r="M4229">
            <v>45020</v>
          </cell>
          <cell r="N4229">
            <v>45033</v>
          </cell>
          <cell r="O4229">
            <v>45020</v>
          </cell>
          <cell r="P4229">
            <v>45033</v>
          </cell>
          <cell r="Q4229">
            <v>45030</v>
          </cell>
          <cell r="R4229" t="str">
            <v>2023-04-14 → 4/17</v>
          </cell>
          <cell r="S4229">
            <v>45034</v>
          </cell>
          <cell r="T4229">
            <v>45034</v>
          </cell>
          <cell r="U4229">
            <v>45040</v>
          </cell>
          <cell r="V4229">
            <v>45041</v>
          </cell>
          <cell r="W4229">
            <v>45041</v>
          </cell>
          <cell r="X4229">
            <v>41100666</v>
          </cell>
        </row>
        <row r="4230">
          <cell r="K4230" t="str">
            <v>DBW-2894</v>
          </cell>
          <cell r="L4230">
            <v>44981</v>
          </cell>
          <cell r="M4230">
            <v>44984</v>
          </cell>
          <cell r="N4230">
            <v>44993</v>
          </cell>
          <cell r="O4230">
            <v>44984</v>
          </cell>
          <cell r="P4230">
            <v>44994</v>
          </cell>
          <cell r="Q4230">
            <v>44993</v>
          </cell>
          <cell r="R4230">
            <v>44993</v>
          </cell>
          <cell r="S4230">
            <v>45007</v>
          </cell>
          <cell r="T4230">
            <v>45008</v>
          </cell>
          <cell r="U4230">
            <v>45012</v>
          </cell>
          <cell r="V4230">
            <v>45012</v>
          </cell>
          <cell r="W4230">
            <v>45013</v>
          </cell>
          <cell r="X4230">
            <v>41100496</v>
          </cell>
        </row>
        <row r="4231">
          <cell r="K4231" t="str">
            <v>DBW-2895</v>
          </cell>
          <cell r="L4231">
            <v>44981</v>
          </cell>
          <cell r="M4231">
            <v>44984</v>
          </cell>
          <cell r="N4231">
            <v>44993</v>
          </cell>
          <cell r="O4231">
            <v>44984</v>
          </cell>
          <cell r="P4231">
            <v>44994</v>
          </cell>
          <cell r="Q4231">
            <v>44993</v>
          </cell>
          <cell r="R4231">
            <v>44993</v>
          </cell>
          <cell r="S4231">
            <v>45007</v>
          </cell>
          <cell r="T4231">
            <v>45008</v>
          </cell>
          <cell r="U4231">
            <v>45012</v>
          </cell>
          <cell r="V4231">
            <v>45012</v>
          </cell>
          <cell r="W4231">
            <v>45012</v>
          </cell>
          <cell r="X4231">
            <v>41100496</v>
          </cell>
        </row>
        <row r="4232">
          <cell r="K4232" t="str">
            <v>DBW-2912</v>
          </cell>
          <cell r="L4232">
            <v>45005</v>
          </cell>
          <cell r="M4232" t="str">
            <v>2023-03-17 → 3/21</v>
          </cell>
          <cell r="N4232">
            <v>45012</v>
          </cell>
          <cell r="O4232" t="str">
            <v>2023-03-17 → 3/21</v>
          </cell>
          <cell r="P4232">
            <v>45013</v>
          </cell>
          <cell r="Q4232" t="str">
            <v>2023-03-27 → 3/29</v>
          </cell>
          <cell r="R4232" t="str">
            <v>2023-03-27 → 3/29</v>
          </cell>
          <cell r="S4232">
            <v>45013</v>
          </cell>
          <cell r="T4232">
            <v>45015</v>
          </cell>
          <cell r="U4232">
            <v>45020</v>
          </cell>
          <cell r="V4232">
            <v>45021</v>
          </cell>
          <cell r="W4232">
            <v>45021</v>
          </cell>
          <cell r="X4232">
            <v>41100501</v>
          </cell>
        </row>
        <row r="4233">
          <cell r="K4233" t="str">
            <v>G14090031</v>
          </cell>
          <cell r="L4233">
            <v>45030</v>
          </cell>
          <cell r="M4233">
            <v>45030</v>
          </cell>
          <cell r="N4233">
            <v>45028</v>
          </cell>
          <cell r="O4233">
            <v>45030</v>
          </cell>
          <cell r="P4233">
            <v>45028</v>
          </cell>
          <cell r="Q4233">
            <v>45030</v>
          </cell>
          <cell r="R4233">
            <v>45030</v>
          </cell>
          <cell r="S4233">
            <v>45028</v>
          </cell>
          <cell r="T4233">
            <v>45028</v>
          </cell>
          <cell r="U4233">
            <v>45035</v>
          </cell>
          <cell r="V4233">
            <v>45035</v>
          </cell>
          <cell r="W4233">
            <v>45035</v>
          </cell>
          <cell r="X4233" t="str">
            <v>-</v>
          </cell>
        </row>
        <row r="4234">
          <cell r="K4234" t="str">
            <v>G14030008</v>
          </cell>
          <cell r="L4234">
            <v>45030</v>
          </cell>
          <cell r="M4234">
            <v>45030</v>
          </cell>
          <cell r="N4234">
            <v>45028</v>
          </cell>
          <cell r="O4234">
            <v>45030</v>
          </cell>
          <cell r="P4234">
            <v>45028</v>
          </cell>
          <cell r="Q4234">
            <v>45030</v>
          </cell>
          <cell r="R4234">
            <v>45030</v>
          </cell>
          <cell r="S4234">
            <v>45028</v>
          </cell>
          <cell r="T4234">
            <v>45028</v>
          </cell>
          <cell r="U4234">
            <v>45035</v>
          </cell>
          <cell r="V4234">
            <v>45035</v>
          </cell>
          <cell r="W4234">
            <v>45035</v>
          </cell>
          <cell r="X4234" t="str">
            <v>-</v>
          </cell>
        </row>
        <row r="4235">
          <cell r="K4235" t="str">
            <v>G1H4004</v>
          </cell>
          <cell r="L4235">
            <v>45020</v>
          </cell>
          <cell r="M4235">
            <v>45020</v>
          </cell>
          <cell r="N4235">
            <v>45020</v>
          </cell>
          <cell r="O4235">
            <v>45020</v>
          </cell>
          <cell r="P4235">
            <v>45020</v>
          </cell>
          <cell r="Q4235">
            <v>45020</v>
          </cell>
          <cell r="R4235">
            <v>45020</v>
          </cell>
          <cell r="S4235">
            <v>45020</v>
          </cell>
          <cell r="T4235">
            <v>45020</v>
          </cell>
          <cell r="U4235">
            <v>45042</v>
          </cell>
          <cell r="V4235">
            <v>45042</v>
          </cell>
          <cell r="W4235">
            <v>45042</v>
          </cell>
          <cell r="X4235" t="str">
            <v>-</v>
          </cell>
        </row>
        <row r="4236">
          <cell r="K4236" t="str">
            <v xml:space="preserve">G13090003 </v>
          </cell>
          <cell r="L4236">
            <v>45027</v>
          </cell>
          <cell r="M4236">
            <v>45027</v>
          </cell>
          <cell r="N4236">
            <v>45028</v>
          </cell>
          <cell r="O4236">
            <v>45027</v>
          </cell>
          <cell r="P4236">
            <v>45028</v>
          </cell>
          <cell r="Q4236">
            <v>45027</v>
          </cell>
          <cell r="R4236">
            <v>45027</v>
          </cell>
          <cell r="S4236">
            <v>45028</v>
          </cell>
          <cell r="T4236">
            <v>45028</v>
          </cell>
          <cell r="U4236">
            <v>45042</v>
          </cell>
          <cell r="V4236">
            <v>45042</v>
          </cell>
          <cell r="W4236">
            <v>45042</v>
          </cell>
          <cell r="X4236" t="str">
            <v>-</v>
          </cell>
        </row>
        <row r="4237">
          <cell r="K4237" t="str">
            <v>G14090011</v>
          </cell>
          <cell r="L4237">
            <v>45041</v>
          </cell>
          <cell r="M4237">
            <v>45041</v>
          </cell>
          <cell r="N4237">
            <v>45041</v>
          </cell>
          <cell r="O4237">
            <v>45041</v>
          </cell>
          <cell r="P4237">
            <v>45041</v>
          </cell>
          <cell r="Q4237">
            <v>45041</v>
          </cell>
          <cell r="R4237">
            <v>45041</v>
          </cell>
          <cell r="S4237">
            <v>45041</v>
          </cell>
          <cell r="T4237">
            <v>45041</v>
          </cell>
          <cell r="U4237">
            <v>45042</v>
          </cell>
          <cell r="V4237">
            <v>45042</v>
          </cell>
          <cell r="W4237">
            <v>45042</v>
          </cell>
          <cell r="X4237" t="str">
            <v>-</v>
          </cell>
        </row>
        <row r="4238">
          <cell r="K4238" t="str">
            <v>G14090019</v>
          </cell>
          <cell r="L4238">
            <v>45041</v>
          </cell>
          <cell r="M4238">
            <v>45041</v>
          </cell>
          <cell r="N4238">
            <v>45041</v>
          </cell>
          <cell r="O4238">
            <v>45041</v>
          </cell>
          <cell r="P4238">
            <v>45041</v>
          </cell>
          <cell r="Q4238">
            <v>45041</v>
          </cell>
          <cell r="R4238">
            <v>45041</v>
          </cell>
          <cell r="S4238">
            <v>45041</v>
          </cell>
          <cell r="T4238">
            <v>45041</v>
          </cell>
          <cell r="U4238">
            <v>45042</v>
          </cell>
          <cell r="V4238">
            <v>45042</v>
          </cell>
          <cell r="W4238">
            <v>45042</v>
          </cell>
          <cell r="X4238" t="str">
            <v>-</v>
          </cell>
        </row>
        <row r="4239">
          <cell r="K4239" t="str">
            <v>IVAS-199</v>
          </cell>
          <cell r="L4239">
            <v>45016</v>
          </cell>
          <cell r="M4239">
            <v>45019</v>
          </cell>
          <cell r="N4239">
            <v>45030</v>
          </cell>
          <cell r="O4239">
            <v>45019</v>
          </cell>
          <cell r="P4239">
            <v>45034</v>
          </cell>
          <cell r="Q4239">
            <v>45030</v>
          </cell>
          <cell r="R4239" t="str">
            <v>2023-04-14 → 4/17</v>
          </cell>
          <cell r="S4239">
            <v>45035</v>
          </cell>
          <cell r="T4239">
            <v>45034</v>
          </cell>
          <cell r="U4239">
            <v>45043</v>
          </cell>
          <cell r="V4239">
            <v>45043</v>
          </cell>
          <cell r="W4239">
            <v>45043</v>
          </cell>
          <cell r="X4239">
            <v>41100612</v>
          </cell>
        </row>
        <row r="4240">
          <cell r="K4240" t="str">
            <v>IVAS-200</v>
          </cell>
          <cell r="L4240">
            <v>45019</v>
          </cell>
          <cell r="M4240">
            <v>45020</v>
          </cell>
          <cell r="N4240">
            <v>45028</v>
          </cell>
          <cell r="O4240">
            <v>45020</v>
          </cell>
          <cell r="P4240">
            <v>45029</v>
          </cell>
          <cell r="Q4240">
            <v>45028</v>
          </cell>
          <cell r="R4240" t="str">
            <v>2023-04-12 → 4/13</v>
          </cell>
          <cell r="S4240">
            <v>45035</v>
          </cell>
          <cell r="T4240">
            <v>45035</v>
          </cell>
          <cell r="U4240">
            <v>45048</v>
          </cell>
          <cell r="V4240">
            <v>45048</v>
          </cell>
          <cell r="W4240">
            <v>45049</v>
          </cell>
          <cell r="X4240">
            <v>41100540</v>
          </cell>
        </row>
        <row r="4241">
          <cell r="K4241" t="str">
            <v>IVAS-201</v>
          </cell>
          <cell r="L4241">
            <v>45022</v>
          </cell>
          <cell r="M4241">
            <v>45022</v>
          </cell>
          <cell r="N4241">
            <v>45033</v>
          </cell>
          <cell r="O4241">
            <v>45022</v>
          </cell>
          <cell r="P4241">
            <v>45034</v>
          </cell>
          <cell r="Q4241">
            <v>45033</v>
          </cell>
          <cell r="R4241" t="str">
            <v>2023-04-17 → 4/18</v>
          </cell>
          <cell r="S4241">
            <v>45036</v>
          </cell>
          <cell r="T4241">
            <v>45036</v>
          </cell>
          <cell r="U4241">
            <v>45044</v>
          </cell>
          <cell r="V4241">
            <v>45049</v>
          </cell>
          <cell r="W4241">
            <v>45049</v>
          </cell>
          <cell r="X4241">
            <v>41100602</v>
          </cell>
        </row>
        <row r="4242">
          <cell r="K4242" t="str">
            <v>GBWS-3259</v>
          </cell>
          <cell r="L4242">
            <v>45000</v>
          </cell>
          <cell r="M4242">
            <v>45001</v>
          </cell>
          <cell r="N4242">
            <v>45017</v>
          </cell>
          <cell r="O4242">
            <v>45001</v>
          </cell>
          <cell r="P4242">
            <v>45012</v>
          </cell>
          <cell r="Q4242" t="str">
            <v>2023-03-24 → 3/26</v>
          </cell>
          <cell r="R4242" t="str">
            <v>2023-03-24 → 3/26</v>
          </cell>
          <cell r="S4242">
            <v>45014</v>
          </cell>
          <cell r="T4242">
            <v>45014</v>
          </cell>
          <cell r="U4242">
            <v>45021</v>
          </cell>
          <cell r="V4242">
            <v>45021</v>
          </cell>
          <cell r="W4242">
            <v>45021</v>
          </cell>
          <cell r="X4242">
            <v>41100633</v>
          </cell>
        </row>
        <row r="4243">
          <cell r="K4243" t="str">
            <v>DBW-2924</v>
          </cell>
          <cell r="L4243">
            <v>45027</v>
          </cell>
          <cell r="M4243">
            <v>45028</v>
          </cell>
          <cell r="N4243">
            <v>45037</v>
          </cell>
          <cell r="O4243">
            <v>45028</v>
          </cell>
          <cell r="P4243">
            <v>45040</v>
          </cell>
          <cell r="Q4243">
            <v>45037</v>
          </cell>
          <cell r="R4243" t="str">
            <v>2023-04-21 → 4/24</v>
          </cell>
          <cell r="S4243">
            <v>45041</v>
          </cell>
          <cell r="T4243">
            <v>45041</v>
          </cell>
          <cell r="U4243">
            <v>45043</v>
          </cell>
          <cell r="V4243">
            <v>45043</v>
          </cell>
          <cell r="W4243">
            <v>45043</v>
          </cell>
          <cell r="X4243">
            <v>41100466</v>
          </cell>
        </row>
        <row r="4244">
          <cell r="K4244" t="str">
            <v>DBW-2925</v>
          </cell>
          <cell r="L4244">
            <v>45027</v>
          </cell>
          <cell r="M4244">
            <v>45028</v>
          </cell>
          <cell r="N4244">
            <v>45037</v>
          </cell>
          <cell r="O4244">
            <v>45028</v>
          </cell>
          <cell r="P4244">
            <v>45040</v>
          </cell>
          <cell r="Q4244">
            <v>45037</v>
          </cell>
          <cell r="R4244" t="str">
            <v>2023-04-21 → 4/24</v>
          </cell>
          <cell r="S4244">
            <v>45041</v>
          </cell>
          <cell r="T4244">
            <v>45041</v>
          </cell>
          <cell r="U4244">
            <v>45049</v>
          </cell>
          <cell r="V4244">
            <v>45049</v>
          </cell>
          <cell r="W4244">
            <v>45049</v>
          </cell>
          <cell r="X4244">
            <v>41100466</v>
          </cell>
        </row>
        <row r="4245">
          <cell r="K4245" t="str">
            <v>G14090016</v>
          </cell>
          <cell r="L4245">
            <v>45037</v>
          </cell>
          <cell r="M4245">
            <v>45037</v>
          </cell>
          <cell r="N4245">
            <v>45041</v>
          </cell>
          <cell r="O4245">
            <v>45037</v>
          </cell>
          <cell r="P4245">
            <v>45041</v>
          </cell>
          <cell r="Q4245">
            <v>45037</v>
          </cell>
          <cell r="R4245">
            <v>45037</v>
          </cell>
          <cell r="S4245">
            <v>45041</v>
          </cell>
          <cell r="T4245">
            <v>45041</v>
          </cell>
          <cell r="U4245">
            <v>45049</v>
          </cell>
          <cell r="V4245">
            <v>45049</v>
          </cell>
          <cell r="W4245">
            <v>45049</v>
          </cell>
          <cell r="X4245" t="str">
            <v>-</v>
          </cell>
        </row>
        <row r="4246">
          <cell r="K4246" t="str">
            <v>GBWS-3213</v>
          </cell>
          <cell r="L4246">
            <v>44984</v>
          </cell>
          <cell r="M4246" t="str">
            <v>2023-02-15 → 2/28</v>
          </cell>
          <cell r="N4246">
            <v>44995</v>
          </cell>
          <cell r="O4246" t="str">
            <v>2023-02-15 → 2/28</v>
          </cell>
          <cell r="P4246">
            <v>44999</v>
          </cell>
          <cell r="Q4246" t="str">
            <v>2023-02-24 → 3/10</v>
          </cell>
          <cell r="R4246" t="str">
            <v>2023-02-24 → 3/10</v>
          </cell>
          <cell r="S4246">
            <v>45003</v>
          </cell>
          <cell r="T4246">
            <v>45003</v>
          </cell>
          <cell r="U4246">
            <v>45034</v>
          </cell>
          <cell r="V4246">
            <v>45036</v>
          </cell>
          <cell r="W4246">
            <v>45036</v>
          </cell>
          <cell r="X4246">
            <v>41100630</v>
          </cell>
        </row>
        <row r="4247">
          <cell r="K4247" t="str">
            <v>GBWS-3214</v>
          </cell>
          <cell r="L4247">
            <v>44984</v>
          </cell>
          <cell r="M4247" t="str">
            <v>2023-02-15 → 2/28</v>
          </cell>
          <cell r="N4247">
            <v>44995</v>
          </cell>
          <cell r="O4247" t="str">
            <v>2023-02-15 → 2/28</v>
          </cell>
          <cell r="P4247">
            <v>44999</v>
          </cell>
          <cell r="Q4247" t="str">
            <v>2023-02-24 → 3/10</v>
          </cell>
          <cell r="R4247" t="str">
            <v>2023-02-24 → 3/10</v>
          </cell>
          <cell r="S4247">
            <v>45003</v>
          </cell>
          <cell r="T4247">
            <v>45003</v>
          </cell>
          <cell r="U4247">
            <v>45034</v>
          </cell>
          <cell r="V4247">
            <v>45036</v>
          </cell>
          <cell r="W4247">
            <v>45036</v>
          </cell>
          <cell r="X4247">
            <v>41100630</v>
          </cell>
        </row>
        <row r="4248">
          <cell r="K4248" t="str">
            <v>GBWS-3244</v>
          </cell>
          <cell r="L4248">
            <v>44998</v>
          </cell>
          <cell r="M4248">
            <v>44999</v>
          </cell>
          <cell r="N4248">
            <v>45008</v>
          </cell>
          <cell r="O4248">
            <v>44999</v>
          </cell>
          <cell r="P4248">
            <v>45008</v>
          </cell>
          <cell r="Q4248" t="str">
            <v>2023-03-23 → 3/24</v>
          </cell>
          <cell r="R4248" t="str">
            <v>2023-03-23 → 3/24</v>
          </cell>
          <cell r="S4248">
            <v>45008</v>
          </cell>
          <cell r="T4248">
            <v>45016</v>
          </cell>
          <cell r="U4248">
            <v>45020</v>
          </cell>
          <cell r="V4248">
            <v>45021</v>
          </cell>
          <cell r="W4248">
            <v>45021</v>
          </cell>
          <cell r="X4248">
            <v>41100511</v>
          </cell>
        </row>
        <row r="4249">
          <cell r="K4249" t="str">
            <v>GBWS-3245</v>
          </cell>
          <cell r="L4249">
            <v>44998</v>
          </cell>
          <cell r="M4249">
            <v>44999</v>
          </cell>
          <cell r="N4249">
            <v>45008</v>
          </cell>
          <cell r="O4249">
            <v>44999</v>
          </cell>
          <cell r="P4249">
            <v>45008</v>
          </cell>
          <cell r="Q4249" t="str">
            <v>2023-03-23 → 3/24</v>
          </cell>
          <cell r="R4249" t="str">
            <v>2023-03-23 → 3/24</v>
          </cell>
          <cell r="S4249">
            <v>45008</v>
          </cell>
          <cell r="T4249">
            <v>45016</v>
          </cell>
          <cell r="U4249">
            <v>45020</v>
          </cell>
          <cell r="V4249">
            <v>45021</v>
          </cell>
          <cell r="W4249">
            <v>45021</v>
          </cell>
          <cell r="X4249">
            <v>41100511</v>
          </cell>
        </row>
        <row r="4250">
          <cell r="K4250" t="str">
            <v>GBWS-3246</v>
          </cell>
          <cell r="L4250">
            <v>44998</v>
          </cell>
          <cell r="M4250">
            <v>44999</v>
          </cell>
          <cell r="N4250">
            <v>45008</v>
          </cell>
          <cell r="O4250">
            <v>44999</v>
          </cell>
          <cell r="P4250">
            <v>45008</v>
          </cell>
          <cell r="Q4250" t="str">
            <v>2023-03-23 → 3/24</v>
          </cell>
          <cell r="R4250" t="str">
            <v>2023-03-23 → 3/24</v>
          </cell>
          <cell r="S4250">
            <v>45008</v>
          </cell>
          <cell r="T4250">
            <v>45020</v>
          </cell>
          <cell r="U4250">
            <v>45022</v>
          </cell>
          <cell r="V4250">
            <v>45023</v>
          </cell>
          <cell r="W4250">
            <v>45023</v>
          </cell>
          <cell r="X4250">
            <v>41100511</v>
          </cell>
        </row>
        <row r="4251">
          <cell r="K4251" t="str">
            <v>GBWS-3247</v>
          </cell>
          <cell r="L4251">
            <v>44998</v>
          </cell>
          <cell r="M4251">
            <v>44999</v>
          </cell>
          <cell r="N4251">
            <v>45008</v>
          </cell>
          <cell r="O4251">
            <v>44999</v>
          </cell>
          <cell r="P4251">
            <v>45008</v>
          </cell>
          <cell r="Q4251" t="str">
            <v>2023-03-23 → 3/24</v>
          </cell>
          <cell r="R4251" t="str">
            <v>2023-03-23 → 3/24</v>
          </cell>
          <cell r="S4251">
            <v>45008</v>
          </cell>
          <cell r="T4251">
            <v>45020</v>
          </cell>
          <cell r="U4251">
            <v>45022</v>
          </cell>
          <cell r="V4251">
            <v>45023</v>
          </cell>
          <cell r="W4251">
            <v>45023</v>
          </cell>
          <cell r="X4251">
            <v>41100511</v>
          </cell>
        </row>
        <row r="4252">
          <cell r="K4252" t="str">
            <v>GBWS-3335</v>
          </cell>
          <cell r="L4252">
            <v>45023</v>
          </cell>
          <cell r="M4252">
            <v>45026</v>
          </cell>
          <cell r="N4252">
            <v>45040</v>
          </cell>
          <cell r="O4252">
            <v>45026</v>
          </cell>
          <cell r="P4252">
            <v>45040</v>
          </cell>
          <cell r="Q4252">
            <v>45037</v>
          </cell>
          <cell r="R4252" t="str">
            <v>2023-04-21 → 4/24</v>
          </cell>
          <cell r="S4252">
            <v>45042</v>
          </cell>
          <cell r="T4252">
            <v>45042</v>
          </cell>
          <cell r="U4252">
            <v>45054</v>
          </cell>
          <cell r="V4252">
            <v>45054</v>
          </cell>
          <cell r="W4252">
            <v>45054</v>
          </cell>
          <cell r="X4252">
            <v>41100305</v>
          </cell>
        </row>
        <row r="4253">
          <cell r="K4253" t="str">
            <v>GBWS-3336</v>
          </cell>
          <cell r="L4253">
            <v>45023</v>
          </cell>
          <cell r="M4253">
            <v>45026</v>
          </cell>
          <cell r="N4253">
            <v>45040</v>
          </cell>
          <cell r="O4253">
            <v>45026</v>
          </cell>
          <cell r="P4253">
            <v>45040</v>
          </cell>
          <cell r="Q4253">
            <v>45037</v>
          </cell>
          <cell r="R4253" t="str">
            <v>2023-04-21 → 4/24</v>
          </cell>
          <cell r="S4253">
            <v>45042</v>
          </cell>
          <cell r="T4253">
            <v>45042</v>
          </cell>
          <cell r="U4253">
            <v>45049</v>
          </cell>
          <cell r="V4253">
            <v>45054</v>
          </cell>
          <cell r="W4253">
            <v>45054</v>
          </cell>
          <cell r="X4253">
            <v>41100305</v>
          </cell>
        </row>
        <row r="4254">
          <cell r="K4254" t="str">
            <v>RT-0019,0020</v>
          </cell>
          <cell r="L4254">
            <v>45023</v>
          </cell>
          <cell r="M4254">
            <v>45026</v>
          </cell>
          <cell r="N4254">
            <v>45040</v>
          </cell>
          <cell r="O4254">
            <v>45026</v>
          </cell>
          <cell r="P4254">
            <v>45040</v>
          </cell>
          <cell r="Q4254">
            <v>45037</v>
          </cell>
          <cell r="R4254" t="str">
            <v>2023-04-21 → 4/24</v>
          </cell>
          <cell r="S4254">
            <v>45042</v>
          </cell>
          <cell r="T4254">
            <v>45042</v>
          </cell>
          <cell r="U4254">
            <v>45054</v>
          </cell>
          <cell r="V4254">
            <v>45054</v>
          </cell>
          <cell r="W4254">
            <v>45054</v>
          </cell>
          <cell r="X4254">
            <v>31101044</v>
          </cell>
        </row>
        <row r="4255">
          <cell r="K4255" t="str">
            <v>DS-0417~0420</v>
          </cell>
          <cell r="L4255">
            <v>45044</v>
          </cell>
          <cell r="M4255">
            <v>45048</v>
          </cell>
          <cell r="N4255">
            <v>45050</v>
          </cell>
          <cell r="O4255">
            <v>45048</v>
          </cell>
          <cell r="P4255">
            <v>45050</v>
          </cell>
          <cell r="Q4255">
            <v>45050</v>
          </cell>
          <cell r="R4255">
            <v>45050</v>
          </cell>
          <cell r="S4255">
            <v>45054</v>
          </cell>
          <cell r="T4255">
            <v>45054</v>
          </cell>
          <cell r="U4255">
            <v>45054</v>
          </cell>
          <cell r="V4255">
            <v>45054</v>
          </cell>
          <cell r="W4255">
            <v>45054</v>
          </cell>
          <cell r="X4255">
            <v>31010314</v>
          </cell>
        </row>
        <row r="4256">
          <cell r="K4256" t="str">
            <v>GBWS-3268</v>
          </cell>
          <cell r="L4256">
            <v>45007</v>
          </cell>
          <cell r="M4256">
            <v>45008</v>
          </cell>
          <cell r="N4256">
            <v>45019</v>
          </cell>
          <cell r="O4256">
            <v>45008</v>
          </cell>
          <cell r="P4256">
            <v>45019</v>
          </cell>
          <cell r="Q4256">
            <v>45016</v>
          </cell>
          <cell r="R4256" t="str">
            <v>2023-03-31 → 4/3</v>
          </cell>
          <cell r="S4256">
            <v>45020</v>
          </cell>
          <cell r="T4256">
            <v>45021</v>
          </cell>
          <cell r="U4256">
            <v>45028</v>
          </cell>
          <cell r="V4256">
            <v>45033</v>
          </cell>
          <cell r="W4256">
            <v>45033</v>
          </cell>
          <cell r="X4256">
            <v>41100498</v>
          </cell>
        </row>
        <row r="4257">
          <cell r="K4257" t="str">
            <v>GBWS-3269</v>
          </cell>
          <cell r="L4257">
            <v>45007</v>
          </cell>
          <cell r="M4257">
            <v>45008</v>
          </cell>
          <cell r="N4257">
            <v>45019</v>
          </cell>
          <cell r="O4257">
            <v>45008</v>
          </cell>
          <cell r="P4257">
            <v>45019</v>
          </cell>
          <cell r="Q4257">
            <v>45016</v>
          </cell>
          <cell r="R4257" t="str">
            <v>2023-03-31 → 4/3</v>
          </cell>
          <cell r="S4257">
            <v>45020</v>
          </cell>
          <cell r="T4257">
            <v>45021</v>
          </cell>
          <cell r="U4257">
            <v>45035</v>
          </cell>
          <cell r="V4257">
            <v>45043</v>
          </cell>
          <cell r="W4257">
            <v>45043</v>
          </cell>
          <cell r="X4257">
            <v>41100498</v>
          </cell>
        </row>
        <row r="4258">
          <cell r="K4258" t="str">
            <v>GBWS-3316</v>
          </cell>
          <cell r="L4258">
            <v>45019</v>
          </cell>
          <cell r="M4258">
            <v>45020</v>
          </cell>
          <cell r="N4258">
            <v>45029</v>
          </cell>
          <cell r="O4258">
            <v>45020</v>
          </cell>
          <cell r="P4258">
            <v>45029</v>
          </cell>
          <cell r="Q4258">
            <v>45029</v>
          </cell>
          <cell r="R4258" t="str">
            <v>2023-04-13 → 4/14</v>
          </cell>
          <cell r="S4258">
            <v>45033</v>
          </cell>
          <cell r="T4258">
            <v>45033</v>
          </cell>
          <cell r="U4258">
            <v>45035</v>
          </cell>
          <cell r="V4258">
            <v>45036</v>
          </cell>
          <cell r="W4258">
            <v>45036</v>
          </cell>
          <cell r="X4258">
            <v>41100645</v>
          </cell>
        </row>
        <row r="4259">
          <cell r="K4259" t="str">
            <v>GBWS-3317</v>
          </cell>
          <cell r="L4259">
            <v>45019</v>
          </cell>
          <cell r="M4259">
            <v>45020</v>
          </cell>
          <cell r="N4259">
            <v>45029</v>
          </cell>
          <cell r="O4259">
            <v>45020</v>
          </cell>
          <cell r="P4259">
            <v>45029</v>
          </cell>
          <cell r="Q4259">
            <v>45029</v>
          </cell>
          <cell r="R4259" t="str">
            <v>2023-04-13 → 4/14</v>
          </cell>
          <cell r="S4259">
            <v>45033</v>
          </cell>
          <cell r="T4259">
            <v>45033</v>
          </cell>
          <cell r="U4259">
            <v>45034</v>
          </cell>
          <cell r="V4259">
            <v>45035</v>
          </cell>
          <cell r="W4259">
            <v>45035</v>
          </cell>
          <cell r="X4259">
            <v>41100645</v>
          </cell>
        </row>
        <row r="4260">
          <cell r="K4260" t="str">
            <v>GBWS-3318</v>
          </cell>
          <cell r="L4260">
            <v>45019</v>
          </cell>
          <cell r="M4260">
            <v>45020</v>
          </cell>
          <cell r="N4260">
            <v>45029</v>
          </cell>
          <cell r="O4260">
            <v>45020</v>
          </cell>
          <cell r="P4260">
            <v>45029</v>
          </cell>
          <cell r="Q4260">
            <v>45029</v>
          </cell>
          <cell r="R4260" t="str">
            <v>2023-04-13 → 4/14</v>
          </cell>
          <cell r="S4260">
            <v>45033</v>
          </cell>
          <cell r="T4260">
            <v>45033</v>
          </cell>
          <cell r="U4260">
            <v>45035</v>
          </cell>
          <cell r="V4260">
            <v>45036</v>
          </cell>
          <cell r="W4260">
            <v>45036</v>
          </cell>
          <cell r="X4260">
            <v>41100645</v>
          </cell>
        </row>
        <row r="4261">
          <cell r="K4261" t="str">
            <v>GBWS-3319</v>
          </cell>
          <cell r="L4261">
            <v>45019</v>
          </cell>
          <cell r="M4261">
            <v>45020</v>
          </cell>
          <cell r="N4261">
            <v>45029</v>
          </cell>
          <cell r="O4261">
            <v>45020</v>
          </cell>
          <cell r="P4261">
            <v>45029</v>
          </cell>
          <cell r="Q4261">
            <v>45029</v>
          </cell>
          <cell r="R4261" t="str">
            <v>2023-04-13 → 4/14</v>
          </cell>
          <cell r="S4261">
            <v>45033</v>
          </cell>
          <cell r="T4261">
            <v>45033</v>
          </cell>
          <cell r="U4261">
            <v>45035</v>
          </cell>
          <cell r="V4261">
            <v>45036</v>
          </cell>
          <cell r="W4261">
            <v>45036</v>
          </cell>
          <cell r="X4261">
            <v>41100645</v>
          </cell>
        </row>
        <row r="4262">
          <cell r="K4262" t="str">
            <v>GBWS-3320</v>
          </cell>
          <cell r="L4262">
            <v>45019</v>
          </cell>
          <cell r="M4262">
            <v>45020</v>
          </cell>
          <cell r="N4262">
            <v>45029</v>
          </cell>
          <cell r="O4262">
            <v>45020</v>
          </cell>
          <cell r="P4262">
            <v>45029</v>
          </cell>
          <cell r="Q4262">
            <v>45029</v>
          </cell>
          <cell r="R4262" t="str">
            <v>2023-04-13 → 4/14</v>
          </cell>
          <cell r="S4262">
            <v>45030</v>
          </cell>
          <cell r="T4262">
            <v>45033</v>
          </cell>
          <cell r="U4262">
            <v>45034</v>
          </cell>
          <cell r="V4262">
            <v>45035</v>
          </cell>
          <cell r="W4262">
            <v>45035</v>
          </cell>
          <cell r="X4262">
            <v>41100649</v>
          </cell>
        </row>
        <row r="4263">
          <cell r="K4263" t="str">
            <v>GBWS-3321</v>
          </cell>
          <cell r="L4263">
            <v>45019</v>
          </cell>
          <cell r="M4263">
            <v>45020</v>
          </cell>
          <cell r="N4263">
            <v>45029</v>
          </cell>
          <cell r="O4263">
            <v>45020</v>
          </cell>
          <cell r="P4263">
            <v>45029</v>
          </cell>
          <cell r="Q4263">
            <v>45029</v>
          </cell>
          <cell r="R4263" t="str">
            <v>2023-04-13 → 4/14</v>
          </cell>
          <cell r="S4263">
            <v>45030</v>
          </cell>
          <cell r="T4263">
            <v>45033</v>
          </cell>
          <cell r="U4263">
            <v>45034</v>
          </cell>
          <cell r="V4263">
            <v>45035</v>
          </cell>
          <cell r="W4263">
            <v>45035</v>
          </cell>
          <cell r="X4263">
            <v>41100649</v>
          </cell>
        </row>
        <row r="4264">
          <cell r="K4264" t="str">
            <v>GBWS-3322</v>
          </cell>
          <cell r="L4264">
            <v>45019</v>
          </cell>
          <cell r="M4264">
            <v>45020</v>
          </cell>
          <cell r="N4264">
            <v>45029</v>
          </cell>
          <cell r="O4264">
            <v>45020</v>
          </cell>
          <cell r="P4264">
            <v>45029</v>
          </cell>
          <cell r="Q4264">
            <v>45029</v>
          </cell>
          <cell r="R4264" t="str">
            <v>2023-04-13 → 4/14</v>
          </cell>
          <cell r="S4264">
            <v>45030</v>
          </cell>
          <cell r="T4264">
            <v>45033</v>
          </cell>
          <cell r="U4264">
            <v>45034</v>
          </cell>
          <cell r="V4264">
            <v>45035</v>
          </cell>
          <cell r="W4264">
            <v>45035</v>
          </cell>
          <cell r="X4264">
            <v>41100649</v>
          </cell>
        </row>
        <row r="4265">
          <cell r="K4265" t="str">
            <v>GBWS-3323</v>
          </cell>
          <cell r="L4265">
            <v>45019</v>
          </cell>
          <cell r="M4265">
            <v>45020</v>
          </cell>
          <cell r="N4265">
            <v>45029</v>
          </cell>
          <cell r="O4265">
            <v>45020</v>
          </cell>
          <cell r="P4265">
            <v>45029</v>
          </cell>
          <cell r="Q4265">
            <v>45029</v>
          </cell>
          <cell r="R4265" t="str">
            <v>2023-04-13 → 4/14</v>
          </cell>
          <cell r="S4265">
            <v>45030</v>
          </cell>
          <cell r="T4265">
            <v>45033</v>
          </cell>
          <cell r="U4265">
            <v>45035</v>
          </cell>
          <cell r="V4265">
            <v>45035</v>
          </cell>
          <cell r="W4265">
            <v>45035</v>
          </cell>
          <cell r="X4265">
            <v>41100649</v>
          </cell>
        </row>
        <row r="4266">
          <cell r="K4266" t="str">
            <v>GBWS-3330</v>
          </cell>
          <cell r="L4266">
            <v>45020</v>
          </cell>
          <cell r="M4266">
            <v>45021</v>
          </cell>
          <cell r="N4266">
            <v>45030</v>
          </cell>
          <cell r="O4266">
            <v>45021</v>
          </cell>
          <cell r="P4266">
            <v>45028</v>
          </cell>
          <cell r="Q4266">
            <v>45030</v>
          </cell>
          <cell r="R4266" t="str">
            <v>2023-04-14 → 4/17</v>
          </cell>
          <cell r="S4266">
            <v>45034</v>
          </cell>
          <cell r="T4266">
            <v>45034</v>
          </cell>
          <cell r="U4266">
            <v>45041</v>
          </cell>
          <cell r="V4266">
            <v>45042</v>
          </cell>
          <cell r="W4266">
            <v>45042</v>
          </cell>
          <cell r="X4266">
            <v>41100468</v>
          </cell>
        </row>
        <row r="4267">
          <cell r="K4267" t="str">
            <v>GBWS-3331</v>
          </cell>
          <cell r="L4267">
            <v>45020</v>
          </cell>
          <cell r="M4267">
            <v>45021</v>
          </cell>
          <cell r="N4267">
            <v>45030</v>
          </cell>
          <cell r="O4267">
            <v>45021</v>
          </cell>
          <cell r="P4267">
            <v>45028</v>
          </cell>
          <cell r="Q4267">
            <v>45030</v>
          </cell>
          <cell r="R4267" t="str">
            <v>2023-04-14 → 4/17</v>
          </cell>
          <cell r="S4267">
            <v>45034</v>
          </cell>
          <cell r="T4267">
            <v>45034</v>
          </cell>
          <cell r="U4267">
            <v>45050</v>
          </cell>
          <cell r="V4267">
            <v>45055</v>
          </cell>
          <cell r="W4267">
            <v>45055</v>
          </cell>
          <cell r="X4267">
            <v>41100468</v>
          </cell>
        </row>
        <row r="4268">
          <cell r="K4268" t="str">
            <v>GBWS-3332</v>
          </cell>
          <cell r="L4268">
            <v>45020</v>
          </cell>
          <cell r="M4268">
            <v>45021</v>
          </cell>
          <cell r="N4268">
            <v>45030</v>
          </cell>
          <cell r="O4268">
            <v>45021</v>
          </cell>
          <cell r="P4268">
            <v>45028</v>
          </cell>
          <cell r="Q4268">
            <v>45030</v>
          </cell>
          <cell r="R4268" t="str">
            <v>2023-04-14 → 4/17</v>
          </cell>
          <cell r="S4268">
            <v>45034</v>
          </cell>
          <cell r="T4268">
            <v>45034</v>
          </cell>
          <cell r="U4268">
            <v>45040</v>
          </cell>
          <cell r="V4268">
            <v>45041</v>
          </cell>
          <cell r="W4268">
            <v>45041</v>
          </cell>
          <cell r="X4268">
            <v>41100468</v>
          </cell>
        </row>
        <row r="4269">
          <cell r="K4269" t="str">
            <v>GBWS-3333</v>
          </cell>
          <cell r="L4269">
            <v>45020</v>
          </cell>
          <cell r="M4269">
            <v>45021</v>
          </cell>
          <cell r="N4269">
            <v>45030</v>
          </cell>
          <cell r="O4269">
            <v>45021</v>
          </cell>
          <cell r="P4269">
            <v>45028</v>
          </cell>
          <cell r="Q4269">
            <v>45030</v>
          </cell>
          <cell r="R4269" t="str">
            <v>2023-04-14 → 4/17</v>
          </cell>
          <cell r="S4269">
            <v>45034</v>
          </cell>
          <cell r="T4269">
            <v>45034</v>
          </cell>
          <cell r="U4269">
            <v>45041</v>
          </cell>
          <cell r="V4269">
            <v>45042</v>
          </cell>
          <cell r="W4269">
            <v>45042</v>
          </cell>
          <cell r="X4269">
            <v>41100468</v>
          </cell>
        </row>
        <row r="4270">
          <cell r="K4270" t="str">
            <v>DBW-2936</v>
          </cell>
          <cell r="L4270">
            <v>45040</v>
          </cell>
          <cell r="M4270">
            <v>45041</v>
          </cell>
          <cell r="N4270">
            <v>45049</v>
          </cell>
          <cell r="O4270">
            <v>45041</v>
          </cell>
          <cell r="P4270">
            <v>45049</v>
          </cell>
          <cell r="Q4270">
            <v>45048</v>
          </cell>
          <cell r="R4270">
            <v>45049</v>
          </cell>
          <cell r="S4270">
            <v>45050</v>
          </cell>
          <cell r="T4270">
            <v>45050</v>
          </cell>
          <cell r="U4270">
            <v>45054</v>
          </cell>
          <cell r="V4270">
            <v>45055</v>
          </cell>
          <cell r="W4270">
            <v>45055</v>
          </cell>
          <cell r="X4270">
            <v>41100455</v>
          </cell>
        </row>
        <row r="4271">
          <cell r="K4271" t="str">
            <v>DBW-2937</v>
          </cell>
          <cell r="L4271">
            <v>45040</v>
          </cell>
          <cell r="M4271">
            <v>45041</v>
          </cell>
          <cell r="N4271">
            <v>45049</v>
          </cell>
          <cell r="O4271">
            <v>45041</v>
          </cell>
          <cell r="P4271">
            <v>45049</v>
          </cell>
          <cell r="Q4271">
            <v>45048</v>
          </cell>
          <cell r="R4271">
            <v>45049</v>
          </cell>
          <cell r="S4271">
            <v>45050</v>
          </cell>
          <cell r="T4271">
            <v>45050</v>
          </cell>
          <cell r="U4271">
            <v>45054</v>
          </cell>
          <cell r="V4271">
            <v>45055</v>
          </cell>
          <cell r="W4271">
            <v>45055</v>
          </cell>
          <cell r="X4271">
            <v>41100455</v>
          </cell>
        </row>
        <row r="4272">
          <cell r="K4272" t="str">
            <v>DBW-2938</v>
          </cell>
          <cell r="L4272">
            <v>45040</v>
          </cell>
          <cell r="M4272">
            <v>45041</v>
          </cell>
          <cell r="N4272">
            <v>45049</v>
          </cell>
          <cell r="O4272">
            <v>45041</v>
          </cell>
          <cell r="P4272">
            <v>45049</v>
          </cell>
          <cell r="Q4272">
            <v>45048</v>
          </cell>
          <cell r="R4272">
            <v>45049</v>
          </cell>
          <cell r="S4272">
            <v>45050</v>
          </cell>
          <cell r="T4272">
            <v>45050</v>
          </cell>
          <cell r="U4272">
            <v>45054</v>
          </cell>
          <cell r="V4272">
            <v>45055</v>
          </cell>
          <cell r="W4272">
            <v>45055</v>
          </cell>
          <cell r="X4272">
            <v>41100455</v>
          </cell>
        </row>
        <row r="4273">
          <cell r="K4273" t="str">
            <v>GBWS-3254</v>
          </cell>
          <cell r="L4273">
            <v>45012</v>
          </cell>
          <cell r="M4273" t="str">
            <v>2023-03-14 → 3/28</v>
          </cell>
          <cell r="N4273">
            <v>45022</v>
          </cell>
          <cell r="O4273" t="str">
            <v>2023-03-14 → 3/28</v>
          </cell>
          <cell r="P4273">
            <v>45022</v>
          </cell>
          <cell r="Q4273" t="str">
            <v>2023-03-24 → 4/6</v>
          </cell>
          <cell r="R4273" t="str">
            <v>2023-03-24 → 4/6</v>
          </cell>
          <cell r="S4273">
            <v>45022</v>
          </cell>
          <cell r="T4273">
            <v>45027</v>
          </cell>
          <cell r="U4273">
            <v>45042</v>
          </cell>
          <cell r="V4273">
            <v>45043</v>
          </cell>
          <cell r="W4273">
            <v>45043</v>
          </cell>
          <cell r="X4273" t="str">
            <v>41100516 → 41100662</v>
          </cell>
        </row>
        <row r="4274">
          <cell r="K4274" t="str">
            <v>GBWS-3255</v>
          </cell>
          <cell r="L4274">
            <v>45012</v>
          </cell>
          <cell r="M4274" t="str">
            <v>2023-03-14 → 3/28</v>
          </cell>
          <cell r="N4274">
            <v>45022</v>
          </cell>
          <cell r="O4274" t="str">
            <v>2023-03-14 → 3/28</v>
          </cell>
          <cell r="P4274">
            <v>45022</v>
          </cell>
          <cell r="Q4274" t="str">
            <v>2023-03-24 → 4/6</v>
          </cell>
          <cell r="R4274" t="str">
            <v>2023-03-24 → 4/6</v>
          </cell>
          <cell r="S4274">
            <v>45022</v>
          </cell>
          <cell r="T4274">
            <v>45035</v>
          </cell>
          <cell r="U4274">
            <v>45042</v>
          </cell>
          <cell r="V4274">
            <v>45043</v>
          </cell>
          <cell r="W4274">
            <v>45043</v>
          </cell>
          <cell r="X4274" t="str">
            <v>41100516 → 41100662</v>
          </cell>
        </row>
        <row r="4275">
          <cell r="K4275" t="str">
            <v>GBWS-3256</v>
          </cell>
          <cell r="L4275">
            <v>45012</v>
          </cell>
          <cell r="M4275" t="str">
            <v>2023-03-14 → 3/28</v>
          </cell>
          <cell r="N4275">
            <v>45022</v>
          </cell>
          <cell r="O4275" t="str">
            <v>2023-03-14 → 3/28</v>
          </cell>
          <cell r="P4275">
            <v>45022</v>
          </cell>
          <cell r="Q4275" t="str">
            <v>2023-03-24 → 4/6</v>
          </cell>
          <cell r="R4275" t="str">
            <v>2023-03-24 → 4/6</v>
          </cell>
          <cell r="S4275">
            <v>45022</v>
          </cell>
          <cell r="T4275">
            <v>45035</v>
          </cell>
          <cell r="U4275">
            <v>45042</v>
          </cell>
          <cell r="V4275">
            <v>45043</v>
          </cell>
          <cell r="W4275">
            <v>45043</v>
          </cell>
          <cell r="X4275" t="str">
            <v>41100516 → 41100662</v>
          </cell>
        </row>
        <row r="4276">
          <cell r="K4276" t="str">
            <v>GBWS-3302</v>
          </cell>
          <cell r="L4276">
            <v>45014</v>
          </cell>
          <cell r="M4276" t="str">
            <v>2023-03-14 → 3/30</v>
          </cell>
          <cell r="N4276">
            <v>45027</v>
          </cell>
          <cell r="O4276" t="str">
            <v>2023-03-14 → 3/30</v>
          </cell>
          <cell r="P4276">
            <v>45027</v>
          </cell>
          <cell r="Q4276" t="str">
            <v>2023-03-23 → 4/7 → 4/11</v>
          </cell>
          <cell r="R4276" t="str">
            <v>2023-03-23 → 4/7 → 4/11</v>
          </cell>
          <cell r="S4276">
            <v>45028</v>
          </cell>
          <cell r="T4276">
            <v>45029</v>
          </cell>
          <cell r="U4276">
            <v>45033</v>
          </cell>
          <cell r="V4276">
            <v>45034</v>
          </cell>
          <cell r="W4276">
            <v>45034</v>
          </cell>
          <cell r="X4276">
            <v>41100642</v>
          </cell>
        </row>
        <row r="4277">
          <cell r="K4277" t="str">
            <v>GBWS-3304</v>
          </cell>
          <cell r="L4277">
            <v>45014</v>
          </cell>
          <cell r="M4277" t="str">
            <v>2023-03-14 → 3/30</v>
          </cell>
          <cell r="N4277">
            <v>45027</v>
          </cell>
          <cell r="O4277" t="str">
            <v>2023-03-14 → 3/30</v>
          </cell>
          <cell r="P4277">
            <v>45027</v>
          </cell>
          <cell r="Q4277" t="str">
            <v>2023-03-23 → 4/7 → 4/11</v>
          </cell>
          <cell r="R4277" t="str">
            <v>2023-03-23 → 4/7 → 4/11</v>
          </cell>
          <cell r="S4277">
            <v>45028</v>
          </cell>
          <cell r="T4277">
            <v>45029</v>
          </cell>
          <cell r="U4277">
            <v>45033</v>
          </cell>
          <cell r="V4277">
            <v>45034</v>
          </cell>
          <cell r="W4277">
            <v>45034</v>
          </cell>
          <cell r="X4277">
            <v>41100642</v>
          </cell>
        </row>
        <row r="4278">
          <cell r="K4278" t="str">
            <v>GBWS-3305</v>
          </cell>
          <cell r="L4278">
            <v>45014</v>
          </cell>
          <cell r="M4278" t="str">
            <v>2023-03-14 → 3/30</v>
          </cell>
          <cell r="N4278">
            <v>45027</v>
          </cell>
          <cell r="O4278" t="str">
            <v>2023-03-14 → 3/30</v>
          </cell>
          <cell r="P4278">
            <v>45027</v>
          </cell>
          <cell r="Q4278" t="str">
            <v>2023-03-23 → 4/7 → 4/11</v>
          </cell>
          <cell r="R4278" t="str">
            <v>2023-03-23 → 4/7 → 4/11</v>
          </cell>
          <cell r="S4278">
            <v>45028</v>
          </cell>
          <cell r="T4278">
            <v>45029</v>
          </cell>
          <cell r="U4278">
            <v>45033</v>
          </cell>
          <cell r="V4278">
            <v>45034</v>
          </cell>
          <cell r="W4278">
            <v>45034</v>
          </cell>
          <cell r="X4278">
            <v>41100642</v>
          </cell>
        </row>
        <row r="4279">
          <cell r="K4279" t="str">
            <v>GBWS-3377</v>
          </cell>
          <cell r="L4279">
            <v>45040</v>
          </cell>
          <cell r="M4279">
            <v>45041</v>
          </cell>
          <cell r="N4279">
            <v>45050</v>
          </cell>
          <cell r="O4279">
            <v>45041</v>
          </cell>
          <cell r="P4279">
            <v>45054</v>
          </cell>
          <cell r="Q4279" t="str">
            <v>2023-05-02 → 5/4</v>
          </cell>
          <cell r="R4279" t="str">
            <v>2023-05-03 → 5/4</v>
          </cell>
          <cell r="S4279">
            <v>45054</v>
          </cell>
          <cell r="T4279">
            <v>45054</v>
          </cell>
          <cell r="U4279">
            <v>45055</v>
          </cell>
          <cell r="V4279">
            <v>45056</v>
          </cell>
          <cell r="W4279">
            <v>45056</v>
          </cell>
          <cell r="X4279">
            <v>41100642</v>
          </cell>
        </row>
        <row r="4280">
          <cell r="K4280" t="str">
            <v>GBWS-3375</v>
          </cell>
          <cell r="L4280">
            <v>45036</v>
          </cell>
          <cell r="M4280" t="str">
            <v>2023-04-11 → 4/21</v>
          </cell>
          <cell r="N4280">
            <v>45049</v>
          </cell>
          <cell r="O4280" t="str">
            <v>2023-04-11 → 4/21</v>
          </cell>
          <cell r="P4280">
            <v>45048</v>
          </cell>
          <cell r="Q4280" t="str">
            <v>2023-05-04 → 4/28 → 5/2</v>
          </cell>
          <cell r="R4280" t="str">
            <v>2023-05-08 → 5/2</v>
          </cell>
          <cell r="S4280">
            <v>45049</v>
          </cell>
          <cell r="T4280">
            <v>45049</v>
          </cell>
          <cell r="U4280">
            <v>45050</v>
          </cell>
          <cell r="V4280">
            <v>45054</v>
          </cell>
          <cell r="W4280">
            <v>45054</v>
          </cell>
          <cell r="X4280">
            <v>41100559</v>
          </cell>
        </row>
        <row r="4281">
          <cell r="K4281" t="str">
            <v>GBWS-3376</v>
          </cell>
          <cell r="L4281">
            <v>45036</v>
          </cell>
          <cell r="M4281" t="str">
            <v>2023-04-11 → 4/21</v>
          </cell>
          <cell r="N4281">
            <v>45049</v>
          </cell>
          <cell r="O4281" t="str">
            <v>2023-04-11 → 4/21</v>
          </cell>
          <cell r="P4281">
            <v>45048</v>
          </cell>
          <cell r="Q4281" t="str">
            <v>2023-05-04 → 4/28 → 5/2</v>
          </cell>
          <cell r="R4281" t="str">
            <v>2023-05-08 → 5/2</v>
          </cell>
          <cell r="S4281">
            <v>45049</v>
          </cell>
          <cell r="T4281">
            <v>45049</v>
          </cell>
          <cell r="U4281">
            <v>45050</v>
          </cell>
          <cell r="V4281">
            <v>45054</v>
          </cell>
          <cell r="W4281">
            <v>45054</v>
          </cell>
          <cell r="X4281">
            <v>41100559</v>
          </cell>
        </row>
        <row r="4282">
          <cell r="K4282" t="str">
            <v>DBW-2926</v>
          </cell>
          <cell r="L4282">
            <v>45027</v>
          </cell>
          <cell r="M4282">
            <v>45028</v>
          </cell>
          <cell r="N4282">
            <v>45037</v>
          </cell>
          <cell r="O4282">
            <v>45028</v>
          </cell>
          <cell r="P4282">
            <v>45040</v>
          </cell>
          <cell r="Q4282">
            <v>45037</v>
          </cell>
          <cell r="R4282" t="str">
            <v>2023-04-21 → 4/24</v>
          </cell>
          <cell r="S4282">
            <v>45041</v>
          </cell>
          <cell r="T4282">
            <v>45041</v>
          </cell>
          <cell r="U4282">
            <v>45044</v>
          </cell>
          <cell r="V4282">
            <v>45048</v>
          </cell>
          <cell r="W4282">
            <v>45048</v>
          </cell>
          <cell r="X4282">
            <v>41100466</v>
          </cell>
        </row>
        <row r="4283">
          <cell r="K4283" t="str">
            <v>DBW-2927</v>
          </cell>
          <cell r="L4283">
            <v>45027</v>
          </cell>
          <cell r="M4283">
            <v>45028</v>
          </cell>
          <cell r="N4283">
            <v>45037</v>
          </cell>
          <cell r="O4283">
            <v>45028</v>
          </cell>
          <cell r="P4283">
            <v>45040</v>
          </cell>
          <cell r="Q4283">
            <v>45037</v>
          </cell>
          <cell r="R4283" t="str">
            <v>2023-04-21 → 4/24</v>
          </cell>
          <cell r="S4283">
            <v>45041</v>
          </cell>
          <cell r="T4283">
            <v>45041</v>
          </cell>
          <cell r="U4283">
            <v>45044</v>
          </cell>
          <cell r="V4283">
            <v>45048</v>
          </cell>
          <cell r="W4283">
            <v>45048</v>
          </cell>
          <cell r="X4283">
            <v>41100466</v>
          </cell>
        </row>
        <row r="4284">
          <cell r="K4284" t="str">
            <v>DBW-2931</v>
          </cell>
          <cell r="L4284">
            <v>45033</v>
          </cell>
          <cell r="M4284">
            <v>45034</v>
          </cell>
          <cell r="N4284">
            <v>45042</v>
          </cell>
          <cell r="O4284">
            <v>45034</v>
          </cell>
          <cell r="P4284">
            <v>45043</v>
          </cell>
          <cell r="Q4284">
            <v>45042</v>
          </cell>
          <cell r="R4284" t="str">
            <v>2023-04-26 → 4/27</v>
          </cell>
          <cell r="S4284">
            <v>45044</v>
          </cell>
          <cell r="T4284">
            <v>45044</v>
          </cell>
          <cell r="U4284">
            <v>45050</v>
          </cell>
          <cell r="V4284">
            <v>45054</v>
          </cell>
          <cell r="W4284">
            <v>45054</v>
          </cell>
          <cell r="X4284">
            <v>41100547</v>
          </cell>
        </row>
        <row r="4285">
          <cell r="K4285" t="str">
            <v>G13090007</v>
          </cell>
          <cell r="L4285">
            <v>45054</v>
          </cell>
          <cell r="M4285">
            <v>45054</v>
          </cell>
          <cell r="N4285">
            <v>45054</v>
          </cell>
          <cell r="O4285">
            <v>45054</v>
          </cell>
          <cell r="P4285">
            <v>45054</v>
          </cell>
          <cell r="Q4285">
            <v>45054</v>
          </cell>
          <cell r="R4285">
            <v>45054</v>
          </cell>
          <cell r="S4285">
            <v>45054</v>
          </cell>
          <cell r="T4285">
            <v>45054</v>
          </cell>
          <cell r="U4285">
            <v>45057</v>
          </cell>
          <cell r="V4285">
            <v>45057</v>
          </cell>
          <cell r="W4285">
            <v>45057</v>
          </cell>
          <cell r="X4285"/>
        </row>
        <row r="4286">
          <cell r="K4286" t="str">
            <v>G14030025</v>
          </cell>
          <cell r="L4286">
            <v>45054</v>
          </cell>
          <cell r="M4286">
            <v>45054</v>
          </cell>
          <cell r="N4286">
            <v>45054</v>
          </cell>
          <cell r="O4286">
            <v>45054</v>
          </cell>
          <cell r="P4286">
            <v>45054</v>
          </cell>
          <cell r="Q4286">
            <v>45054</v>
          </cell>
          <cell r="R4286">
            <v>45054</v>
          </cell>
          <cell r="S4286">
            <v>45054</v>
          </cell>
          <cell r="T4286">
            <v>45054</v>
          </cell>
          <cell r="U4286">
            <v>45057</v>
          </cell>
          <cell r="V4286">
            <v>45057</v>
          </cell>
          <cell r="W4286">
            <v>45057</v>
          </cell>
          <cell r="X4286"/>
        </row>
        <row r="4287">
          <cell r="K4287" t="str">
            <v>G13030033</v>
          </cell>
          <cell r="L4287">
            <v>45054</v>
          </cell>
          <cell r="M4287">
            <v>45054</v>
          </cell>
          <cell r="N4287">
            <v>45054</v>
          </cell>
          <cell r="O4287">
            <v>45054</v>
          </cell>
          <cell r="P4287">
            <v>45054</v>
          </cell>
          <cell r="Q4287">
            <v>45054</v>
          </cell>
          <cell r="R4287">
            <v>45054</v>
          </cell>
          <cell r="S4287">
            <v>45054</v>
          </cell>
          <cell r="T4287">
            <v>45054</v>
          </cell>
          <cell r="U4287">
            <v>45057</v>
          </cell>
          <cell r="V4287">
            <v>45057</v>
          </cell>
          <cell r="W4287">
            <v>45057</v>
          </cell>
          <cell r="X4287"/>
        </row>
        <row r="4288">
          <cell r="K4288" t="str">
            <v>GBWS-3303</v>
          </cell>
          <cell r="L4288">
            <v>45014</v>
          </cell>
          <cell r="M4288" t="str">
            <v>2023-03-14 → 3/30</v>
          </cell>
          <cell r="N4288">
            <v>45027</v>
          </cell>
          <cell r="O4288" t="str">
            <v>2023-03-14 → 3/30</v>
          </cell>
          <cell r="P4288">
            <v>45027</v>
          </cell>
          <cell r="Q4288" t="str">
            <v>2023-03-23 → 4/7 → 4/11</v>
          </cell>
          <cell r="R4288" t="str">
            <v>2023-03-23 → 4/7 → 4/11</v>
          </cell>
          <cell r="S4288">
            <v>45028</v>
          </cell>
          <cell r="T4288">
            <v>45029</v>
          </cell>
          <cell r="U4288">
            <v>45049</v>
          </cell>
          <cell r="V4288">
            <v>45057</v>
          </cell>
          <cell r="W4288">
            <v>45057</v>
          </cell>
          <cell r="X4288">
            <v>41100642</v>
          </cell>
        </row>
        <row r="4289">
          <cell r="K4289" t="str">
            <v>GBWS-3306</v>
          </cell>
          <cell r="L4289">
            <v>45014</v>
          </cell>
          <cell r="M4289" t="str">
            <v>2023-03-14 → 3/30</v>
          </cell>
          <cell r="N4289">
            <v>45027</v>
          </cell>
          <cell r="O4289" t="str">
            <v>2023-03-14 → 3/30</v>
          </cell>
          <cell r="P4289">
            <v>45027</v>
          </cell>
          <cell r="Q4289" t="str">
            <v>2023-03-23 → 4/7 → 4/11</v>
          </cell>
          <cell r="R4289" t="str">
            <v>2023-03-23 → 4/7 → 4/11</v>
          </cell>
          <cell r="S4289">
            <v>45028</v>
          </cell>
          <cell r="T4289">
            <v>45029</v>
          </cell>
          <cell r="U4289">
            <v>45049</v>
          </cell>
          <cell r="V4289">
            <v>45057</v>
          </cell>
          <cell r="W4289">
            <v>45057</v>
          </cell>
          <cell r="X4289">
            <v>41100642</v>
          </cell>
        </row>
        <row r="4290">
          <cell r="K4290" t="str">
            <v>IVAS-202</v>
          </cell>
          <cell r="L4290">
            <v>45028</v>
          </cell>
          <cell r="M4290">
            <v>45029</v>
          </cell>
          <cell r="N4290">
            <v>45042</v>
          </cell>
          <cell r="O4290">
            <v>45029</v>
          </cell>
          <cell r="P4290">
            <v>45049</v>
          </cell>
          <cell r="Q4290">
            <v>45041</v>
          </cell>
          <cell r="R4290" t="str">
            <v>2023-04-25 → 4/26</v>
          </cell>
          <cell r="S4290">
            <v>45048</v>
          </cell>
          <cell r="T4290">
            <v>45048</v>
          </cell>
          <cell r="U4290">
            <v>45056</v>
          </cell>
          <cell r="V4290">
            <v>45057</v>
          </cell>
          <cell r="W4290">
            <v>45057</v>
          </cell>
          <cell r="X4290">
            <v>41100612</v>
          </cell>
        </row>
        <row r="4291">
          <cell r="K4291" t="str">
            <v>IVAS-203</v>
          </cell>
          <cell r="L4291">
            <v>45033</v>
          </cell>
          <cell r="M4291">
            <v>45034</v>
          </cell>
          <cell r="N4291">
            <v>45042</v>
          </cell>
          <cell r="O4291">
            <v>45034</v>
          </cell>
          <cell r="P4291">
            <v>45049</v>
          </cell>
          <cell r="Q4291">
            <v>45042</v>
          </cell>
          <cell r="R4291" t="str">
            <v>2023-04-26 → 4/27</v>
          </cell>
          <cell r="S4291">
            <v>45048</v>
          </cell>
          <cell r="T4291">
            <v>45048</v>
          </cell>
          <cell r="U4291">
            <v>45054</v>
          </cell>
          <cell r="V4291">
            <v>45057</v>
          </cell>
          <cell r="W4291">
            <v>45057</v>
          </cell>
          <cell r="X4291">
            <v>41100604</v>
          </cell>
        </row>
        <row r="4292">
          <cell r="K4292" t="str">
            <v>GBWS-3359</v>
          </cell>
          <cell r="L4292">
            <v>45033</v>
          </cell>
          <cell r="M4292">
            <v>45034</v>
          </cell>
          <cell r="N4292">
            <v>45048</v>
          </cell>
          <cell r="O4292">
            <v>45034</v>
          </cell>
          <cell r="P4292">
            <v>45048</v>
          </cell>
          <cell r="Q4292" t="str">
            <v>2023-04-27 → 5/1</v>
          </cell>
          <cell r="R4292" t="str">
            <v>2023-04-28 → 5/2</v>
          </cell>
          <cell r="S4292">
            <v>45050</v>
          </cell>
          <cell r="T4292">
            <v>45054</v>
          </cell>
          <cell r="U4292">
            <v>45055</v>
          </cell>
          <cell r="V4292">
            <v>45055</v>
          </cell>
          <cell r="W4292">
            <v>45055</v>
          </cell>
          <cell r="X4292">
            <v>41100595</v>
          </cell>
        </row>
        <row r="4293">
          <cell r="K4293" t="str">
            <v>GBWS-3378</v>
          </cell>
          <cell r="L4293">
            <v>45040</v>
          </cell>
          <cell r="M4293">
            <v>45041</v>
          </cell>
          <cell r="N4293">
            <v>45050</v>
          </cell>
          <cell r="O4293">
            <v>45041</v>
          </cell>
          <cell r="P4293">
            <v>45054</v>
          </cell>
          <cell r="Q4293" t="str">
            <v>2023-05-03 → 5/4</v>
          </cell>
          <cell r="R4293" t="str">
            <v>2023-05-03 → 5/4</v>
          </cell>
          <cell r="S4293">
            <v>45054</v>
          </cell>
          <cell r="T4293">
            <v>45054</v>
          </cell>
          <cell r="U4293">
            <v>45055</v>
          </cell>
          <cell r="V4293">
            <v>45055</v>
          </cell>
          <cell r="W4293">
            <v>45055</v>
          </cell>
          <cell r="X4293">
            <v>41100328</v>
          </cell>
        </row>
        <row r="4294">
          <cell r="K4294" t="str">
            <v>GBWS-2895</v>
          </cell>
          <cell r="L4294">
            <v>44879</v>
          </cell>
          <cell r="M4294">
            <v>44880</v>
          </cell>
          <cell r="N4294">
            <v>44893</v>
          </cell>
          <cell r="O4294">
            <v>44880</v>
          </cell>
          <cell r="P4294">
            <v>44893</v>
          </cell>
          <cell r="Q4294">
            <v>44893</v>
          </cell>
          <cell r="R4294">
            <v>44893</v>
          </cell>
          <cell r="S4294">
            <v>44900</v>
          </cell>
          <cell r="T4294">
            <v>44900</v>
          </cell>
          <cell r="U4294">
            <v>44902</v>
          </cell>
          <cell r="V4294">
            <v>44902</v>
          </cell>
          <cell r="W4294">
            <v>44902</v>
          </cell>
          <cell r="X4294">
            <v>41100460</v>
          </cell>
        </row>
        <row r="4295">
          <cell r="K4295"/>
          <cell r="L4295">
            <v>45048</v>
          </cell>
          <cell r="M4295">
            <v>45048</v>
          </cell>
          <cell r="N4295">
            <v>45054</v>
          </cell>
          <cell r="O4295">
            <v>45048</v>
          </cell>
          <cell r="P4295">
            <v>45049</v>
          </cell>
          <cell r="Q4295">
            <v>45054</v>
          </cell>
          <cell r="R4295">
            <v>45055</v>
          </cell>
          <cell r="S4295">
            <v>45054</v>
          </cell>
          <cell r="T4295">
            <v>45054</v>
          </cell>
          <cell r="U4295">
            <v>45057</v>
          </cell>
          <cell r="V4295">
            <v>45057</v>
          </cell>
          <cell r="W4295">
            <v>45057</v>
          </cell>
          <cell r="X4295">
            <v>41100494</v>
          </cell>
        </row>
        <row r="4296">
          <cell r="K4296" t="str">
            <v>DBW-2929</v>
          </cell>
          <cell r="L4296">
            <v>45028</v>
          </cell>
          <cell r="M4296">
            <v>45029</v>
          </cell>
          <cell r="N4296">
            <v>45037</v>
          </cell>
          <cell r="O4296">
            <v>45029</v>
          </cell>
          <cell r="P4296">
            <v>45041</v>
          </cell>
          <cell r="Q4296">
            <v>45037</v>
          </cell>
          <cell r="R4296" t="str">
            <v>2023-04-21 → 4/24</v>
          </cell>
          <cell r="S4296">
            <v>45041</v>
          </cell>
          <cell r="T4296">
            <v>45041</v>
          </cell>
          <cell r="U4296">
            <v>45048</v>
          </cell>
          <cell r="V4296">
            <v>45049</v>
          </cell>
          <cell r="W4296">
            <v>45049</v>
          </cell>
          <cell r="X4296">
            <v>41100496</v>
          </cell>
        </row>
        <row r="4297">
          <cell r="K4297" t="str">
            <v>DBW-2930</v>
          </cell>
          <cell r="L4297">
            <v>45028</v>
          </cell>
          <cell r="M4297">
            <v>45029</v>
          </cell>
          <cell r="N4297">
            <v>45037</v>
          </cell>
          <cell r="O4297">
            <v>45029</v>
          </cell>
          <cell r="P4297">
            <v>45041</v>
          </cell>
          <cell r="Q4297">
            <v>45037</v>
          </cell>
          <cell r="R4297" t="str">
            <v>2023-04-21 → 4/24</v>
          </cell>
          <cell r="S4297">
            <v>45041</v>
          </cell>
          <cell r="T4297">
            <v>45041</v>
          </cell>
          <cell r="U4297">
            <v>45048</v>
          </cell>
          <cell r="V4297">
            <v>45049</v>
          </cell>
          <cell r="W4297">
            <v>45049</v>
          </cell>
          <cell r="X4297">
            <v>41100496</v>
          </cell>
        </row>
        <row r="4298">
          <cell r="K4298" t="str">
            <v>DBW-2933</v>
          </cell>
          <cell r="L4298">
            <v>45036</v>
          </cell>
          <cell r="M4298">
            <v>45037</v>
          </cell>
          <cell r="N4298">
            <v>45048</v>
          </cell>
          <cell r="O4298">
            <v>45037</v>
          </cell>
          <cell r="P4298">
            <v>45048</v>
          </cell>
          <cell r="Q4298" t="str">
            <v>2023-05-01 → 5/2</v>
          </cell>
          <cell r="R4298" t="str">
            <v>2023-05-01 → 5/2 → 5/3</v>
          </cell>
          <cell r="S4298">
            <v>45049</v>
          </cell>
          <cell r="T4298">
            <v>45049</v>
          </cell>
          <cell r="U4298">
            <v>45050</v>
          </cell>
          <cell r="V4298">
            <v>45055</v>
          </cell>
          <cell r="W4298">
            <v>45055</v>
          </cell>
          <cell r="X4298">
            <v>41100496</v>
          </cell>
        </row>
        <row r="4299">
          <cell r="K4299" t="str">
            <v>GBWS-3358</v>
          </cell>
          <cell r="L4299">
            <v>45030</v>
          </cell>
          <cell r="M4299">
            <v>45033</v>
          </cell>
          <cell r="N4299">
            <v>45044</v>
          </cell>
          <cell r="O4299" t="str">
            <v xml:space="preserve"> </v>
          </cell>
          <cell r="P4299">
            <v>45047</v>
          </cell>
          <cell r="Q4299" t="str">
            <v>2023-04-26 → 4/28</v>
          </cell>
          <cell r="R4299" t="str">
            <v>2023-04-26 → 4/27 → 5/1</v>
          </cell>
          <cell r="S4299">
            <v>45048</v>
          </cell>
          <cell r="T4299">
            <v>45048</v>
          </cell>
          <cell r="U4299">
            <v>45056</v>
          </cell>
          <cell r="V4299">
            <v>45057</v>
          </cell>
          <cell r="W4299">
            <v>45057</v>
          </cell>
          <cell r="X4299">
            <v>41100622</v>
          </cell>
        </row>
        <row r="4300">
          <cell r="K4300" t="str">
            <v>G13030004</v>
          </cell>
          <cell r="L4300">
            <v>45054</v>
          </cell>
          <cell r="M4300">
            <v>45054</v>
          </cell>
          <cell r="N4300">
            <v>45054</v>
          </cell>
          <cell r="O4300">
            <v>45054</v>
          </cell>
          <cell r="P4300">
            <v>45054</v>
          </cell>
          <cell r="Q4300">
            <v>45054</v>
          </cell>
          <cell r="R4300">
            <v>45054</v>
          </cell>
          <cell r="S4300">
            <v>45054</v>
          </cell>
          <cell r="T4300">
            <v>45054</v>
          </cell>
          <cell r="U4300">
            <v>45061</v>
          </cell>
          <cell r="V4300">
            <v>45061</v>
          </cell>
          <cell r="W4300">
            <v>45061</v>
          </cell>
          <cell r="X4300" t="str">
            <v>-</v>
          </cell>
        </row>
        <row r="4301">
          <cell r="K4301" t="str">
            <v>GBWS-3307</v>
          </cell>
          <cell r="L4301">
            <v>45014</v>
          </cell>
          <cell r="M4301" t="str">
            <v>2023-03-10 → 3/30</v>
          </cell>
          <cell r="N4301">
            <v>45029</v>
          </cell>
          <cell r="O4301" t="str">
            <v>2023-03-10 → 3/30</v>
          </cell>
          <cell r="P4301">
            <v>45026</v>
          </cell>
          <cell r="Q4301" t="str">
            <v>2023-03-20 → 4/10</v>
          </cell>
          <cell r="R4301" t="str">
            <v>2023-03-20 → 4/10 → 4/11</v>
          </cell>
          <cell r="S4301">
            <v>45029</v>
          </cell>
          <cell r="T4301">
            <v>45029</v>
          </cell>
          <cell r="U4301">
            <v>45036</v>
          </cell>
          <cell r="V4301">
            <v>45040</v>
          </cell>
          <cell r="W4301">
            <v>45042</v>
          </cell>
          <cell r="X4301">
            <v>41100558</v>
          </cell>
        </row>
        <row r="4302">
          <cell r="K4302" t="str">
            <v>GBWS-3308</v>
          </cell>
          <cell r="L4302">
            <v>45014</v>
          </cell>
          <cell r="M4302" t="str">
            <v>2023-03-10 → 3/30</v>
          </cell>
          <cell r="N4302">
            <v>45029</v>
          </cell>
          <cell r="O4302" t="str">
            <v>2023-03-10 → 3/30</v>
          </cell>
          <cell r="P4302">
            <v>45026</v>
          </cell>
          <cell r="Q4302" t="str">
            <v>2023-03-20 → 4/10</v>
          </cell>
          <cell r="R4302" t="str">
            <v>2023-03-20 → 4/10 → 4/11</v>
          </cell>
          <cell r="S4302">
            <v>45029</v>
          </cell>
          <cell r="T4302">
            <v>45029</v>
          </cell>
          <cell r="U4302">
            <v>45040</v>
          </cell>
          <cell r="V4302">
            <v>45040</v>
          </cell>
          <cell r="W4302">
            <v>45041</v>
          </cell>
          <cell r="X4302">
            <v>41100558</v>
          </cell>
        </row>
        <row r="4303">
          <cell r="K4303" t="str">
            <v>GBWS-3309</v>
          </cell>
          <cell r="L4303">
            <v>45014</v>
          </cell>
          <cell r="M4303" t="str">
            <v>2023-03-10 → 3/30</v>
          </cell>
          <cell r="N4303">
            <v>45029</v>
          </cell>
          <cell r="O4303" t="str">
            <v>2023-03-10 → 3/30</v>
          </cell>
          <cell r="P4303">
            <v>45026</v>
          </cell>
          <cell r="Q4303" t="str">
            <v>2023-03-20 → 4/10</v>
          </cell>
          <cell r="R4303" t="str">
            <v>2023-03-20 → 4/10 → 4/11</v>
          </cell>
          <cell r="S4303">
            <v>45029</v>
          </cell>
          <cell r="T4303">
            <v>45029</v>
          </cell>
          <cell r="U4303">
            <v>45036</v>
          </cell>
          <cell r="V4303">
            <v>45040</v>
          </cell>
          <cell r="W4303">
            <v>45042</v>
          </cell>
          <cell r="X4303">
            <v>41100558</v>
          </cell>
        </row>
        <row r="4304">
          <cell r="K4304" t="str">
            <v>GBWS-3310</v>
          </cell>
          <cell r="L4304">
            <v>45014</v>
          </cell>
          <cell r="M4304" t="str">
            <v>2023-03-10 → 3/30</v>
          </cell>
          <cell r="N4304">
            <v>45029</v>
          </cell>
          <cell r="O4304" t="str">
            <v>2023-03-10 → 3/30</v>
          </cell>
          <cell r="P4304">
            <v>45026</v>
          </cell>
          <cell r="Q4304" t="str">
            <v>2023-03-20 → 4/10</v>
          </cell>
          <cell r="R4304" t="str">
            <v>2023-03-20 → 4/10 → 4/11</v>
          </cell>
          <cell r="S4304">
            <v>45029</v>
          </cell>
          <cell r="T4304">
            <v>45029</v>
          </cell>
          <cell r="U4304">
            <v>45035</v>
          </cell>
          <cell r="V4304">
            <v>45035</v>
          </cell>
          <cell r="W4304">
            <v>45042</v>
          </cell>
          <cell r="X4304">
            <v>41100558</v>
          </cell>
        </row>
        <row r="4305">
          <cell r="K4305" t="str">
            <v>GBWS-3311</v>
          </cell>
          <cell r="L4305">
            <v>45014</v>
          </cell>
          <cell r="M4305" t="str">
            <v>2023-03-10 → 3/30</v>
          </cell>
          <cell r="N4305">
            <v>45029</v>
          </cell>
          <cell r="O4305" t="str">
            <v>2023-03-10 → 3/30</v>
          </cell>
          <cell r="P4305">
            <v>45026</v>
          </cell>
          <cell r="Q4305" t="str">
            <v>2023-03-20 → 4/10</v>
          </cell>
          <cell r="R4305" t="str">
            <v>2023-03-20 → 4/10 → 4/11</v>
          </cell>
          <cell r="S4305">
            <v>45029</v>
          </cell>
          <cell r="T4305">
            <v>45030</v>
          </cell>
          <cell r="U4305">
            <v>45040</v>
          </cell>
          <cell r="V4305">
            <v>45040</v>
          </cell>
          <cell r="W4305">
            <v>45041</v>
          </cell>
          <cell r="X4305">
            <v>41100558</v>
          </cell>
        </row>
        <row r="4306">
          <cell r="K4306" t="str">
            <v>GBWS-3312</v>
          </cell>
          <cell r="L4306">
            <v>45014</v>
          </cell>
          <cell r="M4306" t="str">
            <v>2023-03-10 → 3/30</v>
          </cell>
          <cell r="N4306">
            <v>45029</v>
          </cell>
          <cell r="O4306" t="str">
            <v>2023-03-10 → 3/30</v>
          </cell>
          <cell r="P4306">
            <v>45026</v>
          </cell>
          <cell r="Q4306" t="str">
            <v>2023-03-20 → 4/10</v>
          </cell>
          <cell r="R4306" t="str">
            <v>2023-03-20 → 4/10 → 4/11</v>
          </cell>
          <cell r="S4306">
            <v>45029</v>
          </cell>
          <cell r="T4306">
            <v>45030</v>
          </cell>
          <cell r="U4306">
            <v>45035</v>
          </cell>
          <cell r="V4306">
            <v>45037</v>
          </cell>
          <cell r="W4306">
            <v>45037</v>
          </cell>
          <cell r="X4306">
            <v>41100558</v>
          </cell>
        </row>
        <row r="4307">
          <cell r="K4307" t="str">
            <v>GBWS-3313</v>
          </cell>
          <cell r="L4307">
            <v>45014</v>
          </cell>
          <cell r="M4307" t="str">
            <v>2023-03-10 → 3/30</v>
          </cell>
          <cell r="N4307">
            <v>45029</v>
          </cell>
          <cell r="O4307" t="str">
            <v>2023-03-10 → 3/30</v>
          </cell>
          <cell r="P4307">
            <v>45026</v>
          </cell>
          <cell r="Q4307" t="str">
            <v>2023-03-20 → 4/10</v>
          </cell>
          <cell r="R4307" t="str">
            <v>2023-03-20 → 4/10 → 4/11</v>
          </cell>
          <cell r="S4307">
            <v>45029</v>
          </cell>
          <cell r="T4307">
            <v>45030</v>
          </cell>
          <cell r="U4307">
            <v>45036</v>
          </cell>
          <cell r="V4307">
            <v>45037</v>
          </cell>
          <cell r="W4307">
            <v>45037</v>
          </cell>
          <cell r="X4307">
            <v>41100558</v>
          </cell>
        </row>
        <row r="4308">
          <cell r="K4308" t="str">
            <v>GBWS-3314</v>
          </cell>
          <cell r="L4308">
            <v>45014</v>
          </cell>
          <cell r="M4308" t="str">
            <v>2023-03-10 → 3/30</v>
          </cell>
          <cell r="N4308">
            <v>45029</v>
          </cell>
          <cell r="O4308" t="str">
            <v>2023-03-10 → 3/30</v>
          </cell>
          <cell r="P4308">
            <v>45026</v>
          </cell>
          <cell r="Q4308" t="str">
            <v>2023-03-20 → 4/10</v>
          </cell>
          <cell r="R4308" t="str">
            <v>2023-03-20 → 4/10 → 4/11</v>
          </cell>
          <cell r="S4308">
            <v>45029</v>
          </cell>
          <cell r="T4308">
            <v>45030</v>
          </cell>
          <cell r="U4308">
            <v>45040</v>
          </cell>
          <cell r="V4308">
            <v>45040</v>
          </cell>
          <cell r="W4308">
            <v>45041</v>
          </cell>
          <cell r="X4308">
            <v>41100558</v>
          </cell>
        </row>
        <row r="4309">
          <cell r="K4309" t="str">
            <v>GBWS-3252</v>
          </cell>
          <cell r="L4309">
            <v>44998</v>
          </cell>
          <cell r="M4309">
            <v>44999</v>
          </cell>
          <cell r="N4309">
            <v>45012</v>
          </cell>
          <cell r="O4309">
            <v>44999</v>
          </cell>
          <cell r="P4309">
            <v>45009</v>
          </cell>
          <cell r="Q4309" t="str">
            <v>2023-03-23 → 3/26</v>
          </cell>
          <cell r="R4309" t="str">
            <v>2023-03-23 → 3/26</v>
          </cell>
          <cell r="S4309">
            <v>45014</v>
          </cell>
          <cell r="T4309">
            <v>45014</v>
          </cell>
          <cell r="U4309">
            <v>45027</v>
          </cell>
          <cell r="V4309">
            <v>45043</v>
          </cell>
          <cell r="W4309">
            <v>45043</v>
          </cell>
          <cell r="X4309">
            <v>41100661</v>
          </cell>
        </row>
        <row r="4310">
          <cell r="K4310" t="str">
            <v>GBWS-3253</v>
          </cell>
          <cell r="L4310">
            <v>44998</v>
          </cell>
          <cell r="M4310">
            <v>44999</v>
          </cell>
          <cell r="N4310">
            <v>45012</v>
          </cell>
          <cell r="O4310">
            <v>44999</v>
          </cell>
          <cell r="P4310">
            <v>45009</v>
          </cell>
          <cell r="Q4310" t="str">
            <v>2023-03-23 → 3/26</v>
          </cell>
          <cell r="R4310" t="str">
            <v>2023-03-23 → 3/26</v>
          </cell>
          <cell r="S4310">
            <v>45014</v>
          </cell>
          <cell r="T4310">
            <v>45014</v>
          </cell>
          <cell r="U4310">
            <v>45027</v>
          </cell>
          <cell r="V4310">
            <v>45043</v>
          </cell>
          <cell r="W4310">
            <v>45043</v>
          </cell>
          <cell r="X4310">
            <v>41100661</v>
          </cell>
        </row>
        <row r="4311">
          <cell r="K4311" t="str">
            <v>DBW-2928</v>
          </cell>
          <cell r="L4311">
            <v>45027</v>
          </cell>
          <cell r="M4311">
            <v>45028</v>
          </cell>
          <cell r="N4311">
            <v>45037</v>
          </cell>
          <cell r="O4311">
            <v>45028</v>
          </cell>
          <cell r="P4311">
            <v>45040</v>
          </cell>
          <cell r="Q4311">
            <v>45037</v>
          </cell>
          <cell r="R4311" t="str">
            <v>2023-04-21 → 4/24</v>
          </cell>
          <cell r="S4311">
            <v>45041</v>
          </cell>
          <cell r="T4311">
            <v>45041</v>
          </cell>
          <cell r="U4311">
            <v>45043</v>
          </cell>
          <cell r="V4311">
            <v>45043</v>
          </cell>
          <cell r="W4311">
            <v>45043</v>
          </cell>
          <cell r="X4311">
            <v>41100532</v>
          </cell>
        </row>
        <row r="4312">
          <cell r="K4312" t="str">
            <v>GBWS-3260</v>
          </cell>
          <cell r="L4312">
            <v>45000</v>
          </cell>
          <cell r="M4312">
            <v>45001</v>
          </cell>
          <cell r="N4312">
            <v>45009</v>
          </cell>
          <cell r="O4312">
            <v>45001</v>
          </cell>
          <cell r="P4312">
            <v>45009</v>
          </cell>
          <cell r="Q4312">
            <v>45009</v>
          </cell>
          <cell r="R4312">
            <v>45009</v>
          </cell>
          <cell r="S4312">
            <v>45012</v>
          </cell>
          <cell r="T4312">
            <v>45012</v>
          </cell>
          <cell r="U4312">
            <v>45013</v>
          </cell>
          <cell r="V4312">
            <v>45014</v>
          </cell>
          <cell r="W4312">
            <v>45014</v>
          </cell>
          <cell r="X4312">
            <v>41100468</v>
          </cell>
        </row>
        <row r="4313">
          <cell r="K4313" t="str">
            <v>GBWS-3261</v>
          </cell>
          <cell r="L4313">
            <v>45000</v>
          </cell>
          <cell r="M4313">
            <v>45001</v>
          </cell>
          <cell r="N4313">
            <v>45009</v>
          </cell>
          <cell r="O4313">
            <v>45001</v>
          </cell>
          <cell r="P4313">
            <v>45009</v>
          </cell>
          <cell r="Q4313">
            <v>45009</v>
          </cell>
          <cell r="R4313">
            <v>45009</v>
          </cell>
          <cell r="S4313">
            <v>45012</v>
          </cell>
          <cell r="T4313">
            <v>45012</v>
          </cell>
          <cell r="U4313">
            <v>45013</v>
          </cell>
          <cell r="V4313">
            <v>45014</v>
          </cell>
          <cell r="W4313">
            <v>45014</v>
          </cell>
          <cell r="X4313">
            <v>41100468</v>
          </cell>
        </row>
        <row r="4314">
          <cell r="K4314" t="str">
            <v>DBW-2942</v>
          </cell>
          <cell r="L4314">
            <v>45042</v>
          </cell>
          <cell r="M4314">
            <v>45043</v>
          </cell>
          <cell r="N4314">
            <v>45054</v>
          </cell>
          <cell r="O4314">
            <v>45043</v>
          </cell>
          <cell r="P4314">
            <v>45056</v>
          </cell>
          <cell r="Q4314">
            <v>45054</v>
          </cell>
          <cell r="R4314" t="str">
            <v>2023-05-09 → 5/11</v>
          </cell>
          <cell r="S4314">
            <v>45057</v>
          </cell>
          <cell r="T4314">
            <v>45061</v>
          </cell>
          <cell r="U4314">
            <v>45062</v>
          </cell>
          <cell r="V4314">
            <v>45062</v>
          </cell>
          <cell r="W4314">
            <v>45062</v>
          </cell>
          <cell r="X4314">
            <v>41100472</v>
          </cell>
        </row>
        <row r="4315">
          <cell r="K4315" t="str">
            <v>DBW-2943</v>
          </cell>
          <cell r="L4315">
            <v>45042</v>
          </cell>
          <cell r="M4315">
            <v>45043</v>
          </cell>
          <cell r="N4315">
            <v>45054</v>
          </cell>
          <cell r="O4315">
            <v>45043</v>
          </cell>
          <cell r="P4315">
            <v>45056</v>
          </cell>
          <cell r="Q4315">
            <v>45054</v>
          </cell>
          <cell r="R4315" t="str">
            <v>2023-05-09 → 5/11</v>
          </cell>
          <cell r="S4315">
            <v>45057</v>
          </cell>
          <cell r="T4315">
            <v>45061</v>
          </cell>
          <cell r="U4315">
            <v>45062</v>
          </cell>
          <cell r="V4315">
            <v>45062</v>
          </cell>
          <cell r="W4315">
            <v>45062</v>
          </cell>
          <cell r="X4315">
            <v>41100472</v>
          </cell>
        </row>
        <row r="4316">
          <cell r="K4316" t="str">
            <v>G1H4003</v>
          </cell>
          <cell r="L4316">
            <v>45061</v>
          </cell>
          <cell r="M4316">
            <v>45061</v>
          </cell>
          <cell r="N4316">
            <v>45061</v>
          </cell>
          <cell r="O4316">
            <v>45062</v>
          </cell>
          <cell r="P4316">
            <v>45061</v>
          </cell>
          <cell r="Q4316">
            <v>45062</v>
          </cell>
          <cell r="R4316">
            <v>45062</v>
          </cell>
          <cell r="S4316">
            <v>45061</v>
          </cell>
          <cell r="T4316">
            <v>45061</v>
          </cell>
          <cell r="U4316">
            <v>45063</v>
          </cell>
          <cell r="V4316">
            <v>45063</v>
          </cell>
          <cell r="W4316">
            <v>45063</v>
          </cell>
          <cell r="X4316" t="str">
            <v>-</v>
          </cell>
        </row>
        <row r="4317">
          <cell r="K4317" t="str">
            <v>G14030026</v>
          </cell>
          <cell r="L4317">
            <v>45061</v>
          </cell>
          <cell r="M4317">
            <v>45061</v>
          </cell>
          <cell r="N4317">
            <v>45061</v>
          </cell>
          <cell r="O4317">
            <v>45062</v>
          </cell>
          <cell r="P4317">
            <v>45061</v>
          </cell>
          <cell r="Q4317">
            <v>45062</v>
          </cell>
          <cell r="R4317">
            <v>45062</v>
          </cell>
          <cell r="S4317">
            <v>45061</v>
          </cell>
          <cell r="T4317">
            <v>45061</v>
          </cell>
          <cell r="U4317">
            <v>45063</v>
          </cell>
          <cell r="V4317">
            <v>45063</v>
          </cell>
          <cell r="W4317">
            <v>45063</v>
          </cell>
          <cell r="X4317" t="str">
            <v>-</v>
          </cell>
        </row>
        <row r="4318">
          <cell r="K4318" t="str">
            <v>GBA-0112</v>
          </cell>
          <cell r="L4318">
            <v>45034</v>
          </cell>
          <cell r="M4318" t="str">
            <v>2023-04-14 → 4/19</v>
          </cell>
          <cell r="N4318">
            <v>45048</v>
          </cell>
          <cell r="O4318" t="str">
            <v>2023-04-14 → 4/19</v>
          </cell>
          <cell r="P4318">
            <v>45049</v>
          </cell>
          <cell r="Q4318" t="str">
            <v>2023-04-26 → 5/1 → 5/3</v>
          </cell>
          <cell r="R4318" t="str">
            <v>2023-04-26 → 5/1 → 5/4</v>
          </cell>
          <cell r="S4318">
            <v>45055</v>
          </cell>
          <cell r="T4318">
            <v>45055</v>
          </cell>
          <cell r="U4318">
            <v>45063</v>
          </cell>
          <cell r="V4318">
            <v>45064</v>
          </cell>
          <cell r="W4318">
            <v>45064</v>
          </cell>
          <cell r="X4318">
            <v>41100665</v>
          </cell>
        </row>
        <row r="4319">
          <cell r="K4319" t="str">
            <v>GBA-0113</v>
          </cell>
          <cell r="L4319">
            <v>45034</v>
          </cell>
          <cell r="M4319" t="str">
            <v>2023-04-14 → 4/19</v>
          </cell>
          <cell r="N4319">
            <v>45048</v>
          </cell>
          <cell r="O4319" t="str">
            <v>2023-04-14 → 4/19</v>
          </cell>
          <cell r="P4319">
            <v>45049</v>
          </cell>
          <cell r="Q4319" t="str">
            <v>2023-04-26 → 5/1 → 5/3</v>
          </cell>
          <cell r="R4319" t="str">
            <v>2023-04-26 → 5/1 → 5/4</v>
          </cell>
          <cell r="S4319">
            <v>45055</v>
          </cell>
          <cell r="T4319">
            <v>45055</v>
          </cell>
          <cell r="U4319">
            <v>45062</v>
          </cell>
          <cell r="V4319">
            <v>45062</v>
          </cell>
          <cell r="W4319">
            <v>45063</v>
          </cell>
          <cell r="X4319">
            <v>41100665</v>
          </cell>
        </row>
        <row r="4320">
          <cell r="K4320" t="str">
            <v>GBA-0114</v>
          </cell>
          <cell r="L4320">
            <v>45034</v>
          </cell>
          <cell r="M4320" t="str">
            <v>2023-04-14 → 4/19</v>
          </cell>
          <cell r="N4320">
            <v>45048</v>
          </cell>
          <cell r="O4320" t="str">
            <v>2023-04-14 → 4/19</v>
          </cell>
          <cell r="P4320">
            <v>45049</v>
          </cell>
          <cell r="Q4320" t="str">
            <v>2023-04-26 → 5/1 → 5/3</v>
          </cell>
          <cell r="R4320" t="str">
            <v>2023-04-26 → 5/1 → 5/4</v>
          </cell>
          <cell r="S4320">
            <v>45055</v>
          </cell>
          <cell r="T4320">
            <v>45055</v>
          </cell>
          <cell r="U4320">
            <v>45058</v>
          </cell>
          <cell r="V4320">
            <v>45062</v>
          </cell>
          <cell r="W4320">
            <v>45063</v>
          </cell>
          <cell r="X4320">
            <v>41100665</v>
          </cell>
        </row>
        <row r="4321">
          <cell r="K4321" t="str">
            <v>GBA-0115</v>
          </cell>
          <cell r="L4321">
            <v>45034</v>
          </cell>
          <cell r="M4321" t="str">
            <v>2023-04-14 → 4/19</v>
          </cell>
          <cell r="N4321">
            <v>45048</v>
          </cell>
          <cell r="O4321" t="str">
            <v>2023-04-14 → 4/19</v>
          </cell>
          <cell r="P4321">
            <v>45049</v>
          </cell>
          <cell r="Q4321" t="str">
            <v>2023-04-26 → 5/1 → 5/3</v>
          </cell>
          <cell r="R4321" t="str">
            <v>2023-04-26 → 5/1 → 5/4</v>
          </cell>
          <cell r="S4321">
            <v>45055</v>
          </cell>
          <cell r="T4321">
            <v>45055</v>
          </cell>
          <cell r="U4321">
            <v>45057</v>
          </cell>
          <cell r="V4321">
            <v>45062</v>
          </cell>
          <cell r="W4321">
            <v>45063</v>
          </cell>
          <cell r="X4321">
            <v>41100665</v>
          </cell>
        </row>
        <row r="4322">
          <cell r="K4322" t="str">
            <v>GBA-0116</v>
          </cell>
          <cell r="L4322">
            <v>45034</v>
          </cell>
          <cell r="M4322" t="str">
            <v>2023-04-14 → 4/19</v>
          </cell>
          <cell r="N4322">
            <v>45048</v>
          </cell>
          <cell r="O4322" t="str">
            <v>2023-04-14 → 4/19</v>
          </cell>
          <cell r="P4322">
            <v>45049</v>
          </cell>
          <cell r="Q4322" t="str">
            <v>2023-04-26 → 5/1 → 5/3</v>
          </cell>
          <cell r="R4322" t="str">
            <v>2023-04-26 → 5/1 → 5/4</v>
          </cell>
          <cell r="S4322">
            <v>45055</v>
          </cell>
          <cell r="T4322">
            <v>45055</v>
          </cell>
          <cell r="U4322">
            <v>45061</v>
          </cell>
          <cell r="V4322">
            <v>45062</v>
          </cell>
          <cell r="W4322">
            <v>45063</v>
          </cell>
          <cell r="X4322">
            <v>41100665</v>
          </cell>
        </row>
        <row r="4323">
          <cell r="K4323" t="str">
            <v>GBA-0117</v>
          </cell>
          <cell r="L4323">
            <v>45034</v>
          </cell>
          <cell r="M4323" t="str">
            <v>2023-04-14 → 4/19</v>
          </cell>
          <cell r="N4323">
            <v>45048</v>
          </cell>
          <cell r="O4323" t="str">
            <v>2023-04-14 → 4/19</v>
          </cell>
          <cell r="P4323">
            <v>45049</v>
          </cell>
          <cell r="Q4323" t="str">
            <v>2023-04-26 → 5/1 → 5/3</v>
          </cell>
          <cell r="R4323" t="str">
            <v>2023-04-26 → 5/1 → 5/4</v>
          </cell>
          <cell r="S4323">
            <v>45055</v>
          </cell>
          <cell r="T4323">
            <v>45055</v>
          </cell>
          <cell r="U4323">
            <v>45061</v>
          </cell>
          <cell r="V4323">
            <v>45062</v>
          </cell>
          <cell r="W4323">
            <v>45063</v>
          </cell>
          <cell r="X4323">
            <v>41100665</v>
          </cell>
        </row>
        <row r="4324">
          <cell r="K4324" t="str">
            <v>GBWS-3186</v>
          </cell>
          <cell r="L4324">
            <v>44967</v>
          </cell>
          <cell r="M4324">
            <v>44970</v>
          </cell>
          <cell r="N4324">
            <v>44979</v>
          </cell>
          <cell r="O4324">
            <v>44970</v>
          </cell>
          <cell r="P4324">
            <v>44980</v>
          </cell>
          <cell r="Q4324" t="str">
            <v>2023-02-22 → 2/23</v>
          </cell>
          <cell r="R4324" t="str">
            <v>2023-02-22 → 2/23</v>
          </cell>
          <cell r="S4324">
            <v>44983</v>
          </cell>
          <cell r="T4324">
            <v>44984</v>
          </cell>
          <cell r="U4324">
            <v>44987</v>
          </cell>
          <cell r="V4324">
            <v>44988</v>
          </cell>
          <cell r="W4324">
            <v>44988</v>
          </cell>
          <cell r="X4324">
            <v>41100482</v>
          </cell>
        </row>
        <row r="4325">
          <cell r="K4325" t="str">
            <v>GBWS-3352</v>
          </cell>
          <cell r="L4325">
            <v>45029</v>
          </cell>
          <cell r="M4325">
            <v>45030</v>
          </cell>
          <cell r="N4325">
            <v>45040</v>
          </cell>
          <cell r="O4325">
            <v>45030</v>
          </cell>
          <cell r="P4325">
            <v>45040</v>
          </cell>
          <cell r="Q4325">
            <v>45037</v>
          </cell>
          <cell r="R4325">
            <v>45040</v>
          </cell>
          <cell r="S4325">
            <v>45042</v>
          </cell>
          <cell r="T4325">
            <v>45042</v>
          </cell>
          <cell r="U4325">
            <v>45056</v>
          </cell>
          <cell r="V4325">
            <v>45057</v>
          </cell>
          <cell r="W4325">
            <v>45057</v>
          </cell>
          <cell r="X4325">
            <v>41100576</v>
          </cell>
        </row>
        <row r="4326">
          <cell r="K4326" t="str">
            <v>GBWS-3353</v>
          </cell>
          <cell r="L4326">
            <v>45029</v>
          </cell>
          <cell r="M4326">
            <v>45030</v>
          </cell>
          <cell r="N4326">
            <v>45040</v>
          </cell>
          <cell r="O4326">
            <v>45030</v>
          </cell>
          <cell r="P4326">
            <v>45040</v>
          </cell>
          <cell r="Q4326">
            <v>45037</v>
          </cell>
          <cell r="R4326">
            <v>45040</v>
          </cell>
          <cell r="S4326">
            <v>45042</v>
          </cell>
          <cell r="T4326">
            <v>45042</v>
          </cell>
          <cell r="U4326">
            <v>45056</v>
          </cell>
          <cell r="V4326">
            <v>45057</v>
          </cell>
          <cell r="W4326">
            <v>45057</v>
          </cell>
          <cell r="X4326">
            <v>41100576</v>
          </cell>
        </row>
        <row r="4327">
          <cell r="K4327" t="str">
            <v>DBW-2944</v>
          </cell>
          <cell r="L4327">
            <v>45043</v>
          </cell>
          <cell r="M4327">
            <v>45044</v>
          </cell>
          <cell r="N4327">
            <v>45056</v>
          </cell>
          <cell r="O4327">
            <v>45044</v>
          </cell>
          <cell r="P4327">
            <v>45058</v>
          </cell>
          <cell r="Q4327">
            <v>45057</v>
          </cell>
          <cell r="R4327">
            <v>45058</v>
          </cell>
          <cell r="S4327">
            <v>45061</v>
          </cell>
          <cell r="T4327">
            <v>45061</v>
          </cell>
          <cell r="U4327">
            <v>45063</v>
          </cell>
          <cell r="V4327">
            <v>45064</v>
          </cell>
          <cell r="W4327">
            <v>45064</v>
          </cell>
          <cell r="X4327">
            <v>41100455</v>
          </cell>
        </row>
        <row r="4328">
          <cell r="K4328" t="str">
            <v>DBW-2945</v>
          </cell>
          <cell r="L4328">
            <v>45043</v>
          </cell>
          <cell r="M4328">
            <v>45044</v>
          </cell>
          <cell r="N4328">
            <v>45056</v>
          </cell>
          <cell r="O4328">
            <v>45044</v>
          </cell>
          <cell r="P4328">
            <v>45058</v>
          </cell>
          <cell r="Q4328">
            <v>45057</v>
          </cell>
          <cell r="R4328">
            <v>45058</v>
          </cell>
          <cell r="S4328">
            <v>45061</v>
          </cell>
          <cell r="T4328">
            <v>45061</v>
          </cell>
          <cell r="U4328">
            <v>45063</v>
          </cell>
          <cell r="V4328">
            <v>45065</v>
          </cell>
          <cell r="W4328">
            <v>45065</v>
          </cell>
          <cell r="X4328">
            <v>41100455</v>
          </cell>
        </row>
        <row r="4329">
          <cell r="K4329" t="str">
            <v>DBW-2946</v>
          </cell>
          <cell r="L4329">
            <v>45043</v>
          </cell>
          <cell r="M4329">
            <v>45044</v>
          </cell>
          <cell r="N4329">
            <v>45056</v>
          </cell>
          <cell r="O4329">
            <v>45044</v>
          </cell>
          <cell r="P4329">
            <v>45058</v>
          </cell>
          <cell r="Q4329">
            <v>45057</v>
          </cell>
          <cell r="R4329">
            <v>45058</v>
          </cell>
          <cell r="S4329">
            <v>45061</v>
          </cell>
          <cell r="T4329">
            <v>45061</v>
          </cell>
          <cell r="U4329">
            <v>45064</v>
          </cell>
          <cell r="V4329">
            <v>45065</v>
          </cell>
          <cell r="W4329">
            <v>45065</v>
          </cell>
          <cell r="X4329">
            <v>41100455</v>
          </cell>
        </row>
        <row r="4330">
          <cell r="K4330" t="str">
            <v>DBW-2947</v>
          </cell>
          <cell r="L4330">
            <v>45043</v>
          </cell>
          <cell r="M4330">
            <v>45044</v>
          </cell>
          <cell r="N4330">
            <v>45056</v>
          </cell>
          <cell r="O4330">
            <v>45044</v>
          </cell>
          <cell r="P4330">
            <v>45058</v>
          </cell>
          <cell r="Q4330">
            <v>45057</v>
          </cell>
          <cell r="R4330">
            <v>45058</v>
          </cell>
          <cell r="S4330">
            <v>45061</v>
          </cell>
          <cell r="T4330">
            <v>45062</v>
          </cell>
          <cell r="U4330">
            <v>45064</v>
          </cell>
          <cell r="V4330">
            <v>45065</v>
          </cell>
          <cell r="W4330">
            <v>45065</v>
          </cell>
          <cell r="X4330">
            <v>41100452</v>
          </cell>
        </row>
        <row r="4331">
          <cell r="K4331" t="str">
            <v>GBWS-3387</v>
          </cell>
          <cell r="L4331">
            <v>45044</v>
          </cell>
          <cell r="M4331">
            <v>45048</v>
          </cell>
          <cell r="N4331">
            <v>45057</v>
          </cell>
          <cell r="O4331">
            <v>45048</v>
          </cell>
          <cell r="P4331">
            <v>45058</v>
          </cell>
          <cell r="Q4331">
            <v>45057</v>
          </cell>
          <cell r="R4331">
            <v>45058</v>
          </cell>
          <cell r="S4331">
            <v>45061</v>
          </cell>
          <cell r="T4331">
            <v>45062</v>
          </cell>
          <cell r="U4331">
            <v>45065</v>
          </cell>
          <cell r="V4331">
            <v>45068</v>
          </cell>
          <cell r="W4331">
            <v>45068</v>
          </cell>
          <cell r="X4331">
            <v>41100672</v>
          </cell>
        </row>
        <row r="4332">
          <cell r="K4332" t="str">
            <v>GBWS-3388</v>
          </cell>
          <cell r="L4332">
            <v>45044</v>
          </cell>
          <cell r="M4332">
            <v>45048</v>
          </cell>
          <cell r="N4332">
            <v>45057</v>
          </cell>
          <cell r="O4332">
            <v>45048</v>
          </cell>
          <cell r="P4332">
            <v>45058</v>
          </cell>
          <cell r="Q4332">
            <v>45057</v>
          </cell>
          <cell r="R4332">
            <v>45058</v>
          </cell>
          <cell r="S4332">
            <v>45061</v>
          </cell>
          <cell r="T4332">
            <v>45062</v>
          </cell>
          <cell r="U4332">
            <v>45065</v>
          </cell>
          <cell r="V4332">
            <v>45068</v>
          </cell>
          <cell r="W4332">
            <v>45068</v>
          </cell>
          <cell r="X4332">
            <v>41100672</v>
          </cell>
        </row>
        <row r="4333">
          <cell r="K4333" t="str">
            <v>GBA-0118</v>
          </cell>
          <cell r="L4333">
            <v>45044</v>
          </cell>
          <cell r="M4333">
            <v>45048</v>
          </cell>
          <cell r="N4333">
            <v>45061</v>
          </cell>
          <cell r="O4333">
            <v>45048</v>
          </cell>
          <cell r="P4333">
            <v>45062</v>
          </cell>
          <cell r="Q4333">
            <v>45061</v>
          </cell>
          <cell r="R4333">
            <v>45062</v>
          </cell>
          <cell r="S4333">
            <v>45063</v>
          </cell>
          <cell r="T4333">
            <v>45063</v>
          </cell>
          <cell r="U4333">
            <v>45064</v>
          </cell>
          <cell r="V4333">
            <v>45068</v>
          </cell>
          <cell r="W4333">
            <v>45068</v>
          </cell>
          <cell r="X4333">
            <v>41100671</v>
          </cell>
        </row>
        <row r="4334">
          <cell r="K4334" t="str">
            <v>GBA-0119</v>
          </cell>
          <cell r="L4334">
            <v>45044</v>
          </cell>
          <cell r="M4334">
            <v>45048</v>
          </cell>
          <cell r="N4334">
            <v>45061</v>
          </cell>
          <cell r="O4334">
            <v>45048</v>
          </cell>
          <cell r="P4334">
            <v>45062</v>
          </cell>
          <cell r="Q4334">
            <v>45061</v>
          </cell>
          <cell r="R4334">
            <v>45062</v>
          </cell>
          <cell r="S4334">
            <v>45063</v>
          </cell>
          <cell r="T4334">
            <v>45063</v>
          </cell>
          <cell r="U4334">
            <v>45064</v>
          </cell>
          <cell r="V4334">
            <v>45068</v>
          </cell>
          <cell r="W4334">
            <v>45068</v>
          </cell>
          <cell r="X4334">
            <v>41100671</v>
          </cell>
        </row>
        <row r="4335">
          <cell r="K4335" t="str">
            <v>G13030018</v>
          </cell>
          <cell r="L4335">
            <v>45061</v>
          </cell>
          <cell r="M4335">
            <v>45061</v>
          </cell>
          <cell r="N4335">
            <v>45061</v>
          </cell>
          <cell r="O4335">
            <v>45062</v>
          </cell>
          <cell r="P4335">
            <v>45061</v>
          </cell>
          <cell r="Q4335">
            <v>45062</v>
          </cell>
          <cell r="R4335">
            <v>45062</v>
          </cell>
          <cell r="S4335">
            <v>45061</v>
          </cell>
          <cell r="T4335">
            <v>45061</v>
          </cell>
          <cell r="U4335">
            <v>45068</v>
          </cell>
          <cell r="V4335">
            <v>45068</v>
          </cell>
          <cell r="W4335">
            <v>45068</v>
          </cell>
          <cell r="X4335" t="str">
            <v>-</v>
          </cell>
        </row>
        <row r="4336">
          <cell r="K4336" t="str">
            <v>G13030017</v>
          </cell>
          <cell r="L4336">
            <v>45061</v>
          </cell>
          <cell r="M4336">
            <v>45061</v>
          </cell>
          <cell r="N4336">
            <v>45061</v>
          </cell>
          <cell r="O4336">
            <v>45065</v>
          </cell>
          <cell r="P4336">
            <v>45061</v>
          </cell>
          <cell r="Q4336">
            <v>45065</v>
          </cell>
          <cell r="R4336">
            <v>45065</v>
          </cell>
          <cell r="S4336">
            <v>45061</v>
          </cell>
          <cell r="T4336">
            <v>45061</v>
          </cell>
          <cell r="U4336">
            <v>45068</v>
          </cell>
          <cell r="V4336">
            <v>45068</v>
          </cell>
          <cell r="W4336">
            <v>45068</v>
          </cell>
          <cell r="X4336" t="str">
            <v>-</v>
          </cell>
        </row>
        <row r="4337">
          <cell r="K4337" t="str">
            <v>G13030035</v>
          </cell>
          <cell r="L4337">
            <v>45063</v>
          </cell>
          <cell r="M4337">
            <v>45063</v>
          </cell>
          <cell r="N4337">
            <v>45063</v>
          </cell>
          <cell r="O4337">
            <v>45063</v>
          </cell>
          <cell r="P4337">
            <v>45063</v>
          </cell>
          <cell r="Q4337">
            <v>45063</v>
          </cell>
          <cell r="R4337">
            <v>45063</v>
          </cell>
          <cell r="S4337">
            <v>45063</v>
          </cell>
          <cell r="T4337">
            <v>45063</v>
          </cell>
          <cell r="U4337">
            <v>45068</v>
          </cell>
          <cell r="V4337">
            <v>45068</v>
          </cell>
          <cell r="W4337">
            <v>45068</v>
          </cell>
          <cell r="X4337" t="str">
            <v>-</v>
          </cell>
        </row>
        <row r="4338">
          <cell r="K4338" t="str">
            <v>G1H3009</v>
          </cell>
          <cell r="L4338">
            <v>45065</v>
          </cell>
          <cell r="M4338">
            <v>45063</v>
          </cell>
          <cell r="N4338">
            <v>45063</v>
          </cell>
          <cell r="O4338">
            <v>45063</v>
          </cell>
          <cell r="P4338">
            <v>45063</v>
          </cell>
          <cell r="Q4338">
            <v>45063</v>
          </cell>
          <cell r="R4338">
            <v>45063</v>
          </cell>
          <cell r="S4338">
            <v>45063</v>
          </cell>
          <cell r="T4338">
            <v>45063</v>
          </cell>
          <cell r="U4338">
            <v>45068</v>
          </cell>
          <cell r="V4338">
            <v>45068</v>
          </cell>
          <cell r="W4338">
            <v>45068</v>
          </cell>
          <cell r="X4338" t="str">
            <v>-</v>
          </cell>
        </row>
        <row r="4339">
          <cell r="K4339" t="str">
            <v>GBWS-3360</v>
          </cell>
          <cell r="L4339">
            <v>45033</v>
          </cell>
          <cell r="M4339">
            <v>45034</v>
          </cell>
          <cell r="N4339">
            <v>45048</v>
          </cell>
          <cell r="O4339">
            <v>45034</v>
          </cell>
          <cell r="P4339">
            <v>45048</v>
          </cell>
          <cell r="Q4339" t="str">
            <v>2023-04-27 → 5/1</v>
          </cell>
          <cell r="R4339" t="str">
            <v>2023-04-27 → 4/28 → 5/2</v>
          </cell>
          <cell r="S4339">
            <v>45050</v>
          </cell>
          <cell r="T4339">
            <v>45055</v>
          </cell>
          <cell r="U4339">
            <v>45057</v>
          </cell>
          <cell r="V4339">
            <v>45057</v>
          </cell>
          <cell r="W4339">
            <v>45062</v>
          </cell>
          <cell r="X4339">
            <v>41100551</v>
          </cell>
        </row>
        <row r="4340">
          <cell r="K4340" t="str">
            <v>GBWS-3379</v>
          </cell>
          <cell r="L4340">
            <v>45041</v>
          </cell>
          <cell r="M4340">
            <v>45042</v>
          </cell>
          <cell r="N4340">
            <v>45055</v>
          </cell>
          <cell r="O4340">
            <v>45042</v>
          </cell>
          <cell r="P4340">
            <v>45056</v>
          </cell>
          <cell r="Q4340">
            <v>45055</v>
          </cell>
          <cell r="R4340" t="str">
            <v>2023-05-10 → 5/11</v>
          </cell>
          <cell r="S4340">
            <v>45057</v>
          </cell>
          <cell r="T4340">
            <v>45057</v>
          </cell>
          <cell r="U4340">
            <v>45064</v>
          </cell>
          <cell r="V4340">
            <v>45065</v>
          </cell>
          <cell r="W4340">
            <v>45065</v>
          </cell>
          <cell r="X4340">
            <v>41100551</v>
          </cell>
        </row>
        <row r="4341">
          <cell r="K4341" t="str">
            <v>GBWS-3361</v>
          </cell>
          <cell r="L4341">
            <v>45033</v>
          </cell>
          <cell r="M4341">
            <v>45034</v>
          </cell>
          <cell r="N4341">
            <v>45048</v>
          </cell>
          <cell r="O4341">
            <v>45034</v>
          </cell>
          <cell r="P4341">
            <v>45048</v>
          </cell>
          <cell r="Q4341" t="str">
            <v>2023-04-27 → 5/1</v>
          </cell>
          <cell r="R4341" t="str">
            <v>2023-04-27 → 4/28 → 5/2</v>
          </cell>
          <cell r="S4341">
            <v>45050</v>
          </cell>
          <cell r="T4341">
            <v>45055</v>
          </cell>
          <cell r="U4341">
            <v>45057</v>
          </cell>
          <cell r="V4341">
            <v>45057</v>
          </cell>
          <cell r="W4341">
            <v>45062</v>
          </cell>
          <cell r="X4341">
            <v>41100546</v>
          </cell>
        </row>
        <row r="4342">
          <cell r="K4342" t="str">
            <v>GBWS-3380</v>
          </cell>
          <cell r="L4342">
            <v>45041</v>
          </cell>
          <cell r="M4342">
            <v>45042</v>
          </cell>
          <cell r="N4342">
            <v>45055</v>
          </cell>
          <cell r="O4342">
            <v>45042</v>
          </cell>
          <cell r="P4342">
            <v>45056</v>
          </cell>
          <cell r="Q4342">
            <v>45055</v>
          </cell>
          <cell r="R4342" t="str">
            <v>2023-05-10 → 5/11</v>
          </cell>
          <cell r="S4342">
            <v>45057</v>
          </cell>
          <cell r="T4342">
            <v>45057</v>
          </cell>
          <cell r="U4342">
            <v>45062</v>
          </cell>
          <cell r="V4342">
            <v>45063</v>
          </cell>
          <cell r="W4342">
            <v>45063</v>
          </cell>
          <cell r="X4342">
            <v>41100546</v>
          </cell>
        </row>
        <row r="4343">
          <cell r="K4343" t="str">
            <v>GBWS-3389</v>
          </cell>
          <cell r="L4343">
            <v>45054</v>
          </cell>
          <cell r="M4343">
            <v>45055</v>
          </cell>
          <cell r="N4343">
            <v>45062</v>
          </cell>
          <cell r="O4343">
            <v>45055</v>
          </cell>
          <cell r="P4343">
            <v>45063</v>
          </cell>
          <cell r="Q4343">
            <v>45062</v>
          </cell>
          <cell r="R4343">
            <v>45063</v>
          </cell>
          <cell r="S4343">
            <v>45063</v>
          </cell>
          <cell r="T4343">
            <v>45064</v>
          </cell>
          <cell r="U4343">
            <v>45068</v>
          </cell>
          <cell r="V4343">
            <v>45070</v>
          </cell>
          <cell r="W4343">
            <v>45070</v>
          </cell>
          <cell r="X4343">
            <v>41100559</v>
          </cell>
        </row>
        <row r="4344">
          <cell r="K4344" t="str">
            <v>GBWS-3390</v>
          </cell>
          <cell r="L4344">
            <v>45054</v>
          </cell>
          <cell r="M4344">
            <v>45055</v>
          </cell>
          <cell r="N4344">
            <v>45062</v>
          </cell>
          <cell r="O4344">
            <v>45055</v>
          </cell>
          <cell r="P4344">
            <v>45063</v>
          </cell>
          <cell r="Q4344">
            <v>45062</v>
          </cell>
          <cell r="R4344">
            <v>45063</v>
          </cell>
          <cell r="S4344">
            <v>45063</v>
          </cell>
          <cell r="T4344">
            <v>45064</v>
          </cell>
          <cell r="U4344">
            <v>45068</v>
          </cell>
          <cell r="V4344">
            <v>45069</v>
          </cell>
          <cell r="W4344">
            <v>45069</v>
          </cell>
          <cell r="X4344">
            <v>41100559</v>
          </cell>
        </row>
        <row r="4345">
          <cell r="K4345" t="str">
            <v>GBWS-3391</v>
          </cell>
          <cell r="L4345">
            <v>45054</v>
          </cell>
          <cell r="M4345">
            <v>45055</v>
          </cell>
          <cell r="N4345">
            <v>45062</v>
          </cell>
          <cell r="O4345">
            <v>45055</v>
          </cell>
          <cell r="P4345">
            <v>45063</v>
          </cell>
          <cell r="Q4345">
            <v>45062</v>
          </cell>
          <cell r="R4345">
            <v>45063</v>
          </cell>
          <cell r="S4345">
            <v>45063</v>
          </cell>
          <cell r="T4345">
            <v>45064</v>
          </cell>
          <cell r="U4345">
            <v>45068</v>
          </cell>
          <cell r="V4345">
            <v>45069</v>
          </cell>
          <cell r="W4345">
            <v>45069</v>
          </cell>
          <cell r="X4345">
            <v>41100559</v>
          </cell>
        </row>
        <row r="4346">
          <cell r="K4346" t="str">
            <v>GBWS-3396</v>
          </cell>
          <cell r="L4346">
            <v>45054</v>
          </cell>
          <cell r="M4346" t="str">
            <v>2023-03-27 → 5/9</v>
          </cell>
          <cell r="N4346">
            <v>45064</v>
          </cell>
          <cell r="O4346" t="str">
            <v>2023-03-27 → 5/9</v>
          </cell>
          <cell r="P4346">
            <v>45064</v>
          </cell>
          <cell r="Q4346" t="str">
            <v>2023-04-05 → 5/18</v>
          </cell>
          <cell r="R4346" t="str">
            <v>2023-04-05 → 5/18</v>
          </cell>
          <cell r="S4346">
            <v>45068</v>
          </cell>
          <cell r="T4346">
            <v>45068</v>
          </cell>
          <cell r="U4346">
            <v>45069</v>
          </cell>
          <cell r="V4346">
            <v>45070</v>
          </cell>
          <cell r="W4346">
            <v>45070</v>
          </cell>
          <cell r="X4346">
            <v>41100566</v>
          </cell>
        </row>
        <row r="4347">
          <cell r="K4347" t="str">
            <v>GBWS-3397</v>
          </cell>
          <cell r="L4347">
            <v>45054</v>
          </cell>
          <cell r="M4347" t="str">
            <v>2023-03-27 → 5/9</v>
          </cell>
          <cell r="N4347">
            <v>45064</v>
          </cell>
          <cell r="O4347" t="str">
            <v>2023-03-27 → 5/9</v>
          </cell>
          <cell r="P4347">
            <v>45064</v>
          </cell>
          <cell r="Q4347" t="str">
            <v>2023-04-05 → 5/18</v>
          </cell>
          <cell r="R4347" t="str">
            <v>2023-04-05 → 5/18</v>
          </cell>
          <cell r="S4347">
            <v>45068</v>
          </cell>
          <cell r="T4347">
            <v>45068</v>
          </cell>
          <cell r="U4347">
            <v>45069</v>
          </cell>
          <cell r="V4347">
            <v>45070</v>
          </cell>
          <cell r="W4347">
            <v>45070</v>
          </cell>
          <cell r="X4347">
            <v>41100566</v>
          </cell>
        </row>
        <row r="4348">
          <cell r="K4348" t="str">
            <v>GBWS-3398</v>
          </cell>
          <cell r="L4348">
            <v>45054</v>
          </cell>
          <cell r="M4348" t="str">
            <v>2023-03-27 → 5/9</v>
          </cell>
          <cell r="N4348">
            <v>45064</v>
          </cell>
          <cell r="O4348" t="str">
            <v>2023-03-27 → 5/9</v>
          </cell>
          <cell r="P4348">
            <v>45064</v>
          </cell>
          <cell r="Q4348" t="str">
            <v>2023-04-05 → 5/18</v>
          </cell>
          <cell r="R4348" t="str">
            <v>2023-04-05 → 5/18</v>
          </cell>
          <cell r="S4348">
            <v>45068</v>
          </cell>
          <cell r="T4348">
            <v>45068</v>
          </cell>
          <cell r="U4348">
            <v>45069</v>
          </cell>
          <cell r="V4348">
            <v>45070</v>
          </cell>
          <cell r="W4348">
            <v>45070</v>
          </cell>
          <cell r="X4348">
            <v>41100566</v>
          </cell>
        </row>
        <row r="4349">
          <cell r="K4349" t="str">
            <v>DBW-2935</v>
          </cell>
          <cell r="L4349">
            <v>45036</v>
          </cell>
          <cell r="M4349" t="str">
            <v>2023-04-11 → 4/21</v>
          </cell>
          <cell r="N4349">
            <v>45050</v>
          </cell>
          <cell r="O4349" t="str">
            <v>2023-04-11 → 4/21</v>
          </cell>
          <cell r="P4349">
            <v>45054</v>
          </cell>
          <cell r="Q4349" t="str">
            <v>2023-04-19 → 5/4</v>
          </cell>
          <cell r="R4349" t="str">
            <v>2023-04-19 → 5/8</v>
          </cell>
          <cell r="S4349">
            <v>45054</v>
          </cell>
          <cell r="T4349">
            <v>45061</v>
          </cell>
          <cell r="U4349">
            <v>45063</v>
          </cell>
          <cell r="V4349">
            <v>45078</v>
          </cell>
          <cell r="W4349">
            <v>45078</v>
          </cell>
          <cell r="X4349">
            <v>41100099</v>
          </cell>
        </row>
        <row r="4350">
          <cell r="K4350" t="str">
            <v>GBWS-3382</v>
          </cell>
          <cell r="L4350">
            <v>45043</v>
          </cell>
          <cell r="M4350">
            <v>45044</v>
          </cell>
          <cell r="N4350">
            <v>45057</v>
          </cell>
          <cell r="O4350">
            <v>45044</v>
          </cell>
          <cell r="P4350">
            <v>45057</v>
          </cell>
          <cell r="Q4350">
            <v>45057</v>
          </cell>
          <cell r="R4350">
            <v>45058</v>
          </cell>
          <cell r="S4350">
            <v>45062</v>
          </cell>
          <cell r="T4350">
            <v>45062</v>
          </cell>
          <cell r="U4350">
            <v>45065</v>
          </cell>
          <cell r="V4350">
            <v>45070</v>
          </cell>
          <cell r="W4350">
            <v>45070</v>
          </cell>
          <cell r="X4350">
            <v>41100565</v>
          </cell>
        </row>
        <row r="4351">
          <cell r="K4351" t="str">
            <v>GBWS-3383</v>
          </cell>
          <cell r="L4351">
            <v>45043</v>
          </cell>
          <cell r="M4351">
            <v>45044</v>
          </cell>
          <cell r="N4351">
            <v>45057</v>
          </cell>
          <cell r="O4351">
            <v>45044</v>
          </cell>
          <cell r="P4351">
            <v>45057</v>
          </cell>
          <cell r="Q4351">
            <v>45057</v>
          </cell>
          <cell r="R4351">
            <v>45058</v>
          </cell>
          <cell r="S4351">
            <v>45062</v>
          </cell>
          <cell r="T4351">
            <v>45062</v>
          </cell>
          <cell r="U4351">
            <v>45068</v>
          </cell>
          <cell r="V4351">
            <v>45070</v>
          </cell>
          <cell r="W4351">
            <v>45070</v>
          </cell>
          <cell r="X4351">
            <v>41100565</v>
          </cell>
        </row>
        <row r="4352">
          <cell r="K4352" t="str">
            <v>GBWS-3384</v>
          </cell>
          <cell r="L4352">
            <v>45043</v>
          </cell>
          <cell r="M4352">
            <v>45044</v>
          </cell>
          <cell r="N4352">
            <v>45057</v>
          </cell>
          <cell r="O4352">
            <v>45044</v>
          </cell>
          <cell r="P4352">
            <v>45057</v>
          </cell>
          <cell r="Q4352">
            <v>45057</v>
          </cell>
          <cell r="R4352">
            <v>45058</v>
          </cell>
          <cell r="S4352">
            <v>45062</v>
          </cell>
          <cell r="T4352">
            <v>45062</v>
          </cell>
          <cell r="U4352">
            <v>45068</v>
          </cell>
          <cell r="V4352">
            <v>45069</v>
          </cell>
          <cell r="W4352">
            <v>45069</v>
          </cell>
          <cell r="X4352">
            <v>41100565</v>
          </cell>
        </row>
        <row r="4353">
          <cell r="K4353" t="str">
            <v>GBWS-3385</v>
          </cell>
          <cell r="L4353">
            <v>45043</v>
          </cell>
          <cell r="M4353">
            <v>45044</v>
          </cell>
          <cell r="N4353">
            <v>45057</v>
          </cell>
          <cell r="O4353">
            <v>45044</v>
          </cell>
          <cell r="P4353">
            <v>45057</v>
          </cell>
          <cell r="Q4353">
            <v>45057</v>
          </cell>
          <cell r="R4353">
            <v>45058</v>
          </cell>
          <cell r="S4353">
            <v>45062</v>
          </cell>
          <cell r="T4353">
            <v>45063</v>
          </cell>
          <cell r="U4353">
            <v>45068</v>
          </cell>
          <cell r="V4353">
            <v>45069</v>
          </cell>
          <cell r="W4353">
            <v>45069</v>
          </cell>
          <cell r="X4353">
            <v>41100565</v>
          </cell>
        </row>
        <row r="4354">
          <cell r="K4354" t="str">
            <v>IVAS-204</v>
          </cell>
          <cell r="L4354">
            <v>45048</v>
          </cell>
          <cell r="M4354">
            <v>45049</v>
          </cell>
          <cell r="N4354">
            <v>45062</v>
          </cell>
          <cell r="O4354">
            <v>45049</v>
          </cell>
          <cell r="P4354">
            <v>45063</v>
          </cell>
          <cell r="Q4354">
            <v>45061</v>
          </cell>
          <cell r="R4354">
            <v>45062</v>
          </cell>
          <cell r="S4354">
            <v>45064</v>
          </cell>
          <cell r="T4354">
            <v>45064</v>
          </cell>
          <cell r="U4354">
            <v>45065</v>
          </cell>
          <cell r="V4354">
            <v>45070</v>
          </cell>
          <cell r="W4354">
            <v>45070</v>
          </cell>
          <cell r="X4354">
            <v>41100528</v>
          </cell>
        </row>
        <row r="4355">
          <cell r="K4355" t="str">
            <v>IVAS-205</v>
          </cell>
          <cell r="L4355">
            <v>45050</v>
          </cell>
          <cell r="M4355">
            <v>45054</v>
          </cell>
          <cell r="N4355">
            <v>45064</v>
          </cell>
          <cell r="O4355">
            <v>45054</v>
          </cell>
          <cell r="P4355">
            <v>45063</v>
          </cell>
          <cell r="Q4355" t="str">
            <v>2023-05-16 → 5/17</v>
          </cell>
          <cell r="R4355">
            <v>45063</v>
          </cell>
          <cell r="S4355">
            <v>45064</v>
          </cell>
          <cell r="T4355">
            <v>45064</v>
          </cell>
          <cell r="U4355">
            <v>45065</v>
          </cell>
          <cell r="V4355">
            <v>45070</v>
          </cell>
          <cell r="W4355">
            <v>45070</v>
          </cell>
          <cell r="X4355">
            <v>41100274</v>
          </cell>
        </row>
        <row r="4356">
          <cell r="K4356" t="str">
            <v>GBWS-2896</v>
          </cell>
          <cell r="L4356">
            <v>44879</v>
          </cell>
          <cell r="M4356">
            <v>44880</v>
          </cell>
          <cell r="N4356">
            <v>44893</v>
          </cell>
          <cell r="O4356">
            <v>44880</v>
          </cell>
          <cell r="P4356">
            <v>44893</v>
          </cell>
          <cell r="Q4356">
            <v>44893</v>
          </cell>
          <cell r="R4356">
            <v>44893</v>
          </cell>
          <cell r="S4356">
            <v>44900</v>
          </cell>
          <cell r="T4356">
            <v>44900</v>
          </cell>
          <cell r="U4356">
            <v>44904</v>
          </cell>
          <cell r="V4356">
            <v>44904</v>
          </cell>
          <cell r="W4356">
            <v>44904</v>
          </cell>
          <cell r="X4356">
            <v>41100460</v>
          </cell>
        </row>
        <row r="4357">
          <cell r="K4357"/>
          <cell r="L4357">
            <v>45055</v>
          </cell>
          <cell r="M4357">
            <v>45056</v>
          </cell>
          <cell r="N4357">
            <v>45063</v>
          </cell>
          <cell r="O4357">
            <v>45056</v>
          </cell>
          <cell r="P4357">
            <v>45062</v>
          </cell>
          <cell r="Q4357">
            <v>45063</v>
          </cell>
          <cell r="R4357">
            <v>45064</v>
          </cell>
          <cell r="S4357">
            <v>45065</v>
          </cell>
          <cell r="T4357">
            <v>45065</v>
          </cell>
          <cell r="U4357">
            <v>45070</v>
          </cell>
          <cell r="V4357">
            <v>45070</v>
          </cell>
          <cell r="W4357">
            <v>45070</v>
          </cell>
          <cell r="X4357">
            <v>41100494</v>
          </cell>
        </row>
        <row r="4358">
          <cell r="K4358"/>
          <cell r="L4358">
            <v>45055</v>
          </cell>
          <cell r="M4358">
            <v>45055</v>
          </cell>
          <cell r="N4358">
            <v>45061</v>
          </cell>
          <cell r="O4358">
            <v>45055</v>
          </cell>
          <cell r="P4358">
            <v>45062</v>
          </cell>
          <cell r="Q4358">
            <v>45062</v>
          </cell>
          <cell r="R4358">
            <v>45062</v>
          </cell>
          <cell r="S4358">
            <v>45072</v>
          </cell>
          <cell r="T4358">
            <v>45072</v>
          </cell>
          <cell r="U4358">
            <v>45072</v>
          </cell>
          <cell r="V4358">
            <v>45072</v>
          </cell>
          <cell r="W4358">
            <v>45072</v>
          </cell>
          <cell r="X4358">
            <v>31102611</v>
          </cell>
        </row>
        <row r="4359">
          <cell r="K4359"/>
          <cell r="L4359">
            <v>45055</v>
          </cell>
          <cell r="M4359">
            <v>45055</v>
          </cell>
          <cell r="N4359">
            <v>45061</v>
          </cell>
          <cell r="O4359">
            <v>45055</v>
          </cell>
          <cell r="P4359">
            <v>45062</v>
          </cell>
          <cell r="Q4359">
            <v>45062</v>
          </cell>
          <cell r="R4359">
            <v>45062</v>
          </cell>
          <cell r="S4359">
            <v>45072</v>
          </cell>
          <cell r="T4359">
            <v>45072</v>
          </cell>
          <cell r="U4359">
            <v>45072</v>
          </cell>
          <cell r="V4359">
            <v>45072</v>
          </cell>
          <cell r="W4359">
            <v>45072</v>
          </cell>
          <cell r="X4359">
            <v>31102612</v>
          </cell>
        </row>
        <row r="4360">
          <cell r="K4360"/>
          <cell r="L4360">
            <v>45055</v>
          </cell>
          <cell r="M4360">
            <v>45055</v>
          </cell>
          <cell r="N4360">
            <v>45061</v>
          </cell>
          <cell r="O4360">
            <v>45055</v>
          </cell>
          <cell r="P4360">
            <v>45062</v>
          </cell>
          <cell r="Q4360">
            <v>45062</v>
          </cell>
          <cell r="R4360">
            <v>45062</v>
          </cell>
          <cell r="S4360">
            <v>45072</v>
          </cell>
          <cell r="T4360">
            <v>45072</v>
          </cell>
          <cell r="U4360">
            <v>45072</v>
          </cell>
          <cell r="V4360">
            <v>45072</v>
          </cell>
          <cell r="W4360">
            <v>45072</v>
          </cell>
          <cell r="X4360">
            <v>31102613</v>
          </cell>
        </row>
        <row r="4361">
          <cell r="K4361"/>
          <cell r="L4361">
            <v>45055</v>
          </cell>
          <cell r="M4361">
            <v>45055</v>
          </cell>
          <cell r="N4361">
            <v>45061</v>
          </cell>
          <cell r="O4361">
            <v>45055</v>
          </cell>
          <cell r="P4361">
            <v>45062</v>
          </cell>
          <cell r="Q4361">
            <v>45062</v>
          </cell>
          <cell r="R4361">
            <v>45062</v>
          </cell>
          <cell r="S4361">
            <v>45072</v>
          </cell>
          <cell r="T4361">
            <v>45072</v>
          </cell>
          <cell r="U4361">
            <v>45072</v>
          </cell>
          <cell r="V4361">
            <v>45072</v>
          </cell>
          <cell r="W4361">
            <v>45072</v>
          </cell>
          <cell r="X4361">
            <v>31102614</v>
          </cell>
        </row>
        <row r="4362">
          <cell r="K4362"/>
          <cell r="L4362">
            <v>45055</v>
          </cell>
          <cell r="M4362">
            <v>45055</v>
          </cell>
          <cell r="N4362">
            <v>45061</v>
          </cell>
          <cell r="O4362">
            <v>45055</v>
          </cell>
          <cell r="P4362">
            <v>45062</v>
          </cell>
          <cell r="Q4362">
            <v>45062</v>
          </cell>
          <cell r="R4362">
            <v>45062</v>
          </cell>
          <cell r="S4362">
            <v>45072</v>
          </cell>
          <cell r="T4362">
            <v>45072</v>
          </cell>
          <cell r="U4362">
            <v>45072</v>
          </cell>
          <cell r="V4362">
            <v>45072</v>
          </cell>
          <cell r="W4362">
            <v>45072</v>
          </cell>
          <cell r="X4362">
            <v>31102217</v>
          </cell>
        </row>
        <row r="4363">
          <cell r="K4363"/>
          <cell r="L4363">
            <v>45055</v>
          </cell>
          <cell r="M4363">
            <v>45055</v>
          </cell>
          <cell r="N4363">
            <v>45061</v>
          </cell>
          <cell r="O4363">
            <v>45055</v>
          </cell>
          <cell r="P4363">
            <v>45062</v>
          </cell>
          <cell r="Q4363">
            <v>45062</v>
          </cell>
          <cell r="R4363">
            <v>45062</v>
          </cell>
          <cell r="S4363">
            <v>45072</v>
          </cell>
          <cell r="T4363">
            <v>45072</v>
          </cell>
          <cell r="U4363">
            <v>45072</v>
          </cell>
          <cell r="V4363">
            <v>45072</v>
          </cell>
          <cell r="W4363">
            <v>45072</v>
          </cell>
          <cell r="X4363">
            <v>31102218</v>
          </cell>
        </row>
        <row r="4364">
          <cell r="K4364"/>
          <cell r="L4364">
            <v>45055</v>
          </cell>
          <cell r="M4364">
            <v>45055</v>
          </cell>
          <cell r="N4364">
            <v>45061</v>
          </cell>
          <cell r="O4364">
            <v>45055</v>
          </cell>
          <cell r="P4364">
            <v>45062</v>
          </cell>
          <cell r="Q4364">
            <v>45062</v>
          </cell>
          <cell r="R4364">
            <v>45062</v>
          </cell>
          <cell r="S4364">
            <v>45072</v>
          </cell>
          <cell r="T4364">
            <v>45072</v>
          </cell>
          <cell r="U4364">
            <v>45072</v>
          </cell>
          <cell r="V4364">
            <v>45072</v>
          </cell>
          <cell r="W4364">
            <v>45072</v>
          </cell>
          <cell r="X4364">
            <v>31102710</v>
          </cell>
        </row>
        <row r="4365">
          <cell r="K4365"/>
          <cell r="L4365">
            <v>45055</v>
          </cell>
          <cell r="M4365">
            <v>45055</v>
          </cell>
          <cell r="N4365">
            <v>45061</v>
          </cell>
          <cell r="O4365">
            <v>45055</v>
          </cell>
          <cell r="P4365">
            <v>45062</v>
          </cell>
          <cell r="Q4365">
            <v>45062</v>
          </cell>
          <cell r="R4365">
            <v>45062</v>
          </cell>
          <cell r="S4365">
            <v>45072</v>
          </cell>
          <cell r="T4365">
            <v>45072</v>
          </cell>
          <cell r="U4365">
            <v>45072</v>
          </cell>
          <cell r="V4365">
            <v>45072</v>
          </cell>
          <cell r="W4365">
            <v>45072</v>
          </cell>
          <cell r="X4365">
            <v>31102615</v>
          </cell>
        </row>
        <row r="4366">
          <cell r="K4366"/>
          <cell r="L4366">
            <v>45055</v>
          </cell>
          <cell r="M4366">
            <v>45055</v>
          </cell>
          <cell r="N4366">
            <v>45061</v>
          </cell>
          <cell r="O4366">
            <v>45055</v>
          </cell>
          <cell r="P4366">
            <v>45062</v>
          </cell>
          <cell r="Q4366">
            <v>45062</v>
          </cell>
          <cell r="R4366">
            <v>45062</v>
          </cell>
          <cell r="S4366">
            <v>45072</v>
          </cell>
          <cell r="T4366">
            <v>45072</v>
          </cell>
          <cell r="U4366">
            <v>45072</v>
          </cell>
          <cell r="V4366">
            <v>45072</v>
          </cell>
          <cell r="W4366">
            <v>45072</v>
          </cell>
          <cell r="X4366">
            <v>31102611</v>
          </cell>
        </row>
        <row r="4367">
          <cell r="K4367"/>
          <cell r="L4367">
            <v>45055</v>
          </cell>
          <cell r="M4367">
            <v>45055</v>
          </cell>
          <cell r="N4367">
            <v>45061</v>
          </cell>
          <cell r="O4367">
            <v>45055</v>
          </cell>
          <cell r="P4367">
            <v>45062</v>
          </cell>
          <cell r="Q4367">
            <v>45062</v>
          </cell>
          <cell r="R4367">
            <v>45062</v>
          </cell>
          <cell r="S4367">
            <v>45072</v>
          </cell>
          <cell r="T4367">
            <v>45072</v>
          </cell>
          <cell r="U4367">
            <v>45072</v>
          </cell>
          <cell r="V4367">
            <v>45072</v>
          </cell>
          <cell r="W4367">
            <v>45072</v>
          </cell>
          <cell r="X4367">
            <v>31102616</v>
          </cell>
        </row>
        <row r="4368">
          <cell r="K4368"/>
          <cell r="L4368">
            <v>45055</v>
          </cell>
          <cell r="M4368">
            <v>45055</v>
          </cell>
          <cell r="N4368">
            <v>45061</v>
          </cell>
          <cell r="O4368">
            <v>45055</v>
          </cell>
          <cell r="P4368">
            <v>45062</v>
          </cell>
          <cell r="Q4368">
            <v>45062</v>
          </cell>
          <cell r="R4368">
            <v>45062</v>
          </cell>
          <cell r="S4368">
            <v>45072</v>
          </cell>
          <cell r="T4368">
            <v>45072</v>
          </cell>
          <cell r="U4368">
            <v>45072</v>
          </cell>
          <cell r="V4368">
            <v>45072</v>
          </cell>
          <cell r="W4368">
            <v>45072</v>
          </cell>
          <cell r="X4368">
            <v>31102613</v>
          </cell>
        </row>
        <row r="4369">
          <cell r="K4369"/>
          <cell r="L4369">
            <v>45055</v>
          </cell>
          <cell r="M4369">
            <v>45055</v>
          </cell>
          <cell r="N4369">
            <v>45062</v>
          </cell>
          <cell r="O4369">
            <v>45055</v>
          </cell>
          <cell r="P4369">
            <v>45062</v>
          </cell>
          <cell r="Q4369">
            <v>45062</v>
          </cell>
          <cell r="R4369">
            <v>45062</v>
          </cell>
          <cell r="S4369">
            <v>45072</v>
          </cell>
          <cell r="T4369">
            <v>45072</v>
          </cell>
          <cell r="U4369">
            <v>45072</v>
          </cell>
          <cell r="V4369">
            <v>45072</v>
          </cell>
          <cell r="W4369">
            <v>45072</v>
          </cell>
          <cell r="X4369">
            <v>31102610</v>
          </cell>
        </row>
        <row r="4370">
          <cell r="K4370"/>
          <cell r="L4370">
            <v>45062</v>
          </cell>
          <cell r="M4370">
            <v>45062</v>
          </cell>
          <cell r="N4370">
            <v>45064</v>
          </cell>
          <cell r="O4370">
            <v>45062</v>
          </cell>
          <cell r="P4370">
            <v>45064</v>
          </cell>
          <cell r="Q4370">
            <v>45069</v>
          </cell>
          <cell r="R4370">
            <v>45069</v>
          </cell>
          <cell r="S4370">
            <v>45072</v>
          </cell>
          <cell r="T4370">
            <v>45072</v>
          </cell>
          <cell r="U4370">
            <v>45072</v>
          </cell>
          <cell r="V4370">
            <v>45072</v>
          </cell>
          <cell r="W4370">
            <v>45072</v>
          </cell>
          <cell r="X4370">
            <v>31102610</v>
          </cell>
        </row>
        <row r="4371">
          <cell r="K4371"/>
          <cell r="L4371">
            <v>45062</v>
          </cell>
          <cell r="M4371">
            <v>45062</v>
          </cell>
          <cell r="N4371">
            <v>45064</v>
          </cell>
          <cell r="O4371">
            <v>45062</v>
          </cell>
          <cell r="P4371">
            <v>45064</v>
          </cell>
          <cell r="Q4371">
            <v>45069</v>
          </cell>
          <cell r="R4371">
            <v>45069</v>
          </cell>
          <cell r="S4371">
            <v>45072</v>
          </cell>
          <cell r="T4371">
            <v>45072</v>
          </cell>
          <cell r="U4371">
            <v>45072</v>
          </cell>
          <cell r="V4371">
            <v>45072</v>
          </cell>
          <cell r="W4371">
            <v>45072</v>
          </cell>
          <cell r="X4371">
            <v>31102611</v>
          </cell>
        </row>
        <row r="4372">
          <cell r="K4372"/>
          <cell r="L4372">
            <v>45062</v>
          </cell>
          <cell r="M4372">
            <v>45062</v>
          </cell>
          <cell r="N4372">
            <v>45064</v>
          </cell>
          <cell r="O4372">
            <v>45062</v>
          </cell>
          <cell r="P4372">
            <v>45064</v>
          </cell>
          <cell r="Q4372">
            <v>45069</v>
          </cell>
          <cell r="R4372">
            <v>45069</v>
          </cell>
          <cell r="S4372">
            <v>45072</v>
          </cell>
          <cell r="T4372">
            <v>45072</v>
          </cell>
          <cell r="U4372">
            <v>45072</v>
          </cell>
          <cell r="V4372">
            <v>45072</v>
          </cell>
          <cell r="W4372">
            <v>45072</v>
          </cell>
          <cell r="X4372">
            <v>31102612</v>
          </cell>
        </row>
        <row r="4373">
          <cell r="K4373"/>
          <cell r="L4373">
            <v>45062</v>
          </cell>
          <cell r="M4373">
            <v>45062</v>
          </cell>
          <cell r="N4373">
            <v>45064</v>
          </cell>
          <cell r="O4373">
            <v>45062</v>
          </cell>
          <cell r="P4373">
            <v>45064</v>
          </cell>
          <cell r="Q4373">
            <v>45069</v>
          </cell>
          <cell r="R4373">
            <v>45069</v>
          </cell>
          <cell r="S4373">
            <v>45072</v>
          </cell>
          <cell r="T4373">
            <v>45072</v>
          </cell>
          <cell r="U4373">
            <v>45072</v>
          </cell>
          <cell r="V4373">
            <v>45072</v>
          </cell>
          <cell r="W4373">
            <v>45072</v>
          </cell>
          <cell r="X4373">
            <v>31102613</v>
          </cell>
        </row>
        <row r="4374">
          <cell r="K4374"/>
          <cell r="L4374">
            <v>45062</v>
          </cell>
          <cell r="M4374">
            <v>45062</v>
          </cell>
          <cell r="N4374">
            <v>45064</v>
          </cell>
          <cell r="O4374">
            <v>45062</v>
          </cell>
          <cell r="P4374">
            <v>45064</v>
          </cell>
          <cell r="Q4374">
            <v>45069</v>
          </cell>
          <cell r="R4374">
            <v>45069</v>
          </cell>
          <cell r="S4374">
            <v>45072</v>
          </cell>
          <cell r="T4374">
            <v>45072</v>
          </cell>
          <cell r="U4374">
            <v>45072</v>
          </cell>
          <cell r="V4374">
            <v>45072</v>
          </cell>
          <cell r="W4374">
            <v>45072</v>
          </cell>
          <cell r="X4374">
            <v>31102614</v>
          </cell>
        </row>
        <row r="4375">
          <cell r="K4375"/>
          <cell r="L4375">
            <v>45062</v>
          </cell>
          <cell r="M4375">
            <v>45062</v>
          </cell>
          <cell r="N4375">
            <v>45064</v>
          </cell>
          <cell r="O4375">
            <v>45062</v>
          </cell>
          <cell r="P4375">
            <v>45064</v>
          </cell>
          <cell r="Q4375">
            <v>45069</v>
          </cell>
          <cell r="R4375">
            <v>45069</v>
          </cell>
          <cell r="S4375">
            <v>45072</v>
          </cell>
          <cell r="T4375">
            <v>45072</v>
          </cell>
          <cell r="U4375">
            <v>45072</v>
          </cell>
          <cell r="V4375">
            <v>45072</v>
          </cell>
          <cell r="W4375">
            <v>45072</v>
          </cell>
          <cell r="X4375">
            <v>31102626</v>
          </cell>
        </row>
        <row r="4376">
          <cell r="K4376"/>
          <cell r="L4376">
            <v>45062</v>
          </cell>
          <cell r="M4376">
            <v>45062</v>
          </cell>
          <cell r="N4376">
            <v>45064</v>
          </cell>
          <cell r="O4376">
            <v>45062</v>
          </cell>
          <cell r="P4376">
            <v>45064</v>
          </cell>
          <cell r="Q4376">
            <v>45069</v>
          </cell>
          <cell r="R4376">
            <v>45069</v>
          </cell>
          <cell r="S4376">
            <v>45072</v>
          </cell>
          <cell r="T4376">
            <v>45072</v>
          </cell>
          <cell r="U4376">
            <v>45072</v>
          </cell>
          <cell r="V4376">
            <v>45072</v>
          </cell>
          <cell r="W4376">
            <v>45072</v>
          </cell>
          <cell r="X4376">
            <v>31102627</v>
          </cell>
        </row>
        <row r="4377">
          <cell r="K4377"/>
          <cell r="L4377">
            <v>45062</v>
          </cell>
          <cell r="M4377">
            <v>45062</v>
          </cell>
          <cell r="N4377">
            <v>45064</v>
          </cell>
          <cell r="O4377">
            <v>45062</v>
          </cell>
          <cell r="P4377">
            <v>45064</v>
          </cell>
          <cell r="Q4377">
            <v>45069</v>
          </cell>
          <cell r="R4377">
            <v>45069</v>
          </cell>
          <cell r="S4377">
            <v>45072</v>
          </cell>
          <cell r="T4377">
            <v>45072</v>
          </cell>
          <cell r="U4377">
            <v>45072</v>
          </cell>
          <cell r="V4377">
            <v>45072</v>
          </cell>
          <cell r="W4377">
            <v>45072</v>
          </cell>
          <cell r="X4377">
            <v>31102622</v>
          </cell>
        </row>
        <row r="4378">
          <cell r="K4378"/>
          <cell r="L4378">
            <v>45062</v>
          </cell>
          <cell r="M4378">
            <v>45062</v>
          </cell>
          <cell r="N4378">
            <v>45064</v>
          </cell>
          <cell r="O4378">
            <v>45062</v>
          </cell>
          <cell r="P4378">
            <v>45064</v>
          </cell>
          <cell r="Q4378">
            <v>45069</v>
          </cell>
          <cell r="R4378">
            <v>45069</v>
          </cell>
          <cell r="S4378">
            <v>45072</v>
          </cell>
          <cell r="T4378">
            <v>45072</v>
          </cell>
          <cell r="U4378">
            <v>45072</v>
          </cell>
          <cell r="V4378">
            <v>45072</v>
          </cell>
          <cell r="W4378">
            <v>45072</v>
          </cell>
          <cell r="X4378">
            <v>31102630</v>
          </cell>
        </row>
        <row r="4379">
          <cell r="K4379"/>
          <cell r="L4379">
            <v>45062</v>
          </cell>
          <cell r="M4379">
            <v>45062</v>
          </cell>
          <cell r="N4379">
            <v>45064</v>
          </cell>
          <cell r="O4379">
            <v>45062</v>
          </cell>
          <cell r="P4379">
            <v>45064</v>
          </cell>
          <cell r="Q4379">
            <v>45069</v>
          </cell>
          <cell r="R4379">
            <v>45069</v>
          </cell>
          <cell r="S4379">
            <v>45072</v>
          </cell>
          <cell r="T4379">
            <v>45072</v>
          </cell>
          <cell r="U4379">
            <v>45072</v>
          </cell>
          <cell r="V4379">
            <v>45072</v>
          </cell>
          <cell r="W4379">
            <v>45072</v>
          </cell>
          <cell r="X4379">
            <v>31102631</v>
          </cell>
        </row>
        <row r="4380">
          <cell r="K4380"/>
          <cell r="L4380">
            <v>45062</v>
          </cell>
          <cell r="M4380">
            <v>45062</v>
          </cell>
          <cell r="N4380">
            <v>45064</v>
          </cell>
          <cell r="O4380">
            <v>45062</v>
          </cell>
          <cell r="P4380">
            <v>45064</v>
          </cell>
          <cell r="Q4380">
            <v>45069</v>
          </cell>
          <cell r="R4380">
            <v>45069</v>
          </cell>
          <cell r="S4380">
            <v>45072</v>
          </cell>
          <cell r="T4380">
            <v>45072</v>
          </cell>
          <cell r="U4380">
            <v>45072</v>
          </cell>
          <cell r="V4380">
            <v>45072</v>
          </cell>
          <cell r="W4380">
            <v>45072</v>
          </cell>
          <cell r="X4380">
            <v>31102623</v>
          </cell>
        </row>
        <row r="4381">
          <cell r="K4381"/>
          <cell r="L4381">
            <v>45062</v>
          </cell>
          <cell r="M4381">
            <v>45062</v>
          </cell>
          <cell r="N4381">
            <v>45064</v>
          </cell>
          <cell r="O4381">
            <v>45062</v>
          </cell>
          <cell r="P4381">
            <v>45064</v>
          </cell>
          <cell r="Q4381">
            <v>45069</v>
          </cell>
          <cell r="R4381">
            <v>45069</v>
          </cell>
          <cell r="S4381">
            <v>45072</v>
          </cell>
          <cell r="T4381">
            <v>45072</v>
          </cell>
          <cell r="U4381">
            <v>45072</v>
          </cell>
          <cell r="V4381">
            <v>45072</v>
          </cell>
          <cell r="W4381">
            <v>45072</v>
          </cell>
          <cell r="X4381">
            <v>31102615</v>
          </cell>
        </row>
        <row r="4382">
          <cell r="K4382"/>
          <cell r="L4382">
            <v>45062</v>
          </cell>
          <cell r="M4382">
            <v>45062</v>
          </cell>
          <cell r="N4382">
            <v>45064</v>
          </cell>
          <cell r="O4382">
            <v>45062</v>
          </cell>
          <cell r="P4382">
            <v>45064</v>
          </cell>
          <cell r="Q4382">
            <v>45069</v>
          </cell>
          <cell r="R4382">
            <v>45069</v>
          </cell>
          <cell r="S4382">
            <v>45072</v>
          </cell>
          <cell r="T4382">
            <v>45072</v>
          </cell>
          <cell r="U4382">
            <v>45072</v>
          </cell>
          <cell r="V4382">
            <v>45072</v>
          </cell>
          <cell r="W4382">
            <v>45072</v>
          </cell>
          <cell r="X4382">
            <v>31102611</v>
          </cell>
        </row>
        <row r="4383">
          <cell r="K4383"/>
          <cell r="L4383">
            <v>45062</v>
          </cell>
          <cell r="M4383">
            <v>45062</v>
          </cell>
          <cell r="N4383">
            <v>45064</v>
          </cell>
          <cell r="O4383">
            <v>45062</v>
          </cell>
          <cell r="P4383">
            <v>45064</v>
          </cell>
          <cell r="Q4383">
            <v>45069</v>
          </cell>
          <cell r="R4383">
            <v>45069</v>
          </cell>
          <cell r="S4383">
            <v>45072</v>
          </cell>
          <cell r="T4383">
            <v>45072</v>
          </cell>
          <cell r="U4383">
            <v>45072</v>
          </cell>
          <cell r="V4383">
            <v>45072</v>
          </cell>
          <cell r="W4383">
            <v>45072</v>
          </cell>
          <cell r="X4383">
            <v>31102616</v>
          </cell>
        </row>
        <row r="4384">
          <cell r="K4384"/>
          <cell r="L4384">
            <v>45062</v>
          </cell>
          <cell r="M4384">
            <v>45062</v>
          </cell>
          <cell r="N4384">
            <v>45064</v>
          </cell>
          <cell r="O4384">
            <v>45062</v>
          </cell>
          <cell r="P4384">
            <v>45064</v>
          </cell>
          <cell r="Q4384">
            <v>45069</v>
          </cell>
          <cell r="R4384">
            <v>45069</v>
          </cell>
          <cell r="S4384">
            <v>45072</v>
          </cell>
          <cell r="T4384">
            <v>45072</v>
          </cell>
          <cell r="U4384">
            <v>45072</v>
          </cell>
          <cell r="V4384">
            <v>45072</v>
          </cell>
          <cell r="W4384">
            <v>45072</v>
          </cell>
          <cell r="X4384">
            <v>31102613</v>
          </cell>
        </row>
        <row r="4385">
          <cell r="K4385" t="str">
            <v>IVAS-206</v>
          </cell>
          <cell r="L4385">
            <v>45055</v>
          </cell>
          <cell r="M4385">
            <v>45056</v>
          </cell>
          <cell r="N4385">
            <v>45069</v>
          </cell>
          <cell r="O4385">
            <v>45056</v>
          </cell>
          <cell r="P4385">
            <v>45069</v>
          </cell>
          <cell r="Q4385">
            <v>45068</v>
          </cell>
          <cell r="R4385">
            <v>45069</v>
          </cell>
          <cell r="S4385">
            <v>45070</v>
          </cell>
          <cell r="T4385">
            <v>45070</v>
          </cell>
          <cell r="U4385">
            <v>45077</v>
          </cell>
          <cell r="V4385">
            <v>45077</v>
          </cell>
          <cell r="W4385">
            <v>45077</v>
          </cell>
          <cell r="X4385">
            <v>41100612</v>
          </cell>
        </row>
        <row r="4386">
          <cell r="K4386" t="str">
            <v>G1H4009</v>
          </cell>
          <cell r="L4386">
            <v>45069</v>
          </cell>
          <cell r="M4386">
            <v>45069</v>
          </cell>
          <cell r="N4386">
            <v>45071</v>
          </cell>
          <cell r="O4386">
            <v>45069</v>
          </cell>
          <cell r="P4386">
            <v>45071</v>
          </cell>
          <cell r="Q4386">
            <v>45069</v>
          </cell>
          <cell r="R4386">
            <v>45069</v>
          </cell>
          <cell r="S4386">
            <v>45071</v>
          </cell>
          <cell r="T4386">
            <v>45071</v>
          </cell>
          <cell r="U4386">
            <v>45077</v>
          </cell>
          <cell r="V4386">
            <v>45077</v>
          </cell>
          <cell r="W4386">
            <v>45077</v>
          </cell>
          <cell r="X4386" t="str">
            <v>-</v>
          </cell>
        </row>
        <row r="4387">
          <cell r="K4387" t="str">
            <v>G14090010</v>
          </cell>
          <cell r="L4387">
            <v>45072</v>
          </cell>
          <cell r="M4387">
            <v>45072</v>
          </cell>
          <cell r="N4387">
            <v>45071</v>
          </cell>
          <cell r="O4387">
            <v>45072</v>
          </cell>
          <cell r="P4387">
            <v>45071</v>
          </cell>
          <cell r="Q4387">
            <v>45072</v>
          </cell>
          <cell r="R4387">
            <v>45072</v>
          </cell>
          <cell r="S4387">
            <v>45071</v>
          </cell>
          <cell r="T4387">
            <v>45071</v>
          </cell>
          <cell r="U4387">
            <v>45077</v>
          </cell>
          <cell r="V4387">
            <v>45077</v>
          </cell>
          <cell r="W4387">
            <v>45077</v>
          </cell>
          <cell r="X4387" t="str">
            <v>-</v>
          </cell>
        </row>
        <row r="4388">
          <cell r="K4388" t="str">
            <v>G14090002</v>
          </cell>
          <cell r="L4388">
            <v>45072</v>
          </cell>
          <cell r="M4388">
            <v>45072</v>
          </cell>
          <cell r="N4388">
            <v>45071</v>
          </cell>
          <cell r="O4388">
            <v>45072</v>
          </cell>
          <cell r="P4388">
            <v>45071</v>
          </cell>
          <cell r="Q4388">
            <v>45072</v>
          </cell>
          <cell r="R4388">
            <v>45072</v>
          </cell>
          <cell r="S4388">
            <v>45071</v>
          </cell>
          <cell r="T4388">
            <v>45071</v>
          </cell>
          <cell r="U4388">
            <v>45077</v>
          </cell>
          <cell r="V4388">
            <v>45077</v>
          </cell>
          <cell r="W4388">
            <v>45077</v>
          </cell>
          <cell r="X4388" t="str">
            <v>-</v>
          </cell>
        </row>
        <row r="4389">
          <cell r="K4389" t="str">
            <v>G14030011</v>
          </cell>
          <cell r="L4389">
            <v>45076</v>
          </cell>
          <cell r="M4389">
            <v>45076</v>
          </cell>
          <cell r="N4389">
            <v>45076</v>
          </cell>
          <cell r="O4389">
            <v>45076</v>
          </cell>
          <cell r="P4389">
            <v>45076</v>
          </cell>
          <cell r="Q4389">
            <v>45076</v>
          </cell>
          <cell r="R4389">
            <v>45076</v>
          </cell>
          <cell r="S4389">
            <v>45076</v>
          </cell>
          <cell r="T4389">
            <v>45076</v>
          </cell>
          <cell r="U4389">
            <v>45077</v>
          </cell>
          <cell r="V4389">
            <v>45077</v>
          </cell>
          <cell r="W4389">
            <v>45077</v>
          </cell>
          <cell r="X4389" t="str">
            <v>-</v>
          </cell>
        </row>
        <row r="4390">
          <cell r="K4390" t="str">
            <v>GBWS-3315</v>
          </cell>
          <cell r="L4390">
            <v>45014</v>
          </cell>
          <cell r="M4390" t="str">
            <v>2023-03-10 → 3/30</v>
          </cell>
          <cell r="N4390">
            <v>45029</v>
          </cell>
          <cell r="O4390" t="str">
            <v>2023-03-10 → 3/30</v>
          </cell>
          <cell r="P4390">
            <v>45026</v>
          </cell>
          <cell r="Q4390" t="str">
            <v>2023-03-20 → 4/10</v>
          </cell>
          <cell r="R4390" t="str">
            <v>2023-03-20 → 4/10 → 4/11</v>
          </cell>
          <cell r="S4390">
            <v>45029</v>
          </cell>
          <cell r="T4390">
            <v>45030</v>
          </cell>
          <cell r="U4390">
            <v>45036</v>
          </cell>
          <cell r="V4390">
            <v>45037</v>
          </cell>
          <cell r="W4390">
            <v>45037</v>
          </cell>
          <cell r="X4390">
            <v>41100558</v>
          </cell>
        </row>
        <row r="4391">
          <cell r="K4391" t="str">
            <v>GBWS-3386</v>
          </cell>
          <cell r="L4391">
            <v>45043</v>
          </cell>
          <cell r="M4391">
            <v>45044</v>
          </cell>
          <cell r="N4391">
            <v>45057</v>
          </cell>
          <cell r="O4391">
            <v>45044</v>
          </cell>
          <cell r="P4391">
            <v>45057</v>
          </cell>
          <cell r="Q4391">
            <v>45057</v>
          </cell>
          <cell r="R4391">
            <v>45058</v>
          </cell>
          <cell r="S4391">
            <v>45062</v>
          </cell>
          <cell r="T4391">
            <v>45063</v>
          </cell>
          <cell r="U4391">
            <v>45065</v>
          </cell>
          <cell r="V4391">
            <v>45069</v>
          </cell>
          <cell r="W4391">
            <v>45069</v>
          </cell>
          <cell r="X4391">
            <v>41100565</v>
          </cell>
        </row>
        <row r="4392">
          <cell r="K4392" t="str">
            <v>GBWS-3407</v>
          </cell>
          <cell r="L4392">
            <v>45062</v>
          </cell>
          <cell r="M4392">
            <v>45063</v>
          </cell>
          <cell r="N4392">
            <v>45071</v>
          </cell>
          <cell r="O4392">
            <v>45063</v>
          </cell>
          <cell r="P4392">
            <v>45071</v>
          </cell>
          <cell r="Q4392">
            <v>45071</v>
          </cell>
          <cell r="R4392">
            <v>45072</v>
          </cell>
          <cell r="S4392">
            <v>45072</v>
          </cell>
          <cell r="T4392">
            <v>45072</v>
          </cell>
          <cell r="U4392">
            <v>45078</v>
          </cell>
          <cell r="V4392">
            <v>45078</v>
          </cell>
          <cell r="W4392">
            <v>45078</v>
          </cell>
          <cell r="X4392">
            <v>41100633</v>
          </cell>
        </row>
        <row r="4393">
          <cell r="K4393" t="str">
            <v>DBW-2951</v>
          </cell>
          <cell r="L4393">
            <v>45049</v>
          </cell>
          <cell r="M4393">
            <v>45050</v>
          </cell>
          <cell r="N4393">
            <v>45062</v>
          </cell>
          <cell r="O4393">
            <v>45050</v>
          </cell>
          <cell r="P4393">
            <v>45062</v>
          </cell>
          <cell r="Q4393" t="str">
            <v>2023-05-15 → 5/16</v>
          </cell>
          <cell r="R4393">
            <v>45062</v>
          </cell>
          <cell r="S4393">
            <v>45063</v>
          </cell>
          <cell r="T4393">
            <v>45063</v>
          </cell>
          <cell r="U4393">
            <v>45069</v>
          </cell>
          <cell r="V4393">
            <v>45077</v>
          </cell>
          <cell r="W4393">
            <v>45077</v>
          </cell>
          <cell r="X4393">
            <v>41100597</v>
          </cell>
        </row>
        <row r="4394">
          <cell r="K4394" t="str">
            <v>GBWS-3399</v>
          </cell>
          <cell r="L4394">
            <v>45056</v>
          </cell>
          <cell r="M4394">
            <v>45058</v>
          </cell>
          <cell r="N4394">
            <v>45069</v>
          </cell>
          <cell r="O4394">
            <v>45058</v>
          </cell>
          <cell r="P4394">
            <v>45069</v>
          </cell>
          <cell r="Q4394">
            <v>45068</v>
          </cell>
          <cell r="R4394">
            <v>45069</v>
          </cell>
          <cell r="S4394">
            <v>45070</v>
          </cell>
          <cell r="T4394">
            <v>45070</v>
          </cell>
          <cell r="U4394">
            <v>45076</v>
          </cell>
          <cell r="V4394">
            <v>45078</v>
          </cell>
          <cell r="W4394">
            <v>45078</v>
          </cell>
          <cell r="X4394">
            <v>41100576</v>
          </cell>
        </row>
        <row r="4395">
          <cell r="K4395" t="str">
            <v>GBWS-3400</v>
          </cell>
          <cell r="L4395">
            <v>45056</v>
          </cell>
          <cell r="M4395">
            <v>45058</v>
          </cell>
          <cell r="N4395">
            <v>45069</v>
          </cell>
          <cell r="O4395">
            <v>45058</v>
          </cell>
          <cell r="P4395">
            <v>45069</v>
          </cell>
          <cell r="Q4395">
            <v>45068</v>
          </cell>
          <cell r="R4395">
            <v>45069</v>
          </cell>
          <cell r="S4395">
            <v>45070</v>
          </cell>
          <cell r="T4395">
            <v>45070</v>
          </cell>
          <cell r="U4395">
            <v>45078</v>
          </cell>
          <cell r="V4395">
            <v>45078</v>
          </cell>
          <cell r="W4395">
            <v>45078</v>
          </cell>
          <cell r="X4395">
            <v>41100576</v>
          </cell>
        </row>
        <row r="4396">
          <cell r="K4396" t="str">
            <v>SOS-0302</v>
          </cell>
          <cell r="L4396">
            <v>45054</v>
          </cell>
          <cell r="M4396">
            <v>45055</v>
          </cell>
          <cell r="N4396">
            <v>45058</v>
          </cell>
          <cell r="O4396">
            <v>45055</v>
          </cell>
          <cell r="P4396">
            <v>45058</v>
          </cell>
          <cell r="Q4396">
            <v>45058</v>
          </cell>
          <cell r="R4396">
            <v>45061</v>
          </cell>
          <cell r="S4396">
            <v>45057</v>
          </cell>
          <cell r="T4396">
            <v>45057</v>
          </cell>
          <cell r="U4396">
            <v>45061</v>
          </cell>
          <cell r="V4396">
            <v>45072</v>
          </cell>
          <cell r="W4396">
            <v>45072</v>
          </cell>
          <cell r="X4396">
            <v>41100299</v>
          </cell>
        </row>
        <row r="4397">
          <cell r="K4397" t="str">
            <v>DBW-2919</v>
          </cell>
          <cell r="L4397">
            <v>45013</v>
          </cell>
          <cell r="M4397">
            <v>45014</v>
          </cell>
          <cell r="N4397">
            <v>45023</v>
          </cell>
          <cell r="O4397">
            <v>45014</v>
          </cell>
          <cell r="P4397">
            <v>45023</v>
          </cell>
          <cell r="Q4397">
            <v>45022</v>
          </cell>
          <cell r="R4397" t="str">
            <v>2023-04-06 → 4/7</v>
          </cell>
          <cell r="S4397">
            <v>45026</v>
          </cell>
          <cell r="T4397">
            <v>45027</v>
          </cell>
          <cell r="U4397">
            <v>45030</v>
          </cell>
          <cell r="V4397">
            <v>45033</v>
          </cell>
          <cell r="W4397">
            <v>45033</v>
          </cell>
          <cell r="X4397">
            <v>41100496</v>
          </cell>
        </row>
        <row r="4398">
          <cell r="K4398" t="str">
            <v>GPWS-0251</v>
          </cell>
          <cell r="L4398">
            <v>45044</v>
          </cell>
          <cell r="M4398" t="str">
            <v>2023-04-12 → 5/2</v>
          </cell>
          <cell r="N4398">
            <v>45063</v>
          </cell>
          <cell r="O4398" t="str">
            <v>2023-04-12 → 5/2</v>
          </cell>
          <cell r="P4398">
            <v>45062</v>
          </cell>
          <cell r="Q4398" t="str">
            <v>2023-04-20 → 5/12</v>
          </cell>
          <cell r="R4398" t="str">
            <v>2023-04-20 → 5/12 → 5/13 → 5/15</v>
          </cell>
          <cell r="S4398">
            <v>45064</v>
          </cell>
          <cell r="T4398">
            <v>45064</v>
          </cell>
          <cell r="U4398">
            <v>45089</v>
          </cell>
          <cell r="V4398">
            <v>45090</v>
          </cell>
          <cell r="W4398">
            <v>45090</v>
          </cell>
          <cell r="X4398">
            <v>41100659</v>
          </cell>
        </row>
        <row r="4399">
          <cell r="K4399" t="str">
            <v>GPWS-0252</v>
          </cell>
          <cell r="L4399">
            <v>45044</v>
          </cell>
          <cell r="M4399" t="str">
            <v>2023-04-12 → 5/2</v>
          </cell>
          <cell r="N4399">
            <v>45063</v>
          </cell>
          <cell r="O4399" t="str">
            <v>2023-04-12 → 5/2</v>
          </cell>
          <cell r="P4399">
            <v>45062</v>
          </cell>
          <cell r="Q4399" t="str">
            <v>2023-04-20 → 5/12</v>
          </cell>
          <cell r="R4399" t="str">
            <v>2023-04-20 → 5/12 → 5/13 → 5/15</v>
          </cell>
          <cell r="S4399">
            <v>45064</v>
          </cell>
          <cell r="T4399">
            <v>45064</v>
          </cell>
          <cell r="U4399">
            <v>45089</v>
          </cell>
          <cell r="V4399">
            <v>45090</v>
          </cell>
          <cell r="W4399">
            <v>45090</v>
          </cell>
          <cell r="X4399">
            <v>41100659</v>
          </cell>
        </row>
        <row r="4400">
          <cell r="K4400" t="str">
            <v>GBWS-3413</v>
          </cell>
          <cell r="L4400">
            <v>45065</v>
          </cell>
          <cell r="M4400">
            <v>45068</v>
          </cell>
          <cell r="N4400">
            <v>45076</v>
          </cell>
          <cell r="O4400">
            <v>45068</v>
          </cell>
          <cell r="P4400">
            <v>45077</v>
          </cell>
          <cell r="Q4400">
            <v>45076</v>
          </cell>
          <cell r="R4400">
            <v>45077</v>
          </cell>
          <cell r="S4400">
            <v>45078</v>
          </cell>
          <cell r="T4400">
            <v>45078</v>
          </cell>
          <cell r="U4400">
            <v>45082</v>
          </cell>
          <cell r="V4400">
            <v>45085</v>
          </cell>
          <cell r="W4400">
            <v>45085</v>
          </cell>
          <cell r="X4400">
            <v>41100551</v>
          </cell>
        </row>
        <row r="4401">
          <cell r="K4401" t="str">
            <v>GBWS-3414</v>
          </cell>
          <cell r="L4401">
            <v>45065</v>
          </cell>
          <cell r="M4401">
            <v>45068</v>
          </cell>
          <cell r="N4401">
            <v>45076</v>
          </cell>
          <cell r="O4401">
            <v>45068</v>
          </cell>
          <cell r="P4401">
            <v>45077</v>
          </cell>
          <cell r="Q4401">
            <v>45076</v>
          </cell>
          <cell r="R4401">
            <v>45077</v>
          </cell>
          <cell r="S4401">
            <v>45078</v>
          </cell>
          <cell r="T4401">
            <v>45079</v>
          </cell>
          <cell r="U4401">
            <v>45085</v>
          </cell>
          <cell r="V4401">
            <v>45086</v>
          </cell>
          <cell r="W4401">
            <v>45086</v>
          </cell>
          <cell r="X4401">
            <v>41100551</v>
          </cell>
        </row>
        <row r="4402">
          <cell r="K4402" t="str">
            <v>GBWS-3419</v>
          </cell>
          <cell r="L4402">
            <v>45069</v>
          </cell>
          <cell r="M4402">
            <v>45070</v>
          </cell>
          <cell r="N4402">
            <v>45078</v>
          </cell>
          <cell r="O4402">
            <v>45070</v>
          </cell>
          <cell r="P4402">
            <v>45079</v>
          </cell>
          <cell r="Q4402">
            <v>45078</v>
          </cell>
          <cell r="R4402">
            <v>45079</v>
          </cell>
          <cell r="S4402">
            <v>45084</v>
          </cell>
          <cell r="T4402">
            <v>45084</v>
          </cell>
          <cell r="U4402">
            <v>45090</v>
          </cell>
          <cell r="V4402">
            <v>45091</v>
          </cell>
          <cell r="W4402">
            <v>45091</v>
          </cell>
          <cell r="X4402">
            <v>41100566</v>
          </cell>
        </row>
        <row r="4403">
          <cell r="K4403" t="str">
            <v>GBWS-3420</v>
          </cell>
          <cell r="L4403">
            <v>45069</v>
          </cell>
          <cell r="M4403">
            <v>45070</v>
          </cell>
          <cell r="N4403">
            <v>45078</v>
          </cell>
          <cell r="O4403">
            <v>45070</v>
          </cell>
          <cell r="P4403">
            <v>45079</v>
          </cell>
          <cell r="Q4403">
            <v>45078</v>
          </cell>
          <cell r="R4403">
            <v>45079</v>
          </cell>
          <cell r="S4403">
            <v>45084</v>
          </cell>
          <cell r="T4403">
            <v>45084</v>
          </cell>
          <cell r="U4403">
            <v>45090</v>
          </cell>
          <cell r="V4403">
            <v>45091</v>
          </cell>
          <cell r="W4403">
            <v>45091</v>
          </cell>
          <cell r="X4403">
            <v>41100566</v>
          </cell>
        </row>
        <row r="4404">
          <cell r="K4404" t="str">
            <v>GBWS-3421</v>
          </cell>
          <cell r="L4404">
            <v>45069</v>
          </cell>
          <cell r="M4404">
            <v>45070</v>
          </cell>
          <cell r="N4404">
            <v>45078</v>
          </cell>
          <cell r="O4404">
            <v>45070</v>
          </cell>
          <cell r="P4404">
            <v>45079</v>
          </cell>
          <cell r="Q4404">
            <v>45078</v>
          </cell>
          <cell r="R4404">
            <v>45079</v>
          </cell>
          <cell r="S4404">
            <v>45084</v>
          </cell>
          <cell r="T4404">
            <v>45084</v>
          </cell>
          <cell r="U4404">
            <v>45085</v>
          </cell>
          <cell r="V4404">
            <v>45091</v>
          </cell>
          <cell r="W4404">
            <v>45091</v>
          </cell>
          <cell r="X4404">
            <v>41100558</v>
          </cell>
        </row>
        <row r="4405">
          <cell r="K4405" t="str">
            <v>GBWS-3401</v>
          </cell>
          <cell r="L4405">
            <v>45061</v>
          </cell>
          <cell r="M4405">
            <v>45062</v>
          </cell>
          <cell r="N4405">
            <v>45069</v>
          </cell>
          <cell r="O4405">
            <v>45062</v>
          </cell>
          <cell r="P4405">
            <v>45071</v>
          </cell>
          <cell r="Q4405">
            <v>45070</v>
          </cell>
          <cell r="R4405">
            <v>45071</v>
          </cell>
          <cell r="S4405">
            <v>45072</v>
          </cell>
          <cell r="T4405">
            <v>45076</v>
          </cell>
          <cell r="U4405">
            <v>45078</v>
          </cell>
          <cell r="V4405">
            <v>45079</v>
          </cell>
          <cell r="W4405">
            <v>45079</v>
          </cell>
          <cell r="X4405">
            <v>41100558</v>
          </cell>
        </row>
        <row r="4406">
          <cell r="K4406" t="str">
            <v>GBWS-3402</v>
          </cell>
          <cell r="L4406">
            <v>45061</v>
          </cell>
          <cell r="M4406">
            <v>45062</v>
          </cell>
          <cell r="N4406">
            <v>45069</v>
          </cell>
          <cell r="O4406">
            <v>45062</v>
          </cell>
          <cell r="P4406">
            <v>45071</v>
          </cell>
          <cell r="Q4406">
            <v>45070</v>
          </cell>
          <cell r="R4406">
            <v>45071</v>
          </cell>
          <cell r="S4406">
            <v>45072</v>
          </cell>
          <cell r="T4406">
            <v>45076</v>
          </cell>
          <cell r="U4406">
            <v>45078</v>
          </cell>
          <cell r="V4406">
            <v>45079</v>
          </cell>
          <cell r="W4406">
            <v>45079</v>
          </cell>
          <cell r="X4406">
            <v>41100558</v>
          </cell>
        </row>
        <row r="4407">
          <cell r="K4407" t="str">
            <v>GBWS-3403</v>
          </cell>
          <cell r="L4407">
            <v>45061</v>
          </cell>
          <cell r="M4407">
            <v>45062</v>
          </cell>
          <cell r="N4407">
            <v>45069</v>
          </cell>
          <cell r="O4407">
            <v>45062</v>
          </cell>
          <cell r="P4407">
            <v>45071</v>
          </cell>
          <cell r="Q4407">
            <v>45070</v>
          </cell>
          <cell r="R4407">
            <v>45071</v>
          </cell>
          <cell r="S4407">
            <v>45072</v>
          </cell>
          <cell r="T4407">
            <v>45076</v>
          </cell>
          <cell r="U4407">
            <v>45079</v>
          </cell>
          <cell r="V4407">
            <v>45079</v>
          </cell>
          <cell r="W4407">
            <v>45079</v>
          </cell>
          <cell r="X4407">
            <v>41100558</v>
          </cell>
        </row>
        <row r="4408">
          <cell r="K4408" t="str">
            <v>GBWS-3404</v>
          </cell>
          <cell r="L4408">
            <v>45061</v>
          </cell>
          <cell r="M4408">
            <v>45062</v>
          </cell>
          <cell r="N4408">
            <v>45071</v>
          </cell>
          <cell r="O4408">
            <v>45062</v>
          </cell>
          <cell r="P4408">
            <v>45070</v>
          </cell>
          <cell r="Q4408">
            <v>45071</v>
          </cell>
          <cell r="R4408">
            <v>45072</v>
          </cell>
          <cell r="S4408">
            <v>45076</v>
          </cell>
          <cell r="T4408">
            <v>45076</v>
          </cell>
          <cell r="U4408">
            <v>45084</v>
          </cell>
          <cell r="V4408">
            <v>45086</v>
          </cell>
          <cell r="W4408">
            <v>45086</v>
          </cell>
          <cell r="X4408">
            <v>41100566</v>
          </cell>
        </row>
        <row r="4409">
          <cell r="K4409" t="str">
            <v>GBWS-3405</v>
          </cell>
          <cell r="L4409">
            <v>45061</v>
          </cell>
          <cell r="M4409">
            <v>45062</v>
          </cell>
          <cell r="N4409">
            <v>45071</v>
          </cell>
          <cell r="O4409">
            <v>45062</v>
          </cell>
          <cell r="P4409">
            <v>45070</v>
          </cell>
          <cell r="Q4409">
            <v>45071</v>
          </cell>
          <cell r="R4409">
            <v>45072</v>
          </cell>
          <cell r="S4409">
            <v>45076</v>
          </cell>
          <cell r="T4409">
            <v>45076</v>
          </cell>
          <cell r="U4409">
            <v>45085</v>
          </cell>
          <cell r="V4409">
            <v>45086</v>
          </cell>
          <cell r="W4409">
            <v>45086</v>
          </cell>
          <cell r="X4409">
            <v>41100566</v>
          </cell>
        </row>
        <row r="4410">
          <cell r="K4410" t="str">
            <v>GBWS-3406</v>
          </cell>
          <cell r="L4410">
            <v>45061</v>
          </cell>
          <cell r="M4410">
            <v>45062</v>
          </cell>
          <cell r="N4410">
            <v>45071</v>
          </cell>
          <cell r="O4410">
            <v>45062</v>
          </cell>
          <cell r="P4410">
            <v>45070</v>
          </cell>
          <cell r="Q4410">
            <v>45071</v>
          </cell>
          <cell r="R4410">
            <v>45072</v>
          </cell>
          <cell r="S4410">
            <v>45076</v>
          </cell>
          <cell r="T4410">
            <v>45076</v>
          </cell>
          <cell r="U4410">
            <v>45084</v>
          </cell>
          <cell r="V4410">
            <v>45086</v>
          </cell>
          <cell r="W4410">
            <v>45086</v>
          </cell>
          <cell r="X4410">
            <v>41100566</v>
          </cell>
        </row>
        <row r="4411">
          <cell r="K4411" t="str">
            <v>DBW-2976</v>
          </cell>
          <cell r="L4411">
            <v>45078</v>
          </cell>
          <cell r="M4411">
            <v>45079</v>
          </cell>
          <cell r="N4411">
            <v>45090</v>
          </cell>
          <cell r="O4411">
            <v>45079</v>
          </cell>
          <cell r="P4411">
            <v>45090</v>
          </cell>
          <cell r="Q4411">
            <v>45085</v>
          </cell>
          <cell r="R4411">
            <v>45086</v>
          </cell>
          <cell r="S4411">
            <v>45086</v>
          </cell>
          <cell r="T4411">
            <v>45087</v>
          </cell>
          <cell r="U4411">
            <v>45088</v>
          </cell>
          <cell r="V4411">
            <v>45089</v>
          </cell>
          <cell r="W4411">
            <v>45089</v>
          </cell>
          <cell r="X4411">
            <v>41100694</v>
          </cell>
        </row>
        <row r="4412">
          <cell r="K4412" t="str">
            <v>DBW-2977</v>
          </cell>
          <cell r="L4412">
            <v>45078</v>
          </cell>
          <cell r="M4412">
            <v>45079</v>
          </cell>
          <cell r="N4412">
            <v>45090</v>
          </cell>
          <cell r="O4412">
            <v>45079</v>
          </cell>
          <cell r="P4412">
            <v>45090</v>
          </cell>
          <cell r="Q4412">
            <v>45085</v>
          </cell>
          <cell r="R4412">
            <v>45086</v>
          </cell>
          <cell r="S4412">
            <v>45086</v>
          </cell>
          <cell r="T4412">
            <v>45087</v>
          </cell>
          <cell r="U4412">
            <v>45088</v>
          </cell>
          <cell r="V4412">
            <v>45089</v>
          </cell>
          <cell r="W4412">
            <v>45089</v>
          </cell>
          <cell r="X4412">
            <v>41100694</v>
          </cell>
        </row>
        <row r="4413">
          <cell r="K4413" t="str">
            <v>DBW-2963</v>
          </cell>
          <cell r="L4413">
            <v>45068</v>
          </cell>
          <cell r="M4413" t="str">
            <v>2023-04-18 → 5/23</v>
          </cell>
          <cell r="N4413">
            <v>45079</v>
          </cell>
          <cell r="O4413" t="str">
            <v>2023-04-18 → 5/23</v>
          </cell>
          <cell r="P4413">
            <v>45082</v>
          </cell>
          <cell r="Q4413" t="str">
            <v>2023-04-27 → 5/31 → 6/5</v>
          </cell>
          <cell r="R4413" t="str">
            <v>2023-04-27 → 4/28 → 6/1 → 6/5</v>
          </cell>
          <cell r="S4413">
            <v>45084</v>
          </cell>
          <cell r="T4413">
            <v>45084</v>
          </cell>
          <cell r="U4413">
            <v>45090</v>
          </cell>
          <cell r="V4413">
            <v>45091</v>
          </cell>
          <cell r="W4413">
            <v>45091</v>
          </cell>
          <cell r="X4413">
            <v>41100655</v>
          </cell>
        </row>
        <row r="4414">
          <cell r="K4414" t="str">
            <v>DBW-2964</v>
          </cell>
          <cell r="L4414">
            <v>45068</v>
          </cell>
          <cell r="M4414" t="str">
            <v>2023-04-18 → 5/23</v>
          </cell>
          <cell r="N4414">
            <v>45079</v>
          </cell>
          <cell r="O4414" t="str">
            <v>2023-04-18 → 5/23</v>
          </cell>
          <cell r="P4414">
            <v>45082</v>
          </cell>
          <cell r="Q4414" t="str">
            <v>2023-04-27 → 5/31 → 6/5</v>
          </cell>
          <cell r="R4414" t="str">
            <v>2023-04-27 → 4/28 → 6/1 → 6/5</v>
          </cell>
          <cell r="S4414">
            <v>45084</v>
          </cell>
          <cell r="T4414">
            <v>45084</v>
          </cell>
          <cell r="U4414">
            <v>45090</v>
          </cell>
          <cell r="V4414">
            <v>45091</v>
          </cell>
          <cell r="W4414">
            <v>45091</v>
          </cell>
          <cell r="X4414">
            <v>41100655</v>
          </cell>
        </row>
        <row r="4415">
          <cell r="K4415" t="str">
            <v>DBW-2965</v>
          </cell>
          <cell r="L4415">
            <v>45068</v>
          </cell>
          <cell r="M4415" t="str">
            <v>2023-04-18 → 5/23</v>
          </cell>
          <cell r="N4415">
            <v>45079</v>
          </cell>
          <cell r="O4415" t="str">
            <v>2023-04-18 → 5/23</v>
          </cell>
          <cell r="P4415">
            <v>45082</v>
          </cell>
          <cell r="Q4415" t="str">
            <v>2023-04-27 → 5/31 → 6/5</v>
          </cell>
          <cell r="R4415" t="str">
            <v>2023-04-27 → 4/28 → 6/1 → 6/5</v>
          </cell>
          <cell r="S4415">
            <v>45084</v>
          </cell>
          <cell r="T4415">
            <v>45085</v>
          </cell>
          <cell r="U4415">
            <v>45090</v>
          </cell>
          <cell r="V4415">
            <v>45091</v>
          </cell>
          <cell r="W4415">
            <v>45091</v>
          </cell>
          <cell r="X4415">
            <v>41100655</v>
          </cell>
        </row>
        <row r="4416">
          <cell r="K4416" t="str">
            <v>DBW-2966</v>
          </cell>
          <cell r="L4416">
            <v>45068</v>
          </cell>
          <cell r="M4416" t="str">
            <v>2023-04-18 → 5/23</v>
          </cell>
          <cell r="N4416">
            <v>45079</v>
          </cell>
          <cell r="O4416" t="str">
            <v>2023-04-18 → 5/23</v>
          </cell>
          <cell r="P4416">
            <v>45082</v>
          </cell>
          <cell r="Q4416" t="str">
            <v>2023-04-27 → 5/31 → 6/5</v>
          </cell>
          <cell r="R4416" t="str">
            <v>2023-04-27 → 4/28 → 6/1 → 6/5</v>
          </cell>
          <cell r="S4416">
            <v>45084</v>
          </cell>
          <cell r="T4416">
            <v>45086</v>
          </cell>
          <cell r="U4416">
            <v>45090</v>
          </cell>
          <cell r="V4416">
            <v>45091</v>
          </cell>
          <cell r="W4416">
            <v>45091</v>
          </cell>
          <cell r="X4416">
            <v>41100655</v>
          </cell>
        </row>
        <row r="4417">
          <cell r="K4417" t="str">
            <v>IVAS-207</v>
          </cell>
          <cell r="L4417">
            <v>45064</v>
          </cell>
          <cell r="M4417">
            <v>45065</v>
          </cell>
          <cell r="N4417">
            <v>45077</v>
          </cell>
          <cell r="O4417">
            <v>45065</v>
          </cell>
          <cell r="P4417">
            <v>45078</v>
          </cell>
          <cell r="Q4417">
            <v>45077</v>
          </cell>
          <cell r="R4417">
            <v>45078</v>
          </cell>
          <cell r="S4417">
            <v>45079</v>
          </cell>
          <cell r="T4417">
            <v>45079</v>
          </cell>
          <cell r="U4417">
            <v>45090</v>
          </cell>
          <cell r="V4417">
            <v>45091</v>
          </cell>
          <cell r="W4417">
            <v>45091</v>
          </cell>
          <cell r="X4417">
            <v>41100612</v>
          </cell>
        </row>
        <row r="4418">
          <cell r="K4418" t="str">
            <v>GBWS-3424</v>
          </cell>
          <cell r="L4418">
            <v>45072</v>
          </cell>
          <cell r="M4418">
            <v>45075</v>
          </cell>
          <cell r="N4418">
            <v>45082</v>
          </cell>
          <cell r="O4418">
            <v>45075</v>
          </cell>
          <cell r="P4418">
            <v>45084</v>
          </cell>
          <cell r="Q4418">
            <v>45082</v>
          </cell>
          <cell r="R4418">
            <v>45084</v>
          </cell>
          <cell r="S4418">
            <v>45085</v>
          </cell>
          <cell r="T4418">
            <v>45086</v>
          </cell>
          <cell r="U4418">
            <v>45090</v>
          </cell>
          <cell r="V4418">
            <v>45091</v>
          </cell>
          <cell r="W4418">
            <v>45091</v>
          </cell>
          <cell r="X4418">
            <v>41100520</v>
          </cell>
        </row>
        <row r="4419">
          <cell r="K4419" t="str">
            <v>GBWS-3425</v>
          </cell>
          <cell r="L4419">
            <v>45072</v>
          </cell>
          <cell r="M4419">
            <v>45075</v>
          </cell>
          <cell r="N4419">
            <v>45082</v>
          </cell>
          <cell r="O4419">
            <v>45075</v>
          </cell>
          <cell r="P4419">
            <v>45084</v>
          </cell>
          <cell r="Q4419">
            <v>45082</v>
          </cell>
          <cell r="R4419">
            <v>45084</v>
          </cell>
          <cell r="S4419">
            <v>45085</v>
          </cell>
          <cell r="T4419">
            <v>45086</v>
          </cell>
          <cell r="U4419">
            <v>45090</v>
          </cell>
          <cell r="V4419">
            <v>45091</v>
          </cell>
          <cell r="W4419">
            <v>45091</v>
          </cell>
          <cell r="X4419">
            <v>41100520</v>
          </cell>
        </row>
        <row r="4420">
          <cell r="K4420" t="str">
            <v>DBW-2921</v>
          </cell>
          <cell r="L4420">
            <v>45019</v>
          </cell>
          <cell r="M4420">
            <v>45020</v>
          </cell>
          <cell r="N4420">
            <v>45030</v>
          </cell>
          <cell r="O4420">
            <v>45020</v>
          </cell>
          <cell r="P4420">
            <v>45030</v>
          </cell>
          <cell r="Q4420">
            <v>45029</v>
          </cell>
          <cell r="R4420" t="str">
            <v>2023-04-13 → 4/14</v>
          </cell>
          <cell r="S4420">
            <v>45033</v>
          </cell>
          <cell r="T4420">
            <v>45035</v>
          </cell>
          <cell r="U4420">
            <v>45040</v>
          </cell>
          <cell r="V4420">
            <v>45043</v>
          </cell>
          <cell r="W4420">
            <v>45043</v>
          </cell>
          <cell r="X4420">
            <v>41100655</v>
          </cell>
        </row>
        <row r="4421">
          <cell r="K4421" t="str">
            <v>DBW-2922</v>
          </cell>
          <cell r="L4421">
            <v>45019</v>
          </cell>
          <cell r="M4421">
            <v>45020</v>
          </cell>
          <cell r="N4421">
            <v>45030</v>
          </cell>
          <cell r="O4421">
            <v>45020</v>
          </cell>
          <cell r="P4421">
            <v>45030</v>
          </cell>
          <cell r="Q4421">
            <v>45029</v>
          </cell>
          <cell r="R4421" t="str">
            <v>2023-04-13 → 4/14</v>
          </cell>
          <cell r="S4421">
            <v>45033</v>
          </cell>
          <cell r="T4421">
            <v>45035</v>
          </cell>
          <cell r="U4421">
            <v>45040</v>
          </cell>
          <cell r="V4421">
            <v>45043</v>
          </cell>
          <cell r="W4421">
            <v>45043</v>
          </cell>
          <cell r="X4421">
            <v>41100655</v>
          </cell>
        </row>
        <row r="4422">
          <cell r="K4422" t="str">
            <v>DBW-2958</v>
          </cell>
          <cell r="L4422">
            <v>45061</v>
          </cell>
          <cell r="M4422" t="str">
            <v>2023-04-18 → 5/16</v>
          </cell>
          <cell r="N4422">
            <v>45070</v>
          </cell>
          <cell r="O4422" t="str">
            <v>2023-04-18 → 5/16</v>
          </cell>
          <cell r="P4422">
            <v>45071</v>
          </cell>
          <cell r="Q4422" t="str">
            <v>2023-04-27 → 5/24</v>
          </cell>
          <cell r="R4422" t="str">
            <v>2023-04-27 → 4/28 → 5/25</v>
          </cell>
          <cell r="S4422">
            <v>45072</v>
          </cell>
          <cell r="T4422">
            <v>45072</v>
          </cell>
          <cell r="U4422">
            <v>45085</v>
          </cell>
          <cell r="V4422">
            <v>45086</v>
          </cell>
          <cell r="W4422">
            <v>45086</v>
          </cell>
          <cell r="X4422">
            <v>41100655</v>
          </cell>
        </row>
        <row r="4423">
          <cell r="K4423" t="str">
            <v>DBW-2959</v>
          </cell>
          <cell r="L4423">
            <v>45061</v>
          </cell>
          <cell r="M4423" t="str">
            <v>2023-04-18 → 5/16</v>
          </cell>
          <cell r="N4423">
            <v>45070</v>
          </cell>
          <cell r="O4423" t="str">
            <v>2023-04-18 → 5/16</v>
          </cell>
          <cell r="P4423">
            <v>45071</v>
          </cell>
          <cell r="Q4423" t="str">
            <v>2023-04-27 → 5/24</v>
          </cell>
          <cell r="R4423" t="str">
            <v>2023-04-27 → 4/28 → 5/25</v>
          </cell>
          <cell r="S4423">
            <v>45072</v>
          </cell>
          <cell r="T4423">
            <v>45072</v>
          </cell>
          <cell r="U4423">
            <v>45079</v>
          </cell>
          <cell r="V4423">
            <v>45089</v>
          </cell>
          <cell r="W4423">
            <v>45089</v>
          </cell>
          <cell r="X4423">
            <v>41100655</v>
          </cell>
        </row>
        <row r="4424">
          <cell r="K4424" t="str">
            <v>DBW-2960</v>
          </cell>
          <cell r="L4424">
            <v>45061</v>
          </cell>
          <cell r="M4424" t="str">
            <v>2023-04-18 → 5/16</v>
          </cell>
          <cell r="N4424">
            <v>45070</v>
          </cell>
          <cell r="O4424" t="str">
            <v>2023-04-18 → 5/16</v>
          </cell>
          <cell r="P4424">
            <v>45071</v>
          </cell>
          <cell r="Q4424" t="str">
            <v>2023-04-27 → 5/24</v>
          </cell>
          <cell r="R4424" t="str">
            <v>2023-04-27 → 4/28 → 5/25</v>
          </cell>
          <cell r="S4424">
            <v>45072</v>
          </cell>
          <cell r="T4424">
            <v>45072</v>
          </cell>
          <cell r="U4424">
            <v>45079</v>
          </cell>
          <cell r="V4424">
            <v>45084</v>
          </cell>
          <cell r="W4424">
            <v>45084</v>
          </cell>
          <cell r="X4424">
            <v>41100655</v>
          </cell>
        </row>
        <row r="4425">
          <cell r="K4425" t="str">
            <v>DBW-2961</v>
          </cell>
          <cell r="L4425">
            <v>45061</v>
          </cell>
          <cell r="M4425" t="str">
            <v>2023-04-18 → 5/16</v>
          </cell>
          <cell r="N4425">
            <v>45070</v>
          </cell>
          <cell r="O4425" t="str">
            <v>2023-04-18 → 5/16</v>
          </cell>
          <cell r="P4425">
            <v>45071</v>
          </cell>
          <cell r="Q4425" t="str">
            <v>2023-04-27 → 5/24</v>
          </cell>
          <cell r="R4425" t="str">
            <v>2023-04-27 → 4/28 → 5/25</v>
          </cell>
          <cell r="S4425">
            <v>45072</v>
          </cell>
          <cell r="T4425">
            <v>45076</v>
          </cell>
          <cell r="U4425">
            <v>45079</v>
          </cell>
          <cell r="V4425">
            <v>45089</v>
          </cell>
          <cell r="W4425">
            <v>45089</v>
          </cell>
          <cell r="X4425">
            <v>41100655</v>
          </cell>
        </row>
        <row r="4426">
          <cell r="K4426" t="str">
            <v>GBWS-3392</v>
          </cell>
          <cell r="L4426">
            <v>45054</v>
          </cell>
          <cell r="M4426">
            <v>45055</v>
          </cell>
          <cell r="N4426">
            <v>45063</v>
          </cell>
          <cell r="O4426">
            <v>45055</v>
          </cell>
          <cell r="P4426">
            <v>45064</v>
          </cell>
          <cell r="Q4426">
            <v>45063</v>
          </cell>
          <cell r="R4426">
            <v>45064</v>
          </cell>
          <cell r="S4426">
            <v>45065</v>
          </cell>
          <cell r="T4426">
            <v>45068</v>
          </cell>
          <cell r="U4426">
            <v>45071</v>
          </cell>
          <cell r="V4426">
            <v>45072</v>
          </cell>
          <cell r="W4426">
            <v>45077</v>
          </cell>
          <cell r="X4426">
            <v>41100468</v>
          </cell>
        </row>
        <row r="4427">
          <cell r="K4427" t="str">
            <v>GBWS-3393</v>
          </cell>
          <cell r="L4427">
            <v>45054</v>
          </cell>
          <cell r="M4427">
            <v>45055</v>
          </cell>
          <cell r="N4427">
            <v>45063</v>
          </cell>
          <cell r="O4427">
            <v>45055</v>
          </cell>
          <cell r="P4427">
            <v>45064</v>
          </cell>
          <cell r="Q4427">
            <v>45063</v>
          </cell>
          <cell r="R4427">
            <v>45064</v>
          </cell>
          <cell r="S4427">
            <v>45065</v>
          </cell>
          <cell r="T4427">
            <v>45068</v>
          </cell>
          <cell r="U4427">
            <v>45071</v>
          </cell>
          <cell r="V4427">
            <v>45072</v>
          </cell>
          <cell r="W4427">
            <v>45077</v>
          </cell>
          <cell r="X4427">
            <v>41100468</v>
          </cell>
        </row>
        <row r="4428">
          <cell r="K4428" t="str">
            <v>GBWS-3126</v>
          </cell>
          <cell r="L4428">
            <v>44928</v>
          </cell>
          <cell r="M4428">
            <v>44929</v>
          </cell>
          <cell r="N4428">
            <v>44936</v>
          </cell>
          <cell r="O4428">
            <v>44929</v>
          </cell>
          <cell r="P4428">
            <v>44936</v>
          </cell>
          <cell r="Q4428">
            <v>44936</v>
          </cell>
          <cell r="R4428">
            <v>44936</v>
          </cell>
          <cell r="S4428"/>
          <cell r="T4428">
            <v>44937</v>
          </cell>
          <cell r="U4428">
            <v>44938</v>
          </cell>
          <cell r="V4428">
            <v>44938</v>
          </cell>
          <cell r="W4428">
            <v>44939</v>
          </cell>
          <cell r="X4428">
            <v>41100511</v>
          </cell>
        </row>
        <row r="4429">
          <cell r="K4429" t="str">
            <v>GBWS-3127</v>
          </cell>
          <cell r="L4429">
            <v>44928</v>
          </cell>
          <cell r="M4429">
            <v>44929</v>
          </cell>
          <cell r="N4429">
            <v>44936</v>
          </cell>
          <cell r="O4429">
            <v>44929</v>
          </cell>
          <cell r="P4429">
            <v>44936</v>
          </cell>
          <cell r="Q4429">
            <v>44936</v>
          </cell>
          <cell r="R4429">
            <v>44936</v>
          </cell>
          <cell r="S4429"/>
          <cell r="T4429">
            <v>44937</v>
          </cell>
          <cell r="U4429">
            <v>44938</v>
          </cell>
          <cell r="V4429">
            <v>44938</v>
          </cell>
          <cell r="W4429">
            <v>44939</v>
          </cell>
          <cell r="X4429">
            <v>41100511</v>
          </cell>
        </row>
        <row r="4430">
          <cell r="K4430" t="str">
            <v>DBW-2962</v>
          </cell>
          <cell r="L4430">
            <v>45061</v>
          </cell>
          <cell r="M4430" t="str">
            <v>2023-04-18 → 5/16</v>
          </cell>
          <cell r="N4430">
            <v>45072</v>
          </cell>
          <cell r="O4430" t="str">
            <v>2023-04-18 → 5/16</v>
          </cell>
          <cell r="P4430">
            <v>45071</v>
          </cell>
          <cell r="Q4430" t="str">
            <v>2023-04-27 → 5/24</v>
          </cell>
          <cell r="R4430" t="str">
            <v>2023-04-27 → 4/28 → 5/25</v>
          </cell>
          <cell r="S4430">
            <v>45072</v>
          </cell>
          <cell r="T4430">
            <v>45076</v>
          </cell>
          <cell r="U4430">
            <v>45079</v>
          </cell>
          <cell r="V4430">
            <v>45092</v>
          </cell>
          <cell r="W4430">
            <v>45092</v>
          </cell>
          <cell r="X4430">
            <v>41100647</v>
          </cell>
        </row>
        <row r="4431">
          <cell r="K4431" t="str">
            <v>DBW-2967</v>
          </cell>
          <cell r="L4431">
            <v>45068</v>
          </cell>
          <cell r="M4431" t="str">
            <v>2023-04-18 → 5/23</v>
          </cell>
          <cell r="N4431">
            <v>45079</v>
          </cell>
          <cell r="O4431" t="str">
            <v>2023-04-18 → 5/23</v>
          </cell>
          <cell r="P4431">
            <v>45082</v>
          </cell>
          <cell r="Q4431" t="str">
            <v>2023-04-27 → 5/31 → 6/5</v>
          </cell>
          <cell r="R4431" t="str">
            <v>2023-04-27 → 4/28 → 6/1 → 6/5</v>
          </cell>
          <cell r="S4431">
            <v>45084</v>
          </cell>
          <cell r="T4431">
            <v>45086</v>
          </cell>
          <cell r="U4431">
            <v>45091</v>
          </cell>
          <cell r="V4431">
            <v>45092</v>
          </cell>
          <cell r="W4431">
            <v>45092</v>
          </cell>
          <cell r="X4431">
            <v>41100655</v>
          </cell>
        </row>
        <row r="4432">
          <cell r="K4432" t="str">
            <v>DBW-2968</v>
          </cell>
          <cell r="L4432">
            <v>45068</v>
          </cell>
          <cell r="M4432" t="str">
            <v>2023-04-18 → 5/23</v>
          </cell>
          <cell r="N4432">
            <v>45079</v>
          </cell>
          <cell r="O4432" t="str">
            <v>2023-04-18 → 5/23</v>
          </cell>
          <cell r="P4432">
            <v>45082</v>
          </cell>
          <cell r="Q4432" t="str">
            <v>2023-04-27 → 5/31 → 6/5</v>
          </cell>
          <cell r="R4432" t="str">
            <v>2023-04-27 → 4/28 → 6/1 → 6/5</v>
          </cell>
          <cell r="S4432">
            <v>45084</v>
          </cell>
          <cell r="T4432">
            <v>45085</v>
          </cell>
          <cell r="U4432">
            <v>45091</v>
          </cell>
          <cell r="V4432">
            <v>45092</v>
          </cell>
          <cell r="W4432">
            <v>45092</v>
          </cell>
          <cell r="X4432">
            <v>41100655</v>
          </cell>
        </row>
        <row r="4433">
          <cell r="K4433" t="str">
            <v>GBWS-3326</v>
          </cell>
          <cell r="L4433">
            <v>45012</v>
          </cell>
          <cell r="M4433" t="str">
            <v>2023-03-24 → 3/28</v>
          </cell>
          <cell r="N4433">
            <v>45026</v>
          </cell>
          <cell r="O4433" t="str">
            <v>2023-03-24 → 3/28</v>
          </cell>
          <cell r="P4433">
            <v>45027</v>
          </cell>
          <cell r="Q4433" t="str">
            <v>2023-04-07 →  4/10(오전) → 4/11(전장)</v>
          </cell>
          <cell r="R4433" t="str">
            <v>2023-04-07 →  4/10(오전) → 4/11(전장)</v>
          </cell>
          <cell r="S4433">
            <v>45028</v>
          </cell>
          <cell r="T4433">
            <v>45028</v>
          </cell>
          <cell r="U4433">
            <v>45078</v>
          </cell>
          <cell r="V4433">
            <v>45085</v>
          </cell>
          <cell r="W4433">
            <v>45085</v>
          </cell>
          <cell r="X4433" t="str">
            <v>41100645 → 41100673</v>
          </cell>
        </row>
        <row r="4434">
          <cell r="K4434" t="str">
            <v>GBWS-3327</v>
          </cell>
          <cell r="L4434">
            <v>45012</v>
          </cell>
          <cell r="M4434" t="str">
            <v>2023-03-24 → 3/28</v>
          </cell>
          <cell r="N4434">
            <v>45026</v>
          </cell>
          <cell r="O4434" t="str">
            <v>2023-03-24 → 3/28</v>
          </cell>
          <cell r="P4434">
            <v>45027</v>
          </cell>
          <cell r="Q4434" t="str">
            <v>2023-04-07 →  4/10(오전) → 4/11(전장)</v>
          </cell>
          <cell r="R4434" t="str">
            <v>2023-04-07 →  4/10(오전) → 4/11(전장)</v>
          </cell>
          <cell r="S4434">
            <v>45028</v>
          </cell>
          <cell r="T4434">
            <v>45028</v>
          </cell>
          <cell r="U4434">
            <v>45063</v>
          </cell>
          <cell r="V4434">
            <v>45084</v>
          </cell>
          <cell r="W4434">
            <v>45084</v>
          </cell>
          <cell r="X4434" t="str">
            <v>41100645 → 41100673</v>
          </cell>
        </row>
        <row r="4435">
          <cell r="K4435" t="str">
            <v>GBWS-3328</v>
          </cell>
          <cell r="L4435">
            <v>45012</v>
          </cell>
          <cell r="M4435" t="str">
            <v>2023-03-24 → 3/28</v>
          </cell>
          <cell r="N4435">
            <v>45026</v>
          </cell>
          <cell r="O4435" t="str">
            <v>2023-03-24 → 3/28</v>
          </cell>
          <cell r="P4435">
            <v>45027</v>
          </cell>
          <cell r="Q4435" t="str">
            <v>2023-04-07 →  4/10(오전) → 4/11(전장)</v>
          </cell>
          <cell r="R4435" t="str">
            <v>2023-04-07 →  4/10(오전) → 4/11(전장)</v>
          </cell>
          <cell r="S4435">
            <v>45028</v>
          </cell>
          <cell r="T4435">
            <v>45028</v>
          </cell>
          <cell r="U4435">
            <v>45078</v>
          </cell>
          <cell r="V4435">
            <v>45084</v>
          </cell>
          <cell r="W4435">
            <v>45084</v>
          </cell>
          <cell r="X4435" t="str">
            <v>41100645 → 41100673</v>
          </cell>
        </row>
        <row r="4436">
          <cell r="K4436" t="str">
            <v>GBWS-3329</v>
          </cell>
          <cell r="L4436">
            <v>45012</v>
          </cell>
          <cell r="M4436" t="str">
            <v>2023-03-24 → 3/28</v>
          </cell>
          <cell r="N4436">
            <v>45026</v>
          </cell>
          <cell r="O4436" t="str">
            <v>2023-03-24 → 3/28</v>
          </cell>
          <cell r="P4436">
            <v>45027</v>
          </cell>
          <cell r="Q4436" t="str">
            <v>2023-04-07 →  4/10(오전) → 4/11(전장)</v>
          </cell>
          <cell r="R4436" t="str">
            <v>2023-04-07 →  4/10(오전) → 4/11(전장)</v>
          </cell>
          <cell r="S4436">
            <v>45028</v>
          </cell>
          <cell r="T4436">
            <v>45028</v>
          </cell>
          <cell r="U4436">
            <v>45078</v>
          </cell>
          <cell r="V4436">
            <v>45086</v>
          </cell>
          <cell r="W4436">
            <v>45086</v>
          </cell>
          <cell r="X4436" t="str">
            <v>41100645 → 41100673</v>
          </cell>
        </row>
        <row r="4437">
          <cell r="K4437" t="str">
            <v>GBWS-3337</v>
          </cell>
          <cell r="L4437">
            <v>45019</v>
          </cell>
          <cell r="M4437">
            <v>45020</v>
          </cell>
          <cell r="N4437">
            <v>45030</v>
          </cell>
          <cell r="O4437">
            <v>45020</v>
          </cell>
          <cell r="P4437">
            <v>45033</v>
          </cell>
          <cell r="Q4437">
            <v>45030</v>
          </cell>
          <cell r="R4437" t="str">
            <v>2023-04-14 → 4/17</v>
          </cell>
          <cell r="S4437">
            <v>45036</v>
          </cell>
          <cell r="T4437">
            <v>45036</v>
          </cell>
          <cell r="U4437">
            <v>45061</v>
          </cell>
          <cell r="V4437">
            <v>45062</v>
          </cell>
          <cell r="W4437">
            <v>45062</v>
          </cell>
          <cell r="X4437" t="str">
            <v>41100645 → 41100673</v>
          </cell>
        </row>
        <row r="4438">
          <cell r="K4438" t="str">
            <v>GBWS-3338</v>
          </cell>
          <cell r="L4438">
            <v>45019</v>
          </cell>
          <cell r="M4438">
            <v>45020</v>
          </cell>
          <cell r="N4438">
            <v>45030</v>
          </cell>
          <cell r="O4438">
            <v>45020</v>
          </cell>
          <cell r="P4438">
            <v>45033</v>
          </cell>
          <cell r="Q4438">
            <v>45030</v>
          </cell>
          <cell r="R4438" t="str">
            <v>2023-04-14 → 4/17</v>
          </cell>
          <cell r="S4438">
            <v>45036</v>
          </cell>
          <cell r="T4438">
            <v>45036</v>
          </cell>
          <cell r="U4438">
            <v>45042</v>
          </cell>
          <cell r="V4438">
            <v>45043</v>
          </cell>
          <cell r="W4438">
            <v>45043</v>
          </cell>
          <cell r="X4438" t="str">
            <v>41100645 → 41100673</v>
          </cell>
        </row>
        <row r="4439">
          <cell r="K4439" t="str">
            <v>GBWS-3339</v>
          </cell>
          <cell r="L4439">
            <v>45019</v>
          </cell>
          <cell r="M4439">
            <v>45020</v>
          </cell>
          <cell r="N4439">
            <v>45030</v>
          </cell>
          <cell r="O4439">
            <v>45020</v>
          </cell>
          <cell r="P4439">
            <v>45033</v>
          </cell>
          <cell r="Q4439">
            <v>45030</v>
          </cell>
          <cell r="R4439" t="str">
            <v>2023-04-14 → 4/17</v>
          </cell>
          <cell r="S4439">
            <v>45036</v>
          </cell>
          <cell r="T4439">
            <v>45036</v>
          </cell>
          <cell r="U4439">
            <v>45084</v>
          </cell>
          <cell r="V4439">
            <v>45084</v>
          </cell>
          <cell r="W4439">
            <v>45084</v>
          </cell>
          <cell r="X4439" t="str">
            <v>41100645 → 41100673</v>
          </cell>
        </row>
        <row r="4440">
          <cell r="K4440" t="str">
            <v>GBWS-3354</v>
          </cell>
          <cell r="L4440">
            <v>45029</v>
          </cell>
          <cell r="M4440">
            <v>45030</v>
          </cell>
          <cell r="N4440">
            <v>45036</v>
          </cell>
          <cell r="O4440">
            <v>45030</v>
          </cell>
          <cell r="P4440">
            <v>45035</v>
          </cell>
          <cell r="Q4440">
            <v>45040</v>
          </cell>
          <cell r="R4440" t="str">
            <v>2023-04-24 → 4/25</v>
          </cell>
          <cell r="S4440">
            <v>45037</v>
          </cell>
          <cell r="T4440">
            <v>45040</v>
          </cell>
          <cell r="U4440">
            <v>45043</v>
          </cell>
          <cell r="V4440">
            <v>45043</v>
          </cell>
          <cell r="W4440">
            <v>45043</v>
          </cell>
          <cell r="X4440">
            <v>41100646</v>
          </cell>
        </row>
        <row r="4441">
          <cell r="K4441" t="str">
            <v>GBWS-3356</v>
          </cell>
          <cell r="L4441">
            <v>45029</v>
          </cell>
          <cell r="M4441">
            <v>45030</v>
          </cell>
          <cell r="N4441">
            <v>45036</v>
          </cell>
          <cell r="O4441">
            <v>45030</v>
          </cell>
          <cell r="P4441">
            <v>45035</v>
          </cell>
          <cell r="Q4441">
            <v>45040</v>
          </cell>
          <cell r="R4441" t="str">
            <v>2023-04-24 → 4/25</v>
          </cell>
          <cell r="S4441">
            <v>45037</v>
          </cell>
          <cell r="T4441">
            <v>45040</v>
          </cell>
          <cell r="U4441">
            <v>45043</v>
          </cell>
          <cell r="V4441">
            <v>45043</v>
          </cell>
          <cell r="W4441">
            <v>45043</v>
          </cell>
          <cell r="X4441">
            <v>41100646</v>
          </cell>
        </row>
        <row r="4442">
          <cell r="K4442" t="str">
            <v>GBWS-3357</v>
          </cell>
          <cell r="L4442">
            <v>45029</v>
          </cell>
          <cell r="M4442">
            <v>45030</v>
          </cell>
          <cell r="N4442">
            <v>45036</v>
          </cell>
          <cell r="O4442">
            <v>45030</v>
          </cell>
          <cell r="P4442">
            <v>45035</v>
          </cell>
          <cell r="Q4442">
            <v>45040</v>
          </cell>
          <cell r="R4442" t="str">
            <v>2023-04-24 → 4/25</v>
          </cell>
          <cell r="S4442">
            <v>45037</v>
          </cell>
          <cell r="T4442">
            <v>45040</v>
          </cell>
          <cell r="U4442">
            <v>45061</v>
          </cell>
          <cell r="V4442">
            <v>45062</v>
          </cell>
          <cell r="W4442">
            <v>45062</v>
          </cell>
          <cell r="X4442">
            <v>41100646</v>
          </cell>
        </row>
        <row r="4443">
          <cell r="K4443" t="str">
            <v>GBWS-3373</v>
          </cell>
          <cell r="L4443">
            <v>45036</v>
          </cell>
          <cell r="M4443">
            <v>45037</v>
          </cell>
          <cell r="N4443">
            <v>45044</v>
          </cell>
          <cell r="O4443">
            <v>45037</v>
          </cell>
          <cell r="P4443">
            <v>45048</v>
          </cell>
          <cell r="Q4443">
            <v>45047</v>
          </cell>
          <cell r="R4443" t="str">
            <v>2023-05-01 → 5/2</v>
          </cell>
          <cell r="S4443">
            <v>45049</v>
          </cell>
          <cell r="T4443">
            <v>45049</v>
          </cell>
          <cell r="U4443">
            <v>45058</v>
          </cell>
          <cell r="V4443">
            <v>45061</v>
          </cell>
          <cell r="W4443">
            <v>45061</v>
          </cell>
          <cell r="X4443">
            <v>41100646</v>
          </cell>
        </row>
        <row r="4444">
          <cell r="K4444" t="str">
            <v>GBWS-3374</v>
          </cell>
          <cell r="L4444">
            <v>45036</v>
          </cell>
          <cell r="M4444">
            <v>45037</v>
          </cell>
          <cell r="N4444">
            <v>45044</v>
          </cell>
          <cell r="O4444">
            <v>45037</v>
          </cell>
          <cell r="P4444">
            <v>45048</v>
          </cell>
          <cell r="Q4444">
            <v>45047</v>
          </cell>
          <cell r="R4444" t="str">
            <v>2023-05-01 → 5/2</v>
          </cell>
          <cell r="S4444">
            <v>45049</v>
          </cell>
          <cell r="T4444">
            <v>45049</v>
          </cell>
          <cell r="U4444">
            <v>45057</v>
          </cell>
          <cell r="V4444">
            <v>45061</v>
          </cell>
          <cell r="W4444">
            <v>45061</v>
          </cell>
          <cell r="X4444">
            <v>41100646</v>
          </cell>
        </row>
        <row r="4445">
          <cell r="K4445" t="str">
            <v>GBWS-3340</v>
          </cell>
          <cell r="L4445">
            <v>45019</v>
          </cell>
          <cell r="M4445">
            <v>45020</v>
          </cell>
          <cell r="N4445">
            <v>45030</v>
          </cell>
          <cell r="O4445">
            <v>45020</v>
          </cell>
          <cell r="P4445">
            <v>45033</v>
          </cell>
          <cell r="Q4445">
            <v>45030</v>
          </cell>
          <cell r="R4445" t="str">
            <v>2023-04-14 → 4/17</v>
          </cell>
          <cell r="S4445">
            <v>45036</v>
          </cell>
          <cell r="T4445">
            <v>45036</v>
          </cell>
          <cell r="U4445">
            <v>45042</v>
          </cell>
          <cell r="V4445">
            <v>45043</v>
          </cell>
          <cell r="W4445">
            <v>45043</v>
          </cell>
          <cell r="X4445" t="str">
            <v>41100645 → 41100673</v>
          </cell>
        </row>
        <row r="4446">
          <cell r="K4446" t="str">
            <v>GBWS-3341</v>
          </cell>
          <cell r="L4446">
            <v>45019</v>
          </cell>
          <cell r="M4446">
            <v>45020</v>
          </cell>
          <cell r="N4446">
            <v>45030</v>
          </cell>
          <cell r="O4446">
            <v>45020</v>
          </cell>
          <cell r="P4446">
            <v>45033</v>
          </cell>
          <cell r="Q4446">
            <v>45030</v>
          </cell>
          <cell r="R4446" t="str">
            <v>2023-04-14 → 4/17</v>
          </cell>
          <cell r="S4446">
            <v>45036</v>
          </cell>
          <cell r="T4446">
            <v>45036</v>
          </cell>
          <cell r="U4446">
            <v>45042</v>
          </cell>
          <cell r="V4446">
            <v>45043</v>
          </cell>
          <cell r="W4446">
            <v>45043</v>
          </cell>
          <cell r="X4446" t="str">
            <v>41100645 → 41100673</v>
          </cell>
        </row>
        <row r="4447">
          <cell r="K4447" t="str">
            <v>DBW-2971</v>
          </cell>
          <cell r="L4447">
            <v>45071</v>
          </cell>
          <cell r="M4447">
            <v>45072</v>
          </cell>
          <cell r="N4447">
            <v>45082</v>
          </cell>
          <cell r="O4447">
            <v>45072</v>
          </cell>
          <cell r="P4447">
            <v>45079</v>
          </cell>
          <cell r="Q4447" t="str">
            <v>2023-06-01 → 6/5</v>
          </cell>
          <cell r="R4447" t="str">
            <v>2023-06-02 → 6/5</v>
          </cell>
          <cell r="S4447">
            <v>45085</v>
          </cell>
          <cell r="T4447">
            <v>45086</v>
          </cell>
          <cell r="U4447">
            <v>45092</v>
          </cell>
          <cell r="V4447">
            <v>45093</v>
          </cell>
          <cell r="W4447">
            <v>45093</v>
          </cell>
          <cell r="X4447">
            <v>41100496</v>
          </cell>
        </row>
        <row r="4448">
          <cell r="K4448" t="str">
            <v>GBWS-3355</v>
          </cell>
          <cell r="L4448">
            <v>45029</v>
          </cell>
          <cell r="M4448">
            <v>45030</v>
          </cell>
          <cell r="N4448">
            <v>45036</v>
          </cell>
          <cell r="O4448">
            <v>45030</v>
          </cell>
          <cell r="P4448">
            <v>45035</v>
          </cell>
          <cell r="Q4448">
            <v>45040</v>
          </cell>
          <cell r="R4448" t="str">
            <v>2023-04-24 → 4/25</v>
          </cell>
          <cell r="S4448">
            <v>45037</v>
          </cell>
          <cell r="T4448">
            <v>45040</v>
          </cell>
          <cell r="U4448">
            <v>45093</v>
          </cell>
          <cell r="V4448">
            <v>45093</v>
          </cell>
          <cell r="W4448">
            <v>45093</v>
          </cell>
          <cell r="X4448">
            <v>41100646</v>
          </cell>
        </row>
        <row r="4449">
          <cell r="K4449" t="str">
            <v>DBW-2969</v>
          </cell>
          <cell r="L4449">
            <v>45068</v>
          </cell>
          <cell r="M4449">
            <v>45069</v>
          </cell>
          <cell r="N4449">
            <v>45076</v>
          </cell>
          <cell r="O4449">
            <v>45069</v>
          </cell>
          <cell r="P4449">
            <v>45077</v>
          </cell>
          <cell r="Q4449">
            <v>45076</v>
          </cell>
          <cell r="R4449">
            <v>45077</v>
          </cell>
          <cell r="S4449">
            <v>45078</v>
          </cell>
          <cell r="T4449">
            <v>45078</v>
          </cell>
          <cell r="U4449">
            <v>45082</v>
          </cell>
          <cell r="V4449">
            <v>45096</v>
          </cell>
          <cell r="W4449">
            <v>45096</v>
          </cell>
          <cell r="X4449">
            <v>41100496</v>
          </cell>
        </row>
        <row r="4450">
          <cell r="K4450" t="str">
            <v>DBW-2974</v>
          </cell>
          <cell r="L4450">
            <v>45072</v>
          </cell>
          <cell r="M4450">
            <v>45076</v>
          </cell>
          <cell r="N4450">
            <v>45085</v>
          </cell>
          <cell r="O4450">
            <v>45076</v>
          </cell>
          <cell r="P4450">
            <v>45085</v>
          </cell>
          <cell r="Q4450">
            <v>45084</v>
          </cell>
          <cell r="R4450">
            <v>45085</v>
          </cell>
          <cell r="S4450">
            <v>45085</v>
          </cell>
          <cell r="T4450">
            <v>45086</v>
          </cell>
          <cell r="U4450">
            <v>45087</v>
          </cell>
          <cell r="V4450">
            <v>45088</v>
          </cell>
          <cell r="W4450">
            <v>45088</v>
          </cell>
          <cell r="X4450">
            <v>41100683</v>
          </cell>
        </row>
        <row r="4451">
          <cell r="K4451" t="str">
            <v>DBW-2972</v>
          </cell>
          <cell r="L4451">
            <v>45072</v>
          </cell>
          <cell r="M4451">
            <v>45076</v>
          </cell>
          <cell r="N4451">
            <v>45085</v>
          </cell>
          <cell r="O4451">
            <v>45076</v>
          </cell>
          <cell r="P4451">
            <v>45085</v>
          </cell>
          <cell r="Q4451">
            <v>45084</v>
          </cell>
          <cell r="R4451">
            <v>45085</v>
          </cell>
          <cell r="S4451">
            <v>45085</v>
          </cell>
          <cell r="T4451">
            <v>45086</v>
          </cell>
          <cell r="U4451">
            <v>45087</v>
          </cell>
          <cell r="V4451">
            <v>45088</v>
          </cell>
          <cell r="W4451">
            <v>45088</v>
          </cell>
          <cell r="X4451">
            <v>41100682</v>
          </cell>
        </row>
        <row r="4452">
          <cell r="K4452" t="str">
            <v>DBW-2973</v>
          </cell>
          <cell r="L4452">
            <v>45072</v>
          </cell>
          <cell r="M4452">
            <v>45076</v>
          </cell>
          <cell r="N4452">
            <v>45085</v>
          </cell>
          <cell r="O4452">
            <v>45076</v>
          </cell>
          <cell r="P4452">
            <v>45085</v>
          </cell>
          <cell r="Q4452">
            <v>45084</v>
          </cell>
          <cell r="R4452">
            <v>45085</v>
          </cell>
          <cell r="S4452">
            <v>45085</v>
          </cell>
          <cell r="T4452">
            <v>45086</v>
          </cell>
          <cell r="U4452">
            <v>45087</v>
          </cell>
          <cell r="V4452">
            <v>45088</v>
          </cell>
          <cell r="W4452">
            <v>45088</v>
          </cell>
          <cell r="X4452">
            <v>41100682</v>
          </cell>
        </row>
        <row r="4453">
          <cell r="K4453" t="str">
            <v>DBW-2975</v>
          </cell>
          <cell r="L4453">
            <v>45077</v>
          </cell>
          <cell r="M4453">
            <v>45078</v>
          </cell>
          <cell r="N4453">
            <v>45090</v>
          </cell>
          <cell r="O4453">
            <v>45078</v>
          </cell>
          <cell r="P4453">
            <v>45090</v>
          </cell>
          <cell r="Q4453">
            <v>45089</v>
          </cell>
          <cell r="R4453">
            <v>45090</v>
          </cell>
          <cell r="S4453">
            <v>45090</v>
          </cell>
          <cell r="T4453">
            <v>45091</v>
          </cell>
          <cell r="U4453">
            <v>45092</v>
          </cell>
          <cell r="V4453">
            <v>45096</v>
          </cell>
          <cell r="W4453">
            <v>45096</v>
          </cell>
          <cell r="X4453">
            <v>41100681</v>
          </cell>
        </row>
        <row r="4454">
          <cell r="K4454"/>
          <cell r="L4454">
            <v>45089</v>
          </cell>
          <cell r="M4454">
            <v>45089</v>
          </cell>
          <cell r="N4454">
            <v>45093</v>
          </cell>
          <cell r="O4454">
            <v>45089</v>
          </cell>
          <cell r="P4454">
            <v>45093</v>
          </cell>
          <cell r="Q4454">
            <v>45093</v>
          </cell>
          <cell r="R4454">
            <v>45093</v>
          </cell>
          <cell r="S4454">
            <v>45093</v>
          </cell>
          <cell r="T4454">
            <v>45093</v>
          </cell>
          <cell r="U4454">
            <v>45093</v>
          </cell>
          <cell r="V4454">
            <v>45100</v>
          </cell>
          <cell r="W4454">
            <v>45100</v>
          </cell>
          <cell r="X4454">
            <v>31102371</v>
          </cell>
        </row>
        <row r="4455">
          <cell r="K4455" t="str">
            <v>GBWS-3429</v>
          </cell>
          <cell r="L4455">
            <v>45072</v>
          </cell>
          <cell r="M4455">
            <v>45076</v>
          </cell>
          <cell r="N4455">
            <v>45086</v>
          </cell>
          <cell r="O4455">
            <v>45076</v>
          </cell>
          <cell r="P4455">
            <v>45086</v>
          </cell>
          <cell r="Q4455">
            <v>45085</v>
          </cell>
          <cell r="R4455">
            <v>45086</v>
          </cell>
          <cell r="S4455">
            <v>45092</v>
          </cell>
          <cell r="T4455">
            <v>45092</v>
          </cell>
          <cell r="U4455">
            <v>45096</v>
          </cell>
          <cell r="V4455">
            <v>45097</v>
          </cell>
          <cell r="W4455">
            <v>45097</v>
          </cell>
          <cell r="X4455">
            <v>41100686</v>
          </cell>
        </row>
        <row r="4456">
          <cell r="K4456" t="str">
            <v>GBWS-3430</v>
          </cell>
          <cell r="L4456">
            <v>45072</v>
          </cell>
          <cell r="M4456">
            <v>45076</v>
          </cell>
          <cell r="N4456">
            <v>45086</v>
          </cell>
          <cell r="O4456">
            <v>45076</v>
          </cell>
          <cell r="P4456">
            <v>45086</v>
          </cell>
          <cell r="Q4456">
            <v>45085</v>
          </cell>
          <cell r="R4456">
            <v>45086</v>
          </cell>
          <cell r="S4456">
            <v>45092</v>
          </cell>
          <cell r="T4456">
            <v>45092</v>
          </cell>
          <cell r="U4456">
            <v>45096</v>
          </cell>
          <cell r="V4456">
            <v>45097</v>
          </cell>
          <cell r="W4456">
            <v>45097</v>
          </cell>
          <cell r="X4456">
            <v>41100686</v>
          </cell>
        </row>
        <row r="4457">
          <cell r="K4457" t="str">
            <v>GBWS-3431</v>
          </cell>
          <cell r="L4457">
            <v>45072</v>
          </cell>
          <cell r="M4457">
            <v>45076</v>
          </cell>
          <cell r="N4457">
            <v>45086</v>
          </cell>
          <cell r="O4457">
            <v>45076</v>
          </cell>
          <cell r="P4457">
            <v>45086</v>
          </cell>
          <cell r="Q4457">
            <v>45085</v>
          </cell>
          <cell r="R4457">
            <v>45086</v>
          </cell>
          <cell r="S4457">
            <v>45092</v>
          </cell>
          <cell r="T4457">
            <v>45092</v>
          </cell>
          <cell r="U4457">
            <v>45096</v>
          </cell>
          <cell r="V4457">
            <v>45097</v>
          </cell>
          <cell r="W4457">
            <v>45097</v>
          </cell>
          <cell r="X4457">
            <v>41100686</v>
          </cell>
        </row>
        <row r="4458">
          <cell r="K4458" t="str">
            <v>GBWS-3432</v>
          </cell>
          <cell r="L4458">
            <v>45072</v>
          </cell>
          <cell r="M4458">
            <v>45076</v>
          </cell>
          <cell r="N4458">
            <v>45086</v>
          </cell>
          <cell r="O4458">
            <v>45076</v>
          </cell>
          <cell r="P4458">
            <v>45086</v>
          </cell>
          <cell r="Q4458">
            <v>45085</v>
          </cell>
          <cell r="R4458">
            <v>45086</v>
          </cell>
          <cell r="S4458">
            <v>45092</v>
          </cell>
          <cell r="T4458">
            <v>45092</v>
          </cell>
          <cell r="U4458">
            <v>45096</v>
          </cell>
          <cell r="V4458">
            <v>45097</v>
          </cell>
          <cell r="W4458">
            <v>45097</v>
          </cell>
          <cell r="X4458">
            <v>41100686</v>
          </cell>
        </row>
        <row r="4459">
          <cell r="K4459" t="str">
            <v>GBWS-3394</v>
          </cell>
          <cell r="L4459">
            <v>45054</v>
          </cell>
          <cell r="M4459">
            <v>45055</v>
          </cell>
          <cell r="N4459">
            <v>45063</v>
          </cell>
          <cell r="O4459">
            <v>45055</v>
          </cell>
          <cell r="P4459">
            <v>45064</v>
          </cell>
          <cell r="Q4459">
            <v>45063</v>
          </cell>
          <cell r="R4459">
            <v>45064</v>
          </cell>
          <cell r="S4459">
            <v>45065</v>
          </cell>
          <cell r="T4459">
            <v>45068</v>
          </cell>
          <cell r="U4459">
            <v>45071</v>
          </cell>
          <cell r="V4459">
            <v>45072</v>
          </cell>
          <cell r="W4459">
            <v>45077</v>
          </cell>
          <cell r="X4459">
            <v>41100468</v>
          </cell>
        </row>
        <row r="4460">
          <cell r="K4460" t="str">
            <v>GBWS-3395</v>
          </cell>
          <cell r="L4460">
            <v>45054</v>
          </cell>
          <cell r="M4460">
            <v>45055</v>
          </cell>
          <cell r="N4460">
            <v>45063</v>
          </cell>
          <cell r="O4460">
            <v>45055</v>
          </cell>
          <cell r="P4460">
            <v>45064</v>
          </cell>
          <cell r="Q4460">
            <v>45063</v>
          </cell>
          <cell r="R4460">
            <v>45064</v>
          </cell>
          <cell r="S4460">
            <v>45065</v>
          </cell>
          <cell r="T4460">
            <v>45068</v>
          </cell>
          <cell r="U4460">
            <v>45071</v>
          </cell>
          <cell r="V4460">
            <v>45072</v>
          </cell>
          <cell r="W4460">
            <v>45077</v>
          </cell>
          <cell r="X4460">
            <v>41100468</v>
          </cell>
        </row>
        <row r="4461">
          <cell r="K4461" t="str">
            <v>GBWS-3343</v>
          </cell>
          <cell r="L4461">
            <v>45028</v>
          </cell>
          <cell r="M4461">
            <v>45028</v>
          </cell>
          <cell r="N4461">
            <v>45041</v>
          </cell>
          <cell r="O4461">
            <v>45028</v>
          </cell>
          <cell r="P4461">
            <v>45041</v>
          </cell>
          <cell r="Q4461">
            <v>45041</v>
          </cell>
          <cell r="R4461" t="str">
            <v>2023-04-25 → 4/26</v>
          </cell>
          <cell r="S4461">
            <v>45043</v>
          </cell>
          <cell r="T4461">
            <v>45044</v>
          </cell>
          <cell r="U4461">
            <v>45049</v>
          </cell>
          <cell r="V4461">
            <v>45050</v>
          </cell>
          <cell r="W4461">
            <v>45050</v>
          </cell>
          <cell r="X4461" t="str">
            <v>41100645 → 41100673</v>
          </cell>
        </row>
        <row r="4462">
          <cell r="K4462" t="str">
            <v>GBWS-3344</v>
          </cell>
          <cell r="L4462">
            <v>45028</v>
          </cell>
          <cell r="M4462">
            <v>45028</v>
          </cell>
          <cell r="N4462">
            <v>45041</v>
          </cell>
          <cell r="O4462">
            <v>45028</v>
          </cell>
          <cell r="P4462">
            <v>45041</v>
          </cell>
          <cell r="Q4462">
            <v>45041</v>
          </cell>
          <cell r="R4462" t="str">
            <v>2023-04-25 → 4/26</v>
          </cell>
          <cell r="S4462">
            <v>45043</v>
          </cell>
          <cell r="T4462">
            <v>45050</v>
          </cell>
          <cell r="U4462">
            <v>45062</v>
          </cell>
          <cell r="V4462">
            <v>45062</v>
          </cell>
          <cell r="W4462">
            <v>45062</v>
          </cell>
          <cell r="X4462" t="str">
            <v>41100645 → 41100673</v>
          </cell>
        </row>
        <row r="4463">
          <cell r="K4463" t="str">
            <v>GBWS-3345</v>
          </cell>
          <cell r="L4463">
            <v>45028</v>
          </cell>
          <cell r="M4463">
            <v>45028</v>
          </cell>
          <cell r="N4463">
            <v>45041</v>
          </cell>
          <cell r="O4463">
            <v>45028</v>
          </cell>
          <cell r="P4463">
            <v>45041</v>
          </cell>
          <cell r="Q4463">
            <v>45041</v>
          </cell>
          <cell r="R4463" t="str">
            <v>2023-04-25 → 4/26</v>
          </cell>
          <cell r="S4463">
            <v>45043</v>
          </cell>
          <cell r="T4463">
            <v>45043</v>
          </cell>
          <cell r="U4463">
            <v>45049</v>
          </cell>
          <cell r="V4463">
            <v>45050</v>
          </cell>
          <cell r="W4463">
            <v>45050</v>
          </cell>
          <cell r="X4463" t="str">
            <v>41100645 → 41100673</v>
          </cell>
        </row>
        <row r="4464">
          <cell r="K4464" t="str">
            <v>GBWS-3346</v>
          </cell>
          <cell r="L4464">
            <v>45028</v>
          </cell>
          <cell r="M4464">
            <v>45028</v>
          </cell>
          <cell r="N4464">
            <v>45041</v>
          </cell>
          <cell r="O4464">
            <v>45028</v>
          </cell>
          <cell r="P4464">
            <v>45041</v>
          </cell>
          <cell r="Q4464">
            <v>45041</v>
          </cell>
          <cell r="R4464" t="str">
            <v>2023-04-25 → 4/26</v>
          </cell>
          <cell r="S4464">
            <v>45043</v>
          </cell>
          <cell r="T4464">
            <v>45043</v>
          </cell>
          <cell r="U4464">
            <v>45058</v>
          </cell>
          <cell r="V4464">
            <v>45061</v>
          </cell>
          <cell r="W4464">
            <v>45061</v>
          </cell>
          <cell r="X4464" t="str">
            <v>41100645 → 41100673</v>
          </cell>
        </row>
        <row r="4465">
          <cell r="K4465" t="str">
            <v>GBWS-3347</v>
          </cell>
          <cell r="L4465">
            <v>45028</v>
          </cell>
          <cell r="M4465">
            <v>45028</v>
          </cell>
          <cell r="N4465">
            <v>45041</v>
          </cell>
          <cell r="O4465">
            <v>45028</v>
          </cell>
          <cell r="P4465">
            <v>45041</v>
          </cell>
          <cell r="Q4465">
            <v>45041</v>
          </cell>
          <cell r="R4465" t="str">
            <v>2023-04-25 → 4/26</v>
          </cell>
          <cell r="S4465">
            <v>45043</v>
          </cell>
          <cell r="T4465">
            <v>45043</v>
          </cell>
          <cell r="U4465">
            <v>45049</v>
          </cell>
          <cell r="V4465">
            <v>45050</v>
          </cell>
          <cell r="W4465">
            <v>45050</v>
          </cell>
          <cell r="X4465" t="str">
            <v>41100645 → 41100673</v>
          </cell>
        </row>
        <row r="4466">
          <cell r="K4466" t="str">
            <v>GBWS-3348</v>
          </cell>
          <cell r="L4466">
            <v>45028</v>
          </cell>
          <cell r="M4466">
            <v>45028</v>
          </cell>
          <cell r="N4466">
            <v>45041</v>
          </cell>
          <cell r="O4466">
            <v>45028</v>
          </cell>
          <cell r="P4466">
            <v>45041</v>
          </cell>
          <cell r="Q4466">
            <v>45041</v>
          </cell>
          <cell r="R4466" t="str">
            <v>2023-04-25 → 4/26</v>
          </cell>
          <cell r="S4466">
            <v>45043</v>
          </cell>
          <cell r="T4466">
            <v>45043</v>
          </cell>
          <cell r="U4466">
            <v>45058</v>
          </cell>
          <cell r="V4466">
            <v>45061</v>
          </cell>
          <cell r="W4466">
            <v>45061</v>
          </cell>
          <cell r="X4466" t="str">
            <v>41100645 → 41100673</v>
          </cell>
        </row>
        <row r="4467">
          <cell r="K4467" t="str">
            <v>GBWS-3349</v>
          </cell>
          <cell r="L4467">
            <v>45028</v>
          </cell>
          <cell r="M4467">
            <v>45028</v>
          </cell>
          <cell r="N4467">
            <v>45041</v>
          </cell>
          <cell r="O4467">
            <v>45028</v>
          </cell>
          <cell r="P4467">
            <v>45041</v>
          </cell>
          <cell r="Q4467">
            <v>45041</v>
          </cell>
          <cell r="R4467" t="str">
            <v>2023-04-25 → 4/26</v>
          </cell>
          <cell r="S4467">
            <v>45043</v>
          </cell>
          <cell r="T4467">
            <v>45044</v>
          </cell>
          <cell r="U4467">
            <v>45058</v>
          </cell>
          <cell r="V4467">
            <v>45061</v>
          </cell>
          <cell r="W4467">
            <v>45061</v>
          </cell>
          <cell r="X4467" t="str">
            <v>41100645 → 41100673</v>
          </cell>
        </row>
        <row r="4468">
          <cell r="K4468" t="str">
            <v>DBW-2997</v>
          </cell>
          <cell r="L4468">
            <v>45089</v>
          </cell>
          <cell r="M4468">
            <v>45090</v>
          </cell>
          <cell r="N4468">
            <v>45093</v>
          </cell>
          <cell r="O4468">
            <v>45090</v>
          </cell>
          <cell r="P4468">
            <v>45093</v>
          </cell>
          <cell r="Q4468">
            <v>45097</v>
          </cell>
          <cell r="R4468">
            <v>45098</v>
          </cell>
          <cell r="S4468">
            <v>45096</v>
          </cell>
          <cell r="T4468">
            <v>45096</v>
          </cell>
          <cell r="U4468">
            <v>45097</v>
          </cell>
          <cell r="V4468">
            <v>45098</v>
          </cell>
          <cell r="W4468">
            <v>45098</v>
          </cell>
          <cell r="X4468">
            <v>41100689</v>
          </cell>
        </row>
        <row r="4469">
          <cell r="K4469" t="str">
            <v>DBW-2998</v>
          </cell>
          <cell r="L4469">
            <v>45089</v>
          </cell>
          <cell r="M4469">
            <v>45090</v>
          </cell>
          <cell r="N4469">
            <v>45093</v>
          </cell>
          <cell r="O4469">
            <v>45090</v>
          </cell>
          <cell r="P4469">
            <v>45093</v>
          </cell>
          <cell r="Q4469">
            <v>45097</v>
          </cell>
          <cell r="R4469">
            <v>45098</v>
          </cell>
          <cell r="S4469">
            <v>45096</v>
          </cell>
          <cell r="T4469">
            <v>45096</v>
          </cell>
          <cell r="U4469">
            <v>45097</v>
          </cell>
          <cell r="V4469">
            <v>45098</v>
          </cell>
          <cell r="W4469">
            <v>45098</v>
          </cell>
          <cell r="X4469">
            <v>41100689</v>
          </cell>
        </row>
        <row r="4470">
          <cell r="K4470" t="str">
            <v>DBW-2978</v>
          </cell>
          <cell r="L4470">
            <v>45082</v>
          </cell>
          <cell r="M4470">
            <v>45084</v>
          </cell>
          <cell r="N4470">
            <v>45092</v>
          </cell>
          <cell r="O4470">
            <v>45084</v>
          </cell>
          <cell r="P4470">
            <v>45092</v>
          </cell>
          <cell r="Q4470">
            <v>45091</v>
          </cell>
          <cell r="R4470">
            <v>45092</v>
          </cell>
          <cell r="S4470">
            <v>45092</v>
          </cell>
          <cell r="T4470">
            <v>45092</v>
          </cell>
          <cell r="U4470">
            <v>45097</v>
          </cell>
          <cell r="V4470">
            <v>45098</v>
          </cell>
          <cell r="W4470">
            <v>45098</v>
          </cell>
          <cell r="X4470">
            <v>41100692</v>
          </cell>
        </row>
        <row r="4471">
          <cell r="K4471" t="str">
            <v>DBW-2980</v>
          </cell>
          <cell r="L4471">
            <v>45085</v>
          </cell>
          <cell r="M4471">
            <v>45086</v>
          </cell>
          <cell r="N4471">
            <v>45093</v>
          </cell>
          <cell r="O4471">
            <v>45086</v>
          </cell>
          <cell r="P4471">
            <v>45093</v>
          </cell>
          <cell r="Q4471">
            <v>45096</v>
          </cell>
          <cell r="R4471">
            <v>45097</v>
          </cell>
          <cell r="S4471">
            <v>45096</v>
          </cell>
          <cell r="T4471">
            <v>45096</v>
          </cell>
          <cell r="U4471">
            <v>45097</v>
          </cell>
          <cell r="V4471">
            <v>45098</v>
          </cell>
          <cell r="W4471">
            <v>45098</v>
          </cell>
          <cell r="X4471">
            <v>41100691</v>
          </cell>
        </row>
        <row r="4472">
          <cell r="K4472" t="str">
            <v>DBW-2981</v>
          </cell>
          <cell r="L4472">
            <v>45085</v>
          </cell>
          <cell r="M4472">
            <v>45086</v>
          </cell>
          <cell r="N4472">
            <v>45093</v>
          </cell>
          <cell r="O4472">
            <v>45086</v>
          </cell>
          <cell r="P4472">
            <v>45093</v>
          </cell>
          <cell r="Q4472">
            <v>45096</v>
          </cell>
          <cell r="R4472">
            <v>45097</v>
          </cell>
          <cell r="S4472">
            <v>45096</v>
          </cell>
          <cell r="T4472">
            <v>45096</v>
          </cell>
          <cell r="U4472">
            <v>45097</v>
          </cell>
          <cell r="V4472">
            <v>45098</v>
          </cell>
          <cell r="W4472">
            <v>45098</v>
          </cell>
          <cell r="X4472">
            <v>41100691</v>
          </cell>
        </row>
        <row r="4473">
          <cell r="K4473" t="str">
            <v>GPWS-0253</v>
          </cell>
          <cell r="L4473">
            <v>45069</v>
          </cell>
          <cell r="M4473">
            <v>45070</v>
          </cell>
          <cell r="N4473">
            <v>45082</v>
          </cell>
          <cell r="O4473">
            <v>45070</v>
          </cell>
          <cell r="P4473">
            <v>45082</v>
          </cell>
          <cell r="Q4473" t="str">
            <v>2023-06-02 → 6/7</v>
          </cell>
          <cell r="R4473" t="str">
            <v>2023-06-05 → 6/7</v>
          </cell>
          <cell r="S4473">
            <v>45085</v>
          </cell>
          <cell r="T4473">
            <v>45092</v>
          </cell>
          <cell r="U4473">
            <v>45096</v>
          </cell>
          <cell r="V4473">
            <v>45097</v>
          </cell>
          <cell r="W4473">
            <v>45097</v>
          </cell>
          <cell r="X4473">
            <v>41100487</v>
          </cell>
        </row>
        <row r="4474">
          <cell r="K4474" t="str">
            <v>GPWS-0254</v>
          </cell>
          <cell r="L4474">
            <v>45069</v>
          </cell>
          <cell r="M4474">
            <v>45070</v>
          </cell>
          <cell r="N4474">
            <v>45082</v>
          </cell>
          <cell r="O4474">
            <v>45070</v>
          </cell>
          <cell r="P4474">
            <v>45082</v>
          </cell>
          <cell r="Q4474" t="str">
            <v>2023-06-02 → 6/7</v>
          </cell>
          <cell r="R4474" t="str">
            <v>2023-06-05 → 6/7</v>
          </cell>
          <cell r="S4474">
            <v>45086</v>
          </cell>
          <cell r="T4474">
            <v>45092</v>
          </cell>
          <cell r="U4474">
            <v>45096</v>
          </cell>
          <cell r="V4474">
            <v>45097</v>
          </cell>
          <cell r="W4474">
            <v>45097</v>
          </cell>
          <cell r="X4474">
            <v>41100487</v>
          </cell>
        </row>
        <row r="4475">
          <cell r="K4475" t="str">
            <v>GPWS-0257</v>
          </cell>
          <cell r="L4475">
            <v>45069</v>
          </cell>
          <cell r="M4475">
            <v>45070</v>
          </cell>
          <cell r="N4475">
            <v>45082</v>
          </cell>
          <cell r="O4475">
            <v>45070</v>
          </cell>
          <cell r="P4475">
            <v>45082</v>
          </cell>
          <cell r="Q4475" t="str">
            <v>2023-06-02 → 6/7</v>
          </cell>
          <cell r="R4475" t="str">
            <v>2023-06-05 → 6/7</v>
          </cell>
          <cell r="S4475">
            <v>45086</v>
          </cell>
          <cell r="T4475">
            <v>45092</v>
          </cell>
          <cell r="U4475">
            <v>45096</v>
          </cell>
          <cell r="V4475">
            <v>45097</v>
          </cell>
          <cell r="W4475">
            <v>45097</v>
          </cell>
          <cell r="X4475">
            <v>41100487</v>
          </cell>
        </row>
        <row r="4476">
          <cell r="K4476" t="str">
            <v>GPWS-0258</v>
          </cell>
          <cell r="L4476">
            <v>45069</v>
          </cell>
          <cell r="M4476">
            <v>45070</v>
          </cell>
          <cell r="N4476">
            <v>45082</v>
          </cell>
          <cell r="O4476">
            <v>45070</v>
          </cell>
          <cell r="P4476">
            <v>45082</v>
          </cell>
          <cell r="Q4476" t="str">
            <v>2023-06-02 → 6/7</v>
          </cell>
          <cell r="R4476" t="str">
            <v>2023-06-05 → 6/7</v>
          </cell>
          <cell r="S4476">
            <v>45086</v>
          </cell>
          <cell r="T4476">
            <v>45092</v>
          </cell>
          <cell r="U4476">
            <v>45096</v>
          </cell>
          <cell r="V4476">
            <v>45097</v>
          </cell>
          <cell r="W4476">
            <v>45097</v>
          </cell>
          <cell r="X4476">
            <v>41100487</v>
          </cell>
        </row>
        <row r="4477">
          <cell r="K4477" t="str">
            <v>GPWS-0259</v>
          </cell>
          <cell r="L4477">
            <v>45069</v>
          </cell>
          <cell r="M4477">
            <v>45070</v>
          </cell>
          <cell r="N4477">
            <v>45082</v>
          </cell>
          <cell r="O4477">
            <v>45070</v>
          </cell>
          <cell r="P4477">
            <v>45082</v>
          </cell>
          <cell r="Q4477" t="str">
            <v>2023-06-02 → 6/7</v>
          </cell>
          <cell r="R4477" t="str">
            <v>2023-06-05 → 6/7</v>
          </cell>
          <cell r="S4477">
            <v>45086</v>
          </cell>
          <cell r="T4477">
            <v>45092</v>
          </cell>
          <cell r="U4477">
            <v>45097</v>
          </cell>
          <cell r="V4477">
            <v>45098</v>
          </cell>
          <cell r="W4477">
            <v>45098</v>
          </cell>
          <cell r="X4477">
            <v>41100487</v>
          </cell>
        </row>
        <row r="4478">
          <cell r="K4478" t="str">
            <v>GPWS-0260</v>
          </cell>
          <cell r="L4478">
            <v>45069</v>
          </cell>
          <cell r="M4478">
            <v>45070</v>
          </cell>
          <cell r="N4478">
            <v>45082</v>
          </cell>
          <cell r="O4478">
            <v>45070</v>
          </cell>
          <cell r="P4478">
            <v>45082</v>
          </cell>
          <cell r="Q4478" t="str">
            <v>2023-06-02 → 6/7</v>
          </cell>
          <cell r="R4478" t="str">
            <v>2023-06-05 → 6/7</v>
          </cell>
          <cell r="S4478">
            <v>45086</v>
          </cell>
          <cell r="T4478">
            <v>45092</v>
          </cell>
          <cell r="U4478">
            <v>45097</v>
          </cell>
          <cell r="V4478">
            <v>45098</v>
          </cell>
          <cell r="W4478">
            <v>45098</v>
          </cell>
          <cell r="X4478">
            <v>41100487</v>
          </cell>
        </row>
        <row r="4479">
          <cell r="K4479" t="str">
            <v>GPWS-0263</v>
          </cell>
          <cell r="L4479">
            <v>45077</v>
          </cell>
          <cell r="M4479">
            <v>45078</v>
          </cell>
          <cell r="N4479">
            <v>45090</v>
          </cell>
          <cell r="O4479">
            <v>45078</v>
          </cell>
          <cell r="P4479">
            <v>45090</v>
          </cell>
          <cell r="Q4479">
            <v>45089</v>
          </cell>
          <cell r="R4479">
            <v>45090</v>
          </cell>
          <cell r="S4479">
            <v>45092</v>
          </cell>
          <cell r="T4479">
            <v>45092</v>
          </cell>
          <cell r="U4479">
            <v>45098</v>
          </cell>
          <cell r="V4479">
            <v>45098</v>
          </cell>
          <cell r="W4479">
            <v>45098</v>
          </cell>
          <cell r="X4479">
            <v>41100487</v>
          </cell>
        </row>
        <row r="4480">
          <cell r="K4480" t="str">
            <v>GPWS-0265</v>
          </cell>
          <cell r="L4480">
            <v>45077</v>
          </cell>
          <cell r="M4480">
            <v>45078</v>
          </cell>
          <cell r="N4480">
            <v>45090</v>
          </cell>
          <cell r="O4480">
            <v>45078</v>
          </cell>
          <cell r="P4480">
            <v>45090</v>
          </cell>
          <cell r="Q4480">
            <v>45089</v>
          </cell>
          <cell r="R4480">
            <v>45090</v>
          </cell>
          <cell r="S4480">
            <v>45092</v>
          </cell>
          <cell r="T4480">
            <v>45092</v>
          </cell>
          <cell r="U4480">
            <v>45098</v>
          </cell>
          <cell r="V4480">
            <v>45098</v>
          </cell>
          <cell r="W4480">
            <v>45098</v>
          </cell>
          <cell r="X4480">
            <v>41100487</v>
          </cell>
        </row>
        <row r="4481">
          <cell r="K4481" t="str">
            <v>GBWS-3441</v>
          </cell>
          <cell r="L4481">
            <v>45082</v>
          </cell>
          <cell r="M4481">
            <v>45084</v>
          </cell>
          <cell r="N4481">
            <v>45093</v>
          </cell>
          <cell r="O4481">
            <v>45084</v>
          </cell>
          <cell r="P4481">
            <v>45093</v>
          </cell>
          <cell r="Q4481">
            <v>45092</v>
          </cell>
          <cell r="R4481">
            <v>45093</v>
          </cell>
          <cell r="S4481">
            <v>45097</v>
          </cell>
          <cell r="T4481">
            <v>45097</v>
          </cell>
          <cell r="U4481">
            <v>45098</v>
          </cell>
          <cell r="V4481">
            <v>45098</v>
          </cell>
          <cell r="W4481">
            <v>45098</v>
          </cell>
          <cell r="X4481">
            <v>41100686</v>
          </cell>
        </row>
        <row r="4482">
          <cell r="K4482" t="str">
            <v>GBWS-3442</v>
          </cell>
          <cell r="L4482">
            <v>45082</v>
          </cell>
          <cell r="M4482">
            <v>45084</v>
          </cell>
          <cell r="N4482">
            <v>45093</v>
          </cell>
          <cell r="O4482">
            <v>45084</v>
          </cell>
          <cell r="P4482">
            <v>45093</v>
          </cell>
          <cell r="Q4482">
            <v>45092</v>
          </cell>
          <cell r="R4482">
            <v>45093</v>
          </cell>
          <cell r="S4482">
            <v>45097</v>
          </cell>
          <cell r="T4482">
            <v>45097</v>
          </cell>
          <cell r="U4482">
            <v>45098</v>
          </cell>
          <cell r="V4482">
            <v>45098</v>
          </cell>
          <cell r="W4482">
            <v>45098</v>
          </cell>
          <cell r="X4482">
            <v>41100686</v>
          </cell>
        </row>
        <row r="4483">
          <cell r="K4483" t="str">
            <v>GBWS-3443</v>
          </cell>
          <cell r="L4483">
            <v>45082</v>
          </cell>
          <cell r="M4483">
            <v>45084</v>
          </cell>
          <cell r="N4483">
            <v>45093</v>
          </cell>
          <cell r="O4483">
            <v>45084</v>
          </cell>
          <cell r="P4483">
            <v>45093</v>
          </cell>
          <cell r="Q4483">
            <v>45092</v>
          </cell>
          <cell r="R4483">
            <v>45093</v>
          </cell>
          <cell r="S4483">
            <v>45097</v>
          </cell>
          <cell r="T4483">
            <v>45097</v>
          </cell>
          <cell r="U4483">
            <v>45098</v>
          </cell>
          <cell r="V4483">
            <v>45098</v>
          </cell>
          <cell r="W4483">
            <v>45098</v>
          </cell>
          <cell r="X4483">
            <v>41100686</v>
          </cell>
        </row>
        <row r="4484">
          <cell r="K4484" t="str">
            <v>GBWS-3444</v>
          </cell>
          <cell r="L4484">
            <v>45082</v>
          </cell>
          <cell r="M4484">
            <v>45084</v>
          </cell>
          <cell r="N4484">
            <v>45093</v>
          </cell>
          <cell r="O4484">
            <v>45084</v>
          </cell>
          <cell r="P4484">
            <v>45093</v>
          </cell>
          <cell r="Q4484">
            <v>45092</v>
          </cell>
          <cell r="R4484">
            <v>45093</v>
          </cell>
          <cell r="S4484">
            <v>45097</v>
          </cell>
          <cell r="T4484">
            <v>45097</v>
          </cell>
          <cell r="U4484">
            <v>45098</v>
          </cell>
          <cell r="V4484">
            <v>45098</v>
          </cell>
          <cell r="W4484">
            <v>45098</v>
          </cell>
          <cell r="X4484">
            <v>41100686</v>
          </cell>
        </row>
        <row r="4485">
          <cell r="K4485" t="str">
            <v>IVAS-208</v>
          </cell>
          <cell r="L4485">
            <v>45072</v>
          </cell>
          <cell r="M4485">
            <v>45076</v>
          </cell>
          <cell r="N4485">
            <v>45089</v>
          </cell>
          <cell r="O4485">
            <v>45076</v>
          </cell>
          <cell r="P4485">
            <v>45090</v>
          </cell>
          <cell r="Q4485">
            <v>45089</v>
          </cell>
          <cell r="R4485">
            <v>45090</v>
          </cell>
          <cell r="S4485">
            <v>45092</v>
          </cell>
          <cell r="T4485">
            <v>45092</v>
          </cell>
          <cell r="U4485">
            <v>45098</v>
          </cell>
          <cell r="V4485">
            <v>45099</v>
          </cell>
          <cell r="W4485">
            <v>45099</v>
          </cell>
          <cell r="X4485">
            <v>41100383</v>
          </cell>
        </row>
        <row r="4486">
          <cell r="K4486" t="str">
            <v>IVAS-209</v>
          </cell>
          <cell r="L4486">
            <v>45072</v>
          </cell>
          <cell r="M4486">
            <v>45076</v>
          </cell>
          <cell r="N4486">
            <v>45089</v>
          </cell>
          <cell r="O4486">
            <v>45076</v>
          </cell>
          <cell r="P4486">
            <v>45089</v>
          </cell>
          <cell r="Q4486">
            <v>45086</v>
          </cell>
          <cell r="R4486">
            <v>45089</v>
          </cell>
          <cell r="S4486">
            <v>45092</v>
          </cell>
          <cell r="T4486">
            <v>45092</v>
          </cell>
          <cell r="U4486">
            <v>45099</v>
          </cell>
          <cell r="V4486">
            <v>45099</v>
          </cell>
          <cell r="W4486">
            <v>45099</v>
          </cell>
          <cell r="X4486">
            <v>41100604</v>
          </cell>
        </row>
        <row r="4487">
          <cell r="K4487" t="str">
            <v>DBW-2952</v>
          </cell>
          <cell r="L4487">
            <v>45049</v>
          </cell>
          <cell r="M4487">
            <v>45050</v>
          </cell>
          <cell r="N4487">
            <v>45062</v>
          </cell>
          <cell r="O4487">
            <v>45050</v>
          </cell>
          <cell r="P4487">
            <v>45062</v>
          </cell>
          <cell r="Q4487">
            <v>45061</v>
          </cell>
          <cell r="R4487">
            <v>45062</v>
          </cell>
          <cell r="S4487">
            <v>45068</v>
          </cell>
          <cell r="T4487">
            <v>45068</v>
          </cell>
          <cell r="U4487">
            <v>45070</v>
          </cell>
          <cell r="V4487">
            <v>45072</v>
          </cell>
          <cell r="W4487">
            <v>45076</v>
          </cell>
          <cell r="X4487">
            <v>41100496</v>
          </cell>
        </row>
        <row r="4488">
          <cell r="K4488" t="str">
            <v>DBW-2953</v>
          </cell>
          <cell r="L4488">
            <v>45049</v>
          </cell>
          <cell r="M4488">
            <v>45050</v>
          </cell>
          <cell r="N4488">
            <v>45062</v>
          </cell>
          <cell r="O4488">
            <v>45050</v>
          </cell>
          <cell r="P4488">
            <v>45062</v>
          </cell>
          <cell r="Q4488">
            <v>45061</v>
          </cell>
          <cell r="R4488">
            <v>45062</v>
          </cell>
          <cell r="S4488">
            <v>45068</v>
          </cell>
          <cell r="T4488">
            <v>45068</v>
          </cell>
          <cell r="U4488">
            <v>45070</v>
          </cell>
          <cell r="V4488">
            <v>45072</v>
          </cell>
          <cell r="W4488">
            <v>45076</v>
          </cell>
          <cell r="X4488">
            <v>41100496</v>
          </cell>
        </row>
        <row r="4489">
          <cell r="K4489" t="str">
            <v>DBW-2954</v>
          </cell>
          <cell r="L4489">
            <v>45049</v>
          </cell>
          <cell r="M4489">
            <v>45050</v>
          </cell>
          <cell r="N4489">
            <v>45062</v>
          </cell>
          <cell r="O4489">
            <v>45050</v>
          </cell>
          <cell r="P4489">
            <v>45062</v>
          </cell>
          <cell r="Q4489">
            <v>45061</v>
          </cell>
          <cell r="R4489">
            <v>45062</v>
          </cell>
          <cell r="S4489">
            <v>45068</v>
          </cell>
          <cell r="T4489">
            <v>45068</v>
          </cell>
          <cell r="U4489">
            <v>45071</v>
          </cell>
          <cell r="V4489">
            <v>45072</v>
          </cell>
          <cell r="W4489">
            <v>45076</v>
          </cell>
          <cell r="X4489">
            <v>41100496</v>
          </cell>
        </row>
        <row r="4490">
          <cell r="K4490" t="str">
            <v>DBW-2957</v>
          </cell>
          <cell r="L4490">
            <v>45056</v>
          </cell>
          <cell r="M4490">
            <v>45057</v>
          </cell>
          <cell r="N4490">
            <v>45068</v>
          </cell>
          <cell r="O4490">
            <v>45057</v>
          </cell>
          <cell r="P4490">
            <v>45069</v>
          </cell>
          <cell r="Q4490">
            <v>45068</v>
          </cell>
          <cell r="R4490">
            <v>45069</v>
          </cell>
          <cell r="S4490">
            <v>45070</v>
          </cell>
          <cell r="T4490">
            <v>45070</v>
          </cell>
          <cell r="U4490">
            <v>45076</v>
          </cell>
          <cell r="V4490">
            <v>45079</v>
          </cell>
          <cell r="W4490">
            <v>45079</v>
          </cell>
          <cell r="X4490">
            <v>41100496</v>
          </cell>
        </row>
        <row r="4491">
          <cell r="K4491" t="str">
            <v>DBW-2956</v>
          </cell>
          <cell r="L4491">
            <v>45056</v>
          </cell>
          <cell r="M4491">
            <v>45057</v>
          </cell>
          <cell r="N4491">
            <v>45068</v>
          </cell>
          <cell r="O4491">
            <v>45057</v>
          </cell>
          <cell r="P4491">
            <v>45069</v>
          </cell>
          <cell r="Q4491">
            <v>45068</v>
          </cell>
          <cell r="R4491">
            <v>45069</v>
          </cell>
          <cell r="S4491">
            <v>45070</v>
          </cell>
          <cell r="T4491">
            <v>45070</v>
          </cell>
          <cell r="U4491">
            <v>45071</v>
          </cell>
          <cell r="V4491">
            <v>45072</v>
          </cell>
          <cell r="W4491">
            <v>45076</v>
          </cell>
          <cell r="X4491">
            <v>41100496</v>
          </cell>
        </row>
        <row r="4492">
          <cell r="K4492" t="str">
            <v>GBWS-3381</v>
          </cell>
          <cell r="L4492">
            <v>45041</v>
          </cell>
          <cell r="M4492">
            <v>45042</v>
          </cell>
          <cell r="N4492">
            <v>45055</v>
          </cell>
          <cell r="O4492">
            <v>45042</v>
          </cell>
          <cell r="P4492">
            <v>45056</v>
          </cell>
          <cell r="Q4492">
            <v>45055</v>
          </cell>
          <cell r="R4492" t="str">
            <v>2023-05-10 → 5/11</v>
          </cell>
          <cell r="S4492">
            <v>45057</v>
          </cell>
          <cell r="T4492">
            <v>45061</v>
          </cell>
          <cell r="U4492">
            <v>45076</v>
          </cell>
          <cell r="V4492">
            <v>45085</v>
          </cell>
          <cell r="W4492">
            <v>45085</v>
          </cell>
          <cell r="X4492">
            <v>41100622</v>
          </cell>
        </row>
        <row r="4493">
          <cell r="K4493" t="str">
            <v>DBW-2934</v>
          </cell>
          <cell r="L4493">
            <v>45036</v>
          </cell>
          <cell r="M4493">
            <v>45037</v>
          </cell>
          <cell r="N4493">
            <v>45048</v>
          </cell>
          <cell r="O4493">
            <v>45037</v>
          </cell>
          <cell r="P4493">
            <v>45048</v>
          </cell>
          <cell r="Q4493" t="str">
            <v>2023-05-01 → 5/2</v>
          </cell>
          <cell r="R4493" t="str">
            <v>2023-05-01 → 5/2 → 5/3</v>
          </cell>
          <cell r="S4493">
            <v>45049</v>
          </cell>
          <cell r="T4493">
            <v>45049</v>
          </cell>
          <cell r="U4493">
            <v>45050</v>
          </cell>
          <cell r="V4493">
            <v>45055</v>
          </cell>
          <cell r="W4493">
            <v>45055</v>
          </cell>
          <cell r="X4493">
            <v>41100496</v>
          </cell>
        </row>
        <row r="4494">
          <cell r="K4494" t="str">
            <v>DBW-2948</v>
          </cell>
          <cell r="L4494">
            <v>45049</v>
          </cell>
          <cell r="M4494">
            <v>45050</v>
          </cell>
          <cell r="N4494">
            <v>45062</v>
          </cell>
          <cell r="O4494">
            <v>45050</v>
          </cell>
          <cell r="P4494">
            <v>45061</v>
          </cell>
          <cell r="Q4494" t="str">
            <v>2023-05-12 → 5/15</v>
          </cell>
          <cell r="R4494">
            <v>45061</v>
          </cell>
          <cell r="S4494">
            <v>45062</v>
          </cell>
          <cell r="T4494">
            <v>45063</v>
          </cell>
          <cell r="U4494">
            <v>45069</v>
          </cell>
          <cell r="V4494">
            <v>45072</v>
          </cell>
          <cell r="W4494">
            <v>45076</v>
          </cell>
          <cell r="X4494">
            <v>41100496</v>
          </cell>
        </row>
        <row r="4495">
          <cell r="K4495" t="str">
            <v>DBW-2940</v>
          </cell>
          <cell r="L4495">
            <v>45041</v>
          </cell>
          <cell r="M4495">
            <v>45042</v>
          </cell>
          <cell r="N4495">
            <v>45055</v>
          </cell>
          <cell r="O4495">
            <v>45042</v>
          </cell>
          <cell r="P4495">
            <v>45056</v>
          </cell>
          <cell r="Q4495">
            <v>45054</v>
          </cell>
          <cell r="R4495" t="str">
            <v>2023-05-09 → 5/11</v>
          </cell>
          <cell r="S4495">
            <v>45056</v>
          </cell>
          <cell r="T4495">
            <v>45061</v>
          </cell>
          <cell r="U4495">
            <v>45061</v>
          </cell>
          <cell r="V4495">
            <v>45062</v>
          </cell>
          <cell r="W4495">
            <v>45062</v>
          </cell>
          <cell r="X4495">
            <v>41100496</v>
          </cell>
        </row>
        <row r="4496">
          <cell r="K4496" t="str">
            <v>DBW-2950</v>
          </cell>
          <cell r="L4496">
            <v>45049</v>
          </cell>
          <cell r="M4496">
            <v>45050</v>
          </cell>
          <cell r="N4496">
            <v>45062</v>
          </cell>
          <cell r="O4496">
            <v>45050</v>
          </cell>
          <cell r="P4496">
            <v>45062</v>
          </cell>
          <cell r="Q4496" t="str">
            <v>2023-05-15 → 5/16</v>
          </cell>
          <cell r="R4496">
            <v>45062</v>
          </cell>
          <cell r="S4496">
            <v>45063</v>
          </cell>
          <cell r="T4496">
            <v>45063</v>
          </cell>
          <cell r="U4496">
            <v>45070</v>
          </cell>
          <cell r="V4496">
            <v>45072</v>
          </cell>
          <cell r="W4496">
            <v>45076</v>
          </cell>
          <cell r="X4496">
            <v>41100496</v>
          </cell>
        </row>
        <row r="4497">
          <cell r="K4497" t="str">
            <v>DBW-2949</v>
          </cell>
          <cell r="L4497">
            <v>45049</v>
          </cell>
          <cell r="M4497">
            <v>45050</v>
          </cell>
          <cell r="N4497">
            <v>45062</v>
          </cell>
          <cell r="O4497">
            <v>45050</v>
          </cell>
          <cell r="P4497">
            <v>45062</v>
          </cell>
          <cell r="Q4497" t="str">
            <v>2023-05-15 → 5/16</v>
          </cell>
          <cell r="R4497">
            <v>45062</v>
          </cell>
          <cell r="S4497">
            <v>45063</v>
          </cell>
          <cell r="T4497">
            <v>45063</v>
          </cell>
          <cell r="U4497">
            <v>45069</v>
          </cell>
          <cell r="V4497">
            <v>45079</v>
          </cell>
          <cell r="W4497">
            <v>45079</v>
          </cell>
          <cell r="X4497">
            <v>41100501</v>
          </cell>
        </row>
        <row r="4498">
          <cell r="K4498" t="str">
            <v>DBW-2939</v>
          </cell>
          <cell r="L4498">
            <v>45041</v>
          </cell>
          <cell r="M4498">
            <v>45042</v>
          </cell>
          <cell r="N4498">
            <v>45055</v>
          </cell>
          <cell r="O4498">
            <v>45042</v>
          </cell>
          <cell r="P4498">
            <v>45055</v>
          </cell>
          <cell r="Q4498">
            <v>45050</v>
          </cell>
          <cell r="R4498" t="str">
            <v>2023-05-08 → 5/9</v>
          </cell>
          <cell r="S4498">
            <v>45056</v>
          </cell>
          <cell r="T4498">
            <v>45056</v>
          </cell>
          <cell r="U4498">
            <v>45061</v>
          </cell>
          <cell r="V4498">
            <v>45062</v>
          </cell>
          <cell r="W4498">
            <v>45062</v>
          </cell>
          <cell r="X4498">
            <v>41100496</v>
          </cell>
        </row>
        <row r="4499">
          <cell r="K4499" t="str">
            <v>DBW-2970</v>
          </cell>
          <cell r="L4499">
            <v>45068</v>
          </cell>
          <cell r="M4499">
            <v>45069</v>
          </cell>
          <cell r="N4499">
            <v>45076</v>
          </cell>
          <cell r="O4499">
            <v>45069</v>
          </cell>
          <cell r="P4499">
            <v>45077</v>
          </cell>
          <cell r="Q4499">
            <v>45076</v>
          </cell>
          <cell r="R4499">
            <v>45077</v>
          </cell>
          <cell r="S4499">
            <v>45078</v>
          </cell>
          <cell r="T4499">
            <v>45078</v>
          </cell>
          <cell r="U4499">
            <v>45082</v>
          </cell>
          <cell r="V4499">
            <v>45096</v>
          </cell>
          <cell r="W4499">
            <v>45096</v>
          </cell>
          <cell r="X4499">
            <v>41100496</v>
          </cell>
        </row>
        <row r="4500">
          <cell r="K4500" t="str">
            <v>GPWS-0255</v>
          </cell>
          <cell r="L4500">
            <v>45069</v>
          </cell>
          <cell r="M4500">
            <v>45070</v>
          </cell>
          <cell r="N4500">
            <v>45082</v>
          </cell>
          <cell r="O4500">
            <v>45070</v>
          </cell>
          <cell r="P4500">
            <v>45082</v>
          </cell>
          <cell r="Q4500" t="str">
            <v>2023-06-02 → 6/7</v>
          </cell>
          <cell r="R4500" t="str">
            <v>2023-06-05 → 6/7</v>
          </cell>
          <cell r="S4500">
            <v>45086</v>
          </cell>
          <cell r="T4500">
            <v>45092</v>
          </cell>
          <cell r="U4500">
            <v>45097</v>
          </cell>
          <cell r="V4500">
            <v>45098</v>
          </cell>
          <cell r="W4500">
            <v>45098</v>
          </cell>
          <cell r="X4500">
            <v>41100487</v>
          </cell>
        </row>
        <row r="4501">
          <cell r="K4501" t="str">
            <v>GPWS-0256</v>
          </cell>
          <cell r="L4501">
            <v>45069</v>
          </cell>
          <cell r="M4501">
            <v>45070</v>
          </cell>
          <cell r="N4501">
            <v>45082</v>
          </cell>
          <cell r="O4501">
            <v>45070</v>
          </cell>
          <cell r="P4501">
            <v>45082</v>
          </cell>
          <cell r="Q4501" t="str">
            <v>2023-06-02 → 6/7</v>
          </cell>
          <cell r="R4501" t="str">
            <v>2023-06-05 → 6/7</v>
          </cell>
          <cell r="S4501">
            <v>45086</v>
          </cell>
          <cell r="T4501">
            <v>45092</v>
          </cell>
          <cell r="U4501">
            <v>45097</v>
          </cell>
          <cell r="V4501">
            <v>45098</v>
          </cell>
          <cell r="W4501">
            <v>45098</v>
          </cell>
          <cell r="X4501">
            <v>41100487</v>
          </cell>
        </row>
        <row r="4502">
          <cell r="K4502" t="str">
            <v>GPWS-0262</v>
          </cell>
          <cell r="L4502">
            <v>45077</v>
          </cell>
          <cell r="M4502">
            <v>45078</v>
          </cell>
          <cell r="N4502">
            <v>45090</v>
          </cell>
          <cell r="O4502">
            <v>45078</v>
          </cell>
          <cell r="P4502">
            <v>45090</v>
          </cell>
          <cell r="Q4502">
            <v>45089</v>
          </cell>
          <cell r="R4502">
            <v>45090</v>
          </cell>
          <cell r="S4502">
            <v>45092</v>
          </cell>
          <cell r="T4502">
            <v>45092</v>
          </cell>
          <cell r="U4502">
            <v>45100</v>
          </cell>
          <cell r="V4502">
            <v>45100</v>
          </cell>
          <cell r="W4502">
            <v>45100</v>
          </cell>
          <cell r="X4502">
            <v>41100487</v>
          </cell>
        </row>
        <row r="4503">
          <cell r="K4503" t="str">
            <v>GPWS-0264</v>
          </cell>
          <cell r="L4503">
            <v>45077</v>
          </cell>
          <cell r="M4503">
            <v>45078</v>
          </cell>
          <cell r="N4503">
            <v>45090</v>
          </cell>
          <cell r="O4503">
            <v>45078</v>
          </cell>
          <cell r="P4503">
            <v>45090</v>
          </cell>
          <cell r="Q4503">
            <v>45089</v>
          </cell>
          <cell r="R4503">
            <v>45090</v>
          </cell>
          <cell r="S4503">
            <v>45092</v>
          </cell>
          <cell r="T4503">
            <v>45092</v>
          </cell>
          <cell r="U4503">
            <v>45100</v>
          </cell>
          <cell r="V4503">
            <v>45103</v>
          </cell>
          <cell r="W4503">
            <v>45103</v>
          </cell>
          <cell r="X4503">
            <v>41100487</v>
          </cell>
        </row>
        <row r="4504">
          <cell r="K4504" t="str">
            <v>GPWS-0266</v>
          </cell>
          <cell r="L4504">
            <v>45077</v>
          </cell>
          <cell r="M4504">
            <v>45078</v>
          </cell>
          <cell r="N4504">
            <v>45090</v>
          </cell>
          <cell r="O4504">
            <v>45078</v>
          </cell>
          <cell r="P4504">
            <v>45090</v>
          </cell>
          <cell r="Q4504">
            <v>45089</v>
          </cell>
          <cell r="R4504">
            <v>45090</v>
          </cell>
          <cell r="S4504">
            <v>45092</v>
          </cell>
          <cell r="T4504">
            <v>45092</v>
          </cell>
          <cell r="U4504">
            <v>45099</v>
          </cell>
          <cell r="V4504">
            <v>45100</v>
          </cell>
          <cell r="W4504">
            <v>45100</v>
          </cell>
          <cell r="X4504">
            <v>41100487</v>
          </cell>
        </row>
        <row r="4505">
          <cell r="K4505" t="str">
            <v>GPWS-0267</v>
          </cell>
          <cell r="L4505">
            <v>45077</v>
          </cell>
          <cell r="M4505">
            <v>45078</v>
          </cell>
          <cell r="N4505">
            <v>45090</v>
          </cell>
          <cell r="O4505">
            <v>45078</v>
          </cell>
          <cell r="P4505">
            <v>45090</v>
          </cell>
          <cell r="Q4505">
            <v>45089</v>
          </cell>
          <cell r="R4505">
            <v>45090</v>
          </cell>
          <cell r="S4505">
            <v>45092</v>
          </cell>
          <cell r="T4505">
            <v>45092</v>
          </cell>
          <cell r="U4505">
            <v>45103</v>
          </cell>
          <cell r="V4505">
            <v>45103</v>
          </cell>
          <cell r="W4505">
            <v>45103</v>
          </cell>
          <cell r="X4505">
            <v>41100487</v>
          </cell>
        </row>
        <row r="4506">
          <cell r="K4506" t="str">
            <v>GPWS-0268</v>
          </cell>
          <cell r="L4506">
            <v>45077</v>
          </cell>
          <cell r="M4506">
            <v>45078</v>
          </cell>
          <cell r="N4506">
            <v>45090</v>
          </cell>
          <cell r="O4506">
            <v>45078</v>
          </cell>
          <cell r="P4506">
            <v>45090</v>
          </cell>
          <cell r="Q4506">
            <v>45089</v>
          </cell>
          <cell r="R4506">
            <v>45090</v>
          </cell>
          <cell r="S4506">
            <v>45092</v>
          </cell>
          <cell r="T4506">
            <v>45092</v>
          </cell>
          <cell r="U4506">
            <v>45103</v>
          </cell>
          <cell r="V4506">
            <v>45103</v>
          </cell>
          <cell r="W4506">
            <v>45103</v>
          </cell>
          <cell r="X4506">
            <v>41100487</v>
          </cell>
        </row>
        <row r="4507">
          <cell r="K4507" t="str">
            <v>GPWS-0269</v>
          </cell>
          <cell r="L4507">
            <v>45077</v>
          </cell>
          <cell r="M4507">
            <v>45078</v>
          </cell>
          <cell r="N4507">
            <v>45090</v>
          </cell>
          <cell r="O4507">
            <v>45078</v>
          </cell>
          <cell r="P4507">
            <v>45090</v>
          </cell>
          <cell r="Q4507">
            <v>45089</v>
          </cell>
          <cell r="R4507">
            <v>45090</v>
          </cell>
          <cell r="S4507">
            <v>45092</v>
          </cell>
          <cell r="T4507">
            <v>45092</v>
          </cell>
          <cell r="U4507">
            <v>45100</v>
          </cell>
          <cell r="V4507">
            <v>45103</v>
          </cell>
          <cell r="W4507">
            <v>45103</v>
          </cell>
          <cell r="X4507">
            <v>41100487</v>
          </cell>
        </row>
        <row r="4508">
          <cell r="K4508" t="str">
            <v>DBW-2941</v>
          </cell>
          <cell r="L4508">
            <v>45041</v>
          </cell>
          <cell r="M4508">
            <v>45042</v>
          </cell>
          <cell r="N4508">
            <v>45055</v>
          </cell>
          <cell r="O4508">
            <v>45042</v>
          </cell>
          <cell r="P4508">
            <v>45056</v>
          </cell>
          <cell r="Q4508">
            <v>45054</v>
          </cell>
          <cell r="R4508" t="str">
            <v>2023-05-09 → 5/11</v>
          </cell>
          <cell r="S4508">
            <v>45056</v>
          </cell>
          <cell r="T4508">
            <v>45061</v>
          </cell>
          <cell r="U4508">
            <v>45063</v>
          </cell>
          <cell r="V4508">
            <v>45064</v>
          </cell>
          <cell r="W4508">
            <v>45064</v>
          </cell>
          <cell r="X4508">
            <v>41100496</v>
          </cell>
        </row>
        <row r="4509">
          <cell r="K4509" t="str">
            <v>DBW-2918</v>
          </cell>
          <cell r="L4509">
            <v>45006</v>
          </cell>
          <cell r="M4509">
            <v>45008</v>
          </cell>
          <cell r="N4509">
            <v>45019</v>
          </cell>
          <cell r="O4509">
            <v>45008</v>
          </cell>
          <cell r="P4509">
            <v>45019</v>
          </cell>
          <cell r="Q4509">
            <v>45016</v>
          </cell>
          <cell r="R4509">
            <v>45016</v>
          </cell>
          <cell r="S4509">
            <v>45019</v>
          </cell>
          <cell r="T4509">
            <v>45020</v>
          </cell>
          <cell r="U4509">
            <v>45028</v>
          </cell>
          <cell r="V4509">
            <v>45033</v>
          </cell>
          <cell r="W4509">
            <v>45033</v>
          </cell>
          <cell r="X4509">
            <v>41100598</v>
          </cell>
        </row>
        <row r="4510">
          <cell r="K4510" t="str">
            <v>WS-0082</v>
          </cell>
          <cell r="L4510">
            <v>45077</v>
          </cell>
          <cell r="M4510">
            <v>45078</v>
          </cell>
          <cell r="N4510">
            <v>45090</v>
          </cell>
          <cell r="O4510">
            <v>45078</v>
          </cell>
          <cell r="P4510">
            <v>45090</v>
          </cell>
          <cell r="Q4510" t="str">
            <v>2023-06-12 → 6/13</v>
          </cell>
          <cell r="R4510">
            <v>45090</v>
          </cell>
          <cell r="S4510">
            <v>45090</v>
          </cell>
          <cell r="T4510">
            <v>45097</v>
          </cell>
          <cell r="U4510">
            <v>45104</v>
          </cell>
          <cell r="V4510">
            <v>45105</v>
          </cell>
          <cell r="W4510">
            <v>45105</v>
          </cell>
          <cell r="X4510">
            <v>41100680</v>
          </cell>
        </row>
        <row r="4511">
          <cell r="K4511" t="str">
            <v>WS-0083</v>
          </cell>
          <cell r="L4511">
            <v>45077</v>
          </cell>
          <cell r="M4511">
            <v>45078</v>
          </cell>
          <cell r="N4511">
            <v>45090</v>
          </cell>
          <cell r="O4511">
            <v>45078</v>
          </cell>
          <cell r="P4511">
            <v>45090</v>
          </cell>
          <cell r="Q4511" t="str">
            <v>2023-06-12 → 6/13</v>
          </cell>
          <cell r="R4511">
            <v>45090</v>
          </cell>
          <cell r="S4511">
            <v>45090</v>
          </cell>
          <cell r="T4511">
            <v>45097</v>
          </cell>
          <cell r="U4511">
            <v>45104</v>
          </cell>
          <cell r="V4511">
            <v>45105</v>
          </cell>
          <cell r="W4511">
            <v>45105</v>
          </cell>
          <cell r="X4511">
            <v>41100680</v>
          </cell>
        </row>
        <row r="4512">
          <cell r="K4512" t="str">
            <v>DBW-2979</v>
          </cell>
          <cell r="L4512">
            <v>45082</v>
          </cell>
          <cell r="M4512">
            <v>45084</v>
          </cell>
          <cell r="N4512">
            <v>45093</v>
          </cell>
          <cell r="O4512">
            <v>45084</v>
          </cell>
          <cell r="P4512">
            <v>45093</v>
          </cell>
          <cell r="Q4512">
            <v>45092</v>
          </cell>
          <cell r="R4512">
            <v>45093</v>
          </cell>
          <cell r="S4512">
            <v>45097</v>
          </cell>
          <cell r="T4512">
            <v>45098</v>
          </cell>
          <cell r="U4512">
            <v>45104</v>
          </cell>
          <cell r="V4512">
            <v>45105</v>
          </cell>
          <cell r="W4512">
            <v>45105</v>
          </cell>
          <cell r="X4512">
            <v>41100360</v>
          </cell>
        </row>
        <row r="4513">
          <cell r="K4513" t="str">
            <v>GBWS-3434</v>
          </cell>
          <cell r="L4513">
            <v>45078</v>
          </cell>
          <cell r="M4513">
            <v>45079</v>
          </cell>
          <cell r="N4513">
            <v>45091</v>
          </cell>
          <cell r="O4513">
            <v>45079</v>
          </cell>
          <cell r="P4513">
            <v>45091</v>
          </cell>
          <cell r="Q4513">
            <v>45090</v>
          </cell>
          <cell r="R4513">
            <v>45091</v>
          </cell>
          <cell r="S4513">
            <v>45090</v>
          </cell>
          <cell r="T4513">
            <v>45091</v>
          </cell>
          <cell r="U4513">
            <v>45099</v>
          </cell>
          <cell r="V4513">
            <v>45100</v>
          </cell>
          <cell r="W4513">
            <v>45100</v>
          </cell>
          <cell r="X4513">
            <v>41100679</v>
          </cell>
        </row>
        <row r="4514">
          <cell r="K4514" t="str">
            <v>GBWS-3435</v>
          </cell>
          <cell r="L4514">
            <v>45078</v>
          </cell>
          <cell r="M4514">
            <v>45079</v>
          </cell>
          <cell r="N4514">
            <v>45091</v>
          </cell>
          <cell r="O4514">
            <v>45079</v>
          </cell>
          <cell r="P4514">
            <v>45091</v>
          </cell>
          <cell r="Q4514">
            <v>45090</v>
          </cell>
          <cell r="R4514">
            <v>45091</v>
          </cell>
          <cell r="S4514">
            <v>45090</v>
          </cell>
          <cell r="T4514">
            <v>45091</v>
          </cell>
          <cell r="U4514">
            <v>45099</v>
          </cell>
          <cell r="V4514">
            <v>45100</v>
          </cell>
          <cell r="W4514">
            <v>45100</v>
          </cell>
          <cell r="X4514">
            <v>41100679</v>
          </cell>
        </row>
        <row r="4515">
          <cell r="K4515" t="str">
            <v>GBWS-3436</v>
          </cell>
          <cell r="L4515">
            <v>45078</v>
          </cell>
          <cell r="M4515">
            <v>45079</v>
          </cell>
          <cell r="N4515">
            <v>45091</v>
          </cell>
          <cell r="O4515">
            <v>45079</v>
          </cell>
          <cell r="P4515">
            <v>45091</v>
          </cell>
          <cell r="Q4515">
            <v>45090</v>
          </cell>
          <cell r="R4515">
            <v>45091</v>
          </cell>
          <cell r="S4515">
            <v>45090</v>
          </cell>
          <cell r="T4515">
            <v>45091</v>
          </cell>
          <cell r="U4515">
            <v>45099</v>
          </cell>
          <cell r="V4515">
            <v>45100</v>
          </cell>
          <cell r="W4515">
            <v>45100</v>
          </cell>
          <cell r="X4515">
            <v>41100679</v>
          </cell>
        </row>
        <row r="4516">
          <cell r="K4516" t="str">
            <v>GBWS-3437</v>
          </cell>
          <cell r="L4516">
            <v>45078</v>
          </cell>
          <cell r="M4516">
            <v>45079</v>
          </cell>
          <cell r="N4516">
            <v>45091</v>
          </cell>
          <cell r="O4516">
            <v>45079</v>
          </cell>
          <cell r="P4516">
            <v>45091</v>
          </cell>
          <cell r="Q4516">
            <v>45090</v>
          </cell>
          <cell r="R4516">
            <v>45091</v>
          </cell>
          <cell r="S4516">
            <v>45090</v>
          </cell>
          <cell r="T4516">
            <v>45091</v>
          </cell>
          <cell r="U4516">
            <v>45099</v>
          </cell>
          <cell r="V4516">
            <v>45100</v>
          </cell>
          <cell r="W4516">
            <v>45100</v>
          </cell>
          <cell r="X4516">
            <v>41100679</v>
          </cell>
        </row>
        <row r="4517">
          <cell r="K4517" t="str">
            <v>GBWS-3438</v>
          </cell>
          <cell r="L4517">
            <v>45078</v>
          </cell>
          <cell r="M4517">
            <v>45079</v>
          </cell>
          <cell r="N4517">
            <v>45091</v>
          </cell>
          <cell r="O4517">
            <v>45079</v>
          </cell>
          <cell r="P4517">
            <v>45091</v>
          </cell>
          <cell r="Q4517">
            <v>45090</v>
          </cell>
          <cell r="R4517">
            <v>45091</v>
          </cell>
          <cell r="S4517">
            <v>45090</v>
          </cell>
          <cell r="T4517">
            <v>45091</v>
          </cell>
          <cell r="U4517">
            <v>45100</v>
          </cell>
          <cell r="V4517">
            <v>45100</v>
          </cell>
          <cell r="W4517">
            <v>45100</v>
          </cell>
          <cell r="X4517">
            <v>41100679</v>
          </cell>
        </row>
        <row r="4518">
          <cell r="K4518" t="str">
            <v>GBWS-3439</v>
          </cell>
          <cell r="L4518">
            <v>45078</v>
          </cell>
          <cell r="M4518">
            <v>45079</v>
          </cell>
          <cell r="N4518">
            <v>45091</v>
          </cell>
          <cell r="O4518">
            <v>45079</v>
          </cell>
          <cell r="P4518">
            <v>45091</v>
          </cell>
          <cell r="Q4518">
            <v>45090</v>
          </cell>
          <cell r="R4518">
            <v>45091</v>
          </cell>
          <cell r="S4518">
            <v>45090</v>
          </cell>
          <cell r="T4518">
            <v>45091</v>
          </cell>
          <cell r="U4518">
            <v>45100</v>
          </cell>
          <cell r="V4518">
            <v>45100</v>
          </cell>
          <cell r="W4518">
            <v>45100</v>
          </cell>
          <cell r="X4518">
            <v>41100679</v>
          </cell>
        </row>
        <row r="4519">
          <cell r="K4519" t="str">
            <v>GBWS-3440</v>
          </cell>
          <cell r="L4519">
            <v>45078</v>
          </cell>
          <cell r="M4519">
            <v>45079</v>
          </cell>
          <cell r="N4519">
            <v>45091</v>
          </cell>
          <cell r="O4519">
            <v>45079</v>
          </cell>
          <cell r="P4519">
            <v>45091</v>
          </cell>
          <cell r="Q4519">
            <v>45090</v>
          </cell>
          <cell r="R4519">
            <v>45091</v>
          </cell>
          <cell r="S4519">
            <v>45090</v>
          </cell>
          <cell r="T4519">
            <v>45091</v>
          </cell>
          <cell r="U4519">
            <v>45099</v>
          </cell>
          <cell r="V4519">
            <v>45100</v>
          </cell>
          <cell r="W4519">
            <v>45100</v>
          </cell>
          <cell r="X4519">
            <v>41100679</v>
          </cell>
        </row>
        <row r="4520">
          <cell r="K4520" t="str">
            <v>IVAS-210</v>
          </cell>
          <cell r="L4520">
            <v>45082</v>
          </cell>
          <cell r="M4520">
            <v>45084</v>
          </cell>
          <cell r="N4520">
            <v>45096</v>
          </cell>
          <cell r="O4520">
            <v>45084</v>
          </cell>
          <cell r="P4520">
            <v>45096</v>
          </cell>
          <cell r="Q4520">
            <v>45093</v>
          </cell>
          <cell r="R4520">
            <v>45096</v>
          </cell>
          <cell r="S4520">
            <v>45097</v>
          </cell>
          <cell r="T4520">
            <v>45097</v>
          </cell>
          <cell r="U4520">
            <v>45105</v>
          </cell>
          <cell r="V4520">
            <v>45106</v>
          </cell>
          <cell r="W4520">
            <v>45106</v>
          </cell>
          <cell r="X4520">
            <v>41100603</v>
          </cell>
        </row>
        <row r="4521">
          <cell r="K4521" t="str">
            <v>IVAS-211</v>
          </cell>
          <cell r="L4521">
            <v>45088</v>
          </cell>
          <cell r="M4521" t="str">
            <v>2023-06-02 → 6/12</v>
          </cell>
          <cell r="N4521">
            <v>45097</v>
          </cell>
          <cell r="O4521" t="str">
            <v>2023-06-02 → 6/12</v>
          </cell>
          <cell r="P4521">
            <v>45097</v>
          </cell>
          <cell r="Q4521" t="str">
            <v>2023-06-13 → 6/20</v>
          </cell>
          <cell r="R4521" t="str">
            <v>2023-06-14 → 6/21</v>
          </cell>
          <cell r="S4521">
            <v>45097</v>
          </cell>
          <cell r="T4521">
            <v>45098</v>
          </cell>
          <cell r="U4521">
            <v>45105</v>
          </cell>
          <cell r="V4521">
            <v>45106</v>
          </cell>
          <cell r="W4521">
            <v>45106</v>
          </cell>
          <cell r="X4521">
            <v>41100674</v>
          </cell>
        </row>
        <row r="4522">
          <cell r="K4522" t="str">
            <v>GBWS-3362</v>
          </cell>
          <cell r="L4522">
            <v>45033</v>
          </cell>
          <cell r="M4522">
            <v>45034</v>
          </cell>
          <cell r="N4522">
            <v>45043</v>
          </cell>
          <cell r="O4522">
            <v>45034</v>
          </cell>
          <cell r="P4522">
            <v>45043</v>
          </cell>
          <cell r="Q4522">
            <v>45047</v>
          </cell>
          <cell r="R4522" t="str">
            <v>2023-05-01 → 5/2</v>
          </cell>
          <cell r="S4522">
            <v>45048</v>
          </cell>
          <cell r="T4522">
            <v>45048</v>
          </cell>
          <cell r="U4522">
            <v>45084</v>
          </cell>
          <cell r="V4522">
            <v>45084</v>
          </cell>
          <cell r="W4522">
            <v>45084</v>
          </cell>
          <cell r="X4522" t="str">
            <v>41100645 → 41100673</v>
          </cell>
        </row>
        <row r="4523">
          <cell r="K4523" t="str">
            <v>GBWS-3363</v>
          </cell>
          <cell r="L4523">
            <v>45033</v>
          </cell>
          <cell r="M4523">
            <v>45034</v>
          </cell>
          <cell r="N4523">
            <v>45043</v>
          </cell>
          <cell r="O4523">
            <v>45034</v>
          </cell>
          <cell r="P4523">
            <v>45043</v>
          </cell>
          <cell r="Q4523">
            <v>45047</v>
          </cell>
          <cell r="R4523" t="str">
            <v>2023-05-01 → 5/2</v>
          </cell>
          <cell r="S4523">
            <v>45048</v>
          </cell>
          <cell r="T4523">
            <v>45056</v>
          </cell>
          <cell r="U4523">
            <v>45058</v>
          </cell>
          <cell r="V4523">
            <v>45061</v>
          </cell>
          <cell r="W4523">
            <v>45061</v>
          </cell>
          <cell r="X4523" t="str">
            <v>41100645 → 41100673</v>
          </cell>
        </row>
        <row r="4524">
          <cell r="K4524" t="str">
            <v>GBWS-3364</v>
          </cell>
          <cell r="L4524">
            <v>45033</v>
          </cell>
          <cell r="M4524">
            <v>45034</v>
          </cell>
          <cell r="N4524">
            <v>45043</v>
          </cell>
          <cell r="O4524">
            <v>45034</v>
          </cell>
          <cell r="P4524">
            <v>45043</v>
          </cell>
          <cell r="Q4524">
            <v>45047</v>
          </cell>
          <cell r="R4524" t="str">
            <v>2023-05-01 → 5/2</v>
          </cell>
          <cell r="S4524">
            <v>45048</v>
          </cell>
          <cell r="T4524">
            <v>45056</v>
          </cell>
          <cell r="U4524">
            <v>45064</v>
          </cell>
          <cell r="V4524">
            <v>45072</v>
          </cell>
          <cell r="W4524">
            <v>45072</v>
          </cell>
          <cell r="X4524" t="str">
            <v>41100645 → 41100673</v>
          </cell>
        </row>
        <row r="4525">
          <cell r="K4525" t="str">
            <v>GBWS-3365</v>
          </cell>
          <cell r="L4525">
            <v>45033</v>
          </cell>
          <cell r="M4525">
            <v>45034</v>
          </cell>
          <cell r="N4525">
            <v>45043</v>
          </cell>
          <cell r="O4525">
            <v>45034</v>
          </cell>
          <cell r="P4525">
            <v>45043</v>
          </cell>
          <cell r="Q4525">
            <v>45047</v>
          </cell>
          <cell r="R4525" t="str">
            <v>2023-05-01 → 5/2</v>
          </cell>
          <cell r="S4525">
            <v>45048</v>
          </cell>
          <cell r="T4525">
            <v>45056</v>
          </cell>
          <cell r="U4525">
            <v>45061</v>
          </cell>
          <cell r="V4525">
            <v>45062</v>
          </cell>
          <cell r="W4525">
            <v>45062</v>
          </cell>
          <cell r="X4525" t="str">
            <v>41100645 → 41100673</v>
          </cell>
        </row>
        <row r="4526">
          <cell r="K4526" t="str">
            <v>GBWS-3365</v>
          </cell>
          <cell r="L4526">
            <v>45033</v>
          </cell>
          <cell r="M4526">
            <v>45034</v>
          </cell>
          <cell r="N4526">
            <v>45043</v>
          </cell>
          <cell r="O4526">
            <v>45034</v>
          </cell>
          <cell r="P4526">
            <v>45043</v>
          </cell>
          <cell r="Q4526">
            <v>45047</v>
          </cell>
          <cell r="R4526" t="str">
            <v>2023-05-01 → 5/2</v>
          </cell>
          <cell r="S4526">
            <v>45048</v>
          </cell>
          <cell r="T4526">
            <v>45056</v>
          </cell>
          <cell r="U4526">
            <v>45062</v>
          </cell>
          <cell r="V4526">
            <v>45062</v>
          </cell>
          <cell r="W4526">
            <v>45062</v>
          </cell>
          <cell r="X4526" t="str">
            <v>41100645 → 41100673</v>
          </cell>
        </row>
        <row r="4527">
          <cell r="K4527" t="str">
            <v>GBWS-3367</v>
          </cell>
          <cell r="L4527">
            <v>45033</v>
          </cell>
          <cell r="M4527">
            <v>45034</v>
          </cell>
          <cell r="N4527">
            <v>45043</v>
          </cell>
          <cell r="O4527">
            <v>45034</v>
          </cell>
          <cell r="P4527">
            <v>45043</v>
          </cell>
          <cell r="Q4527">
            <v>45047</v>
          </cell>
          <cell r="R4527" t="str">
            <v>2023-05-01 → 5/2</v>
          </cell>
          <cell r="S4527">
            <v>45048</v>
          </cell>
          <cell r="T4527">
            <v>45056</v>
          </cell>
          <cell r="U4527">
            <v>45063</v>
          </cell>
          <cell r="V4527">
            <v>45069</v>
          </cell>
          <cell r="W4527">
            <v>45069</v>
          </cell>
          <cell r="X4527" t="str">
            <v>41100645 → 41100673</v>
          </cell>
        </row>
        <row r="4528">
          <cell r="K4528" t="str">
            <v>GBWS-3368</v>
          </cell>
          <cell r="L4528">
            <v>45033</v>
          </cell>
          <cell r="M4528">
            <v>45034</v>
          </cell>
          <cell r="N4528">
            <v>45044</v>
          </cell>
          <cell r="O4528">
            <v>45034</v>
          </cell>
          <cell r="P4528">
            <v>45043</v>
          </cell>
          <cell r="Q4528">
            <v>45047</v>
          </cell>
          <cell r="R4528" t="str">
            <v>2023-05-01 → 5/2</v>
          </cell>
          <cell r="S4528">
            <v>45048</v>
          </cell>
          <cell r="T4528">
            <v>45056</v>
          </cell>
          <cell r="U4528">
            <v>45061</v>
          </cell>
          <cell r="V4528">
            <v>45062</v>
          </cell>
          <cell r="W4528">
            <v>45062</v>
          </cell>
          <cell r="X4528" t="str">
            <v>41100645 → 41100673</v>
          </cell>
        </row>
        <row r="4529">
          <cell r="K4529" t="str">
            <v>GBWS-3369</v>
          </cell>
          <cell r="L4529">
            <v>45033</v>
          </cell>
          <cell r="M4529">
            <v>45034</v>
          </cell>
          <cell r="N4529">
            <v>45044</v>
          </cell>
          <cell r="O4529">
            <v>45034</v>
          </cell>
          <cell r="P4529">
            <v>45043</v>
          </cell>
          <cell r="Q4529">
            <v>45047</v>
          </cell>
          <cell r="R4529" t="str">
            <v>2023-05-01 → 5/2</v>
          </cell>
          <cell r="S4529">
            <v>45048</v>
          </cell>
          <cell r="T4529">
            <v>45057</v>
          </cell>
          <cell r="U4529">
            <v>45064</v>
          </cell>
          <cell r="V4529">
            <v>45069</v>
          </cell>
          <cell r="W4529">
            <v>45069</v>
          </cell>
          <cell r="X4529" t="str">
            <v>41100645 → 41100673</v>
          </cell>
        </row>
        <row r="4530">
          <cell r="K4530" t="str">
            <v>GBWS-3370</v>
          </cell>
          <cell r="L4530">
            <v>45033</v>
          </cell>
          <cell r="M4530">
            <v>45034</v>
          </cell>
          <cell r="N4530">
            <v>45044</v>
          </cell>
          <cell r="O4530">
            <v>45034</v>
          </cell>
          <cell r="P4530">
            <v>45043</v>
          </cell>
          <cell r="Q4530">
            <v>45047</v>
          </cell>
          <cell r="R4530" t="str">
            <v>2023-05-01 → 5/2</v>
          </cell>
          <cell r="S4530">
            <v>45048</v>
          </cell>
          <cell r="T4530">
            <v>45057</v>
          </cell>
          <cell r="U4530">
            <v>45064</v>
          </cell>
          <cell r="V4530">
            <v>45069</v>
          </cell>
          <cell r="W4530">
            <v>45069</v>
          </cell>
          <cell r="X4530" t="str">
            <v>41100645 → 41100673</v>
          </cell>
        </row>
        <row r="4531">
          <cell r="K4531" t="str">
            <v>GBWS-3371</v>
          </cell>
          <cell r="L4531">
            <v>45033</v>
          </cell>
          <cell r="M4531">
            <v>45034</v>
          </cell>
          <cell r="N4531">
            <v>45044</v>
          </cell>
          <cell r="O4531">
            <v>45034</v>
          </cell>
          <cell r="P4531">
            <v>45043</v>
          </cell>
          <cell r="Q4531">
            <v>45047</v>
          </cell>
          <cell r="R4531" t="str">
            <v>2023-05-01 → 5/2</v>
          </cell>
          <cell r="S4531">
            <v>45048</v>
          </cell>
          <cell r="T4531">
            <v>45057</v>
          </cell>
          <cell r="U4531">
            <v>45084</v>
          </cell>
          <cell r="V4531">
            <v>45084</v>
          </cell>
          <cell r="W4531">
            <v>45084</v>
          </cell>
          <cell r="X4531" t="str">
            <v>41100645 → 41100673</v>
          </cell>
        </row>
        <row r="4532">
          <cell r="K4532" t="str">
            <v>DBW-2990</v>
          </cell>
          <cell r="L4532">
            <v>45089</v>
          </cell>
          <cell r="M4532">
            <v>45089</v>
          </cell>
          <cell r="N4532">
            <v>45096</v>
          </cell>
          <cell r="O4532">
            <v>45089</v>
          </cell>
          <cell r="P4532">
            <v>45097</v>
          </cell>
          <cell r="Q4532">
            <v>45096</v>
          </cell>
          <cell r="R4532">
            <v>45097</v>
          </cell>
          <cell r="S4532">
            <v>45098</v>
          </cell>
          <cell r="T4532">
            <v>45098</v>
          </cell>
          <cell r="U4532">
            <v>45100</v>
          </cell>
          <cell r="V4532">
            <v>45104</v>
          </cell>
          <cell r="W4532">
            <v>45104</v>
          </cell>
          <cell r="X4532">
            <v>41100689</v>
          </cell>
        </row>
        <row r="4533">
          <cell r="K4533" t="str">
            <v>DBW-2991</v>
          </cell>
          <cell r="L4533">
            <v>45089</v>
          </cell>
          <cell r="M4533">
            <v>45089</v>
          </cell>
          <cell r="N4533">
            <v>45096</v>
          </cell>
          <cell r="O4533">
            <v>45089</v>
          </cell>
          <cell r="P4533">
            <v>45097</v>
          </cell>
          <cell r="Q4533">
            <v>45096</v>
          </cell>
          <cell r="R4533">
            <v>45097</v>
          </cell>
          <cell r="S4533">
            <v>45098</v>
          </cell>
          <cell r="T4533">
            <v>45098</v>
          </cell>
          <cell r="U4533">
            <v>45100</v>
          </cell>
          <cell r="V4533">
            <v>45104</v>
          </cell>
          <cell r="W4533">
            <v>45104</v>
          </cell>
          <cell r="X4533">
            <v>41100689</v>
          </cell>
        </row>
        <row r="4534">
          <cell r="K4534" t="str">
            <v>GBWS-3408</v>
          </cell>
          <cell r="L4534">
            <v>45062</v>
          </cell>
          <cell r="M4534" t="str">
            <v>2023-04-26 → 5/17</v>
          </cell>
          <cell r="N4534">
            <v>45072</v>
          </cell>
          <cell r="O4534" t="str">
            <v>2023-04-26 → 5/17</v>
          </cell>
          <cell r="P4534">
            <v>45072</v>
          </cell>
          <cell r="Q4534" t="str">
            <v>2023-05-08 → 5/26</v>
          </cell>
          <cell r="R4534" t="str">
            <v>2023-05-08 → 5/9 → 5/29</v>
          </cell>
          <cell r="S4534">
            <v>45076</v>
          </cell>
          <cell r="T4534">
            <v>45077</v>
          </cell>
          <cell r="U4534">
            <v>45096</v>
          </cell>
          <cell r="V4534">
            <v>45097</v>
          </cell>
          <cell r="W4534">
            <v>45097</v>
          </cell>
          <cell r="X4534" t="str">
            <v>41100645 → 41100673</v>
          </cell>
        </row>
        <row r="4535">
          <cell r="K4535" t="str">
            <v>GBWS-3409</v>
          </cell>
          <cell r="L4535">
            <v>45062</v>
          </cell>
          <cell r="M4535" t="str">
            <v>2023-04-26 → 5/17</v>
          </cell>
          <cell r="N4535">
            <v>45072</v>
          </cell>
          <cell r="O4535" t="str">
            <v>2023-04-26 → 5/17</v>
          </cell>
          <cell r="P4535">
            <v>45072</v>
          </cell>
          <cell r="Q4535" t="str">
            <v>2023-05-08 → 5/26</v>
          </cell>
          <cell r="R4535" t="str">
            <v>2023-05-08 → 5/9 → 5/29</v>
          </cell>
          <cell r="S4535">
            <v>45076</v>
          </cell>
          <cell r="T4535">
            <v>45077</v>
          </cell>
          <cell r="U4535">
            <v>45079</v>
          </cell>
          <cell r="V4535">
            <v>45084</v>
          </cell>
          <cell r="W4535">
            <v>45084</v>
          </cell>
          <cell r="X4535" t="str">
            <v>41100645 → 41100673</v>
          </cell>
        </row>
        <row r="4536">
          <cell r="K4536" t="str">
            <v>GBWS-3410</v>
          </cell>
          <cell r="L4536">
            <v>45062</v>
          </cell>
          <cell r="M4536" t="str">
            <v>2023-04-26 → 5/17</v>
          </cell>
          <cell r="N4536">
            <v>45072</v>
          </cell>
          <cell r="O4536" t="str">
            <v>2023-04-26 → 5/17</v>
          </cell>
          <cell r="P4536">
            <v>45072</v>
          </cell>
          <cell r="Q4536" t="str">
            <v>2023-05-08 → 5/26</v>
          </cell>
          <cell r="R4536" t="str">
            <v>2023-05-08 → 5/9 → 5/29</v>
          </cell>
          <cell r="S4536">
            <v>45076</v>
          </cell>
          <cell r="T4536">
            <v>45077</v>
          </cell>
          <cell r="U4536">
            <v>45096</v>
          </cell>
          <cell r="V4536">
            <v>45097</v>
          </cell>
          <cell r="W4536">
            <v>45097</v>
          </cell>
          <cell r="X4536" t="str">
            <v>41100645 → 41100673</v>
          </cell>
        </row>
        <row r="4537">
          <cell r="K4537" t="str">
            <v>GBWS-3411</v>
          </cell>
          <cell r="L4537">
            <v>45062</v>
          </cell>
          <cell r="M4537" t="str">
            <v>2023-04-26 → 5/17</v>
          </cell>
          <cell r="N4537">
            <v>45072</v>
          </cell>
          <cell r="O4537" t="str">
            <v>2023-04-26 → 5/17</v>
          </cell>
          <cell r="P4537">
            <v>45072</v>
          </cell>
          <cell r="Q4537" t="str">
            <v>2023-05-08 → 5/26</v>
          </cell>
          <cell r="R4537" t="str">
            <v>2023-05-08 → 5/9 → 5/29</v>
          </cell>
          <cell r="S4537">
            <v>45076</v>
          </cell>
          <cell r="T4537">
            <v>45077</v>
          </cell>
          <cell r="U4537">
            <v>45079</v>
          </cell>
          <cell r="V4537">
            <v>45084</v>
          </cell>
          <cell r="W4537">
            <v>45084</v>
          </cell>
          <cell r="X4537" t="str">
            <v>41100645 → 41100673</v>
          </cell>
        </row>
        <row r="4538">
          <cell r="K4538" t="str">
            <v>GBWS-3412</v>
          </cell>
          <cell r="L4538">
            <v>45062</v>
          </cell>
          <cell r="M4538" t="str">
            <v>2023-04-26 → 5/17</v>
          </cell>
          <cell r="N4538">
            <v>45072</v>
          </cell>
          <cell r="O4538" t="str">
            <v>2023-04-26 → 5/17</v>
          </cell>
          <cell r="P4538">
            <v>45072</v>
          </cell>
          <cell r="Q4538" t="str">
            <v>2023-05-08 → 5/26</v>
          </cell>
          <cell r="R4538" t="str">
            <v>2023-05-08 → 5/9 → 5/29</v>
          </cell>
          <cell r="S4538">
            <v>45076</v>
          </cell>
          <cell r="T4538">
            <v>45077</v>
          </cell>
          <cell r="U4538">
            <v>45079</v>
          </cell>
          <cell r="V4538">
            <v>45084</v>
          </cell>
          <cell r="W4538">
            <v>45084</v>
          </cell>
          <cell r="X4538" t="str">
            <v>41100645 → 41100673</v>
          </cell>
        </row>
        <row r="4539">
          <cell r="K4539" t="str">
            <v>GBWS-3422</v>
          </cell>
          <cell r="L4539">
            <v>45070</v>
          </cell>
          <cell r="M4539" t="str">
            <v>2023-05-03 → 5/25</v>
          </cell>
          <cell r="N4539">
            <v>45082</v>
          </cell>
          <cell r="O4539" t="str">
            <v>2023-05-03 → 5/25</v>
          </cell>
          <cell r="P4539">
            <v>45079</v>
          </cell>
          <cell r="Q4539" t="str">
            <v>2023-05-15 → 6/7</v>
          </cell>
          <cell r="R4539" t="str">
            <v>2023-05-15 → 6/8</v>
          </cell>
          <cell r="S4539">
            <v>45085</v>
          </cell>
          <cell r="T4539">
            <v>45086</v>
          </cell>
          <cell r="U4539">
            <v>45096</v>
          </cell>
          <cell r="V4539">
            <v>45097</v>
          </cell>
          <cell r="W4539">
            <v>45097</v>
          </cell>
          <cell r="X4539" t="str">
            <v>41100645 → 41100673</v>
          </cell>
        </row>
        <row r="4540">
          <cell r="K4540" t="str">
            <v>GBWS-3423</v>
          </cell>
          <cell r="L4540">
            <v>45070</v>
          </cell>
          <cell r="M4540" t="str">
            <v>2023-05-03 → 5/25</v>
          </cell>
          <cell r="N4540">
            <v>45082</v>
          </cell>
          <cell r="O4540" t="str">
            <v>2023-05-03 → 5/25</v>
          </cell>
          <cell r="P4540">
            <v>45079</v>
          </cell>
          <cell r="Q4540" t="str">
            <v>2023-05-15 → 6/7</v>
          </cell>
          <cell r="R4540" t="str">
            <v>2023-05-15 → 6/8</v>
          </cell>
          <cell r="S4540">
            <v>45085</v>
          </cell>
          <cell r="T4540">
            <v>45086</v>
          </cell>
          <cell r="U4540">
            <v>45099</v>
          </cell>
          <cell r="V4540">
            <v>45097</v>
          </cell>
          <cell r="W4540">
            <v>45097</v>
          </cell>
          <cell r="X4540" t="str">
            <v>41100645 → 41100673</v>
          </cell>
        </row>
        <row r="4541">
          <cell r="K4541" t="str">
            <v>GBWS-3351</v>
          </cell>
          <cell r="L4541">
            <v>45028</v>
          </cell>
          <cell r="M4541">
            <v>45028</v>
          </cell>
          <cell r="N4541">
            <v>45041</v>
          </cell>
          <cell r="O4541">
            <v>45028</v>
          </cell>
          <cell r="P4541">
            <v>45041</v>
          </cell>
          <cell r="Q4541">
            <v>45041</v>
          </cell>
          <cell r="R4541" t="str">
            <v>2023-04-25 → 4/26</v>
          </cell>
          <cell r="S4541">
            <v>45043</v>
          </cell>
          <cell r="T4541">
            <v>45044</v>
          </cell>
          <cell r="U4541">
            <v>45049</v>
          </cell>
          <cell r="V4541">
            <v>45050</v>
          </cell>
          <cell r="W4541">
            <v>45050</v>
          </cell>
          <cell r="X4541" t="str">
            <v>41100645 → 41100673</v>
          </cell>
        </row>
        <row r="4542">
          <cell r="K4542" t="str">
            <v>GBWS-3350</v>
          </cell>
          <cell r="L4542">
            <v>45028</v>
          </cell>
          <cell r="M4542">
            <v>45028</v>
          </cell>
          <cell r="N4542">
            <v>45041</v>
          </cell>
          <cell r="O4542">
            <v>45028</v>
          </cell>
          <cell r="P4542">
            <v>45041</v>
          </cell>
          <cell r="Q4542">
            <v>45041</v>
          </cell>
          <cell r="R4542" t="str">
            <v>2023-04-25 → 4/26</v>
          </cell>
          <cell r="S4542">
            <v>45043</v>
          </cell>
          <cell r="T4542">
            <v>45044</v>
          </cell>
          <cell r="U4542">
            <v>45084</v>
          </cell>
          <cell r="V4542">
            <v>45084</v>
          </cell>
          <cell r="W4542">
            <v>45084</v>
          </cell>
          <cell r="X4542" t="str">
            <v>41100645 → 41100673</v>
          </cell>
        </row>
        <row r="4543">
          <cell r="K4543" t="str">
            <v>DBW-2982</v>
          </cell>
          <cell r="L4543">
            <v>45085</v>
          </cell>
          <cell r="M4543">
            <v>45086</v>
          </cell>
          <cell r="N4543">
            <v>45096</v>
          </cell>
          <cell r="O4543">
            <v>45086</v>
          </cell>
          <cell r="P4543">
            <v>45097</v>
          </cell>
          <cell r="Q4543">
            <v>45096</v>
          </cell>
          <cell r="R4543">
            <v>45097</v>
          </cell>
          <cell r="S4543">
            <v>45098</v>
          </cell>
          <cell r="T4543">
            <v>45100</v>
          </cell>
          <cell r="U4543">
            <v>45104</v>
          </cell>
          <cell r="V4543">
            <v>45104</v>
          </cell>
          <cell r="W4543">
            <v>45104</v>
          </cell>
          <cell r="X4543">
            <v>41100691</v>
          </cell>
        </row>
        <row r="4544">
          <cell r="K4544" t="str">
            <v>DBW-2983</v>
          </cell>
          <cell r="L4544">
            <v>45085</v>
          </cell>
          <cell r="M4544">
            <v>45086</v>
          </cell>
          <cell r="N4544">
            <v>45096</v>
          </cell>
          <cell r="O4544">
            <v>45086</v>
          </cell>
          <cell r="P4544">
            <v>45097</v>
          </cell>
          <cell r="Q4544">
            <v>45096</v>
          </cell>
          <cell r="R4544">
            <v>45097</v>
          </cell>
          <cell r="S4544">
            <v>45098</v>
          </cell>
          <cell r="T4544">
            <v>45099</v>
          </cell>
          <cell r="U4544">
            <v>45103</v>
          </cell>
          <cell r="V4544">
            <v>45104</v>
          </cell>
          <cell r="W4544">
            <v>45104</v>
          </cell>
          <cell r="X4544">
            <v>41100691</v>
          </cell>
        </row>
        <row r="4545">
          <cell r="K4545" t="str">
            <v>DBW-2984</v>
          </cell>
          <cell r="L4545">
            <v>45085</v>
          </cell>
          <cell r="M4545">
            <v>45086</v>
          </cell>
          <cell r="N4545">
            <v>45096</v>
          </cell>
          <cell r="O4545">
            <v>45086</v>
          </cell>
          <cell r="P4545">
            <v>45097</v>
          </cell>
          <cell r="Q4545">
            <v>45096</v>
          </cell>
          <cell r="R4545">
            <v>45097</v>
          </cell>
          <cell r="S4545">
            <v>45098</v>
          </cell>
          <cell r="T4545">
            <v>45099</v>
          </cell>
          <cell r="U4545">
            <v>45100</v>
          </cell>
          <cell r="V4545">
            <v>45104</v>
          </cell>
          <cell r="W4545">
            <v>45104</v>
          </cell>
          <cell r="X4545">
            <v>41100691</v>
          </cell>
        </row>
        <row r="4546">
          <cell r="K4546" t="str">
            <v>DBW-2985</v>
          </cell>
          <cell r="L4546">
            <v>45085</v>
          </cell>
          <cell r="M4546">
            <v>45086</v>
          </cell>
          <cell r="N4546">
            <v>45096</v>
          </cell>
          <cell r="O4546">
            <v>45086</v>
          </cell>
          <cell r="P4546">
            <v>45097</v>
          </cell>
          <cell r="Q4546">
            <v>45096</v>
          </cell>
          <cell r="R4546">
            <v>45097</v>
          </cell>
          <cell r="S4546">
            <v>45098</v>
          </cell>
          <cell r="T4546">
            <v>45099</v>
          </cell>
          <cell r="U4546">
            <v>45100</v>
          </cell>
          <cell r="V4546">
            <v>45104</v>
          </cell>
          <cell r="W4546">
            <v>45104</v>
          </cell>
          <cell r="X4546">
            <v>41100691</v>
          </cell>
        </row>
        <row r="4547">
          <cell r="K4547" t="str">
            <v>DBW-2986</v>
          </cell>
          <cell r="L4547">
            <v>45085</v>
          </cell>
          <cell r="M4547">
            <v>45086</v>
          </cell>
          <cell r="N4547">
            <v>45096</v>
          </cell>
          <cell r="O4547">
            <v>45086</v>
          </cell>
          <cell r="P4547">
            <v>45097</v>
          </cell>
          <cell r="Q4547">
            <v>45096</v>
          </cell>
          <cell r="R4547">
            <v>45097</v>
          </cell>
          <cell r="S4547">
            <v>45098</v>
          </cell>
          <cell r="T4547">
            <v>45099</v>
          </cell>
          <cell r="U4547">
            <v>45100</v>
          </cell>
          <cell r="V4547">
            <v>45104</v>
          </cell>
          <cell r="W4547">
            <v>45104</v>
          </cell>
          <cell r="X4547">
            <v>41100691</v>
          </cell>
        </row>
        <row r="4548">
          <cell r="K4548" t="str">
            <v>DBW-2987</v>
          </cell>
          <cell r="L4548">
            <v>45085</v>
          </cell>
          <cell r="M4548">
            <v>45086</v>
          </cell>
          <cell r="N4548">
            <v>45096</v>
          </cell>
          <cell r="O4548">
            <v>45086</v>
          </cell>
          <cell r="P4548">
            <v>45097</v>
          </cell>
          <cell r="Q4548">
            <v>45096</v>
          </cell>
          <cell r="R4548">
            <v>45097</v>
          </cell>
          <cell r="S4548">
            <v>45098</v>
          </cell>
          <cell r="T4548">
            <v>45099</v>
          </cell>
          <cell r="U4548">
            <v>45100</v>
          </cell>
          <cell r="V4548">
            <v>45104</v>
          </cell>
          <cell r="W4548">
            <v>45104</v>
          </cell>
          <cell r="X4548">
            <v>41100691</v>
          </cell>
        </row>
        <row r="4549">
          <cell r="K4549" t="str">
            <v>DBW-2988</v>
          </cell>
          <cell r="L4549">
            <v>45085</v>
          </cell>
          <cell r="M4549">
            <v>45086</v>
          </cell>
          <cell r="N4549">
            <v>45096</v>
          </cell>
          <cell r="O4549">
            <v>45086</v>
          </cell>
          <cell r="P4549">
            <v>45097</v>
          </cell>
          <cell r="Q4549">
            <v>45096</v>
          </cell>
          <cell r="R4549">
            <v>45097</v>
          </cell>
          <cell r="S4549">
            <v>45098</v>
          </cell>
          <cell r="T4549">
            <v>45099</v>
          </cell>
          <cell r="U4549">
            <v>45103</v>
          </cell>
          <cell r="V4549">
            <v>45104</v>
          </cell>
          <cell r="W4549">
            <v>45104</v>
          </cell>
          <cell r="X4549">
            <v>41100691</v>
          </cell>
        </row>
        <row r="4550">
          <cell r="K4550" t="str">
            <v>DBW-2989</v>
          </cell>
          <cell r="L4550">
            <v>45085</v>
          </cell>
          <cell r="M4550">
            <v>45086</v>
          </cell>
          <cell r="N4550">
            <v>45096</v>
          </cell>
          <cell r="O4550">
            <v>45086</v>
          </cell>
          <cell r="P4550">
            <v>45097</v>
          </cell>
          <cell r="Q4550">
            <v>45096</v>
          </cell>
          <cell r="R4550">
            <v>45097</v>
          </cell>
          <cell r="S4550">
            <v>45098</v>
          </cell>
          <cell r="T4550">
            <v>45100</v>
          </cell>
          <cell r="U4550">
            <v>45104</v>
          </cell>
          <cell r="V4550">
            <v>45106</v>
          </cell>
          <cell r="W4550">
            <v>45106</v>
          </cell>
          <cell r="X4550">
            <v>41100691</v>
          </cell>
        </row>
        <row r="4551">
          <cell r="K4551" t="str">
            <v>DBW-2995</v>
          </cell>
          <cell r="L4551">
            <v>45089</v>
          </cell>
          <cell r="M4551">
            <v>45090</v>
          </cell>
          <cell r="N4551">
            <v>45097</v>
          </cell>
          <cell r="O4551">
            <v>45090</v>
          </cell>
          <cell r="P4551">
            <v>45097</v>
          </cell>
          <cell r="Q4551">
            <v>45097</v>
          </cell>
          <cell r="R4551">
            <v>45098</v>
          </cell>
          <cell r="S4551">
            <v>45098</v>
          </cell>
          <cell r="T4551">
            <v>45099</v>
          </cell>
          <cell r="U4551">
            <v>45103</v>
          </cell>
          <cell r="V4551">
            <v>45106</v>
          </cell>
          <cell r="W4551">
            <v>45106</v>
          </cell>
          <cell r="X4551">
            <v>41100690</v>
          </cell>
        </row>
        <row r="4552">
          <cell r="K4552" t="str">
            <v>DBW-2996</v>
          </cell>
          <cell r="L4552">
            <v>45089</v>
          </cell>
          <cell r="M4552">
            <v>45090</v>
          </cell>
          <cell r="N4552">
            <v>45097</v>
          </cell>
          <cell r="O4552">
            <v>45090</v>
          </cell>
          <cell r="P4552">
            <v>45097</v>
          </cell>
          <cell r="Q4552">
            <v>45097</v>
          </cell>
          <cell r="R4552">
            <v>45098</v>
          </cell>
          <cell r="S4552">
            <v>45098</v>
          </cell>
          <cell r="T4552">
            <v>45099</v>
          </cell>
          <cell r="U4552">
            <v>45103</v>
          </cell>
          <cell r="V4552">
            <v>45106</v>
          </cell>
          <cell r="W4552">
            <v>45106</v>
          </cell>
          <cell r="X4552">
            <v>41100690</v>
          </cell>
        </row>
        <row r="4553">
          <cell r="K4553" t="str">
            <v>IVAS-212</v>
          </cell>
          <cell r="L4553">
            <v>45089</v>
          </cell>
          <cell r="M4553">
            <v>45090</v>
          </cell>
          <cell r="N4553">
            <v>45100</v>
          </cell>
          <cell r="O4553">
            <v>45090</v>
          </cell>
          <cell r="P4553">
            <v>45103</v>
          </cell>
          <cell r="Q4553">
            <v>45099</v>
          </cell>
          <cell r="R4553">
            <v>45100</v>
          </cell>
          <cell r="S4553">
            <v>45104</v>
          </cell>
          <cell r="T4553">
            <v>45104</v>
          </cell>
          <cell r="U4553">
            <v>45107</v>
          </cell>
          <cell r="V4553">
            <v>45112</v>
          </cell>
          <cell r="W4553">
            <v>45112</v>
          </cell>
          <cell r="X4553">
            <v>41100398</v>
          </cell>
        </row>
        <row r="4554">
          <cell r="K4554" t="str">
            <v>IVAS-213</v>
          </cell>
          <cell r="L4554">
            <v>45090</v>
          </cell>
          <cell r="M4554">
            <v>45091</v>
          </cell>
          <cell r="N4554">
            <v>45103</v>
          </cell>
          <cell r="O4554">
            <v>45091</v>
          </cell>
          <cell r="P4554">
            <v>45104</v>
          </cell>
          <cell r="Q4554">
            <v>45103</v>
          </cell>
          <cell r="R4554">
            <v>45104</v>
          </cell>
          <cell r="S4554">
            <v>45105</v>
          </cell>
          <cell r="T4554">
            <v>45105</v>
          </cell>
          <cell r="U4554">
            <v>45111</v>
          </cell>
          <cell r="V4554">
            <v>45113</v>
          </cell>
          <cell r="W4554">
            <v>45113</v>
          </cell>
          <cell r="X4554">
            <v>41100676</v>
          </cell>
        </row>
        <row r="4555">
          <cell r="K4555" t="str">
            <v>DBW-2885</v>
          </cell>
          <cell r="L4555">
            <v>44972</v>
          </cell>
          <cell r="M4555">
            <v>44973</v>
          </cell>
          <cell r="N4555">
            <v>44981</v>
          </cell>
          <cell r="O4555">
            <v>44973</v>
          </cell>
          <cell r="P4555">
            <v>44984</v>
          </cell>
          <cell r="Q4555">
            <v>44981</v>
          </cell>
          <cell r="R4555">
            <v>44981</v>
          </cell>
          <cell r="S4555">
            <v>44983</v>
          </cell>
          <cell r="T4555">
            <v>44984</v>
          </cell>
          <cell r="U4555">
            <v>44992</v>
          </cell>
          <cell r="V4555">
            <v>44994</v>
          </cell>
          <cell r="W4555">
            <v>44994</v>
          </cell>
          <cell r="X4555">
            <v>41100479</v>
          </cell>
        </row>
        <row r="4556">
          <cell r="K4556" t="str">
            <v>GBWS-3469</v>
          </cell>
          <cell r="L4556">
            <v>45097</v>
          </cell>
          <cell r="M4556">
            <v>45098</v>
          </cell>
          <cell r="N4556">
            <v>45105</v>
          </cell>
          <cell r="O4556">
            <v>45098</v>
          </cell>
          <cell r="P4556">
            <v>45107</v>
          </cell>
          <cell r="Q4556">
            <v>45106</v>
          </cell>
          <cell r="R4556">
            <v>45107</v>
          </cell>
          <cell r="S4556">
            <v>45110</v>
          </cell>
          <cell r="T4556">
            <v>45110</v>
          </cell>
          <cell r="U4556">
            <v>45111</v>
          </cell>
          <cell r="V4556">
            <v>45112</v>
          </cell>
          <cell r="W4556">
            <v>45112</v>
          </cell>
          <cell r="X4556">
            <v>41100633</v>
          </cell>
        </row>
        <row r="4557">
          <cell r="K4557" t="str">
            <v>GBWS-3460</v>
          </cell>
          <cell r="L4557">
            <v>45097</v>
          </cell>
          <cell r="M4557">
            <v>45098</v>
          </cell>
          <cell r="N4557">
            <v>45107</v>
          </cell>
          <cell r="O4557">
            <v>45098</v>
          </cell>
          <cell r="P4557">
            <v>45107</v>
          </cell>
          <cell r="Q4557">
            <v>45106</v>
          </cell>
          <cell r="R4557">
            <v>45107</v>
          </cell>
          <cell r="S4557">
            <v>45110</v>
          </cell>
          <cell r="T4557">
            <v>45110</v>
          </cell>
          <cell r="U4557">
            <v>45111</v>
          </cell>
          <cell r="V4557">
            <v>45113</v>
          </cell>
          <cell r="W4557">
            <v>45113</v>
          </cell>
          <cell r="X4557">
            <v>41100461</v>
          </cell>
        </row>
        <row r="4558">
          <cell r="K4558" t="str">
            <v>DBW-3005</v>
          </cell>
          <cell r="L4558">
            <v>45096</v>
          </cell>
          <cell r="M4558">
            <v>45097</v>
          </cell>
          <cell r="N4558">
            <v>45105</v>
          </cell>
          <cell r="O4558">
            <v>45097</v>
          </cell>
          <cell r="P4558">
            <v>45105</v>
          </cell>
          <cell r="Q4558">
            <v>45104</v>
          </cell>
          <cell r="R4558">
            <v>45105</v>
          </cell>
          <cell r="S4558">
            <v>45110</v>
          </cell>
          <cell r="T4558">
            <v>45110</v>
          </cell>
          <cell r="U4558">
            <v>45112</v>
          </cell>
          <cell r="V4558">
            <v>45114</v>
          </cell>
          <cell r="W4558">
            <v>45114</v>
          </cell>
          <cell r="X4558">
            <v>41100684</v>
          </cell>
        </row>
        <row r="4559">
          <cell r="K4559" t="str">
            <v>GBWS-3270</v>
          </cell>
          <cell r="L4559">
            <v>45006</v>
          </cell>
          <cell r="M4559">
            <v>45007</v>
          </cell>
          <cell r="N4559">
            <v>45019</v>
          </cell>
          <cell r="O4559">
            <v>45007</v>
          </cell>
          <cell r="P4559">
            <v>45019</v>
          </cell>
          <cell r="Q4559">
            <v>45015</v>
          </cell>
          <cell r="R4559" t="str">
            <v>2023-03-30 → 3/31</v>
          </cell>
          <cell r="S4559">
            <v>45019</v>
          </cell>
          <cell r="T4559">
            <v>45019</v>
          </cell>
          <cell r="U4559">
            <v>45022</v>
          </cell>
          <cell r="V4559">
            <v>45023</v>
          </cell>
          <cell r="W4559">
            <v>45023</v>
          </cell>
          <cell r="X4559">
            <v>41100498</v>
          </cell>
        </row>
        <row r="4560">
          <cell r="K4560" t="str">
            <v>SOS-0303</v>
          </cell>
          <cell r="L4560">
            <v>45089</v>
          </cell>
          <cell r="M4560">
            <v>45090</v>
          </cell>
          <cell r="N4560">
            <v>45092</v>
          </cell>
          <cell r="O4560">
            <v>45090</v>
          </cell>
          <cell r="P4560">
            <v>45092</v>
          </cell>
          <cell r="Q4560">
            <v>45092</v>
          </cell>
          <cell r="R4560">
            <v>45093</v>
          </cell>
          <cell r="S4560">
            <v>45093</v>
          </cell>
          <cell r="T4560">
            <v>45104</v>
          </cell>
          <cell r="U4560">
            <v>45104</v>
          </cell>
          <cell r="V4560">
            <v>45112</v>
          </cell>
          <cell r="W4560">
            <v>45112</v>
          </cell>
          <cell r="X4560">
            <v>41100182</v>
          </cell>
        </row>
        <row r="4561">
          <cell r="K4561" t="str">
            <v>SOS-0304</v>
          </cell>
          <cell r="L4561">
            <v>45089</v>
          </cell>
          <cell r="M4561">
            <v>45090</v>
          </cell>
          <cell r="N4561">
            <v>45092</v>
          </cell>
          <cell r="O4561">
            <v>45090</v>
          </cell>
          <cell r="P4561">
            <v>45092</v>
          </cell>
          <cell r="Q4561">
            <v>45092</v>
          </cell>
          <cell r="R4561">
            <v>45093</v>
          </cell>
          <cell r="S4561">
            <v>45093</v>
          </cell>
          <cell r="T4561">
            <v>45105</v>
          </cell>
          <cell r="U4561">
            <v>45104</v>
          </cell>
          <cell r="V4561">
            <v>45112</v>
          </cell>
          <cell r="W4561">
            <v>45112</v>
          </cell>
          <cell r="X4561">
            <v>41100182</v>
          </cell>
        </row>
        <row r="4562">
          <cell r="K4562" t="str">
            <v>GBWS-3451</v>
          </cell>
          <cell r="L4562">
            <v>45092</v>
          </cell>
          <cell r="M4562">
            <v>45093</v>
          </cell>
          <cell r="N4562">
            <v>45106</v>
          </cell>
          <cell r="O4562">
            <v>45093</v>
          </cell>
          <cell r="P4562">
            <v>45106</v>
          </cell>
          <cell r="Q4562" t="str">
            <v>2023-06-27 → 6/29</v>
          </cell>
          <cell r="R4562" t="str">
            <v>2023-06-28 → 6/29</v>
          </cell>
          <cell r="S4562">
            <v>45110</v>
          </cell>
          <cell r="T4562">
            <v>45113</v>
          </cell>
          <cell r="U4562">
            <v>45117</v>
          </cell>
          <cell r="V4562">
            <v>45118</v>
          </cell>
          <cell r="W4562">
            <v>45118</v>
          </cell>
          <cell r="X4562">
            <v>41100566</v>
          </cell>
        </row>
        <row r="4563">
          <cell r="K4563" t="str">
            <v>GBWS-3452</v>
          </cell>
          <cell r="L4563">
            <v>45092</v>
          </cell>
          <cell r="M4563">
            <v>45093</v>
          </cell>
          <cell r="N4563">
            <v>45106</v>
          </cell>
          <cell r="O4563">
            <v>45093</v>
          </cell>
          <cell r="P4563">
            <v>45106</v>
          </cell>
          <cell r="Q4563" t="str">
            <v>2023-06-27 → 6/29</v>
          </cell>
          <cell r="R4563" t="str">
            <v>2023-06-28 → 6/29</v>
          </cell>
          <cell r="S4563">
            <v>45107</v>
          </cell>
          <cell r="T4563">
            <v>45111</v>
          </cell>
          <cell r="U4563">
            <v>45112</v>
          </cell>
          <cell r="V4563">
            <v>45117</v>
          </cell>
          <cell r="W4563">
            <v>45117</v>
          </cell>
          <cell r="X4563">
            <v>41100566</v>
          </cell>
        </row>
        <row r="4564">
          <cell r="K4564" t="str">
            <v>GBWS-3453</v>
          </cell>
          <cell r="L4564">
            <v>45092</v>
          </cell>
          <cell r="M4564">
            <v>45093</v>
          </cell>
          <cell r="N4564">
            <v>45106</v>
          </cell>
          <cell r="O4564">
            <v>45093</v>
          </cell>
          <cell r="P4564">
            <v>45106</v>
          </cell>
          <cell r="Q4564" t="str">
            <v>2023-06-27 → 6/29</v>
          </cell>
          <cell r="R4564" t="str">
            <v>2023-06-28 → 6/29</v>
          </cell>
          <cell r="S4564">
            <v>45107</v>
          </cell>
          <cell r="T4564">
            <v>45111</v>
          </cell>
          <cell r="U4564">
            <v>45112</v>
          </cell>
          <cell r="V4564">
            <v>45114</v>
          </cell>
          <cell r="W4564">
            <v>45114</v>
          </cell>
          <cell r="X4564">
            <v>41100566</v>
          </cell>
        </row>
        <row r="4565">
          <cell r="K4565" t="str">
            <v>GBWS-3454</v>
          </cell>
          <cell r="L4565">
            <v>45092</v>
          </cell>
          <cell r="M4565">
            <v>45093</v>
          </cell>
          <cell r="N4565">
            <v>45106</v>
          </cell>
          <cell r="O4565">
            <v>45093</v>
          </cell>
          <cell r="P4565">
            <v>45106</v>
          </cell>
          <cell r="Q4565" t="str">
            <v>2023-06-27 → 6/29</v>
          </cell>
          <cell r="R4565" t="str">
            <v>2023-06-28 → 6/29</v>
          </cell>
          <cell r="S4565">
            <v>45107</v>
          </cell>
          <cell r="T4565">
            <v>45112</v>
          </cell>
          <cell r="U4565">
            <v>45113</v>
          </cell>
          <cell r="V4565">
            <v>45117</v>
          </cell>
          <cell r="W4565">
            <v>45117</v>
          </cell>
          <cell r="X4565">
            <v>41100566</v>
          </cell>
        </row>
        <row r="4566">
          <cell r="K4566" t="str">
            <v>GBWS-3455</v>
          </cell>
          <cell r="L4566">
            <v>45092</v>
          </cell>
          <cell r="M4566">
            <v>45093</v>
          </cell>
          <cell r="N4566">
            <v>45106</v>
          </cell>
          <cell r="O4566">
            <v>45093</v>
          </cell>
          <cell r="P4566">
            <v>45106</v>
          </cell>
          <cell r="Q4566" t="str">
            <v>2023-06-27 → 6/29</v>
          </cell>
          <cell r="R4566" t="str">
            <v>2023-06-28 → 6/29</v>
          </cell>
          <cell r="S4566">
            <v>45107</v>
          </cell>
          <cell r="T4566">
            <v>45112</v>
          </cell>
          <cell r="U4566">
            <v>45114</v>
          </cell>
          <cell r="V4566">
            <v>45117</v>
          </cell>
          <cell r="W4566">
            <v>45117</v>
          </cell>
          <cell r="X4566">
            <v>41100566</v>
          </cell>
        </row>
        <row r="4567">
          <cell r="K4567" t="str">
            <v>GBWS-3456</v>
          </cell>
          <cell r="L4567">
            <v>45092</v>
          </cell>
          <cell r="M4567">
            <v>45093</v>
          </cell>
          <cell r="N4567">
            <v>45106</v>
          </cell>
          <cell r="O4567">
            <v>45093</v>
          </cell>
          <cell r="P4567">
            <v>45106</v>
          </cell>
          <cell r="Q4567" t="str">
            <v>2023-06-27 → 6/29</v>
          </cell>
          <cell r="R4567" t="str">
            <v>2023-06-28 → 6/29</v>
          </cell>
          <cell r="S4567">
            <v>45110</v>
          </cell>
          <cell r="T4567">
            <v>45112</v>
          </cell>
          <cell r="U4567">
            <v>45114</v>
          </cell>
          <cell r="V4567">
            <v>45118</v>
          </cell>
          <cell r="W4567">
            <v>45118</v>
          </cell>
          <cell r="X4567">
            <v>41100566</v>
          </cell>
        </row>
        <row r="4568">
          <cell r="K4568" t="str">
            <v>GBWS-3457</v>
          </cell>
          <cell r="L4568">
            <v>45092</v>
          </cell>
          <cell r="M4568">
            <v>45093</v>
          </cell>
          <cell r="N4568">
            <v>45107</v>
          </cell>
          <cell r="O4568">
            <v>45093</v>
          </cell>
          <cell r="P4568">
            <v>45106</v>
          </cell>
          <cell r="Q4568" t="str">
            <v>2023-06-27 → 6/29</v>
          </cell>
          <cell r="R4568" t="str">
            <v>2023-06-28 → 6/29</v>
          </cell>
          <cell r="S4568">
            <v>45107</v>
          </cell>
          <cell r="T4568">
            <v>45113</v>
          </cell>
          <cell r="U4568">
            <v>45117</v>
          </cell>
          <cell r="V4568">
            <v>45118</v>
          </cell>
          <cell r="W4568">
            <v>45118</v>
          </cell>
          <cell r="X4568">
            <v>41100566</v>
          </cell>
        </row>
        <row r="4569">
          <cell r="K4569" t="str">
            <v>DBW-3008</v>
          </cell>
          <cell r="L4569">
            <v>45099</v>
          </cell>
          <cell r="M4569" t="str">
            <v>2023-06-27 → 6/23</v>
          </cell>
          <cell r="N4569">
            <v>45110</v>
          </cell>
          <cell r="O4569" t="str">
            <v>2023-06-27 → 6/23</v>
          </cell>
          <cell r="P4569">
            <v>45110</v>
          </cell>
          <cell r="Q4569" t="str">
            <v>2023-07-04 → 7/3</v>
          </cell>
          <cell r="R4569" t="str">
            <v>2023-07-05 → 7/4</v>
          </cell>
          <cell r="S4569">
            <v>45111</v>
          </cell>
          <cell r="T4569">
            <v>45112</v>
          </cell>
          <cell r="U4569">
            <v>45113</v>
          </cell>
          <cell r="V4569">
            <v>45117</v>
          </cell>
          <cell r="W4569">
            <v>45117</v>
          </cell>
          <cell r="X4569">
            <v>41100668</v>
          </cell>
        </row>
        <row r="4570">
          <cell r="K4570" t="str">
            <v>DBW-2999</v>
          </cell>
          <cell r="L4570">
            <v>45091</v>
          </cell>
          <cell r="M4570">
            <v>45092</v>
          </cell>
          <cell r="N4570">
            <v>45100</v>
          </cell>
          <cell r="O4570">
            <v>45092</v>
          </cell>
          <cell r="P4570">
            <v>45100</v>
          </cell>
          <cell r="Q4570">
            <v>45099</v>
          </cell>
          <cell r="R4570">
            <v>45100</v>
          </cell>
          <cell r="S4570">
            <v>45103</v>
          </cell>
          <cell r="T4570">
            <v>45104</v>
          </cell>
          <cell r="U4570">
            <v>45106</v>
          </cell>
          <cell r="V4570">
            <v>45110</v>
          </cell>
          <cell r="W4570">
            <v>45110</v>
          </cell>
          <cell r="X4570">
            <v>41100496</v>
          </cell>
        </row>
        <row r="4571">
          <cell r="K4571" t="str">
            <v>DBW-3009</v>
          </cell>
          <cell r="L4571">
            <v>45099</v>
          </cell>
          <cell r="M4571" t="str">
            <v>2023-06-27 → 6/23</v>
          </cell>
          <cell r="N4571">
            <v>45110</v>
          </cell>
          <cell r="O4571" t="str">
            <v>2023-06-27 → 6/23</v>
          </cell>
          <cell r="P4571">
            <v>45110</v>
          </cell>
          <cell r="Q4571" t="str">
            <v>2023-07-04 → 7/3</v>
          </cell>
          <cell r="R4571" t="str">
            <v>2023-07-05 → 7/4</v>
          </cell>
          <cell r="S4571">
            <v>45111</v>
          </cell>
          <cell r="T4571">
            <v>45112</v>
          </cell>
          <cell r="U4571">
            <v>45114</v>
          </cell>
          <cell r="V4571">
            <v>45117</v>
          </cell>
          <cell r="W4571">
            <v>45117</v>
          </cell>
          <cell r="X4571">
            <v>41100668</v>
          </cell>
        </row>
        <row r="4572">
          <cell r="K4572" t="str">
            <v>GBWS-3447</v>
          </cell>
          <cell r="L4572">
            <v>45089</v>
          </cell>
          <cell r="M4572">
            <v>45090</v>
          </cell>
          <cell r="N4572">
            <v>45099</v>
          </cell>
          <cell r="O4572">
            <v>45090</v>
          </cell>
          <cell r="P4572">
            <v>45098</v>
          </cell>
          <cell r="Q4572">
            <v>45097</v>
          </cell>
          <cell r="R4572">
            <v>45098</v>
          </cell>
          <cell r="S4572">
            <v>45099</v>
          </cell>
          <cell r="T4572">
            <v>45100</v>
          </cell>
          <cell r="U4572">
            <v>45103</v>
          </cell>
          <cell r="V4572">
            <v>45106</v>
          </cell>
          <cell r="W4572">
            <v>45106</v>
          </cell>
          <cell r="X4572">
            <v>41100686</v>
          </cell>
        </row>
        <row r="4573">
          <cell r="K4573" t="str">
            <v>GBWS-3448</v>
          </cell>
          <cell r="L4573">
            <v>45089</v>
          </cell>
          <cell r="M4573">
            <v>45090</v>
          </cell>
          <cell r="N4573">
            <v>45099</v>
          </cell>
          <cell r="O4573">
            <v>45090</v>
          </cell>
          <cell r="P4573">
            <v>45098</v>
          </cell>
          <cell r="Q4573">
            <v>45097</v>
          </cell>
          <cell r="R4573">
            <v>45098</v>
          </cell>
          <cell r="S4573">
            <v>45099</v>
          </cell>
          <cell r="T4573">
            <v>45100</v>
          </cell>
          <cell r="U4573">
            <v>45104</v>
          </cell>
          <cell r="V4573">
            <v>45106</v>
          </cell>
          <cell r="W4573">
            <v>45106</v>
          </cell>
          <cell r="X4573">
            <v>41100686</v>
          </cell>
        </row>
        <row r="4574">
          <cell r="K4574" t="str">
            <v>GBWS-3449</v>
          </cell>
          <cell r="L4574">
            <v>45089</v>
          </cell>
          <cell r="M4574">
            <v>45090</v>
          </cell>
          <cell r="N4574">
            <v>45099</v>
          </cell>
          <cell r="O4574">
            <v>45090</v>
          </cell>
          <cell r="P4574">
            <v>45098</v>
          </cell>
          <cell r="Q4574">
            <v>45097</v>
          </cell>
          <cell r="R4574">
            <v>45098</v>
          </cell>
          <cell r="S4574">
            <v>45099</v>
          </cell>
          <cell r="T4574">
            <v>45100</v>
          </cell>
          <cell r="U4574">
            <v>45104</v>
          </cell>
          <cell r="V4574">
            <v>45106</v>
          </cell>
          <cell r="W4574">
            <v>45106</v>
          </cell>
          <cell r="X4574">
            <v>41100686</v>
          </cell>
        </row>
        <row r="4575">
          <cell r="K4575" t="str">
            <v>GBWS-3450</v>
          </cell>
          <cell r="L4575">
            <v>45089</v>
          </cell>
          <cell r="M4575">
            <v>45090</v>
          </cell>
          <cell r="N4575">
            <v>45099</v>
          </cell>
          <cell r="O4575">
            <v>45090</v>
          </cell>
          <cell r="P4575">
            <v>45098</v>
          </cell>
          <cell r="Q4575">
            <v>45097</v>
          </cell>
          <cell r="R4575">
            <v>45098</v>
          </cell>
          <cell r="S4575">
            <v>45099</v>
          </cell>
          <cell r="T4575">
            <v>45100</v>
          </cell>
          <cell r="U4575">
            <v>45104</v>
          </cell>
          <cell r="V4575">
            <v>45106</v>
          </cell>
          <cell r="W4575">
            <v>45106</v>
          </cell>
          <cell r="X4575">
            <v>41100686</v>
          </cell>
        </row>
        <row r="4576">
          <cell r="K4576" t="str">
            <v>GBWS-3461</v>
          </cell>
          <cell r="L4576">
            <v>45096</v>
          </cell>
          <cell r="M4576">
            <v>45097</v>
          </cell>
          <cell r="N4576">
            <v>45105</v>
          </cell>
          <cell r="O4576">
            <v>45097</v>
          </cell>
          <cell r="P4576">
            <v>45105</v>
          </cell>
          <cell r="Q4576">
            <v>45104</v>
          </cell>
          <cell r="R4576">
            <v>45105</v>
          </cell>
          <cell r="S4576">
            <v>45106</v>
          </cell>
          <cell r="T4576">
            <v>45106</v>
          </cell>
          <cell r="U4576">
            <v>45111</v>
          </cell>
          <cell r="V4576">
            <v>45111</v>
          </cell>
          <cell r="W4576">
            <v>45111</v>
          </cell>
          <cell r="X4576">
            <v>41100686</v>
          </cell>
        </row>
        <row r="4577">
          <cell r="K4577" t="str">
            <v>GBWS-3462</v>
          </cell>
          <cell r="L4577">
            <v>45096</v>
          </cell>
          <cell r="M4577">
            <v>45097</v>
          </cell>
          <cell r="N4577">
            <v>45105</v>
          </cell>
          <cell r="O4577">
            <v>45097</v>
          </cell>
          <cell r="P4577">
            <v>45105</v>
          </cell>
          <cell r="Q4577">
            <v>45104</v>
          </cell>
          <cell r="R4577">
            <v>45105</v>
          </cell>
          <cell r="S4577">
            <v>45106</v>
          </cell>
          <cell r="T4577">
            <v>45106</v>
          </cell>
          <cell r="U4577">
            <v>45111</v>
          </cell>
          <cell r="V4577">
            <v>45111</v>
          </cell>
          <cell r="W4577">
            <v>45111</v>
          </cell>
          <cell r="X4577">
            <v>41100686</v>
          </cell>
        </row>
        <row r="4578">
          <cell r="K4578" t="str">
            <v>GBWS-3141</v>
          </cell>
          <cell r="L4578">
            <v>44935</v>
          </cell>
          <cell r="M4578">
            <v>44936</v>
          </cell>
          <cell r="N4578">
            <v>44944</v>
          </cell>
          <cell r="O4578">
            <v>44936</v>
          </cell>
          <cell r="P4578">
            <v>44945</v>
          </cell>
          <cell r="Q4578">
            <v>44944</v>
          </cell>
          <cell r="R4578">
            <v>44944</v>
          </cell>
          <cell r="S4578"/>
          <cell r="T4578">
            <v>44945</v>
          </cell>
          <cell r="U4578">
            <v>44946</v>
          </cell>
          <cell r="V4578">
            <v>44952</v>
          </cell>
          <cell r="W4578">
            <v>44953</v>
          </cell>
          <cell r="X4578">
            <v>41100511</v>
          </cell>
        </row>
        <row r="4579">
          <cell r="K4579"/>
          <cell r="L4579">
            <v>45098</v>
          </cell>
          <cell r="M4579">
            <v>45098</v>
          </cell>
          <cell r="N4579">
            <v>45103</v>
          </cell>
          <cell r="O4579">
            <v>45098</v>
          </cell>
          <cell r="P4579">
            <v>45103</v>
          </cell>
          <cell r="Q4579">
            <v>45104</v>
          </cell>
          <cell r="R4579">
            <v>45105</v>
          </cell>
          <cell r="S4579">
            <v>45105</v>
          </cell>
          <cell r="T4579">
            <v>45105</v>
          </cell>
          <cell r="U4579">
            <v>45107</v>
          </cell>
          <cell r="V4579">
            <v>45107</v>
          </cell>
          <cell r="W4579">
            <v>45107</v>
          </cell>
          <cell r="X4579">
            <v>41100708</v>
          </cell>
        </row>
        <row r="4580">
          <cell r="K4580" t="str">
            <v>GBWS-3142</v>
          </cell>
          <cell r="L4580">
            <v>44935</v>
          </cell>
          <cell r="M4580">
            <v>44936</v>
          </cell>
          <cell r="N4580">
            <v>44944</v>
          </cell>
          <cell r="O4580">
            <v>44936</v>
          </cell>
          <cell r="P4580">
            <v>44945</v>
          </cell>
          <cell r="Q4580">
            <v>44944</v>
          </cell>
          <cell r="R4580">
            <v>44944</v>
          </cell>
          <cell r="S4580"/>
          <cell r="T4580">
            <v>44945</v>
          </cell>
          <cell r="U4580">
            <v>44945</v>
          </cell>
          <cell r="V4580">
            <v>44951</v>
          </cell>
          <cell r="W4580">
            <v>44951</v>
          </cell>
          <cell r="X4580">
            <v>41100511</v>
          </cell>
        </row>
        <row r="4581">
          <cell r="K4581"/>
          <cell r="L4581">
            <v>45098</v>
          </cell>
          <cell r="M4581">
            <v>45098</v>
          </cell>
          <cell r="N4581">
            <v>45103</v>
          </cell>
          <cell r="O4581">
            <v>45098</v>
          </cell>
          <cell r="P4581">
            <v>45103</v>
          </cell>
          <cell r="Q4581">
            <v>45104</v>
          </cell>
          <cell r="R4581">
            <v>45105</v>
          </cell>
          <cell r="S4581">
            <v>45105</v>
          </cell>
          <cell r="T4581">
            <v>45105</v>
          </cell>
          <cell r="U4581">
            <v>45107</v>
          </cell>
          <cell r="V4581">
            <v>45107</v>
          </cell>
          <cell r="W4581">
            <v>45107</v>
          </cell>
          <cell r="X4581">
            <v>41100708</v>
          </cell>
        </row>
        <row r="4582">
          <cell r="K4582" t="str">
            <v>GBWS-3472</v>
          </cell>
          <cell r="L4582">
            <v>45099</v>
          </cell>
          <cell r="M4582">
            <v>45100</v>
          </cell>
          <cell r="N4582">
            <v>45110</v>
          </cell>
          <cell r="O4582">
            <v>45100</v>
          </cell>
          <cell r="P4582">
            <v>45111</v>
          </cell>
          <cell r="Q4582">
            <v>45110</v>
          </cell>
          <cell r="R4582">
            <v>45111</v>
          </cell>
          <cell r="S4582">
            <v>45111</v>
          </cell>
          <cell r="T4582">
            <v>45112</v>
          </cell>
          <cell r="U4582">
            <v>45117</v>
          </cell>
          <cell r="V4582">
            <v>45119</v>
          </cell>
          <cell r="W4582">
            <v>45119</v>
          </cell>
          <cell r="X4582">
            <v>41100090</v>
          </cell>
        </row>
        <row r="4583">
          <cell r="K4583" t="str">
            <v>GBWS-3473</v>
          </cell>
          <cell r="L4583">
            <v>45099</v>
          </cell>
          <cell r="M4583">
            <v>45100</v>
          </cell>
          <cell r="N4583">
            <v>45110</v>
          </cell>
          <cell r="O4583">
            <v>45100</v>
          </cell>
          <cell r="P4583">
            <v>45111</v>
          </cell>
          <cell r="Q4583">
            <v>45110</v>
          </cell>
          <cell r="R4583">
            <v>45111</v>
          </cell>
          <cell r="S4583">
            <v>45111</v>
          </cell>
          <cell r="T4583">
            <v>45112</v>
          </cell>
          <cell r="U4583">
            <v>45117</v>
          </cell>
          <cell r="V4583">
            <v>45119</v>
          </cell>
          <cell r="W4583">
            <v>45119</v>
          </cell>
          <cell r="X4583">
            <v>41100090</v>
          </cell>
        </row>
        <row r="4584">
          <cell r="K4584" t="str">
            <v>DBW-3006</v>
          </cell>
          <cell r="L4584">
            <v>45096</v>
          </cell>
          <cell r="M4584">
            <v>45097</v>
          </cell>
          <cell r="N4584">
            <v>45105</v>
          </cell>
          <cell r="O4584">
            <v>45097</v>
          </cell>
          <cell r="P4584">
            <v>45105</v>
          </cell>
          <cell r="Q4584">
            <v>45104</v>
          </cell>
          <cell r="R4584">
            <v>45105</v>
          </cell>
          <cell r="S4584">
            <v>45106</v>
          </cell>
          <cell r="T4584">
            <v>45110</v>
          </cell>
          <cell r="U4584">
            <v>45112</v>
          </cell>
          <cell r="V4584">
            <v>45114</v>
          </cell>
          <cell r="W4584">
            <v>45114</v>
          </cell>
          <cell r="X4584">
            <v>41100691</v>
          </cell>
        </row>
        <row r="4585">
          <cell r="K4585" t="str">
            <v>DBW-3007</v>
          </cell>
          <cell r="L4585">
            <v>45096</v>
          </cell>
          <cell r="M4585">
            <v>45097</v>
          </cell>
          <cell r="N4585">
            <v>45105</v>
          </cell>
          <cell r="O4585">
            <v>45097</v>
          </cell>
          <cell r="P4585">
            <v>45105</v>
          </cell>
          <cell r="Q4585">
            <v>45104</v>
          </cell>
          <cell r="R4585">
            <v>45105</v>
          </cell>
          <cell r="S4585">
            <v>45106</v>
          </cell>
          <cell r="T4585">
            <v>45110</v>
          </cell>
          <cell r="U4585">
            <v>45111</v>
          </cell>
          <cell r="V4585">
            <v>45113</v>
          </cell>
          <cell r="W4585">
            <v>45113</v>
          </cell>
          <cell r="X4585">
            <v>41100691</v>
          </cell>
        </row>
        <row r="4586">
          <cell r="K4586" t="str">
            <v>GBWS-3426</v>
          </cell>
          <cell r="L4586">
            <v>45072</v>
          </cell>
          <cell r="M4586">
            <v>45076</v>
          </cell>
          <cell r="N4586">
            <v>45084</v>
          </cell>
          <cell r="O4586">
            <v>45076</v>
          </cell>
          <cell r="P4586">
            <v>45085</v>
          </cell>
          <cell r="Q4586">
            <v>45084</v>
          </cell>
          <cell r="R4586">
            <v>45085</v>
          </cell>
          <cell r="S4586">
            <v>45086</v>
          </cell>
          <cell r="T4586">
            <v>45086</v>
          </cell>
          <cell r="U4586">
            <v>45099</v>
          </cell>
          <cell r="V4586">
            <v>45100</v>
          </cell>
          <cell r="W4586">
            <v>45100</v>
          </cell>
          <cell r="X4586">
            <v>41100184</v>
          </cell>
        </row>
        <row r="4587">
          <cell r="K4587" t="str">
            <v>GBWS-3427</v>
          </cell>
          <cell r="L4587">
            <v>45072</v>
          </cell>
          <cell r="M4587">
            <v>45076</v>
          </cell>
          <cell r="N4587">
            <v>45084</v>
          </cell>
          <cell r="O4587">
            <v>45076</v>
          </cell>
          <cell r="P4587">
            <v>45085</v>
          </cell>
          <cell r="Q4587">
            <v>45084</v>
          </cell>
          <cell r="R4587">
            <v>45085</v>
          </cell>
          <cell r="S4587">
            <v>45086</v>
          </cell>
          <cell r="T4587">
            <v>45086</v>
          </cell>
          <cell r="U4587">
            <v>45099</v>
          </cell>
          <cell r="V4587">
            <v>45100</v>
          </cell>
          <cell r="W4587">
            <v>45100</v>
          </cell>
          <cell r="X4587">
            <v>41100184</v>
          </cell>
        </row>
        <row r="4588">
          <cell r="K4588" t="str">
            <v>GBWS-3428</v>
          </cell>
          <cell r="L4588">
            <v>45072</v>
          </cell>
          <cell r="M4588">
            <v>45076</v>
          </cell>
          <cell r="N4588">
            <v>45084</v>
          </cell>
          <cell r="O4588">
            <v>45076</v>
          </cell>
          <cell r="P4588">
            <v>45085</v>
          </cell>
          <cell r="Q4588">
            <v>45084</v>
          </cell>
          <cell r="R4588">
            <v>45085</v>
          </cell>
          <cell r="S4588">
            <v>45086</v>
          </cell>
          <cell r="T4588">
            <v>45086</v>
          </cell>
          <cell r="U4588">
            <v>45099</v>
          </cell>
          <cell r="V4588">
            <v>45100</v>
          </cell>
          <cell r="W4588">
            <v>45100</v>
          </cell>
          <cell r="X4588">
            <v>41100184</v>
          </cell>
        </row>
        <row r="4589">
          <cell r="K4589" t="str">
            <v>IVAS-214</v>
          </cell>
          <cell r="L4589">
            <v>45096</v>
          </cell>
          <cell r="M4589">
            <v>45097</v>
          </cell>
          <cell r="N4589">
            <v>45110</v>
          </cell>
          <cell r="O4589">
            <v>45097</v>
          </cell>
          <cell r="P4589">
            <v>45110</v>
          </cell>
          <cell r="Q4589">
            <v>45106</v>
          </cell>
          <cell r="R4589">
            <v>45107</v>
          </cell>
          <cell r="S4589">
            <v>45111</v>
          </cell>
          <cell r="T4589">
            <v>45111</v>
          </cell>
          <cell r="U4589">
            <v>45118</v>
          </cell>
          <cell r="V4589">
            <v>45120</v>
          </cell>
          <cell r="W4589">
            <v>45120</v>
          </cell>
          <cell r="X4589">
            <v>41100687</v>
          </cell>
        </row>
        <row r="4590">
          <cell r="K4590" t="str">
            <v>MMD-0041</v>
          </cell>
          <cell r="L4590">
            <v>45089</v>
          </cell>
          <cell r="M4590">
            <v>45090</v>
          </cell>
          <cell r="N4590">
            <v>45096</v>
          </cell>
          <cell r="O4590">
            <v>45090</v>
          </cell>
          <cell r="P4590">
            <v>45096</v>
          </cell>
          <cell r="Q4590">
            <v>45093</v>
          </cell>
          <cell r="R4590">
            <v>45096</v>
          </cell>
          <cell r="S4590">
            <v>45096</v>
          </cell>
          <cell r="T4590">
            <v>45096</v>
          </cell>
          <cell r="U4590">
            <v>45121</v>
          </cell>
          <cell r="V4590">
            <v>45121</v>
          </cell>
          <cell r="W4590">
            <v>45121</v>
          </cell>
          <cell r="X4590">
            <v>31102402</v>
          </cell>
        </row>
        <row r="4591">
          <cell r="K4591" t="str">
            <v>GBWS-3470</v>
          </cell>
          <cell r="L4591">
            <v>45099</v>
          </cell>
          <cell r="M4591">
            <v>45100</v>
          </cell>
          <cell r="N4591">
            <v>45110</v>
          </cell>
          <cell r="O4591">
            <v>45100</v>
          </cell>
          <cell r="P4591">
            <v>45111</v>
          </cell>
          <cell r="Q4591">
            <v>45110</v>
          </cell>
          <cell r="R4591">
            <v>45111</v>
          </cell>
          <cell r="S4591">
            <v>45112</v>
          </cell>
          <cell r="T4591">
            <v>45114</v>
          </cell>
          <cell r="U4591">
            <v>45118</v>
          </cell>
          <cell r="V4591">
            <v>45120</v>
          </cell>
          <cell r="W4591">
            <v>45120</v>
          </cell>
          <cell r="X4591">
            <v>41100711</v>
          </cell>
        </row>
        <row r="4592">
          <cell r="K4592" t="str">
            <v>GBWS-3474</v>
          </cell>
          <cell r="L4592">
            <v>45103</v>
          </cell>
          <cell r="M4592">
            <v>45104</v>
          </cell>
          <cell r="N4592">
            <v>45111</v>
          </cell>
          <cell r="O4592">
            <v>45104</v>
          </cell>
          <cell r="P4592">
            <v>45111</v>
          </cell>
          <cell r="Q4592">
            <v>45111</v>
          </cell>
          <cell r="R4592">
            <v>45112</v>
          </cell>
          <cell r="S4592">
            <v>45114</v>
          </cell>
          <cell r="T4592">
            <v>45114</v>
          </cell>
          <cell r="U4592">
            <v>45118</v>
          </cell>
          <cell r="V4592">
            <v>45120</v>
          </cell>
          <cell r="W4592">
            <v>45120</v>
          </cell>
          <cell r="X4592">
            <v>41100318</v>
          </cell>
        </row>
        <row r="4593">
          <cell r="K4593" t="str">
            <v>GBWS-3477</v>
          </cell>
          <cell r="L4593">
            <v>45103</v>
          </cell>
          <cell r="M4593">
            <v>45104</v>
          </cell>
          <cell r="N4593">
            <v>45111</v>
          </cell>
          <cell r="O4593">
            <v>45104</v>
          </cell>
          <cell r="P4593">
            <v>45112</v>
          </cell>
          <cell r="Q4593">
            <v>45111</v>
          </cell>
          <cell r="R4593">
            <v>45112</v>
          </cell>
          <cell r="S4593">
            <v>45113</v>
          </cell>
          <cell r="T4593">
            <v>45114</v>
          </cell>
          <cell r="U4593">
            <v>45118</v>
          </cell>
          <cell r="V4593">
            <v>45120</v>
          </cell>
          <cell r="W4593">
            <v>45120</v>
          </cell>
          <cell r="X4593">
            <v>41100590</v>
          </cell>
        </row>
        <row r="4594">
          <cell r="K4594" t="str">
            <v>DBW-3014</v>
          </cell>
          <cell r="L4594">
            <v>45103</v>
          </cell>
          <cell r="M4594">
            <v>45104</v>
          </cell>
          <cell r="N4594">
            <v>45112</v>
          </cell>
          <cell r="O4594">
            <v>45104</v>
          </cell>
          <cell r="P4594">
            <v>45114</v>
          </cell>
          <cell r="Q4594">
            <v>45112</v>
          </cell>
          <cell r="R4594">
            <v>45113</v>
          </cell>
          <cell r="S4594">
            <v>45117</v>
          </cell>
          <cell r="T4594">
            <v>45118</v>
          </cell>
          <cell r="U4594">
            <v>45119</v>
          </cell>
          <cell r="V4594">
            <v>45121</v>
          </cell>
          <cell r="W4594">
            <v>45121</v>
          </cell>
          <cell r="X4594">
            <v>41100684</v>
          </cell>
        </row>
        <row r="4595">
          <cell r="K4595" t="str">
            <v>DBW-3013</v>
          </cell>
          <cell r="L4595">
            <v>45103</v>
          </cell>
          <cell r="M4595">
            <v>45104</v>
          </cell>
          <cell r="N4595">
            <v>45113</v>
          </cell>
          <cell r="O4595">
            <v>45104</v>
          </cell>
          <cell r="P4595">
            <v>45113</v>
          </cell>
          <cell r="Q4595">
            <v>45112</v>
          </cell>
          <cell r="R4595">
            <v>45113</v>
          </cell>
          <cell r="S4595">
            <v>45114</v>
          </cell>
          <cell r="T4595">
            <v>45114</v>
          </cell>
          <cell r="U4595">
            <v>45119</v>
          </cell>
          <cell r="V4595">
            <v>45121</v>
          </cell>
          <cell r="W4595">
            <v>45121</v>
          </cell>
          <cell r="X4595">
            <v>41100681</v>
          </cell>
        </row>
        <row r="4596">
          <cell r="K4596" t="str">
            <v>GBWS-3471</v>
          </cell>
          <cell r="L4596">
            <v>45099</v>
          </cell>
          <cell r="M4596">
            <v>45100</v>
          </cell>
          <cell r="N4596">
            <v>45107</v>
          </cell>
          <cell r="O4596">
            <v>45100</v>
          </cell>
          <cell r="P4596">
            <v>45110</v>
          </cell>
          <cell r="Q4596">
            <v>45107</v>
          </cell>
          <cell r="R4596">
            <v>45110</v>
          </cell>
          <cell r="S4596">
            <v>45111</v>
          </cell>
          <cell r="T4596">
            <v>45111</v>
          </cell>
          <cell r="U4596">
            <v>45113</v>
          </cell>
          <cell r="V4596">
            <v>45118</v>
          </cell>
          <cell r="W4596">
            <v>45118</v>
          </cell>
          <cell r="X4596">
            <v>41100481</v>
          </cell>
        </row>
        <row r="4597">
          <cell r="K4597" t="str">
            <v>SOS-0299</v>
          </cell>
          <cell r="L4597">
            <v>45044</v>
          </cell>
          <cell r="M4597">
            <v>45048</v>
          </cell>
          <cell r="N4597">
            <v>45050</v>
          </cell>
          <cell r="O4597">
            <v>45048</v>
          </cell>
          <cell r="P4597">
            <v>45050</v>
          </cell>
          <cell r="Q4597">
            <v>45050</v>
          </cell>
          <cell r="R4597">
            <v>45054</v>
          </cell>
          <cell r="S4597">
            <v>45054</v>
          </cell>
          <cell r="T4597">
            <v>45054</v>
          </cell>
          <cell r="U4597">
            <v>45056</v>
          </cell>
          <cell r="V4597">
            <v>45057</v>
          </cell>
          <cell r="W4597">
            <v>45057</v>
          </cell>
          <cell r="X4597">
            <v>41100182</v>
          </cell>
        </row>
        <row r="4598">
          <cell r="K4598" t="str">
            <v>SOS-0300</v>
          </cell>
          <cell r="L4598">
            <v>45044</v>
          </cell>
          <cell r="M4598">
            <v>45048</v>
          </cell>
          <cell r="N4598">
            <v>45050</v>
          </cell>
          <cell r="O4598">
            <v>45048</v>
          </cell>
          <cell r="P4598">
            <v>45050</v>
          </cell>
          <cell r="Q4598">
            <v>45050</v>
          </cell>
          <cell r="R4598">
            <v>45054</v>
          </cell>
          <cell r="S4598">
            <v>45054</v>
          </cell>
          <cell r="T4598">
            <v>45054</v>
          </cell>
          <cell r="U4598">
            <v>45056</v>
          </cell>
          <cell r="V4598">
            <v>45057</v>
          </cell>
          <cell r="W4598">
            <v>45057</v>
          </cell>
          <cell r="X4598">
            <v>41100182</v>
          </cell>
        </row>
        <row r="4599">
          <cell r="K4599" t="str">
            <v>DBW-3000</v>
          </cell>
          <cell r="L4599">
            <v>45091</v>
          </cell>
          <cell r="M4599">
            <v>45092</v>
          </cell>
          <cell r="N4599">
            <v>45100</v>
          </cell>
          <cell r="O4599">
            <v>45092</v>
          </cell>
          <cell r="P4599">
            <v>45100</v>
          </cell>
          <cell r="Q4599">
            <v>45099</v>
          </cell>
          <cell r="R4599">
            <v>45100</v>
          </cell>
          <cell r="S4599">
            <v>45103</v>
          </cell>
          <cell r="T4599">
            <v>45104</v>
          </cell>
          <cell r="U4599">
            <v>45106</v>
          </cell>
          <cell r="V4599">
            <v>45110</v>
          </cell>
          <cell r="W4599">
            <v>45110</v>
          </cell>
          <cell r="X4599">
            <v>41100496</v>
          </cell>
        </row>
        <row r="4600">
          <cell r="K4600" t="str">
            <v>GBWS-3478</v>
          </cell>
          <cell r="L4600">
            <v>45103</v>
          </cell>
          <cell r="M4600">
            <v>45104</v>
          </cell>
          <cell r="N4600">
            <v>45112</v>
          </cell>
          <cell r="O4600">
            <v>45104</v>
          </cell>
          <cell r="P4600">
            <v>45112</v>
          </cell>
          <cell r="Q4600">
            <v>45113</v>
          </cell>
          <cell r="R4600">
            <v>45114</v>
          </cell>
          <cell r="S4600">
            <v>45113</v>
          </cell>
          <cell r="T4600">
            <v>45118</v>
          </cell>
          <cell r="U4600">
            <v>45125</v>
          </cell>
          <cell r="V4600">
            <v>45127</v>
          </cell>
          <cell r="W4600">
            <v>45127</v>
          </cell>
          <cell r="X4600">
            <v>41100642</v>
          </cell>
        </row>
        <row r="4601">
          <cell r="K4601" t="str">
            <v>GBWS-3479</v>
          </cell>
          <cell r="L4601">
            <v>45103</v>
          </cell>
          <cell r="M4601">
            <v>45104</v>
          </cell>
          <cell r="N4601">
            <v>45112</v>
          </cell>
          <cell r="O4601">
            <v>45104</v>
          </cell>
          <cell r="P4601">
            <v>45112</v>
          </cell>
          <cell r="Q4601">
            <v>45113</v>
          </cell>
          <cell r="R4601">
            <v>45114</v>
          </cell>
          <cell r="S4601">
            <v>45113</v>
          </cell>
          <cell r="T4601">
            <v>45118</v>
          </cell>
          <cell r="U4601">
            <v>45119</v>
          </cell>
          <cell r="V4601">
            <v>45124</v>
          </cell>
          <cell r="W4601">
            <v>45124</v>
          </cell>
          <cell r="X4601">
            <v>41100642</v>
          </cell>
        </row>
        <row r="4602">
          <cell r="K4602" t="str">
            <v>GBWS-3480</v>
          </cell>
          <cell r="L4602">
            <v>45103</v>
          </cell>
          <cell r="M4602">
            <v>45104</v>
          </cell>
          <cell r="N4602">
            <v>45112</v>
          </cell>
          <cell r="O4602">
            <v>45104</v>
          </cell>
          <cell r="P4602">
            <v>45112</v>
          </cell>
          <cell r="Q4602">
            <v>45113</v>
          </cell>
          <cell r="R4602">
            <v>45114</v>
          </cell>
          <cell r="S4602">
            <v>45113</v>
          </cell>
          <cell r="T4602">
            <v>45118</v>
          </cell>
          <cell r="U4602">
            <v>45120</v>
          </cell>
          <cell r="V4602">
            <v>45124</v>
          </cell>
          <cell r="W4602">
            <v>45124</v>
          </cell>
          <cell r="X4602">
            <v>41100642</v>
          </cell>
        </row>
        <row r="4603">
          <cell r="K4603" t="str">
            <v>GBWS-3481</v>
          </cell>
          <cell r="L4603">
            <v>45103</v>
          </cell>
          <cell r="M4603">
            <v>45104</v>
          </cell>
          <cell r="N4603">
            <v>45112</v>
          </cell>
          <cell r="O4603">
            <v>45104</v>
          </cell>
          <cell r="P4603">
            <v>45112</v>
          </cell>
          <cell r="Q4603">
            <v>45113</v>
          </cell>
          <cell r="R4603">
            <v>45114</v>
          </cell>
          <cell r="S4603">
            <v>45113</v>
          </cell>
          <cell r="T4603">
            <v>45118</v>
          </cell>
          <cell r="U4603">
            <v>45120</v>
          </cell>
          <cell r="V4603">
            <v>45127</v>
          </cell>
          <cell r="W4603">
            <v>45127</v>
          </cell>
          <cell r="X4603">
            <v>41100642</v>
          </cell>
        </row>
        <row r="4604">
          <cell r="K4604" t="str">
            <v>GBWS-3475</v>
          </cell>
          <cell r="L4604">
            <v>45103</v>
          </cell>
          <cell r="M4604">
            <v>45104</v>
          </cell>
          <cell r="N4604">
            <v>45112</v>
          </cell>
          <cell r="O4604">
            <v>45104</v>
          </cell>
          <cell r="P4604">
            <v>45113</v>
          </cell>
          <cell r="Q4604">
            <v>45112</v>
          </cell>
          <cell r="R4604">
            <v>45113</v>
          </cell>
          <cell r="S4604">
            <v>45114</v>
          </cell>
          <cell r="T4604">
            <v>45118</v>
          </cell>
          <cell r="U4604">
            <v>45124</v>
          </cell>
          <cell r="V4604">
            <v>45127</v>
          </cell>
          <cell r="W4604">
            <v>45125</v>
          </cell>
          <cell r="X4604">
            <v>41100566</v>
          </cell>
        </row>
        <row r="4605">
          <cell r="K4605" t="str">
            <v>GBWS-3476</v>
          </cell>
          <cell r="L4605">
            <v>45103</v>
          </cell>
          <cell r="M4605">
            <v>45104</v>
          </cell>
          <cell r="N4605">
            <v>45112</v>
          </cell>
          <cell r="O4605">
            <v>45104</v>
          </cell>
          <cell r="P4605">
            <v>45113</v>
          </cell>
          <cell r="Q4605">
            <v>45112</v>
          </cell>
          <cell r="R4605">
            <v>45113</v>
          </cell>
          <cell r="S4605">
            <v>45114</v>
          </cell>
          <cell r="T4605">
            <v>45118</v>
          </cell>
          <cell r="U4605">
            <v>45125</v>
          </cell>
          <cell r="V4605">
            <v>45127</v>
          </cell>
          <cell r="W4605">
            <v>45127</v>
          </cell>
          <cell r="X4605">
            <v>41100566</v>
          </cell>
        </row>
        <row r="4606">
          <cell r="K4606" t="str">
            <v>GBWS-3486</v>
          </cell>
          <cell r="L4606">
            <v>45110</v>
          </cell>
          <cell r="M4606">
            <v>45111</v>
          </cell>
          <cell r="N4606">
            <v>45118</v>
          </cell>
          <cell r="O4606">
            <v>45111</v>
          </cell>
          <cell r="P4606">
            <v>45118</v>
          </cell>
          <cell r="Q4606">
            <v>45118</v>
          </cell>
          <cell r="R4606">
            <v>45119</v>
          </cell>
          <cell r="S4606">
            <v>45119</v>
          </cell>
          <cell r="T4606">
            <v>45119</v>
          </cell>
          <cell r="U4606">
            <v>45124</v>
          </cell>
          <cell r="V4606">
            <v>45124</v>
          </cell>
          <cell r="W4606">
            <v>45124</v>
          </cell>
          <cell r="X4606">
            <v>41100559</v>
          </cell>
        </row>
        <row r="4607">
          <cell r="K4607" t="str">
            <v>GBWS-3487</v>
          </cell>
          <cell r="L4607">
            <v>45110</v>
          </cell>
          <cell r="M4607">
            <v>45111</v>
          </cell>
          <cell r="N4607">
            <v>45118</v>
          </cell>
          <cell r="O4607">
            <v>45111</v>
          </cell>
          <cell r="P4607">
            <v>45118</v>
          </cell>
          <cell r="Q4607">
            <v>45118</v>
          </cell>
          <cell r="R4607">
            <v>45119</v>
          </cell>
          <cell r="S4607">
            <v>45119</v>
          </cell>
          <cell r="T4607">
            <v>45119</v>
          </cell>
          <cell r="U4607">
            <v>45124</v>
          </cell>
          <cell r="V4607">
            <v>45126</v>
          </cell>
          <cell r="W4607">
            <v>45126</v>
          </cell>
          <cell r="X4607">
            <v>41100559</v>
          </cell>
        </row>
        <row r="4608">
          <cell r="K4608" t="str">
            <v>IVAS-216</v>
          </cell>
          <cell r="L4608">
            <v>45105</v>
          </cell>
          <cell r="M4608">
            <v>45106</v>
          </cell>
          <cell r="N4608">
            <v>45118</v>
          </cell>
          <cell r="O4608">
            <v>45106</v>
          </cell>
          <cell r="P4608">
            <v>45118</v>
          </cell>
          <cell r="Q4608">
            <v>45117</v>
          </cell>
          <cell r="R4608">
            <v>45118</v>
          </cell>
          <cell r="S4608">
            <v>45118</v>
          </cell>
          <cell r="T4608">
            <v>45119</v>
          </cell>
          <cell r="U4608">
            <v>45126</v>
          </cell>
          <cell r="V4608">
            <v>45126</v>
          </cell>
          <cell r="W4608">
            <v>45126</v>
          </cell>
          <cell r="X4608">
            <v>41100688</v>
          </cell>
        </row>
        <row r="4609">
          <cell r="K4609" t="str">
            <v>IVAS-215</v>
          </cell>
          <cell r="L4609">
            <v>45100</v>
          </cell>
          <cell r="M4609">
            <v>45103</v>
          </cell>
          <cell r="N4609">
            <v>45112</v>
          </cell>
          <cell r="O4609">
            <v>45103</v>
          </cell>
          <cell r="P4609">
            <v>45113</v>
          </cell>
          <cell r="Q4609">
            <v>45111</v>
          </cell>
          <cell r="R4609">
            <v>45112</v>
          </cell>
          <cell r="S4609">
            <v>45117</v>
          </cell>
          <cell r="T4609">
            <v>45118</v>
          </cell>
          <cell r="U4609">
            <v>45121</v>
          </cell>
          <cell r="V4609">
            <v>45126</v>
          </cell>
          <cell r="W4609">
            <v>45126</v>
          </cell>
          <cell r="X4609">
            <v>41100555</v>
          </cell>
        </row>
        <row r="4610">
          <cell r="K4610" t="str">
            <v>GBWS-3484</v>
          </cell>
          <cell r="L4610">
            <v>45110</v>
          </cell>
          <cell r="M4610">
            <v>45111</v>
          </cell>
          <cell r="N4610">
            <v>45118</v>
          </cell>
          <cell r="O4610">
            <v>45111</v>
          </cell>
          <cell r="P4610">
            <v>45119</v>
          </cell>
          <cell r="Q4610">
            <v>45119</v>
          </cell>
          <cell r="R4610">
            <v>45120</v>
          </cell>
          <cell r="S4610">
            <v>45120</v>
          </cell>
          <cell r="T4610">
            <v>45120</v>
          </cell>
          <cell r="U4610">
            <v>45125</v>
          </cell>
          <cell r="V4610">
            <v>45125</v>
          </cell>
          <cell r="W4610">
            <v>45125</v>
          </cell>
          <cell r="X4610">
            <v>41100662</v>
          </cell>
        </row>
        <row r="4611">
          <cell r="K4611" t="str">
            <v>GBWS-3485</v>
          </cell>
          <cell r="L4611">
            <v>45110</v>
          </cell>
          <cell r="M4611">
            <v>45111</v>
          </cell>
          <cell r="N4611">
            <v>45118</v>
          </cell>
          <cell r="O4611">
            <v>45111</v>
          </cell>
          <cell r="P4611">
            <v>45119</v>
          </cell>
          <cell r="Q4611">
            <v>45119</v>
          </cell>
          <cell r="R4611">
            <v>45120</v>
          </cell>
          <cell r="S4611">
            <v>45120</v>
          </cell>
          <cell r="T4611">
            <v>45124</v>
          </cell>
          <cell r="U4611">
            <v>45126</v>
          </cell>
          <cell r="V4611">
            <v>45127</v>
          </cell>
          <cell r="W4611">
            <v>45127</v>
          </cell>
          <cell r="X4611">
            <v>41100558</v>
          </cell>
        </row>
        <row r="4612">
          <cell r="K4612" t="str">
            <v>GBWS-3483</v>
          </cell>
          <cell r="L4612">
            <v>45110</v>
          </cell>
          <cell r="M4612">
            <v>45111</v>
          </cell>
          <cell r="N4612">
            <v>45118</v>
          </cell>
          <cell r="O4612">
            <v>45111</v>
          </cell>
          <cell r="P4612">
            <v>45119</v>
          </cell>
          <cell r="Q4612">
            <v>45119</v>
          </cell>
          <cell r="R4612">
            <v>45120</v>
          </cell>
          <cell r="S4612">
            <v>45118</v>
          </cell>
          <cell r="T4612">
            <v>45120</v>
          </cell>
          <cell r="U4612">
            <v>45127</v>
          </cell>
          <cell r="V4612">
            <v>45127</v>
          </cell>
          <cell r="W4612">
            <v>45127</v>
          </cell>
          <cell r="X4612">
            <v>41100564</v>
          </cell>
        </row>
        <row r="4613">
          <cell r="K4613" t="str">
            <v>SOS-0306</v>
          </cell>
          <cell r="L4613">
            <v>45118</v>
          </cell>
          <cell r="M4613">
            <v>45119</v>
          </cell>
          <cell r="N4613">
            <v>45119</v>
          </cell>
          <cell r="O4613">
            <v>45119</v>
          </cell>
          <cell r="P4613">
            <v>45120</v>
          </cell>
          <cell r="Q4613">
            <v>45121</v>
          </cell>
          <cell r="R4613">
            <v>45124</v>
          </cell>
          <cell r="S4613">
            <v>45124</v>
          </cell>
          <cell r="T4613">
            <v>45124</v>
          </cell>
          <cell r="U4613">
            <v>45125</v>
          </cell>
          <cell r="V4613">
            <v>45127</v>
          </cell>
          <cell r="W4613">
            <v>45127</v>
          </cell>
          <cell r="X4613">
            <v>41100299</v>
          </cell>
        </row>
        <row r="4614">
          <cell r="K4614" t="str">
            <v>GPWS-0270</v>
          </cell>
          <cell r="L4614">
            <v>45110</v>
          </cell>
          <cell r="M4614">
            <v>45111</v>
          </cell>
          <cell r="N4614">
            <v>45117</v>
          </cell>
          <cell r="O4614">
            <v>45111</v>
          </cell>
          <cell r="P4614">
            <v>45120</v>
          </cell>
          <cell r="Q4614">
            <v>45119</v>
          </cell>
          <cell r="R4614">
            <v>45120</v>
          </cell>
          <cell r="S4614">
            <v>45121</v>
          </cell>
          <cell r="T4614">
            <v>45121</v>
          </cell>
          <cell r="U4614">
            <v>45127</v>
          </cell>
          <cell r="V4614">
            <v>45127</v>
          </cell>
          <cell r="W4614">
            <v>45127</v>
          </cell>
          <cell r="X4614">
            <v>41100487</v>
          </cell>
        </row>
        <row r="4615">
          <cell r="K4615" t="str">
            <v>GPWS-0271</v>
          </cell>
          <cell r="L4615">
            <v>45110</v>
          </cell>
          <cell r="M4615">
            <v>45111</v>
          </cell>
          <cell r="N4615">
            <v>45117</v>
          </cell>
          <cell r="O4615">
            <v>45111</v>
          </cell>
          <cell r="P4615">
            <v>45120</v>
          </cell>
          <cell r="Q4615">
            <v>45119</v>
          </cell>
          <cell r="R4615">
            <v>45120</v>
          </cell>
          <cell r="S4615">
            <v>45121</v>
          </cell>
          <cell r="T4615">
            <v>45121</v>
          </cell>
          <cell r="U4615">
            <v>45127</v>
          </cell>
          <cell r="V4615">
            <v>45127</v>
          </cell>
          <cell r="W4615">
            <v>45127</v>
          </cell>
          <cell r="X4615">
            <v>41100487</v>
          </cell>
        </row>
        <row r="4616">
          <cell r="K4616" t="str">
            <v>GPWS-0272</v>
          </cell>
          <cell r="L4616">
            <v>45110</v>
          </cell>
          <cell r="M4616">
            <v>45111</v>
          </cell>
          <cell r="N4616">
            <v>45117</v>
          </cell>
          <cell r="O4616">
            <v>45111</v>
          </cell>
          <cell r="P4616">
            <v>45120</v>
          </cell>
          <cell r="Q4616">
            <v>45119</v>
          </cell>
          <cell r="R4616">
            <v>45120</v>
          </cell>
          <cell r="S4616">
            <v>45121</v>
          </cell>
          <cell r="T4616">
            <v>45124</v>
          </cell>
          <cell r="U4616">
            <v>45126</v>
          </cell>
          <cell r="V4616">
            <v>45127</v>
          </cell>
          <cell r="W4616">
            <v>45127</v>
          </cell>
          <cell r="X4616">
            <v>41100487</v>
          </cell>
        </row>
        <row r="4617">
          <cell r="K4617" t="str">
            <v>GPWS-0273</v>
          </cell>
          <cell r="L4617">
            <v>45110</v>
          </cell>
          <cell r="M4617">
            <v>45111</v>
          </cell>
          <cell r="N4617">
            <v>45117</v>
          </cell>
          <cell r="O4617">
            <v>45111</v>
          </cell>
          <cell r="P4617">
            <v>45120</v>
          </cell>
          <cell r="Q4617">
            <v>45119</v>
          </cell>
          <cell r="R4617">
            <v>45120</v>
          </cell>
          <cell r="S4617">
            <v>45121</v>
          </cell>
          <cell r="T4617">
            <v>45124</v>
          </cell>
          <cell r="U4617">
            <v>45127</v>
          </cell>
          <cell r="V4617">
            <v>45127</v>
          </cell>
          <cell r="W4617">
            <v>45127</v>
          </cell>
          <cell r="X4617">
            <v>41100487</v>
          </cell>
        </row>
        <row r="4618">
          <cell r="K4618" t="str">
            <v>GBWS-3482</v>
          </cell>
          <cell r="L4618">
            <v>45107</v>
          </cell>
          <cell r="M4618">
            <v>45107</v>
          </cell>
          <cell r="N4618">
            <v>45114</v>
          </cell>
          <cell r="O4618">
            <v>45107</v>
          </cell>
          <cell r="P4618">
            <v>45114</v>
          </cell>
          <cell r="Q4618">
            <v>45114</v>
          </cell>
          <cell r="R4618">
            <v>45114</v>
          </cell>
          <cell r="S4618">
            <v>45117</v>
          </cell>
          <cell r="T4618">
            <v>45118</v>
          </cell>
          <cell r="U4618">
            <v>45120</v>
          </cell>
          <cell r="V4618">
            <v>45121</v>
          </cell>
          <cell r="W4618">
            <v>45121</v>
          </cell>
          <cell r="X4618">
            <v>41100408</v>
          </cell>
        </row>
        <row r="4619">
          <cell r="K4619" t="str">
            <v>GBWS-2946</v>
          </cell>
          <cell r="L4619">
            <v>44851</v>
          </cell>
          <cell r="M4619">
            <v>44852</v>
          </cell>
          <cell r="N4619">
            <v>44875</v>
          </cell>
          <cell r="O4619">
            <v>44852</v>
          </cell>
          <cell r="P4619">
            <v>44874</v>
          </cell>
          <cell r="Q4619" t="str">
            <v>2022-10-28 → 11/11</v>
          </cell>
          <cell r="R4619" t="str">
            <v>2022-10-28 → 11/11</v>
          </cell>
          <cell r="S4619"/>
          <cell r="T4619">
            <v>44879</v>
          </cell>
          <cell r="U4619">
            <v>44880</v>
          </cell>
          <cell r="V4619">
            <v>44880</v>
          </cell>
          <cell r="W4619">
            <v>44881</v>
          </cell>
          <cell r="X4619">
            <v>41100350</v>
          </cell>
        </row>
        <row r="4620">
          <cell r="K4620" t="str">
            <v>GBWS-3445</v>
          </cell>
          <cell r="L4620">
            <v>45082</v>
          </cell>
          <cell r="M4620">
            <v>45084</v>
          </cell>
          <cell r="N4620">
            <v>45093</v>
          </cell>
          <cell r="O4620">
            <v>45084</v>
          </cell>
          <cell r="P4620">
            <v>45093</v>
          </cell>
          <cell r="Q4620">
            <v>45092</v>
          </cell>
          <cell r="R4620">
            <v>45093</v>
          </cell>
          <cell r="S4620">
            <v>45097</v>
          </cell>
          <cell r="T4620">
            <v>45097</v>
          </cell>
          <cell r="U4620">
            <v>45098</v>
          </cell>
          <cell r="V4620">
            <v>45104</v>
          </cell>
          <cell r="W4620">
            <v>45104</v>
          </cell>
          <cell r="X4620">
            <v>41100686</v>
          </cell>
        </row>
        <row r="4621">
          <cell r="K4621" t="str">
            <v>GBWS-3446</v>
          </cell>
          <cell r="L4621">
            <v>45082</v>
          </cell>
          <cell r="M4621">
            <v>45084</v>
          </cell>
          <cell r="N4621">
            <v>45093</v>
          </cell>
          <cell r="O4621">
            <v>45084</v>
          </cell>
          <cell r="P4621">
            <v>45093</v>
          </cell>
          <cell r="Q4621">
            <v>45092</v>
          </cell>
          <cell r="R4621">
            <v>45093</v>
          </cell>
          <cell r="S4621">
            <v>45097</v>
          </cell>
          <cell r="T4621">
            <v>45097</v>
          </cell>
          <cell r="U4621">
            <v>45098</v>
          </cell>
          <cell r="V4621">
            <v>45104</v>
          </cell>
          <cell r="W4621">
            <v>45104</v>
          </cell>
          <cell r="X4621">
            <v>41100686</v>
          </cell>
        </row>
        <row r="4622">
          <cell r="K4622" t="str">
            <v>GBWS-3463</v>
          </cell>
          <cell r="L4622">
            <v>45096</v>
          </cell>
          <cell r="M4622">
            <v>45097</v>
          </cell>
          <cell r="N4622">
            <v>45105</v>
          </cell>
          <cell r="O4622">
            <v>45097</v>
          </cell>
          <cell r="P4622">
            <v>45105</v>
          </cell>
          <cell r="Q4622">
            <v>45104</v>
          </cell>
          <cell r="R4622">
            <v>45105</v>
          </cell>
          <cell r="S4622">
            <v>45106</v>
          </cell>
          <cell r="T4622">
            <v>45106</v>
          </cell>
          <cell r="U4622">
            <v>45107</v>
          </cell>
          <cell r="V4622">
            <v>45110</v>
          </cell>
          <cell r="W4622">
            <v>45110</v>
          </cell>
          <cell r="X4622">
            <v>41100686</v>
          </cell>
        </row>
        <row r="4623">
          <cell r="K4623" t="str">
            <v>GBWS-3464</v>
          </cell>
          <cell r="L4623">
            <v>45096</v>
          </cell>
          <cell r="M4623">
            <v>45097</v>
          </cell>
          <cell r="N4623">
            <v>45105</v>
          </cell>
          <cell r="O4623">
            <v>45097</v>
          </cell>
          <cell r="P4623">
            <v>45105</v>
          </cell>
          <cell r="Q4623">
            <v>45104</v>
          </cell>
          <cell r="R4623">
            <v>45105</v>
          </cell>
          <cell r="S4623">
            <v>45106</v>
          </cell>
          <cell r="T4623">
            <v>45106</v>
          </cell>
          <cell r="U4623">
            <v>45111</v>
          </cell>
          <cell r="V4623">
            <v>45111</v>
          </cell>
          <cell r="W4623">
            <v>45111</v>
          </cell>
          <cell r="X4623">
            <v>41100686</v>
          </cell>
        </row>
        <row r="4624">
          <cell r="K4624" t="str">
            <v>DBW-3010</v>
          </cell>
          <cell r="L4624">
            <v>45099</v>
          </cell>
          <cell r="M4624" t="str">
            <v>2023-06-27 → 6/23</v>
          </cell>
          <cell r="N4624">
            <v>45110</v>
          </cell>
          <cell r="O4624" t="str">
            <v>2023-06-27 → 6/23</v>
          </cell>
          <cell r="P4624">
            <v>45110</v>
          </cell>
          <cell r="Q4624" t="str">
            <v>2023-07-04 → 7/3</v>
          </cell>
          <cell r="R4624" t="str">
            <v>2023-07-05 → 7/4</v>
          </cell>
          <cell r="S4624">
            <v>45111</v>
          </cell>
          <cell r="T4624">
            <v>45112</v>
          </cell>
          <cell r="U4624">
            <v>45117</v>
          </cell>
          <cell r="V4624">
            <v>45119</v>
          </cell>
          <cell r="W4624">
            <v>45119</v>
          </cell>
          <cell r="X4624">
            <v>41100668</v>
          </cell>
        </row>
        <row r="4625">
          <cell r="K4625" t="str">
            <v>DBW-3011</v>
          </cell>
          <cell r="L4625">
            <v>45099</v>
          </cell>
          <cell r="M4625" t="str">
            <v>2023-06-27 → 6/23</v>
          </cell>
          <cell r="N4625">
            <v>45110</v>
          </cell>
          <cell r="O4625" t="str">
            <v>2023-06-27 → 6/23</v>
          </cell>
          <cell r="P4625">
            <v>45110</v>
          </cell>
          <cell r="Q4625" t="str">
            <v>2023-07-04 → 7/3</v>
          </cell>
          <cell r="R4625" t="str">
            <v>2023-07-05 → 7/4</v>
          </cell>
          <cell r="S4625">
            <v>45111</v>
          </cell>
          <cell r="T4625">
            <v>45112</v>
          </cell>
          <cell r="U4625">
            <v>45114</v>
          </cell>
          <cell r="V4625">
            <v>45119</v>
          </cell>
          <cell r="W4625">
            <v>45119</v>
          </cell>
          <cell r="X4625">
            <v>41100668</v>
          </cell>
        </row>
        <row r="4626">
          <cell r="K4626" t="str">
            <v>DBW-3015</v>
          </cell>
          <cell r="L4626">
            <v>45104</v>
          </cell>
          <cell r="M4626">
            <v>45105</v>
          </cell>
          <cell r="N4626">
            <v>45112</v>
          </cell>
          <cell r="O4626">
            <v>45105</v>
          </cell>
          <cell r="P4626">
            <v>45113</v>
          </cell>
          <cell r="Q4626">
            <v>45112</v>
          </cell>
          <cell r="R4626">
            <v>45113</v>
          </cell>
          <cell r="S4626">
            <v>45114</v>
          </cell>
          <cell r="T4626">
            <v>45114</v>
          </cell>
          <cell r="U4626">
            <v>45121</v>
          </cell>
          <cell r="V4626">
            <v>45125</v>
          </cell>
          <cell r="W4626">
            <v>45125</v>
          </cell>
          <cell r="X4626">
            <v>41100692</v>
          </cell>
        </row>
        <row r="4627">
          <cell r="K4627" t="str">
            <v>IVAS-217</v>
          </cell>
          <cell r="L4627">
            <v>45111</v>
          </cell>
          <cell r="M4627">
            <v>45112</v>
          </cell>
          <cell r="N4627">
            <v>45124</v>
          </cell>
          <cell r="O4627">
            <v>45112</v>
          </cell>
          <cell r="P4627">
            <v>45125</v>
          </cell>
          <cell r="Q4627">
            <v>45121</v>
          </cell>
          <cell r="R4627">
            <v>45124</v>
          </cell>
          <cell r="S4627">
            <v>45126</v>
          </cell>
          <cell r="T4627">
            <v>45126</v>
          </cell>
          <cell r="U4627">
            <v>45132</v>
          </cell>
          <cell r="V4627">
            <v>45133</v>
          </cell>
          <cell r="W4627">
            <v>45133</v>
          </cell>
          <cell r="X4627">
            <v>41100637</v>
          </cell>
        </row>
        <row r="4628">
          <cell r="K4628" t="str">
            <v>IVAS-218</v>
          </cell>
          <cell r="L4628">
            <v>45111</v>
          </cell>
          <cell r="M4628">
            <v>45112</v>
          </cell>
          <cell r="N4628">
            <v>45124</v>
          </cell>
          <cell r="O4628">
            <v>45112</v>
          </cell>
          <cell r="P4628">
            <v>45125</v>
          </cell>
          <cell r="Q4628">
            <v>45121</v>
          </cell>
          <cell r="R4628">
            <v>45124</v>
          </cell>
          <cell r="S4628">
            <v>45126</v>
          </cell>
          <cell r="T4628">
            <v>45126</v>
          </cell>
          <cell r="U4628">
            <v>45132</v>
          </cell>
          <cell r="V4628">
            <v>45133</v>
          </cell>
          <cell r="W4628">
            <v>45133</v>
          </cell>
          <cell r="X4628">
            <v>41100637</v>
          </cell>
        </row>
        <row r="4629">
          <cell r="K4629" t="str">
            <v>DBW-3020</v>
          </cell>
          <cell r="L4629">
            <v>45111</v>
          </cell>
          <cell r="M4629">
            <v>45112</v>
          </cell>
          <cell r="N4629">
            <v>45119</v>
          </cell>
          <cell r="O4629">
            <v>45112</v>
          </cell>
          <cell r="P4629">
            <v>45119</v>
          </cell>
          <cell r="Q4629">
            <v>45119</v>
          </cell>
          <cell r="R4629">
            <v>45120</v>
          </cell>
          <cell r="S4629">
            <v>45120</v>
          </cell>
          <cell r="T4629">
            <v>45120</v>
          </cell>
          <cell r="U4629">
            <v>45127</v>
          </cell>
          <cell r="V4629">
            <v>45127</v>
          </cell>
          <cell r="W4629">
            <v>45127</v>
          </cell>
          <cell r="X4629">
            <v>41100714</v>
          </cell>
        </row>
        <row r="4630">
          <cell r="K4630" t="str">
            <v>DBW-3021</v>
          </cell>
          <cell r="L4630">
            <v>45111</v>
          </cell>
          <cell r="M4630">
            <v>45112</v>
          </cell>
          <cell r="N4630">
            <v>45119</v>
          </cell>
          <cell r="O4630">
            <v>45112</v>
          </cell>
          <cell r="P4630">
            <v>45119</v>
          </cell>
          <cell r="Q4630">
            <v>45119</v>
          </cell>
          <cell r="R4630">
            <v>45120</v>
          </cell>
          <cell r="S4630">
            <v>45120</v>
          </cell>
          <cell r="T4630">
            <v>45120</v>
          </cell>
          <cell r="U4630">
            <v>45127</v>
          </cell>
          <cell r="V4630">
            <v>45127</v>
          </cell>
          <cell r="W4630">
            <v>45127</v>
          </cell>
          <cell r="X4630">
            <v>41100714</v>
          </cell>
        </row>
        <row r="4631">
          <cell r="K4631" t="str">
            <v>GBWS-3496</v>
          </cell>
          <cell r="L4631">
            <v>45112</v>
          </cell>
          <cell r="M4631">
            <v>45113</v>
          </cell>
          <cell r="N4631">
            <v>45133</v>
          </cell>
          <cell r="O4631">
            <v>45113</v>
          </cell>
          <cell r="P4631">
            <v>45127</v>
          </cell>
          <cell r="Q4631">
            <v>45121</v>
          </cell>
          <cell r="R4631" t="str">
            <v>2023-07-17 → 7/20</v>
          </cell>
          <cell r="S4631">
            <v>45127</v>
          </cell>
          <cell r="T4631">
            <v>45133</v>
          </cell>
          <cell r="U4631">
            <v>45133</v>
          </cell>
          <cell r="V4631">
            <v>45133</v>
          </cell>
          <cell r="W4631">
            <v>45133</v>
          </cell>
          <cell r="X4631">
            <v>41100232</v>
          </cell>
        </row>
        <row r="4632">
          <cell r="K4632" t="str">
            <v>AWM-0079</v>
          </cell>
          <cell r="L4632">
            <v>45096</v>
          </cell>
          <cell r="M4632">
            <v>45097</v>
          </cell>
          <cell r="N4632">
            <v>45111</v>
          </cell>
          <cell r="O4632">
            <v>45097</v>
          </cell>
          <cell r="P4632">
            <v>45111</v>
          </cell>
          <cell r="Q4632">
            <v>45118</v>
          </cell>
          <cell r="R4632">
            <v>45118</v>
          </cell>
          <cell r="S4632">
            <v>45127</v>
          </cell>
          <cell r="T4632">
            <v>45127</v>
          </cell>
          <cell r="U4632">
            <v>45133</v>
          </cell>
          <cell r="V4632">
            <v>45134</v>
          </cell>
          <cell r="W4632">
            <v>45134</v>
          </cell>
          <cell r="X4632">
            <v>51000001</v>
          </cell>
        </row>
        <row r="4633">
          <cell r="K4633" t="str">
            <v>GBWS-3028</v>
          </cell>
          <cell r="L4633">
            <v>44886</v>
          </cell>
          <cell r="M4633">
            <v>44887</v>
          </cell>
          <cell r="N4633">
            <v>44896</v>
          </cell>
          <cell r="O4633">
            <v>44887</v>
          </cell>
          <cell r="P4633">
            <v>44895</v>
          </cell>
          <cell r="Q4633" t="str">
            <v>2022-12-02 → 12/1</v>
          </cell>
          <cell r="R4633" t="str">
            <v>2022-12-02 → 12/1</v>
          </cell>
          <cell r="S4633"/>
          <cell r="T4633">
            <v>44897</v>
          </cell>
          <cell r="U4633">
            <v>44900</v>
          </cell>
          <cell r="V4633">
            <v>44901</v>
          </cell>
          <cell r="W4633">
            <v>44901</v>
          </cell>
          <cell r="X4633">
            <v>41100350</v>
          </cell>
        </row>
        <row r="4634">
          <cell r="K4634" t="str">
            <v>DBW-3022</v>
          </cell>
          <cell r="L4634">
            <v>45111</v>
          </cell>
          <cell r="M4634">
            <v>45112</v>
          </cell>
          <cell r="N4634">
            <v>45119</v>
          </cell>
          <cell r="O4634">
            <v>45112</v>
          </cell>
          <cell r="P4634">
            <v>45119</v>
          </cell>
          <cell r="Q4634">
            <v>45119</v>
          </cell>
          <cell r="R4634">
            <v>45120</v>
          </cell>
          <cell r="S4634">
            <v>45120</v>
          </cell>
          <cell r="T4634">
            <v>45120</v>
          </cell>
          <cell r="U4634">
            <v>45127</v>
          </cell>
          <cell r="V4634">
            <v>45127</v>
          </cell>
          <cell r="W4634">
            <v>45127</v>
          </cell>
          <cell r="X4634">
            <v>41100714</v>
          </cell>
        </row>
        <row r="4635">
          <cell r="K4635" t="str">
            <v>DBW-3023</v>
          </cell>
          <cell r="L4635">
            <v>45111</v>
          </cell>
          <cell r="M4635">
            <v>45112</v>
          </cell>
          <cell r="N4635">
            <v>45119</v>
          </cell>
          <cell r="O4635">
            <v>45112</v>
          </cell>
          <cell r="P4635">
            <v>45119</v>
          </cell>
          <cell r="Q4635">
            <v>45119</v>
          </cell>
          <cell r="R4635">
            <v>45120</v>
          </cell>
          <cell r="S4635">
            <v>45120</v>
          </cell>
          <cell r="T4635">
            <v>45120</v>
          </cell>
          <cell r="U4635">
            <v>45126</v>
          </cell>
          <cell r="V4635">
            <v>45127</v>
          </cell>
          <cell r="W4635">
            <v>45127</v>
          </cell>
          <cell r="X4635">
            <v>41100714</v>
          </cell>
        </row>
        <row r="4636">
          <cell r="K4636" t="str">
            <v>DBW-2891</v>
          </cell>
          <cell r="L4636">
            <v>45016</v>
          </cell>
          <cell r="M4636">
            <v>45016</v>
          </cell>
          <cell r="N4636">
            <v>45026</v>
          </cell>
          <cell r="O4636">
            <v>45016</v>
          </cell>
          <cell r="P4636">
            <v>45026</v>
          </cell>
          <cell r="Q4636">
            <v>45026</v>
          </cell>
          <cell r="R4636">
            <v>45026</v>
          </cell>
          <cell r="S4636">
            <v>45027</v>
          </cell>
          <cell r="T4636">
            <v>45027</v>
          </cell>
          <cell r="U4636">
            <v>45028</v>
          </cell>
          <cell r="V4636">
            <v>45048</v>
          </cell>
          <cell r="W4636">
            <v>45048</v>
          </cell>
          <cell r="X4636">
            <v>41100655</v>
          </cell>
        </row>
        <row r="4637">
          <cell r="K4637"/>
          <cell r="L4637">
            <v>45114</v>
          </cell>
          <cell r="M4637">
            <v>45114</v>
          </cell>
          <cell r="N4637">
            <v>45119</v>
          </cell>
          <cell r="O4637">
            <v>45114</v>
          </cell>
          <cell r="P4637">
            <v>45118</v>
          </cell>
          <cell r="Q4637">
            <v>45119</v>
          </cell>
          <cell r="R4637">
            <v>45119</v>
          </cell>
          <cell r="S4637">
            <v>45120</v>
          </cell>
          <cell r="T4637">
            <v>45120</v>
          </cell>
          <cell r="U4637">
            <v>45133</v>
          </cell>
          <cell r="V4637">
            <v>45133</v>
          </cell>
          <cell r="W4637">
            <v>45133</v>
          </cell>
          <cell r="X4637">
            <v>41100682</v>
          </cell>
        </row>
        <row r="4638">
          <cell r="K4638" t="str">
            <v>DBW-3027</v>
          </cell>
          <cell r="L4638">
            <v>45117</v>
          </cell>
          <cell r="M4638">
            <v>45118</v>
          </cell>
          <cell r="N4638">
            <v>45125</v>
          </cell>
          <cell r="O4638">
            <v>45118</v>
          </cell>
          <cell r="P4638">
            <v>45125</v>
          </cell>
          <cell r="Q4638">
            <v>45125</v>
          </cell>
          <cell r="R4638">
            <v>45126</v>
          </cell>
          <cell r="S4638">
            <v>45128</v>
          </cell>
          <cell r="T4638">
            <v>45128</v>
          </cell>
          <cell r="U4638">
            <v>45132</v>
          </cell>
          <cell r="V4638">
            <v>45134</v>
          </cell>
          <cell r="W4638">
            <v>45134</v>
          </cell>
          <cell r="X4638">
            <v>41100683</v>
          </cell>
        </row>
        <row r="4639">
          <cell r="K4639" t="str">
            <v>DBW-3028</v>
          </cell>
          <cell r="L4639">
            <v>45119</v>
          </cell>
          <cell r="M4639">
            <v>45120</v>
          </cell>
          <cell r="N4639">
            <v>45126</v>
          </cell>
          <cell r="O4639">
            <v>45120</v>
          </cell>
          <cell r="P4639">
            <v>45126</v>
          </cell>
          <cell r="Q4639">
            <v>45126</v>
          </cell>
          <cell r="R4639">
            <v>45126</v>
          </cell>
          <cell r="S4639">
            <v>45127</v>
          </cell>
          <cell r="T4639">
            <v>45127</v>
          </cell>
          <cell r="U4639">
            <v>45128</v>
          </cell>
          <cell r="V4639">
            <v>45139</v>
          </cell>
          <cell r="W4639">
            <v>45139</v>
          </cell>
          <cell r="X4639">
            <v>41000514</v>
          </cell>
        </row>
        <row r="4640">
          <cell r="K4640" t="str">
            <v>GBWS-3505</v>
          </cell>
          <cell r="L4640">
            <v>45118</v>
          </cell>
          <cell r="M4640">
            <v>45119</v>
          </cell>
          <cell r="N4640">
            <v>45127</v>
          </cell>
          <cell r="O4640">
            <v>45119</v>
          </cell>
          <cell r="P4640">
            <v>45127</v>
          </cell>
          <cell r="Q4640">
            <v>45128</v>
          </cell>
          <cell r="R4640">
            <v>45131</v>
          </cell>
          <cell r="S4640">
            <v>45128</v>
          </cell>
          <cell r="T4640">
            <v>45132</v>
          </cell>
          <cell r="U4640">
            <v>45134</v>
          </cell>
          <cell r="V4640">
            <v>45138</v>
          </cell>
          <cell r="W4640">
            <v>45138</v>
          </cell>
          <cell r="X4640">
            <v>41100662</v>
          </cell>
        </row>
        <row r="4641">
          <cell r="K4641" t="str">
            <v>GBWS-3506</v>
          </cell>
          <cell r="L4641">
            <v>45118</v>
          </cell>
          <cell r="M4641">
            <v>45119</v>
          </cell>
          <cell r="N4641">
            <v>45127</v>
          </cell>
          <cell r="O4641">
            <v>45119</v>
          </cell>
          <cell r="P4641">
            <v>45127</v>
          </cell>
          <cell r="Q4641">
            <v>45128</v>
          </cell>
          <cell r="R4641">
            <v>45131</v>
          </cell>
          <cell r="S4641">
            <v>45128</v>
          </cell>
          <cell r="T4641">
            <v>45132</v>
          </cell>
          <cell r="U4641">
            <v>45135</v>
          </cell>
          <cell r="V4641">
            <v>45138</v>
          </cell>
          <cell r="W4641">
            <v>45138</v>
          </cell>
          <cell r="X4641">
            <v>41100662</v>
          </cell>
        </row>
        <row r="4642">
          <cell r="K4642" t="str">
            <v>GBWS-3507</v>
          </cell>
          <cell r="L4642">
            <v>45118</v>
          </cell>
          <cell r="M4642">
            <v>45119</v>
          </cell>
          <cell r="N4642">
            <v>45127</v>
          </cell>
          <cell r="O4642">
            <v>45119</v>
          </cell>
          <cell r="P4642">
            <v>45127</v>
          </cell>
          <cell r="Q4642">
            <v>45128</v>
          </cell>
          <cell r="R4642">
            <v>45131</v>
          </cell>
          <cell r="S4642">
            <v>45128</v>
          </cell>
          <cell r="T4642">
            <v>45132</v>
          </cell>
          <cell r="U4642">
            <v>45135</v>
          </cell>
          <cell r="V4642">
            <v>45138</v>
          </cell>
          <cell r="W4642">
            <v>45138</v>
          </cell>
          <cell r="X4642">
            <v>41100662</v>
          </cell>
        </row>
        <row r="4643">
          <cell r="K4643" t="str">
            <v>GBWS-3488</v>
          </cell>
          <cell r="L4643">
            <v>45110</v>
          </cell>
          <cell r="M4643">
            <v>45111</v>
          </cell>
          <cell r="N4643">
            <v>45118</v>
          </cell>
          <cell r="O4643">
            <v>45111</v>
          </cell>
          <cell r="P4643">
            <v>45119</v>
          </cell>
          <cell r="Q4643">
            <v>45119</v>
          </cell>
          <cell r="R4643">
            <v>45120</v>
          </cell>
          <cell r="S4643">
            <v>45120</v>
          </cell>
          <cell r="T4643">
            <v>45120</v>
          </cell>
          <cell r="U4643">
            <v>45125</v>
          </cell>
          <cell r="V4643">
            <v>45127</v>
          </cell>
          <cell r="W4643">
            <v>45127</v>
          </cell>
          <cell r="X4643">
            <v>41100698</v>
          </cell>
        </row>
        <row r="4644">
          <cell r="K4644" t="str">
            <v>GBWS-3508</v>
          </cell>
          <cell r="L4644">
            <v>45118</v>
          </cell>
          <cell r="M4644">
            <v>45119</v>
          </cell>
          <cell r="N4644">
            <v>45124</v>
          </cell>
          <cell r="O4644">
            <v>45119</v>
          </cell>
          <cell r="P4644">
            <v>45127</v>
          </cell>
          <cell r="Q4644">
            <v>45126</v>
          </cell>
          <cell r="R4644">
            <v>45127</v>
          </cell>
          <cell r="S4644">
            <v>45128</v>
          </cell>
          <cell r="T4644">
            <v>45128</v>
          </cell>
          <cell r="U4644">
            <v>45133</v>
          </cell>
          <cell r="V4644">
            <v>45135</v>
          </cell>
          <cell r="W4644">
            <v>45135</v>
          </cell>
          <cell r="X4644">
            <v>41100699</v>
          </cell>
        </row>
        <row r="4645">
          <cell r="K4645" t="str">
            <v>GBWS-3515</v>
          </cell>
          <cell r="L4645">
            <v>45125</v>
          </cell>
          <cell r="M4645">
            <v>45125</v>
          </cell>
          <cell r="N4645">
            <v>45133</v>
          </cell>
          <cell r="O4645">
            <v>45125</v>
          </cell>
          <cell r="P4645">
            <v>45133</v>
          </cell>
          <cell r="Q4645" t="str">
            <v>2023-07-25 → 7/26</v>
          </cell>
          <cell r="R4645">
            <v>45133</v>
          </cell>
          <cell r="S4645">
            <v>45134</v>
          </cell>
          <cell r="T4645">
            <v>45134</v>
          </cell>
          <cell r="U4645">
            <v>45138</v>
          </cell>
          <cell r="V4645">
            <v>45140</v>
          </cell>
          <cell r="W4645">
            <v>45140</v>
          </cell>
          <cell r="X4645">
            <v>41100566</v>
          </cell>
        </row>
        <row r="4646">
          <cell r="K4646" t="str">
            <v>GBWS-3516</v>
          </cell>
          <cell r="L4646">
            <v>45125</v>
          </cell>
          <cell r="M4646">
            <v>45125</v>
          </cell>
          <cell r="N4646">
            <v>45133</v>
          </cell>
          <cell r="O4646">
            <v>45125</v>
          </cell>
          <cell r="P4646">
            <v>45133</v>
          </cell>
          <cell r="Q4646" t="str">
            <v>2023-07-25 → 7/26</v>
          </cell>
          <cell r="R4646">
            <v>45133</v>
          </cell>
          <cell r="S4646">
            <v>45134</v>
          </cell>
          <cell r="T4646">
            <v>45134</v>
          </cell>
          <cell r="U4646">
            <v>45138</v>
          </cell>
          <cell r="V4646">
            <v>45140</v>
          </cell>
          <cell r="W4646">
            <v>45140</v>
          </cell>
          <cell r="X4646">
            <v>41100566</v>
          </cell>
        </row>
        <row r="4647">
          <cell r="K4647" t="str">
            <v>GBWS-3517</v>
          </cell>
          <cell r="L4647">
            <v>45125</v>
          </cell>
          <cell r="M4647">
            <v>45125</v>
          </cell>
          <cell r="N4647">
            <v>45133</v>
          </cell>
          <cell r="O4647">
            <v>45125</v>
          </cell>
          <cell r="P4647">
            <v>45133</v>
          </cell>
          <cell r="Q4647" t="str">
            <v>2023-07-25 → 7/26</v>
          </cell>
          <cell r="R4647">
            <v>45133</v>
          </cell>
          <cell r="S4647">
            <v>45134</v>
          </cell>
          <cell r="T4647">
            <v>45134</v>
          </cell>
          <cell r="U4647">
            <v>45140</v>
          </cell>
          <cell r="V4647">
            <v>45140</v>
          </cell>
          <cell r="W4647">
            <v>45140</v>
          </cell>
          <cell r="X4647">
            <v>41100566</v>
          </cell>
        </row>
        <row r="4648">
          <cell r="K4648" t="str">
            <v>GBWS-3509</v>
          </cell>
          <cell r="L4648">
            <v>45119</v>
          </cell>
          <cell r="M4648">
            <v>45120</v>
          </cell>
          <cell r="N4648">
            <v>45133</v>
          </cell>
          <cell r="O4648">
            <v>45120</v>
          </cell>
          <cell r="P4648">
            <v>45135</v>
          </cell>
          <cell r="Q4648">
            <v>45128</v>
          </cell>
          <cell r="R4648">
            <v>45131</v>
          </cell>
          <cell r="S4648">
            <v>45134</v>
          </cell>
          <cell r="T4648">
            <v>45134</v>
          </cell>
          <cell r="U4648">
            <v>45140</v>
          </cell>
          <cell r="V4648">
            <v>45140</v>
          </cell>
          <cell r="W4648">
            <v>45140</v>
          </cell>
          <cell r="X4648">
            <v>41100567</v>
          </cell>
        </row>
        <row r="4649">
          <cell r="K4649" t="str">
            <v>IVAS-190</v>
          </cell>
          <cell r="L4649">
            <v>44963</v>
          </cell>
          <cell r="M4649">
            <v>44964</v>
          </cell>
          <cell r="N4649">
            <v>44978</v>
          </cell>
          <cell r="O4649">
            <v>44964</v>
          </cell>
          <cell r="P4649">
            <v>44977</v>
          </cell>
          <cell r="Q4649">
            <v>44974</v>
          </cell>
          <cell r="R4649">
            <v>44974</v>
          </cell>
          <cell r="S4649">
            <v>44975</v>
          </cell>
          <cell r="T4649">
            <v>44976</v>
          </cell>
          <cell r="U4649">
            <v>44976</v>
          </cell>
          <cell r="V4649">
            <v>44976</v>
          </cell>
          <cell r="W4649">
            <v>44976</v>
          </cell>
          <cell r="X4649">
            <v>41100614</v>
          </cell>
        </row>
        <row r="4650">
          <cell r="K4650"/>
          <cell r="L4650">
            <v>45124</v>
          </cell>
          <cell r="M4650">
            <v>45124</v>
          </cell>
          <cell r="N4650">
            <v>45131</v>
          </cell>
          <cell r="O4650">
            <v>45124</v>
          </cell>
          <cell r="P4650">
            <v>45133</v>
          </cell>
          <cell r="Q4650">
            <v>45131</v>
          </cell>
          <cell r="R4650">
            <v>45132</v>
          </cell>
          <cell r="S4650">
            <v>45133</v>
          </cell>
          <cell r="T4650">
            <v>45133</v>
          </cell>
          <cell r="U4650">
            <v>45139</v>
          </cell>
          <cell r="V4650">
            <v>45140</v>
          </cell>
          <cell r="W4650">
            <v>45140</v>
          </cell>
          <cell r="X4650">
            <v>41100414</v>
          </cell>
        </row>
        <row r="4651">
          <cell r="K4651" t="str">
            <v>IVAS-219</v>
          </cell>
          <cell r="L4651">
            <v>45117</v>
          </cell>
          <cell r="M4651">
            <v>45118</v>
          </cell>
          <cell r="N4651">
            <v>45126</v>
          </cell>
          <cell r="O4651">
            <v>45118</v>
          </cell>
          <cell r="P4651">
            <v>45126</v>
          </cell>
          <cell r="Q4651">
            <v>45127</v>
          </cell>
          <cell r="R4651">
            <v>45128</v>
          </cell>
          <cell r="S4651">
            <v>45127</v>
          </cell>
          <cell r="T4651">
            <v>45132</v>
          </cell>
          <cell r="U4651">
            <v>45138</v>
          </cell>
          <cell r="V4651">
            <v>45140</v>
          </cell>
          <cell r="W4651">
            <v>45140</v>
          </cell>
          <cell r="X4651">
            <v>41100709</v>
          </cell>
        </row>
        <row r="4652">
          <cell r="K4652" t="str">
            <v>GBWS-3512</v>
          </cell>
          <cell r="L4652">
            <v>45125</v>
          </cell>
          <cell r="M4652">
            <v>45125</v>
          </cell>
          <cell r="N4652">
            <v>45134</v>
          </cell>
          <cell r="O4652">
            <v>45125</v>
          </cell>
          <cell r="P4652">
            <v>45134</v>
          </cell>
          <cell r="Q4652" t="str">
            <v>2023-07-27 → 7/25 → 7/26</v>
          </cell>
          <cell r="R4652" t="str">
            <v>2023-07-28 → 7/26</v>
          </cell>
          <cell r="S4652">
            <v>45135</v>
          </cell>
          <cell r="T4652">
            <v>45135</v>
          </cell>
          <cell r="U4652">
            <v>45139</v>
          </cell>
          <cell r="V4652">
            <v>45140</v>
          </cell>
          <cell r="W4652">
            <v>45140</v>
          </cell>
          <cell r="X4652">
            <v>41100566</v>
          </cell>
        </row>
        <row r="4653">
          <cell r="K4653" t="str">
            <v>GBWS-3513</v>
          </cell>
          <cell r="L4653">
            <v>45125</v>
          </cell>
          <cell r="M4653">
            <v>45125</v>
          </cell>
          <cell r="N4653">
            <v>45134</v>
          </cell>
          <cell r="O4653">
            <v>45125</v>
          </cell>
          <cell r="P4653">
            <v>45134</v>
          </cell>
          <cell r="Q4653" t="str">
            <v>2023-07-27 → 7/25 → 7/26</v>
          </cell>
          <cell r="R4653" t="str">
            <v>2023-07-28 → 7/26</v>
          </cell>
          <cell r="S4653">
            <v>45135</v>
          </cell>
          <cell r="T4653">
            <v>45135</v>
          </cell>
          <cell r="U4653">
            <v>45139</v>
          </cell>
          <cell r="V4653">
            <v>45140</v>
          </cell>
          <cell r="W4653">
            <v>45140</v>
          </cell>
          <cell r="X4653">
            <v>41100566</v>
          </cell>
        </row>
        <row r="4654">
          <cell r="K4654" t="str">
            <v>GBWS-3514</v>
          </cell>
          <cell r="L4654">
            <v>45125</v>
          </cell>
          <cell r="M4654">
            <v>45125</v>
          </cell>
          <cell r="N4654">
            <v>45134</v>
          </cell>
          <cell r="O4654">
            <v>45125</v>
          </cell>
          <cell r="P4654">
            <v>45134</v>
          </cell>
          <cell r="Q4654" t="str">
            <v>2023-07-27 → 7/25 → 7/26</v>
          </cell>
          <cell r="R4654" t="str">
            <v>2023-07-28 → 7/26</v>
          </cell>
          <cell r="S4654">
            <v>45135</v>
          </cell>
          <cell r="T4654">
            <v>45135</v>
          </cell>
          <cell r="U4654">
            <v>45140</v>
          </cell>
          <cell r="V4654">
            <v>45140</v>
          </cell>
          <cell r="W4654">
            <v>45140</v>
          </cell>
          <cell r="X4654">
            <v>41100566</v>
          </cell>
        </row>
        <row r="4655">
          <cell r="K4655" t="str">
            <v>GBWS-3518</v>
          </cell>
          <cell r="L4655">
            <v>45125</v>
          </cell>
          <cell r="M4655">
            <v>45125</v>
          </cell>
          <cell r="N4655">
            <v>45132</v>
          </cell>
          <cell r="O4655">
            <v>45125</v>
          </cell>
          <cell r="P4655">
            <v>45133</v>
          </cell>
          <cell r="Q4655">
            <v>45132</v>
          </cell>
          <cell r="R4655">
            <v>45133</v>
          </cell>
          <cell r="S4655">
            <v>45134</v>
          </cell>
          <cell r="T4655">
            <v>45135</v>
          </cell>
          <cell r="U4655">
            <v>45139</v>
          </cell>
          <cell r="V4655">
            <v>45140</v>
          </cell>
          <cell r="W4655">
            <v>45140</v>
          </cell>
          <cell r="X4655">
            <v>41100633</v>
          </cell>
        </row>
        <row r="4656">
          <cell r="K4656" t="str">
            <v>DBW-3031</v>
          </cell>
          <cell r="L4656">
            <v>45124</v>
          </cell>
          <cell r="M4656">
            <v>45124</v>
          </cell>
          <cell r="N4656">
            <v>45131</v>
          </cell>
          <cell r="O4656">
            <v>45124</v>
          </cell>
          <cell r="P4656">
            <v>45132</v>
          </cell>
          <cell r="Q4656">
            <v>45131</v>
          </cell>
          <cell r="R4656">
            <v>45132</v>
          </cell>
          <cell r="S4656">
            <v>45133</v>
          </cell>
          <cell r="T4656">
            <v>45133</v>
          </cell>
          <cell r="U4656">
            <v>45140</v>
          </cell>
          <cell r="V4656">
            <v>45140</v>
          </cell>
          <cell r="W4656">
            <v>45140</v>
          </cell>
          <cell r="X4656">
            <v>41000514</v>
          </cell>
        </row>
        <row r="4657">
          <cell r="K4657" t="str">
            <v>DBW-3032</v>
          </cell>
          <cell r="L4657">
            <v>45124</v>
          </cell>
          <cell r="M4657">
            <v>45124</v>
          </cell>
          <cell r="N4657">
            <v>45131</v>
          </cell>
          <cell r="O4657">
            <v>45124</v>
          </cell>
          <cell r="P4657">
            <v>45132</v>
          </cell>
          <cell r="Q4657">
            <v>45131</v>
          </cell>
          <cell r="R4657">
            <v>45132</v>
          </cell>
          <cell r="S4657">
            <v>45133</v>
          </cell>
          <cell r="T4657">
            <v>45133</v>
          </cell>
          <cell r="U4657">
            <v>45140</v>
          </cell>
          <cell r="V4657">
            <v>45140</v>
          </cell>
          <cell r="W4657">
            <v>45140</v>
          </cell>
          <cell r="X4657">
            <v>41000514</v>
          </cell>
        </row>
        <row r="4658">
          <cell r="K4658" t="str">
            <v>DBW-3033</v>
          </cell>
          <cell r="L4658">
            <v>45124</v>
          </cell>
          <cell r="M4658">
            <v>45124</v>
          </cell>
          <cell r="N4658">
            <v>45131</v>
          </cell>
          <cell r="O4658">
            <v>45124</v>
          </cell>
          <cell r="P4658">
            <v>45132</v>
          </cell>
          <cell r="Q4658">
            <v>45131</v>
          </cell>
          <cell r="R4658">
            <v>45132</v>
          </cell>
          <cell r="S4658">
            <v>45133</v>
          </cell>
          <cell r="T4658">
            <v>45133</v>
          </cell>
          <cell r="U4658">
            <v>45138</v>
          </cell>
          <cell r="V4658">
            <v>45140</v>
          </cell>
          <cell r="W4658">
            <v>45140</v>
          </cell>
          <cell r="X4658">
            <v>41000514</v>
          </cell>
        </row>
        <row r="4659">
          <cell r="K4659" t="str">
            <v>DBW-3034</v>
          </cell>
          <cell r="L4659">
            <v>45124</v>
          </cell>
          <cell r="M4659">
            <v>45124</v>
          </cell>
          <cell r="N4659">
            <v>45131</v>
          </cell>
          <cell r="O4659">
            <v>45124</v>
          </cell>
          <cell r="P4659">
            <v>45132</v>
          </cell>
          <cell r="Q4659">
            <v>45131</v>
          </cell>
          <cell r="R4659">
            <v>45132</v>
          </cell>
          <cell r="S4659">
            <v>45133</v>
          </cell>
          <cell r="T4659">
            <v>45133</v>
          </cell>
          <cell r="U4659">
            <v>45138</v>
          </cell>
          <cell r="V4659">
            <v>45140</v>
          </cell>
          <cell r="W4659">
            <v>45140</v>
          </cell>
          <cell r="X4659">
            <v>41000514</v>
          </cell>
        </row>
        <row r="4660">
          <cell r="K4660" t="str">
            <v>IVAS-220</v>
          </cell>
          <cell r="L4660">
            <v>45117</v>
          </cell>
          <cell r="M4660">
            <v>45118</v>
          </cell>
          <cell r="N4660">
            <v>45127</v>
          </cell>
          <cell r="O4660">
            <v>45118</v>
          </cell>
          <cell r="P4660">
            <v>45127</v>
          </cell>
          <cell r="Q4660">
            <v>45127</v>
          </cell>
          <cell r="R4660">
            <v>45128</v>
          </cell>
          <cell r="S4660">
            <v>45128</v>
          </cell>
          <cell r="T4660">
            <v>45133</v>
          </cell>
          <cell r="U4660">
            <v>45140</v>
          </cell>
          <cell r="V4660">
            <v>45141</v>
          </cell>
          <cell r="W4660">
            <v>45141</v>
          </cell>
          <cell r="X4660">
            <v>41100541</v>
          </cell>
        </row>
        <row r="4661">
          <cell r="K4661"/>
          <cell r="L4661">
            <v>45126</v>
          </cell>
          <cell r="M4661">
            <v>45126</v>
          </cell>
          <cell r="N4661">
            <v>45132</v>
          </cell>
          <cell r="O4661">
            <v>45126</v>
          </cell>
          <cell r="P4661">
            <v>45132</v>
          </cell>
          <cell r="Q4661">
            <v>45132</v>
          </cell>
          <cell r="R4661">
            <v>45132</v>
          </cell>
          <cell r="S4661">
            <v>45141</v>
          </cell>
          <cell r="T4661">
            <v>45141</v>
          </cell>
          <cell r="U4661">
            <v>45141</v>
          </cell>
          <cell r="V4661">
            <v>45141</v>
          </cell>
          <cell r="W4661">
            <v>45141</v>
          </cell>
          <cell r="X4661">
            <v>31102292</v>
          </cell>
        </row>
        <row r="4662">
          <cell r="K4662"/>
          <cell r="L4662">
            <v>45126</v>
          </cell>
          <cell r="M4662">
            <v>45126</v>
          </cell>
          <cell r="N4662">
            <v>45132</v>
          </cell>
          <cell r="O4662">
            <v>45126</v>
          </cell>
          <cell r="P4662">
            <v>45132</v>
          </cell>
          <cell r="Q4662">
            <v>45132</v>
          </cell>
          <cell r="R4662">
            <v>45132</v>
          </cell>
          <cell r="S4662">
            <v>45141</v>
          </cell>
          <cell r="T4662">
            <v>45141</v>
          </cell>
          <cell r="U4662">
            <v>45141</v>
          </cell>
          <cell r="V4662">
            <v>45141</v>
          </cell>
          <cell r="W4662">
            <v>45141</v>
          </cell>
          <cell r="X4662">
            <v>31101695</v>
          </cell>
        </row>
        <row r="4663">
          <cell r="K4663"/>
          <cell r="L4663">
            <v>45126</v>
          </cell>
          <cell r="M4663">
            <v>45126</v>
          </cell>
          <cell r="N4663">
            <v>45132</v>
          </cell>
          <cell r="O4663">
            <v>45126</v>
          </cell>
          <cell r="P4663">
            <v>45132</v>
          </cell>
          <cell r="Q4663">
            <v>45132</v>
          </cell>
          <cell r="R4663">
            <v>45132</v>
          </cell>
          <cell r="S4663">
            <v>45141</v>
          </cell>
          <cell r="T4663">
            <v>45141</v>
          </cell>
          <cell r="U4663">
            <v>45141</v>
          </cell>
          <cell r="V4663">
            <v>45141</v>
          </cell>
          <cell r="W4663">
            <v>45141</v>
          </cell>
          <cell r="X4663">
            <v>31101933</v>
          </cell>
        </row>
        <row r="4664">
          <cell r="K4664"/>
          <cell r="L4664">
            <v>45126</v>
          </cell>
          <cell r="M4664">
            <v>45126</v>
          </cell>
          <cell r="N4664">
            <v>45132</v>
          </cell>
          <cell r="O4664">
            <v>45126</v>
          </cell>
          <cell r="P4664">
            <v>45132</v>
          </cell>
          <cell r="Q4664">
            <v>45132</v>
          </cell>
          <cell r="R4664">
            <v>45132</v>
          </cell>
          <cell r="S4664">
            <v>45141</v>
          </cell>
          <cell r="T4664">
            <v>45141</v>
          </cell>
          <cell r="U4664">
            <v>45141</v>
          </cell>
          <cell r="V4664">
            <v>45141</v>
          </cell>
          <cell r="W4664">
            <v>45141</v>
          </cell>
          <cell r="X4664">
            <v>31102258</v>
          </cell>
        </row>
        <row r="4665">
          <cell r="K4665"/>
          <cell r="L4665">
            <v>45126</v>
          </cell>
          <cell r="M4665">
            <v>45126</v>
          </cell>
          <cell r="N4665">
            <v>45132</v>
          </cell>
          <cell r="O4665">
            <v>45126</v>
          </cell>
          <cell r="P4665">
            <v>45132</v>
          </cell>
          <cell r="Q4665">
            <v>45132</v>
          </cell>
          <cell r="R4665">
            <v>45132</v>
          </cell>
          <cell r="S4665">
            <v>45141</v>
          </cell>
          <cell r="T4665">
            <v>45141</v>
          </cell>
          <cell r="U4665">
            <v>45141</v>
          </cell>
          <cell r="V4665">
            <v>45141</v>
          </cell>
          <cell r="W4665">
            <v>45141</v>
          </cell>
          <cell r="X4665">
            <v>31102290</v>
          </cell>
        </row>
        <row r="4666">
          <cell r="K4666" t="str">
            <v>DBW-3035</v>
          </cell>
          <cell r="L4666">
            <v>45124</v>
          </cell>
          <cell r="M4666">
            <v>45125</v>
          </cell>
          <cell r="N4666">
            <v>45133</v>
          </cell>
          <cell r="O4666">
            <v>45125</v>
          </cell>
          <cell r="P4666">
            <v>45134</v>
          </cell>
          <cell r="Q4666">
            <v>45133</v>
          </cell>
          <cell r="R4666">
            <v>45134</v>
          </cell>
          <cell r="S4666">
            <v>45135</v>
          </cell>
          <cell r="T4666">
            <v>45138</v>
          </cell>
          <cell r="U4666">
            <v>45141</v>
          </cell>
          <cell r="V4666">
            <v>45142</v>
          </cell>
          <cell r="W4666">
            <v>45142</v>
          </cell>
          <cell r="X4666">
            <v>41100496</v>
          </cell>
        </row>
        <row r="4667">
          <cell r="K4667" t="str">
            <v>GBWS-3510</v>
          </cell>
          <cell r="L4667">
            <v>45120</v>
          </cell>
          <cell r="M4667">
            <v>45121</v>
          </cell>
          <cell r="N4667">
            <v>45128</v>
          </cell>
          <cell r="O4667">
            <v>45121</v>
          </cell>
          <cell r="P4667">
            <v>45128</v>
          </cell>
          <cell r="Q4667">
            <v>45131</v>
          </cell>
          <cell r="R4667">
            <v>45132</v>
          </cell>
          <cell r="S4667">
            <v>45131</v>
          </cell>
          <cell r="T4667">
            <v>45138</v>
          </cell>
          <cell r="U4667">
            <v>45141</v>
          </cell>
          <cell r="V4667">
            <v>45142</v>
          </cell>
          <cell r="W4667">
            <v>45142</v>
          </cell>
          <cell r="X4667">
            <v>41100648</v>
          </cell>
        </row>
        <row r="4668">
          <cell r="K4668" t="str">
            <v>GBWS-3511</v>
          </cell>
          <cell r="L4668">
            <v>45120</v>
          </cell>
          <cell r="M4668">
            <v>45121</v>
          </cell>
          <cell r="N4668">
            <v>45128</v>
          </cell>
          <cell r="O4668">
            <v>45121</v>
          </cell>
          <cell r="P4668">
            <v>45128</v>
          </cell>
          <cell r="Q4668">
            <v>45131</v>
          </cell>
          <cell r="R4668">
            <v>45132</v>
          </cell>
          <cell r="S4668">
            <v>45131</v>
          </cell>
          <cell r="T4668">
            <v>45138</v>
          </cell>
          <cell r="U4668">
            <v>45141</v>
          </cell>
          <cell r="V4668">
            <v>45142</v>
          </cell>
          <cell r="W4668">
            <v>45142</v>
          </cell>
          <cell r="X4668">
            <v>41100648</v>
          </cell>
        </row>
        <row r="4669">
          <cell r="K4669" t="str">
            <v>GBWS-3527</v>
          </cell>
          <cell r="L4669">
            <v>45127</v>
          </cell>
          <cell r="M4669">
            <v>45128</v>
          </cell>
          <cell r="N4669">
            <v>45135</v>
          </cell>
          <cell r="O4669">
            <v>45128</v>
          </cell>
          <cell r="P4669">
            <v>45138</v>
          </cell>
          <cell r="Q4669" t="str">
            <v>2023-07-27 → 7/28</v>
          </cell>
          <cell r="R4669">
            <v>45135</v>
          </cell>
          <cell r="S4669">
            <v>45138</v>
          </cell>
          <cell r="T4669">
            <v>45139</v>
          </cell>
          <cell r="U4669">
            <v>45141</v>
          </cell>
          <cell r="V4669">
            <v>45142</v>
          </cell>
          <cell r="W4669">
            <v>45142</v>
          </cell>
          <cell r="X4669">
            <v>41100653</v>
          </cell>
        </row>
        <row r="4670">
          <cell r="K4670" t="str">
            <v>GBW-0279</v>
          </cell>
          <cell r="L4670">
            <v>45112</v>
          </cell>
          <cell r="M4670">
            <v>45113</v>
          </cell>
          <cell r="N4670">
            <v>45125</v>
          </cell>
          <cell r="O4670">
            <v>45113</v>
          </cell>
          <cell r="P4670">
            <v>45125</v>
          </cell>
          <cell r="Q4670">
            <v>45124</v>
          </cell>
          <cell r="R4670">
            <v>45125</v>
          </cell>
          <cell r="S4670">
            <v>45127</v>
          </cell>
          <cell r="T4670">
            <v>45131</v>
          </cell>
          <cell r="U4670">
            <v>45132</v>
          </cell>
          <cell r="V4670">
            <v>45135</v>
          </cell>
          <cell r="W4670">
            <v>45135</v>
          </cell>
          <cell r="X4670" t="str">
            <v>41100371 → 41100715</v>
          </cell>
        </row>
        <row r="4671">
          <cell r="K4671" t="str">
            <v>GBW-0280</v>
          </cell>
          <cell r="L4671">
            <v>45112</v>
          </cell>
          <cell r="M4671">
            <v>45113</v>
          </cell>
          <cell r="N4671">
            <v>45125</v>
          </cell>
          <cell r="O4671">
            <v>45113</v>
          </cell>
          <cell r="P4671">
            <v>45125</v>
          </cell>
          <cell r="Q4671">
            <v>45124</v>
          </cell>
          <cell r="R4671">
            <v>45125</v>
          </cell>
          <cell r="S4671">
            <v>45127</v>
          </cell>
          <cell r="T4671">
            <v>45131</v>
          </cell>
          <cell r="U4671">
            <v>45133</v>
          </cell>
          <cell r="V4671">
            <v>45135</v>
          </cell>
          <cell r="W4671">
            <v>45135</v>
          </cell>
          <cell r="X4671" t="str">
            <v>41100371 → 41100715</v>
          </cell>
        </row>
        <row r="4672">
          <cell r="K4672" t="str">
            <v>GBWS-3519</v>
          </cell>
          <cell r="L4672">
            <v>45125</v>
          </cell>
          <cell r="M4672">
            <v>45125</v>
          </cell>
          <cell r="N4672">
            <v>45135</v>
          </cell>
          <cell r="O4672">
            <v>45125</v>
          </cell>
          <cell r="P4672">
            <v>45138</v>
          </cell>
          <cell r="Q4672" t="str">
            <v>2023-07-27 2대 / 7/28 2대</v>
          </cell>
          <cell r="R4672">
            <v>45135</v>
          </cell>
          <cell r="S4672">
            <v>45138</v>
          </cell>
          <cell r="T4672">
            <v>45139</v>
          </cell>
          <cell r="U4672">
            <v>45142</v>
          </cell>
          <cell r="V4672">
            <v>45146</v>
          </cell>
          <cell r="W4672">
            <v>45146</v>
          </cell>
          <cell r="X4672">
            <v>41100702</v>
          </cell>
        </row>
        <row r="4673">
          <cell r="K4673" t="str">
            <v>GBWS-3520</v>
          </cell>
          <cell r="L4673">
            <v>45125</v>
          </cell>
          <cell r="M4673">
            <v>45125</v>
          </cell>
          <cell r="N4673">
            <v>45135</v>
          </cell>
          <cell r="O4673">
            <v>45125</v>
          </cell>
          <cell r="P4673">
            <v>45138</v>
          </cell>
          <cell r="Q4673" t="str">
            <v>2023-07-27 2대 / 7/28 2대</v>
          </cell>
          <cell r="R4673">
            <v>45135</v>
          </cell>
          <cell r="S4673">
            <v>45138</v>
          </cell>
          <cell r="T4673">
            <v>45139</v>
          </cell>
          <cell r="U4673">
            <v>45145</v>
          </cell>
          <cell r="V4673">
            <v>45146</v>
          </cell>
          <cell r="W4673">
            <v>45146</v>
          </cell>
          <cell r="X4673">
            <v>41100702</v>
          </cell>
        </row>
        <row r="4674">
          <cell r="K4674" t="str">
            <v>GBWS-3521</v>
          </cell>
          <cell r="L4674">
            <v>45125</v>
          </cell>
          <cell r="M4674">
            <v>45125</v>
          </cell>
          <cell r="N4674">
            <v>45135</v>
          </cell>
          <cell r="O4674">
            <v>45125</v>
          </cell>
          <cell r="P4674">
            <v>45138</v>
          </cell>
          <cell r="Q4674" t="str">
            <v>2023-07-27 2대 / 7/28 2대</v>
          </cell>
          <cell r="R4674">
            <v>45135</v>
          </cell>
          <cell r="S4674">
            <v>45138</v>
          </cell>
          <cell r="T4674">
            <v>45139</v>
          </cell>
          <cell r="U4674">
            <v>45145</v>
          </cell>
          <cell r="V4674">
            <v>45146</v>
          </cell>
          <cell r="W4674">
            <v>45146</v>
          </cell>
          <cell r="X4674">
            <v>41100702</v>
          </cell>
        </row>
        <row r="4675">
          <cell r="K4675" t="str">
            <v>GBWS-3522</v>
          </cell>
          <cell r="L4675">
            <v>45125</v>
          </cell>
          <cell r="M4675">
            <v>45125</v>
          </cell>
          <cell r="N4675">
            <v>45135</v>
          </cell>
          <cell r="O4675">
            <v>45125</v>
          </cell>
          <cell r="P4675">
            <v>45138</v>
          </cell>
          <cell r="Q4675" t="str">
            <v>2023-07-27 2대 / 7/28 2대</v>
          </cell>
          <cell r="R4675">
            <v>45135</v>
          </cell>
          <cell r="S4675">
            <v>45138</v>
          </cell>
          <cell r="T4675">
            <v>45139</v>
          </cell>
          <cell r="U4675">
            <v>45146</v>
          </cell>
          <cell r="V4675">
            <v>45146</v>
          </cell>
          <cell r="W4675">
            <v>45146</v>
          </cell>
          <cell r="X4675">
            <v>41100702</v>
          </cell>
        </row>
        <row r="4676">
          <cell r="K4676" t="str">
            <v>GBWS-3531</v>
          </cell>
          <cell r="L4676">
            <v>45131</v>
          </cell>
          <cell r="M4676" t="str">
            <v>2023-07-19 → 7/25</v>
          </cell>
          <cell r="N4676">
            <v>45139</v>
          </cell>
          <cell r="O4676" t="str">
            <v>2023-07-19 → 7/25</v>
          </cell>
          <cell r="P4676">
            <v>45139</v>
          </cell>
          <cell r="Q4676" t="str">
            <v>2023-07-26 → 8/1</v>
          </cell>
          <cell r="R4676" t="str">
            <v>2023-07-27 → 8/2</v>
          </cell>
          <cell r="S4676">
            <v>45140</v>
          </cell>
          <cell r="T4676">
            <v>45142</v>
          </cell>
          <cell r="U4676">
            <v>45146</v>
          </cell>
          <cell r="V4676">
            <v>45146</v>
          </cell>
          <cell r="W4676">
            <v>45146</v>
          </cell>
          <cell r="X4676">
            <v>41100559</v>
          </cell>
        </row>
        <row r="4677">
          <cell r="K4677" t="str">
            <v>GBWS-3532</v>
          </cell>
          <cell r="L4677">
            <v>45131</v>
          </cell>
          <cell r="M4677" t="str">
            <v>2023-07-19 → 7/25</v>
          </cell>
          <cell r="N4677">
            <v>45139</v>
          </cell>
          <cell r="O4677" t="str">
            <v>2023-07-19 → 7/25</v>
          </cell>
          <cell r="P4677">
            <v>45139</v>
          </cell>
          <cell r="Q4677" t="str">
            <v>2023-07-26 → 8/1</v>
          </cell>
          <cell r="R4677" t="str">
            <v>2023-07-27 → 8/2</v>
          </cell>
          <cell r="S4677">
            <v>45140</v>
          </cell>
          <cell r="T4677">
            <v>45142</v>
          </cell>
          <cell r="U4677">
            <v>45146</v>
          </cell>
          <cell r="V4677">
            <v>45146</v>
          </cell>
          <cell r="W4677">
            <v>45146</v>
          </cell>
          <cell r="X4677">
            <v>41100699</v>
          </cell>
        </row>
        <row r="4678">
          <cell r="K4678" t="str">
            <v>GBWS-3526</v>
          </cell>
          <cell r="L4678">
            <v>45126</v>
          </cell>
          <cell r="M4678">
            <v>45127</v>
          </cell>
          <cell r="N4678">
            <v>45138</v>
          </cell>
          <cell r="O4678">
            <v>45127</v>
          </cell>
          <cell r="P4678">
            <v>45139</v>
          </cell>
          <cell r="Q4678">
            <v>45138</v>
          </cell>
          <cell r="R4678">
            <v>45139</v>
          </cell>
          <cell r="S4678">
            <v>45140</v>
          </cell>
          <cell r="T4678">
            <v>45140</v>
          </cell>
          <cell r="U4678">
            <v>45145</v>
          </cell>
          <cell r="V4678">
            <v>45146</v>
          </cell>
          <cell r="W4678">
            <v>45146</v>
          </cell>
          <cell r="X4678">
            <v>41100662</v>
          </cell>
        </row>
        <row r="4679">
          <cell r="K4679" t="str">
            <v>GBWS-3525</v>
          </cell>
          <cell r="L4679">
            <v>45126</v>
          </cell>
          <cell r="M4679">
            <v>45127</v>
          </cell>
          <cell r="N4679">
            <v>45138</v>
          </cell>
          <cell r="O4679">
            <v>45127</v>
          </cell>
          <cell r="P4679">
            <v>45140</v>
          </cell>
          <cell r="Q4679">
            <v>45139</v>
          </cell>
          <cell r="R4679">
            <v>45140</v>
          </cell>
          <cell r="S4679">
            <v>45141</v>
          </cell>
          <cell r="T4679">
            <v>45141</v>
          </cell>
          <cell r="U4679">
            <v>45145</v>
          </cell>
          <cell r="V4679">
            <v>45146</v>
          </cell>
          <cell r="W4679">
            <v>45146</v>
          </cell>
          <cell r="X4679">
            <v>41100662</v>
          </cell>
        </row>
        <row r="4680">
          <cell r="K4680" t="str">
            <v>GBWS-3528</v>
          </cell>
          <cell r="L4680">
            <v>45127</v>
          </cell>
          <cell r="M4680">
            <v>45128</v>
          </cell>
          <cell r="N4680">
            <v>45138</v>
          </cell>
          <cell r="O4680">
            <v>45128</v>
          </cell>
          <cell r="P4680">
            <v>45138</v>
          </cell>
          <cell r="Q4680">
            <v>45138</v>
          </cell>
          <cell r="R4680">
            <v>45139</v>
          </cell>
          <cell r="S4680">
            <v>45139</v>
          </cell>
          <cell r="T4680">
            <v>45139</v>
          </cell>
          <cell r="U4680">
            <v>45142</v>
          </cell>
          <cell r="V4680">
            <v>45146</v>
          </cell>
          <cell r="W4680">
            <v>45146</v>
          </cell>
          <cell r="X4680">
            <v>41100662</v>
          </cell>
        </row>
        <row r="4681">
          <cell r="K4681"/>
          <cell r="L4681">
            <v>45131</v>
          </cell>
          <cell r="M4681">
            <v>45131</v>
          </cell>
          <cell r="N4681">
            <v>45147</v>
          </cell>
          <cell r="O4681">
            <v>45131</v>
          </cell>
          <cell r="P4681">
            <v>45147</v>
          </cell>
          <cell r="Q4681">
            <v>45139</v>
          </cell>
          <cell r="R4681">
            <v>45139</v>
          </cell>
          <cell r="S4681">
            <v>45147</v>
          </cell>
          <cell r="T4681">
            <v>45147</v>
          </cell>
          <cell r="U4681">
            <v>45147</v>
          </cell>
          <cell r="V4681">
            <v>45147</v>
          </cell>
          <cell r="W4681">
            <v>45147</v>
          </cell>
          <cell r="X4681">
            <v>31102213</v>
          </cell>
        </row>
        <row r="4682">
          <cell r="K4682"/>
          <cell r="L4682">
            <v>45131</v>
          </cell>
          <cell r="M4682">
            <v>45131</v>
          </cell>
          <cell r="N4682">
            <v>45147</v>
          </cell>
          <cell r="O4682">
            <v>45131</v>
          </cell>
          <cell r="P4682">
            <v>45147</v>
          </cell>
          <cell r="Q4682">
            <v>45139</v>
          </cell>
          <cell r="R4682">
            <v>45139</v>
          </cell>
          <cell r="S4682">
            <v>45147</v>
          </cell>
          <cell r="T4682">
            <v>45147</v>
          </cell>
          <cell r="U4682">
            <v>45147</v>
          </cell>
          <cell r="V4682">
            <v>45147</v>
          </cell>
          <cell r="W4682">
            <v>45147</v>
          </cell>
          <cell r="X4682">
            <v>31102214</v>
          </cell>
        </row>
        <row r="4683">
          <cell r="K4683" t="str">
            <v>DBW-3029</v>
          </cell>
          <cell r="L4683">
            <v>45124</v>
          </cell>
          <cell r="M4683">
            <v>45124</v>
          </cell>
          <cell r="N4683">
            <v>45131</v>
          </cell>
          <cell r="O4683">
            <v>45124</v>
          </cell>
          <cell r="P4683">
            <v>45132</v>
          </cell>
          <cell r="Q4683">
            <v>45131</v>
          </cell>
          <cell r="R4683">
            <v>45132</v>
          </cell>
          <cell r="S4683">
            <v>45133</v>
          </cell>
          <cell r="T4683">
            <v>45134</v>
          </cell>
          <cell r="U4683">
            <v>45146</v>
          </cell>
          <cell r="V4683">
            <v>45148</v>
          </cell>
          <cell r="W4683">
            <v>45148</v>
          </cell>
          <cell r="X4683">
            <v>41100689</v>
          </cell>
        </row>
        <row r="4684">
          <cell r="K4684" t="str">
            <v>DBW-3030</v>
          </cell>
          <cell r="L4684">
            <v>45124</v>
          </cell>
          <cell r="M4684">
            <v>45124</v>
          </cell>
          <cell r="N4684">
            <v>45131</v>
          </cell>
          <cell r="O4684">
            <v>45124</v>
          </cell>
          <cell r="P4684">
            <v>45132</v>
          </cell>
          <cell r="Q4684">
            <v>45131</v>
          </cell>
          <cell r="R4684">
            <v>45132</v>
          </cell>
          <cell r="S4684">
            <v>45133</v>
          </cell>
          <cell r="T4684">
            <v>45134</v>
          </cell>
          <cell r="U4684">
            <v>45146</v>
          </cell>
          <cell r="V4684">
            <v>45148</v>
          </cell>
          <cell r="W4684">
            <v>45148</v>
          </cell>
          <cell r="X4684">
            <v>41100689</v>
          </cell>
        </row>
        <row r="4685">
          <cell r="K4685" t="str">
            <v>DBW-3040</v>
          </cell>
          <cell r="L4685">
            <v>45127</v>
          </cell>
          <cell r="M4685">
            <v>45128</v>
          </cell>
          <cell r="N4685">
            <v>45139</v>
          </cell>
          <cell r="O4685">
            <v>45128</v>
          </cell>
          <cell r="P4685">
            <v>45139</v>
          </cell>
          <cell r="Q4685">
            <v>45138</v>
          </cell>
          <cell r="R4685">
            <v>45139</v>
          </cell>
          <cell r="S4685">
            <v>45140</v>
          </cell>
          <cell r="T4685">
            <v>45142</v>
          </cell>
          <cell r="U4685">
            <v>45146</v>
          </cell>
          <cell r="V4685">
            <v>45146</v>
          </cell>
          <cell r="W4685">
            <v>45146</v>
          </cell>
          <cell r="X4685">
            <v>41100681</v>
          </cell>
        </row>
        <row r="4686">
          <cell r="K4686" t="str">
            <v>DBW-3041</v>
          </cell>
          <cell r="L4686">
            <v>45127</v>
          </cell>
          <cell r="M4686">
            <v>45128</v>
          </cell>
          <cell r="N4686">
            <v>45139</v>
          </cell>
          <cell r="O4686">
            <v>45128</v>
          </cell>
          <cell r="P4686">
            <v>45139</v>
          </cell>
          <cell r="Q4686">
            <v>45138</v>
          </cell>
          <cell r="R4686">
            <v>45139</v>
          </cell>
          <cell r="S4686">
            <v>45140</v>
          </cell>
          <cell r="T4686">
            <v>45142</v>
          </cell>
          <cell r="U4686">
            <v>45146</v>
          </cell>
          <cell r="V4686">
            <v>45146</v>
          </cell>
          <cell r="W4686">
            <v>45146</v>
          </cell>
          <cell r="X4686">
            <v>41100684</v>
          </cell>
        </row>
        <row r="4687">
          <cell r="K4687" t="str">
            <v>DBW-3036</v>
          </cell>
          <cell r="L4687">
            <v>45126</v>
          </cell>
          <cell r="M4687">
            <v>45126</v>
          </cell>
          <cell r="N4687">
            <v>45134</v>
          </cell>
          <cell r="O4687">
            <v>45126</v>
          </cell>
          <cell r="P4687">
            <v>45134</v>
          </cell>
          <cell r="Q4687">
            <v>45133</v>
          </cell>
          <cell r="R4687">
            <v>45134</v>
          </cell>
          <cell r="S4687">
            <v>45134</v>
          </cell>
          <cell r="T4687">
            <v>45140</v>
          </cell>
          <cell r="U4687">
            <v>45146</v>
          </cell>
          <cell r="V4687">
            <v>45146</v>
          </cell>
          <cell r="W4687">
            <v>45146</v>
          </cell>
          <cell r="X4687">
            <v>41100683</v>
          </cell>
        </row>
        <row r="4688">
          <cell r="K4688" t="str">
            <v>DBW-3042</v>
          </cell>
          <cell r="L4688">
            <v>45128</v>
          </cell>
          <cell r="M4688">
            <v>45131</v>
          </cell>
          <cell r="N4688">
            <v>45140</v>
          </cell>
          <cell r="O4688">
            <v>45131</v>
          </cell>
          <cell r="P4688">
            <v>45140</v>
          </cell>
          <cell r="Q4688">
            <v>45139</v>
          </cell>
          <cell r="R4688">
            <v>45140</v>
          </cell>
          <cell r="S4688">
            <v>45141</v>
          </cell>
          <cell r="T4688">
            <v>45145</v>
          </cell>
          <cell r="U4688">
            <v>45146</v>
          </cell>
          <cell r="V4688">
            <v>45148</v>
          </cell>
          <cell r="W4688">
            <v>45148</v>
          </cell>
          <cell r="X4688">
            <v>41100681</v>
          </cell>
        </row>
        <row r="4689">
          <cell r="K4689" t="str">
            <v>DBW-3038</v>
          </cell>
          <cell r="L4689">
            <v>45126</v>
          </cell>
          <cell r="M4689">
            <v>45127</v>
          </cell>
          <cell r="N4689">
            <v>45135</v>
          </cell>
          <cell r="O4689">
            <v>45127</v>
          </cell>
          <cell r="P4689">
            <v>45133</v>
          </cell>
          <cell r="Q4689">
            <v>45135</v>
          </cell>
          <cell r="R4689">
            <v>45138</v>
          </cell>
          <cell r="S4689">
            <v>45138</v>
          </cell>
          <cell r="T4689">
            <v>45140</v>
          </cell>
          <cell r="U4689">
            <v>45145</v>
          </cell>
          <cell r="V4689">
            <v>45147</v>
          </cell>
          <cell r="W4689">
            <v>45147</v>
          </cell>
          <cell r="X4689">
            <v>41100692</v>
          </cell>
        </row>
        <row r="4690">
          <cell r="K4690" t="str">
            <v>DBW-3043</v>
          </cell>
          <cell r="L4690">
            <v>45131</v>
          </cell>
          <cell r="M4690">
            <v>45132</v>
          </cell>
          <cell r="N4690">
            <v>45140</v>
          </cell>
          <cell r="O4690">
            <v>45132</v>
          </cell>
          <cell r="P4690">
            <v>45140</v>
          </cell>
          <cell r="Q4690">
            <v>45139</v>
          </cell>
          <cell r="R4690">
            <v>45140</v>
          </cell>
          <cell r="S4690">
            <v>45141</v>
          </cell>
          <cell r="T4690">
            <v>45145</v>
          </cell>
          <cell r="U4690">
            <v>45147</v>
          </cell>
          <cell r="V4690">
            <v>45147</v>
          </cell>
          <cell r="W4690">
            <v>45147</v>
          </cell>
          <cell r="X4690">
            <v>41100692</v>
          </cell>
        </row>
        <row r="4691">
          <cell r="K4691" t="str">
            <v>DBW-3044</v>
          </cell>
          <cell r="L4691">
            <v>45131</v>
          </cell>
          <cell r="M4691">
            <v>45132</v>
          </cell>
          <cell r="N4691">
            <v>45140</v>
          </cell>
          <cell r="O4691">
            <v>45132</v>
          </cell>
          <cell r="P4691">
            <v>45140</v>
          </cell>
          <cell r="Q4691">
            <v>45139</v>
          </cell>
          <cell r="R4691">
            <v>45140</v>
          </cell>
          <cell r="S4691">
            <v>45141</v>
          </cell>
          <cell r="T4691">
            <v>45145</v>
          </cell>
          <cell r="U4691">
            <v>45147</v>
          </cell>
          <cell r="V4691">
            <v>45147</v>
          </cell>
          <cell r="W4691">
            <v>45147</v>
          </cell>
          <cell r="X4691">
            <v>41100692</v>
          </cell>
        </row>
        <row r="4692">
          <cell r="K4692" t="str">
            <v>GBWS-3535</v>
          </cell>
          <cell r="L4692">
            <v>45132</v>
          </cell>
          <cell r="M4692">
            <v>45133</v>
          </cell>
          <cell r="N4692">
            <v>45141</v>
          </cell>
          <cell r="O4692">
            <v>45133</v>
          </cell>
          <cell r="P4692">
            <v>45142</v>
          </cell>
          <cell r="Q4692">
            <v>45141</v>
          </cell>
          <cell r="R4692">
            <v>45142</v>
          </cell>
          <cell r="S4692">
            <v>45145</v>
          </cell>
          <cell r="T4692">
            <v>45146</v>
          </cell>
          <cell r="U4692">
            <v>45149</v>
          </cell>
          <cell r="V4692">
            <v>45152</v>
          </cell>
          <cell r="W4692">
            <v>45152</v>
          </cell>
          <cell r="X4692">
            <v>41100494</v>
          </cell>
        </row>
        <row r="4693">
          <cell r="K4693" t="str">
            <v>GBWS-3536</v>
          </cell>
          <cell r="L4693">
            <v>45132</v>
          </cell>
          <cell r="M4693">
            <v>45133</v>
          </cell>
          <cell r="N4693">
            <v>45141</v>
          </cell>
          <cell r="O4693">
            <v>45133</v>
          </cell>
          <cell r="P4693">
            <v>45142</v>
          </cell>
          <cell r="Q4693">
            <v>45141</v>
          </cell>
          <cell r="R4693">
            <v>45142</v>
          </cell>
          <cell r="S4693">
            <v>45145</v>
          </cell>
          <cell r="T4693">
            <v>45146</v>
          </cell>
          <cell r="U4693">
            <v>45149</v>
          </cell>
          <cell r="V4693">
            <v>45152</v>
          </cell>
          <cell r="W4693">
            <v>45152</v>
          </cell>
          <cell r="X4693">
            <v>41100508</v>
          </cell>
        </row>
        <row r="4694">
          <cell r="K4694" t="str">
            <v>GBWS-3533</v>
          </cell>
          <cell r="L4694">
            <v>45131</v>
          </cell>
          <cell r="M4694" t="str">
            <v>2023-07-19 → 7/25</v>
          </cell>
          <cell r="N4694">
            <v>45140</v>
          </cell>
          <cell r="O4694" t="str">
            <v>2023-07-19 → 7/25</v>
          </cell>
          <cell r="P4694">
            <v>45141</v>
          </cell>
          <cell r="Q4694" t="str">
            <v>2023-07-27 → 8/2</v>
          </cell>
          <cell r="R4694" t="str">
            <v>2023-07-28 → 8/3</v>
          </cell>
          <cell r="S4694">
            <v>45142</v>
          </cell>
          <cell r="T4694">
            <v>45145</v>
          </cell>
          <cell r="U4694">
            <v>45147</v>
          </cell>
          <cell r="V4694">
            <v>45149</v>
          </cell>
          <cell r="W4694">
            <v>45149</v>
          </cell>
          <cell r="X4694">
            <v>41100667</v>
          </cell>
        </row>
        <row r="4695">
          <cell r="K4695" t="str">
            <v>GBWS-3534</v>
          </cell>
          <cell r="L4695">
            <v>45131</v>
          </cell>
          <cell r="M4695" t="str">
            <v>2023-07-19 → 7/25</v>
          </cell>
          <cell r="N4695">
            <v>45140</v>
          </cell>
          <cell r="O4695" t="str">
            <v>2023-07-19 → 7/25</v>
          </cell>
          <cell r="P4695">
            <v>45141</v>
          </cell>
          <cell r="Q4695" t="str">
            <v>2023-07-27 → 8/2</v>
          </cell>
          <cell r="R4695" t="str">
            <v>2023-07-28 → 8/3</v>
          </cell>
          <cell r="S4695">
            <v>45142</v>
          </cell>
          <cell r="T4695">
            <v>45145</v>
          </cell>
          <cell r="U4695">
            <v>45147</v>
          </cell>
          <cell r="V4695">
            <v>45149</v>
          </cell>
          <cell r="W4695">
            <v>45149</v>
          </cell>
          <cell r="X4695">
            <v>41100667</v>
          </cell>
        </row>
        <row r="4696">
          <cell r="K4696" t="str">
            <v>IVAS-223</v>
          </cell>
          <cell r="L4696">
            <v>45131</v>
          </cell>
          <cell r="M4696">
            <v>45132</v>
          </cell>
          <cell r="N4696">
            <v>45141</v>
          </cell>
          <cell r="O4696">
            <v>45132</v>
          </cell>
          <cell r="P4696">
            <v>45146</v>
          </cell>
          <cell r="Q4696">
            <v>45140</v>
          </cell>
          <cell r="R4696">
            <v>45141</v>
          </cell>
          <cell r="S4696">
            <v>45146</v>
          </cell>
          <cell r="T4696">
            <v>45147</v>
          </cell>
          <cell r="U4696">
            <v>45149</v>
          </cell>
          <cell r="V4696">
            <v>45152</v>
          </cell>
          <cell r="W4696">
            <v>45152</v>
          </cell>
          <cell r="X4696">
            <v>41100540</v>
          </cell>
        </row>
        <row r="4697">
          <cell r="K4697" t="str">
            <v>GBWS-3055</v>
          </cell>
          <cell r="L4697">
            <v>44893</v>
          </cell>
          <cell r="M4697">
            <v>44894</v>
          </cell>
          <cell r="N4697">
            <v>44908</v>
          </cell>
          <cell r="O4697">
            <v>44894</v>
          </cell>
          <cell r="P4697">
            <v>44907</v>
          </cell>
          <cell r="Q4697">
            <v>44904</v>
          </cell>
          <cell r="R4697">
            <v>44904</v>
          </cell>
          <cell r="S4697"/>
          <cell r="T4697">
            <v>44908</v>
          </cell>
          <cell r="U4697">
            <v>44910</v>
          </cell>
          <cell r="V4697">
            <v>44911</v>
          </cell>
          <cell r="W4697">
            <v>44911</v>
          </cell>
          <cell r="X4697">
            <v>41100350</v>
          </cell>
        </row>
        <row r="4698">
          <cell r="K4698" t="str">
            <v>GBWS-2970</v>
          </cell>
          <cell r="L4698">
            <v>44865</v>
          </cell>
          <cell r="M4698">
            <v>44866</v>
          </cell>
          <cell r="N4698">
            <v>44879</v>
          </cell>
          <cell r="O4698">
            <v>44866</v>
          </cell>
          <cell r="P4698">
            <v>44879</v>
          </cell>
          <cell r="Q4698">
            <v>44876</v>
          </cell>
          <cell r="R4698">
            <v>44876</v>
          </cell>
          <cell r="S4698"/>
          <cell r="T4698">
            <v>44881</v>
          </cell>
          <cell r="U4698">
            <v>44882</v>
          </cell>
          <cell r="V4698">
            <v>44883</v>
          </cell>
          <cell r="W4698">
            <v>44883</v>
          </cell>
          <cell r="X4698">
            <v>41100366</v>
          </cell>
        </row>
        <row r="4699">
          <cell r="K4699" t="str">
            <v>IVAS-222</v>
          </cell>
          <cell r="L4699">
            <v>45125</v>
          </cell>
          <cell r="M4699">
            <v>45125</v>
          </cell>
          <cell r="N4699">
            <v>45133</v>
          </cell>
          <cell r="O4699">
            <v>45125</v>
          </cell>
          <cell r="P4699">
            <v>45139</v>
          </cell>
          <cell r="Q4699">
            <v>45134</v>
          </cell>
          <cell r="R4699">
            <v>45135</v>
          </cell>
          <cell r="S4699">
            <v>45140</v>
          </cell>
          <cell r="T4699">
            <v>45141</v>
          </cell>
          <cell r="U4699">
            <v>45149</v>
          </cell>
          <cell r="V4699">
            <v>45152</v>
          </cell>
          <cell r="W4699">
            <v>45152</v>
          </cell>
          <cell r="X4699">
            <v>41000475</v>
          </cell>
        </row>
        <row r="4700">
          <cell r="K4700" t="str">
            <v>DBW-3045</v>
          </cell>
          <cell r="L4700">
            <v>45132</v>
          </cell>
          <cell r="M4700">
            <v>45134</v>
          </cell>
          <cell r="N4700">
            <v>45142</v>
          </cell>
          <cell r="O4700">
            <v>45134</v>
          </cell>
          <cell r="P4700">
            <v>45142</v>
          </cell>
          <cell r="Q4700">
            <v>45142</v>
          </cell>
          <cell r="R4700">
            <v>45145</v>
          </cell>
          <cell r="S4700">
            <v>45146</v>
          </cell>
          <cell r="T4700">
            <v>45146</v>
          </cell>
          <cell r="U4700">
            <v>45148</v>
          </cell>
          <cell r="V4700">
            <v>45154</v>
          </cell>
          <cell r="W4700">
            <v>45154</v>
          </cell>
          <cell r="X4700">
            <v>41100683</v>
          </cell>
        </row>
        <row r="4701">
          <cell r="K4701" t="str">
            <v>DBW-3046</v>
          </cell>
          <cell r="L4701">
            <v>45132</v>
          </cell>
          <cell r="M4701">
            <v>45134</v>
          </cell>
          <cell r="N4701">
            <v>45142</v>
          </cell>
          <cell r="O4701">
            <v>45134</v>
          </cell>
          <cell r="P4701">
            <v>45142</v>
          </cell>
          <cell r="Q4701">
            <v>45142</v>
          </cell>
          <cell r="R4701">
            <v>45145</v>
          </cell>
          <cell r="S4701">
            <v>45146</v>
          </cell>
          <cell r="T4701">
            <v>45146</v>
          </cell>
          <cell r="U4701">
            <v>45148</v>
          </cell>
          <cell r="V4701">
            <v>45154</v>
          </cell>
          <cell r="W4701">
            <v>45154</v>
          </cell>
          <cell r="X4701">
            <v>41100683</v>
          </cell>
        </row>
        <row r="4702">
          <cell r="K4702" t="str">
            <v>DBW-3047</v>
          </cell>
          <cell r="L4702">
            <v>45132</v>
          </cell>
          <cell r="M4702">
            <v>45134</v>
          </cell>
          <cell r="N4702">
            <v>45142</v>
          </cell>
          <cell r="O4702">
            <v>45134</v>
          </cell>
          <cell r="P4702">
            <v>45142</v>
          </cell>
          <cell r="Q4702">
            <v>45142</v>
          </cell>
          <cell r="R4702">
            <v>45145</v>
          </cell>
          <cell r="S4702">
            <v>45146</v>
          </cell>
          <cell r="T4702">
            <v>45146</v>
          </cell>
          <cell r="U4702">
            <v>45148</v>
          </cell>
          <cell r="V4702">
            <v>45154</v>
          </cell>
          <cell r="W4702">
            <v>45154</v>
          </cell>
          <cell r="X4702">
            <v>41100683</v>
          </cell>
        </row>
        <row r="4703">
          <cell r="K4703" t="str">
            <v>IVAS-224</v>
          </cell>
          <cell r="L4703">
            <v>45131</v>
          </cell>
          <cell r="M4703">
            <v>45132</v>
          </cell>
          <cell r="N4703">
            <v>45141</v>
          </cell>
          <cell r="O4703">
            <v>45132</v>
          </cell>
          <cell r="P4703">
            <v>45146</v>
          </cell>
          <cell r="Q4703">
            <v>45140</v>
          </cell>
          <cell r="R4703">
            <v>45141</v>
          </cell>
          <cell r="S4703">
            <v>45146</v>
          </cell>
          <cell r="T4703">
            <v>45147</v>
          </cell>
          <cell r="U4703">
            <v>45154</v>
          </cell>
          <cell r="V4703">
            <v>45155</v>
          </cell>
          <cell r="W4703">
            <v>45155</v>
          </cell>
          <cell r="X4703">
            <v>41100635</v>
          </cell>
        </row>
        <row r="4704">
          <cell r="K4704" t="str">
            <v>GPWS-0275</v>
          </cell>
          <cell r="L4704">
            <v>45117</v>
          </cell>
          <cell r="M4704">
            <v>45118</v>
          </cell>
          <cell r="N4704">
            <v>45127</v>
          </cell>
          <cell r="O4704">
            <v>45118</v>
          </cell>
          <cell r="P4704">
            <v>45128</v>
          </cell>
          <cell r="Q4704">
            <v>45127</v>
          </cell>
          <cell r="R4704">
            <v>45128</v>
          </cell>
          <cell r="S4704">
            <v>45131</v>
          </cell>
          <cell r="T4704">
            <v>45132</v>
          </cell>
          <cell r="U4704">
            <v>45139</v>
          </cell>
          <cell r="V4704">
            <v>45145</v>
          </cell>
          <cell r="W4704">
            <v>45145</v>
          </cell>
          <cell r="X4704">
            <v>41100380</v>
          </cell>
        </row>
        <row r="4705">
          <cell r="K4705" t="str">
            <v>GPWS-0276</v>
          </cell>
          <cell r="L4705">
            <v>45117</v>
          </cell>
          <cell r="M4705">
            <v>45118</v>
          </cell>
          <cell r="N4705">
            <v>45127</v>
          </cell>
          <cell r="O4705">
            <v>45118</v>
          </cell>
          <cell r="P4705">
            <v>45128</v>
          </cell>
          <cell r="Q4705">
            <v>45127</v>
          </cell>
          <cell r="R4705">
            <v>45128</v>
          </cell>
          <cell r="S4705">
            <v>45131</v>
          </cell>
          <cell r="T4705">
            <v>45131</v>
          </cell>
          <cell r="U4705">
            <v>45139</v>
          </cell>
          <cell r="V4705">
            <v>45145</v>
          </cell>
          <cell r="W4705">
            <v>45145</v>
          </cell>
          <cell r="X4705">
            <v>41100380</v>
          </cell>
        </row>
        <row r="4706">
          <cell r="K4706" t="str">
            <v>GPWS-0277</v>
          </cell>
          <cell r="L4706">
            <v>45117</v>
          </cell>
          <cell r="M4706">
            <v>45118</v>
          </cell>
          <cell r="N4706">
            <v>45127</v>
          </cell>
          <cell r="O4706">
            <v>45118</v>
          </cell>
          <cell r="P4706">
            <v>45128</v>
          </cell>
          <cell r="Q4706">
            <v>45127</v>
          </cell>
          <cell r="R4706">
            <v>45128</v>
          </cell>
          <cell r="S4706">
            <v>45131</v>
          </cell>
          <cell r="T4706">
            <v>45132</v>
          </cell>
          <cell r="U4706">
            <v>45135</v>
          </cell>
          <cell r="V4706">
            <v>45145</v>
          </cell>
          <cell r="W4706">
            <v>45145</v>
          </cell>
          <cell r="X4706">
            <v>41100380</v>
          </cell>
        </row>
        <row r="4707">
          <cell r="K4707" t="str">
            <v>GPWS-0278</v>
          </cell>
          <cell r="L4707">
            <v>45117</v>
          </cell>
          <cell r="M4707">
            <v>45118</v>
          </cell>
          <cell r="N4707">
            <v>45127</v>
          </cell>
          <cell r="O4707">
            <v>45118</v>
          </cell>
          <cell r="P4707">
            <v>45128</v>
          </cell>
          <cell r="Q4707">
            <v>45127</v>
          </cell>
          <cell r="R4707">
            <v>45128</v>
          </cell>
          <cell r="S4707">
            <v>45131</v>
          </cell>
          <cell r="T4707">
            <v>45132</v>
          </cell>
          <cell r="U4707">
            <v>45138</v>
          </cell>
          <cell r="V4707">
            <v>45145</v>
          </cell>
          <cell r="W4707">
            <v>45145</v>
          </cell>
          <cell r="X4707">
            <v>41100380</v>
          </cell>
        </row>
        <row r="4708">
          <cell r="K4708" t="str">
            <v>GPWS-0279</v>
          </cell>
          <cell r="L4708">
            <v>45117</v>
          </cell>
          <cell r="M4708">
            <v>45118</v>
          </cell>
          <cell r="N4708">
            <v>45127</v>
          </cell>
          <cell r="O4708">
            <v>45118</v>
          </cell>
          <cell r="P4708">
            <v>45128</v>
          </cell>
          <cell r="Q4708">
            <v>45127</v>
          </cell>
          <cell r="R4708">
            <v>45128</v>
          </cell>
          <cell r="S4708">
            <v>45131</v>
          </cell>
          <cell r="T4708">
            <v>45132</v>
          </cell>
          <cell r="U4708">
            <v>45138</v>
          </cell>
          <cell r="V4708">
            <v>45145</v>
          </cell>
          <cell r="W4708">
            <v>45145</v>
          </cell>
          <cell r="X4708">
            <v>41100380</v>
          </cell>
        </row>
        <row r="4709">
          <cell r="K4709" t="str">
            <v>GPWS-0280</v>
          </cell>
          <cell r="L4709">
            <v>45117</v>
          </cell>
          <cell r="M4709">
            <v>45118</v>
          </cell>
          <cell r="N4709">
            <v>45127</v>
          </cell>
          <cell r="O4709">
            <v>45118</v>
          </cell>
          <cell r="P4709">
            <v>45128</v>
          </cell>
          <cell r="Q4709">
            <v>45127</v>
          </cell>
          <cell r="R4709">
            <v>45128</v>
          </cell>
          <cell r="S4709">
            <v>45131</v>
          </cell>
          <cell r="T4709">
            <v>45131</v>
          </cell>
          <cell r="U4709">
            <v>45140</v>
          </cell>
          <cell r="V4709">
            <v>45145</v>
          </cell>
          <cell r="W4709">
            <v>45145</v>
          </cell>
          <cell r="X4709">
            <v>41100380</v>
          </cell>
        </row>
        <row r="4710">
          <cell r="K4710" t="str">
            <v>GBWS-3500</v>
          </cell>
          <cell r="L4710">
            <v>45117</v>
          </cell>
          <cell r="M4710">
            <v>45118</v>
          </cell>
          <cell r="N4710">
            <v>45124</v>
          </cell>
          <cell r="O4710">
            <v>45118</v>
          </cell>
          <cell r="P4710">
            <v>45125</v>
          </cell>
          <cell r="Q4710">
            <v>45125</v>
          </cell>
          <cell r="R4710">
            <v>45126</v>
          </cell>
          <cell r="S4710">
            <v>45126</v>
          </cell>
          <cell r="T4710">
            <v>45127</v>
          </cell>
          <cell r="U4710">
            <v>45131</v>
          </cell>
          <cell r="V4710">
            <v>45132</v>
          </cell>
          <cell r="W4710">
            <v>45132</v>
          </cell>
          <cell r="X4710">
            <v>41100564</v>
          </cell>
        </row>
        <row r="4711">
          <cell r="K4711" t="str">
            <v>GBWS-3501</v>
          </cell>
          <cell r="L4711">
            <v>45117</v>
          </cell>
          <cell r="M4711">
            <v>45118</v>
          </cell>
          <cell r="N4711">
            <v>45124</v>
          </cell>
          <cell r="O4711">
            <v>45118</v>
          </cell>
          <cell r="P4711">
            <v>45125</v>
          </cell>
          <cell r="Q4711">
            <v>45125</v>
          </cell>
          <cell r="R4711">
            <v>45126</v>
          </cell>
          <cell r="S4711">
            <v>45126</v>
          </cell>
          <cell r="T4711">
            <v>45127</v>
          </cell>
          <cell r="U4711">
            <v>45128</v>
          </cell>
          <cell r="V4711">
            <v>45131</v>
          </cell>
          <cell r="W4711">
            <v>45131</v>
          </cell>
          <cell r="X4711">
            <v>41100564</v>
          </cell>
        </row>
        <row r="4712">
          <cell r="K4712" t="str">
            <v>GBWS-3502</v>
          </cell>
          <cell r="L4712">
            <v>45117</v>
          </cell>
          <cell r="M4712">
            <v>45118</v>
          </cell>
          <cell r="N4712">
            <v>45124</v>
          </cell>
          <cell r="O4712">
            <v>45118</v>
          </cell>
          <cell r="P4712">
            <v>45125</v>
          </cell>
          <cell r="Q4712">
            <v>45125</v>
          </cell>
          <cell r="R4712">
            <v>45126</v>
          </cell>
          <cell r="S4712">
            <v>45126</v>
          </cell>
          <cell r="T4712">
            <v>45127</v>
          </cell>
          <cell r="U4712">
            <v>45131</v>
          </cell>
          <cell r="V4712">
            <v>45132</v>
          </cell>
          <cell r="W4712">
            <v>45132</v>
          </cell>
          <cell r="X4712">
            <v>41100564</v>
          </cell>
        </row>
        <row r="4713">
          <cell r="K4713" t="str">
            <v>GBWS-3503</v>
          </cell>
          <cell r="L4713">
            <v>45117</v>
          </cell>
          <cell r="M4713">
            <v>45118</v>
          </cell>
          <cell r="N4713">
            <v>45124</v>
          </cell>
          <cell r="O4713">
            <v>45118</v>
          </cell>
          <cell r="P4713">
            <v>45126</v>
          </cell>
          <cell r="Q4713">
            <v>45125</v>
          </cell>
          <cell r="R4713">
            <v>45126</v>
          </cell>
          <cell r="S4713">
            <v>45127</v>
          </cell>
          <cell r="T4713">
            <v>45127</v>
          </cell>
          <cell r="U4713">
            <v>45131</v>
          </cell>
          <cell r="V4713">
            <v>45132</v>
          </cell>
          <cell r="W4713">
            <v>45132</v>
          </cell>
          <cell r="X4713">
            <v>41100564</v>
          </cell>
        </row>
        <row r="4714">
          <cell r="K4714" t="str">
            <v>DBW-3016</v>
          </cell>
          <cell r="L4714">
            <v>45111</v>
          </cell>
          <cell r="M4714">
            <v>45112</v>
          </cell>
          <cell r="N4714">
            <v>45120</v>
          </cell>
          <cell r="O4714">
            <v>45112</v>
          </cell>
          <cell r="P4714">
            <v>45120</v>
          </cell>
          <cell r="Q4714">
            <v>45120</v>
          </cell>
          <cell r="R4714">
            <v>45121</v>
          </cell>
          <cell r="S4714">
            <v>45121</v>
          </cell>
          <cell r="T4714">
            <v>45124</v>
          </cell>
          <cell r="U4714">
            <v>45134</v>
          </cell>
          <cell r="V4714">
            <v>45139</v>
          </cell>
          <cell r="W4714">
            <v>45139</v>
          </cell>
          <cell r="X4714">
            <v>41100696</v>
          </cell>
        </row>
        <row r="4715">
          <cell r="K4715" t="str">
            <v>DBW-3017</v>
          </cell>
          <cell r="L4715">
            <v>45111</v>
          </cell>
          <cell r="M4715">
            <v>45112</v>
          </cell>
          <cell r="N4715">
            <v>45120</v>
          </cell>
          <cell r="O4715">
            <v>45112</v>
          </cell>
          <cell r="P4715">
            <v>45120</v>
          </cell>
          <cell r="Q4715">
            <v>45120</v>
          </cell>
          <cell r="R4715">
            <v>45121</v>
          </cell>
          <cell r="S4715">
            <v>45121</v>
          </cell>
          <cell r="T4715">
            <v>45126</v>
          </cell>
          <cell r="U4715">
            <v>45133</v>
          </cell>
          <cell r="V4715">
            <v>45134</v>
          </cell>
          <cell r="W4715">
            <v>45134</v>
          </cell>
          <cell r="X4715">
            <v>41100696</v>
          </cell>
        </row>
        <row r="4716">
          <cell r="K4716" t="str">
            <v>DBW-3018</v>
          </cell>
          <cell r="L4716">
            <v>45111</v>
          </cell>
          <cell r="M4716">
            <v>45112</v>
          </cell>
          <cell r="N4716">
            <v>45120</v>
          </cell>
          <cell r="O4716">
            <v>45112</v>
          </cell>
          <cell r="P4716">
            <v>45120</v>
          </cell>
          <cell r="Q4716">
            <v>45120</v>
          </cell>
          <cell r="R4716">
            <v>45121</v>
          </cell>
          <cell r="S4716">
            <v>45121</v>
          </cell>
          <cell r="T4716">
            <v>45124</v>
          </cell>
          <cell r="U4716">
            <v>45134</v>
          </cell>
          <cell r="V4716">
            <v>45139</v>
          </cell>
          <cell r="W4716">
            <v>45139</v>
          </cell>
          <cell r="X4716">
            <v>41100696</v>
          </cell>
        </row>
        <row r="4717">
          <cell r="K4717" t="str">
            <v>DBW-3019</v>
          </cell>
          <cell r="L4717">
            <v>45111</v>
          </cell>
          <cell r="M4717">
            <v>45112</v>
          </cell>
          <cell r="N4717">
            <v>45120</v>
          </cell>
          <cell r="O4717">
            <v>45112</v>
          </cell>
          <cell r="P4717">
            <v>45120</v>
          </cell>
          <cell r="Q4717">
            <v>45120</v>
          </cell>
          <cell r="R4717">
            <v>45121</v>
          </cell>
          <cell r="S4717">
            <v>45121</v>
          </cell>
          <cell r="T4717">
            <v>45124</v>
          </cell>
          <cell r="U4717">
            <v>45133</v>
          </cell>
          <cell r="V4717">
            <v>45139</v>
          </cell>
          <cell r="W4717">
            <v>45139</v>
          </cell>
          <cell r="X4717">
            <v>41100696</v>
          </cell>
        </row>
        <row r="4718">
          <cell r="K4718" t="str">
            <v>DBW-3037</v>
          </cell>
          <cell r="L4718">
            <v>45126</v>
          </cell>
          <cell r="M4718">
            <v>45126</v>
          </cell>
          <cell r="N4718">
            <v>45133</v>
          </cell>
          <cell r="O4718">
            <v>45126</v>
          </cell>
          <cell r="P4718">
            <v>45134</v>
          </cell>
          <cell r="Q4718">
            <v>45133</v>
          </cell>
          <cell r="R4718">
            <v>45134</v>
          </cell>
          <cell r="S4718">
            <v>45135</v>
          </cell>
          <cell r="T4718">
            <v>45138</v>
          </cell>
          <cell r="U4718">
            <v>45142</v>
          </cell>
          <cell r="V4718">
            <v>45156</v>
          </cell>
          <cell r="W4718">
            <v>45156</v>
          </cell>
          <cell r="X4718">
            <v>41100360</v>
          </cell>
        </row>
        <row r="4719">
          <cell r="K4719" t="str">
            <v>DBW-3024</v>
          </cell>
          <cell r="L4719">
            <v>45114</v>
          </cell>
          <cell r="M4719">
            <v>45117</v>
          </cell>
          <cell r="N4719">
            <v>45124</v>
          </cell>
          <cell r="O4719">
            <v>45117</v>
          </cell>
          <cell r="P4719">
            <v>45125</v>
          </cell>
          <cell r="Q4719">
            <v>45124</v>
          </cell>
          <cell r="R4719">
            <v>45125</v>
          </cell>
          <cell r="S4719">
            <v>45126</v>
          </cell>
          <cell r="T4719">
            <v>45127</v>
          </cell>
          <cell r="U4719">
            <v>45131</v>
          </cell>
          <cell r="V4719">
            <v>45139</v>
          </cell>
          <cell r="W4719">
            <v>45139</v>
          </cell>
          <cell r="X4719">
            <v>41100695</v>
          </cell>
        </row>
        <row r="4720">
          <cell r="K4720" t="str">
            <v>GBWS-3489</v>
          </cell>
          <cell r="L4720">
            <v>45110</v>
          </cell>
          <cell r="M4720">
            <v>45111</v>
          </cell>
          <cell r="N4720">
            <v>45117</v>
          </cell>
          <cell r="O4720">
            <v>45111</v>
          </cell>
          <cell r="P4720">
            <v>45117</v>
          </cell>
          <cell r="Q4720">
            <v>45119</v>
          </cell>
          <cell r="R4720">
            <v>45120</v>
          </cell>
          <cell r="S4720">
            <v>45118</v>
          </cell>
          <cell r="T4720">
            <v>45119</v>
          </cell>
          <cell r="U4720">
            <v>45121</v>
          </cell>
          <cell r="V4720">
            <v>45125</v>
          </cell>
          <cell r="W4720">
            <v>45125</v>
          </cell>
          <cell r="X4720">
            <v>41100697</v>
          </cell>
        </row>
        <row r="4721">
          <cell r="K4721" t="str">
            <v>GBWS-3490</v>
          </cell>
          <cell r="L4721">
            <v>45110</v>
          </cell>
          <cell r="M4721">
            <v>45111</v>
          </cell>
          <cell r="N4721">
            <v>45117</v>
          </cell>
          <cell r="O4721">
            <v>45111</v>
          </cell>
          <cell r="P4721">
            <v>45117</v>
          </cell>
          <cell r="Q4721">
            <v>45119</v>
          </cell>
          <cell r="R4721">
            <v>45120</v>
          </cell>
          <cell r="S4721">
            <v>45118</v>
          </cell>
          <cell r="T4721">
            <v>45119</v>
          </cell>
          <cell r="U4721">
            <v>45121</v>
          </cell>
          <cell r="V4721">
            <v>45125</v>
          </cell>
          <cell r="W4721">
            <v>45125</v>
          </cell>
          <cell r="X4721">
            <v>41100697</v>
          </cell>
        </row>
        <row r="4722">
          <cell r="K4722" t="str">
            <v>GBWS-3491</v>
          </cell>
          <cell r="L4722">
            <v>45110</v>
          </cell>
          <cell r="M4722">
            <v>45111</v>
          </cell>
          <cell r="N4722">
            <v>45117</v>
          </cell>
          <cell r="O4722">
            <v>45111</v>
          </cell>
          <cell r="P4722">
            <v>45117</v>
          </cell>
          <cell r="Q4722">
            <v>45119</v>
          </cell>
          <cell r="R4722">
            <v>45120</v>
          </cell>
          <cell r="S4722">
            <v>45118</v>
          </cell>
          <cell r="T4722">
            <v>45124</v>
          </cell>
          <cell r="U4722">
            <v>45126</v>
          </cell>
          <cell r="V4722">
            <v>45131</v>
          </cell>
          <cell r="W4722">
            <v>45131</v>
          </cell>
          <cell r="X4722">
            <v>41100697</v>
          </cell>
        </row>
        <row r="4723">
          <cell r="K4723" t="str">
            <v>GBWS-3492</v>
          </cell>
          <cell r="L4723">
            <v>45110</v>
          </cell>
          <cell r="M4723">
            <v>45111</v>
          </cell>
          <cell r="N4723">
            <v>45117</v>
          </cell>
          <cell r="O4723">
            <v>45111</v>
          </cell>
          <cell r="P4723">
            <v>45117</v>
          </cell>
          <cell r="Q4723">
            <v>45119</v>
          </cell>
          <cell r="R4723">
            <v>45120</v>
          </cell>
          <cell r="S4723">
            <v>45119</v>
          </cell>
          <cell r="T4723">
            <v>45124</v>
          </cell>
          <cell r="U4723">
            <v>45126</v>
          </cell>
          <cell r="V4723">
            <v>45131</v>
          </cell>
          <cell r="W4723">
            <v>45131</v>
          </cell>
          <cell r="X4723">
            <v>41100697</v>
          </cell>
        </row>
        <row r="4724">
          <cell r="K4724" t="str">
            <v>GBWS-3493</v>
          </cell>
          <cell r="L4724">
            <v>45110</v>
          </cell>
          <cell r="M4724">
            <v>45111</v>
          </cell>
          <cell r="N4724">
            <v>45117</v>
          </cell>
          <cell r="O4724">
            <v>45111</v>
          </cell>
          <cell r="P4724">
            <v>45117</v>
          </cell>
          <cell r="Q4724">
            <v>45119</v>
          </cell>
          <cell r="R4724">
            <v>45120</v>
          </cell>
          <cell r="S4724">
            <v>45119</v>
          </cell>
          <cell r="T4724">
            <v>45125</v>
          </cell>
          <cell r="U4724">
            <v>45127</v>
          </cell>
          <cell r="V4724">
            <v>45131</v>
          </cell>
          <cell r="W4724">
            <v>45131</v>
          </cell>
          <cell r="X4724">
            <v>41100697</v>
          </cell>
        </row>
        <row r="4725">
          <cell r="K4725" t="str">
            <v>GBWS-3494</v>
          </cell>
          <cell r="L4725">
            <v>45110</v>
          </cell>
          <cell r="M4725">
            <v>45111</v>
          </cell>
          <cell r="N4725">
            <v>45117</v>
          </cell>
          <cell r="O4725">
            <v>45111</v>
          </cell>
          <cell r="P4725">
            <v>45117</v>
          </cell>
          <cell r="Q4725">
            <v>45119</v>
          </cell>
          <cell r="R4725">
            <v>45120</v>
          </cell>
          <cell r="S4725">
            <v>45119</v>
          </cell>
          <cell r="T4725">
            <v>45125</v>
          </cell>
          <cell r="U4725">
            <v>45127</v>
          </cell>
          <cell r="V4725">
            <v>45131</v>
          </cell>
          <cell r="W4725">
            <v>45131</v>
          </cell>
          <cell r="X4725">
            <v>41100697</v>
          </cell>
        </row>
        <row r="4726">
          <cell r="K4726" t="str">
            <v>GBWS-3495</v>
          </cell>
          <cell r="L4726">
            <v>45110</v>
          </cell>
          <cell r="M4726">
            <v>45111</v>
          </cell>
          <cell r="N4726">
            <v>45117</v>
          </cell>
          <cell r="O4726">
            <v>45111</v>
          </cell>
          <cell r="P4726">
            <v>45117</v>
          </cell>
          <cell r="Q4726">
            <v>45119</v>
          </cell>
          <cell r="R4726">
            <v>45120</v>
          </cell>
          <cell r="S4726">
            <v>45119</v>
          </cell>
          <cell r="T4726">
            <v>45125</v>
          </cell>
          <cell r="U4726">
            <v>45127</v>
          </cell>
          <cell r="V4726">
            <v>45131</v>
          </cell>
          <cell r="W4726">
            <v>45131</v>
          </cell>
          <cell r="X4726">
            <v>41100697</v>
          </cell>
        </row>
        <row r="4727">
          <cell r="K4727" t="str">
            <v>GBWS-3497</v>
          </cell>
          <cell r="L4727">
            <v>45114</v>
          </cell>
          <cell r="M4727">
            <v>45117</v>
          </cell>
          <cell r="N4727">
            <v>45121</v>
          </cell>
          <cell r="O4727">
            <v>45117</v>
          </cell>
          <cell r="P4727">
            <v>45121</v>
          </cell>
          <cell r="Q4727">
            <v>45124</v>
          </cell>
          <cell r="R4727">
            <v>45125</v>
          </cell>
          <cell r="S4727">
            <v>45125</v>
          </cell>
          <cell r="T4727">
            <v>45125</v>
          </cell>
          <cell r="U4727">
            <v>45132</v>
          </cell>
          <cell r="V4727">
            <v>45134</v>
          </cell>
          <cell r="W4727">
            <v>45134</v>
          </cell>
          <cell r="X4727">
            <v>41100468</v>
          </cell>
        </row>
        <row r="4728">
          <cell r="K4728" t="str">
            <v>GBWS-3498</v>
          </cell>
          <cell r="L4728">
            <v>45114</v>
          </cell>
          <cell r="M4728">
            <v>45117</v>
          </cell>
          <cell r="N4728">
            <v>45121</v>
          </cell>
          <cell r="O4728">
            <v>45117</v>
          </cell>
          <cell r="P4728">
            <v>45121</v>
          </cell>
          <cell r="Q4728">
            <v>45124</v>
          </cell>
          <cell r="R4728">
            <v>45125</v>
          </cell>
          <cell r="S4728">
            <v>45125</v>
          </cell>
          <cell r="T4728">
            <v>45125</v>
          </cell>
          <cell r="U4728">
            <v>45132</v>
          </cell>
          <cell r="V4728">
            <v>45134</v>
          </cell>
          <cell r="W4728">
            <v>45134</v>
          </cell>
          <cell r="X4728">
            <v>41100468</v>
          </cell>
        </row>
        <row r="4729">
          <cell r="K4729" t="str">
            <v>GBWS-3467</v>
          </cell>
          <cell r="L4729">
            <v>45096</v>
          </cell>
          <cell r="M4729">
            <v>45097</v>
          </cell>
          <cell r="N4729">
            <v>45104</v>
          </cell>
          <cell r="O4729">
            <v>45097</v>
          </cell>
          <cell r="P4729">
            <v>45104</v>
          </cell>
          <cell r="Q4729">
            <v>45104</v>
          </cell>
          <cell r="R4729">
            <v>45105</v>
          </cell>
          <cell r="S4729">
            <v>45105</v>
          </cell>
          <cell r="T4729">
            <v>45106</v>
          </cell>
          <cell r="U4729">
            <v>45111</v>
          </cell>
          <cell r="V4729">
            <v>45111</v>
          </cell>
          <cell r="W4729">
            <v>45111</v>
          </cell>
          <cell r="X4729">
            <v>41100686</v>
          </cell>
        </row>
        <row r="4730">
          <cell r="K4730" t="str">
            <v>GBWS-3468</v>
          </cell>
          <cell r="L4730">
            <v>45096</v>
          </cell>
          <cell r="M4730">
            <v>45097</v>
          </cell>
          <cell r="N4730">
            <v>45104</v>
          </cell>
          <cell r="O4730">
            <v>45097</v>
          </cell>
          <cell r="P4730">
            <v>45104</v>
          </cell>
          <cell r="Q4730">
            <v>45104</v>
          </cell>
          <cell r="R4730">
            <v>45105</v>
          </cell>
          <cell r="S4730">
            <v>45105</v>
          </cell>
          <cell r="T4730">
            <v>45106</v>
          </cell>
          <cell r="U4730">
            <v>45107</v>
          </cell>
          <cell r="V4730">
            <v>45110</v>
          </cell>
          <cell r="W4730">
            <v>45110</v>
          </cell>
          <cell r="X4730">
            <v>41100686</v>
          </cell>
        </row>
        <row r="4731">
          <cell r="K4731" t="str">
            <v>GBWS-3504</v>
          </cell>
          <cell r="L4731">
            <v>45117</v>
          </cell>
          <cell r="M4731">
            <v>45118</v>
          </cell>
          <cell r="N4731">
            <v>45124</v>
          </cell>
          <cell r="O4731">
            <v>45118</v>
          </cell>
          <cell r="P4731">
            <v>45126</v>
          </cell>
          <cell r="Q4731">
            <v>45125</v>
          </cell>
          <cell r="R4731">
            <v>45126</v>
          </cell>
          <cell r="S4731">
            <v>45126</v>
          </cell>
          <cell r="T4731">
            <v>45126</v>
          </cell>
          <cell r="U4731">
            <v>45128</v>
          </cell>
          <cell r="V4731">
            <v>45131</v>
          </cell>
          <cell r="W4731">
            <v>45131</v>
          </cell>
          <cell r="X4731">
            <v>41100662</v>
          </cell>
        </row>
        <row r="4732">
          <cell r="K4732" t="str">
            <v>GBWS-3540</v>
          </cell>
          <cell r="L4732">
            <v>45139</v>
          </cell>
          <cell r="M4732">
            <v>45140</v>
          </cell>
          <cell r="N4732">
            <v>45149</v>
          </cell>
          <cell r="O4732">
            <v>45140</v>
          </cell>
          <cell r="P4732">
            <v>45149</v>
          </cell>
          <cell r="Q4732">
            <v>45149</v>
          </cell>
          <cell r="R4732">
            <v>45152</v>
          </cell>
          <cell r="S4732">
            <v>45152</v>
          </cell>
          <cell r="T4732">
            <v>45154</v>
          </cell>
          <cell r="U4732">
            <v>45155</v>
          </cell>
          <cell r="V4732">
            <v>45159</v>
          </cell>
          <cell r="W4732">
            <v>45159</v>
          </cell>
          <cell r="X4732">
            <v>41100564</v>
          </cell>
        </row>
        <row r="4733">
          <cell r="K4733" t="str">
            <v>GBWS-3541</v>
          </cell>
          <cell r="L4733">
            <v>45139</v>
          </cell>
          <cell r="M4733">
            <v>45140</v>
          </cell>
          <cell r="N4733">
            <v>45149</v>
          </cell>
          <cell r="O4733">
            <v>45140</v>
          </cell>
          <cell r="P4733">
            <v>45149</v>
          </cell>
          <cell r="Q4733">
            <v>45149</v>
          </cell>
          <cell r="R4733">
            <v>45152</v>
          </cell>
          <cell r="S4733">
            <v>45152</v>
          </cell>
          <cell r="T4733">
            <v>45154</v>
          </cell>
          <cell r="U4733">
            <v>45155</v>
          </cell>
          <cell r="V4733">
            <v>45156</v>
          </cell>
          <cell r="W4733">
            <v>45156</v>
          </cell>
          <cell r="X4733">
            <v>41100564</v>
          </cell>
        </row>
        <row r="4734">
          <cell r="K4734" t="str">
            <v>GBWS-3542</v>
          </cell>
          <cell r="L4734">
            <v>45139</v>
          </cell>
          <cell r="M4734">
            <v>45140</v>
          </cell>
          <cell r="N4734">
            <v>45149</v>
          </cell>
          <cell r="O4734">
            <v>45140</v>
          </cell>
          <cell r="P4734">
            <v>45149</v>
          </cell>
          <cell r="Q4734">
            <v>45149</v>
          </cell>
          <cell r="R4734">
            <v>45152</v>
          </cell>
          <cell r="S4734">
            <v>45152</v>
          </cell>
          <cell r="T4734">
            <v>45154</v>
          </cell>
          <cell r="U4734">
            <v>45156</v>
          </cell>
          <cell r="V4734">
            <v>45160</v>
          </cell>
          <cell r="W4734">
            <v>45160</v>
          </cell>
          <cell r="X4734">
            <v>41100564</v>
          </cell>
        </row>
        <row r="4735">
          <cell r="K4735" t="str">
            <v>GBWS-3543</v>
          </cell>
          <cell r="L4735">
            <v>45139</v>
          </cell>
          <cell r="M4735">
            <v>45140</v>
          </cell>
          <cell r="N4735">
            <v>45149</v>
          </cell>
          <cell r="O4735">
            <v>45140</v>
          </cell>
          <cell r="P4735">
            <v>45149</v>
          </cell>
          <cell r="Q4735">
            <v>45149</v>
          </cell>
          <cell r="R4735">
            <v>45152</v>
          </cell>
          <cell r="S4735">
            <v>45154</v>
          </cell>
          <cell r="T4735">
            <v>45154</v>
          </cell>
          <cell r="U4735">
            <v>45156</v>
          </cell>
          <cell r="V4735">
            <v>45159</v>
          </cell>
          <cell r="W4735">
            <v>45159</v>
          </cell>
          <cell r="X4735">
            <v>41100564</v>
          </cell>
        </row>
        <row r="4736">
          <cell r="K4736" t="str">
            <v>GBWS-3544</v>
          </cell>
          <cell r="L4736">
            <v>45139</v>
          </cell>
          <cell r="M4736">
            <v>45140</v>
          </cell>
          <cell r="N4736">
            <v>45149</v>
          </cell>
          <cell r="O4736">
            <v>45140</v>
          </cell>
          <cell r="P4736">
            <v>45149</v>
          </cell>
          <cell r="Q4736">
            <v>45149</v>
          </cell>
          <cell r="R4736">
            <v>45152</v>
          </cell>
          <cell r="S4736">
            <v>45154</v>
          </cell>
          <cell r="T4736">
            <v>45154</v>
          </cell>
          <cell r="U4736">
            <v>45155</v>
          </cell>
          <cell r="V4736">
            <v>45159</v>
          </cell>
          <cell r="W4736">
            <v>45159</v>
          </cell>
          <cell r="X4736">
            <v>41100564</v>
          </cell>
        </row>
        <row r="4737">
          <cell r="K4737" t="str">
            <v>IVAS-225</v>
          </cell>
          <cell r="L4737">
            <v>45135</v>
          </cell>
          <cell r="M4737" t="str">
            <v>2023-04-27 → 7/31</v>
          </cell>
          <cell r="N4737">
            <v>45149</v>
          </cell>
          <cell r="O4737" t="str">
            <v>2023-04-27 → 7/31</v>
          </cell>
          <cell r="P4737">
            <v>45156</v>
          </cell>
          <cell r="Q4737" t="str">
            <v>2023-05-09 → 8/11</v>
          </cell>
          <cell r="R4737" t="str">
            <v>2023-05-09 → 8/11 → 8/18</v>
          </cell>
          <cell r="S4737">
            <v>45159</v>
          </cell>
          <cell r="T4737">
            <v>45155</v>
          </cell>
          <cell r="U4737">
            <v>45160</v>
          </cell>
          <cell r="V4737">
            <v>45161</v>
          </cell>
          <cell r="W4737">
            <v>45161</v>
          </cell>
          <cell r="X4737">
            <v>41100658</v>
          </cell>
        </row>
        <row r="4738">
          <cell r="K4738"/>
          <cell r="L4738">
            <v>45145</v>
          </cell>
          <cell r="M4738">
            <v>45145</v>
          </cell>
          <cell r="N4738">
            <v>45161</v>
          </cell>
          <cell r="O4738">
            <v>45145</v>
          </cell>
          <cell r="P4738">
            <v>45161</v>
          </cell>
          <cell r="Q4738">
            <v>45149</v>
          </cell>
          <cell r="R4738">
            <v>45149</v>
          </cell>
          <cell r="S4738">
            <v>45161</v>
          </cell>
          <cell r="T4738">
            <v>45161</v>
          </cell>
          <cell r="U4738">
            <v>45161</v>
          </cell>
          <cell r="V4738">
            <v>45161</v>
          </cell>
          <cell r="W4738">
            <v>45161</v>
          </cell>
          <cell r="X4738">
            <v>31102213</v>
          </cell>
        </row>
        <row r="4739">
          <cell r="K4739"/>
          <cell r="L4739">
            <v>45145</v>
          </cell>
          <cell r="M4739">
            <v>45145</v>
          </cell>
          <cell r="N4739">
            <v>45161</v>
          </cell>
          <cell r="O4739">
            <v>45145</v>
          </cell>
          <cell r="P4739">
            <v>45161</v>
          </cell>
          <cell r="Q4739">
            <v>45149</v>
          </cell>
          <cell r="R4739">
            <v>45149</v>
          </cell>
          <cell r="S4739">
            <v>45161</v>
          </cell>
          <cell r="T4739">
            <v>45161</v>
          </cell>
          <cell r="U4739">
            <v>45161</v>
          </cell>
          <cell r="V4739">
            <v>45161</v>
          </cell>
          <cell r="W4739">
            <v>45161</v>
          </cell>
          <cell r="X4739">
            <v>31102214</v>
          </cell>
        </row>
        <row r="4740">
          <cell r="K4740" t="str">
            <v>GBWS-2941</v>
          </cell>
          <cell r="L4740">
            <v>44846</v>
          </cell>
          <cell r="M4740">
            <v>44847</v>
          </cell>
          <cell r="N4740">
            <v>44871</v>
          </cell>
          <cell r="O4740">
            <v>44847</v>
          </cell>
          <cell r="P4740">
            <v>44872</v>
          </cell>
          <cell r="Q4740" t="str">
            <v>2022-10-25 → 11/5</v>
          </cell>
          <cell r="R4740" t="str">
            <v>2022-10-25 → 11/5</v>
          </cell>
          <cell r="S4740"/>
          <cell r="T4740">
            <v>44873</v>
          </cell>
          <cell r="U4740">
            <v>44874</v>
          </cell>
          <cell r="V4740">
            <v>44875</v>
          </cell>
          <cell r="W4740">
            <v>44876</v>
          </cell>
          <cell r="X4740">
            <v>41100358</v>
          </cell>
        </row>
        <row r="4741">
          <cell r="K4741" t="str">
            <v>DBW-3048</v>
          </cell>
          <cell r="L4741">
            <v>45145</v>
          </cell>
          <cell r="M4741">
            <v>45146</v>
          </cell>
          <cell r="N4741">
            <v>45152</v>
          </cell>
          <cell r="O4741">
            <v>45146</v>
          </cell>
          <cell r="P4741">
            <v>45152</v>
          </cell>
          <cell r="Q4741">
            <v>45152</v>
          </cell>
          <cell r="R4741">
            <v>45152</v>
          </cell>
          <cell r="S4741">
            <v>45154</v>
          </cell>
          <cell r="T4741">
            <v>45155</v>
          </cell>
          <cell r="U4741">
            <v>45156</v>
          </cell>
          <cell r="V4741">
            <v>45161</v>
          </cell>
          <cell r="W4741">
            <v>45161</v>
          </cell>
          <cell r="X4741">
            <v>41100691</v>
          </cell>
        </row>
        <row r="4742">
          <cell r="K4742" t="str">
            <v>DBW-3049</v>
          </cell>
          <cell r="L4742">
            <v>45145</v>
          </cell>
          <cell r="M4742">
            <v>45146</v>
          </cell>
          <cell r="N4742">
            <v>45152</v>
          </cell>
          <cell r="O4742">
            <v>45146</v>
          </cell>
          <cell r="P4742">
            <v>45152</v>
          </cell>
          <cell r="Q4742">
            <v>45152</v>
          </cell>
          <cell r="R4742">
            <v>45152</v>
          </cell>
          <cell r="S4742">
            <v>45154</v>
          </cell>
          <cell r="T4742">
            <v>45155</v>
          </cell>
          <cell r="U4742">
            <v>45159</v>
          </cell>
          <cell r="V4742">
            <v>45161</v>
          </cell>
          <cell r="W4742">
            <v>45161</v>
          </cell>
          <cell r="X4742">
            <v>41100691</v>
          </cell>
        </row>
        <row r="4743">
          <cell r="K4743" t="str">
            <v>GBWS-3539</v>
          </cell>
          <cell r="L4743">
            <v>45138</v>
          </cell>
          <cell r="M4743">
            <v>45139</v>
          </cell>
          <cell r="N4743">
            <v>45147</v>
          </cell>
          <cell r="O4743">
            <v>45139</v>
          </cell>
          <cell r="P4743">
            <v>45147</v>
          </cell>
          <cell r="Q4743">
            <v>45147</v>
          </cell>
          <cell r="R4743">
            <v>45148</v>
          </cell>
          <cell r="S4743">
            <v>45148</v>
          </cell>
          <cell r="T4743">
            <v>45148</v>
          </cell>
          <cell r="U4743">
            <v>45149</v>
          </cell>
          <cell r="V4743">
            <v>45159</v>
          </cell>
          <cell r="W4743">
            <v>45159</v>
          </cell>
          <cell r="X4743">
            <v>41100372</v>
          </cell>
        </row>
        <row r="4744">
          <cell r="K4744"/>
          <cell r="L4744">
            <v>45139</v>
          </cell>
          <cell r="M4744">
            <v>45139</v>
          </cell>
          <cell r="N4744">
            <v>45147</v>
          </cell>
          <cell r="O4744">
            <v>45139</v>
          </cell>
          <cell r="P4744">
            <v>45152</v>
          </cell>
          <cell r="Q4744">
            <v>45149</v>
          </cell>
          <cell r="R4744">
            <v>45152</v>
          </cell>
          <cell r="S4744">
            <v>45154</v>
          </cell>
          <cell r="T4744">
            <v>45155</v>
          </cell>
          <cell r="U4744">
            <v>45156</v>
          </cell>
          <cell r="V4744">
            <v>45160</v>
          </cell>
          <cell r="W4744">
            <v>45160</v>
          </cell>
          <cell r="X4744">
            <v>31102257</v>
          </cell>
        </row>
        <row r="4745">
          <cell r="K4745"/>
          <cell r="L4745">
            <v>45139</v>
          </cell>
          <cell r="M4745">
            <v>45139</v>
          </cell>
          <cell r="N4745">
            <v>45148</v>
          </cell>
          <cell r="O4745">
            <v>45139</v>
          </cell>
          <cell r="P4745">
            <v>45152</v>
          </cell>
          <cell r="Q4745">
            <v>45149</v>
          </cell>
          <cell r="R4745">
            <v>45152</v>
          </cell>
          <cell r="S4745">
            <v>45154</v>
          </cell>
          <cell r="T4745">
            <v>45155</v>
          </cell>
          <cell r="U4745">
            <v>45156</v>
          </cell>
          <cell r="V4745">
            <v>45160</v>
          </cell>
          <cell r="W4745">
            <v>45160</v>
          </cell>
          <cell r="X4745">
            <v>31102289</v>
          </cell>
        </row>
        <row r="4746">
          <cell r="K4746"/>
          <cell r="L4746">
            <v>45139</v>
          </cell>
          <cell r="M4746">
            <v>45139</v>
          </cell>
          <cell r="N4746">
            <v>45148</v>
          </cell>
          <cell r="O4746">
            <v>45139</v>
          </cell>
          <cell r="P4746">
            <v>45152</v>
          </cell>
          <cell r="Q4746">
            <v>45149</v>
          </cell>
          <cell r="R4746">
            <v>45152</v>
          </cell>
          <cell r="S4746">
            <v>45154</v>
          </cell>
          <cell r="T4746">
            <v>45155</v>
          </cell>
          <cell r="U4746">
            <v>45156</v>
          </cell>
          <cell r="V4746">
            <v>45160</v>
          </cell>
          <cell r="W4746">
            <v>45160</v>
          </cell>
          <cell r="X4746">
            <v>31102290</v>
          </cell>
        </row>
        <row r="4747">
          <cell r="K4747"/>
          <cell r="L4747">
            <v>45139</v>
          </cell>
          <cell r="M4747">
            <v>45139</v>
          </cell>
          <cell r="N4747">
            <v>45148</v>
          </cell>
          <cell r="O4747">
            <v>45139</v>
          </cell>
          <cell r="P4747">
            <v>45152</v>
          </cell>
          <cell r="Q4747">
            <v>45149</v>
          </cell>
          <cell r="R4747">
            <v>45152</v>
          </cell>
          <cell r="S4747">
            <v>45154</v>
          </cell>
          <cell r="T4747">
            <v>45155</v>
          </cell>
          <cell r="U4747">
            <v>45156</v>
          </cell>
          <cell r="V4747">
            <v>45160</v>
          </cell>
          <cell r="W4747">
            <v>45160</v>
          </cell>
          <cell r="X4747">
            <v>31102291</v>
          </cell>
        </row>
        <row r="4748">
          <cell r="K4748"/>
          <cell r="L4748">
            <v>45139</v>
          </cell>
          <cell r="M4748">
            <v>45139</v>
          </cell>
          <cell r="N4748">
            <v>45148</v>
          </cell>
          <cell r="O4748">
            <v>45139</v>
          </cell>
          <cell r="P4748">
            <v>45152</v>
          </cell>
          <cell r="Q4748">
            <v>45149</v>
          </cell>
          <cell r="R4748">
            <v>45152</v>
          </cell>
          <cell r="S4748">
            <v>45154</v>
          </cell>
          <cell r="T4748">
            <v>45155</v>
          </cell>
          <cell r="U4748">
            <v>45156</v>
          </cell>
          <cell r="V4748">
            <v>45160</v>
          </cell>
          <cell r="W4748">
            <v>45160</v>
          </cell>
          <cell r="X4748">
            <v>31102292</v>
          </cell>
        </row>
        <row r="4749">
          <cell r="K4749"/>
          <cell r="L4749">
            <v>45139</v>
          </cell>
          <cell r="M4749">
            <v>45139</v>
          </cell>
          <cell r="N4749">
            <v>45148</v>
          </cell>
          <cell r="O4749">
            <v>45139</v>
          </cell>
          <cell r="P4749">
            <v>45152</v>
          </cell>
          <cell r="Q4749">
            <v>45149</v>
          </cell>
          <cell r="R4749">
            <v>45152</v>
          </cell>
          <cell r="S4749">
            <v>45154</v>
          </cell>
          <cell r="T4749">
            <v>45155</v>
          </cell>
          <cell r="U4749">
            <v>45156</v>
          </cell>
          <cell r="V4749">
            <v>45160</v>
          </cell>
          <cell r="W4749">
            <v>45160</v>
          </cell>
          <cell r="X4749">
            <v>31102830</v>
          </cell>
        </row>
        <row r="4750">
          <cell r="K4750" t="str">
            <v>DBW-3050</v>
          </cell>
          <cell r="L4750">
            <v>45148</v>
          </cell>
          <cell r="M4750">
            <v>45149</v>
          </cell>
          <cell r="N4750">
            <v>45159</v>
          </cell>
          <cell r="O4750">
            <v>45149</v>
          </cell>
          <cell r="P4750">
            <v>45160</v>
          </cell>
          <cell r="Q4750">
            <v>45159</v>
          </cell>
          <cell r="R4750">
            <v>45160</v>
          </cell>
          <cell r="S4750">
            <v>45161</v>
          </cell>
          <cell r="T4750">
            <v>45161</v>
          </cell>
          <cell r="U4750">
            <v>45163</v>
          </cell>
          <cell r="V4750">
            <v>45166</v>
          </cell>
          <cell r="W4750">
            <v>45166</v>
          </cell>
          <cell r="X4750">
            <v>41100099</v>
          </cell>
        </row>
        <row r="4751">
          <cell r="K4751" t="str">
            <v>GBWS-3551</v>
          </cell>
          <cell r="L4751">
            <v>45146</v>
          </cell>
          <cell r="M4751">
            <v>45147</v>
          </cell>
          <cell r="N4751">
            <v>45156</v>
          </cell>
          <cell r="O4751">
            <v>45147</v>
          </cell>
          <cell r="P4751">
            <v>45159</v>
          </cell>
          <cell r="Q4751">
            <v>45156</v>
          </cell>
          <cell r="R4751">
            <v>45159</v>
          </cell>
          <cell r="S4751">
            <v>45160</v>
          </cell>
          <cell r="T4751">
            <v>45160</v>
          </cell>
          <cell r="U4751">
            <v>45161</v>
          </cell>
          <cell r="V4751">
            <v>45163</v>
          </cell>
          <cell r="W4751">
            <v>45163</v>
          </cell>
          <cell r="X4751">
            <v>41100611</v>
          </cell>
        </row>
        <row r="4752">
          <cell r="K4752" t="str">
            <v>IVAS-226</v>
          </cell>
          <cell r="L4752">
            <v>45141</v>
          </cell>
          <cell r="M4752">
            <v>45142</v>
          </cell>
          <cell r="N4752">
            <v>45154</v>
          </cell>
          <cell r="O4752">
            <v>45142</v>
          </cell>
          <cell r="P4752">
            <v>45156</v>
          </cell>
          <cell r="Q4752">
            <v>45154</v>
          </cell>
          <cell r="R4752" t="str">
            <v>2023-08-17 → 8/18</v>
          </cell>
          <cell r="S4752">
            <v>45159</v>
          </cell>
          <cell r="T4752">
            <v>45156</v>
          </cell>
          <cell r="U4752">
            <v>45162</v>
          </cell>
          <cell r="V4752">
            <v>45168</v>
          </cell>
          <cell r="W4752">
            <v>45168</v>
          </cell>
          <cell r="X4752">
            <v>41100688</v>
          </cell>
        </row>
        <row r="4753">
          <cell r="K4753" t="str">
            <v>GBWS-3562</v>
          </cell>
          <cell r="L4753">
            <v>45152</v>
          </cell>
          <cell r="M4753">
            <v>45154</v>
          </cell>
          <cell r="N4753">
            <v>45160</v>
          </cell>
          <cell r="O4753">
            <v>45154</v>
          </cell>
          <cell r="P4753">
            <v>45162</v>
          </cell>
          <cell r="Q4753">
            <v>45161</v>
          </cell>
          <cell r="R4753">
            <v>45162</v>
          </cell>
          <cell r="S4753">
            <v>45163</v>
          </cell>
          <cell r="T4753">
            <v>45163</v>
          </cell>
          <cell r="U4753">
            <v>45167</v>
          </cell>
          <cell r="V4753">
            <v>45167</v>
          </cell>
          <cell r="W4753">
            <v>45167</v>
          </cell>
          <cell r="X4753">
            <v>41100633</v>
          </cell>
        </row>
        <row r="4754">
          <cell r="K4754" t="str">
            <v>GBWS-2828</v>
          </cell>
          <cell r="L4754">
            <v>44816</v>
          </cell>
          <cell r="M4754">
            <v>44817</v>
          </cell>
          <cell r="N4754">
            <v>44827</v>
          </cell>
          <cell r="O4754">
            <v>44817</v>
          </cell>
          <cell r="P4754">
            <v>44827</v>
          </cell>
          <cell r="Q4754">
            <v>44827</v>
          </cell>
          <cell r="R4754">
            <v>44827</v>
          </cell>
          <cell r="S4754"/>
          <cell r="T4754">
            <v>44831</v>
          </cell>
          <cell r="U4754">
            <v>44832</v>
          </cell>
          <cell r="V4754">
            <v>44833</v>
          </cell>
          <cell r="W4754">
            <v>44833</v>
          </cell>
          <cell r="X4754">
            <v>41100286</v>
          </cell>
        </row>
        <row r="4755">
          <cell r="K4755" t="str">
            <v>DBW-2992</v>
          </cell>
          <cell r="L4755">
            <v>45089</v>
          </cell>
          <cell r="M4755">
            <v>45090</v>
          </cell>
          <cell r="N4755">
            <v>45099</v>
          </cell>
          <cell r="O4755">
            <v>45090</v>
          </cell>
          <cell r="P4755">
            <v>45100</v>
          </cell>
          <cell r="Q4755" t="str">
            <v>2023-06-20 → 6/23</v>
          </cell>
          <cell r="R4755" t="str">
            <v>2023-06-20 → 6/23</v>
          </cell>
          <cell r="S4755">
            <v>45103</v>
          </cell>
          <cell r="T4755">
            <v>45103</v>
          </cell>
          <cell r="U4755">
            <v>45105</v>
          </cell>
          <cell r="V4755">
            <v>45106</v>
          </cell>
          <cell r="W4755">
            <v>45106</v>
          </cell>
          <cell r="X4755">
            <v>41100694</v>
          </cell>
        </row>
        <row r="4756">
          <cell r="K4756" t="str">
            <v>DBW-2993</v>
          </cell>
          <cell r="L4756">
            <v>45089</v>
          </cell>
          <cell r="M4756">
            <v>45090</v>
          </cell>
          <cell r="N4756">
            <v>45099</v>
          </cell>
          <cell r="O4756">
            <v>45090</v>
          </cell>
          <cell r="P4756">
            <v>45100</v>
          </cell>
          <cell r="Q4756" t="str">
            <v>2023-06-20 → 6/23</v>
          </cell>
          <cell r="R4756" t="str">
            <v>2023-06-20 → 6/23</v>
          </cell>
          <cell r="S4756">
            <v>45103</v>
          </cell>
          <cell r="T4756">
            <v>45103</v>
          </cell>
          <cell r="U4756">
            <v>45105</v>
          </cell>
          <cell r="V4756">
            <v>45106</v>
          </cell>
          <cell r="W4756">
            <v>45106</v>
          </cell>
          <cell r="X4756">
            <v>41100694</v>
          </cell>
        </row>
        <row r="4757">
          <cell r="K4757" t="str">
            <v>GBWS-3560</v>
          </cell>
          <cell r="L4757">
            <v>45149</v>
          </cell>
          <cell r="M4757">
            <v>45152</v>
          </cell>
          <cell r="N4757">
            <v>45160</v>
          </cell>
          <cell r="O4757">
            <v>45152</v>
          </cell>
          <cell r="P4757">
            <v>45160</v>
          </cell>
          <cell r="Q4757">
            <v>45161</v>
          </cell>
          <cell r="R4757">
            <v>45162</v>
          </cell>
          <cell r="S4757">
            <v>45161</v>
          </cell>
          <cell r="T4757">
            <v>45163</v>
          </cell>
          <cell r="U4757">
            <v>45166</v>
          </cell>
          <cell r="V4757">
            <v>45167</v>
          </cell>
          <cell r="W4757">
            <v>45167</v>
          </cell>
          <cell r="X4757">
            <v>41100461</v>
          </cell>
        </row>
        <row r="4758">
          <cell r="K4758" t="str">
            <v>GBWS-3553</v>
          </cell>
          <cell r="L4758">
            <v>45147</v>
          </cell>
          <cell r="M4758">
            <v>45148</v>
          </cell>
          <cell r="N4758">
            <v>45159</v>
          </cell>
          <cell r="O4758">
            <v>45148</v>
          </cell>
          <cell r="P4758">
            <v>45160</v>
          </cell>
          <cell r="Q4758">
            <v>45159</v>
          </cell>
          <cell r="R4758">
            <v>45160</v>
          </cell>
          <cell r="S4758">
            <v>45161</v>
          </cell>
          <cell r="T4758">
            <v>45161</v>
          </cell>
          <cell r="U4758">
            <v>45166</v>
          </cell>
          <cell r="V4758">
            <v>45167</v>
          </cell>
          <cell r="W4758">
            <v>45167</v>
          </cell>
          <cell r="X4758">
            <v>41000516</v>
          </cell>
        </row>
        <row r="4759">
          <cell r="K4759" t="str">
            <v>GBWS-3554</v>
          </cell>
          <cell r="L4759">
            <v>45147</v>
          </cell>
          <cell r="M4759">
            <v>45148</v>
          </cell>
          <cell r="N4759">
            <v>45159</v>
          </cell>
          <cell r="O4759">
            <v>45148</v>
          </cell>
          <cell r="P4759">
            <v>45160</v>
          </cell>
          <cell r="Q4759">
            <v>45159</v>
          </cell>
          <cell r="R4759">
            <v>45160</v>
          </cell>
          <cell r="S4759">
            <v>45161</v>
          </cell>
          <cell r="T4759">
            <v>45161</v>
          </cell>
          <cell r="U4759">
            <v>45162</v>
          </cell>
          <cell r="V4759">
            <v>45167</v>
          </cell>
          <cell r="W4759">
            <v>45167</v>
          </cell>
          <cell r="X4759">
            <v>41000516</v>
          </cell>
        </row>
        <row r="4760">
          <cell r="K4760" t="str">
            <v>GBWS-3558</v>
          </cell>
          <cell r="L4760">
            <v>45148</v>
          </cell>
          <cell r="M4760">
            <v>45149</v>
          </cell>
          <cell r="N4760">
            <v>45155</v>
          </cell>
          <cell r="O4760">
            <v>45149</v>
          </cell>
          <cell r="P4760">
            <v>45156</v>
          </cell>
          <cell r="Q4760">
            <v>45155</v>
          </cell>
          <cell r="R4760">
            <v>45156</v>
          </cell>
          <cell r="S4760">
            <v>45159</v>
          </cell>
          <cell r="T4760">
            <v>45159</v>
          </cell>
          <cell r="U4760">
            <v>45160</v>
          </cell>
          <cell r="V4760">
            <v>45167</v>
          </cell>
          <cell r="W4760">
            <v>45167</v>
          </cell>
          <cell r="X4760">
            <v>41100686</v>
          </cell>
        </row>
        <row r="4761">
          <cell r="K4761" t="str">
            <v>GBWS-3559</v>
          </cell>
          <cell r="L4761">
            <v>45148</v>
          </cell>
          <cell r="M4761">
            <v>45149</v>
          </cell>
          <cell r="N4761">
            <v>45155</v>
          </cell>
          <cell r="O4761">
            <v>45149</v>
          </cell>
          <cell r="P4761">
            <v>45156</v>
          </cell>
          <cell r="Q4761">
            <v>45155</v>
          </cell>
          <cell r="R4761">
            <v>45156</v>
          </cell>
          <cell r="S4761">
            <v>45159</v>
          </cell>
          <cell r="T4761">
            <v>45159</v>
          </cell>
          <cell r="U4761">
            <v>45160</v>
          </cell>
          <cell r="V4761">
            <v>45167</v>
          </cell>
          <cell r="W4761">
            <v>45167</v>
          </cell>
          <cell r="X4761">
            <v>41100686</v>
          </cell>
        </row>
        <row r="4762">
          <cell r="K4762" t="str">
            <v>GBWS-3552</v>
          </cell>
          <cell r="L4762">
            <v>45147</v>
          </cell>
          <cell r="M4762">
            <v>45148</v>
          </cell>
          <cell r="N4762">
            <v>45159</v>
          </cell>
          <cell r="O4762">
            <v>45148</v>
          </cell>
          <cell r="P4762">
            <v>45160</v>
          </cell>
          <cell r="Q4762">
            <v>45159</v>
          </cell>
          <cell r="R4762">
            <v>45160</v>
          </cell>
          <cell r="S4762">
            <v>45160</v>
          </cell>
          <cell r="T4762">
            <v>45161</v>
          </cell>
          <cell r="U4762">
            <v>45162</v>
          </cell>
          <cell r="V4762">
            <v>45166</v>
          </cell>
          <cell r="W4762">
            <v>45166</v>
          </cell>
          <cell r="X4762">
            <v>41100699</v>
          </cell>
        </row>
        <row r="4763">
          <cell r="K4763" t="str">
            <v>GBWS-3547</v>
          </cell>
          <cell r="L4763">
            <v>45146</v>
          </cell>
          <cell r="M4763">
            <v>45147</v>
          </cell>
          <cell r="N4763">
            <v>45155</v>
          </cell>
          <cell r="O4763">
            <v>45147</v>
          </cell>
          <cell r="P4763">
            <v>45155</v>
          </cell>
          <cell r="Q4763">
            <v>45155</v>
          </cell>
          <cell r="R4763">
            <v>45156</v>
          </cell>
          <cell r="S4763">
            <v>45159</v>
          </cell>
          <cell r="T4763">
            <v>45159</v>
          </cell>
          <cell r="U4763">
            <v>45160</v>
          </cell>
          <cell r="V4763">
            <v>45163</v>
          </cell>
          <cell r="W4763">
            <v>45163</v>
          </cell>
          <cell r="X4763">
            <v>41100564</v>
          </cell>
        </row>
        <row r="4764">
          <cell r="K4764" t="str">
            <v>GBWS-3548</v>
          </cell>
          <cell r="L4764">
            <v>45146</v>
          </cell>
          <cell r="M4764">
            <v>45147</v>
          </cell>
          <cell r="N4764">
            <v>45155</v>
          </cell>
          <cell r="O4764">
            <v>45147</v>
          </cell>
          <cell r="P4764">
            <v>45155</v>
          </cell>
          <cell r="Q4764">
            <v>45155</v>
          </cell>
          <cell r="R4764">
            <v>45156</v>
          </cell>
          <cell r="S4764">
            <v>45159</v>
          </cell>
          <cell r="T4764">
            <v>45159</v>
          </cell>
          <cell r="U4764">
            <v>45162</v>
          </cell>
          <cell r="V4764">
            <v>45163</v>
          </cell>
          <cell r="W4764">
            <v>45163</v>
          </cell>
          <cell r="X4764">
            <v>41100564</v>
          </cell>
        </row>
        <row r="4765">
          <cell r="K4765" t="str">
            <v>GBWS-3549</v>
          </cell>
          <cell r="L4765">
            <v>45146</v>
          </cell>
          <cell r="M4765">
            <v>45147</v>
          </cell>
          <cell r="N4765">
            <v>45155</v>
          </cell>
          <cell r="O4765">
            <v>45147</v>
          </cell>
          <cell r="P4765">
            <v>45155</v>
          </cell>
          <cell r="Q4765">
            <v>45155</v>
          </cell>
          <cell r="R4765">
            <v>45156</v>
          </cell>
          <cell r="S4765">
            <v>45159</v>
          </cell>
          <cell r="T4765">
            <v>45159</v>
          </cell>
          <cell r="U4765">
            <v>45161</v>
          </cell>
          <cell r="V4765">
            <v>45163</v>
          </cell>
          <cell r="W4765">
            <v>45163</v>
          </cell>
          <cell r="X4765">
            <v>41100564</v>
          </cell>
        </row>
        <row r="4766">
          <cell r="K4766" t="str">
            <v>GBWS-3550</v>
          </cell>
          <cell r="L4766">
            <v>45146</v>
          </cell>
          <cell r="M4766">
            <v>45147</v>
          </cell>
          <cell r="N4766">
            <v>45155</v>
          </cell>
          <cell r="O4766">
            <v>45147</v>
          </cell>
          <cell r="P4766">
            <v>45155</v>
          </cell>
          <cell r="Q4766">
            <v>45155</v>
          </cell>
          <cell r="R4766">
            <v>45156</v>
          </cell>
          <cell r="S4766">
            <v>45159</v>
          </cell>
          <cell r="T4766">
            <v>45159</v>
          </cell>
          <cell r="U4766">
            <v>45160</v>
          </cell>
          <cell r="V4766">
            <v>45163</v>
          </cell>
          <cell r="W4766">
            <v>45163</v>
          </cell>
          <cell r="X4766">
            <v>41100564</v>
          </cell>
        </row>
        <row r="4767">
          <cell r="K4767" t="str">
            <v>GBWS-3563</v>
          </cell>
          <cell r="L4767">
            <v>45152</v>
          </cell>
          <cell r="M4767">
            <v>45154</v>
          </cell>
          <cell r="N4767">
            <v>45163</v>
          </cell>
          <cell r="O4767">
            <v>45154</v>
          </cell>
          <cell r="P4767">
            <v>45162</v>
          </cell>
          <cell r="Q4767">
            <v>45163</v>
          </cell>
          <cell r="R4767">
            <v>45166</v>
          </cell>
          <cell r="S4767">
            <v>45166</v>
          </cell>
          <cell r="T4767">
            <v>45166</v>
          </cell>
          <cell r="U4767">
            <v>45167</v>
          </cell>
          <cell r="V4767">
            <v>45169</v>
          </cell>
          <cell r="W4767">
            <v>45169</v>
          </cell>
          <cell r="X4767">
            <v>41100564</v>
          </cell>
        </row>
        <row r="4768">
          <cell r="K4768" t="str">
            <v>GBWS-3564</v>
          </cell>
          <cell r="L4768">
            <v>45152</v>
          </cell>
          <cell r="M4768">
            <v>45154</v>
          </cell>
          <cell r="N4768">
            <v>45163</v>
          </cell>
          <cell r="O4768">
            <v>45154</v>
          </cell>
          <cell r="P4768">
            <v>45162</v>
          </cell>
          <cell r="Q4768">
            <v>45163</v>
          </cell>
          <cell r="R4768">
            <v>45166</v>
          </cell>
          <cell r="S4768">
            <v>45166</v>
          </cell>
          <cell r="T4768">
            <v>45166</v>
          </cell>
          <cell r="U4768">
            <v>45167</v>
          </cell>
          <cell r="V4768">
            <v>45169</v>
          </cell>
          <cell r="W4768">
            <v>45169</v>
          </cell>
          <cell r="X4768">
            <v>41100564</v>
          </cell>
        </row>
        <row r="4769">
          <cell r="K4769" t="str">
            <v>GBWS-3565</v>
          </cell>
          <cell r="L4769">
            <v>45152</v>
          </cell>
          <cell r="M4769">
            <v>45154</v>
          </cell>
          <cell r="N4769">
            <v>45163</v>
          </cell>
          <cell r="O4769">
            <v>45154</v>
          </cell>
          <cell r="P4769">
            <v>45162</v>
          </cell>
          <cell r="Q4769">
            <v>45163</v>
          </cell>
          <cell r="R4769">
            <v>45166</v>
          </cell>
          <cell r="S4769">
            <v>45166</v>
          </cell>
          <cell r="T4769">
            <v>45166</v>
          </cell>
          <cell r="U4769">
            <v>45168</v>
          </cell>
          <cell r="V4769">
            <v>45169</v>
          </cell>
          <cell r="W4769">
            <v>45169</v>
          </cell>
          <cell r="X4769">
            <v>41100564</v>
          </cell>
        </row>
        <row r="4770">
          <cell r="K4770" t="str">
            <v>GBWS-3566</v>
          </cell>
          <cell r="L4770">
            <v>45152</v>
          </cell>
          <cell r="M4770">
            <v>45154</v>
          </cell>
          <cell r="N4770">
            <v>45163</v>
          </cell>
          <cell r="O4770">
            <v>45154</v>
          </cell>
          <cell r="P4770">
            <v>45162</v>
          </cell>
          <cell r="Q4770">
            <v>45163</v>
          </cell>
          <cell r="R4770">
            <v>45166</v>
          </cell>
          <cell r="S4770">
            <v>45166</v>
          </cell>
          <cell r="T4770">
            <v>45166</v>
          </cell>
          <cell r="U4770">
            <v>45168</v>
          </cell>
          <cell r="V4770">
            <v>45169</v>
          </cell>
          <cell r="W4770">
            <v>45169</v>
          </cell>
          <cell r="X4770">
            <v>41100564</v>
          </cell>
        </row>
        <row r="4771">
          <cell r="K4771" t="str">
            <v>GBWS-3545</v>
          </cell>
          <cell r="L4771">
            <v>45146</v>
          </cell>
          <cell r="M4771">
            <v>45147</v>
          </cell>
          <cell r="N4771">
            <v>45155</v>
          </cell>
          <cell r="O4771">
            <v>45147</v>
          </cell>
          <cell r="P4771">
            <v>45159</v>
          </cell>
          <cell r="Q4771">
            <v>45156</v>
          </cell>
          <cell r="R4771">
            <v>45159</v>
          </cell>
          <cell r="S4771">
            <v>45160</v>
          </cell>
          <cell r="T4771">
            <v>45160</v>
          </cell>
          <cell r="U4771">
            <v>45161</v>
          </cell>
          <cell r="V4771">
            <v>45163</v>
          </cell>
          <cell r="W4771">
            <v>45163</v>
          </cell>
          <cell r="X4771">
            <v>41100662</v>
          </cell>
        </row>
        <row r="4772">
          <cell r="K4772" t="str">
            <v>GBWS-3546</v>
          </cell>
          <cell r="L4772">
            <v>45146</v>
          </cell>
          <cell r="M4772">
            <v>45147</v>
          </cell>
          <cell r="N4772">
            <v>45155</v>
          </cell>
          <cell r="O4772">
            <v>45147</v>
          </cell>
          <cell r="P4772">
            <v>45159</v>
          </cell>
          <cell r="Q4772">
            <v>45156</v>
          </cell>
          <cell r="R4772">
            <v>45159</v>
          </cell>
          <cell r="S4772">
            <v>45160</v>
          </cell>
          <cell r="T4772">
            <v>45162</v>
          </cell>
          <cell r="U4772">
            <v>45163</v>
          </cell>
          <cell r="V4772">
            <v>45166</v>
          </cell>
          <cell r="W4772">
            <v>45166</v>
          </cell>
          <cell r="X4772">
            <v>41100662</v>
          </cell>
        </row>
        <row r="4773">
          <cell r="K4773" t="str">
            <v>GBWS-3571</v>
          </cell>
          <cell r="L4773">
            <v>45155</v>
          </cell>
          <cell r="M4773">
            <v>45156</v>
          </cell>
          <cell r="N4773">
            <v>45166</v>
          </cell>
          <cell r="O4773">
            <v>45156</v>
          </cell>
          <cell r="P4773">
            <v>45167</v>
          </cell>
          <cell r="Q4773">
            <v>45166</v>
          </cell>
          <cell r="R4773">
            <v>45167</v>
          </cell>
          <cell r="S4773">
            <v>45168</v>
          </cell>
          <cell r="T4773">
            <v>45168</v>
          </cell>
          <cell r="U4773">
            <v>45169</v>
          </cell>
          <cell r="V4773">
            <v>45170</v>
          </cell>
          <cell r="W4773">
            <v>45170</v>
          </cell>
          <cell r="X4773">
            <v>41100662</v>
          </cell>
        </row>
        <row r="4774">
          <cell r="K4774" t="str">
            <v>GBWS-2802</v>
          </cell>
          <cell r="L4774">
            <v>44805</v>
          </cell>
          <cell r="M4774">
            <v>44806</v>
          </cell>
          <cell r="N4774">
            <v>44818</v>
          </cell>
          <cell r="O4774">
            <v>44806</v>
          </cell>
          <cell r="P4774">
            <v>44817</v>
          </cell>
          <cell r="Q4774">
            <v>44820</v>
          </cell>
          <cell r="R4774">
            <v>44820</v>
          </cell>
          <cell r="S4774"/>
          <cell r="T4774">
            <v>44820</v>
          </cell>
          <cell r="U4774">
            <v>44826</v>
          </cell>
          <cell r="V4774">
            <v>44827</v>
          </cell>
          <cell r="W4774">
            <v>44827</v>
          </cell>
          <cell r="X4774">
            <v>41100363</v>
          </cell>
        </row>
        <row r="4775">
          <cell r="K4775" t="str">
            <v>GBWS-3132</v>
          </cell>
          <cell r="L4775">
            <v>44931</v>
          </cell>
          <cell r="M4775">
            <v>44932</v>
          </cell>
          <cell r="N4775">
            <v>44942</v>
          </cell>
          <cell r="O4775">
            <v>44932</v>
          </cell>
          <cell r="P4775">
            <v>44942</v>
          </cell>
          <cell r="Q4775">
            <v>44942</v>
          </cell>
          <cell r="R4775">
            <v>44942</v>
          </cell>
          <cell r="S4775"/>
          <cell r="T4775">
            <v>44942</v>
          </cell>
          <cell r="U4775">
            <v>44943</v>
          </cell>
          <cell r="V4775">
            <v>44944</v>
          </cell>
          <cell r="W4775">
            <v>44944</v>
          </cell>
          <cell r="X4775">
            <v>41100363</v>
          </cell>
        </row>
        <row r="4776">
          <cell r="K4776" t="str">
            <v>GBWS-3056</v>
          </cell>
          <cell r="L4776">
            <v>44893</v>
          </cell>
          <cell r="M4776">
            <v>44894</v>
          </cell>
          <cell r="N4776">
            <v>44908</v>
          </cell>
          <cell r="O4776">
            <v>44894</v>
          </cell>
          <cell r="P4776">
            <v>44907</v>
          </cell>
          <cell r="Q4776">
            <v>44904</v>
          </cell>
          <cell r="R4776">
            <v>44904</v>
          </cell>
          <cell r="S4776">
            <v>44908</v>
          </cell>
          <cell r="T4776">
            <v>44909</v>
          </cell>
          <cell r="U4776">
            <v>44909</v>
          </cell>
          <cell r="V4776">
            <v>44910</v>
          </cell>
          <cell r="W4776">
            <v>44910</v>
          </cell>
          <cell r="X4776">
            <v>41100350</v>
          </cell>
        </row>
        <row r="4777">
          <cell r="K4777"/>
          <cell r="L4777">
            <v>45154</v>
          </cell>
          <cell r="M4777">
            <v>45155</v>
          </cell>
          <cell r="N4777">
            <v>45160</v>
          </cell>
          <cell r="O4777">
            <v>45155</v>
          </cell>
          <cell r="P4777">
            <v>45160</v>
          </cell>
          <cell r="Q4777">
            <v>45159</v>
          </cell>
          <cell r="R4777">
            <v>45159</v>
          </cell>
          <cell r="S4777">
            <v>45161</v>
          </cell>
          <cell r="T4777">
            <v>45161</v>
          </cell>
          <cell r="U4777">
            <v>45166</v>
          </cell>
          <cell r="V4777">
            <v>45166</v>
          </cell>
          <cell r="W4777">
            <v>45166</v>
          </cell>
          <cell r="X4777"/>
        </row>
        <row r="4778">
          <cell r="K4778" t="str">
            <v>IVAS-227</v>
          </cell>
          <cell r="L4778">
            <v>45145</v>
          </cell>
          <cell r="M4778">
            <v>45146</v>
          </cell>
          <cell r="N4778">
            <v>45155</v>
          </cell>
          <cell r="O4778">
            <v>45146</v>
          </cell>
          <cell r="P4778">
            <v>45160</v>
          </cell>
          <cell r="Q4778">
            <v>45155</v>
          </cell>
          <cell r="R4778" t="str">
            <v>2023-08-18 → 8/21 → 8/22</v>
          </cell>
          <cell r="S4778">
            <v>45159</v>
          </cell>
          <cell r="T4778">
            <v>45160</v>
          </cell>
          <cell r="U4778">
            <v>45167</v>
          </cell>
          <cell r="V4778">
            <v>45176</v>
          </cell>
          <cell r="W4778">
            <v>45176</v>
          </cell>
          <cell r="X4778">
            <v>41100414</v>
          </cell>
        </row>
        <row r="4779">
          <cell r="K4779"/>
          <cell r="L4779">
            <v>45155</v>
          </cell>
          <cell r="M4779">
            <v>45155</v>
          </cell>
          <cell r="N4779">
            <v>45163</v>
          </cell>
          <cell r="O4779">
            <v>45155</v>
          </cell>
          <cell r="P4779">
            <v>45167</v>
          </cell>
          <cell r="Q4779">
            <v>45166</v>
          </cell>
          <cell r="R4779">
            <v>45167</v>
          </cell>
          <cell r="S4779">
            <v>45169</v>
          </cell>
          <cell r="T4779">
            <v>45169</v>
          </cell>
          <cell r="U4779">
            <v>45169</v>
          </cell>
          <cell r="V4779">
            <v>45170</v>
          </cell>
          <cell r="W4779">
            <v>45170</v>
          </cell>
          <cell r="X4779">
            <v>31102257</v>
          </cell>
        </row>
        <row r="4780">
          <cell r="K4780"/>
          <cell r="L4780">
            <v>45155</v>
          </cell>
          <cell r="M4780">
            <v>45155</v>
          </cell>
          <cell r="N4780">
            <v>45163</v>
          </cell>
          <cell r="O4780">
            <v>45155</v>
          </cell>
          <cell r="P4780">
            <v>45167</v>
          </cell>
          <cell r="Q4780">
            <v>45166</v>
          </cell>
          <cell r="R4780">
            <v>45167</v>
          </cell>
          <cell r="S4780">
            <v>45169</v>
          </cell>
          <cell r="T4780">
            <v>45169</v>
          </cell>
          <cell r="U4780">
            <v>45169</v>
          </cell>
          <cell r="V4780">
            <v>45170</v>
          </cell>
          <cell r="W4780">
            <v>45170</v>
          </cell>
          <cell r="X4780">
            <v>31102289</v>
          </cell>
        </row>
        <row r="4781">
          <cell r="K4781"/>
          <cell r="L4781">
            <v>45155</v>
          </cell>
          <cell r="M4781">
            <v>45155</v>
          </cell>
          <cell r="N4781">
            <v>45163</v>
          </cell>
          <cell r="O4781">
            <v>45155</v>
          </cell>
          <cell r="P4781">
            <v>45167</v>
          </cell>
          <cell r="Q4781">
            <v>45166</v>
          </cell>
          <cell r="R4781">
            <v>45167</v>
          </cell>
          <cell r="S4781">
            <v>45169</v>
          </cell>
          <cell r="T4781">
            <v>45169</v>
          </cell>
          <cell r="U4781">
            <v>45169</v>
          </cell>
          <cell r="V4781">
            <v>45170</v>
          </cell>
          <cell r="W4781">
            <v>45170</v>
          </cell>
          <cell r="X4781">
            <v>31102291</v>
          </cell>
        </row>
        <row r="4782">
          <cell r="K4782"/>
          <cell r="L4782">
            <v>45155</v>
          </cell>
          <cell r="M4782">
            <v>45155</v>
          </cell>
          <cell r="N4782">
            <v>45163</v>
          </cell>
          <cell r="O4782">
            <v>45155</v>
          </cell>
          <cell r="P4782">
            <v>45167</v>
          </cell>
          <cell r="Q4782">
            <v>45166</v>
          </cell>
          <cell r="R4782">
            <v>45167</v>
          </cell>
          <cell r="S4782">
            <v>45169</v>
          </cell>
          <cell r="T4782">
            <v>45169</v>
          </cell>
          <cell r="U4782">
            <v>45169</v>
          </cell>
          <cell r="V4782">
            <v>45170</v>
          </cell>
          <cell r="W4782">
            <v>45170</v>
          </cell>
          <cell r="X4782">
            <v>31102829</v>
          </cell>
        </row>
        <row r="4783">
          <cell r="K4783"/>
          <cell r="L4783">
            <v>45155</v>
          </cell>
          <cell r="M4783">
            <v>45155</v>
          </cell>
          <cell r="N4783">
            <v>45163</v>
          </cell>
          <cell r="O4783">
            <v>45155</v>
          </cell>
          <cell r="P4783">
            <v>45167</v>
          </cell>
          <cell r="Q4783">
            <v>45166</v>
          </cell>
          <cell r="R4783">
            <v>45167</v>
          </cell>
          <cell r="S4783">
            <v>45169</v>
          </cell>
          <cell r="T4783">
            <v>45169</v>
          </cell>
          <cell r="U4783">
            <v>45169</v>
          </cell>
          <cell r="V4783">
            <v>45170</v>
          </cell>
          <cell r="W4783">
            <v>45170</v>
          </cell>
          <cell r="X4783">
            <v>31102831</v>
          </cell>
        </row>
        <row r="4784">
          <cell r="K4784"/>
          <cell r="L4784">
            <v>45159</v>
          </cell>
          <cell r="M4784">
            <v>45159</v>
          </cell>
          <cell r="N4784">
            <v>45166</v>
          </cell>
          <cell r="O4784">
            <v>45159</v>
          </cell>
          <cell r="P4784">
            <v>45168</v>
          </cell>
          <cell r="Q4784">
            <v>45168</v>
          </cell>
          <cell r="R4784">
            <v>45169</v>
          </cell>
          <cell r="S4784">
            <v>45177</v>
          </cell>
          <cell r="T4784">
            <v>45177</v>
          </cell>
          <cell r="U4784">
            <v>45177</v>
          </cell>
          <cell r="V4784">
            <v>45177</v>
          </cell>
          <cell r="W4784">
            <v>45177</v>
          </cell>
          <cell r="X4784">
            <v>31102253</v>
          </cell>
        </row>
        <row r="4785">
          <cell r="K4785"/>
          <cell r="L4785">
            <v>45159</v>
          </cell>
          <cell r="M4785">
            <v>45159</v>
          </cell>
          <cell r="N4785">
            <v>45166</v>
          </cell>
          <cell r="O4785">
            <v>45159</v>
          </cell>
          <cell r="P4785">
            <v>45168</v>
          </cell>
          <cell r="Q4785">
            <v>45168</v>
          </cell>
          <cell r="R4785">
            <v>45169</v>
          </cell>
          <cell r="S4785">
            <v>45177</v>
          </cell>
          <cell r="T4785">
            <v>45177</v>
          </cell>
          <cell r="U4785">
            <v>45177</v>
          </cell>
          <cell r="V4785">
            <v>45177</v>
          </cell>
          <cell r="W4785">
            <v>45177</v>
          </cell>
          <cell r="X4785">
            <v>31102257</v>
          </cell>
        </row>
        <row r="4786">
          <cell r="K4786"/>
          <cell r="L4786">
            <v>45160</v>
          </cell>
          <cell r="M4786">
            <v>45160</v>
          </cell>
          <cell r="N4786">
            <v>45166</v>
          </cell>
          <cell r="O4786">
            <v>45160</v>
          </cell>
          <cell r="P4786">
            <v>45168</v>
          </cell>
          <cell r="Q4786">
            <v>45167</v>
          </cell>
          <cell r="R4786">
            <v>45168</v>
          </cell>
          <cell r="S4786">
            <v>45174</v>
          </cell>
          <cell r="T4786">
            <v>45174</v>
          </cell>
          <cell r="U4786">
            <v>45174</v>
          </cell>
          <cell r="V4786">
            <v>45174</v>
          </cell>
          <cell r="W4786">
            <v>45174</v>
          </cell>
          <cell r="X4786">
            <v>31101694</v>
          </cell>
        </row>
        <row r="4787">
          <cell r="K4787"/>
          <cell r="L4787">
            <v>45160</v>
          </cell>
          <cell r="M4787">
            <v>45160</v>
          </cell>
          <cell r="N4787">
            <v>45166</v>
          </cell>
          <cell r="O4787">
            <v>45160</v>
          </cell>
          <cell r="P4787">
            <v>45168</v>
          </cell>
          <cell r="Q4787">
            <v>45167</v>
          </cell>
          <cell r="R4787">
            <v>45168</v>
          </cell>
          <cell r="S4787">
            <v>45174</v>
          </cell>
          <cell r="T4787">
            <v>45174</v>
          </cell>
          <cell r="U4787">
            <v>45174</v>
          </cell>
          <cell r="V4787">
            <v>45174</v>
          </cell>
          <cell r="W4787">
            <v>45174</v>
          </cell>
          <cell r="X4787">
            <v>31102834</v>
          </cell>
        </row>
        <row r="4788">
          <cell r="K4788"/>
          <cell r="L4788">
            <v>45166</v>
          </cell>
          <cell r="M4788" t="str">
            <v>2023-09-05 → 8/29</v>
          </cell>
          <cell r="N4788">
            <v>45176</v>
          </cell>
          <cell r="O4788" t="str">
            <v>2023-09-05 → 8/29</v>
          </cell>
          <cell r="P4788">
            <v>45180</v>
          </cell>
          <cell r="Q4788" t="str">
            <v>2023-09-14 → 9/8</v>
          </cell>
          <cell r="R4788" t="str">
            <v>2023-09-15 → 9/11</v>
          </cell>
          <cell r="S4788">
            <v>45177</v>
          </cell>
          <cell r="T4788">
            <v>45181</v>
          </cell>
          <cell r="U4788">
            <v>45181</v>
          </cell>
          <cell r="V4788">
            <v>45181</v>
          </cell>
          <cell r="W4788">
            <v>45181</v>
          </cell>
          <cell r="X4788">
            <v>31102257</v>
          </cell>
        </row>
        <row r="4789">
          <cell r="K4789"/>
          <cell r="L4789">
            <v>45166</v>
          </cell>
          <cell r="M4789" t="str">
            <v>2023-09-05 → 8/29</v>
          </cell>
          <cell r="N4789">
            <v>45176</v>
          </cell>
          <cell r="O4789" t="str">
            <v>2023-09-05 → 8/29</v>
          </cell>
          <cell r="P4789">
            <v>45180</v>
          </cell>
          <cell r="Q4789" t="str">
            <v>2023-09-14 → 9/8</v>
          </cell>
          <cell r="R4789" t="str">
            <v>2023-09-15 → 9/11</v>
          </cell>
          <cell r="S4789">
            <v>45177</v>
          </cell>
          <cell r="T4789">
            <v>45181</v>
          </cell>
          <cell r="U4789">
            <v>45181</v>
          </cell>
          <cell r="V4789">
            <v>45181</v>
          </cell>
          <cell r="W4789">
            <v>45181</v>
          </cell>
          <cell r="X4789">
            <v>31102289</v>
          </cell>
        </row>
        <row r="4790">
          <cell r="K4790" t="str">
            <v>GBWS-3561</v>
          </cell>
          <cell r="L4790">
            <v>45149</v>
          </cell>
          <cell r="M4790">
            <v>45152</v>
          </cell>
          <cell r="N4790">
            <v>45160</v>
          </cell>
          <cell r="O4790">
            <v>45152</v>
          </cell>
          <cell r="P4790">
            <v>45161</v>
          </cell>
          <cell r="Q4790">
            <v>45160</v>
          </cell>
          <cell r="R4790">
            <v>45161</v>
          </cell>
          <cell r="S4790">
            <v>45162</v>
          </cell>
          <cell r="T4790">
            <v>45162</v>
          </cell>
          <cell r="U4790">
            <v>45166</v>
          </cell>
          <cell r="V4790">
            <v>45167</v>
          </cell>
          <cell r="W4790">
            <v>45167</v>
          </cell>
          <cell r="X4790">
            <v>41100535</v>
          </cell>
        </row>
        <row r="4791">
          <cell r="K4791" t="str">
            <v>GPWS-0282</v>
          </cell>
          <cell r="L4791">
            <v>45156</v>
          </cell>
          <cell r="M4791">
            <v>45159</v>
          </cell>
          <cell r="N4791">
            <v>45166</v>
          </cell>
          <cell r="O4791">
            <v>45159</v>
          </cell>
          <cell r="P4791">
            <v>45169</v>
          </cell>
          <cell r="Q4791">
            <v>45168</v>
          </cell>
          <cell r="R4791">
            <v>45169</v>
          </cell>
          <cell r="S4791">
            <v>45170</v>
          </cell>
          <cell r="T4791">
            <v>45169</v>
          </cell>
          <cell r="U4791">
            <v>45175</v>
          </cell>
          <cell r="V4791">
            <v>45180</v>
          </cell>
          <cell r="W4791">
            <v>45180</v>
          </cell>
          <cell r="X4791">
            <v>41100487</v>
          </cell>
        </row>
        <row r="4792">
          <cell r="K4792" t="str">
            <v>GPWS-0283</v>
          </cell>
          <cell r="L4792">
            <v>45156</v>
          </cell>
          <cell r="M4792">
            <v>45159</v>
          </cell>
          <cell r="N4792">
            <v>45166</v>
          </cell>
          <cell r="O4792">
            <v>45159</v>
          </cell>
          <cell r="P4792">
            <v>45169</v>
          </cell>
          <cell r="Q4792">
            <v>45168</v>
          </cell>
          <cell r="R4792">
            <v>45169</v>
          </cell>
          <cell r="S4792">
            <v>45170</v>
          </cell>
          <cell r="T4792">
            <v>45173</v>
          </cell>
          <cell r="U4792">
            <v>45174</v>
          </cell>
          <cell r="V4792">
            <v>45180</v>
          </cell>
          <cell r="W4792">
            <v>45180</v>
          </cell>
          <cell r="X4792">
            <v>41100487</v>
          </cell>
        </row>
        <row r="4793">
          <cell r="K4793" t="str">
            <v>GPWS-0284</v>
          </cell>
          <cell r="L4793">
            <v>45156</v>
          </cell>
          <cell r="M4793">
            <v>45159</v>
          </cell>
          <cell r="N4793">
            <v>45166</v>
          </cell>
          <cell r="O4793">
            <v>45159</v>
          </cell>
          <cell r="P4793">
            <v>45169</v>
          </cell>
          <cell r="Q4793">
            <v>45168</v>
          </cell>
          <cell r="R4793">
            <v>45169</v>
          </cell>
          <cell r="S4793">
            <v>45170</v>
          </cell>
          <cell r="T4793">
            <v>45170</v>
          </cell>
          <cell r="U4793">
            <v>45174</v>
          </cell>
          <cell r="V4793">
            <v>45180</v>
          </cell>
          <cell r="W4793">
            <v>45180</v>
          </cell>
          <cell r="X4793">
            <v>41100487</v>
          </cell>
        </row>
        <row r="4794">
          <cell r="K4794" t="str">
            <v>GPWS-0285</v>
          </cell>
          <cell r="L4794">
            <v>45156</v>
          </cell>
          <cell r="M4794">
            <v>45159</v>
          </cell>
          <cell r="N4794">
            <v>45166</v>
          </cell>
          <cell r="O4794">
            <v>45159</v>
          </cell>
          <cell r="P4794">
            <v>45169</v>
          </cell>
          <cell r="Q4794">
            <v>45168</v>
          </cell>
          <cell r="R4794">
            <v>45169</v>
          </cell>
          <cell r="S4794">
            <v>45170</v>
          </cell>
          <cell r="T4794">
            <v>45170</v>
          </cell>
          <cell r="U4794">
            <v>45174</v>
          </cell>
          <cell r="V4794">
            <v>45180</v>
          </cell>
          <cell r="W4794">
            <v>45180</v>
          </cell>
          <cell r="X4794">
            <v>41100487</v>
          </cell>
        </row>
        <row r="4795">
          <cell r="K4795" t="str">
            <v>GPWS-0286</v>
          </cell>
          <cell r="L4795">
            <v>45156</v>
          </cell>
          <cell r="M4795">
            <v>45159</v>
          </cell>
          <cell r="N4795">
            <v>45166</v>
          </cell>
          <cell r="O4795">
            <v>45159</v>
          </cell>
          <cell r="P4795">
            <v>45169</v>
          </cell>
          <cell r="Q4795">
            <v>45168</v>
          </cell>
          <cell r="R4795">
            <v>45169</v>
          </cell>
          <cell r="S4795">
            <v>45170</v>
          </cell>
          <cell r="T4795">
            <v>45170</v>
          </cell>
          <cell r="U4795">
            <v>45176</v>
          </cell>
          <cell r="V4795">
            <v>45180</v>
          </cell>
          <cell r="W4795">
            <v>45180</v>
          </cell>
          <cell r="X4795">
            <v>41100487</v>
          </cell>
        </row>
        <row r="4796">
          <cell r="K4796" t="str">
            <v>GPWS-0287</v>
          </cell>
          <cell r="L4796">
            <v>45156</v>
          </cell>
          <cell r="M4796">
            <v>45159</v>
          </cell>
          <cell r="N4796">
            <v>45166</v>
          </cell>
          <cell r="O4796">
            <v>45159</v>
          </cell>
          <cell r="P4796">
            <v>45169</v>
          </cell>
          <cell r="Q4796">
            <v>45168</v>
          </cell>
          <cell r="R4796">
            <v>45169</v>
          </cell>
          <cell r="S4796">
            <v>45170</v>
          </cell>
          <cell r="T4796">
            <v>45169</v>
          </cell>
          <cell r="U4796">
            <v>45174</v>
          </cell>
          <cell r="V4796">
            <v>45180</v>
          </cell>
          <cell r="W4796">
            <v>45180</v>
          </cell>
          <cell r="X4796">
            <v>41100487</v>
          </cell>
        </row>
        <row r="4797">
          <cell r="K4797" t="str">
            <v>GPWS-0288</v>
          </cell>
          <cell r="L4797">
            <v>45156</v>
          </cell>
          <cell r="M4797">
            <v>45159</v>
          </cell>
          <cell r="N4797">
            <v>45166</v>
          </cell>
          <cell r="O4797">
            <v>45159</v>
          </cell>
          <cell r="P4797">
            <v>45169</v>
          </cell>
          <cell r="Q4797">
            <v>45168</v>
          </cell>
          <cell r="R4797">
            <v>45169</v>
          </cell>
          <cell r="S4797">
            <v>45170</v>
          </cell>
          <cell r="T4797">
            <v>45170</v>
          </cell>
          <cell r="U4797">
            <v>45175</v>
          </cell>
          <cell r="V4797">
            <v>45180</v>
          </cell>
          <cell r="W4797">
            <v>45180</v>
          </cell>
          <cell r="X4797">
            <v>41100487</v>
          </cell>
        </row>
        <row r="4798">
          <cell r="K4798" t="str">
            <v>GPWS-0289</v>
          </cell>
          <cell r="L4798">
            <v>45156</v>
          </cell>
          <cell r="M4798">
            <v>45159</v>
          </cell>
          <cell r="N4798">
            <v>45166</v>
          </cell>
          <cell r="O4798">
            <v>45159</v>
          </cell>
          <cell r="P4798">
            <v>45169</v>
          </cell>
          <cell r="Q4798">
            <v>45168</v>
          </cell>
          <cell r="R4798">
            <v>45169</v>
          </cell>
          <cell r="S4798">
            <v>45170</v>
          </cell>
          <cell r="T4798">
            <v>45173</v>
          </cell>
          <cell r="U4798">
            <v>45175</v>
          </cell>
          <cell r="V4798">
            <v>45180</v>
          </cell>
          <cell r="W4798">
            <v>45180</v>
          </cell>
          <cell r="X4798">
            <v>41100487</v>
          </cell>
        </row>
        <row r="4799">
          <cell r="K4799" t="str">
            <v>GBWS-3580</v>
          </cell>
          <cell r="L4799">
            <v>45161</v>
          </cell>
          <cell r="M4799">
            <v>45162</v>
          </cell>
          <cell r="N4799">
            <v>45168</v>
          </cell>
          <cell r="O4799">
            <v>45162</v>
          </cell>
          <cell r="P4799">
            <v>45173</v>
          </cell>
          <cell r="Q4799">
            <v>45170</v>
          </cell>
          <cell r="R4799">
            <v>45173</v>
          </cell>
          <cell r="S4799">
            <v>45174</v>
          </cell>
          <cell r="T4799">
            <v>45174</v>
          </cell>
          <cell r="U4799">
            <v>45176</v>
          </cell>
          <cell r="V4799">
            <v>45180</v>
          </cell>
          <cell r="W4799">
            <v>45180</v>
          </cell>
          <cell r="X4799">
            <v>41100559</v>
          </cell>
        </row>
        <row r="4800">
          <cell r="K4800" t="str">
            <v>GBWS-3574</v>
          </cell>
          <cell r="L4800">
            <v>45159</v>
          </cell>
          <cell r="M4800">
            <v>45160</v>
          </cell>
          <cell r="N4800">
            <v>45169</v>
          </cell>
          <cell r="O4800">
            <v>45160</v>
          </cell>
          <cell r="P4800">
            <v>45169</v>
          </cell>
          <cell r="Q4800">
            <v>45170</v>
          </cell>
          <cell r="R4800">
            <v>45173</v>
          </cell>
          <cell r="S4800">
            <v>45173</v>
          </cell>
          <cell r="T4800">
            <v>45173</v>
          </cell>
          <cell r="U4800">
            <v>45175</v>
          </cell>
          <cell r="V4800">
            <v>45180</v>
          </cell>
          <cell r="W4800">
            <v>45180</v>
          </cell>
          <cell r="X4800">
            <v>41100565</v>
          </cell>
        </row>
        <row r="4801">
          <cell r="K4801" t="str">
            <v>GBWS-3567</v>
          </cell>
          <cell r="L4801">
            <v>45154</v>
          </cell>
          <cell r="M4801">
            <v>45155</v>
          </cell>
          <cell r="N4801">
            <v>45166</v>
          </cell>
          <cell r="O4801">
            <v>45155</v>
          </cell>
          <cell r="P4801">
            <v>45166</v>
          </cell>
          <cell r="Q4801">
            <v>45166</v>
          </cell>
          <cell r="R4801">
            <v>45167</v>
          </cell>
          <cell r="S4801">
            <v>45167</v>
          </cell>
          <cell r="T4801">
            <v>45167</v>
          </cell>
          <cell r="U4801">
            <v>45168</v>
          </cell>
          <cell r="V4801">
            <v>45169</v>
          </cell>
          <cell r="W4801">
            <v>45169</v>
          </cell>
          <cell r="X4801">
            <v>41100566</v>
          </cell>
        </row>
        <row r="4802">
          <cell r="K4802" t="str">
            <v>GBWS-3568</v>
          </cell>
          <cell r="L4802">
            <v>45154</v>
          </cell>
          <cell r="M4802">
            <v>45155</v>
          </cell>
          <cell r="N4802">
            <v>45166</v>
          </cell>
          <cell r="O4802">
            <v>45155</v>
          </cell>
          <cell r="P4802">
            <v>45166</v>
          </cell>
          <cell r="Q4802">
            <v>45166</v>
          </cell>
          <cell r="R4802">
            <v>45167</v>
          </cell>
          <cell r="S4802">
            <v>45167</v>
          </cell>
          <cell r="T4802">
            <v>45167</v>
          </cell>
          <cell r="U4802">
            <v>45168</v>
          </cell>
          <cell r="V4802">
            <v>45170</v>
          </cell>
          <cell r="W4802">
            <v>45170</v>
          </cell>
          <cell r="X4802">
            <v>41100566</v>
          </cell>
        </row>
        <row r="4803">
          <cell r="K4803" t="str">
            <v>GBWS-3569</v>
          </cell>
          <cell r="L4803">
            <v>45154</v>
          </cell>
          <cell r="M4803">
            <v>45155</v>
          </cell>
          <cell r="N4803">
            <v>45166</v>
          </cell>
          <cell r="O4803">
            <v>45155</v>
          </cell>
          <cell r="P4803">
            <v>45166</v>
          </cell>
          <cell r="Q4803">
            <v>45166</v>
          </cell>
          <cell r="R4803">
            <v>45167</v>
          </cell>
          <cell r="S4803">
            <v>45167</v>
          </cell>
          <cell r="T4803">
            <v>45169</v>
          </cell>
          <cell r="U4803">
            <v>45170</v>
          </cell>
          <cell r="V4803">
            <v>45173</v>
          </cell>
          <cell r="W4803">
            <v>45173</v>
          </cell>
          <cell r="X4803">
            <v>41100566</v>
          </cell>
        </row>
        <row r="4804">
          <cell r="K4804" t="str">
            <v>GBWS-3570</v>
          </cell>
          <cell r="L4804">
            <v>45154</v>
          </cell>
          <cell r="M4804">
            <v>45155</v>
          </cell>
          <cell r="N4804">
            <v>45166</v>
          </cell>
          <cell r="O4804">
            <v>45155</v>
          </cell>
          <cell r="P4804">
            <v>45166</v>
          </cell>
          <cell r="Q4804">
            <v>45166</v>
          </cell>
          <cell r="R4804">
            <v>45167</v>
          </cell>
          <cell r="S4804">
            <v>45167</v>
          </cell>
          <cell r="T4804">
            <v>45168</v>
          </cell>
          <cell r="U4804">
            <v>45169</v>
          </cell>
          <cell r="V4804">
            <v>45173</v>
          </cell>
          <cell r="W4804">
            <v>45173</v>
          </cell>
          <cell r="X4804">
            <v>41100566</v>
          </cell>
        </row>
        <row r="4805">
          <cell r="K4805" t="str">
            <v>GBWS-3581</v>
          </cell>
          <cell r="L4805">
            <v>45161</v>
          </cell>
          <cell r="M4805">
            <v>45162</v>
          </cell>
          <cell r="N4805">
            <v>45169</v>
          </cell>
          <cell r="O4805">
            <v>45162</v>
          </cell>
          <cell r="P4805">
            <v>45169</v>
          </cell>
          <cell r="Q4805">
            <v>45170</v>
          </cell>
          <cell r="R4805">
            <v>45173</v>
          </cell>
          <cell r="S4805">
            <v>45170</v>
          </cell>
          <cell r="T4805">
            <v>45173</v>
          </cell>
          <cell r="U4805">
            <v>45176</v>
          </cell>
          <cell r="V4805">
            <v>45176</v>
          </cell>
          <cell r="W4805">
            <v>45176</v>
          </cell>
          <cell r="X4805">
            <v>41100566</v>
          </cell>
        </row>
        <row r="4806">
          <cell r="K4806" t="str">
            <v>GBWS-3582</v>
          </cell>
          <cell r="L4806">
            <v>45161</v>
          </cell>
          <cell r="M4806">
            <v>45162</v>
          </cell>
          <cell r="N4806">
            <v>45169</v>
          </cell>
          <cell r="O4806">
            <v>45162</v>
          </cell>
          <cell r="P4806">
            <v>45169</v>
          </cell>
          <cell r="Q4806">
            <v>45170</v>
          </cell>
          <cell r="R4806">
            <v>45173</v>
          </cell>
          <cell r="S4806">
            <v>45170</v>
          </cell>
          <cell r="T4806">
            <v>45173</v>
          </cell>
          <cell r="U4806">
            <v>45175</v>
          </cell>
          <cell r="V4806">
            <v>45176</v>
          </cell>
          <cell r="W4806">
            <v>45176</v>
          </cell>
          <cell r="X4806">
            <v>41100566</v>
          </cell>
        </row>
        <row r="4807">
          <cell r="K4807" t="str">
            <v>GBWS-3583</v>
          </cell>
          <cell r="L4807">
            <v>45161</v>
          </cell>
          <cell r="M4807">
            <v>45162</v>
          </cell>
          <cell r="N4807">
            <v>45169</v>
          </cell>
          <cell r="O4807">
            <v>45162</v>
          </cell>
          <cell r="P4807">
            <v>45169</v>
          </cell>
          <cell r="Q4807">
            <v>45170</v>
          </cell>
          <cell r="R4807">
            <v>45173</v>
          </cell>
          <cell r="S4807">
            <v>45170</v>
          </cell>
          <cell r="T4807">
            <v>45173</v>
          </cell>
          <cell r="U4807">
            <v>45177</v>
          </cell>
          <cell r="V4807">
            <v>45177</v>
          </cell>
          <cell r="W4807">
            <v>45177</v>
          </cell>
          <cell r="X4807">
            <v>41100566</v>
          </cell>
        </row>
        <row r="4808">
          <cell r="K4808" t="str">
            <v>GBWS-3584</v>
          </cell>
          <cell r="L4808">
            <v>45161</v>
          </cell>
          <cell r="M4808">
            <v>45162</v>
          </cell>
          <cell r="N4808">
            <v>45169</v>
          </cell>
          <cell r="O4808">
            <v>45162</v>
          </cell>
          <cell r="P4808">
            <v>45169</v>
          </cell>
          <cell r="Q4808">
            <v>45170</v>
          </cell>
          <cell r="R4808">
            <v>45173</v>
          </cell>
          <cell r="S4808">
            <v>45170</v>
          </cell>
          <cell r="T4808">
            <v>45173</v>
          </cell>
          <cell r="U4808">
            <v>45175</v>
          </cell>
          <cell r="V4808">
            <v>45176</v>
          </cell>
          <cell r="W4808">
            <v>45176</v>
          </cell>
          <cell r="X4808">
            <v>41100566</v>
          </cell>
        </row>
        <row r="4809">
          <cell r="K4809" t="str">
            <v>GBWS-3572</v>
          </cell>
          <cell r="L4809">
            <v>45155</v>
          </cell>
          <cell r="M4809">
            <v>45156</v>
          </cell>
          <cell r="N4809">
            <v>45167</v>
          </cell>
          <cell r="O4809">
            <v>45156</v>
          </cell>
          <cell r="P4809">
            <v>45166</v>
          </cell>
          <cell r="Q4809">
            <v>45166</v>
          </cell>
          <cell r="R4809">
            <v>45167</v>
          </cell>
          <cell r="S4809">
            <v>45167</v>
          </cell>
          <cell r="T4809">
            <v>45168</v>
          </cell>
          <cell r="U4809">
            <v>45174</v>
          </cell>
          <cell r="V4809">
            <v>45177</v>
          </cell>
          <cell r="W4809">
            <v>45177</v>
          </cell>
          <cell r="X4809">
            <v>41100567</v>
          </cell>
        </row>
        <row r="4810">
          <cell r="K4810" t="str">
            <v>GBWS-3555</v>
          </cell>
          <cell r="L4810">
            <v>45148</v>
          </cell>
          <cell r="M4810">
            <v>45149</v>
          </cell>
          <cell r="N4810">
            <v>45159</v>
          </cell>
          <cell r="O4810">
            <v>45149</v>
          </cell>
          <cell r="P4810">
            <v>45160</v>
          </cell>
          <cell r="Q4810">
            <v>45160</v>
          </cell>
          <cell r="R4810">
            <v>45161</v>
          </cell>
          <cell r="S4810">
            <v>45161</v>
          </cell>
          <cell r="T4810">
            <v>45162</v>
          </cell>
          <cell r="U4810">
            <v>45163</v>
          </cell>
          <cell r="V4810">
            <v>45166</v>
          </cell>
          <cell r="W4810">
            <v>45166</v>
          </cell>
          <cell r="X4810">
            <v>41100662</v>
          </cell>
        </row>
        <row r="4811">
          <cell r="K4811" t="str">
            <v>GBWS-3556</v>
          </cell>
          <cell r="L4811">
            <v>45148</v>
          </cell>
          <cell r="M4811">
            <v>45149</v>
          </cell>
          <cell r="N4811">
            <v>45159</v>
          </cell>
          <cell r="O4811">
            <v>45149</v>
          </cell>
          <cell r="P4811">
            <v>45160</v>
          </cell>
          <cell r="Q4811">
            <v>45160</v>
          </cell>
          <cell r="R4811">
            <v>45161</v>
          </cell>
          <cell r="S4811">
            <v>45161</v>
          </cell>
          <cell r="T4811">
            <v>45162</v>
          </cell>
          <cell r="U4811">
            <v>45166</v>
          </cell>
          <cell r="V4811">
            <v>45167</v>
          </cell>
          <cell r="W4811">
            <v>45167</v>
          </cell>
          <cell r="X4811">
            <v>41100662</v>
          </cell>
        </row>
        <row r="4812">
          <cell r="K4812" t="str">
            <v>GBWS-3557</v>
          </cell>
          <cell r="L4812">
            <v>45148</v>
          </cell>
          <cell r="M4812">
            <v>45149</v>
          </cell>
          <cell r="N4812">
            <v>45159</v>
          </cell>
          <cell r="O4812">
            <v>45149</v>
          </cell>
          <cell r="P4812">
            <v>45160</v>
          </cell>
          <cell r="Q4812">
            <v>45160</v>
          </cell>
          <cell r="R4812">
            <v>45161</v>
          </cell>
          <cell r="S4812">
            <v>45161</v>
          </cell>
          <cell r="T4812">
            <v>45163</v>
          </cell>
          <cell r="U4812">
            <v>45167</v>
          </cell>
          <cell r="V4812">
            <v>45167</v>
          </cell>
          <cell r="W4812">
            <v>45167</v>
          </cell>
          <cell r="X4812">
            <v>41100662</v>
          </cell>
        </row>
        <row r="4813">
          <cell r="K4813" t="str">
            <v>GBWS-3599</v>
          </cell>
          <cell r="L4813">
            <v>45163</v>
          </cell>
          <cell r="M4813">
            <v>45166</v>
          </cell>
          <cell r="N4813">
            <v>45174</v>
          </cell>
          <cell r="O4813">
            <v>45166</v>
          </cell>
          <cell r="P4813">
            <v>45174</v>
          </cell>
          <cell r="Q4813" t="str">
            <v>2023-09-04 → 9/5</v>
          </cell>
          <cell r="R4813">
            <v>45174</v>
          </cell>
          <cell r="S4813">
            <v>45175</v>
          </cell>
          <cell r="T4813">
            <v>45175</v>
          </cell>
          <cell r="U4813">
            <v>45177</v>
          </cell>
          <cell r="V4813">
            <v>45181</v>
          </cell>
          <cell r="W4813">
            <v>45181</v>
          </cell>
          <cell r="X4813">
            <v>41000522</v>
          </cell>
        </row>
        <row r="4814">
          <cell r="K4814" t="str">
            <v>GBWS-3600</v>
          </cell>
          <cell r="L4814">
            <v>45163</v>
          </cell>
          <cell r="M4814">
            <v>45166</v>
          </cell>
          <cell r="N4814">
            <v>45174</v>
          </cell>
          <cell r="O4814">
            <v>45166</v>
          </cell>
          <cell r="P4814">
            <v>45174</v>
          </cell>
          <cell r="Q4814" t="str">
            <v>2023-09-04 → 9/5</v>
          </cell>
          <cell r="R4814">
            <v>45174</v>
          </cell>
          <cell r="S4814">
            <v>45175</v>
          </cell>
          <cell r="T4814">
            <v>45175</v>
          </cell>
          <cell r="U4814">
            <v>45177</v>
          </cell>
          <cell r="V4814">
            <v>45181</v>
          </cell>
          <cell r="W4814">
            <v>45181</v>
          </cell>
          <cell r="X4814">
            <v>41000522</v>
          </cell>
        </row>
        <row r="4815">
          <cell r="K4815" t="str">
            <v>GBWS-3608</v>
          </cell>
          <cell r="L4815">
            <v>45168</v>
          </cell>
          <cell r="M4815">
            <v>45169</v>
          </cell>
          <cell r="N4815">
            <v>45175</v>
          </cell>
          <cell r="O4815">
            <v>45169</v>
          </cell>
          <cell r="P4815">
            <v>45175</v>
          </cell>
          <cell r="Q4815" t="str">
            <v>2023-09-05 → 9/6</v>
          </cell>
          <cell r="R4815">
            <v>45175</v>
          </cell>
          <cell r="S4815">
            <v>45176</v>
          </cell>
          <cell r="T4815">
            <v>45176</v>
          </cell>
          <cell r="U4815">
            <v>45180</v>
          </cell>
          <cell r="V4815">
            <v>45182</v>
          </cell>
          <cell r="W4815">
            <v>45182</v>
          </cell>
          <cell r="X4815">
            <v>41100651</v>
          </cell>
        </row>
        <row r="4816">
          <cell r="K4816" t="str">
            <v>GBWS-3588</v>
          </cell>
          <cell r="L4816">
            <v>45162</v>
          </cell>
          <cell r="M4816">
            <v>45163</v>
          </cell>
          <cell r="N4816">
            <v>45173</v>
          </cell>
          <cell r="O4816">
            <v>45163</v>
          </cell>
          <cell r="P4816">
            <v>45173</v>
          </cell>
          <cell r="Q4816">
            <v>45173</v>
          </cell>
          <cell r="R4816">
            <v>45174</v>
          </cell>
          <cell r="S4816">
            <v>45174</v>
          </cell>
          <cell r="T4816">
            <v>45174</v>
          </cell>
          <cell r="U4816">
            <v>45176</v>
          </cell>
          <cell r="V4816">
            <v>45180</v>
          </cell>
          <cell r="W4816">
            <v>45180</v>
          </cell>
          <cell r="X4816">
            <v>41100702</v>
          </cell>
        </row>
        <row r="4817">
          <cell r="K4817" t="str">
            <v>GBWS-3589</v>
          </cell>
          <cell r="L4817">
            <v>45162</v>
          </cell>
          <cell r="M4817">
            <v>45163</v>
          </cell>
          <cell r="N4817">
            <v>45173</v>
          </cell>
          <cell r="O4817">
            <v>45163</v>
          </cell>
          <cell r="P4817">
            <v>45173</v>
          </cell>
          <cell r="Q4817">
            <v>45173</v>
          </cell>
          <cell r="R4817">
            <v>45174</v>
          </cell>
          <cell r="S4817">
            <v>45175</v>
          </cell>
          <cell r="T4817">
            <v>45175</v>
          </cell>
          <cell r="U4817">
            <v>45177</v>
          </cell>
          <cell r="V4817">
            <v>45182</v>
          </cell>
          <cell r="W4817">
            <v>45182</v>
          </cell>
          <cell r="X4817">
            <v>41100702</v>
          </cell>
        </row>
        <row r="4818">
          <cell r="K4818" t="str">
            <v>GBWS-3590</v>
          </cell>
          <cell r="L4818">
            <v>45162</v>
          </cell>
          <cell r="M4818">
            <v>45163</v>
          </cell>
          <cell r="N4818">
            <v>45173</v>
          </cell>
          <cell r="O4818">
            <v>45163</v>
          </cell>
          <cell r="P4818">
            <v>45173</v>
          </cell>
          <cell r="Q4818">
            <v>45173</v>
          </cell>
          <cell r="R4818">
            <v>45174</v>
          </cell>
          <cell r="S4818">
            <v>45175</v>
          </cell>
          <cell r="T4818">
            <v>45175</v>
          </cell>
          <cell r="U4818">
            <v>45177</v>
          </cell>
          <cell r="V4818">
            <v>45182</v>
          </cell>
          <cell r="W4818">
            <v>45182</v>
          </cell>
          <cell r="X4818">
            <v>41100702</v>
          </cell>
        </row>
        <row r="4819">
          <cell r="K4819" t="str">
            <v>GBWS-3591</v>
          </cell>
          <cell r="L4819">
            <v>45162</v>
          </cell>
          <cell r="M4819">
            <v>45163</v>
          </cell>
          <cell r="N4819">
            <v>45173</v>
          </cell>
          <cell r="O4819">
            <v>45163</v>
          </cell>
          <cell r="P4819">
            <v>45174</v>
          </cell>
          <cell r="Q4819">
            <v>45173</v>
          </cell>
          <cell r="R4819">
            <v>45174</v>
          </cell>
          <cell r="S4819">
            <v>45175</v>
          </cell>
          <cell r="T4819">
            <v>45174</v>
          </cell>
          <cell r="U4819">
            <v>45176</v>
          </cell>
          <cell r="V4819">
            <v>45181</v>
          </cell>
          <cell r="W4819">
            <v>45181</v>
          </cell>
          <cell r="X4819">
            <v>41100564</v>
          </cell>
        </row>
        <row r="4820">
          <cell r="K4820" t="str">
            <v>GBWS-3592</v>
          </cell>
          <cell r="L4820">
            <v>45162</v>
          </cell>
          <cell r="M4820">
            <v>45163</v>
          </cell>
          <cell r="N4820">
            <v>45173</v>
          </cell>
          <cell r="O4820">
            <v>45163</v>
          </cell>
          <cell r="P4820">
            <v>45174</v>
          </cell>
          <cell r="Q4820">
            <v>45173</v>
          </cell>
          <cell r="R4820">
            <v>45174</v>
          </cell>
          <cell r="S4820">
            <v>45175</v>
          </cell>
          <cell r="T4820">
            <v>45175</v>
          </cell>
          <cell r="U4820">
            <v>45177</v>
          </cell>
          <cell r="V4820">
            <v>45180</v>
          </cell>
          <cell r="W4820">
            <v>45180</v>
          </cell>
          <cell r="X4820">
            <v>41100564</v>
          </cell>
        </row>
        <row r="4821">
          <cell r="K4821" t="str">
            <v>GBWS-3593</v>
          </cell>
          <cell r="L4821">
            <v>45162</v>
          </cell>
          <cell r="M4821">
            <v>45163</v>
          </cell>
          <cell r="N4821">
            <v>45173</v>
          </cell>
          <cell r="O4821">
            <v>45163</v>
          </cell>
          <cell r="P4821">
            <v>45174</v>
          </cell>
          <cell r="Q4821">
            <v>45173</v>
          </cell>
          <cell r="R4821">
            <v>45174</v>
          </cell>
          <cell r="S4821">
            <v>45175</v>
          </cell>
          <cell r="T4821">
            <v>45174</v>
          </cell>
          <cell r="U4821">
            <v>45176</v>
          </cell>
          <cell r="V4821">
            <v>45180</v>
          </cell>
          <cell r="W4821">
            <v>45180</v>
          </cell>
          <cell r="X4821">
            <v>41100564</v>
          </cell>
        </row>
        <row r="4822">
          <cell r="K4822" t="str">
            <v>SWC-0001</v>
          </cell>
          <cell r="L4822">
            <v>45159</v>
          </cell>
          <cell r="M4822">
            <v>45160</v>
          </cell>
          <cell r="N4822">
            <v>45170</v>
          </cell>
          <cell r="O4822">
            <v>45160</v>
          </cell>
          <cell r="P4822">
            <v>45170</v>
          </cell>
          <cell r="Q4822" t="str">
            <v>2023-09-01 → 8/31</v>
          </cell>
          <cell r="R4822" t="str">
            <v>2023-09-04 → 9/1</v>
          </cell>
          <cell r="S4822">
            <v>45173</v>
          </cell>
          <cell r="T4822">
            <v>45173</v>
          </cell>
          <cell r="U4822">
            <v>45182</v>
          </cell>
          <cell r="V4822">
            <v>45183</v>
          </cell>
          <cell r="W4822">
            <v>45183</v>
          </cell>
          <cell r="X4822">
            <v>41000517</v>
          </cell>
        </row>
        <row r="4823">
          <cell r="K4823" t="str">
            <v>GBWS-3587</v>
          </cell>
          <cell r="L4823">
            <v>45161</v>
          </cell>
          <cell r="M4823">
            <v>45162</v>
          </cell>
          <cell r="N4823">
            <v>45170</v>
          </cell>
          <cell r="O4823">
            <v>45162</v>
          </cell>
          <cell r="P4823">
            <v>45173</v>
          </cell>
          <cell r="Q4823">
            <v>45170</v>
          </cell>
          <cell r="R4823">
            <v>45173</v>
          </cell>
          <cell r="S4823">
            <v>45173</v>
          </cell>
          <cell r="T4823">
            <v>45174</v>
          </cell>
          <cell r="U4823">
            <v>45177</v>
          </cell>
          <cell r="V4823">
            <v>45181</v>
          </cell>
          <cell r="W4823">
            <v>45181</v>
          </cell>
          <cell r="X4823">
            <v>41100408</v>
          </cell>
        </row>
        <row r="4824">
          <cell r="K4824" t="str">
            <v>GPWS-0274</v>
          </cell>
          <cell r="L4824">
            <v>45111</v>
          </cell>
          <cell r="M4824">
            <v>45112</v>
          </cell>
          <cell r="N4824">
            <v>45117</v>
          </cell>
          <cell r="O4824">
            <v>45112</v>
          </cell>
          <cell r="P4824">
            <v>45120</v>
          </cell>
          <cell r="Q4824">
            <v>45119</v>
          </cell>
          <cell r="R4824">
            <v>45120</v>
          </cell>
          <cell r="S4824">
            <v>45121</v>
          </cell>
          <cell r="T4824">
            <v>45121</v>
          </cell>
          <cell r="U4824">
            <v>45125</v>
          </cell>
          <cell r="V4824">
            <v>45127</v>
          </cell>
          <cell r="W4824">
            <v>45127</v>
          </cell>
          <cell r="X4824">
            <v>41100380</v>
          </cell>
        </row>
        <row r="4825">
          <cell r="K4825" t="str">
            <v>GBA-0120</v>
          </cell>
          <cell r="L4825">
            <v>45163</v>
          </cell>
          <cell r="M4825">
            <v>45166</v>
          </cell>
          <cell r="N4825">
            <v>45174</v>
          </cell>
          <cell r="O4825">
            <v>45166</v>
          </cell>
          <cell r="P4825">
            <v>45175</v>
          </cell>
          <cell r="Q4825">
            <v>45174</v>
          </cell>
          <cell r="R4825">
            <v>45175</v>
          </cell>
          <cell r="S4825">
            <v>45176</v>
          </cell>
          <cell r="T4825">
            <v>45176</v>
          </cell>
          <cell r="U4825">
            <v>45182</v>
          </cell>
          <cell r="V4825">
            <v>45182</v>
          </cell>
          <cell r="W4825">
            <v>45182</v>
          </cell>
          <cell r="X4825">
            <v>41100164</v>
          </cell>
        </row>
        <row r="4826">
          <cell r="K4826" t="str">
            <v>GBA-0121</v>
          </cell>
          <cell r="L4826">
            <v>45163</v>
          </cell>
          <cell r="M4826">
            <v>45166</v>
          </cell>
          <cell r="N4826">
            <v>45174</v>
          </cell>
          <cell r="O4826">
            <v>45166</v>
          </cell>
          <cell r="P4826">
            <v>45175</v>
          </cell>
          <cell r="Q4826">
            <v>45174</v>
          </cell>
          <cell r="R4826">
            <v>45175</v>
          </cell>
          <cell r="S4826">
            <v>45176</v>
          </cell>
          <cell r="T4826">
            <v>45176</v>
          </cell>
          <cell r="U4826">
            <v>45181</v>
          </cell>
          <cell r="V4826">
            <v>45182</v>
          </cell>
          <cell r="W4826">
            <v>45182</v>
          </cell>
          <cell r="X4826">
            <v>41100164</v>
          </cell>
        </row>
        <row r="4827">
          <cell r="K4827"/>
          <cell r="L4827">
            <v>45126</v>
          </cell>
          <cell r="M4827">
            <v>45126</v>
          </cell>
          <cell r="N4827">
            <v>45132</v>
          </cell>
          <cell r="O4827">
            <v>45126</v>
          </cell>
          <cell r="P4827">
            <v>45132</v>
          </cell>
          <cell r="Q4827">
            <v>45131</v>
          </cell>
          <cell r="R4827">
            <v>45131</v>
          </cell>
          <cell r="S4827">
            <v>45135</v>
          </cell>
          <cell r="T4827">
            <v>45135</v>
          </cell>
          <cell r="U4827">
            <v>45139</v>
          </cell>
          <cell r="V4827">
            <v>45139</v>
          </cell>
          <cell r="W4827">
            <v>45139</v>
          </cell>
          <cell r="X4827">
            <v>31102849</v>
          </cell>
        </row>
        <row r="4828">
          <cell r="K4828" t="str">
            <v>GBW-0277</v>
          </cell>
          <cell r="L4828">
            <v>45028</v>
          </cell>
          <cell r="M4828">
            <v>45029</v>
          </cell>
          <cell r="N4828">
            <v>45041</v>
          </cell>
          <cell r="O4828">
            <v>45029</v>
          </cell>
          <cell r="P4828">
            <v>45041</v>
          </cell>
          <cell r="Q4828">
            <v>45040</v>
          </cell>
          <cell r="R4828" t="str">
            <v>2023-04-24 → 4/25</v>
          </cell>
          <cell r="S4828">
            <v>45042</v>
          </cell>
          <cell r="T4828">
            <v>45043</v>
          </cell>
          <cell r="U4828">
            <v>45048</v>
          </cell>
          <cell r="V4828">
            <v>45054</v>
          </cell>
          <cell r="W4828">
            <v>45054</v>
          </cell>
          <cell r="X4828">
            <v>41100275</v>
          </cell>
        </row>
        <row r="4829">
          <cell r="K4829" t="str">
            <v>GBW-0278</v>
          </cell>
          <cell r="L4829">
            <v>45028</v>
          </cell>
          <cell r="M4829">
            <v>45029</v>
          </cell>
          <cell r="N4829">
            <v>45041</v>
          </cell>
          <cell r="O4829">
            <v>45029</v>
          </cell>
          <cell r="P4829">
            <v>45041</v>
          </cell>
          <cell r="Q4829">
            <v>45040</v>
          </cell>
          <cell r="R4829" t="str">
            <v>2023-04-24 → 4/25</v>
          </cell>
          <cell r="S4829">
            <v>45042</v>
          </cell>
          <cell r="T4829">
            <v>45043</v>
          </cell>
          <cell r="U4829">
            <v>45048</v>
          </cell>
          <cell r="V4829">
            <v>45050</v>
          </cell>
          <cell r="W4829">
            <v>45050</v>
          </cell>
          <cell r="X4829">
            <v>41100275</v>
          </cell>
        </row>
        <row r="4830">
          <cell r="K4830" t="str">
            <v>GBWS-3093</v>
          </cell>
          <cell r="L4830">
            <v>44903</v>
          </cell>
          <cell r="M4830">
            <v>44904</v>
          </cell>
          <cell r="N4830">
            <v>44915</v>
          </cell>
          <cell r="O4830">
            <v>44904</v>
          </cell>
          <cell r="P4830">
            <v>44915</v>
          </cell>
          <cell r="Q4830">
            <v>44915</v>
          </cell>
          <cell r="R4830">
            <v>44915</v>
          </cell>
          <cell r="S4830"/>
          <cell r="T4830">
            <v>44916</v>
          </cell>
          <cell r="U4830">
            <v>44917</v>
          </cell>
          <cell r="V4830">
            <v>44918</v>
          </cell>
          <cell r="W4830">
            <v>44918</v>
          </cell>
          <cell r="X4830">
            <v>41100320</v>
          </cell>
        </row>
        <row r="4831">
          <cell r="K4831" t="str">
            <v>GBWS-3594</v>
          </cell>
          <cell r="L4831">
            <v>45163</v>
          </cell>
          <cell r="M4831">
            <v>45166</v>
          </cell>
          <cell r="N4831">
            <v>45174</v>
          </cell>
          <cell r="O4831">
            <v>45166</v>
          </cell>
          <cell r="P4831">
            <v>45174</v>
          </cell>
          <cell r="Q4831">
            <v>45174</v>
          </cell>
          <cell r="R4831">
            <v>45175</v>
          </cell>
          <cell r="S4831">
            <v>45176</v>
          </cell>
          <cell r="T4831">
            <v>45176</v>
          </cell>
          <cell r="U4831">
            <v>45180</v>
          </cell>
          <cell r="V4831">
            <v>45181</v>
          </cell>
          <cell r="W4831">
            <v>45181</v>
          </cell>
          <cell r="X4831">
            <v>41100334</v>
          </cell>
        </row>
        <row r="4832">
          <cell r="K4832" t="str">
            <v>GBWS-3573</v>
          </cell>
          <cell r="L4832">
            <v>45159</v>
          </cell>
          <cell r="M4832">
            <v>45160</v>
          </cell>
          <cell r="N4832">
            <v>45167</v>
          </cell>
          <cell r="O4832">
            <v>45160</v>
          </cell>
          <cell r="P4832">
            <v>45168</v>
          </cell>
          <cell r="Q4832">
            <v>45167</v>
          </cell>
          <cell r="R4832">
            <v>45168</v>
          </cell>
          <cell r="S4832">
            <v>45169</v>
          </cell>
          <cell r="T4832">
            <v>45169</v>
          </cell>
          <cell r="U4832">
            <v>45173</v>
          </cell>
          <cell r="V4832">
            <v>45175</v>
          </cell>
          <cell r="W4832">
            <v>45175</v>
          </cell>
          <cell r="X4832">
            <v>41100703</v>
          </cell>
        </row>
        <row r="4833">
          <cell r="K4833" t="str">
            <v>GBWS-3576</v>
          </cell>
          <cell r="L4833">
            <v>45160</v>
          </cell>
          <cell r="M4833">
            <v>45161</v>
          </cell>
          <cell r="N4833">
            <v>45168</v>
          </cell>
          <cell r="O4833">
            <v>45161</v>
          </cell>
          <cell r="P4833">
            <v>45167</v>
          </cell>
          <cell r="Q4833">
            <v>45168</v>
          </cell>
          <cell r="R4833">
            <v>45169</v>
          </cell>
          <cell r="S4833">
            <v>45169</v>
          </cell>
          <cell r="T4833">
            <v>45169</v>
          </cell>
          <cell r="U4833">
            <v>45170</v>
          </cell>
          <cell r="V4833">
            <v>45175</v>
          </cell>
          <cell r="W4833">
            <v>45175</v>
          </cell>
          <cell r="X4833">
            <v>41100712</v>
          </cell>
        </row>
        <row r="4834">
          <cell r="K4834" t="str">
            <v>GBWS-3577</v>
          </cell>
          <cell r="L4834">
            <v>45160</v>
          </cell>
          <cell r="M4834">
            <v>45161</v>
          </cell>
          <cell r="N4834">
            <v>45168</v>
          </cell>
          <cell r="O4834">
            <v>45161</v>
          </cell>
          <cell r="P4834">
            <v>45167</v>
          </cell>
          <cell r="Q4834">
            <v>45168</v>
          </cell>
          <cell r="R4834">
            <v>45169</v>
          </cell>
          <cell r="S4834">
            <v>45169</v>
          </cell>
          <cell r="T4834">
            <v>45169</v>
          </cell>
          <cell r="U4834">
            <v>45170</v>
          </cell>
          <cell r="V4834">
            <v>45175</v>
          </cell>
          <cell r="W4834">
            <v>45175</v>
          </cell>
          <cell r="X4834">
            <v>41100712</v>
          </cell>
        </row>
        <row r="4835">
          <cell r="K4835" t="str">
            <v>GBWS-3578</v>
          </cell>
          <cell r="L4835">
            <v>45160</v>
          </cell>
          <cell r="M4835">
            <v>45161</v>
          </cell>
          <cell r="N4835">
            <v>45168</v>
          </cell>
          <cell r="O4835">
            <v>45161</v>
          </cell>
          <cell r="P4835">
            <v>45167</v>
          </cell>
          <cell r="Q4835">
            <v>45168</v>
          </cell>
          <cell r="R4835">
            <v>45169</v>
          </cell>
          <cell r="S4835">
            <v>45169</v>
          </cell>
          <cell r="T4835">
            <v>45169</v>
          </cell>
          <cell r="U4835">
            <v>45173</v>
          </cell>
          <cell r="V4835">
            <v>45175</v>
          </cell>
          <cell r="W4835">
            <v>45175</v>
          </cell>
          <cell r="X4835">
            <v>41100712</v>
          </cell>
        </row>
        <row r="4836">
          <cell r="K4836" t="str">
            <v>GBWS-3579</v>
          </cell>
          <cell r="L4836">
            <v>45160</v>
          </cell>
          <cell r="M4836">
            <v>45161</v>
          </cell>
          <cell r="N4836">
            <v>45168</v>
          </cell>
          <cell r="O4836">
            <v>45161</v>
          </cell>
          <cell r="P4836">
            <v>45167</v>
          </cell>
          <cell r="Q4836">
            <v>45168</v>
          </cell>
          <cell r="R4836">
            <v>45169</v>
          </cell>
          <cell r="S4836">
            <v>45169</v>
          </cell>
          <cell r="T4836">
            <v>45169</v>
          </cell>
          <cell r="U4836">
            <v>45173</v>
          </cell>
          <cell r="V4836">
            <v>45175</v>
          </cell>
          <cell r="W4836">
            <v>45175</v>
          </cell>
          <cell r="X4836">
            <v>41100716</v>
          </cell>
        </row>
        <row r="4837">
          <cell r="K4837" t="str">
            <v>GBWS-3524</v>
          </cell>
          <cell r="L4837">
            <v>45126</v>
          </cell>
          <cell r="M4837" t="str">
            <v>2023-07-11 → 7/20</v>
          </cell>
          <cell r="N4837">
            <v>45138</v>
          </cell>
          <cell r="O4837" t="str">
            <v>2023-07-11 → 7/20</v>
          </cell>
          <cell r="P4837">
            <v>45138</v>
          </cell>
          <cell r="Q4837" t="str">
            <v>2023-07-19 → 7/28</v>
          </cell>
          <cell r="R4837" t="str">
            <v>2023-07-20 → 7/31</v>
          </cell>
          <cell r="S4837">
            <v>45139</v>
          </cell>
          <cell r="T4837">
            <v>45140</v>
          </cell>
          <cell r="U4837">
            <v>45148</v>
          </cell>
          <cell r="V4837">
            <v>45149</v>
          </cell>
          <cell r="W4837">
            <v>45149</v>
          </cell>
          <cell r="X4837">
            <v>41100662</v>
          </cell>
        </row>
        <row r="4838">
          <cell r="K4838" t="str">
            <v>GBWS-3575</v>
          </cell>
          <cell r="L4838">
            <v>45159</v>
          </cell>
          <cell r="M4838">
            <v>45160</v>
          </cell>
          <cell r="N4838">
            <v>45169</v>
          </cell>
          <cell r="O4838">
            <v>45160</v>
          </cell>
          <cell r="P4838">
            <v>45169</v>
          </cell>
          <cell r="Q4838">
            <v>45170</v>
          </cell>
          <cell r="R4838">
            <v>45173</v>
          </cell>
          <cell r="S4838">
            <v>45173</v>
          </cell>
          <cell r="T4838">
            <v>45173</v>
          </cell>
          <cell r="U4838">
            <v>45175</v>
          </cell>
          <cell r="V4838">
            <v>45180</v>
          </cell>
          <cell r="W4838">
            <v>45180</v>
          </cell>
          <cell r="X4838">
            <v>41100565</v>
          </cell>
        </row>
        <row r="4839">
          <cell r="K4839" t="str">
            <v>GBWS-3585</v>
          </cell>
          <cell r="L4839">
            <v>45161</v>
          </cell>
          <cell r="M4839">
            <v>45162</v>
          </cell>
          <cell r="N4839">
            <v>45169</v>
          </cell>
          <cell r="O4839">
            <v>45162</v>
          </cell>
          <cell r="P4839">
            <v>45173</v>
          </cell>
          <cell r="Q4839">
            <v>45170</v>
          </cell>
          <cell r="R4839">
            <v>45173</v>
          </cell>
          <cell r="S4839">
            <v>45174</v>
          </cell>
          <cell r="T4839">
            <v>45176</v>
          </cell>
          <cell r="U4839">
            <v>45180</v>
          </cell>
          <cell r="V4839">
            <v>45181</v>
          </cell>
          <cell r="W4839">
            <v>45181</v>
          </cell>
          <cell r="X4839">
            <v>41100566</v>
          </cell>
        </row>
        <row r="4840">
          <cell r="K4840" t="str">
            <v>GBWS-3586</v>
          </cell>
          <cell r="L4840">
            <v>45161</v>
          </cell>
          <cell r="M4840">
            <v>45162</v>
          </cell>
          <cell r="N4840">
            <v>45169</v>
          </cell>
          <cell r="O4840">
            <v>45162</v>
          </cell>
          <cell r="P4840">
            <v>45173</v>
          </cell>
          <cell r="Q4840">
            <v>45170</v>
          </cell>
          <cell r="R4840">
            <v>45173</v>
          </cell>
          <cell r="S4840">
            <v>45174</v>
          </cell>
          <cell r="T4840">
            <v>45176</v>
          </cell>
          <cell r="U4840">
            <v>45182</v>
          </cell>
          <cell r="V4840">
            <v>45183</v>
          </cell>
          <cell r="W4840">
            <v>45183</v>
          </cell>
          <cell r="X4840">
            <v>41100566</v>
          </cell>
        </row>
        <row r="4841">
          <cell r="K4841" t="str">
            <v>GBWS-3601</v>
          </cell>
          <cell r="L4841">
            <v>45167</v>
          </cell>
          <cell r="M4841">
            <v>45168</v>
          </cell>
          <cell r="N4841">
            <v>45176</v>
          </cell>
          <cell r="O4841">
            <v>45168</v>
          </cell>
          <cell r="P4841">
            <v>45177</v>
          </cell>
          <cell r="Q4841">
            <v>45177</v>
          </cell>
          <cell r="R4841">
            <v>45180</v>
          </cell>
          <cell r="S4841">
            <v>45181</v>
          </cell>
          <cell r="T4841">
            <v>45181</v>
          </cell>
          <cell r="U4841">
            <v>45183</v>
          </cell>
          <cell r="V4841">
            <v>45184</v>
          </cell>
          <cell r="W4841">
            <v>45184</v>
          </cell>
          <cell r="X4841">
            <v>41100566</v>
          </cell>
        </row>
        <row r="4842">
          <cell r="K4842" t="str">
            <v>GBWS-3602</v>
          </cell>
          <cell r="L4842">
            <v>45167</v>
          </cell>
          <cell r="M4842">
            <v>45168</v>
          </cell>
          <cell r="N4842">
            <v>45176</v>
          </cell>
          <cell r="O4842">
            <v>45168</v>
          </cell>
          <cell r="P4842">
            <v>45177</v>
          </cell>
          <cell r="Q4842">
            <v>45177</v>
          </cell>
          <cell r="R4842">
            <v>45180</v>
          </cell>
          <cell r="S4842">
            <v>45180</v>
          </cell>
          <cell r="T4842">
            <v>45180</v>
          </cell>
          <cell r="U4842">
            <v>45183</v>
          </cell>
          <cell r="V4842">
            <v>45184</v>
          </cell>
          <cell r="W4842">
            <v>45184</v>
          </cell>
          <cell r="X4842">
            <v>41100566</v>
          </cell>
        </row>
        <row r="4843">
          <cell r="K4843" t="str">
            <v>GBWS-3603</v>
          </cell>
          <cell r="L4843">
            <v>45167</v>
          </cell>
          <cell r="M4843">
            <v>45168</v>
          </cell>
          <cell r="N4843">
            <v>45176</v>
          </cell>
          <cell r="O4843">
            <v>45168</v>
          </cell>
          <cell r="P4843">
            <v>45177</v>
          </cell>
          <cell r="Q4843">
            <v>45177</v>
          </cell>
          <cell r="R4843">
            <v>45180</v>
          </cell>
          <cell r="S4843">
            <v>45181</v>
          </cell>
          <cell r="T4843">
            <v>45181</v>
          </cell>
          <cell r="U4843">
            <v>45183</v>
          </cell>
          <cell r="V4843">
            <v>45184</v>
          </cell>
          <cell r="W4843">
            <v>45184</v>
          </cell>
          <cell r="X4843">
            <v>41100566</v>
          </cell>
        </row>
        <row r="4844">
          <cell r="K4844" t="str">
            <v>GBWS-3604</v>
          </cell>
          <cell r="L4844">
            <v>45167</v>
          </cell>
          <cell r="M4844">
            <v>45168</v>
          </cell>
          <cell r="N4844">
            <v>45176</v>
          </cell>
          <cell r="O4844">
            <v>45168</v>
          </cell>
          <cell r="P4844">
            <v>45177</v>
          </cell>
          <cell r="Q4844">
            <v>45176</v>
          </cell>
          <cell r="R4844">
            <v>45177</v>
          </cell>
          <cell r="S4844">
            <v>45181</v>
          </cell>
          <cell r="T4844">
            <v>45180</v>
          </cell>
          <cell r="U4844">
            <v>45181</v>
          </cell>
          <cell r="V4844">
            <v>45183</v>
          </cell>
          <cell r="W4844">
            <v>45183</v>
          </cell>
          <cell r="X4844">
            <v>41100642</v>
          </cell>
        </row>
        <row r="4845">
          <cell r="K4845" t="str">
            <v>GBWS-3605</v>
          </cell>
          <cell r="L4845">
            <v>45167</v>
          </cell>
          <cell r="M4845">
            <v>45168</v>
          </cell>
          <cell r="N4845">
            <v>45176</v>
          </cell>
          <cell r="O4845">
            <v>45168</v>
          </cell>
          <cell r="P4845">
            <v>45177</v>
          </cell>
          <cell r="Q4845">
            <v>45176</v>
          </cell>
          <cell r="R4845">
            <v>45177</v>
          </cell>
          <cell r="S4845">
            <v>45181</v>
          </cell>
          <cell r="T4845">
            <v>45180</v>
          </cell>
          <cell r="U4845">
            <v>45182</v>
          </cell>
          <cell r="V4845">
            <v>45183</v>
          </cell>
          <cell r="W4845">
            <v>45183</v>
          </cell>
          <cell r="X4845">
            <v>41100642</v>
          </cell>
        </row>
        <row r="4846">
          <cell r="K4846" t="str">
            <v>GBWS-3596</v>
          </cell>
          <cell r="L4846">
            <v>45163</v>
          </cell>
          <cell r="M4846">
            <v>45166</v>
          </cell>
          <cell r="N4846">
            <v>45173</v>
          </cell>
          <cell r="O4846">
            <v>45166</v>
          </cell>
          <cell r="P4846">
            <v>45174</v>
          </cell>
          <cell r="Q4846">
            <v>45175</v>
          </cell>
          <cell r="R4846">
            <v>45176</v>
          </cell>
          <cell r="S4846">
            <v>45180</v>
          </cell>
          <cell r="T4846">
            <v>45177</v>
          </cell>
          <cell r="U4846">
            <v>45181</v>
          </cell>
          <cell r="V4846">
            <v>45182</v>
          </cell>
          <cell r="W4846">
            <v>45182</v>
          </cell>
          <cell r="X4846">
            <v>41100702</v>
          </cell>
        </row>
        <row r="4847">
          <cell r="K4847" t="str">
            <v>GBWS-3597</v>
          </cell>
          <cell r="L4847">
            <v>45163</v>
          </cell>
          <cell r="M4847">
            <v>45166</v>
          </cell>
          <cell r="N4847">
            <v>45173</v>
          </cell>
          <cell r="O4847">
            <v>45166</v>
          </cell>
          <cell r="P4847">
            <v>45174</v>
          </cell>
          <cell r="Q4847">
            <v>45175</v>
          </cell>
          <cell r="R4847">
            <v>45176</v>
          </cell>
          <cell r="S4847">
            <v>45180</v>
          </cell>
          <cell r="T4847">
            <v>45177</v>
          </cell>
          <cell r="U4847">
            <v>45182</v>
          </cell>
          <cell r="V4847">
            <v>45183</v>
          </cell>
          <cell r="W4847">
            <v>45183</v>
          </cell>
          <cell r="X4847">
            <v>41100702</v>
          </cell>
        </row>
        <row r="4848">
          <cell r="K4848" t="str">
            <v>GBWS-3598</v>
          </cell>
          <cell r="L4848">
            <v>45163</v>
          </cell>
          <cell r="M4848">
            <v>45166</v>
          </cell>
          <cell r="N4848">
            <v>45173</v>
          </cell>
          <cell r="O4848">
            <v>45166</v>
          </cell>
          <cell r="P4848">
            <v>45174</v>
          </cell>
          <cell r="Q4848">
            <v>45175</v>
          </cell>
          <cell r="R4848">
            <v>45176</v>
          </cell>
          <cell r="S4848">
            <v>45180</v>
          </cell>
          <cell r="T4848">
            <v>45177</v>
          </cell>
          <cell r="U4848">
            <v>45181</v>
          </cell>
          <cell r="V4848">
            <v>45183</v>
          </cell>
          <cell r="W4848">
            <v>45183</v>
          </cell>
          <cell r="X4848">
            <v>41100702</v>
          </cell>
        </row>
        <row r="4849">
          <cell r="K4849" t="str">
            <v>SOS-0305</v>
          </cell>
          <cell r="L4849">
            <v>45114</v>
          </cell>
          <cell r="M4849">
            <v>45117</v>
          </cell>
          <cell r="N4849">
            <v>45118</v>
          </cell>
          <cell r="O4849">
            <v>45117</v>
          </cell>
          <cell r="P4849">
            <v>45119</v>
          </cell>
          <cell r="Q4849">
            <v>45119</v>
          </cell>
          <cell r="R4849">
            <v>45120</v>
          </cell>
          <cell r="S4849">
            <v>45124</v>
          </cell>
          <cell r="T4849">
            <v>45124</v>
          </cell>
          <cell r="U4849">
            <v>45125</v>
          </cell>
          <cell r="V4849">
            <v>45126</v>
          </cell>
          <cell r="W4849">
            <v>45126</v>
          </cell>
          <cell r="X4849">
            <v>41100182</v>
          </cell>
        </row>
        <row r="4850">
          <cell r="K4850" t="str">
            <v>IVAS-228</v>
          </cell>
          <cell r="L4850">
            <v>45147</v>
          </cell>
          <cell r="M4850">
            <v>45148</v>
          </cell>
          <cell r="N4850">
            <v>45161</v>
          </cell>
          <cell r="O4850">
            <v>45148</v>
          </cell>
          <cell r="P4850">
            <v>45167</v>
          </cell>
          <cell r="Q4850">
            <v>45161</v>
          </cell>
          <cell r="R4850">
            <v>45162</v>
          </cell>
          <cell r="S4850">
            <v>45168</v>
          </cell>
          <cell r="T4850">
            <v>45166</v>
          </cell>
          <cell r="U4850">
            <v>45174</v>
          </cell>
          <cell r="V4850">
            <v>45188</v>
          </cell>
          <cell r="W4850">
            <v>45188</v>
          </cell>
          <cell r="X4850">
            <v>41100612</v>
          </cell>
        </row>
        <row r="4851">
          <cell r="K4851" t="str">
            <v>IVAS-229</v>
          </cell>
          <cell r="L4851">
            <v>45154</v>
          </cell>
          <cell r="M4851" t="str">
            <v>2023-08-08 → 8/17</v>
          </cell>
          <cell r="N4851">
            <v>45166</v>
          </cell>
          <cell r="O4851" t="str">
            <v>2023-08-08 → 8/17</v>
          </cell>
          <cell r="P4851">
            <v>45174</v>
          </cell>
          <cell r="Q4851" t="str">
            <v>2023-08-17 → 8/25</v>
          </cell>
          <cell r="R4851" t="str">
            <v>2023-08-17 → 8/28</v>
          </cell>
          <cell r="S4851">
            <v>45167</v>
          </cell>
          <cell r="T4851">
            <v>45167</v>
          </cell>
          <cell r="U4851">
            <v>45176</v>
          </cell>
          <cell r="V4851">
            <v>45188</v>
          </cell>
          <cell r="W4851">
            <v>45188</v>
          </cell>
          <cell r="X4851">
            <v>41100589</v>
          </cell>
        </row>
        <row r="4852">
          <cell r="K4852" t="str">
            <v>GBWS-3606</v>
          </cell>
          <cell r="L4852">
            <v>45168</v>
          </cell>
          <cell r="M4852">
            <v>45169</v>
          </cell>
          <cell r="N4852">
            <v>45176</v>
          </cell>
          <cell r="O4852">
            <v>45169</v>
          </cell>
          <cell r="P4852">
            <v>45177</v>
          </cell>
          <cell r="Q4852">
            <v>45176</v>
          </cell>
          <cell r="R4852">
            <v>45177</v>
          </cell>
          <cell r="S4852">
            <v>45181</v>
          </cell>
          <cell r="T4852">
            <v>45180</v>
          </cell>
          <cell r="U4852">
            <v>45182</v>
          </cell>
          <cell r="V4852">
            <v>45184</v>
          </cell>
          <cell r="W4852">
            <v>45184</v>
          </cell>
          <cell r="X4852">
            <v>41100686</v>
          </cell>
        </row>
        <row r="4853">
          <cell r="K4853" t="str">
            <v>GBWS-3607</v>
          </cell>
          <cell r="L4853">
            <v>45168</v>
          </cell>
          <cell r="M4853">
            <v>45169</v>
          </cell>
          <cell r="N4853">
            <v>45176</v>
          </cell>
          <cell r="O4853">
            <v>45169</v>
          </cell>
          <cell r="P4853">
            <v>45177</v>
          </cell>
          <cell r="Q4853">
            <v>45176</v>
          </cell>
          <cell r="R4853">
            <v>45177</v>
          </cell>
          <cell r="S4853">
            <v>45181</v>
          </cell>
          <cell r="T4853">
            <v>45180</v>
          </cell>
          <cell r="U4853">
            <v>45182</v>
          </cell>
          <cell r="V4853">
            <v>45184</v>
          </cell>
          <cell r="W4853">
            <v>45184</v>
          </cell>
          <cell r="X4853">
            <v>41100686</v>
          </cell>
        </row>
        <row r="4854">
          <cell r="K4854" t="str">
            <v>GBWS-3620</v>
          </cell>
          <cell r="L4854">
            <v>45173</v>
          </cell>
          <cell r="M4854">
            <v>45174</v>
          </cell>
          <cell r="N4854">
            <v>45180</v>
          </cell>
          <cell r="O4854">
            <v>45174</v>
          </cell>
          <cell r="P4854">
            <v>45182</v>
          </cell>
          <cell r="Q4854">
            <v>45181</v>
          </cell>
          <cell r="R4854">
            <v>45182</v>
          </cell>
          <cell r="S4854">
            <v>45184</v>
          </cell>
          <cell r="T4854">
            <v>45183</v>
          </cell>
          <cell r="U4854">
            <v>45188</v>
          </cell>
          <cell r="V4854">
            <v>45189</v>
          </cell>
          <cell r="W4854">
            <v>45189</v>
          </cell>
          <cell r="X4854">
            <v>41100686</v>
          </cell>
        </row>
        <row r="4855">
          <cell r="K4855" t="str">
            <v>GBWS-3621</v>
          </cell>
          <cell r="L4855">
            <v>45173</v>
          </cell>
          <cell r="M4855">
            <v>45174</v>
          </cell>
          <cell r="N4855">
            <v>45180</v>
          </cell>
          <cell r="O4855">
            <v>45174</v>
          </cell>
          <cell r="P4855">
            <v>45182</v>
          </cell>
          <cell r="Q4855">
            <v>45181</v>
          </cell>
          <cell r="R4855">
            <v>45182</v>
          </cell>
          <cell r="S4855">
            <v>45184</v>
          </cell>
          <cell r="T4855">
            <v>45183</v>
          </cell>
          <cell r="U4855">
            <v>45188</v>
          </cell>
          <cell r="V4855">
            <v>45189</v>
          </cell>
          <cell r="W4855">
            <v>45189</v>
          </cell>
          <cell r="X4855">
            <v>41100686</v>
          </cell>
        </row>
        <row r="4856">
          <cell r="K4856" t="str">
            <v>DBW-3055</v>
          </cell>
          <cell r="L4856">
            <v>45169</v>
          </cell>
          <cell r="M4856">
            <v>45170</v>
          </cell>
          <cell r="N4856">
            <v>45181</v>
          </cell>
          <cell r="O4856">
            <v>45170</v>
          </cell>
          <cell r="P4856">
            <v>45181</v>
          </cell>
          <cell r="Q4856">
            <v>45181</v>
          </cell>
          <cell r="R4856">
            <v>45183</v>
          </cell>
          <cell r="S4856">
            <v>45183</v>
          </cell>
          <cell r="T4856">
            <v>45182</v>
          </cell>
          <cell r="U4856">
            <v>45188</v>
          </cell>
          <cell r="V4856">
            <v>45190</v>
          </cell>
          <cell r="W4856">
            <v>45190</v>
          </cell>
          <cell r="X4856">
            <v>41100691</v>
          </cell>
        </row>
        <row r="4857">
          <cell r="K4857" t="str">
            <v>DBW-3056</v>
          </cell>
          <cell r="L4857">
            <v>45169</v>
          </cell>
          <cell r="M4857">
            <v>45170</v>
          </cell>
          <cell r="N4857">
            <v>45181</v>
          </cell>
          <cell r="O4857">
            <v>45170</v>
          </cell>
          <cell r="P4857">
            <v>45181</v>
          </cell>
          <cell r="Q4857">
            <v>45181</v>
          </cell>
          <cell r="R4857">
            <v>45183</v>
          </cell>
          <cell r="S4857">
            <v>45183</v>
          </cell>
          <cell r="T4857">
            <v>45182</v>
          </cell>
          <cell r="U4857">
            <v>45187</v>
          </cell>
          <cell r="V4857">
            <v>45187</v>
          </cell>
          <cell r="W4857">
            <v>45187</v>
          </cell>
          <cell r="X4857">
            <v>41100691</v>
          </cell>
        </row>
        <row r="4858">
          <cell r="K4858" t="str">
            <v>DBW-3053</v>
          </cell>
          <cell r="L4858">
            <v>45169</v>
          </cell>
          <cell r="M4858">
            <v>45170</v>
          </cell>
          <cell r="N4858">
            <v>45180</v>
          </cell>
          <cell r="O4858">
            <v>45170</v>
          </cell>
          <cell r="P4858">
            <v>45181</v>
          </cell>
          <cell r="Q4858">
            <v>45181</v>
          </cell>
          <cell r="R4858">
            <v>45183</v>
          </cell>
          <cell r="S4858">
            <v>45183</v>
          </cell>
          <cell r="T4858">
            <v>45182</v>
          </cell>
          <cell r="U4858">
            <v>45184</v>
          </cell>
          <cell r="V4858">
            <v>45190</v>
          </cell>
          <cell r="W4858">
            <v>45190</v>
          </cell>
          <cell r="X4858">
            <v>41100691</v>
          </cell>
        </row>
        <row r="4859">
          <cell r="K4859" t="str">
            <v>DBW-3054</v>
          </cell>
          <cell r="L4859">
            <v>45169</v>
          </cell>
          <cell r="M4859">
            <v>45170</v>
          </cell>
          <cell r="N4859">
            <v>45180</v>
          </cell>
          <cell r="O4859">
            <v>45170</v>
          </cell>
          <cell r="P4859">
            <v>45181</v>
          </cell>
          <cell r="Q4859">
            <v>45181</v>
          </cell>
          <cell r="R4859">
            <v>45183</v>
          </cell>
          <cell r="S4859">
            <v>45183</v>
          </cell>
          <cell r="T4859">
            <v>45182</v>
          </cell>
          <cell r="U4859">
            <v>45188</v>
          </cell>
          <cell r="V4859">
            <v>45190</v>
          </cell>
          <cell r="W4859">
            <v>45190</v>
          </cell>
          <cell r="X4859">
            <v>41100691</v>
          </cell>
        </row>
        <row r="4860">
          <cell r="K4860" t="str">
            <v>DBW-3051</v>
          </cell>
          <cell r="L4860">
            <v>45163</v>
          </cell>
          <cell r="M4860">
            <v>45166</v>
          </cell>
          <cell r="N4860">
            <v>45174</v>
          </cell>
          <cell r="O4860">
            <v>45166</v>
          </cell>
          <cell r="P4860">
            <v>45174</v>
          </cell>
          <cell r="Q4860" t="str">
            <v>2023-09-04 → 9/5</v>
          </cell>
          <cell r="R4860">
            <v>45174</v>
          </cell>
          <cell r="S4860">
            <v>45175</v>
          </cell>
          <cell r="T4860">
            <v>45175</v>
          </cell>
          <cell r="U4860">
            <v>45180</v>
          </cell>
          <cell r="V4860">
            <v>45182</v>
          </cell>
          <cell r="W4860">
            <v>45182</v>
          </cell>
          <cell r="X4860">
            <v>41100692</v>
          </cell>
        </row>
        <row r="4861">
          <cell r="K4861" t="str">
            <v>GBWS-3628</v>
          </cell>
          <cell r="L4861">
            <v>45175</v>
          </cell>
          <cell r="M4861">
            <v>45176</v>
          </cell>
          <cell r="N4861">
            <v>45184</v>
          </cell>
          <cell r="O4861">
            <v>45176</v>
          </cell>
          <cell r="P4861">
            <v>45187</v>
          </cell>
          <cell r="Q4861">
            <v>45184</v>
          </cell>
          <cell r="R4861">
            <v>45187</v>
          </cell>
          <cell r="S4861">
            <v>45188</v>
          </cell>
          <cell r="T4861">
            <v>45188</v>
          </cell>
          <cell r="U4861">
            <v>45190</v>
          </cell>
          <cell r="V4861">
            <v>45191</v>
          </cell>
          <cell r="W4861">
            <v>45191</v>
          </cell>
          <cell r="X4861">
            <v>41100661</v>
          </cell>
        </row>
        <row r="4862">
          <cell r="K4862" t="str">
            <v>GBWS-3609</v>
          </cell>
          <cell r="L4862">
            <v>45169</v>
          </cell>
          <cell r="M4862">
            <v>45170</v>
          </cell>
          <cell r="N4862">
            <v>45180</v>
          </cell>
          <cell r="O4862">
            <v>45170</v>
          </cell>
          <cell r="P4862">
            <v>45180</v>
          </cell>
          <cell r="Q4862">
            <v>45180</v>
          </cell>
          <cell r="R4862">
            <v>45181</v>
          </cell>
          <cell r="S4862">
            <v>45184</v>
          </cell>
          <cell r="T4862">
            <v>45182</v>
          </cell>
          <cell r="U4862">
            <v>45188</v>
          </cell>
          <cell r="V4862">
            <v>45194</v>
          </cell>
          <cell r="W4862">
            <v>45194</v>
          </cell>
          <cell r="X4862">
            <v>41100318</v>
          </cell>
        </row>
        <row r="4863">
          <cell r="K4863" t="str">
            <v>IVAS-221</v>
          </cell>
          <cell r="L4863">
            <v>45125</v>
          </cell>
          <cell r="M4863">
            <v>45125</v>
          </cell>
          <cell r="N4863">
            <v>45133</v>
          </cell>
          <cell r="O4863">
            <v>45125</v>
          </cell>
          <cell r="P4863">
            <v>45139</v>
          </cell>
          <cell r="Q4863">
            <v>45133</v>
          </cell>
          <cell r="R4863">
            <v>45134</v>
          </cell>
          <cell r="S4863">
            <v>45145</v>
          </cell>
          <cell r="T4863">
            <v>45141</v>
          </cell>
          <cell r="U4863">
            <v>45156</v>
          </cell>
          <cell r="V4863">
            <v>45189</v>
          </cell>
          <cell r="W4863">
            <v>45189</v>
          </cell>
          <cell r="X4863">
            <v>41100273</v>
          </cell>
        </row>
        <row r="4864">
          <cell r="K4864" t="str">
            <v>IVAS-230</v>
          </cell>
          <cell r="L4864">
            <v>45173</v>
          </cell>
          <cell r="M4864">
            <v>45174</v>
          </cell>
          <cell r="N4864">
            <v>45180</v>
          </cell>
          <cell r="O4864">
            <v>45174</v>
          </cell>
          <cell r="P4864">
            <v>45187</v>
          </cell>
          <cell r="Q4864">
            <v>45182</v>
          </cell>
          <cell r="R4864">
            <v>45183</v>
          </cell>
          <cell r="S4864">
            <v>45183</v>
          </cell>
          <cell r="T4864">
            <v>45183</v>
          </cell>
          <cell r="U4864">
            <v>45191</v>
          </cell>
          <cell r="V4864">
            <v>45195</v>
          </cell>
          <cell r="W4864">
            <v>45195</v>
          </cell>
          <cell r="X4864">
            <v>41100603</v>
          </cell>
        </row>
        <row r="4865">
          <cell r="K4865"/>
          <cell r="L4865">
            <v>45189</v>
          </cell>
          <cell r="M4865">
            <v>45190</v>
          </cell>
          <cell r="N4865">
            <v>45194</v>
          </cell>
          <cell r="O4865">
            <v>45190</v>
          </cell>
          <cell r="P4865">
            <v>45194</v>
          </cell>
          <cell r="Q4865">
            <v>45194</v>
          </cell>
          <cell r="R4865">
            <v>45194</v>
          </cell>
          <cell r="S4865">
            <v>45194</v>
          </cell>
          <cell r="T4865">
            <v>45194</v>
          </cell>
          <cell r="U4865">
            <v>45194</v>
          </cell>
          <cell r="V4865">
            <v>45194</v>
          </cell>
          <cell r="W4865">
            <v>45194</v>
          </cell>
          <cell r="X4865">
            <v>31010312</v>
          </cell>
        </row>
        <row r="4866">
          <cell r="K4866"/>
          <cell r="L4866">
            <v>45166</v>
          </cell>
          <cell r="M4866" t="str">
            <v>2023-08-28 → 8/29</v>
          </cell>
          <cell r="N4866">
            <v>45176</v>
          </cell>
          <cell r="O4866" t="str">
            <v>2023-08-28 → 8/29</v>
          </cell>
          <cell r="P4866">
            <v>45180</v>
          </cell>
          <cell r="Q4866" t="str">
            <v>2023-09-08 → 9/13</v>
          </cell>
          <cell r="R4866" t="str">
            <v>2023-09-11 → 9/14</v>
          </cell>
          <cell r="S4866">
            <v>45177</v>
          </cell>
          <cell r="T4866">
            <v>45181</v>
          </cell>
          <cell r="U4866">
            <v>45181</v>
          </cell>
          <cell r="V4866">
            <v>45181</v>
          </cell>
          <cell r="W4866">
            <v>45181</v>
          </cell>
          <cell r="X4866">
            <v>31102294</v>
          </cell>
        </row>
        <row r="4867">
          <cell r="K4867"/>
          <cell r="L4867">
            <v>45166</v>
          </cell>
          <cell r="M4867" t="str">
            <v>2023-08-28 → 8/29</v>
          </cell>
          <cell r="N4867">
            <v>45176</v>
          </cell>
          <cell r="O4867" t="str">
            <v>2023-08-28 → 8/29</v>
          </cell>
          <cell r="P4867">
            <v>45180</v>
          </cell>
          <cell r="Q4867" t="str">
            <v>2023-09-08 → 9/13</v>
          </cell>
          <cell r="R4867" t="str">
            <v>2023-09-11 → 9/14</v>
          </cell>
          <cell r="S4867">
            <v>45177</v>
          </cell>
          <cell r="T4867">
            <v>45181</v>
          </cell>
          <cell r="U4867">
            <v>45181</v>
          </cell>
          <cell r="V4867">
            <v>45181</v>
          </cell>
          <cell r="W4867">
            <v>45181</v>
          </cell>
          <cell r="X4867">
            <v>31102303</v>
          </cell>
        </row>
        <row r="4868">
          <cell r="K4868"/>
          <cell r="L4868">
            <v>45166</v>
          </cell>
          <cell r="M4868" t="str">
            <v>2023-08-28 → 8/29</v>
          </cell>
          <cell r="N4868">
            <v>45176</v>
          </cell>
          <cell r="O4868" t="str">
            <v>2023-08-28 → 8/29</v>
          </cell>
          <cell r="P4868">
            <v>45180</v>
          </cell>
          <cell r="Q4868" t="str">
            <v>2023-09-08 → 9/15</v>
          </cell>
          <cell r="R4868" t="str">
            <v>2023-09-11 → 9/18</v>
          </cell>
          <cell r="S4868">
            <v>45177</v>
          </cell>
          <cell r="T4868">
            <v>45181</v>
          </cell>
          <cell r="U4868">
            <v>45181</v>
          </cell>
          <cell r="V4868">
            <v>45181</v>
          </cell>
          <cell r="W4868">
            <v>45181</v>
          </cell>
          <cell r="X4868">
            <v>31102257</v>
          </cell>
        </row>
        <row r="4869">
          <cell r="K4869" t="str">
            <v>GBWS-3199</v>
          </cell>
          <cell r="L4869">
            <v>44978</v>
          </cell>
          <cell r="M4869" t="str">
            <v>2023-02-22 → 2/27</v>
          </cell>
          <cell r="N4869">
            <v>44997</v>
          </cell>
          <cell r="O4869" t="str">
            <v>2023-02-22 → 2/27</v>
          </cell>
          <cell r="P4869">
            <v>45000</v>
          </cell>
          <cell r="Q4869" t="str">
            <v>2023-03-03 → 3/15</v>
          </cell>
          <cell r="R4869" t="str">
            <v>2023-03-03 → 3/15</v>
          </cell>
          <cell r="S4869">
            <v>45012</v>
          </cell>
          <cell r="T4869">
            <v>45012</v>
          </cell>
          <cell r="U4869">
            <v>45015</v>
          </cell>
          <cell r="V4869">
            <v>45016</v>
          </cell>
          <cell r="W4869">
            <v>45016</v>
          </cell>
          <cell r="X4869">
            <v>41100363</v>
          </cell>
        </row>
        <row r="4870">
          <cell r="K4870" t="str">
            <v>WS-0085</v>
          </cell>
          <cell r="L4870">
            <v>45149</v>
          </cell>
          <cell r="M4870">
            <v>45152</v>
          </cell>
          <cell r="N4870">
            <v>45159</v>
          </cell>
          <cell r="O4870">
            <v>45152</v>
          </cell>
          <cell r="P4870">
            <v>45160</v>
          </cell>
          <cell r="Q4870">
            <v>45160</v>
          </cell>
          <cell r="R4870">
            <v>45161</v>
          </cell>
          <cell r="S4870">
            <v>45161</v>
          </cell>
          <cell r="T4870">
            <v>45163</v>
          </cell>
          <cell r="U4870">
            <v>45166</v>
          </cell>
          <cell r="V4870">
            <v>45181</v>
          </cell>
          <cell r="W4870">
            <v>45181</v>
          </cell>
          <cell r="X4870">
            <v>41100435</v>
          </cell>
        </row>
        <row r="4871">
          <cell r="K4871" t="str">
            <v>GBWS-3637</v>
          </cell>
          <cell r="L4871">
            <v>45179</v>
          </cell>
          <cell r="M4871">
            <v>45180</v>
          </cell>
          <cell r="N4871">
            <v>45187</v>
          </cell>
          <cell r="O4871">
            <v>45180</v>
          </cell>
          <cell r="P4871">
            <v>45188</v>
          </cell>
          <cell r="Q4871">
            <v>45187</v>
          </cell>
          <cell r="R4871">
            <v>45188</v>
          </cell>
          <cell r="S4871">
            <v>45190</v>
          </cell>
          <cell r="T4871">
            <v>45189</v>
          </cell>
          <cell r="U4871">
            <v>45191</v>
          </cell>
          <cell r="V4871">
            <v>45194</v>
          </cell>
          <cell r="W4871">
            <v>45194</v>
          </cell>
          <cell r="X4871">
            <v>41100633</v>
          </cell>
        </row>
        <row r="4872">
          <cell r="K4872" t="str">
            <v>GBWS-3638</v>
          </cell>
          <cell r="L4872">
            <v>45179</v>
          </cell>
          <cell r="M4872">
            <v>45180</v>
          </cell>
          <cell r="N4872">
            <v>45187</v>
          </cell>
          <cell r="O4872">
            <v>45180</v>
          </cell>
          <cell r="P4872">
            <v>45189</v>
          </cell>
          <cell r="Q4872">
            <v>45188</v>
          </cell>
          <cell r="R4872">
            <v>45189</v>
          </cell>
          <cell r="S4872">
            <v>45190</v>
          </cell>
          <cell r="T4872">
            <v>45190</v>
          </cell>
          <cell r="U4872">
            <v>45195</v>
          </cell>
          <cell r="V4872">
            <v>45196</v>
          </cell>
          <cell r="W4872">
            <v>45196</v>
          </cell>
          <cell r="X4872">
            <v>41100328</v>
          </cell>
        </row>
        <row r="4873">
          <cell r="K4873" t="str">
            <v>GBWS-3642</v>
          </cell>
          <cell r="L4873">
            <v>45180</v>
          </cell>
          <cell r="M4873">
            <v>45181</v>
          </cell>
          <cell r="N4873">
            <v>45188</v>
          </cell>
          <cell r="O4873">
            <v>45181</v>
          </cell>
          <cell r="P4873">
            <v>45189</v>
          </cell>
          <cell r="Q4873">
            <v>45188</v>
          </cell>
          <cell r="R4873">
            <v>45189</v>
          </cell>
          <cell r="S4873">
            <v>45190</v>
          </cell>
          <cell r="T4873">
            <v>45190</v>
          </cell>
          <cell r="U4873">
            <v>45195</v>
          </cell>
          <cell r="V4873">
            <v>45196</v>
          </cell>
          <cell r="W4873">
            <v>45196</v>
          </cell>
          <cell r="X4873">
            <v>41100363</v>
          </cell>
        </row>
        <row r="4874">
          <cell r="K4874" t="str">
            <v>DBW-3058</v>
          </cell>
          <cell r="L4874">
            <v>45170</v>
          </cell>
          <cell r="M4874">
            <v>45173</v>
          </cell>
          <cell r="N4874">
            <v>45181</v>
          </cell>
          <cell r="O4874">
            <v>45173</v>
          </cell>
          <cell r="P4874">
            <v>45181</v>
          </cell>
          <cell r="Q4874">
            <v>45182</v>
          </cell>
          <cell r="R4874">
            <v>45183</v>
          </cell>
          <cell r="S4874">
            <v>45183</v>
          </cell>
          <cell r="T4874">
            <v>45182</v>
          </cell>
          <cell r="U4874">
            <v>45184</v>
          </cell>
          <cell r="V4874">
            <v>45187</v>
          </cell>
          <cell r="W4874">
            <v>45187</v>
          </cell>
          <cell r="X4874">
            <v>41000523</v>
          </cell>
        </row>
        <row r="4875">
          <cell r="K4875" t="str">
            <v>DBW-3059</v>
          </cell>
          <cell r="L4875">
            <v>45170</v>
          </cell>
          <cell r="M4875">
            <v>45173</v>
          </cell>
          <cell r="N4875">
            <v>45181</v>
          </cell>
          <cell r="O4875">
            <v>45173</v>
          </cell>
          <cell r="P4875">
            <v>45181</v>
          </cell>
          <cell r="Q4875">
            <v>45182</v>
          </cell>
          <cell r="R4875">
            <v>45183</v>
          </cell>
          <cell r="S4875">
            <v>45183</v>
          </cell>
          <cell r="T4875">
            <v>45182</v>
          </cell>
          <cell r="U4875">
            <v>45187</v>
          </cell>
          <cell r="V4875">
            <v>45190</v>
          </cell>
          <cell r="W4875">
            <v>45190</v>
          </cell>
          <cell r="X4875">
            <v>41000523</v>
          </cell>
        </row>
        <row r="4876">
          <cell r="K4876" t="str">
            <v>GBWS-3623</v>
          </cell>
          <cell r="L4876">
            <v>45174</v>
          </cell>
          <cell r="M4876">
            <v>45175</v>
          </cell>
          <cell r="N4876">
            <v>45180</v>
          </cell>
          <cell r="O4876">
            <v>45175</v>
          </cell>
          <cell r="P4876">
            <v>45182</v>
          </cell>
          <cell r="Q4876">
            <v>45184</v>
          </cell>
          <cell r="R4876">
            <v>45187</v>
          </cell>
          <cell r="S4876">
            <v>45187</v>
          </cell>
          <cell r="T4876">
            <v>45187</v>
          </cell>
          <cell r="U4876">
            <v>45189</v>
          </cell>
          <cell r="V4876">
            <v>45189</v>
          </cell>
          <cell r="W4876">
            <v>45189</v>
          </cell>
          <cell r="X4876">
            <v>41100558</v>
          </cell>
        </row>
        <row r="4877">
          <cell r="K4877" t="str">
            <v>GBWS-3624</v>
          </cell>
          <cell r="L4877">
            <v>45174</v>
          </cell>
          <cell r="M4877">
            <v>45175</v>
          </cell>
          <cell r="N4877">
            <v>45180</v>
          </cell>
          <cell r="O4877">
            <v>45175</v>
          </cell>
          <cell r="P4877">
            <v>45182</v>
          </cell>
          <cell r="Q4877">
            <v>45184</v>
          </cell>
          <cell r="R4877">
            <v>45187</v>
          </cell>
          <cell r="S4877">
            <v>45187</v>
          </cell>
          <cell r="T4877">
            <v>45187</v>
          </cell>
          <cell r="U4877">
            <v>45189</v>
          </cell>
          <cell r="V4877">
            <v>45190</v>
          </cell>
          <cell r="W4877">
            <v>45190</v>
          </cell>
          <cell r="X4877">
            <v>41100558</v>
          </cell>
        </row>
        <row r="4878">
          <cell r="K4878" t="str">
            <v>GBWS-3625</v>
          </cell>
          <cell r="L4878">
            <v>45174</v>
          </cell>
          <cell r="M4878">
            <v>45175</v>
          </cell>
          <cell r="N4878">
            <v>45180</v>
          </cell>
          <cell r="O4878">
            <v>45175</v>
          </cell>
          <cell r="P4878">
            <v>45182</v>
          </cell>
          <cell r="Q4878">
            <v>45184</v>
          </cell>
          <cell r="R4878">
            <v>45187</v>
          </cell>
          <cell r="S4878">
            <v>45187</v>
          </cell>
          <cell r="T4878">
            <v>45187</v>
          </cell>
          <cell r="U4878">
            <v>45189</v>
          </cell>
          <cell r="V4878">
            <v>45190</v>
          </cell>
          <cell r="W4878">
            <v>45190</v>
          </cell>
          <cell r="X4878">
            <v>41100558</v>
          </cell>
        </row>
        <row r="4879">
          <cell r="K4879" t="str">
            <v>GBWS-3610</v>
          </cell>
          <cell r="L4879">
            <v>45169</v>
          </cell>
          <cell r="M4879">
            <v>45170</v>
          </cell>
          <cell r="N4879">
            <v>45180</v>
          </cell>
          <cell r="O4879">
            <v>45170</v>
          </cell>
          <cell r="P4879">
            <v>45181</v>
          </cell>
          <cell r="Q4879">
            <v>45180</v>
          </cell>
          <cell r="R4879">
            <v>45181</v>
          </cell>
          <cell r="S4879">
            <v>45183</v>
          </cell>
          <cell r="T4879">
            <v>45182</v>
          </cell>
          <cell r="U4879">
            <v>45184</v>
          </cell>
          <cell r="V4879">
            <v>45187</v>
          </cell>
          <cell r="W4879">
            <v>45187</v>
          </cell>
          <cell r="X4879">
            <v>41100560</v>
          </cell>
        </row>
        <row r="4880">
          <cell r="K4880" t="str">
            <v>GBWS-3611</v>
          </cell>
          <cell r="L4880">
            <v>45169</v>
          </cell>
          <cell r="M4880">
            <v>45170</v>
          </cell>
          <cell r="N4880">
            <v>45180</v>
          </cell>
          <cell r="O4880">
            <v>45170</v>
          </cell>
          <cell r="P4880">
            <v>45181</v>
          </cell>
          <cell r="Q4880">
            <v>45180</v>
          </cell>
          <cell r="R4880">
            <v>45181</v>
          </cell>
          <cell r="S4880">
            <v>45183</v>
          </cell>
          <cell r="T4880">
            <v>45182</v>
          </cell>
          <cell r="U4880">
            <v>45184</v>
          </cell>
          <cell r="V4880">
            <v>45187</v>
          </cell>
          <cell r="W4880">
            <v>45187</v>
          </cell>
          <cell r="X4880">
            <v>41100560</v>
          </cell>
        </row>
        <row r="4881">
          <cell r="K4881" t="str">
            <v>GBWS-3612</v>
          </cell>
          <cell r="L4881">
            <v>45169</v>
          </cell>
          <cell r="M4881">
            <v>45170</v>
          </cell>
          <cell r="N4881">
            <v>45180</v>
          </cell>
          <cell r="O4881">
            <v>45170</v>
          </cell>
          <cell r="P4881">
            <v>45181</v>
          </cell>
          <cell r="Q4881">
            <v>45180</v>
          </cell>
          <cell r="R4881">
            <v>45181</v>
          </cell>
          <cell r="S4881">
            <v>45183</v>
          </cell>
          <cell r="T4881">
            <v>45182</v>
          </cell>
          <cell r="U4881">
            <v>45184</v>
          </cell>
          <cell r="V4881">
            <v>45187</v>
          </cell>
          <cell r="W4881">
            <v>45187</v>
          </cell>
          <cell r="X4881">
            <v>41100560</v>
          </cell>
        </row>
        <row r="4882">
          <cell r="K4882" t="str">
            <v>GBWS-3631</v>
          </cell>
          <cell r="L4882">
            <v>45175</v>
          </cell>
          <cell r="M4882">
            <v>45176</v>
          </cell>
          <cell r="N4882">
            <v>45184</v>
          </cell>
          <cell r="O4882">
            <v>45176</v>
          </cell>
          <cell r="P4882">
            <v>45187</v>
          </cell>
          <cell r="Q4882">
            <v>45184</v>
          </cell>
          <cell r="R4882">
            <v>45187</v>
          </cell>
          <cell r="S4882">
            <v>45188</v>
          </cell>
          <cell r="T4882">
            <v>45188</v>
          </cell>
          <cell r="U4882">
            <v>45190</v>
          </cell>
          <cell r="V4882">
            <v>45194</v>
          </cell>
          <cell r="W4882">
            <v>45194</v>
          </cell>
          <cell r="X4882">
            <v>41100566</v>
          </cell>
        </row>
        <row r="4883">
          <cell r="K4883" t="str">
            <v>GBWS-3632</v>
          </cell>
          <cell r="L4883">
            <v>45175</v>
          </cell>
          <cell r="M4883">
            <v>45176</v>
          </cell>
          <cell r="N4883">
            <v>45184</v>
          </cell>
          <cell r="O4883">
            <v>45176</v>
          </cell>
          <cell r="P4883">
            <v>45187</v>
          </cell>
          <cell r="Q4883">
            <v>45184</v>
          </cell>
          <cell r="R4883">
            <v>45187</v>
          </cell>
          <cell r="S4883">
            <v>45188</v>
          </cell>
          <cell r="T4883">
            <v>45188</v>
          </cell>
          <cell r="U4883">
            <v>45190</v>
          </cell>
          <cell r="V4883">
            <v>45194</v>
          </cell>
          <cell r="W4883">
            <v>45194</v>
          </cell>
          <cell r="X4883">
            <v>41100566</v>
          </cell>
        </row>
        <row r="4884">
          <cell r="K4884" t="str">
            <v>GBWS-3633</v>
          </cell>
          <cell r="L4884">
            <v>45175</v>
          </cell>
          <cell r="M4884">
            <v>45176</v>
          </cell>
          <cell r="N4884">
            <v>45184</v>
          </cell>
          <cell r="O4884">
            <v>45176</v>
          </cell>
          <cell r="P4884">
            <v>45187</v>
          </cell>
          <cell r="Q4884">
            <v>45184</v>
          </cell>
          <cell r="R4884">
            <v>45187</v>
          </cell>
          <cell r="S4884">
            <v>45188</v>
          </cell>
          <cell r="T4884">
            <v>45188</v>
          </cell>
          <cell r="U4884">
            <v>45190</v>
          </cell>
          <cell r="V4884">
            <v>45191</v>
          </cell>
          <cell r="W4884">
            <v>45191</v>
          </cell>
          <cell r="X4884">
            <v>41100566</v>
          </cell>
        </row>
        <row r="4885">
          <cell r="K4885" t="str">
            <v>GBWS-3626</v>
          </cell>
          <cell r="L4885">
            <v>45174</v>
          </cell>
          <cell r="M4885">
            <v>45175</v>
          </cell>
          <cell r="N4885">
            <v>45183</v>
          </cell>
          <cell r="O4885">
            <v>45175</v>
          </cell>
          <cell r="P4885">
            <v>45184</v>
          </cell>
          <cell r="Q4885">
            <v>45183</v>
          </cell>
          <cell r="R4885">
            <v>45184</v>
          </cell>
          <cell r="S4885">
            <v>45187</v>
          </cell>
          <cell r="T4885">
            <v>45187</v>
          </cell>
          <cell r="U4885">
            <v>45189</v>
          </cell>
          <cell r="V4885">
            <v>45190</v>
          </cell>
          <cell r="W4885">
            <v>45190</v>
          </cell>
          <cell r="X4885">
            <v>41100642</v>
          </cell>
        </row>
        <row r="4886">
          <cell r="K4886" t="str">
            <v>GBWS-3627</v>
          </cell>
          <cell r="L4886">
            <v>45174</v>
          </cell>
          <cell r="M4886">
            <v>45175</v>
          </cell>
          <cell r="N4886">
            <v>45183</v>
          </cell>
          <cell r="O4886">
            <v>45175</v>
          </cell>
          <cell r="P4886">
            <v>45184</v>
          </cell>
          <cell r="Q4886">
            <v>45183</v>
          </cell>
          <cell r="R4886">
            <v>45184</v>
          </cell>
          <cell r="S4886">
            <v>45187</v>
          </cell>
          <cell r="T4886">
            <v>45187</v>
          </cell>
          <cell r="U4886">
            <v>45189</v>
          </cell>
          <cell r="V4886">
            <v>45190</v>
          </cell>
          <cell r="W4886">
            <v>45190</v>
          </cell>
          <cell r="X4886">
            <v>41100642</v>
          </cell>
        </row>
        <row r="4887">
          <cell r="K4887" t="str">
            <v>GBWS-3643</v>
          </cell>
          <cell r="L4887">
            <v>45180</v>
          </cell>
          <cell r="M4887">
            <v>45181</v>
          </cell>
          <cell r="N4887">
            <v>45188</v>
          </cell>
          <cell r="O4887">
            <v>45181</v>
          </cell>
          <cell r="P4887">
            <v>45189</v>
          </cell>
          <cell r="Q4887">
            <v>45188</v>
          </cell>
          <cell r="R4887">
            <v>45189</v>
          </cell>
          <cell r="S4887">
            <v>45191</v>
          </cell>
          <cell r="T4887">
            <v>45191</v>
          </cell>
          <cell r="U4887">
            <v>45195</v>
          </cell>
          <cell r="V4887">
            <v>45196</v>
          </cell>
          <cell r="W4887">
            <v>45196</v>
          </cell>
          <cell r="X4887">
            <v>41100564</v>
          </cell>
        </row>
        <row r="4888">
          <cell r="K4888" t="str">
            <v>GBA-0122</v>
          </cell>
          <cell r="L4888">
            <v>45180</v>
          </cell>
          <cell r="M4888" t="str">
            <v>2023-09-19 → 9/12</v>
          </cell>
          <cell r="N4888">
            <v>45189</v>
          </cell>
          <cell r="O4888" t="str">
            <v>2023-09-19 → 9/12</v>
          </cell>
          <cell r="P4888">
            <v>45189</v>
          </cell>
          <cell r="Q4888" t="str">
            <v>2023-10-02 → 9/20</v>
          </cell>
          <cell r="R4888" t="str">
            <v>2023-10-04 → 9/21</v>
          </cell>
          <cell r="S4888">
            <v>45189</v>
          </cell>
          <cell r="T4888">
            <v>45189</v>
          </cell>
          <cell r="U4888">
            <v>45195</v>
          </cell>
          <cell r="V4888">
            <v>45204</v>
          </cell>
          <cell r="W4888">
            <v>45204</v>
          </cell>
          <cell r="X4888">
            <v>41000519</v>
          </cell>
        </row>
        <row r="4889">
          <cell r="K4889" t="str">
            <v>GBA-0123</v>
          </cell>
          <cell r="L4889">
            <v>45180</v>
          </cell>
          <cell r="M4889" t="str">
            <v>2023-09-19 → 9/12</v>
          </cell>
          <cell r="N4889">
            <v>45189</v>
          </cell>
          <cell r="O4889" t="str">
            <v>2023-09-19 → 9/12</v>
          </cell>
          <cell r="P4889">
            <v>45189</v>
          </cell>
          <cell r="Q4889" t="str">
            <v>2023-10-02 → 9/20</v>
          </cell>
          <cell r="R4889" t="str">
            <v>2023-10-04 → 9/21</v>
          </cell>
          <cell r="S4889">
            <v>45189</v>
          </cell>
          <cell r="T4889">
            <v>45189</v>
          </cell>
          <cell r="U4889">
            <v>45196</v>
          </cell>
          <cell r="V4889">
            <v>45204</v>
          </cell>
          <cell r="W4889">
            <v>45204</v>
          </cell>
          <cell r="X4889">
            <v>41000519</v>
          </cell>
        </row>
        <row r="4890">
          <cell r="K4890" t="str">
            <v>GBA-0124</v>
          </cell>
          <cell r="L4890">
            <v>45180</v>
          </cell>
          <cell r="M4890" t="str">
            <v>2023-09-19 → 9/12</v>
          </cell>
          <cell r="N4890">
            <v>45189</v>
          </cell>
          <cell r="O4890" t="str">
            <v>2023-09-19 → 9/12</v>
          </cell>
          <cell r="P4890">
            <v>45189</v>
          </cell>
          <cell r="Q4890" t="str">
            <v>2023-10-02 → 9/20</v>
          </cell>
          <cell r="R4890" t="str">
            <v>2023-10-04 → 9/21</v>
          </cell>
          <cell r="S4890">
            <v>45189</v>
          </cell>
          <cell r="T4890">
            <v>45189</v>
          </cell>
          <cell r="U4890">
            <v>45195</v>
          </cell>
          <cell r="V4890">
            <v>45204</v>
          </cell>
          <cell r="W4890">
            <v>45204</v>
          </cell>
          <cell r="X4890">
            <v>41000519</v>
          </cell>
        </row>
        <row r="4891">
          <cell r="K4891" t="str">
            <v>GBWS-3663</v>
          </cell>
          <cell r="L4891">
            <v>45182</v>
          </cell>
          <cell r="M4891">
            <v>45183</v>
          </cell>
          <cell r="N4891">
            <v>45190</v>
          </cell>
          <cell r="O4891">
            <v>45183</v>
          </cell>
          <cell r="P4891">
            <v>45191</v>
          </cell>
          <cell r="Q4891">
            <v>45190</v>
          </cell>
          <cell r="R4891">
            <v>45191</v>
          </cell>
          <cell r="S4891">
            <v>45194</v>
          </cell>
          <cell r="T4891">
            <v>45194</v>
          </cell>
          <cell r="U4891">
            <v>45203</v>
          </cell>
          <cell r="V4891">
            <v>45203</v>
          </cell>
          <cell r="W4891">
            <v>45203</v>
          </cell>
          <cell r="X4891">
            <v>41100699</v>
          </cell>
        </row>
        <row r="4892">
          <cell r="K4892" t="str">
            <v>GBWS-3662</v>
          </cell>
          <cell r="L4892">
            <v>45182</v>
          </cell>
          <cell r="M4892">
            <v>45183</v>
          </cell>
          <cell r="N4892">
            <v>45190</v>
          </cell>
          <cell r="O4892">
            <v>45183</v>
          </cell>
          <cell r="P4892">
            <v>45191</v>
          </cell>
          <cell r="Q4892">
            <v>45190</v>
          </cell>
          <cell r="R4892">
            <v>45191</v>
          </cell>
          <cell r="S4892">
            <v>45194</v>
          </cell>
          <cell r="T4892">
            <v>45194</v>
          </cell>
          <cell r="U4892">
            <v>45203</v>
          </cell>
          <cell r="V4892">
            <v>45204</v>
          </cell>
          <cell r="W4892">
            <v>45204</v>
          </cell>
          <cell r="X4892">
            <v>41100699</v>
          </cell>
        </row>
        <row r="4893">
          <cell r="K4893" t="str">
            <v>GBWS-3634</v>
          </cell>
          <cell r="L4893">
            <v>45176</v>
          </cell>
          <cell r="M4893">
            <v>45177</v>
          </cell>
          <cell r="N4893">
            <v>45184</v>
          </cell>
          <cell r="O4893">
            <v>45177</v>
          </cell>
          <cell r="P4893">
            <v>45188</v>
          </cell>
          <cell r="Q4893">
            <v>45187</v>
          </cell>
          <cell r="R4893">
            <v>45188</v>
          </cell>
          <cell r="S4893">
            <v>45189</v>
          </cell>
          <cell r="T4893">
            <v>45189</v>
          </cell>
          <cell r="U4893">
            <v>45191</v>
          </cell>
          <cell r="V4893">
            <v>45194</v>
          </cell>
          <cell r="W4893">
            <v>45194</v>
          </cell>
          <cell r="X4893">
            <v>41100698</v>
          </cell>
        </row>
        <row r="4894">
          <cell r="K4894" t="str">
            <v>GBWS-3635</v>
          </cell>
          <cell r="L4894">
            <v>45176</v>
          </cell>
          <cell r="M4894">
            <v>45177</v>
          </cell>
          <cell r="N4894">
            <v>45184</v>
          </cell>
          <cell r="O4894">
            <v>45177</v>
          </cell>
          <cell r="P4894">
            <v>45188</v>
          </cell>
          <cell r="Q4894">
            <v>45187</v>
          </cell>
          <cell r="R4894">
            <v>45188</v>
          </cell>
          <cell r="S4894">
            <v>45189</v>
          </cell>
          <cell r="T4894">
            <v>45189</v>
          </cell>
          <cell r="U4894">
            <v>45196</v>
          </cell>
          <cell r="V4894">
            <v>45196</v>
          </cell>
          <cell r="W4894">
            <v>45196</v>
          </cell>
          <cell r="X4894">
            <v>41100698</v>
          </cell>
        </row>
        <row r="4895">
          <cell r="K4895" t="str">
            <v>GBWS-3665</v>
          </cell>
          <cell r="L4895">
            <v>45182</v>
          </cell>
          <cell r="M4895">
            <v>45183</v>
          </cell>
          <cell r="N4895">
            <v>45190</v>
          </cell>
          <cell r="O4895">
            <v>45183</v>
          </cell>
          <cell r="P4895">
            <v>45191</v>
          </cell>
          <cell r="Q4895">
            <v>45190</v>
          </cell>
          <cell r="R4895">
            <v>45191</v>
          </cell>
          <cell r="S4895">
            <v>45194</v>
          </cell>
          <cell r="T4895">
            <v>45194</v>
          </cell>
          <cell r="U4895">
            <v>45203</v>
          </cell>
          <cell r="V4895">
            <v>45204</v>
          </cell>
          <cell r="W4895">
            <v>45204</v>
          </cell>
          <cell r="X4895">
            <v>41100698</v>
          </cell>
        </row>
        <row r="4896">
          <cell r="K4896" t="str">
            <v>GBWS-3666</v>
          </cell>
          <cell r="L4896">
            <v>45182</v>
          </cell>
          <cell r="M4896">
            <v>45183</v>
          </cell>
          <cell r="N4896">
            <v>45190</v>
          </cell>
          <cell r="O4896">
            <v>45183</v>
          </cell>
          <cell r="P4896">
            <v>45191</v>
          </cell>
          <cell r="Q4896">
            <v>45190</v>
          </cell>
          <cell r="R4896">
            <v>45191</v>
          </cell>
          <cell r="S4896">
            <v>45194</v>
          </cell>
          <cell r="T4896">
            <v>45194</v>
          </cell>
          <cell r="U4896">
            <v>45196</v>
          </cell>
          <cell r="V4896">
            <v>45203</v>
          </cell>
          <cell r="W4896">
            <v>45203</v>
          </cell>
          <cell r="X4896">
            <v>41100698</v>
          </cell>
        </row>
        <row r="4897">
          <cell r="K4897" t="str">
            <v>GBWS-3667</v>
          </cell>
          <cell r="L4897">
            <v>45182</v>
          </cell>
          <cell r="M4897">
            <v>45183</v>
          </cell>
          <cell r="N4897">
            <v>45190</v>
          </cell>
          <cell r="O4897">
            <v>45183</v>
          </cell>
          <cell r="P4897">
            <v>45191</v>
          </cell>
          <cell r="Q4897">
            <v>45190</v>
          </cell>
          <cell r="R4897">
            <v>45191</v>
          </cell>
          <cell r="S4897">
            <v>45194</v>
          </cell>
          <cell r="T4897">
            <v>45194</v>
          </cell>
          <cell r="U4897">
            <v>45196</v>
          </cell>
          <cell r="V4897">
            <v>45203</v>
          </cell>
          <cell r="W4897">
            <v>45203</v>
          </cell>
          <cell r="X4897">
            <v>41100698</v>
          </cell>
        </row>
        <row r="4898">
          <cell r="K4898" t="str">
            <v>GBWS-3664</v>
          </cell>
          <cell r="L4898">
            <v>45182</v>
          </cell>
          <cell r="M4898">
            <v>45183</v>
          </cell>
          <cell r="N4898">
            <v>45191</v>
          </cell>
          <cell r="O4898">
            <v>45183</v>
          </cell>
          <cell r="P4898">
            <v>45194</v>
          </cell>
          <cell r="Q4898">
            <v>45191</v>
          </cell>
          <cell r="R4898">
            <v>45194</v>
          </cell>
          <cell r="S4898">
            <v>45195</v>
          </cell>
          <cell r="T4898">
            <v>45195</v>
          </cell>
          <cell r="U4898">
            <v>45203</v>
          </cell>
          <cell r="V4898">
            <v>45204</v>
          </cell>
          <cell r="W4898">
            <v>45204</v>
          </cell>
          <cell r="X4898">
            <v>41100564</v>
          </cell>
        </row>
        <row r="4899">
          <cell r="K4899" t="str">
            <v>GBWS-3651</v>
          </cell>
          <cell r="L4899">
            <v>45180</v>
          </cell>
          <cell r="M4899">
            <v>45181</v>
          </cell>
          <cell r="N4899">
            <v>45189</v>
          </cell>
          <cell r="O4899">
            <v>45181</v>
          </cell>
          <cell r="P4899">
            <v>45190</v>
          </cell>
          <cell r="Q4899">
            <v>45189</v>
          </cell>
          <cell r="R4899">
            <v>45190</v>
          </cell>
          <cell r="S4899">
            <v>45191</v>
          </cell>
          <cell r="T4899">
            <v>45191</v>
          </cell>
          <cell r="U4899">
            <v>45195</v>
          </cell>
          <cell r="V4899">
            <v>45196</v>
          </cell>
          <cell r="W4899">
            <v>45196</v>
          </cell>
          <cell r="X4899">
            <v>41100701</v>
          </cell>
        </row>
        <row r="4900">
          <cell r="K4900" t="str">
            <v>GBWS-3613</v>
          </cell>
          <cell r="L4900">
            <v>45170</v>
          </cell>
          <cell r="M4900">
            <v>45173</v>
          </cell>
          <cell r="N4900">
            <v>45180</v>
          </cell>
          <cell r="O4900">
            <v>45173</v>
          </cell>
          <cell r="P4900">
            <v>45182</v>
          </cell>
          <cell r="Q4900">
            <v>45181</v>
          </cell>
          <cell r="R4900">
            <v>45182</v>
          </cell>
          <cell r="S4900">
            <v>45184</v>
          </cell>
          <cell r="T4900">
            <v>45183</v>
          </cell>
          <cell r="U4900">
            <v>45187</v>
          </cell>
          <cell r="V4900">
            <v>45187</v>
          </cell>
          <cell r="W4900">
            <v>45187</v>
          </cell>
          <cell r="X4900">
            <v>41100702</v>
          </cell>
        </row>
        <row r="4901">
          <cell r="K4901" t="str">
            <v>GBWS-3644</v>
          </cell>
          <cell r="L4901">
            <v>45180</v>
          </cell>
          <cell r="M4901">
            <v>45181</v>
          </cell>
          <cell r="N4901">
            <v>45188</v>
          </cell>
          <cell r="O4901">
            <v>45181</v>
          </cell>
          <cell r="P4901">
            <v>45191</v>
          </cell>
          <cell r="Q4901">
            <v>45190</v>
          </cell>
          <cell r="R4901">
            <v>45191</v>
          </cell>
          <cell r="S4901">
            <v>45194</v>
          </cell>
          <cell r="T4901">
            <v>45194</v>
          </cell>
          <cell r="U4901">
            <v>45196</v>
          </cell>
          <cell r="V4901">
            <v>45203</v>
          </cell>
          <cell r="W4901">
            <v>45203</v>
          </cell>
          <cell r="X4901">
            <v>41100516</v>
          </cell>
        </row>
        <row r="4902">
          <cell r="K4902" t="str">
            <v>GBWS-3645</v>
          </cell>
          <cell r="L4902">
            <v>45180</v>
          </cell>
          <cell r="M4902">
            <v>45181</v>
          </cell>
          <cell r="N4902">
            <v>45188</v>
          </cell>
          <cell r="O4902">
            <v>45181</v>
          </cell>
          <cell r="P4902">
            <v>45191</v>
          </cell>
          <cell r="Q4902">
            <v>45190</v>
          </cell>
          <cell r="R4902">
            <v>45191</v>
          </cell>
          <cell r="S4902">
            <v>45194</v>
          </cell>
          <cell r="T4902">
            <v>45194</v>
          </cell>
          <cell r="U4902">
            <v>45196</v>
          </cell>
          <cell r="V4902">
            <v>45203</v>
          </cell>
          <cell r="W4902">
            <v>45203</v>
          </cell>
          <cell r="X4902">
            <v>41100564</v>
          </cell>
        </row>
        <row r="4903">
          <cell r="K4903" t="str">
            <v>GBWS-3646</v>
          </cell>
          <cell r="L4903">
            <v>45180</v>
          </cell>
          <cell r="M4903">
            <v>45181</v>
          </cell>
          <cell r="N4903">
            <v>45188</v>
          </cell>
          <cell r="O4903">
            <v>45181</v>
          </cell>
          <cell r="P4903">
            <v>45191</v>
          </cell>
          <cell r="Q4903">
            <v>45190</v>
          </cell>
          <cell r="R4903">
            <v>45191</v>
          </cell>
          <cell r="S4903">
            <v>45194</v>
          </cell>
          <cell r="T4903">
            <v>45194</v>
          </cell>
          <cell r="U4903">
            <v>45195</v>
          </cell>
          <cell r="V4903">
            <v>45203</v>
          </cell>
          <cell r="W4903">
            <v>45203</v>
          </cell>
          <cell r="X4903">
            <v>41100662</v>
          </cell>
        </row>
        <row r="4904">
          <cell r="K4904" t="str">
            <v>GBWS-3647</v>
          </cell>
          <cell r="L4904">
            <v>45180</v>
          </cell>
          <cell r="M4904">
            <v>45181</v>
          </cell>
          <cell r="N4904">
            <v>45189</v>
          </cell>
          <cell r="O4904">
            <v>45181</v>
          </cell>
          <cell r="P4904">
            <v>45190</v>
          </cell>
          <cell r="Q4904">
            <v>45189</v>
          </cell>
          <cell r="R4904">
            <v>45190</v>
          </cell>
          <cell r="S4904">
            <v>45191</v>
          </cell>
          <cell r="T4904">
            <v>45191</v>
          </cell>
          <cell r="U4904">
            <v>45203</v>
          </cell>
          <cell r="V4904">
            <v>45204</v>
          </cell>
          <cell r="W4904">
            <v>45204</v>
          </cell>
          <cell r="X4904">
            <v>41100564</v>
          </cell>
        </row>
        <row r="4905">
          <cell r="K4905" t="str">
            <v>GBWS-3648</v>
          </cell>
          <cell r="L4905">
            <v>45180</v>
          </cell>
          <cell r="M4905">
            <v>45181</v>
          </cell>
          <cell r="N4905">
            <v>45189</v>
          </cell>
          <cell r="O4905">
            <v>45181</v>
          </cell>
          <cell r="P4905">
            <v>45190</v>
          </cell>
          <cell r="Q4905">
            <v>45189</v>
          </cell>
          <cell r="R4905">
            <v>45190</v>
          </cell>
          <cell r="S4905">
            <v>45191</v>
          </cell>
          <cell r="T4905">
            <v>45191</v>
          </cell>
          <cell r="U4905">
            <v>45203</v>
          </cell>
          <cell r="V4905">
            <v>45204</v>
          </cell>
          <cell r="W4905">
            <v>45204</v>
          </cell>
          <cell r="X4905">
            <v>41100564</v>
          </cell>
        </row>
        <row r="4906">
          <cell r="K4906" t="str">
            <v>GBWS-3649</v>
          </cell>
          <cell r="L4906">
            <v>45180</v>
          </cell>
          <cell r="M4906">
            <v>45181</v>
          </cell>
          <cell r="N4906">
            <v>45189</v>
          </cell>
          <cell r="O4906">
            <v>45181</v>
          </cell>
          <cell r="P4906">
            <v>45190</v>
          </cell>
          <cell r="Q4906">
            <v>45189</v>
          </cell>
          <cell r="R4906">
            <v>45190</v>
          </cell>
          <cell r="S4906">
            <v>45191</v>
          </cell>
          <cell r="T4906">
            <v>45191</v>
          </cell>
          <cell r="U4906">
            <v>45203</v>
          </cell>
          <cell r="V4906">
            <v>45204</v>
          </cell>
          <cell r="W4906">
            <v>45204</v>
          </cell>
          <cell r="X4906">
            <v>41100564</v>
          </cell>
        </row>
        <row r="4907">
          <cell r="K4907" t="str">
            <v>GBWS-3650</v>
          </cell>
          <cell r="L4907">
            <v>45180</v>
          </cell>
          <cell r="M4907">
            <v>45181</v>
          </cell>
          <cell r="N4907">
            <v>45189</v>
          </cell>
          <cell r="O4907">
            <v>45181</v>
          </cell>
          <cell r="P4907">
            <v>45190</v>
          </cell>
          <cell r="Q4907">
            <v>45189</v>
          </cell>
          <cell r="R4907">
            <v>45190</v>
          </cell>
          <cell r="S4907">
            <v>45191</v>
          </cell>
          <cell r="T4907">
            <v>45191</v>
          </cell>
          <cell r="U4907">
            <v>45203</v>
          </cell>
          <cell r="V4907">
            <v>45204</v>
          </cell>
          <cell r="W4907">
            <v>45204</v>
          </cell>
          <cell r="X4907">
            <v>41100564</v>
          </cell>
        </row>
        <row r="4908">
          <cell r="K4908" t="str">
            <v>GBWS-3094</v>
          </cell>
          <cell r="L4908">
            <v>44903</v>
          </cell>
          <cell r="M4908">
            <v>44904</v>
          </cell>
          <cell r="N4908">
            <v>44915</v>
          </cell>
          <cell r="O4908">
            <v>44904</v>
          </cell>
          <cell r="P4908">
            <v>44915</v>
          </cell>
          <cell r="Q4908">
            <v>44915</v>
          </cell>
          <cell r="R4908">
            <v>44915</v>
          </cell>
          <cell r="S4908"/>
          <cell r="T4908">
            <v>44916</v>
          </cell>
          <cell r="U4908">
            <v>44917</v>
          </cell>
          <cell r="V4908">
            <v>44918</v>
          </cell>
          <cell r="W4908">
            <v>44918</v>
          </cell>
          <cell r="X4908">
            <v>41100320</v>
          </cell>
        </row>
        <row r="4909">
          <cell r="K4909" t="str">
            <v>GBWS-3615</v>
          </cell>
          <cell r="L4909">
            <v>45173</v>
          </cell>
          <cell r="M4909" t="str">
            <v>2023-05-25 → 9/5</v>
          </cell>
          <cell r="N4909">
            <v>45182</v>
          </cell>
          <cell r="O4909" t="str">
            <v>2023-05-25 → 9/5</v>
          </cell>
          <cell r="P4909">
            <v>45182</v>
          </cell>
          <cell r="Q4909" t="str">
            <v>2023-06-07 → 9/13</v>
          </cell>
          <cell r="R4909" t="str">
            <v>2023-06-08 → 9/14</v>
          </cell>
          <cell r="S4909">
            <v>45184</v>
          </cell>
          <cell r="T4909">
            <v>45184</v>
          </cell>
          <cell r="U4909">
            <v>45187</v>
          </cell>
          <cell r="V4909">
            <v>45188</v>
          </cell>
          <cell r="W4909">
            <v>45188</v>
          </cell>
          <cell r="X4909" t="str">
            <v>41100645 → 41100673</v>
          </cell>
        </row>
        <row r="4910">
          <cell r="K4910" t="str">
            <v>GBWS-3616</v>
          </cell>
          <cell r="L4910">
            <v>45173</v>
          </cell>
          <cell r="M4910" t="str">
            <v>2023-05-25 → 9/5</v>
          </cell>
          <cell r="N4910">
            <v>45182</v>
          </cell>
          <cell r="O4910" t="str">
            <v>2023-05-25 → 9/5</v>
          </cell>
          <cell r="P4910">
            <v>45182</v>
          </cell>
          <cell r="Q4910" t="str">
            <v>2023-06-07 → 9/13</v>
          </cell>
          <cell r="R4910" t="str">
            <v>2023-06-08 → 9/14</v>
          </cell>
          <cell r="S4910">
            <v>45184</v>
          </cell>
          <cell r="T4910">
            <v>45184</v>
          </cell>
          <cell r="U4910">
            <v>45187</v>
          </cell>
          <cell r="V4910">
            <v>45188</v>
          </cell>
          <cell r="W4910">
            <v>45188</v>
          </cell>
          <cell r="X4910" t="str">
            <v>41100645 → 41100673</v>
          </cell>
        </row>
        <row r="4911">
          <cell r="K4911" t="str">
            <v>DBW-3052</v>
          </cell>
          <cell r="L4911">
            <v>45166</v>
          </cell>
          <cell r="M4911">
            <v>45167</v>
          </cell>
          <cell r="N4911">
            <v>45175</v>
          </cell>
          <cell r="O4911">
            <v>45167</v>
          </cell>
          <cell r="P4911">
            <v>45176</v>
          </cell>
          <cell r="Q4911">
            <v>45175</v>
          </cell>
          <cell r="R4911">
            <v>45176</v>
          </cell>
          <cell r="S4911">
            <v>45180</v>
          </cell>
          <cell r="T4911">
            <v>45180</v>
          </cell>
          <cell r="U4911">
            <v>45181</v>
          </cell>
          <cell r="V4911">
            <v>45182</v>
          </cell>
          <cell r="W4911">
            <v>45182</v>
          </cell>
          <cell r="X4911">
            <v>41100681</v>
          </cell>
        </row>
        <row r="4912">
          <cell r="K4912" t="str">
            <v>DBW-2994</v>
          </cell>
          <cell r="L4912">
            <v>45089</v>
          </cell>
          <cell r="M4912">
            <v>45090</v>
          </cell>
          <cell r="N4912">
            <v>45099</v>
          </cell>
          <cell r="O4912">
            <v>45090</v>
          </cell>
          <cell r="P4912">
            <v>45100</v>
          </cell>
          <cell r="Q4912" t="str">
            <v>2023-06-20 → 6/23</v>
          </cell>
          <cell r="R4912" t="str">
            <v>2023-06-20 → 6/23</v>
          </cell>
          <cell r="S4912">
            <v>45103</v>
          </cell>
          <cell r="T4912">
            <v>45103</v>
          </cell>
          <cell r="U4912">
            <v>45104</v>
          </cell>
          <cell r="V4912">
            <v>45106</v>
          </cell>
          <cell r="W4912">
            <v>45106</v>
          </cell>
          <cell r="X4912">
            <v>41100694</v>
          </cell>
        </row>
        <row r="4913">
          <cell r="K4913" t="str">
            <v>GBWS-3673</v>
          </cell>
          <cell r="L4913">
            <v>45184</v>
          </cell>
          <cell r="M4913">
            <v>45187</v>
          </cell>
          <cell r="N4913">
            <v>45194</v>
          </cell>
          <cell r="O4913">
            <v>45187</v>
          </cell>
          <cell r="P4913">
            <v>45195</v>
          </cell>
          <cell r="Q4913">
            <v>45194</v>
          </cell>
          <cell r="R4913">
            <v>45195</v>
          </cell>
          <cell r="S4913">
            <v>45196</v>
          </cell>
          <cell r="T4913">
            <v>45196</v>
          </cell>
          <cell r="U4913">
            <v>45204</v>
          </cell>
          <cell r="V4913">
            <v>45205</v>
          </cell>
          <cell r="W4913">
            <v>45205</v>
          </cell>
          <cell r="X4913">
            <v>41100408</v>
          </cell>
        </row>
        <row r="4914">
          <cell r="K4914" t="str">
            <v>DBW-3066</v>
          </cell>
          <cell r="L4914">
            <v>45189</v>
          </cell>
          <cell r="M4914" t="str">
            <v>2023-09-26 → 9/21</v>
          </cell>
          <cell r="N4914">
            <v>45201</v>
          </cell>
          <cell r="O4914" t="str">
            <v>2023-09-26 → 9/21</v>
          </cell>
          <cell r="P4914">
            <v>45202</v>
          </cell>
          <cell r="Q4914" t="str">
            <v>2023-10-10 → 10/2</v>
          </cell>
          <cell r="R4914" t="str">
            <v>2023-10-10 → 10/3</v>
          </cell>
          <cell r="S4914">
            <v>45203</v>
          </cell>
          <cell r="T4914">
            <v>45203</v>
          </cell>
          <cell r="U4914">
            <v>45204</v>
          </cell>
          <cell r="V4914">
            <v>45205</v>
          </cell>
          <cell r="W4914">
            <v>45205</v>
          </cell>
          <cell r="X4914">
            <v>41100690</v>
          </cell>
        </row>
        <row r="4915">
          <cell r="K4915" t="str">
            <v>DBW-3065</v>
          </cell>
          <cell r="L4915">
            <v>45189</v>
          </cell>
          <cell r="M4915">
            <v>45190</v>
          </cell>
          <cell r="N4915">
            <v>45196</v>
          </cell>
          <cell r="O4915">
            <v>45190</v>
          </cell>
          <cell r="P4915">
            <v>45202</v>
          </cell>
          <cell r="Q4915" t="str">
            <v>2023-10-04 → 10/2</v>
          </cell>
          <cell r="R4915" t="str">
            <v>2023-10-05 → 10/3</v>
          </cell>
          <cell r="S4915">
            <v>45203</v>
          </cell>
          <cell r="T4915">
            <v>45203</v>
          </cell>
          <cell r="U4915">
            <v>45204</v>
          </cell>
          <cell r="V4915">
            <v>45205</v>
          </cell>
          <cell r="W4915">
            <v>45205</v>
          </cell>
          <cell r="X4915">
            <v>41100690</v>
          </cell>
        </row>
        <row r="4916">
          <cell r="K4916" t="str">
            <v>GBWS-3681</v>
          </cell>
          <cell r="L4916">
            <v>45188</v>
          </cell>
          <cell r="M4916">
            <v>45189</v>
          </cell>
          <cell r="N4916">
            <v>45196</v>
          </cell>
          <cell r="O4916">
            <v>45189</v>
          </cell>
          <cell r="P4916">
            <v>45196</v>
          </cell>
          <cell r="Q4916">
            <v>45203</v>
          </cell>
          <cell r="R4916">
            <v>45203</v>
          </cell>
          <cell r="S4916">
            <v>45203</v>
          </cell>
          <cell r="T4916">
            <v>45203</v>
          </cell>
          <cell r="U4916">
            <v>45205</v>
          </cell>
          <cell r="V4916">
            <v>45205</v>
          </cell>
          <cell r="W4916">
            <v>45205</v>
          </cell>
          <cell r="X4916">
            <v>41100644</v>
          </cell>
        </row>
        <row r="4917">
          <cell r="K4917" t="str">
            <v>GBWS-3682</v>
          </cell>
          <cell r="L4917">
            <v>45188</v>
          </cell>
          <cell r="M4917">
            <v>45189</v>
          </cell>
          <cell r="N4917">
            <v>45196</v>
          </cell>
          <cell r="O4917">
            <v>45189</v>
          </cell>
          <cell r="P4917">
            <v>45196</v>
          </cell>
          <cell r="Q4917">
            <v>45203</v>
          </cell>
          <cell r="R4917">
            <v>45203</v>
          </cell>
          <cell r="S4917">
            <v>45203</v>
          </cell>
          <cell r="T4917">
            <v>45203</v>
          </cell>
          <cell r="U4917">
            <v>45205</v>
          </cell>
          <cell r="V4917">
            <v>45205</v>
          </cell>
          <cell r="W4917">
            <v>45205</v>
          </cell>
          <cell r="X4917">
            <v>41100644</v>
          </cell>
        </row>
        <row r="4918">
          <cell r="K4918" t="str">
            <v>GBWS-3084</v>
          </cell>
          <cell r="L4918">
            <v>44900</v>
          </cell>
          <cell r="M4918">
            <v>44901</v>
          </cell>
          <cell r="N4918">
            <v>44915</v>
          </cell>
          <cell r="O4918">
            <v>44901</v>
          </cell>
          <cell r="P4918">
            <v>44914</v>
          </cell>
          <cell r="Q4918" t="str">
            <v>2022-12-15 → 12/19</v>
          </cell>
          <cell r="R4918" t="str">
            <v>2022-12-15 → 12/19</v>
          </cell>
          <cell r="S4918"/>
          <cell r="T4918">
            <v>44915</v>
          </cell>
          <cell r="U4918">
            <v>44928</v>
          </cell>
          <cell r="V4918">
            <v>44928</v>
          </cell>
          <cell r="W4918">
            <v>44928</v>
          </cell>
          <cell r="X4918">
            <v>41100610</v>
          </cell>
        </row>
        <row r="4919">
          <cell r="K4919" t="str">
            <v>GBWS-3676</v>
          </cell>
          <cell r="L4919">
            <v>45187</v>
          </cell>
          <cell r="M4919">
            <v>45188</v>
          </cell>
          <cell r="N4919">
            <v>45195</v>
          </cell>
          <cell r="O4919">
            <v>45188</v>
          </cell>
          <cell r="P4919">
            <v>45196</v>
          </cell>
          <cell r="Q4919">
            <v>45195</v>
          </cell>
          <cell r="R4919">
            <v>45196</v>
          </cell>
          <cell r="S4919">
            <v>45205</v>
          </cell>
          <cell r="T4919">
            <v>45204</v>
          </cell>
          <cell r="U4919">
            <v>45207</v>
          </cell>
          <cell r="V4919">
            <v>45210</v>
          </cell>
          <cell r="W4919">
            <v>45210</v>
          </cell>
          <cell r="X4919">
            <v>41100564</v>
          </cell>
        </row>
        <row r="4920">
          <cell r="K4920" t="str">
            <v>GBWS-3677</v>
          </cell>
          <cell r="L4920">
            <v>45187</v>
          </cell>
          <cell r="M4920">
            <v>45188</v>
          </cell>
          <cell r="N4920">
            <v>45195</v>
          </cell>
          <cell r="O4920">
            <v>45188</v>
          </cell>
          <cell r="P4920">
            <v>45196</v>
          </cell>
          <cell r="Q4920">
            <v>45195</v>
          </cell>
          <cell r="R4920">
            <v>45196</v>
          </cell>
          <cell r="S4920">
            <v>45205</v>
          </cell>
          <cell r="T4920">
            <v>45204</v>
          </cell>
          <cell r="U4920">
            <v>45207</v>
          </cell>
          <cell r="V4920">
            <v>45209</v>
          </cell>
          <cell r="W4920">
            <v>44936</v>
          </cell>
          <cell r="X4920">
            <v>41100564</v>
          </cell>
        </row>
        <row r="4921">
          <cell r="K4921" t="str">
            <v>GBWS-3675</v>
          </cell>
          <cell r="L4921">
            <v>45187</v>
          </cell>
          <cell r="M4921">
            <v>45188</v>
          </cell>
          <cell r="N4921">
            <v>45195</v>
          </cell>
          <cell r="O4921">
            <v>45188</v>
          </cell>
          <cell r="P4921">
            <v>45196</v>
          </cell>
          <cell r="Q4921">
            <v>45195</v>
          </cell>
          <cell r="R4921">
            <v>45196</v>
          </cell>
          <cell r="S4921">
            <v>45204</v>
          </cell>
          <cell r="T4921">
            <v>45204</v>
          </cell>
          <cell r="U4921">
            <v>45207</v>
          </cell>
          <cell r="V4921">
            <v>45209</v>
          </cell>
          <cell r="W4921">
            <v>45209</v>
          </cell>
          <cell r="X4921">
            <v>41100662</v>
          </cell>
        </row>
        <row r="4922">
          <cell r="K4922" t="str">
            <v>GBWS-3657</v>
          </cell>
          <cell r="L4922">
            <v>45181</v>
          </cell>
          <cell r="M4922">
            <v>45182</v>
          </cell>
          <cell r="N4922">
            <v>45190</v>
          </cell>
          <cell r="O4922">
            <v>45182</v>
          </cell>
          <cell r="P4922">
            <v>45191</v>
          </cell>
          <cell r="Q4922">
            <v>45190</v>
          </cell>
          <cell r="R4922">
            <v>45191</v>
          </cell>
          <cell r="S4922">
            <v>45195</v>
          </cell>
          <cell r="T4922">
            <v>45195</v>
          </cell>
          <cell r="U4922">
            <v>45205</v>
          </cell>
          <cell r="V4922">
            <v>45205</v>
          </cell>
          <cell r="W4922">
            <v>45205</v>
          </cell>
          <cell r="X4922">
            <v>41100564</v>
          </cell>
        </row>
        <row r="4923">
          <cell r="K4923" t="str">
            <v>GBWS-3658</v>
          </cell>
          <cell r="L4923">
            <v>45181</v>
          </cell>
          <cell r="M4923">
            <v>45182</v>
          </cell>
          <cell r="N4923">
            <v>45190</v>
          </cell>
          <cell r="O4923">
            <v>45182</v>
          </cell>
          <cell r="P4923">
            <v>45191</v>
          </cell>
          <cell r="Q4923">
            <v>45190</v>
          </cell>
          <cell r="R4923">
            <v>45191</v>
          </cell>
          <cell r="S4923">
            <v>45195</v>
          </cell>
          <cell r="T4923">
            <v>45195</v>
          </cell>
          <cell r="U4923">
            <v>45205</v>
          </cell>
          <cell r="V4923">
            <v>45209</v>
          </cell>
          <cell r="W4923">
            <v>45209</v>
          </cell>
          <cell r="X4923">
            <v>41100564</v>
          </cell>
        </row>
        <row r="4924">
          <cell r="K4924" t="str">
            <v>GBWS-3659</v>
          </cell>
          <cell r="L4924">
            <v>45181</v>
          </cell>
          <cell r="M4924">
            <v>45182</v>
          </cell>
          <cell r="N4924">
            <v>45190</v>
          </cell>
          <cell r="O4924">
            <v>45182</v>
          </cell>
          <cell r="P4924">
            <v>45191</v>
          </cell>
          <cell r="Q4924">
            <v>45190</v>
          </cell>
          <cell r="R4924">
            <v>45191</v>
          </cell>
          <cell r="S4924">
            <v>45205</v>
          </cell>
          <cell r="T4924">
            <v>45204</v>
          </cell>
          <cell r="U4924">
            <v>45207</v>
          </cell>
          <cell r="V4924">
            <v>45209</v>
          </cell>
          <cell r="W4924">
            <v>45209</v>
          </cell>
          <cell r="X4924">
            <v>41100564</v>
          </cell>
        </row>
        <row r="4925">
          <cell r="K4925" t="str">
            <v>GBWS-3660</v>
          </cell>
          <cell r="L4925">
            <v>45181</v>
          </cell>
          <cell r="M4925">
            <v>45182</v>
          </cell>
          <cell r="N4925">
            <v>45190</v>
          </cell>
          <cell r="O4925">
            <v>45182</v>
          </cell>
          <cell r="P4925">
            <v>45191</v>
          </cell>
          <cell r="Q4925">
            <v>45190</v>
          </cell>
          <cell r="R4925">
            <v>45191</v>
          </cell>
          <cell r="S4925">
            <v>45205</v>
          </cell>
          <cell r="T4925">
            <v>45204</v>
          </cell>
          <cell r="U4925">
            <v>45207</v>
          </cell>
          <cell r="V4925">
            <v>45209</v>
          </cell>
          <cell r="W4925">
            <v>45209</v>
          </cell>
          <cell r="X4925">
            <v>41100564</v>
          </cell>
        </row>
        <row r="4926">
          <cell r="K4926" t="str">
            <v>GBWS-3661</v>
          </cell>
          <cell r="L4926">
            <v>45181</v>
          </cell>
          <cell r="M4926">
            <v>45182</v>
          </cell>
          <cell r="N4926">
            <v>45190</v>
          </cell>
          <cell r="O4926">
            <v>45182</v>
          </cell>
          <cell r="P4926">
            <v>45191</v>
          </cell>
          <cell r="Q4926">
            <v>45190</v>
          </cell>
          <cell r="R4926">
            <v>45191</v>
          </cell>
          <cell r="S4926">
            <v>45205</v>
          </cell>
          <cell r="T4926">
            <v>45204</v>
          </cell>
          <cell r="U4926">
            <v>45207</v>
          </cell>
          <cell r="V4926">
            <v>45209</v>
          </cell>
          <cell r="W4926">
            <v>45209</v>
          </cell>
          <cell r="X4926">
            <v>41100564</v>
          </cell>
        </row>
        <row r="4927">
          <cell r="K4927" t="str">
            <v>GBWS-3636</v>
          </cell>
          <cell r="L4927">
            <v>45176</v>
          </cell>
          <cell r="M4927">
            <v>45177</v>
          </cell>
          <cell r="N4927">
            <v>45187</v>
          </cell>
          <cell r="O4927">
            <v>45177</v>
          </cell>
          <cell r="P4927">
            <v>45187</v>
          </cell>
          <cell r="Q4927">
            <v>45187</v>
          </cell>
          <cell r="R4927">
            <v>45188</v>
          </cell>
          <cell r="S4927">
            <v>45189</v>
          </cell>
          <cell r="T4927">
            <v>45189</v>
          </cell>
          <cell r="U4927">
            <v>45207</v>
          </cell>
          <cell r="V4927">
            <v>45209</v>
          </cell>
          <cell r="W4927">
            <v>45209</v>
          </cell>
          <cell r="X4927">
            <v>41100564</v>
          </cell>
        </row>
        <row r="4928">
          <cell r="K4928" t="str">
            <v>GBWS-3629</v>
          </cell>
          <cell r="L4928">
            <v>45175</v>
          </cell>
          <cell r="M4928">
            <v>45176</v>
          </cell>
          <cell r="N4928">
            <v>45184</v>
          </cell>
          <cell r="O4928">
            <v>45176</v>
          </cell>
          <cell r="P4928">
            <v>45184</v>
          </cell>
          <cell r="Q4928">
            <v>45184</v>
          </cell>
          <cell r="R4928">
            <v>45187</v>
          </cell>
          <cell r="S4928">
            <v>45188</v>
          </cell>
          <cell r="T4928">
            <v>45188</v>
          </cell>
          <cell r="U4928">
            <v>45205</v>
          </cell>
          <cell r="V4928">
            <v>45209</v>
          </cell>
          <cell r="W4928">
            <v>45209</v>
          </cell>
          <cell r="X4928">
            <v>41100662</v>
          </cell>
        </row>
        <row r="4929">
          <cell r="K4929" t="str">
            <v>GBWS-3630</v>
          </cell>
          <cell r="L4929">
            <v>45175</v>
          </cell>
          <cell r="M4929">
            <v>45176</v>
          </cell>
          <cell r="N4929">
            <v>45184</v>
          </cell>
          <cell r="O4929">
            <v>45176</v>
          </cell>
          <cell r="P4929">
            <v>45184</v>
          </cell>
          <cell r="Q4929">
            <v>45184</v>
          </cell>
          <cell r="R4929">
            <v>45187</v>
          </cell>
          <cell r="S4929">
            <v>45188</v>
          </cell>
          <cell r="T4929">
            <v>45188</v>
          </cell>
          <cell r="U4929">
            <v>45205</v>
          </cell>
          <cell r="V4929">
            <v>45209</v>
          </cell>
          <cell r="W4929">
            <v>45209</v>
          </cell>
          <cell r="X4929">
            <v>41100662</v>
          </cell>
        </row>
        <row r="4930">
          <cell r="K4930" t="str">
            <v>GBWS-3639</v>
          </cell>
          <cell r="L4930">
            <v>45179</v>
          </cell>
          <cell r="M4930">
            <v>45180</v>
          </cell>
          <cell r="N4930">
            <v>45189</v>
          </cell>
          <cell r="O4930">
            <v>45180</v>
          </cell>
          <cell r="P4930">
            <v>45189</v>
          </cell>
          <cell r="Q4930">
            <v>45189</v>
          </cell>
          <cell r="R4930">
            <v>45190</v>
          </cell>
          <cell r="S4930">
            <v>45190</v>
          </cell>
          <cell r="T4930">
            <v>45190</v>
          </cell>
          <cell r="U4930">
            <v>45204</v>
          </cell>
          <cell r="V4930">
            <v>45205</v>
          </cell>
          <cell r="W4930">
            <v>45205</v>
          </cell>
          <cell r="X4930">
            <v>41100650</v>
          </cell>
        </row>
        <row r="4931">
          <cell r="K4931" t="str">
            <v>GBWS-3640</v>
          </cell>
          <cell r="L4931">
            <v>45179</v>
          </cell>
          <cell r="M4931">
            <v>45180</v>
          </cell>
          <cell r="N4931">
            <v>45189</v>
          </cell>
          <cell r="O4931">
            <v>45180</v>
          </cell>
          <cell r="P4931">
            <v>45189</v>
          </cell>
          <cell r="Q4931">
            <v>45189</v>
          </cell>
          <cell r="R4931">
            <v>45190</v>
          </cell>
          <cell r="S4931">
            <v>45190</v>
          </cell>
          <cell r="T4931">
            <v>45190</v>
          </cell>
          <cell r="U4931">
            <v>45204</v>
          </cell>
          <cell r="V4931">
            <v>45205</v>
          </cell>
          <cell r="W4931">
            <v>45205</v>
          </cell>
          <cell r="X4931">
            <v>41100650</v>
          </cell>
        </row>
        <row r="4932">
          <cell r="K4932" t="str">
            <v>GBWS-3641</v>
          </cell>
          <cell r="L4932">
            <v>45179</v>
          </cell>
          <cell r="M4932">
            <v>45180</v>
          </cell>
          <cell r="N4932">
            <v>45189</v>
          </cell>
          <cell r="O4932">
            <v>45180</v>
          </cell>
          <cell r="P4932">
            <v>45189</v>
          </cell>
          <cell r="Q4932">
            <v>45189</v>
          </cell>
          <cell r="R4932">
            <v>45190</v>
          </cell>
          <cell r="S4932">
            <v>45190</v>
          </cell>
          <cell r="T4932">
            <v>45190</v>
          </cell>
          <cell r="U4932">
            <v>45204</v>
          </cell>
          <cell r="V4932">
            <v>45205</v>
          </cell>
          <cell r="W4932">
            <v>45205</v>
          </cell>
          <cell r="X4932">
            <v>41100650</v>
          </cell>
        </row>
        <row r="4933">
          <cell r="K4933" t="str">
            <v>DBW-3060</v>
          </cell>
          <cell r="L4933">
            <v>45176</v>
          </cell>
          <cell r="M4933">
            <v>45177</v>
          </cell>
          <cell r="N4933">
            <v>45184</v>
          </cell>
          <cell r="O4933">
            <v>45177</v>
          </cell>
          <cell r="P4933">
            <v>45182</v>
          </cell>
          <cell r="Q4933">
            <v>45184</v>
          </cell>
          <cell r="R4933">
            <v>45187</v>
          </cell>
          <cell r="S4933">
            <v>45187</v>
          </cell>
          <cell r="T4933">
            <v>45187</v>
          </cell>
          <cell r="U4933">
            <v>45191</v>
          </cell>
          <cell r="V4933">
            <v>45194</v>
          </cell>
          <cell r="W4933">
            <v>45194</v>
          </cell>
          <cell r="X4933">
            <v>41100689</v>
          </cell>
        </row>
        <row r="4934">
          <cell r="K4934" t="str">
            <v>DBW-3061</v>
          </cell>
          <cell r="L4934">
            <v>45176</v>
          </cell>
          <cell r="M4934">
            <v>45177</v>
          </cell>
          <cell r="N4934">
            <v>45184</v>
          </cell>
          <cell r="O4934">
            <v>45177</v>
          </cell>
          <cell r="P4934">
            <v>45182</v>
          </cell>
          <cell r="Q4934">
            <v>45184</v>
          </cell>
          <cell r="R4934">
            <v>45187</v>
          </cell>
          <cell r="S4934">
            <v>45187</v>
          </cell>
          <cell r="T4934">
            <v>45187</v>
          </cell>
          <cell r="U4934">
            <v>45191</v>
          </cell>
          <cell r="V4934">
            <v>45194</v>
          </cell>
          <cell r="W4934">
            <v>45194</v>
          </cell>
          <cell r="X4934">
            <v>41100689</v>
          </cell>
        </row>
        <row r="4935">
          <cell r="K4935" t="str">
            <v>DBW-3057</v>
          </cell>
          <cell r="L4935">
            <v>45170</v>
          </cell>
          <cell r="M4935">
            <v>45173</v>
          </cell>
          <cell r="N4935">
            <v>45180</v>
          </cell>
          <cell r="O4935">
            <v>45173</v>
          </cell>
          <cell r="P4935">
            <v>45180</v>
          </cell>
          <cell r="Q4935">
            <v>45180</v>
          </cell>
          <cell r="R4935">
            <v>45181</v>
          </cell>
          <cell r="S4935">
            <v>45184</v>
          </cell>
          <cell r="T4935">
            <v>45184</v>
          </cell>
          <cell r="U4935">
            <v>45188</v>
          </cell>
          <cell r="V4935">
            <v>45195</v>
          </cell>
          <cell r="W4935">
            <v>45195</v>
          </cell>
          <cell r="X4935">
            <v>41100099</v>
          </cell>
        </row>
        <row r="4936">
          <cell r="K4936" t="str">
            <v>IVAS-231</v>
          </cell>
          <cell r="L4936">
            <v>45184</v>
          </cell>
          <cell r="M4936">
            <v>45187</v>
          </cell>
          <cell r="N4936">
            <v>45194</v>
          </cell>
          <cell r="O4936">
            <v>45187</v>
          </cell>
          <cell r="P4936">
            <v>45196</v>
          </cell>
          <cell r="Q4936">
            <v>45195</v>
          </cell>
          <cell r="R4936">
            <v>45196</v>
          </cell>
          <cell r="S4936">
            <v>45205</v>
          </cell>
          <cell r="T4936">
            <v>45205</v>
          </cell>
          <cell r="U4936">
            <v>45209</v>
          </cell>
          <cell r="V4936">
            <v>45211</v>
          </cell>
          <cell r="W4936">
            <v>45211</v>
          </cell>
          <cell r="X4936">
            <v>41100709</v>
          </cell>
        </row>
        <row r="4937">
          <cell r="K4937" t="str">
            <v>DBW-3062</v>
          </cell>
          <cell r="L4937">
            <v>45184</v>
          </cell>
          <cell r="M4937">
            <v>45187</v>
          </cell>
          <cell r="N4937">
            <v>45194</v>
          </cell>
          <cell r="O4937">
            <v>45187</v>
          </cell>
          <cell r="P4937">
            <v>45196</v>
          </cell>
          <cell r="Q4937">
            <v>45195</v>
          </cell>
          <cell r="R4937">
            <v>45196</v>
          </cell>
          <cell r="S4937">
            <v>45203</v>
          </cell>
          <cell r="T4937">
            <v>45203</v>
          </cell>
          <cell r="U4937">
            <v>45209</v>
          </cell>
          <cell r="V4937">
            <v>45211</v>
          </cell>
          <cell r="W4937">
            <v>45211</v>
          </cell>
          <cell r="X4937">
            <v>41100099</v>
          </cell>
        </row>
        <row r="4938">
          <cell r="K4938" t="str">
            <v>GBWS-3622</v>
          </cell>
          <cell r="L4938">
            <v>45174</v>
          </cell>
          <cell r="M4938">
            <v>45175</v>
          </cell>
          <cell r="N4938">
            <v>45180</v>
          </cell>
          <cell r="O4938">
            <v>45175</v>
          </cell>
          <cell r="P4938">
            <v>45187</v>
          </cell>
          <cell r="Q4938">
            <v>45184</v>
          </cell>
          <cell r="R4938">
            <v>45187</v>
          </cell>
          <cell r="S4938">
            <v>45187</v>
          </cell>
          <cell r="T4938">
            <v>45188</v>
          </cell>
          <cell r="U4938">
            <v>45189</v>
          </cell>
          <cell r="V4938">
            <v>45189</v>
          </cell>
          <cell r="W4938">
            <v>45189</v>
          </cell>
          <cell r="X4938">
            <v>41100558</v>
          </cell>
        </row>
        <row r="4939">
          <cell r="K4939" t="str">
            <v>GBWS-3670</v>
          </cell>
          <cell r="L4939">
            <v>45183</v>
          </cell>
          <cell r="M4939">
            <v>45184</v>
          </cell>
          <cell r="N4939">
            <v>45191</v>
          </cell>
          <cell r="O4939">
            <v>45184</v>
          </cell>
          <cell r="P4939">
            <v>45194</v>
          </cell>
          <cell r="Q4939">
            <v>45194</v>
          </cell>
          <cell r="R4939">
            <v>45195</v>
          </cell>
          <cell r="S4939">
            <v>45196</v>
          </cell>
          <cell r="T4939">
            <v>45196</v>
          </cell>
          <cell r="U4939">
            <v>45209</v>
          </cell>
          <cell r="V4939">
            <v>45210</v>
          </cell>
          <cell r="W4939">
            <v>45210</v>
          </cell>
          <cell r="X4939">
            <v>41100560</v>
          </cell>
        </row>
        <row r="4940">
          <cell r="K4940" t="str">
            <v>GBWS-3669</v>
          </cell>
          <cell r="L4940">
            <v>45183</v>
          </cell>
          <cell r="M4940">
            <v>45184</v>
          </cell>
          <cell r="N4940">
            <v>45194</v>
          </cell>
          <cell r="O4940">
            <v>45184</v>
          </cell>
          <cell r="P4940">
            <v>45194</v>
          </cell>
          <cell r="Q4940">
            <v>45194</v>
          </cell>
          <cell r="R4940">
            <v>45195</v>
          </cell>
          <cell r="S4940">
            <v>45196</v>
          </cell>
          <cell r="T4940">
            <v>45196</v>
          </cell>
          <cell r="U4940">
            <v>45205</v>
          </cell>
          <cell r="V4940">
            <v>45205</v>
          </cell>
          <cell r="W4940">
            <v>45205</v>
          </cell>
          <cell r="X4940">
            <v>41100564</v>
          </cell>
        </row>
        <row r="4941">
          <cell r="K4941" t="str">
            <v>GBWS-3668</v>
          </cell>
          <cell r="L4941">
            <v>45183</v>
          </cell>
          <cell r="M4941">
            <v>45184</v>
          </cell>
          <cell r="N4941">
            <v>45194</v>
          </cell>
          <cell r="O4941">
            <v>45184</v>
          </cell>
          <cell r="P4941">
            <v>45194</v>
          </cell>
          <cell r="Q4941">
            <v>45194</v>
          </cell>
          <cell r="R4941">
            <v>45195</v>
          </cell>
          <cell r="S4941">
            <v>45196</v>
          </cell>
          <cell r="T4941">
            <v>45196</v>
          </cell>
          <cell r="U4941">
            <v>45210</v>
          </cell>
          <cell r="V4941">
            <v>45211</v>
          </cell>
          <cell r="W4941">
            <v>45211</v>
          </cell>
          <cell r="X4941">
            <v>41100565</v>
          </cell>
        </row>
        <row r="4942">
          <cell r="K4942" t="str">
            <v>GBWS-3617</v>
          </cell>
          <cell r="L4942">
            <v>45168</v>
          </cell>
          <cell r="M4942" t="str">
            <v>2023-08-30 → 9/6</v>
          </cell>
          <cell r="N4942">
            <v>45176</v>
          </cell>
          <cell r="O4942" t="str">
            <v>2023-08-30 → 9/6</v>
          </cell>
          <cell r="P4942">
            <v>45177</v>
          </cell>
          <cell r="Q4942" t="str">
            <v>2023-09-08 → 9/15</v>
          </cell>
          <cell r="R4942" t="str">
            <v>2023-09-11 → 9/18</v>
          </cell>
          <cell r="S4942">
            <v>45181</v>
          </cell>
          <cell r="T4942">
            <v>45180</v>
          </cell>
          <cell r="U4942">
            <v>45182</v>
          </cell>
          <cell r="V4942">
            <v>45183</v>
          </cell>
          <cell r="W4942">
            <v>45183</v>
          </cell>
          <cell r="X4942">
            <v>41100566</v>
          </cell>
        </row>
        <row r="4943">
          <cell r="K4943" t="str">
            <v>GBWS-3618</v>
          </cell>
          <cell r="L4943">
            <v>45168</v>
          </cell>
          <cell r="M4943" t="str">
            <v>2023-08-30 → 9/6</v>
          </cell>
          <cell r="N4943">
            <v>45176</v>
          </cell>
          <cell r="O4943" t="str">
            <v>2023-08-30 → 9/6</v>
          </cell>
          <cell r="P4943">
            <v>45177</v>
          </cell>
          <cell r="Q4943" t="str">
            <v>2023-09-08 → 9/15</v>
          </cell>
          <cell r="R4943" t="str">
            <v>2023-09-11 → 9/18</v>
          </cell>
          <cell r="S4943">
            <v>45181</v>
          </cell>
          <cell r="T4943">
            <v>45180</v>
          </cell>
          <cell r="U4943">
            <v>45183</v>
          </cell>
          <cell r="V4943">
            <v>45184</v>
          </cell>
          <cell r="W4943">
            <v>45184</v>
          </cell>
          <cell r="X4943">
            <v>41100566</v>
          </cell>
        </row>
        <row r="4944">
          <cell r="K4944" t="str">
            <v>GBWS-3619</v>
          </cell>
          <cell r="L4944">
            <v>45168</v>
          </cell>
          <cell r="M4944" t="str">
            <v>2023-08-30 → 9/6</v>
          </cell>
          <cell r="N4944">
            <v>45176</v>
          </cell>
          <cell r="O4944" t="str">
            <v>2023-08-30 → 9/6</v>
          </cell>
          <cell r="P4944">
            <v>45177</v>
          </cell>
          <cell r="Q4944" t="str">
            <v>2023-09-08 → 9/15</v>
          </cell>
          <cell r="R4944" t="str">
            <v>2023-09-11 → 9/18</v>
          </cell>
          <cell r="S4944">
            <v>45181</v>
          </cell>
          <cell r="T4944">
            <v>45181</v>
          </cell>
          <cell r="U4944">
            <v>45183</v>
          </cell>
          <cell r="V4944">
            <v>45184</v>
          </cell>
          <cell r="W4944">
            <v>45184</v>
          </cell>
          <cell r="X4944">
            <v>41100566</v>
          </cell>
        </row>
        <row r="4945">
          <cell r="K4945" t="str">
            <v>GBWS-3652</v>
          </cell>
          <cell r="L4945">
            <v>45180</v>
          </cell>
          <cell r="M4945">
            <v>45181</v>
          </cell>
          <cell r="N4945">
            <v>45188</v>
          </cell>
          <cell r="O4945">
            <v>45181</v>
          </cell>
          <cell r="P4945">
            <v>45188</v>
          </cell>
          <cell r="Q4945">
            <v>45190</v>
          </cell>
          <cell r="R4945">
            <v>45191</v>
          </cell>
          <cell r="S4945">
            <v>45195</v>
          </cell>
          <cell r="T4945">
            <v>45195</v>
          </cell>
          <cell r="U4945">
            <v>45209</v>
          </cell>
          <cell r="V4945">
            <v>45210</v>
          </cell>
          <cell r="W4945">
            <v>45210</v>
          </cell>
          <cell r="X4945">
            <v>41100566</v>
          </cell>
        </row>
        <row r="4946">
          <cell r="K4946" t="str">
            <v>GBWS-3653</v>
          </cell>
          <cell r="L4946">
            <v>45180</v>
          </cell>
          <cell r="M4946">
            <v>45181</v>
          </cell>
          <cell r="N4946">
            <v>45188</v>
          </cell>
          <cell r="O4946">
            <v>45181</v>
          </cell>
          <cell r="P4946">
            <v>45188</v>
          </cell>
          <cell r="Q4946">
            <v>45190</v>
          </cell>
          <cell r="R4946">
            <v>45191</v>
          </cell>
          <cell r="S4946">
            <v>45195</v>
          </cell>
          <cell r="T4946">
            <v>45195</v>
          </cell>
          <cell r="U4946">
            <v>45207</v>
          </cell>
          <cell r="V4946">
            <v>45211</v>
          </cell>
          <cell r="W4946">
            <v>45211</v>
          </cell>
          <cell r="X4946">
            <v>41100566</v>
          </cell>
        </row>
        <row r="4947">
          <cell r="K4947" t="str">
            <v>GBWS-3654</v>
          </cell>
          <cell r="L4947">
            <v>45180</v>
          </cell>
          <cell r="M4947">
            <v>45181</v>
          </cell>
          <cell r="N4947">
            <v>45188</v>
          </cell>
          <cell r="O4947">
            <v>45181</v>
          </cell>
          <cell r="P4947">
            <v>45188</v>
          </cell>
          <cell r="Q4947">
            <v>45190</v>
          </cell>
          <cell r="R4947">
            <v>45191</v>
          </cell>
          <cell r="S4947">
            <v>45195</v>
          </cell>
          <cell r="T4947">
            <v>45195</v>
          </cell>
          <cell r="U4947">
            <v>45207</v>
          </cell>
          <cell r="V4947">
            <v>45211</v>
          </cell>
          <cell r="W4947">
            <v>45211</v>
          </cell>
          <cell r="X4947">
            <v>41100566</v>
          </cell>
        </row>
        <row r="4948">
          <cell r="K4948" t="str">
            <v>GBWS-3655</v>
          </cell>
          <cell r="L4948">
            <v>45180</v>
          </cell>
          <cell r="M4948">
            <v>45181</v>
          </cell>
          <cell r="N4948">
            <v>45188</v>
          </cell>
          <cell r="O4948">
            <v>45181</v>
          </cell>
          <cell r="P4948">
            <v>45188</v>
          </cell>
          <cell r="Q4948">
            <v>45190</v>
          </cell>
          <cell r="R4948">
            <v>45191</v>
          </cell>
          <cell r="S4948">
            <v>45195</v>
          </cell>
          <cell r="T4948">
            <v>45195</v>
          </cell>
          <cell r="U4948">
            <v>45207</v>
          </cell>
          <cell r="V4948">
            <v>45211</v>
          </cell>
          <cell r="W4948">
            <v>45211</v>
          </cell>
          <cell r="X4948">
            <v>41100566</v>
          </cell>
        </row>
        <row r="4949">
          <cell r="K4949" t="str">
            <v>GBWS-3656</v>
          </cell>
          <cell r="L4949">
            <v>45180</v>
          </cell>
          <cell r="M4949">
            <v>45181</v>
          </cell>
          <cell r="N4949">
            <v>45188</v>
          </cell>
          <cell r="O4949">
            <v>45181</v>
          </cell>
          <cell r="P4949">
            <v>45188</v>
          </cell>
          <cell r="Q4949">
            <v>45190</v>
          </cell>
          <cell r="R4949">
            <v>45191</v>
          </cell>
          <cell r="S4949">
            <v>45195</v>
          </cell>
          <cell r="T4949">
            <v>45195</v>
          </cell>
          <cell r="U4949">
            <v>45209</v>
          </cell>
          <cell r="V4949">
            <v>45210</v>
          </cell>
          <cell r="W4949">
            <v>45210</v>
          </cell>
          <cell r="X4949">
            <v>41100566</v>
          </cell>
        </row>
        <row r="4950">
          <cell r="K4950" t="str">
            <v>GBWS-3614</v>
          </cell>
          <cell r="L4950">
            <v>45170</v>
          </cell>
          <cell r="M4950">
            <v>45173</v>
          </cell>
          <cell r="N4950">
            <v>45180</v>
          </cell>
          <cell r="O4950">
            <v>45173</v>
          </cell>
          <cell r="P4950">
            <v>45183</v>
          </cell>
          <cell r="Q4950">
            <v>45182</v>
          </cell>
          <cell r="R4950">
            <v>45183</v>
          </cell>
          <cell r="S4950">
            <v>45184</v>
          </cell>
          <cell r="T4950">
            <v>45184</v>
          </cell>
          <cell r="U4950">
            <v>45188</v>
          </cell>
          <cell r="V4950">
            <v>45189</v>
          </cell>
          <cell r="W4950">
            <v>45189</v>
          </cell>
          <cell r="X4950">
            <v>41100662</v>
          </cell>
        </row>
        <row r="4951">
          <cell r="K4951" t="str">
            <v>GBWS-3671</v>
          </cell>
          <cell r="L4951">
            <v>45184</v>
          </cell>
          <cell r="M4951">
            <v>45187</v>
          </cell>
          <cell r="N4951">
            <v>45194</v>
          </cell>
          <cell r="O4951">
            <v>45187</v>
          </cell>
          <cell r="P4951">
            <v>45195</v>
          </cell>
          <cell r="Q4951">
            <v>45194</v>
          </cell>
          <cell r="R4951">
            <v>45195</v>
          </cell>
          <cell r="S4951">
            <v>45203</v>
          </cell>
          <cell r="T4951">
            <v>45203</v>
          </cell>
          <cell r="U4951">
            <v>45210</v>
          </cell>
          <cell r="V4951">
            <v>45211</v>
          </cell>
          <cell r="W4951">
            <v>45211</v>
          </cell>
          <cell r="X4951">
            <v>41100662</v>
          </cell>
        </row>
        <row r="4952">
          <cell r="K4952" t="str">
            <v>GBWS-3672</v>
          </cell>
          <cell r="L4952">
            <v>45184</v>
          </cell>
          <cell r="M4952">
            <v>45187</v>
          </cell>
          <cell r="N4952">
            <v>45194</v>
          </cell>
          <cell r="O4952">
            <v>45187</v>
          </cell>
          <cell r="P4952">
            <v>45195</v>
          </cell>
          <cell r="Q4952">
            <v>45194</v>
          </cell>
          <cell r="R4952">
            <v>45195</v>
          </cell>
          <cell r="S4952">
            <v>45203</v>
          </cell>
          <cell r="T4952">
            <v>45203</v>
          </cell>
          <cell r="U4952">
            <v>45210</v>
          </cell>
          <cell r="V4952">
            <v>45211</v>
          </cell>
          <cell r="W4952">
            <v>45211</v>
          </cell>
          <cell r="X4952">
            <v>41100662</v>
          </cell>
        </row>
        <row r="4953">
          <cell r="K4953" t="str">
            <v>GBWS-3674</v>
          </cell>
          <cell r="L4953">
            <v>45184</v>
          </cell>
          <cell r="M4953">
            <v>45187</v>
          </cell>
          <cell r="N4953">
            <v>45194</v>
          </cell>
          <cell r="O4953">
            <v>45187</v>
          </cell>
          <cell r="P4953">
            <v>45195</v>
          </cell>
          <cell r="Q4953">
            <v>45194</v>
          </cell>
          <cell r="R4953">
            <v>45195</v>
          </cell>
          <cell r="S4953">
            <v>45203</v>
          </cell>
          <cell r="T4953">
            <v>45203</v>
          </cell>
          <cell r="U4953">
            <v>45209</v>
          </cell>
          <cell r="V4953">
            <v>45211</v>
          </cell>
          <cell r="W4953">
            <v>45211</v>
          </cell>
          <cell r="X4953">
            <v>41100564</v>
          </cell>
        </row>
        <row r="4954">
          <cell r="K4954" t="str">
            <v>GBWS-3683</v>
          </cell>
          <cell r="L4954">
            <v>45188</v>
          </cell>
          <cell r="M4954">
            <v>45189</v>
          </cell>
          <cell r="N4954">
            <v>45196</v>
          </cell>
          <cell r="O4954">
            <v>45189</v>
          </cell>
          <cell r="P4954">
            <v>45201</v>
          </cell>
          <cell r="Q4954">
            <v>45196</v>
          </cell>
          <cell r="R4954">
            <v>45201</v>
          </cell>
          <cell r="S4954">
            <v>45205</v>
          </cell>
          <cell r="T4954">
            <v>45205</v>
          </cell>
          <cell r="U4954">
            <v>45210</v>
          </cell>
          <cell r="V4954">
            <v>45211</v>
          </cell>
          <cell r="W4954">
            <v>45211</v>
          </cell>
          <cell r="X4954">
            <v>41100704</v>
          </cell>
        </row>
        <row r="4955">
          <cell r="K4955" t="str">
            <v>MMD-0042</v>
          </cell>
          <cell r="L4955">
            <v>45203</v>
          </cell>
          <cell r="M4955">
            <v>45204</v>
          </cell>
          <cell r="N4955">
            <v>45209</v>
          </cell>
          <cell r="O4955">
            <v>45204</v>
          </cell>
          <cell r="P4955">
            <v>45209</v>
          </cell>
          <cell r="Q4955">
            <v>45209</v>
          </cell>
          <cell r="R4955">
            <v>45209</v>
          </cell>
          <cell r="S4955">
            <v>45215</v>
          </cell>
          <cell r="T4955">
            <v>45215</v>
          </cell>
          <cell r="U4955">
            <v>45216</v>
          </cell>
          <cell r="V4955">
            <v>45216</v>
          </cell>
          <cell r="W4955">
            <v>45216</v>
          </cell>
          <cell r="X4955">
            <v>31102402</v>
          </cell>
        </row>
        <row r="4956">
          <cell r="K4956" t="str">
            <v>GBWS-3417</v>
          </cell>
          <cell r="L4956">
            <v>45065</v>
          </cell>
          <cell r="M4956">
            <v>45068</v>
          </cell>
          <cell r="N4956">
            <v>45077</v>
          </cell>
          <cell r="O4956">
            <v>45068</v>
          </cell>
          <cell r="P4956">
            <v>45077</v>
          </cell>
          <cell r="Q4956">
            <v>45076</v>
          </cell>
          <cell r="R4956">
            <v>45077</v>
          </cell>
          <cell r="S4956">
            <v>45078</v>
          </cell>
          <cell r="T4956">
            <v>45079</v>
          </cell>
          <cell r="U4956">
            <v>45084</v>
          </cell>
          <cell r="V4956">
            <v>45085</v>
          </cell>
          <cell r="W4956">
            <v>45085</v>
          </cell>
          <cell r="X4956">
            <v>41100546</v>
          </cell>
        </row>
        <row r="4957">
          <cell r="K4957" t="str">
            <v>DBW-3063</v>
          </cell>
          <cell r="L4957">
            <v>45188</v>
          </cell>
          <cell r="M4957">
            <v>45189</v>
          </cell>
          <cell r="N4957">
            <v>45196</v>
          </cell>
          <cell r="O4957">
            <v>45189</v>
          </cell>
          <cell r="P4957">
            <v>45203</v>
          </cell>
          <cell r="Q4957">
            <v>45196</v>
          </cell>
          <cell r="R4957">
            <v>45201</v>
          </cell>
          <cell r="S4957">
            <v>45205</v>
          </cell>
          <cell r="T4957">
            <v>45204</v>
          </cell>
          <cell r="U4957">
            <v>45207</v>
          </cell>
          <cell r="V4957">
            <v>45210</v>
          </cell>
          <cell r="W4957">
            <v>45210</v>
          </cell>
          <cell r="X4957">
            <v>41100689</v>
          </cell>
        </row>
        <row r="4958">
          <cell r="K4958" t="str">
            <v>DBW-3064</v>
          </cell>
          <cell r="L4958">
            <v>45188</v>
          </cell>
          <cell r="M4958">
            <v>45189</v>
          </cell>
          <cell r="N4958">
            <v>45196</v>
          </cell>
          <cell r="O4958">
            <v>45189</v>
          </cell>
          <cell r="P4958">
            <v>45203</v>
          </cell>
          <cell r="Q4958">
            <v>45196</v>
          </cell>
          <cell r="R4958">
            <v>45201</v>
          </cell>
          <cell r="S4958">
            <v>45205</v>
          </cell>
          <cell r="T4958">
            <v>45204</v>
          </cell>
          <cell r="U4958">
            <v>45207</v>
          </cell>
          <cell r="V4958">
            <v>45210</v>
          </cell>
          <cell r="W4958">
            <v>45210</v>
          </cell>
          <cell r="X4958">
            <v>41100689</v>
          </cell>
        </row>
        <row r="4959">
          <cell r="K4959" t="str">
            <v>GBWS-3678</v>
          </cell>
          <cell r="L4959">
            <v>45188</v>
          </cell>
          <cell r="M4959">
            <v>45189</v>
          </cell>
          <cell r="N4959">
            <v>45196</v>
          </cell>
          <cell r="O4959">
            <v>45189</v>
          </cell>
          <cell r="P4959">
            <v>45203</v>
          </cell>
          <cell r="Q4959">
            <v>45201</v>
          </cell>
          <cell r="R4959">
            <v>45203</v>
          </cell>
          <cell r="S4959">
            <v>45204</v>
          </cell>
          <cell r="T4959">
            <v>45204</v>
          </cell>
          <cell r="U4959">
            <v>45211</v>
          </cell>
          <cell r="V4959">
            <v>45212</v>
          </cell>
          <cell r="W4959">
            <v>45212</v>
          </cell>
          <cell r="X4959">
            <v>41100534</v>
          </cell>
        </row>
        <row r="4960">
          <cell r="K4960" t="str">
            <v>GBWS-3679</v>
          </cell>
          <cell r="L4960">
            <v>45188</v>
          </cell>
          <cell r="M4960">
            <v>45189</v>
          </cell>
          <cell r="N4960">
            <v>45196</v>
          </cell>
          <cell r="O4960">
            <v>45189</v>
          </cell>
          <cell r="P4960">
            <v>45203</v>
          </cell>
          <cell r="Q4960">
            <v>45201</v>
          </cell>
          <cell r="R4960">
            <v>45203</v>
          </cell>
          <cell r="S4960">
            <v>45204</v>
          </cell>
          <cell r="T4960">
            <v>45204</v>
          </cell>
          <cell r="U4960">
            <v>45211</v>
          </cell>
          <cell r="V4960">
            <v>45212</v>
          </cell>
          <cell r="W4960">
            <v>45212</v>
          </cell>
          <cell r="X4960">
            <v>41100534</v>
          </cell>
        </row>
        <row r="4961">
          <cell r="K4961" t="str">
            <v>GBWS-3680</v>
          </cell>
          <cell r="L4961">
            <v>45188</v>
          </cell>
          <cell r="M4961">
            <v>45189</v>
          </cell>
          <cell r="N4961">
            <v>45196</v>
          </cell>
          <cell r="O4961">
            <v>45189</v>
          </cell>
          <cell r="P4961">
            <v>45203</v>
          </cell>
          <cell r="Q4961">
            <v>45201</v>
          </cell>
          <cell r="R4961">
            <v>45203</v>
          </cell>
          <cell r="S4961">
            <v>45204</v>
          </cell>
          <cell r="T4961">
            <v>45204</v>
          </cell>
          <cell r="U4961">
            <v>45211</v>
          </cell>
          <cell r="V4961">
            <v>45212</v>
          </cell>
          <cell r="W4961">
            <v>45212</v>
          </cell>
          <cell r="X4961">
            <v>41100534</v>
          </cell>
        </row>
        <row r="4962">
          <cell r="K4962" t="str">
            <v>GBW-0281</v>
          </cell>
          <cell r="L4962">
            <v>45184</v>
          </cell>
          <cell r="M4962" t="str">
            <v>2023-09-12 → 9/18</v>
          </cell>
          <cell r="N4962">
            <v>45203</v>
          </cell>
          <cell r="O4962" t="str">
            <v>2023-09-12 → 9/18</v>
          </cell>
          <cell r="P4962">
            <v>45203</v>
          </cell>
          <cell r="Q4962" t="str">
            <v>2023-09-22 → 10/4</v>
          </cell>
          <cell r="R4962" t="str">
            <v>2023-09-25 → 10/4</v>
          </cell>
          <cell r="S4962">
            <v>45207</v>
          </cell>
          <cell r="T4962">
            <v>45207</v>
          </cell>
          <cell r="U4962">
            <v>45211</v>
          </cell>
          <cell r="V4962">
            <v>45216</v>
          </cell>
          <cell r="W4962">
            <v>45216</v>
          </cell>
          <cell r="X4962">
            <v>41000520</v>
          </cell>
        </row>
        <row r="4963">
          <cell r="K4963" t="str">
            <v>GBW-0282</v>
          </cell>
          <cell r="L4963">
            <v>45184</v>
          </cell>
          <cell r="M4963" t="str">
            <v>2023-09-12 → 9/18</v>
          </cell>
          <cell r="N4963">
            <v>45203</v>
          </cell>
          <cell r="O4963" t="str">
            <v>2023-09-12 → 9/18</v>
          </cell>
          <cell r="P4963">
            <v>45203</v>
          </cell>
          <cell r="Q4963" t="str">
            <v>2023-09-22 → 10/4</v>
          </cell>
          <cell r="R4963" t="str">
            <v>2023-09-25 → 10/4</v>
          </cell>
          <cell r="S4963">
            <v>45207</v>
          </cell>
          <cell r="T4963">
            <v>45207</v>
          </cell>
          <cell r="U4963">
            <v>45212</v>
          </cell>
          <cell r="V4963">
            <v>45216</v>
          </cell>
          <cell r="W4963">
            <v>45216</v>
          </cell>
          <cell r="X4963">
            <v>41000520</v>
          </cell>
        </row>
        <row r="4964">
          <cell r="K4964" t="str">
            <v>GBW-0283</v>
          </cell>
          <cell r="L4964">
            <v>45184</v>
          </cell>
          <cell r="M4964" t="str">
            <v>2023-09-12 → 9/18</v>
          </cell>
          <cell r="N4964">
            <v>45203</v>
          </cell>
          <cell r="O4964" t="str">
            <v>2023-09-12 → 9/18</v>
          </cell>
          <cell r="P4964">
            <v>45203</v>
          </cell>
          <cell r="Q4964" t="str">
            <v>2023-09-22 → 10/4</v>
          </cell>
          <cell r="R4964" t="str">
            <v>2023-09-25 → 10/4</v>
          </cell>
          <cell r="S4964">
            <v>45207</v>
          </cell>
          <cell r="T4964">
            <v>45207</v>
          </cell>
          <cell r="U4964">
            <v>45216</v>
          </cell>
          <cell r="V4964">
            <v>45216</v>
          </cell>
          <cell r="W4964">
            <v>45216</v>
          </cell>
          <cell r="X4964">
            <v>41000520</v>
          </cell>
        </row>
        <row r="4965">
          <cell r="K4965" t="str">
            <v>GBW-0284</v>
          </cell>
          <cell r="L4965">
            <v>45184</v>
          </cell>
          <cell r="M4965" t="str">
            <v>2023-09-12 → 9/18</v>
          </cell>
          <cell r="N4965">
            <v>45203</v>
          </cell>
          <cell r="O4965" t="str">
            <v>2023-09-12 → 9/18</v>
          </cell>
          <cell r="P4965">
            <v>45203</v>
          </cell>
          <cell r="Q4965" t="str">
            <v>2023-09-22 → 10/4</v>
          </cell>
          <cell r="R4965" t="str">
            <v>2023-09-25 → 10/4</v>
          </cell>
          <cell r="S4965">
            <v>45207</v>
          </cell>
          <cell r="T4965">
            <v>45207</v>
          </cell>
          <cell r="U4965">
            <v>45215</v>
          </cell>
          <cell r="V4965">
            <v>45216</v>
          </cell>
          <cell r="W4965">
            <v>45216</v>
          </cell>
          <cell r="X4965">
            <v>41000520</v>
          </cell>
        </row>
        <row r="4966">
          <cell r="K4966" t="str">
            <v>GBW-0285</v>
          </cell>
          <cell r="L4966">
            <v>45184</v>
          </cell>
          <cell r="M4966" t="str">
            <v>2023-09-12 → 9/18</v>
          </cell>
          <cell r="N4966">
            <v>45203</v>
          </cell>
          <cell r="O4966" t="str">
            <v>2023-09-12 → 9/18</v>
          </cell>
          <cell r="P4966">
            <v>45203</v>
          </cell>
          <cell r="Q4966" t="str">
            <v>2023-09-22 → 10/4</v>
          </cell>
          <cell r="R4966" t="str">
            <v>2023-09-25 → 10/4</v>
          </cell>
          <cell r="S4966">
            <v>45207</v>
          </cell>
          <cell r="T4966">
            <v>45207</v>
          </cell>
          <cell r="U4966">
            <v>45216</v>
          </cell>
          <cell r="V4966">
            <v>45216</v>
          </cell>
          <cell r="W4966">
            <v>45216</v>
          </cell>
          <cell r="X4966">
            <v>41000520</v>
          </cell>
        </row>
        <row r="4967">
          <cell r="K4967" t="str">
            <v>AWS-0067</v>
          </cell>
          <cell r="L4967">
            <v>45183</v>
          </cell>
          <cell r="M4967" t="str">
            <v>2023-09-12 → 9/15</v>
          </cell>
          <cell r="N4967">
            <v>45194</v>
          </cell>
          <cell r="O4967" t="str">
            <v>2023-09-12 → 9/15</v>
          </cell>
          <cell r="P4967">
            <v>45201</v>
          </cell>
          <cell r="Q4967" t="str">
            <v>2023-09-22 → 9/27</v>
          </cell>
          <cell r="R4967" t="str">
            <v>2023-09-25 → 10/2</v>
          </cell>
          <cell r="S4967">
            <v>45207</v>
          </cell>
          <cell r="T4967">
            <v>45207</v>
          </cell>
          <cell r="U4967">
            <v>45211</v>
          </cell>
          <cell r="V4967">
            <v>45216</v>
          </cell>
          <cell r="W4967">
            <v>45216</v>
          </cell>
          <cell r="X4967">
            <v>41000521</v>
          </cell>
        </row>
        <row r="4968">
          <cell r="K4968" t="str">
            <v>AWS-0068</v>
          </cell>
          <cell r="L4968">
            <v>45183</v>
          </cell>
          <cell r="M4968" t="str">
            <v>2023-09-12 → 9/15</v>
          </cell>
          <cell r="N4968">
            <v>45194</v>
          </cell>
          <cell r="O4968" t="str">
            <v>2023-09-12 → 9/15</v>
          </cell>
          <cell r="P4968">
            <v>45201</v>
          </cell>
          <cell r="Q4968" t="str">
            <v>2023-09-22 → 9/27</v>
          </cell>
          <cell r="R4968" t="str">
            <v>2023-09-25 → 10/2</v>
          </cell>
          <cell r="S4968">
            <v>45207</v>
          </cell>
          <cell r="T4968">
            <v>45207</v>
          </cell>
          <cell r="U4968">
            <v>45212</v>
          </cell>
          <cell r="V4968">
            <v>45216</v>
          </cell>
          <cell r="W4968">
            <v>45216</v>
          </cell>
          <cell r="X4968">
            <v>41000521</v>
          </cell>
        </row>
        <row r="4969">
          <cell r="K4969" t="str">
            <v>AWS-0069</v>
          </cell>
          <cell r="L4969">
            <v>45183</v>
          </cell>
          <cell r="M4969" t="str">
            <v>2023-09-12 → 9/15</v>
          </cell>
          <cell r="N4969">
            <v>45194</v>
          </cell>
          <cell r="O4969" t="str">
            <v>2023-09-12 → 9/15</v>
          </cell>
          <cell r="P4969">
            <v>45201</v>
          </cell>
          <cell r="Q4969" t="str">
            <v>2023-09-22 → 9/27</v>
          </cell>
          <cell r="R4969" t="str">
            <v>2023-09-25 → 10/2</v>
          </cell>
          <cell r="S4969">
            <v>45207</v>
          </cell>
          <cell r="T4969">
            <v>45207</v>
          </cell>
          <cell r="U4969">
            <v>45215</v>
          </cell>
          <cell r="V4969">
            <v>45216</v>
          </cell>
          <cell r="W4969">
            <v>45216</v>
          </cell>
          <cell r="X4969">
            <v>41000521</v>
          </cell>
        </row>
        <row r="4970">
          <cell r="K4970" t="str">
            <v>AWS-0070</v>
          </cell>
          <cell r="L4970">
            <v>45183</v>
          </cell>
          <cell r="M4970" t="str">
            <v>2023-09-12 → 9/15</v>
          </cell>
          <cell r="N4970">
            <v>45194</v>
          </cell>
          <cell r="O4970" t="str">
            <v>2023-09-12 → 9/15</v>
          </cell>
          <cell r="P4970">
            <v>45201</v>
          </cell>
          <cell r="Q4970" t="str">
            <v>2023-09-22 → 9/27</v>
          </cell>
          <cell r="R4970" t="str">
            <v>2023-09-25 → 10/2</v>
          </cell>
          <cell r="S4970">
            <v>45207</v>
          </cell>
          <cell r="T4970">
            <v>45207</v>
          </cell>
          <cell r="U4970">
            <v>45216</v>
          </cell>
          <cell r="V4970">
            <v>45216</v>
          </cell>
          <cell r="W4970">
            <v>45216</v>
          </cell>
          <cell r="X4970">
            <v>41000521</v>
          </cell>
        </row>
        <row r="4971">
          <cell r="K4971" t="str">
            <v>AWS-0071</v>
          </cell>
          <cell r="L4971">
            <v>45183</v>
          </cell>
          <cell r="M4971" t="str">
            <v>2023-09-12 → 9/15</v>
          </cell>
          <cell r="N4971">
            <v>45194</v>
          </cell>
          <cell r="O4971" t="str">
            <v>2023-09-12 → 9/15</v>
          </cell>
          <cell r="P4971">
            <v>45201</v>
          </cell>
          <cell r="Q4971" t="str">
            <v>2023-09-22 → 9/27</v>
          </cell>
          <cell r="R4971" t="str">
            <v>2023-09-25 → 10/2</v>
          </cell>
          <cell r="S4971">
            <v>45207</v>
          </cell>
          <cell r="T4971">
            <v>45207</v>
          </cell>
          <cell r="U4971">
            <v>45216</v>
          </cell>
          <cell r="V4971">
            <v>45216</v>
          </cell>
          <cell r="W4971">
            <v>45216</v>
          </cell>
          <cell r="X4971">
            <v>41000521</v>
          </cell>
        </row>
        <row r="4972">
          <cell r="K4972" t="str">
            <v>GBWS-3705</v>
          </cell>
          <cell r="L4972">
            <v>45190</v>
          </cell>
          <cell r="M4972">
            <v>45191</v>
          </cell>
          <cell r="N4972">
            <v>45203</v>
          </cell>
          <cell r="O4972">
            <v>45191</v>
          </cell>
          <cell r="P4972">
            <v>45205</v>
          </cell>
          <cell r="Q4972">
            <v>45204</v>
          </cell>
          <cell r="R4972">
            <v>45205</v>
          </cell>
          <cell r="S4972">
            <v>45209</v>
          </cell>
          <cell r="T4972">
            <v>45209</v>
          </cell>
          <cell r="U4972">
            <v>45211</v>
          </cell>
          <cell r="V4972">
            <v>45216</v>
          </cell>
          <cell r="W4972">
            <v>45216</v>
          </cell>
          <cell r="X4972">
            <v>41100686</v>
          </cell>
        </row>
        <row r="4973">
          <cell r="K4973" t="str">
            <v>GBWS-3706</v>
          </cell>
          <cell r="L4973">
            <v>45190</v>
          </cell>
          <cell r="M4973">
            <v>45191</v>
          </cell>
          <cell r="N4973">
            <v>45203</v>
          </cell>
          <cell r="O4973">
            <v>45191</v>
          </cell>
          <cell r="P4973">
            <v>45205</v>
          </cell>
          <cell r="Q4973">
            <v>45204</v>
          </cell>
          <cell r="R4973">
            <v>45205</v>
          </cell>
          <cell r="S4973">
            <v>45209</v>
          </cell>
          <cell r="T4973">
            <v>45209</v>
          </cell>
          <cell r="U4973">
            <v>45211</v>
          </cell>
          <cell r="V4973">
            <v>45215</v>
          </cell>
          <cell r="W4973">
            <v>45215</v>
          </cell>
          <cell r="X4973">
            <v>41100686</v>
          </cell>
        </row>
        <row r="4974">
          <cell r="K4974" t="str">
            <v>GBWS-3707</v>
          </cell>
          <cell r="L4974">
            <v>45190</v>
          </cell>
          <cell r="M4974">
            <v>45191</v>
          </cell>
          <cell r="N4974">
            <v>45203</v>
          </cell>
          <cell r="O4974">
            <v>45191</v>
          </cell>
          <cell r="P4974">
            <v>45205</v>
          </cell>
          <cell r="Q4974">
            <v>45204</v>
          </cell>
          <cell r="R4974">
            <v>45205</v>
          </cell>
          <cell r="S4974">
            <v>45209</v>
          </cell>
          <cell r="T4974">
            <v>45209</v>
          </cell>
          <cell r="U4974">
            <v>45216</v>
          </cell>
          <cell r="V4974">
            <v>45216</v>
          </cell>
          <cell r="W4974">
            <v>45216</v>
          </cell>
          <cell r="X4974">
            <v>41100686</v>
          </cell>
        </row>
        <row r="4975">
          <cell r="K4975" t="str">
            <v>GBWS-3708</v>
          </cell>
          <cell r="L4975">
            <v>45190</v>
          </cell>
          <cell r="M4975">
            <v>45191</v>
          </cell>
          <cell r="N4975">
            <v>45203</v>
          </cell>
          <cell r="O4975">
            <v>45191</v>
          </cell>
          <cell r="P4975">
            <v>45205</v>
          </cell>
          <cell r="Q4975">
            <v>45204</v>
          </cell>
          <cell r="R4975">
            <v>45205</v>
          </cell>
          <cell r="S4975">
            <v>45209</v>
          </cell>
          <cell r="T4975">
            <v>45209</v>
          </cell>
          <cell r="U4975">
            <v>45216</v>
          </cell>
          <cell r="V4975">
            <v>45216</v>
          </cell>
          <cell r="W4975">
            <v>45216</v>
          </cell>
          <cell r="X4975">
            <v>41100686</v>
          </cell>
        </row>
        <row r="4976">
          <cell r="K4976" t="str">
            <v>GBWS-3709</v>
          </cell>
          <cell r="L4976">
            <v>45191</v>
          </cell>
          <cell r="M4976">
            <v>45194</v>
          </cell>
          <cell r="N4976">
            <v>45205</v>
          </cell>
          <cell r="O4976">
            <v>45194</v>
          </cell>
          <cell r="P4976">
            <v>45209</v>
          </cell>
          <cell r="Q4976">
            <v>45205</v>
          </cell>
          <cell r="R4976">
            <v>45209</v>
          </cell>
          <cell r="S4976">
            <v>45210</v>
          </cell>
          <cell r="T4976">
            <v>45210</v>
          </cell>
          <cell r="U4976">
            <v>45212</v>
          </cell>
          <cell r="V4976">
            <v>45215</v>
          </cell>
          <cell r="W4976">
            <v>45215</v>
          </cell>
          <cell r="X4976">
            <v>41100558</v>
          </cell>
        </row>
        <row r="4977">
          <cell r="K4977" t="str">
            <v>GBWS-3710</v>
          </cell>
          <cell r="L4977">
            <v>45191</v>
          </cell>
          <cell r="M4977">
            <v>45194</v>
          </cell>
          <cell r="N4977">
            <v>45205</v>
          </cell>
          <cell r="O4977">
            <v>45194</v>
          </cell>
          <cell r="P4977">
            <v>45209</v>
          </cell>
          <cell r="Q4977">
            <v>45205</v>
          </cell>
          <cell r="R4977">
            <v>45209</v>
          </cell>
          <cell r="S4977">
            <v>45210</v>
          </cell>
          <cell r="T4977">
            <v>45210</v>
          </cell>
          <cell r="U4977">
            <v>45212</v>
          </cell>
          <cell r="V4977">
            <v>45215</v>
          </cell>
          <cell r="W4977">
            <v>45215</v>
          </cell>
          <cell r="X4977">
            <v>41100558</v>
          </cell>
        </row>
        <row r="4978">
          <cell r="K4978" t="str">
            <v>GBWS-3690</v>
          </cell>
          <cell r="L4978">
            <v>45189</v>
          </cell>
          <cell r="M4978">
            <v>45190</v>
          </cell>
          <cell r="N4978">
            <v>45196</v>
          </cell>
          <cell r="O4978">
            <v>45190</v>
          </cell>
          <cell r="P4978">
            <v>45205</v>
          </cell>
          <cell r="Q4978">
            <v>45204</v>
          </cell>
          <cell r="R4978">
            <v>45205</v>
          </cell>
          <cell r="S4978">
            <v>45209</v>
          </cell>
          <cell r="T4978">
            <v>45209</v>
          </cell>
          <cell r="U4978">
            <v>45212</v>
          </cell>
          <cell r="V4978">
            <v>45215</v>
          </cell>
          <cell r="W4978">
            <v>45215</v>
          </cell>
          <cell r="X4978">
            <v>41100559</v>
          </cell>
        </row>
        <row r="4979">
          <cell r="K4979" t="str">
            <v>GBWS-3691</v>
          </cell>
          <cell r="L4979">
            <v>45189</v>
          </cell>
          <cell r="M4979">
            <v>45190</v>
          </cell>
          <cell r="N4979">
            <v>45196</v>
          </cell>
          <cell r="O4979">
            <v>45190</v>
          </cell>
          <cell r="P4979">
            <v>45205</v>
          </cell>
          <cell r="Q4979">
            <v>45204</v>
          </cell>
          <cell r="R4979">
            <v>45205</v>
          </cell>
          <cell r="S4979">
            <v>45209</v>
          </cell>
          <cell r="T4979">
            <v>45209</v>
          </cell>
          <cell r="U4979">
            <v>45212</v>
          </cell>
          <cell r="V4979">
            <v>45215</v>
          </cell>
          <cell r="W4979">
            <v>45215</v>
          </cell>
          <cell r="X4979">
            <v>41100559</v>
          </cell>
        </row>
        <row r="4980">
          <cell r="K4980" t="str">
            <v>GBWS-3692</v>
          </cell>
          <cell r="L4980">
            <v>45189</v>
          </cell>
          <cell r="M4980">
            <v>45190</v>
          </cell>
          <cell r="N4980">
            <v>45196</v>
          </cell>
          <cell r="O4980">
            <v>45190</v>
          </cell>
          <cell r="P4980">
            <v>45205</v>
          </cell>
          <cell r="Q4980">
            <v>45204</v>
          </cell>
          <cell r="R4980">
            <v>45205</v>
          </cell>
          <cell r="S4980">
            <v>45209</v>
          </cell>
          <cell r="T4980">
            <v>45209</v>
          </cell>
          <cell r="U4980">
            <v>45212</v>
          </cell>
          <cell r="V4980">
            <v>45215</v>
          </cell>
          <cell r="W4980">
            <v>45215</v>
          </cell>
          <cell r="X4980">
            <v>41100559</v>
          </cell>
        </row>
        <row r="4981">
          <cell r="K4981" t="str">
            <v>GBWS-3693</v>
          </cell>
          <cell r="L4981">
            <v>45189</v>
          </cell>
          <cell r="M4981">
            <v>45190</v>
          </cell>
          <cell r="N4981">
            <v>45196</v>
          </cell>
          <cell r="O4981">
            <v>45190</v>
          </cell>
          <cell r="P4981">
            <v>45205</v>
          </cell>
          <cell r="Q4981">
            <v>45204</v>
          </cell>
          <cell r="R4981">
            <v>45205</v>
          </cell>
          <cell r="S4981">
            <v>45209</v>
          </cell>
          <cell r="T4981">
            <v>45209</v>
          </cell>
          <cell r="U4981">
            <v>45212</v>
          </cell>
          <cell r="V4981">
            <v>45215</v>
          </cell>
          <cell r="W4981">
            <v>45215</v>
          </cell>
          <cell r="X4981">
            <v>41100559</v>
          </cell>
        </row>
        <row r="4982">
          <cell r="K4982" t="str">
            <v>GBWS-3701</v>
          </cell>
          <cell r="L4982">
            <v>45190</v>
          </cell>
          <cell r="M4982">
            <v>45191</v>
          </cell>
          <cell r="N4982">
            <v>45203</v>
          </cell>
          <cell r="O4982">
            <v>45191</v>
          </cell>
          <cell r="P4982">
            <v>45209</v>
          </cell>
          <cell r="Q4982">
            <v>45205</v>
          </cell>
          <cell r="R4982">
            <v>45209</v>
          </cell>
          <cell r="S4982">
            <v>45211</v>
          </cell>
          <cell r="T4982">
            <v>45211</v>
          </cell>
          <cell r="U4982">
            <v>45215</v>
          </cell>
          <cell r="V4982">
            <v>45217</v>
          </cell>
          <cell r="W4982">
            <v>45217</v>
          </cell>
          <cell r="X4982">
            <v>41100565</v>
          </cell>
        </row>
        <row r="4983">
          <cell r="K4983" t="str">
            <v>GBWS-3702</v>
          </cell>
          <cell r="L4983">
            <v>45190</v>
          </cell>
          <cell r="M4983">
            <v>45191</v>
          </cell>
          <cell r="N4983">
            <v>45203</v>
          </cell>
          <cell r="O4983">
            <v>45191</v>
          </cell>
          <cell r="P4983">
            <v>45209</v>
          </cell>
          <cell r="Q4983">
            <v>45205</v>
          </cell>
          <cell r="R4983">
            <v>45209</v>
          </cell>
          <cell r="S4983">
            <v>45210</v>
          </cell>
          <cell r="T4983">
            <v>45210</v>
          </cell>
          <cell r="U4983">
            <v>45212</v>
          </cell>
          <cell r="V4983">
            <v>45217</v>
          </cell>
          <cell r="W4983">
            <v>45217</v>
          </cell>
          <cell r="X4983">
            <v>41100565</v>
          </cell>
        </row>
        <row r="4984">
          <cell r="K4984" t="str">
            <v>GBWS-3703</v>
          </cell>
          <cell r="L4984">
            <v>45190</v>
          </cell>
          <cell r="M4984">
            <v>45191</v>
          </cell>
          <cell r="N4984">
            <v>45203</v>
          </cell>
          <cell r="O4984">
            <v>45191</v>
          </cell>
          <cell r="P4984">
            <v>45209</v>
          </cell>
          <cell r="Q4984">
            <v>45205</v>
          </cell>
          <cell r="R4984">
            <v>45209</v>
          </cell>
          <cell r="S4984">
            <v>45211</v>
          </cell>
          <cell r="T4984">
            <v>45211</v>
          </cell>
          <cell r="U4984">
            <v>45214</v>
          </cell>
          <cell r="V4984">
            <v>45217</v>
          </cell>
          <cell r="W4984">
            <v>45217</v>
          </cell>
          <cell r="X4984">
            <v>41100662</v>
          </cell>
        </row>
        <row r="4985">
          <cell r="K4985" t="str">
            <v>GBWS-3704</v>
          </cell>
          <cell r="L4985">
            <v>45190</v>
          </cell>
          <cell r="M4985">
            <v>45191</v>
          </cell>
          <cell r="N4985">
            <v>45203</v>
          </cell>
          <cell r="O4985">
            <v>45191</v>
          </cell>
          <cell r="P4985">
            <v>45209</v>
          </cell>
          <cell r="Q4985">
            <v>45205</v>
          </cell>
          <cell r="R4985">
            <v>45209</v>
          </cell>
          <cell r="S4985">
            <v>45210</v>
          </cell>
          <cell r="T4985">
            <v>45210</v>
          </cell>
          <cell r="U4985">
            <v>45214</v>
          </cell>
          <cell r="V4985">
            <v>45217</v>
          </cell>
          <cell r="W4985">
            <v>45217</v>
          </cell>
          <cell r="X4985">
            <v>41100662</v>
          </cell>
        </row>
        <row r="4986">
          <cell r="K4986" t="str">
            <v>GPWS-0290</v>
          </cell>
          <cell r="L4986">
            <v>45191</v>
          </cell>
          <cell r="M4986">
            <v>45194</v>
          </cell>
          <cell r="N4986">
            <v>45211</v>
          </cell>
          <cell r="O4986">
            <v>45194</v>
          </cell>
          <cell r="P4986">
            <v>45212</v>
          </cell>
          <cell r="Q4986">
            <v>45204</v>
          </cell>
          <cell r="R4986" t="str">
            <v>2023-10-06 → 10/13</v>
          </cell>
          <cell r="S4986">
            <v>45212</v>
          </cell>
          <cell r="T4986">
            <v>45212</v>
          </cell>
          <cell r="U4986">
            <v>45217</v>
          </cell>
          <cell r="V4986">
            <v>45218</v>
          </cell>
          <cell r="W4986">
            <v>45218</v>
          </cell>
          <cell r="X4986">
            <v>41100445</v>
          </cell>
        </row>
        <row r="4987">
          <cell r="K4987" t="str">
            <v>GBWS-3729</v>
          </cell>
          <cell r="L4987">
            <v>45194</v>
          </cell>
          <cell r="M4987">
            <v>45195</v>
          </cell>
          <cell r="N4987">
            <v>45209</v>
          </cell>
          <cell r="O4987">
            <v>45195</v>
          </cell>
          <cell r="P4987">
            <v>45209</v>
          </cell>
          <cell r="Q4987">
            <v>45205</v>
          </cell>
          <cell r="R4987">
            <v>45209</v>
          </cell>
          <cell r="S4987">
            <v>45210</v>
          </cell>
          <cell r="T4987">
            <v>45210</v>
          </cell>
          <cell r="U4987">
            <v>45212</v>
          </cell>
          <cell r="V4987">
            <v>45217</v>
          </cell>
          <cell r="W4987">
            <v>45217</v>
          </cell>
          <cell r="X4987">
            <v>41100481</v>
          </cell>
        </row>
        <row r="4988">
          <cell r="K4988" t="str">
            <v>GBWS-3731</v>
          </cell>
          <cell r="L4988">
            <v>45195</v>
          </cell>
          <cell r="M4988">
            <v>45196</v>
          </cell>
          <cell r="N4988">
            <v>45210</v>
          </cell>
          <cell r="O4988">
            <v>45196</v>
          </cell>
          <cell r="P4988">
            <v>45210</v>
          </cell>
          <cell r="Q4988">
            <v>45209</v>
          </cell>
          <cell r="R4988">
            <v>45210</v>
          </cell>
          <cell r="S4988">
            <v>45211</v>
          </cell>
          <cell r="T4988">
            <v>45211</v>
          </cell>
          <cell r="U4988">
            <v>45216</v>
          </cell>
          <cell r="V4988">
            <v>45217</v>
          </cell>
          <cell r="W4988">
            <v>45217</v>
          </cell>
          <cell r="X4988">
            <v>41100350</v>
          </cell>
        </row>
        <row r="4989">
          <cell r="K4989" t="str">
            <v>GBWS-3732</v>
          </cell>
          <cell r="L4989">
            <v>45195</v>
          </cell>
          <cell r="M4989">
            <v>45196</v>
          </cell>
          <cell r="N4989">
            <v>45210</v>
          </cell>
          <cell r="O4989">
            <v>45196</v>
          </cell>
          <cell r="P4989">
            <v>45210</v>
          </cell>
          <cell r="Q4989">
            <v>45209</v>
          </cell>
          <cell r="R4989">
            <v>45210</v>
          </cell>
          <cell r="S4989">
            <v>45211</v>
          </cell>
          <cell r="T4989">
            <v>45211</v>
          </cell>
          <cell r="U4989">
            <v>45218</v>
          </cell>
          <cell r="V4989">
            <v>45218</v>
          </cell>
          <cell r="W4989">
            <v>45218</v>
          </cell>
          <cell r="X4989">
            <v>41100350</v>
          </cell>
        </row>
        <row r="4990">
          <cell r="K4990" t="str">
            <v>GBWS-3684</v>
          </cell>
          <cell r="L4990">
            <v>45189</v>
          </cell>
          <cell r="M4990">
            <v>45190</v>
          </cell>
          <cell r="N4990">
            <v>45201</v>
          </cell>
          <cell r="O4990">
            <v>45190</v>
          </cell>
          <cell r="P4990">
            <v>45203</v>
          </cell>
          <cell r="Q4990">
            <v>45201</v>
          </cell>
          <cell r="R4990">
            <v>45203</v>
          </cell>
          <cell r="S4990">
            <v>45205</v>
          </cell>
          <cell r="T4990">
            <v>45205</v>
          </cell>
          <cell r="U4990">
            <v>45210</v>
          </cell>
          <cell r="V4990">
            <v>45218</v>
          </cell>
          <cell r="W4990">
            <v>45218</v>
          </cell>
          <cell r="X4990">
            <v>41000535</v>
          </cell>
        </row>
        <row r="4991">
          <cell r="K4991" t="str">
            <v>GBWS-3685</v>
          </cell>
          <cell r="L4991">
            <v>45189</v>
          </cell>
          <cell r="M4991">
            <v>45190</v>
          </cell>
          <cell r="N4991">
            <v>45201</v>
          </cell>
          <cell r="O4991">
            <v>45190</v>
          </cell>
          <cell r="P4991">
            <v>45203</v>
          </cell>
          <cell r="Q4991">
            <v>45201</v>
          </cell>
          <cell r="R4991">
            <v>45203</v>
          </cell>
          <cell r="S4991">
            <v>45205</v>
          </cell>
          <cell r="T4991">
            <v>45205</v>
          </cell>
          <cell r="U4991">
            <v>45210</v>
          </cell>
          <cell r="V4991">
            <v>45218</v>
          </cell>
          <cell r="W4991">
            <v>45218</v>
          </cell>
          <cell r="X4991">
            <v>41000535</v>
          </cell>
        </row>
        <row r="4992">
          <cell r="K4992" t="str">
            <v>GBWS-3730</v>
          </cell>
          <cell r="L4992">
            <v>45195</v>
          </cell>
          <cell r="M4992">
            <v>45196</v>
          </cell>
          <cell r="N4992">
            <v>45210</v>
          </cell>
          <cell r="O4992">
            <v>45196</v>
          </cell>
          <cell r="P4992">
            <v>45212</v>
          </cell>
          <cell r="Q4992">
            <v>45211</v>
          </cell>
          <cell r="R4992">
            <v>45212</v>
          </cell>
          <cell r="S4992">
            <v>45215</v>
          </cell>
          <cell r="T4992">
            <v>45215</v>
          </cell>
          <cell r="U4992">
            <v>45218</v>
          </cell>
          <cell r="V4992">
            <v>45219</v>
          </cell>
          <cell r="W4992">
            <v>45219</v>
          </cell>
          <cell r="X4992">
            <v>41100350</v>
          </cell>
        </row>
        <row r="4993">
          <cell r="K4993" t="str">
            <v>GBWS-3733</v>
          </cell>
          <cell r="L4993">
            <v>45195</v>
          </cell>
          <cell r="M4993">
            <v>45196</v>
          </cell>
          <cell r="N4993">
            <v>45211</v>
          </cell>
          <cell r="O4993">
            <v>45196</v>
          </cell>
          <cell r="P4993">
            <v>45211</v>
          </cell>
          <cell r="Q4993">
            <v>45211</v>
          </cell>
          <cell r="R4993">
            <v>45212</v>
          </cell>
          <cell r="S4993">
            <v>45215</v>
          </cell>
          <cell r="T4993">
            <v>45215</v>
          </cell>
          <cell r="U4993">
            <v>45218</v>
          </cell>
          <cell r="V4993">
            <v>45219</v>
          </cell>
          <cell r="W4993">
            <v>45219</v>
          </cell>
          <cell r="X4993">
            <v>41100350</v>
          </cell>
        </row>
        <row r="4994">
          <cell r="K4994" t="str">
            <v>GBWS-3734</v>
          </cell>
          <cell r="L4994">
            <v>45195</v>
          </cell>
          <cell r="M4994">
            <v>45196</v>
          </cell>
          <cell r="N4994">
            <v>45211</v>
          </cell>
          <cell r="O4994">
            <v>45196</v>
          </cell>
          <cell r="P4994">
            <v>45212</v>
          </cell>
          <cell r="Q4994">
            <v>45211</v>
          </cell>
          <cell r="R4994">
            <v>45212</v>
          </cell>
          <cell r="S4994">
            <v>45216</v>
          </cell>
          <cell r="T4994">
            <v>45216</v>
          </cell>
          <cell r="U4994">
            <v>45219</v>
          </cell>
          <cell r="V4994">
            <v>45219</v>
          </cell>
          <cell r="W4994">
            <v>45219</v>
          </cell>
          <cell r="X4994">
            <v>41100358</v>
          </cell>
        </row>
        <row r="4995">
          <cell r="K4995" t="str">
            <v>DBW-3012</v>
          </cell>
          <cell r="L4995">
            <v>45099</v>
          </cell>
          <cell r="M4995" t="str">
            <v>2023-06-27 → 6/23</v>
          </cell>
          <cell r="N4995">
            <v>45110</v>
          </cell>
          <cell r="O4995" t="str">
            <v>2023-06-27 → 6/23</v>
          </cell>
          <cell r="P4995">
            <v>45110</v>
          </cell>
          <cell r="Q4995" t="str">
            <v>2023-07-04 → 7/3</v>
          </cell>
          <cell r="R4995" t="str">
            <v>2023-07-05 → 7/4</v>
          </cell>
          <cell r="S4995">
            <v>45111</v>
          </cell>
          <cell r="T4995">
            <v>45112</v>
          </cell>
          <cell r="U4995">
            <v>45113</v>
          </cell>
          <cell r="V4995">
            <v>45117</v>
          </cell>
          <cell r="W4995">
            <v>45117</v>
          </cell>
          <cell r="X4995">
            <v>41100668</v>
          </cell>
        </row>
        <row r="4996">
          <cell r="K4996" t="str">
            <v>GBWS-3722</v>
          </cell>
          <cell r="L4996">
            <v>45194</v>
          </cell>
          <cell r="M4996">
            <v>45195</v>
          </cell>
          <cell r="N4996">
            <v>45209</v>
          </cell>
          <cell r="O4996">
            <v>45195</v>
          </cell>
          <cell r="P4996">
            <v>45210</v>
          </cell>
          <cell r="Q4996">
            <v>45209</v>
          </cell>
          <cell r="R4996">
            <v>45210</v>
          </cell>
          <cell r="S4996">
            <v>45211</v>
          </cell>
          <cell r="T4996">
            <v>45211</v>
          </cell>
          <cell r="U4996">
            <v>45215</v>
          </cell>
          <cell r="V4996">
            <v>45217</v>
          </cell>
          <cell r="W4996">
            <v>45217</v>
          </cell>
          <cell r="X4996">
            <v>41100564</v>
          </cell>
        </row>
        <row r="4997">
          <cell r="K4997" t="str">
            <v>GBWS-3723</v>
          </cell>
          <cell r="L4997">
            <v>45194</v>
          </cell>
          <cell r="M4997">
            <v>45195</v>
          </cell>
          <cell r="N4997">
            <v>45209</v>
          </cell>
          <cell r="O4997">
            <v>45195</v>
          </cell>
          <cell r="P4997">
            <v>45210</v>
          </cell>
          <cell r="Q4997">
            <v>45209</v>
          </cell>
          <cell r="R4997">
            <v>45210</v>
          </cell>
          <cell r="S4997">
            <v>45211</v>
          </cell>
          <cell r="T4997">
            <v>45211</v>
          </cell>
          <cell r="U4997">
            <v>45218</v>
          </cell>
          <cell r="V4997">
            <v>45219</v>
          </cell>
          <cell r="W4997">
            <v>45219</v>
          </cell>
          <cell r="X4997">
            <v>41100564</v>
          </cell>
        </row>
        <row r="4998">
          <cell r="K4998" t="str">
            <v>GBWS-3724</v>
          </cell>
          <cell r="L4998">
            <v>45194</v>
          </cell>
          <cell r="M4998">
            <v>45195</v>
          </cell>
          <cell r="N4998">
            <v>45209</v>
          </cell>
          <cell r="O4998">
            <v>45195</v>
          </cell>
          <cell r="P4998">
            <v>45210</v>
          </cell>
          <cell r="Q4998">
            <v>45209</v>
          </cell>
          <cell r="R4998">
            <v>45210</v>
          </cell>
          <cell r="S4998">
            <v>45211</v>
          </cell>
          <cell r="T4998">
            <v>45211</v>
          </cell>
          <cell r="U4998">
            <v>45215</v>
          </cell>
          <cell r="V4998">
            <v>45217</v>
          </cell>
          <cell r="W4998">
            <v>45217</v>
          </cell>
          <cell r="X4998">
            <v>41100564</v>
          </cell>
        </row>
        <row r="4999">
          <cell r="K4999" t="str">
            <v>GBWS-3725</v>
          </cell>
          <cell r="L4999">
            <v>45194</v>
          </cell>
          <cell r="M4999">
            <v>45195</v>
          </cell>
          <cell r="N4999">
            <v>45209</v>
          </cell>
          <cell r="O4999">
            <v>45195</v>
          </cell>
          <cell r="P4999">
            <v>45210</v>
          </cell>
          <cell r="Q4999">
            <v>45209</v>
          </cell>
          <cell r="R4999">
            <v>45210</v>
          </cell>
          <cell r="S4999">
            <v>45211</v>
          </cell>
          <cell r="T4999">
            <v>45211</v>
          </cell>
          <cell r="U4999">
            <v>45215</v>
          </cell>
          <cell r="V4999">
            <v>45217</v>
          </cell>
          <cell r="W4999">
            <v>45217</v>
          </cell>
          <cell r="X4999">
            <v>41100564</v>
          </cell>
        </row>
        <row r="5000">
          <cell r="K5000" t="str">
            <v>GBWS-3726</v>
          </cell>
          <cell r="L5000">
            <v>45194</v>
          </cell>
          <cell r="M5000">
            <v>45195</v>
          </cell>
          <cell r="N5000">
            <v>45209</v>
          </cell>
          <cell r="O5000">
            <v>45195</v>
          </cell>
          <cell r="P5000">
            <v>45209</v>
          </cell>
          <cell r="Q5000">
            <v>45211</v>
          </cell>
          <cell r="R5000">
            <v>45212</v>
          </cell>
          <cell r="S5000">
            <v>45215</v>
          </cell>
          <cell r="T5000">
            <v>45215</v>
          </cell>
          <cell r="U5000">
            <v>45217</v>
          </cell>
          <cell r="V5000">
            <v>45218</v>
          </cell>
          <cell r="W5000">
            <v>45218</v>
          </cell>
          <cell r="X5000">
            <v>41100564</v>
          </cell>
        </row>
        <row r="5001">
          <cell r="K5001" t="str">
            <v>GBWS-3727</v>
          </cell>
          <cell r="L5001">
            <v>45194</v>
          </cell>
          <cell r="M5001">
            <v>45195</v>
          </cell>
          <cell r="N5001">
            <v>45209</v>
          </cell>
          <cell r="O5001">
            <v>45195</v>
          </cell>
          <cell r="P5001">
            <v>45209</v>
          </cell>
          <cell r="Q5001">
            <v>45211</v>
          </cell>
          <cell r="R5001">
            <v>45212</v>
          </cell>
          <cell r="S5001">
            <v>45215</v>
          </cell>
          <cell r="T5001">
            <v>45215</v>
          </cell>
          <cell r="U5001">
            <v>45217</v>
          </cell>
          <cell r="V5001">
            <v>45219</v>
          </cell>
          <cell r="W5001">
            <v>45219</v>
          </cell>
          <cell r="X5001">
            <v>41100564</v>
          </cell>
        </row>
        <row r="5002">
          <cell r="K5002" t="str">
            <v>GBWS-3728</v>
          </cell>
          <cell r="L5002">
            <v>45194</v>
          </cell>
          <cell r="M5002">
            <v>45195</v>
          </cell>
          <cell r="N5002">
            <v>45209</v>
          </cell>
          <cell r="O5002">
            <v>45195</v>
          </cell>
          <cell r="P5002">
            <v>45209</v>
          </cell>
          <cell r="Q5002">
            <v>45211</v>
          </cell>
          <cell r="R5002">
            <v>45212</v>
          </cell>
          <cell r="S5002">
            <v>45215</v>
          </cell>
          <cell r="T5002">
            <v>45215</v>
          </cell>
          <cell r="U5002">
            <v>45218</v>
          </cell>
          <cell r="V5002">
            <v>45219</v>
          </cell>
          <cell r="W5002">
            <v>45219</v>
          </cell>
          <cell r="X5002">
            <v>41100564</v>
          </cell>
        </row>
        <row r="5003">
          <cell r="K5003" t="str">
            <v>GBWS-3686</v>
          </cell>
          <cell r="L5003">
            <v>45189</v>
          </cell>
          <cell r="M5003">
            <v>45190</v>
          </cell>
          <cell r="N5003">
            <v>45203</v>
          </cell>
          <cell r="O5003">
            <v>45190</v>
          </cell>
          <cell r="P5003">
            <v>45204</v>
          </cell>
          <cell r="Q5003">
            <v>45203</v>
          </cell>
          <cell r="R5003">
            <v>45204</v>
          </cell>
          <cell r="S5003">
            <v>45209</v>
          </cell>
          <cell r="T5003">
            <v>45209</v>
          </cell>
          <cell r="U5003">
            <v>45217</v>
          </cell>
          <cell r="V5003">
            <v>45218</v>
          </cell>
          <cell r="W5003">
            <v>45218</v>
          </cell>
          <cell r="X5003">
            <v>41100564</v>
          </cell>
        </row>
        <row r="5004">
          <cell r="K5004" t="str">
            <v>GBWS-3687</v>
          </cell>
          <cell r="L5004">
            <v>45189</v>
          </cell>
          <cell r="M5004">
            <v>45190</v>
          </cell>
          <cell r="N5004">
            <v>45203</v>
          </cell>
          <cell r="O5004">
            <v>45190</v>
          </cell>
          <cell r="P5004">
            <v>45204</v>
          </cell>
          <cell r="Q5004">
            <v>45203</v>
          </cell>
          <cell r="R5004">
            <v>45204</v>
          </cell>
          <cell r="S5004">
            <v>45209</v>
          </cell>
          <cell r="T5004">
            <v>45209</v>
          </cell>
          <cell r="U5004">
            <v>45214</v>
          </cell>
          <cell r="V5004">
            <v>45217</v>
          </cell>
          <cell r="W5004">
            <v>45217</v>
          </cell>
          <cell r="X5004">
            <v>41100564</v>
          </cell>
        </row>
        <row r="5005">
          <cell r="K5005" t="str">
            <v>GBWS-3688</v>
          </cell>
          <cell r="L5005">
            <v>45189</v>
          </cell>
          <cell r="M5005">
            <v>45190</v>
          </cell>
          <cell r="N5005">
            <v>45203</v>
          </cell>
          <cell r="O5005">
            <v>45190</v>
          </cell>
          <cell r="P5005">
            <v>45204</v>
          </cell>
          <cell r="Q5005">
            <v>45203</v>
          </cell>
          <cell r="R5005">
            <v>45204</v>
          </cell>
          <cell r="S5005">
            <v>45209</v>
          </cell>
          <cell r="T5005">
            <v>45209</v>
          </cell>
          <cell r="U5005">
            <v>45211</v>
          </cell>
          <cell r="V5005">
            <v>45212</v>
          </cell>
          <cell r="W5005">
            <v>45212</v>
          </cell>
          <cell r="X5005">
            <v>41100564</v>
          </cell>
        </row>
        <row r="5006">
          <cell r="K5006" t="str">
            <v>GBWS-3689</v>
          </cell>
          <cell r="L5006">
            <v>45189</v>
          </cell>
          <cell r="M5006">
            <v>45190</v>
          </cell>
          <cell r="N5006">
            <v>45203</v>
          </cell>
          <cell r="O5006">
            <v>45190</v>
          </cell>
          <cell r="P5006">
            <v>45204</v>
          </cell>
          <cell r="Q5006">
            <v>45203</v>
          </cell>
          <cell r="R5006">
            <v>45204</v>
          </cell>
          <cell r="S5006">
            <v>45209</v>
          </cell>
          <cell r="T5006">
            <v>45209</v>
          </cell>
          <cell r="U5006">
            <v>45211</v>
          </cell>
          <cell r="V5006">
            <v>45212</v>
          </cell>
          <cell r="W5006">
            <v>45212</v>
          </cell>
          <cell r="X5006">
            <v>41100564</v>
          </cell>
        </row>
        <row r="5007">
          <cell r="K5007" t="str">
            <v>GBWS-3751</v>
          </cell>
          <cell r="L5007">
            <v>45204</v>
          </cell>
          <cell r="M5007">
            <v>45205</v>
          </cell>
          <cell r="N5007">
            <v>45212</v>
          </cell>
          <cell r="O5007">
            <v>45205</v>
          </cell>
          <cell r="P5007">
            <v>45212</v>
          </cell>
          <cell r="Q5007">
            <v>45212</v>
          </cell>
          <cell r="R5007">
            <v>45212</v>
          </cell>
          <cell r="S5007">
            <v>45215</v>
          </cell>
          <cell r="T5007">
            <v>45215</v>
          </cell>
          <cell r="U5007">
            <v>45218</v>
          </cell>
          <cell r="V5007">
            <v>45219</v>
          </cell>
          <cell r="W5007">
            <v>45219</v>
          </cell>
          <cell r="X5007">
            <v>41100564</v>
          </cell>
        </row>
        <row r="5008">
          <cell r="K5008" t="str">
            <v>DBW-3080</v>
          </cell>
          <cell r="L5008">
            <v>45205</v>
          </cell>
          <cell r="M5008" t="str">
            <v>2023-10-12 → 10/10</v>
          </cell>
          <cell r="N5008">
            <v>45216</v>
          </cell>
          <cell r="O5008" t="str">
            <v>2023-10-12 → 10/10</v>
          </cell>
          <cell r="P5008">
            <v>45217</v>
          </cell>
          <cell r="Q5008" t="str">
            <v>2023-10-19 → 10/17</v>
          </cell>
          <cell r="R5008" t="str">
            <v>2023-10-20 → 10/18</v>
          </cell>
          <cell r="S5008">
            <v>45218</v>
          </cell>
          <cell r="T5008">
            <v>45218</v>
          </cell>
          <cell r="U5008">
            <v>45222</v>
          </cell>
          <cell r="V5008">
            <v>45222</v>
          </cell>
          <cell r="W5008">
            <v>45222</v>
          </cell>
          <cell r="X5008">
            <v>41100690</v>
          </cell>
        </row>
        <row r="5009">
          <cell r="K5009" t="str">
            <v>DBW-3081</v>
          </cell>
          <cell r="L5009">
            <v>45205</v>
          </cell>
          <cell r="M5009" t="str">
            <v>2023-10-12 → 10/10</v>
          </cell>
          <cell r="N5009">
            <v>45216</v>
          </cell>
          <cell r="O5009" t="str">
            <v>2023-10-12 → 10/10</v>
          </cell>
          <cell r="P5009">
            <v>45217</v>
          </cell>
          <cell r="Q5009" t="str">
            <v>2023-10-19 → 10/17</v>
          </cell>
          <cell r="R5009" t="str">
            <v>2023-10-20 → 10/18</v>
          </cell>
          <cell r="S5009">
            <v>45218</v>
          </cell>
          <cell r="T5009">
            <v>45218</v>
          </cell>
          <cell r="U5009">
            <v>45222</v>
          </cell>
          <cell r="V5009">
            <v>45222</v>
          </cell>
          <cell r="W5009">
            <v>45222</v>
          </cell>
          <cell r="X5009">
            <v>41100690</v>
          </cell>
        </row>
        <row r="5010">
          <cell r="K5010" t="str">
            <v>DBW-3082</v>
          </cell>
          <cell r="L5010">
            <v>45205</v>
          </cell>
          <cell r="M5010" t="str">
            <v>2023-10-12 → 10/10</v>
          </cell>
          <cell r="N5010">
            <v>45216</v>
          </cell>
          <cell r="O5010" t="str">
            <v>2023-10-12 → 10/10</v>
          </cell>
          <cell r="P5010">
            <v>45217</v>
          </cell>
          <cell r="Q5010" t="str">
            <v>2023-10-19 → 10/17</v>
          </cell>
          <cell r="R5010" t="str">
            <v>2023-10-20 → 10/18</v>
          </cell>
          <cell r="S5010">
            <v>45218</v>
          </cell>
          <cell r="T5010">
            <v>45218</v>
          </cell>
          <cell r="U5010">
            <v>45222</v>
          </cell>
          <cell r="V5010">
            <v>45222</v>
          </cell>
          <cell r="W5010">
            <v>45222</v>
          </cell>
          <cell r="X5010">
            <v>41100690</v>
          </cell>
        </row>
        <row r="5011">
          <cell r="K5011" t="str">
            <v>DBW-3071</v>
          </cell>
          <cell r="L5011">
            <v>45205</v>
          </cell>
          <cell r="M5011">
            <v>45209</v>
          </cell>
          <cell r="N5011">
            <v>45216</v>
          </cell>
          <cell r="O5011">
            <v>45209</v>
          </cell>
          <cell r="P5011">
            <v>45216</v>
          </cell>
          <cell r="Q5011" t="str">
            <v>2023-10-18 → 10/16</v>
          </cell>
          <cell r="R5011" t="str">
            <v>2023-10-19 → 10/17</v>
          </cell>
          <cell r="S5011">
            <v>45217</v>
          </cell>
          <cell r="T5011">
            <v>45217</v>
          </cell>
          <cell r="U5011">
            <v>45219</v>
          </cell>
          <cell r="V5011">
            <v>45222</v>
          </cell>
          <cell r="W5011">
            <v>45222</v>
          </cell>
          <cell r="X5011">
            <v>41100691</v>
          </cell>
        </row>
        <row r="5012">
          <cell r="K5012" t="str">
            <v>DBW-3072</v>
          </cell>
          <cell r="L5012">
            <v>45205</v>
          </cell>
          <cell r="M5012">
            <v>45209</v>
          </cell>
          <cell r="N5012">
            <v>45216</v>
          </cell>
          <cell r="O5012">
            <v>45209</v>
          </cell>
          <cell r="P5012">
            <v>45216</v>
          </cell>
          <cell r="Q5012" t="str">
            <v>2023-10-18 → 10/16</v>
          </cell>
          <cell r="R5012" t="str">
            <v>2023-10-19 → 10/17</v>
          </cell>
          <cell r="S5012">
            <v>45217</v>
          </cell>
          <cell r="T5012">
            <v>45217</v>
          </cell>
          <cell r="U5012">
            <v>45219</v>
          </cell>
          <cell r="V5012">
            <v>45222</v>
          </cell>
          <cell r="W5012">
            <v>45222</v>
          </cell>
          <cell r="X5012">
            <v>41100691</v>
          </cell>
        </row>
        <row r="5013">
          <cell r="K5013" t="str">
            <v>DBW-3073</v>
          </cell>
          <cell r="L5013">
            <v>45205</v>
          </cell>
          <cell r="M5013">
            <v>45209</v>
          </cell>
          <cell r="N5013">
            <v>45216</v>
          </cell>
          <cell r="O5013">
            <v>45209</v>
          </cell>
          <cell r="P5013">
            <v>45216</v>
          </cell>
          <cell r="Q5013" t="str">
            <v>2023-10-18 → 10/16</v>
          </cell>
          <cell r="R5013" t="str">
            <v>2023-10-19 → 10/17</v>
          </cell>
          <cell r="S5013">
            <v>45217</v>
          </cell>
          <cell r="T5013">
            <v>45217</v>
          </cell>
          <cell r="U5013">
            <v>45219</v>
          </cell>
          <cell r="V5013">
            <v>45222</v>
          </cell>
          <cell r="W5013">
            <v>45222</v>
          </cell>
          <cell r="X5013">
            <v>41100691</v>
          </cell>
        </row>
        <row r="5014">
          <cell r="K5014" t="str">
            <v>DBW-3074</v>
          </cell>
          <cell r="L5014">
            <v>45205</v>
          </cell>
          <cell r="M5014">
            <v>45209</v>
          </cell>
          <cell r="N5014">
            <v>45216</v>
          </cell>
          <cell r="O5014">
            <v>45209</v>
          </cell>
          <cell r="P5014">
            <v>45216</v>
          </cell>
          <cell r="Q5014" t="str">
            <v>2023-10-18 → 10/16</v>
          </cell>
          <cell r="R5014" t="str">
            <v>2023-10-19 → 10/17</v>
          </cell>
          <cell r="S5014">
            <v>45217</v>
          </cell>
          <cell r="T5014">
            <v>45217</v>
          </cell>
          <cell r="U5014">
            <v>45219</v>
          </cell>
          <cell r="V5014">
            <v>45222</v>
          </cell>
          <cell r="W5014">
            <v>45222</v>
          </cell>
          <cell r="X5014">
            <v>41100691</v>
          </cell>
        </row>
        <row r="5015">
          <cell r="K5015" t="str">
            <v>DBW-3075</v>
          </cell>
          <cell r="L5015">
            <v>45205</v>
          </cell>
          <cell r="M5015">
            <v>45209</v>
          </cell>
          <cell r="N5015">
            <v>45216</v>
          </cell>
          <cell r="O5015">
            <v>45209</v>
          </cell>
          <cell r="P5015">
            <v>45216</v>
          </cell>
          <cell r="Q5015" t="str">
            <v>2023-10-18 → 10/16</v>
          </cell>
          <cell r="R5015" t="str">
            <v>2023-10-19 → 10/17</v>
          </cell>
          <cell r="S5015">
            <v>45217</v>
          </cell>
          <cell r="T5015">
            <v>45217</v>
          </cell>
          <cell r="U5015">
            <v>45219</v>
          </cell>
          <cell r="V5015">
            <v>45222</v>
          </cell>
          <cell r="W5015">
            <v>45222</v>
          </cell>
          <cell r="X5015">
            <v>41100691</v>
          </cell>
        </row>
        <row r="5016">
          <cell r="K5016" t="str">
            <v>DBW-3076</v>
          </cell>
          <cell r="L5016">
            <v>45205</v>
          </cell>
          <cell r="M5016">
            <v>45209</v>
          </cell>
          <cell r="N5016">
            <v>45216</v>
          </cell>
          <cell r="O5016">
            <v>45209</v>
          </cell>
          <cell r="P5016">
            <v>45216</v>
          </cell>
          <cell r="Q5016" t="str">
            <v>2023-10-18 → 10/16</v>
          </cell>
          <cell r="R5016" t="str">
            <v>2023-10-19 → 10/17</v>
          </cell>
          <cell r="S5016">
            <v>45217</v>
          </cell>
          <cell r="T5016">
            <v>45217</v>
          </cell>
          <cell r="U5016">
            <v>45219</v>
          </cell>
          <cell r="V5016">
            <v>45222</v>
          </cell>
          <cell r="W5016">
            <v>45222</v>
          </cell>
          <cell r="X5016">
            <v>41100691</v>
          </cell>
        </row>
        <row r="5017">
          <cell r="K5017" t="str">
            <v>DBW-3067</v>
          </cell>
          <cell r="L5017">
            <v>45203</v>
          </cell>
          <cell r="M5017">
            <v>45204</v>
          </cell>
          <cell r="N5017">
            <v>45211</v>
          </cell>
          <cell r="O5017">
            <v>45204</v>
          </cell>
          <cell r="P5017">
            <v>45211</v>
          </cell>
          <cell r="Q5017">
            <v>45210</v>
          </cell>
          <cell r="R5017">
            <v>45211</v>
          </cell>
          <cell r="S5017">
            <v>45215</v>
          </cell>
          <cell r="T5017">
            <v>45215</v>
          </cell>
          <cell r="U5017">
            <v>45217</v>
          </cell>
          <cell r="V5017">
            <v>45219</v>
          </cell>
          <cell r="W5017">
            <v>45219</v>
          </cell>
          <cell r="X5017">
            <v>41000536</v>
          </cell>
        </row>
        <row r="5018">
          <cell r="K5018" t="str">
            <v>DBW-3068</v>
          </cell>
          <cell r="L5018">
            <v>45203</v>
          </cell>
          <cell r="M5018">
            <v>45204</v>
          </cell>
          <cell r="N5018">
            <v>45212</v>
          </cell>
          <cell r="O5018">
            <v>45204</v>
          </cell>
          <cell r="P5018">
            <v>45215</v>
          </cell>
          <cell r="Q5018">
            <v>45212</v>
          </cell>
          <cell r="R5018">
            <v>45215</v>
          </cell>
          <cell r="S5018">
            <v>45216</v>
          </cell>
          <cell r="T5018">
            <v>45216</v>
          </cell>
          <cell r="U5018">
            <v>45219</v>
          </cell>
          <cell r="V5018">
            <v>45223</v>
          </cell>
          <cell r="W5018">
            <v>45223</v>
          </cell>
          <cell r="X5018">
            <v>41100689</v>
          </cell>
        </row>
        <row r="5019">
          <cell r="K5019" t="str">
            <v>DBW-3069</v>
          </cell>
          <cell r="L5019">
            <v>45203</v>
          </cell>
          <cell r="M5019">
            <v>45204</v>
          </cell>
          <cell r="N5019">
            <v>45212</v>
          </cell>
          <cell r="O5019">
            <v>45204</v>
          </cell>
          <cell r="P5019">
            <v>45215</v>
          </cell>
          <cell r="Q5019">
            <v>45212</v>
          </cell>
          <cell r="R5019">
            <v>45215</v>
          </cell>
          <cell r="S5019">
            <v>45216</v>
          </cell>
          <cell r="T5019">
            <v>45216</v>
          </cell>
          <cell r="U5019">
            <v>45219</v>
          </cell>
          <cell r="V5019">
            <v>45223</v>
          </cell>
          <cell r="W5019">
            <v>45223</v>
          </cell>
          <cell r="X5019">
            <v>41100689</v>
          </cell>
        </row>
        <row r="5020">
          <cell r="K5020" t="str">
            <v>DBW-3079</v>
          </cell>
          <cell r="L5020">
            <v>45205</v>
          </cell>
          <cell r="M5020">
            <v>45209</v>
          </cell>
          <cell r="N5020">
            <v>45215</v>
          </cell>
          <cell r="O5020">
            <v>45209</v>
          </cell>
          <cell r="P5020">
            <v>45215</v>
          </cell>
          <cell r="Q5020">
            <v>45215</v>
          </cell>
          <cell r="R5020">
            <v>45215</v>
          </cell>
          <cell r="S5020">
            <v>45216</v>
          </cell>
          <cell r="T5020">
            <v>45216</v>
          </cell>
          <cell r="U5020">
            <v>45222</v>
          </cell>
          <cell r="V5020">
            <v>45223</v>
          </cell>
          <cell r="W5020">
            <v>45223</v>
          </cell>
          <cell r="X5020">
            <v>41100690</v>
          </cell>
        </row>
        <row r="5021">
          <cell r="K5021" t="str">
            <v>-</v>
          </cell>
          <cell r="L5021">
            <v>45215</v>
          </cell>
          <cell r="M5021">
            <v>45216</v>
          </cell>
          <cell r="N5021">
            <v>45217</v>
          </cell>
          <cell r="O5021">
            <v>45216</v>
          </cell>
          <cell r="P5021">
            <v>45217</v>
          </cell>
          <cell r="Q5021">
            <v>45217</v>
          </cell>
          <cell r="R5021">
            <v>45217</v>
          </cell>
          <cell r="S5021">
            <v>45223</v>
          </cell>
          <cell r="T5021">
            <v>45223</v>
          </cell>
          <cell r="U5021">
            <v>45223</v>
          </cell>
          <cell r="V5021">
            <v>45223</v>
          </cell>
          <cell r="W5021">
            <v>45223</v>
          </cell>
          <cell r="X5021">
            <v>31010426</v>
          </cell>
        </row>
        <row r="5022">
          <cell r="K5022" t="str">
            <v>GBWS-3694</v>
          </cell>
          <cell r="L5022">
            <v>45190</v>
          </cell>
          <cell r="M5022">
            <v>45191</v>
          </cell>
          <cell r="N5022">
            <v>45209</v>
          </cell>
          <cell r="O5022">
            <v>45191</v>
          </cell>
          <cell r="P5022">
            <v>45209</v>
          </cell>
          <cell r="Q5022">
            <v>45209</v>
          </cell>
          <cell r="R5022">
            <v>45210</v>
          </cell>
          <cell r="S5022">
            <v>45215</v>
          </cell>
          <cell r="T5022">
            <v>45212</v>
          </cell>
          <cell r="U5022">
            <v>45222</v>
          </cell>
          <cell r="V5022">
            <v>45223</v>
          </cell>
          <cell r="W5022">
            <v>45223</v>
          </cell>
          <cell r="X5022">
            <v>41100566</v>
          </cell>
        </row>
        <row r="5023">
          <cell r="K5023" t="str">
            <v>GBWS-3695</v>
          </cell>
          <cell r="L5023">
            <v>45190</v>
          </cell>
          <cell r="M5023">
            <v>45191</v>
          </cell>
          <cell r="N5023">
            <v>45209</v>
          </cell>
          <cell r="O5023">
            <v>45191</v>
          </cell>
          <cell r="P5023">
            <v>45209</v>
          </cell>
          <cell r="Q5023">
            <v>45209</v>
          </cell>
          <cell r="R5023">
            <v>45210</v>
          </cell>
          <cell r="S5023">
            <v>45216</v>
          </cell>
          <cell r="T5023">
            <v>45216</v>
          </cell>
          <cell r="U5023">
            <v>45223</v>
          </cell>
          <cell r="V5023">
            <v>45223</v>
          </cell>
          <cell r="W5023">
            <v>45223</v>
          </cell>
          <cell r="X5023">
            <v>41100566</v>
          </cell>
        </row>
        <row r="5024">
          <cell r="K5024" t="str">
            <v>GBWS-3696</v>
          </cell>
          <cell r="L5024">
            <v>45190</v>
          </cell>
          <cell r="M5024">
            <v>45191</v>
          </cell>
          <cell r="N5024">
            <v>45209</v>
          </cell>
          <cell r="O5024">
            <v>45191</v>
          </cell>
          <cell r="P5024">
            <v>45209</v>
          </cell>
          <cell r="Q5024">
            <v>45209</v>
          </cell>
          <cell r="R5024">
            <v>45210</v>
          </cell>
          <cell r="S5024">
            <v>45216</v>
          </cell>
          <cell r="T5024">
            <v>45216</v>
          </cell>
          <cell r="U5024">
            <v>45223</v>
          </cell>
          <cell r="V5024">
            <v>45224</v>
          </cell>
          <cell r="W5024">
            <v>45224</v>
          </cell>
          <cell r="X5024">
            <v>41100566</v>
          </cell>
        </row>
        <row r="5025">
          <cell r="K5025" t="str">
            <v>GBWS-3697</v>
          </cell>
          <cell r="L5025">
            <v>45190</v>
          </cell>
          <cell r="M5025">
            <v>45191</v>
          </cell>
          <cell r="N5025">
            <v>45209</v>
          </cell>
          <cell r="O5025">
            <v>45191</v>
          </cell>
          <cell r="P5025">
            <v>45209</v>
          </cell>
          <cell r="Q5025">
            <v>45209</v>
          </cell>
          <cell r="R5025">
            <v>45210</v>
          </cell>
          <cell r="S5025">
            <v>45215</v>
          </cell>
          <cell r="T5025">
            <v>45212</v>
          </cell>
          <cell r="U5025">
            <v>45223</v>
          </cell>
          <cell r="V5025">
            <v>45224</v>
          </cell>
          <cell r="W5025">
            <v>45224</v>
          </cell>
          <cell r="X5025">
            <v>41100566</v>
          </cell>
        </row>
        <row r="5026">
          <cell r="K5026" t="str">
            <v>GBWS-3698</v>
          </cell>
          <cell r="L5026">
            <v>45190</v>
          </cell>
          <cell r="M5026">
            <v>45191</v>
          </cell>
          <cell r="N5026">
            <v>45209</v>
          </cell>
          <cell r="O5026">
            <v>45191</v>
          </cell>
          <cell r="P5026">
            <v>45209</v>
          </cell>
          <cell r="Q5026">
            <v>45209</v>
          </cell>
          <cell r="R5026">
            <v>45210</v>
          </cell>
          <cell r="S5026">
            <v>45216</v>
          </cell>
          <cell r="T5026">
            <v>45216</v>
          </cell>
          <cell r="U5026">
            <v>45223</v>
          </cell>
          <cell r="V5026">
            <v>45224</v>
          </cell>
          <cell r="W5026">
            <v>45224</v>
          </cell>
          <cell r="X5026">
            <v>41100566</v>
          </cell>
        </row>
        <row r="5027">
          <cell r="K5027" t="str">
            <v>GBWS-3699</v>
          </cell>
          <cell r="L5027">
            <v>45190</v>
          </cell>
          <cell r="M5027">
            <v>45191</v>
          </cell>
          <cell r="N5027">
            <v>45209</v>
          </cell>
          <cell r="O5027">
            <v>45191</v>
          </cell>
          <cell r="P5027">
            <v>45209</v>
          </cell>
          <cell r="Q5027">
            <v>45209</v>
          </cell>
          <cell r="R5027">
            <v>45210</v>
          </cell>
          <cell r="S5027">
            <v>45215</v>
          </cell>
          <cell r="T5027">
            <v>45212</v>
          </cell>
          <cell r="U5027">
            <v>45223</v>
          </cell>
          <cell r="V5027">
            <v>45223</v>
          </cell>
          <cell r="W5027">
            <v>45223</v>
          </cell>
          <cell r="X5027">
            <v>41100566</v>
          </cell>
        </row>
        <row r="5028">
          <cell r="K5028" t="str">
            <v>GBWS-3700</v>
          </cell>
          <cell r="L5028">
            <v>45190</v>
          </cell>
          <cell r="M5028">
            <v>45191</v>
          </cell>
          <cell r="N5028">
            <v>45209</v>
          </cell>
          <cell r="O5028">
            <v>45191</v>
          </cell>
          <cell r="P5028">
            <v>45209</v>
          </cell>
          <cell r="Q5028">
            <v>45209</v>
          </cell>
          <cell r="R5028">
            <v>45210</v>
          </cell>
          <cell r="S5028">
            <v>45215</v>
          </cell>
          <cell r="T5028">
            <v>45212</v>
          </cell>
          <cell r="U5028">
            <v>45223</v>
          </cell>
          <cell r="V5028">
            <v>45224</v>
          </cell>
          <cell r="W5028">
            <v>45224</v>
          </cell>
          <cell r="X5028">
            <v>41100566</v>
          </cell>
        </row>
        <row r="5029">
          <cell r="K5029" t="str">
            <v>GBWS-3744</v>
          </cell>
          <cell r="L5029">
            <v>45203</v>
          </cell>
          <cell r="M5029">
            <v>45204</v>
          </cell>
          <cell r="N5029">
            <v>45215</v>
          </cell>
          <cell r="O5029">
            <v>45204</v>
          </cell>
          <cell r="P5029">
            <v>45215</v>
          </cell>
          <cell r="Q5029">
            <v>45215</v>
          </cell>
          <cell r="R5029">
            <v>45216</v>
          </cell>
          <cell r="S5029">
            <v>45217</v>
          </cell>
          <cell r="T5029">
            <v>45217</v>
          </cell>
          <cell r="U5029">
            <v>45223</v>
          </cell>
          <cell r="V5029">
            <v>45223</v>
          </cell>
          <cell r="W5029">
            <v>45223</v>
          </cell>
          <cell r="X5029">
            <v>41100642</v>
          </cell>
        </row>
        <row r="5030">
          <cell r="K5030" t="str">
            <v>GBWS-3711</v>
          </cell>
          <cell r="L5030">
            <v>45191</v>
          </cell>
          <cell r="M5030">
            <v>45194</v>
          </cell>
          <cell r="N5030">
            <v>45209</v>
          </cell>
          <cell r="O5030">
            <v>45194</v>
          </cell>
          <cell r="P5030">
            <v>45204</v>
          </cell>
          <cell r="Q5030">
            <v>45209</v>
          </cell>
          <cell r="R5030">
            <v>45210</v>
          </cell>
          <cell r="S5030">
            <v>45211</v>
          </cell>
          <cell r="T5030">
            <v>45211</v>
          </cell>
          <cell r="U5030">
            <v>45218</v>
          </cell>
          <cell r="V5030">
            <v>45219</v>
          </cell>
          <cell r="W5030">
            <v>45219</v>
          </cell>
          <cell r="X5030">
            <v>41100566</v>
          </cell>
        </row>
        <row r="5031">
          <cell r="K5031" t="str">
            <v>GBWS-3712</v>
          </cell>
          <cell r="L5031">
            <v>45191</v>
          </cell>
          <cell r="M5031">
            <v>45194</v>
          </cell>
          <cell r="N5031">
            <v>45209</v>
          </cell>
          <cell r="O5031">
            <v>45194</v>
          </cell>
          <cell r="P5031">
            <v>45204</v>
          </cell>
          <cell r="Q5031">
            <v>45209</v>
          </cell>
          <cell r="R5031">
            <v>45210</v>
          </cell>
          <cell r="S5031">
            <v>45211</v>
          </cell>
          <cell r="T5031">
            <v>45211</v>
          </cell>
          <cell r="U5031">
            <v>45222</v>
          </cell>
          <cell r="V5031">
            <v>45223</v>
          </cell>
          <cell r="W5031">
            <v>45223</v>
          </cell>
          <cell r="X5031">
            <v>41100566</v>
          </cell>
        </row>
        <row r="5032">
          <cell r="K5032" t="str">
            <v>SOS-0307</v>
          </cell>
          <cell r="L5032">
            <v>45217</v>
          </cell>
          <cell r="M5032">
            <v>45218</v>
          </cell>
          <cell r="N5032">
            <v>45217</v>
          </cell>
          <cell r="O5032">
            <v>45218</v>
          </cell>
          <cell r="P5032">
            <v>45223</v>
          </cell>
          <cell r="Q5032">
            <v>45222</v>
          </cell>
          <cell r="R5032">
            <v>45223</v>
          </cell>
          <cell r="S5032">
            <v>45225</v>
          </cell>
          <cell r="T5032">
            <v>45225</v>
          </cell>
          <cell r="U5032">
            <v>45226</v>
          </cell>
          <cell r="V5032">
            <v>45226</v>
          </cell>
          <cell r="W5032">
            <v>45226</v>
          </cell>
          <cell r="X5032">
            <v>41100182</v>
          </cell>
        </row>
        <row r="5033">
          <cell r="K5033" t="str">
            <v>-</v>
          </cell>
          <cell r="L5033">
            <v>45217</v>
          </cell>
          <cell r="M5033">
            <v>45218</v>
          </cell>
          <cell r="N5033">
            <v>45217</v>
          </cell>
          <cell r="O5033">
            <v>45218</v>
          </cell>
          <cell r="P5033">
            <v>45223</v>
          </cell>
          <cell r="Q5033">
            <v>45222</v>
          </cell>
          <cell r="R5033">
            <v>45223</v>
          </cell>
          <cell r="S5033">
            <v>45225</v>
          </cell>
          <cell r="T5033">
            <v>45225</v>
          </cell>
          <cell r="U5033">
            <v>45226</v>
          </cell>
          <cell r="V5033">
            <v>45226</v>
          </cell>
          <cell r="W5033">
            <v>45226</v>
          </cell>
          <cell r="X5033">
            <v>31010312</v>
          </cell>
        </row>
        <row r="5034">
          <cell r="K5034" t="str">
            <v>GBWS-3715</v>
          </cell>
          <cell r="L5034">
            <v>45194</v>
          </cell>
          <cell r="M5034">
            <v>45195</v>
          </cell>
          <cell r="N5034">
            <v>45212</v>
          </cell>
          <cell r="O5034">
            <v>45195</v>
          </cell>
          <cell r="P5034">
            <v>45211</v>
          </cell>
          <cell r="Q5034">
            <v>45212</v>
          </cell>
          <cell r="R5034">
            <v>45215</v>
          </cell>
          <cell r="S5034">
            <v>45223</v>
          </cell>
          <cell r="T5034">
            <v>45223</v>
          </cell>
          <cell r="U5034">
            <v>45225</v>
          </cell>
          <cell r="V5034">
            <v>45229</v>
          </cell>
          <cell r="W5034">
            <v>45229</v>
          </cell>
          <cell r="X5034">
            <v>41100662</v>
          </cell>
        </row>
        <row r="5035">
          <cell r="K5035" t="str">
            <v>GBWS-3716</v>
          </cell>
          <cell r="L5035">
            <v>45194</v>
          </cell>
          <cell r="M5035">
            <v>45195</v>
          </cell>
          <cell r="N5035">
            <v>45212</v>
          </cell>
          <cell r="O5035">
            <v>45195</v>
          </cell>
          <cell r="P5035">
            <v>45211</v>
          </cell>
          <cell r="Q5035">
            <v>45212</v>
          </cell>
          <cell r="R5035">
            <v>45215</v>
          </cell>
          <cell r="S5035">
            <v>45224</v>
          </cell>
          <cell r="T5035">
            <v>45224</v>
          </cell>
          <cell r="U5035">
            <v>45225</v>
          </cell>
          <cell r="V5035">
            <v>45229</v>
          </cell>
          <cell r="W5035">
            <v>45229</v>
          </cell>
          <cell r="X5035">
            <v>41100662</v>
          </cell>
        </row>
        <row r="5036">
          <cell r="K5036" t="str">
            <v>GBWS-3717</v>
          </cell>
          <cell r="L5036">
            <v>45194</v>
          </cell>
          <cell r="M5036">
            <v>45195</v>
          </cell>
          <cell r="N5036">
            <v>45212</v>
          </cell>
          <cell r="O5036">
            <v>45195</v>
          </cell>
          <cell r="P5036">
            <v>45211</v>
          </cell>
          <cell r="Q5036">
            <v>45212</v>
          </cell>
          <cell r="R5036">
            <v>45215</v>
          </cell>
          <cell r="S5036">
            <v>45225</v>
          </cell>
          <cell r="T5036">
            <v>45225</v>
          </cell>
          <cell r="U5036">
            <v>45226</v>
          </cell>
          <cell r="V5036">
            <v>45229</v>
          </cell>
          <cell r="W5036">
            <v>45229</v>
          </cell>
          <cell r="X5036">
            <v>41100662</v>
          </cell>
        </row>
        <row r="5037">
          <cell r="K5037" t="str">
            <v>GBWS-3718</v>
          </cell>
          <cell r="L5037">
            <v>45194</v>
          </cell>
          <cell r="M5037">
            <v>45195</v>
          </cell>
          <cell r="N5037">
            <v>45212</v>
          </cell>
          <cell r="O5037">
            <v>45195</v>
          </cell>
          <cell r="P5037">
            <v>45211</v>
          </cell>
          <cell r="Q5037">
            <v>45212</v>
          </cell>
          <cell r="R5037">
            <v>45215</v>
          </cell>
          <cell r="S5037">
            <v>45225</v>
          </cell>
          <cell r="T5037">
            <v>45225</v>
          </cell>
          <cell r="U5037">
            <v>45226</v>
          </cell>
          <cell r="V5037">
            <v>45229</v>
          </cell>
          <cell r="W5037">
            <v>45229</v>
          </cell>
          <cell r="X5037">
            <v>41100662</v>
          </cell>
        </row>
        <row r="5038">
          <cell r="K5038" t="str">
            <v>GBWS-3719</v>
          </cell>
          <cell r="L5038">
            <v>45194</v>
          </cell>
          <cell r="M5038">
            <v>45195</v>
          </cell>
          <cell r="N5038">
            <v>45212</v>
          </cell>
          <cell r="O5038">
            <v>45195</v>
          </cell>
          <cell r="P5038">
            <v>45211</v>
          </cell>
          <cell r="Q5038">
            <v>45212</v>
          </cell>
          <cell r="R5038">
            <v>45215</v>
          </cell>
          <cell r="S5038">
            <v>45225</v>
          </cell>
          <cell r="T5038">
            <v>45225</v>
          </cell>
          <cell r="U5038">
            <v>45226</v>
          </cell>
          <cell r="V5038">
            <v>45229</v>
          </cell>
          <cell r="W5038">
            <v>45229</v>
          </cell>
          <cell r="X5038">
            <v>41100662</v>
          </cell>
        </row>
        <row r="5039">
          <cell r="K5039" t="str">
            <v>GBWS-3720</v>
          </cell>
          <cell r="L5039">
            <v>45194</v>
          </cell>
          <cell r="M5039">
            <v>45195</v>
          </cell>
          <cell r="N5039">
            <v>45212</v>
          </cell>
          <cell r="O5039">
            <v>45195</v>
          </cell>
          <cell r="P5039">
            <v>45211</v>
          </cell>
          <cell r="Q5039">
            <v>45212</v>
          </cell>
          <cell r="R5039">
            <v>45215</v>
          </cell>
          <cell r="S5039">
            <v>45225</v>
          </cell>
          <cell r="T5039">
            <v>45225</v>
          </cell>
          <cell r="U5039">
            <v>45228</v>
          </cell>
          <cell r="V5039">
            <v>45229</v>
          </cell>
          <cell r="W5039">
            <v>45229</v>
          </cell>
          <cell r="X5039">
            <v>41100662</v>
          </cell>
        </row>
        <row r="5040">
          <cell r="K5040" t="str">
            <v>GBWS-3721</v>
          </cell>
          <cell r="L5040">
            <v>45194</v>
          </cell>
          <cell r="M5040">
            <v>45195</v>
          </cell>
          <cell r="N5040">
            <v>45212</v>
          </cell>
          <cell r="O5040">
            <v>45195</v>
          </cell>
          <cell r="P5040">
            <v>45211</v>
          </cell>
          <cell r="Q5040">
            <v>45212</v>
          </cell>
          <cell r="R5040">
            <v>45215</v>
          </cell>
          <cell r="S5040">
            <v>45225</v>
          </cell>
          <cell r="T5040">
            <v>45225</v>
          </cell>
          <cell r="U5040">
            <v>45226</v>
          </cell>
          <cell r="V5040">
            <v>45229</v>
          </cell>
          <cell r="W5040">
            <v>45229</v>
          </cell>
          <cell r="X5040">
            <v>41100662</v>
          </cell>
        </row>
        <row r="5041">
          <cell r="K5041" t="str">
            <v>GBWS-3713</v>
          </cell>
          <cell r="L5041">
            <v>45194</v>
          </cell>
          <cell r="M5041">
            <v>45195</v>
          </cell>
          <cell r="N5041">
            <v>45210</v>
          </cell>
          <cell r="O5041">
            <v>45195</v>
          </cell>
          <cell r="P5041">
            <v>45211</v>
          </cell>
          <cell r="Q5041">
            <v>45210</v>
          </cell>
          <cell r="R5041">
            <v>45211</v>
          </cell>
          <cell r="S5041">
            <v>45223</v>
          </cell>
          <cell r="T5041">
            <v>45223</v>
          </cell>
          <cell r="U5041">
            <v>45225</v>
          </cell>
          <cell r="V5041">
            <v>45229</v>
          </cell>
          <cell r="W5041">
            <v>45229</v>
          </cell>
          <cell r="X5041">
            <v>41100564</v>
          </cell>
        </row>
        <row r="5042">
          <cell r="K5042" t="str">
            <v>GBWS-3766</v>
          </cell>
          <cell r="L5042">
            <v>45210</v>
          </cell>
          <cell r="M5042">
            <v>45211</v>
          </cell>
          <cell r="N5042">
            <v>45222</v>
          </cell>
          <cell r="O5042">
            <v>45211</v>
          </cell>
          <cell r="P5042">
            <v>45223</v>
          </cell>
          <cell r="Q5042">
            <v>45222</v>
          </cell>
          <cell r="R5042">
            <v>45223</v>
          </cell>
          <cell r="S5042">
            <v>45224</v>
          </cell>
          <cell r="T5042">
            <v>45224</v>
          </cell>
          <cell r="U5042">
            <v>45228</v>
          </cell>
          <cell r="V5042">
            <v>45229</v>
          </cell>
          <cell r="W5042">
            <v>45229</v>
          </cell>
          <cell r="X5042">
            <v>41100698</v>
          </cell>
        </row>
        <row r="5043">
          <cell r="K5043" t="str">
            <v>GBWS-3767</v>
          </cell>
          <cell r="L5043">
            <v>45210</v>
          </cell>
          <cell r="M5043">
            <v>45211</v>
          </cell>
          <cell r="N5043">
            <v>45222</v>
          </cell>
          <cell r="O5043">
            <v>45211</v>
          </cell>
          <cell r="P5043">
            <v>45223</v>
          </cell>
          <cell r="Q5043">
            <v>45222</v>
          </cell>
          <cell r="R5043">
            <v>45223</v>
          </cell>
          <cell r="S5043">
            <v>45224</v>
          </cell>
          <cell r="T5043">
            <v>45224</v>
          </cell>
          <cell r="U5043">
            <v>45228</v>
          </cell>
          <cell r="V5043">
            <v>45229</v>
          </cell>
          <cell r="W5043">
            <v>45229</v>
          </cell>
          <cell r="X5043">
            <v>41100699</v>
          </cell>
        </row>
        <row r="5044">
          <cell r="K5044" t="str">
            <v>DBW-3089</v>
          </cell>
          <cell r="L5044">
            <v>45212</v>
          </cell>
          <cell r="M5044">
            <v>45215</v>
          </cell>
          <cell r="N5044">
            <v>45223</v>
          </cell>
          <cell r="O5044">
            <v>45215</v>
          </cell>
          <cell r="P5044">
            <v>45223</v>
          </cell>
          <cell r="Q5044">
            <v>45222</v>
          </cell>
          <cell r="R5044">
            <v>45223</v>
          </cell>
          <cell r="S5044">
            <v>45224</v>
          </cell>
          <cell r="T5044">
            <v>45224</v>
          </cell>
          <cell r="U5044">
            <v>45229</v>
          </cell>
          <cell r="V5044">
            <v>45230</v>
          </cell>
          <cell r="W5044">
            <v>45230</v>
          </cell>
          <cell r="X5044">
            <v>41100099</v>
          </cell>
        </row>
        <row r="5045">
          <cell r="K5045" t="str">
            <v>DBW-3077</v>
          </cell>
          <cell r="L5045">
            <v>45205</v>
          </cell>
          <cell r="M5045">
            <v>45209</v>
          </cell>
          <cell r="N5045">
            <v>45216</v>
          </cell>
          <cell r="O5045">
            <v>45209</v>
          </cell>
          <cell r="P5045">
            <v>45217</v>
          </cell>
          <cell r="Q5045">
            <v>45216</v>
          </cell>
          <cell r="R5045">
            <v>45217</v>
          </cell>
          <cell r="S5045">
            <v>45219</v>
          </cell>
          <cell r="T5045">
            <v>45219</v>
          </cell>
          <cell r="U5045">
            <v>45229</v>
          </cell>
          <cell r="V5045">
            <v>45230</v>
          </cell>
          <cell r="W5045">
            <v>45230</v>
          </cell>
          <cell r="X5045">
            <v>41100714</v>
          </cell>
        </row>
        <row r="5046">
          <cell r="K5046" t="str">
            <v>DBW-3078</v>
          </cell>
          <cell r="L5046">
            <v>45205</v>
          </cell>
          <cell r="M5046">
            <v>45209</v>
          </cell>
          <cell r="N5046">
            <v>45216</v>
          </cell>
          <cell r="O5046">
            <v>45209</v>
          </cell>
          <cell r="P5046">
            <v>45217</v>
          </cell>
          <cell r="Q5046">
            <v>45216</v>
          </cell>
          <cell r="R5046">
            <v>45217</v>
          </cell>
          <cell r="S5046">
            <v>45219</v>
          </cell>
          <cell r="T5046">
            <v>45219</v>
          </cell>
          <cell r="U5046">
            <v>45230</v>
          </cell>
          <cell r="V5046">
            <v>45230</v>
          </cell>
          <cell r="W5046">
            <v>45230</v>
          </cell>
          <cell r="X5046">
            <v>41100714</v>
          </cell>
        </row>
        <row r="5047">
          <cell r="K5047" t="str">
            <v>DBW-3084</v>
          </cell>
          <cell r="L5047">
            <v>45209</v>
          </cell>
          <cell r="M5047">
            <v>45210</v>
          </cell>
          <cell r="N5047">
            <v>45218</v>
          </cell>
          <cell r="O5047">
            <v>45210</v>
          </cell>
          <cell r="P5047">
            <v>45219</v>
          </cell>
          <cell r="Q5047" t="str">
            <v>2023-10-19 → 10/20</v>
          </cell>
          <cell r="R5047">
            <v>45219</v>
          </cell>
          <cell r="S5047">
            <v>45222</v>
          </cell>
          <cell r="T5047">
            <v>45222</v>
          </cell>
          <cell r="U5047">
            <v>45229</v>
          </cell>
          <cell r="V5047">
            <v>45230</v>
          </cell>
          <cell r="W5047">
            <v>45230</v>
          </cell>
          <cell r="X5047">
            <v>41000534</v>
          </cell>
        </row>
        <row r="5048">
          <cell r="K5048" t="str">
            <v>GBWS-3747</v>
          </cell>
          <cell r="L5048">
            <v>45204</v>
          </cell>
          <cell r="M5048">
            <v>45205</v>
          </cell>
          <cell r="N5048">
            <v>45216</v>
          </cell>
          <cell r="O5048">
            <v>45205</v>
          </cell>
          <cell r="P5048">
            <v>45217</v>
          </cell>
          <cell r="Q5048">
            <v>45216</v>
          </cell>
          <cell r="R5048">
            <v>45217</v>
          </cell>
          <cell r="S5048">
            <v>45218</v>
          </cell>
          <cell r="T5048">
            <v>45218</v>
          </cell>
          <cell r="U5048">
            <v>45224</v>
          </cell>
          <cell r="V5048">
            <v>45230</v>
          </cell>
          <cell r="W5048">
            <v>45230</v>
          </cell>
          <cell r="X5048">
            <v>41100686</v>
          </cell>
        </row>
        <row r="5049">
          <cell r="K5049" t="str">
            <v>GBWS-3748</v>
          </cell>
          <cell r="L5049">
            <v>45204</v>
          </cell>
          <cell r="M5049">
            <v>45205</v>
          </cell>
          <cell r="N5049">
            <v>45216</v>
          </cell>
          <cell r="O5049">
            <v>45205</v>
          </cell>
          <cell r="P5049">
            <v>45217</v>
          </cell>
          <cell r="Q5049">
            <v>45216</v>
          </cell>
          <cell r="R5049">
            <v>45217</v>
          </cell>
          <cell r="S5049">
            <v>45218</v>
          </cell>
          <cell r="T5049">
            <v>45218</v>
          </cell>
          <cell r="U5049">
            <v>45224</v>
          </cell>
          <cell r="V5049">
            <v>45230</v>
          </cell>
          <cell r="W5049">
            <v>45230</v>
          </cell>
          <cell r="X5049">
            <v>41100686</v>
          </cell>
        </row>
        <row r="5050">
          <cell r="K5050" t="str">
            <v>GBWS-3749</v>
          </cell>
          <cell r="L5050">
            <v>45204</v>
          </cell>
          <cell r="M5050">
            <v>45205</v>
          </cell>
          <cell r="N5050">
            <v>45216</v>
          </cell>
          <cell r="O5050">
            <v>45205</v>
          </cell>
          <cell r="P5050">
            <v>45217</v>
          </cell>
          <cell r="Q5050">
            <v>45216</v>
          </cell>
          <cell r="R5050">
            <v>45217</v>
          </cell>
          <cell r="S5050">
            <v>45218</v>
          </cell>
          <cell r="T5050">
            <v>45218</v>
          </cell>
          <cell r="U5050">
            <v>45230</v>
          </cell>
          <cell r="V5050">
            <v>45230</v>
          </cell>
          <cell r="W5050">
            <v>45230</v>
          </cell>
          <cell r="X5050">
            <v>41100686</v>
          </cell>
        </row>
        <row r="5051">
          <cell r="K5051" t="str">
            <v>GBWS-3750</v>
          </cell>
          <cell r="L5051">
            <v>45204</v>
          </cell>
          <cell r="M5051">
            <v>45205</v>
          </cell>
          <cell r="N5051">
            <v>45216</v>
          </cell>
          <cell r="O5051">
            <v>45205</v>
          </cell>
          <cell r="P5051">
            <v>45217</v>
          </cell>
          <cell r="Q5051">
            <v>45216</v>
          </cell>
          <cell r="R5051">
            <v>45217</v>
          </cell>
          <cell r="S5051">
            <v>45218</v>
          </cell>
          <cell r="T5051">
            <v>45218</v>
          </cell>
          <cell r="U5051">
            <v>45230</v>
          </cell>
          <cell r="V5051">
            <v>45230</v>
          </cell>
          <cell r="W5051">
            <v>45230</v>
          </cell>
          <cell r="X5051">
            <v>41100686</v>
          </cell>
        </row>
        <row r="5052">
          <cell r="K5052" t="str">
            <v>WS-0084</v>
          </cell>
          <cell r="L5052">
            <v>45103</v>
          </cell>
          <cell r="M5052">
            <v>45104</v>
          </cell>
          <cell r="N5052">
            <v>45111</v>
          </cell>
          <cell r="O5052">
            <v>45104</v>
          </cell>
          <cell r="P5052">
            <v>45117</v>
          </cell>
          <cell r="Q5052">
            <v>45113</v>
          </cell>
          <cell r="R5052">
            <v>45114</v>
          </cell>
          <cell r="S5052">
            <v>45124</v>
          </cell>
          <cell r="T5052">
            <v>45148</v>
          </cell>
          <cell r="U5052">
            <v>45163</v>
          </cell>
          <cell r="V5052">
            <v>45181</v>
          </cell>
          <cell r="W5052">
            <v>45181</v>
          </cell>
          <cell r="X5052">
            <v>41100664</v>
          </cell>
        </row>
        <row r="5053">
          <cell r="K5053" t="str">
            <v>IHW-0188</v>
          </cell>
          <cell r="L5053">
            <v>45103</v>
          </cell>
          <cell r="M5053">
            <v>45104</v>
          </cell>
          <cell r="N5053">
            <v>45113</v>
          </cell>
          <cell r="O5053">
            <v>45104</v>
          </cell>
          <cell r="P5053">
            <v>45120</v>
          </cell>
          <cell r="Q5053">
            <v>45119</v>
          </cell>
          <cell r="R5053">
            <v>45120</v>
          </cell>
          <cell r="S5053">
            <v>45124</v>
          </cell>
          <cell r="T5053">
            <v>45148</v>
          </cell>
          <cell r="U5053">
            <v>45163</v>
          </cell>
          <cell r="V5053">
            <v>45181</v>
          </cell>
          <cell r="W5053">
            <v>45181</v>
          </cell>
          <cell r="X5053">
            <v>41100663</v>
          </cell>
        </row>
        <row r="5054">
          <cell r="K5054" t="str">
            <v>IHW-0189</v>
          </cell>
          <cell r="L5054">
            <v>45103</v>
          </cell>
          <cell r="M5054">
            <v>45104</v>
          </cell>
          <cell r="N5054">
            <v>45113</v>
          </cell>
          <cell r="O5054">
            <v>45104</v>
          </cell>
          <cell r="P5054">
            <v>45120</v>
          </cell>
          <cell r="Q5054">
            <v>45119</v>
          </cell>
          <cell r="R5054">
            <v>45120</v>
          </cell>
          <cell r="S5054">
            <v>45124</v>
          </cell>
          <cell r="T5054">
            <v>45148</v>
          </cell>
          <cell r="U5054">
            <v>45163</v>
          </cell>
          <cell r="V5054">
            <v>45181</v>
          </cell>
          <cell r="W5054">
            <v>45181</v>
          </cell>
          <cell r="X5054">
            <v>41100663</v>
          </cell>
        </row>
        <row r="5055">
          <cell r="K5055" t="str">
            <v>GBWS-2973</v>
          </cell>
          <cell r="L5055">
            <v>44868</v>
          </cell>
          <cell r="M5055">
            <v>44868</v>
          </cell>
          <cell r="N5055">
            <v>44880</v>
          </cell>
          <cell r="O5055">
            <v>44868</v>
          </cell>
          <cell r="P5055">
            <v>44880</v>
          </cell>
          <cell r="Q5055">
            <v>44880</v>
          </cell>
          <cell r="R5055">
            <v>44880</v>
          </cell>
          <cell r="S5055"/>
          <cell r="T5055">
            <v>44883</v>
          </cell>
          <cell r="U5055">
            <v>44886</v>
          </cell>
          <cell r="V5055">
            <v>44887</v>
          </cell>
          <cell r="W5055">
            <v>44888</v>
          </cell>
          <cell r="X5055">
            <v>41100286</v>
          </cell>
        </row>
        <row r="5056">
          <cell r="K5056"/>
          <cell r="L5056">
            <v>45217</v>
          </cell>
          <cell r="M5056">
            <v>45217</v>
          </cell>
          <cell r="N5056">
            <v>45223</v>
          </cell>
          <cell r="O5056">
            <v>45217</v>
          </cell>
          <cell r="P5056">
            <v>45223</v>
          </cell>
          <cell r="Q5056">
            <v>45223</v>
          </cell>
          <cell r="R5056">
            <v>45223</v>
          </cell>
          <cell r="S5056">
            <v>45222</v>
          </cell>
          <cell r="T5056">
            <v>45222</v>
          </cell>
          <cell r="U5056">
            <v>45225</v>
          </cell>
          <cell r="V5056">
            <v>45226</v>
          </cell>
          <cell r="W5056">
            <v>45226</v>
          </cell>
          <cell r="X5056">
            <v>41100286</v>
          </cell>
        </row>
        <row r="5057">
          <cell r="K5057" t="str">
            <v>IVAS-233</v>
          </cell>
          <cell r="L5057">
            <v>45204</v>
          </cell>
          <cell r="M5057">
            <v>45205</v>
          </cell>
          <cell r="N5057">
            <v>45217</v>
          </cell>
          <cell r="O5057">
            <v>45205</v>
          </cell>
          <cell r="P5057">
            <v>45219</v>
          </cell>
          <cell r="Q5057">
            <v>45217</v>
          </cell>
          <cell r="R5057">
            <v>45218</v>
          </cell>
          <cell r="S5057">
            <v>45223</v>
          </cell>
          <cell r="T5057">
            <v>45223</v>
          </cell>
          <cell r="U5057">
            <v>45228</v>
          </cell>
          <cell r="V5057">
            <v>45231</v>
          </cell>
          <cell r="W5057">
            <v>45231</v>
          </cell>
          <cell r="X5057">
            <v>41100652</v>
          </cell>
        </row>
        <row r="5058">
          <cell r="K5058" t="str">
            <v>GBWS-3780</v>
          </cell>
          <cell r="L5058">
            <v>45215</v>
          </cell>
          <cell r="M5058">
            <v>45216</v>
          </cell>
          <cell r="N5058">
            <v>45224</v>
          </cell>
          <cell r="O5058">
            <v>45216</v>
          </cell>
          <cell r="P5058">
            <v>45225</v>
          </cell>
          <cell r="Q5058">
            <v>45224</v>
          </cell>
          <cell r="R5058">
            <v>45225</v>
          </cell>
          <cell r="S5058">
            <v>45226</v>
          </cell>
          <cell r="T5058">
            <v>45226</v>
          </cell>
          <cell r="U5058">
            <v>45230</v>
          </cell>
          <cell r="V5058">
            <v>45231</v>
          </cell>
          <cell r="W5058">
            <v>45231</v>
          </cell>
          <cell r="X5058">
            <v>41100366</v>
          </cell>
        </row>
        <row r="5059">
          <cell r="K5059" t="str">
            <v>GBWS-3785</v>
          </cell>
          <cell r="L5059">
            <v>45212</v>
          </cell>
          <cell r="M5059">
            <v>45215</v>
          </cell>
          <cell r="N5059">
            <v>45222</v>
          </cell>
          <cell r="O5059">
            <v>45215</v>
          </cell>
          <cell r="P5059">
            <v>45223</v>
          </cell>
          <cell r="Q5059">
            <v>45222</v>
          </cell>
          <cell r="R5059">
            <v>45223</v>
          </cell>
          <cell r="S5059">
            <v>45225</v>
          </cell>
          <cell r="T5059">
            <v>45225</v>
          </cell>
          <cell r="U5059">
            <v>45229</v>
          </cell>
          <cell r="V5059">
            <v>45230</v>
          </cell>
          <cell r="W5059">
            <v>45230</v>
          </cell>
          <cell r="X5059">
            <v>41100633</v>
          </cell>
        </row>
        <row r="5060">
          <cell r="K5060" t="str">
            <v>GBWS-3746</v>
          </cell>
          <cell r="L5060">
            <v>45204</v>
          </cell>
          <cell r="M5060">
            <v>45205</v>
          </cell>
          <cell r="N5060">
            <v>45221</v>
          </cell>
          <cell r="O5060">
            <v>45205</v>
          </cell>
          <cell r="P5060">
            <v>45222</v>
          </cell>
          <cell r="Q5060" t="str">
            <v>2023-10-17 → 10/22</v>
          </cell>
          <cell r="R5060" t="str">
            <v>2023-10-18 → 10/23</v>
          </cell>
          <cell r="S5060">
            <v>45230</v>
          </cell>
          <cell r="T5060">
            <v>45230</v>
          </cell>
          <cell r="U5060">
            <v>45231</v>
          </cell>
          <cell r="V5060">
            <v>45232</v>
          </cell>
          <cell r="W5060">
            <v>45232</v>
          </cell>
          <cell r="X5060">
            <v>41100644</v>
          </cell>
        </row>
        <row r="5061">
          <cell r="K5061" t="str">
            <v>GPWS-0292</v>
          </cell>
          <cell r="L5061">
            <v>45215</v>
          </cell>
          <cell r="M5061">
            <v>45216</v>
          </cell>
          <cell r="N5061">
            <v>45223</v>
          </cell>
          <cell r="O5061">
            <v>45216</v>
          </cell>
          <cell r="P5061">
            <v>45225</v>
          </cell>
          <cell r="Q5061">
            <v>45224</v>
          </cell>
          <cell r="R5061">
            <v>45225</v>
          </cell>
          <cell r="S5061">
            <v>45226</v>
          </cell>
          <cell r="T5061">
            <v>45226</v>
          </cell>
          <cell r="U5061">
            <v>45231</v>
          </cell>
          <cell r="V5061">
            <v>45232</v>
          </cell>
          <cell r="W5061">
            <v>45232</v>
          </cell>
          <cell r="X5061">
            <v>41100380</v>
          </cell>
        </row>
        <row r="5062">
          <cell r="K5062" t="str">
            <v>GPWS-0291</v>
          </cell>
          <cell r="L5062">
            <v>45204</v>
          </cell>
          <cell r="M5062">
            <v>45205</v>
          </cell>
          <cell r="N5062">
            <v>45223</v>
          </cell>
          <cell r="O5062">
            <v>45205</v>
          </cell>
          <cell r="P5062">
            <v>45222</v>
          </cell>
          <cell r="Q5062" t="str">
            <v>2023-10-17 → 10/22</v>
          </cell>
          <cell r="R5062" t="str">
            <v>2023-10-18 → 10/23</v>
          </cell>
          <cell r="S5062">
            <v>45224</v>
          </cell>
          <cell r="T5062">
            <v>45224</v>
          </cell>
          <cell r="U5062">
            <v>45229</v>
          </cell>
          <cell r="V5062">
            <v>45231</v>
          </cell>
          <cell r="W5062">
            <v>45231</v>
          </cell>
          <cell r="X5062">
            <v>41100064</v>
          </cell>
        </row>
        <row r="5063">
          <cell r="K5063" t="str">
            <v>DBW-3090</v>
          </cell>
          <cell r="L5063">
            <v>45216</v>
          </cell>
          <cell r="M5063">
            <v>45217</v>
          </cell>
          <cell r="N5063">
            <v>45224</v>
          </cell>
          <cell r="O5063">
            <v>45217</v>
          </cell>
          <cell r="P5063">
            <v>45226</v>
          </cell>
          <cell r="Q5063">
            <v>45225</v>
          </cell>
          <cell r="R5063">
            <v>45226</v>
          </cell>
          <cell r="S5063">
            <v>45229</v>
          </cell>
          <cell r="T5063">
            <v>45229</v>
          </cell>
          <cell r="U5063">
            <v>45232</v>
          </cell>
          <cell r="V5063">
            <v>45236</v>
          </cell>
          <cell r="W5063">
            <v>45236</v>
          </cell>
          <cell r="X5063">
            <v>41100119</v>
          </cell>
        </row>
        <row r="5064">
          <cell r="K5064" t="str">
            <v>GBWS-3788</v>
          </cell>
          <cell r="L5064">
            <v>45216</v>
          </cell>
          <cell r="M5064">
            <v>45217</v>
          </cell>
          <cell r="N5064">
            <v>45227</v>
          </cell>
          <cell r="O5064">
            <v>45217</v>
          </cell>
          <cell r="P5064">
            <v>45226</v>
          </cell>
          <cell r="Q5064" t="str">
            <v>2023-10-26 → 10/27</v>
          </cell>
          <cell r="R5064">
            <v>45226</v>
          </cell>
          <cell r="S5064">
            <v>45229</v>
          </cell>
          <cell r="T5064">
            <v>45229</v>
          </cell>
          <cell r="U5064">
            <v>45232</v>
          </cell>
          <cell r="V5064">
            <v>45233</v>
          </cell>
          <cell r="W5064">
            <v>45233</v>
          </cell>
          <cell r="X5064">
            <v>41100325</v>
          </cell>
        </row>
        <row r="5065">
          <cell r="K5065" t="str">
            <v>GBWS-3781</v>
          </cell>
          <cell r="L5065">
            <v>45215</v>
          </cell>
          <cell r="M5065">
            <v>45216</v>
          </cell>
          <cell r="N5065">
            <v>45227</v>
          </cell>
          <cell r="O5065">
            <v>45216</v>
          </cell>
          <cell r="P5065">
            <v>45226</v>
          </cell>
          <cell r="Q5065" t="str">
            <v>2023-10-26 → 10/27</v>
          </cell>
          <cell r="R5065">
            <v>45226</v>
          </cell>
          <cell r="S5065">
            <v>45229</v>
          </cell>
          <cell r="T5065">
            <v>45229</v>
          </cell>
          <cell r="U5065">
            <v>45233</v>
          </cell>
          <cell r="V5065">
            <v>45233</v>
          </cell>
          <cell r="W5065">
            <v>45233</v>
          </cell>
          <cell r="X5065">
            <v>41100363</v>
          </cell>
        </row>
        <row r="5066">
          <cell r="K5066" t="str">
            <v>DBW-3099</v>
          </cell>
          <cell r="L5066">
            <v>45222</v>
          </cell>
          <cell r="M5066">
            <v>45223</v>
          </cell>
          <cell r="N5066">
            <v>45229</v>
          </cell>
          <cell r="O5066">
            <v>45223</v>
          </cell>
          <cell r="P5066">
            <v>45230</v>
          </cell>
          <cell r="Q5066">
            <v>45229</v>
          </cell>
          <cell r="R5066">
            <v>45229</v>
          </cell>
          <cell r="S5066">
            <v>45230</v>
          </cell>
          <cell r="T5066">
            <v>45230</v>
          </cell>
          <cell r="U5066">
            <v>45233</v>
          </cell>
          <cell r="V5066">
            <v>45236</v>
          </cell>
          <cell r="W5066">
            <v>45236</v>
          </cell>
          <cell r="X5066">
            <v>41000543</v>
          </cell>
        </row>
        <row r="5067">
          <cell r="K5067" t="str">
            <v>DBW-3100</v>
          </cell>
          <cell r="L5067">
            <v>45222</v>
          </cell>
          <cell r="M5067">
            <v>45223</v>
          </cell>
          <cell r="N5067">
            <v>45229</v>
          </cell>
          <cell r="O5067">
            <v>45223</v>
          </cell>
          <cell r="P5067">
            <v>45230</v>
          </cell>
          <cell r="Q5067">
            <v>45229</v>
          </cell>
          <cell r="R5067">
            <v>45229</v>
          </cell>
          <cell r="S5067">
            <v>45230</v>
          </cell>
          <cell r="T5067">
            <v>45230</v>
          </cell>
          <cell r="U5067">
            <v>45233</v>
          </cell>
          <cell r="V5067">
            <v>45236</v>
          </cell>
          <cell r="W5067">
            <v>45236</v>
          </cell>
          <cell r="X5067">
            <v>41000543</v>
          </cell>
        </row>
        <row r="5068">
          <cell r="K5068" t="str">
            <v>DBW-3070</v>
          </cell>
          <cell r="L5068">
            <v>45203</v>
          </cell>
          <cell r="M5068">
            <v>45204</v>
          </cell>
          <cell r="N5068">
            <v>45215</v>
          </cell>
          <cell r="O5068">
            <v>45204</v>
          </cell>
          <cell r="P5068">
            <v>45216</v>
          </cell>
          <cell r="Q5068">
            <v>45215</v>
          </cell>
          <cell r="R5068">
            <v>45216</v>
          </cell>
          <cell r="S5068">
            <v>45225</v>
          </cell>
          <cell r="T5068">
            <v>45225</v>
          </cell>
          <cell r="U5068">
            <v>45231</v>
          </cell>
          <cell r="V5068">
            <v>45236</v>
          </cell>
          <cell r="W5068">
            <v>45236</v>
          </cell>
          <cell r="X5068">
            <v>41100690</v>
          </cell>
        </row>
        <row r="5069">
          <cell r="K5069" t="str">
            <v>GBWS-3768</v>
          </cell>
          <cell r="L5069">
            <v>45210</v>
          </cell>
          <cell r="M5069">
            <v>45211</v>
          </cell>
          <cell r="N5069">
            <v>45219</v>
          </cell>
          <cell r="O5069">
            <v>45211</v>
          </cell>
          <cell r="P5069">
            <v>45222</v>
          </cell>
          <cell r="Q5069">
            <v>45219</v>
          </cell>
          <cell r="R5069">
            <v>45222</v>
          </cell>
          <cell r="S5069">
            <v>45224</v>
          </cell>
          <cell r="T5069">
            <v>45224</v>
          </cell>
          <cell r="U5069">
            <v>45232</v>
          </cell>
          <cell r="V5069">
            <v>45236</v>
          </cell>
          <cell r="W5069">
            <v>45236</v>
          </cell>
          <cell r="X5069">
            <v>41100538</v>
          </cell>
        </row>
        <row r="5070">
          <cell r="K5070" t="str">
            <v>GBWS-3782</v>
          </cell>
          <cell r="L5070">
            <v>45215</v>
          </cell>
          <cell r="M5070">
            <v>45216</v>
          </cell>
          <cell r="N5070">
            <v>45227</v>
          </cell>
          <cell r="O5070">
            <v>45216</v>
          </cell>
          <cell r="P5070">
            <v>45226</v>
          </cell>
          <cell r="Q5070" t="str">
            <v>2023-10-26 → 10/27</v>
          </cell>
          <cell r="R5070">
            <v>45226</v>
          </cell>
          <cell r="S5070">
            <v>45229</v>
          </cell>
          <cell r="T5070">
            <v>45229</v>
          </cell>
          <cell r="U5070">
            <v>45232</v>
          </cell>
          <cell r="V5070">
            <v>45233</v>
          </cell>
          <cell r="W5070">
            <v>45233</v>
          </cell>
          <cell r="X5070">
            <v>41100363</v>
          </cell>
        </row>
        <row r="5071">
          <cell r="K5071" t="str">
            <v>GBWS-3814</v>
          </cell>
          <cell r="L5071">
            <v>45222</v>
          </cell>
          <cell r="M5071">
            <v>45223</v>
          </cell>
          <cell r="N5071">
            <v>45231</v>
          </cell>
          <cell r="O5071">
            <v>45223</v>
          </cell>
          <cell r="P5071">
            <v>45232</v>
          </cell>
          <cell r="Q5071">
            <v>45230</v>
          </cell>
          <cell r="R5071">
            <v>45231</v>
          </cell>
          <cell r="S5071">
            <v>45232</v>
          </cell>
          <cell r="T5071">
            <v>45232</v>
          </cell>
          <cell r="U5071">
            <v>45236</v>
          </cell>
          <cell r="V5071">
            <v>45236</v>
          </cell>
          <cell r="W5071">
            <v>45236</v>
          </cell>
          <cell r="X5071">
            <v>41100509</v>
          </cell>
        </row>
        <row r="5072">
          <cell r="K5072" t="str">
            <v>GBWS-3815</v>
          </cell>
          <cell r="L5072">
            <v>45222</v>
          </cell>
          <cell r="M5072">
            <v>45223</v>
          </cell>
          <cell r="N5072">
            <v>45231</v>
          </cell>
          <cell r="O5072">
            <v>45223</v>
          </cell>
          <cell r="P5072">
            <v>45232</v>
          </cell>
          <cell r="Q5072">
            <v>45230</v>
          </cell>
          <cell r="R5072">
            <v>45231</v>
          </cell>
          <cell r="S5072">
            <v>45232</v>
          </cell>
          <cell r="T5072">
            <v>45232</v>
          </cell>
          <cell r="U5072">
            <v>45233</v>
          </cell>
          <cell r="V5072">
            <v>45236</v>
          </cell>
          <cell r="W5072">
            <v>45236</v>
          </cell>
          <cell r="X5072">
            <v>41100509</v>
          </cell>
        </row>
        <row r="5073">
          <cell r="K5073" t="str">
            <v>GBWS-3799</v>
          </cell>
          <cell r="L5073">
            <v>45218</v>
          </cell>
          <cell r="M5073">
            <v>45219</v>
          </cell>
          <cell r="N5073">
            <v>45229</v>
          </cell>
          <cell r="O5073">
            <v>45219</v>
          </cell>
          <cell r="P5073">
            <v>45230</v>
          </cell>
          <cell r="Q5073">
            <v>45229</v>
          </cell>
          <cell r="R5073">
            <v>45230</v>
          </cell>
          <cell r="S5073">
            <v>45231</v>
          </cell>
          <cell r="T5073">
            <v>45231</v>
          </cell>
          <cell r="U5073">
            <v>45237</v>
          </cell>
          <cell r="V5073">
            <v>45238</v>
          </cell>
          <cell r="W5073">
            <v>45238</v>
          </cell>
          <cell r="X5073">
            <v>41100558</v>
          </cell>
        </row>
        <row r="5074">
          <cell r="K5074" t="str">
            <v>GBWS-3800</v>
          </cell>
          <cell r="L5074">
            <v>45218</v>
          </cell>
          <cell r="M5074">
            <v>45219</v>
          </cell>
          <cell r="N5074">
            <v>45229</v>
          </cell>
          <cell r="O5074">
            <v>45219</v>
          </cell>
          <cell r="P5074">
            <v>45230</v>
          </cell>
          <cell r="Q5074">
            <v>45229</v>
          </cell>
          <cell r="R5074">
            <v>45230</v>
          </cell>
          <cell r="S5074">
            <v>45231</v>
          </cell>
          <cell r="T5074">
            <v>45231</v>
          </cell>
          <cell r="U5074">
            <v>45237</v>
          </cell>
          <cell r="V5074">
            <v>45237</v>
          </cell>
          <cell r="W5074">
            <v>45237</v>
          </cell>
          <cell r="X5074">
            <v>41100558</v>
          </cell>
        </row>
        <row r="5075">
          <cell r="K5075" t="str">
            <v>GBWS-3813</v>
          </cell>
          <cell r="L5075">
            <v>45222</v>
          </cell>
          <cell r="M5075">
            <v>45223</v>
          </cell>
          <cell r="N5075">
            <v>45231</v>
          </cell>
          <cell r="O5075">
            <v>45223</v>
          </cell>
          <cell r="P5075">
            <v>45232</v>
          </cell>
          <cell r="Q5075" t="str">
            <v>2023-10-31 → 11/1</v>
          </cell>
          <cell r="R5075">
            <v>45231</v>
          </cell>
          <cell r="S5075">
            <v>45232</v>
          </cell>
          <cell r="T5075">
            <v>45232</v>
          </cell>
          <cell r="U5075">
            <v>45237</v>
          </cell>
          <cell r="V5075">
            <v>45237</v>
          </cell>
          <cell r="W5075">
            <v>45237</v>
          </cell>
          <cell r="X5075">
            <v>41100558</v>
          </cell>
        </row>
        <row r="5076">
          <cell r="K5076" t="str">
            <v>GBWS-3771</v>
          </cell>
          <cell r="L5076">
            <v>45211</v>
          </cell>
          <cell r="M5076">
            <v>45212</v>
          </cell>
          <cell r="N5076">
            <v>45228</v>
          </cell>
          <cell r="O5076">
            <v>45212</v>
          </cell>
          <cell r="P5076">
            <v>45229</v>
          </cell>
          <cell r="Q5076" t="str">
            <v>2023-10-25 → 10/29</v>
          </cell>
          <cell r="R5076" t="str">
            <v>2023-10-26 → 10/30(오전)</v>
          </cell>
          <cell r="S5076">
            <v>45231</v>
          </cell>
          <cell r="T5076">
            <v>45231</v>
          </cell>
          <cell r="U5076">
            <v>45233</v>
          </cell>
          <cell r="V5076">
            <v>45236</v>
          </cell>
          <cell r="W5076">
            <v>45236</v>
          </cell>
          <cell r="X5076">
            <v>41100566</v>
          </cell>
        </row>
        <row r="5077">
          <cell r="K5077" t="str">
            <v>GBWS-3772</v>
          </cell>
          <cell r="L5077">
            <v>45211</v>
          </cell>
          <cell r="M5077">
            <v>45212</v>
          </cell>
          <cell r="N5077">
            <v>45228</v>
          </cell>
          <cell r="O5077">
            <v>45212</v>
          </cell>
          <cell r="P5077">
            <v>45229</v>
          </cell>
          <cell r="Q5077" t="str">
            <v>2023-10-25 → 10/29</v>
          </cell>
          <cell r="R5077" t="str">
            <v>2023-10-26 → 10/30(오전)</v>
          </cell>
          <cell r="S5077">
            <v>45231</v>
          </cell>
          <cell r="T5077">
            <v>45231</v>
          </cell>
          <cell r="U5077">
            <v>45233</v>
          </cell>
          <cell r="V5077">
            <v>45236</v>
          </cell>
          <cell r="W5077">
            <v>45236</v>
          </cell>
          <cell r="X5077">
            <v>41100566</v>
          </cell>
        </row>
        <row r="5078">
          <cell r="K5078" t="str">
            <v>GBWS-3773</v>
          </cell>
          <cell r="L5078">
            <v>45211</v>
          </cell>
          <cell r="M5078">
            <v>45212</v>
          </cell>
          <cell r="N5078">
            <v>45228</v>
          </cell>
          <cell r="O5078">
            <v>45212</v>
          </cell>
          <cell r="P5078">
            <v>45229</v>
          </cell>
          <cell r="Q5078" t="str">
            <v>2023-10-25 → 10/29</v>
          </cell>
          <cell r="R5078" t="str">
            <v>2023-10-26 → 10/30(오전)</v>
          </cell>
          <cell r="S5078">
            <v>45231</v>
          </cell>
          <cell r="T5078">
            <v>45231</v>
          </cell>
          <cell r="U5078">
            <v>45236</v>
          </cell>
          <cell r="V5078">
            <v>45236</v>
          </cell>
          <cell r="W5078">
            <v>45236</v>
          </cell>
          <cell r="X5078">
            <v>41100566</v>
          </cell>
        </row>
        <row r="5079">
          <cell r="K5079" t="str">
            <v>GBWS-3774</v>
          </cell>
          <cell r="L5079">
            <v>45211</v>
          </cell>
          <cell r="M5079">
            <v>45212</v>
          </cell>
          <cell r="N5079">
            <v>45228</v>
          </cell>
          <cell r="O5079">
            <v>45212</v>
          </cell>
          <cell r="P5079">
            <v>45229</v>
          </cell>
          <cell r="Q5079" t="str">
            <v>2023-10-25 → 10/29</v>
          </cell>
          <cell r="R5079" t="str">
            <v>2023-10-26 → 10/30(오전)</v>
          </cell>
          <cell r="S5079">
            <v>45231</v>
          </cell>
          <cell r="T5079">
            <v>45231</v>
          </cell>
          <cell r="U5079">
            <v>45233</v>
          </cell>
          <cell r="V5079">
            <v>45236</v>
          </cell>
          <cell r="W5079">
            <v>45236</v>
          </cell>
          <cell r="X5079">
            <v>41100566</v>
          </cell>
        </row>
        <row r="5080">
          <cell r="K5080" t="str">
            <v>GBWS-3775</v>
          </cell>
          <cell r="L5080">
            <v>45211</v>
          </cell>
          <cell r="M5080">
            <v>45212</v>
          </cell>
          <cell r="N5080">
            <v>45228</v>
          </cell>
          <cell r="O5080">
            <v>45212</v>
          </cell>
          <cell r="P5080">
            <v>45229</v>
          </cell>
          <cell r="Q5080" t="str">
            <v>2023-10-25 → 10/29</v>
          </cell>
          <cell r="R5080" t="str">
            <v>2023-10-26 → 10/30(오후)</v>
          </cell>
          <cell r="S5080">
            <v>45231</v>
          </cell>
          <cell r="T5080">
            <v>45231</v>
          </cell>
          <cell r="U5080">
            <v>45233</v>
          </cell>
          <cell r="V5080">
            <v>45236</v>
          </cell>
          <cell r="W5080">
            <v>45236</v>
          </cell>
          <cell r="X5080">
            <v>41100566</v>
          </cell>
        </row>
        <row r="5081">
          <cell r="K5081" t="str">
            <v>GBWS-3776</v>
          </cell>
          <cell r="L5081">
            <v>45211</v>
          </cell>
          <cell r="M5081">
            <v>45212</v>
          </cell>
          <cell r="N5081">
            <v>45228</v>
          </cell>
          <cell r="O5081">
            <v>45212</v>
          </cell>
          <cell r="P5081">
            <v>45229</v>
          </cell>
          <cell r="Q5081" t="str">
            <v>2023-10-25 → 10/29</v>
          </cell>
          <cell r="R5081" t="str">
            <v>2023-10-26 → 10/30(오후)</v>
          </cell>
          <cell r="S5081">
            <v>45231</v>
          </cell>
          <cell r="T5081">
            <v>45231</v>
          </cell>
          <cell r="U5081">
            <v>45233</v>
          </cell>
          <cell r="V5081">
            <v>45236</v>
          </cell>
          <cell r="W5081">
            <v>45236</v>
          </cell>
          <cell r="X5081">
            <v>41100566</v>
          </cell>
        </row>
        <row r="5082">
          <cell r="K5082" t="str">
            <v>GBWS-3801</v>
          </cell>
          <cell r="L5082">
            <v>45218</v>
          </cell>
          <cell r="M5082">
            <v>45219</v>
          </cell>
          <cell r="N5082">
            <v>45230</v>
          </cell>
          <cell r="O5082">
            <v>45219</v>
          </cell>
          <cell r="P5082">
            <v>45230</v>
          </cell>
          <cell r="Q5082" t="str">
            <v>2023-10-30 → 10/31</v>
          </cell>
          <cell r="R5082">
            <v>45230</v>
          </cell>
          <cell r="S5082">
            <v>45232</v>
          </cell>
          <cell r="T5082">
            <v>45232</v>
          </cell>
          <cell r="U5082">
            <v>45236</v>
          </cell>
          <cell r="V5082">
            <v>45237</v>
          </cell>
          <cell r="W5082">
            <v>45237</v>
          </cell>
          <cell r="X5082">
            <v>41100642</v>
          </cell>
        </row>
        <row r="5083">
          <cell r="K5083" t="str">
            <v>GBWS-3802</v>
          </cell>
          <cell r="L5083">
            <v>45218</v>
          </cell>
          <cell r="M5083">
            <v>45219</v>
          </cell>
          <cell r="N5083">
            <v>45230</v>
          </cell>
          <cell r="O5083">
            <v>45219</v>
          </cell>
          <cell r="P5083">
            <v>45230</v>
          </cell>
          <cell r="Q5083" t="str">
            <v>2023-10-30 → 10/31</v>
          </cell>
          <cell r="R5083">
            <v>45230</v>
          </cell>
          <cell r="S5083">
            <v>45232</v>
          </cell>
          <cell r="T5083">
            <v>45232</v>
          </cell>
          <cell r="U5083">
            <v>45237</v>
          </cell>
          <cell r="V5083">
            <v>45238</v>
          </cell>
          <cell r="W5083">
            <v>45238</v>
          </cell>
          <cell r="X5083">
            <v>41100642</v>
          </cell>
        </row>
        <row r="5084">
          <cell r="K5084" t="str">
            <v>GBWS-3809</v>
          </cell>
          <cell r="L5084">
            <v>45222</v>
          </cell>
          <cell r="M5084" t="str">
            <v>2023-10-11 → 10/24</v>
          </cell>
          <cell r="N5084">
            <v>45230</v>
          </cell>
          <cell r="O5084" t="str">
            <v>2023-10-11 → 10/24</v>
          </cell>
          <cell r="P5084">
            <v>45230</v>
          </cell>
          <cell r="Q5084" t="str">
            <v>2023-10-20 → 10/31</v>
          </cell>
          <cell r="R5084" t="str">
            <v>2023-10-23 → 10/31</v>
          </cell>
          <cell r="S5084">
            <v>45232</v>
          </cell>
          <cell r="T5084">
            <v>45232</v>
          </cell>
          <cell r="U5084">
            <v>45236</v>
          </cell>
          <cell r="V5084">
            <v>45238</v>
          </cell>
          <cell r="W5084">
            <v>45238</v>
          </cell>
          <cell r="X5084">
            <v>41100642</v>
          </cell>
        </row>
        <row r="5085">
          <cell r="K5085" t="str">
            <v>GBWS-3792</v>
          </cell>
          <cell r="L5085">
            <v>45217</v>
          </cell>
          <cell r="M5085">
            <v>45218</v>
          </cell>
          <cell r="N5085">
            <v>45227</v>
          </cell>
          <cell r="O5085">
            <v>45218</v>
          </cell>
          <cell r="P5085">
            <v>45229</v>
          </cell>
          <cell r="Q5085">
            <v>45226</v>
          </cell>
          <cell r="R5085">
            <v>45229</v>
          </cell>
          <cell r="S5085">
            <v>45230</v>
          </cell>
          <cell r="T5085">
            <v>45230</v>
          </cell>
          <cell r="U5085">
            <v>45237</v>
          </cell>
          <cell r="V5085">
            <v>45238</v>
          </cell>
          <cell r="W5085">
            <v>45238</v>
          </cell>
          <cell r="X5085">
            <v>41100559</v>
          </cell>
        </row>
        <row r="5086">
          <cell r="K5086" t="str">
            <v>GBWS-2736</v>
          </cell>
          <cell r="L5086">
            <v>44785</v>
          </cell>
          <cell r="M5086">
            <v>44789</v>
          </cell>
          <cell r="N5086">
            <v>44799</v>
          </cell>
          <cell r="O5086">
            <v>44789</v>
          </cell>
          <cell r="P5086">
            <v>44804</v>
          </cell>
          <cell r="Q5086">
            <v>44799</v>
          </cell>
          <cell r="R5086">
            <v>44799</v>
          </cell>
          <cell r="S5086"/>
          <cell r="T5086">
            <v>44802</v>
          </cell>
          <cell r="U5086">
            <v>44805</v>
          </cell>
          <cell r="V5086">
            <v>44806</v>
          </cell>
          <cell r="W5086">
            <v>44806</v>
          </cell>
          <cell r="X5086">
            <v>41100356</v>
          </cell>
        </row>
        <row r="5087">
          <cell r="K5087"/>
          <cell r="L5087">
            <v>45225</v>
          </cell>
          <cell r="M5087">
            <v>45225</v>
          </cell>
          <cell r="N5087">
            <v>45232</v>
          </cell>
          <cell r="O5087">
            <v>45225</v>
          </cell>
          <cell r="P5087">
            <v>45232</v>
          </cell>
          <cell r="Q5087">
            <v>45231</v>
          </cell>
          <cell r="R5087">
            <v>45232</v>
          </cell>
          <cell r="S5087">
            <v>45236</v>
          </cell>
          <cell r="T5087">
            <v>45236</v>
          </cell>
          <cell r="U5087">
            <v>45238</v>
          </cell>
          <cell r="V5087">
            <v>45238</v>
          </cell>
          <cell r="W5087">
            <v>45238</v>
          </cell>
          <cell r="X5087">
            <v>41100356</v>
          </cell>
        </row>
        <row r="5088">
          <cell r="K5088"/>
          <cell r="L5088">
            <v>45187</v>
          </cell>
          <cell r="M5088">
            <v>45187</v>
          </cell>
          <cell r="N5088">
            <v>45223</v>
          </cell>
          <cell r="O5088">
            <v>45187</v>
          </cell>
          <cell r="P5088">
            <v>45218</v>
          </cell>
          <cell r="Q5088">
            <v>45196</v>
          </cell>
          <cell r="R5088">
            <v>45201</v>
          </cell>
          <cell r="S5088">
            <v>45225</v>
          </cell>
          <cell r="T5088">
            <v>45225</v>
          </cell>
          <cell r="U5088">
            <v>45225</v>
          </cell>
          <cell r="V5088">
            <v>45225</v>
          </cell>
          <cell r="W5088">
            <v>45225</v>
          </cell>
          <cell r="X5088">
            <v>31010468</v>
          </cell>
        </row>
        <row r="5089">
          <cell r="K5089"/>
          <cell r="L5089">
            <v>45187</v>
          </cell>
          <cell r="M5089">
            <v>45187</v>
          </cell>
          <cell r="N5089">
            <v>45223</v>
          </cell>
          <cell r="O5089">
            <v>45187</v>
          </cell>
          <cell r="P5089">
            <v>45218</v>
          </cell>
          <cell r="Q5089">
            <v>45196</v>
          </cell>
          <cell r="R5089">
            <v>45201</v>
          </cell>
          <cell r="S5089">
            <v>45225</v>
          </cell>
          <cell r="T5089">
            <v>45225</v>
          </cell>
          <cell r="U5089">
            <v>45225</v>
          </cell>
          <cell r="V5089">
            <v>45225</v>
          </cell>
          <cell r="W5089">
            <v>45225</v>
          </cell>
          <cell r="X5089">
            <v>31010464</v>
          </cell>
        </row>
        <row r="5090">
          <cell r="K5090"/>
          <cell r="L5090">
            <v>45187</v>
          </cell>
          <cell r="M5090">
            <v>45187</v>
          </cell>
          <cell r="N5090">
            <v>45223</v>
          </cell>
          <cell r="O5090">
            <v>45187</v>
          </cell>
          <cell r="P5090">
            <v>45218</v>
          </cell>
          <cell r="Q5090">
            <v>45196</v>
          </cell>
          <cell r="R5090">
            <v>45201</v>
          </cell>
          <cell r="S5090">
            <v>45225</v>
          </cell>
          <cell r="T5090">
            <v>45225</v>
          </cell>
          <cell r="U5090">
            <v>45225</v>
          </cell>
          <cell r="V5090">
            <v>45225</v>
          </cell>
          <cell r="W5090">
            <v>45225</v>
          </cell>
          <cell r="X5090">
            <v>31010465</v>
          </cell>
        </row>
        <row r="5091">
          <cell r="K5091"/>
          <cell r="L5091">
            <v>45187</v>
          </cell>
          <cell r="M5091">
            <v>45187</v>
          </cell>
          <cell r="N5091">
            <v>45223</v>
          </cell>
          <cell r="O5091">
            <v>45187</v>
          </cell>
          <cell r="P5091">
            <v>45218</v>
          </cell>
          <cell r="Q5091">
            <v>45196</v>
          </cell>
          <cell r="R5091">
            <v>45201</v>
          </cell>
          <cell r="S5091">
            <v>45225</v>
          </cell>
          <cell r="T5091">
            <v>45225</v>
          </cell>
          <cell r="U5091">
            <v>45225</v>
          </cell>
          <cell r="V5091">
            <v>45225</v>
          </cell>
          <cell r="W5091">
            <v>45225</v>
          </cell>
          <cell r="X5091">
            <v>31010467</v>
          </cell>
        </row>
        <row r="5092">
          <cell r="K5092"/>
          <cell r="L5092">
            <v>45187</v>
          </cell>
          <cell r="M5092">
            <v>45187</v>
          </cell>
          <cell r="N5092">
            <v>45223</v>
          </cell>
          <cell r="O5092">
            <v>45187</v>
          </cell>
          <cell r="P5092">
            <v>45218</v>
          </cell>
          <cell r="Q5092">
            <v>45196</v>
          </cell>
          <cell r="R5092">
            <v>45201</v>
          </cell>
          <cell r="S5092">
            <v>45225</v>
          </cell>
          <cell r="T5092">
            <v>45225</v>
          </cell>
          <cell r="U5092">
            <v>45225</v>
          </cell>
          <cell r="V5092">
            <v>45225</v>
          </cell>
          <cell r="W5092">
            <v>45225</v>
          </cell>
          <cell r="X5092">
            <v>31101695</v>
          </cell>
        </row>
        <row r="5093">
          <cell r="K5093"/>
          <cell r="L5093">
            <v>45187</v>
          </cell>
          <cell r="M5093">
            <v>45187</v>
          </cell>
          <cell r="N5093">
            <v>45223</v>
          </cell>
          <cell r="O5093">
            <v>45187</v>
          </cell>
          <cell r="P5093">
            <v>45218</v>
          </cell>
          <cell r="Q5093">
            <v>45196</v>
          </cell>
          <cell r="R5093">
            <v>45201</v>
          </cell>
          <cell r="S5093">
            <v>45225</v>
          </cell>
          <cell r="T5093">
            <v>45225</v>
          </cell>
          <cell r="U5093">
            <v>45225</v>
          </cell>
          <cell r="V5093">
            <v>45225</v>
          </cell>
          <cell r="W5093">
            <v>45225</v>
          </cell>
          <cell r="X5093">
            <v>31102257</v>
          </cell>
        </row>
        <row r="5094">
          <cell r="K5094"/>
          <cell r="L5094">
            <v>45187</v>
          </cell>
          <cell r="M5094">
            <v>45187</v>
          </cell>
          <cell r="N5094">
            <v>45223</v>
          </cell>
          <cell r="O5094">
            <v>45187</v>
          </cell>
          <cell r="P5094">
            <v>45218</v>
          </cell>
          <cell r="Q5094">
            <v>45196</v>
          </cell>
          <cell r="R5094">
            <v>45201</v>
          </cell>
          <cell r="S5094">
            <v>45225</v>
          </cell>
          <cell r="T5094">
            <v>45225</v>
          </cell>
          <cell r="U5094">
            <v>45225</v>
          </cell>
          <cell r="V5094">
            <v>45225</v>
          </cell>
          <cell r="W5094">
            <v>45225</v>
          </cell>
          <cell r="X5094">
            <v>31010466</v>
          </cell>
        </row>
        <row r="5095">
          <cell r="K5095" t="str">
            <v>DBW-3101</v>
          </cell>
          <cell r="L5095">
            <v>45225</v>
          </cell>
          <cell r="M5095">
            <v>45226</v>
          </cell>
          <cell r="N5095">
            <v>45233</v>
          </cell>
          <cell r="O5095">
            <v>45226</v>
          </cell>
          <cell r="P5095">
            <v>45233</v>
          </cell>
          <cell r="Q5095" t="str">
            <v>2023-11-02 → 11/3</v>
          </cell>
          <cell r="R5095">
            <v>45233</v>
          </cell>
          <cell r="S5095">
            <v>45236</v>
          </cell>
          <cell r="T5095">
            <v>45236</v>
          </cell>
          <cell r="U5095">
            <v>45237</v>
          </cell>
          <cell r="V5095">
            <v>45238</v>
          </cell>
          <cell r="W5095">
            <v>45238</v>
          </cell>
          <cell r="X5095">
            <v>41100668</v>
          </cell>
        </row>
        <row r="5096">
          <cell r="K5096" t="str">
            <v>DBW-3102</v>
          </cell>
          <cell r="L5096">
            <v>45225</v>
          </cell>
          <cell r="M5096">
            <v>45226</v>
          </cell>
          <cell r="N5096">
            <v>45233</v>
          </cell>
          <cell r="O5096">
            <v>45226</v>
          </cell>
          <cell r="P5096">
            <v>45233</v>
          </cell>
          <cell r="Q5096" t="str">
            <v>2023-11-02 → 11/3</v>
          </cell>
          <cell r="R5096">
            <v>45233</v>
          </cell>
          <cell r="S5096">
            <v>45236</v>
          </cell>
          <cell r="T5096">
            <v>45236</v>
          </cell>
          <cell r="U5096">
            <v>45238</v>
          </cell>
          <cell r="V5096">
            <v>45239</v>
          </cell>
          <cell r="W5096">
            <v>45239</v>
          </cell>
          <cell r="X5096">
            <v>41100668</v>
          </cell>
        </row>
        <row r="5097">
          <cell r="K5097" t="str">
            <v>GBWS-3816</v>
          </cell>
          <cell r="L5097">
            <v>45222</v>
          </cell>
          <cell r="M5097" t="str">
            <v>2023-10-27 → 10/24</v>
          </cell>
          <cell r="N5097">
            <v>45232</v>
          </cell>
          <cell r="O5097" t="str">
            <v>2023-10-27 → 10/24</v>
          </cell>
          <cell r="P5097">
            <v>45232</v>
          </cell>
          <cell r="Q5097" t="str">
            <v>2023-11-06 → 10/31 → 11/1</v>
          </cell>
          <cell r="R5097" t="str">
            <v>2023-11-07 → 11/1 → 11/2</v>
          </cell>
          <cell r="S5097">
            <v>45233</v>
          </cell>
          <cell r="T5097">
            <v>45233</v>
          </cell>
          <cell r="U5097">
            <v>45237</v>
          </cell>
          <cell r="V5097">
            <v>45238</v>
          </cell>
          <cell r="W5097">
            <v>45238</v>
          </cell>
          <cell r="X5097" t="str">
            <v>41100522 → 41000553</v>
          </cell>
        </row>
        <row r="5098">
          <cell r="K5098" t="str">
            <v>GBWS-3757</v>
          </cell>
          <cell r="L5098">
            <v>45205</v>
          </cell>
          <cell r="M5098">
            <v>45210</v>
          </cell>
          <cell r="N5098">
            <v>45226</v>
          </cell>
          <cell r="O5098">
            <v>45210</v>
          </cell>
          <cell r="P5098">
            <v>45226</v>
          </cell>
          <cell r="Q5098">
            <v>45225</v>
          </cell>
          <cell r="R5098">
            <v>45226</v>
          </cell>
          <cell r="S5098">
            <v>45232</v>
          </cell>
          <cell r="T5098">
            <v>45232</v>
          </cell>
          <cell r="U5098">
            <v>45238</v>
          </cell>
          <cell r="V5098">
            <v>45239</v>
          </cell>
          <cell r="W5098">
            <v>45239</v>
          </cell>
          <cell r="X5098">
            <v>41100564</v>
          </cell>
        </row>
        <row r="5099">
          <cell r="K5099" t="str">
            <v>GBWS-3758</v>
          </cell>
          <cell r="L5099">
            <v>45205</v>
          </cell>
          <cell r="M5099">
            <v>45210</v>
          </cell>
          <cell r="N5099">
            <v>45226</v>
          </cell>
          <cell r="O5099">
            <v>45210</v>
          </cell>
          <cell r="P5099">
            <v>45226</v>
          </cell>
          <cell r="Q5099">
            <v>45225</v>
          </cell>
          <cell r="R5099">
            <v>45226</v>
          </cell>
          <cell r="S5099">
            <v>45233</v>
          </cell>
          <cell r="T5099">
            <v>45233</v>
          </cell>
          <cell r="U5099">
            <v>45238</v>
          </cell>
          <cell r="V5099">
            <v>45239</v>
          </cell>
          <cell r="W5099">
            <v>45239</v>
          </cell>
          <cell r="X5099">
            <v>41100564</v>
          </cell>
        </row>
        <row r="5100">
          <cell r="K5100" t="str">
            <v>GBWS-3759</v>
          </cell>
          <cell r="L5100">
            <v>45205</v>
          </cell>
          <cell r="M5100">
            <v>45210</v>
          </cell>
          <cell r="N5100">
            <v>45226</v>
          </cell>
          <cell r="O5100">
            <v>45210</v>
          </cell>
          <cell r="P5100">
            <v>45226</v>
          </cell>
          <cell r="Q5100">
            <v>45225</v>
          </cell>
          <cell r="R5100">
            <v>45226</v>
          </cell>
          <cell r="S5100">
            <v>45233</v>
          </cell>
          <cell r="T5100">
            <v>45233</v>
          </cell>
          <cell r="U5100">
            <v>45238</v>
          </cell>
          <cell r="V5100">
            <v>45239</v>
          </cell>
          <cell r="W5100">
            <v>45239</v>
          </cell>
          <cell r="X5100">
            <v>41100564</v>
          </cell>
        </row>
        <row r="5101">
          <cell r="K5101" t="str">
            <v>GBWS-3811</v>
          </cell>
          <cell r="L5101">
            <v>45222</v>
          </cell>
          <cell r="M5101">
            <v>45223</v>
          </cell>
          <cell r="N5101">
            <v>45231</v>
          </cell>
          <cell r="O5101">
            <v>45223</v>
          </cell>
          <cell r="P5101">
            <v>45232</v>
          </cell>
          <cell r="Q5101" t="str">
            <v>2023-10-31 → 11/1</v>
          </cell>
          <cell r="R5101" t="str">
            <v>2023-11-01 → 11/2</v>
          </cell>
          <cell r="S5101">
            <v>45233</v>
          </cell>
          <cell r="T5101">
            <v>45233</v>
          </cell>
          <cell r="U5101">
            <v>45239</v>
          </cell>
          <cell r="V5101">
            <v>45239</v>
          </cell>
          <cell r="W5101">
            <v>45239</v>
          </cell>
          <cell r="X5101">
            <v>41100699</v>
          </cell>
        </row>
        <row r="5102">
          <cell r="K5102" t="str">
            <v>GBWS-3812</v>
          </cell>
          <cell r="L5102">
            <v>45222</v>
          </cell>
          <cell r="M5102">
            <v>45223</v>
          </cell>
          <cell r="N5102">
            <v>45231</v>
          </cell>
          <cell r="O5102">
            <v>45223</v>
          </cell>
          <cell r="P5102">
            <v>45232</v>
          </cell>
          <cell r="Q5102" t="str">
            <v>2023-10-31 → 11/1</v>
          </cell>
          <cell r="R5102" t="str">
            <v>2023-11-01 → 11/2</v>
          </cell>
          <cell r="S5102">
            <v>45233</v>
          </cell>
          <cell r="T5102">
            <v>45233</v>
          </cell>
          <cell r="U5102">
            <v>45238</v>
          </cell>
          <cell r="V5102">
            <v>45238</v>
          </cell>
          <cell r="W5102">
            <v>45238</v>
          </cell>
          <cell r="X5102">
            <v>41100699</v>
          </cell>
        </row>
        <row r="5103">
          <cell r="K5103" t="str">
            <v>GBWS-3810</v>
          </cell>
          <cell r="L5103">
            <v>45222</v>
          </cell>
          <cell r="M5103">
            <v>45223</v>
          </cell>
          <cell r="N5103">
            <v>45231</v>
          </cell>
          <cell r="O5103">
            <v>45223</v>
          </cell>
          <cell r="P5103">
            <v>45232</v>
          </cell>
          <cell r="Q5103" t="str">
            <v>2023-10-31 → 11/1</v>
          </cell>
          <cell r="R5103" t="str">
            <v>2023-11-01 → 11/2</v>
          </cell>
          <cell r="S5103">
            <v>45233</v>
          </cell>
          <cell r="T5103">
            <v>45233</v>
          </cell>
          <cell r="U5103">
            <v>45238</v>
          </cell>
          <cell r="V5103">
            <v>45239</v>
          </cell>
          <cell r="W5103">
            <v>45239</v>
          </cell>
          <cell r="X5103">
            <v>41100698</v>
          </cell>
        </row>
        <row r="5104">
          <cell r="K5104" t="str">
            <v>GBWS-3817</v>
          </cell>
          <cell r="L5104">
            <v>45223</v>
          </cell>
          <cell r="M5104">
            <v>45224</v>
          </cell>
          <cell r="N5104">
            <v>45233</v>
          </cell>
          <cell r="O5104">
            <v>45224</v>
          </cell>
          <cell r="P5104">
            <v>45236</v>
          </cell>
          <cell r="Q5104">
            <v>45233</v>
          </cell>
          <cell r="R5104">
            <v>45236</v>
          </cell>
          <cell r="S5104">
            <v>45237</v>
          </cell>
          <cell r="T5104">
            <v>45237</v>
          </cell>
          <cell r="U5104">
            <v>45238</v>
          </cell>
          <cell r="V5104">
            <v>45239</v>
          </cell>
          <cell r="W5104">
            <v>45239</v>
          </cell>
          <cell r="X5104">
            <v>41100564</v>
          </cell>
        </row>
        <row r="5105">
          <cell r="K5105" t="str">
            <v>GBWS-3818</v>
          </cell>
          <cell r="L5105">
            <v>45223</v>
          </cell>
          <cell r="M5105">
            <v>45224</v>
          </cell>
          <cell r="N5105">
            <v>45233</v>
          </cell>
          <cell r="O5105">
            <v>45224</v>
          </cell>
          <cell r="P5105">
            <v>45236</v>
          </cell>
          <cell r="Q5105">
            <v>45233</v>
          </cell>
          <cell r="R5105">
            <v>45236</v>
          </cell>
          <cell r="S5105">
            <v>45237</v>
          </cell>
          <cell r="T5105">
            <v>45237</v>
          </cell>
          <cell r="U5105">
            <v>45238</v>
          </cell>
          <cell r="V5105">
            <v>45239</v>
          </cell>
          <cell r="W5105">
            <v>45239</v>
          </cell>
          <cell r="X5105">
            <v>41100564</v>
          </cell>
        </row>
        <row r="5106">
          <cell r="K5106" t="str">
            <v>GBWS-3760</v>
          </cell>
          <cell r="L5106">
            <v>45209</v>
          </cell>
          <cell r="M5106">
            <v>45210</v>
          </cell>
          <cell r="N5106">
            <v>45219</v>
          </cell>
          <cell r="O5106">
            <v>45210</v>
          </cell>
          <cell r="P5106">
            <v>45218</v>
          </cell>
          <cell r="Q5106">
            <v>45219</v>
          </cell>
          <cell r="R5106">
            <v>45222</v>
          </cell>
          <cell r="S5106">
            <v>45223</v>
          </cell>
          <cell r="T5106">
            <v>45223</v>
          </cell>
          <cell r="U5106">
            <v>45236</v>
          </cell>
          <cell r="V5106">
            <v>45237</v>
          </cell>
          <cell r="W5106">
            <v>45237</v>
          </cell>
          <cell r="X5106">
            <v>41100358</v>
          </cell>
        </row>
        <row r="5107">
          <cell r="K5107" t="str">
            <v>GBWS-3761</v>
          </cell>
          <cell r="L5107">
            <v>45209</v>
          </cell>
          <cell r="M5107">
            <v>45210</v>
          </cell>
          <cell r="N5107">
            <v>45219</v>
          </cell>
          <cell r="O5107">
            <v>45210</v>
          </cell>
          <cell r="P5107">
            <v>45218</v>
          </cell>
          <cell r="Q5107">
            <v>45219</v>
          </cell>
          <cell r="R5107">
            <v>45222</v>
          </cell>
          <cell r="S5107">
            <v>45223</v>
          </cell>
          <cell r="T5107">
            <v>45223</v>
          </cell>
          <cell r="U5107">
            <v>45226</v>
          </cell>
          <cell r="V5107">
            <v>45231</v>
          </cell>
          <cell r="W5107">
            <v>45231</v>
          </cell>
          <cell r="X5107">
            <v>41100358</v>
          </cell>
        </row>
        <row r="5108">
          <cell r="K5108" t="str">
            <v>GBWS-3762</v>
          </cell>
          <cell r="L5108">
            <v>45209</v>
          </cell>
          <cell r="M5108">
            <v>45210</v>
          </cell>
          <cell r="N5108">
            <v>45219</v>
          </cell>
          <cell r="O5108">
            <v>45210</v>
          </cell>
          <cell r="P5108">
            <v>45218</v>
          </cell>
          <cell r="Q5108">
            <v>45219</v>
          </cell>
          <cell r="R5108">
            <v>45222</v>
          </cell>
          <cell r="S5108">
            <v>45224</v>
          </cell>
          <cell r="T5108">
            <v>45224</v>
          </cell>
          <cell r="U5108">
            <v>45229</v>
          </cell>
          <cell r="V5108">
            <v>45231</v>
          </cell>
          <cell r="W5108">
            <v>45231</v>
          </cell>
          <cell r="X5108">
            <v>41100358</v>
          </cell>
        </row>
        <row r="5109">
          <cell r="K5109"/>
          <cell r="L5109">
            <v>45236</v>
          </cell>
          <cell r="M5109">
            <v>45237</v>
          </cell>
          <cell r="N5109">
            <v>45238</v>
          </cell>
          <cell r="O5109">
            <v>45237</v>
          </cell>
          <cell r="P5109">
            <v>45238</v>
          </cell>
          <cell r="Q5109">
            <v>45238</v>
          </cell>
          <cell r="R5109">
            <v>45238</v>
          </cell>
          <cell r="S5109">
            <v>45240</v>
          </cell>
          <cell r="T5109">
            <v>45240</v>
          </cell>
          <cell r="U5109">
            <v>45240</v>
          </cell>
          <cell r="V5109">
            <v>45240</v>
          </cell>
          <cell r="W5109">
            <v>45240</v>
          </cell>
          <cell r="X5109">
            <v>31102153</v>
          </cell>
        </row>
        <row r="5110">
          <cell r="K5110"/>
          <cell r="L5110">
            <v>45212</v>
          </cell>
          <cell r="M5110">
            <v>45215</v>
          </cell>
          <cell r="N5110">
            <v>45229</v>
          </cell>
          <cell r="O5110">
            <v>45215</v>
          </cell>
          <cell r="P5110">
            <v>45229</v>
          </cell>
          <cell r="Q5110">
            <v>45224</v>
          </cell>
          <cell r="R5110">
            <v>45225</v>
          </cell>
          <cell r="S5110">
            <v>45240</v>
          </cell>
          <cell r="T5110">
            <v>45240</v>
          </cell>
          <cell r="U5110">
            <v>45240</v>
          </cell>
          <cell r="V5110">
            <v>45240</v>
          </cell>
          <cell r="W5110">
            <v>45240</v>
          </cell>
          <cell r="X5110">
            <v>31102253</v>
          </cell>
        </row>
        <row r="5111">
          <cell r="K5111"/>
          <cell r="L5111">
            <v>45212</v>
          </cell>
          <cell r="M5111">
            <v>45215</v>
          </cell>
          <cell r="N5111">
            <v>45229</v>
          </cell>
          <cell r="O5111">
            <v>45215</v>
          </cell>
          <cell r="P5111">
            <v>45229</v>
          </cell>
          <cell r="Q5111">
            <v>45224</v>
          </cell>
          <cell r="R5111">
            <v>45225</v>
          </cell>
          <cell r="S5111">
            <v>45240</v>
          </cell>
          <cell r="T5111">
            <v>45240</v>
          </cell>
          <cell r="U5111">
            <v>45240</v>
          </cell>
          <cell r="V5111">
            <v>45240</v>
          </cell>
          <cell r="W5111">
            <v>45240</v>
          </cell>
          <cell r="X5111">
            <v>31102253</v>
          </cell>
        </row>
        <row r="5112">
          <cell r="K5112"/>
          <cell r="L5112">
            <v>45212</v>
          </cell>
          <cell r="M5112">
            <v>45215</v>
          </cell>
          <cell r="N5112">
            <v>45229</v>
          </cell>
          <cell r="O5112">
            <v>45215</v>
          </cell>
          <cell r="P5112">
            <v>45229</v>
          </cell>
          <cell r="Q5112">
            <v>45224</v>
          </cell>
          <cell r="R5112">
            <v>45225</v>
          </cell>
          <cell r="S5112">
            <v>45240</v>
          </cell>
          <cell r="T5112">
            <v>45240</v>
          </cell>
          <cell r="U5112">
            <v>45240</v>
          </cell>
          <cell r="V5112">
            <v>45240</v>
          </cell>
          <cell r="W5112">
            <v>45240</v>
          </cell>
          <cell r="X5112">
            <v>31102296</v>
          </cell>
        </row>
        <row r="5113">
          <cell r="K5113"/>
          <cell r="L5113">
            <v>45212</v>
          </cell>
          <cell r="M5113">
            <v>45215</v>
          </cell>
          <cell r="N5113">
            <v>45229</v>
          </cell>
          <cell r="O5113">
            <v>45215</v>
          </cell>
          <cell r="P5113">
            <v>45229</v>
          </cell>
          <cell r="Q5113">
            <v>45224</v>
          </cell>
          <cell r="R5113">
            <v>45225</v>
          </cell>
          <cell r="S5113">
            <v>45240</v>
          </cell>
          <cell r="T5113">
            <v>45240</v>
          </cell>
          <cell r="U5113">
            <v>45240</v>
          </cell>
          <cell r="V5113">
            <v>45240</v>
          </cell>
          <cell r="W5113">
            <v>45240</v>
          </cell>
          <cell r="X5113">
            <v>31102296</v>
          </cell>
        </row>
        <row r="5114">
          <cell r="K5114"/>
          <cell r="L5114">
            <v>45212</v>
          </cell>
          <cell r="M5114">
            <v>45215</v>
          </cell>
          <cell r="N5114">
            <v>45229</v>
          </cell>
          <cell r="O5114">
            <v>45215</v>
          </cell>
          <cell r="P5114">
            <v>45229</v>
          </cell>
          <cell r="Q5114">
            <v>45224</v>
          </cell>
          <cell r="R5114">
            <v>45225</v>
          </cell>
          <cell r="S5114">
            <v>45240</v>
          </cell>
          <cell r="T5114">
            <v>45240</v>
          </cell>
          <cell r="U5114">
            <v>45240</v>
          </cell>
          <cell r="V5114">
            <v>45240</v>
          </cell>
          <cell r="W5114">
            <v>45240</v>
          </cell>
          <cell r="X5114">
            <v>31102257</v>
          </cell>
        </row>
        <row r="5115">
          <cell r="K5115"/>
          <cell r="L5115">
            <v>45212</v>
          </cell>
          <cell r="M5115">
            <v>45215</v>
          </cell>
          <cell r="N5115">
            <v>45229</v>
          </cell>
          <cell r="O5115">
            <v>45215</v>
          </cell>
          <cell r="P5115">
            <v>45229</v>
          </cell>
          <cell r="Q5115">
            <v>45224</v>
          </cell>
          <cell r="R5115">
            <v>45225</v>
          </cell>
          <cell r="S5115">
            <v>45240</v>
          </cell>
          <cell r="T5115">
            <v>45240</v>
          </cell>
          <cell r="U5115">
            <v>45240</v>
          </cell>
          <cell r="V5115">
            <v>45240</v>
          </cell>
          <cell r="W5115">
            <v>45240</v>
          </cell>
          <cell r="X5115">
            <v>31101933</v>
          </cell>
        </row>
        <row r="5116">
          <cell r="K5116" t="str">
            <v>DBW-3094</v>
          </cell>
          <cell r="L5116">
            <v>45218</v>
          </cell>
          <cell r="M5116">
            <v>45219</v>
          </cell>
          <cell r="N5116">
            <v>45229</v>
          </cell>
          <cell r="O5116">
            <v>45219</v>
          </cell>
          <cell r="P5116">
            <v>45230</v>
          </cell>
          <cell r="Q5116">
            <v>45229</v>
          </cell>
          <cell r="R5116">
            <v>45230</v>
          </cell>
          <cell r="S5116">
            <v>45231</v>
          </cell>
          <cell r="T5116">
            <v>45231</v>
          </cell>
          <cell r="U5116">
            <v>45239</v>
          </cell>
          <cell r="V5116">
            <v>45240</v>
          </cell>
          <cell r="W5116">
            <v>45240</v>
          </cell>
          <cell r="X5116">
            <v>41100692</v>
          </cell>
        </row>
        <row r="5117">
          <cell r="K5117" t="str">
            <v>DBW-3095</v>
          </cell>
          <cell r="L5117">
            <v>45218</v>
          </cell>
          <cell r="M5117">
            <v>45219</v>
          </cell>
          <cell r="N5117">
            <v>45229</v>
          </cell>
          <cell r="O5117">
            <v>45219</v>
          </cell>
          <cell r="P5117">
            <v>45230</v>
          </cell>
          <cell r="Q5117">
            <v>45229</v>
          </cell>
          <cell r="R5117">
            <v>45230</v>
          </cell>
          <cell r="S5117">
            <v>45231</v>
          </cell>
          <cell r="T5117">
            <v>45231</v>
          </cell>
          <cell r="U5117">
            <v>45239</v>
          </cell>
          <cell r="V5117">
            <v>45240</v>
          </cell>
          <cell r="W5117">
            <v>45240</v>
          </cell>
          <cell r="X5117">
            <v>41100692</v>
          </cell>
        </row>
        <row r="5118">
          <cell r="K5118" t="str">
            <v>GBWS-3826</v>
          </cell>
          <cell r="L5118">
            <v>45225</v>
          </cell>
          <cell r="M5118">
            <v>45226</v>
          </cell>
          <cell r="N5118">
            <v>45233</v>
          </cell>
          <cell r="O5118">
            <v>45226</v>
          </cell>
          <cell r="P5118">
            <v>45236</v>
          </cell>
          <cell r="Q5118">
            <v>45233</v>
          </cell>
          <cell r="R5118">
            <v>45236</v>
          </cell>
          <cell r="S5118">
            <v>45237</v>
          </cell>
          <cell r="T5118">
            <v>45237</v>
          </cell>
          <cell r="U5118">
            <v>45243</v>
          </cell>
          <cell r="V5118">
            <v>45243</v>
          </cell>
          <cell r="W5118">
            <v>45243</v>
          </cell>
          <cell r="X5118">
            <v>41100704</v>
          </cell>
        </row>
        <row r="5119">
          <cell r="K5119" t="str">
            <v>GBWS-3827</v>
          </cell>
          <cell r="L5119">
            <v>45225</v>
          </cell>
          <cell r="M5119">
            <v>45226</v>
          </cell>
          <cell r="N5119">
            <v>45233</v>
          </cell>
          <cell r="O5119">
            <v>45226</v>
          </cell>
          <cell r="P5119">
            <v>45236</v>
          </cell>
          <cell r="Q5119">
            <v>45233</v>
          </cell>
          <cell r="R5119">
            <v>45236</v>
          </cell>
          <cell r="S5119">
            <v>45237</v>
          </cell>
          <cell r="T5119">
            <v>45237</v>
          </cell>
          <cell r="U5119">
            <v>45243</v>
          </cell>
          <cell r="V5119">
            <v>45243</v>
          </cell>
          <cell r="W5119">
            <v>45243</v>
          </cell>
          <cell r="X5119">
            <v>41100704</v>
          </cell>
        </row>
        <row r="5120">
          <cell r="K5120" t="str">
            <v>GBWS-3822</v>
          </cell>
          <cell r="L5120">
            <v>45224</v>
          </cell>
          <cell r="M5120">
            <v>45225</v>
          </cell>
          <cell r="N5120">
            <v>45233</v>
          </cell>
          <cell r="O5120">
            <v>45225</v>
          </cell>
          <cell r="P5120">
            <v>45236</v>
          </cell>
          <cell r="Q5120">
            <v>45233</v>
          </cell>
          <cell r="R5120">
            <v>45236</v>
          </cell>
          <cell r="S5120">
            <v>45237</v>
          </cell>
          <cell r="T5120">
            <v>45237</v>
          </cell>
          <cell r="U5120">
            <v>45243</v>
          </cell>
          <cell r="V5120">
            <v>45243</v>
          </cell>
          <cell r="W5120">
            <v>45243</v>
          </cell>
          <cell r="X5120">
            <v>41100507</v>
          </cell>
        </row>
        <row r="5121">
          <cell r="K5121" t="str">
            <v>GBWS-3823</v>
          </cell>
          <cell r="L5121">
            <v>45224</v>
          </cell>
          <cell r="M5121">
            <v>45225</v>
          </cell>
          <cell r="N5121">
            <v>45233</v>
          </cell>
          <cell r="O5121">
            <v>45225</v>
          </cell>
          <cell r="P5121">
            <v>45236</v>
          </cell>
          <cell r="Q5121">
            <v>45233</v>
          </cell>
          <cell r="R5121">
            <v>45236</v>
          </cell>
          <cell r="S5121">
            <v>45237</v>
          </cell>
          <cell r="T5121">
            <v>45237</v>
          </cell>
          <cell r="U5121">
            <v>45243</v>
          </cell>
          <cell r="V5121">
            <v>45243</v>
          </cell>
          <cell r="W5121">
            <v>45243</v>
          </cell>
          <cell r="X5121">
            <v>41100507</v>
          </cell>
        </row>
        <row r="5122">
          <cell r="K5122" t="str">
            <v>GBWS-3824</v>
          </cell>
          <cell r="L5122">
            <v>45224</v>
          </cell>
          <cell r="M5122">
            <v>45225</v>
          </cell>
          <cell r="N5122">
            <v>45233</v>
          </cell>
          <cell r="O5122">
            <v>45225</v>
          </cell>
          <cell r="P5122">
            <v>45236</v>
          </cell>
          <cell r="Q5122">
            <v>45233</v>
          </cell>
          <cell r="R5122">
            <v>45236</v>
          </cell>
          <cell r="S5122">
            <v>45237</v>
          </cell>
          <cell r="T5122">
            <v>45237</v>
          </cell>
          <cell r="U5122">
            <v>45243</v>
          </cell>
          <cell r="V5122">
            <v>45243</v>
          </cell>
          <cell r="W5122">
            <v>45243</v>
          </cell>
          <cell r="X5122">
            <v>41100507</v>
          </cell>
        </row>
        <row r="5123">
          <cell r="K5123" t="str">
            <v>GBWS-3825</v>
          </cell>
          <cell r="L5123">
            <v>45224</v>
          </cell>
          <cell r="M5123">
            <v>45225</v>
          </cell>
          <cell r="N5123">
            <v>45233</v>
          </cell>
          <cell r="O5123">
            <v>45225</v>
          </cell>
          <cell r="P5123">
            <v>45236</v>
          </cell>
          <cell r="Q5123">
            <v>45233</v>
          </cell>
          <cell r="R5123">
            <v>45236</v>
          </cell>
          <cell r="S5123">
            <v>45237</v>
          </cell>
          <cell r="T5123">
            <v>45237</v>
          </cell>
          <cell r="U5123">
            <v>45243</v>
          </cell>
          <cell r="V5123">
            <v>45243</v>
          </cell>
          <cell r="W5123">
            <v>45243</v>
          </cell>
          <cell r="X5123">
            <v>41100507</v>
          </cell>
        </row>
        <row r="5124">
          <cell r="K5124" t="str">
            <v>GBWS-3465</v>
          </cell>
          <cell r="L5124">
            <v>45096</v>
          </cell>
          <cell r="M5124">
            <v>45097</v>
          </cell>
          <cell r="N5124">
            <v>45104</v>
          </cell>
          <cell r="O5124">
            <v>45097</v>
          </cell>
          <cell r="P5124">
            <v>45104</v>
          </cell>
          <cell r="Q5124">
            <v>45103</v>
          </cell>
          <cell r="R5124">
            <v>45104</v>
          </cell>
          <cell r="S5124">
            <v>45105</v>
          </cell>
          <cell r="T5124">
            <v>45105</v>
          </cell>
          <cell r="U5124">
            <v>45107</v>
          </cell>
          <cell r="V5124">
            <v>45111</v>
          </cell>
          <cell r="W5124">
            <v>45111</v>
          </cell>
          <cell r="X5124">
            <v>41100708</v>
          </cell>
        </row>
        <row r="5125">
          <cell r="K5125" t="str">
            <v>GBWS-3466</v>
          </cell>
          <cell r="L5125">
            <v>45096</v>
          </cell>
          <cell r="M5125">
            <v>45097</v>
          </cell>
          <cell r="N5125">
            <v>45104</v>
          </cell>
          <cell r="O5125">
            <v>45097</v>
          </cell>
          <cell r="P5125">
            <v>45104</v>
          </cell>
          <cell r="Q5125">
            <v>45103</v>
          </cell>
          <cell r="R5125">
            <v>45104</v>
          </cell>
          <cell r="S5125">
            <v>45105</v>
          </cell>
          <cell r="T5125">
            <v>45105</v>
          </cell>
          <cell r="U5125">
            <v>45107</v>
          </cell>
          <cell r="V5125">
            <v>45111</v>
          </cell>
          <cell r="W5125">
            <v>45111</v>
          </cell>
          <cell r="X5125">
            <v>41100708</v>
          </cell>
        </row>
        <row r="5126">
          <cell r="K5126" t="str">
            <v>GBWS-3740</v>
          </cell>
          <cell r="L5126">
            <v>45195</v>
          </cell>
          <cell r="M5126">
            <v>45196</v>
          </cell>
          <cell r="N5126">
            <v>45209</v>
          </cell>
          <cell r="O5126">
            <v>45196</v>
          </cell>
          <cell r="P5126">
            <v>45209</v>
          </cell>
          <cell r="Q5126">
            <v>45205</v>
          </cell>
          <cell r="R5126">
            <v>45209</v>
          </cell>
          <cell r="S5126">
            <v>45210</v>
          </cell>
          <cell r="T5126">
            <v>45210</v>
          </cell>
          <cell r="U5126">
            <v>45217</v>
          </cell>
          <cell r="V5126">
            <v>45218</v>
          </cell>
          <cell r="W5126">
            <v>45218</v>
          </cell>
          <cell r="X5126">
            <v>41100708</v>
          </cell>
        </row>
        <row r="5127">
          <cell r="K5127" t="str">
            <v>GBWS-3741</v>
          </cell>
          <cell r="L5127">
            <v>45195</v>
          </cell>
          <cell r="M5127">
            <v>45196</v>
          </cell>
          <cell r="N5127">
            <v>45209</v>
          </cell>
          <cell r="O5127">
            <v>45196</v>
          </cell>
          <cell r="P5127">
            <v>45209</v>
          </cell>
          <cell r="Q5127">
            <v>45205</v>
          </cell>
          <cell r="R5127">
            <v>45209</v>
          </cell>
          <cell r="S5127">
            <v>45210</v>
          </cell>
          <cell r="T5127">
            <v>45210</v>
          </cell>
          <cell r="U5127">
            <v>45217</v>
          </cell>
          <cell r="V5127">
            <v>45218</v>
          </cell>
          <cell r="W5127">
            <v>45218</v>
          </cell>
          <cell r="X5127">
            <v>41100708</v>
          </cell>
        </row>
        <row r="5128">
          <cell r="K5128" t="str">
            <v>SOS-0308</v>
          </cell>
          <cell r="L5128">
            <v>45230</v>
          </cell>
          <cell r="M5128">
            <v>45231</v>
          </cell>
          <cell r="N5128">
            <v>45232</v>
          </cell>
          <cell r="O5128">
            <v>45231</v>
          </cell>
          <cell r="P5128">
            <v>45236</v>
          </cell>
          <cell r="Q5128">
            <v>45236</v>
          </cell>
          <cell r="R5128">
            <v>45237</v>
          </cell>
          <cell r="S5128">
            <v>45238</v>
          </cell>
          <cell r="T5128">
            <v>45238</v>
          </cell>
          <cell r="U5128">
            <v>45240</v>
          </cell>
          <cell r="V5128">
            <v>45240</v>
          </cell>
          <cell r="W5128">
            <v>45240</v>
          </cell>
          <cell r="X5128">
            <v>41100215</v>
          </cell>
        </row>
        <row r="5129">
          <cell r="K5129" t="str">
            <v>IVAS-234</v>
          </cell>
          <cell r="L5129">
            <v>45211</v>
          </cell>
          <cell r="M5129">
            <v>45212</v>
          </cell>
          <cell r="N5129">
            <v>45223</v>
          </cell>
          <cell r="O5129">
            <v>45212</v>
          </cell>
          <cell r="P5129">
            <v>45230</v>
          </cell>
          <cell r="Q5129">
            <v>45223</v>
          </cell>
          <cell r="R5129">
            <v>45224</v>
          </cell>
          <cell r="S5129">
            <v>45230</v>
          </cell>
          <cell r="T5129">
            <v>45230</v>
          </cell>
          <cell r="U5129">
            <v>45236</v>
          </cell>
          <cell r="V5129">
            <v>45238</v>
          </cell>
          <cell r="W5129">
            <v>45238</v>
          </cell>
          <cell r="X5129">
            <v>41000525</v>
          </cell>
        </row>
        <row r="5130">
          <cell r="K5130" t="str">
            <v>IVAS-235</v>
          </cell>
          <cell r="L5130">
            <v>45217</v>
          </cell>
          <cell r="M5130">
            <v>45218</v>
          </cell>
          <cell r="N5130">
            <v>45225</v>
          </cell>
          <cell r="O5130">
            <v>45218</v>
          </cell>
          <cell r="P5130">
            <v>45231</v>
          </cell>
          <cell r="Q5130">
            <v>45226</v>
          </cell>
          <cell r="R5130">
            <v>45229</v>
          </cell>
          <cell r="S5130">
            <v>45230</v>
          </cell>
          <cell r="T5130">
            <v>45230</v>
          </cell>
          <cell r="U5130">
            <v>45238</v>
          </cell>
          <cell r="V5130">
            <v>45240</v>
          </cell>
          <cell r="W5130">
            <v>45240</v>
          </cell>
          <cell r="X5130">
            <v>41100437</v>
          </cell>
        </row>
        <row r="5131">
          <cell r="K5131" t="str">
            <v>MMD-0043,0044</v>
          </cell>
          <cell r="L5131">
            <v>45232</v>
          </cell>
          <cell r="M5131">
            <v>45233</v>
          </cell>
          <cell r="N5131">
            <v>45236</v>
          </cell>
          <cell r="O5131">
            <v>45233</v>
          </cell>
          <cell r="P5131">
            <v>45236</v>
          </cell>
          <cell r="Q5131">
            <v>45238</v>
          </cell>
          <cell r="R5131">
            <v>45239</v>
          </cell>
          <cell r="S5131">
            <v>45238</v>
          </cell>
          <cell r="T5131">
            <v>45238</v>
          </cell>
          <cell r="U5131">
            <v>45238</v>
          </cell>
          <cell r="V5131">
            <v>45238</v>
          </cell>
          <cell r="W5131">
            <v>45238</v>
          </cell>
          <cell r="X5131">
            <v>31102402</v>
          </cell>
        </row>
        <row r="5132">
          <cell r="K5132" t="str">
            <v>GBWS-3819</v>
          </cell>
          <cell r="L5132">
            <v>45223</v>
          </cell>
          <cell r="M5132">
            <v>45224</v>
          </cell>
          <cell r="N5132">
            <v>45233</v>
          </cell>
          <cell r="O5132">
            <v>45224</v>
          </cell>
          <cell r="P5132">
            <v>45236</v>
          </cell>
          <cell r="Q5132">
            <v>45233</v>
          </cell>
          <cell r="R5132">
            <v>45236</v>
          </cell>
          <cell r="S5132">
            <v>45238</v>
          </cell>
          <cell r="T5132">
            <v>45238</v>
          </cell>
          <cell r="U5132">
            <v>45239</v>
          </cell>
          <cell r="V5132">
            <v>45239</v>
          </cell>
          <cell r="W5132">
            <v>45239</v>
          </cell>
          <cell r="X5132">
            <v>41100564</v>
          </cell>
        </row>
        <row r="5133">
          <cell r="K5133" t="str">
            <v>GBWS-3830</v>
          </cell>
          <cell r="L5133">
            <v>45229</v>
          </cell>
          <cell r="M5133">
            <v>45230</v>
          </cell>
          <cell r="N5133">
            <v>45237</v>
          </cell>
          <cell r="O5133">
            <v>45230</v>
          </cell>
          <cell r="P5133">
            <v>45239</v>
          </cell>
          <cell r="Q5133">
            <v>45237</v>
          </cell>
          <cell r="R5133" t="str">
            <v>2023-11-08(9일 오전까지)</v>
          </cell>
          <cell r="S5133">
            <v>45239</v>
          </cell>
          <cell r="T5133">
            <v>45239</v>
          </cell>
          <cell r="U5133">
            <v>45244</v>
          </cell>
          <cell r="V5133">
            <v>45244</v>
          </cell>
          <cell r="W5133">
            <v>45244</v>
          </cell>
          <cell r="X5133">
            <v>41100564</v>
          </cell>
        </row>
        <row r="5134">
          <cell r="K5134"/>
          <cell r="L5134">
            <v>45225</v>
          </cell>
          <cell r="M5134">
            <v>45226</v>
          </cell>
          <cell r="N5134">
            <v>45244</v>
          </cell>
          <cell r="O5134">
            <v>45226</v>
          </cell>
          <cell r="P5134">
            <v>45244</v>
          </cell>
          <cell r="Q5134">
            <v>45238</v>
          </cell>
          <cell r="R5134">
            <v>45239</v>
          </cell>
          <cell r="S5134">
            <v>45246</v>
          </cell>
          <cell r="T5134">
            <v>45246</v>
          </cell>
          <cell r="U5134">
            <v>45246</v>
          </cell>
          <cell r="V5134">
            <v>45246</v>
          </cell>
          <cell r="W5134">
            <v>45246</v>
          </cell>
          <cell r="X5134">
            <v>31102303</v>
          </cell>
        </row>
        <row r="5135">
          <cell r="K5135" t="str">
            <v>GBWS-3820</v>
          </cell>
          <cell r="L5135">
            <v>45224</v>
          </cell>
          <cell r="M5135">
            <v>45225</v>
          </cell>
          <cell r="N5135">
            <v>45233</v>
          </cell>
          <cell r="O5135">
            <v>45225</v>
          </cell>
          <cell r="P5135">
            <v>45236</v>
          </cell>
          <cell r="Q5135">
            <v>45233</v>
          </cell>
          <cell r="R5135">
            <v>45236</v>
          </cell>
          <cell r="S5135">
            <v>45239</v>
          </cell>
          <cell r="T5135">
            <v>45239</v>
          </cell>
          <cell r="U5135">
            <v>45244</v>
          </cell>
          <cell r="V5135">
            <v>45245</v>
          </cell>
          <cell r="W5135">
            <v>45245</v>
          </cell>
          <cell r="X5135">
            <v>41100697</v>
          </cell>
        </row>
        <row r="5136">
          <cell r="K5136" t="str">
            <v>GBWS-3769</v>
          </cell>
          <cell r="L5136">
            <v>45211</v>
          </cell>
          <cell r="M5136">
            <v>45212</v>
          </cell>
          <cell r="N5136">
            <v>45219</v>
          </cell>
          <cell r="O5136">
            <v>45212</v>
          </cell>
          <cell r="P5136">
            <v>45219</v>
          </cell>
          <cell r="Q5136">
            <v>45219</v>
          </cell>
          <cell r="R5136">
            <v>45219</v>
          </cell>
          <cell r="S5136">
            <v>45222</v>
          </cell>
          <cell r="T5136">
            <v>45222</v>
          </cell>
          <cell r="U5136">
            <v>45236</v>
          </cell>
          <cell r="V5136">
            <v>45236</v>
          </cell>
          <cell r="W5136">
            <v>45236</v>
          </cell>
          <cell r="X5136">
            <v>41100686</v>
          </cell>
        </row>
        <row r="5137">
          <cell r="K5137" t="str">
            <v>GBWS-3770</v>
          </cell>
          <cell r="L5137">
            <v>45211</v>
          </cell>
          <cell r="M5137">
            <v>45212</v>
          </cell>
          <cell r="N5137">
            <v>45219</v>
          </cell>
          <cell r="O5137">
            <v>45212</v>
          </cell>
          <cell r="P5137">
            <v>45219</v>
          </cell>
          <cell r="Q5137">
            <v>45219</v>
          </cell>
          <cell r="R5137">
            <v>45219</v>
          </cell>
          <cell r="S5137">
            <v>45222</v>
          </cell>
          <cell r="T5137">
            <v>45222</v>
          </cell>
          <cell r="U5137">
            <v>45239</v>
          </cell>
          <cell r="V5137">
            <v>45243</v>
          </cell>
          <cell r="W5137">
            <v>45243</v>
          </cell>
          <cell r="X5137">
            <v>41100686</v>
          </cell>
        </row>
        <row r="5138">
          <cell r="K5138" t="str">
            <v>GBWS-3795</v>
          </cell>
          <cell r="L5138">
            <v>45217</v>
          </cell>
          <cell r="M5138">
            <v>45218</v>
          </cell>
          <cell r="N5138">
            <v>45225</v>
          </cell>
          <cell r="O5138">
            <v>45218</v>
          </cell>
          <cell r="P5138">
            <v>45226</v>
          </cell>
          <cell r="Q5138">
            <v>45225</v>
          </cell>
          <cell r="R5138">
            <v>45226</v>
          </cell>
          <cell r="S5138">
            <v>45229</v>
          </cell>
          <cell r="T5138">
            <v>45229</v>
          </cell>
          <cell r="U5138">
            <v>45233</v>
          </cell>
          <cell r="V5138">
            <v>45245</v>
          </cell>
          <cell r="W5138">
            <v>45245</v>
          </cell>
          <cell r="X5138">
            <v>41100686</v>
          </cell>
        </row>
        <row r="5139">
          <cell r="K5139" t="str">
            <v>GBWS-3796</v>
          </cell>
          <cell r="L5139">
            <v>45217</v>
          </cell>
          <cell r="M5139">
            <v>45218</v>
          </cell>
          <cell r="N5139">
            <v>45225</v>
          </cell>
          <cell r="O5139">
            <v>45218</v>
          </cell>
          <cell r="P5139">
            <v>45226</v>
          </cell>
          <cell r="Q5139">
            <v>45225</v>
          </cell>
          <cell r="R5139">
            <v>45226</v>
          </cell>
          <cell r="S5139">
            <v>45229</v>
          </cell>
          <cell r="T5139">
            <v>45229</v>
          </cell>
          <cell r="U5139">
            <v>45233</v>
          </cell>
          <cell r="V5139">
            <v>45243</v>
          </cell>
          <cell r="W5139">
            <v>45243</v>
          </cell>
          <cell r="X5139">
            <v>41100686</v>
          </cell>
        </row>
        <row r="5140">
          <cell r="K5140" t="str">
            <v>DBW-3096</v>
          </cell>
          <cell r="L5140">
            <v>45219</v>
          </cell>
          <cell r="M5140">
            <v>45222</v>
          </cell>
          <cell r="N5140">
            <v>45229</v>
          </cell>
          <cell r="O5140">
            <v>45222</v>
          </cell>
          <cell r="P5140">
            <v>45230</v>
          </cell>
          <cell r="Q5140">
            <v>45229</v>
          </cell>
          <cell r="R5140">
            <v>45230</v>
          </cell>
          <cell r="S5140">
            <v>45236</v>
          </cell>
          <cell r="T5140">
            <v>45236</v>
          </cell>
          <cell r="U5140">
            <v>45245</v>
          </cell>
          <cell r="V5140">
            <v>45245</v>
          </cell>
          <cell r="W5140">
            <v>45245</v>
          </cell>
          <cell r="X5140">
            <v>41100695</v>
          </cell>
        </row>
        <row r="5141">
          <cell r="K5141" t="str">
            <v>GBWS-3821</v>
          </cell>
          <cell r="L5141">
            <v>45224</v>
          </cell>
          <cell r="M5141">
            <v>45225</v>
          </cell>
          <cell r="N5141">
            <v>45236</v>
          </cell>
          <cell r="O5141">
            <v>45225</v>
          </cell>
          <cell r="P5141">
            <v>45237</v>
          </cell>
          <cell r="Q5141">
            <v>45236</v>
          </cell>
          <cell r="R5141">
            <v>45237</v>
          </cell>
          <cell r="S5141">
            <v>45238</v>
          </cell>
          <cell r="T5141">
            <v>45238</v>
          </cell>
          <cell r="U5141">
            <v>45244</v>
          </cell>
          <cell r="V5141">
            <v>45245</v>
          </cell>
          <cell r="W5141">
            <v>45245</v>
          </cell>
          <cell r="X5141">
            <v>41100363</v>
          </cell>
        </row>
        <row r="5142">
          <cell r="K5142" t="str">
            <v>GBWS-3829</v>
          </cell>
          <cell r="L5142">
            <v>45229</v>
          </cell>
          <cell r="M5142">
            <v>45230</v>
          </cell>
          <cell r="N5142">
            <v>45238</v>
          </cell>
          <cell r="O5142">
            <v>45230</v>
          </cell>
          <cell r="P5142">
            <v>45239</v>
          </cell>
          <cell r="Q5142">
            <v>45238</v>
          </cell>
          <cell r="R5142" t="str">
            <v>2023-11-09(10일 오전까지)</v>
          </cell>
          <cell r="S5142">
            <v>45240</v>
          </cell>
          <cell r="T5142">
            <v>45240</v>
          </cell>
          <cell r="U5142">
            <v>45244</v>
          </cell>
          <cell r="V5142">
            <v>45245</v>
          </cell>
          <cell r="W5142">
            <v>45245</v>
          </cell>
          <cell r="X5142">
            <v>41100320</v>
          </cell>
        </row>
        <row r="5143">
          <cell r="K5143" t="str">
            <v>GBWS-3777</v>
          </cell>
          <cell r="L5143">
            <v>45211</v>
          </cell>
          <cell r="M5143">
            <v>45212</v>
          </cell>
          <cell r="N5143">
            <v>45228</v>
          </cell>
          <cell r="O5143">
            <v>45212</v>
          </cell>
          <cell r="P5143">
            <v>45229</v>
          </cell>
          <cell r="Q5143" t="str">
            <v>2023-10-25 → 10/29</v>
          </cell>
          <cell r="R5143" t="str">
            <v>2023-10-26 → 10/30(오후)</v>
          </cell>
          <cell r="S5143">
            <v>45238</v>
          </cell>
          <cell r="T5143">
            <v>45238</v>
          </cell>
          <cell r="U5143">
            <v>45247</v>
          </cell>
          <cell r="V5143">
            <v>45247</v>
          </cell>
          <cell r="W5143">
            <v>45247</v>
          </cell>
          <cell r="X5143">
            <v>41100566</v>
          </cell>
        </row>
        <row r="5144">
          <cell r="K5144" t="str">
            <v>GBWS-3778</v>
          </cell>
          <cell r="L5144">
            <v>45211</v>
          </cell>
          <cell r="M5144">
            <v>45212</v>
          </cell>
          <cell r="N5144">
            <v>45228</v>
          </cell>
          <cell r="O5144">
            <v>45212</v>
          </cell>
          <cell r="P5144">
            <v>45229</v>
          </cell>
          <cell r="Q5144" t="str">
            <v>2023-10-25 → 10/29</v>
          </cell>
          <cell r="R5144" t="str">
            <v>2023-10-26 → 10/30(오후)</v>
          </cell>
          <cell r="S5144">
            <v>45238</v>
          </cell>
          <cell r="T5144">
            <v>45238</v>
          </cell>
          <cell r="U5144">
            <v>45247</v>
          </cell>
          <cell r="V5144">
            <v>45247</v>
          </cell>
          <cell r="W5144">
            <v>45247</v>
          </cell>
          <cell r="X5144">
            <v>41100566</v>
          </cell>
        </row>
        <row r="5145">
          <cell r="K5145" t="str">
            <v>GPWS-0293</v>
          </cell>
          <cell r="L5145">
            <v>45215</v>
          </cell>
          <cell r="M5145">
            <v>45216</v>
          </cell>
          <cell r="N5145">
            <v>45223</v>
          </cell>
          <cell r="O5145">
            <v>45216</v>
          </cell>
          <cell r="P5145">
            <v>45225</v>
          </cell>
          <cell r="Q5145">
            <v>45224</v>
          </cell>
          <cell r="R5145">
            <v>45225</v>
          </cell>
          <cell r="S5145">
            <v>45239</v>
          </cell>
          <cell r="T5145">
            <v>45239</v>
          </cell>
          <cell r="U5145">
            <v>45246</v>
          </cell>
          <cell r="V5145">
            <v>45247</v>
          </cell>
          <cell r="W5145">
            <v>45247</v>
          </cell>
          <cell r="X5145">
            <v>41100380</v>
          </cell>
        </row>
        <row r="5146">
          <cell r="K5146" t="str">
            <v>GPWS-0294</v>
          </cell>
          <cell r="L5146">
            <v>45215</v>
          </cell>
          <cell r="M5146">
            <v>45216</v>
          </cell>
          <cell r="N5146">
            <v>45223</v>
          </cell>
          <cell r="O5146">
            <v>45216</v>
          </cell>
          <cell r="P5146">
            <v>45225</v>
          </cell>
          <cell r="Q5146">
            <v>45224</v>
          </cell>
          <cell r="R5146">
            <v>45225</v>
          </cell>
          <cell r="S5146">
            <v>45244</v>
          </cell>
          <cell r="T5146">
            <v>45244</v>
          </cell>
          <cell r="U5146">
            <v>45247</v>
          </cell>
          <cell r="V5146">
            <v>45247</v>
          </cell>
          <cell r="W5146">
            <v>45247</v>
          </cell>
          <cell r="X5146">
            <v>41100380</v>
          </cell>
        </row>
        <row r="5147">
          <cell r="K5147" t="str">
            <v>GPWS-0295</v>
          </cell>
          <cell r="L5147">
            <v>45215</v>
          </cell>
          <cell r="M5147">
            <v>45216</v>
          </cell>
          <cell r="N5147">
            <v>45223</v>
          </cell>
          <cell r="O5147">
            <v>45216</v>
          </cell>
          <cell r="P5147">
            <v>45225</v>
          </cell>
          <cell r="Q5147">
            <v>45224</v>
          </cell>
          <cell r="R5147">
            <v>45225</v>
          </cell>
          <cell r="S5147">
            <v>45239</v>
          </cell>
          <cell r="T5147">
            <v>45239</v>
          </cell>
          <cell r="U5147">
            <v>45247</v>
          </cell>
          <cell r="V5147">
            <v>45247</v>
          </cell>
          <cell r="W5147">
            <v>45247</v>
          </cell>
          <cell r="X5147">
            <v>41100380</v>
          </cell>
        </row>
        <row r="5148">
          <cell r="K5148" t="str">
            <v>GBWS-3836</v>
          </cell>
          <cell r="L5148">
            <v>45230</v>
          </cell>
          <cell r="M5148">
            <v>45231</v>
          </cell>
          <cell r="N5148">
            <v>45238</v>
          </cell>
          <cell r="O5148">
            <v>45231</v>
          </cell>
          <cell r="P5148">
            <v>45239</v>
          </cell>
          <cell r="Q5148">
            <v>45239</v>
          </cell>
          <cell r="R5148">
            <v>45240</v>
          </cell>
          <cell r="S5148">
            <v>45243</v>
          </cell>
          <cell r="T5148">
            <v>45243</v>
          </cell>
          <cell r="U5148">
            <v>45246</v>
          </cell>
          <cell r="V5148">
            <v>45246</v>
          </cell>
          <cell r="W5148">
            <v>45246</v>
          </cell>
          <cell r="X5148">
            <v>41100408</v>
          </cell>
        </row>
        <row r="5149">
          <cell r="K5149" t="str">
            <v>GBWS-3844</v>
          </cell>
          <cell r="L5149">
            <v>45232</v>
          </cell>
          <cell r="M5149">
            <v>45233</v>
          </cell>
          <cell r="N5149">
            <v>45240</v>
          </cell>
          <cell r="O5149">
            <v>45233</v>
          </cell>
          <cell r="P5149">
            <v>45240</v>
          </cell>
          <cell r="Q5149">
            <v>45240</v>
          </cell>
          <cell r="R5149">
            <v>45240</v>
          </cell>
          <cell r="S5149">
            <v>45243</v>
          </cell>
          <cell r="T5149">
            <v>45243</v>
          </cell>
          <cell r="U5149">
            <v>45245</v>
          </cell>
          <cell r="V5149">
            <v>45246</v>
          </cell>
          <cell r="W5149">
            <v>45246</v>
          </cell>
          <cell r="X5149">
            <v>41100611</v>
          </cell>
        </row>
        <row r="5150">
          <cell r="K5150" t="str">
            <v>GBWS-3845</v>
          </cell>
          <cell r="L5150">
            <v>45232</v>
          </cell>
          <cell r="M5150">
            <v>45233</v>
          </cell>
          <cell r="N5150">
            <v>45240</v>
          </cell>
          <cell r="O5150">
            <v>45233</v>
          </cell>
          <cell r="P5150">
            <v>45240</v>
          </cell>
          <cell r="Q5150">
            <v>45240</v>
          </cell>
          <cell r="R5150">
            <v>45240</v>
          </cell>
          <cell r="S5150">
            <v>45243</v>
          </cell>
          <cell r="T5150">
            <v>45243</v>
          </cell>
          <cell r="U5150">
            <v>45245</v>
          </cell>
          <cell r="V5150">
            <v>45246</v>
          </cell>
          <cell r="W5150">
            <v>45246</v>
          </cell>
          <cell r="X5150">
            <v>41100611</v>
          </cell>
        </row>
        <row r="5151">
          <cell r="K5151" t="str">
            <v>GBWS-3745</v>
          </cell>
          <cell r="L5151">
            <v>45203</v>
          </cell>
          <cell r="M5151">
            <v>45204</v>
          </cell>
          <cell r="N5151">
            <v>45215</v>
          </cell>
          <cell r="O5151">
            <v>45204</v>
          </cell>
          <cell r="P5151">
            <v>45216</v>
          </cell>
          <cell r="Q5151">
            <v>45215</v>
          </cell>
          <cell r="R5151">
            <v>45216</v>
          </cell>
          <cell r="S5151">
            <v>45217</v>
          </cell>
          <cell r="T5151">
            <v>45217</v>
          </cell>
          <cell r="U5151">
            <v>45246</v>
          </cell>
          <cell r="V5151">
            <v>45247</v>
          </cell>
          <cell r="W5151">
            <v>45247</v>
          </cell>
          <cell r="X5151">
            <v>41100661</v>
          </cell>
        </row>
        <row r="5152">
          <cell r="K5152" t="str">
            <v>IVAS-236</v>
          </cell>
          <cell r="L5152">
            <v>45223</v>
          </cell>
          <cell r="M5152">
            <v>45224</v>
          </cell>
          <cell r="N5152">
            <v>45231</v>
          </cell>
          <cell r="O5152">
            <v>45224</v>
          </cell>
          <cell r="P5152">
            <v>45233</v>
          </cell>
          <cell r="Q5152">
            <v>45232</v>
          </cell>
          <cell r="R5152">
            <v>45233</v>
          </cell>
          <cell r="S5152">
            <v>45236</v>
          </cell>
          <cell r="T5152">
            <v>45236</v>
          </cell>
          <cell r="U5152">
            <v>45244</v>
          </cell>
          <cell r="V5152">
            <v>45251</v>
          </cell>
          <cell r="W5152">
            <v>45251</v>
          </cell>
          <cell r="X5152">
            <v>41100437</v>
          </cell>
        </row>
        <row r="5153">
          <cell r="K5153" t="str">
            <v>GBWS-3828</v>
          </cell>
          <cell r="L5153">
            <v>45226</v>
          </cell>
          <cell r="M5153">
            <v>45229</v>
          </cell>
          <cell r="N5153">
            <v>45238</v>
          </cell>
          <cell r="O5153">
            <v>45229</v>
          </cell>
          <cell r="P5153">
            <v>45239</v>
          </cell>
          <cell r="Q5153">
            <v>45238</v>
          </cell>
          <cell r="R5153">
            <v>45239</v>
          </cell>
          <cell r="S5153">
            <v>45240</v>
          </cell>
          <cell r="T5153">
            <v>45240</v>
          </cell>
          <cell r="U5153">
            <v>45247</v>
          </cell>
          <cell r="V5153">
            <v>45250</v>
          </cell>
          <cell r="W5153">
            <v>45250</v>
          </cell>
          <cell r="X5153">
            <v>41100702</v>
          </cell>
        </row>
        <row r="5154">
          <cell r="K5154" t="str">
            <v>GBWS-3831</v>
          </cell>
          <cell r="L5154">
            <v>45230</v>
          </cell>
          <cell r="M5154">
            <v>45231</v>
          </cell>
          <cell r="N5154">
            <v>45240</v>
          </cell>
          <cell r="O5154">
            <v>45231</v>
          </cell>
          <cell r="P5154">
            <v>45243</v>
          </cell>
          <cell r="Q5154">
            <v>45240</v>
          </cell>
          <cell r="R5154">
            <v>45243</v>
          </cell>
          <cell r="S5154">
            <v>45244</v>
          </cell>
          <cell r="T5154">
            <v>45244</v>
          </cell>
          <cell r="U5154">
            <v>45246</v>
          </cell>
          <cell r="V5154">
            <v>45250</v>
          </cell>
          <cell r="W5154">
            <v>45250</v>
          </cell>
          <cell r="X5154">
            <v>41100564</v>
          </cell>
        </row>
        <row r="5155">
          <cell r="K5155" t="str">
            <v>GBWS-3832</v>
          </cell>
          <cell r="L5155">
            <v>45230</v>
          </cell>
          <cell r="M5155">
            <v>45231</v>
          </cell>
          <cell r="N5155">
            <v>45240</v>
          </cell>
          <cell r="O5155">
            <v>45231</v>
          </cell>
          <cell r="P5155">
            <v>45243</v>
          </cell>
          <cell r="Q5155">
            <v>45240</v>
          </cell>
          <cell r="R5155">
            <v>45243</v>
          </cell>
          <cell r="S5155">
            <v>45244</v>
          </cell>
          <cell r="T5155">
            <v>45244</v>
          </cell>
          <cell r="U5155">
            <v>45247</v>
          </cell>
          <cell r="V5155">
            <v>45250</v>
          </cell>
          <cell r="W5155">
            <v>45250</v>
          </cell>
          <cell r="X5155">
            <v>41100564</v>
          </cell>
        </row>
        <row r="5156">
          <cell r="K5156" t="str">
            <v>GBWS-3833</v>
          </cell>
          <cell r="L5156">
            <v>45230</v>
          </cell>
          <cell r="M5156">
            <v>45231</v>
          </cell>
          <cell r="N5156">
            <v>45240</v>
          </cell>
          <cell r="O5156">
            <v>45231</v>
          </cell>
          <cell r="P5156">
            <v>45243</v>
          </cell>
          <cell r="Q5156">
            <v>45240</v>
          </cell>
          <cell r="R5156">
            <v>45243</v>
          </cell>
          <cell r="S5156">
            <v>45244</v>
          </cell>
          <cell r="T5156">
            <v>45244</v>
          </cell>
          <cell r="U5156">
            <v>45246</v>
          </cell>
          <cell r="V5156">
            <v>45250</v>
          </cell>
          <cell r="W5156">
            <v>45250</v>
          </cell>
          <cell r="X5156">
            <v>41100564</v>
          </cell>
        </row>
        <row r="5157">
          <cell r="K5157" t="str">
            <v>GBWS-3834</v>
          </cell>
          <cell r="L5157">
            <v>45230</v>
          </cell>
          <cell r="M5157">
            <v>45231</v>
          </cell>
          <cell r="N5157">
            <v>45240</v>
          </cell>
          <cell r="O5157">
            <v>45231</v>
          </cell>
          <cell r="P5157">
            <v>45243</v>
          </cell>
          <cell r="Q5157">
            <v>45240</v>
          </cell>
          <cell r="R5157">
            <v>45243</v>
          </cell>
          <cell r="S5157">
            <v>45244</v>
          </cell>
          <cell r="T5157">
            <v>45244</v>
          </cell>
          <cell r="U5157">
            <v>45249</v>
          </cell>
          <cell r="V5157">
            <v>45250</v>
          </cell>
          <cell r="W5157">
            <v>45250</v>
          </cell>
          <cell r="X5157">
            <v>41100662</v>
          </cell>
        </row>
        <row r="5158">
          <cell r="K5158" t="str">
            <v>GBWS-3835</v>
          </cell>
          <cell r="L5158">
            <v>45230</v>
          </cell>
          <cell r="M5158">
            <v>45231</v>
          </cell>
          <cell r="N5158">
            <v>45240</v>
          </cell>
          <cell r="O5158">
            <v>45231</v>
          </cell>
          <cell r="P5158">
            <v>45243</v>
          </cell>
          <cell r="Q5158">
            <v>45240</v>
          </cell>
          <cell r="R5158">
            <v>45243</v>
          </cell>
          <cell r="S5158">
            <v>45244</v>
          </cell>
          <cell r="T5158">
            <v>45244</v>
          </cell>
          <cell r="U5158">
            <v>45249</v>
          </cell>
          <cell r="V5158">
            <v>45250</v>
          </cell>
          <cell r="W5158">
            <v>45250</v>
          </cell>
          <cell r="X5158">
            <v>41100662</v>
          </cell>
        </row>
        <row r="5159">
          <cell r="K5159" t="str">
            <v>GBWS-3843</v>
          </cell>
          <cell r="L5159">
            <v>45232</v>
          </cell>
          <cell r="M5159">
            <v>45233</v>
          </cell>
          <cell r="N5159">
            <v>45243</v>
          </cell>
          <cell r="O5159">
            <v>45233</v>
          </cell>
          <cell r="P5159">
            <v>45244</v>
          </cell>
          <cell r="Q5159">
            <v>45243</v>
          </cell>
          <cell r="R5159">
            <v>45244</v>
          </cell>
          <cell r="S5159">
            <v>45245</v>
          </cell>
          <cell r="T5159">
            <v>45245</v>
          </cell>
          <cell r="U5159">
            <v>45251</v>
          </cell>
          <cell r="V5159">
            <v>45251</v>
          </cell>
          <cell r="W5159">
            <v>45251</v>
          </cell>
          <cell r="X5159">
            <v>41100564</v>
          </cell>
        </row>
        <row r="5160">
          <cell r="K5160" t="str">
            <v>GBWS-3838</v>
          </cell>
          <cell r="L5160">
            <v>45231</v>
          </cell>
          <cell r="M5160">
            <v>45232</v>
          </cell>
          <cell r="N5160">
            <v>45240</v>
          </cell>
          <cell r="O5160">
            <v>45232</v>
          </cell>
          <cell r="P5160">
            <v>45243</v>
          </cell>
          <cell r="Q5160">
            <v>45240</v>
          </cell>
          <cell r="R5160">
            <v>45243</v>
          </cell>
          <cell r="S5160">
            <v>45244</v>
          </cell>
          <cell r="T5160">
            <v>45244</v>
          </cell>
          <cell r="U5160">
            <v>45250</v>
          </cell>
          <cell r="V5160">
            <v>45250</v>
          </cell>
          <cell r="W5160">
            <v>45250</v>
          </cell>
          <cell r="X5160">
            <v>41100699</v>
          </cell>
        </row>
        <row r="5161">
          <cell r="K5161" t="str">
            <v>GBWS-3839</v>
          </cell>
          <cell r="L5161">
            <v>45231</v>
          </cell>
          <cell r="M5161">
            <v>45232</v>
          </cell>
          <cell r="N5161">
            <v>45240</v>
          </cell>
          <cell r="O5161">
            <v>45232</v>
          </cell>
          <cell r="P5161">
            <v>45243</v>
          </cell>
          <cell r="Q5161">
            <v>45240</v>
          </cell>
          <cell r="R5161">
            <v>45243</v>
          </cell>
          <cell r="S5161">
            <v>45244</v>
          </cell>
          <cell r="T5161">
            <v>45244</v>
          </cell>
          <cell r="U5161">
            <v>45250</v>
          </cell>
          <cell r="V5161">
            <v>45250</v>
          </cell>
          <cell r="W5161">
            <v>45250</v>
          </cell>
          <cell r="X5161">
            <v>41100699</v>
          </cell>
        </row>
        <row r="5162">
          <cell r="K5162" t="str">
            <v>GBWS-3840</v>
          </cell>
          <cell r="L5162">
            <v>45231</v>
          </cell>
          <cell r="M5162">
            <v>45232</v>
          </cell>
          <cell r="N5162">
            <v>45240</v>
          </cell>
          <cell r="O5162">
            <v>45232</v>
          </cell>
          <cell r="P5162">
            <v>45243</v>
          </cell>
          <cell r="Q5162">
            <v>45240</v>
          </cell>
          <cell r="R5162">
            <v>45243</v>
          </cell>
          <cell r="S5162">
            <v>45244</v>
          </cell>
          <cell r="T5162">
            <v>45244</v>
          </cell>
          <cell r="U5162">
            <v>45250</v>
          </cell>
          <cell r="V5162">
            <v>45250</v>
          </cell>
          <cell r="W5162">
            <v>45250</v>
          </cell>
          <cell r="X5162">
            <v>41100699</v>
          </cell>
        </row>
        <row r="5163">
          <cell r="K5163" t="str">
            <v>GBWS-3837</v>
          </cell>
          <cell r="L5163">
            <v>45231</v>
          </cell>
          <cell r="M5163">
            <v>45232</v>
          </cell>
          <cell r="N5163">
            <v>45240</v>
          </cell>
          <cell r="O5163">
            <v>45232</v>
          </cell>
          <cell r="P5163">
            <v>45243</v>
          </cell>
          <cell r="Q5163">
            <v>45240</v>
          </cell>
          <cell r="R5163">
            <v>45243</v>
          </cell>
          <cell r="S5163">
            <v>45244</v>
          </cell>
          <cell r="T5163">
            <v>45244</v>
          </cell>
          <cell r="U5163">
            <v>45247</v>
          </cell>
          <cell r="V5163">
            <v>45250</v>
          </cell>
          <cell r="W5163">
            <v>45250</v>
          </cell>
          <cell r="X5163">
            <v>41100698</v>
          </cell>
        </row>
        <row r="5164">
          <cell r="K5164" t="str">
            <v>GBWS-3841</v>
          </cell>
          <cell r="L5164">
            <v>45232</v>
          </cell>
          <cell r="M5164">
            <v>45233</v>
          </cell>
          <cell r="N5164">
            <v>45243</v>
          </cell>
          <cell r="O5164">
            <v>45233</v>
          </cell>
          <cell r="P5164">
            <v>45244</v>
          </cell>
          <cell r="Q5164">
            <v>45243</v>
          </cell>
          <cell r="R5164">
            <v>45244</v>
          </cell>
          <cell r="S5164">
            <v>45245</v>
          </cell>
          <cell r="T5164">
            <v>45245</v>
          </cell>
          <cell r="U5164">
            <v>45249</v>
          </cell>
          <cell r="V5164">
            <v>45251</v>
          </cell>
          <cell r="W5164">
            <v>45251</v>
          </cell>
          <cell r="X5164">
            <v>41100698</v>
          </cell>
        </row>
        <row r="5165">
          <cell r="K5165" t="str">
            <v>GBWS-3842</v>
          </cell>
          <cell r="L5165">
            <v>45232</v>
          </cell>
          <cell r="M5165">
            <v>45233</v>
          </cell>
          <cell r="N5165">
            <v>45243</v>
          </cell>
          <cell r="O5165">
            <v>45233</v>
          </cell>
          <cell r="P5165">
            <v>45244</v>
          </cell>
          <cell r="Q5165">
            <v>45243</v>
          </cell>
          <cell r="R5165">
            <v>45244</v>
          </cell>
          <cell r="S5165">
            <v>45245</v>
          </cell>
          <cell r="T5165">
            <v>45245</v>
          </cell>
          <cell r="U5165">
            <v>45249</v>
          </cell>
          <cell r="V5165">
            <v>45251</v>
          </cell>
          <cell r="W5165">
            <v>45251</v>
          </cell>
          <cell r="X5165">
            <v>41100698</v>
          </cell>
        </row>
        <row r="5166">
          <cell r="K5166" t="str">
            <v>GBA-0125</v>
          </cell>
          <cell r="L5166">
            <v>45231</v>
          </cell>
          <cell r="M5166" t="str">
            <v>2023-10-27 → 11/2</v>
          </cell>
          <cell r="N5166">
            <v>45240</v>
          </cell>
          <cell r="O5166" t="str">
            <v>2023-10-27 → 11/2</v>
          </cell>
          <cell r="P5166">
            <v>45243</v>
          </cell>
          <cell r="Q5166" t="str">
            <v>2023-11-06 → 11/10</v>
          </cell>
          <cell r="R5166" t="str">
            <v>2023-11-07 → 11/13</v>
          </cell>
          <cell r="S5166">
            <v>45246</v>
          </cell>
          <cell r="T5166">
            <v>45246</v>
          </cell>
          <cell r="U5166">
            <v>45250</v>
          </cell>
          <cell r="V5166">
            <v>45251</v>
          </cell>
          <cell r="W5166">
            <v>45251</v>
          </cell>
          <cell r="X5166">
            <v>41000545</v>
          </cell>
        </row>
        <row r="5167">
          <cell r="K5167" t="str">
            <v>DBW-3117</v>
          </cell>
          <cell r="L5167">
            <v>45237</v>
          </cell>
          <cell r="M5167">
            <v>45238</v>
          </cell>
          <cell r="N5167">
            <v>45244</v>
          </cell>
          <cell r="O5167">
            <v>45238</v>
          </cell>
          <cell r="P5167">
            <v>45244</v>
          </cell>
          <cell r="Q5167">
            <v>45244</v>
          </cell>
          <cell r="R5167">
            <v>45244</v>
          </cell>
          <cell r="S5167">
            <v>45245</v>
          </cell>
          <cell r="T5167">
            <v>45245</v>
          </cell>
          <cell r="U5167">
            <v>45251</v>
          </cell>
          <cell r="V5167">
            <v>45252</v>
          </cell>
          <cell r="W5167">
            <v>45252</v>
          </cell>
          <cell r="X5167">
            <v>41100668</v>
          </cell>
        </row>
        <row r="5168">
          <cell r="K5168" t="str">
            <v>DBW-3118</v>
          </cell>
          <cell r="L5168">
            <v>45237</v>
          </cell>
          <cell r="M5168">
            <v>45238</v>
          </cell>
          <cell r="N5168">
            <v>45244</v>
          </cell>
          <cell r="O5168">
            <v>45238</v>
          </cell>
          <cell r="P5168">
            <v>45244</v>
          </cell>
          <cell r="Q5168">
            <v>45244</v>
          </cell>
          <cell r="R5168">
            <v>45244</v>
          </cell>
          <cell r="S5168">
            <v>45245</v>
          </cell>
          <cell r="T5168">
            <v>45245</v>
          </cell>
          <cell r="U5168">
            <v>45251</v>
          </cell>
          <cell r="V5168">
            <v>45252</v>
          </cell>
          <cell r="W5168">
            <v>45252</v>
          </cell>
          <cell r="X5168">
            <v>41100668</v>
          </cell>
        </row>
        <row r="5169">
          <cell r="K5169"/>
          <cell r="L5169">
            <v>45225</v>
          </cell>
          <cell r="M5169">
            <v>45226</v>
          </cell>
          <cell r="N5169">
            <v>45244</v>
          </cell>
          <cell r="O5169">
            <v>45226</v>
          </cell>
          <cell r="P5169">
            <v>45244</v>
          </cell>
          <cell r="Q5169">
            <v>45238</v>
          </cell>
          <cell r="R5169">
            <v>45239</v>
          </cell>
          <cell r="S5169">
            <v>45246</v>
          </cell>
          <cell r="T5169">
            <v>45246</v>
          </cell>
          <cell r="U5169">
            <v>45253</v>
          </cell>
          <cell r="V5169">
            <v>45253</v>
          </cell>
          <cell r="W5169">
            <v>45253</v>
          </cell>
          <cell r="X5169">
            <v>31102289</v>
          </cell>
        </row>
        <row r="5170">
          <cell r="K5170"/>
          <cell r="L5170">
            <v>45225</v>
          </cell>
          <cell r="M5170">
            <v>45226</v>
          </cell>
          <cell r="N5170">
            <v>45244</v>
          </cell>
          <cell r="O5170">
            <v>45226</v>
          </cell>
          <cell r="P5170">
            <v>45244</v>
          </cell>
          <cell r="Q5170">
            <v>45238</v>
          </cell>
          <cell r="R5170">
            <v>45239</v>
          </cell>
          <cell r="S5170">
            <v>45246</v>
          </cell>
          <cell r="T5170">
            <v>45246</v>
          </cell>
          <cell r="U5170">
            <v>45253</v>
          </cell>
          <cell r="V5170">
            <v>45253</v>
          </cell>
          <cell r="W5170">
            <v>45253</v>
          </cell>
          <cell r="X5170">
            <v>31102253</v>
          </cell>
        </row>
        <row r="5171">
          <cell r="K5171"/>
          <cell r="L5171">
            <v>45225</v>
          </cell>
          <cell r="M5171">
            <v>45226</v>
          </cell>
          <cell r="N5171">
            <v>45244</v>
          </cell>
          <cell r="O5171">
            <v>45226</v>
          </cell>
          <cell r="P5171">
            <v>45244</v>
          </cell>
          <cell r="Q5171">
            <v>45238</v>
          </cell>
          <cell r="R5171">
            <v>45239</v>
          </cell>
          <cell r="S5171">
            <v>45246</v>
          </cell>
          <cell r="T5171">
            <v>45246</v>
          </cell>
          <cell r="U5171">
            <v>45253</v>
          </cell>
          <cell r="V5171">
            <v>45253</v>
          </cell>
          <cell r="W5171">
            <v>45253</v>
          </cell>
          <cell r="X5171">
            <v>31102304</v>
          </cell>
        </row>
        <row r="5172">
          <cell r="K5172"/>
          <cell r="L5172">
            <v>45225</v>
          </cell>
          <cell r="M5172">
            <v>45226</v>
          </cell>
          <cell r="N5172">
            <v>45244</v>
          </cell>
          <cell r="O5172">
            <v>45226</v>
          </cell>
          <cell r="P5172">
            <v>45244</v>
          </cell>
          <cell r="Q5172">
            <v>45238</v>
          </cell>
          <cell r="R5172">
            <v>45239</v>
          </cell>
          <cell r="S5172">
            <v>45246</v>
          </cell>
          <cell r="T5172">
            <v>45246</v>
          </cell>
          <cell r="U5172">
            <v>45253</v>
          </cell>
          <cell r="V5172">
            <v>45253</v>
          </cell>
          <cell r="W5172">
            <v>45253</v>
          </cell>
          <cell r="X5172">
            <v>31102304</v>
          </cell>
        </row>
        <row r="5173">
          <cell r="K5173" t="str">
            <v>IVAS-237</v>
          </cell>
          <cell r="L5173">
            <v>45223</v>
          </cell>
          <cell r="M5173" t="str">
            <v>2023-10-31 → 10/25</v>
          </cell>
          <cell r="N5173">
            <v>45233</v>
          </cell>
          <cell r="O5173" t="str">
            <v>2023-10-31 → 10/25</v>
          </cell>
          <cell r="P5173">
            <v>45238</v>
          </cell>
          <cell r="Q5173" t="str">
            <v>2023-11-09 → 11/3</v>
          </cell>
          <cell r="R5173" t="str">
            <v>2023-11-10 → 11/6</v>
          </cell>
          <cell r="S5173">
            <v>45238</v>
          </cell>
          <cell r="T5173">
            <v>45238</v>
          </cell>
          <cell r="U5173">
            <v>45245</v>
          </cell>
          <cell r="V5173">
            <v>45251</v>
          </cell>
          <cell r="W5173">
            <v>45251</v>
          </cell>
          <cell r="X5173">
            <v>41000527</v>
          </cell>
        </row>
        <row r="5174">
          <cell r="K5174" t="str">
            <v>IVAS-238</v>
          </cell>
          <cell r="L5174">
            <v>45229</v>
          </cell>
          <cell r="M5174">
            <v>45230</v>
          </cell>
          <cell r="N5174">
            <v>45239</v>
          </cell>
          <cell r="O5174">
            <v>45230</v>
          </cell>
          <cell r="P5174">
            <v>45240</v>
          </cell>
          <cell r="Q5174">
            <v>45239</v>
          </cell>
          <cell r="R5174">
            <v>45240</v>
          </cell>
          <cell r="S5174">
            <v>45243</v>
          </cell>
          <cell r="T5174">
            <v>45243</v>
          </cell>
          <cell r="U5174">
            <v>45251</v>
          </cell>
          <cell r="V5174">
            <v>45253</v>
          </cell>
          <cell r="W5174">
            <v>45253</v>
          </cell>
          <cell r="X5174">
            <v>41000528</v>
          </cell>
        </row>
        <row r="5175">
          <cell r="K5175"/>
          <cell r="L5175">
            <v>45190</v>
          </cell>
          <cell r="M5175">
            <v>45190</v>
          </cell>
          <cell r="N5175">
            <v>45203</v>
          </cell>
          <cell r="O5175">
            <v>45190</v>
          </cell>
          <cell r="P5175">
            <v>45203</v>
          </cell>
          <cell r="Q5175">
            <v>45194</v>
          </cell>
          <cell r="R5175">
            <v>45194</v>
          </cell>
          <cell r="S5175">
            <v>45237</v>
          </cell>
          <cell r="T5175">
            <v>45237</v>
          </cell>
          <cell r="U5175">
            <v>45237</v>
          </cell>
          <cell r="V5175">
            <v>45237</v>
          </cell>
          <cell r="W5175">
            <v>45237</v>
          </cell>
          <cell r="X5175">
            <v>31010502</v>
          </cell>
        </row>
        <row r="5176">
          <cell r="K5176"/>
          <cell r="L5176">
            <v>45190</v>
          </cell>
          <cell r="M5176">
            <v>45190</v>
          </cell>
          <cell r="N5176">
            <v>45203</v>
          </cell>
          <cell r="O5176">
            <v>45190</v>
          </cell>
          <cell r="P5176">
            <v>45203</v>
          </cell>
          <cell r="Q5176">
            <v>45194</v>
          </cell>
          <cell r="R5176">
            <v>45194</v>
          </cell>
          <cell r="S5176">
            <v>45237</v>
          </cell>
          <cell r="T5176">
            <v>45237</v>
          </cell>
          <cell r="U5176">
            <v>45237</v>
          </cell>
          <cell r="V5176">
            <v>45237</v>
          </cell>
          <cell r="W5176">
            <v>45237</v>
          </cell>
          <cell r="X5176">
            <v>31010600</v>
          </cell>
        </row>
        <row r="5177">
          <cell r="K5177"/>
          <cell r="L5177">
            <v>45190</v>
          </cell>
          <cell r="M5177">
            <v>45190</v>
          </cell>
          <cell r="N5177">
            <v>45203</v>
          </cell>
          <cell r="O5177">
            <v>45190</v>
          </cell>
          <cell r="P5177">
            <v>45203</v>
          </cell>
          <cell r="Q5177">
            <v>45194</v>
          </cell>
          <cell r="R5177">
            <v>45194</v>
          </cell>
          <cell r="S5177">
            <v>45237</v>
          </cell>
          <cell r="T5177">
            <v>45237</v>
          </cell>
          <cell r="U5177">
            <v>45237</v>
          </cell>
          <cell r="V5177">
            <v>45237</v>
          </cell>
          <cell r="W5177">
            <v>45237</v>
          </cell>
          <cell r="X5177">
            <v>31010601</v>
          </cell>
        </row>
        <row r="5178">
          <cell r="K5178"/>
          <cell r="L5178">
            <v>45190</v>
          </cell>
          <cell r="M5178">
            <v>45190</v>
          </cell>
          <cell r="N5178">
            <v>45203</v>
          </cell>
          <cell r="O5178">
            <v>45190</v>
          </cell>
          <cell r="P5178">
            <v>45203</v>
          </cell>
          <cell r="Q5178">
            <v>45194</v>
          </cell>
          <cell r="R5178">
            <v>45194</v>
          </cell>
          <cell r="S5178">
            <v>45237</v>
          </cell>
          <cell r="T5178">
            <v>45237</v>
          </cell>
          <cell r="U5178">
            <v>45237</v>
          </cell>
          <cell r="V5178">
            <v>45237</v>
          </cell>
          <cell r="W5178">
            <v>45237</v>
          </cell>
          <cell r="X5178">
            <v>31010612</v>
          </cell>
        </row>
        <row r="5179">
          <cell r="K5179"/>
          <cell r="L5179">
            <v>45190</v>
          </cell>
          <cell r="M5179">
            <v>45190</v>
          </cell>
          <cell r="N5179">
            <v>45203</v>
          </cell>
          <cell r="O5179">
            <v>45190</v>
          </cell>
          <cell r="P5179">
            <v>45203</v>
          </cell>
          <cell r="Q5179">
            <v>45194</v>
          </cell>
          <cell r="R5179">
            <v>45194</v>
          </cell>
          <cell r="S5179">
            <v>45237</v>
          </cell>
          <cell r="T5179">
            <v>45237</v>
          </cell>
          <cell r="U5179">
            <v>45237</v>
          </cell>
          <cell r="V5179">
            <v>45237</v>
          </cell>
          <cell r="W5179">
            <v>45237</v>
          </cell>
          <cell r="X5179">
            <v>31010613</v>
          </cell>
        </row>
        <row r="5180">
          <cell r="K5180"/>
          <cell r="L5180">
            <v>45190</v>
          </cell>
          <cell r="M5180">
            <v>45190</v>
          </cell>
          <cell r="N5180">
            <v>45203</v>
          </cell>
          <cell r="O5180">
            <v>45190</v>
          </cell>
          <cell r="P5180">
            <v>45203</v>
          </cell>
          <cell r="Q5180">
            <v>45194</v>
          </cell>
          <cell r="R5180">
            <v>45194</v>
          </cell>
          <cell r="S5180">
            <v>45237</v>
          </cell>
          <cell r="T5180">
            <v>45237</v>
          </cell>
          <cell r="U5180">
            <v>45237</v>
          </cell>
          <cell r="V5180">
            <v>45237</v>
          </cell>
          <cell r="W5180">
            <v>45237</v>
          </cell>
          <cell r="X5180">
            <v>31010614</v>
          </cell>
        </row>
        <row r="5181">
          <cell r="K5181"/>
          <cell r="L5181">
            <v>45190</v>
          </cell>
          <cell r="M5181">
            <v>45190</v>
          </cell>
          <cell r="N5181">
            <v>45203</v>
          </cell>
          <cell r="O5181">
            <v>45190</v>
          </cell>
          <cell r="P5181">
            <v>45203</v>
          </cell>
          <cell r="Q5181">
            <v>45194</v>
          </cell>
          <cell r="R5181">
            <v>45194</v>
          </cell>
          <cell r="S5181">
            <v>45237</v>
          </cell>
          <cell r="T5181">
            <v>45237</v>
          </cell>
          <cell r="U5181">
            <v>45237</v>
          </cell>
          <cell r="V5181">
            <v>45237</v>
          </cell>
          <cell r="W5181">
            <v>45237</v>
          </cell>
          <cell r="X5181">
            <v>31010615</v>
          </cell>
        </row>
        <row r="5182">
          <cell r="K5182"/>
          <cell r="L5182">
            <v>45194</v>
          </cell>
          <cell r="M5182">
            <v>45194</v>
          </cell>
          <cell r="N5182">
            <v>45203</v>
          </cell>
          <cell r="O5182">
            <v>45194</v>
          </cell>
          <cell r="P5182">
            <v>45203</v>
          </cell>
          <cell r="Q5182">
            <v>45196</v>
          </cell>
          <cell r="R5182">
            <v>45196</v>
          </cell>
          <cell r="S5182">
            <v>45237</v>
          </cell>
          <cell r="T5182">
            <v>45237</v>
          </cell>
          <cell r="U5182">
            <v>45237</v>
          </cell>
          <cell r="V5182">
            <v>45237</v>
          </cell>
          <cell r="W5182">
            <v>45237</v>
          </cell>
          <cell r="X5182">
            <v>31010616</v>
          </cell>
        </row>
        <row r="5183">
          <cell r="K5183"/>
          <cell r="L5183">
            <v>45194</v>
          </cell>
          <cell r="M5183">
            <v>45194</v>
          </cell>
          <cell r="N5183">
            <v>45203</v>
          </cell>
          <cell r="O5183">
            <v>45194</v>
          </cell>
          <cell r="P5183">
            <v>45203</v>
          </cell>
          <cell r="Q5183">
            <v>45196</v>
          </cell>
          <cell r="R5183">
            <v>45196</v>
          </cell>
          <cell r="S5183">
            <v>45237</v>
          </cell>
          <cell r="T5183">
            <v>45237</v>
          </cell>
          <cell r="U5183">
            <v>45237</v>
          </cell>
          <cell r="V5183">
            <v>45237</v>
          </cell>
          <cell r="W5183">
            <v>45237</v>
          </cell>
          <cell r="X5183">
            <v>31010617</v>
          </cell>
        </row>
        <row r="5184">
          <cell r="K5184"/>
          <cell r="L5184">
            <v>45194</v>
          </cell>
          <cell r="M5184">
            <v>45194</v>
          </cell>
          <cell r="N5184">
            <v>45203</v>
          </cell>
          <cell r="O5184">
            <v>45194</v>
          </cell>
          <cell r="P5184">
            <v>45203</v>
          </cell>
          <cell r="Q5184">
            <v>45196</v>
          </cell>
          <cell r="R5184">
            <v>45196</v>
          </cell>
          <cell r="S5184">
            <v>45237</v>
          </cell>
          <cell r="T5184">
            <v>45237</v>
          </cell>
          <cell r="U5184">
            <v>45237</v>
          </cell>
          <cell r="V5184">
            <v>45237</v>
          </cell>
          <cell r="W5184">
            <v>45237</v>
          </cell>
          <cell r="X5184">
            <v>31010618</v>
          </cell>
        </row>
        <row r="5185">
          <cell r="K5185"/>
          <cell r="L5185">
            <v>45194</v>
          </cell>
          <cell r="M5185">
            <v>45194</v>
          </cell>
          <cell r="N5185">
            <v>45203</v>
          </cell>
          <cell r="O5185">
            <v>45194</v>
          </cell>
          <cell r="P5185">
            <v>45203</v>
          </cell>
          <cell r="Q5185">
            <v>45196</v>
          </cell>
          <cell r="R5185">
            <v>45196</v>
          </cell>
          <cell r="S5185">
            <v>45237</v>
          </cell>
          <cell r="T5185">
            <v>45237</v>
          </cell>
          <cell r="U5185">
            <v>45237</v>
          </cell>
          <cell r="V5185">
            <v>45237</v>
          </cell>
          <cell r="W5185">
            <v>45237</v>
          </cell>
          <cell r="X5185">
            <v>31010619</v>
          </cell>
        </row>
        <row r="5186">
          <cell r="K5186"/>
          <cell r="L5186">
            <v>45194</v>
          </cell>
          <cell r="M5186">
            <v>45194</v>
          </cell>
          <cell r="N5186">
            <v>45203</v>
          </cell>
          <cell r="O5186">
            <v>45194</v>
          </cell>
          <cell r="P5186">
            <v>45203</v>
          </cell>
          <cell r="Q5186">
            <v>45196</v>
          </cell>
          <cell r="R5186">
            <v>45196</v>
          </cell>
          <cell r="S5186">
            <v>45237</v>
          </cell>
          <cell r="T5186">
            <v>45237</v>
          </cell>
          <cell r="U5186">
            <v>45237</v>
          </cell>
          <cell r="V5186">
            <v>45237</v>
          </cell>
          <cell r="W5186">
            <v>45237</v>
          </cell>
          <cell r="X5186">
            <v>31010620</v>
          </cell>
        </row>
        <row r="5187">
          <cell r="K5187"/>
          <cell r="L5187">
            <v>45194</v>
          </cell>
          <cell r="M5187">
            <v>45194</v>
          </cell>
          <cell r="N5187">
            <v>45203</v>
          </cell>
          <cell r="O5187">
            <v>45194</v>
          </cell>
          <cell r="P5187">
            <v>45203</v>
          </cell>
          <cell r="Q5187">
            <v>45196</v>
          </cell>
          <cell r="R5187">
            <v>45196</v>
          </cell>
          <cell r="S5187">
            <v>45237</v>
          </cell>
          <cell r="T5187">
            <v>45237</v>
          </cell>
          <cell r="U5187">
            <v>45237</v>
          </cell>
          <cell r="V5187">
            <v>45237</v>
          </cell>
          <cell r="W5187">
            <v>45237</v>
          </cell>
          <cell r="X5187">
            <v>31010621</v>
          </cell>
        </row>
        <row r="5188">
          <cell r="K5188"/>
          <cell r="L5188">
            <v>45204</v>
          </cell>
          <cell r="M5188">
            <v>45204</v>
          </cell>
          <cell r="N5188">
            <v>45209</v>
          </cell>
          <cell r="O5188">
            <v>45204</v>
          </cell>
          <cell r="P5188">
            <v>45209</v>
          </cell>
          <cell r="Q5188">
            <v>45209</v>
          </cell>
          <cell r="R5188">
            <v>45209</v>
          </cell>
          <cell r="S5188">
            <v>45237</v>
          </cell>
          <cell r="T5188">
            <v>45237</v>
          </cell>
          <cell r="U5188">
            <v>45237</v>
          </cell>
          <cell r="V5188">
            <v>45237</v>
          </cell>
          <cell r="W5188">
            <v>45237</v>
          </cell>
          <cell r="X5188">
            <v>31010602</v>
          </cell>
        </row>
        <row r="5189">
          <cell r="K5189"/>
          <cell r="L5189">
            <v>45204</v>
          </cell>
          <cell r="M5189">
            <v>45204</v>
          </cell>
          <cell r="N5189">
            <v>45209</v>
          </cell>
          <cell r="O5189">
            <v>45204</v>
          </cell>
          <cell r="P5189">
            <v>45209</v>
          </cell>
          <cell r="Q5189">
            <v>45209</v>
          </cell>
          <cell r="R5189">
            <v>45209</v>
          </cell>
          <cell r="S5189">
            <v>45237</v>
          </cell>
          <cell r="T5189">
            <v>45237</v>
          </cell>
          <cell r="U5189">
            <v>45237</v>
          </cell>
          <cell r="V5189">
            <v>45237</v>
          </cell>
          <cell r="W5189">
            <v>45237</v>
          </cell>
          <cell r="X5189">
            <v>31010603</v>
          </cell>
        </row>
        <row r="5190">
          <cell r="K5190"/>
          <cell r="L5190">
            <v>45204</v>
          </cell>
          <cell r="M5190">
            <v>45204</v>
          </cell>
          <cell r="N5190">
            <v>45209</v>
          </cell>
          <cell r="O5190">
            <v>45204</v>
          </cell>
          <cell r="P5190">
            <v>45209</v>
          </cell>
          <cell r="Q5190">
            <v>45209</v>
          </cell>
          <cell r="R5190">
            <v>45209</v>
          </cell>
          <cell r="S5190">
            <v>45237</v>
          </cell>
          <cell r="T5190">
            <v>45237</v>
          </cell>
          <cell r="U5190">
            <v>45237</v>
          </cell>
          <cell r="V5190">
            <v>45237</v>
          </cell>
          <cell r="W5190">
            <v>45237</v>
          </cell>
          <cell r="X5190">
            <v>31010604</v>
          </cell>
        </row>
        <row r="5191">
          <cell r="K5191"/>
          <cell r="L5191">
            <v>45204</v>
          </cell>
          <cell r="M5191">
            <v>45204</v>
          </cell>
          <cell r="N5191">
            <v>45209</v>
          </cell>
          <cell r="O5191">
            <v>45204</v>
          </cell>
          <cell r="P5191">
            <v>45209</v>
          </cell>
          <cell r="Q5191">
            <v>45209</v>
          </cell>
          <cell r="R5191">
            <v>45209</v>
          </cell>
          <cell r="S5191">
            <v>45237</v>
          </cell>
          <cell r="T5191">
            <v>45237</v>
          </cell>
          <cell r="U5191">
            <v>45237</v>
          </cell>
          <cell r="V5191">
            <v>45237</v>
          </cell>
          <cell r="W5191">
            <v>45237</v>
          </cell>
          <cell r="X5191">
            <v>31010605</v>
          </cell>
        </row>
        <row r="5192">
          <cell r="K5192"/>
          <cell r="L5192">
            <v>45204</v>
          </cell>
          <cell r="M5192">
            <v>45204</v>
          </cell>
          <cell r="N5192">
            <v>45209</v>
          </cell>
          <cell r="O5192">
            <v>45204</v>
          </cell>
          <cell r="P5192">
            <v>45209</v>
          </cell>
          <cell r="Q5192">
            <v>45209</v>
          </cell>
          <cell r="R5192">
            <v>45209</v>
          </cell>
          <cell r="S5192">
            <v>45237</v>
          </cell>
          <cell r="T5192">
            <v>45237</v>
          </cell>
          <cell r="U5192">
            <v>45237</v>
          </cell>
          <cell r="V5192">
            <v>45237</v>
          </cell>
          <cell r="W5192">
            <v>45237</v>
          </cell>
          <cell r="X5192">
            <v>31010606</v>
          </cell>
        </row>
        <row r="5193">
          <cell r="K5193"/>
          <cell r="L5193">
            <v>45204</v>
          </cell>
          <cell r="M5193">
            <v>45204</v>
          </cell>
          <cell r="N5193">
            <v>45209</v>
          </cell>
          <cell r="O5193">
            <v>45204</v>
          </cell>
          <cell r="P5193">
            <v>45209</v>
          </cell>
          <cell r="Q5193">
            <v>45209</v>
          </cell>
          <cell r="R5193">
            <v>45209</v>
          </cell>
          <cell r="S5193">
            <v>45237</v>
          </cell>
          <cell r="T5193">
            <v>45237</v>
          </cell>
          <cell r="U5193">
            <v>45237</v>
          </cell>
          <cell r="V5193">
            <v>45237</v>
          </cell>
          <cell r="W5193">
            <v>45237</v>
          </cell>
          <cell r="X5193">
            <v>31010608</v>
          </cell>
        </row>
        <row r="5194">
          <cell r="K5194"/>
          <cell r="L5194">
            <v>45204</v>
          </cell>
          <cell r="M5194">
            <v>45204</v>
          </cell>
          <cell r="N5194">
            <v>45209</v>
          </cell>
          <cell r="O5194">
            <v>45204</v>
          </cell>
          <cell r="P5194">
            <v>45209</v>
          </cell>
          <cell r="Q5194">
            <v>45209</v>
          </cell>
          <cell r="R5194">
            <v>45209</v>
          </cell>
          <cell r="S5194">
            <v>45237</v>
          </cell>
          <cell r="T5194">
            <v>45237</v>
          </cell>
          <cell r="U5194">
            <v>45237</v>
          </cell>
          <cell r="V5194">
            <v>45237</v>
          </cell>
          <cell r="W5194">
            <v>45237</v>
          </cell>
          <cell r="X5194">
            <v>31010609</v>
          </cell>
        </row>
        <row r="5195">
          <cell r="K5195"/>
          <cell r="L5195">
            <v>45204</v>
          </cell>
          <cell r="M5195">
            <v>45204</v>
          </cell>
          <cell r="N5195">
            <v>45209</v>
          </cell>
          <cell r="O5195">
            <v>45204</v>
          </cell>
          <cell r="P5195">
            <v>45209</v>
          </cell>
          <cell r="Q5195">
            <v>45209</v>
          </cell>
          <cell r="R5195">
            <v>45209</v>
          </cell>
          <cell r="S5195">
            <v>45237</v>
          </cell>
          <cell r="T5195">
            <v>45237</v>
          </cell>
          <cell r="U5195">
            <v>45237</v>
          </cell>
          <cell r="V5195">
            <v>45237</v>
          </cell>
          <cell r="W5195">
            <v>45237</v>
          </cell>
          <cell r="X5195">
            <v>31010610</v>
          </cell>
        </row>
        <row r="5196">
          <cell r="K5196"/>
          <cell r="L5196">
            <v>45204</v>
          </cell>
          <cell r="M5196">
            <v>45204</v>
          </cell>
          <cell r="N5196">
            <v>45209</v>
          </cell>
          <cell r="O5196">
            <v>45204</v>
          </cell>
          <cell r="P5196">
            <v>45209</v>
          </cell>
          <cell r="Q5196">
            <v>45209</v>
          </cell>
          <cell r="R5196">
            <v>45209</v>
          </cell>
          <cell r="S5196">
            <v>45237</v>
          </cell>
          <cell r="T5196">
            <v>45237</v>
          </cell>
          <cell r="U5196">
            <v>45237</v>
          </cell>
          <cell r="V5196">
            <v>45237</v>
          </cell>
          <cell r="W5196">
            <v>45237</v>
          </cell>
          <cell r="X5196">
            <v>31010611</v>
          </cell>
        </row>
        <row r="5197">
          <cell r="K5197"/>
          <cell r="L5197">
            <v>45204</v>
          </cell>
          <cell r="M5197">
            <v>45204</v>
          </cell>
          <cell r="N5197">
            <v>45215</v>
          </cell>
          <cell r="O5197">
            <v>45204</v>
          </cell>
          <cell r="P5197">
            <v>45215</v>
          </cell>
          <cell r="Q5197">
            <v>45209</v>
          </cell>
          <cell r="R5197">
            <v>45209</v>
          </cell>
          <cell r="S5197">
            <v>45237</v>
          </cell>
          <cell r="T5197">
            <v>45237</v>
          </cell>
          <cell r="U5197">
            <v>45237</v>
          </cell>
          <cell r="V5197">
            <v>45237</v>
          </cell>
          <cell r="W5197">
            <v>45237</v>
          </cell>
          <cell r="X5197">
            <v>31010607</v>
          </cell>
        </row>
        <row r="5198">
          <cell r="K5198"/>
          <cell r="L5198">
            <v>45204</v>
          </cell>
          <cell r="M5198">
            <v>45204</v>
          </cell>
          <cell r="N5198">
            <v>45215</v>
          </cell>
          <cell r="O5198">
            <v>45204</v>
          </cell>
          <cell r="P5198">
            <v>45209</v>
          </cell>
          <cell r="Q5198">
            <v>45209</v>
          </cell>
          <cell r="R5198">
            <v>45209</v>
          </cell>
          <cell r="S5198">
            <v>45237</v>
          </cell>
          <cell r="T5198">
            <v>45237</v>
          </cell>
          <cell r="U5198">
            <v>45237</v>
          </cell>
          <cell r="V5198">
            <v>45237</v>
          </cell>
          <cell r="W5198">
            <v>45237</v>
          </cell>
          <cell r="X5198" t="str">
            <v>31010605 → 31010688</v>
          </cell>
        </row>
        <row r="5199">
          <cell r="K5199"/>
          <cell r="L5199">
            <v>45181</v>
          </cell>
          <cell r="M5199">
            <v>45181</v>
          </cell>
          <cell r="N5199">
            <v>45184</v>
          </cell>
          <cell r="O5199">
            <v>45181</v>
          </cell>
          <cell r="P5199">
            <v>45184</v>
          </cell>
          <cell r="Q5199">
            <v>45188</v>
          </cell>
          <cell r="R5199">
            <v>45189</v>
          </cell>
          <cell r="S5199">
            <v>45189</v>
          </cell>
          <cell r="T5199">
            <v>45189</v>
          </cell>
          <cell r="U5199">
            <v>45189</v>
          </cell>
          <cell r="V5199">
            <v>45189</v>
          </cell>
          <cell r="W5199">
            <v>45189</v>
          </cell>
          <cell r="X5199">
            <v>31102426</v>
          </cell>
        </row>
        <row r="5200">
          <cell r="K5200"/>
          <cell r="L5200">
            <v>45181</v>
          </cell>
          <cell r="M5200">
            <v>45181</v>
          </cell>
          <cell r="N5200">
            <v>45184</v>
          </cell>
          <cell r="O5200">
            <v>45181</v>
          </cell>
          <cell r="P5200">
            <v>45184</v>
          </cell>
          <cell r="Q5200">
            <v>45188</v>
          </cell>
          <cell r="R5200">
            <v>45189</v>
          </cell>
          <cell r="S5200">
            <v>45189</v>
          </cell>
          <cell r="T5200">
            <v>45189</v>
          </cell>
          <cell r="U5200">
            <v>45189</v>
          </cell>
          <cell r="V5200">
            <v>45189</v>
          </cell>
          <cell r="W5200">
            <v>45189</v>
          </cell>
          <cell r="X5200">
            <v>31102426</v>
          </cell>
        </row>
        <row r="5201">
          <cell r="K5201"/>
          <cell r="L5201">
            <v>45181</v>
          </cell>
          <cell r="M5201">
            <v>45181</v>
          </cell>
          <cell r="N5201">
            <v>45184</v>
          </cell>
          <cell r="O5201">
            <v>45181</v>
          </cell>
          <cell r="P5201">
            <v>45184</v>
          </cell>
          <cell r="Q5201">
            <v>45188</v>
          </cell>
          <cell r="R5201">
            <v>45189</v>
          </cell>
          <cell r="S5201">
            <v>45189</v>
          </cell>
          <cell r="T5201">
            <v>45189</v>
          </cell>
          <cell r="U5201">
            <v>45189</v>
          </cell>
          <cell r="V5201">
            <v>45189</v>
          </cell>
          <cell r="W5201">
            <v>45189</v>
          </cell>
          <cell r="X5201">
            <v>31102427</v>
          </cell>
        </row>
        <row r="5202">
          <cell r="K5202"/>
          <cell r="L5202">
            <v>45181</v>
          </cell>
          <cell r="M5202">
            <v>45181</v>
          </cell>
          <cell r="N5202">
            <v>45190</v>
          </cell>
          <cell r="O5202">
            <v>45181</v>
          </cell>
          <cell r="P5202">
            <v>45190</v>
          </cell>
          <cell r="Q5202">
            <v>45188</v>
          </cell>
          <cell r="R5202">
            <v>45189</v>
          </cell>
          <cell r="S5202">
            <v>45189</v>
          </cell>
          <cell r="T5202">
            <v>45189</v>
          </cell>
          <cell r="U5202">
            <v>45189</v>
          </cell>
          <cell r="V5202">
            <v>45189</v>
          </cell>
          <cell r="W5202">
            <v>45189</v>
          </cell>
          <cell r="X5202">
            <v>31102429</v>
          </cell>
        </row>
        <row r="5203">
          <cell r="K5203"/>
          <cell r="L5203">
            <v>45181</v>
          </cell>
          <cell r="M5203">
            <v>45181</v>
          </cell>
          <cell r="N5203">
            <v>45190</v>
          </cell>
          <cell r="O5203">
            <v>45181</v>
          </cell>
          <cell r="P5203">
            <v>45190</v>
          </cell>
          <cell r="Q5203">
            <v>45188</v>
          </cell>
          <cell r="R5203">
            <v>45189</v>
          </cell>
          <cell r="S5203">
            <v>45189</v>
          </cell>
          <cell r="T5203">
            <v>45189</v>
          </cell>
          <cell r="U5203">
            <v>45189</v>
          </cell>
          <cell r="V5203">
            <v>45189</v>
          </cell>
          <cell r="W5203">
            <v>45189</v>
          </cell>
          <cell r="X5203">
            <v>31102429</v>
          </cell>
        </row>
        <row r="5204">
          <cell r="K5204"/>
          <cell r="L5204">
            <v>45181</v>
          </cell>
          <cell r="M5204">
            <v>45181</v>
          </cell>
          <cell r="N5204">
            <v>45184</v>
          </cell>
          <cell r="O5204">
            <v>45181</v>
          </cell>
          <cell r="P5204">
            <v>45184</v>
          </cell>
          <cell r="Q5204">
            <v>45188</v>
          </cell>
          <cell r="R5204">
            <v>45189</v>
          </cell>
          <cell r="S5204">
            <v>45189</v>
          </cell>
          <cell r="T5204">
            <v>45189</v>
          </cell>
          <cell r="U5204">
            <v>45189</v>
          </cell>
          <cell r="V5204">
            <v>45189</v>
          </cell>
          <cell r="W5204">
            <v>45189</v>
          </cell>
          <cell r="X5204">
            <v>31102430</v>
          </cell>
        </row>
        <row r="5205">
          <cell r="K5205" t="str">
            <v>GBWS-3869</v>
          </cell>
          <cell r="L5205">
            <v>45243</v>
          </cell>
          <cell r="M5205">
            <v>45244</v>
          </cell>
          <cell r="N5205">
            <v>45250</v>
          </cell>
          <cell r="O5205">
            <v>45244</v>
          </cell>
          <cell r="P5205">
            <v>45250</v>
          </cell>
          <cell r="Q5205" t="str">
            <v>2023-11-21 → 11/20</v>
          </cell>
          <cell r="R5205" t="str">
            <v>2023-11-22 → 11/20</v>
          </cell>
          <cell r="S5205">
            <v>45251</v>
          </cell>
          <cell r="T5205">
            <v>45251</v>
          </cell>
          <cell r="U5205">
            <v>45253</v>
          </cell>
          <cell r="V5205">
            <v>45254</v>
          </cell>
          <cell r="W5205">
            <v>45254</v>
          </cell>
          <cell r="X5205">
            <v>41100356</v>
          </cell>
        </row>
        <row r="5206">
          <cell r="K5206" t="str">
            <v>DBW-3113</v>
          </cell>
          <cell r="L5206">
            <v>45236</v>
          </cell>
          <cell r="M5206">
            <v>45237</v>
          </cell>
          <cell r="N5206">
            <v>45245</v>
          </cell>
          <cell r="O5206">
            <v>45237</v>
          </cell>
          <cell r="P5206">
            <v>45245</v>
          </cell>
          <cell r="Q5206">
            <v>45245</v>
          </cell>
          <cell r="R5206">
            <v>45246</v>
          </cell>
          <cell r="S5206">
            <v>45247</v>
          </cell>
          <cell r="T5206">
            <v>45247</v>
          </cell>
          <cell r="U5206">
            <v>45252</v>
          </cell>
          <cell r="V5206">
            <v>45253</v>
          </cell>
          <cell r="W5206">
            <v>45253</v>
          </cell>
          <cell r="X5206">
            <v>41000514</v>
          </cell>
        </row>
        <row r="5207">
          <cell r="K5207" t="str">
            <v>DBW-3114</v>
          </cell>
          <cell r="L5207">
            <v>45236</v>
          </cell>
          <cell r="M5207">
            <v>45237</v>
          </cell>
          <cell r="N5207">
            <v>45245</v>
          </cell>
          <cell r="O5207">
            <v>45237</v>
          </cell>
          <cell r="P5207">
            <v>45245</v>
          </cell>
          <cell r="Q5207">
            <v>45245</v>
          </cell>
          <cell r="R5207">
            <v>45246</v>
          </cell>
          <cell r="S5207">
            <v>45247</v>
          </cell>
          <cell r="T5207">
            <v>45247</v>
          </cell>
          <cell r="U5207">
            <v>45253</v>
          </cell>
          <cell r="V5207">
            <v>45254</v>
          </cell>
          <cell r="W5207">
            <v>45254</v>
          </cell>
          <cell r="X5207">
            <v>41000514</v>
          </cell>
        </row>
        <row r="5208">
          <cell r="K5208" t="str">
            <v>GBWS-3846</v>
          </cell>
          <cell r="L5208">
            <v>45233</v>
          </cell>
          <cell r="M5208">
            <v>45236</v>
          </cell>
          <cell r="N5208">
            <v>45243</v>
          </cell>
          <cell r="O5208">
            <v>45236</v>
          </cell>
          <cell r="P5208">
            <v>45245</v>
          </cell>
          <cell r="Q5208">
            <v>45244</v>
          </cell>
          <cell r="R5208">
            <v>45245</v>
          </cell>
          <cell r="S5208">
            <v>45246</v>
          </cell>
          <cell r="T5208">
            <v>45246</v>
          </cell>
          <cell r="U5208">
            <v>45252</v>
          </cell>
          <cell r="V5208">
            <v>45253</v>
          </cell>
          <cell r="W5208">
            <v>45253</v>
          </cell>
          <cell r="X5208">
            <v>41100662</v>
          </cell>
        </row>
        <row r="5209">
          <cell r="K5209" t="str">
            <v>GBWS-3847</v>
          </cell>
          <cell r="L5209">
            <v>45233</v>
          </cell>
          <cell r="M5209">
            <v>45236</v>
          </cell>
          <cell r="N5209">
            <v>45243</v>
          </cell>
          <cell r="O5209">
            <v>45236</v>
          </cell>
          <cell r="P5209">
            <v>45245</v>
          </cell>
          <cell r="Q5209">
            <v>45244</v>
          </cell>
          <cell r="R5209">
            <v>45245</v>
          </cell>
          <cell r="S5209">
            <v>45246</v>
          </cell>
          <cell r="T5209">
            <v>45246</v>
          </cell>
          <cell r="U5209">
            <v>45252</v>
          </cell>
          <cell r="V5209">
            <v>45253</v>
          </cell>
          <cell r="W5209">
            <v>45253</v>
          </cell>
          <cell r="X5209">
            <v>41100662</v>
          </cell>
        </row>
        <row r="5210">
          <cell r="K5210" t="str">
            <v>GBWS-3852</v>
          </cell>
          <cell r="L5210">
            <v>45238</v>
          </cell>
          <cell r="M5210">
            <v>45239</v>
          </cell>
          <cell r="N5210">
            <v>45247</v>
          </cell>
          <cell r="O5210">
            <v>45239</v>
          </cell>
          <cell r="P5210">
            <v>45250</v>
          </cell>
          <cell r="Q5210">
            <v>45247</v>
          </cell>
          <cell r="R5210">
            <v>45250</v>
          </cell>
          <cell r="S5210">
            <v>45251</v>
          </cell>
          <cell r="T5210">
            <v>45251</v>
          </cell>
          <cell r="U5210">
            <v>45253</v>
          </cell>
          <cell r="V5210">
            <v>45254</v>
          </cell>
          <cell r="W5210">
            <v>45254</v>
          </cell>
          <cell r="X5210">
            <v>41100564</v>
          </cell>
        </row>
        <row r="5211">
          <cell r="K5211" t="str">
            <v>GBWS-3853</v>
          </cell>
          <cell r="L5211">
            <v>45238</v>
          </cell>
          <cell r="M5211">
            <v>45239</v>
          </cell>
          <cell r="N5211">
            <v>45247</v>
          </cell>
          <cell r="O5211">
            <v>45239</v>
          </cell>
          <cell r="P5211">
            <v>45250</v>
          </cell>
          <cell r="Q5211">
            <v>45247</v>
          </cell>
          <cell r="R5211">
            <v>45250</v>
          </cell>
          <cell r="S5211">
            <v>45251</v>
          </cell>
          <cell r="T5211">
            <v>45251</v>
          </cell>
          <cell r="U5211">
            <v>45253</v>
          </cell>
          <cell r="V5211">
            <v>45254</v>
          </cell>
          <cell r="W5211">
            <v>45254</v>
          </cell>
          <cell r="X5211">
            <v>41100564</v>
          </cell>
        </row>
        <row r="5212">
          <cell r="K5212" t="str">
            <v>GBWS-3854</v>
          </cell>
          <cell r="L5212">
            <v>45238</v>
          </cell>
          <cell r="M5212">
            <v>45239</v>
          </cell>
          <cell r="N5212">
            <v>45247</v>
          </cell>
          <cell r="O5212">
            <v>45239</v>
          </cell>
          <cell r="P5212">
            <v>45250</v>
          </cell>
          <cell r="Q5212">
            <v>45247</v>
          </cell>
          <cell r="R5212">
            <v>45250</v>
          </cell>
          <cell r="S5212">
            <v>45251</v>
          </cell>
          <cell r="T5212">
            <v>45251</v>
          </cell>
          <cell r="U5212">
            <v>45253</v>
          </cell>
          <cell r="V5212">
            <v>45254</v>
          </cell>
          <cell r="W5212">
            <v>45254</v>
          </cell>
          <cell r="X5212">
            <v>41100564</v>
          </cell>
        </row>
        <row r="5213">
          <cell r="K5213" t="str">
            <v>GBWS-3855</v>
          </cell>
          <cell r="L5213">
            <v>45238</v>
          </cell>
          <cell r="M5213">
            <v>45239</v>
          </cell>
          <cell r="N5213">
            <v>45247</v>
          </cell>
          <cell r="O5213">
            <v>45239</v>
          </cell>
          <cell r="P5213">
            <v>45250</v>
          </cell>
          <cell r="Q5213">
            <v>45247</v>
          </cell>
          <cell r="R5213">
            <v>45250</v>
          </cell>
          <cell r="S5213">
            <v>45251</v>
          </cell>
          <cell r="T5213">
            <v>45251</v>
          </cell>
          <cell r="U5213">
            <v>45253</v>
          </cell>
          <cell r="V5213">
            <v>45254</v>
          </cell>
          <cell r="W5213">
            <v>45254</v>
          </cell>
          <cell r="X5213">
            <v>41100564</v>
          </cell>
        </row>
        <row r="5214">
          <cell r="K5214" t="str">
            <v>GBWS-3862</v>
          </cell>
          <cell r="L5214">
            <v>45240</v>
          </cell>
          <cell r="M5214">
            <v>45243</v>
          </cell>
          <cell r="N5214">
            <v>45250</v>
          </cell>
          <cell r="O5214">
            <v>45243</v>
          </cell>
          <cell r="P5214">
            <v>45251</v>
          </cell>
          <cell r="Q5214">
            <v>45250</v>
          </cell>
          <cell r="R5214">
            <v>45251</v>
          </cell>
          <cell r="S5214">
            <v>45252</v>
          </cell>
          <cell r="T5214">
            <v>45252</v>
          </cell>
          <cell r="U5214">
            <v>45254</v>
          </cell>
          <cell r="V5214">
            <v>45257</v>
          </cell>
          <cell r="W5214">
            <v>45257</v>
          </cell>
          <cell r="X5214">
            <v>41100701</v>
          </cell>
        </row>
        <row r="5215">
          <cell r="K5215" t="str">
            <v>GBWS-3856</v>
          </cell>
          <cell r="L5215">
            <v>45239</v>
          </cell>
          <cell r="M5215">
            <v>45240</v>
          </cell>
          <cell r="N5215">
            <v>45250</v>
          </cell>
          <cell r="O5215">
            <v>45240</v>
          </cell>
          <cell r="P5215">
            <v>45251</v>
          </cell>
          <cell r="Q5215">
            <v>45250</v>
          </cell>
          <cell r="R5215">
            <v>45251</v>
          </cell>
          <cell r="S5215">
            <v>45252</v>
          </cell>
          <cell r="T5215">
            <v>45252</v>
          </cell>
          <cell r="U5215">
            <v>45254</v>
          </cell>
          <cell r="V5215">
            <v>45259</v>
          </cell>
          <cell r="W5215">
            <v>45259</v>
          </cell>
          <cell r="X5215">
            <v>41100698</v>
          </cell>
        </row>
        <row r="5216">
          <cell r="K5216" t="str">
            <v>GBWS-3857</v>
          </cell>
          <cell r="L5216">
            <v>45239</v>
          </cell>
          <cell r="M5216">
            <v>45240</v>
          </cell>
          <cell r="N5216">
            <v>45250</v>
          </cell>
          <cell r="O5216">
            <v>45240</v>
          </cell>
          <cell r="P5216">
            <v>45251</v>
          </cell>
          <cell r="Q5216">
            <v>45250</v>
          </cell>
          <cell r="R5216">
            <v>45251</v>
          </cell>
          <cell r="S5216">
            <v>45252</v>
          </cell>
          <cell r="T5216">
            <v>45252</v>
          </cell>
          <cell r="U5216">
            <v>45254</v>
          </cell>
          <cell r="V5216">
            <v>45259</v>
          </cell>
          <cell r="W5216">
            <v>45259</v>
          </cell>
          <cell r="X5216">
            <v>41100698</v>
          </cell>
        </row>
        <row r="5217">
          <cell r="K5217" t="str">
            <v>GBWS-3736</v>
          </cell>
          <cell r="L5217">
            <v>45195</v>
          </cell>
          <cell r="M5217">
            <v>45196</v>
          </cell>
          <cell r="N5217">
            <v>45211</v>
          </cell>
          <cell r="O5217">
            <v>45196</v>
          </cell>
          <cell r="P5217">
            <v>45212</v>
          </cell>
          <cell r="Q5217">
            <v>45211</v>
          </cell>
          <cell r="R5217">
            <v>45212</v>
          </cell>
          <cell r="S5217">
            <v>45215</v>
          </cell>
          <cell r="T5217">
            <v>45215</v>
          </cell>
          <cell r="U5217">
            <v>45231</v>
          </cell>
          <cell r="V5217">
            <v>45232</v>
          </cell>
          <cell r="W5217">
            <v>45232</v>
          </cell>
          <cell r="X5217">
            <v>41000530</v>
          </cell>
        </row>
        <row r="5218">
          <cell r="K5218" t="str">
            <v>GBWS-3779</v>
          </cell>
          <cell r="L5218">
            <v>45212</v>
          </cell>
          <cell r="M5218">
            <v>45215</v>
          </cell>
          <cell r="N5218">
            <v>45222</v>
          </cell>
          <cell r="O5218">
            <v>45215</v>
          </cell>
          <cell r="P5218">
            <v>45224</v>
          </cell>
          <cell r="Q5218">
            <v>45222</v>
          </cell>
          <cell r="R5218">
            <v>45223</v>
          </cell>
          <cell r="S5218">
            <v>45225</v>
          </cell>
          <cell r="T5218">
            <v>45225</v>
          </cell>
          <cell r="U5218">
            <v>45257</v>
          </cell>
          <cell r="V5218">
            <v>45258</v>
          </cell>
          <cell r="W5218">
            <v>45258</v>
          </cell>
          <cell r="X5218">
            <v>41000530</v>
          </cell>
        </row>
        <row r="5219">
          <cell r="K5219" t="str">
            <v>GBWS-3858</v>
          </cell>
          <cell r="L5219">
            <v>45239</v>
          </cell>
          <cell r="M5219">
            <v>45240</v>
          </cell>
          <cell r="N5219">
            <v>45247</v>
          </cell>
          <cell r="O5219">
            <v>45240</v>
          </cell>
          <cell r="P5219">
            <v>45250</v>
          </cell>
          <cell r="Q5219">
            <v>45247</v>
          </cell>
          <cell r="R5219">
            <v>45250</v>
          </cell>
          <cell r="S5219">
            <v>45251</v>
          </cell>
          <cell r="T5219">
            <v>45251</v>
          </cell>
          <cell r="U5219">
            <v>45254</v>
          </cell>
          <cell r="V5219">
            <v>45257</v>
          </cell>
          <cell r="W5219">
            <v>45257</v>
          </cell>
          <cell r="X5219">
            <v>41100408</v>
          </cell>
        </row>
        <row r="5220">
          <cell r="K5220" t="str">
            <v>GBWS-3867</v>
          </cell>
          <cell r="L5220">
            <v>45243</v>
          </cell>
          <cell r="M5220">
            <v>45244</v>
          </cell>
          <cell r="N5220">
            <v>45251</v>
          </cell>
          <cell r="O5220">
            <v>45244</v>
          </cell>
          <cell r="P5220">
            <v>45251</v>
          </cell>
          <cell r="Q5220">
            <v>45251</v>
          </cell>
          <cell r="R5220">
            <v>45252</v>
          </cell>
          <cell r="S5220">
            <v>45253</v>
          </cell>
          <cell r="T5220">
            <v>45253</v>
          </cell>
          <cell r="U5220">
            <v>45257</v>
          </cell>
          <cell r="V5220">
            <v>45258</v>
          </cell>
          <cell r="W5220">
            <v>45258</v>
          </cell>
          <cell r="X5220">
            <v>41100611</v>
          </cell>
        </row>
        <row r="5221">
          <cell r="K5221" t="str">
            <v>GBWS-3868</v>
          </cell>
          <cell r="L5221">
            <v>45243</v>
          </cell>
          <cell r="M5221">
            <v>45244</v>
          </cell>
          <cell r="N5221">
            <v>45251</v>
          </cell>
          <cell r="O5221">
            <v>45244</v>
          </cell>
          <cell r="P5221">
            <v>45251</v>
          </cell>
          <cell r="Q5221">
            <v>45251</v>
          </cell>
          <cell r="R5221">
            <v>45252</v>
          </cell>
          <cell r="S5221">
            <v>45253</v>
          </cell>
          <cell r="T5221">
            <v>45253</v>
          </cell>
          <cell r="U5221">
            <v>45257</v>
          </cell>
          <cell r="V5221">
            <v>45258</v>
          </cell>
          <cell r="W5221">
            <v>45258</v>
          </cell>
          <cell r="X5221">
            <v>41100611</v>
          </cell>
        </row>
        <row r="5222">
          <cell r="K5222" t="str">
            <v>SOS-0310</v>
          </cell>
          <cell r="L5222">
            <v>45240</v>
          </cell>
          <cell r="M5222">
            <v>45243</v>
          </cell>
          <cell r="N5222">
            <v>45243</v>
          </cell>
          <cell r="O5222">
            <v>45243</v>
          </cell>
          <cell r="P5222">
            <v>45243</v>
          </cell>
          <cell r="Q5222">
            <v>45247</v>
          </cell>
          <cell r="R5222">
            <v>45250</v>
          </cell>
          <cell r="S5222">
            <v>45252</v>
          </cell>
          <cell r="T5222">
            <v>45252</v>
          </cell>
          <cell r="U5222">
            <v>45260</v>
          </cell>
          <cell r="V5222">
            <v>45260</v>
          </cell>
          <cell r="W5222">
            <v>45260</v>
          </cell>
          <cell r="X5222">
            <v>41100182</v>
          </cell>
        </row>
        <row r="5223">
          <cell r="K5223" t="str">
            <v>SOS-0312</v>
          </cell>
          <cell r="L5223">
            <v>45250</v>
          </cell>
          <cell r="M5223">
            <v>45251</v>
          </cell>
          <cell r="N5223">
            <v>45252</v>
          </cell>
          <cell r="O5223">
            <v>45251</v>
          </cell>
          <cell r="P5223">
            <v>45252</v>
          </cell>
          <cell r="Q5223">
            <v>45254</v>
          </cell>
          <cell r="R5223">
            <v>45257</v>
          </cell>
          <cell r="S5223">
            <v>45258</v>
          </cell>
          <cell r="T5223">
            <v>45258</v>
          </cell>
          <cell r="U5223">
            <v>45260</v>
          </cell>
          <cell r="V5223">
            <v>45260</v>
          </cell>
          <cell r="W5223">
            <v>45260</v>
          </cell>
          <cell r="X5223">
            <v>41100182</v>
          </cell>
        </row>
        <row r="5224">
          <cell r="K5224" t="str">
            <v>SOS-0313</v>
          </cell>
          <cell r="L5224">
            <v>45250</v>
          </cell>
          <cell r="M5224">
            <v>45251</v>
          </cell>
          <cell r="N5224">
            <v>45252</v>
          </cell>
          <cell r="O5224">
            <v>45251</v>
          </cell>
          <cell r="P5224">
            <v>45252</v>
          </cell>
          <cell r="Q5224">
            <v>45254</v>
          </cell>
          <cell r="R5224">
            <v>45257</v>
          </cell>
          <cell r="S5224">
            <v>45258</v>
          </cell>
          <cell r="T5224">
            <v>45258</v>
          </cell>
          <cell r="U5224">
            <v>45260</v>
          </cell>
          <cell r="V5224">
            <v>45260</v>
          </cell>
          <cell r="W5224">
            <v>45260</v>
          </cell>
          <cell r="X5224">
            <v>41100182</v>
          </cell>
        </row>
        <row r="5225">
          <cell r="K5225" t="str">
            <v>GBWS-3737</v>
          </cell>
          <cell r="L5225">
            <v>45195</v>
          </cell>
          <cell r="M5225" t="str">
            <v>2023-09-27 → 10/11</v>
          </cell>
          <cell r="N5225">
            <v>45221</v>
          </cell>
          <cell r="O5225" t="str">
            <v>2023-09-27 → 10/11</v>
          </cell>
          <cell r="P5225">
            <v>45222</v>
          </cell>
          <cell r="Q5225" t="str">
            <v>2023-10-12 → 10/22</v>
          </cell>
          <cell r="R5225" t="str">
            <v>2023-10-13 → 10/23</v>
          </cell>
          <cell r="S5225">
            <v>45223</v>
          </cell>
          <cell r="T5225">
            <v>45223</v>
          </cell>
          <cell r="U5225">
            <v>45259</v>
          </cell>
          <cell r="V5225">
            <v>45260</v>
          </cell>
          <cell r="W5225">
            <v>45260</v>
          </cell>
          <cell r="X5225" t="str">
            <v>41000530 → 41000531</v>
          </cell>
        </row>
        <row r="5226">
          <cell r="K5226" t="str">
            <v>GBWS-3738</v>
          </cell>
          <cell r="L5226">
            <v>45195</v>
          </cell>
          <cell r="M5226" t="str">
            <v>2023-09-27 → 10/11</v>
          </cell>
          <cell r="N5226">
            <v>45221</v>
          </cell>
          <cell r="O5226" t="str">
            <v>2023-09-27 → 10/11</v>
          </cell>
          <cell r="P5226">
            <v>45222</v>
          </cell>
          <cell r="Q5226" t="str">
            <v>2023-10-12 → 10/22</v>
          </cell>
          <cell r="R5226" t="str">
            <v>2023-10-13 → 10/23</v>
          </cell>
          <cell r="S5226">
            <v>45223</v>
          </cell>
          <cell r="T5226">
            <v>45223</v>
          </cell>
          <cell r="U5226">
            <v>45260</v>
          </cell>
          <cell r="V5226">
            <v>45260</v>
          </cell>
          <cell r="W5226">
            <v>45260</v>
          </cell>
          <cell r="X5226" t="str">
            <v>41000530 → 41000531</v>
          </cell>
        </row>
        <row r="5227">
          <cell r="K5227" t="str">
            <v>GBWS-3752</v>
          </cell>
          <cell r="L5227">
            <v>45205</v>
          </cell>
          <cell r="M5227">
            <v>45209</v>
          </cell>
          <cell r="N5227">
            <v>45217</v>
          </cell>
          <cell r="O5227">
            <v>45209</v>
          </cell>
          <cell r="P5227">
            <v>45217</v>
          </cell>
          <cell r="Q5227" t="str">
            <v>2023-10-18 → 10/19</v>
          </cell>
          <cell r="R5227">
            <v>45218</v>
          </cell>
          <cell r="S5227">
            <v>45219</v>
          </cell>
          <cell r="T5227">
            <v>45219</v>
          </cell>
          <cell r="U5227">
            <v>45259</v>
          </cell>
          <cell r="V5227">
            <v>45260</v>
          </cell>
          <cell r="W5227">
            <v>45260</v>
          </cell>
          <cell r="X5227">
            <v>41000531</v>
          </cell>
        </row>
        <row r="5228">
          <cell r="K5228" t="str">
            <v>GBWS-3753</v>
          </cell>
          <cell r="L5228">
            <v>45205</v>
          </cell>
          <cell r="M5228">
            <v>45209</v>
          </cell>
          <cell r="N5228">
            <v>45217</v>
          </cell>
          <cell r="O5228">
            <v>45209</v>
          </cell>
          <cell r="P5228">
            <v>45217</v>
          </cell>
          <cell r="Q5228" t="str">
            <v>2023-10-18 → 10/19</v>
          </cell>
          <cell r="R5228">
            <v>45218</v>
          </cell>
          <cell r="S5228">
            <v>45219</v>
          </cell>
          <cell r="T5228">
            <v>45219</v>
          </cell>
          <cell r="U5228">
            <v>45231</v>
          </cell>
          <cell r="V5228">
            <v>45232</v>
          </cell>
          <cell r="W5228">
            <v>45232</v>
          </cell>
          <cell r="X5228">
            <v>41000531</v>
          </cell>
        </row>
        <row r="5229">
          <cell r="K5229" t="str">
            <v>GBWS-3754</v>
          </cell>
          <cell r="L5229">
            <v>45205</v>
          </cell>
          <cell r="M5229">
            <v>45209</v>
          </cell>
          <cell r="N5229">
            <v>45218</v>
          </cell>
          <cell r="O5229">
            <v>45209</v>
          </cell>
          <cell r="P5229">
            <v>45219</v>
          </cell>
          <cell r="Q5229" t="str">
            <v>2023-10-18 → 10/19</v>
          </cell>
          <cell r="R5229" t="str">
            <v>2023-10-19 → 10/20(오전)</v>
          </cell>
          <cell r="S5229">
            <v>45219</v>
          </cell>
          <cell r="T5229">
            <v>45219</v>
          </cell>
          <cell r="U5229">
            <v>45259</v>
          </cell>
          <cell r="V5229">
            <v>45260</v>
          </cell>
          <cell r="W5229">
            <v>45260</v>
          </cell>
          <cell r="X5229">
            <v>41000531</v>
          </cell>
        </row>
        <row r="5230">
          <cell r="K5230" t="str">
            <v>GBWS-3755</v>
          </cell>
          <cell r="L5230">
            <v>45205</v>
          </cell>
          <cell r="M5230">
            <v>45209</v>
          </cell>
          <cell r="N5230">
            <v>45218</v>
          </cell>
          <cell r="O5230">
            <v>45209</v>
          </cell>
          <cell r="P5230">
            <v>45219</v>
          </cell>
          <cell r="Q5230" t="str">
            <v>2023-10-18 → 10/19</v>
          </cell>
          <cell r="R5230" t="str">
            <v>2023-10-19 → 10/20(오전)</v>
          </cell>
          <cell r="S5230">
            <v>45219</v>
          </cell>
          <cell r="T5230">
            <v>45219</v>
          </cell>
          <cell r="U5230">
            <v>45259</v>
          </cell>
          <cell r="V5230">
            <v>45260</v>
          </cell>
          <cell r="W5230">
            <v>45260</v>
          </cell>
          <cell r="X5230">
            <v>41000531</v>
          </cell>
        </row>
        <row r="5231">
          <cell r="K5231" t="str">
            <v>GBWS-3756</v>
          </cell>
          <cell r="L5231">
            <v>45205</v>
          </cell>
          <cell r="M5231">
            <v>45209</v>
          </cell>
          <cell r="N5231">
            <v>45218</v>
          </cell>
          <cell r="O5231">
            <v>45209</v>
          </cell>
          <cell r="P5231">
            <v>45219</v>
          </cell>
          <cell r="Q5231" t="str">
            <v>2023-10-18 → 10/19</v>
          </cell>
          <cell r="R5231" t="str">
            <v>2023-10-19 → 10/20(오전)</v>
          </cell>
          <cell r="S5231">
            <v>45219</v>
          </cell>
          <cell r="T5231">
            <v>45219</v>
          </cell>
          <cell r="U5231">
            <v>45226</v>
          </cell>
          <cell r="V5231">
            <v>45230</v>
          </cell>
          <cell r="W5231">
            <v>45230</v>
          </cell>
          <cell r="X5231">
            <v>41000531</v>
          </cell>
        </row>
        <row r="5232">
          <cell r="K5232" t="str">
            <v>DBW-3091</v>
          </cell>
          <cell r="L5232">
            <v>45216</v>
          </cell>
          <cell r="M5232">
            <v>45217</v>
          </cell>
          <cell r="N5232">
            <v>45224</v>
          </cell>
          <cell r="O5232">
            <v>45217</v>
          </cell>
          <cell r="P5232">
            <v>45225</v>
          </cell>
          <cell r="Q5232">
            <v>45224</v>
          </cell>
          <cell r="R5232">
            <v>45225</v>
          </cell>
          <cell r="S5232">
            <v>45226</v>
          </cell>
          <cell r="T5232">
            <v>45226</v>
          </cell>
          <cell r="U5232">
            <v>45230</v>
          </cell>
          <cell r="V5232">
            <v>45232</v>
          </cell>
          <cell r="W5232">
            <v>45232</v>
          </cell>
          <cell r="X5232">
            <v>41000533</v>
          </cell>
        </row>
        <row r="5233">
          <cell r="K5233" t="str">
            <v>GBWS-3797</v>
          </cell>
          <cell r="L5233">
            <v>45217</v>
          </cell>
          <cell r="M5233">
            <v>45218</v>
          </cell>
          <cell r="N5233">
            <v>45225</v>
          </cell>
          <cell r="O5233">
            <v>45218</v>
          </cell>
          <cell r="P5233">
            <v>45226</v>
          </cell>
          <cell r="Q5233">
            <v>45225</v>
          </cell>
          <cell r="R5233">
            <v>45226</v>
          </cell>
          <cell r="S5233">
            <v>45229</v>
          </cell>
          <cell r="T5233">
            <v>45229</v>
          </cell>
          <cell r="U5233">
            <v>45260</v>
          </cell>
          <cell r="V5233">
            <v>45260</v>
          </cell>
          <cell r="W5233">
            <v>45260</v>
          </cell>
          <cell r="X5233">
            <v>41100686</v>
          </cell>
        </row>
        <row r="5234">
          <cell r="K5234" t="str">
            <v>GBWS-3798</v>
          </cell>
          <cell r="L5234">
            <v>45217</v>
          </cell>
          <cell r="M5234">
            <v>45218</v>
          </cell>
          <cell r="N5234">
            <v>45225</v>
          </cell>
          <cell r="O5234">
            <v>45218</v>
          </cell>
          <cell r="P5234">
            <v>45226</v>
          </cell>
          <cell r="Q5234">
            <v>45225</v>
          </cell>
          <cell r="R5234">
            <v>45226</v>
          </cell>
          <cell r="S5234">
            <v>45229</v>
          </cell>
          <cell r="T5234">
            <v>45229</v>
          </cell>
          <cell r="U5234">
            <v>45250</v>
          </cell>
          <cell r="V5234">
            <v>45260</v>
          </cell>
          <cell r="W5234">
            <v>45260</v>
          </cell>
          <cell r="X5234">
            <v>41100686</v>
          </cell>
        </row>
        <row r="5235">
          <cell r="K5235" t="str">
            <v>GBWS-3876</v>
          </cell>
          <cell r="L5235">
            <v>45244</v>
          </cell>
          <cell r="M5235">
            <v>45245</v>
          </cell>
          <cell r="N5235">
            <v>45253</v>
          </cell>
          <cell r="O5235">
            <v>45245</v>
          </cell>
          <cell r="P5235">
            <v>45253</v>
          </cell>
          <cell r="Q5235">
            <v>45253</v>
          </cell>
          <cell r="R5235">
            <v>45254</v>
          </cell>
          <cell r="S5235">
            <v>45257</v>
          </cell>
          <cell r="T5235">
            <v>45257</v>
          </cell>
          <cell r="U5235">
            <v>45261</v>
          </cell>
          <cell r="V5235">
            <v>45264</v>
          </cell>
          <cell r="W5235">
            <v>45264</v>
          </cell>
          <cell r="X5235">
            <v>41100408</v>
          </cell>
        </row>
        <row r="5236">
          <cell r="K5236" t="str">
            <v>DBW-3108</v>
          </cell>
          <cell r="L5236">
            <v>45226</v>
          </cell>
          <cell r="M5236">
            <v>45229</v>
          </cell>
          <cell r="N5236">
            <v>45238</v>
          </cell>
          <cell r="O5236">
            <v>45229</v>
          </cell>
          <cell r="P5236">
            <v>45238</v>
          </cell>
          <cell r="Q5236">
            <v>45238</v>
          </cell>
          <cell r="R5236">
            <v>45239</v>
          </cell>
          <cell r="S5236">
            <v>45240</v>
          </cell>
          <cell r="T5236">
            <v>45240</v>
          </cell>
          <cell r="U5236">
            <v>45260</v>
          </cell>
          <cell r="V5236">
            <v>45261</v>
          </cell>
          <cell r="W5236">
            <v>45261</v>
          </cell>
          <cell r="X5236">
            <v>41100696</v>
          </cell>
        </row>
        <row r="5237">
          <cell r="K5237" t="str">
            <v>GBWS-3794</v>
          </cell>
          <cell r="L5237">
            <v>45217</v>
          </cell>
          <cell r="M5237">
            <v>45218</v>
          </cell>
          <cell r="N5237">
            <v>45227</v>
          </cell>
          <cell r="O5237">
            <v>45218</v>
          </cell>
          <cell r="P5237">
            <v>45229</v>
          </cell>
          <cell r="Q5237">
            <v>45226</v>
          </cell>
          <cell r="R5237">
            <v>45229</v>
          </cell>
          <cell r="S5237">
            <v>45246</v>
          </cell>
          <cell r="T5237">
            <v>45246</v>
          </cell>
          <cell r="U5237">
            <v>45260</v>
          </cell>
          <cell r="V5237">
            <v>45261</v>
          </cell>
          <cell r="W5237">
            <v>45261</v>
          </cell>
          <cell r="X5237">
            <v>41000530</v>
          </cell>
        </row>
        <row r="5238">
          <cell r="K5238" t="str">
            <v>GBWS-3893</v>
          </cell>
          <cell r="L5238">
            <v>45250</v>
          </cell>
          <cell r="M5238">
            <v>45251</v>
          </cell>
          <cell r="N5238">
            <v>45258</v>
          </cell>
          <cell r="O5238">
            <v>45251</v>
          </cell>
          <cell r="P5238">
            <v>45259</v>
          </cell>
          <cell r="Q5238">
            <v>45258</v>
          </cell>
          <cell r="R5238">
            <v>45259</v>
          </cell>
          <cell r="S5238">
            <v>45260</v>
          </cell>
          <cell r="T5238">
            <v>45260</v>
          </cell>
          <cell r="U5238">
            <v>45264</v>
          </cell>
          <cell r="V5238">
            <v>45265</v>
          </cell>
          <cell r="W5238">
            <v>45265</v>
          </cell>
          <cell r="X5238">
            <v>41000555</v>
          </cell>
        </row>
        <row r="5239">
          <cell r="K5239" t="str">
            <v>DBW-3111</v>
          </cell>
          <cell r="L5239">
            <v>45232</v>
          </cell>
          <cell r="M5239">
            <v>45233</v>
          </cell>
          <cell r="N5239">
            <v>45239</v>
          </cell>
          <cell r="O5239">
            <v>45233</v>
          </cell>
          <cell r="P5239">
            <v>45239</v>
          </cell>
          <cell r="Q5239">
            <v>45240</v>
          </cell>
          <cell r="R5239">
            <v>45243</v>
          </cell>
          <cell r="S5239">
            <v>45244</v>
          </cell>
          <cell r="T5239">
            <v>45244</v>
          </cell>
          <cell r="U5239">
            <v>45258</v>
          </cell>
          <cell r="V5239">
            <v>45259</v>
          </cell>
          <cell r="W5239">
            <v>45259</v>
          </cell>
          <cell r="X5239">
            <v>41100668</v>
          </cell>
        </row>
        <row r="5240">
          <cell r="K5240" t="str">
            <v>DBW-3127</v>
          </cell>
          <cell r="L5240">
            <v>45243</v>
          </cell>
          <cell r="M5240">
            <v>45244</v>
          </cell>
          <cell r="N5240">
            <v>45250</v>
          </cell>
          <cell r="O5240">
            <v>45244</v>
          </cell>
          <cell r="P5240">
            <v>45251</v>
          </cell>
          <cell r="Q5240">
            <v>45251</v>
          </cell>
          <cell r="R5240">
            <v>45252</v>
          </cell>
          <cell r="S5240">
            <v>45253</v>
          </cell>
          <cell r="T5240">
            <v>45253</v>
          </cell>
          <cell r="U5240">
            <v>45258</v>
          </cell>
          <cell r="V5240">
            <v>45259</v>
          </cell>
          <cell r="W5240">
            <v>45259</v>
          </cell>
          <cell r="X5240">
            <v>41000552</v>
          </cell>
        </row>
        <row r="5241">
          <cell r="K5241" t="str">
            <v>DBW-3128</v>
          </cell>
          <cell r="L5241">
            <v>45243</v>
          </cell>
          <cell r="M5241">
            <v>45244</v>
          </cell>
          <cell r="N5241">
            <v>45250</v>
          </cell>
          <cell r="O5241">
            <v>45244</v>
          </cell>
          <cell r="P5241">
            <v>45251</v>
          </cell>
          <cell r="Q5241">
            <v>45251</v>
          </cell>
          <cell r="R5241">
            <v>45252</v>
          </cell>
          <cell r="S5241">
            <v>45253</v>
          </cell>
          <cell r="T5241">
            <v>45253</v>
          </cell>
          <cell r="U5241">
            <v>45258</v>
          </cell>
          <cell r="V5241">
            <v>45259</v>
          </cell>
          <cell r="W5241">
            <v>45259</v>
          </cell>
          <cell r="X5241">
            <v>41000552</v>
          </cell>
        </row>
        <row r="5242">
          <cell r="K5242" t="str">
            <v>GBWS-3892</v>
          </cell>
          <cell r="L5242">
            <v>45247</v>
          </cell>
          <cell r="M5242">
            <v>45250</v>
          </cell>
          <cell r="N5242">
            <v>45257</v>
          </cell>
          <cell r="O5242">
            <v>45250</v>
          </cell>
          <cell r="P5242">
            <v>45257</v>
          </cell>
          <cell r="Q5242">
            <v>45257</v>
          </cell>
          <cell r="R5242">
            <v>45258</v>
          </cell>
          <cell r="S5242">
            <v>45259</v>
          </cell>
          <cell r="T5242">
            <v>45259</v>
          </cell>
          <cell r="U5242">
            <v>45261</v>
          </cell>
          <cell r="V5242">
            <v>45264</v>
          </cell>
          <cell r="W5242">
            <v>45264</v>
          </cell>
          <cell r="X5242">
            <v>41100633</v>
          </cell>
        </row>
        <row r="5243">
          <cell r="K5243" t="str">
            <v>GBWS-3891</v>
          </cell>
          <cell r="L5243">
            <v>45246</v>
          </cell>
          <cell r="M5243">
            <v>45247</v>
          </cell>
          <cell r="N5243">
            <v>45254</v>
          </cell>
          <cell r="O5243">
            <v>45247</v>
          </cell>
          <cell r="P5243">
            <v>45257</v>
          </cell>
          <cell r="Q5243">
            <v>45257</v>
          </cell>
          <cell r="R5243">
            <v>45258</v>
          </cell>
          <cell r="S5243">
            <v>45259</v>
          </cell>
          <cell r="T5243">
            <v>45259</v>
          </cell>
          <cell r="U5243">
            <v>45261</v>
          </cell>
          <cell r="V5243">
            <v>45264</v>
          </cell>
          <cell r="W5243">
            <v>45264</v>
          </cell>
          <cell r="X5243">
            <v>41100662</v>
          </cell>
        </row>
        <row r="5244">
          <cell r="K5244" t="str">
            <v>GBWS-3888</v>
          </cell>
          <cell r="L5244">
            <v>45246</v>
          </cell>
          <cell r="M5244">
            <v>45247</v>
          </cell>
          <cell r="N5244">
            <v>45257</v>
          </cell>
          <cell r="O5244">
            <v>45247</v>
          </cell>
          <cell r="P5244">
            <v>45257</v>
          </cell>
          <cell r="Q5244">
            <v>45257</v>
          </cell>
          <cell r="R5244">
            <v>45258</v>
          </cell>
          <cell r="S5244">
            <v>45259</v>
          </cell>
          <cell r="T5244">
            <v>45259</v>
          </cell>
          <cell r="U5244">
            <v>45261</v>
          </cell>
          <cell r="V5244">
            <v>45264</v>
          </cell>
          <cell r="W5244">
            <v>45264</v>
          </cell>
          <cell r="X5244">
            <v>41100642</v>
          </cell>
        </row>
        <row r="5245">
          <cell r="K5245" t="str">
            <v>GBWS-3889</v>
          </cell>
          <cell r="L5245">
            <v>45246</v>
          </cell>
          <cell r="M5245">
            <v>45247</v>
          </cell>
          <cell r="N5245">
            <v>45257</v>
          </cell>
          <cell r="O5245">
            <v>45247</v>
          </cell>
          <cell r="P5245">
            <v>45257</v>
          </cell>
          <cell r="Q5245">
            <v>45257</v>
          </cell>
          <cell r="R5245">
            <v>45258</v>
          </cell>
          <cell r="S5245">
            <v>45259</v>
          </cell>
          <cell r="T5245">
            <v>45259</v>
          </cell>
          <cell r="U5245">
            <v>45263</v>
          </cell>
          <cell r="V5245">
            <v>45264</v>
          </cell>
          <cell r="W5245">
            <v>45264</v>
          </cell>
          <cell r="X5245">
            <v>41100642</v>
          </cell>
        </row>
        <row r="5246">
          <cell r="K5246" t="str">
            <v>GBWS-3890</v>
          </cell>
          <cell r="L5246">
            <v>45246</v>
          </cell>
          <cell r="M5246">
            <v>45247</v>
          </cell>
          <cell r="N5246">
            <v>45257</v>
          </cell>
          <cell r="O5246">
            <v>45247</v>
          </cell>
          <cell r="P5246">
            <v>45257</v>
          </cell>
          <cell r="Q5246">
            <v>45257</v>
          </cell>
          <cell r="R5246">
            <v>45258</v>
          </cell>
          <cell r="S5246">
            <v>45259</v>
          </cell>
          <cell r="T5246">
            <v>45259</v>
          </cell>
          <cell r="U5246">
            <v>45264</v>
          </cell>
          <cell r="V5246">
            <v>45264</v>
          </cell>
          <cell r="W5246">
            <v>45264</v>
          </cell>
          <cell r="X5246">
            <v>41100642</v>
          </cell>
        </row>
        <row r="5247">
          <cell r="K5247" t="str">
            <v>GBWS-3885</v>
          </cell>
          <cell r="L5247">
            <v>45246</v>
          </cell>
          <cell r="M5247">
            <v>45247</v>
          </cell>
          <cell r="N5247">
            <v>45257</v>
          </cell>
          <cell r="O5247">
            <v>45247</v>
          </cell>
          <cell r="P5247">
            <v>45258</v>
          </cell>
          <cell r="Q5247">
            <v>45257</v>
          </cell>
          <cell r="R5247">
            <v>45258</v>
          </cell>
          <cell r="S5247">
            <v>45259</v>
          </cell>
          <cell r="T5247">
            <v>45259</v>
          </cell>
          <cell r="U5247">
            <v>45261</v>
          </cell>
          <cell r="V5247">
            <v>45264</v>
          </cell>
          <cell r="W5247">
            <v>45264</v>
          </cell>
          <cell r="X5247">
            <v>41100558</v>
          </cell>
        </row>
        <row r="5248">
          <cell r="K5248" t="str">
            <v>GBWS-3886</v>
          </cell>
          <cell r="L5248">
            <v>45246</v>
          </cell>
          <cell r="M5248">
            <v>45247</v>
          </cell>
          <cell r="N5248">
            <v>45257</v>
          </cell>
          <cell r="O5248">
            <v>45247</v>
          </cell>
          <cell r="P5248">
            <v>45258</v>
          </cell>
          <cell r="Q5248">
            <v>45257</v>
          </cell>
          <cell r="R5248">
            <v>45258</v>
          </cell>
          <cell r="S5248">
            <v>45261</v>
          </cell>
          <cell r="T5248">
            <v>45261</v>
          </cell>
          <cell r="U5248">
            <v>45265</v>
          </cell>
          <cell r="V5248">
            <v>45266</v>
          </cell>
          <cell r="W5248">
            <v>45266</v>
          </cell>
          <cell r="X5248">
            <v>41100559</v>
          </cell>
        </row>
        <row r="5249">
          <cell r="K5249" t="str">
            <v>GBWS-3887</v>
          </cell>
          <cell r="L5249">
            <v>45246</v>
          </cell>
          <cell r="M5249">
            <v>45247</v>
          </cell>
          <cell r="N5249">
            <v>45257</v>
          </cell>
          <cell r="O5249">
            <v>45247</v>
          </cell>
          <cell r="P5249">
            <v>45258</v>
          </cell>
          <cell r="Q5249">
            <v>45257</v>
          </cell>
          <cell r="R5249">
            <v>45258</v>
          </cell>
          <cell r="S5249">
            <v>45261</v>
          </cell>
          <cell r="T5249">
            <v>45261</v>
          </cell>
          <cell r="U5249">
            <v>45265</v>
          </cell>
          <cell r="V5249">
            <v>45266</v>
          </cell>
          <cell r="W5249">
            <v>45266</v>
          </cell>
          <cell r="X5249">
            <v>41100559</v>
          </cell>
        </row>
        <row r="5250">
          <cell r="K5250" t="str">
            <v>IVAS-240</v>
          </cell>
          <cell r="L5250">
            <v>45238</v>
          </cell>
          <cell r="M5250" t="str">
            <v>2023-11-09 → 11/16</v>
          </cell>
          <cell r="N5250">
            <v>45257</v>
          </cell>
          <cell r="O5250" t="str">
            <v>2023-11-09 → 11/16</v>
          </cell>
          <cell r="P5250">
            <v>45258</v>
          </cell>
          <cell r="Q5250" t="str">
            <v>2023-11-17 → 11/28</v>
          </cell>
          <cell r="R5250" t="str">
            <v>2023-11-20 → 11/28</v>
          </cell>
          <cell r="S5250">
            <v>45259</v>
          </cell>
          <cell r="T5250">
            <v>45259</v>
          </cell>
          <cell r="U5250">
            <v>45266</v>
          </cell>
          <cell r="V5250">
            <v>45267</v>
          </cell>
          <cell r="W5250">
            <v>45267</v>
          </cell>
          <cell r="X5250">
            <v>41000540</v>
          </cell>
        </row>
        <row r="5251">
          <cell r="K5251"/>
          <cell r="L5251">
            <v>45251</v>
          </cell>
          <cell r="M5251">
            <v>45252</v>
          </cell>
          <cell r="N5251">
            <v>45264</v>
          </cell>
          <cell r="O5251">
            <v>45252</v>
          </cell>
          <cell r="P5251">
            <v>45264</v>
          </cell>
          <cell r="Q5251">
            <v>45261</v>
          </cell>
          <cell r="R5251">
            <v>45264</v>
          </cell>
          <cell r="S5251">
            <v>45267</v>
          </cell>
          <cell r="T5251">
            <v>45267</v>
          </cell>
          <cell r="U5251">
            <v>45267</v>
          </cell>
          <cell r="V5251">
            <v>45267</v>
          </cell>
          <cell r="W5251">
            <v>45267</v>
          </cell>
          <cell r="X5251">
            <v>31102289</v>
          </cell>
        </row>
        <row r="5252">
          <cell r="K5252" t="str">
            <v>GBWS-3877</v>
          </cell>
          <cell r="L5252">
            <v>45245</v>
          </cell>
          <cell r="M5252">
            <v>45246</v>
          </cell>
          <cell r="N5252">
            <v>45257</v>
          </cell>
          <cell r="O5252">
            <v>45246</v>
          </cell>
          <cell r="P5252">
            <v>45257</v>
          </cell>
          <cell r="Q5252">
            <v>45257</v>
          </cell>
          <cell r="R5252">
            <v>45258</v>
          </cell>
          <cell r="S5252">
            <v>45260</v>
          </cell>
          <cell r="T5252">
            <v>45260</v>
          </cell>
          <cell r="U5252">
            <v>45267</v>
          </cell>
          <cell r="V5252">
            <v>45268</v>
          </cell>
          <cell r="W5252">
            <v>45268</v>
          </cell>
          <cell r="X5252">
            <v>41100564</v>
          </cell>
        </row>
        <row r="5253">
          <cell r="K5253" t="str">
            <v>GBWS-3878</v>
          </cell>
          <cell r="L5253">
            <v>45245</v>
          </cell>
          <cell r="M5253">
            <v>45246</v>
          </cell>
          <cell r="N5253">
            <v>45257</v>
          </cell>
          <cell r="O5253">
            <v>45246</v>
          </cell>
          <cell r="P5253">
            <v>45257</v>
          </cell>
          <cell r="Q5253">
            <v>45257</v>
          </cell>
          <cell r="R5253">
            <v>45258</v>
          </cell>
          <cell r="S5253">
            <v>45260</v>
          </cell>
          <cell r="T5253">
            <v>45260</v>
          </cell>
          <cell r="U5253">
            <v>45264</v>
          </cell>
          <cell r="V5253">
            <v>45265</v>
          </cell>
          <cell r="W5253">
            <v>45265</v>
          </cell>
          <cell r="X5253">
            <v>41100564</v>
          </cell>
        </row>
        <row r="5254">
          <cell r="K5254" t="str">
            <v>GBWS-3879</v>
          </cell>
          <cell r="L5254">
            <v>45245</v>
          </cell>
          <cell r="M5254">
            <v>45246</v>
          </cell>
          <cell r="N5254">
            <v>45257</v>
          </cell>
          <cell r="O5254">
            <v>45246</v>
          </cell>
          <cell r="P5254">
            <v>45257</v>
          </cell>
          <cell r="Q5254">
            <v>45257</v>
          </cell>
          <cell r="R5254">
            <v>45258</v>
          </cell>
          <cell r="S5254">
            <v>45260</v>
          </cell>
          <cell r="T5254">
            <v>45260</v>
          </cell>
          <cell r="U5254">
            <v>45267</v>
          </cell>
          <cell r="V5254">
            <v>45268</v>
          </cell>
          <cell r="W5254">
            <v>45268</v>
          </cell>
          <cell r="X5254">
            <v>41100564</v>
          </cell>
        </row>
        <row r="5255">
          <cell r="K5255" t="str">
            <v>GBWS-3880</v>
          </cell>
          <cell r="L5255">
            <v>45245</v>
          </cell>
          <cell r="M5255">
            <v>45246</v>
          </cell>
          <cell r="N5255">
            <v>45257</v>
          </cell>
          <cell r="O5255">
            <v>45246</v>
          </cell>
          <cell r="P5255">
            <v>45257</v>
          </cell>
          <cell r="Q5255">
            <v>45257</v>
          </cell>
          <cell r="R5255">
            <v>45258</v>
          </cell>
          <cell r="S5255">
            <v>45260</v>
          </cell>
          <cell r="T5255">
            <v>45260</v>
          </cell>
          <cell r="U5255">
            <v>45267</v>
          </cell>
          <cell r="V5255">
            <v>45268</v>
          </cell>
          <cell r="W5255">
            <v>45268</v>
          </cell>
          <cell r="X5255">
            <v>41100564</v>
          </cell>
        </row>
        <row r="5256">
          <cell r="K5256" t="str">
            <v>GBWS-3881</v>
          </cell>
          <cell r="L5256">
            <v>45245</v>
          </cell>
          <cell r="M5256">
            <v>45246</v>
          </cell>
          <cell r="N5256">
            <v>45257</v>
          </cell>
          <cell r="O5256">
            <v>45246</v>
          </cell>
          <cell r="P5256">
            <v>45257</v>
          </cell>
          <cell r="Q5256">
            <v>45257</v>
          </cell>
          <cell r="R5256">
            <v>45258</v>
          </cell>
          <cell r="S5256">
            <v>45260</v>
          </cell>
          <cell r="T5256">
            <v>45260</v>
          </cell>
          <cell r="U5256">
            <v>45265</v>
          </cell>
          <cell r="V5256">
            <v>45266</v>
          </cell>
          <cell r="W5256">
            <v>45266</v>
          </cell>
          <cell r="X5256">
            <v>41100564</v>
          </cell>
        </row>
        <row r="5257">
          <cell r="K5257" t="str">
            <v>GBWS-3882</v>
          </cell>
          <cell r="L5257">
            <v>45245</v>
          </cell>
          <cell r="M5257">
            <v>45246</v>
          </cell>
          <cell r="N5257">
            <v>45257</v>
          </cell>
          <cell r="O5257">
            <v>45246</v>
          </cell>
          <cell r="P5257">
            <v>45257</v>
          </cell>
          <cell r="Q5257">
            <v>45257</v>
          </cell>
          <cell r="R5257">
            <v>45258</v>
          </cell>
          <cell r="S5257">
            <v>45260</v>
          </cell>
          <cell r="T5257">
            <v>45260</v>
          </cell>
          <cell r="U5257">
            <v>45267</v>
          </cell>
          <cell r="V5257">
            <v>45267</v>
          </cell>
          <cell r="W5257">
            <v>45267</v>
          </cell>
          <cell r="X5257">
            <v>41100564</v>
          </cell>
        </row>
        <row r="5258">
          <cell r="K5258" t="str">
            <v>GBWS-3859</v>
          </cell>
          <cell r="L5258">
            <v>45240</v>
          </cell>
          <cell r="M5258">
            <v>45243</v>
          </cell>
          <cell r="N5258">
            <v>45251</v>
          </cell>
          <cell r="O5258">
            <v>45243</v>
          </cell>
          <cell r="P5258">
            <v>45252</v>
          </cell>
          <cell r="Q5258" t="str">
            <v>2023-11-22 → 11/27</v>
          </cell>
          <cell r="R5258" t="str">
            <v>2023-11-23 → 11/27</v>
          </cell>
          <cell r="S5258">
            <v>45258</v>
          </cell>
          <cell r="T5258">
            <v>45258</v>
          </cell>
          <cell r="U5258">
            <v>45260</v>
          </cell>
          <cell r="V5258">
            <v>45261</v>
          </cell>
          <cell r="W5258">
            <v>45261</v>
          </cell>
          <cell r="X5258">
            <v>41100662</v>
          </cell>
        </row>
        <row r="5259">
          <cell r="K5259" t="str">
            <v>GBWS-3860</v>
          </cell>
          <cell r="L5259">
            <v>45240</v>
          </cell>
          <cell r="M5259">
            <v>45243</v>
          </cell>
          <cell r="N5259">
            <v>45251</v>
          </cell>
          <cell r="O5259">
            <v>45243</v>
          </cell>
          <cell r="P5259">
            <v>45252</v>
          </cell>
          <cell r="Q5259" t="str">
            <v>2023-11-22 → 11/27</v>
          </cell>
          <cell r="R5259" t="str">
            <v>2023-11-23 → 11/27</v>
          </cell>
          <cell r="S5259">
            <v>45258</v>
          </cell>
          <cell r="T5259">
            <v>45258</v>
          </cell>
          <cell r="U5259">
            <v>45266</v>
          </cell>
          <cell r="V5259">
            <v>45267</v>
          </cell>
          <cell r="W5259">
            <v>45267</v>
          </cell>
          <cell r="X5259">
            <v>41100662</v>
          </cell>
        </row>
        <row r="5260">
          <cell r="K5260" t="str">
            <v>GBWS-3861</v>
          </cell>
          <cell r="L5260">
            <v>45240</v>
          </cell>
          <cell r="M5260">
            <v>45243</v>
          </cell>
          <cell r="N5260">
            <v>45251</v>
          </cell>
          <cell r="O5260">
            <v>45243</v>
          </cell>
          <cell r="P5260">
            <v>45252</v>
          </cell>
          <cell r="Q5260" t="str">
            <v>2023-11-22 → 11/27</v>
          </cell>
          <cell r="R5260" t="str">
            <v>2023-11-23 → 11/27</v>
          </cell>
          <cell r="S5260">
            <v>45258</v>
          </cell>
          <cell r="T5260">
            <v>45258</v>
          </cell>
          <cell r="U5260">
            <v>45266</v>
          </cell>
          <cell r="V5260">
            <v>45267</v>
          </cell>
          <cell r="W5260">
            <v>45267</v>
          </cell>
          <cell r="X5260">
            <v>41100662</v>
          </cell>
        </row>
        <row r="5261">
          <cell r="K5261" t="str">
            <v>GBWS-3897</v>
          </cell>
          <cell r="L5261">
            <v>45251</v>
          </cell>
          <cell r="M5261">
            <v>45252</v>
          </cell>
          <cell r="N5261">
            <v>45259</v>
          </cell>
          <cell r="O5261">
            <v>45252</v>
          </cell>
          <cell r="P5261">
            <v>45259</v>
          </cell>
          <cell r="Q5261">
            <v>45259</v>
          </cell>
          <cell r="R5261">
            <v>45260</v>
          </cell>
          <cell r="S5261">
            <v>45261</v>
          </cell>
          <cell r="T5261">
            <v>45261</v>
          </cell>
          <cell r="U5261">
            <v>45266</v>
          </cell>
          <cell r="V5261">
            <v>45266</v>
          </cell>
          <cell r="W5261">
            <v>45266</v>
          </cell>
          <cell r="X5261">
            <v>41100662</v>
          </cell>
        </row>
        <row r="5262">
          <cell r="K5262" t="str">
            <v>GBWS-3898</v>
          </cell>
          <cell r="L5262">
            <v>45251</v>
          </cell>
          <cell r="M5262">
            <v>45252</v>
          </cell>
          <cell r="N5262">
            <v>45259</v>
          </cell>
          <cell r="O5262">
            <v>45252</v>
          </cell>
          <cell r="P5262">
            <v>45259</v>
          </cell>
          <cell r="Q5262">
            <v>45259</v>
          </cell>
          <cell r="R5262">
            <v>45260</v>
          </cell>
          <cell r="S5262">
            <v>45261</v>
          </cell>
          <cell r="T5262">
            <v>45261</v>
          </cell>
          <cell r="U5262">
            <v>45267</v>
          </cell>
          <cell r="V5262">
            <v>45268</v>
          </cell>
          <cell r="W5262">
            <v>45268</v>
          </cell>
          <cell r="X5262">
            <v>41100662</v>
          </cell>
        </row>
        <row r="5263">
          <cell r="K5263" t="str">
            <v>GBWS-3904</v>
          </cell>
          <cell r="L5263">
            <v>45252</v>
          </cell>
          <cell r="M5263">
            <v>45253</v>
          </cell>
          <cell r="N5263">
            <v>45259</v>
          </cell>
          <cell r="O5263">
            <v>45253</v>
          </cell>
          <cell r="P5263">
            <v>45261</v>
          </cell>
          <cell r="Q5263">
            <v>45260</v>
          </cell>
          <cell r="R5263">
            <v>45261</v>
          </cell>
          <cell r="S5263">
            <v>45264</v>
          </cell>
          <cell r="T5263">
            <v>45264</v>
          </cell>
          <cell r="U5263">
            <v>45266</v>
          </cell>
          <cell r="V5263">
            <v>45266</v>
          </cell>
          <cell r="W5263">
            <v>45266</v>
          </cell>
          <cell r="X5263">
            <v>41100698</v>
          </cell>
        </row>
        <row r="5264">
          <cell r="K5264" t="str">
            <v>GBWS-3905</v>
          </cell>
          <cell r="L5264">
            <v>45252</v>
          </cell>
          <cell r="M5264">
            <v>45253</v>
          </cell>
          <cell r="N5264">
            <v>45259</v>
          </cell>
          <cell r="O5264">
            <v>45253</v>
          </cell>
          <cell r="P5264">
            <v>45261</v>
          </cell>
          <cell r="Q5264">
            <v>45260</v>
          </cell>
          <cell r="R5264">
            <v>45261</v>
          </cell>
          <cell r="S5264">
            <v>45264</v>
          </cell>
          <cell r="T5264">
            <v>45264</v>
          </cell>
          <cell r="U5264">
            <v>45267</v>
          </cell>
          <cell r="V5264">
            <v>45268</v>
          </cell>
          <cell r="W5264">
            <v>45268</v>
          </cell>
          <cell r="X5264">
            <v>41100698</v>
          </cell>
        </row>
        <row r="5265">
          <cell r="K5265" t="str">
            <v>GBWS-3899</v>
          </cell>
          <cell r="L5265">
            <v>45251</v>
          </cell>
          <cell r="M5265">
            <v>45252</v>
          </cell>
          <cell r="N5265">
            <v>45258</v>
          </cell>
          <cell r="O5265">
            <v>45252</v>
          </cell>
          <cell r="P5265">
            <v>45260</v>
          </cell>
          <cell r="Q5265">
            <v>45259</v>
          </cell>
          <cell r="R5265">
            <v>45260</v>
          </cell>
          <cell r="S5265">
            <v>45261</v>
          </cell>
          <cell r="T5265">
            <v>45261</v>
          </cell>
          <cell r="U5265">
            <v>45265</v>
          </cell>
          <cell r="V5265">
            <v>45266</v>
          </cell>
          <cell r="W5265">
            <v>45266</v>
          </cell>
          <cell r="X5265">
            <v>41100699</v>
          </cell>
        </row>
        <row r="5266">
          <cell r="K5266" t="str">
            <v>GBWS-3906</v>
          </cell>
          <cell r="L5266">
            <v>45252</v>
          </cell>
          <cell r="M5266">
            <v>45253</v>
          </cell>
          <cell r="N5266">
            <v>45258</v>
          </cell>
          <cell r="O5266">
            <v>45253</v>
          </cell>
          <cell r="P5266">
            <v>45260</v>
          </cell>
          <cell r="Q5266">
            <v>45259</v>
          </cell>
          <cell r="R5266">
            <v>45260</v>
          </cell>
          <cell r="S5266">
            <v>45261</v>
          </cell>
          <cell r="T5266">
            <v>45261</v>
          </cell>
          <cell r="U5266">
            <v>45267</v>
          </cell>
          <cell r="V5266">
            <v>45268</v>
          </cell>
          <cell r="W5266">
            <v>45268</v>
          </cell>
          <cell r="X5266">
            <v>41100698</v>
          </cell>
        </row>
        <row r="5267">
          <cell r="K5267" t="str">
            <v>GBWS-3863</v>
          </cell>
          <cell r="L5267">
            <v>45243</v>
          </cell>
          <cell r="M5267">
            <v>45244</v>
          </cell>
          <cell r="N5267">
            <v>45253</v>
          </cell>
          <cell r="O5267">
            <v>45244</v>
          </cell>
          <cell r="P5267">
            <v>45257</v>
          </cell>
          <cell r="Q5267" t="str">
            <v>2023-11-22 → 11/24</v>
          </cell>
          <cell r="R5267" t="str">
            <v>2023-11-23 → 11/27</v>
          </cell>
          <cell r="S5267">
            <v>45258</v>
          </cell>
          <cell r="T5267">
            <v>45258</v>
          </cell>
          <cell r="U5267">
            <v>45268</v>
          </cell>
          <cell r="V5267">
            <v>45268</v>
          </cell>
          <cell r="W5267">
            <v>45268</v>
          </cell>
          <cell r="X5267">
            <v>41100564</v>
          </cell>
        </row>
        <row r="5268">
          <cell r="K5268" t="str">
            <v>GBWS-3805</v>
          </cell>
          <cell r="L5268">
            <v>45219</v>
          </cell>
          <cell r="M5268" t="str">
            <v>2023-10-20 → 10/23</v>
          </cell>
          <cell r="N5268">
            <v>45246</v>
          </cell>
          <cell r="O5268" t="str">
            <v>2023-10-20 → 10/23</v>
          </cell>
          <cell r="P5268">
            <v>45246</v>
          </cell>
          <cell r="Q5268" t="str">
            <v>2023-10-30 → 10/31 → 11/14 → 11/16</v>
          </cell>
          <cell r="R5268" t="str">
            <v>2023-10-31 → 11/1 → 11/14 → 11/17(오전)</v>
          </cell>
          <cell r="S5268">
            <v>45247</v>
          </cell>
          <cell r="T5268">
            <v>45247</v>
          </cell>
          <cell r="U5268">
            <v>45251</v>
          </cell>
          <cell r="V5268">
            <v>45253</v>
          </cell>
          <cell r="W5268">
            <v>45253</v>
          </cell>
          <cell r="X5268">
            <v>41100550</v>
          </cell>
        </row>
        <row r="5269">
          <cell r="K5269" t="str">
            <v>GBWS-3806</v>
          </cell>
          <cell r="L5269">
            <v>45219</v>
          </cell>
          <cell r="M5269" t="str">
            <v>2023-10-20 → 10/23</v>
          </cell>
          <cell r="N5269">
            <v>45246</v>
          </cell>
          <cell r="O5269" t="str">
            <v>2023-10-20 → 10/23</v>
          </cell>
          <cell r="P5269">
            <v>45246</v>
          </cell>
          <cell r="Q5269" t="str">
            <v>2023-10-30 → 10/31 → 11/14 → 11/16</v>
          </cell>
          <cell r="R5269" t="str">
            <v>2023-10-31 → 11/1 → 11/14 → 11/17(오전)</v>
          </cell>
          <cell r="S5269">
            <v>45247</v>
          </cell>
          <cell r="T5269">
            <v>45247</v>
          </cell>
          <cell r="U5269">
            <v>45251</v>
          </cell>
          <cell r="V5269">
            <v>45253</v>
          </cell>
          <cell r="W5269">
            <v>45253</v>
          </cell>
          <cell r="X5269">
            <v>41100550</v>
          </cell>
        </row>
        <row r="5270">
          <cell r="K5270" t="str">
            <v>SOS-0311</v>
          </cell>
          <cell r="L5270">
            <v>45240</v>
          </cell>
          <cell r="M5270">
            <v>45243</v>
          </cell>
          <cell r="N5270">
            <v>45243</v>
          </cell>
          <cell r="O5270">
            <v>45243</v>
          </cell>
          <cell r="P5270">
            <v>45243</v>
          </cell>
          <cell r="Q5270">
            <v>45247</v>
          </cell>
          <cell r="R5270">
            <v>45250</v>
          </cell>
          <cell r="S5270">
            <v>45252</v>
          </cell>
          <cell r="T5270">
            <v>45252</v>
          </cell>
          <cell r="U5270">
            <v>45260</v>
          </cell>
          <cell r="V5270">
            <v>45260</v>
          </cell>
          <cell r="W5270">
            <v>45260</v>
          </cell>
          <cell r="X5270">
            <v>41100182</v>
          </cell>
        </row>
        <row r="5271">
          <cell r="K5271" t="str">
            <v>GBWS-3864</v>
          </cell>
          <cell r="L5271">
            <v>45243</v>
          </cell>
          <cell r="M5271">
            <v>45244</v>
          </cell>
          <cell r="N5271">
            <v>45252</v>
          </cell>
          <cell r="O5271">
            <v>45244</v>
          </cell>
          <cell r="P5271">
            <v>45253</v>
          </cell>
          <cell r="Q5271">
            <v>45252</v>
          </cell>
          <cell r="R5271">
            <v>45253</v>
          </cell>
          <cell r="S5271">
            <v>45254</v>
          </cell>
          <cell r="T5271">
            <v>45254</v>
          </cell>
          <cell r="U5271">
            <v>45266</v>
          </cell>
          <cell r="V5271">
            <v>45267</v>
          </cell>
          <cell r="W5271">
            <v>45267</v>
          </cell>
          <cell r="X5271">
            <v>41100286</v>
          </cell>
        </row>
        <row r="5272">
          <cell r="K5272" t="str">
            <v>GBWS-3907</v>
          </cell>
          <cell r="L5272">
            <v>45252</v>
          </cell>
          <cell r="M5272">
            <v>45253</v>
          </cell>
          <cell r="N5272">
            <v>45261</v>
          </cell>
          <cell r="O5272">
            <v>45253</v>
          </cell>
          <cell r="P5272">
            <v>45260</v>
          </cell>
          <cell r="Q5272">
            <v>45261</v>
          </cell>
          <cell r="R5272">
            <v>45264</v>
          </cell>
          <cell r="S5272">
            <v>45265</v>
          </cell>
          <cell r="T5272">
            <v>45265</v>
          </cell>
          <cell r="U5272">
            <v>45268</v>
          </cell>
          <cell r="V5272">
            <v>45271</v>
          </cell>
          <cell r="W5272">
            <v>45271</v>
          </cell>
          <cell r="X5272">
            <v>41100286</v>
          </cell>
        </row>
        <row r="5273">
          <cell r="K5273" t="str">
            <v>GBWS-3849</v>
          </cell>
          <cell r="L5273">
            <v>45238</v>
          </cell>
          <cell r="M5273">
            <v>45239</v>
          </cell>
          <cell r="N5273">
            <v>45246</v>
          </cell>
          <cell r="O5273">
            <v>45239</v>
          </cell>
          <cell r="P5273">
            <v>45245</v>
          </cell>
          <cell r="Q5273" t="str">
            <v>2023-11-16 → 11/17</v>
          </cell>
          <cell r="R5273">
            <v>45247</v>
          </cell>
          <cell r="S5273">
            <v>45250</v>
          </cell>
          <cell r="T5273">
            <v>45250</v>
          </cell>
          <cell r="U5273">
            <v>45252</v>
          </cell>
          <cell r="V5273">
            <v>45259</v>
          </cell>
          <cell r="W5273">
            <v>45259</v>
          </cell>
          <cell r="X5273">
            <v>41100356</v>
          </cell>
        </row>
        <row r="5274">
          <cell r="K5274" t="str">
            <v>GBWS-3894</v>
          </cell>
          <cell r="L5274">
            <v>45251</v>
          </cell>
          <cell r="M5274">
            <v>45252</v>
          </cell>
          <cell r="N5274">
            <v>45259</v>
          </cell>
          <cell r="O5274">
            <v>45252</v>
          </cell>
          <cell r="P5274">
            <v>45261</v>
          </cell>
          <cell r="Q5274">
            <v>45260</v>
          </cell>
          <cell r="R5274">
            <v>45261</v>
          </cell>
          <cell r="S5274">
            <v>45264</v>
          </cell>
          <cell r="T5274">
            <v>45264</v>
          </cell>
          <cell r="U5274">
            <v>45271</v>
          </cell>
          <cell r="V5274">
            <v>45271</v>
          </cell>
          <cell r="W5274">
            <v>45271</v>
          </cell>
          <cell r="X5274">
            <v>41100560</v>
          </cell>
        </row>
        <row r="5275">
          <cell r="K5275" t="str">
            <v>GBWS-3883</v>
          </cell>
          <cell r="L5275">
            <v>45246</v>
          </cell>
          <cell r="M5275">
            <v>45247</v>
          </cell>
          <cell r="N5275">
            <v>45257</v>
          </cell>
          <cell r="O5275">
            <v>45247</v>
          </cell>
          <cell r="P5275">
            <v>45258</v>
          </cell>
          <cell r="Q5275">
            <v>45257</v>
          </cell>
          <cell r="R5275">
            <v>45258</v>
          </cell>
          <cell r="S5275">
            <v>45264</v>
          </cell>
          <cell r="T5275">
            <v>45264</v>
          </cell>
          <cell r="U5275">
            <v>45271</v>
          </cell>
          <cell r="V5275">
            <v>45272</v>
          </cell>
          <cell r="W5275">
            <v>45272</v>
          </cell>
          <cell r="X5275">
            <v>41100558</v>
          </cell>
        </row>
        <row r="5276">
          <cell r="K5276" t="str">
            <v>GBWS-3884</v>
          </cell>
          <cell r="L5276">
            <v>45246</v>
          </cell>
          <cell r="M5276">
            <v>45247</v>
          </cell>
          <cell r="N5276">
            <v>45257</v>
          </cell>
          <cell r="O5276">
            <v>45247</v>
          </cell>
          <cell r="P5276">
            <v>45258</v>
          </cell>
          <cell r="Q5276">
            <v>45257</v>
          </cell>
          <cell r="R5276">
            <v>45258</v>
          </cell>
          <cell r="S5276">
            <v>45264</v>
          </cell>
          <cell r="T5276">
            <v>45264</v>
          </cell>
          <cell r="U5276">
            <v>45271</v>
          </cell>
          <cell r="V5276">
            <v>45272</v>
          </cell>
          <cell r="W5276">
            <v>45272</v>
          </cell>
          <cell r="X5276">
            <v>41100558</v>
          </cell>
        </row>
        <row r="5277">
          <cell r="K5277" t="str">
            <v>GBWS-3911</v>
          </cell>
          <cell r="L5277">
            <v>45253</v>
          </cell>
          <cell r="M5277">
            <v>45257</v>
          </cell>
          <cell r="N5277">
            <v>45261</v>
          </cell>
          <cell r="O5277">
            <v>45257</v>
          </cell>
          <cell r="P5277">
            <v>45264</v>
          </cell>
          <cell r="Q5277">
            <v>45261</v>
          </cell>
          <cell r="R5277">
            <v>45264</v>
          </cell>
          <cell r="S5277">
            <v>45265</v>
          </cell>
          <cell r="T5277">
            <v>45265</v>
          </cell>
          <cell r="U5277">
            <v>45271</v>
          </cell>
          <cell r="V5277">
            <v>45272</v>
          </cell>
          <cell r="W5277">
            <v>45272</v>
          </cell>
          <cell r="X5277">
            <v>41100559</v>
          </cell>
        </row>
        <row r="5278">
          <cell r="K5278" t="str">
            <v>GBWS-3902</v>
          </cell>
          <cell r="L5278">
            <v>45252</v>
          </cell>
          <cell r="M5278">
            <v>45253</v>
          </cell>
          <cell r="N5278">
            <v>45260</v>
          </cell>
          <cell r="O5278">
            <v>45253</v>
          </cell>
          <cell r="P5278">
            <v>45261</v>
          </cell>
          <cell r="Q5278">
            <v>45264</v>
          </cell>
          <cell r="R5278">
            <v>45265</v>
          </cell>
          <cell r="S5278">
            <v>45266</v>
          </cell>
          <cell r="T5278">
            <v>45266</v>
          </cell>
          <cell r="U5278">
            <v>45271</v>
          </cell>
          <cell r="V5278">
            <v>45272</v>
          </cell>
          <cell r="W5278">
            <v>45272</v>
          </cell>
          <cell r="X5278">
            <v>41000555</v>
          </cell>
        </row>
        <row r="5279">
          <cell r="K5279" t="str">
            <v>GBWS-3903</v>
          </cell>
          <cell r="L5279">
            <v>45252</v>
          </cell>
          <cell r="M5279">
            <v>45253</v>
          </cell>
          <cell r="N5279">
            <v>45260</v>
          </cell>
          <cell r="O5279">
            <v>45253</v>
          </cell>
          <cell r="P5279">
            <v>45261</v>
          </cell>
          <cell r="Q5279">
            <v>45264</v>
          </cell>
          <cell r="R5279">
            <v>45265</v>
          </cell>
          <cell r="S5279">
            <v>45266</v>
          </cell>
          <cell r="T5279">
            <v>45266</v>
          </cell>
          <cell r="U5279">
            <v>45271</v>
          </cell>
          <cell r="V5279">
            <v>45272</v>
          </cell>
          <cell r="W5279">
            <v>45272</v>
          </cell>
          <cell r="X5279">
            <v>41000555</v>
          </cell>
        </row>
        <row r="5280">
          <cell r="K5280" t="str">
            <v>GBWS-3896</v>
          </cell>
          <cell r="L5280">
            <v>45251</v>
          </cell>
          <cell r="M5280">
            <v>45252</v>
          </cell>
          <cell r="N5280">
            <v>45261</v>
          </cell>
          <cell r="O5280">
            <v>45252</v>
          </cell>
          <cell r="P5280">
            <v>45260</v>
          </cell>
          <cell r="Q5280">
            <v>45261</v>
          </cell>
          <cell r="R5280">
            <v>45264</v>
          </cell>
          <cell r="S5280">
            <v>45265</v>
          </cell>
          <cell r="T5280">
            <v>45265</v>
          </cell>
          <cell r="U5280">
            <v>45271</v>
          </cell>
          <cell r="V5280">
            <v>45272</v>
          </cell>
          <cell r="W5280">
            <v>45272</v>
          </cell>
          <cell r="X5280">
            <v>41100566</v>
          </cell>
        </row>
        <row r="5281">
          <cell r="K5281" t="str">
            <v>GPWS-0297</v>
          </cell>
          <cell r="L5281">
            <v>45232</v>
          </cell>
          <cell r="M5281" t="str">
            <v>2023-10-30 → 11/3</v>
          </cell>
          <cell r="N5281">
            <v>45257</v>
          </cell>
          <cell r="O5281" t="str">
            <v>2023-10-30 → 11/3</v>
          </cell>
          <cell r="P5281">
            <v>45251</v>
          </cell>
          <cell r="Q5281" t="str">
            <v>2023-11-13 → 11/19</v>
          </cell>
          <cell r="R5281" t="str">
            <v>2023-11-14 → 11/20 → 11/21(오전)</v>
          </cell>
          <cell r="S5281">
            <v>45265</v>
          </cell>
          <cell r="T5281">
            <v>45265</v>
          </cell>
          <cell r="U5281">
            <v>45272</v>
          </cell>
          <cell r="V5281">
            <v>45273</v>
          </cell>
          <cell r="W5281">
            <v>45273</v>
          </cell>
          <cell r="X5281">
            <v>41000549</v>
          </cell>
        </row>
        <row r="5282">
          <cell r="K5282" t="str">
            <v>GPWS-0298</v>
          </cell>
          <cell r="L5282">
            <v>45232</v>
          </cell>
          <cell r="M5282" t="str">
            <v>2023-10-30 → 11/3</v>
          </cell>
          <cell r="N5282">
            <v>45257</v>
          </cell>
          <cell r="O5282" t="str">
            <v>2023-10-30 → 11/3</v>
          </cell>
          <cell r="P5282">
            <v>45251</v>
          </cell>
          <cell r="Q5282" t="str">
            <v>2023-11-13 → 11/19</v>
          </cell>
          <cell r="R5282" t="str">
            <v>2023-11-14 → 11/20 → 11/21(오전)</v>
          </cell>
          <cell r="S5282">
            <v>45265</v>
          </cell>
          <cell r="T5282">
            <v>45265</v>
          </cell>
          <cell r="U5282">
            <v>45272</v>
          </cell>
          <cell r="V5282">
            <v>45273</v>
          </cell>
          <cell r="W5282">
            <v>45273</v>
          </cell>
          <cell r="X5282">
            <v>41000549</v>
          </cell>
        </row>
        <row r="5283">
          <cell r="K5283" t="str">
            <v>GPWS-0299</v>
          </cell>
          <cell r="L5283">
            <v>45232</v>
          </cell>
          <cell r="M5283" t="str">
            <v>2023-10-30 → 11/3</v>
          </cell>
          <cell r="N5283">
            <v>45257</v>
          </cell>
          <cell r="O5283" t="str">
            <v>2023-10-30 → 11/3</v>
          </cell>
          <cell r="P5283">
            <v>45251</v>
          </cell>
          <cell r="Q5283" t="str">
            <v>2023-11-13 → 11/19</v>
          </cell>
          <cell r="R5283" t="str">
            <v>2023-11-14 → 11/20 → 11/21(오전)</v>
          </cell>
          <cell r="S5283">
            <v>45265</v>
          </cell>
          <cell r="T5283">
            <v>45265</v>
          </cell>
          <cell r="U5283">
            <v>45272</v>
          </cell>
          <cell r="V5283">
            <v>45273</v>
          </cell>
          <cell r="W5283">
            <v>45273</v>
          </cell>
          <cell r="X5283">
            <v>41000549</v>
          </cell>
        </row>
        <row r="5284">
          <cell r="K5284" t="str">
            <v>GPWS-0300</v>
          </cell>
          <cell r="L5284">
            <v>45232</v>
          </cell>
          <cell r="M5284" t="str">
            <v>2023-10-30 → 11/3</v>
          </cell>
          <cell r="N5284">
            <v>45257</v>
          </cell>
          <cell r="O5284" t="str">
            <v>2023-10-30 → 11/3</v>
          </cell>
          <cell r="P5284">
            <v>45251</v>
          </cell>
          <cell r="Q5284" t="str">
            <v>2023-11-13 → 11/19</v>
          </cell>
          <cell r="R5284" t="str">
            <v>2023-11-14 → 11/20 → 11/21(오전)</v>
          </cell>
          <cell r="S5284">
            <v>45266</v>
          </cell>
          <cell r="T5284">
            <v>45266</v>
          </cell>
          <cell r="U5284">
            <v>45272</v>
          </cell>
          <cell r="V5284">
            <v>45273</v>
          </cell>
          <cell r="W5284">
            <v>45273</v>
          </cell>
          <cell r="X5284">
            <v>41000549</v>
          </cell>
        </row>
        <row r="5285">
          <cell r="K5285" t="str">
            <v>GPWS-0301</v>
          </cell>
          <cell r="L5285">
            <v>45232</v>
          </cell>
          <cell r="M5285" t="str">
            <v>2023-10-30 → 11/3</v>
          </cell>
          <cell r="N5285">
            <v>45257</v>
          </cell>
          <cell r="O5285" t="str">
            <v>2023-10-30 → 11/3</v>
          </cell>
          <cell r="P5285">
            <v>45251</v>
          </cell>
          <cell r="Q5285" t="str">
            <v>2023-11-13 → 11/19</v>
          </cell>
          <cell r="R5285" t="str">
            <v>2023-11-14 → 11/20 → 11/21(오전)</v>
          </cell>
          <cell r="S5285">
            <v>45266</v>
          </cell>
          <cell r="T5285">
            <v>45266</v>
          </cell>
          <cell r="U5285">
            <v>45272</v>
          </cell>
          <cell r="V5285">
            <v>45273</v>
          </cell>
          <cell r="W5285">
            <v>45273</v>
          </cell>
          <cell r="X5285">
            <v>41000549</v>
          </cell>
        </row>
        <row r="5286">
          <cell r="K5286" t="str">
            <v>GPWS-0302</v>
          </cell>
          <cell r="L5286">
            <v>45232</v>
          </cell>
          <cell r="M5286" t="str">
            <v>2023-10-30 → 11/3</v>
          </cell>
          <cell r="N5286">
            <v>45257</v>
          </cell>
          <cell r="O5286" t="str">
            <v>2023-10-30 → 11/3</v>
          </cell>
          <cell r="P5286">
            <v>45251</v>
          </cell>
          <cell r="Q5286" t="str">
            <v>2023-11-13 → 11/19</v>
          </cell>
          <cell r="R5286" t="str">
            <v>2023-11-14 → 11/20 → 11/21(오전)</v>
          </cell>
          <cell r="S5286">
            <v>45259</v>
          </cell>
          <cell r="T5286">
            <v>45259</v>
          </cell>
          <cell r="U5286">
            <v>45272</v>
          </cell>
          <cell r="V5286">
            <v>45273</v>
          </cell>
          <cell r="W5286">
            <v>45273</v>
          </cell>
          <cell r="X5286">
            <v>41000549</v>
          </cell>
        </row>
        <row r="5287">
          <cell r="K5287" t="str">
            <v>GPWS-0303</v>
          </cell>
          <cell r="L5287">
            <v>45233</v>
          </cell>
          <cell r="M5287">
            <v>45236</v>
          </cell>
          <cell r="N5287">
            <v>45257</v>
          </cell>
          <cell r="O5287">
            <v>45236</v>
          </cell>
          <cell r="P5287">
            <v>45251</v>
          </cell>
          <cell r="Q5287" t="str">
            <v>2023-11-13 → 11/19</v>
          </cell>
          <cell r="R5287" t="str">
            <v>2023-11-14 → 11/20 → 11/21(오전)</v>
          </cell>
          <cell r="S5287">
            <v>45259</v>
          </cell>
          <cell r="T5287">
            <v>45259</v>
          </cell>
          <cell r="U5287">
            <v>45274</v>
          </cell>
          <cell r="V5287">
            <v>45273</v>
          </cell>
          <cell r="W5287">
            <v>45273</v>
          </cell>
          <cell r="X5287">
            <v>41000550</v>
          </cell>
        </row>
        <row r="5288">
          <cell r="K5288" t="str">
            <v>GPWS-0304</v>
          </cell>
          <cell r="L5288">
            <v>45233</v>
          </cell>
          <cell r="M5288">
            <v>45236</v>
          </cell>
          <cell r="N5288">
            <v>45257</v>
          </cell>
          <cell r="O5288">
            <v>45236</v>
          </cell>
          <cell r="P5288">
            <v>45251</v>
          </cell>
          <cell r="Q5288" t="str">
            <v>2023-11-13 → 11/19</v>
          </cell>
          <cell r="R5288" t="str">
            <v>2023-11-14 → 11/20 → 11/21(오전)</v>
          </cell>
          <cell r="S5288">
            <v>45265</v>
          </cell>
          <cell r="T5288">
            <v>45265</v>
          </cell>
          <cell r="U5288">
            <v>45274</v>
          </cell>
          <cell r="V5288">
            <v>45273</v>
          </cell>
          <cell r="W5288">
            <v>45273</v>
          </cell>
          <cell r="X5288">
            <v>41000550</v>
          </cell>
        </row>
        <row r="5289">
          <cell r="K5289" t="str">
            <v>GBWS-3129</v>
          </cell>
          <cell r="L5289">
            <v>44929</v>
          </cell>
          <cell r="M5289">
            <v>44930</v>
          </cell>
          <cell r="N5289">
            <v>44938</v>
          </cell>
          <cell r="O5289">
            <v>44930</v>
          </cell>
          <cell r="P5289">
            <v>44938</v>
          </cell>
          <cell r="Q5289">
            <v>44938</v>
          </cell>
          <cell r="R5289">
            <v>44938</v>
          </cell>
          <cell r="S5289"/>
          <cell r="T5289">
            <v>44939</v>
          </cell>
          <cell r="U5289">
            <v>44943</v>
          </cell>
          <cell r="V5289">
            <v>44943</v>
          </cell>
          <cell r="W5289">
            <v>44944</v>
          </cell>
          <cell r="X5289">
            <v>41100448</v>
          </cell>
        </row>
        <row r="5290">
          <cell r="K5290" t="str">
            <v>GBWS-3128</v>
          </cell>
          <cell r="L5290">
            <v>44929</v>
          </cell>
          <cell r="M5290">
            <v>44930</v>
          </cell>
          <cell r="N5290">
            <v>44938</v>
          </cell>
          <cell r="O5290">
            <v>44930</v>
          </cell>
          <cell r="P5290">
            <v>44938</v>
          </cell>
          <cell r="Q5290">
            <v>44938</v>
          </cell>
          <cell r="R5290">
            <v>44938</v>
          </cell>
          <cell r="S5290"/>
          <cell r="T5290">
            <v>44939</v>
          </cell>
          <cell r="U5290">
            <v>44943</v>
          </cell>
          <cell r="V5290">
            <v>44943</v>
          </cell>
          <cell r="W5290">
            <v>44944</v>
          </cell>
          <cell r="X5290">
            <v>41100448</v>
          </cell>
        </row>
        <row r="5291">
          <cell r="K5291" t="str">
            <v>DBW-3088</v>
          </cell>
          <cell r="L5291">
            <v>45210</v>
          </cell>
          <cell r="M5291">
            <v>45211</v>
          </cell>
          <cell r="N5291">
            <v>45218</v>
          </cell>
          <cell r="O5291">
            <v>45211</v>
          </cell>
          <cell r="P5291">
            <v>45219</v>
          </cell>
          <cell r="Q5291">
            <v>45219</v>
          </cell>
          <cell r="R5291">
            <v>45219</v>
          </cell>
          <cell r="S5291">
            <v>45250</v>
          </cell>
          <cell r="T5291">
            <v>45250</v>
          </cell>
          <cell r="U5291">
            <v>45266</v>
          </cell>
          <cell r="V5291">
            <v>45266</v>
          </cell>
          <cell r="W5291">
            <v>45266</v>
          </cell>
          <cell r="X5291">
            <v>41000533</v>
          </cell>
        </row>
        <row r="5292">
          <cell r="K5292" t="str">
            <v>GBWS-3458</v>
          </cell>
          <cell r="L5292">
            <v>45096</v>
          </cell>
          <cell r="M5292">
            <v>45097</v>
          </cell>
          <cell r="N5292">
            <v>45105</v>
          </cell>
          <cell r="O5292">
            <v>45097</v>
          </cell>
          <cell r="P5292">
            <v>45106</v>
          </cell>
          <cell r="Q5292">
            <v>45105</v>
          </cell>
          <cell r="R5292">
            <v>45106</v>
          </cell>
          <cell r="S5292">
            <v>45107</v>
          </cell>
          <cell r="T5292">
            <v>45107</v>
          </cell>
          <cell r="U5292">
            <v>45111</v>
          </cell>
          <cell r="V5292">
            <v>45133</v>
          </cell>
          <cell r="W5292">
            <v>45133</v>
          </cell>
          <cell r="X5292">
            <v>41100661</v>
          </cell>
        </row>
        <row r="5293">
          <cell r="K5293" t="str">
            <v>GBWS-3459</v>
          </cell>
          <cell r="L5293">
            <v>45096</v>
          </cell>
          <cell r="M5293">
            <v>45097</v>
          </cell>
          <cell r="N5293">
            <v>45105</v>
          </cell>
          <cell r="O5293">
            <v>45097</v>
          </cell>
          <cell r="P5293">
            <v>45106</v>
          </cell>
          <cell r="Q5293">
            <v>45105</v>
          </cell>
          <cell r="R5293">
            <v>45106</v>
          </cell>
          <cell r="S5293">
            <v>45107</v>
          </cell>
          <cell r="T5293">
            <v>45107</v>
          </cell>
          <cell r="U5293">
            <v>45111</v>
          </cell>
          <cell r="V5293">
            <v>45133</v>
          </cell>
          <cell r="W5293">
            <v>45133</v>
          </cell>
          <cell r="X5293">
            <v>41100661</v>
          </cell>
        </row>
        <row r="5294">
          <cell r="K5294" t="str">
            <v>GBWS-3523</v>
          </cell>
          <cell r="L5294">
            <v>45126</v>
          </cell>
          <cell r="M5294">
            <v>45126</v>
          </cell>
          <cell r="N5294">
            <v>45132</v>
          </cell>
          <cell r="O5294">
            <v>45126</v>
          </cell>
          <cell r="P5294">
            <v>45134</v>
          </cell>
          <cell r="Q5294">
            <v>45133</v>
          </cell>
          <cell r="R5294">
            <v>45134</v>
          </cell>
          <cell r="S5294">
            <v>45134</v>
          </cell>
          <cell r="T5294">
            <v>45138</v>
          </cell>
          <cell r="U5294">
            <v>45148</v>
          </cell>
          <cell r="V5294">
            <v>45149</v>
          </cell>
          <cell r="W5294">
            <v>45149</v>
          </cell>
          <cell r="X5294">
            <v>41100318</v>
          </cell>
        </row>
        <row r="5295">
          <cell r="K5295" t="str">
            <v>WS-0068</v>
          </cell>
          <cell r="L5295">
            <v>44874</v>
          </cell>
          <cell r="M5295" t="str">
            <v>2022-11-25 → 11/10</v>
          </cell>
          <cell r="N5295">
            <v>44886</v>
          </cell>
          <cell r="O5295" t="str">
            <v>2022-11-25 → 11/10</v>
          </cell>
          <cell r="P5295">
            <v>44882</v>
          </cell>
          <cell r="Q5295" t="str">
            <v>2022-12-05 → 11/21</v>
          </cell>
          <cell r="R5295" t="str">
            <v>2022-12-05 → 11/21</v>
          </cell>
          <cell r="S5295"/>
          <cell r="T5295">
            <v>44888</v>
          </cell>
          <cell r="U5295">
            <v>44889</v>
          </cell>
          <cell r="V5295">
            <v>44890</v>
          </cell>
          <cell r="W5295">
            <v>44890</v>
          </cell>
          <cell r="X5295">
            <v>41100435</v>
          </cell>
        </row>
        <row r="5296">
          <cell r="K5296"/>
          <cell r="L5296">
            <v>45251</v>
          </cell>
          <cell r="M5296">
            <v>45252</v>
          </cell>
          <cell r="N5296">
            <v>45264</v>
          </cell>
          <cell r="O5296">
            <v>45252</v>
          </cell>
          <cell r="P5296">
            <v>45264</v>
          </cell>
          <cell r="Q5296">
            <v>45261</v>
          </cell>
          <cell r="R5296">
            <v>45264</v>
          </cell>
          <cell r="S5296">
            <v>45267</v>
          </cell>
          <cell r="T5296">
            <v>45267</v>
          </cell>
          <cell r="U5296">
            <v>45267</v>
          </cell>
          <cell r="V5296">
            <v>45267</v>
          </cell>
          <cell r="W5296">
            <v>45267</v>
          </cell>
          <cell r="X5296">
            <v>31102303</v>
          </cell>
        </row>
        <row r="5297">
          <cell r="K5297"/>
          <cell r="L5297">
            <v>45251</v>
          </cell>
          <cell r="M5297">
            <v>45252</v>
          </cell>
          <cell r="N5297">
            <v>45264</v>
          </cell>
          <cell r="O5297">
            <v>45252</v>
          </cell>
          <cell r="P5297">
            <v>45264</v>
          </cell>
          <cell r="Q5297">
            <v>45261</v>
          </cell>
          <cell r="R5297">
            <v>45264</v>
          </cell>
          <cell r="S5297">
            <v>45267</v>
          </cell>
          <cell r="T5297">
            <v>45267</v>
          </cell>
          <cell r="U5297">
            <v>45267</v>
          </cell>
          <cell r="V5297">
            <v>45267</v>
          </cell>
          <cell r="W5297">
            <v>45267</v>
          </cell>
          <cell r="X5297">
            <v>31102304</v>
          </cell>
        </row>
        <row r="5298">
          <cell r="K5298"/>
          <cell r="L5298">
            <v>45251</v>
          </cell>
          <cell r="M5298">
            <v>45252</v>
          </cell>
          <cell r="N5298">
            <v>45264</v>
          </cell>
          <cell r="O5298">
            <v>45252</v>
          </cell>
          <cell r="P5298">
            <v>45264</v>
          </cell>
          <cell r="Q5298" t="str">
            <v>2023-12-01 → 12/5</v>
          </cell>
          <cell r="R5298" t="str">
            <v>2023-12-04 → 12/6</v>
          </cell>
          <cell r="S5298">
            <v>45267</v>
          </cell>
          <cell r="T5298">
            <v>45267</v>
          </cell>
          <cell r="U5298">
            <v>45267</v>
          </cell>
          <cell r="V5298">
            <v>45267</v>
          </cell>
          <cell r="W5298">
            <v>45267</v>
          </cell>
          <cell r="X5298" t="str">
            <v>31102832 → 31102303</v>
          </cell>
        </row>
        <row r="5299">
          <cell r="K5299" t="str">
            <v>DBW-3083</v>
          </cell>
          <cell r="L5299">
            <v>45209</v>
          </cell>
          <cell r="M5299">
            <v>45210</v>
          </cell>
          <cell r="N5299">
            <v>45217</v>
          </cell>
          <cell r="O5299">
            <v>45210</v>
          </cell>
          <cell r="P5299">
            <v>45219</v>
          </cell>
          <cell r="Q5299">
            <v>45218</v>
          </cell>
          <cell r="R5299">
            <v>45219</v>
          </cell>
          <cell r="S5299">
            <v>45250</v>
          </cell>
          <cell r="T5299">
            <v>45250</v>
          </cell>
          <cell r="U5299">
            <v>45266</v>
          </cell>
          <cell r="V5299">
            <v>45267</v>
          </cell>
          <cell r="W5299">
            <v>45267</v>
          </cell>
          <cell r="X5299">
            <v>41000533</v>
          </cell>
        </row>
        <row r="5300">
          <cell r="K5300" t="str">
            <v>GBWS-3895</v>
          </cell>
          <cell r="L5300">
            <v>45251</v>
          </cell>
          <cell r="M5300">
            <v>45252</v>
          </cell>
          <cell r="N5300">
            <v>45260</v>
          </cell>
          <cell r="O5300">
            <v>45252</v>
          </cell>
          <cell r="P5300">
            <v>45260</v>
          </cell>
          <cell r="Q5300">
            <v>45260</v>
          </cell>
          <cell r="R5300">
            <v>45261</v>
          </cell>
          <cell r="S5300">
            <v>45264</v>
          </cell>
          <cell r="T5300">
            <v>45264</v>
          </cell>
          <cell r="U5300">
            <v>45275</v>
          </cell>
          <cell r="V5300">
            <v>45275</v>
          </cell>
          <cell r="W5300">
            <v>45275</v>
          </cell>
          <cell r="X5300">
            <v>41100408</v>
          </cell>
        </row>
        <row r="5301">
          <cell r="K5301" t="str">
            <v>GBWS-3920</v>
          </cell>
          <cell r="L5301">
            <v>45258</v>
          </cell>
          <cell r="M5301">
            <v>45259</v>
          </cell>
          <cell r="N5301">
            <v>45266</v>
          </cell>
          <cell r="O5301">
            <v>45259</v>
          </cell>
          <cell r="P5301">
            <v>45267</v>
          </cell>
          <cell r="Q5301">
            <v>45266</v>
          </cell>
          <cell r="R5301">
            <v>45267</v>
          </cell>
          <cell r="S5301">
            <v>45268</v>
          </cell>
          <cell r="T5301">
            <v>45268</v>
          </cell>
          <cell r="U5301">
            <v>45274</v>
          </cell>
          <cell r="V5301">
            <v>45274</v>
          </cell>
          <cell r="W5301">
            <v>45274</v>
          </cell>
          <cell r="X5301">
            <v>41100611</v>
          </cell>
        </row>
        <row r="5302">
          <cell r="K5302" t="str">
            <v>GPWS-0281</v>
          </cell>
          <cell r="L5302">
            <v>45152</v>
          </cell>
          <cell r="M5302">
            <v>45154</v>
          </cell>
          <cell r="N5302">
            <v>45161</v>
          </cell>
          <cell r="O5302">
            <v>45154</v>
          </cell>
          <cell r="P5302">
            <v>45161</v>
          </cell>
          <cell r="Q5302" t="str">
            <v>2023-08-22 → 8/23</v>
          </cell>
          <cell r="R5302">
            <v>45161</v>
          </cell>
          <cell r="S5302">
            <v>45163</v>
          </cell>
          <cell r="T5302">
            <v>45163</v>
          </cell>
          <cell r="U5302">
            <v>45169</v>
          </cell>
          <cell r="V5302">
            <v>45182</v>
          </cell>
          <cell r="W5302">
            <v>45182</v>
          </cell>
          <cell r="X5302">
            <v>41000518</v>
          </cell>
        </row>
        <row r="5303">
          <cell r="K5303" t="str">
            <v>GBWS-3916</v>
          </cell>
          <cell r="L5303">
            <v>45258</v>
          </cell>
          <cell r="M5303">
            <v>45259</v>
          </cell>
          <cell r="N5303">
            <v>45268</v>
          </cell>
          <cell r="O5303">
            <v>45259</v>
          </cell>
          <cell r="P5303">
            <v>45271</v>
          </cell>
          <cell r="Q5303" t="str">
            <v>2023-12-06 → 12/8</v>
          </cell>
          <cell r="R5303" t="str">
            <v>2023-12-07 → 12/11</v>
          </cell>
          <cell r="S5303">
            <v>45272</v>
          </cell>
          <cell r="T5303">
            <v>45272</v>
          </cell>
          <cell r="U5303">
            <v>45274</v>
          </cell>
          <cell r="V5303">
            <v>45278</v>
          </cell>
          <cell r="W5303">
            <v>45278</v>
          </cell>
          <cell r="X5303">
            <v>41100607</v>
          </cell>
        </row>
        <row r="5304">
          <cell r="K5304" t="str">
            <v>GBWS-3917</v>
          </cell>
          <cell r="L5304">
            <v>45258</v>
          </cell>
          <cell r="M5304">
            <v>45259</v>
          </cell>
          <cell r="N5304">
            <v>45268</v>
          </cell>
          <cell r="O5304">
            <v>45259</v>
          </cell>
          <cell r="P5304">
            <v>45271</v>
          </cell>
          <cell r="Q5304" t="str">
            <v>2023-12-06 → 12/8</v>
          </cell>
          <cell r="R5304" t="str">
            <v>2023-12-07 → 12/11</v>
          </cell>
          <cell r="S5304">
            <v>45272</v>
          </cell>
          <cell r="T5304">
            <v>45272</v>
          </cell>
          <cell r="U5304">
            <v>45274</v>
          </cell>
          <cell r="V5304">
            <v>45278</v>
          </cell>
          <cell r="W5304">
            <v>45278</v>
          </cell>
          <cell r="X5304">
            <v>41100607</v>
          </cell>
        </row>
        <row r="5305">
          <cell r="K5305" t="str">
            <v>GBWS-3918</v>
          </cell>
          <cell r="L5305">
            <v>45258</v>
          </cell>
          <cell r="M5305">
            <v>45259</v>
          </cell>
          <cell r="N5305">
            <v>45268</v>
          </cell>
          <cell r="O5305">
            <v>45259</v>
          </cell>
          <cell r="P5305">
            <v>45271</v>
          </cell>
          <cell r="Q5305" t="str">
            <v>2023-12-06 → 12/8</v>
          </cell>
          <cell r="R5305" t="str">
            <v>2023-12-07 → 12/11</v>
          </cell>
          <cell r="S5305">
            <v>45272</v>
          </cell>
          <cell r="T5305">
            <v>45272</v>
          </cell>
          <cell r="U5305">
            <v>45275</v>
          </cell>
          <cell r="V5305">
            <v>45278</v>
          </cell>
          <cell r="W5305">
            <v>45278</v>
          </cell>
          <cell r="X5305">
            <v>41100607</v>
          </cell>
        </row>
        <row r="5306">
          <cell r="K5306" t="str">
            <v>GBWS-3919</v>
          </cell>
          <cell r="L5306">
            <v>45258</v>
          </cell>
          <cell r="M5306">
            <v>45259</v>
          </cell>
          <cell r="N5306">
            <v>45268</v>
          </cell>
          <cell r="O5306">
            <v>45259</v>
          </cell>
          <cell r="P5306">
            <v>45271</v>
          </cell>
          <cell r="Q5306" t="str">
            <v>2023-12-06 → 12/8</v>
          </cell>
          <cell r="R5306" t="str">
            <v>2023-12-07 → 12/11</v>
          </cell>
          <cell r="S5306">
            <v>45272</v>
          </cell>
          <cell r="T5306">
            <v>45272</v>
          </cell>
          <cell r="U5306">
            <v>45275</v>
          </cell>
          <cell r="V5306">
            <v>45278</v>
          </cell>
          <cell r="W5306">
            <v>45278</v>
          </cell>
          <cell r="X5306">
            <v>41100607</v>
          </cell>
        </row>
        <row r="5307">
          <cell r="K5307" t="str">
            <v>GBWS-3789</v>
          </cell>
          <cell r="L5307">
            <v>45216</v>
          </cell>
          <cell r="M5307">
            <v>45217</v>
          </cell>
          <cell r="N5307">
            <v>45225</v>
          </cell>
          <cell r="O5307">
            <v>45217</v>
          </cell>
          <cell r="P5307">
            <v>45225</v>
          </cell>
          <cell r="Q5307">
            <v>45225</v>
          </cell>
          <cell r="R5307">
            <v>45226</v>
          </cell>
          <cell r="S5307">
            <v>45230</v>
          </cell>
          <cell r="T5307">
            <v>45230</v>
          </cell>
          <cell r="U5307">
            <v>45251</v>
          </cell>
          <cell r="V5307">
            <v>45252</v>
          </cell>
          <cell r="W5307">
            <v>45252</v>
          </cell>
          <cell r="X5307">
            <v>41000531</v>
          </cell>
        </row>
        <row r="5308">
          <cell r="K5308" t="str">
            <v>GBWS-3790</v>
          </cell>
          <cell r="L5308">
            <v>45216</v>
          </cell>
          <cell r="M5308">
            <v>45217</v>
          </cell>
          <cell r="N5308">
            <v>45225</v>
          </cell>
          <cell r="O5308">
            <v>45217</v>
          </cell>
          <cell r="P5308">
            <v>45225</v>
          </cell>
          <cell r="Q5308">
            <v>45225</v>
          </cell>
          <cell r="R5308">
            <v>45226</v>
          </cell>
          <cell r="S5308">
            <v>45231</v>
          </cell>
          <cell r="T5308">
            <v>45231</v>
          </cell>
          <cell r="U5308">
            <v>45236</v>
          </cell>
          <cell r="V5308">
            <v>45236</v>
          </cell>
          <cell r="W5308">
            <v>45236</v>
          </cell>
          <cell r="X5308">
            <v>41000531</v>
          </cell>
        </row>
        <row r="5309">
          <cell r="K5309" t="str">
            <v>GBWS-3908</v>
          </cell>
          <cell r="L5309">
            <v>45253</v>
          </cell>
          <cell r="M5309">
            <v>45254</v>
          </cell>
          <cell r="N5309">
            <v>45261</v>
          </cell>
          <cell r="O5309">
            <v>45254</v>
          </cell>
          <cell r="P5309">
            <v>45261</v>
          </cell>
          <cell r="Q5309">
            <v>45261</v>
          </cell>
          <cell r="R5309">
            <v>45264</v>
          </cell>
          <cell r="S5309">
            <v>45265</v>
          </cell>
          <cell r="T5309">
            <v>45265</v>
          </cell>
          <cell r="U5309">
            <v>45273</v>
          </cell>
          <cell r="V5309">
            <v>45274</v>
          </cell>
          <cell r="W5309">
            <v>45274</v>
          </cell>
          <cell r="X5309">
            <v>41100509</v>
          </cell>
        </row>
        <row r="5310">
          <cell r="K5310" t="str">
            <v>GBWS-3763</v>
          </cell>
          <cell r="L5310">
            <v>45209</v>
          </cell>
          <cell r="M5310">
            <v>45210</v>
          </cell>
          <cell r="N5310">
            <v>45219</v>
          </cell>
          <cell r="O5310">
            <v>45210</v>
          </cell>
          <cell r="P5310">
            <v>45218</v>
          </cell>
          <cell r="Q5310">
            <v>45219</v>
          </cell>
          <cell r="R5310">
            <v>45222</v>
          </cell>
          <cell r="S5310">
            <v>45245</v>
          </cell>
          <cell r="T5310">
            <v>45245</v>
          </cell>
          <cell r="U5310">
            <v>45275</v>
          </cell>
          <cell r="V5310">
            <v>45278</v>
          </cell>
          <cell r="W5310">
            <v>45278</v>
          </cell>
          <cell r="X5310">
            <v>41100358</v>
          </cell>
        </row>
        <row r="5311">
          <cell r="K5311" t="str">
            <v>GBWS-3909</v>
          </cell>
          <cell r="L5311">
            <v>45253</v>
          </cell>
          <cell r="M5311">
            <v>45254</v>
          </cell>
          <cell r="N5311">
            <v>45264</v>
          </cell>
          <cell r="O5311">
            <v>45254</v>
          </cell>
          <cell r="P5311">
            <v>45260</v>
          </cell>
          <cell r="Q5311">
            <v>45264</v>
          </cell>
          <cell r="R5311">
            <v>45265</v>
          </cell>
          <cell r="S5311">
            <v>45266</v>
          </cell>
          <cell r="T5311">
            <v>45266</v>
          </cell>
          <cell r="U5311">
            <v>45278</v>
          </cell>
          <cell r="V5311">
            <v>45280</v>
          </cell>
          <cell r="W5311">
            <v>45280</v>
          </cell>
          <cell r="X5311">
            <v>41100564</v>
          </cell>
        </row>
        <row r="5312">
          <cell r="K5312" t="str">
            <v>GBWS-3910</v>
          </cell>
          <cell r="L5312">
            <v>45253</v>
          </cell>
          <cell r="M5312">
            <v>45254</v>
          </cell>
          <cell r="N5312">
            <v>45264</v>
          </cell>
          <cell r="O5312">
            <v>45254</v>
          </cell>
          <cell r="P5312">
            <v>45260</v>
          </cell>
          <cell r="Q5312">
            <v>45264</v>
          </cell>
          <cell r="R5312">
            <v>45265</v>
          </cell>
          <cell r="S5312">
            <v>45266</v>
          </cell>
          <cell r="T5312">
            <v>45266</v>
          </cell>
          <cell r="U5312">
            <v>45278</v>
          </cell>
          <cell r="V5312">
            <v>45274</v>
          </cell>
          <cell r="W5312">
            <v>45274</v>
          </cell>
          <cell r="X5312">
            <v>41100564</v>
          </cell>
        </row>
        <row r="5313">
          <cell r="K5313" t="str">
            <v>GBWS-3921</v>
          </cell>
          <cell r="L5313">
            <v>45259</v>
          </cell>
          <cell r="M5313">
            <v>45260</v>
          </cell>
          <cell r="N5313">
            <v>45268</v>
          </cell>
          <cell r="O5313">
            <v>45260</v>
          </cell>
          <cell r="P5313">
            <v>45267</v>
          </cell>
          <cell r="Q5313">
            <v>45271</v>
          </cell>
          <cell r="R5313">
            <v>45272</v>
          </cell>
          <cell r="S5313">
            <v>45271</v>
          </cell>
          <cell r="T5313">
            <v>45271</v>
          </cell>
          <cell r="U5313">
            <v>45275</v>
          </cell>
          <cell r="V5313">
            <v>45278</v>
          </cell>
          <cell r="W5313">
            <v>45278</v>
          </cell>
          <cell r="X5313">
            <v>41100564</v>
          </cell>
        </row>
        <row r="5314">
          <cell r="K5314" t="str">
            <v>GBWS-3922</v>
          </cell>
          <cell r="L5314">
            <v>45259</v>
          </cell>
          <cell r="M5314">
            <v>45260</v>
          </cell>
          <cell r="N5314">
            <v>45268</v>
          </cell>
          <cell r="O5314">
            <v>45260</v>
          </cell>
          <cell r="P5314">
            <v>45267</v>
          </cell>
          <cell r="Q5314">
            <v>45271</v>
          </cell>
          <cell r="R5314">
            <v>45272</v>
          </cell>
          <cell r="S5314">
            <v>45271</v>
          </cell>
          <cell r="T5314">
            <v>45271</v>
          </cell>
          <cell r="U5314">
            <v>45278</v>
          </cell>
          <cell r="V5314">
            <v>45279</v>
          </cell>
          <cell r="W5314">
            <v>45279</v>
          </cell>
          <cell r="X5314">
            <v>41100564</v>
          </cell>
        </row>
        <row r="5315">
          <cell r="K5315" t="str">
            <v>GBWS-3923</v>
          </cell>
          <cell r="L5315">
            <v>45259</v>
          </cell>
          <cell r="M5315">
            <v>45260</v>
          </cell>
          <cell r="N5315">
            <v>45268</v>
          </cell>
          <cell r="O5315">
            <v>45260</v>
          </cell>
          <cell r="P5315">
            <v>45267</v>
          </cell>
          <cell r="Q5315">
            <v>45271</v>
          </cell>
          <cell r="R5315">
            <v>45272</v>
          </cell>
          <cell r="S5315">
            <v>45271</v>
          </cell>
          <cell r="T5315">
            <v>45271</v>
          </cell>
          <cell r="U5315">
            <v>45278</v>
          </cell>
          <cell r="V5315">
            <v>45279</v>
          </cell>
          <cell r="W5315">
            <v>45279</v>
          </cell>
          <cell r="X5315">
            <v>41100564</v>
          </cell>
        </row>
        <row r="5316">
          <cell r="K5316" t="str">
            <v>GBWS-3924</v>
          </cell>
          <cell r="L5316">
            <v>45259</v>
          </cell>
          <cell r="M5316">
            <v>45260</v>
          </cell>
          <cell r="N5316">
            <v>45268</v>
          </cell>
          <cell r="O5316">
            <v>45260</v>
          </cell>
          <cell r="P5316">
            <v>45267</v>
          </cell>
          <cell r="Q5316">
            <v>45271</v>
          </cell>
          <cell r="R5316">
            <v>45272</v>
          </cell>
          <cell r="S5316">
            <v>45271</v>
          </cell>
          <cell r="T5316">
            <v>45271</v>
          </cell>
          <cell r="U5316">
            <v>45278</v>
          </cell>
          <cell r="V5316">
            <v>45279</v>
          </cell>
          <cell r="W5316">
            <v>45279</v>
          </cell>
          <cell r="X5316">
            <v>41100564</v>
          </cell>
        </row>
        <row r="5317">
          <cell r="K5317" t="str">
            <v>GBWS-3941</v>
          </cell>
          <cell r="L5317">
            <v>45266</v>
          </cell>
          <cell r="M5317">
            <v>45267</v>
          </cell>
          <cell r="N5317">
            <v>45273</v>
          </cell>
          <cell r="O5317">
            <v>45267</v>
          </cell>
          <cell r="P5317">
            <v>45274</v>
          </cell>
          <cell r="Q5317">
            <v>45273</v>
          </cell>
          <cell r="R5317">
            <v>45274</v>
          </cell>
          <cell r="S5317">
            <v>45275</v>
          </cell>
          <cell r="T5317">
            <v>45275</v>
          </cell>
          <cell r="U5317">
            <v>45280</v>
          </cell>
          <cell r="V5317">
            <v>45280</v>
          </cell>
          <cell r="W5317">
            <v>45280</v>
          </cell>
          <cell r="X5317">
            <v>41100698</v>
          </cell>
        </row>
        <row r="5318">
          <cell r="K5318" t="str">
            <v>GBWS-3930</v>
          </cell>
          <cell r="L5318">
            <v>45261</v>
          </cell>
          <cell r="M5318">
            <v>45264</v>
          </cell>
          <cell r="N5318">
            <v>45271</v>
          </cell>
          <cell r="O5318">
            <v>45264</v>
          </cell>
          <cell r="P5318">
            <v>45272</v>
          </cell>
          <cell r="Q5318">
            <v>45271</v>
          </cell>
          <cell r="R5318">
            <v>45272</v>
          </cell>
          <cell r="S5318">
            <v>45274</v>
          </cell>
          <cell r="T5318">
            <v>45274</v>
          </cell>
          <cell r="U5318">
            <v>45279</v>
          </cell>
          <cell r="V5318">
            <v>45280</v>
          </cell>
          <cell r="W5318">
            <v>45280</v>
          </cell>
          <cell r="X5318">
            <v>41100699</v>
          </cell>
        </row>
        <row r="5319">
          <cell r="K5319" t="str">
            <v>GBWS-3931</v>
          </cell>
          <cell r="L5319">
            <v>45261</v>
          </cell>
          <cell r="M5319">
            <v>45264</v>
          </cell>
          <cell r="N5319">
            <v>45271</v>
          </cell>
          <cell r="O5319">
            <v>45264</v>
          </cell>
          <cell r="P5319">
            <v>45272</v>
          </cell>
          <cell r="Q5319">
            <v>45271</v>
          </cell>
          <cell r="R5319">
            <v>45272</v>
          </cell>
          <cell r="S5319">
            <v>45274</v>
          </cell>
          <cell r="T5319">
            <v>45274</v>
          </cell>
          <cell r="U5319">
            <v>45279</v>
          </cell>
          <cell r="V5319">
            <v>45280</v>
          </cell>
          <cell r="W5319">
            <v>45280</v>
          </cell>
          <cell r="X5319">
            <v>41100699</v>
          </cell>
        </row>
        <row r="5320">
          <cell r="K5320" t="str">
            <v>GBWS-3932</v>
          </cell>
          <cell r="L5320">
            <v>45261</v>
          </cell>
          <cell r="M5320">
            <v>45264</v>
          </cell>
          <cell r="N5320">
            <v>45271</v>
          </cell>
          <cell r="O5320">
            <v>45264</v>
          </cell>
          <cell r="P5320">
            <v>45272</v>
          </cell>
          <cell r="Q5320">
            <v>45271</v>
          </cell>
          <cell r="R5320">
            <v>45272</v>
          </cell>
          <cell r="S5320">
            <v>45274</v>
          </cell>
          <cell r="T5320">
            <v>45274</v>
          </cell>
          <cell r="U5320">
            <v>45279</v>
          </cell>
          <cell r="V5320">
            <v>45280</v>
          </cell>
          <cell r="W5320">
            <v>45280</v>
          </cell>
          <cell r="X5320">
            <v>41100699</v>
          </cell>
        </row>
        <row r="5321">
          <cell r="K5321" t="str">
            <v>GBWS-3933</v>
          </cell>
          <cell r="L5321">
            <v>45261</v>
          </cell>
          <cell r="M5321">
            <v>45264</v>
          </cell>
          <cell r="N5321">
            <v>45271</v>
          </cell>
          <cell r="O5321">
            <v>45264</v>
          </cell>
          <cell r="P5321">
            <v>45272</v>
          </cell>
          <cell r="Q5321">
            <v>45271</v>
          </cell>
          <cell r="R5321">
            <v>45272</v>
          </cell>
          <cell r="S5321">
            <v>45274</v>
          </cell>
          <cell r="T5321">
            <v>45274</v>
          </cell>
          <cell r="U5321">
            <v>45279</v>
          </cell>
          <cell r="V5321">
            <v>45280</v>
          </cell>
          <cell r="W5321">
            <v>45280</v>
          </cell>
          <cell r="X5321">
            <v>41100699</v>
          </cell>
        </row>
        <row r="5322">
          <cell r="K5322" t="str">
            <v>DBW-3139</v>
          </cell>
          <cell r="L5322">
            <v>45260</v>
          </cell>
          <cell r="M5322">
            <v>45261</v>
          </cell>
          <cell r="N5322">
            <v>45268</v>
          </cell>
          <cell r="O5322">
            <v>45261</v>
          </cell>
          <cell r="P5322">
            <v>45271</v>
          </cell>
          <cell r="Q5322">
            <v>45268</v>
          </cell>
          <cell r="R5322">
            <v>45271</v>
          </cell>
          <cell r="S5322">
            <v>45273</v>
          </cell>
          <cell r="T5322">
            <v>45273</v>
          </cell>
          <cell r="U5322">
            <v>45274</v>
          </cell>
          <cell r="V5322">
            <v>45275</v>
          </cell>
          <cell r="W5322">
            <v>45274</v>
          </cell>
          <cell r="X5322">
            <v>41000536</v>
          </cell>
        </row>
        <row r="5323">
          <cell r="K5323" t="str">
            <v>DBW-3140</v>
          </cell>
          <cell r="L5323">
            <v>45260</v>
          </cell>
          <cell r="M5323">
            <v>45261</v>
          </cell>
          <cell r="N5323">
            <v>45268</v>
          </cell>
          <cell r="O5323">
            <v>45261</v>
          </cell>
          <cell r="P5323">
            <v>45271</v>
          </cell>
          <cell r="Q5323">
            <v>45268</v>
          </cell>
          <cell r="R5323">
            <v>45271</v>
          </cell>
          <cell r="S5323">
            <v>45273</v>
          </cell>
          <cell r="T5323">
            <v>45273</v>
          </cell>
          <cell r="U5323">
            <v>45274</v>
          </cell>
          <cell r="V5323">
            <v>45275</v>
          </cell>
          <cell r="W5323">
            <v>45275</v>
          </cell>
          <cell r="X5323">
            <v>41000536</v>
          </cell>
        </row>
        <row r="5324">
          <cell r="K5324" t="str">
            <v>GBWS-3742</v>
          </cell>
          <cell r="L5324">
            <v>45195</v>
          </cell>
          <cell r="M5324">
            <v>45196</v>
          </cell>
          <cell r="N5324">
            <v>45209</v>
          </cell>
          <cell r="O5324">
            <v>45196</v>
          </cell>
          <cell r="P5324">
            <v>45209</v>
          </cell>
          <cell r="Q5324">
            <v>45205</v>
          </cell>
          <cell r="R5324">
            <v>45209</v>
          </cell>
          <cell r="S5324">
            <v>45210</v>
          </cell>
          <cell r="T5324">
            <v>45210</v>
          </cell>
          <cell r="U5324">
            <v>45216</v>
          </cell>
          <cell r="V5324">
            <v>45218</v>
          </cell>
          <cell r="W5324">
            <v>45218</v>
          </cell>
          <cell r="X5324">
            <v>41100708</v>
          </cell>
        </row>
        <row r="5325">
          <cell r="K5325" t="str">
            <v>GBWS-3743</v>
          </cell>
          <cell r="L5325">
            <v>45195</v>
          </cell>
          <cell r="M5325">
            <v>45196</v>
          </cell>
          <cell r="N5325">
            <v>45209</v>
          </cell>
          <cell r="O5325">
            <v>45196</v>
          </cell>
          <cell r="P5325">
            <v>45209</v>
          </cell>
          <cell r="Q5325">
            <v>45205</v>
          </cell>
          <cell r="R5325">
            <v>45209</v>
          </cell>
          <cell r="S5325">
            <v>45210</v>
          </cell>
          <cell r="T5325">
            <v>45210</v>
          </cell>
          <cell r="U5325">
            <v>45216</v>
          </cell>
          <cell r="V5325">
            <v>45218</v>
          </cell>
          <cell r="W5325">
            <v>45218</v>
          </cell>
          <cell r="X5325">
            <v>41100708</v>
          </cell>
        </row>
        <row r="5326">
          <cell r="K5326" t="str">
            <v>GBWS-3870</v>
          </cell>
          <cell r="L5326">
            <v>45244</v>
          </cell>
          <cell r="M5326">
            <v>45245</v>
          </cell>
          <cell r="N5326">
            <v>45252</v>
          </cell>
          <cell r="O5326">
            <v>45245</v>
          </cell>
          <cell r="P5326">
            <v>45253</v>
          </cell>
          <cell r="Q5326">
            <v>45252</v>
          </cell>
          <cell r="R5326">
            <v>45253</v>
          </cell>
          <cell r="S5326">
            <v>45254</v>
          </cell>
          <cell r="T5326">
            <v>45254</v>
          </cell>
          <cell r="U5326">
            <v>45259</v>
          </cell>
          <cell r="V5326">
            <v>45260</v>
          </cell>
          <cell r="W5326">
            <v>45260</v>
          </cell>
          <cell r="X5326">
            <v>41100708</v>
          </cell>
        </row>
        <row r="5327">
          <cell r="K5327" t="str">
            <v>GBWS-3871</v>
          </cell>
          <cell r="L5327">
            <v>45244</v>
          </cell>
          <cell r="M5327">
            <v>45245</v>
          </cell>
          <cell r="N5327">
            <v>45252</v>
          </cell>
          <cell r="O5327">
            <v>45245</v>
          </cell>
          <cell r="P5327">
            <v>45253</v>
          </cell>
          <cell r="Q5327">
            <v>45252</v>
          </cell>
          <cell r="R5327">
            <v>45253</v>
          </cell>
          <cell r="S5327">
            <v>45254</v>
          </cell>
          <cell r="T5327">
            <v>45254</v>
          </cell>
          <cell r="U5327">
            <v>45259</v>
          </cell>
          <cell r="V5327">
            <v>45260</v>
          </cell>
          <cell r="W5327">
            <v>45260</v>
          </cell>
          <cell r="X5327">
            <v>41100708</v>
          </cell>
        </row>
        <row r="5328">
          <cell r="K5328" t="str">
            <v>GBWS-3925</v>
          </cell>
          <cell r="L5328">
            <v>45260</v>
          </cell>
          <cell r="M5328">
            <v>45261</v>
          </cell>
          <cell r="N5328">
            <v>45272</v>
          </cell>
          <cell r="O5328">
            <v>45261</v>
          </cell>
          <cell r="P5328">
            <v>45271</v>
          </cell>
          <cell r="Q5328" t="str">
            <v>2023-12-12 → 12/13</v>
          </cell>
          <cell r="R5328">
            <v>45273</v>
          </cell>
          <cell r="S5328">
            <v>45274</v>
          </cell>
          <cell r="T5328">
            <v>45274</v>
          </cell>
          <cell r="U5328">
            <v>45278</v>
          </cell>
          <cell r="V5328">
            <v>45279</v>
          </cell>
          <cell r="W5328">
            <v>45279</v>
          </cell>
          <cell r="X5328">
            <v>41100662</v>
          </cell>
        </row>
        <row r="5329">
          <cell r="K5329" t="str">
            <v>GBWS-3926</v>
          </cell>
          <cell r="L5329">
            <v>45260</v>
          </cell>
          <cell r="M5329">
            <v>45261</v>
          </cell>
          <cell r="N5329">
            <v>45272</v>
          </cell>
          <cell r="O5329">
            <v>45261</v>
          </cell>
          <cell r="P5329">
            <v>45271</v>
          </cell>
          <cell r="Q5329" t="str">
            <v>2023-12-12 → 12/13</v>
          </cell>
          <cell r="R5329">
            <v>45273</v>
          </cell>
          <cell r="S5329">
            <v>45274</v>
          </cell>
          <cell r="T5329">
            <v>45274</v>
          </cell>
          <cell r="U5329">
            <v>45279</v>
          </cell>
          <cell r="V5329">
            <v>45280</v>
          </cell>
          <cell r="W5329">
            <v>45280</v>
          </cell>
          <cell r="X5329">
            <v>41100662</v>
          </cell>
        </row>
        <row r="5330">
          <cell r="K5330" t="str">
            <v>GBWS-3927</v>
          </cell>
          <cell r="L5330">
            <v>45260</v>
          </cell>
          <cell r="M5330">
            <v>45261</v>
          </cell>
          <cell r="N5330">
            <v>45272</v>
          </cell>
          <cell r="O5330">
            <v>45261</v>
          </cell>
          <cell r="P5330">
            <v>45271</v>
          </cell>
          <cell r="Q5330" t="str">
            <v>2023-12-12 → 12/13</v>
          </cell>
          <cell r="R5330">
            <v>45273</v>
          </cell>
          <cell r="S5330">
            <v>45274</v>
          </cell>
          <cell r="T5330">
            <v>45274</v>
          </cell>
          <cell r="U5330">
            <v>45279</v>
          </cell>
          <cell r="V5330">
            <v>45280</v>
          </cell>
          <cell r="W5330">
            <v>45280</v>
          </cell>
          <cell r="X5330">
            <v>41100662</v>
          </cell>
        </row>
        <row r="5331">
          <cell r="K5331" t="str">
            <v>DBW-3144</v>
          </cell>
          <cell r="L5331">
            <v>45264</v>
          </cell>
          <cell r="M5331">
            <v>45265</v>
          </cell>
          <cell r="N5331">
            <v>45272</v>
          </cell>
          <cell r="O5331">
            <v>45265</v>
          </cell>
          <cell r="P5331">
            <v>45273</v>
          </cell>
          <cell r="Q5331">
            <v>45272</v>
          </cell>
          <cell r="R5331">
            <v>45273</v>
          </cell>
          <cell r="S5331">
            <v>45274</v>
          </cell>
          <cell r="T5331">
            <v>45274</v>
          </cell>
          <cell r="U5331">
            <v>45275</v>
          </cell>
          <cell r="V5331">
            <v>45278</v>
          </cell>
          <cell r="W5331">
            <v>45278</v>
          </cell>
          <cell r="X5331">
            <v>41100691</v>
          </cell>
        </row>
        <row r="5332">
          <cell r="K5332" t="str">
            <v>DBW-3145</v>
          </cell>
          <cell r="L5332">
            <v>45264</v>
          </cell>
          <cell r="M5332">
            <v>45265</v>
          </cell>
          <cell r="N5332">
            <v>45272</v>
          </cell>
          <cell r="O5332">
            <v>45265</v>
          </cell>
          <cell r="P5332">
            <v>45273</v>
          </cell>
          <cell r="Q5332">
            <v>45272</v>
          </cell>
          <cell r="R5332">
            <v>45273</v>
          </cell>
          <cell r="S5332">
            <v>45274</v>
          </cell>
          <cell r="T5332">
            <v>45274</v>
          </cell>
          <cell r="U5332">
            <v>45275</v>
          </cell>
          <cell r="V5332">
            <v>45278</v>
          </cell>
          <cell r="W5332">
            <v>45278</v>
          </cell>
          <cell r="X5332">
            <v>41100691</v>
          </cell>
        </row>
        <row r="5333">
          <cell r="K5333" t="str">
            <v>DBW-3119</v>
          </cell>
          <cell r="L5333">
            <v>45238</v>
          </cell>
          <cell r="M5333">
            <v>45239</v>
          </cell>
          <cell r="N5333">
            <v>45247</v>
          </cell>
          <cell r="O5333">
            <v>45239</v>
          </cell>
          <cell r="P5333">
            <v>45246</v>
          </cell>
          <cell r="Q5333" t="str">
            <v>2023-11-17 → 11/20</v>
          </cell>
          <cell r="R5333" t="str">
            <v>2023-11-20 → 11/21</v>
          </cell>
          <cell r="S5333">
            <v>45252</v>
          </cell>
          <cell r="T5333">
            <v>45252</v>
          </cell>
          <cell r="U5333">
            <v>45272</v>
          </cell>
          <cell r="V5333">
            <v>45273</v>
          </cell>
          <cell r="W5333">
            <v>45273</v>
          </cell>
          <cell r="X5333" t="str">
            <v>41100692 → 41000565</v>
          </cell>
        </row>
        <row r="5334">
          <cell r="K5334"/>
          <cell r="L5334">
            <v>45261</v>
          </cell>
          <cell r="M5334">
            <v>45261</v>
          </cell>
          <cell r="N5334">
            <v>45267</v>
          </cell>
          <cell r="O5334">
            <v>45261</v>
          </cell>
          <cell r="P5334">
            <v>45264</v>
          </cell>
          <cell r="Q5334">
            <v>45267</v>
          </cell>
          <cell r="R5334">
            <v>45267</v>
          </cell>
          <cell r="S5334">
            <v>45268</v>
          </cell>
          <cell r="T5334">
            <v>45268</v>
          </cell>
          <cell r="U5334">
            <v>45272</v>
          </cell>
          <cell r="V5334">
            <v>45273</v>
          </cell>
          <cell r="W5334">
            <v>45273</v>
          </cell>
          <cell r="X5334"/>
        </row>
        <row r="5335">
          <cell r="K5335" t="str">
            <v>DBW-3138</v>
          </cell>
          <cell r="L5335">
            <v>45253</v>
          </cell>
          <cell r="M5335">
            <v>45257</v>
          </cell>
          <cell r="N5335">
            <v>45266</v>
          </cell>
          <cell r="O5335">
            <v>45257</v>
          </cell>
          <cell r="P5335">
            <v>45265</v>
          </cell>
          <cell r="Q5335" t="str">
            <v>2023-12-04 → 12/8</v>
          </cell>
          <cell r="R5335" t="str">
            <v>2023-12-05 → 12/11</v>
          </cell>
          <cell r="S5335">
            <v>45274</v>
          </cell>
          <cell r="T5335">
            <v>45274</v>
          </cell>
          <cell r="U5335">
            <v>45279</v>
          </cell>
          <cell r="V5335">
            <v>45280</v>
          </cell>
          <cell r="W5335">
            <v>45280</v>
          </cell>
          <cell r="X5335" t="str">
            <v>41100692 → 41000565</v>
          </cell>
        </row>
        <row r="5336">
          <cell r="K5336"/>
          <cell r="L5336"/>
          <cell r="M5336"/>
          <cell r="N5336"/>
          <cell r="O5336"/>
          <cell r="P5336"/>
          <cell r="Q5336"/>
          <cell r="R5336"/>
          <cell r="S5336"/>
          <cell r="T5336"/>
          <cell r="U5336"/>
          <cell r="V5336"/>
          <cell r="W5336"/>
          <cell r="X5336"/>
        </row>
        <row r="5337">
          <cell r="K5337" t="str">
            <v>GBWS-3928</v>
          </cell>
          <cell r="L5337">
            <v>45260</v>
          </cell>
          <cell r="M5337">
            <v>45261</v>
          </cell>
          <cell r="N5337">
            <v>45268</v>
          </cell>
          <cell r="O5337">
            <v>45261</v>
          </cell>
          <cell r="P5337">
            <v>45271</v>
          </cell>
          <cell r="Q5337">
            <v>45268</v>
          </cell>
          <cell r="R5337">
            <v>45271</v>
          </cell>
          <cell r="S5337">
            <v>45273</v>
          </cell>
          <cell r="T5337">
            <v>45273</v>
          </cell>
          <cell r="U5337">
            <v>45280</v>
          </cell>
          <cell r="V5337">
            <v>45281</v>
          </cell>
          <cell r="W5337">
            <v>45281</v>
          </cell>
          <cell r="X5337">
            <v>41100320</v>
          </cell>
        </row>
        <row r="5338">
          <cell r="K5338" t="str">
            <v>GBWS-3944</v>
          </cell>
          <cell r="L5338">
            <v>45266</v>
          </cell>
          <cell r="M5338">
            <v>45267</v>
          </cell>
          <cell r="N5338">
            <v>45274</v>
          </cell>
          <cell r="O5338">
            <v>45267</v>
          </cell>
          <cell r="P5338">
            <v>45274</v>
          </cell>
          <cell r="Q5338">
            <v>45274</v>
          </cell>
          <cell r="R5338">
            <v>45274</v>
          </cell>
          <cell r="S5338">
            <v>45275</v>
          </cell>
          <cell r="T5338">
            <v>45275</v>
          </cell>
          <cell r="U5338">
            <v>45280</v>
          </cell>
          <cell r="V5338">
            <v>45281</v>
          </cell>
          <cell r="W5338">
            <v>45272</v>
          </cell>
          <cell r="X5338">
            <v>41100363</v>
          </cell>
        </row>
        <row r="5339">
          <cell r="K5339" t="str">
            <v>GBWS-3945</v>
          </cell>
          <cell r="L5339">
            <v>45266</v>
          </cell>
          <cell r="M5339">
            <v>45267</v>
          </cell>
          <cell r="N5339">
            <v>45274</v>
          </cell>
          <cell r="O5339">
            <v>45267</v>
          </cell>
          <cell r="P5339">
            <v>45274</v>
          </cell>
          <cell r="Q5339">
            <v>45274</v>
          </cell>
          <cell r="R5339">
            <v>45274</v>
          </cell>
          <cell r="S5339">
            <v>45275</v>
          </cell>
          <cell r="T5339">
            <v>45275</v>
          </cell>
          <cell r="U5339">
            <v>45280</v>
          </cell>
          <cell r="V5339">
            <v>45281</v>
          </cell>
          <cell r="W5339">
            <v>45281</v>
          </cell>
          <cell r="X5339">
            <v>41100320</v>
          </cell>
        </row>
        <row r="5340">
          <cell r="K5340" t="str">
            <v>GBWS-3929</v>
          </cell>
          <cell r="L5340">
            <v>45261</v>
          </cell>
          <cell r="M5340">
            <v>45264</v>
          </cell>
          <cell r="N5340">
            <v>45271</v>
          </cell>
          <cell r="O5340">
            <v>45264</v>
          </cell>
          <cell r="P5340">
            <v>45273</v>
          </cell>
          <cell r="Q5340">
            <v>45272</v>
          </cell>
          <cell r="R5340">
            <v>45273</v>
          </cell>
          <cell r="S5340">
            <v>45275</v>
          </cell>
          <cell r="T5340">
            <v>45275</v>
          </cell>
          <cell r="U5340">
            <v>45279</v>
          </cell>
          <cell r="V5340">
            <v>45280</v>
          </cell>
          <cell r="W5340">
            <v>45280</v>
          </cell>
          <cell r="X5340">
            <v>41100535</v>
          </cell>
        </row>
        <row r="5341">
          <cell r="K5341" t="str">
            <v>MMD-0045~0067</v>
          </cell>
          <cell r="L5341">
            <v>45268</v>
          </cell>
          <cell r="M5341">
            <v>45271</v>
          </cell>
          <cell r="N5341">
            <v>45275</v>
          </cell>
          <cell r="O5341">
            <v>45271</v>
          </cell>
          <cell r="P5341">
            <v>45278</v>
          </cell>
          <cell r="Q5341">
            <v>45278</v>
          </cell>
          <cell r="R5341">
            <v>45278</v>
          </cell>
          <cell r="S5341">
            <v>45281</v>
          </cell>
          <cell r="T5341">
            <v>45281</v>
          </cell>
          <cell r="U5341">
            <v>45281</v>
          </cell>
          <cell r="V5341">
            <v>45281</v>
          </cell>
          <cell r="W5341">
            <v>45281</v>
          </cell>
          <cell r="X5341">
            <v>31100636</v>
          </cell>
        </row>
        <row r="5342">
          <cell r="K5342" t="str">
            <v>GBWS-3783</v>
          </cell>
          <cell r="L5342">
            <v>45212</v>
          </cell>
          <cell r="M5342" t="str">
            <v>2023-10-13 → 10/18</v>
          </cell>
          <cell r="N5342">
            <v>45224</v>
          </cell>
          <cell r="O5342" t="str">
            <v>2023-10-13 → 10/18</v>
          </cell>
          <cell r="P5342">
            <v>45225</v>
          </cell>
          <cell r="Q5342" t="str">
            <v>2023-10-24 → 10/25</v>
          </cell>
          <cell r="R5342" t="str">
            <v>2023-10-24 → 10/26</v>
          </cell>
          <cell r="S5342">
            <v>45226</v>
          </cell>
          <cell r="T5342">
            <v>45226</v>
          </cell>
          <cell r="U5342">
            <v>45281</v>
          </cell>
          <cell r="V5342">
            <v>45282</v>
          </cell>
          <cell r="W5342">
            <v>45282</v>
          </cell>
          <cell r="X5342" t="str">
            <v>41000530 → 41000531</v>
          </cell>
        </row>
        <row r="5343">
          <cell r="K5343" t="str">
            <v>GBWS-3784</v>
          </cell>
          <cell r="L5343">
            <v>45212</v>
          </cell>
          <cell r="M5343" t="str">
            <v>2023-10-13 → 10/18</v>
          </cell>
          <cell r="N5343">
            <v>45224</v>
          </cell>
          <cell r="O5343" t="str">
            <v>2023-10-13 → 10/18</v>
          </cell>
          <cell r="P5343">
            <v>45225</v>
          </cell>
          <cell r="Q5343" t="str">
            <v>2023-10-24 → 10/25</v>
          </cell>
          <cell r="R5343" t="str">
            <v>2023-10-24 → 10/26</v>
          </cell>
          <cell r="S5343">
            <v>45226</v>
          </cell>
          <cell r="T5343">
            <v>45226</v>
          </cell>
          <cell r="U5343">
            <v>45281</v>
          </cell>
          <cell r="V5343">
            <v>45282</v>
          </cell>
          <cell r="W5343">
            <v>45282</v>
          </cell>
          <cell r="X5343" t="str">
            <v>41000530 → 41000531</v>
          </cell>
        </row>
        <row r="5344">
          <cell r="K5344" t="str">
            <v>GBWS-3914</v>
          </cell>
          <cell r="L5344">
            <v>45253</v>
          </cell>
          <cell r="M5344">
            <v>45257</v>
          </cell>
          <cell r="N5344">
            <v>45260</v>
          </cell>
          <cell r="O5344">
            <v>45257</v>
          </cell>
          <cell r="P5344">
            <v>45260</v>
          </cell>
          <cell r="Q5344">
            <v>45265</v>
          </cell>
          <cell r="R5344">
            <v>45266</v>
          </cell>
          <cell r="S5344">
            <v>45267</v>
          </cell>
          <cell r="T5344">
            <v>45267</v>
          </cell>
          <cell r="U5344">
            <v>45281</v>
          </cell>
          <cell r="V5344">
            <v>45286</v>
          </cell>
          <cell r="W5344">
            <v>45286</v>
          </cell>
          <cell r="X5344">
            <v>41000561</v>
          </cell>
        </row>
        <row r="5345">
          <cell r="K5345" t="str">
            <v>GBWS-3915</v>
          </cell>
          <cell r="L5345">
            <v>45253</v>
          </cell>
          <cell r="M5345">
            <v>45257</v>
          </cell>
          <cell r="N5345">
            <v>45260</v>
          </cell>
          <cell r="O5345">
            <v>45257</v>
          </cell>
          <cell r="P5345">
            <v>45260</v>
          </cell>
          <cell r="Q5345">
            <v>45265</v>
          </cell>
          <cell r="R5345">
            <v>45266</v>
          </cell>
          <cell r="S5345">
            <v>45267</v>
          </cell>
          <cell r="T5345">
            <v>45267</v>
          </cell>
          <cell r="U5345">
            <v>45281</v>
          </cell>
          <cell r="V5345">
            <v>45286</v>
          </cell>
          <cell r="W5345">
            <v>45286</v>
          </cell>
          <cell r="X5345">
            <v>41000561</v>
          </cell>
        </row>
        <row r="5346">
          <cell r="K5346" t="str">
            <v>GBWS-3934</v>
          </cell>
          <cell r="L5346">
            <v>45261</v>
          </cell>
          <cell r="M5346">
            <v>45264</v>
          </cell>
          <cell r="N5346">
            <v>45272</v>
          </cell>
          <cell r="O5346">
            <v>45264</v>
          </cell>
          <cell r="P5346">
            <v>45272</v>
          </cell>
          <cell r="Q5346" t="str">
            <v>2023-12-11 → 12/12</v>
          </cell>
          <cell r="R5346">
            <v>45272</v>
          </cell>
          <cell r="S5346">
            <v>45273</v>
          </cell>
          <cell r="T5346">
            <v>45273</v>
          </cell>
          <cell r="U5346">
            <v>45282</v>
          </cell>
          <cell r="V5346">
            <v>45286</v>
          </cell>
          <cell r="W5346">
            <v>45286</v>
          </cell>
          <cell r="X5346">
            <v>41000561</v>
          </cell>
        </row>
        <row r="5347">
          <cell r="K5347" t="str">
            <v>GBWS-3935</v>
          </cell>
          <cell r="L5347">
            <v>45261</v>
          </cell>
          <cell r="M5347">
            <v>45264</v>
          </cell>
          <cell r="N5347">
            <v>45272</v>
          </cell>
          <cell r="O5347">
            <v>45264</v>
          </cell>
          <cell r="P5347">
            <v>45272</v>
          </cell>
          <cell r="Q5347" t="str">
            <v>2023-12-11 → 12/12</v>
          </cell>
          <cell r="R5347">
            <v>45272</v>
          </cell>
          <cell r="S5347">
            <v>45273</v>
          </cell>
          <cell r="T5347">
            <v>45273</v>
          </cell>
          <cell r="U5347">
            <v>45280</v>
          </cell>
          <cell r="V5347">
            <v>45282</v>
          </cell>
          <cell r="W5347">
            <v>45282</v>
          </cell>
          <cell r="X5347">
            <v>41000561</v>
          </cell>
        </row>
        <row r="5348">
          <cell r="K5348" t="str">
            <v>GBWS-3936</v>
          </cell>
          <cell r="L5348">
            <v>45261</v>
          </cell>
          <cell r="M5348">
            <v>45264</v>
          </cell>
          <cell r="N5348">
            <v>45272</v>
          </cell>
          <cell r="O5348">
            <v>45264</v>
          </cell>
          <cell r="P5348">
            <v>45272</v>
          </cell>
          <cell r="Q5348" t="str">
            <v>2023-12-11 → 12/12</v>
          </cell>
          <cell r="R5348">
            <v>45272</v>
          </cell>
          <cell r="S5348">
            <v>45273</v>
          </cell>
          <cell r="T5348">
            <v>45273</v>
          </cell>
          <cell r="U5348">
            <v>45281</v>
          </cell>
          <cell r="V5348">
            <v>45286</v>
          </cell>
          <cell r="W5348">
            <v>45286</v>
          </cell>
          <cell r="X5348">
            <v>41000561</v>
          </cell>
        </row>
        <row r="5349">
          <cell r="K5349" t="str">
            <v>GBWS-3937</v>
          </cell>
          <cell r="L5349">
            <v>45261</v>
          </cell>
          <cell r="M5349">
            <v>45264</v>
          </cell>
          <cell r="N5349">
            <v>45272</v>
          </cell>
          <cell r="O5349">
            <v>45264</v>
          </cell>
          <cell r="P5349">
            <v>45272</v>
          </cell>
          <cell r="Q5349" t="str">
            <v>2023-12-11 → 12/12</v>
          </cell>
          <cell r="R5349">
            <v>45272</v>
          </cell>
          <cell r="S5349">
            <v>45273</v>
          </cell>
          <cell r="T5349">
            <v>45273</v>
          </cell>
          <cell r="U5349">
            <v>45281</v>
          </cell>
          <cell r="V5349">
            <v>45282</v>
          </cell>
          <cell r="W5349">
            <v>45282</v>
          </cell>
          <cell r="X5349">
            <v>41000561</v>
          </cell>
        </row>
        <row r="5350">
          <cell r="K5350" t="str">
            <v>GBWS-3938</v>
          </cell>
          <cell r="L5350">
            <v>45261</v>
          </cell>
          <cell r="M5350">
            <v>45264</v>
          </cell>
          <cell r="N5350">
            <v>45272</v>
          </cell>
          <cell r="O5350">
            <v>45264</v>
          </cell>
          <cell r="P5350">
            <v>45272</v>
          </cell>
          <cell r="Q5350" t="str">
            <v>2023-12-11 → 12/12</v>
          </cell>
          <cell r="R5350">
            <v>45272</v>
          </cell>
          <cell r="S5350">
            <v>45273</v>
          </cell>
          <cell r="T5350">
            <v>45273</v>
          </cell>
          <cell r="U5350">
            <v>45281</v>
          </cell>
          <cell r="V5350">
            <v>45282</v>
          </cell>
          <cell r="W5350">
            <v>45282</v>
          </cell>
          <cell r="X5350">
            <v>41000561</v>
          </cell>
        </row>
        <row r="5351">
          <cell r="K5351" t="str">
            <v>GBWS-3939</v>
          </cell>
          <cell r="L5351">
            <v>45261</v>
          </cell>
          <cell r="M5351">
            <v>45264</v>
          </cell>
          <cell r="N5351">
            <v>45272</v>
          </cell>
          <cell r="O5351">
            <v>45264</v>
          </cell>
          <cell r="P5351">
            <v>45272</v>
          </cell>
          <cell r="Q5351" t="str">
            <v>2023-12-11 → 12/12</v>
          </cell>
          <cell r="R5351">
            <v>45272</v>
          </cell>
          <cell r="S5351">
            <v>45273</v>
          </cell>
          <cell r="T5351">
            <v>45273</v>
          </cell>
          <cell r="U5351">
            <v>45281</v>
          </cell>
          <cell r="V5351">
            <v>45286</v>
          </cell>
          <cell r="W5351">
            <v>45286</v>
          </cell>
          <cell r="X5351">
            <v>41000561</v>
          </cell>
        </row>
        <row r="5352">
          <cell r="K5352" t="str">
            <v>DBW-3109</v>
          </cell>
          <cell r="L5352">
            <v>45231</v>
          </cell>
          <cell r="M5352">
            <v>45232</v>
          </cell>
          <cell r="N5352">
            <v>45239</v>
          </cell>
          <cell r="O5352">
            <v>45232</v>
          </cell>
          <cell r="P5352">
            <v>45239</v>
          </cell>
          <cell r="Q5352">
            <v>45239</v>
          </cell>
          <cell r="R5352">
            <v>45240</v>
          </cell>
          <cell r="S5352">
            <v>45243</v>
          </cell>
          <cell r="T5352">
            <v>45243</v>
          </cell>
          <cell r="U5352">
            <v>45272</v>
          </cell>
          <cell r="V5352">
            <v>45273</v>
          </cell>
          <cell r="W5352">
            <v>45273</v>
          </cell>
          <cell r="X5352" t="str">
            <v>41000523 →  41000563</v>
          </cell>
        </row>
        <row r="5353">
          <cell r="K5353"/>
          <cell r="L5353">
            <v>45260</v>
          </cell>
          <cell r="M5353">
            <v>45260</v>
          </cell>
          <cell r="N5353">
            <v>45266</v>
          </cell>
          <cell r="O5353">
            <v>45260</v>
          </cell>
          <cell r="P5353">
            <v>45264</v>
          </cell>
          <cell r="Q5353">
            <v>45266</v>
          </cell>
          <cell r="R5353">
            <v>45266</v>
          </cell>
          <cell r="S5353">
            <v>45267</v>
          </cell>
          <cell r="T5353">
            <v>45267</v>
          </cell>
          <cell r="U5353">
            <v>45272</v>
          </cell>
          <cell r="V5353">
            <v>45273</v>
          </cell>
          <cell r="W5353">
            <v>45273</v>
          </cell>
          <cell r="X5353"/>
        </row>
        <row r="5354">
          <cell r="K5354" t="str">
            <v>DBW-3110</v>
          </cell>
          <cell r="L5354">
            <v>45231</v>
          </cell>
          <cell r="M5354">
            <v>45232</v>
          </cell>
          <cell r="N5354">
            <v>45239</v>
          </cell>
          <cell r="O5354">
            <v>45232</v>
          </cell>
          <cell r="P5354">
            <v>45239</v>
          </cell>
          <cell r="Q5354">
            <v>45239</v>
          </cell>
          <cell r="R5354">
            <v>45240</v>
          </cell>
          <cell r="S5354">
            <v>45243</v>
          </cell>
          <cell r="T5354">
            <v>45243</v>
          </cell>
          <cell r="U5354">
            <v>45272</v>
          </cell>
          <cell r="V5354">
            <v>45273</v>
          </cell>
          <cell r="W5354">
            <v>45273</v>
          </cell>
          <cell r="X5354" t="str">
            <v>41000523 →  41000563</v>
          </cell>
        </row>
        <row r="5355">
          <cell r="K5355"/>
          <cell r="L5355">
            <v>45260</v>
          </cell>
          <cell r="M5355">
            <v>45260</v>
          </cell>
          <cell r="N5355">
            <v>45266</v>
          </cell>
          <cell r="O5355">
            <v>45260</v>
          </cell>
          <cell r="P5355">
            <v>45264</v>
          </cell>
          <cell r="Q5355">
            <v>45266</v>
          </cell>
          <cell r="R5355">
            <v>45266</v>
          </cell>
          <cell r="S5355">
            <v>45267</v>
          </cell>
          <cell r="T5355">
            <v>45267</v>
          </cell>
          <cell r="U5355">
            <v>45272</v>
          </cell>
          <cell r="V5355">
            <v>45273</v>
          </cell>
          <cell r="W5355">
            <v>45273</v>
          </cell>
          <cell r="X5355"/>
        </row>
        <row r="5356">
          <cell r="K5356" t="str">
            <v>DBW-3092</v>
          </cell>
          <cell r="L5356">
            <v>45216</v>
          </cell>
          <cell r="M5356">
            <v>45217</v>
          </cell>
          <cell r="N5356">
            <v>45224</v>
          </cell>
          <cell r="O5356">
            <v>45217</v>
          </cell>
          <cell r="P5356">
            <v>45225</v>
          </cell>
          <cell r="Q5356">
            <v>45224</v>
          </cell>
          <cell r="R5356">
            <v>45225</v>
          </cell>
          <cell r="S5356">
            <v>45226</v>
          </cell>
          <cell r="T5356">
            <v>45226</v>
          </cell>
          <cell r="U5356">
            <v>45258</v>
          </cell>
          <cell r="V5356">
            <v>45259</v>
          </cell>
          <cell r="W5356">
            <v>45259</v>
          </cell>
          <cell r="X5356">
            <v>41000533</v>
          </cell>
        </row>
        <row r="5357">
          <cell r="K5357" t="str">
            <v>GBWS-3850</v>
          </cell>
          <cell r="L5357">
            <v>45238</v>
          </cell>
          <cell r="M5357">
            <v>45239</v>
          </cell>
          <cell r="N5357">
            <v>45245</v>
          </cell>
          <cell r="O5357">
            <v>45239</v>
          </cell>
          <cell r="P5357">
            <v>45246</v>
          </cell>
          <cell r="Q5357">
            <v>45245</v>
          </cell>
          <cell r="R5357">
            <v>45246</v>
          </cell>
          <cell r="S5357">
            <v>45247</v>
          </cell>
          <cell r="T5357">
            <v>45247</v>
          </cell>
          <cell r="U5357">
            <v>45261</v>
          </cell>
          <cell r="V5357">
            <v>45265</v>
          </cell>
          <cell r="W5357">
            <v>45265</v>
          </cell>
          <cell r="X5357">
            <v>41100686</v>
          </cell>
        </row>
        <row r="5358">
          <cell r="K5358" t="str">
            <v>GBWS-3851</v>
          </cell>
          <cell r="L5358">
            <v>45238</v>
          </cell>
          <cell r="M5358">
            <v>45239</v>
          </cell>
          <cell r="N5358">
            <v>45245</v>
          </cell>
          <cell r="O5358">
            <v>45239</v>
          </cell>
          <cell r="P5358">
            <v>45246</v>
          </cell>
          <cell r="Q5358">
            <v>45245</v>
          </cell>
          <cell r="R5358">
            <v>45246</v>
          </cell>
          <cell r="S5358">
            <v>45247</v>
          </cell>
          <cell r="T5358">
            <v>45247</v>
          </cell>
          <cell r="U5358">
            <v>45264</v>
          </cell>
          <cell r="V5358">
            <v>45265</v>
          </cell>
          <cell r="W5358">
            <v>45265</v>
          </cell>
          <cell r="X5358">
            <v>41100686</v>
          </cell>
        </row>
        <row r="5359">
          <cell r="K5359" t="str">
            <v>GBWS-3807</v>
          </cell>
          <cell r="L5359">
            <v>45219</v>
          </cell>
          <cell r="M5359" t="str">
            <v>2023-10-20 → 10/23</v>
          </cell>
          <cell r="N5359">
            <v>45246</v>
          </cell>
          <cell r="O5359" t="str">
            <v>2023-10-20 → 10/23</v>
          </cell>
          <cell r="P5359">
            <v>45246</v>
          </cell>
          <cell r="Q5359" t="str">
            <v>2023-10-30 → 10/31 → 11/14 → 11/16</v>
          </cell>
          <cell r="R5359" t="str">
            <v>2023-10-31 → 11/1 → 11/14 → 11/17(오전)</v>
          </cell>
          <cell r="S5359">
            <v>45247</v>
          </cell>
          <cell r="T5359">
            <v>45247</v>
          </cell>
          <cell r="U5359">
            <v>45252</v>
          </cell>
          <cell r="V5359">
            <v>45252</v>
          </cell>
          <cell r="W5359">
            <v>45252</v>
          </cell>
          <cell r="X5359">
            <v>41100550</v>
          </cell>
        </row>
        <row r="5360">
          <cell r="K5360" t="str">
            <v>GBWS-3808</v>
          </cell>
          <cell r="L5360">
            <v>45219</v>
          </cell>
          <cell r="M5360" t="str">
            <v>2023-10-20 → 10/23</v>
          </cell>
          <cell r="N5360">
            <v>45246</v>
          </cell>
          <cell r="O5360" t="str">
            <v>2023-10-20 → 10/23</v>
          </cell>
          <cell r="P5360">
            <v>45246</v>
          </cell>
          <cell r="Q5360" t="str">
            <v>2023-10-30 → 10/31 → 11/14 → 11/16</v>
          </cell>
          <cell r="R5360" t="str">
            <v>2023-10-31 → 11/1 → 11/14 → 11/17(오전)</v>
          </cell>
          <cell r="S5360">
            <v>45247</v>
          </cell>
          <cell r="T5360">
            <v>45247</v>
          </cell>
          <cell r="U5360">
            <v>45252</v>
          </cell>
          <cell r="V5360">
            <v>45252</v>
          </cell>
          <cell r="W5360">
            <v>45252</v>
          </cell>
          <cell r="X5360">
            <v>41100550</v>
          </cell>
        </row>
        <row r="5361">
          <cell r="K5361" t="str">
            <v>GBWS-3872</v>
          </cell>
          <cell r="L5361">
            <v>45244</v>
          </cell>
          <cell r="M5361">
            <v>45245</v>
          </cell>
          <cell r="N5361">
            <v>45252</v>
          </cell>
          <cell r="O5361">
            <v>45245</v>
          </cell>
          <cell r="P5361">
            <v>45252</v>
          </cell>
          <cell r="Q5361">
            <v>45252</v>
          </cell>
          <cell r="R5361">
            <v>45253</v>
          </cell>
          <cell r="S5361">
            <v>45254</v>
          </cell>
          <cell r="T5361">
            <v>45254</v>
          </cell>
          <cell r="U5361">
            <v>45260</v>
          </cell>
          <cell r="V5361">
            <v>45260</v>
          </cell>
          <cell r="W5361">
            <v>45260</v>
          </cell>
          <cell r="X5361">
            <v>41100686</v>
          </cell>
        </row>
        <row r="5362">
          <cell r="K5362" t="str">
            <v>GBWS-3873</v>
          </cell>
          <cell r="L5362">
            <v>45244</v>
          </cell>
          <cell r="M5362">
            <v>45245</v>
          </cell>
          <cell r="N5362">
            <v>45252</v>
          </cell>
          <cell r="O5362">
            <v>45245</v>
          </cell>
          <cell r="P5362">
            <v>45252</v>
          </cell>
          <cell r="Q5362">
            <v>45252</v>
          </cell>
          <cell r="R5362">
            <v>45253</v>
          </cell>
          <cell r="S5362">
            <v>45254</v>
          </cell>
          <cell r="T5362">
            <v>45254</v>
          </cell>
          <cell r="U5362">
            <v>45260</v>
          </cell>
          <cell r="V5362">
            <v>45260</v>
          </cell>
          <cell r="W5362">
            <v>45260</v>
          </cell>
          <cell r="X5362">
            <v>41100686</v>
          </cell>
        </row>
        <row r="5363">
          <cell r="K5363" t="str">
            <v>DBW-3154</v>
          </cell>
          <cell r="L5363">
            <v>45271</v>
          </cell>
          <cell r="M5363">
            <v>45272</v>
          </cell>
          <cell r="N5363">
            <v>45278</v>
          </cell>
          <cell r="O5363">
            <v>45272</v>
          </cell>
          <cell r="P5363">
            <v>45279</v>
          </cell>
          <cell r="Q5363">
            <v>45278</v>
          </cell>
          <cell r="R5363">
            <v>45279</v>
          </cell>
          <cell r="S5363">
            <v>45280</v>
          </cell>
          <cell r="T5363">
            <v>45280</v>
          </cell>
          <cell r="U5363">
            <v>45282</v>
          </cell>
          <cell r="V5363">
            <v>45286</v>
          </cell>
          <cell r="W5363">
            <v>45286</v>
          </cell>
          <cell r="X5363">
            <v>41000565</v>
          </cell>
        </row>
        <row r="5364">
          <cell r="K5364" t="str">
            <v>DBW-3115</v>
          </cell>
          <cell r="L5364">
            <v>45236</v>
          </cell>
          <cell r="M5364">
            <v>45237</v>
          </cell>
          <cell r="N5364">
            <v>45245</v>
          </cell>
          <cell r="O5364">
            <v>45237</v>
          </cell>
          <cell r="P5364">
            <v>45245</v>
          </cell>
          <cell r="Q5364">
            <v>45245</v>
          </cell>
          <cell r="R5364">
            <v>45246</v>
          </cell>
          <cell r="S5364">
            <v>45247</v>
          </cell>
          <cell r="T5364">
            <v>45247</v>
          </cell>
          <cell r="U5364">
            <v>45288</v>
          </cell>
          <cell r="V5364">
            <v>45288</v>
          </cell>
          <cell r="W5364">
            <v>45288</v>
          </cell>
          <cell r="X5364">
            <v>41000514</v>
          </cell>
        </row>
        <row r="5365">
          <cell r="K5365" t="str">
            <v>DBW-3116</v>
          </cell>
          <cell r="L5365">
            <v>45236</v>
          </cell>
          <cell r="M5365">
            <v>45237</v>
          </cell>
          <cell r="N5365">
            <v>45245</v>
          </cell>
          <cell r="O5365">
            <v>45237</v>
          </cell>
          <cell r="P5365">
            <v>45245</v>
          </cell>
          <cell r="Q5365">
            <v>45245</v>
          </cell>
          <cell r="R5365">
            <v>45246</v>
          </cell>
          <cell r="S5365">
            <v>45247</v>
          </cell>
          <cell r="T5365">
            <v>45247</v>
          </cell>
          <cell r="U5365">
            <v>45288</v>
          </cell>
          <cell r="V5365">
            <v>45288</v>
          </cell>
          <cell r="W5365">
            <v>45288</v>
          </cell>
          <cell r="X5365">
            <v>41000514</v>
          </cell>
        </row>
        <row r="5366">
          <cell r="K5366" t="str">
            <v>DBW-3148</v>
          </cell>
          <cell r="L5366">
            <v>45268</v>
          </cell>
          <cell r="M5366">
            <v>45271</v>
          </cell>
          <cell r="N5366">
            <v>45278</v>
          </cell>
          <cell r="O5366">
            <v>45271</v>
          </cell>
          <cell r="P5366">
            <v>45279</v>
          </cell>
          <cell r="Q5366">
            <v>45278</v>
          </cell>
          <cell r="R5366">
            <v>45279</v>
          </cell>
          <cell r="S5366">
            <v>45280</v>
          </cell>
          <cell r="T5366">
            <v>45280</v>
          </cell>
          <cell r="U5366">
            <v>45286</v>
          </cell>
          <cell r="V5366">
            <v>45287</v>
          </cell>
          <cell r="W5366">
            <v>45287</v>
          </cell>
          <cell r="X5366">
            <v>41000514</v>
          </cell>
        </row>
        <row r="5367">
          <cell r="K5367" t="str">
            <v>DBW-3146</v>
          </cell>
          <cell r="L5367">
            <v>45267</v>
          </cell>
          <cell r="M5367">
            <v>45268</v>
          </cell>
          <cell r="N5367">
            <v>45274</v>
          </cell>
          <cell r="O5367">
            <v>45268</v>
          </cell>
          <cell r="P5367">
            <v>45275</v>
          </cell>
          <cell r="Q5367">
            <v>45275</v>
          </cell>
          <cell r="R5367">
            <v>45278</v>
          </cell>
          <cell r="S5367">
            <v>45278</v>
          </cell>
          <cell r="T5367">
            <v>45278</v>
          </cell>
          <cell r="U5367">
            <v>45286</v>
          </cell>
          <cell r="V5367">
            <v>45293</v>
          </cell>
          <cell r="W5367">
            <v>45293</v>
          </cell>
          <cell r="X5367">
            <v>41100689</v>
          </cell>
        </row>
        <row r="5368">
          <cell r="K5368" t="str">
            <v>DBW-3147</v>
          </cell>
          <cell r="L5368">
            <v>45267</v>
          </cell>
          <cell r="M5368">
            <v>45268</v>
          </cell>
          <cell r="N5368">
            <v>45274</v>
          </cell>
          <cell r="O5368">
            <v>45268</v>
          </cell>
          <cell r="P5368">
            <v>45275</v>
          </cell>
          <cell r="Q5368">
            <v>45275</v>
          </cell>
          <cell r="R5368">
            <v>45278</v>
          </cell>
          <cell r="S5368">
            <v>45278</v>
          </cell>
          <cell r="T5368">
            <v>45278</v>
          </cell>
          <cell r="U5368">
            <v>45280</v>
          </cell>
          <cell r="V5368">
            <v>45293</v>
          </cell>
          <cell r="W5368">
            <v>45293</v>
          </cell>
          <cell r="X5368">
            <v>41100689</v>
          </cell>
        </row>
        <row r="5369">
          <cell r="K5369" t="str">
            <v>GBWS-3943</v>
          </cell>
          <cell r="L5369">
            <v>45266</v>
          </cell>
          <cell r="M5369">
            <v>45267</v>
          </cell>
          <cell r="N5369">
            <v>45275</v>
          </cell>
          <cell r="O5369">
            <v>45267</v>
          </cell>
          <cell r="P5369">
            <v>45278</v>
          </cell>
          <cell r="Q5369">
            <v>45275</v>
          </cell>
          <cell r="R5369">
            <v>45278</v>
          </cell>
          <cell r="S5369">
            <v>45279</v>
          </cell>
          <cell r="T5369">
            <v>45279</v>
          </cell>
          <cell r="U5369">
            <v>45286</v>
          </cell>
          <cell r="V5369">
            <v>45287</v>
          </cell>
          <cell r="W5369">
            <v>45287</v>
          </cell>
          <cell r="X5369">
            <v>41100318</v>
          </cell>
        </row>
        <row r="5370">
          <cell r="K5370" t="str">
            <v>GBWS-3912</v>
          </cell>
          <cell r="L5370">
            <v>45253</v>
          </cell>
          <cell r="M5370">
            <v>45257</v>
          </cell>
          <cell r="N5370">
            <v>45260</v>
          </cell>
          <cell r="O5370">
            <v>45257</v>
          </cell>
          <cell r="P5370">
            <v>45260</v>
          </cell>
          <cell r="Q5370">
            <v>45260</v>
          </cell>
          <cell r="R5370">
            <v>45260</v>
          </cell>
          <cell r="S5370">
            <v>45261</v>
          </cell>
          <cell r="T5370">
            <v>45261</v>
          </cell>
          <cell r="U5370">
            <v>45263</v>
          </cell>
          <cell r="V5370">
            <v>45264</v>
          </cell>
          <cell r="W5370">
            <v>45264</v>
          </cell>
          <cell r="X5370">
            <v>41000561</v>
          </cell>
        </row>
        <row r="5371">
          <cell r="K5371" t="str">
            <v>GBWS-3913</v>
          </cell>
          <cell r="L5371">
            <v>45253</v>
          </cell>
          <cell r="M5371">
            <v>45257</v>
          </cell>
          <cell r="N5371">
            <v>45260</v>
          </cell>
          <cell r="O5371">
            <v>45257</v>
          </cell>
          <cell r="P5371">
            <v>45260</v>
          </cell>
          <cell r="Q5371">
            <v>45260</v>
          </cell>
          <cell r="R5371">
            <v>45260</v>
          </cell>
          <cell r="S5371">
            <v>45261</v>
          </cell>
          <cell r="T5371">
            <v>45261</v>
          </cell>
          <cell r="U5371">
            <v>45263</v>
          </cell>
          <cell r="V5371">
            <v>45264</v>
          </cell>
          <cell r="W5371">
            <v>45264</v>
          </cell>
          <cell r="X5371">
            <v>41000561</v>
          </cell>
        </row>
        <row r="5372">
          <cell r="K5372" t="str">
            <v>GBWS-3946</v>
          </cell>
          <cell r="L5372">
            <v>45267</v>
          </cell>
          <cell r="M5372">
            <v>45268</v>
          </cell>
          <cell r="N5372">
            <v>45275</v>
          </cell>
          <cell r="O5372">
            <v>45268</v>
          </cell>
          <cell r="P5372">
            <v>45275</v>
          </cell>
          <cell r="Q5372" t="str">
            <v>2023-12-14 → 12/15</v>
          </cell>
          <cell r="R5372">
            <v>45275</v>
          </cell>
          <cell r="S5372">
            <v>45278</v>
          </cell>
          <cell r="T5372">
            <v>45278</v>
          </cell>
          <cell r="U5372">
            <v>45654</v>
          </cell>
          <cell r="V5372">
            <v>45293</v>
          </cell>
          <cell r="W5372">
            <v>45293</v>
          </cell>
          <cell r="X5372">
            <v>41000535</v>
          </cell>
        </row>
        <row r="5373">
          <cell r="K5373" t="str">
            <v>GBWS-3947</v>
          </cell>
          <cell r="L5373">
            <v>45267</v>
          </cell>
          <cell r="M5373">
            <v>45268</v>
          </cell>
          <cell r="N5373">
            <v>45275</v>
          </cell>
          <cell r="O5373">
            <v>45268</v>
          </cell>
          <cell r="P5373">
            <v>45275</v>
          </cell>
          <cell r="Q5373" t="str">
            <v>2023-12-14 → 12/15</v>
          </cell>
          <cell r="R5373">
            <v>45275</v>
          </cell>
          <cell r="S5373">
            <v>45278</v>
          </cell>
          <cell r="T5373">
            <v>45278</v>
          </cell>
          <cell r="U5373">
            <v>45654</v>
          </cell>
          <cell r="V5373">
            <v>45293</v>
          </cell>
          <cell r="W5373">
            <v>45293</v>
          </cell>
          <cell r="X5373">
            <v>41000535</v>
          </cell>
        </row>
        <row r="5374">
          <cell r="K5374" t="str">
            <v>DBW-3133</v>
          </cell>
          <cell r="L5374">
            <v>45253</v>
          </cell>
          <cell r="M5374">
            <v>45257</v>
          </cell>
          <cell r="N5374">
            <v>45265</v>
          </cell>
          <cell r="O5374">
            <v>45257</v>
          </cell>
          <cell r="P5374">
            <v>45266</v>
          </cell>
          <cell r="Q5374">
            <v>45265</v>
          </cell>
          <cell r="R5374">
            <v>45266</v>
          </cell>
          <cell r="S5374">
            <v>45267</v>
          </cell>
          <cell r="T5374">
            <v>45267</v>
          </cell>
          <cell r="U5374">
            <v>45287</v>
          </cell>
          <cell r="V5374">
            <v>45288</v>
          </cell>
          <cell r="W5374">
            <v>45288</v>
          </cell>
          <cell r="X5374">
            <v>41100668</v>
          </cell>
        </row>
        <row r="5375">
          <cell r="K5375" t="str">
            <v>DBW-3134</v>
          </cell>
          <cell r="L5375">
            <v>45253</v>
          </cell>
          <cell r="M5375">
            <v>45257</v>
          </cell>
          <cell r="N5375">
            <v>45265</v>
          </cell>
          <cell r="O5375">
            <v>45257</v>
          </cell>
          <cell r="P5375">
            <v>45266</v>
          </cell>
          <cell r="Q5375">
            <v>45265</v>
          </cell>
          <cell r="R5375">
            <v>45266</v>
          </cell>
          <cell r="S5375">
            <v>45267</v>
          </cell>
          <cell r="T5375">
            <v>45267</v>
          </cell>
          <cell r="U5375">
            <v>45287</v>
          </cell>
          <cell r="V5375">
            <v>45288</v>
          </cell>
          <cell r="W5375">
            <v>45288</v>
          </cell>
          <cell r="X5375">
            <v>41100668</v>
          </cell>
        </row>
        <row r="5376">
          <cell r="K5376" t="str">
            <v>DBW-3135</v>
          </cell>
          <cell r="L5376">
            <v>45253</v>
          </cell>
          <cell r="M5376">
            <v>45257</v>
          </cell>
          <cell r="N5376">
            <v>45265</v>
          </cell>
          <cell r="O5376">
            <v>45257</v>
          </cell>
          <cell r="P5376">
            <v>45266</v>
          </cell>
          <cell r="Q5376">
            <v>45265</v>
          </cell>
          <cell r="R5376">
            <v>45266</v>
          </cell>
          <cell r="S5376">
            <v>45267</v>
          </cell>
          <cell r="T5376">
            <v>45267</v>
          </cell>
          <cell r="U5376">
            <v>45287</v>
          </cell>
          <cell r="V5376">
            <v>45288</v>
          </cell>
          <cell r="W5376">
            <v>45288</v>
          </cell>
          <cell r="X5376">
            <v>41100668</v>
          </cell>
        </row>
        <row r="5377">
          <cell r="K5377" t="str">
            <v>GBWS-3948</v>
          </cell>
          <cell r="L5377">
            <v>45271</v>
          </cell>
          <cell r="M5377">
            <v>45271</v>
          </cell>
          <cell r="N5377">
            <v>45278</v>
          </cell>
          <cell r="O5377">
            <v>45271</v>
          </cell>
          <cell r="P5377">
            <v>45279</v>
          </cell>
          <cell r="Q5377">
            <v>45278</v>
          </cell>
          <cell r="R5377">
            <v>45279</v>
          </cell>
          <cell r="S5377">
            <v>45279</v>
          </cell>
          <cell r="T5377">
            <v>45279</v>
          </cell>
          <cell r="U5377">
            <v>45287</v>
          </cell>
          <cell r="V5377">
            <v>45288</v>
          </cell>
          <cell r="W5377">
            <v>45288</v>
          </cell>
          <cell r="X5377">
            <v>41100611</v>
          </cell>
        </row>
        <row r="5378">
          <cell r="K5378" t="str">
            <v>GBWS-3942</v>
          </cell>
          <cell r="L5378">
            <v>45266</v>
          </cell>
          <cell r="M5378">
            <v>45267</v>
          </cell>
          <cell r="N5378">
            <v>45274</v>
          </cell>
          <cell r="O5378">
            <v>45267</v>
          </cell>
          <cell r="P5378">
            <v>45275</v>
          </cell>
          <cell r="Q5378">
            <v>45274</v>
          </cell>
          <cell r="R5378">
            <v>45275</v>
          </cell>
          <cell r="S5378">
            <v>45278</v>
          </cell>
          <cell r="T5378">
            <v>45278</v>
          </cell>
          <cell r="U5378">
            <v>45287</v>
          </cell>
          <cell r="V5378">
            <v>45294</v>
          </cell>
          <cell r="W5378">
            <v>45294</v>
          </cell>
          <cell r="X5378">
            <v>41100538</v>
          </cell>
        </row>
        <row r="5379">
          <cell r="K5379" t="str">
            <v>GBWS-3940</v>
          </cell>
          <cell r="L5379">
            <v>45264</v>
          </cell>
          <cell r="M5379">
            <v>45265</v>
          </cell>
          <cell r="N5379">
            <v>45272</v>
          </cell>
          <cell r="O5379">
            <v>45265</v>
          </cell>
          <cell r="P5379">
            <v>45274</v>
          </cell>
          <cell r="Q5379" t="str">
            <v>2023-12-13 → 12/14</v>
          </cell>
          <cell r="R5379">
            <v>45274</v>
          </cell>
          <cell r="S5379">
            <v>45275</v>
          </cell>
          <cell r="T5379">
            <v>45275</v>
          </cell>
          <cell r="U5379">
            <v>45654</v>
          </cell>
          <cell r="V5379">
            <v>45293</v>
          </cell>
          <cell r="W5379">
            <v>45293</v>
          </cell>
          <cell r="X5379">
            <v>41100286</v>
          </cell>
        </row>
        <row r="5380">
          <cell r="K5380" t="str">
            <v>GBWS-3964</v>
          </cell>
          <cell r="L5380">
            <v>45278</v>
          </cell>
          <cell r="M5380">
            <v>45279</v>
          </cell>
          <cell r="N5380">
            <v>45286</v>
          </cell>
          <cell r="O5380">
            <v>45279</v>
          </cell>
          <cell r="P5380">
            <v>45287</v>
          </cell>
          <cell r="Q5380">
            <v>45287</v>
          </cell>
          <cell r="R5380" t="str">
            <v>2024-01-02 → 12/27</v>
          </cell>
          <cell r="S5380">
            <v>45288</v>
          </cell>
          <cell r="T5380">
            <v>45288</v>
          </cell>
          <cell r="U5380">
            <v>45293</v>
          </cell>
          <cell r="V5380">
            <v>45294</v>
          </cell>
          <cell r="W5380">
            <v>45294</v>
          </cell>
          <cell r="X5380">
            <v>41100534</v>
          </cell>
        </row>
        <row r="5381">
          <cell r="K5381" t="str">
            <v>GBWS-3965</v>
          </cell>
          <cell r="L5381">
            <v>45278</v>
          </cell>
          <cell r="M5381">
            <v>45279</v>
          </cell>
          <cell r="N5381">
            <v>45286</v>
          </cell>
          <cell r="O5381">
            <v>45279</v>
          </cell>
          <cell r="P5381">
            <v>45287</v>
          </cell>
          <cell r="Q5381">
            <v>45287</v>
          </cell>
          <cell r="R5381" t="str">
            <v>2024-01-02 → 12/27</v>
          </cell>
          <cell r="S5381">
            <v>45288</v>
          </cell>
          <cell r="T5381">
            <v>45288</v>
          </cell>
          <cell r="U5381">
            <v>45293</v>
          </cell>
          <cell r="V5381">
            <v>45294</v>
          </cell>
          <cell r="W5381">
            <v>45294</v>
          </cell>
          <cell r="X5381">
            <v>41100534</v>
          </cell>
        </row>
        <row r="5382">
          <cell r="K5382" t="str">
            <v>GBWS-3966</v>
          </cell>
          <cell r="L5382">
            <v>45278</v>
          </cell>
          <cell r="M5382">
            <v>45279</v>
          </cell>
          <cell r="N5382">
            <v>45286</v>
          </cell>
          <cell r="O5382">
            <v>45279</v>
          </cell>
          <cell r="P5382">
            <v>45287</v>
          </cell>
          <cell r="Q5382">
            <v>45287</v>
          </cell>
          <cell r="R5382" t="str">
            <v>2024-01-02 → 12/27</v>
          </cell>
          <cell r="S5382">
            <v>45288</v>
          </cell>
          <cell r="T5382">
            <v>45288</v>
          </cell>
          <cell r="U5382">
            <v>45293</v>
          </cell>
          <cell r="V5382">
            <v>45294</v>
          </cell>
          <cell r="W5382">
            <v>45294</v>
          </cell>
          <cell r="X5382">
            <v>41100534</v>
          </cell>
        </row>
        <row r="5383">
          <cell r="K5383" t="str">
            <v>GBWS-3950</v>
          </cell>
          <cell r="L5383">
            <v>45271</v>
          </cell>
          <cell r="M5383">
            <v>45272</v>
          </cell>
          <cell r="N5383">
            <v>45280</v>
          </cell>
          <cell r="O5383">
            <v>45272</v>
          </cell>
          <cell r="P5383">
            <v>45280</v>
          </cell>
          <cell r="Q5383">
            <v>45280</v>
          </cell>
          <cell r="R5383">
            <v>45281</v>
          </cell>
          <cell r="S5383">
            <v>45281</v>
          </cell>
          <cell r="T5383">
            <v>45281</v>
          </cell>
          <cell r="U5383">
            <v>45286</v>
          </cell>
          <cell r="V5383">
            <v>45286</v>
          </cell>
          <cell r="W5383">
            <v>45286</v>
          </cell>
          <cell r="X5383">
            <v>41100633</v>
          </cell>
        </row>
        <row r="5384">
          <cell r="K5384" t="str">
            <v>SOS-0314</v>
          </cell>
          <cell r="L5384">
            <v>45272</v>
          </cell>
          <cell r="M5384">
            <v>45273</v>
          </cell>
          <cell r="N5384">
            <v>45273</v>
          </cell>
          <cell r="O5384">
            <v>45273</v>
          </cell>
          <cell r="P5384">
            <v>45274</v>
          </cell>
          <cell r="Q5384">
            <v>45278</v>
          </cell>
          <cell r="R5384">
            <v>45278</v>
          </cell>
          <cell r="S5384">
            <v>45280</v>
          </cell>
          <cell r="T5384">
            <v>45280</v>
          </cell>
          <cell r="U5384">
            <v>45286</v>
          </cell>
          <cell r="V5384">
            <v>45286</v>
          </cell>
          <cell r="W5384">
            <v>45286</v>
          </cell>
          <cell r="X5384">
            <v>41100182</v>
          </cell>
        </row>
        <row r="5385">
          <cell r="K5385" t="str">
            <v>DBW-3149</v>
          </cell>
          <cell r="L5385">
            <v>45268</v>
          </cell>
          <cell r="M5385">
            <v>45271</v>
          </cell>
          <cell r="N5385">
            <v>45278</v>
          </cell>
          <cell r="O5385">
            <v>45271</v>
          </cell>
          <cell r="P5385">
            <v>45279</v>
          </cell>
          <cell r="Q5385">
            <v>45278</v>
          </cell>
          <cell r="R5385">
            <v>45279</v>
          </cell>
          <cell r="S5385">
            <v>45280</v>
          </cell>
          <cell r="T5385">
            <v>45280</v>
          </cell>
          <cell r="U5385">
            <v>45286</v>
          </cell>
          <cell r="V5385">
            <v>45287</v>
          </cell>
          <cell r="W5385">
            <v>45287</v>
          </cell>
          <cell r="X5385">
            <v>41000514</v>
          </cell>
        </row>
        <row r="5386">
          <cell r="K5386" t="str">
            <v>DBW-3155</v>
          </cell>
          <cell r="L5386">
            <v>45272</v>
          </cell>
          <cell r="M5386">
            <v>45273</v>
          </cell>
          <cell r="N5386">
            <v>45281</v>
          </cell>
          <cell r="O5386">
            <v>45273</v>
          </cell>
          <cell r="P5386">
            <v>45282</v>
          </cell>
          <cell r="Q5386">
            <v>45281</v>
          </cell>
          <cell r="R5386">
            <v>45282</v>
          </cell>
          <cell r="S5386">
            <v>45286</v>
          </cell>
          <cell r="T5386">
            <v>45286</v>
          </cell>
          <cell r="U5386">
            <v>45293</v>
          </cell>
          <cell r="V5386">
            <v>45294</v>
          </cell>
          <cell r="W5386">
            <v>45294</v>
          </cell>
          <cell r="X5386">
            <v>41000536</v>
          </cell>
        </row>
        <row r="5387">
          <cell r="K5387" t="str">
            <v>DBW-3156</v>
          </cell>
          <cell r="L5387">
            <v>45272</v>
          </cell>
          <cell r="M5387">
            <v>45273</v>
          </cell>
          <cell r="N5387">
            <v>45281</v>
          </cell>
          <cell r="O5387">
            <v>45273</v>
          </cell>
          <cell r="P5387">
            <v>45282</v>
          </cell>
          <cell r="Q5387">
            <v>45281</v>
          </cell>
          <cell r="R5387">
            <v>45282</v>
          </cell>
          <cell r="S5387">
            <v>45286</v>
          </cell>
          <cell r="T5387">
            <v>45286</v>
          </cell>
          <cell r="U5387">
            <v>45293</v>
          </cell>
          <cell r="V5387">
            <v>45294</v>
          </cell>
          <cell r="W5387">
            <v>45294</v>
          </cell>
          <cell r="X5387">
            <v>41000536</v>
          </cell>
        </row>
        <row r="5388">
          <cell r="K5388" t="str">
            <v>GBWS-3953</v>
          </cell>
          <cell r="L5388">
            <v>45273</v>
          </cell>
          <cell r="M5388">
            <v>45274</v>
          </cell>
          <cell r="N5388">
            <v>45280</v>
          </cell>
          <cell r="O5388">
            <v>45274</v>
          </cell>
          <cell r="P5388">
            <v>45281</v>
          </cell>
          <cell r="Q5388">
            <v>45280</v>
          </cell>
          <cell r="R5388">
            <v>45281</v>
          </cell>
          <cell r="S5388">
            <v>45282</v>
          </cell>
          <cell r="T5388">
            <v>45282</v>
          </cell>
          <cell r="U5388">
            <v>45286</v>
          </cell>
          <cell r="V5388">
            <v>45287</v>
          </cell>
          <cell r="W5388">
            <v>45287</v>
          </cell>
          <cell r="X5388">
            <v>41100686</v>
          </cell>
        </row>
        <row r="5389">
          <cell r="K5389" t="str">
            <v>GBWS-3954</v>
          </cell>
          <cell r="L5389">
            <v>45273</v>
          </cell>
          <cell r="M5389">
            <v>45274</v>
          </cell>
          <cell r="N5389">
            <v>45280</v>
          </cell>
          <cell r="O5389">
            <v>45274</v>
          </cell>
          <cell r="P5389">
            <v>45281</v>
          </cell>
          <cell r="Q5389">
            <v>45280</v>
          </cell>
          <cell r="R5389">
            <v>45281</v>
          </cell>
          <cell r="S5389">
            <v>45282</v>
          </cell>
          <cell r="T5389">
            <v>45282</v>
          </cell>
          <cell r="U5389">
            <v>45286</v>
          </cell>
          <cell r="V5389">
            <v>45287</v>
          </cell>
          <cell r="W5389">
            <v>45287</v>
          </cell>
          <cell r="X5389">
            <v>41100686</v>
          </cell>
        </row>
        <row r="5390">
          <cell r="K5390" t="str">
            <v>GBWS-3955</v>
          </cell>
          <cell r="L5390">
            <v>45273</v>
          </cell>
          <cell r="M5390">
            <v>45274</v>
          </cell>
          <cell r="N5390">
            <v>45280</v>
          </cell>
          <cell r="O5390">
            <v>45274</v>
          </cell>
          <cell r="P5390">
            <v>45281</v>
          </cell>
          <cell r="Q5390">
            <v>45280</v>
          </cell>
          <cell r="R5390">
            <v>45281</v>
          </cell>
          <cell r="S5390">
            <v>45282</v>
          </cell>
          <cell r="T5390">
            <v>45282</v>
          </cell>
          <cell r="U5390">
            <v>45286</v>
          </cell>
          <cell r="V5390">
            <v>45287</v>
          </cell>
          <cell r="W5390">
            <v>45287</v>
          </cell>
          <cell r="X5390">
            <v>41100686</v>
          </cell>
        </row>
        <row r="5391">
          <cell r="K5391" t="str">
            <v>GBWS-3956</v>
          </cell>
          <cell r="L5391">
            <v>45273</v>
          </cell>
          <cell r="M5391">
            <v>45274</v>
          </cell>
          <cell r="N5391">
            <v>45280</v>
          </cell>
          <cell r="O5391">
            <v>45274</v>
          </cell>
          <cell r="P5391">
            <v>45281</v>
          </cell>
          <cell r="Q5391">
            <v>45280</v>
          </cell>
          <cell r="R5391">
            <v>45281</v>
          </cell>
          <cell r="S5391">
            <v>45282</v>
          </cell>
          <cell r="T5391">
            <v>45282</v>
          </cell>
          <cell r="U5391">
            <v>45286</v>
          </cell>
          <cell r="V5391">
            <v>45287</v>
          </cell>
          <cell r="W5391">
            <v>45287</v>
          </cell>
          <cell r="X5391">
            <v>41100686</v>
          </cell>
        </row>
        <row r="5392">
          <cell r="K5392" t="str">
            <v>DBW-3157</v>
          </cell>
          <cell r="L5392">
            <v>45274</v>
          </cell>
          <cell r="M5392">
            <v>45275</v>
          </cell>
          <cell r="N5392">
            <v>45286</v>
          </cell>
          <cell r="O5392">
            <v>45275</v>
          </cell>
          <cell r="P5392">
            <v>45287</v>
          </cell>
          <cell r="Q5392">
            <v>45286</v>
          </cell>
          <cell r="R5392">
            <v>45287</v>
          </cell>
          <cell r="S5392">
            <v>45293</v>
          </cell>
          <cell r="T5392">
            <v>45293</v>
          </cell>
          <cell r="U5392">
            <v>45295</v>
          </cell>
          <cell r="V5392">
            <v>45296</v>
          </cell>
          <cell r="W5392">
            <v>45296</v>
          </cell>
          <cell r="X5392">
            <v>41000514</v>
          </cell>
        </row>
        <row r="5393">
          <cell r="K5393" t="str">
            <v>GBWS-3957</v>
          </cell>
          <cell r="L5393">
            <v>45274</v>
          </cell>
          <cell r="M5393">
            <v>45275</v>
          </cell>
          <cell r="N5393">
            <v>45286</v>
          </cell>
          <cell r="O5393">
            <v>45275</v>
          </cell>
          <cell r="P5393">
            <v>45281</v>
          </cell>
          <cell r="Q5393">
            <v>45286</v>
          </cell>
          <cell r="R5393">
            <v>45287</v>
          </cell>
          <cell r="S5393">
            <v>45286</v>
          </cell>
          <cell r="T5393">
            <v>45286</v>
          </cell>
          <cell r="U5393">
            <v>45294</v>
          </cell>
          <cell r="V5393">
            <v>45295</v>
          </cell>
          <cell r="W5393">
            <v>45295</v>
          </cell>
          <cell r="X5393">
            <v>41100698</v>
          </cell>
        </row>
        <row r="5394">
          <cell r="K5394" t="str">
            <v>GBWS-3958</v>
          </cell>
          <cell r="L5394">
            <v>45274</v>
          </cell>
          <cell r="M5394">
            <v>45275</v>
          </cell>
          <cell r="N5394">
            <v>45286</v>
          </cell>
          <cell r="O5394">
            <v>45275</v>
          </cell>
          <cell r="P5394">
            <v>45281</v>
          </cell>
          <cell r="Q5394">
            <v>45286</v>
          </cell>
          <cell r="R5394">
            <v>45287</v>
          </cell>
          <cell r="S5394">
            <v>45287</v>
          </cell>
          <cell r="T5394">
            <v>45287</v>
          </cell>
          <cell r="U5394">
            <v>45294</v>
          </cell>
          <cell r="V5394">
            <v>45295</v>
          </cell>
          <cell r="W5394">
            <v>45295</v>
          </cell>
          <cell r="X5394">
            <v>41100698</v>
          </cell>
        </row>
        <row r="5395">
          <cell r="K5395" t="str">
            <v>GBWS-3959</v>
          </cell>
          <cell r="L5395">
            <v>45274</v>
          </cell>
          <cell r="M5395">
            <v>45275</v>
          </cell>
          <cell r="N5395">
            <v>45286</v>
          </cell>
          <cell r="O5395">
            <v>45275</v>
          </cell>
          <cell r="P5395">
            <v>45281</v>
          </cell>
          <cell r="Q5395">
            <v>45286</v>
          </cell>
          <cell r="R5395">
            <v>45287</v>
          </cell>
          <cell r="S5395">
            <v>45287</v>
          </cell>
          <cell r="T5395">
            <v>45287</v>
          </cell>
          <cell r="U5395">
            <v>45294</v>
          </cell>
          <cell r="V5395">
            <v>45295</v>
          </cell>
          <cell r="W5395">
            <v>45295</v>
          </cell>
          <cell r="X5395">
            <v>41100698</v>
          </cell>
        </row>
        <row r="5396">
          <cell r="K5396" t="str">
            <v>GBWS-3960</v>
          </cell>
          <cell r="L5396">
            <v>45274</v>
          </cell>
          <cell r="M5396">
            <v>45275</v>
          </cell>
          <cell r="N5396">
            <v>45286</v>
          </cell>
          <cell r="O5396">
            <v>45275</v>
          </cell>
          <cell r="P5396">
            <v>45281</v>
          </cell>
          <cell r="Q5396">
            <v>45286</v>
          </cell>
          <cell r="R5396">
            <v>45287</v>
          </cell>
          <cell r="S5396">
            <v>45286</v>
          </cell>
          <cell r="T5396">
            <v>45286</v>
          </cell>
          <cell r="U5396">
            <v>45294</v>
          </cell>
          <cell r="V5396">
            <v>45294</v>
          </cell>
          <cell r="W5396">
            <v>45294</v>
          </cell>
          <cell r="X5396">
            <v>41100698</v>
          </cell>
        </row>
        <row r="5397">
          <cell r="K5397" t="str">
            <v>GBWS-3963</v>
          </cell>
          <cell r="L5397">
            <v>45644</v>
          </cell>
          <cell r="M5397" t="str">
            <v>2023-12-21 → 12/19</v>
          </cell>
          <cell r="N5397">
            <v>45287</v>
          </cell>
          <cell r="O5397" t="str">
            <v>2023-12-21 → 12/19</v>
          </cell>
          <cell r="P5397">
            <v>45286</v>
          </cell>
          <cell r="Q5397" t="str">
            <v>2024-01-03 → 12/27</v>
          </cell>
          <cell r="R5397" t="str">
            <v>2024-01-04 → 12/27</v>
          </cell>
          <cell r="S5397">
            <v>45293</v>
          </cell>
          <cell r="T5397">
            <v>45293</v>
          </cell>
          <cell r="U5397">
            <v>45300</v>
          </cell>
          <cell r="V5397">
            <v>45300</v>
          </cell>
          <cell r="W5397">
            <v>45300</v>
          </cell>
          <cell r="X5397">
            <v>41100227</v>
          </cell>
        </row>
        <row r="5398">
          <cell r="K5398" t="str">
            <v>GBWS-3803</v>
          </cell>
          <cell r="L5398">
            <v>45218</v>
          </cell>
          <cell r="M5398" t="str">
            <v>2023-10-19 → 10/20</v>
          </cell>
          <cell r="N5398">
            <v>45227</v>
          </cell>
          <cell r="O5398" t="str">
            <v>2023-10-19 → 10/20</v>
          </cell>
          <cell r="P5398">
            <v>45229</v>
          </cell>
          <cell r="Q5398">
            <v>45226</v>
          </cell>
          <cell r="R5398">
            <v>45229</v>
          </cell>
          <cell r="S5398">
            <v>45250</v>
          </cell>
          <cell r="T5398">
            <v>45250</v>
          </cell>
          <cell r="U5398">
            <v>45260</v>
          </cell>
          <cell r="V5398">
            <v>45261</v>
          </cell>
          <cell r="W5398">
            <v>45261</v>
          </cell>
          <cell r="X5398" t="str">
            <v>41000530 → 41000531</v>
          </cell>
        </row>
        <row r="5399">
          <cell r="K5399" t="str">
            <v>GBWS-3804</v>
          </cell>
          <cell r="L5399">
            <v>45218</v>
          </cell>
          <cell r="M5399" t="str">
            <v>2023-10-19 → 10/20</v>
          </cell>
          <cell r="N5399">
            <v>45227</v>
          </cell>
          <cell r="O5399" t="str">
            <v>2023-10-19 → 10/20</v>
          </cell>
          <cell r="P5399">
            <v>45229</v>
          </cell>
          <cell r="Q5399">
            <v>45226</v>
          </cell>
          <cell r="R5399">
            <v>45229</v>
          </cell>
          <cell r="S5399">
            <v>45250</v>
          </cell>
          <cell r="T5399">
            <v>45250</v>
          </cell>
          <cell r="U5399">
            <v>45273</v>
          </cell>
          <cell r="V5399">
            <v>45274</v>
          </cell>
          <cell r="W5399">
            <v>45274</v>
          </cell>
          <cell r="X5399" t="str">
            <v>41000530 → 41000531</v>
          </cell>
        </row>
        <row r="5400">
          <cell r="K5400" t="str">
            <v>DBW-3107</v>
          </cell>
          <cell r="L5400">
            <v>45226</v>
          </cell>
          <cell r="M5400">
            <v>45229</v>
          </cell>
          <cell r="N5400">
            <v>45238</v>
          </cell>
          <cell r="O5400">
            <v>45229</v>
          </cell>
          <cell r="P5400">
            <v>45238</v>
          </cell>
          <cell r="Q5400">
            <v>45238</v>
          </cell>
          <cell r="R5400">
            <v>45239</v>
          </cell>
          <cell r="S5400">
            <v>45240</v>
          </cell>
          <cell r="T5400">
            <v>45240</v>
          </cell>
          <cell r="U5400">
            <v>45274</v>
          </cell>
          <cell r="V5400">
            <v>45275</v>
          </cell>
          <cell r="W5400">
            <v>45275</v>
          </cell>
          <cell r="X5400">
            <v>41100696</v>
          </cell>
        </row>
        <row r="5401">
          <cell r="K5401" t="str">
            <v>DBW-3112</v>
          </cell>
          <cell r="L5401">
            <v>45236</v>
          </cell>
          <cell r="M5401" t="str">
            <v>2023-12-05 → 11/7</v>
          </cell>
          <cell r="N5401">
            <v>45245</v>
          </cell>
          <cell r="O5401" t="str">
            <v>2023-12-05 → 11/7</v>
          </cell>
          <cell r="P5401">
            <v>45245</v>
          </cell>
          <cell r="Q5401" t="str">
            <v>2023-12-12 → 11/14</v>
          </cell>
          <cell r="R5401" t="str">
            <v>2023-12-13 → 11/15</v>
          </cell>
          <cell r="S5401">
            <v>45246</v>
          </cell>
          <cell r="T5401">
            <v>45246</v>
          </cell>
          <cell r="U5401">
            <v>45250</v>
          </cell>
          <cell r="V5401">
            <v>45251</v>
          </cell>
          <cell r="W5401">
            <v>45251</v>
          </cell>
          <cell r="X5401">
            <v>41100647</v>
          </cell>
        </row>
        <row r="5402">
          <cell r="K5402" t="str">
            <v>GBWS-3848</v>
          </cell>
          <cell r="L5402">
            <v>45237</v>
          </cell>
          <cell r="M5402" t="str">
            <v>2023-12-05 → 11/8</v>
          </cell>
          <cell r="N5402">
            <v>45244</v>
          </cell>
          <cell r="O5402" t="str">
            <v>2023-12-05 → 11/8</v>
          </cell>
          <cell r="P5402">
            <v>45245</v>
          </cell>
          <cell r="Q5402" t="str">
            <v>2023-12-12 → 11/14</v>
          </cell>
          <cell r="R5402" t="str">
            <v>2023-12-13 → 11/15</v>
          </cell>
          <cell r="S5402">
            <v>45246</v>
          </cell>
          <cell r="T5402">
            <v>45246</v>
          </cell>
          <cell r="U5402">
            <v>45300</v>
          </cell>
          <cell r="V5402">
            <v>45300</v>
          </cell>
          <cell r="W5402">
            <v>45300</v>
          </cell>
          <cell r="X5402" t="str">
            <v>41100645 → 41100673</v>
          </cell>
        </row>
        <row r="5403">
          <cell r="K5403" t="str">
            <v>DBW-3150</v>
          </cell>
          <cell r="L5403">
            <v>45271</v>
          </cell>
          <cell r="M5403">
            <v>45272</v>
          </cell>
          <cell r="N5403">
            <v>45280</v>
          </cell>
          <cell r="O5403">
            <v>45272</v>
          </cell>
          <cell r="P5403">
            <v>45280</v>
          </cell>
          <cell r="Q5403">
            <v>45280</v>
          </cell>
          <cell r="R5403">
            <v>45281</v>
          </cell>
          <cell r="S5403">
            <v>45647</v>
          </cell>
          <cell r="T5403">
            <v>45647</v>
          </cell>
          <cell r="U5403">
            <v>45295</v>
          </cell>
          <cell r="V5403">
            <v>45296</v>
          </cell>
          <cell r="W5403">
            <v>45296</v>
          </cell>
          <cell r="X5403">
            <v>41100668</v>
          </cell>
        </row>
        <row r="5404">
          <cell r="K5404" t="str">
            <v>DBW-3162</v>
          </cell>
          <cell r="L5404">
            <v>45279</v>
          </cell>
          <cell r="M5404">
            <v>45280</v>
          </cell>
          <cell r="N5404">
            <v>45286</v>
          </cell>
          <cell r="O5404">
            <v>45280</v>
          </cell>
          <cell r="P5404">
            <v>45293</v>
          </cell>
          <cell r="Q5404">
            <v>45294</v>
          </cell>
          <cell r="R5404">
            <v>45295</v>
          </cell>
          <cell r="S5404">
            <v>45294</v>
          </cell>
          <cell r="T5404">
            <v>45294</v>
          </cell>
          <cell r="U5404">
            <v>45299</v>
          </cell>
          <cell r="V5404">
            <v>45299</v>
          </cell>
          <cell r="W5404">
            <v>45299</v>
          </cell>
          <cell r="X5404">
            <v>41100689</v>
          </cell>
        </row>
        <row r="5405">
          <cell r="K5405" t="str">
            <v>DBW-3163</v>
          </cell>
          <cell r="L5405">
            <v>45279</v>
          </cell>
          <cell r="M5405">
            <v>45280</v>
          </cell>
          <cell r="N5405">
            <v>45286</v>
          </cell>
          <cell r="O5405">
            <v>45280</v>
          </cell>
          <cell r="P5405">
            <v>45293</v>
          </cell>
          <cell r="Q5405">
            <v>45294</v>
          </cell>
          <cell r="R5405">
            <v>45295</v>
          </cell>
          <cell r="S5405">
            <v>45294</v>
          </cell>
          <cell r="T5405">
            <v>45294</v>
          </cell>
          <cell r="U5405">
            <v>45299</v>
          </cell>
          <cell r="V5405">
            <v>45299</v>
          </cell>
          <cell r="W5405">
            <v>45299</v>
          </cell>
          <cell r="X5405">
            <v>41100689</v>
          </cell>
        </row>
        <row r="5406">
          <cell r="K5406" t="str">
            <v>GBWS-3967</v>
          </cell>
          <cell r="L5406">
            <v>45279</v>
          </cell>
          <cell r="M5406">
            <v>45280</v>
          </cell>
          <cell r="N5406">
            <v>45294</v>
          </cell>
          <cell r="O5406">
            <v>45280</v>
          </cell>
          <cell r="P5406">
            <v>45295</v>
          </cell>
          <cell r="Q5406">
            <v>45294</v>
          </cell>
          <cell r="R5406">
            <v>45295</v>
          </cell>
          <cell r="S5406">
            <v>45296</v>
          </cell>
          <cell r="T5406">
            <v>45296</v>
          </cell>
          <cell r="U5406">
            <v>45302</v>
          </cell>
          <cell r="V5406">
            <v>45303</v>
          </cell>
          <cell r="W5406">
            <v>45303</v>
          </cell>
          <cell r="X5406">
            <v>41100536</v>
          </cell>
        </row>
        <row r="5407">
          <cell r="K5407" t="str">
            <v>DBW-3151</v>
          </cell>
          <cell r="L5407">
            <v>45271</v>
          </cell>
          <cell r="M5407">
            <v>45272</v>
          </cell>
          <cell r="N5407">
            <v>45280</v>
          </cell>
          <cell r="O5407">
            <v>45272</v>
          </cell>
          <cell r="P5407">
            <v>45280</v>
          </cell>
          <cell r="Q5407">
            <v>45280</v>
          </cell>
          <cell r="R5407">
            <v>45281</v>
          </cell>
          <cell r="S5407">
            <v>45647</v>
          </cell>
          <cell r="T5407">
            <v>45647</v>
          </cell>
          <cell r="U5407">
            <v>45295</v>
          </cell>
          <cell r="V5407">
            <v>45296</v>
          </cell>
          <cell r="W5407">
            <v>45296</v>
          </cell>
          <cell r="X5407">
            <v>41100668</v>
          </cell>
        </row>
        <row r="5408">
          <cell r="K5408" t="str">
            <v>DBW-3152</v>
          </cell>
          <cell r="L5408">
            <v>45271</v>
          </cell>
          <cell r="M5408">
            <v>45272</v>
          </cell>
          <cell r="N5408">
            <v>45280</v>
          </cell>
          <cell r="O5408">
            <v>45272</v>
          </cell>
          <cell r="P5408">
            <v>45280</v>
          </cell>
          <cell r="Q5408">
            <v>45280</v>
          </cell>
          <cell r="R5408">
            <v>45281</v>
          </cell>
          <cell r="S5408">
            <v>45647</v>
          </cell>
          <cell r="T5408">
            <v>45647</v>
          </cell>
          <cell r="U5408">
            <v>45295</v>
          </cell>
          <cell r="V5408">
            <v>45296</v>
          </cell>
          <cell r="W5408">
            <v>45296</v>
          </cell>
          <cell r="X5408">
            <v>41100668</v>
          </cell>
        </row>
        <row r="5409">
          <cell r="K5409" t="str">
            <v>DBW-3141</v>
          </cell>
          <cell r="L5409">
            <v>45260</v>
          </cell>
          <cell r="M5409">
            <v>45261</v>
          </cell>
          <cell r="N5409">
            <v>45268</v>
          </cell>
          <cell r="O5409">
            <v>45261</v>
          </cell>
          <cell r="P5409">
            <v>45268</v>
          </cell>
          <cell r="Q5409">
            <v>45268</v>
          </cell>
          <cell r="R5409">
            <v>45271</v>
          </cell>
          <cell r="S5409">
            <v>45271</v>
          </cell>
          <cell r="T5409">
            <v>45271</v>
          </cell>
          <cell r="U5409">
            <v>45287</v>
          </cell>
          <cell r="V5409">
            <v>45288</v>
          </cell>
          <cell r="W5409">
            <v>45288</v>
          </cell>
          <cell r="X5409">
            <v>41100668</v>
          </cell>
        </row>
        <row r="5410">
          <cell r="K5410" t="str">
            <v>DBW-3122</v>
          </cell>
          <cell r="L5410">
            <v>45239</v>
          </cell>
          <cell r="M5410">
            <v>45240</v>
          </cell>
          <cell r="N5410">
            <v>45247</v>
          </cell>
          <cell r="O5410">
            <v>45240</v>
          </cell>
          <cell r="P5410">
            <v>45246</v>
          </cell>
          <cell r="Q5410" t="str">
            <v>2023-11-17 → 11/20</v>
          </cell>
          <cell r="R5410" t="str">
            <v>2023-11-20 → 11/21</v>
          </cell>
          <cell r="S5410">
            <v>45253</v>
          </cell>
          <cell r="T5410">
            <v>45253</v>
          </cell>
          <cell r="U5410">
            <v>45257</v>
          </cell>
          <cell r="V5410">
            <v>45258</v>
          </cell>
          <cell r="W5410">
            <v>45258</v>
          </cell>
          <cell r="X5410">
            <v>41000533</v>
          </cell>
        </row>
        <row r="5411">
          <cell r="K5411" t="str">
            <v>DBW-3123</v>
          </cell>
          <cell r="L5411">
            <v>45239</v>
          </cell>
          <cell r="M5411">
            <v>45240</v>
          </cell>
          <cell r="N5411">
            <v>45247</v>
          </cell>
          <cell r="O5411">
            <v>45240</v>
          </cell>
          <cell r="P5411">
            <v>45246</v>
          </cell>
          <cell r="Q5411" t="str">
            <v>2023-11-17 → 11/20</v>
          </cell>
          <cell r="R5411" t="str">
            <v>2023-11-20 → 11/21</v>
          </cell>
          <cell r="S5411">
            <v>45253</v>
          </cell>
          <cell r="T5411">
            <v>45253</v>
          </cell>
          <cell r="U5411">
            <v>45260</v>
          </cell>
          <cell r="V5411">
            <v>45260</v>
          </cell>
          <cell r="W5411">
            <v>45260</v>
          </cell>
          <cell r="X5411">
            <v>41000533</v>
          </cell>
        </row>
        <row r="5412">
          <cell r="K5412" t="str">
            <v>DBW-3129</v>
          </cell>
          <cell r="L5412">
            <v>45244</v>
          </cell>
          <cell r="M5412">
            <v>45245</v>
          </cell>
          <cell r="N5412">
            <v>45250</v>
          </cell>
          <cell r="O5412">
            <v>45245</v>
          </cell>
          <cell r="P5412">
            <v>45252</v>
          </cell>
          <cell r="Q5412">
            <v>45251</v>
          </cell>
          <cell r="R5412">
            <v>45252</v>
          </cell>
          <cell r="S5412">
            <v>45253</v>
          </cell>
          <cell r="T5412">
            <v>45253</v>
          </cell>
          <cell r="U5412">
            <v>45258</v>
          </cell>
          <cell r="V5412">
            <v>45259</v>
          </cell>
          <cell r="W5412">
            <v>45259</v>
          </cell>
          <cell r="X5412">
            <v>41100691</v>
          </cell>
        </row>
        <row r="5413">
          <cell r="K5413" t="str">
            <v>DBW-3130</v>
          </cell>
          <cell r="L5413">
            <v>45244</v>
          </cell>
          <cell r="M5413">
            <v>45245</v>
          </cell>
          <cell r="N5413">
            <v>45250</v>
          </cell>
          <cell r="O5413">
            <v>45245</v>
          </cell>
          <cell r="P5413">
            <v>45252</v>
          </cell>
          <cell r="Q5413">
            <v>45251</v>
          </cell>
          <cell r="R5413">
            <v>45252</v>
          </cell>
          <cell r="S5413">
            <v>45253</v>
          </cell>
          <cell r="T5413">
            <v>45253</v>
          </cell>
          <cell r="U5413">
            <v>45258</v>
          </cell>
          <cell r="V5413">
            <v>45258</v>
          </cell>
          <cell r="W5413">
            <v>45258</v>
          </cell>
          <cell r="X5413">
            <v>41100691</v>
          </cell>
        </row>
        <row r="5414">
          <cell r="K5414" t="str">
            <v>DBW-3168</v>
          </cell>
          <cell r="L5414">
            <v>45281</v>
          </cell>
          <cell r="M5414">
            <v>45282</v>
          </cell>
          <cell r="N5414">
            <v>45294</v>
          </cell>
          <cell r="O5414">
            <v>45282</v>
          </cell>
          <cell r="P5414">
            <v>45295</v>
          </cell>
          <cell r="Q5414">
            <v>45295</v>
          </cell>
          <cell r="R5414">
            <v>45296</v>
          </cell>
          <cell r="S5414">
            <v>45295</v>
          </cell>
          <cell r="T5414">
            <v>45295</v>
          </cell>
          <cell r="U5414">
            <v>45300</v>
          </cell>
          <cell r="V5414">
            <v>45301</v>
          </cell>
          <cell r="W5414">
            <v>45301</v>
          </cell>
          <cell r="X5414">
            <v>41100696</v>
          </cell>
        </row>
        <row r="5415">
          <cell r="K5415" t="str">
            <v>DBW-3176</v>
          </cell>
          <cell r="L5415">
            <v>45282</v>
          </cell>
          <cell r="M5415">
            <v>45286</v>
          </cell>
          <cell r="N5415">
            <v>45299</v>
          </cell>
          <cell r="O5415">
            <v>45286</v>
          </cell>
          <cell r="P5415">
            <v>45300</v>
          </cell>
          <cell r="Q5415" t="str">
            <v>2024-01-08 → 01/09</v>
          </cell>
          <cell r="R5415" t="str">
            <v>2024-01-08 → 01/09</v>
          </cell>
          <cell r="S5415">
            <v>45300</v>
          </cell>
          <cell r="T5415">
            <v>45300</v>
          </cell>
          <cell r="U5415">
            <v>45303</v>
          </cell>
          <cell r="V5415">
            <v>45306</v>
          </cell>
          <cell r="W5415">
            <v>45306</v>
          </cell>
          <cell r="X5415">
            <v>41000576</v>
          </cell>
        </row>
        <row r="5416">
          <cell r="K5416" t="str">
            <v>DBW-3177</v>
          </cell>
          <cell r="L5416">
            <v>45282</v>
          </cell>
          <cell r="M5416">
            <v>45286</v>
          </cell>
          <cell r="N5416">
            <v>45299</v>
          </cell>
          <cell r="O5416">
            <v>45286</v>
          </cell>
          <cell r="P5416">
            <v>45300</v>
          </cell>
          <cell r="Q5416" t="str">
            <v>2024-01-08 → 01/09</v>
          </cell>
          <cell r="R5416" t="str">
            <v>2024-01-08 → 01/09</v>
          </cell>
          <cell r="S5416">
            <v>45300</v>
          </cell>
          <cell r="T5416">
            <v>45300</v>
          </cell>
          <cell r="U5416">
            <v>45303</v>
          </cell>
          <cell r="V5416">
            <v>45306</v>
          </cell>
          <cell r="W5416">
            <v>45306</v>
          </cell>
          <cell r="X5416">
            <v>41000576</v>
          </cell>
        </row>
        <row r="5417">
          <cell r="K5417" t="str">
            <v>DBW-3178</v>
          </cell>
          <cell r="L5417">
            <v>45282</v>
          </cell>
          <cell r="M5417">
            <v>45286</v>
          </cell>
          <cell r="N5417">
            <v>45299</v>
          </cell>
          <cell r="O5417">
            <v>45286</v>
          </cell>
          <cell r="P5417">
            <v>45299</v>
          </cell>
          <cell r="Q5417" t="str">
            <v>2024-01-08 → 01/09</v>
          </cell>
          <cell r="R5417" t="str">
            <v>2024-01-08 → 01/09</v>
          </cell>
          <cell r="S5417">
            <v>45300</v>
          </cell>
          <cell r="T5417">
            <v>45300</v>
          </cell>
          <cell r="U5417">
            <v>45303</v>
          </cell>
          <cell r="V5417">
            <v>45306</v>
          </cell>
          <cell r="W5417">
            <v>45306</v>
          </cell>
          <cell r="X5417">
            <v>41000576</v>
          </cell>
        </row>
        <row r="5418">
          <cell r="K5418" t="str">
            <v>DBW-3179</v>
          </cell>
          <cell r="L5418">
            <v>45282</v>
          </cell>
          <cell r="M5418">
            <v>45286</v>
          </cell>
          <cell r="N5418">
            <v>45299</v>
          </cell>
          <cell r="O5418">
            <v>45286</v>
          </cell>
          <cell r="P5418">
            <v>45299</v>
          </cell>
          <cell r="Q5418" t="str">
            <v>2024-01-08 → 01/09</v>
          </cell>
          <cell r="R5418" t="str">
            <v>2024-01-08 → 01/09</v>
          </cell>
          <cell r="S5418">
            <v>45300</v>
          </cell>
          <cell r="T5418">
            <v>45300</v>
          </cell>
          <cell r="U5418">
            <v>45303</v>
          </cell>
          <cell r="V5418">
            <v>45306</v>
          </cell>
          <cell r="W5418">
            <v>45306</v>
          </cell>
          <cell r="X5418">
            <v>41000576</v>
          </cell>
        </row>
        <row r="5419">
          <cell r="K5419" t="str">
            <v>GBWS-3969</v>
          </cell>
          <cell r="L5419">
            <v>45282</v>
          </cell>
          <cell r="M5419">
            <v>45286</v>
          </cell>
          <cell r="N5419">
            <v>45295</v>
          </cell>
          <cell r="O5419">
            <v>45286</v>
          </cell>
          <cell r="P5419">
            <v>45299</v>
          </cell>
          <cell r="Q5419">
            <v>45296</v>
          </cell>
          <cell r="R5419">
            <v>45299</v>
          </cell>
          <cell r="S5419">
            <v>45300</v>
          </cell>
          <cell r="T5419">
            <v>45300</v>
          </cell>
          <cell r="U5419">
            <v>45303</v>
          </cell>
          <cell r="V5419">
            <v>45306</v>
          </cell>
          <cell r="W5419">
            <v>45306</v>
          </cell>
          <cell r="X5419">
            <v>41100686</v>
          </cell>
        </row>
        <row r="5420">
          <cell r="K5420" t="str">
            <v>GBWS-3970</v>
          </cell>
          <cell r="L5420">
            <v>45282</v>
          </cell>
          <cell r="M5420">
            <v>45286</v>
          </cell>
          <cell r="N5420">
            <v>45295</v>
          </cell>
          <cell r="O5420">
            <v>45286</v>
          </cell>
          <cell r="P5420">
            <v>45299</v>
          </cell>
          <cell r="Q5420">
            <v>45296</v>
          </cell>
          <cell r="R5420">
            <v>45299</v>
          </cell>
          <cell r="S5420">
            <v>45300</v>
          </cell>
          <cell r="T5420">
            <v>45300</v>
          </cell>
          <cell r="U5420">
            <v>45303</v>
          </cell>
          <cell r="V5420">
            <v>45306</v>
          </cell>
          <cell r="W5420">
            <v>45306</v>
          </cell>
          <cell r="X5420">
            <v>41100686</v>
          </cell>
        </row>
        <row r="5421">
          <cell r="K5421" t="str">
            <v>GBWS-3968</v>
          </cell>
          <cell r="L5421">
            <v>45280</v>
          </cell>
          <cell r="M5421">
            <v>45281</v>
          </cell>
          <cell r="N5421">
            <v>45295</v>
          </cell>
          <cell r="O5421">
            <v>45281</v>
          </cell>
          <cell r="P5421">
            <v>45295</v>
          </cell>
          <cell r="Q5421">
            <v>45296</v>
          </cell>
          <cell r="R5421">
            <v>45299</v>
          </cell>
          <cell r="S5421">
            <v>45300</v>
          </cell>
          <cell r="T5421">
            <v>45300</v>
          </cell>
          <cell r="U5421">
            <v>45303</v>
          </cell>
          <cell r="V5421">
            <v>45306</v>
          </cell>
          <cell r="W5421">
            <v>45306</v>
          </cell>
          <cell r="X5421">
            <v>41100363</v>
          </cell>
        </row>
        <row r="5422">
          <cell r="K5422" t="str">
            <v>DBW-3174</v>
          </cell>
          <cell r="L5422">
            <v>45282</v>
          </cell>
          <cell r="M5422">
            <v>45286</v>
          </cell>
          <cell r="N5422">
            <v>45295</v>
          </cell>
          <cell r="O5422">
            <v>45286</v>
          </cell>
          <cell r="P5422">
            <v>45295</v>
          </cell>
          <cell r="Q5422">
            <v>45295</v>
          </cell>
          <cell r="R5422">
            <v>45295</v>
          </cell>
          <cell r="S5422">
            <v>45296</v>
          </cell>
          <cell r="T5422">
            <v>45296</v>
          </cell>
          <cell r="U5422">
            <v>45299</v>
          </cell>
          <cell r="V5422">
            <v>45300</v>
          </cell>
          <cell r="W5422">
            <v>45300</v>
          </cell>
          <cell r="X5422">
            <v>41000576</v>
          </cell>
        </row>
        <row r="5423">
          <cell r="K5423" t="str">
            <v>DBW-3175</v>
          </cell>
          <cell r="L5423">
            <v>45282</v>
          </cell>
          <cell r="M5423">
            <v>45286</v>
          </cell>
          <cell r="N5423">
            <v>45295</v>
          </cell>
          <cell r="O5423">
            <v>45286</v>
          </cell>
          <cell r="P5423">
            <v>45295</v>
          </cell>
          <cell r="Q5423">
            <v>45295</v>
          </cell>
          <cell r="R5423">
            <v>45295</v>
          </cell>
          <cell r="S5423">
            <v>45296</v>
          </cell>
          <cell r="T5423">
            <v>45296</v>
          </cell>
          <cell r="U5423">
            <v>45299</v>
          </cell>
          <cell r="V5423">
            <v>45301</v>
          </cell>
          <cell r="W5423">
            <v>45301</v>
          </cell>
          <cell r="X5423">
            <v>41000576</v>
          </cell>
        </row>
        <row r="5424">
          <cell r="K5424" t="str">
            <v>DBW-3171</v>
          </cell>
          <cell r="L5424">
            <v>45281</v>
          </cell>
          <cell r="M5424">
            <v>45282</v>
          </cell>
          <cell r="N5424">
            <v>45299</v>
          </cell>
          <cell r="O5424">
            <v>45282</v>
          </cell>
          <cell r="P5424">
            <v>45299</v>
          </cell>
          <cell r="Q5424" t="str">
            <v>2024-01-04 → 01/07</v>
          </cell>
          <cell r="R5424" t="str">
            <v>2024-01-05 → 01/07</v>
          </cell>
          <cell r="S5424">
            <v>45300</v>
          </cell>
          <cell r="T5424">
            <v>45300</v>
          </cell>
          <cell r="U5424">
            <v>45302</v>
          </cell>
          <cell r="V5424">
            <v>45303</v>
          </cell>
          <cell r="W5424">
            <v>45303</v>
          </cell>
          <cell r="X5424">
            <v>41000565</v>
          </cell>
        </row>
        <row r="5425">
          <cell r="K5425" t="str">
            <v>DBW-3120</v>
          </cell>
          <cell r="L5425">
            <v>45239</v>
          </cell>
          <cell r="M5425">
            <v>45240</v>
          </cell>
          <cell r="N5425">
            <v>45247</v>
          </cell>
          <cell r="O5425">
            <v>45240</v>
          </cell>
          <cell r="P5425">
            <v>45250</v>
          </cell>
          <cell r="Q5425" t="str">
            <v>2023-11-17 → 11/20</v>
          </cell>
          <cell r="R5425" t="str">
            <v>2023-11-20 → 11/21</v>
          </cell>
          <cell r="S5425">
            <v>45252</v>
          </cell>
          <cell r="T5425">
            <v>45252</v>
          </cell>
          <cell r="U5425">
            <v>45258</v>
          </cell>
          <cell r="V5425">
            <v>45259</v>
          </cell>
          <cell r="W5425">
            <v>45259</v>
          </cell>
          <cell r="X5425">
            <v>41100714</v>
          </cell>
        </row>
        <row r="5426">
          <cell r="K5426"/>
          <cell r="L5426">
            <v>45294</v>
          </cell>
          <cell r="M5426">
            <v>45294</v>
          </cell>
          <cell r="N5426">
            <v>45299</v>
          </cell>
          <cell r="O5426">
            <v>45294</v>
          </cell>
          <cell r="P5426">
            <v>45299</v>
          </cell>
          <cell r="Q5426">
            <v>45299</v>
          </cell>
          <cell r="R5426">
            <v>45299</v>
          </cell>
          <cell r="S5426">
            <v>45301</v>
          </cell>
          <cell r="T5426">
            <v>45301</v>
          </cell>
          <cell r="U5426">
            <v>45301</v>
          </cell>
          <cell r="V5426">
            <v>45301</v>
          </cell>
          <cell r="W5426">
            <v>45301</v>
          </cell>
          <cell r="X5426">
            <v>41000578</v>
          </cell>
        </row>
        <row r="5427">
          <cell r="K5427" t="str">
            <v>DBW-3121</v>
          </cell>
          <cell r="L5427">
            <v>45239</v>
          </cell>
          <cell r="M5427">
            <v>45240</v>
          </cell>
          <cell r="N5427">
            <v>45247</v>
          </cell>
          <cell r="O5427">
            <v>45240</v>
          </cell>
          <cell r="P5427">
            <v>45250</v>
          </cell>
          <cell r="Q5427" t="str">
            <v>2023-11-17 → 11/20</v>
          </cell>
          <cell r="R5427" t="str">
            <v>2023-11-20 → 11/21</v>
          </cell>
          <cell r="S5427">
            <v>45252</v>
          </cell>
          <cell r="T5427">
            <v>45252</v>
          </cell>
          <cell r="U5427">
            <v>45258</v>
          </cell>
          <cell r="V5427">
            <v>45258</v>
          </cell>
          <cell r="W5427">
            <v>45258</v>
          </cell>
          <cell r="X5427">
            <v>41100714</v>
          </cell>
        </row>
        <row r="5428">
          <cell r="K5428"/>
          <cell r="L5428">
            <v>45294</v>
          </cell>
          <cell r="M5428">
            <v>45294</v>
          </cell>
          <cell r="N5428">
            <v>45299</v>
          </cell>
          <cell r="O5428">
            <v>45294</v>
          </cell>
          <cell r="P5428">
            <v>45299</v>
          </cell>
          <cell r="Q5428">
            <v>45299</v>
          </cell>
          <cell r="R5428">
            <v>45299</v>
          </cell>
          <cell r="S5428">
            <v>45301</v>
          </cell>
          <cell r="T5428">
            <v>45301</v>
          </cell>
          <cell r="U5428">
            <v>45301</v>
          </cell>
          <cell r="V5428">
            <v>45301</v>
          </cell>
          <cell r="W5428">
            <v>45301</v>
          </cell>
          <cell r="X5428">
            <v>41000578</v>
          </cell>
        </row>
        <row r="5429">
          <cell r="K5429" t="str">
            <v>DBW-3172</v>
          </cell>
          <cell r="L5429">
            <v>45282</v>
          </cell>
          <cell r="M5429">
            <v>45286</v>
          </cell>
          <cell r="N5429">
            <v>45295</v>
          </cell>
          <cell r="O5429">
            <v>45286</v>
          </cell>
          <cell r="P5429">
            <v>45296</v>
          </cell>
          <cell r="Q5429">
            <v>45296</v>
          </cell>
          <cell r="R5429">
            <v>45296</v>
          </cell>
          <cell r="S5429">
            <v>45299</v>
          </cell>
          <cell r="T5429">
            <v>45299</v>
          </cell>
          <cell r="U5429">
            <v>45299</v>
          </cell>
          <cell r="V5429">
            <v>45300</v>
          </cell>
          <cell r="W5429">
            <v>45300</v>
          </cell>
          <cell r="X5429">
            <v>41000573</v>
          </cell>
        </row>
        <row r="5430">
          <cell r="K5430" t="str">
            <v>DBW-3173</v>
          </cell>
          <cell r="L5430">
            <v>45282</v>
          </cell>
          <cell r="M5430">
            <v>45286</v>
          </cell>
          <cell r="N5430">
            <v>45295</v>
          </cell>
          <cell r="O5430">
            <v>45286</v>
          </cell>
          <cell r="P5430">
            <v>45296</v>
          </cell>
          <cell r="Q5430">
            <v>45296</v>
          </cell>
          <cell r="R5430">
            <v>45296</v>
          </cell>
          <cell r="S5430">
            <v>45299</v>
          </cell>
          <cell r="T5430">
            <v>45299</v>
          </cell>
          <cell r="U5430">
            <v>45299</v>
          </cell>
          <cell r="V5430">
            <v>45300</v>
          </cell>
          <cell r="W5430">
            <v>45300</v>
          </cell>
          <cell r="X5430">
            <v>41000573</v>
          </cell>
        </row>
        <row r="5431">
          <cell r="K5431" t="str">
            <v>DBW-3169</v>
          </cell>
          <cell r="L5431">
            <v>45281</v>
          </cell>
          <cell r="M5431">
            <v>45282</v>
          </cell>
          <cell r="N5431">
            <v>45299</v>
          </cell>
          <cell r="O5431">
            <v>45282</v>
          </cell>
          <cell r="P5431">
            <v>45299</v>
          </cell>
          <cell r="Q5431" t="str">
            <v>2024-01-04 → 01/07</v>
          </cell>
          <cell r="R5431" t="str">
            <v>2024-01-05 → 01/07</v>
          </cell>
          <cell r="S5431">
            <v>45300</v>
          </cell>
          <cell r="T5431">
            <v>45300</v>
          </cell>
          <cell r="U5431">
            <v>45301</v>
          </cell>
          <cell r="V5431">
            <v>45302</v>
          </cell>
          <cell r="W5431">
            <v>45302</v>
          </cell>
          <cell r="X5431">
            <v>41000565</v>
          </cell>
        </row>
        <row r="5432">
          <cell r="K5432" t="str">
            <v>DBW-3170</v>
          </cell>
          <cell r="L5432">
            <v>45281</v>
          </cell>
          <cell r="M5432">
            <v>45282</v>
          </cell>
          <cell r="N5432">
            <v>45299</v>
          </cell>
          <cell r="O5432">
            <v>45282</v>
          </cell>
          <cell r="P5432">
            <v>45299</v>
          </cell>
          <cell r="Q5432" t="str">
            <v>2024-01-04 → 01/07</v>
          </cell>
          <cell r="R5432" t="str">
            <v>2024-01-05 → 01/07</v>
          </cell>
          <cell r="S5432">
            <v>45300</v>
          </cell>
          <cell r="T5432">
            <v>45300</v>
          </cell>
          <cell r="U5432">
            <v>45301</v>
          </cell>
          <cell r="V5432">
            <v>45302</v>
          </cell>
          <cell r="W5432">
            <v>45302</v>
          </cell>
          <cell r="X5432">
            <v>41000565</v>
          </cell>
        </row>
        <row r="5433">
          <cell r="K5433" t="str">
            <v>DBW-3160</v>
          </cell>
          <cell r="L5433">
            <v>45278</v>
          </cell>
          <cell r="M5433">
            <v>45279</v>
          </cell>
          <cell r="N5433">
            <v>45286</v>
          </cell>
          <cell r="O5433">
            <v>45279</v>
          </cell>
          <cell r="P5433">
            <v>45287</v>
          </cell>
          <cell r="Q5433">
            <v>45286</v>
          </cell>
          <cell r="R5433">
            <v>45287</v>
          </cell>
          <cell r="S5433">
            <v>45293</v>
          </cell>
          <cell r="T5433">
            <v>45293</v>
          </cell>
          <cell r="U5433">
            <v>45294</v>
          </cell>
          <cell r="V5433">
            <v>45294</v>
          </cell>
          <cell r="W5433">
            <v>45294</v>
          </cell>
          <cell r="X5433">
            <v>41100668</v>
          </cell>
        </row>
        <row r="5434">
          <cell r="K5434" t="str">
            <v>DBW-3161</v>
          </cell>
          <cell r="L5434">
            <v>45278</v>
          </cell>
          <cell r="M5434">
            <v>45279</v>
          </cell>
          <cell r="N5434">
            <v>45286</v>
          </cell>
          <cell r="O5434">
            <v>45279</v>
          </cell>
          <cell r="P5434">
            <v>45287</v>
          </cell>
          <cell r="Q5434">
            <v>45286</v>
          </cell>
          <cell r="R5434">
            <v>45287</v>
          </cell>
          <cell r="S5434">
            <v>45293</v>
          </cell>
          <cell r="T5434">
            <v>45293</v>
          </cell>
          <cell r="U5434">
            <v>45294</v>
          </cell>
          <cell r="V5434">
            <v>45294</v>
          </cell>
          <cell r="W5434">
            <v>45294</v>
          </cell>
          <cell r="X5434">
            <v>41100668</v>
          </cell>
        </row>
        <row r="5435">
          <cell r="K5435" t="str">
            <v>GBWS-3985</v>
          </cell>
          <cell r="L5435">
            <v>45295</v>
          </cell>
          <cell r="M5435">
            <v>45296</v>
          </cell>
          <cell r="N5435">
            <v>45303</v>
          </cell>
          <cell r="O5435">
            <v>45296</v>
          </cell>
          <cell r="P5435">
            <v>45306</v>
          </cell>
          <cell r="Q5435">
            <v>45303</v>
          </cell>
          <cell r="R5435">
            <v>45306</v>
          </cell>
          <cell r="S5435">
            <v>45307</v>
          </cell>
          <cell r="T5435">
            <v>45307</v>
          </cell>
          <cell r="U5435">
            <v>45309</v>
          </cell>
          <cell r="V5435">
            <v>45310</v>
          </cell>
          <cell r="W5435">
            <v>45310</v>
          </cell>
          <cell r="X5435">
            <v>41000561</v>
          </cell>
        </row>
        <row r="5436">
          <cell r="K5436" t="str">
            <v>GBWS-3986</v>
          </cell>
          <cell r="L5436">
            <v>45295</v>
          </cell>
          <cell r="M5436">
            <v>45296</v>
          </cell>
          <cell r="N5436">
            <v>45303</v>
          </cell>
          <cell r="O5436">
            <v>45296</v>
          </cell>
          <cell r="P5436">
            <v>45306</v>
          </cell>
          <cell r="Q5436">
            <v>45303</v>
          </cell>
          <cell r="R5436">
            <v>45306</v>
          </cell>
          <cell r="S5436">
            <v>45307</v>
          </cell>
          <cell r="T5436">
            <v>45307</v>
          </cell>
          <cell r="U5436">
            <v>45309</v>
          </cell>
          <cell r="V5436">
            <v>45310</v>
          </cell>
          <cell r="W5436">
            <v>45310</v>
          </cell>
          <cell r="X5436">
            <v>41000561</v>
          </cell>
        </row>
        <row r="5437">
          <cell r="K5437" t="str">
            <v>DBW-3184</v>
          </cell>
          <cell r="L5437">
            <v>45294</v>
          </cell>
          <cell r="M5437">
            <v>45295</v>
          </cell>
          <cell r="N5437">
            <v>45301</v>
          </cell>
          <cell r="O5437">
            <v>45295</v>
          </cell>
          <cell r="P5437">
            <v>45303</v>
          </cell>
          <cell r="Q5437">
            <v>45303</v>
          </cell>
          <cell r="R5437">
            <v>45306</v>
          </cell>
          <cell r="S5437">
            <v>45307</v>
          </cell>
          <cell r="T5437">
            <v>45307</v>
          </cell>
          <cell r="U5437">
            <v>45308</v>
          </cell>
          <cell r="V5437">
            <v>45308</v>
          </cell>
          <cell r="W5437">
            <v>45308</v>
          </cell>
          <cell r="X5437">
            <v>41000576</v>
          </cell>
        </row>
        <row r="5438">
          <cell r="K5438" t="str">
            <v>DBW-3185</v>
          </cell>
          <cell r="L5438">
            <v>45294</v>
          </cell>
          <cell r="M5438">
            <v>45295</v>
          </cell>
          <cell r="N5438">
            <v>45301</v>
          </cell>
          <cell r="O5438">
            <v>45295</v>
          </cell>
          <cell r="P5438">
            <v>45303</v>
          </cell>
          <cell r="Q5438">
            <v>45303</v>
          </cell>
          <cell r="R5438">
            <v>45306</v>
          </cell>
          <cell r="S5438">
            <v>45307</v>
          </cell>
          <cell r="T5438">
            <v>45307</v>
          </cell>
          <cell r="U5438">
            <v>45308</v>
          </cell>
          <cell r="V5438">
            <v>45309</v>
          </cell>
          <cell r="W5438">
            <v>45309</v>
          </cell>
          <cell r="X5438">
            <v>41000576</v>
          </cell>
        </row>
        <row r="5439">
          <cell r="K5439" t="str">
            <v>GBWS-3975</v>
          </cell>
          <cell r="L5439">
            <v>45294</v>
          </cell>
          <cell r="M5439">
            <v>45295</v>
          </cell>
          <cell r="N5439">
            <v>45302</v>
          </cell>
          <cell r="O5439">
            <v>45295</v>
          </cell>
          <cell r="P5439">
            <v>45303</v>
          </cell>
          <cell r="Q5439">
            <v>45302</v>
          </cell>
          <cell r="R5439">
            <v>45303</v>
          </cell>
          <cell r="S5439">
            <v>45306</v>
          </cell>
          <cell r="T5439">
            <v>45306</v>
          </cell>
          <cell r="U5439">
            <v>45307</v>
          </cell>
          <cell r="V5439">
            <v>45308</v>
          </cell>
          <cell r="W5439">
            <v>45308</v>
          </cell>
          <cell r="X5439">
            <v>41100507</v>
          </cell>
        </row>
        <row r="5440">
          <cell r="K5440" t="str">
            <v>GBWS-3976</v>
          </cell>
          <cell r="L5440">
            <v>45295</v>
          </cell>
          <cell r="M5440">
            <v>45296</v>
          </cell>
          <cell r="N5440">
            <v>45303</v>
          </cell>
          <cell r="O5440">
            <v>45296</v>
          </cell>
          <cell r="P5440">
            <v>45306</v>
          </cell>
          <cell r="Q5440">
            <v>45303</v>
          </cell>
          <cell r="R5440">
            <v>45306</v>
          </cell>
          <cell r="S5440">
            <v>45307</v>
          </cell>
          <cell r="T5440">
            <v>45307</v>
          </cell>
          <cell r="U5440">
            <v>45308</v>
          </cell>
          <cell r="V5440">
            <v>45309</v>
          </cell>
          <cell r="W5440">
            <v>45309</v>
          </cell>
          <cell r="X5440">
            <v>41100460</v>
          </cell>
        </row>
        <row r="5441">
          <cell r="K5441" t="str">
            <v>GBWS-3977</v>
          </cell>
          <cell r="L5441">
            <v>45295</v>
          </cell>
          <cell r="M5441">
            <v>45296</v>
          </cell>
          <cell r="N5441">
            <v>45303</v>
          </cell>
          <cell r="O5441">
            <v>45296</v>
          </cell>
          <cell r="P5441">
            <v>45306</v>
          </cell>
          <cell r="Q5441">
            <v>45303</v>
          </cell>
          <cell r="R5441">
            <v>45306</v>
          </cell>
          <cell r="S5441">
            <v>45307</v>
          </cell>
          <cell r="T5441">
            <v>45307</v>
          </cell>
          <cell r="U5441">
            <v>45308</v>
          </cell>
          <cell r="V5441">
            <v>45309</v>
          </cell>
          <cell r="W5441">
            <v>45309</v>
          </cell>
          <cell r="X5441">
            <v>41100460</v>
          </cell>
        </row>
        <row r="5442">
          <cell r="K5442" t="str">
            <v>GBWS-3978</v>
          </cell>
          <cell r="L5442">
            <v>45295</v>
          </cell>
          <cell r="M5442">
            <v>45296</v>
          </cell>
          <cell r="N5442">
            <v>45303</v>
          </cell>
          <cell r="O5442">
            <v>45296</v>
          </cell>
          <cell r="P5442">
            <v>45303</v>
          </cell>
          <cell r="Q5442">
            <v>45303</v>
          </cell>
          <cell r="R5442">
            <v>45306</v>
          </cell>
          <cell r="S5442">
            <v>45307</v>
          </cell>
          <cell r="T5442">
            <v>45307</v>
          </cell>
          <cell r="U5442">
            <v>45308</v>
          </cell>
          <cell r="V5442">
            <v>45310</v>
          </cell>
          <cell r="W5442">
            <v>45310</v>
          </cell>
          <cell r="X5442">
            <v>41100460</v>
          </cell>
        </row>
        <row r="5443">
          <cell r="K5443" t="str">
            <v>GBWS-3979</v>
          </cell>
          <cell r="L5443">
            <v>45295</v>
          </cell>
          <cell r="M5443">
            <v>45296</v>
          </cell>
          <cell r="N5443">
            <v>45303</v>
          </cell>
          <cell r="O5443">
            <v>45296</v>
          </cell>
          <cell r="P5443">
            <v>45303</v>
          </cell>
          <cell r="Q5443">
            <v>45303</v>
          </cell>
          <cell r="R5443">
            <v>45306</v>
          </cell>
          <cell r="S5443">
            <v>45307</v>
          </cell>
          <cell r="T5443">
            <v>45307</v>
          </cell>
          <cell r="U5443">
            <v>45308</v>
          </cell>
          <cell r="V5443">
            <v>45309</v>
          </cell>
          <cell r="W5443">
            <v>45309</v>
          </cell>
          <cell r="X5443">
            <v>41100460</v>
          </cell>
        </row>
        <row r="5444">
          <cell r="K5444" t="str">
            <v>GBWS-3980</v>
          </cell>
          <cell r="L5444">
            <v>45295</v>
          </cell>
          <cell r="M5444">
            <v>45296</v>
          </cell>
          <cell r="N5444">
            <v>45302</v>
          </cell>
          <cell r="O5444">
            <v>45296</v>
          </cell>
          <cell r="P5444">
            <v>45301</v>
          </cell>
          <cell r="Q5444">
            <v>45303</v>
          </cell>
          <cell r="R5444">
            <v>45306</v>
          </cell>
          <cell r="S5444">
            <v>45308</v>
          </cell>
          <cell r="T5444">
            <v>45308</v>
          </cell>
          <cell r="U5444">
            <v>45309</v>
          </cell>
          <cell r="V5444">
            <v>45310</v>
          </cell>
          <cell r="W5444">
            <v>45310</v>
          </cell>
          <cell r="X5444">
            <v>41100509</v>
          </cell>
        </row>
        <row r="5445">
          <cell r="K5445" t="str">
            <v>GBWS-3981</v>
          </cell>
          <cell r="L5445">
            <v>45295</v>
          </cell>
          <cell r="M5445">
            <v>45296</v>
          </cell>
          <cell r="N5445">
            <v>45302</v>
          </cell>
          <cell r="O5445">
            <v>45296</v>
          </cell>
          <cell r="P5445">
            <v>45301</v>
          </cell>
          <cell r="Q5445">
            <v>45303</v>
          </cell>
          <cell r="R5445">
            <v>45306</v>
          </cell>
          <cell r="S5445">
            <v>45308</v>
          </cell>
          <cell r="T5445">
            <v>45308</v>
          </cell>
          <cell r="U5445">
            <v>45309</v>
          </cell>
          <cell r="V5445">
            <v>45310</v>
          </cell>
          <cell r="W5445">
            <v>45310</v>
          </cell>
          <cell r="X5445">
            <v>41100509</v>
          </cell>
        </row>
        <row r="5446">
          <cell r="K5446" t="str">
            <v>GBWS-3982</v>
          </cell>
          <cell r="L5446">
            <v>45295</v>
          </cell>
          <cell r="M5446">
            <v>45296</v>
          </cell>
          <cell r="N5446">
            <v>45302</v>
          </cell>
          <cell r="O5446">
            <v>45296</v>
          </cell>
          <cell r="P5446">
            <v>45301</v>
          </cell>
          <cell r="Q5446">
            <v>45303</v>
          </cell>
          <cell r="R5446">
            <v>45306</v>
          </cell>
          <cell r="S5446">
            <v>45308</v>
          </cell>
          <cell r="T5446">
            <v>45308</v>
          </cell>
          <cell r="U5446">
            <v>45309</v>
          </cell>
          <cell r="V5446">
            <v>45310</v>
          </cell>
          <cell r="W5446">
            <v>45310</v>
          </cell>
          <cell r="X5446">
            <v>41100509</v>
          </cell>
        </row>
        <row r="5447">
          <cell r="K5447" t="str">
            <v>GBWS-3983</v>
          </cell>
          <cell r="L5447">
            <v>45295</v>
          </cell>
          <cell r="M5447">
            <v>45296</v>
          </cell>
          <cell r="N5447">
            <v>45302</v>
          </cell>
          <cell r="O5447">
            <v>45296</v>
          </cell>
          <cell r="P5447">
            <v>45301</v>
          </cell>
          <cell r="Q5447">
            <v>45303</v>
          </cell>
          <cell r="R5447">
            <v>45306</v>
          </cell>
          <cell r="S5447">
            <v>45308</v>
          </cell>
          <cell r="T5447">
            <v>45308</v>
          </cell>
          <cell r="U5447">
            <v>45309</v>
          </cell>
          <cell r="V5447">
            <v>45310</v>
          </cell>
          <cell r="W5447">
            <v>45310</v>
          </cell>
          <cell r="X5447">
            <v>41100509</v>
          </cell>
        </row>
        <row r="5448">
          <cell r="K5448" t="str">
            <v>IVAS-242</v>
          </cell>
          <cell r="L5448">
            <v>45293</v>
          </cell>
          <cell r="M5448">
            <v>45294</v>
          </cell>
          <cell r="N5448">
            <v>45302</v>
          </cell>
          <cell r="O5448">
            <v>45294</v>
          </cell>
          <cell r="P5448">
            <v>45303</v>
          </cell>
          <cell r="Q5448">
            <v>45302</v>
          </cell>
          <cell r="R5448">
            <v>45303</v>
          </cell>
          <cell r="S5448">
            <v>45306</v>
          </cell>
          <cell r="T5448">
            <v>45306</v>
          </cell>
          <cell r="U5448">
            <v>45309</v>
          </cell>
          <cell r="V5448">
            <v>45315</v>
          </cell>
          <cell r="W5448">
            <v>45315</v>
          </cell>
          <cell r="X5448">
            <v>41000571</v>
          </cell>
        </row>
        <row r="5449">
          <cell r="K5449" t="str">
            <v>GBWS-3988</v>
          </cell>
          <cell r="L5449">
            <v>45296</v>
          </cell>
          <cell r="M5449">
            <v>45299</v>
          </cell>
          <cell r="N5449">
            <v>45306</v>
          </cell>
          <cell r="O5449">
            <v>45299</v>
          </cell>
          <cell r="P5449">
            <v>45308</v>
          </cell>
          <cell r="Q5449">
            <v>45307</v>
          </cell>
          <cell r="R5449">
            <v>45308</v>
          </cell>
          <cell r="S5449">
            <v>45309</v>
          </cell>
          <cell r="T5449">
            <v>45309</v>
          </cell>
          <cell r="U5449">
            <v>45310</v>
          </cell>
          <cell r="V5449">
            <v>45313</v>
          </cell>
          <cell r="W5449">
            <v>45313</v>
          </cell>
          <cell r="X5449">
            <v>41100460</v>
          </cell>
        </row>
        <row r="5450">
          <cell r="K5450" t="str">
            <v>GBWS-3989</v>
          </cell>
          <cell r="L5450">
            <v>45296</v>
          </cell>
          <cell r="M5450">
            <v>45299</v>
          </cell>
          <cell r="N5450">
            <v>45306</v>
          </cell>
          <cell r="O5450">
            <v>45299</v>
          </cell>
          <cell r="P5450">
            <v>45308</v>
          </cell>
          <cell r="Q5450">
            <v>45307</v>
          </cell>
          <cell r="R5450">
            <v>45308</v>
          </cell>
          <cell r="S5450">
            <v>45309</v>
          </cell>
          <cell r="T5450">
            <v>45309</v>
          </cell>
          <cell r="U5450">
            <v>45310</v>
          </cell>
          <cell r="V5450">
            <v>45313</v>
          </cell>
          <cell r="W5450">
            <v>45313</v>
          </cell>
          <cell r="X5450">
            <v>41100460</v>
          </cell>
        </row>
        <row r="5451">
          <cell r="K5451" t="str">
            <v>GBWS-3990</v>
          </cell>
          <cell r="L5451">
            <v>45296</v>
          </cell>
          <cell r="M5451">
            <v>45299</v>
          </cell>
          <cell r="N5451">
            <v>45306</v>
          </cell>
          <cell r="O5451">
            <v>45299</v>
          </cell>
          <cell r="P5451">
            <v>45308</v>
          </cell>
          <cell r="Q5451">
            <v>45307</v>
          </cell>
          <cell r="R5451">
            <v>45308</v>
          </cell>
          <cell r="S5451">
            <v>45309</v>
          </cell>
          <cell r="T5451">
            <v>45309</v>
          </cell>
          <cell r="U5451">
            <v>45310</v>
          </cell>
          <cell r="V5451">
            <v>45313</v>
          </cell>
          <cell r="W5451">
            <v>45313</v>
          </cell>
          <cell r="X5451">
            <v>41100460</v>
          </cell>
        </row>
        <row r="5452">
          <cell r="K5452" t="str">
            <v>GBWS-3991</v>
          </cell>
          <cell r="L5452">
            <v>45296</v>
          </cell>
          <cell r="M5452">
            <v>45299</v>
          </cell>
          <cell r="N5452">
            <v>45306</v>
          </cell>
          <cell r="O5452">
            <v>45299</v>
          </cell>
          <cell r="P5452">
            <v>45308</v>
          </cell>
          <cell r="Q5452">
            <v>45307</v>
          </cell>
          <cell r="R5452">
            <v>45308</v>
          </cell>
          <cell r="S5452">
            <v>45309</v>
          </cell>
          <cell r="T5452">
            <v>45309</v>
          </cell>
          <cell r="U5452">
            <v>45310</v>
          </cell>
          <cell r="V5452">
            <v>45313</v>
          </cell>
          <cell r="W5452">
            <v>45313</v>
          </cell>
          <cell r="X5452">
            <v>41100460</v>
          </cell>
        </row>
        <row r="5453">
          <cell r="K5453" t="str">
            <v>GBWS-3992</v>
          </cell>
          <cell r="L5453">
            <v>45296</v>
          </cell>
          <cell r="M5453">
            <v>45299</v>
          </cell>
          <cell r="N5453">
            <v>45306</v>
          </cell>
          <cell r="O5453">
            <v>45299</v>
          </cell>
          <cell r="P5453">
            <v>45308</v>
          </cell>
          <cell r="Q5453">
            <v>45307</v>
          </cell>
          <cell r="R5453">
            <v>45308</v>
          </cell>
          <cell r="S5453">
            <v>45309</v>
          </cell>
          <cell r="T5453">
            <v>45309</v>
          </cell>
          <cell r="U5453">
            <v>45310</v>
          </cell>
          <cell r="V5453">
            <v>45313</v>
          </cell>
          <cell r="W5453">
            <v>45313</v>
          </cell>
          <cell r="X5453">
            <v>41100460</v>
          </cell>
        </row>
        <row r="5454">
          <cell r="K5454" t="str">
            <v>GBWS-3993</v>
          </cell>
          <cell r="L5454">
            <v>45296</v>
          </cell>
          <cell r="M5454">
            <v>45299</v>
          </cell>
          <cell r="N5454">
            <v>45306</v>
          </cell>
          <cell r="O5454">
            <v>45299</v>
          </cell>
          <cell r="P5454">
            <v>45308</v>
          </cell>
          <cell r="Q5454">
            <v>45307</v>
          </cell>
          <cell r="R5454">
            <v>45308</v>
          </cell>
          <cell r="S5454">
            <v>45309</v>
          </cell>
          <cell r="T5454">
            <v>45309</v>
          </cell>
          <cell r="U5454">
            <v>45310</v>
          </cell>
          <cell r="V5454">
            <v>45313</v>
          </cell>
          <cell r="W5454">
            <v>45313</v>
          </cell>
          <cell r="X5454">
            <v>41100460</v>
          </cell>
        </row>
        <row r="5455">
          <cell r="K5455" t="str">
            <v>GBWS-3994</v>
          </cell>
          <cell r="L5455">
            <v>45299</v>
          </cell>
          <cell r="M5455">
            <v>45300</v>
          </cell>
          <cell r="N5455">
            <v>45306</v>
          </cell>
          <cell r="O5455">
            <v>45300</v>
          </cell>
          <cell r="P5455">
            <v>45308</v>
          </cell>
          <cell r="Q5455">
            <v>45307</v>
          </cell>
          <cell r="R5455">
            <v>45308</v>
          </cell>
          <cell r="S5455">
            <v>45309</v>
          </cell>
          <cell r="T5455">
            <v>45309</v>
          </cell>
          <cell r="U5455">
            <v>45313</v>
          </cell>
          <cell r="V5455">
            <v>45314</v>
          </cell>
          <cell r="W5455">
            <v>45314</v>
          </cell>
          <cell r="X5455">
            <v>41100509</v>
          </cell>
        </row>
        <row r="5456">
          <cell r="K5456" t="str">
            <v>GBWS-3995</v>
          </cell>
          <cell r="L5456">
            <v>45299</v>
          </cell>
          <cell r="M5456">
            <v>45300</v>
          </cell>
          <cell r="N5456">
            <v>45306</v>
          </cell>
          <cell r="O5456">
            <v>45300</v>
          </cell>
          <cell r="P5456">
            <v>45308</v>
          </cell>
          <cell r="Q5456">
            <v>45307</v>
          </cell>
          <cell r="R5456">
            <v>45308</v>
          </cell>
          <cell r="S5456">
            <v>45309</v>
          </cell>
          <cell r="T5456">
            <v>45309</v>
          </cell>
          <cell r="U5456">
            <v>45313</v>
          </cell>
          <cell r="V5456">
            <v>45314</v>
          </cell>
          <cell r="W5456">
            <v>45314</v>
          </cell>
          <cell r="X5456">
            <v>41100509</v>
          </cell>
        </row>
        <row r="5457">
          <cell r="K5457" t="str">
            <v>GBWS-3996</v>
          </cell>
          <cell r="L5457">
            <v>45299</v>
          </cell>
          <cell r="M5457">
            <v>45300</v>
          </cell>
          <cell r="N5457">
            <v>45306</v>
          </cell>
          <cell r="O5457">
            <v>45300</v>
          </cell>
          <cell r="P5457">
            <v>45308</v>
          </cell>
          <cell r="Q5457">
            <v>45307</v>
          </cell>
          <cell r="R5457">
            <v>45308</v>
          </cell>
          <cell r="S5457">
            <v>45309</v>
          </cell>
          <cell r="T5457">
            <v>45309</v>
          </cell>
          <cell r="U5457">
            <v>45313</v>
          </cell>
          <cell r="V5457">
            <v>45314</v>
          </cell>
          <cell r="W5457">
            <v>45314</v>
          </cell>
          <cell r="X5457">
            <v>41100509</v>
          </cell>
        </row>
        <row r="5458">
          <cell r="K5458" t="str">
            <v>GBWS-3997</v>
          </cell>
          <cell r="L5458">
            <v>45299</v>
          </cell>
          <cell r="M5458">
            <v>45300</v>
          </cell>
          <cell r="N5458">
            <v>45306</v>
          </cell>
          <cell r="O5458">
            <v>45300</v>
          </cell>
          <cell r="P5458">
            <v>45308</v>
          </cell>
          <cell r="Q5458">
            <v>45307</v>
          </cell>
          <cell r="R5458">
            <v>45308</v>
          </cell>
          <cell r="S5458">
            <v>45309</v>
          </cell>
          <cell r="T5458">
            <v>45309</v>
          </cell>
          <cell r="U5458">
            <v>45314</v>
          </cell>
          <cell r="V5458">
            <v>45314</v>
          </cell>
          <cell r="W5458">
            <v>45314</v>
          </cell>
          <cell r="X5458">
            <v>41100509</v>
          </cell>
        </row>
        <row r="5459">
          <cell r="K5459" t="str">
            <v>GBWS-3971</v>
          </cell>
          <cell r="L5459">
            <v>45293</v>
          </cell>
          <cell r="M5459">
            <v>45294</v>
          </cell>
          <cell r="N5459">
            <v>45301</v>
          </cell>
          <cell r="O5459">
            <v>45294</v>
          </cell>
          <cell r="P5459">
            <v>45303</v>
          </cell>
          <cell r="Q5459">
            <v>45302</v>
          </cell>
          <cell r="R5459">
            <v>45303</v>
          </cell>
          <cell r="S5459">
            <v>45306</v>
          </cell>
          <cell r="T5459">
            <v>45306</v>
          </cell>
          <cell r="U5459">
            <v>45307</v>
          </cell>
          <cell r="V5459">
            <v>45308</v>
          </cell>
          <cell r="W5459">
            <v>45308</v>
          </cell>
          <cell r="X5459">
            <v>41100686</v>
          </cell>
        </row>
        <row r="5460">
          <cell r="K5460" t="str">
            <v>GBWS-3972</v>
          </cell>
          <cell r="L5460">
            <v>45293</v>
          </cell>
          <cell r="M5460">
            <v>45294</v>
          </cell>
          <cell r="N5460">
            <v>45301</v>
          </cell>
          <cell r="O5460">
            <v>45294</v>
          </cell>
          <cell r="P5460">
            <v>45303</v>
          </cell>
          <cell r="Q5460">
            <v>45302</v>
          </cell>
          <cell r="R5460">
            <v>45303</v>
          </cell>
          <cell r="S5460">
            <v>45306</v>
          </cell>
          <cell r="T5460">
            <v>45306</v>
          </cell>
          <cell r="U5460">
            <v>45307</v>
          </cell>
          <cell r="V5460">
            <v>45308</v>
          </cell>
          <cell r="W5460">
            <v>45308</v>
          </cell>
          <cell r="X5460">
            <v>41100686</v>
          </cell>
        </row>
        <row r="5461">
          <cell r="K5461" t="str">
            <v>GBWS-4004</v>
          </cell>
          <cell r="L5461">
            <v>45301</v>
          </cell>
          <cell r="M5461">
            <v>45302</v>
          </cell>
          <cell r="N5461">
            <v>45307</v>
          </cell>
          <cell r="O5461">
            <v>45302</v>
          </cell>
          <cell r="P5461">
            <v>45308</v>
          </cell>
          <cell r="Q5461">
            <v>45309</v>
          </cell>
          <cell r="R5461">
            <v>45310</v>
          </cell>
          <cell r="S5461">
            <v>45313</v>
          </cell>
          <cell r="T5461">
            <v>45313</v>
          </cell>
          <cell r="U5461">
            <v>45314</v>
          </cell>
          <cell r="V5461">
            <v>45315</v>
          </cell>
          <cell r="W5461">
            <v>45315</v>
          </cell>
          <cell r="X5461">
            <v>41100386</v>
          </cell>
        </row>
        <row r="5462">
          <cell r="K5462" t="str">
            <v>GBWS-4005</v>
          </cell>
          <cell r="L5462">
            <v>45301</v>
          </cell>
          <cell r="M5462">
            <v>45302</v>
          </cell>
          <cell r="N5462">
            <v>45307</v>
          </cell>
          <cell r="O5462">
            <v>45302</v>
          </cell>
          <cell r="P5462">
            <v>45308</v>
          </cell>
          <cell r="Q5462">
            <v>45309</v>
          </cell>
          <cell r="R5462">
            <v>45310</v>
          </cell>
          <cell r="S5462">
            <v>45313</v>
          </cell>
          <cell r="T5462">
            <v>45313</v>
          </cell>
          <cell r="U5462">
            <v>45314</v>
          </cell>
          <cell r="V5462">
            <v>45316</v>
          </cell>
          <cell r="W5462">
            <v>45316</v>
          </cell>
          <cell r="X5462">
            <v>41100509</v>
          </cell>
        </row>
        <row r="5463">
          <cell r="K5463" t="str">
            <v>GBWS-4006</v>
          </cell>
          <cell r="L5463">
            <v>45301</v>
          </cell>
          <cell r="M5463">
            <v>45302</v>
          </cell>
          <cell r="N5463">
            <v>45307</v>
          </cell>
          <cell r="O5463">
            <v>45302</v>
          </cell>
          <cell r="P5463">
            <v>45308</v>
          </cell>
          <cell r="Q5463">
            <v>45309</v>
          </cell>
          <cell r="R5463">
            <v>45310</v>
          </cell>
          <cell r="S5463">
            <v>45313</v>
          </cell>
          <cell r="T5463">
            <v>45313</v>
          </cell>
          <cell r="U5463">
            <v>45314</v>
          </cell>
          <cell r="V5463">
            <v>45315</v>
          </cell>
          <cell r="W5463">
            <v>45315</v>
          </cell>
          <cell r="X5463">
            <v>41100509</v>
          </cell>
        </row>
        <row r="5464">
          <cell r="K5464" t="str">
            <v>DBW-3124</v>
          </cell>
          <cell r="L5464">
            <v>45239</v>
          </cell>
          <cell r="M5464">
            <v>45240</v>
          </cell>
          <cell r="N5464">
            <v>45247</v>
          </cell>
          <cell r="O5464">
            <v>45240</v>
          </cell>
          <cell r="P5464">
            <v>45250</v>
          </cell>
          <cell r="Q5464">
            <v>45250</v>
          </cell>
          <cell r="R5464">
            <v>45251</v>
          </cell>
          <cell r="S5464">
            <v>45253</v>
          </cell>
          <cell r="T5464">
            <v>45253</v>
          </cell>
          <cell r="U5464">
            <v>45258</v>
          </cell>
          <cell r="V5464">
            <v>45258</v>
          </cell>
          <cell r="W5464">
            <v>45258</v>
          </cell>
          <cell r="X5464">
            <v>41100689</v>
          </cell>
        </row>
        <row r="5465">
          <cell r="K5465" t="str">
            <v>DBW-3125</v>
          </cell>
          <cell r="L5465">
            <v>45239</v>
          </cell>
          <cell r="M5465">
            <v>45240</v>
          </cell>
          <cell r="N5465">
            <v>45247</v>
          </cell>
          <cell r="O5465">
            <v>45240</v>
          </cell>
          <cell r="P5465">
            <v>45250</v>
          </cell>
          <cell r="Q5465">
            <v>45250</v>
          </cell>
          <cell r="R5465">
            <v>45251</v>
          </cell>
          <cell r="S5465">
            <v>45253</v>
          </cell>
          <cell r="T5465">
            <v>45253</v>
          </cell>
          <cell r="U5465">
            <v>45320</v>
          </cell>
          <cell r="V5465">
            <v>45320</v>
          </cell>
          <cell r="W5465">
            <v>45320</v>
          </cell>
          <cell r="X5465">
            <v>41100689</v>
          </cell>
        </row>
        <row r="5466">
          <cell r="K5466" t="str">
            <v>DBW-3131</v>
          </cell>
          <cell r="L5466">
            <v>45247</v>
          </cell>
          <cell r="M5466">
            <v>45250</v>
          </cell>
          <cell r="N5466">
            <v>45257</v>
          </cell>
          <cell r="O5466">
            <v>45250</v>
          </cell>
          <cell r="P5466">
            <v>45258</v>
          </cell>
          <cell r="Q5466">
            <v>45257</v>
          </cell>
          <cell r="R5466">
            <v>45258</v>
          </cell>
          <cell r="S5466">
            <v>45261</v>
          </cell>
          <cell r="T5466">
            <v>45261</v>
          </cell>
          <cell r="U5466">
            <v>45279</v>
          </cell>
          <cell r="V5466">
            <v>45320</v>
          </cell>
          <cell r="W5466">
            <v>45320</v>
          </cell>
          <cell r="X5466">
            <v>41100689</v>
          </cell>
        </row>
        <row r="5467">
          <cell r="K5467" t="str">
            <v>DBW-3132</v>
          </cell>
          <cell r="L5467">
            <v>45247</v>
          </cell>
          <cell r="M5467">
            <v>45250</v>
          </cell>
          <cell r="N5467">
            <v>45257</v>
          </cell>
          <cell r="O5467">
            <v>45250</v>
          </cell>
          <cell r="P5467">
            <v>45258</v>
          </cell>
          <cell r="Q5467">
            <v>45257</v>
          </cell>
          <cell r="R5467">
            <v>45258</v>
          </cell>
          <cell r="S5467">
            <v>45261</v>
          </cell>
          <cell r="T5467">
            <v>45261</v>
          </cell>
          <cell r="U5467">
            <v>45301</v>
          </cell>
          <cell r="V5467">
            <v>45302</v>
          </cell>
          <cell r="W5467">
            <v>45302</v>
          </cell>
          <cell r="X5467">
            <v>41100689</v>
          </cell>
        </row>
        <row r="5468">
          <cell r="K5468" t="str">
            <v>GBWS-4025</v>
          </cell>
          <cell r="L5468">
            <v>45303</v>
          </cell>
          <cell r="M5468">
            <v>45306</v>
          </cell>
          <cell r="N5468">
            <v>45313</v>
          </cell>
          <cell r="O5468">
            <v>45306</v>
          </cell>
          <cell r="P5468">
            <v>45314</v>
          </cell>
          <cell r="Q5468">
            <v>45313</v>
          </cell>
          <cell r="R5468">
            <v>45314</v>
          </cell>
          <cell r="S5468">
            <v>45315</v>
          </cell>
          <cell r="T5468">
            <v>45315</v>
          </cell>
          <cell r="U5468">
            <v>45317</v>
          </cell>
          <cell r="V5468">
            <v>45320</v>
          </cell>
          <cell r="W5468">
            <v>45320</v>
          </cell>
          <cell r="X5468">
            <v>41000574</v>
          </cell>
        </row>
        <row r="5469">
          <cell r="K5469" t="str">
            <v>GBWS-4026</v>
          </cell>
          <cell r="L5469">
            <v>45303</v>
          </cell>
          <cell r="M5469">
            <v>45306</v>
          </cell>
          <cell r="N5469">
            <v>45313</v>
          </cell>
          <cell r="O5469">
            <v>45306</v>
          </cell>
          <cell r="P5469">
            <v>45314</v>
          </cell>
          <cell r="Q5469">
            <v>45313</v>
          </cell>
          <cell r="R5469">
            <v>45314</v>
          </cell>
          <cell r="S5469">
            <v>45315</v>
          </cell>
          <cell r="T5469">
            <v>45315</v>
          </cell>
          <cell r="U5469">
            <v>45317</v>
          </cell>
          <cell r="V5469">
            <v>45320</v>
          </cell>
          <cell r="W5469">
            <v>45320</v>
          </cell>
          <cell r="X5469">
            <v>41000574</v>
          </cell>
        </row>
        <row r="5470">
          <cell r="K5470" t="str">
            <v>GBWS-3764</v>
          </cell>
          <cell r="L5470">
            <v>45209</v>
          </cell>
          <cell r="M5470">
            <v>45210</v>
          </cell>
          <cell r="N5470">
            <v>45219</v>
          </cell>
          <cell r="O5470">
            <v>45210</v>
          </cell>
          <cell r="P5470">
            <v>45218</v>
          </cell>
          <cell r="Q5470">
            <v>45219</v>
          </cell>
          <cell r="R5470">
            <v>45222</v>
          </cell>
          <cell r="S5470">
            <v>45267</v>
          </cell>
          <cell r="T5470">
            <v>45267</v>
          </cell>
          <cell r="U5470">
            <v>45299</v>
          </cell>
          <cell r="V5470">
            <v>45307</v>
          </cell>
          <cell r="W5470">
            <v>45307</v>
          </cell>
          <cell r="X5470">
            <v>41100358</v>
          </cell>
        </row>
        <row r="5471">
          <cell r="K5471" t="str">
            <v>GBWS-3999</v>
          </cell>
          <cell r="L5471">
            <v>45301</v>
          </cell>
          <cell r="M5471">
            <v>45302</v>
          </cell>
          <cell r="N5471">
            <v>45309</v>
          </cell>
          <cell r="O5471">
            <v>45302</v>
          </cell>
          <cell r="P5471">
            <v>45309</v>
          </cell>
          <cell r="Q5471">
            <v>45308</v>
          </cell>
          <cell r="R5471">
            <v>45309</v>
          </cell>
          <cell r="S5471">
            <v>45310</v>
          </cell>
          <cell r="T5471">
            <v>45310</v>
          </cell>
          <cell r="U5471">
            <v>45313</v>
          </cell>
          <cell r="V5471">
            <v>45314</v>
          </cell>
          <cell r="W5471">
            <v>45314</v>
          </cell>
          <cell r="X5471">
            <v>41100702</v>
          </cell>
        </row>
        <row r="5472">
          <cell r="K5472" t="str">
            <v>GBWS-4000</v>
          </cell>
          <cell r="L5472">
            <v>45301</v>
          </cell>
          <cell r="M5472">
            <v>45302</v>
          </cell>
          <cell r="N5472">
            <v>45309</v>
          </cell>
          <cell r="O5472">
            <v>45302</v>
          </cell>
          <cell r="P5472">
            <v>45309</v>
          </cell>
          <cell r="Q5472">
            <v>45308</v>
          </cell>
          <cell r="R5472">
            <v>45309</v>
          </cell>
          <cell r="S5472">
            <v>45310</v>
          </cell>
          <cell r="T5472">
            <v>45310</v>
          </cell>
          <cell r="U5472">
            <v>45313</v>
          </cell>
          <cell r="V5472">
            <v>45314</v>
          </cell>
          <cell r="W5472">
            <v>45314</v>
          </cell>
          <cell r="X5472">
            <v>41100702</v>
          </cell>
        </row>
        <row r="5473">
          <cell r="K5473" t="str">
            <v>GBWS-3793</v>
          </cell>
          <cell r="L5473">
            <v>45217</v>
          </cell>
          <cell r="M5473">
            <v>45218</v>
          </cell>
          <cell r="N5473">
            <v>45233</v>
          </cell>
          <cell r="O5473">
            <v>45218</v>
          </cell>
          <cell r="P5473">
            <v>45233</v>
          </cell>
          <cell r="Q5473" t="str">
            <v>2023-10-27 → 11/3</v>
          </cell>
          <cell r="R5473" t="str">
            <v>2023-10-30 → 11/3</v>
          </cell>
          <cell r="S5473">
            <v>45246</v>
          </cell>
          <cell r="T5473">
            <v>45246</v>
          </cell>
          <cell r="U5473">
            <v>45261</v>
          </cell>
          <cell r="V5473">
            <v>45264</v>
          </cell>
          <cell r="W5473">
            <v>45264</v>
          </cell>
          <cell r="X5473">
            <v>41100566</v>
          </cell>
        </row>
        <row r="5474">
          <cell r="K5474" t="str">
            <v>GBWS-4001</v>
          </cell>
          <cell r="L5474">
            <v>45301</v>
          </cell>
          <cell r="M5474">
            <v>45302</v>
          </cell>
          <cell r="N5474">
            <v>45309</v>
          </cell>
          <cell r="O5474">
            <v>45302</v>
          </cell>
          <cell r="P5474">
            <v>45310</v>
          </cell>
          <cell r="Q5474">
            <v>45309</v>
          </cell>
          <cell r="R5474">
            <v>45310</v>
          </cell>
          <cell r="S5474">
            <v>45313</v>
          </cell>
          <cell r="T5474">
            <v>45313</v>
          </cell>
          <cell r="U5474">
            <v>45315</v>
          </cell>
          <cell r="V5474">
            <v>45316</v>
          </cell>
          <cell r="W5474">
            <v>45316</v>
          </cell>
          <cell r="X5474">
            <v>41100698</v>
          </cell>
        </row>
        <row r="5475">
          <cell r="K5475" t="str">
            <v>GBWS-4002</v>
          </cell>
          <cell r="L5475">
            <v>45301</v>
          </cell>
          <cell r="M5475">
            <v>45302</v>
          </cell>
          <cell r="N5475">
            <v>45309</v>
          </cell>
          <cell r="O5475">
            <v>45302</v>
          </cell>
          <cell r="P5475">
            <v>45310</v>
          </cell>
          <cell r="Q5475">
            <v>45309</v>
          </cell>
          <cell r="R5475">
            <v>45310</v>
          </cell>
          <cell r="S5475">
            <v>45313</v>
          </cell>
          <cell r="T5475">
            <v>45313</v>
          </cell>
          <cell r="U5475">
            <v>45315</v>
          </cell>
          <cell r="V5475">
            <v>45316</v>
          </cell>
          <cell r="W5475">
            <v>45316</v>
          </cell>
          <cell r="X5475">
            <v>41100698</v>
          </cell>
        </row>
        <row r="5476">
          <cell r="K5476" t="str">
            <v>GBWS-4003</v>
          </cell>
          <cell r="L5476">
            <v>45301</v>
          </cell>
          <cell r="M5476">
            <v>45302</v>
          </cell>
          <cell r="N5476">
            <v>45309</v>
          </cell>
          <cell r="O5476">
            <v>45302</v>
          </cell>
          <cell r="P5476">
            <v>45310</v>
          </cell>
          <cell r="Q5476">
            <v>45309</v>
          </cell>
          <cell r="R5476">
            <v>45310</v>
          </cell>
          <cell r="S5476">
            <v>45313</v>
          </cell>
          <cell r="T5476">
            <v>45313</v>
          </cell>
          <cell r="U5476">
            <v>45315</v>
          </cell>
          <cell r="V5476">
            <v>45316</v>
          </cell>
          <cell r="W5476">
            <v>45316</v>
          </cell>
          <cell r="X5476">
            <v>41100698</v>
          </cell>
        </row>
        <row r="5477">
          <cell r="K5477" t="str">
            <v>GBWS-4039</v>
          </cell>
          <cell r="L5477">
            <v>45306</v>
          </cell>
          <cell r="M5477">
            <v>45307</v>
          </cell>
          <cell r="N5477">
            <v>45313</v>
          </cell>
          <cell r="O5477">
            <v>45307</v>
          </cell>
          <cell r="P5477">
            <v>45313</v>
          </cell>
          <cell r="Q5477">
            <v>45313</v>
          </cell>
          <cell r="R5477">
            <v>45314</v>
          </cell>
          <cell r="S5477">
            <v>45316</v>
          </cell>
          <cell r="T5477">
            <v>45316</v>
          </cell>
          <cell r="U5477">
            <v>45317</v>
          </cell>
          <cell r="V5477">
            <v>45321</v>
          </cell>
          <cell r="W5477">
            <v>45321</v>
          </cell>
          <cell r="X5477">
            <v>41000568</v>
          </cell>
        </row>
        <row r="5478">
          <cell r="K5478" t="str">
            <v>GBWS-4040</v>
          </cell>
          <cell r="L5478">
            <v>45306</v>
          </cell>
          <cell r="M5478">
            <v>45307</v>
          </cell>
          <cell r="N5478">
            <v>45313</v>
          </cell>
          <cell r="O5478">
            <v>45307</v>
          </cell>
          <cell r="P5478">
            <v>45313</v>
          </cell>
          <cell r="Q5478">
            <v>45313</v>
          </cell>
          <cell r="R5478">
            <v>45314</v>
          </cell>
          <cell r="S5478">
            <v>45316</v>
          </cell>
          <cell r="T5478">
            <v>45316</v>
          </cell>
          <cell r="U5478">
            <v>45317</v>
          </cell>
          <cell r="V5478">
            <v>45321</v>
          </cell>
          <cell r="W5478">
            <v>45321</v>
          </cell>
          <cell r="X5478">
            <v>41000568</v>
          </cell>
        </row>
        <row r="5479">
          <cell r="K5479" t="str">
            <v>DBW-3158</v>
          </cell>
          <cell r="L5479">
            <v>45644</v>
          </cell>
          <cell r="M5479">
            <v>45279</v>
          </cell>
          <cell r="N5479">
            <v>45286</v>
          </cell>
          <cell r="O5479">
            <v>45279</v>
          </cell>
          <cell r="P5479">
            <v>45287</v>
          </cell>
          <cell r="Q5479">
            <v>45287</v>
          </cell>
          <cell r="R5479">
            <v>45287</v>
          </cell>
          <cell r="S5479">
            <v>45287</v>
          </cell>
          <cell r="T5479">
            <v>45287</v>
          </cell>
          <cell r="U5479">
            <v>45294</v>
          </cell>
          <cell r="V5479">
            <v>45294</v>
          </cell>
          <cell r="W5479">
            <v>45294</v>
          </cell>
          <cell r="X5479">
            <v>41000563</v>
          </cell>
        </row>
        <row r="5480">
          <cell r="K5480" t="str">
            <v>DBW-3159</v>
          </cell>
          <cell r="L5480">
            <v>45644</v>
          </cell>
          <cell r="M5480">
            <v>45279</v>
          </cell>
          <cell r="N5480">
            <v>45286</v>
          </cell>
          <cell r="O5480">
            <v>45279</v>
          </cell>
          <cell r="P5480">
            <v>45287</v>
          </cell>
          <cell r="Q5480">
            <v>45287</v>
          </cell>
          <cell r="R5480">
            <v>45287</v>
          </cell>
          <cell r="S5480">
            <v>45287</v>
          </cell>
          <cell r="T5480">
            <v>45287</v>
          </cell>
          <cell r="U5480">
            <v>45294</v>
          </cell>
          <cell r="V5480">
            <v>45295</v>
          </cell>
          <cell r="W5480">
            <v>45295</v>
          </cell>
          <cell r="X5480">
            <v>41000563</v>
          </cell>
        </row>
        <row r="5481">
          <cell r="K5481" t="str">
            <v>DBW-3188</v>
          </cell>
          <cell r="L5481">
            <v>45302</v>
          </cell>
          <cell r="M5481" t="str">
            <v>2024-01-10 → 1/12</v>
          </cell>
          <cell r="N5481">
            <v>45310</v>
          </cell>
          <cell r="O5481" t="str">
            <v>2024-01-10 → 1/12</v>
          </cell>
          <cell r="P5481">
            <v>45313</v>
          </cell>
          <cell r="Q5481" t="str">
            <v>2024-01-18 → 1/22</v>
          </cell>
          <cell r="R5481" t="str">
            <v>2024-01-19 → 1/22</v>
          </cell>
          <cell r="S5481">
            <v>45314</v>
          </cell>
          <cell r="T5481">
            <v>45314</v>
          </cell>
          <cell r="U5481">
            <v>45316</v>
          </cell>
          <cell r="V5481">
            <v>45317</v>
          </cell>
          <cell r="W5481">
            <v>45317</v>
          </cell>
          <cell r="X5481">
            <v>41000579</v>
          </cell>
        </row>
        <row r="5482">
          <cell r="K5482" t="str">
            <v>SOS-0315</v>
          </cell>
          <cell r="L5482">
            <v>45295</v>
          </cell>
          <cell r="M5482">
            <v>45296</v>
          </cell>
          <cell r="N5482">
            <v>45299</v>
          </cell>
          <cell r="O5482">
            <v>45296</v>
          </cell>
          <cell r="P5482">
            <v>45300</v>
          </cell>
          <cell r="Q5482">
            <v>45300</v>
          </cell>
          <cell r="R5482">
            <v>45300</v>
          </cell>
          <cell r="S5482">
            <v>45300</v>
          </cell>
          <cell r="T5482">
            <v>45300</v>
          </cell>
          <cell r="U5482">
            <v>45302</v>
          </cell>
          <cell r="V5482">
            <v>45303</v>
          </cell>
          <cell r="W5482">
            <v>45303</v>
          </cell>
          <cell r="X5482">
            <v>41000558</v>
          </cell>
        </row>
        <row r="5483">
          <cell r="K5483" t="str">
            <v>SOS-0316</v>
          </cell>
          <cell r="L5483">
            <v>45295</v>
          </cell>
          <cell r="M5483">
            <v>45296</v>
          </cell>
          <cell r="N5483">
            <v>45299</v>
          </cell>
          <cell r="O5483">
            <v>45296</v>
          </cell>
          <cell r="P5483">
            <v>45300</v>
          </cell>
          <cell r="Q5483">
            <v>45300</v>
          </cell>
          <cell r="R5483">
            <v>45300</v>
          </cell>
          <cell r="S5483">
            <v>45300</v>
          </cell>
          <cell r="T5483">
            <v>45300</v>
          </cell>
          <cell r="U5483">
            <v>45302</v>
          </cell>
          <cell r="V5483">
            <v>45303</v>
          </cell>
          <cell r="W5483">
            <v>45303</v>
          </cell>
          <cell r="X5483">
            <v>41000558</v>
          </cell>
        </row>
        <row r="5484">
          <cell r="K5484" t="str">
            <v>GBWS-2844</v>
          </cell>
          <cell r="L5484">
            <v>44819</v>
          </cell>
          <cell r="M5484">
            <v>44820</v>
          </cell>
          <cell r="N5484">
            <v>44833</v>
          </cell>
          <cell r="O5484">
            <v>44820</v>
          </cell>
          <cell r="P5484">
            <v>44833</v>
          </cell>
          <cell r="Q5484">
            <v>44832</v>
          </cell>
          <cell r="R5484">
            <v>44832</v>
          </cell>
          <cell r="S5484"/>
          <cell r="T5484">
            <v>44833</v>
          </cell>
          <cell r="U5484">
            <v>44838</v>
          </cell>
          <cell r="V5484">
            <v>44845</v>
          </cell>
          <cell r="W5484">
            <v>44845</v>
          </cell>
          <cell r="X5484">
            <v>41100463</v>
          </cell>
        </row>
        <row r="5485">
          <cell r="K5485" t="str">
            <v>GBWS-2845</v>
          </cell>
          <cell r="L5485">
            <v>44819</v>
          </cell>
          <cell r="M5485">
            <v>44820</v>
          </cell>
          <cell r="N5485">
            <v>44833</v>
          </cell>
          <cell r="O5485">
            <v>44820</v>
          </cell>
          <cell r="P5485">
            <v>44833</v>
          </cell>
          <cell r="Q5485">
            <v>44832</v>
          </cell>
          <cell r="R5485">
            <v>44832</v>
          </cell>
          <cell r="S5485"/>
          <cell r="T5485">
            <v>44833</v>
          </cell>
          <cell r="U5485">
            <v>44838</v>
          </cell>
          <cell r="V5485">
            <v>44846</v>
          </cell>
          <cell r="W5485">
            <v>44846</v>
          </cell>
          <cell r="X5485">
            <v>41100463</v>
          </cell>
        </row>
        <row r="5486">
          <cell r="K5486" t="str">
            <v>GBWS-2846</v>
          </cell>
          <cell r="L5486">
            <v>44819</v>
          </cell>
          <cell r="M5486">
            <v>44820</v>
          </cell>
          <cell r="N5486">
            <v>44833</v>
          </cell>
          <cell r="O5486">
            <v>44820</v>
          </cell>
          <cell r="P5486">
            <v>44833</v>
          </cell>
          <cell r="Q5486">
            <v>44832</v>
          </cell>
          <cell r="R5486">
            <v>44832</v>
          </cell>
          <cell r="S5486"/>
          <cell r="T5486">
            <v>44833</v>
          </cell>
          <cell r="U5486">
            <v>44838</v>
          </cell>
          <cell r="V5486">
            <v>44845</v>
          </cell>
          <cell r="W5486">
            <v>44845</v>
          </cell>
          <cell r="X5486">
            <v>41100463</v>
          </cell>
        </row>
        <row r="5487">
          <cell r="K5487" t="str">
            <v>GBWS-4014</v>
          </cell>
          <cell r="L5487">
            <v>45302</v>
          </cell>
          <cell r="M5487">
            <v>45303</v>
          </cell>
          <cell r="N5487">
            <v>45313</v>
          </cell>
          <cell r="O5487">
            <v>45303</v>
          </cell>
          <cell r="P5487">
            <v>45313</v>
          </cell>
          <cell r="Q5487">
            <v>45313</v>
          </cell>
          <cell r="R5487">
            <v>45314</v>
          </cell>
          <cell r="S5487">
            <v>45314</v>
          </cell>
          <cell r="T5487">
            <v>45314</v>
          </cell>
          <cell r="U5487">
            <v>45315</v>
          </cell>
          <cell r="V5487">
            <v>45316</v>
          </cell>
          <cell r="W5487">
            <v>45316</v>
          </cell>
          <cell r="X5487">
            <v>41100460</v>
          </cell>
        </row>
        <row r="5488">
          <cell r="K5488" t="str">
            <v>GBWS-4015</v>
          </cell>
          <cell r="L5488">
            <v>45302</v>
          </cell>
          <cell r="M5488">
            <v>45303</v>
          </cell>
          <cell r="N5488">
            <v>45313</v>
          </cell>
          <cell r="O5488">
            <v>45303</v>
          </cell>
          <cell r="P5488">
            <v>45313</v>
          </cell>
          <cell r="Q5488">
            <v>45313</v>
          </cell>
          <cell r="R5488">
            <v>45314</v>
          </cell>
          <cell r="S5488">
            <v>45314</v>
          </cell>
          <cell r="T5488">
            <v>45314</v>
          </cell>
          <cell r="U5488">
            <v>45315</v>
          </cell>
          <cell r="V5488">
            <v>45316</v>
          </cell>
          <cell r="W5488">
            <v>45316</v>
          </cell>
          <cell r="X5488">
            <v>41100460</v>
          </cell>
        </row>
        <row r="5489">
          <cell r="K5489" t="str">
            <v>GBWS-4016</v>
          </cell>
          <cell r="L5489">
            <v>45302</v>
          </cell>
          <cell r="M5489">
            <v>45303</v>
          </cell>
          <cell r="N5489">
            <v>45313</v>
          </cell>
          <cell r="O5489">
            <v>45303</v>
          </cell>
          <cell r="P5489">
            <v>45313</v>
          </cell>
          <cell r="Q5489">
            <v>45313</v>
          </cell>
          <cell r="R5489">
            <v>45314</v>
          </cell>
          <cell r="S5489">
            <v>45314</v>
          </cell>
          <cell r="T5489">
            <v>45314</v>
          </cell>
          <cell r="U5489">
            <v>45315</v>
          </cell>
          <cell r="V5489">
            <v>45317</v>
          </cell>
          <cell r="W5489">
            <v>45317</v>
          </cell>
          <cell r="X5489">
            <v>41100460</v>
          </cell>
        </row>
        <row r="5490">
          <cell r="K5490" t="str">
            <v>GBWS-4017</v>
          </cell>
          <cell r="L5490">
            <v>45302</v>
          </cell>
          <cell r="M5490">
            <v>45303</v>
          </cell>
          <cell r="N5490">
            <v>45313</v>
          </cell>
          <cell r="O5490">
            <v>45303</v>
          </cell>
          <cell r="P5490">
            <v>45313</v>
          </cell>
          <cell r="Q5490">
            <v>45313</v>
          </cell>
          <cell r="R5490">
            <v>45314</v>
          </cell>
          <cell r="S5490">
            <v>45314</v>
          </cell>
          <cell r="T5490">
            <v>45314</v>
          </cell>
          <cell r="U5490">
            <v>45316</v>
          </cell>
          <cell r="V5490">
            <v>45317</v>
          </cell>
          <cell r="W5490">
            <v>45317</v>
          </cell>
          <cell r="X5490">
            <v>41100460</v>
          </cell>
        </row>
        <row r="5491">
          <cell r="K5491" t="str">
            <v>GBWS-4018</v>
          </cell>
          <cell r="L5491">
            <v>45302</v>
          </cell>
          <cell r="M5491">
            <v>45303</v>
          </cell>
          <cell r="N5491">
            <v>45313</v>
          </cell>
          <cell r="O5491">
            <v>45303</v>
          </cell>
          <cell r="P5491">
            <v>45313</v>
          </cell>
          <cell r="Q5491">
            <v>45313</v>
          </cell>
          <cell r="R5491">
            <v>45314</v>
          </cell>
          <cell r="S5491">
            <v>45314</v>
          </cell>
          <cell r="T5491">
            <v>45314</v>
          </cell>
          <cell r="U5491">
            <v>45316</v>
          </cell>
          <cell r="V5491">
            <v>45317</v>
          </cell>
          <cell r="W5491">
            <v>45317</v>
          </cell>
          <cell r="X5491">
            <v>41100460</v>
          </cell>
        </row>
        <row r="5492">
          <cell r="K5492" t="str">
            <v>GBWS-4007</v>
          </cell>
          <cell r="L5492">
            <v>45302</v>
          </cell>
          <cell r="M5492">
            <v>45303</v>
          </cell>
          <cell r="N5492">
            <v>45309</v>
          </cell>
          <cell r="O5492">
            <v>45303</v>
          </cell>
          <cell r="P5492">
            <v>45314</v>
          </cell>
          <cell r="Q5492">
            <v>45313</v>
          </cell>
          <cell r="R5492">
            <v>45314</v>
          </cell>
          <cell r="S5492">
            <v>45317</v>
          </cell>
          <cell r="T5492">
            <v>45317</v>
          </cell>
          <cell r="U5492">
            <v>45321</v>
          </cell>
          <cell r="V5492">
            <v>45322</v>
          </cell>
          <cell r="W5492">
            <v>45322</v>
          </cell>
          <cell r="X5492">
            <v>41100633</v>
          </cell>
        </row>
        <row r="5493">
          <cell r="K5493" t="str">
            <v>GBWS-3998</v>
          </cell>
          <cell r="L5493">
            <v>45300</v>
          </cell>
          <cell r="M5493">
            <v>45301</v>
          </cell>
          <cell r="N5493">
            <v>45306</v>
          </cell>
          <cell r="O5493">
            <v>45301</v>
          </cell>
          <cell r="P5493">
            <v>45309</v>
          </cell>
          <cell r="Q5493">
            <v>45308</v>
          </cell>
          <cell r="R5493">
            <v>45309</v>
          </cell>
          <cell r="S5493">
            <v>45310</v>
          </cell>
          <cell r="T5493">
            <v>45310</v>
          </cell>
          <cell r="U5493">
            <v>45316</v>
          </cell>
          <cell r="V5493">
            <v>45317</v>
          </cell>
          <cell r="W5493">
            <v>45317</v>
          </cell>
          <cell r="X5493">
            <v>41100538</v>
          </cell>
        </row>
        <row r="5494">
          <cell r="K5494" t="str">
            <v>GPWS-0308</v>
          </cell>
          <cell r="L5494">
            <v>45295</v>
          </cell>
          <cell r="M5494" t="str">
            <v>2023-12-26 → 1/5</v>
          </cell>
          <cell r="N5494">
            <v>45301</v>
          </cell>
          <cell r="O5494" t="str">
            <v>2023-12-26 → 1/5</v>
          </cell>
          <cell r="P5494">
            <v>45308</v>
          </cell>
          <cell r="Q5494" t="str">
            <v>2024-01-05 → 1/15</v>
          </cell>
          <cell r="R5494" t="str">
            <v>2024-01-08 → 1/16 → 1/18</v>
          </cell>
          <cell r="S5494">
            <v>45310</v>
          </cell>
          <cell r="T5494">
            <v>45310</v>
          </cell>
          <cell r="U5494">
            <v>45313</v>
          </cell>
          <cell r="V5494">
            <v>45315</v>
          </cell>
          <cell r="W5494">
            <v>45315</v>
          </cell>
          <cell r="X5494" t="str">
            <v>채번예정 → 41000570</v>
          </cell>
        </row>
        <row r="5495">
          <cell r="K5495" t="str">
            <v>GPWS-0309</v>
          </cell>
          <cell r="L5495">
            <v>45295</v>
          </cell>
          <cell r="M5495" t="str">
            <v>2023-12-26 → 1/5</v>
          </cell>
          <cell r="N5495">
            <v>45301</v>
          </cell>
          <cell r="O5495" t="str">
            <v>2023-12-26 → 1/5</v>
          </cell>
          <cell r="P5495">
            <v>45308</v>
          </cell>
          <cell r="Q5495" t="str">
            <v>2024-01-05 → 1/15</v>
          </cell>
          <cell r="R5495" t="str">
            <v>2024-01-08 → 1/16 → 1/18</v>
          </cell>
          <cell r="S5495">
            <v>45310</v>
          </cell>
          <cell r="T5495">
            <v>45310</v>
          </cell>
          <cell r="U5495">
            <v>45314</v>
          </cell>
          <cell r="V5495">
            <v>45315</v>
          </cell>
          <cell r="W5495">
            <v>45315</v>
          </cell>
          <cell r="X5495" t="str">
            <v>채번예정 → 41000570</v>
          </cell>
        </row>
        <row r="5496">
          <cell r="K5496" t="str">
            <v>GPWS-0310</v>
          </cell>
          <cell r="L5496">
            <v>45295</v>
          </cell>
          <cell r="M5496" t="str">
            <v>2023-12-26 → 1/5</v>
          </cell>
          <cell r="N5496">
            <v>45301</v>
          </cell>
          <cell r="O5496" t="str">
            <v>2023-12-26 → 1/5</v>
          </cell>
          <cell r="P5496">
            <v>45308</v>
          </cell>
          <cell r="Q5496" t="str">
            <v>2024-01-05 → 1/15</v>
          </cell>
          <cell r="R5496" t="str">
            <v>2024-01-08 → 1/16 → 1/18</v>
          </cell>
          <cell r="S5496">
            <v>45310</v>
          </cell>
          <cell r="T5496">
            <v>45310</v>
          </cell>
          <cell r="U5496">
            <v>45314</v>
          </cell>
          <cell r="V5496">
            <v>45315</v>
          </cell>
          <cell r="W5496">
            <v>45315</v>
          </cell>
          <cell r="X5496" t="str">
            <v>채번예정 → 41000570</v>
          </cell>
        </row>
        <row r="5497">
          <cell r="K5497" t="str">
            <v>GPWS-0311</v>
          </cell>
          <cell r="L5497">
            <v>45295</v>
          </cell>
          <cell r="M5497" t="str">
            <v>2023-12-26 → 1/5</v>
          </cell>
          <cell r="N5497">
            <v>45301</v>
          </cell>
          <cell r="O5497" t="str">
            <v>2023-12-26 → 1/5</v>
          </cell>
          <cell r="P5497">
            <v>45308</v>
          </cell>
          <cell r="Q5497" t="str">
            <v>2024-01-05 → 1/15</v>
          </cell>
          <cell r="R5497" t="str">
            <v>2024-01-08 → 1/16 → 1/18</v>
          </cell>
          <cell r="S5497">
            <v>45310</v>
          </cell>
          <cell r="T5497">
            <v>45310</v>
          </cell>
          <cell r="U5497">
            <v>45315</v>
          </cell>
          <cell r="V5497">
            <v>45315</v>
          </cell>
          <cell r="W5497">
            <v>45315</v>
          </cell>
          <cell r="X5497" t="str">
            <v>채번예정 → 41000570</v>
          </cell>
        </row>
        <row r="5498">
          <cell r="K5498" t="str">
            <v>GBWS-4027</v>
          </cell>
          <cell r="L5498">
            <v>45303</v>
          </cell>
          <cell r="M5498">
            <v>45306</v>
          </cell>
          <cell r="N5498">
            <v>45313</v>
          </cell>
          <cell r="O5498">
            <v>45306</v>
          </cell>
          <cell r="P5498">
            <v>45314</v>
          </cell>
          <cell r="Q5498">
            <v>45313</v>
          </cell>
          <cell r="R5498">
            <v>45314</v>
          </cell>
          <cell r="S5498">
            <v>45316</v>
          </cell>
          <cell r="T5498">
            <v>45316</v>
          </cell>
          <cell r="U5498">
            <v>45322</v>
          </cell>
          <cell r="V5498">
            <v>45322</v>
          </cell>
          <cell r="W5498">
            <v>45322</v>
          </cell>
          <cell r="X5498">
            <v>41000561</v>
          </cell>
        </row>
        <row r="5499">
          <cell r="K5499" t="str">
            <v>GBWS-4030</v>
          </cell>
          <cell r="L5499">
            <v>45303</v>
          </cell>
          <cell r="M5499">
            <v>45306</v>
          </cell>
          <cell r="N5499">
            <v>45313</v>
          </cell>
          <cell r="O5499">
            <v>45306</v>
          </cell>
          <cell r="P5499">
            <v>45314</v>
          </cell>
          <cell r="Q5499">
            <v>45313</v>
          </cell>
          <cell r="R5499">
            <v>45314</v>
          </cell>
          <cell r="S5499">
            <v>45316</v>
          </cell>
          <cell r="T5499">
            <v>45316</v>
          </cell>
          <cell r="U5499">
            <v>45320</v>
          </cell>
          <cell r="V5499">
            <v>45322</v>
          </cell>
          <cell r="W5499">
            <v>45322</v>
          </cell>
          <cell r="X5499">
            <v>41000561</v>
          </cell>
        </row>
        <row r="5500">
          <cell r="K5500" t="str">
            <v>DBW-3126</v>
          </cell>
          <cell r="L5500">
            <v>45240</v>
          </cell>
          <cell r="M5500">
            <v>45243</v>
          </cell>
          <cell r="N5500">
            <v>45250</v>
          </cell>
          <cell r="O5500">
            <v>45243</v>
          </cell>
          <cell r="P5500">
            <v>45251</v>
          </cell>
          <cell r="Q5500">
            <v>45250</v>
          </cell>
          <cell r="R5500">
            <v>45251</v>
          </cell>
          <cell r="S5500">
            <v>45252</v>
          </cell>
          <cell r="T5500">
            <v>45252</v>
          </cell>
          <cell r="U5500">
            <v>45254</v>
          </cell>
          <cell r="V5500">
            <v>45257</v>
          </cell>
          <cell r="W5500">
            <v>45257</v>
          </cell>
          <cell r="X5500">
            <v>41100099</v>
          </cell>
        </row>
        <row r="5501">
          <cell r="K5501" t="str">
            <v>GBWS-4034</v>
          </cell>
          <cell r="L5501">
            <v>45306</v>
          </cell>
          <cell r="M5501">
            <v>45307</v>
          </cell>
          <cell r="N5501">
            <v>45313</v>
          </cell>
          <cell r="O5501">
            <v>45307</v>
          </cell>
          <cell r="P5501">
            <v>45314</v>
          </cell>
          <cell r="Q5501">
            <v>45315</v>
          </cell>
          <cell r="R5501">
            <v>45316</v>
          </cell>
          <cell r="S5501">
            <v>45317</v>
          </cell>
          <cell r="T5501">
            <v>45317</v>
          </cell>
          <cell r="U5501">
            <v>45321</v>
          </cell>
          <cell r="V5501">
            <v>45322</v>
          </cell>
          <cell r="W5501">
            <v>45322</v>
          </cell>
          <cell r="X5501">
            <v>41100698</v>
          </cell>
        </row>
        <row r="5502">
          <cell r="K5502" t="str">
            <v>GBWS-4035</v>
          </cell>
          <cell r="L5502">
            <v>45306</v>
          </cell>
          <cell r="M5502">
            <v>45307</v>
          </cell>
          <cell r="N5502">
            <v>45313</v>
          </cell>
          <cell r="O5502">
            <v>45307</v>
          </cell>
          <cell r="P5502">
            <v>45314</v>
          </cell>
          <cell r="Q5502">
            <v>45315</v>
          </cell>
          <cell r="R5502">
            <v>45316</v>
          </cell>
          <cell r="S5502">
            <v>45317</v>
          </cell>
          <cell r="T5502">
            <v>45317</v>
          </cell>
          <cell r="U5502">
            <v>45321</v>
          </cell>
          <cell r="V5502">
            <v>45322</v>
          </cell>
          <cell r="W5502">
            <v>45322</v>
          </cell>
          <cell r="X5502">
            <v>41100698</v>
          </cell>
        </row>
        <row r="5503">
          <cell r="K5503" t="str">
            <v>GBWS-4036</v>
          </cell>
          <cell r="L5503">
            <v>45306</v>
          </cell>
          <cell r="M5503">
            <v>45307</v>
          </cell>
          <cell r="N5503">
            <v>45313</v>
          </cell>
          <cell r="O5503">
            <v>45307</v>
          </cell>
          <cell r="P5503">
            <v>45314</v>
          </cell>
          <cell r="Q5503">
            <v>45315</v>
          </cell>
          <cell r="R5503">
            <v>45316</v>
          </cell>
          <cell r="S5503">
            <v>45317</v>
          </cell>
          <cell r="T5503">
            <v>45317</v>
          </cell>
          <cell r="U5503">
            <v>45321</v>
          </cell>
          <cell r="V5503">
            <v>45322</v>
          </cell>
          <cell r="W5503">
            <v>45322</v>
          </cell>
          <cell r="X5503">
            <v>41100698</v>
          </cell>
        </row>
        <row r="5504">
          <cell r="K5504" t="str">
            <v>GBWS-4037</v>
          </cell>
          <cell r="L5504">
            <v>45306</v>
          </cell>
          <cell r="M5504">
            <v>45307</v>
          </cell>
          <cell r="N5504">
            <v>45313</v>
          </cell>
          <cell r="O5504">
            <v>45307</v>
          </cell>
          <cell r="P5504">
            <v>45314</v>
          </cell>
          <cell r="Q5504">
            <v>45315</v>
          </cell>
          <cell r="R5504">
            <v>45316</v>
          </cell>
          <cell r="S5504">
            <v>45317</v>
          </cell>
          <cell r="T5504">
            <v>45317</v>
          </cell>
          <cell r="U5504">
            <v>45322</v>
          </cell>
          <cell r="V5504">
            <v>45323</v>
          </cell>
          <cell r="W5504">
            <v>45323</v>
          </cell>
          <cell r="X5504">
            <v>41100698</v>
          </cell>
        </row>
        <row r="5505">
          <cell r="K5505" t="str">
            <v>GBWS-4038</v>
          </cell>
          <cell r="L5505">
            <v>45306</v>
          </cell>
          <cell r="M5505">
            <v>45307</v>
          </cell>
          <cell r="N5505">
            <v>45313</v>
          </cell>
          <cell r="O5505">
            <v>45307</v>
          </cell>
          <cell r="P5505">
            <v>45314</v>
          </cell>
          <cell r="Q5505">
            <v>45315</v>
          </cell>
          <cell r="R5505">
            <v>45316</v>
          </cell>
          <cell r="S5505">
            <v>45317</v>
          </cell>
          <cell r="T5505">
            <v>45317</v>
          </cell>
          <cell r="U5505">
            <v>45322</v>
          </cell>
          <cell r="V5505">
            <v>45323</v>
          </cell>
          <cell r="W5505">
            <v>45323</v>
          </cell>
          <cell r="X5505">
            <v>41100698</v>
          </cell>
        </row>
        <row r="5506">
          <cell r="K5506" t="str">
            <v>DBW-3136</v>
          </cell>
          <cell r="L5506">
            <v>45253</v>
          </cell>
          <cell r="M5506">
            <v>45257</v>
          </cell>
          <cell r="N5506">
            <v>45264</v>
          </cell>
          <cell r="O5506">
            <v>45257</v>
          </cell>
          <cell r="P5506">
            <v>45265</v>
          </cell>
          <cell r="Q5506">
            <v>45264</v>
          </cell>
          <cell r="R5506">
            <v>45265</v>
          </cell>
          <cell r="S5506">
            <v>45266</v>
          </cell>
          <cell r="T5506">
            <v>45266</v>
          </cell>
          <cell r="U5506">
            <v>45272</v>
          </cell>
          <cell r="V5506">
            <v>45273</v>
          </cell>
          <cell r="W5506">
            <v>45273</v>
          </cell>
          <cell r="X5506">
            <v>41100668</v>
          </cell>
        </row>
        <row r="5507">
          <cell r="K5507" t="str">
            <v>DBW-3137</v>
          </cell>
          <cell r="L5507">
            <v>45253</v>
          </cell>
          <cell r="M5507">
            <v>45257</v>
          </cell>
          <cell r="N5507">
            <v>45264</v>
          </cell>
          <cell r="O5507">
            <v>45257</v>
          </cell>
          <cell r="P5507">
            <v>45265</v>
          </cell>
          <cell r="Q5507">
            <v>45264</v>
          </cell>
          <cell r="R5507">
            <v>45265</v>
          </cell>
          <cell r="S5507">
            <v>45266</v>
          </cell>
          <cell r="T5507">
            <v>45266</v>
          </cell>
          <cell r="U5507">
            <v>45272</v>
          </cell>
          <cell r="V5507">
            <v>45273</v>
          </cell>
          <cell r="W5507">
            <v>45273</v>
          </cell>
          <cell r="X5507">
            <v>41100668</v>
          </cell>
        </row>
        <row r="5508">
          <cell r="K5508" t="str">
            <v>GBWS-3987</v>
          </cell>
          <cell r="L5508">
            <v>45296</v>
          </cell>
          <cell r="M5508">
            <v>45299</v>
          </cell>
          <cell r="N5508">
            <v>45303</v>
          </cell>
          <cell r="O5508">
            <v>45299</v>
          </cell>
          <cell r="P5508">
            <v>45307</v>
          </cell>
          <cell r="Q5508">
            <v>45306</v>
          </cell>
          <cell r="R5508">
            <v>45307</v>
          </cell>
          <cell r="S5508">
            <v>45308</v>
          </cell>
          <cell r="T5508">
            <v>45308</v>
          </cell>
          <cell r="U5508">
            <v>45317</v>
          </cell>
          <cell r="V5508">
            <v>45320</v>
          </cell>
          <cell r="W5508">
            <v>45320</v>
          </cell>
          <cell r="X5508">
            <v>41100356</v>
          </cell>
        </row>
        <row r="5509">
          <cell r="K5509" t="str">
            <v>DBW-3195</v>
          </cell>
          <cell r="L5509">
            <v>45313</v>
          </cell>
          <cell r="M5509">
            <v>45314</v>
          </cell>
          <cell r="N5509">
            <v>45321</v>
          </cell>
          <cell r="O5509">
            <v>45314</v>
          </cell>
          <cell r="P5509">
            <v>45321</v>
          </cell>
          <cell r="Q5509" t="str">
            <v>2024-01-31 → 1/29</v>
          </cell>
          <cell r="R5509" t="str">
            <v>2024-2-01 → 1/29</v>
          </cell>
          <cell r="S5509">
            <v>45321</v>
          </cell>
          <cell r="T5509">
            <v>45321</v>
          </cell>
          <cell r="U5509">
            <v>45323</v>
          </cell>
          <cell r="V5509">
            <v>45324</v>
          </cell>
          <cell r="W5509">
            <v>45324</v>
          </cell>
          <cell r="X5509">
            <v>41000566</v>
          </cell>
        </row>
        <row r="5510">
          <cell r="K5510" t="str">
            <v>DBW-3196</v>
          </cell>
          <cell r="L5510">
            <v>45313</v>
          </cell>
          <cell r="M5510">
            <v>45314</v>
          </cell>
          <cell r="N5510">
            <v>45321</v>
          </cell>
          <cell r="O5510">
            <v>45314</v>
          </cell>
          <cell r="P5510">
            <v>45321</v>
          </cell>
          <cell r="Q5510" t="str">
            <v>2024-01-31 → 1/29</v>
          </cell>
          <cell r="R5510" t="str">
            <v>2024-2-01 → 1/29</v>
          </cell>
          <cell r="S5510">
            <v>45321</v>
          </cell>
          <cell r="T5510">
            <v>45321</v>
          </cell>
          <cell r="U5510">
            <v>45323</v>
          </cell>
          <cell r="V5510">
            <v>45324</v>
          </cell>
          <cell r="W5510">
            <v>45324</v>
          </cell>
          <cell r="X5510">
            <v>41000566</v>
          </cell>
        </row>
        <row r="5511">
          <cell r="K5511" t="str">
            <v>DBW-3180</v>
          </cell>
          <cell r="L5511">
            <v>45282</v>
          </cell>
          <cell r="M5511">
            <v>45286</v>
          </cell>
          <cell r="N5511">
            <v>45299</v>
          </cell>
          <cell r="O5511">
            <v>45286</v>
          </cell>
          <cell r="P5511">
            <v>45299</v>
          </cell>
          <cell r="Q5511" t="str">
            <v>2024-01-08 → 01/09</v>
          </cell>
          <cell r="R5511" t="str">
            <v>2024-01-08 → 01/09</v>
          </cell>
          <cell r="S5511">
            <v>45300</v>
          </cell>
          <cell r="T5511">
            <v>45300</v>
          </cell>
          <cell r="U5511">
            <v>45306</v>
          </cell>
          <cell r="V5511">
            <v>45306</v>
          </cell>
          <cell r="W5511">
            <v>45306</v>
          </cell>
          <cell r="X5511">
            <v>41000576</v>
          </cell>
        </row>
        <row r="5512">
          <cell r="K5512" t="str">
            <v>DBW-3181</v>
          </cell>
          <cell r="L5512">
            <v>45282</v>
          </cell>
          <cell r="M5512">
            <v>45286</v>
          </cell>
          <cell r="N5512">
            <v>45299</v>
          </cell>
          <cell r="O5512">
            <v>45286</v>
          </cell>
          <cell r="P5512">
            <v>45299</v>
          </cell>
          <cell r="Q5512" t="str">
            <v>2024-01-08 → 01/09</v>
          </cell>
          <cell r="R5512" t="str">
            <v>2024-01-08 → 01/09</v>
          </cell>
          <cell r="S5512">
            <v>45300</v>
          </cell>
          <cell r="T5512">
            <v>45300</v>
          </cell>
          <cell r="U5512">
            <v>45306</v>
          </cell>
          <cell r="V5512">
            <v>45306</v>
          </cell>
          <cell r="W5512">
            <v>45306</v>
          </cell>
          <cell r="X5512">
            <v>41000576</v>
          </cell>
        </row>
        <row r="5513">
          <cell r="K5513" t="str">
            <v>DBW-3182</v>
          </cell>
          <cell r="L5513">
            <v>45288</v>
          </cell>
          <cell r="M5513">
            <v>45293</v>
          </cell>
          <cell r="N5513">
            <v>45295</v>
          </cell>
          <cell r="O5513">
            <v>45293</v>
          </cell>
          <cell r="P5513">
            <v>45296</v>
          </cell>
          <cell r="Q5513">
            <v>45301</v>
          </cell>
          <cell r="R5513">
            <v>45301</v>
          </cell>
          <cell r="S5513">
            <v>45302</v>
          </cell>
          <cell r="T5513">
            <v>45302</v>
          </cell>
          <cell r="U5513">
            <v>45306</v>
          </cell>
          <cell r="V5513">
            <v>45307</v>
          </cell>
          <cell r="W5513">
            <v>45307</v>
          </cell>
          <cell r="X5513">
            <v>41000573</v>
          </cell>
        </row>
        <row r="5514">
          <cell r="K5514" t="str">
            <v>DBW-3183</v>
          </cell>
          <cell r="L5514">
            <v>45288</v>
          </cell>
          <cell r="M5514">
            <v>45293</v>
          </cell>
          <cell r="N5514">
            <v>45295</v>
          </cell>
          <cell r="O5514">
            <v>45293</v>
          </cell>
          <cell r="P5514">
            <v>45296</v>
          </cell>
          <cell r="Q5514">
            <v>45301</v>
          </cell>
          <cell r="R5514">
            <v>45301</v>
          </cell>
          <cell r="S5514">
            <v>45302</v>
          </cell>
          <cell r="T5514">
            <v>45302</v>
          </cell>
          <cell r="U5514">
            <v>45306</v>
          </cell>
          <cell r="V5514">
            <v>45307</v>
          </cell>
          <cell r="W5514">
            <v>45307</v>
          </cell>
          <cell r="X5514">
            <v>41000573</v>
          </cell>
        </row>
        <row r="5515">
          <cell r="K5515" t="str">
            <v>GBWS-3057</v>
          </cell>
          <cell r="L5515">
            <v>44893</v>
          </cell>
          <cell r="M5515">
            <v>44894</v>
          </cell>
          <cell r="N5515">
            <v>44907</v>
          </cell>
          <cell r="O5515">
            <v>44894</v>
          </cell>
          <cell r="P5515">
            <v>44907</v>
          </cell>
          <cell r="Q5515">
            <v>44904</v>
          </cell>
          <cell r="R5515">
            <v>44904</v>
          </cell>
          <cell r="S5515"/>
          <cell r="T5515">
            <v>44910</v>
          </cell>
          <cell r="U5515">
            <v>44922</v>
          </cell>
          <cell r="V5515">
            <v>44922</v>
          </cell>
          <cell r="W5515">
            <v>44922</v>
          </cell>
          <cell r="X5515">
            <v>41100286</v>
          </cell>
        </row>
        <row r="5516">
          <cell r="K5516"/>
          <cell r="L5516">
            <v>45225</v>
          </cell>
          <cell r="M5516">
            <v>45225</v>
          </cell>
          <cell r="N5516">
            <v>45232</v>
          </cell>
          <cell r="O5516">
            <v>45225</v>
          </cell>
          <cell r="P5516">
            <v>45232</v>
          </cell>
          <cell r="Q5516">
            <v>45233</v>
          </cell>
          <cell r="R5516">
            <v>45236</v>
          </cell>
          <cell r="S5516">
            <v>45236</v>
          </cell>
          <cell r="T5516">
            <v>45236</v>
          </cell>
          <cell r="U5516">
            <v>45238</v>
          </cell>
          <cell r="V5516">
            <v>45238</v>
          </cell>
          <cell r="W5516">
            <v>45238</v>
          </cell>
          <cell r="X5516">
            <v>41100286</v>
          </cell>
        </row>
        <row r="5517">
          <cell r="K5517" t="str">
            <v>GBWS-4019</v>
          </cell>
          <cell r="L5517">
            <v>45303</v>
          </cell>
          <cell r="M5517">
            <v>45306</v>
          </cell>
          <cell r="N5517">
            <v>45313</v>
          </cell>
          <cell r="O5517">
            <v>45306</v>
          </cell>
          <cell r="P5517">
            <v>45314</v>
          </cell>
          <cell r="Q5517">
            <v>45315</v>
          </cell>
          <cell r="R5517">
            <v>45316</v>
          </cell>
          <cell r="S5517">
            <v>45320</v>
          </cell>
          <cell r="T5517">
            <v>45320</v>
          </cell>
          <cell r="U5517">
            <v>45323</v>
          </cell>
          <cell r="V5517">
            <v>45324</v>
          </cell>
          <cell r="W5517">
            <v>45324</v>
          </cell>
          <cell r="X5517">
            <v>41100662</v>
          </cell>
        </row>
        <row r="5518">
          <cell r="K5518" t="str">
            <v>GBWS-4020</v>
          </cell>
          <cell r="L5518">
            <v>45303</v>
          </cell>
          <cell r="M5518">
            <v>45306</v>
          </cell>
          <cell r="N5518">
            <v>45313</v>
          </cell>
          <cell r="O5518">
            <v>45306</v>
          </cell>
          <cell r="P5518">
            <v>45314</v>
          </cell>
          <cell r="Q5518">
            <v>45315</v>
          </cell>
          <cell r="R5518">
            <v>45316</v>
          </cell>
          <cell r="S5518">
            <v>45320</v>
          </cell>
          <cell r="T5518">
            <v>45320</v>
          </cell>
          <cell r="U5518">
            <v>45323</v>
          </cell>
          <cell r="V5518">
            <v>45324</v>
          </cell>
          <cell r="W5518">
            <v>45324</v>
          </cell>
          <cell r="X5518">
            <v>41100662</v>
          </cell>
        </row>
        <row r="5519">
          <cell r="K5519" t="str">
            <v>GBWS-4021</v>
          </cell>
          <cell r="L5519">
            <v>45303</v>
          </cell>
          <cell r="M5519">
            <v>45306</v>
          </cell>
          <cell r="N5519">
            <v>45313</v>
          </cell>
          <cell r="O5519">
            <v>45306</v>
          </cell>
          <cell r="P5519">
            <v>45314</v>
          </cell>
          <cell r="Q5519">
            <v>45315</v>
          </cell>
          <cell r="R5519">
            <v>45316</v>
          </cell>
          <cell r="S5519">
            <v>45320</v>
          </cell>
          <cell r="T5519">
            <v>45320</v>
          </cell>
          <cell r="U5519">
            <v>45324</v>
          </cell>
          <cell r="V5519">
            <v>45327</v>
          </cell>
          <cell r="W5519">
            <v>45327</v>
          </cell>
          <cell r="X5519">
            <v>41100662</v>
          </cell>
        </row>
        <row r="5520">
          <cell r="K5520" t="str">
            <v>GBWS-4022</v>
          </cell>
          <cell r="L5520">
            <v>45303</v>
          </cell>
          <cell r="M5520">
            <v>45306</v>
          </cell>
          <cell r="N5520">
            <v>45313</v>
          </cell>
          <cell r="O5520">
            <v>45306</v>
          </cell>
          <cell r="P5520">
            <v>45314</v>
          </cell>
          <cell r="Q5520">
            <v>45315</v>
          </cell>
          <cell r="R5520">
            <v>45316</v>
          </cell>
          <cell r="S5520">
            <v>45320</v>
          </cell>
          <cell r="T5520">
            <v>45320</v>
          </cell>
          <cell r="U5520">
            <v>45324</v>
          </cell>
          <cell r="V5520">
            <v>45327</v>
          </cell>
          <cell r="W5520">
            <v>45327</v>
          </cell>
          <cell r="X5520">
            <v>41100662</v>
          </cell>
        </row>
        <row r="5521">
          <cell r="K5521" t="str">
            <v>GBWS-4023</v>
          </cell>
          <cell r="L5521">
            <v>45303</v>
          </cell>
          <cell r="M5521">
            <v>45306</v>
          </cell>
          <cell r="N5521">
            <v>45313</v>
          </cell>
          <cell r="O5521">
            <v>45306</v>
          </cell>
          <cell r="P5521">
            <v>45314</v>
          </cell>
          <cell r="Q5521">
            <v>45315</v>
          </cell>
          <cell r="R5521">
            <v>45316</v>
          </cell>
          <cell r="S5521">
            <v>45320</v>
          </cell>
          <cell r="T5521">
            <v>45320</v>
          </cell>
          <cell r="U5521">
            <v>45324</v>
          </cell>
          <cell r="V5521">
            <v>45327</v>
          </cell>
          <cell r="W5521">
            <v>45327</v>
          </cell>
          <cell r="X5521">
            <v>41100662</v>
          </cell>
        </row>
        <row r="5522">
          <cell r="K5522" t="str">
            <v>GBWS-4024</v>
          </cell>
          <cell r="L5522">
            <v>45303</v>
          </cell>
          <cell r="M5522">
            <v>45306</v>
          </cell>
          <cell r="N5522">
            <v>45313</v>
          </cell>
          <cell r="O5522">
            <v>45306</v>
          </cell>
          <cell r="P5522">
            <v>45314</v>
          </cell>
          <cell r="Q5522">
            <v>45315</v>
          </cell>
          <cell r="R5522">
            <v>45316</v>
          </cell>
          <cell r="S5522">
            <v>45320</v>
          </cell>
          <cell r="T5522">
            <v>45320</v>
          </cell>
          <cell r="U5522">
            <v>45324</v>
          </cell>
          <cell r="V5522">
            <v>45327</v>
          </cell>
          <cell r="W5522">
            <v>45327</v>
          </cell>
          <cell r="X5522">
            <v>41100662</v>
          </cell>
        </row>
        <row r="5523">
          <cell r="K5523" t="str">
            <v>GBWS-4033</v>
          </cell>
          <cell r="L5523">
            <v>45306</v>
          </cell>
          <cell r="M5523">
            <v>45307</v>
          </cell>
          <cell r="N5523">
            <v>45315</v>
          </cell>
          <cell r="O5523">
            <v>45307</v>
          </cell>
          <cell r="P5523">
            <v>45315</v>
          </cell>
          <cell r="Q5523">
            <v>45314</v>
          </cell>
          <cell r="R5523">
            <v>45315</v>
          </cell>
          <cell r="S5523">
            <v>45317</v>
          </cell>
          <cell r="T5523">
            <v>45317</v>
          </cell>
          <cell r="U5523">
            <v>45320</v>
          </cell>
          <cell r="V5523">
            <v>45321</v>
          </cell>
          <cell r="W5523">
            <v>45321</v>
          </cell>
          <cell r="X5523">
            <v>41100702</v>
          </cell>
        </row>
        <row r="5524">
          <cell r="K5524" t="str">
            <v>GPWS-0313</v>
          </cell>
          <cell r="L5524">
            <v>45306</v>
          </cell>
          <cell r="M5524" t="str">
            <v>2024-01-12 → 1/16</v>
          </cell>
          <cell r="N5524">
            <v>45315</v>
          </cell>
          <cell r="O5524" t="str">
            <v>2024-01-12 → 1/16</v>
          </cell>
          <cell r="P5524">
            <v>45316</v>
          </cell>
          <cell r="Q5524" t="str">
            <v>2024-01-22 → 1/24</v>
          </cell>
          <cell r="R5524" t="str">
            <v>2024-01-22 → 1/25</v>
          </cell>
          <cell r="S5524">
            <v>45320</v>
          </cell>
          <cell r="T5524">
            <v>45320</v>
          </cell>
          <cell r="U5524">
            <v>45327</v>
          </cell>
          <cell r="V5524">
            <v>45328</v>
          </cell>
          <cell r="W5524">
            <v>45328</v>
          </cell>
          <cell r="X5524">
            <v>41000581</v>
          </cell>
        </row>
        <row r="5525">
          <cell r="K5525" t="str">
            <v>GPWS-0314</v>
          </cell>
          <cell r="L5525">
            <v>45306</v>
          </cell>
          <cell r="M5525" t="str">
            <v>2024-01-12 → 1/16</v>
          </cell>
          <cell r="N5525">
            <v>45315</v>
          </cell>
          <cell r="O5525" t="str">
            <v>2024-01-12 → 1/16</v>
          </cell>
          <cell r="P5525">
            <v>45316</v>
          </cell>
          <cell r="Q5525" t="str">
            <v>2024-01-22 → 1/24</v>
          </cell>
          <cell r="R5525" t="str">
            <v>2024-01-22 → 1/25</v>
          </cell>
          <cell r="S5525">
            <v>45320</v>
          </cell>
          <cell r="T5525">
            <v>45320</v>
          </cell>
          <cell r="U5525">
            <v>45327</v>
          </cell>
          <cell r="V5525">
            <v>45328</v>
          </cell>
          <cell r="W5525">
            <v>45328</v>
          </cell>
          <cell r="X5525">
            <v>41000581</v>
          </cell>
        </row>
        <row r="5526">
          <cell r="K5526" t="str">
            <v>GBWS-3973</v>
          </cell>
          <cell r="L5526">
            <v>45293</v>
          </cell>
          <cell r="M5526">
            <v>45294</v>
          </cell>
          <cell r="N5526">
            <v>45301</v>
          </cell>
          <cell r="O5526">
            <v>45294</v>
          </cell>
          <cell r="P5526">
            <v>45303</v>
          </cell>
          <cell r="Q5526">
            <v>45302</v>
          </cell>
          <cell r="R5526">
            <v>45303</v>
          </cell>
          <cell r="S5526">
            <v>45306</v>
          </cell>
          <cell r="T5526">
            <v>45306</v>
          </cell>
          <cell r="U5526">
            <v>45307</v>
          </cell>
          <cell r="V5526">
            <v>45308</v>
          </cell>
          <cell r="W5526">
            <v>45308</v>
          </cell>
          <cell r="X5526">
            <v>41100686</v>
          </cell>
        </row>
        <row r="5527">
          <cell r="K5527" t="str">
            <v>GBWS-3974</v>
          </cell>
          <cell r="L5527">
            <v>45293</v>
          </cell>
          <cell r="M5527">
            <v>45294</v>
          </cell>
          <cell r="N5527">
            <v>45301</v>
          </cell>
          <cell r="O5527">
            <v>45294</v>
          </cell>
          <cell r="P5527">
            <v>45303</v>
          </cell>
          <cell r="Q5527">
            <v>45302</v>
          </cell>
          <cell r="R5527">
            <v>45303</v>
          </cell>
          <cell r="S5527">
            <v>45306</v>
          </cell>
          <cell r="T5527">
            <v>45306</v>
          </cell>
          <cell r="U5527">
            <v>45307</v>
          </cell>
          <cell r="V5527">
            <v>45308</v>
          </cell>
          <cell r="W5527">
            <v>45308</v>
          </cell>
          <cell r="X5527">
            <v>41100686</v>
          </cell>
        </row>
        <row r="5528">
          <cell r="K5528" t="str">
            <v>GBWS-4052</v>
          </cell>
          <cell r="L5528">
            <v>45310</v>
          </cell>
          <cell r="M5528">
            <v>45313</v>
          </cell>
          <cell r="N5528">
            <v>45317</v>
          </cell>
          <cell r="O5528">
            <v>45313</v>
          </cell>
          <cell r="P5528">
            <v>45321</v>
          </cell>
          <cell r="Q5528">
            <v>45320</v>
          </cell>
          <cell r="R5528">
            <v>45321</v>
          </cell>
          <cell r="S5528">
            <v>45322</v>
          </cell>
          <cell r="T5528">
            <v>45322</v>
          </cell>
          <cell r="U5528">
            <v>45327</v>
          </cell>
          <cell r="V5528">
            <v>45328</v>
          </cell>
          <cell r="W5528">
            <v>45328</v>
          </cell>
          <cell r="X5528">
            <v>41100350</v>
          </cell>
        </row>
        <row r="5529">
          <cell r="K5529" t="str">
            <v>GBWS-4041</v>
          </cell>
          <cell r="L5529">
            <v>45308</v>
          </cell>
          <cell r="M5529">
            <v>45309</v>
          </cell>
          <cell r="N5529">
            <v>45316</v>
          </cell>
          <cell r="O5529">
            <v>45309</v>
          </cell>
          <cell r="P5529">
            <v>45320</v>
          </cell>
          <cell r="Q5529">
            <v>45317</v>
          </cell>
          <cell r="R5529">
            <v>45320</v>
          </cell>
          <cell r="S5529">
            <v>45321</v>
          </cell>
          <cell r="T5529">
            <v>45321</v>
          </cell>
          <cell r="U5529">
            <v>45323</v>
          </cell>
          <cell r="V5529">
            <v>45324</v>
          </cell>
          <cell r="W5529">
            <v>45324</v>
          </cell>
          <cell r="X5529">
            <v>41100704</v>
          </cell>
        </row>
        <row r="5530">
          <cell r="K5530" t="str">
            <v>GBWS-4071</v>
          </cell>
          <cell r="L5530">
            <v>45313</v>
          </cell>
          <cell r="M5530">
            <v>45314</v>
          </cell>
          <cell r="N5530">
            <v>45322</v>
          </cell>
          <cell r="O5530">
            <v>45314</v>
          </cell>
          <cell r="P5530">
            <v>45321</v>
          </cell>
          <cell r="Q5530">
            <v>45321</v>
          </cell>
          <cell r="R5530">
            <v>45322</v>
          </cell>
          <cell r="S5530">
            <v>45323</v>
          </cell>
          <cell r="T5530">
            <v>45323</v>
          </cell>
          <cell r="U5530">
            <v>45327</v>
          </cell>
          <cell r="V5530">
            <v>45327</v>
          </cell>
          <cell r="W5530">
            <v>45327</v>
          </cell>
          <cell r="X5530">
            <v>41100584</v>
          </cell>
        </row>
        <row r="5531">
          <cell r="K5531" t="str">
            <v>MMD-0068</v>
          </cell>
          <cell r="L5531">
            <v>45307</v>
          </cell>
          <cell r="M5531">
            <v>45308</v>
          </cell>
          <cell r="N5531">
            <v>45310</v>
          </cell>
          <cell r="O5531">
            <v>45308</v>
          </cell>
          <cell r="P5531">
            <v>45310</v>
          </cell>
          <cell r="Q5531">
            <v>45310</v>
          </cell>
          <cell r="R5531">
            <v>45310</v>
          </cell>
          <cell r="S5531">
            <v>45313</v>
          </cell>
          <cell r="T5531">
            <v>45313</v>
          </cell>
          <cell r="U5531">
            <v>45314</v>
          </cell>
          <cell r="V5531">
            <v>45314</v>
          </cell>
          <cell r="W5531">
            <v>45314</v>
          </cell>
          <cell r="X5531">
            <v>31102402</v>
          </cell>
        </row>
        <row r="5532">
          <cell r="K5532" t="str">
            <v>GBWS-4008</v>
          </cell>
          <cell r="L5532">
            <v>45302</v>
          </cell>
          <cell r="M5532">
            <v>45303</v>
          </cell>
          <cell r="N5532">
            <v>45310</v>
          </cell>
          <cell r="O5532">
            <v>45303</v>
          </cell>
          <cell r="P5532">
            <v>45314</v>
          </cell>
          <cell r="Q5532">
            <v>45313</v>
          </cell>
          <cell r="R5532">
            <v>45314</v>
          </cell>
          <cell r="S5532">
            <v>45315</v>
          </cell>
          <cell r="T5532">
            <v>45315</v>
          </cell>
          <cell r="U5532">
            <v>45317</v>
          </cell>
          <cell r="V5532">
            <v>45320</v>
          </cell>
          <cell r="W5532">
            <v>45320</v>
          </cell>
          <cell r="X5532">
            <v>41100686</v>
          </cell>
        </row>
        <row r="5533">
          <cell r="K5533" t="str">
            <v>GBWS-4009</v>
          </cell>
          <cell r="L5533">
            <v>45302</v>
          </cell>
          <cell r="M5533">
            <v>45303</v>
          </cell>
          <cell r="N5533">
            <v>45310</v>
          </cell>
          <cell r="O5533">
            <v>45303</v>
          </cell>
          <cell r="P5533">
            <v>45314</v>
          </cell>
          <cell r="Q5533">
            <v>45313</v>
          </cell>
          <cell r="R5533">
            <v>45314</v>
          </cell>
          <cell r="S5533">
            <v>45315</v>
          </cell>
          <cell r="T5533">
            <v>45315</v>
          </cell>
          <cell r="U5533">
            <v>45320</v>
          </cell>
          <cell r="V5533">
            <v>45321</v>
          </cell>
          <cell r="W5533">
            <v>45321</v>
          </cell>
          <cell r="X5533">
            <v>41100686</v>
          </cell>
        </row>
        <row r="5534">
          <cell r="K5534" t="str">
            <v>GBWS-4053</v>
          </cell>
          <cell r="L5534">
            <v>45310</v>
          </cell>
          <cell r="M5534">
            <v>45313</v>
          </cell>
          <cell r="N5534">
            <v>45317</v>
          </cell>
          <cell r="O5534">
            <v>45313</v>
          </cell>
          <cell r="P5534">
            <v>45321</v>
          </cell>
          <cell r="Q5534">
            <v>45320</v>
          </cell>
          <cell r="R5534">
            <v>45321</v>
          </cell>
          <cell r="S5534">
            <v>45321</v>
          </cell>
          <cell r="T5534">
            <v>45321</v>
          </cell>
          <cell r="U5534">
            <v>45323</v>
          </cell>
          <cell r="V5534">
            <v>45324</v>
          </cell>
          <cell r="W5534">
            <v>45324</v>
          </cell>
          <cell r="X5534">
            <v>41100564</v>
          </cell>
        </row>
        <row r="5535">
          <cell r="K5535" t="str">
            <v>GBWS-4054</v>
          </cell>
          <cell r="L5535">
            <v>45310</v>
          </cell>
          <cell r="M5535">
            <v>45313</v>
          </cell>
          <cell r="N5535">
            <v>45317</v>
          </cell>
          <cell r="O5535">
            <v>45313</v>
          </cell>
          <cell r="P5535">
            <v>45321</v>
          </cell>
          <cell r="Q5535">
            <v>45320</v>
          </cell>
          <cell r="R5535">
            <v>45321</v>
          </cell>
          <cell r="S5535">
            <v>45321</v>
          </cell>
          <cell r="T5535">
            <v>45321</v>
          </cell>
          <cell r="U5535">
            <v>45324</v>
          </cell>
          <cell r="V5535">
            <v>45327</v>
          </cell>
          <cell r="W5535">
            <v>45327</v>
          </cell>
          <cell r="X5535">
            <v>41100564</v>
          </cell>
        </row>
        <row r="5536">
          <cell r="K5536" t="str">
            <v>GBWS-4055</v>
          </cell>
          <cell r="L5536">
            <v>45310</v>
          </cell>
          <cell r="M5536">
            <v>45313</v>
          </cell>
          <cell r="N5536">
            <v>45317</v>
          </cell>
          <cell r="O5536">
            <v>45313</v>
          </cell>
          <cell r="P5536">
            <v>45321</v>
          </cell>
          <cell r="Q5536">
            <v>45320</v>
          </cell>
          <cell r="R5536">
            <v>45321</v>
          </cell>
          <cell r="S5536">
            <v>45321</v>
          </cell>
          <cell r="T5536">
            <v>45321</v>
          </cell>
          <cell r="U5536">
            <v>45324</v>
          </cell>
          <cell r="V5536">
            <v>45327</v>
          </cell>
          <cell r="W5536">
            <v>45327</v>
          </cell>
          <cell r="X5536">
            <v>41100564</v>
          </cell>
        </row>
        <row r="5537">
          <cell r="K5537" t="str">
            <v>GBWS-4062</v>
          </cell>
          <cell r="L5537">
            <v>45310</v>
          </cell>
          <cell r="M5537">
            <v>45313</v>
          </cell>
          <cell r="N5537">
            <v>45321</v>
          </cell>
          <cell r="O5537">
            <v>45313</v>
          </cell>
          <cell r="P5537">
            <v>45321</v>
          </cell>
          <cell r="Q5537">
            <v>45322</v>
          </cell>
          <cell r="R5537">
            <v>45323</v>
          </cell>
          <cell r="S5537">
            <v>45322</v>
          </cell>
          <cell r="T5537">
            <v>45322</v>
          </cell>
          <cell r="U5537">
            <v>45327</v>
          </cell>
          <cell r="V5537">
            <v>45328</v>
          </cell>
          <cell r="W5537">
            <v>45328</v>
          </cell>
          <cell r="X5537">
            <v>41100702</v>
          </cell>
        </row>
        <row r="5538">
          <cell r="K5538" t="str">
            <v>GBWS-4051</v>
          </cell>
          <cell r="L5538">
            <v>45309</v>
          </cell>
          <cell r="M5538">
            <v>45310</v>
          </cell>
          <cell r="N5538">
            <v>45316</v>
          </cell>
          <cell r="O5538">
            <v>45310</v>
          </cell>
          <cell r="P5538">
            <v>45320</v>
          </cell>
          <cell r="Q5538">
            <v>45321</v>
          </cell>
          <cell r="R5538">
            <v>45322</v>
          </cell>
          <cell r="S5538">
            <v>45322</v>
          </cell>
          <cell r="T5538">
            <v>45322</v>
          </cell>
          <cell r="U5538">
            <v>45327</v>
          </cell>
          <cell r="V5538">
            <v>45327</v>
          </cell>
          <cell r="W5538">
            <v>45327</v>
          </cell>
          <cell r="X5538">
            <v>41100698</v>
          </cell>
        </row>
        <row r="5539">
          <cell r="K5539" t="str">
            <v>DBW-3197</v>
          </cell>
          <cell r="L5539">
            <v>45313</v>
          </cell>
          <cell r="M5539">
            <v>45314</v>
          </cell>
          <cell r="N5539">
            <v>45321</v>
          </cell>
          <cell r="O5539">
            <v>45314</v>
          </cell>
          <cell r="P5539">
            <v>45321</v>
          </cell>
          <cell r="Q5539">
            <v>45322</v>
          </cell>
          <cell r="R5539">
            <v>45323</v>
          </cell>
          <cell r="S5539">
            <v>45323</v>
          </cell>
          <cell r="T5539">
            <v>45323</v>
          </cell>
          <cell r="U5539">
            <v>45328</v>
          </cell>
          <cell r="V5539">
            <v>45328</v>
          </cell>
          <cell r="W5539">
            <v>45328</v>
          </cell>
          <cell r="X5539">
            <v>41000566</v>
          </cell>
        </row>
        <row r="5540">
          <cell r="K5540" t="str">
            <v>DBW-3198</v>
          </cell>
          <cell r="L5540">
            <v>45313</v>
          </cell>
          <cell r="M5540">
            <v>45314</v>
          </cell>
          <cell r="N5540">
            <v>45321</v>
          </cell>
          <cell r="O5540">
            <v>45314</v>
          </cell>
          <cell r="P5540">
            <v>45321</v>
          </cell>
          <cell r="Q5540">
            <v>45322</v>
          </cell>
          <cell r="R5540">
            <v>45323</v>
          </cell>
          <cell r="S5540">
            <v>45323</v>
          </cell>
          <cell r="T5540">
            <v>45323</v>
          </cell>
          <cell r="U5540">
            <v>45330</v>
          </cell>
          <cell r="V5540">
            <v>45330</v>
          </cell>
          <cell r="W5540">
            <v>45330</v>
          </cell>
          <cell r="X5540">
            <v>41000566</v>
          </cell>
        </row>
        <row r="5541">
          <cell r="K5541" t="str">
            <v>DBW-3199</v>
          </cell>
          <cell r="L5541">
            <v>45313</v>
          </cell>
          <cell r="M5541">
            <v>45314</v>
          </cell>
          <cell r="N5541">
            <v>45321</v>
          </cell>
          <cell r="O5541">
            <v>45314</v>
          </cell>
          <cell r="P5541">
            <v>45321</v>
          </cell>
          <cell r="Q5541">
            <v>45322</v>
          </cell>
          <cell r="R5541">
            <v>45323</v>
          </cell>
          <cell r="S5541">
            <v>45323</v>
          </cell>
          <cell r="T5541">
            <v>45323</v>
          </cell>
          <cell r="U5541">
            <v>45330</v>
          </cell>
          <cell r="V5541">
            <v>45330</v>
          </cell>
          <cell r="W5541">
            <v>45330</v>
          </cell>
          <cell r="X5541">
            <v>41000566</v>
          </cell>
        </row>
        <row r="5542">
          <cell r="K5542" t="str">
            <v>DBW-3200</v>
          </cell>
          <cell r="L5542">
            <v>45313</v>
          </cell>
          <cell r="M5542">
            <v>45314</v>
          </cell>
          <cell r="N5542">
            <v>45321</v>
          </cell>
          <cell r="O5542">
            <v>45314</v>
          </cell>
          <cell r="P5542">
            <v>45321</v>
          </cell>
          <cell r="Q5542">
            <v>45322</v>
          </cell>
          <cell r="R5542">
            <v>45323</v>
          </cell>
          <cell r="S5542">
            <v>45323</v>
          </cell>
          <cell r="T5542">
            <v>45323</v>
          </cell>
          <cell r="U5542">
            <v>45330</v>
          </cell>
          <cell r="V5542">
            <v>45330</v>
          </cell>
          <cell r="W5542">
            <v>45330</v>
          </cell>
          <cell r="X5542">
            <v>41000566</v>
          </cell>
        </row>
        <row r="5543">
          <cell r="K5543" t="str">
            <v>DBW-3201</v>
          </cell>
          <cell r="L5543">
            <v>45313</v>
          </cell>
          <cell r="M5543">
            <v>45314</v>
          </cell>
          <cell r="N5543">
            <v>45321</v>
          </cell>
          <cell r="O5543">
            <v>45314</v>
          </cell>
          <cell r="P5543">
            <v>45321</v>
          </cell>
          <cell r="Q5543">
            <v>45322</v>
          </cell>
          <cell r="R5543">
            <v>45323</v>
          </cell>
          <cell r="S5543">
            <v>45324</v>
          </cell>
          <cell r="T5543">
            <v>45328</v>
          </cell>
          <cell r="U5543">
            <v>45329</v>
          </cell>
          <cell r="V5543">
            <v>45330</v>
          </cell>
          <cell r="W5543">
            <v>45330</v>
          </cell>
          <cell r="X5543">
            <v>41000566</v>
          </cell>
        </row>
        <row r="5544">
          <cell r="K5544" t="str">
            <v>DBW-3202</v>
          </cell>
          <cell r="L5544">
            <v>45313</v>
          </cell>
          <cell r="M5544">
            <v>45314</v>
          </cell>
          <cell r="N5544">
            <v>45321</v>
          </cell>
          <cell r="O5544">
            <v>45314</v>
          </cell>
          <cell r="P5544">
            <v>45321</v>
          </cell>
          <cell r="Q5544">
            <v>45322</v>
          </cell>
          <cell r="R5544">
            <v>45323</v>
          </cell>
          <cell r="S5544">
            <v>45324</v>
          </cell>
          <cell r="T5544">
            <v>45327</v>
          </cell>
          <cell r="U5544">
            <v>45328</v>
          </cell>
          <cell r="V5544">
            <v>45329</v>
          </cell>
          <cell r="W5544">
            <v>45329</v>
          </cell>
          <cell r="X5544">
            <v>41000566</v>
          </cell>
        </row>
        <row r="5545">
          <cell r="K5545" t="str">
            <v>DBW-3203</v>
          </cell>
          <cell r="L5545">
            <v>45313</v>
          </cell>
          <cell r="M5545">
            <v>45314</v>
          </cell>
          <cell r="N5545">
            <v>45321</v>
          </cell>
          <cell r="O5545">
            <v>45314</v>
          </cell>
          <cell r="P5545">
            <v>45321</v>
          </cell>
          <cell r="Q5545">
            <v>45322</v>
          </cell>
          <cell r="R5545">
            <v>45323</v>
          </cell>
          <cell r="S5545">
            <v>45324</v>
          </cell>
          <cell r="T5545">
            <v>45328</v>
          </cell>
          <cell r="U5545">
            <v>45329</v>
          </cell>
          <cell r="V5545">
            <v>45330</v>
          </cell>
          <cell r="W5545">
            <v>45330</v>
          </cell>
          <cell r="X5545">
            <v>41000566</v>
          </cell>
        </row>
        <row r="5546">
          <cell r="K5546" t="str">
            <v>DBW-3204</v>
          </cell>
          <cell r="L5546">
            <v>45313</v>
          </cell>
          <cell r="M5546">
            <v>45314</v>
          </cell>
          <cell r="N5546">
            <v>45321</v>
          </cell>
          <cell r="O5546">
            <v>45314</v>
          </cell>
          <cell r="P5546">
            <v>45321</v>
          </cell>
          <cell r="Q5546">
            <v>45322</v>
          </cell>
          <cell r="R5546">
            <v>45323</v>
          </cell>
          <cell r="S5546">
            <v>45324</v>
          </cell>
          <cell r="T5546">
            <v>45327</v>
          </cell>
          <cell r="U5546">
            <v>45328</v>
          </cell>
          <cell r="V5546">
            <v>45328</v>
          </cell>
          <cell r="W5546">
            <v>45328</v>
          </cell>
          <cell r="X5546">
            <v>41000566</v>
          </cell>
        </row>
        <row r="5547">
          <cell r="K5547" t="str">
            <v>DBW-3085</v>
          </cell>
          <cell r="L5547">
            <v>45209</v>
          </cell>
          <cell r="M5547">
            <v>45210</v>
          </cell>
          <cell r="N5547">
            <v>45217</v>
          </cell>
          <cell r="O5547">
            <v>45210</v>
          </cell>
          <cell r="P5547">
            <v>45219</v>
          </cell>
          <cell r="Q5547" t="str">
            <v>2023-10-18 → 10/20</v>
          </cell>
          <cell r="R5547" t="str">
            <v>2023-10-19 → 10/20</v>
          </cell>
          <cell r="S5547">
            <v>45251</v>
          </cell>
          <cell r="T5547">
            <v>45251</v>
          </cell>
          <cell r="U5547">
            <v>45329</v>
          </cell>
          <cell r="V5547">
            <v>45330</v>
          </cell>
          <cell r="W5547">
            <v>45330</v>
          </cell>
          <cell r="X5547">
            <v>41100694</v>
          </cell>
        </row>
        <row r="5548">
          <cell r="K5548" t="str">
            <v>GBWS-4056</v>
          </cell>
          <cell r="L5548">
            <v>45310</v>
          </cell>
          <cell r="M5548">
            <v>45313</v>
          </cell>
          <cell r="N5548">
            <v>45322</v>
          </cell>
          <cell r="O5548">
            <v>45313</v>
          </cell>
          <cell r="P5548">
            <v>45321</v>
          </cell>
          <cell r="Q5548">
            <v>45320</v>
          </cell>
          <cell r="R5548">
            <v>45321</v>
          </cell>
          <cell r="S5548">
            <v>45327</v>
          </cell>
          <cell r="T5548">
            <v>45328</v>
          </cell>
          <cell r="U5548">
            <v>45330</v>
          </cell>
          <cell r="V5548">
            <v>45335</v>
          </cell>
          <cell r="W5548">
            <v>45335</v>
          </cell>
          <cell r="X5548">
            <v>41000568</v>
          </cell>
        </row>
        <row r="5549">
          <cell r="K5549" t="str">
            <v>GBWS-4057</v>
          </cell>
          <cell r="L5549">
            <v>45310</v>
          </cell>
          <cell r="M5549">
            <v>45313</v>
          </cell>
          <cell r="N5549">
            <v>45322</v>
          </cell>
          <cell r="O5549">
            <v>45313</v>
          </cell>
          <cell r="P5549">
            <v>45321</v>
          </cell>
          <cell r="Q5549">
            <v>45320</v>
          </cell>
          <cell r="R5549">
            <v>45321</v>
          </cell>
          <cell r="S5549">
            <v>45327</v>
          </cell>
          <cell r="T5549">
            <v>45328</v>
          </cell>
          <cell r="U5549">
            <v>45330</v>
          </cell>
          <cell r="V5549">
            <v>45335</v>
          </cell>
          <cell r="W5549">
            <v>45335</v>
          </cell>
          <cell r="X5549">
            <v>41000568</v>
          </cell>
        </row>
        <row r="5550">
          <cell r="K5550" t="str">
            <v>GBWS-4042</v>
          </cell>
          <cell r="L5550">
            <v>45309</v>
          </cell>
          <cell r="M5550">
            <v>45310</v>
          </cell>
          <cell r="N5550">
            <v>45315</v>
          </cell>
          <cell r="O5550">
            <v>45310</v>
          </cell>
          <cell r="P5550">
            <v>45317</v>
          </cell>
          <cell r="Q5550">
            <v>45317</v>
          </cell>
          <cell r="R5550">
            <v>45320</v>
          </cell>
          <cell r="S5550">
            <v>45321</v>
          </cell>
          <cell r="T5550">
            <v>45321</v>
          </cell>
          <cell r="U5550">
            <v>45322</v>
          </cell>
          <cell r="V5550">
            <v>45323</v>
          </cell>
          <cell r="W5550">
            <v>45323</v>
          </cell>
          <cell r="X5550">
            <v>41100558</v>
          </cell>
        </row>
        <row r="5551">
          <cell r="K5551" t="str">
            <v>GBWS-4064</v>
          </cell>
          <cell r="L5551">
            <v>45313</v>
          </cell>
          <cell r="M5551">
            <v>45314</v>
          </cell>
          <cell r="N5551">
            <v>45321</v>
          </cell>
          <cell r="O5551">
            <v>45314</v>
          </cell>
          <cell r="P5551">
            <v>45321</v>
          </cell>
          <cell r="Q5551">
            <v>45322</v>
          </cell>
          <cell r="R5551">
            <v>45323</v>
          </cell>
          <cell r="S5551">
            <v>45323</v>
          </cell>
          <cell r="T5551">
            <v>45327</v>
          </cell>
          <cell r="U5551">
            <v>45328</v>
          </cell>
          <cell r="V5551">
            <v>45328</v>
          </cell>
          <cell r="W5551">
            <v>45328</v>
          </cell>
          <cell r="X5551">
            <v>41100558</v>
          </cell>
        </row>
        <row r="5552">
          <cell r="K5552" t="str">
            <v>GBWS-4065</v>
          </cell>
          <cell r="L5552">
            <v>45313</v>
          </cell>
          <cell r="M5552">
            <v>45314</v>
          </cell>
          <cell r="N5552">
            <v>45321</v>
          </cell>
          <cell r="O5552">
            <v>45314</v>
          </cell>
          <cell r="P5552">
            <v>45321</v>
          </cell>
          <cell r="Q5552">
            <v>45322</v>
          </cell>
          <cell r="R5552">
            <v>45323</v>
          </cell>
          <cell r="S5552">
            <v>45323</v>
          </cell>
          <cell r="T5552">
            <v>45327</v>
          </cell>
          <cell r="U5552">
            <v>45328</v>
          </cell>
          <cell r="V5552">
            <v>45329</v>
          </cell>
          <cell r="W5552">
            <v>45329</v>
          </cell>
          <cell r="X5552">
            <v>41100558</v>
          </cell>
        </row>
        <row r="5553">
          <cell r="K5553" t="str">
            <v>GBWS-4066</v>
          </cell>
          <cell r="L5553">
            <v>45313</v>
          </cell>
          <cell r="M5553">
            <v>45314</v>
          </cell>
          <cell r="N5553">
            <v>45321</v>
          </cell>
          <cell r="O5553">
            <v>45314</v>
          </cell>
          <cell r="P5553">
            <v>45321</v>
          </cell>
          <cell r="Q5553">
            <v>45322</v>
          </cell>
          <cell r="R5553">
            <v>45323</v>
          </cell>
          <cell r="S5553">
            <v>45323</v>
          </cell>
          <cell r="T5553">
            <v>45327</v>
          </cell>
          <cell r="U5553">
            <v>45329</v>
          </cell>
          <cell r="V5553">
            <v>45329</v>
          </cell>
          <cell r="W5553">
            <v>45329</v>
          </cell>
          <cell r="X5553">
            <v>41100558</v>
          </cell>
        </row>
        <row r="5554">
          <cell r="K5554" t="str">
            <v>GBWS-4067</v>
          </cell>
          <cell r="L5554">
            <v>45313</v>
          </cell>
          <cell r="M5554">
            <v>45314</v>
          </cell>
          <cell r="N5554">
            <v>45321</v>
          </cell>
          <cell r="O5554">
            <v>45314</v>
          </cell>
          <cell r="P5554">
            <v>45321</v>
          </cell>
          <cell r="Q5554">
            <v>45322</v>
          </cell>
          <cell r="R5554">
            <v>45323</v>
          </cell>
          <cell r="S5554">
            <v>45327</v>
          </cell>
          <cell r="T5554">
            <v>45327</v>
          </cell>
          <cell r="U5554">
            <v>45328</v>
          </cell>
          <cell r="V5554">
            <v>45329</v>
          </cell>
          <cell r="W5554">
            <v>45329</v>
          </cell>
          <cell r="X5554">
            <v>41100558</v>
          </cell>
        </row>
        <row r="5555">
          <cell r="K5555" t="str">
            <v>GBWS-4068</v>
          </cell>
          <cell r="L5555">
            <v>45313</v>
          </cell>
          <cell r="M5555">
            <v>45314</v>
          </cell>
          <cell r="N5555">
            <v>45321</v>
          </cell>
          <cell r="O5555">
            <v>45314</v>
          </cell>
          <cell r="P5555">
            <v>45321</v>
          </cell>
          <cell r="Q5555">
            <v>45322</v>
          </cell>
          <cell r="R5555">
            <v>45323</v>
          </cell>
          <cell r="S5555">
            <v>45327</v>
          </cell>
          <cell r="T5555">
            <v>45328</v>
          </cell>
          <cell r="U5555">
            <v>45329</v>
          </cell>
          <cell r="V5555">
            <v>45329</v>
          </cell>
          <cell r="W5555">
            <v>45329</v>
          </cell>
          <cell r="X5555">
            <v>41100558</v>
          </cell>
        </row>
        <row r="5556">
          <cell r="K5556" t="str">
            <v>GBWS-4069</v>
          </cell>
          <cell r="L5556">
            <v>45313</v>
          </cell>
          <cell r="M5556">
            <v>45314</v>
          </cell>
          <cell r="N5556">
            <v>45321</v>
          </cell>
          <cell r="O5556">
            <v>45314</v>
          </cell>
          <cell r="P5556">
            <v>45321</v>
          </cell>
          <cell r="Q5556">
            <v>45322</v>
          </cell>
          <cell r="R5556">
            <v>45323</v>
          </cell>
          <cell r="S5556">
            <v>45328</v>
          </cell>
          <cell r="T5556">
            <v>45329</v>
          </cell>
          <cell r="U5556">
            <v>45331</v>
          </cell>
          <cell r="V5556">
            <v>45335</v>
          </cell>
          <cell r="W5556">
            <v>45335</v>
          </cell>
          <cell r="X5556">
            <v>41100558</v>
          </cell>
        </row>
        <row r="5557">
          <cell r="K5557" t="str">
            <v>GBWS-4043</v>
          </cell>
          <cell r="L5557">
            <v>45309</v>
          </cell>
          <cell r="M5557">
            <v>45310</v>
          </cell>
          <cell r="N5557">
            <v>45315</v>
          </cell>
          <cell r="O5557">
            <v>45310</v>
          </cell>
          <cell r="P5557">
            <v>45317</v>
          </cell>
          <cell r="Q5557">
            <v>45317</v>
          </cell>
          <cell r="R5557">
            <v>45320</v>
          </cell>
          <cell r="S5557">
            <v>45321</v>
          </cell>
          <cell r="T5557">
            <v>45321</v>
          </cell>
          <cell r="U5557">
            <v>45322</v>
          </cell>
          <cell r="V5557">
            <v>45323</v>
          </cell>
          <cell r="W5557">
            <v>45323</v>
          </cell>
          <cell r="X5557">
            <v>41100558</v>
          </cell>
        </row>
        <row r="5558">
          <cell r="K5558" t="str">
            <v>GBWS-4082</v>
          </cell>
          <cell r="L5558">
            <v>45316</v>
          </cell>
          <cell r="M5558">
            <v>45317</v>
          </cell>
          <cell r="N5558">
            <v>45324</v>
          </cell>
          <cell r="O5558" t="str">
            <v>2024-01-26 → 1/29</v>
          </cell>
          <cell r="P5558">
            <v>45327</v>
          </cell>
          <cell r="Q5558">
            <v>45324</v>
          </cell>
          <cell r="R5558">
            <v>45327</v>
          </cell>
          <cell r="S5558">
            <v>45328</v>
          </cell>
          <cell r="T5558">
            <v>45329</v>
          </cell>
          <cell r="U5558">
            <v>45330</v>
          </cell>
          <cell r="V5558">
            <v>45335</v>
          </cell>
          <cell r="W5558">
            <v>45335</v>
          </cell>
          <cell r="X5558">
            <v>41100565</v>
          </cell>
        </row>
        <row r="5559">
          <cell r="K5559" t="str">
            <v>GBWS-4087</v>
          </cell>
          <cell r="L5559">
            <v>45316</v>
          </cell>
          <cell r="M5559">
            <v>45317</v>
          </cell>
          <cell r="N5559">
            <v>45324</v>
          </cell>
          <cell r="O5559" t="str">
            <v>2024-01-26 → 1/29</v>
          </cell>
          <cell r="P5559">
            <v>45327</v>
          </cell>
          <cell r="Q5559">
            <v>45324</v>
          </cell>
          <cell r="R5559">
            <v>45327</v>
          </cell>
          <cell r="S5559">
            <v>45327</v>
          </cell>
          <cell r="T5559">
            <v>45329</v>
          </cell>
          <cell r="U5559">
            <v>45331</v>
          </cell>
          <cell r="V5559">
            <v>45335</v>
          </cell>
          <cell r="W5559">
            <v>45335</v>
          </cell>
          <cell r="X5559">
            <v>41100662</v>
          </cell>
        </row>
        <row r="5560">
          <cell r="K5560" t="str">
            <v>DBW-3194</v>
          </cell>
          <cell r="L5560">
            <v>45308</v>
          </cell>
          <cell r="M5560">
            <v>45309</v>
          </cell>
          <cell r="N5560">
            <v>45314</v>
          </cell>
          <cell r="O5560">
            <v>45309</v>
          </cell>
          <cell r="P5560">
            <v>45316</v>
          </cell>
          <cell r="Q5560">
            <v>45315</v>
          </cell>
          <cell r="R5560">
            <v>45316</v>
          </cell>
          <cell r="S5560">
            <v>45322</v>
          </cell>
          <cell r="T5560">
            <v>45322</v>
          </cell>
          <cell r="U5560">
            <v>45327</v>
          </cell>
          <cell r="V5560">
            <v>45328</v>
          </cell>
          <cell r="W5560">
            <v>45328</v>
          </cell>
          <cell r="X5560">
            <v>41100099</v>
          </cell>
        </row>
        <row r="5561">
          <cell r="K5561" t="str">
            <v>DS-0094</v>
          </cell>
          <cell r="L5561">
            <v>45310</v>
          </cell>
          <cell r="M5561">
            <v>45313</v>
          </cell>
          <cell r="N5561">
            <v>45320</v>
          </cell>
          <cell r="O5561">
            <v>45313</v>
          </cell>
          <cell r="P5561">
            <v>45317</v>
          </cell>
          <cell r="Q5561">
            <v>45320</v>
          </cell>
          <cell r="R5561">
            <v>45321</v>
          </cell>
          <cell r="S5561">
            <v>45321</v>
          </cell>
          <cell r="T5561">
            <v>45321</v>
          </cell>
          <cell r="U5561">
            <v>45330</v>
          </cell>
          <cell r="V5561">
            <v>45335</v>
          </cell>
          <cell r="W5561">
            <v>45335</v>
          </cell>
          <cell r="X5561">
            <v>41000572</v>
          </cell>
        </row>
        <row r="5562">
          <cell r="K5562" t="str">
            <v>GBWS-3714</v>
          </cell>
          <cell r="L5562">
            <v>45194</v>
          </cell>
          <cell r="M5562">
            <v>45195</v>
          </cell>
          <cell r="N5562">
            <v>45210</v>
          </cell>
          <cell r="O5562">
            <v>45195</v>
          </cell>
          <cell r="P5562">
            <v>45211</v>
          </cell>
          <cell r="Q5562">
            <v>45210</v>
          </cell>
          <cell r="R5562">
            <v>45211</v>
          </cell>
          <cell r="S5562">
            <v>45223</v>
          </cell>
          <cell r="T5562">
            <v>45223</v>
          </cell>
          <cell r="U5562">
            <v>45225</v>
          </cell>
          <cell r="V5562">
            <v>45229</v>
          </cell>
          <cell r="W5562">
            <v>45229</v>
          </cell>
          <cell r="X5562">
            <v>41100564</v>
          </cell>
        </row>
        <row r="5563">
          <cell r="K5563" t="str">
            <v>GBWS-4058</v>
          </cell>
          <cell r="L5563">
            <v>45310</v>
          </cell>
          <cell r="M5563">
            <v>45313</v>
          </cell>
          <cell r="N5563">
            <v>45317</v>
          </cell>
          <cell r="O5563">
            <v>45313</v>
          </cell>
          <cell r="P5563">
            <v>45317</v>
          </cell>
          <cell r="Q5563">
            <v>45321</v>
          </cell>
          <cell r="R5563">
            <v>45322</v>
          </cell>
          <cell r="S5563">
            <v>45327</v>
          </cell>
          <cell r="T5563">
            <v>45329</v>
          </cell>
          <cell r="U5563">
            <v>45331</v>
          </cell>
          <cell r="V5563">
            <v>45336</v>
          </cell>
          <cell r="W5563">
            <v>45336</v>
          </cell>
          <cell r="X5563">
            <v>41100564</v>
          </cell>
        </row>
        <row r="5564">
          <cell r="K5564" t="str">
            <v>GBWS-4059</v>
          </cell>
          <cell r="L5564">
            <v>45310</v>
          </cell>
          <cell r="M5564">
            <v>45313</v>
          </cell>
          <cell r="N5564">
            <v>45317</v>
          </cell>
          <cell r="O5564">
            <v>45313</v>
          </cell>
          <cell r="P5564">
            <v>45317</v>
          </cell>
          <cell r="Q5564">
            <v>45321</v>
          </cell>
          <cell r="R5564">
            <v>45322</v>
          </cell>
          <cell r="S5564">
            <v>45327</v>
          </cell>
          <cell r="T5564">
            <v>45329</v>
          </cell>
          <cell r="U5564">
            <v>45331</v>
          </cell>
          <cell r="V5564">
            <v>45336</v>
          </cell>
          <cell r="W5564">
            <v>45336</v>
          </cell>
          <cell r="X5564">
            <v>41100564</v>
          </cell>
        </row>
        <row r="5565">
          <cell r="K5565" t="str">
            <v>GBWS-4060</v>
          </cell>
          <cell r="L5565">
            <v>45310</v>
          </cell>
          <cell r="M5565">
            <v>45313</v>
          </cell>
          <cell r="N5565">
            <v>45317</v>
          </cell>
          <cell r="O5565">
            <v>45313</v>
          </cell>
          <cell r="P5565">
            <v>45317</v>
          </cell>
          <cell r="Q5565">
            <v>45321</v>
          </cell>
          <cell r="R5565">
            <v>45322</v>
          </cell>
          <cell r="S5565">
            <v>45329</v>
          </cell>
          <cell r="T5565">
            <v>45330</v>
          </cell>
          <cell r="U5565">
            <v>45331</v>
          </cell>
          <cell r="V5565">
            <v>45335</v>
          </cell>
          <cell r="W5565">
            <v>45335</v>
          </cell>
          <cell r="X5565">
            <v>41100564</v>
          </cell>
        </row>
        <row r="5566">
          <cell r="K5566" t="str">
            <v>GBWS-4061</v>
          </cell>
          <cell r="L5566">
            <v>45310</v>
          </cell>
          <cell r="M5566">
            <v>45313</v>
          </cell>
          <cell r="N5566">
            <v>45317</v>
          </cell>
          <cell r="O5566">
            <v>45313</v>
          </cell>
          <cell r="P5566">
            <v>45317</v>
          </cell>
          <cell r="Q5566">
            <v>45321</v>
          </cell>
          <cell r="R5566">
            <v>45322</v>
          </cell>
          <cell r="S5566">
            <v>45329</v>
          </cell>
          <cell r="T5566">
            <v>45330</v>
          </cell>
          <cell r="U5566">
            <v>45331</v>
          </cell>
          <cell r="V5566">
            <v>45335</v>
          </cell>
          <cell r="W5566">
            <v>45335</v>
          </cell>
          <cell r="X5566">
            <v>41100564</v>
          </cell>
        </row>
        <row r="5567">
          <cell r="K5567" t="str">
            <v>GBWS-4083</v>
          </cell>
          <cell r="L5567">
            <v>45316</v>
          </cell>
          <cell r="M5567">
            <v>45317</v>
          </cell>
          <cell r="N5567">
            <v>45324</v>
          </cell>
          <cell r="O5567">
            <v>45317</v>
          </cell>
          <cell r="P5567">
            <v>45324</v>
          </cell>
          <cell r="Q5567">
            <v>45324</v>
          </cell>
          <cell r="R5567">
            <v>45327</v>
          </cell>
          <cell r="S5567">
            <v>45328</v>
          </cell>
          <cell r="T5567">
            <v>45330</v>
          </cell>
          <cell r="U5567">
            <v>45335</v>
          </cell>
          <cell r="V5567">
            <v>45336</v>
          </cell>
          <cell r="W5567">
            <v>45336</v>
          </cell>
          <cell r="X5567">
            <v>41100698</v>
          </cell>
        </row>
        <row r="5568">
          <cell r="K5568" t="str">
            <v>GBWS-4084</v>
          </cell>
          <cell r="L5568">
            <v>45316</v>
          </cell>
          <cell r="M5568">
            <v>45317</v>
          </cell>
          <cell r="N5568">
            <v>45324</v>
          </cell>
          <cell r="O5568">
            <v>45317</v>
          </cell>
          <cell r="P5568">
            <v>45324</v>
          </cell>
          <cell r="Q5568">
            <v>45324</v>
          </cell>
          <cell r="R5568">
            <v>45327</v>
          </cell>
          <cell r="S5568">
            <v>45328</v>
          </cell>
          <cell r="T5568">
            <v>45330</v>
          </cell>
          <cell r="U5568">
            <v>45331</v>
          </cell>
          <cell r="V5568">
            <v>45335</v>
          </cell>
          <cell r="W5568">
            <v>45335</v>
          </cell>
          <cell r="X5568">
            <v>41100698</v>
          </cell>
        </row>
        <row r="5569">
          <cell r="K5569" t="str">
            <v>GBWS-4085</v>
          </cell>
          <cell r="L5569">
            <v>45316</v>
          </cell>
          <cell r="M5569">
            <v>45317</v>
          </cell>
          <cell r="N5569">
            <v>45324</v>
          </cell>
          <cell r="O5569">
            <v>45317</v>
          </cell>
          <cell r="P5569">
            <v>45324</v>
          </cell>
          <cell r="Q5569">
            <v>45324</v>
          </cell>
          <cell r="R5569">
            <v>45327</v>
          </cell>
          <cell r="S5569">
            <v>45328</v>
          </cell>
          <cell r="T5569">
            <v>45330</v>
          </cell>
          <cell r="U5569">
            <v>45335</v>
          </cell>
          <cell r="V5569">
            <v>45336</v>
          </cell>
          <cell r="W5569">
            <v>45336</v>
          </cell>
          <cell r="X5569">
            <v>41100698</v>
          </cell>
        </row>
        <row r="5570">
          <cell r="K5570" t="str">
            <v>GBWS-4086</v>
          </cell>
          <cell r="L5570">
            <v>45316</v>
          </cell>
          <cell r="M5570">
            <v>45317</v>
          </cell>
          <cell r="N5570">
            <v>45324</v>
          </cell>
          <cell r="O5570">
            <v>45317</v>
          </cell>
          <cell r="P5570">
            <v>45324</v>
          </cell>
          <cell r="Q5570">
            <v>45324</v>
          </cell>
          <cell r="R5570">
            <v>45327</v>
          </cell>
          <cell r="S5570">
            <v>45328</v>
          </cell>
          <cell r="T5570">
            <v>45330</v>
          </cell>
          <cell r="U5570">
            <v>45335</v>
          </cell>
          <cell r="V5570">
            <v>45336</v>
          </cell>
          <cell r="W5570">
            <v>45336</v>
          </cell>
          <cell r="X5570">
            <v>41100698</v>
          </cell>
        </row>
        <row r="5571">
          <cell r="K5571" t="str">
            <v>GBWS-4044</v>
          </cell>
          <cell r="L5571">
            <v>45309</v>
          </cell>
          <cell r="M5571">
            <v>45310</v>
          </cell>
          <cell r="N5571">
            <v>45316</v>
          </cell>
          <cell r="O5571">
            <v>45310</v>
          </cell>
          <cell r="P5571">
            <v>45320</v>
          </cell>
          <cell r="Q5571">
            <v>45320</v>
          </cell>
          <cell r="R5571">
            <v>45321</v>
          </cell>
          <cell r="S5571">
            <v>45323</v>
          </cell>
          <cell r="T5571">
            <v>45327</v>
          </cell>
          <cell r="U5571">
            <v>45328</v>
          </cell>
          <cell r="V5571">
            <v>45328</v>
          </cell>
          <cell r="W5571">
            <v>45328</v>
          </cell>
          <cell r="X5571">
            <v>41100698</v>
          </cell>
        </row>
        <row r="5572">
          <cell r="K5572" t="str">
            <v>GBWS-4045</v>
          </cell>
          <cell r="L5572">
            <v>45309</v>
          </cell>
          <cell r="M5572">
            <v>45310</v>
          </cell>
          <cell r="N5572">
            <v>45316</v>
          </cell>
          <cell r="O5572">
            <v>45310</v>
          </cell>
          <cell r="P5572">
            <v>45320</v>
          </cell>
          <cell r="Q5572">
            <v>45320</v>
          </cell>
          <cell r="R5572">
            <v>45321</v>
          </cell>
          <cell r="S5572">
            <v>45327</v>
          </cell>
          <cell r="T5572">
            <v>45327</v>
          </cell>
          <cell r="U5572">
            <v>45328</v>
          </cell>
          <cell r="V5572">
            <v>45329</v>
          </cell>
          <cell r="W5572">
            <v>45329</v>
          </cell>
          <cell r="X5572">
            <v>41100698</v>
          </cell>
        </row>
        <row r="5573">
          <cell r="K5573" t="str">
            <v>GBWS-4046</v>
          </cell>
          <cell r="L5573">
            <v>45309</v>
          </cell>
          <cell r="M5573">
            <v>45310</v>
          </cell>
          <cell r="N5573">
            <v>45316</v>
          </cell>
          <cell r="O5573">
            <v>45310</v>
          </cell>
          <cell r="P5573">
            <v>45320</v>
          </cell>
          <cell r="Q5573">
            <v>45320</v>
          </cell>
          <cell r="R5573">
            <v>45321</v>
          </cell>
          <cell r="S5573">
            <v>45328</v>
          </cell>
          <cell r="T5573">
            <v>45331</v>
          </cell>
          <cell r="U5573">
            <v>45335</v>
          </cell>
          <cell r="V5573">
            <v>45336</v>
          </cell>
          <cell r="W5573">
            <v>45336</v>
          </cell>
          <cell r="X5573">
            <v>41100698</v>
          </cell>
        </row>
        <row r="5574">
          <cell r="K5574" t="str">
            <v>GBWS-4047</v>
          </cell>
          <cell r="L5574">
            <v>45309</v>
          </cell>
          <cell r="M5574">
            <v>45310</v>
          </cell>
          <cell r="N5574">
            <v>45316</v>
          </cell>
          <cell r="O5574">
            <v>45310</v>
          </cell>
          <cell r="P5574">
            <v>45320</v>
          </cell>
          <cell r="Q5574">
            <v>45320</v>
          </cell>
          <cell r="R5574">
            <v>45321</v>
          </cell>
          <cell r="S5574">
            <v>45328</v>
          </cell>
          <cell r="T5574">
            <v>45331</v>
          </cell>
          <cell r="U5574">
            <v>45335</v>
          </cell>
          <cell r="V5574">
            <v>45336</v>
          </cell>
          <cell r="W5574">
            <v>45336</v>
          </cell>
          <cell r="X5574">
            <v>41100698</v>
          </cell>
        </row>
        <row r="5575">
          <cell r="K5575" t="str">
            <v>GBWS-4048</v>
          </cell>
          <cell r="L5575">
            <v>45309</v>
          </cell>
          <cell r="M5575">
            <v>45310</v>
          </cell>
          <cell r="N5575">
            <v>45316</v>
          </cell>
          <cell r="O5575">
            <v>45310</v>
          </cell>
          <cell r="P5575">
            <v>45320</v>
          </cell>
          <cell r="Q5575">
            <v>45320</v>
          </cell>
          <cell r="R5575">
            <v>45321</v>
          </cell>
          <cell r="S5575">
            <v>45328</v>
          </cell>
          <cell r="T5575">
            <v>45331</v>
          </cell>
          <cell r="U5575">
            <v>45335</v>
          </cell>
          <cell r="V5575">
            <v>45336</v>
          </cell>
          <cell r="W5575">
            <v>45336</v>
          </cell>
          <cell r="X5575">
            <v>41100698</v>
          </cell>
        </row>
        <row r="5576">
          <cell r="K5576" t="str">
            <v>GBWS-4049</v>
          </cell>
          <cell r="L5576">
            <v>45309</v>
          </cell>
          <cell r="M5576">
            <v>45310</v>
          </cell>
          <cell r="N5576">
            <v>45316</v>
          </cell>
          <cell r="O5576">
            <v>45310</v>
          </cell>
          <cell r="P5576">
            <v>45320</v>
          </cell>
          <cell r="Q5576">
            <v>45320</v>
          </cell>
          <cell r="R5576">
            <v>45321</v>
          </cell>
          <cell r="S5576">
            <v>45329</v>
          </cell>
          <cell r="T5576">
            <v>45334</v>
          </cell>
          <cell r="U5576">
            <v>45336</v>
          </cell>
          <cell r="V5576">
            <v>45336</v>
          </cell>
          <cell r="W5576">
            <v>45336</v>
          </cell>
          <cell r="X5576">
            <v>41100698</v>
          </cell>
        </row>
        <row r="5577">
          <cell r="K5577" t="str">
            <v>GBWS-4050</v>
          </cell>
          <cell r="L5577">
            <v>45309</v>
          </cell>
          <cell r="M5577">
            <v>45310</v>
          </cell>
          <cell r="N5577">
            <v>45316</v>
          </cell>
          <cell r="O5577">
            <v>45310</v>
          </cell>
          <cell r="P5577">
            <v>45320</v>
          </cell>
          <cell r="Q5577">
            <v>45320</v>
          </cell>
          <cell r="R5577">
            <v>45321</v>
          </cell>
          <cell r="S5577">
            <v>45329</v>
          </cell>
          <cell r="T5577">
            <v>45334</v>
          </cell>
          <cell r="U5577">
            <v>45336</v>
          </cell>
          <cell r="V5577">
            <v>45336</v>
          </cell>
          <cell r="W5577">
            <v>45336</v>
          </cell>
          <cell r="X5577">
            <v>41100698</v>
          </cell>
        </row>
        <row r="5578">
          <cell r="K5578" t="str">
            <v>DBW-3164</v>
          </cell>
          <cell r="L5578">
            <v>45280</v>
          </cell>
          <cell r="M5578">
            <v>45281</v>
          </cell>
          <cell r="N5578">
            <v>45299</v>
          </cell>
          <cell r="O5578">
            <v>45281</v>
          </cell>
          <cell r="P5578">
            <v>45296</v>
          </cell>
          <cell r="Q5578" t="str">
            <v>2024-01-04 → 01/07</v>
          </cell>
          <cell r="R5578" t="str">
            <v>2024-01-05 → 01/07</v>
          </cell>
          <cell r="S5578">
            <v>45299</v>
          </cell>
          <cell r="T5578">
            <v>45299</v>
          </cell>
          <cell r="U5578">
            <v>45302</v>
          </cell>
          <cell r="V5578">
            <v>45303</v>
          </cell>
          <cell r="W5578">
            <v>45303</v>
          </cell>
          <cell r="X5578">
            <v>41100696</v>
          </cell>
        </row>
        <row r="5579">
          <cell r="K5579" t="str">
            <v>DBW-3165</v>
          </cell>
          <cell r="L5579">
            <v>45280</v>
          </cell>
          <cell r="M5579">
            <v>45281</v>
          </cell>
          <cell r="N5579">
            <v>45299</v>
          </cell>
          <cell r="O5579">
            <v>45281</v>
          </cell>
          <cell r="P5579">
            <v>45296</v>
          </cell>
          <cell r="Q5579" t="str">
            <v>2024-01-04 → 01/07</v>
          </cell>
          <cell r="R5579" t="str">
            <v>2024-01-05 → 01/07</v>
          </cell>
          <cell r="S5579">
            <v>45299</v>
          </cell>
          <cell r="T5579">
            <v>45299</v>
          </cell>
          <cell r="U5579">
            <v>45302</v>
          </cell>
          <cell r="V5579">
            <v>45303</v>
          </cell>
          <cell r="W5579">
            <v>45303</v>
          </cell>
          <cell r="X5579">
            <v>41100696</v>
          </cell>
        </row>
        <row r="5580">
          <cell r="K5580" t="str">
            <v>DBW-3166</v>
          </cell>
          <cell r="L5580">
            <v>45280</v>
          </cell>
          <cell r="M5580">
            <v>45281</v>
          </cell>
          <cell r="N5580">
            <v>45299</v>
          </cell>
          <cell r="O5580">
            <v>45281</v>
          </cell>
          <cell r="P5580">
            <v>45296</v>
          </cell>
          <cell r="Q5580" t="str">
            <v>2024-01-04 → 01/07</v>
          </cell>
          <cell r="R5580" t="str">
            <v>2024-01-05 → 01/07</v>
          </cell>
          <cell r="S5580">
            <v>45299</v>
          </cell>
          <cell r="T5580">
            <v>45299</v>
          </cell>
          <cell r="U5580">
            <v>45302</v>
          </cell>
          <cell r="V5580">
            <v>45303</v>
          </cell>
          <cell r="W5580">
            <v>45303</v>
          </cell>
          <cell r="X5580">
            <v>41100696</v>
          </cell>
        </row>
        <row r="5581">
          <cell r="K5581" t="str">
            <v>DBW-3167</v>
          </cell>
          <cell r="L5581">
            <v>45280</v>
          </cell>
          <cell r="M5581">
            <v>45281</v>
          </cell>
          <cell r="N5581">
            <v>45299</v>
          </cell>
          <cell r="O5581">
            <v>45281</v>
          </cell>
          <cell r="P5581">
            <v>45296</v>
          </cell>
          <cell r="Q5581" t="str">
            <v>2024-01-04 → 01/07</v>
          </cell>
          <cell r="R5581" t="str">
            <v>2024-01-05 → 01/07</v>
          </cell>
          <cell r="S5581">
            <v>45299</v>
          </cell>
          <cell r="T5581">
            <v>45299</v>
          </cell>
          <cell r="U5581">
            <v>45301</v>
          </cell>
          <cell r="V5581">
            <v>45302</v>
          </cell>
          <cell r="W5581">
            <v>45302</v>
          </cell>
          <cell r="X5581">
            <v>41100696</v>
          </cell>
        </row>
        <row r="5582">
          <cell r="K5582" t="str">
            <v>DBW-3207</v>
          </cell>
          <cell r="L5582">
            <v>45313</v>
          </cell>
          <cell r="M5582">
            <v>45314</v>
          </cell>
          <cell r="N5582">
            <v>45321</v>
          </cell>
          <cell r="O5582">
            <v>45314</v>
          </cell>
          <cell r="P5582">
            <v>45321</v>
          </cell>
          <cell r="Q5582">
            <v>45321</v>
          </cell>
          <cell r="R5582">
            <v>45322</v>
          </cell>
          <cell r="S5582">
            <v>45322</v>
          </cell>
          <cell r="T5582">
            <v>45327</v>
          </cell>
          <cell r="U5582">
            <v>45328</v>
          </cell>
          <cell r="V5582">
            <v>45329</v>
          </cell>
          <cell r="W5582">
            <v>45329</v>
          </cell>
          <cell r="X5582">
            <v>41000584</v>
          </cell>
        </row>
        <row r="5583">
          <cell r="K5583" t="str">
            <v>DBW-3208</v>
          </cell>
          <cell r="L5583">
            <v>45313</v>
          </cell>
          <cell r="M5583">
            <v>45314</v>
          </cell>
          <cell r="N5583">
            <v>45322</v>
          </cell>
          <cell r="O5583">
            <v>45314</v>
          </cell>
          <cell r="P5583">
            <v>45327</v>
          </cell>
          <cell r="Q5583">
            <v>45324</v>
          </cell>
          <cell r="R5583">
            <v>45327</v>
          </cell>
          <cell r="S5583">
            <v>45328</v>
          </cell>
          <cell r="T5583">
            <v>45331</v>
          </cell>
          <cell r="U5583">
            <v>45335</v>
          </cell>
          <cell r="V5583">
            <v>45336</v>
          </cell>
          <cell r="W5583">
            <v>45336</v>
          </cell>
          <cell r="X5583">
            <v>41000584</v>
          </cell>
        </row>
        <row r="5584">
          <cell r="K5584" t="str">
            <v>DBW-3205</v>
          </cell>
          <cell r="L5584">
            <v>45313</v>
          </cell>
          <cell r="M5584">
            <v>45314</v>
          </cell>
          <cell r="N5584">
            <v>45321</v>
          </cell>
          <cell r="O5584">
            <v>45314</v>
          </cell>
          <cell r="P5584">
            <v>45321</v>
          </cell>
          <cell r="Q5584">
            <v>45321</v>
          </cell>
          <cell r="R5584">
            <v>45322</v>
          </cell>
          <cell r="S5584">
            <v>45324</v>
          </cell>
          <cell r="T5584">
            <v>45329</v>
          </cell>
          <cell r="U5584">
            <v>45330</v>
          </cell>
          <cell r="V5584">
            <v>45335</v>
          </cell>
          <cell r="W5584">
            <v>45335</v>
          </cell>
          <cell r="X5584">
            <v>41000576</v>
          </cell>
        </row>
        <row r="5585">
          <cell r="K5585" t="str">
            <v>DBW-3206</v>
          </cell>
          <cell r="L5585">
            <v>45313</v>
          </cell>
          <cell r="M5585">
            <v>45314</v>
          </cell>
          <cell r="N5585">
            <v>45321</v>
          </cell>
          <cell r="O5585">
            <v>45314</v>
          </cell>
          <cell r="P5585">
            <v>45321</v>
          </cell>
          <cell r="Q5585">
            <v>45321</v>
          </cell>
          <cell r="R5585">
            <v>45322</v>
          </cell>
          <cell r="S5585">
            <v>45324</v>
          </cell>
          <cell r="T5585">
            <v>45329</v>
          </cell>
          <cell r="U5585">
            <v>45330</v>
          </cell>
          <cell r="V5585">
            <v>45335</v>
          </cell>
          <cell r="W5585">
            <v>45335</v>
          </cell>
          <cell r="X5585">
            <v>41000576</v>
          </cell>
        </row>
        <row r="5586">
          <cell r="K5586" t="str">
            <v>DBW-3211</v>
          </cell>
          <cell r="L5586">
            <v>45316</v>
          </cell>
          <cell r="M5586">
            <v>45317</v>
          </cell>
          <cell r="N5586">
            <v>45328</v>
          </cell>
          <cell r="O5586">
            <v>45317</v>
          </cell>
          <cell r="P5586">
            <v>45328</v>
          </cell>
          <cell r="Q5586">
            <v>45327</v>
          </cell>
          <cell r="R5586">
            <v>45328</v>
          </cell>
          <cell r="S5586">
            <v>45329</v>
          </cell>
          <cell r="T5586">
            <v>45330</v>
          </cell>
          <cell r="U5586">
            <v>45335</v>
          </cell>
          <cell r="V5586">
            <v>45335</v>
          </cell>
          <cell r="W5586">
            <v>45335</v>
          </cell>
          <cell r="X5586">
            <v>41000567</v>
          </cell>
        </row>
        <row r="5587">
          <cell r="K5587" t="str">
            <v>DBW-3212</v>
          </cell>
          <cell r="L5587">
            <v>45316</v>
          </cell>
          <cell r="M5587">
            <v>45317</v>
          </cell>
          <cell r="N5587">
            <v>45328</v>
          </cell>
          <cell r="O5587">
            <v>45317</v>
          </cell>
          <cell r="P5587">
            <v>45328</v>
          </cell>
          <cell r="Q5587">
            <v>45327</v>
          </cell>
          <cell r="R5587">
            <v>45328</v>
          </cell>
          <cell r="S5587">
            <v>45329</v>
          </cell>
          <cell r="T5587">
            <v>45330</v>
          </cell>
          <cell r="U5587">
            <v>45335</v>
          </cell>
          <cell r="V5587">
            <v>45337</v>
          </cell>
          <cell r="W5587">
            <v>45337</v>
          </cell>
          <cell r="X5587">
            <v>41000567</v>
          </cell>
        </row>
        <row r="5588">
          <cell r="K5588" t="str">
            <v>DBW-3213</v>
          </cell>
          <cell r="L5588">
            <v>45316</v>
          </cell>
          <cell r="M5588">
            <v>45317</v>
          </cell>
          <cell r="N5588">
            <v>45328</v>
          </cell>
          <cell r="O5588">
            <v>45317</v>
          </cell>
          <cell r="P5588">
            <v>45328</v>
          </cell>
          <cell r="Q5588">
            <v>45327</v>
          </cell>
          <cell r="R5588">
            <v>45328</v>
          </cell>
          <cell r="S5588">
            <v>45329</v>
          </cell>
          <cell r="T5588">
            <v>45330</v>
          </cell>
          <cell r="U5588">
            <v>45335</v>
          </cell>
          <cell r="V5588">
            <v>45336</v>
          </cell>
          <cell r="W5588">
            <v>45336</v>
          </cell>
          <cell r="X5588">
            <v>41000567</v>
          </cell>
        </row>
        <row r="5589">
          <cell r="K5589" t="str">
            <v>DBW-3214</v>
          </cell>
          <cell r="L5589">
            <v>45316</v>
          </cell>
          <cell r="M5589">
            <v>45317</v>
          </cell>
          <cell r="N5589">
            <v>45328</v>
          </cell>
          <cell r="O5589">
            <v>45317</v>
          </cell>
          <cell r="P5589">
            <v>45328</v>
          </cell>
          <cell r="Q5589">
            <v>45327</v>
          </cell>
          <cell r="R5589">
            <v>45328</v>
          </cell>
          <cell r="S5589">
            <v>45329</v>
          </cell>
          <cell r="T5589">
            <v>45335</v>
          </cell>
          <cell r="U5589">
            <v>45336</v>
          </cell>
          <cell r="V5589">
            <v>45337</v>
          </cell>
          <cell r="W5589">
            <v>45337</v>
          </cell>
          <cell r="X5589">
            <v>41000567</v>
          </cell>
        </row>
        <row r="5590">
          <cell r="K5590" t="str">
            <v>DBW-3215</v>
          </cell>
          <cell r="L5590">
            <v>45316</v>
          </cell>
          <cell r="M5590">
            <v>45317</v>
          </cell>
          <cell r="N5590">
            <v>45328</v>
          </cell>
          <cell r="O5590">
            <v>45317</v>
          </cell>
          <cell r="P5590">
            <v>45328</v>
          </cell>
          <cell r="Q5590">
            <v>45327</v>
          </cell>
          <cell r="R5590">
            <v>45328</v>
          </cell>
          <cell r="S5590">
            <v>45329</v>
          </cell>
          <cell r="T5590">
            <v>45335</v>
          </cell>
          <cell r="U5590">
            <v>45336</v>
          </cell>
          <cell r="V5590">
            <v>45337</v>
          </cell>
          <cell r="W5590">
            <v>45337</v>
          </cell>
          <cell r="X5590">
            <v>41000567</v>
          </cell>
        </row>
        <row r="5591">
          <cell r="K5591" t="str">
            <v>DBW-3216</v>
          </cell>
          <cell r="L5591">
            <v>45316</v>
          </cell>
          <cell r="M5591">
            <v>45317</v>
          </cell>
          <cell r="N5591">
            <v>45328</v>
          </cell>
          <cell r="O5591">
            <v>45317</v>
          </cell>
          <cell r="P5591">
            <v>45328</v>
          </cell>
          <cell r="Q5591">
            <v>45327</v>
          </cell>
          <cell r="R5591">
            <v>45328</v>
          </cell>
          <cell r="S5591">
            <v>45330</v>
          </cell>
          <cell r="T5591">
            <v>45335</v>
          </cell>
          <cell r="U5591">
            <v>45336</v>
          </cell>
          <cell r="V5591">
            <v>45337</v>
          </cell>
          <cell r="W5591">
            <v>45337</v>
          </cell>
          <cell r="X5591">
            <v>41000567</v>
          </cell>
        </row>
        <row r="5592">
          <cell r="K5592" t="str">
            <v>DBW-3217</v>
          </cell>
          <cell r="L5592">
            <v>45316</v>
          </cell>
          <cell r="M5592">
            <v>45317</v>
          </cell>
          <cell r="N5592">
            <v>45328</v>
          </cell>
          <cell r="O5592">
            <v>45317</v>
          </cell>
          <cell r="P5592">
            <v>45328</v>
          </cell>
          <cell r="Q5592">
            <v>45327</v>
          </cell>
          <cell r="R5592">
            <v>45328</v>
          </cell>
          <cell r="S5592">
            <v>45330</v>
          </cell>
          <cell r="T5592">
            <v>45335</v>
          </cell>
          <cell r="U5592">
            <v>45337</v>
          </cell>
          <cell r="V5592">
            <v>45337</v>
          </cell>
          <cell r="W5592">
            <v>45337</v>
          </cell>
          <cell r="X5592">
            <v>41000567</v>
          </cell>
        </row>
        <row r="5593">
          <cell r="K5593" t="str">
            <v>DBW-3218</v>
          </cell>
          <cell r="L5593">
            <v>45316</v>
          </cell>
          <cell r="M5593">
            <v>45317</v>
          </cell>
          <cell r="N5593">
            <v>45328</v>
          </cell>
          <cell r="O5593">
            <v>45317</v>
          </cell>
          <cell r="P5593">
            <v>45328</v>
          </cell>
          <cell r="Q5593">
            <v>45327</v>
          </cell>
          <cell r="R5593">
            <v>45328</v>
          </cell>
          <cell r="S5593">
            <v>45330</v>
          </cell>
          <cell r="T5593">
            <v>45335</v>
          </cell>
          <cell r="U5593">
            <v>45337</v>
          </cell>
          <cell r="V5593">
            <v>45337</v>
          </cell>
          <cell r="W5593">
            <v>45337</v>
          </cell>
          <cell r="X5593">
            <v>41000567</v>
          </cell>
        </row>
        <row r="5594">
          <cell r="K5594" t="str">
            <v>DBW-3219</v>
          </cell>
          <cell r="L5594">
            <v>45316</v>
          </cell>
          <cell r="M5594">
            <v>45317</v>
          </cell>
          <cell r="N5594">
            <v>45328</v>
          </cell>
          <cell r="O5594">
            <v>45317</v>
          </cell>
          <cell r="P5594">
            <v>45328</v>
          </cell>
          <cell r="Q5594">
            <v>45327</v>
          </cell>
          <cell r="R5594">
            <v>45328</v>
          </cell>
          <cell r="S5594">
            <v>45330</v>
          </cell>
          <cell r="T5594">
            <v>45335</v>
          </cell>
          <cell r="U5594">
            <v>45336</v>
          </cell>
          <cell r="V5594">
            <v>45337</v>
          </cell>
          <cell r="W5594">
            <v>45337</v>
          </cell>
          <cell r="X5594">
            <v>41000567</v>
          </cell>
        </row>
        <row r="5595">
          <cell r="K5595" t="str">
            <v>DBW-3220</v>
          </cell>
          <cell r="L5595">
            <v>45316</v>
          </cell>
          <cell r="M5595">
            <v>45317</v>
          </cell>
          <cell r="N5595">
            <v>45328</v>
          </cell>
          <cell r="O5595">
            <v>45317</v>
          </cell>
          <cell r="P5595">
            <v>45328</v>
          </cell>
          <cell r="Q5595">
            <v>45327</v>
          </cell>
          <cell r="R5595">
            <v>45328</v>
          </cell>
          <cell r="S5595">
            <v>45330</v>
          </cell>
          <cell r="T5595">
            <v>45335</v>
          </cell>
          <cell r="U5595">
            <v>45336</v>
          </cell>
          <cell r="V5595">
            <v>45337</v>
          </cell>
          <cell r="W5595">
            <v>45337</v>
          </cell>
          <cell r="X5595">
            <v>41000567</v>
          </cell>
        </row>
        <row r="5596">
          <cell r="K5596" t="str">
            <v>GBWS-4070</v>
          </cell>
          <cell r="L5596">
            <v>45313</v>
          </cell>
          <cell r="M5596">
            <v>45314</v>
          </cell>
          <cell r="N5596">
            <v>45321</v>
          </cell>
          <cell r="O5596">
            <v>45314</v>
          </cell>
          <cell r="P5596">
            <v>45327</v>
          </cell>
          <cell r="Q5596">
            <v>45322</v>
          </cell>
          <cell r="R5596">
            <v>45323</v>
          </cell>
          <cell r="S5596">
            <v>45329</v>
          </cell>
          <cell r="T5596">
            <v>45336</v>
          </cell>
          <cell r="U5596">
            <v>45337</v>
          </cell>
          <cell r="V5596">
            <v>45337</v>
          </cell>
          <cell r="W5596">
            <v>45337</v>
          </cell>
          <cell r="X5596">
            <v>41100232</v>
          </cell>
        </row>
        <row r="5597">
          <cell r="K5597" t="str">
            <v>RT-0024</v>
          </cell>
          <cell r="L5597">
            <v>45315</v>
          </cell>
          <cell r="M5597">
            <v>45316</v>
          </cell>
          <cell r="N5597">
            <v>45328</v>
          </cell>
          <cell r="O5597">
            <v>45316</v>
          </cell>
          <cell r="P5597">
            <v>45336</v>
          </cell>
          <cell r="Q5597">
            <v>45322</v>
          </cell>
          <cell r="R5597">
            <v>45323</v>
          </cell>
          <cell r="S5597">
            <v>45337</v>
          </cell>
          <cell r="T5597">
            <v>45337</v>
          </cell>
          <cell r="U5597">
            <v>45338</v>
          </cell>
          <cell r="V5597">
            <v>45338</v>
          </cell>
          <cell r="W5597">
            <v>45338</v>
          </cell>
          <cell r="X5597">
            <v>31101044</v>
          </cell>
        </row>
        <row r="5598">
          <cell r="K5598" t="str">
            <v>GBWS-4077</v>
          </cell>
          <cell r="L5598">
            <v>45314</v>
          </cell>
          <cell r="M5598">
            <v>45315</v>
          </cell>
          <cell r="N5598">
            <v>45323</v>
          </cell>
          <cell r="O5598">
            <v>45315</v>
          </cell>
          <cell r="P5598">
            <v>45324</v>
          </cell>
          <cell r="Q5598">
            <v>45323</v>
          </cell>
          <cell r="R5598">
            <v>45324</v>
          </cell>
          <cell r="S5598">
            <v>45328</v>
          </cell>
          <cell r="T5598">
            <v>45329</v>
          </cell>
          <cell r="U5598">
            <v>45330</v>
          </cell>
          <cell r="V5598">
            <v>45336</v>
          </cell>
          <cell r="W5598">
            <v>45336</v>
          </cell>
          <cell r="X5598">
            <v>41100184</v>
          </cell>
        </row>
        <row r="5599">
          <cell r="K5599" t="str">
            <v>DS-0426~0431</v>
          </cell>
          <cell r="L5599">
            <v>45322</v>
          </cell>
          <cell r="M5599">
            <v>45323</v>
          </cell>
          <cell r="N5599">
            <v>45324</v>
          </cell>
          <cell r="O5599">
            <v>45323</v>
          </cell>
          <cell r="P5599">
            <v>45324</v>
          </cell>
          <cell r="Q5599">
            <v>45324</v>
          </cell>
          <cell r="R5599">
            <v>45324</v>
          </cell>
          <cell r="S5599">
            <v>45324</v>
          </cell>
          <cell r="T5599">
            <v>45324</v>
          </cell>
          <cell r="U5599">
            <v>45324</v>
          </cell>
          <cell r="V5599">
            <v>45324</v>
          </cell>
          <cell r="W5599">
            <v>45324</v>
          </cell>
          <cell r="X5599">
            <v>31010314</v>
          </cell>
        </row>
        <row r="5600">
          <cell r="K5600" t="str">
            <v>SOS-0317</v>
          </cell>
          <cell r="L5600">
            <v>45300</v>
          </cell>
          <cell r="M5600">
            <v>45301</v>
          </cell>
          <cell r="N5600">
            <v>45301</v>
          </cell>
          <cell r="O5600">
            <v>45301</v>
          </cell>
          <cell r="P5600">
            <v>45303</v>
          </cell>
          <cell r="Q5600">
            <v>45306</v>
          </cell>
          <cell r="R5600">
            <v>45306</v>
          </cell>
          <cell r="S5600">
            <v>45307</v>
          </cell>
          <cell r="T5600">
            <v>45307</v>
          </cell>
          <cell r="U5600">
            <v>45308</v>
          </cell>
          <cell r="V5600">
            <v>45309</v>
          </cell>
          <cell r="W5600">
            <v>45309</v>
          </cell>
          <cell r="X5600">
            <v>41000558</v>
          </cell>
        </row>
        <row r="5601">
          <cell r="K5601" t="str">
            <v>GBWS-4031</v>
          </cell>
          <cell r="L5601">
            <v>45303</v>
          </cell>
          <cell r="M5601">
            <v>45306</v>
          </cell>
          <cell r="N5601">
            <v>45313</v>
          </cell>
          <cell r="O5601">
            <v>45306</v>
          </cell>
          <cell r="P5601">
            <v>45314</v>
          </cell>
          <cell r="Q5601">
            <v>45313</v>
          </cell>
          <cell r="R5601">
            <v>45314</v>
          </cell>
          <cell r="S5601">
            <v>45315</v>
          </cell>
          <cell r="T5601">
            <v>45315</v>
          </cell>
          <cell r="U5601">
            <v>45317</v>
          </cell>
          <cell r="V5601">
            <v>45321</v>
          </cell>
          <cell r="W5601">
            <v>45321</v>
          </cell>
          <cell r="X5601">
            <v>41100686</v>
          </cell>
        </row>
        <row r="5602">
          <cell r="K5602" t="str">
            <v>GBWS-4032</v>
          </cell>
          <cell r="L5602">
            <v>45303</v>
          </cell>
          <cell r="M5602">
            <v>45306</v>
          </cell>
          <cell r="N5602">
            <v>45313</v>
          </cell>
          <cell r="O5602">
            <v>45306</v>
          </cell>
          <cell r="P5602">
            <v>45314</v>
          </cell>
          <cell r="Q5602">
            <v>45313</v>
          </cell>
          <cell r="R5602">
            <v>45314</v>
          </cell>
          <cell r="S5602">
            <v>45315</v>
          </cell>
          <cell r="T5602">
            <v>45315</v>
          </cell>
          <cell r="U5602">
            <v>45320</v>
          </cell>
          <cell r="V5602">
            <v>45321</v>
          </cell>
          <cell r="W5602">
            <v>45321</v>
          </cell>
          <cell r="X5602">
            <v>41100686</v>
          </cell>
        </row>
        <row r="5603">
          <cell r="K5603" t="str">
            <v>DBW-3189</v>
          </cell>
          <cell r="L5603">
            <v>45302</v>
          </cell>
          <cell r="M5603" t="str">
            <v>2024-01-10 → 1/12</v>
          </cell>
          <cell r="N5603">
            <v>45310</v>
          </cell>
          <cell r="O5603" t="str">
            <v>2024-01-10 → 1/12</v>
          </cell>
          <cell r="P5603">
            <v>45310</v>
          </cell>
          <cell r="Q5603" t="str">
            <v>2024-01-18 → 1/22</v>
          </cell>
          <cell r="R5603" t="str">
            <v>2024-01-19 → 1/22</v>
          </cell>
          <cell r="S5603">
            <v>45314</v>
          </cell>
          <cell r="T5603">
            <v>45314</v>
          </cell>
          <cell r="U5603">
            <v>45316</v>
          </cell>
          <cell r="V5603">
            <v>45317</v>
          </cell>
          <cell r="W5603">
            <v>45317</v>
          </cell>
          <cell r="X5603">
            <v>41100690</v>
          </cell>
        </row>
        <row r="5604">
          <cell r="K5604" t="str">
            <v>GBWS-4063</v>
          </cell>
          <cell r="L5604">
            <v>45313</v>
          </cell>
          <cell r="M5604">
            <v>45314</v>
          </cell>
          <cell r="N5604">
            <v>45320</v>
          </cell>
          <cell r="O5604">
            <v>45314</v>
          </cell>
          <cell r="P5604">
            <v>45321</v>
          </cell>
          <cell r="Q5604">
            <v>45321</v>
          </cell>
          <cell r="R5604">
            <v>45322</v>
          </cell>
          <cell r="S5604">
            <v>45322</v>
          </cell>
          <cell r="T5604">
            <v>45322</v>
          </cell>
          <cell r="U5604">
            <v>45327</v>
          </cell>
          <cell r="V5604">
            <v>45328</v>
          </cell>
          <cell r="W5604">
            <v>45328</v>
          </cell>
          <cell r="X5604">
            <v>41100317</v>
          </cell>
        </row>
        <row r="5605">
          <cell r="K5605" t="str">
            <v>GBWS-4072</v>
          </cell>
          <cell r="L5605">
            <v>45314</v>
          </cell>
          <cell r="M5605">
            <v>45315</v>
          </cell>
          <cell r="N5605">
            <v>45322</v>
          </cell>
          <cell r="O5605">
            <v>45315</v>
          </cell>
          <cell r="P5605">
            <v>45322</v>
          </cell>
          <cell r="Q5605">
            <v>45323</v>
          </cell>
          <cell r="R5605">
            <v>45324</v>
          </cell>
          <cell r="S5605">
            <v>45329</v>
          </cell>
          <cell r="T5605">
            <v>45334</v>
          </cell>
          <cell r="U5605">
            <v>45336</v>
          </cell>
          <cell r="V5605">
            <v>45337</v>
          </cell>
          <cell r="W5605">
            <v>45337</v>
          </cell>
          <cell r="X5605">
            <v>41100363</v>
          </cell>
        </row>
        <row r="5606">
          <cell r="K5606" t="str">
            <v>GBWS-4092</v>
          </cell>
          <cell r="L5606">
            <v>45320</v>
          </cell>
          <cell r="M5606">
            <v>45321</v>
          </cell>
          <cell r="N5606">
            <v>45328</v>
          </cell>
          <cell r="O5606">
            <v>45321</v>
          </cell>
          <cell r="P5606">
            <v>45328</v>
          </cell>
          <cell r="Q5606">
            <v>45329</v>
          </cell>
          <cell r="R5606">
            <v>45330</v>
          </cell>
          <cell r="S5606">
            <v>45335</v>
          </cell>
          <cell r="T5606">
            <v>45336</v>
          </cell>
          <cell r="U5606">
            <v>45337</v>
          </cell>
          <cell r="V5606">
            <v>45338</v>
          </cell>
          <cell r="W5606">
            <v>45338</v>
          </cell>
          <cell r="X5606">
            <v>41100460</v>
          </cell>
        </row>
        <row r="5607">
          <cell r="K5607" t="str">
            <v>GBWS-4093</v>
          </cell>
          <cell r="L5607">
            <v>45320</v>
          </cell>
          <cell r="M5607">
            <v>45321</v>
          </cell>
          <cell r="N5607">
            <v>45328</v>
          </cell>
          <cell r="O5607">
            <v>45321</v>
          </cell>
          <cell r="P5607">
            <v>45328</v>
          </cell>
          <cell r="Q5607">
            <v>45329</v>
          </cell>
          <cell r="R5607">
            <v>45330</v>
          </cell>
          <cell r="S5607">
            <v>45335</v>
          </cell>
          <cell r="T5607">
            <v>45336</v>
          </cell>
          <cell r="U5607">
            <v>45337</v>
          </cell>
          <cell r="V5607">
            <v>45338</v>
          </cell>
          <cell r="W5607">
            <v>45338</v>
          </cell>
          <cell r="X5607">
            <v>41100460</v>
          </cell>
        </row>
        <row r="5608">
          <cell r="K5608" t="str">
            <v>GBWS-4094</v>
          </cell>
          <cell r="L5608">
            <v>45320</v>
          </cell>
          <cell r="M5608">
            <v>45321</v>
          </cell>
          <cell r="N5608">
            <v>45328</v>
          </cell>
          <cell r="O5608">
            <v>45321</v>
          </cell>
          <cell r="P5608">
            <v>45328</v>
          </cell>
          <cell r="Q5608">
            <v>45329</v>
          </cell>
          <cell r="R5608">
            <v>45330</v>
          </cell>
          <cell r="S5608">
            <v>45335</v>
          </cell>
          <cell r="T5608">
            <v>45336</v>
          </cell>
          <cell r="U5608">
            <v>45337</v>
          </cell>
          <cell r="V5608">
            <v>45338</v>
          </cell>
          <cell r="W5608">
            <v>45338</v>
          </cell>
          <cell r="X5608">
            <v>41100460</v>
          </cell>
        </row>
        <row r="5609">
          <cell r="K5609" t="str">
            <v>GBWS-4095</v>
          </cell>
          <cell r="L5609">
            <v>45320</v>
          </cell>
          <cell r="M5609">
            <v>45321</v>
          </cell>
          <cell r="N5609">
            <v>45328</v>
          </cell>
          <cell r="O5609">
            <v>45321</v>
          </cell>
          <cell r="P5609">
            <v>45328</v>
          </cell>
          <cell r="Q5609">
            <v>45329</v>
          </cell>
          <cell r="R5609">
            <v>45330</v>
          </cell>
          <cell r="S5609">
            <v>45335</v>
          </cell>
          <cell r="T5609">
            <v>45336</v>
          </cell>
          <cell r="U5609">
            <v>45337</v>
          </cell>
          <cell r="V5609">
            <v>45338</v>
          </cell>
          <cell r="W5609">
            <v>45338</v>
          </cell>
          <cell r="X5609">
            <v>41100460</v>
          </cell>
        </row>
        <row r="5610">
          <cell r="K5610" t="str">
            <v>GBWS-4078</v>
          </cell>
          <cell r="L5610">
            <v>45315</v>
          </cell>
          <cell r="M5610">
            <v>45316</v>
          </cell>
          <cell r="N5610">
            <v>45324</v>
          </cell>
          <cell r="O5610">
            <v>45316</v>
          </cell>
          <cell r="P5610">
            <v>45323</v>
          </cell>
          <cell r="Q5610">
            <v>45324</v>
          </cell>
          <cell r="R5610">
            <v>45327</v>
          </cell>
          <cell r="S5610">
            <v>45335</v>
          </cell>
          <cell r="T5610">
            <v>45336</v>
          </cell>
          <cell r="U5610">
            <v>45337</v>
          </cell>
          <cell r="V5610">
            <v>45341</v>
          </cell>
          <cell r="W5610">
            <v>45341</v>
          </cell>
          <cell r="X5610">
            <v>41100462</v>
          </cell>
        </row>
        <row r="5611">
          <cell r="K5611" t="str">
            <v>GBWS-4079</v>
          </cell>
          <cell r="L5611">
            <v>45315</v>
          </cell>
          <cell r="M5611">
            <v>45316</v>
          </cell>
          <cell r="N5611">
            <v>45324</v>
          </cell>
          <cell r="O5611">
            <v>45316</v>
          </cell>
          <cell r="P5611">
            <v>45323</v>
          </cell>
          <cell r="Q5611">
            <v>45324</v>
          </cell>
          <cell r="R5611">
            <v>45327</v>
          </cell>
          <cell r="S5611">
            <v>45336</v>
          </cell>
          <cell r="T5611">
            <v>45337</v>
          </cell>
          <cell r="U5611">
            <v>45338</v>
          </cell>
          <cell r="V5611">
            <v>45338</v>
          </cell>
          <cell r="W5611">
            <v>45338</v>
          </cell>
          <cell r="X5611">
            <v>41100462</v>
          </cell>
        </row>
        <row r="5612">
          <cell r="K5612" t="str">
            <v>GBWS-4080</v>
          </cell>
          <cell r="L5612">
            <v>45315</v>
          </cell>
          <cell r="M5612">
            <v>45316</v>
          </cell>
          <cell r="N5612">
            <v>45324</v>
          </cell>
          <cell r="O5612">
            <v>45316</v>
          </cell>
          <cell r="P5612">
            <v>45323</v>
          </cell>
          <cell r="Q5612">
            <v>45324</v>
          </cell>
          <cell r="R5612">
            <v>45327</v>
          </cell>
          <cell r="S5612">
            <v>45336</v>
          </cell>
          <cell r="T5612">
            <v>45337</v>
          </cell>
          <cell r="U5612">
            <v>45338</v>
          </cell>
          <cell r="V5612">
            <v>45341</v>
          </cell>
          <cell r="W5612">
            <v>45341</v>
          </cell>
          <cell r="X5612">
            <v>41100462</v>
          </cell>
        </row>
        <row r="5613">
          <cell r="K5613" t="str">
            <v>GBWS-4081</v>
          </cell>
          <cell r="L5613">
            <v>45315</v>
          </cell>
          <cell r="M5613">
            <v>45316</v>
          </cell>
          <cell r="N5613">
            <v>45324</v>
          </cell>
          <cell r="O5613">
            <v>45316</v>
          </cell>
          <cell r="P5613">
            <v>45323</v>
          </cell>
          <cell r="Q5613">
            <v>45324</v>
          </cell>
          <cell r="R5613">
            <v>45327</v>
          </cell>
          <cell r="S5613">
            <v>45336</v>
          </cell>
          <cell r="T5613">
            <v>45337</v>
          </cell>
          <cell r="U5613">
            <v>45338</v>
          </cell>
          <cell r="V5613">
            <v>45341</v>
          </cell>
          <cell r="W5613">
            <v>45341</v>
          </cell>
          <cell r="X5613">
            <v>41100462</v>
          </cell>
        </row>
        <row r="5614">
          <cell r="K5614" t="str">
            <v>SOS-0319</v>
          </cell>
          <cell r="L5614">
            <v>45331</v>
          </cell>
          <cell r="M5614" t="str">
            <v>2024-02-20 → 2/13</v>
          </cell>
          <cell r="N5614">
            <v>45335</v>
          </cell>
          <cell r="O5614" t="str">
            <v>2024-02-20 → 2/13</v>
          </cell>
          <cell r="P5614">
            <v>45337</v>
          </cell>
          <cell r="Q5614" t="str">
            <v>2024-02-22 → 2/15</v>
          </cell>
          <cell r="R5614" t="str">
            <v>2024-02-23 → 2/15</v>
          </cell>
          <cell r="S5614">
            <v>45336</v>
          </cell>
          <cell r="T5614">
            <v>45341</v>
          </cell>
          <cell r="U5614">
            <v>45341</v>
          </cell>
          <cell r="V5614">
            <v>45341</v>
          </cell>
          <cell r="W5614">
            <v>45341</v>
          </cell>
          <cell r="X5614">
            <v>41000558</v>
          </cell>
        </row>
        <row r="5615">
          <cell r="K5615" t="str">
            <v>SOS-0320</v>
          </cell>
          <cell r="L5615">
            <v>45331</v>
          </cell>
          <cell r="M5615" t="str">
            <v>2024-02-20 → 2/13</v>
          </cell>
          <cell r="N5615">
            <v>45335</v>
          </cell>
          <cell r="O5615" t="str">
            <v>2024-02-20 → 2/13</v>
          </cell>
          <cell r="P5615">
            <v>45337</v>
          </cell>
          <cell r="Q5615" t="str">
            <v>2024-02-22 → 2/15</v>
          </cell>
          <cell r="R5615" t="str">
            <v>2024-02-23 → 2/15</v>
          </cell>
          <cell r="S5615">
            <v>45336</v>
          </cell>
          <cell r="T5615">
            <v>45341</v>
          </cell>
          <cell r="U5615">
            <v>45341</v>
          </cell>
          <cell r="V5615">
            <v>45341</v>
          </cell>
          <cell r="W5615">
            <v>45341</v>
          </cell>
          <cell r="X5615">
            <v>41000558</v>
          </cell>
        </row>
        <row r="5616">
          <cell r="K5616" t="str">
            <v>DBW-3190</v>
          </cell>
          <cell r="L5616">
            <v>45303</v>
          </cell>
          <cell r="M5616">
            <v>45306</v>
          </cell>
          <cell r="N5616">
            <v>45313</v>
          </cell>
          <cell r="O5616">
            <v>45306</v>
          </cell>
          <cell r="P5616">
            <v>45315</v>
          </cell>
          <cell r="Q5616">
            <v>45314</v>
          </cell>
          <cell r="R5616">
            <v>45315</v>
          </cell>
          <cell r="S5616">
            <v>45316</v>
          </cell>
          <cell r="T5616">
            <v>45316</v>
          </cell>
          <cell r="U5616">
            <v>45320</v>
          </cell>
          <cell r="V5616">
            <v>45321</v>
          </cell>
          <cell r="W5616">
            <v>45321</v>
          </cell>
          <cell r="X5616">
            <v>41000577</v>
          </cell>
        </row>
        <row r="5617">
          <cell r="K5617" t="str">
            <v>DBW-3191</v>
          </cell>
          <cell r="L5617">
            <v>45303</v>
          </cell>
          <cell r="M5617">
            <v>45306</v>
          </cell>
          <cell r="N5617">
            <v>45313</v>
          </cell>
          <cell r="O5617">
            <v>45306</v>
          </cell>
          <cell r="P5617">
            <v>45315</v>
          </cell>
          <cell r="Q5617">
            <v>45314</v>
          </cell>
          <cell r="R5617">
            <v>45315</v>
          </cell>
          <cell r="S5617">
            <v>45316</v>
          </cell>
          <cell r="T5617">
            <v>45316</v>
          </cell>
          <cell r="U5617">
            <v>45320</v>
          </cell>
          <cell r="V5617">
            <v>45321</v>
          </cell>
          <cell r="W5617">
            <v>45321</v>
          </cell>
          <cell r="X5617">
            <v>41000577</v>
          </cell>
        </row>
        <row r="5618">
          <cell r="K5618" t="str">
            <v>GBWS-4073</v>
          </cell>
          <cell r="L5618">
            <v>45314</v>
          </cell>
          <cell r="M5618">
            <v>45315</v>
          </cell>
          <cell r="N5618">
            <v>45327</v>
          </cell>
          <cell r="O5618">
            <v>45315</v>
          </cell>
          <cell r="P5618">
            <v>45327</v>
          </cell>
          <cell r="Q5618">
            <v>45327</v>
          </cell>
          <cell r="R5618">
            <v>45328</v>
          </cell>
          <cell r="S5618">
            <v>45336</v>
          </cell>
          <cell r="T5618">
            <v>45337</v>
          </cell>
          <cell r="U5618">
            <v>45338</v>
          </cell>
          <cell r="V5618">
            <v>45341</v>
          </cell>
          <cell r="W5618">
            <v>45341</v>
          </cell>
          <cell r="X5618">
            <v>41100564</v>
          </cell>
        </row>
        <row r="5619">
          <cell r="K5619" t="str">
            <v>GBWS-4074</v>
          </cell>
          <cell r="L5619">
            <v>45314</v>
          </cell>
          <cell r="M5619">
            <v>45315</v>
          </cell>
          <cell r="N5619">
            <v>45327</v>
          </cell>
          <cell r="O5619">
            <v>45315</v>
          </cell>
          <cell r="P5619">
            <v>45327</v>
          </cell>
          <cell r="Q5619">
            <v>45327</v>
          </cell>
          <cell r="R5619">
            <v>45328</v>
          </cell>
          <cell r="S5619">
            <v>45336</v>
          </cell>
          <cell r="T5619">
            <v>45337</v>
          </cell>
          <cell r="U5619">
            <v>45338</v>
          </cell>
          <cell r="V5619">
            <v>45341</v>
          </cell>
          <cell r="W5619">
            <v>45341</v>
          </cell>
          <cell r="X5619">
            <v>41100564</v>
          </cell>
        </row>
        <row r="5620">
          <cell r="K5620" t="str">
            <v>GBWS-4075</v>
          </cell>
          <cell r="L5620">
            <v>45314</v>
          </cell>
          <cell r="M5620">
            <v>45315</v>
          </cell>
          <cell r="N5620">
            <v>45327</v>
          </cell>
          <cell r="O5620">
            <v>45315</v>
          </cell>
          <cell r="P5620">
            <v>45327</v>
          </cell>
          <cell r="Q5620">
            <v>45327</v>
          </cell>
          <cell r="R5620">
            <v>45328</v>
          </cell>
          <cell r="S5620">
            <v>45336</v>
          </cell>
          <cell r="T5620">
            <v>45337</v>
          </cell>
          <cell r="U5620">
            <v>45338</v>
          </cell>
          <cell r="V5620">
            <v>45341</v>
          </cell>
          <cell r="W5620">
            <v>45341</v>
          </cell>
          <cell r="X5620">
            <v>41100564</v>
          </cell>
        </row>
        <row r="5621">
          <cell r="K5621" t="str">
            <v>GBWS-4076</v>
          </cell>
          <cell r="L5621">
            <v>45314</v>
          </cell>
          <cell r="M5621">
            <v>45315</v>
          </cell>
          <cell r="N5621">
            <v>45327</v>
          </cell>
          <cell r="O5621">
            <v>45315</v>
          </cell>
          <cell r="P5621">
            <v>45327</v>
          </cell>
          <cell r="Q5621">
            <v>45327</v>
          </cell>
          <cell r="R5621">
            <v>45328</v>
          </cell>
          <cell r="S5621">
            <v>45336</v>
          </cell>
          <cell r="T5621">
            <v>45337</v>
          </cell>
          <cell r="U5621">
            <v>45338</v>
          </cell>
          <cell r="V5621">
            <v>45341</v>
          </cell>
          <cell r="W5621">
            <v>45341</v>
          </cell>
          <cell r="X5621">
            <v>41100564</v>
          </cell>
        </row>
        <row r="5622">
          <cell r="K5622" t="str">
            <v>GBWS-4098</v>
          </cell>
          <cell r="L5622">
            <v>45321</v>
          </cell>
          <cell r="M5622">
            <v>45322</v>
          </cell>
          <cell r="N5622">
            <v>45330</v>
          </cell>
          <cell r="O5622">
            <v>45322</v>
          </cell>
          <cell r="P5622">
            <v>45328</v>
          </cell>
          <cell r="Q5622">
            <v>45330</v>
          </cell>
          <cell r="R5622">
            <v>45335</v>
          </cell>
          <cell r="S5622">
            <v>45337</v>
          </cell>
          <cell r="T5622">
            <v>45338</v>
          </cell>
          <cell r="U5622">
            <v>45341</v>
          </cell>
          <cell r="V5622">
            <v>45342</v>
          </cell>
          <cell r="W5622">
            <v>45342</v>
          </cell>
          <cell r="X5622">
            <v>41100702</v>
          </cell>
        </row>
        <row r="5623">
          <cell r="K5623" t="str">
            <v>GBWS-4101</v>
          </cell>
          <cell r="L5623">
            <v>45322</v>
          </cell>
          <cell r="M5623">
            <v>45323</v>
          </cell>
          <cell r="N5623">
            <v>45329</v>
          </cell>
          <cell r="O5623">
            <v>45323</v>
          </cell>
          <cell r="P5623">
            <v>45335</v>
          </cell>
          <cell r="Q5623">
            <v>45335</v>
          </cell>
          <cell r="R5623">
            <v>45336</v>
          </cell>
          <cell r="S5623">
            <v>45337</v>
          </cell>
          <cell r="T5623">
            <v>45338</v>
          </cell>
          <cell r="U5623">
            <v>45341</v>
          </cell>
          <cell r="V5623">
            <v>45342</v>
          </cell>
          <cell r="W5623">
            <v>45342</v>
          </cell>
          <cell r="X5623">
            <v>41100566</v>
          </cell>
        </row>
        <row r="5624">
          <cell r="K5624" t="str">
            <v>GBWS-4102</v>
          </cell>
          <cell r="L5624">
            <v>45322</v>
          </cell>
          <cell r="M5624">
            <v>45323</v>
          </cell>
          <cell r="N5624">
            <v>45329</v>
          </cell>
          <cell r="O5624">
            <v>45323</v>
          </cell>
          <cell r="P5624">
            <v>45335</v>
          </cell>
          <cell r="Q5624">
            <v>45335</v>
          </cell>
          <cell r="R5624">
            <v>45336</v>
          </cell>
          <cell r="S5624">
            <v>45337</v>
          </cell>
          <cell r="T5624">
            <v>45338</v>
          </cell>
          <cell r="U5624">
            <v>45341</v>
          </cell>
          <cell r="V5624">
            <v>45342</v>
          </cell>
          <cell r="W5624">
            <v>45342</v>
          </cell>
          <cell r="X5624">
            <v>41100566</v>
          </cell>
        </row>
        <row r="5625">
          <cell r="K5625" t="str">
            <v>GBWS-4103</v>
          </cell>
          <cell r="L5625">
            <v>45322</v>
          </cell>
          <cell r="M5625">
            <v>45323</v>
          </cell>
          <cell r="N5625">
            <v>45329</v>
          </cell>
          <cell r="O5625">
            <v>45323</v>
          </cell>
          <cell r="P5625">
            <v>45335</v>
          </cell>
          <cell r="Q5625">
            <v>45335</v>
          </cell>
          <cell r="R5625">
            <v>45336</v>
          </cell>
          <cell r="S5625">
            <v>45337</v>
          </cell>
          <cell r="T5625">
            <v>45338</v>
          </cell>
          <cell r="U5625">
            <v>45341</v>
          </cell>
          <cell r="V5625">
            <v>45342</v>
          </cell>
          <cell r="W5625">
            <v>45342</v>
          </cell>
          <cell r="X5625">
            <v>41100566</v>
          </cell>
        </row>
        <row r="5626">
          <cell r="K5626" t="str">
            <v>DBW-3093</v>
          </cell>
          <cell r="L5626">
            <v>45216</v>
          </cell>
          <cell r="M5626">
            <v>45217</v>
          </cell>
          <cell r="N5626">
            <v>45224</v>
          </cell>
          <cell r="O5626">
            <v>45217</v>
          </cell>
          <cell r="P5626">
            <v>45225</v>
          </cell>
          <cell r="Q5626">
            <v>45224</v>
          </cell>
          <cell r="R5626">
            <v>45225</v>
          </cell>
          <cell r="S5626">
            <v>45226</v>
          </cell>
          <cell r="T5626">
            <v>45226</v>
          </cell>
          <cell r="U5626">
            <v>45231</v>
          </cell>
          <cell r="V5626">
            <v>45343</v>
          </cell>
          <cell r="W5626">
            <v>45343</v>
          </cell>
          <cell r="X5626">
            <v>41000533</v>
          </cell>
        </row>
        <row r="5627">
          <cell r="K5627" t="str">
            <v>DBW-3223</v>
          </cell>
          <cell r="L5627">
            <v>45320</v>
          </cell>
          <cell r="M5627">
            <v>45321</v>
          </cell>
          <cell r="N5627">
            <v>45324</v>
          </cell>
          <cell r="O5627">
            <v>45321</v>
          </cell>
          <cell r="P5627">
            <v>45327</v>
          </cell>
          <cell r="Q5627">
            <v>45329</v>
          </cell>
          <cell r="R5627">
            <v>45330</v>
          </cell>
          <cell r="S5627">
            <v>45337</v>
          </cell>
          <cell r="T5627">
            <v>45338</v>
          </cell>
          <cell r="U5627">
            <v>45341</v>
          </cell>
          <cell r="V5627">
            <v>45342</v>
          </cell>
          <cell r="W5627">
            <v>45342</v>
          </cell>
          <cell r="X5627">
            <v>41100099</v>
          </cell>
        </row>
        <row r="5628">
          <cell r="K5628" t="str">
            <v>GBWS-4099</v>
          </cell>
          <cell r="L5628">
            <v>45322</v>
          </cell>
          <cell r="M5628">
            <v>45323</v>
          </cell>
          <cell r="N5628">
            <v>45329</v>
          </cell>
          <cell r="O5628">
            <v>45323</v>
          </cell>
          <cell r="P5628">
            <v>45335</v>
          </cell>
          <cell r="Q5628">
            <v>45335</v>
          </cell>
          <cell r="R5628">
            <v>45336</v>
          </cell>
          <cell r="S5628">
            <v>45338</v>
          </cell>
          <cell r="T5628">
            <v>45341</v>
          </cell>
          <cell r="U5628">
            <v>45342</v>
          </cell>
          <cell r="V5628">
            <v>45343</v>
          </cell>
          <cell r="W5628">
            <v>45343</v>
          </cell>
          <cell r="X5628">
            <v>41100564</v>
          </cell>
        </row>
        <row r="5629">
          <cell r="K5629" t="str">
            <v>GBWS-4100</v>
          </cell>
          <cell r="L5629">
            <v>45322</v>
          </cell>
          <cell r="M5629">
            <v>45323</v>
          </cell>
          <cell r="N5629">
            <v>45329</v>
          </cell>
          <cell r="O5629">
            <v>45323</v>
          </cell>
          <cell r="P5629">
            <v>45335</v>
          </cell>
          <cell r="Q5629">
            <v>45335</v>
          </cell>
          <cell r="R5629">
            <v>45336</v>
          </cell>
          <cell r="S5629">
            <v>45338</v>
          </cell>
          <cell r="T5629">
            <v>45341</v>
          </cell>
          <cell r="U5629">
            <v>45342</v>
          </cell>
          <cell r="V5629">
            <v>45343</v>
          </cell>
          <cell r="W5629">
            <v>45343</v>
          </cell>
          <cell r="X5629">
            <v>41100564</v>
          </cell>
        </row>
        <row r="5630">
          <cell r="K5630" t="str">
            <v>GBWS-4106</v>
          </cell>
          <cell r="L5630">
            <v>45323</v>
          </cell>
          <cell r="M5630">
            <v>45324</v>
          </cell>
          <cell r="N5630">
            <v>45335</v>
          </cell>
          <cell r="O5630">
            <v>45324</v>
          </cell>
          <cell r="P5630">
            <v>45336</v>
          </cell>
          <cell r="Q5630">
            <v>45335</v>
          </cell>
          <cell r="R5630">
            <v>45336</v>
          </cell>
          <cell r="S5630">
            <v>45338</v>
          </cell>
          <cell r="T5630">
            <v>45341</v>
          </cell>
          <cell r="U5630">
            <v>45342</v>
          </cell>
          <cell r="V5630">
            <v>45343</v>
          </cell>
          <cell r="W5630">
            <v>45343</v>
          </cell>
          <cell r="X5630">
            <v>41100558</v>
          </cell>
        </row>
        <row r="5631">
          <cell r="K5631" t="str">
            <v>GBWS-4107</v>
          </cell>
          <cell r="L5631">
            <v>45323</v>
          </cell>
          <cell r="M5631">
            <v>45324</v>
          </cell>
          <cell r="N5631">
            <v>45335</v>
          </cell>
          <cell r="O5631">
            <v>45324</v>
          </cell>
          <cell r="P5631">
            <v>45336</v>
          </cell>
          <cell r="Q5631">
            <v>45335</v>
          </cell>
          <cell r="R5631">
            <v>45336</v>
          </cell>
          <cell r="S5631">
            <v>45338</v>
          </cell>
          <cell r="T5631">
            <v>45341</v>
          </cell>
          <cell r="U5631">
            <v>45342</v>
          </cell>
          <cell r="V5631">
            <v>45343</v>
          </cell>
          <cell r="W5631">
            <v>45343</v>
          </cell>
          <cell r="X5631">
            <v>41100558</v>
          </cell>
        </row>
        <row r="5632">
          <cell r="K5632" t="str">
            <v>GBWS-4115</v>
          </cell>
          <cell r="L5632">
            <v>45323</v>
          </cell>
          <cell r="M5632">
            <v>45324</v>
          </cell>
          <cell r="N5632">
            <v>45335</v>
          </cell>
          <cell r="O5632">
            <v>45324</v>
          </cell>
          <cell r="P5632">
            <v>45336</v>
          </cell>
          <cell r="Q5632">
            <v>45335</v>
          </cell>
          <cell r="R5632">
            <v>45336</v>
          </cell>
          <cell r="S5632">
            <v>45338</v>
          </cell>
          <cell r="T5632">
            <v>45341</v>
          </cell>
          <cell r="U5632">
            <v>45342</v>
          </cell>
          <cell r="V5632">
            <v>45343</v>
          </cell>
          <cell r="W5632">
            <v>45343</v>
          </cell>
          <cell r="X5632">
            <v>41100558</v>
          </cell>
        </row>
        <row r="5633">
          <cell r="K5633" t="str">
            <v>SWC-0002</v>
          </cell>
          <cell r="L5633">
            <v>45258</v>
          </cell>
          <cell r="M5633">
            <v>45259</v>
          </cell>
          <cell r="N5633">
            <v>45272</v>
          </cell>
          <cell r="O5633">
            <v>45259</v>
          </cell>
          <cell r="P5633">
            <v>45272</v>
          </cell>
          <cell r="Q5633" t="str">
            <v>2023-12-08 → 12/11</v>
          </cell>
          <cell r="R5633" t="str">
            <v>2023-12-11 → 12/12</v>
          </cell>
          <cell r="S5633">
            <v>45275</v>
          </cell>
          <cell r="T5633">
            <v>45275</v>
          </cell>
          <cell r="U5633">
            <v>45344</v>
          </cell>
          <cell r="V5633">
            <v>45344</v>
          </cell>
          <cell r="W5633">
            <v>45344</v>
          </cell>
          <cell r="X5633">
            <v>41000557</v>
          </cell>
        </row>
        <row r="5634">
          <cell r="K5634" t="str">
            <v>DBW-3224</v>
          </cell>
          <cell r="L5634">
            <v>45322</v>
          </cell>
          <cell r="M5634">
            <v>45323</v>
          </cell>
          <cell r="N5634">
            <v>45336</v>
          </cell>
          <cell r="O5634">
            <v>45323</v>
          </cell>
          <cell r="P5634">
            <v>45336</v>
          </cell>
          <cell r="Q5634">
            <v>45335</v>
          </cell>
          <cell r="R5634">
            <v>45336</v>
          </cell>
          <cell r="S5634">
            <v>45338</v>
          </cell>
          <cell r="T5634">
            <v>45341</v>
          </cell>
          <cell r="U5634">
            <v>45342</v>
          </cell>
          <cell r="V5634">
            <v>45343</v>
          </cell>
          <cell r="W5634">
            <v>45343</v>
          </cell>
          <cell r="X5634">
            <v>41000566</v>
          </cell>
        </row>
        <row r="5635">
          <cell r="K5635" t="str">
            <v>DBW-3225</v>
          </cell>
          <cell r="L5635">
            <v>45322</v>
          </cell>
          <cell r="M5635">
            <v>45323</v>
          </cell>
          <cell r="N5635">
            <v>45336</v>
          </cell>
          <cell r="O5635">
            <v>45323</v>
          </cell>
          <cell r="P5635">
            <v>45336</v>
          </cell>
          <cell r="Q5635">
            <v>45335</v>
          </cell>
          <cell r="R5635">
            <v>45336</v>
          </cell>
          <cell r="S5635">
            <v>45338</v>
          </cell>
          <cell r="T5635">
            <v>45341</v>
          </cell>
          <cell r="U5635">
            <v>45342</v>
          </cell>
          <cell r="V5635">
            <v>45343</v>
          </cell>
          <cell r="W5635">
            <v>45343</v>
          </cell>
          <cell r="X5635">
            <v>41000566</v>
          </cell>
        </row>
        <row r="5636">
          <cell r="K5636" t="str">
            <v>DBW-3226</v>
          </cell>
          <cell r="L5636">
            <v>45322</v>
          </cell>
          <cell r="M5636">
            <v>45323</v>
          </cell>
          <cell r="N5636">
            <v>45336</v>
          </cell>
          <cell r="O5636">
            <v>45323</v>
          </cell>
          <cell r="P5636">
            <v>45336</v>
          </cell>
          <cell r="Q5636">
            <v>45335</v>
          </cell>
          <cell r="R5636">
            <v>45336</v>
          </cell>
          <cell r="S5636">
            <v>45338</v>
          </cell>
          <cell r="T5636">
            <v>45341</v>
          </cell>
          <cell r="U5636">
            <v>45342</v>
          </cell>
          <cell r="V5636">
            <v>45343</v>
          </cell>
          <cell r="W5636">
            <v>45343</v>
          </cell>
          <cell r="X5636">
            <v>41000566</v>
          </cell>
        </row>
        <row r="5637">
          <cell r="K5637" t="str">
            <v>DBW-3227</v>
          </cell>
          <cell r="L5637">
            <v>45322</v>
          </cell>
          <cell r="M5637">
            <v>45323</v>
          </cell>
          <cell r="N5637">
            <v>45336</v>
          </cell>
          <cell r="O5637">
            <v>45323</v>
          </cell>
          <cell r="P5637">
            <v>45336</v>
          </cell>
          <cell r="Q5637">
            <v>45335</v>
          </cell>
          <cell r="R5637">
            <v>45336</v>
          </cell>
          <cell r="S5637">
            <v>45341</v>
          </cell>
          <cell r="T5637">
            <v>45342</v>
          </cell>
          <cell r="U5637">
            <v>45343</v>
          </cell>
          <cell r="V5637">
            <v>45344</v>
          </cell>
          <cell r="W5637">
            <v>45344</v>
          </cell>
          <cell r="X5637">
            <v>41000566</v>
          </cell>
        </row>
        <row r="5638">
          <cell r="K5638" t="str">
            <v>DBW-3228</v>
          </cell>
          <cell r="L5638">
            <v>45322</v>
          </cell>
          <cell r="M5638">
            <v>45323</v>
          </cell>
          <cell r="N5638">
            <v>45336</v>
          </cell>
          <cell r="O5638">
            <v>45323</v>
          </cell>
          <cell r="P5638">
            <v>45336</v>
          </cell>
          <cell r="Q5638">
            <v>45335</v>
          </cell>
          <cell r="R5638">
            <v>45336</v>
          </cell>
          <cell r="S5638">
            <v>45341</v>
          </cell>
          <cell r="T5638">
            <v>45342</v>
          </cell>
          <cell r="U5638">
            <v>45343</v>
          </cell>
          <cell r="V5638">
            <v>45344</v>
          </cell>
          <cell r="W5638">
            <v>45344</v>
          </cell>
          <cell r="X5638">
            <v>41000566</v>
          </cell>
        </row>
        <row r="5639">
          <cell r="K5639" t="str">
            <v>DBW-3229</v>
          </cell>
          <cell r="L5639">
            <v>45322</v>
          </cell>
          <cell r="M5639">
            <v>45323</v>
          </cell>
          <cell r="N5639">
            <v>45335</v>
          </cell>
          <cell r="O5639">
            <v>45323</v>
          </cell>
          <cell r="P5639">
            <v>45336</v>
          </cell>
          <cell r="Q5639">
            <v>45335</v>
          </cell>
          <cell r="R5639">
            <v>45336</v>
          </cell>
          <cell r="S5639">
            <v>45341</v>
          </cell>
          <cell r="T5639">
            <v>45342</v>
          </cell>
          <cell r="U5639">
            <v>45343</v>
          </cell>
          <cell r="V5639">
            <v>45344</v>
          </cell>
          <cell r="W5639">
            <v>45344</v>
          </cell>
          <cell r="X5639">
            <v>41000566</v>
          </cell>
        </row>
        <row r="5640">
          <cell r="K5640" t="str">
            <v>DBW-3230</v>
          </cell>
          <cell r="L5640">
            <v>45322</v>
          </cell>
          <cell r="M5640">
            <v>45323</v>
          </cell>
          <cell r="N5640">
            <v>45335</v>
          </cell>
          <cell r="O5640">
            <v>45323</v>
          </cell>
          <cell r="P5640">
            <v>45336</v>
          </cell>
          <cell r="Q5640">
            <v>45335</v>
          </cell>
          <cell r="R5640">
            <v>45336</v>
          </cell>
          <cell r="S5640">
            <v>45341</v>
          </cell>
          <cell r="T5640">
            <v>45342</v>
          </cell>
          <cell r="U5640">
            <v>45343</v>
          </cell>
          <cell r="V5640">
            <v>45344</v>
          </cell>
          <cell r="W5640">
            <v>45344</v>
          </cell>
          <cell r="X5640">
            <v>41000566</v>
          </cell>
        </row>
        <row r="5641">
          <cell r="K5641" t="str">
            <v>DBW-3231</v>
          </cell>
          <cell r="L5641">
            <v>45322</v>
          </cell>
          <cell r="M5641">
            <v>45323</v>
          </cell>
          <cell r="N5641">
            <v>45335</v>
          </cell>
          <cell r="O5641">
            <v>45323</v>
          </cell>
          <cell r="P5641">
            <v>45336</v>
          </cell>
          <cell r="Q5641">
            <v>45335</v>
          </cell>
          <cell r="R5641">
            <v>45336</v>
          </cell>
          <cell r="S5641">
            <v>45341</v>
          </cell>
          <cell r="T5641">
            <v>45342</v>
          </cell>
          <cell r="U5641">
            <v>45343</v>
          </cell>
          <cell r="V5641">
            <v>45344</v>
          </cell>
          <cell r="W5641">
            <v>45344</v>
          </cell>
          <cell r="X5641">
            <v>41000566</v>
          </cell>
        </row>
        <row r="5642">
          <cell r="K5642" t="str">
            <v>DBW-3232</v>
          </cell>
          <cell r="L5642">
            <v>45322</v>
          </cell>
          <cell r="M5642">
            <v>45323</v>
          </cell>
          <cell r="N5642">
            <v>45335</v>
          </cell>
          <cell r="O5642">
            <v>45323</v>
          </cell>
          <cell r="P5642">
            <v>45336</v>
          </cell>
          <cell r="Q5642">
            <v>45335</v>
          </cell>
          <cell r="R5642">
            <v>45336</v>
          </cell>
          <cell r="S5642">
            <v>45341</v>
          </cell>
          <cell r="T5642">
            <v>45342</v>
          </cell>
          <cell r="U5642">
            <v>45343</v>
          </cell>
          <cell r="V5642">
            <v>45344</v>
          </cell>
          <cell r="W5642">
            <v>45344</v>
          </cell>
          <cell r="X5642">
            <v>41000566</v>
          </cell>
        </row>
        <row r="5643">
          <cell r="K5643" t="str">
            <v>DBW-3233</v>
          </cell>
          <cell r="L5643">
            <v>45322</v>
          </cell>
          <cell r="M5643">
            <v>45323</v>
          </cell>
          <cell r="N5643">
            <v>45335</v>
          </cell>
          <cell r="O5643">
            <v>45323</v>
          </cell>
          <cell r="P5643">
            <v>45336</v>
          </cell>
          <cell r="Q5643">
            <v>45335</v>
          </cell>
          <cell r="R5643">
            <v>45336</v>
          </cell>
          <cell r="S5643">
            <v>45341</v>
          </cell>
          <cell r="T5643">
            <v>45342</v>
          </cell>
          <cell r="U5643">
            <v>45343</v>
          </cell>
          <cell r="V5643">
            <v>45344</v>
          </cell>
          <cell r="W5643">
            <v>45344</v>
          </cell>
          <cell r="X5643">
            <v>41000566</v>
          </cell>
        </row>
        <row r="5644">
          <cell r="K5644" t="str">
            <v>GBWS-3765</v>
          </cell>
          <cell r="L5644">
            <v>45209</v>
          </cell>
          <cell r="M5644">
            <v>45210</v>
          </cell>
          <cell r="N5644">
            <v>45219</v>
          </cell>
          <cell r="O5644">
            <v>45210</v>
          </cell>
          <cell r="P5644">
            <v>45218</v>
          </cell>
          <cell r="Q5644">
            <v>45219</v>
          </cell>
          <cell r="R5644">
            <v>45222</v>
          </cell>
          <cell r="S5644">
            <v>45267</v>
          </cell>
          <cell r="T5644">
            <v>45267</v>
          </cell>
          <cell r="U5644">
            <v>45299</v>
          </cell>
          <cell r="V5644">
            <v>45301</v>
          </cell>
          <cell r="W5644">
            <v>45301</v>
          </cell>
          <cell r="X5644">
            <v>41100358</v>
          </cell>
        </row>
        <row r="5645">
          <cell r="K5645" t="str">
            <v>DBW-3186</v>
          </cell>
          <cell r="L5645">
            <v>45301</v>
          </cell>
          <cell r="M5645">
            <v>45302</v>
          </cell>
          <cell r="N5645">
            <v>45309</v>
          </cell>
          <cell r="O5645">
            <v>45302</v>
          </cell>
          <cell r="P5645">
            <v>45309</v>
          </cell>
          <cell r="Q5645">
            <v>45310</v>
          </cell>
          <cell r="R5645">
            <v>45313</v>
          </cell>
          <cell r="S5645">
            <v>45314</v>
          </cell>
          <cell r="T5645">
            <v>45314</v>
          </cell>
          <cell r="U5645">
            <v>45315</v>
          </cell>
          <cell r="V5645">
            <v>45317</v>
          </cell>
          <cell r="W5645">
            <v>45317</v>
          </cell>
          <cell r="X5645">
            <v>41000565</v>
          </cell>
        </row>
        <row r="5646">
          <cell r="K5646" t="str">
            <v>DBW-3187</v>
          </cell>
          <cell r="L5646">
            <v>45301</v>
          </cell>
          <cell r="M5646">
            <v>45302</v>
          </cell>
          <cell r="N5646">
            <v>45309</v>
          </cell>
          <cell r="O5646">
            <v>45302</v>
          </cell>
          <cell r="P5646">
            <v>45309</v>
          </cell>
          <cell r="Q5646">
            <v>45310</v>
          </cell>
          <cell r="R5646">
            <v>45313</v>
          </cell>
          <cell r="S5646">
            <v>45314</v>
          </cell>
          <cell r="T5646">
            <v>45314</v>
          </cell>
          <cell r="U5646">
            <v>45316</v>
          </cell>
          <cell r="V5646">
            <v>45317</v>
          </cell>
          <cell r="W5646">
            <v>45317</v>
          </cell>
          <cell r="X5646">
            <v>41000565</v>
          </cell>
        </row>
        <row r="5647">
          <cell r="K5647" t="str">
            <v>DBW-3235</v>
          </cell>
          <cell r="L5647">
            <v>45327</v>
          </cell>
          <cell r="M5647">
            <v>45328</v>
          </cell>
          <cell r="N5647">
            <v>45336</v>
          </cell>
          <cell r="O5647">
            <v>45328</v>
          </cell>
          <cell r="P5647">
            <v>45337</v>
          </cell>
          <cell r="Q5647">
            <v>45338</v>
          </cell>
          <cell r="R5647">
            <v>45341</v>
          </cell>
          <cell r="S5647">
            <v>45342</v>
          </cell>
          <cell r="T5647">
            <v>45343</v>
          </cell>
          <cell r="U5647">
            <v>45344</v>
          </cell>
          <cell r="V5647">
            <v>45345</v>
          </cell>
          <cell r="W5647">
            <v>45345</v>
          </cell>
          <cell r="X5647">
            <v>41000514</v>
          </cell>
        </row>
        <row r="5648">
          <cell r="K5648" t="str">
            <v>DBW-3236</v>
          </cell>
          <cell r="L5648">
            <v>45327</v>
          </cell>
          <cell r="M5648">
            <v>45328</v>
          </cell>
          <cell r="N5648">
            <v>45336</v>
          </cell>
          <cell r="O5648">
            <v>45328</v>
          </cell>
          <cell r="P5648">
            <v>45337</v>
          </cell>
          <cell r="Q5648">
            <v>45338</v>
          </cell>
          <cell r="R5648">
            <v>45341</v>
          </cell>
          <cell r="S5648">
            <v>45342</v>
          </cell>
          <cell r="T5648">
            <v>45343</v>
          </cell>
          <cell r="U5648">
            <v>45344</v>
          </cell>
          <cell r="V5648">
            <v>45345</v>
          </cell>
          <cell r="W5648">
            <v>45345</v>
          </cell>
          <cell r="X5648">
            <v>41000514</v>
          </cell>
        </row>
        <row r="5649">
          <cell r="K5649" t="str">
            <v>GBWS-4123</v>
          </cell>
          <cell r="L5649">
            <v>45328</v>
          </cell>
          <cell r="M5649">
            <v>45329</v>
          </cell>
          <cell r="N5649">
            <v>45338</v>
          </cell>
          <cell r="O5649">
            <v>45329</v>
          </cell>
          <cell r="P5649">
            <v>45341</v>
          </cell>
          <cell r="Q5649">
            <v>45338</v>
          </cell>
          <cell r="R5649">
            <v>45341</v>
          </cell>
          <cell r="S5649">
            <v>45342</v>
          </cell>
          <cell r="T5649">
            <v>45343</v>
          </cell>
          <cell r="U5649">
            <v>45344</v>
          </cell>
          <cell r="V5649">
            <v>45345</v>
          </cell>
          <cell r="W5649">
            <v>45345</v>
          </cell>
          <cell r="X5649">
            <v>41100460</v>
          </cell>
        </row>
        <row r="5650">
          <cell r="K5650" t="str">
            <v>GBWS-4124</v>
          </cell>
          <cell r="L5650">
            <v>45328</v>
          </cell>
          <cell r="M5650">
            <v>45329</v>
          </cell>
          <cell r="N5650">
            <v>45338</v>
          </cell>
          <cell r="O5650">
            <v>45329</v>
          </cell>
          <cell r="P5650">
            <v>45341</v>
          </cell>
          <cell r="Q5650">
            <v>45338</v>
          </cell>
          <cell r="R5650">
            <v>45341</v>
          </cell>
          <cell r="S5650">
            <v>45342</v>
          </cell>
          <cell r="T5650">
            <v>45343</v>
          </cell>
          <cell r="U5650">
            <v>45344</v>
          </cell>
          <cell r="V5650">
            <v>45345</v>
          </cell>
          <cell r="W5650">
            <v>45345</v>
          </cell>
          <cell r="X5650">
            <v>41100463</v>
          </cell>
        </row>
        <row r="5651">
          <cell r="K5651" t="str">
            <v>GBWS-4125</v>
          </cell>
          <cell r="L5651">
            <v>45328</v>
          </cell>
          <cell r="M5651">
            <v>45329</v>
          </cell>
          <cell r="N5651">
            <v>45338</v>
          </cell>
          <cell r="O5651">
            <v>45329</v>
          </cell>
          <cell r="P5651">
            <v>45341</v>
          </cell>
          <cell r="Q5651">
            <v>45338</v>
          </cell>
          <cell r="R5651">
            <v>45341</v>
          </cell>
          <cell r="S5651">
            <v>45342</v>
          </cell>
          <cell r="T5651">
            <v>45343</v>
          </cell>
          <cell r="U5651">
            <v>45344</v>
          </cell>
          <cell r="V5651">
            <v>45345</v>
          </cell>
          <cell r="W5651">
            <v>45345</v>
          </cell>
          <cell r="X5651">
            <v>41100463</v>
          </cell>
        </row>
        <row r="5652">
          <cell r="K5652" t="str">
            <v>DS-0095</v>
          </cell>
          <cell r="L5652">
            <v>45320</v>
          </cell>
          <cell r="M5652">
            <v>45321</v>
          </cell>
          <cell r="N5652">
            <v>45329</v>
          </cell>
          <cell r="O5652">
            <v>45321</v>
          </cell>
          <cell r="P5652">
            <v>45328</v>
          </cell>
          <cell r="Q5652">
            <v>45327</v>
          </cell>
          <cell r="R5652">
            <v>45328</v>
          </cell>
          <cell r="S5652">
            <v>45342</v>
          </cell>
          <cell r="T5652">
            <v>45342</v>
          </cell>
          <cell r="U5652">
            <v>45342</v>
          </cell>
          <cell r="V5652">
            <v>45345</v>
          </cell>
          <cell r="W5652">
            <v>45348</v>
          </cell>
          <cell r="X5652">
            <v>41000583</v>
          </cell>
        </row>
        <row r="5653">
          <cell r="K5653" t="str">
            <v>GBWS-4104</v>
          </cell>
          <cell r="L5653">
            <v>45322</v>
          </cell>
          <cell r="M5653" t="str">
            <v>2024-01-30 → 2/1</v>
          </cell>
          <cell r="N5653">
            <v>45330</v>
          </cell>
          <cell r="O5653" t="str">
            <v>2024-01-30 → 2/1</v>
          </cell>
          <cell r="P5653">
            <v>45335</v>
          </cell>
          <cell r="Q5653" t="str">
            <v>2024-02-07 → 2/8</v>
          </cell>
          <cell r="R5653" t="str">
            <v>2024-02-08 → 2/13</v>
          </cell>
          <cell r="S5653">
            <v>45341</v>
          </cell>
          <cell r="T5653">
            <v>45341</v>
          </cell>
          <cell r="U5653">
            <v>45345</v>
          </cell>
          <cell r="V5653">
            <v>45348</v>
          </cell>
          <cell r="W5653">
            <v>45348</v>
          </cell>
          <cell r="X5653">
            <v>41000582</v>
          </cell>
        </row>
        <row r="5654">
          <cell r="K5654" t="str">
            <v>GBWS-4105</v>
          </cell>
          <cell r="L5654">
            <v>45322</v>
          </cell>
          <cell r="M5654" t="str">
            <v>2024-01-30 → 2/1</v>
          </cell>
          <cell r="N5654">
            <v>45330</v>
          </cell>
          <cell r="O5654" t="str">
            <v>2024-01-30 → 2/1</v>
          </cell>
          <cell r="P5654">
            <v>45335</v>
          </cell>
          <cell r="Q5654" t="str">
            <v>2024-02-07 → 2/8</v>
          </cell>
          <cell r="R5654" t="str">
            <v>2024-02-08 → 2/13</v>
          </cell>
          <cell r="S5654">
            <v>45342</v>
          </cell>
          <cell r="T5654">
            <v>45344</v>
          </cell>
          <cell r="U5654">
            <v>45345</v>
          </cell>
          <cell r="V5654">
            <v>45348</v>
          </cell>
          <cell r="W5654">
            <v>45348</v>
          </cell>
          <cell r="X5654">
            <v>41000582</v>
          </cell>
        </row>
        <row r="5655">
          <cell r="K5655" t="str">
            <v>RT-0025</v>
          </cell>
          <cell r="L5655">
            <v>45316</v>
          </cell>
          <cell r="M5655">
            <v>45317</v>
          </cell>
          <cell r="N5655">
            <v>45328</v>
          </cell>
          <cell r="O5655">
            <v>45317</v>
          </cell>
          <cell r="P5655">
            <v>45327</v>
          </cell>
          <cell r="Q5655">
            <v>45323</v>
          </cell>
          <cell r="R5655">
            <v>45323</v>
          </cell>
          <cell r="S5655">
            <v>45337</v>
          </cell>
          <cell r="T5655">
            <v>45337</v>
          </cell>
          <cell r="U5655">
            <v>45348</v>
          </cell>
          <cell r="V5655">
            <v>45348</v>
          </cell>
          <cell r="W5655">
            <v>45348</v>
          </cell>
          <cell r="X5655">
            <v>31102723</v>
          </cell>
        </row>
        <row r="5656">
          <cell r="K5656" t="str">
            <v>RT-0026</v>
          </cell>
          <cell r="L5656">
            <v>45316</v>
          </cell>
          <cell r="M5656">
            <v>45317</v>
          </cell>
          <cell r="N5656">
            <v>45328</v>
          </cell>
          <cell r="O5656">
            <v>45317</v>
          </cell>
          <cell r="P5656">
            <v>45327</v>
          </cell>
          <cell r="Q5656">
            <v>45323</v>
          </cell>
          <cell r="R5656">
            <v>45323</v>
          </cell>
          <cell r="S5656">
            <v>45337</v>
          </cell>
          <cell r="T5656">
            <v>45337</v>
          </cell>
          <cell r="U5656">
            <v>45348</v>
          </cell>
          <cell r="V5656">
            <v>45348</v>
          </cell>
          <cell r="W5656">
            <v>45348</v>
          </cell>
          <cell r="X5656">
            <v>31102723</v>
          </cell>
        </row>
        <row r="5657">
          <cell r="K5657" t="str">
            <v>GBWS-4108</v>
          </cell>
          <cell r="L5657">
            <v>45323</v>
          </cell>
          <cell r="M5657">
            <v>45324</v>
          </cell>
          <cell r="N5657">
            <v>45337</v>
          </cell>
          <cell r="O5657">
            <v>45324</v>
          </cell>
          <cell r="P5657">
            <v>45338</v>
          </cell>
          <cell r="Q5657">
            <v>45338</v>
          </cell>
          <cell r="R5657">
            <v>45341</v>
          </cell>
          <cell r="S5657">
            <v>45343</v>
          </cell>
          <cell r="T5657">
            <v>45343</v>
          </cell>
          <cell r="U5657">
            <v>45344</v>
          </cell>
          <cell r="V5657">
            <v>45348</v>
          </cell>
          <cell r="W5657">
            <v>45348</v>
          </cell>
          <cell r="X5657">
            <v>41100558</v>
          </cell>
        </row>
        <row r="5658">
          <cell r="K5658" t="str">
            <v>GBWS-4109</v>
          </cell>
          <cell r="L5658">
            <v>45323</v>
          </cell>
          <cell r="M5658">
            <v>45324</v>
          </cell>
          <cell r="N5658">
            <v>45337</v>
          </cell>
          <cell r="O5658">
            <v>45324</v>
          </cell>
          <cell r="P5658">
            <v>45338</v>
          </cell>
          <cell r="Q5658">
            <v>45338</v>
          </cell>
          <cell r="R5658">
            <v>45341</v>
          </cell>
          <cell r="S5658">
            <v>45343</v>
          </cell>
          <cell r="T5658">
            <v>45343</v>
          </cell>
          <cell r="U5658">
            <v>45348</v>
          </cell>
          <cell r="V5658">
            <v>45348</v>
          </cell>
          <cell r="W5658">
            <v>45348</v>
          </cell>
          <cell r="X5658">
            <v>41100558</v>
          </cell>
        </row>
        <row r="5659">
          <cell r="K5659" t="str">
            <v>GBWS-4110</v>
          </cell>
          <cell r="L5659">
            <v>45323</v>
          </cell>
          <cell r="M5659">
            <v>45324</v>
          </cell>
          <cell r="N5659">
            <v>45337</v>
          </cell>
          <cell r="O5659">
            <v>45324</v>
          </cell>
          <cell r="P5659">
            <v>45338</v>
          </cell>
          <cell r="Q5659">
            <v>45338</v>
          </cell>
          <cell r="R5659">
            <v>45341</v>
          </cell>
          <cell r="S5659">
            <v>45343</v>
          </cell>
          <cell r="T5659">
            <v>45343</v>
          </cell>
          <cell r="U5659">
            <v>45345</v>
          </cell>
          <cell r="V5659">
            <v>45348</v>
          </cell>
          <cell r="W5659">
            <v>45348</v>
          </cell>
          <cell r="X5659">
            <v>41100558</v>
          </cell>
        </row>
        <row r="5660">
          <cell r="K5660" t="str">
            <v>GBWS-4111</v>
          </cell>
          <cell r="L5660">
            <v>45323</v>
          </cell>
          <cell r="M5660">
            <v>45324</v>
          </cell>
          <cell r="N5660">
            <v>45337</v>
          </cell>
          <cell r="O5660">
            <v>45324</v>
          </cell>
          <cell r="P5660">
            <v>45338</v>
          </cell>
          <cell r="Q5660">
            <v>45338</v>
          </cell>
          <cell r="R5660">
            <v>45341</v>
          </cell>
          <cell r="S5660">
            <v>45343</v>
          </cell>
          <cell r="T5660">
            <v>45343</v>
          </cell>
          <cell r="U5660">
            <v>45345</v>
          </cell>
          <cell r="V5660">
            <v>45348</v>
          </cell>
          <cell r="W5660">
            <v>45348</v>
          </cell>
          <cell r="X5660">
            <v>41100558</v>
          </cell>
        </row>
        <row r="5661">
          <cell r="K5661" t="str">
            <v>GBWS-4112</v>
          </cell>
          <cell r="L5661">
            <v>45323</v>
          </cell>
          <cell r="M5661">
            <v>45324</v>
          </cell>
          <cell r="N5661">
            <v>45337</v>
          </cell>
          <cell r="O5661">
            <v>45324</v>
          </cell>
          <cell r="P5661">
            <v>45338</v>
          </cell>
          <cell r="Q5661">
            <v>45338</v>
          </cell>
          <cell r="R5661">
            <v>45341</v>
          </cell>
          <cell r="S5661">
            <v>45343</v>
          </cell>
          <cell r="T5661">
            <v>45343</v>
          </cell>
          <cell r="U5661">
            <v>45344</v>
          </cell>
          <cell r="V5661">
            <v>45348</v>
          </cell>
          <cell r="W5661">
            <v>45348</v>
          </cell>
          <cell r="X5661">
            <v>41100558</v>
          </cell>
        </row>
        <row r="5662">
          <cell r="K5662" t="str">
            <v>GBWS-4113</v>
          </cell>
          <cell r="L5662">
            <v>45323</v>
          </cell>
          <cell r="M5662">
            <v>45324</v>
          </cell>
          <cell r="N5662">
            <v>45337</v>
          </cell>
          <cell r="O5662">
            <v>45324</v>
          </cell>
          <cell r="P5662">
            <v>45338</v>
          </cell>
          <cell r="Q5662">
            <v>45338</v>
          </cell>
          <cell r="R5662">
            <v>45341</v>
          </cell>
          <cell r="S5662">
            <v>45343</v>
          </cell>
          <cell r="T5662">
            <v>45344</v>
          </cell>
          <cell r="U5662">
            <v>45345</v>
          </cell>
          <cell r="V5662">
            <v>45348</v>
          </cell>
          <cell r="W5662">
            <v>45348</v>
          </cell>
          <cell r="X5662">
            <v>41100558</v>
          </cell>
        </row>
        <row r="5663">
          <cell r="K5663" t="str">
            <v>GBWS-4114</v>
          </cell>
          <cell r="L5663">
            <v>45323</v>
          </cell>
          <cell r="M5663">
            <v>45324</v>
          </cell>
          <cell r="N5663">
            <v>45337</v>
          </cell>
          <cell r="O5663">
            <v>45324</v>
          </cell>
          <cell r="P5663">
            <v>45338</v>
          </cell>
          <cell r="Q5663">
            <v>45338</v>
          </cell>
          <cell r="R5663">
            <v>45341</v>
          </cell>
          <cell r="S5663">
            <v>45343</v>
          </cell>
          <cell r="T5663">
            <v>45344</v>
          </cell>
          <cell r="U5663">
            <v>45345</v>
          </cell>
          <cell r="V5663">
            <v>45348</v>
          </cell>
          <cell r="W5663">
            <v>45348</v>
          </cell>
          <cell r="X5663">
            <v>41100558</v>
          </cell>
        </row>
        <row r="5664">
          <cell r="K5664" t="str">
            <v>GBWS-4119</v>
          </cell>
          <cell r="L5664">
            <v>45324</v>
          </cell>
          <cell r="M5664">
            <v>45327</v>
          </cell>
          <cell r="N5664">
            <v>45336</v>
          </cell>
          <cell r="O5664">
            <v>45327</v>
          </cell>
          <cell r="P5664">
            <v>45336</v>
          </cell>
          <cell r="Q5664">
            <v>45337</v>
          </cell>
          <cell r="R5664">
            <v>45338</v>
          </cell>
          <cell r="S5664">
            <v>45344</v>
          </cell>
          <cell r="T5664">
            <v>45345</v>
          </cell>
          <cell r="U5664">
            <v>45348</v>
          </cell>
          <cell r="V5664">
            <v>45349</v>
          </cell>
          <cell r="W5664">
            <v>45349</v>
          </cell>
          <cell r="X5664">
            <v>41100566</v>
          </cell>
        </row>
        <row r="5665">
          <cell r="K5665" t="str">
            <v>GBWS-4120</v>
          </cell>
          <cell r="L5665">
            <v>45324</v>
          </cell>
          <cell r="M5665">
            <v>45327</v>
          </cell>
          <cell r="N5665">
            <v>45336</v>
          </cell>
          <cell r="O5665">
            <v>45327</v>
          </cell>
          <cell r="P5665">
            <v>45336</v>
          </cell>
          <cell r="Q5665">
            <v>45337</v>
          </cell>
          <cell r="R5665">
            <v>45338</v>
          </cell>
          <cell r="S5665">
            <v>45344</v>
          </cell>
          <cell r="T5665">
            <v>45345</v>
          </cell>
          <cell r="U5665">
            <v>45348</v>
          </cell>
          <cell r="V5665">
            <v>45349</v>
          </cell>
          <cell r="W5665">
            <v>45349</v>
          </cell>
          <cell r="X5665">
            <v>41100566</v>
          </cell>
        </row>
        <row r="5666">
          <cell r="K5666" t="str">
            <v>GBWS-4121</v>
          </cell>
          <cell r="L5666">
            <v>45324</v>
          </cell>
          <cell r="M5666">
            <v>45327</v>
          </cell>
          <cell r="N5666">
            <v>45336</v>
          </cell>
          <cell r="O5666">
            <v>45327</v>
          </cell>
          <cell r="P5666">
            <v>45336</v>
          </cell>
          <cell r="Q5666">
            <v>45337</v>
          </cell>
          <cell r="R5666">
            <v>45338</v>
          </cell>
          <cell r="S5666">
            <v>45344</v>
          </cell>
          <cell r="T5666">
            <v>45345</v>
          </cell>
          <cell r="U5666">
            <v>45348</v>
          </cell>
          <cell r="V5666">
            <v>45349</v>
          </cell>
          <cell r="W5666">
            <v>45349</v>
          </cell>
          <cell r="X5666">
            <v>41100566</v>
          </cell>
        </row>
        <row r="5667">
          <cell r="K5667" t="str">
            <v>GBWS-4116</v>
          </cell>
          <cell r="L5667">
            <v>45323</v>
          </cell>
          <cell r="M5667">
            <v>45324</v>
          </cell>
          <cell r="N5667">
            <v>45337</v>
          </cell>
          <cell r="O5667">
            <v>45324</v>
          </cell>
          <cell r="P5667">
            <v>45337</v>
          </cell>
          <cell r="Q5667">
            <v>45337</v>
          </cell>
          <cell r="R5667">
            <v>45338</v>
          </cell>
          <cell r="S5667">
            <v>45343</v>
          </cell>
          <cell r="T5667">
            <v>45344</v>
          </cell>
          <cell r="U5667">
            <v>45345</v>
          </cell>
          <cell r="V5667">
            <v>45348</v>
          </cell>
          <cell r="W5667">
            <v>45348</v>
          </cell>
          <cell r="X5667">
            <v>41100565</v>
          </cell>
        </row>
        <row r="5668">
          <cell r="K5668" t="str">
            <v>GBWS-4117</v>
          </cell>
          <cell r="L5668">
            <v>45323</v>
          </cell>
          <cell r="M5668">
            <v>45324</v>
          </cell>
          <cell r="N5668">
            <v>45337</v>
          </cell>
          <cell r="O5668">
            <v>45324</v>
          </cell>
          <cell r="P5668">
            <v>45337</v>
          </cell>
          <cell r="Q5668">
            <v>45337</v>
          </cell>
          <cell r="R5668">
            <v>45338</v>
          </cell>
          <cell r="S5668">
            <v>45343</v>
          </cell>
          <cell r="T5668">
            <v>45344</v>
          </cell>
          <cell r="U5668">
            <v>45348</v>
          </cell>
          <cell r="V5668">
            <v>45349</v>
          </cell>
          <cell r="W5668">
            <v>45349</v>
          </cell>
          <cell r="X5668">
            <v>41100565</v>
          </cell>
        </row>
        <row r="5669">
          <cell r="K5669" t="str">
            <v>GBWS-4118</v>
          </cell>
          <cell r="L5669">
            <v>45323</v>
          </cell>
          <cell r="M5669">
            <v>45324</v>
          </cell>
          <cell r="N5669">
            <v>45337</v>
          </cell>
          <cell r="O5669">
            <v>45324</v>
          </cell>
          <cell r="P5669">
            <v>45337</v>
          </cell>
          <cell r="Q5669">
            <v>45337</v>
          </cell>
          <cell r="R5669">
            <v>45338</v>
          </cell>
          <cell r="S5669">
            <v>45344</v>
          </cell>
          <cell r="T5669">
            <v>45345</v>
          </cell>
          <cell r="U5669">
            <v>45349</v>
          </cell>
          <cell r="V5669">
            <v>45349</v>
          </cell>
          <cell r="W5669">
            <v>45349</v>
          </cell>
          <cell r="X5669">
            <v>41100565</v>
          </cell>
        </row>
        <row r="5670">
          <cell r="K5670" t="str">
            <v>GBWS-3865</v>
          </cell>
          <cell r="L5670">
            <v>45243</v>
          </cell>
          <cell r="M5670">
            <v>45244</v>
          </cell>
          <cell r="N5670">
            <v>45252</v>
          </cell>
          <cell r="O5670">
            <v>45244</v>
          </cell>
          <cell r="P5670">
            <v>45253</v>
          </cell>
          <cell r="Q5670">
            <v>45252</v>
          </cell>
          <cell r="R5670">
            <v>45253</v>
          </cell>
          <cell r="S5670">
            <v>45257</v>
          </cell>
          <cell r="T5670">
            <v>45257</v>
          </cell>
          <cell r="U5670">
            <v>45266</v>
          </cell>
          <cell r="V5670">
            <v>45267</v>
          </cell>
          <cell r="W5670">
            <v>45267</v>
          </cell>
          <cell r="X5670">
            <v>41100286</v>
          </cell>
        </row>
        <row r="5671">
          <cell r="K5671" t="str">
            <v>GBWS-3866</v>
          </cell>
          <cell r="L5671">
            <v>45243</v>
          </cell>
          <cell r="M5671">
            <v>45244</v>
          </cell>
          <cell r="N5671">
            <v>45252</v>
          </cell>
          <cell r="O5671">
            <v>45244</v>
          </cell>
          <cell r="P5671">
            <v>45253</v>
          </cell>
          <cell r="Q5671">
            <v>45252</v>
          </cell>
          <cell r="R5671">
            <v>45253</v>
          </cell>
          <cell r="S5671">
            <v>45257</v>
          </cell>
          <cell r="T5671">
            <v>45257</v>
          </cell>
          <cell r="U5671">
            <v>45265</v>
          </cell>
          <cell r="V5671">
            <v>45266</v>
          </cell>
          <cell r="W5671">
            <v>45266</v>
          </cell>
          <cell r="X5671">
            <v>41100286</v>
          </cell>
        </row>
        <row r="5672">
          <cell r="K5672" t="str">
            <v>DBW-3142</v>
          </cell>
          <cell r="L5672">
            <v>45260</v>
          </cell>
          <cell r="M5672">
            <v>45261</v>
          </cell>
          <cell r="N5672">
            <v>45268</v>
          </cell>
          <cell r="O5672">
            <v>45261</v>
          </cell>
          <cell r="P5672">
            <v>45268</v>
          </cell>
          <cell r="Q5672">
            <v>45268</v>
          </cell>
          <cell r="R5672">
            <v>45271</v>
          </cell>
          <cell r="S5672">
            <v>45271</v>
          </cell>
          <cell r="T5672">
            <v>45271</v>
          </cell>
          <cell r="U5672">
            <v>45300</v>
          </cell>
          <cell r="V5672">
            <v>45301</v>
          </cell>
          <cell r="W5672">
            <v>45301</v>
          </cell>
          <cell r="X5672">
            <v>41100668</v>
          </cell>
        </row>
        <row r="5673">
          <cell r="K5673" t="str">
            <v>DBW-3153</v>
          </cell>
          <cell r="L5673">
            <v>45271</v>
          </cell>
          <cell r="M5673">
            <v>45272</v>
          </cell>
          <cell r="N5673">
            <v>45280</v>
          </cell>
          <cell r="O5673">
            <v>45272</v>
          </cell>
          <cell r="P5673">
            <v>45280</v>
          </cell>
          <cell r="Q5673">
            <v>45280</v>
          </cell>
          <cell r="R5673">
            <v>45281</v>
          </cell>
          <cell r="S5673">
            <v>45647</v>
          </cell>
          <cell r="T5673">
            <v>45647</v>
          </cell>
          <cell r="U5673">
            <v>45295</v>
          </cell>
          <cell r="V5673">
            <v>45296</v>
          </cell>
          <cell r="W5673">
            <v>45296</v>
          </cell>
          <cell r="X5673">
            <v>41100668</v>
          </cell>
        </row>
        <row r="5674">
          <cell r="K5674" t="str">
            <v>DBW-3209</v>
          </cell>
          <cell r="L5674">
            <v>45314</v>
          </cell>
          <cell r="M5674">
            <v>45315</v>
          </cell>
          <cell r="N5674">
            <v>45321</v>
          </cell>
          <cell r="O5674">
            <v>45315</v>
          </cell>
          <cell r="P5674">
            <v>45321</v>
          </cell>
          <cell r="Q5674">
            <v>45323</v>
          </cell>
          <cell r="R5674">
            <v>45323</v>
          </cell>
          <cell r="S5674">
            <v>45324</v>
          </cell>
          <cell r="T5674">
            <v>45328</v>
          </cell>
          <cell r="U5674">
            <v>45329</v>
          </cell>
          <cell r="V5674">
            <v>45335</v>
          </cell>
          <cell r="W5674">
            <v>45335</v>
          </cell>
          <cell r="X5674">
            <v>41000565</v>
          </cell>
        </row>
        <row r="5675">
          <cell r="K5675" t="str">
            <v>DBW-3210</v>
          </cell>
          <cell r="L5675">
            <v>45314</v>
          </cell>
          <cell r="M5675">
            <v>45315</v>
          </cell>
          <cell r="N5675">
            <v>45321</v>
          </cell>
          <cell r="O5675">
            <v>45315</v>
          </cell>
          <cell r="P5675">
            <v>45321</v>
          </cell>
          <cell r="Q5675">
            <v>45323</v>
          </cell>
          <cell r="R5675">
            <v>45323</v>
          </cell>
          <cell r="S5675">
            <v>45324</v>
          </cell>
          <cell r="T5675">
            <v>45328</v>
          </cell>
          <cell r="U5675">
            <v>45329</v>
          </cell>
          <cell r="V5675">
            <v>45330</v>
          </cell>
          <cell r="W5675">
            <v>45330</v>
          </cell>
          <cell r="X5675">
            <v>41000565</v>
          </cell>
        </row>
        <row r="5676">
          <cell r="K5676" t="str">
            <v>GBWS-3791 → GBWS-4088</v>
          </cell>
          <cell r="L5676">
            <v>45216</v>
          </cell>
          <cell r="M5676">
            <v>45217</v>
          </cell>
          <cell r="N5676">
            <v>45225</v>
          </cell>
          <cell r="O5676">
            <v>45217</v>
          </cell>
          <cell r="P5676">
            <v>45225</v>
          </cell>
          <cell r="Q5676">
            <v>45225</v>
          </cell>
          <cell r="R5676">
            <v>45225</v>
          </cell>
          <cell r="S5676">
            <v>45230</v>
          </cell>
          <cell r="T5676">
            <v>45230</v>
          </cell>
          <cell r="U5676">
            <v>45233</v>
          </cell>
          <cell r="V5676">
            <v>45236</v>
          </cell>
          <cell r="W5676">
            <v>45236</v>
          </cell>
          <cell r="X5676">
            <v>41000544</v>
          </cell>
        </row>
        <row r="5677">
          <cell r="K5677"/>
          <cell r="L5677">
            <v>45330</v>
          </cell>
          <cell r="M5677">
            <v>45330</v>
          </cell>
          <cell r="N5677">
            <v>45341</v>
          </cell>
          <cell r="O5677">
            <v>45330</v>
          </cell>
          <cell r="P5677">
            <v>45341</v>
          </cell>
          <cell r="Q5677">
            <v>45341</v>
          </cell>
          <cell r="R5677">
            <v>45341</v>
          </cell>
          <cell r="S5677">
            <v>45343</v>
          </cell>
          <cell r="T5677">
            <v>45344</v>
          </cell>
          <cell r="U5677">
            <v>45345</v>
          </cell>
          <cell r="V5677">
            <v>45348</v>
          </cell>
          <cell r="W5677">
            <v>45348</v>
          </cell>
          <cell r="X5677">
            <v>41000585</v>
          </cell>
        </row>
        <row r="5678">
          <cell r="K5678" t="str">
            <v>GBWS-4134</v>
          </cell>
          <cell r="L5678">
            <v>45331</v>
          </cell>
          <cell r="M5678">
            <v>45335</v>
          </cell>
          <cell r="N5678">
            <v>45341</v>
          </cell>
          <cell r="O5678">
            <v>45335</v>
          </cell>
          <cell r="P5678">
            <v>45342</v>
          </cell>
          <cell r="Q5678">
            <v>45342</v>
          </cell>
          <cell r="R5678">
            <v>45343</v>
          </cell>
          <cell r="S5678">
            <v>45345</v>
          </cell>
          <cell r="T5678">
            <v>45349</v>
          </cell>
          <cell r="U5678">
            <v>45350</v>
          </cell>
          <cell r="V5678">
            <v>45351</v>
          </cell>
          <cell r="W5678">
            <v>45351</v>
          </cell>
          <cell r="X5678">
            <v>41100363</v>
          </cell>
        </row>
        <row r="5679">
          <cell r="K5679" t="str">
            <v>GBWS-4135</v>
          </cell>
          <cell r="L5679">
            <v>45331</v>
          </cell>
          <cell r="M5679">
            <v>45335</v>
          </cell>
          <cell r="N5679">
            <v>45341</v>
          </cell>
          <cell r="O5679">
            <v>45335</v>
          </cell>
          <cell r="P5679">
            <v>45342</v>
          </cell>
          <cell r="Q5679">
            <v>45342</v>
          </cell>
          <cell r="R5679">
            <v>45343</v>
          </cell>
          <cell r="S5679">
            <v>45345</v>
          </cell>
          <cell r="T5679">
            <v>45349</v>
          </cell>
          <cell r="U5679">
            <v>45350</v>
          </cell>
          <cell r="V5679">
            <v>45351</v>
          </cell>
          <cell r="W5679">
            <v>45351</v>
          </cell>
          <cell r="X5679">
            <v>41100363</v>
          </cell>
        </row>
        <row r="5680">
          <cell r="K5680" t="str">
            <v>GBWS-4136</v>
          </cell>
          <cell r="L5680">
            <v>45331</v>
          </cell>
          <cell r="M5680">
            <v>45335</v>
          </cell>
          <cell r="N5680">
            <v>45341</v>
          </cell>
          <cell r="O5680">
            <v>45335</v>
          </cell>
          <cell r="P5680">
            <v>45341</v>
          </cell>
          <cell r="Q5680">
            <v>45342</v>
          </cell>
          <cell r="R5680">
            <v>45343</v>
          </cell>
          <cell r="S5680">
            <v>45348</v>
          </cell>
          <cell r="T5680">
            <v>45349</v>
          </cell>
          <cell r="U5680">
            <v>45350</v>
          </cell>
          <cell r="V5680">
            <v>45351</v>
          </cell>
          <cell r="W5680">
            <v>45351</v>
          </cell>
          <cell r="X5680">
            <v>41100320</v>
          </cell>
        </row>
        <row r="5681">
          <cell r="K5681" t="str">
            <v>DBW-3243</v>
          </cell>
          <cell r="L5681">
            <v>45335</v>
          </cell>
          <cell r="M5681">
            <v>45336</v>
          </cell>
          <cell r="N5681">
            <v>45343</v>
          </cell>
          <cell r="O5681">
            <v>45336</v>
          </cell>
          <cell r="P5681">
            <v>45344</v>
          </cell>
          <cell r="Q5681">
            <v>45343</v>
          </cell>
          <cell r="R5681">
            <v>45344</v>
          </cell>
          <cell r="S5681">
            <v>45348</v>
          </cell>
          <cell r="T5681">
            <v>45350</v>
          </cell>
          <cell r="U5681">
            <v>45351</v>
          </cell>
          <cell r="V5681">
            <v>45355</v>
          </cell>
          <cell r="W5681">
            <v>45355</v>
          </cell>
          <cell r="X5681">
            <v>41000566</v>
          </cell>
        </row>
        <row r="5682">
          <cell r="K5682" t="str">
            <v>DBW-3244</v>
          </cell>
          <cell r="L5682">
            <v>45335</v>
          </cell>
          <cell r="M5682">
            <v>45336</v>
          </cell>
          <cell r="N5682">
            <v>45343</v>
          </cell>
          <cell r="O5682">
            <v>45336</v>
          </cell>
          <cell r="P5682">
            <v>45344</v>
          </cell>
          <cell r="Q5682">
            <v>45343</v>
          </cell>
          <cell r="R5682">
            <v>45344</v>
          </cell>
          <cell r="S5682">
            <v>45348</v>
          </cell>
          <cell r="T5682">
            <v>45350</v>
          </cell>
          <cell r="U5682">
            <v>45351</v>
          </cell>
          <cell r="V5682">
            <v>45355</v>
          </cell>
          <cell r="W5682">
            <v>45355</v>
          </cell>
          <cell r="X5682">
            <v>41000566</v>
          </cell>
        </row>
        <row r="5683">
          <cell r="K5683" t="str">
            <v>DBW-3245</v>
          </cell>
          <cell r="L5683">
            <v>45335</v>
          </cell>
          <cell r="M5683">
            <v>45336</v>
          </cell>
          <cell r="N5683">
            <v>45343</v>
          </cell>
          <cell r="O5683">
            <v>45336</v>
          </cell>
          <cell r="P5683">
            <v>45344</v>
          </cell>
          <cell r="Q5683">
            <v>45343</v>
          </cell>
          <cell r="R5683">
            <v>45344</v>
          </cell>
          <cell r="S5683">
            <v>45348</v>
          </cell>
          <cell r="T5683">
            <v>45351</v>
          </cell>
          <cell r="U5683">
            <v>45352</v>
          </cell>
          <cell r="V5683">
            <v>45355</v>
          </cell>
          <cell r="W5683">
            <v>45355</v>
          </cell>
          <cell r="X5683">
            <v>41000566</v>
          </cell>
        </row>
        <row r="5684">
          <cell r="K5684" t="str">
            <v>DBW-3246</v>
          </cell>
          <cell r="L5684">
            <v>45335</v>
          </cell>
          <cell r="M5684">
            <v>45336</v>
          </cell>
          <cell r="N5684">
            <v>45344</v>
          </cell>
          <cell r="O5684">
            <v>45336</v>
          </cell>
          <cell r="P5684">
            <v>45344</v>
          </cell>
          <cell r="Q5684">
            <v>45343</v>
          </cell>
          <cell r="R5684">
            <v>45344</v>
          </cell>
          <cell r="S5684">
            <v>45348</v>
          </cell>
          <cell r="T5684">
            <v>45351</v>
          </cell>
          <cell r="U5684">
            <v>45352</v>
          </cell>
          <cell r="V5684">
            <v>45355</v>
          </cell>
          <cell r="W5684">
            <v>45355</v>
          </cell>
          <cell r="X5684">
            <v>41000566</v>
          </cell>
        </row>
        <row r="5685">
          <cell r="K5685" t="str">
            <v>DBW-3247</v>
          </cell>
          <cell r="L5685">
            <v>45335</v>
          </cell>
          <cell r="M5685">
            <v>45336</v>
          </cell>
          <cell r="N5685">
            <v>45344</v>
          </cell>
          <cell r="O5685">
            <v>45336</v>
          </cell>
          <cell r="P5685">
            <v>45344</v>
          </cell>
          <cell r="Q5685">
            <v>45343</v>
          </cell>
          <cell r="R5685">
            <v>45344</v>
          </cell>
          <cell r="S5685">
            <v>45348</v>
          </cell>
          <cell r="T5685">
            <v>45351</v>
          </cell>
          <cell r="U5685">
            <v>45352</v>
          </cell>
          <cell r="V5685">
            <v>45355</v>
          </cell>
          <cell r="W5685">
            <v>45355</v>
          </cell>
          <cell r="X5685">
            <v>41000566</v>
          </cell>
        </row>
        <row r="5686">
          <cell r="K5686" t="str">
            <v>DBW-3237</v>
          </cell>
          <cell r="L5686">
            <v>45328</v>
          </cell>
          <cell r="M5686">
            <v>45329</v>
          </cell>
          <cell r="N5686">
            <v>45337</v>
          </cell>
          <cell r="O5686">
            <v>45329</v>
          </cell>
          <cell r="P5686">
            <v>45341</v>
          </cell>
          <cell r="Q5686">
            <v>45338</v>
          </cell>
          <cell r="R5686">
            <v>45341</v>
          </cell>
          <cell r="S5686">
            <v>45349</v>
          </cell>
          <cell r="T5686">
            <v>45350</v>
          </cell>
          <cell r="U5686">
            <v>45351</v>
          </cell>
          <cell r="V5686">
            <v>45355</v>
          </cell>
          <cell r="W5686">
            <v>45355</v>
          </cell>
          <cell r="X5686">
            <v>41000566</v>
          </cell>
        </row>
        <row r="5687">
          <cell r="K5687" t="str">
            <v>DBW-3238</v>
          </cell>
          <cell r="L5687">
            <v>45328</v>
          </cell>
          <cell r="M5687">
            <v>45329</v>
          </cell>
          <cell r="N5687">
            <v>45337</v>
          </cell>
          <cell r="O5687">
            <v>45329</v>
          </cell>
          <cell r="P5687">
            <v>45341</v>
          </cell>
          <cell r="Q5687">
            <v>45338</v>
          </cell>
          <cell r="R5687">
            <v>45341</v>
          </cell>
          <cell r="S5687">
            <v>45349</v>
          </cell>
          <cell r="T5687">
            <v>45350</v>
          </cell>
          <cell r="U5687">
            <v>45351</v>
          </cell>
          <cell r="V5687">
            <v>45355</v>
          </cell>
          <cell r="W5687">
            <v>45355</v>
          </cell>
          <cell r="X5687">
            <v>41000566</v>
          </cell>
        </row>
        <row r="5688">
          <cell r="K5688" t="str">
            <v>DBW-3239</v>
          </cell>
          <cell r="L5688">
            <v>45328</v>
          </cell>
          <cell r="M5688">
            <v>45329</v>
          </cell>
          <cell r="N5688">
            <v>45337</v>
          </cell>
          <cell r="O5688">
            <v>45329</v>
          </cell>
          <cell r="P5688">
            <v>45341</v>
          </cell>
          <cell r="Q5688">
            <v>45338</v>
          </cell>
          <cell r="R5688">
            <v>45341</v>
          </cell>
          <cell r="S5688">
            <v>45349</v>
          </cell>
          <cell r="T5688">
            <v>45350</v>
          </cell>
          <cell r="U5688">
            <v>45351</v>
          </cell>
          <cell r="V5688">
            <v>45355</v>
          </cell>
          <cell r="W5688">
            <v>45355</v>
          </cell>
          <cell r="X5688">
            <v>41000566</v>
          </cell>
        </row>
        <row r="5689">
          <cell r="K5689" t="str">
            <v>DBW-3240</v>
          </cell>
          <cell r="L5689">
            <v>45328</v>
          </cell>
          <cell r="M5689">
            <v>45329</v>
          </cell>
          <cell r="N5689">
            <v>45337</v>
          </cell>
          <cell r="O5689">
            <v>45329</v>
          </cell>
          <cell r="P5689">
            <v>45341</v>
          </cell>
          <cell r="Q5689">
            <v>45338</v>
          </cell>
          <cell r="R5689">
            <v>45341</v>
          </cell>
          <cell r="S5689">
            <v>45349</v>
          </cell>
          <cell r="T5689">
            <v>45350</v>
          </cell>
          <cell r="U5689">
            <v>45351</v>
          </cell>
          <cell r="V5689">
            <v>45355</v>
          </cell>
          <cell r="W5689">
            <v>45355</v>
          </cell>
          <cell r="X5689">
            <v>41000566</v>
          </cell>
        </row>
        <row r="5690">
          <cell r="K5690" t="str">
            <v>DBW-3241</v>
          </cell>
          <cell r="L5690">
            <v>45328</v>
          </cell>
          <cell r="M5690">
            <v>45329</v>
          </cell>
          <cell r="N5690">
            <v>45337</v>
          </cell>
          <cell r="O5690">
            <v>45329</v>
          </cell>
          <cell r="P5690">
            <v>45341</v>
          </cell>
          <cell r="Q5690">
            <v>45338</v>
          </cell>
          <cell r="R5690">
            <v>45341</v>
          </cell>
          <cell r="S5690">
            <v>45349</v>
          </cell>
          <cell r="T5690">
            <v>45351</v>
          </cell>
          <cell r="U5690">
            <v>45352</v>
          </cell>
          <cell r="V5690">
            <v>45355</v>
          </cell>
          <cell r="W5690">
            <v>45355</v>
          </cell>
          <cell r="X5690">
            <v>41000566</v>
          </cell>
        </row>
        <row r="5691">
          <cell r="K5691" t="str">
            <v>GBWS-3874</v>
          </cell>
          <cell r="L5691">
            <v>45244</v>
          </cell>
          <cell r="M5691">
            <v>45245</v>
          </cell>
          <cell r="N5691">
            <v>45252</v>
          </cell>
          <cell r="O5691">
            <v>45245</v>
          </cell>
          <cell r="P5691">
            <v>45252</v>
          </cell>
          <cell r="Q5691">
            <v>45252</v>
          </cell>
          <cell r="R5691">
            <v>45253</v>
          </cell>
          <cell r="S5691">
            <v>45254</v>
          </cell>
          <cell r="T5691">
            <v>45254</v>
          </cell>
          <cell r="U5691">
            <v>45260</v>
          </cell>
          <cell r="V5691">
            <v>45261</v>
          </cell>
          <cell r="W5691">
            <v>45261</v>
          </cell>
          <cell r="X5691">
            <v>41100686</v>
          </cell>
        </row>
        <row r="5692">
          <cell r="K5692" t="str">
            <v>GBWS-3875</v>
          </cell>
          <cell r="L5692">
            <v>45244</v>
          </cell>
          <cell r="M5692">
            <v>45245</v>
          </cell>
          <cell r="N5692">
            <v>45252</v>
          </cell>
          <cell r="O5692">
            <v>45245</v>
          </cell>
          <cell r="P5692">
            <v>45252</v>
          </cell>
          <cell r="Q5692">
            <v>45252</v>
          </cell>
          <cell r="R5692">
            <v>45253</v>
          </cell>
          <cell r="S5692">
            <v>45254</v>
          </cell>
          <cell r="T5692">
            <v>45254</v>
          </cell>
          <cell r="U5692">
            <v>45259</v>
          </cell>
          <cell r="V5692">
            <v>45260</v>
          </cell>
          <cell r="W5692">
            <v>45260</v>
          </cell>
          <cell r="X5692">
            <v>41100686</v>
          </cell>
        </row>
        <row r="5693">
          <cell r="K5693" t="str">
            <v>GBWS-4144</v>
          </cell>
          <cell r="L5693">
            <v>45335</v>
          </cell>
          <cell r="M5693">
            <v>45336</v>
          </cell>
          <cell r="N5693">
            <v>45344</v>
          </cell>
          <cell r="O5693">
            <v>45336</v>
          </cell>
          <cell r="P5693">
            <v>45344</v>
          </cell>
          <cell r="Q5693">
            <v>45343</v>
          </cell>
          <cell r="R5693">
            <v>45344</v>
          </cell>
          <cell r="S5693">
            <v>45349</v>
          </cell>
          <cell r="T5693">
            <v>45350</v>
          </cell>
          <cell r="U5693">
            <v>45351</v>
          </cell>
          <cell r="V5693">
            <v>45355</v>
          </cell>
          <cell r="W5693">
            <v>45355</v>
          </cell>
          <cell r="X5693">
            <v>41100481</v>
          </cell>
        </row>
        <row r="5694">
          <cell r="K5694" t="str">
            <v>DS-0096</v>
          </cell>
          <cell r="L5694">
            <v>45328</v>
          </cell>
          <cell r="M5694">
            <v>45329</v>
          </cell>
          <cell r="N5694">
            <v>45341</v>
          </cell>
          <cell r="O5694">
            <v>45329</v>
          </cell>
          <cell r="P5694">
            <v>45342</v>
          </cell>
          <cell r="Q5694">
            <v>45341</v>
          </cell>
          <cell r="R5694">
            <v>45342</v>
          </cell>
          <cell r="S5694">
            <v>45343</v>
          </cell>
          <cell r="T5694">
            <v>45344</v>
          </cell>
          <cell r="U5694">
            <v>45344</v>
          </cell>
          <cell r="V5694">
            <v>45355</v>
          </cell>
          <cell r="W5694">
            <v>45355</v>
          </cell>
          <cell r="X5694">
            <v>41000580</v>
          </cell>
        </row>
        <row r="5695">
          <cell r="K5695" t="str">
            <v>GBWS-4165</v>
          </cell>
          <cell r="L5695">
            <v>45342</v>
          </cell>
          <cell r="M5695" t="str">
            <v>2024-02-23 → 2/21</v>
          </cell>
          <cell r="N5695">
            <v>45350</v>
          </cell>
          <cell r="O5695" t="str">
            <v>2024-02-23 → 2/21</v>
          </cell>
          <cell r="P5695">
            <v>45351</v>
          </cell>
          <cell r="Q5695" t="str">
            <v>2024-03-04 → 2/28</v>
          </cell>
          <cell r="R5695" t="str">
            <v>2024-03-04 → 2/28 → 2/29(오전)</v>
          </cell>
          <cell r="S5695">
            <v>45351</v>
          </cell>
          <cell r="T5695">
            <v>45352</v>
          </cell>
          <cell r="U5695">
            <v>45355</v>
          </cell>
          <cell r="V5695">
            <v>45356</v>
          </cell>
          <cell r="W5695">
            <v>45356</v>
          </cell>
          <cell r="X5695">
            <v>41100508</v>
          </cell>
        </row>
        <row r="5696">
          <cell r="K5696" t="str">
            <v>GBWS-4166</v>
          </cell>
          <cell r="L5696">
            <v>45342</v>
          </cell>
          <cell r="M5696" t="str">
            <v>2024-02-23 → 2/21</v>
          </cell>
          <cell r="N5696">
            <v>45350</v>
          </cell>
          <cell r="O5696" t="str">
            <v>2024-02-23 → 2/21</v>
          </cell>
          <cell r="P5696">
            <v>45351</v>
          </cell>
          <cell r="Q5696" t="str">
            <v>2024-03-04 → 2/28</v>
          </cell>
          <cell r="R5696" t="str">
            <v>2024-03-04 → 2/28 → 2/29(오전)</v>
          </cell>
          <cell r="S5696">
            <v>45351</v>
          </cell>
          <cell r="T5696">
            <v>45352</v>
          </cell>
          <cell r="U5696">
            <v>45355</v>
          </cell>
          <cell r="V5696">
            <v>45356</v>
          </cell>
          <cell r="W5696">
            <v>45356</v>
          </cell>
          <cell r="X5696">
            <v>41100508</v>
          </cell>
        </row>
        <row r="5697">
          <cell r="K5697" t="str">
            <v>GBWS-4152</v>
          </cell>
          <cell r="L5697">
            <v>45337</v>
          </cell>
          <cell r="M5697">
            <v>45338</v>
          </cell>
          <cell r="N5697">
            <v>45344</v>
          </cell>
          <cell r="O5697">
            <v>45338</v>
          </cell>
          <cell r="P5697">
            <v>45345</v>
          </cell>
          <cell r="Q5697">
            <v>45344</v>
          </cell>
          <cell r="R5697">
            <v>45345</v>
          </cell>
          <cell r="S5697">
            <v>45349</v>
          </cell>
          <cell r="T5697">
            <v>45351</v>
          </cell>
          <cell r="U5697">
            <v>45352</v>
          </cell>
          <cell r="V5697">
            <v>45355</v>
          </cell>
          <cell r="W5697">
            <v>45355</v>
          </cell>
          <cell r="X5697">
            <v>41100662</v>
          </cell>
        </row>
        <row r="5698">
          <cell r="K5698" t="str">
            <v>DBW-3221</v>
          </cell>
          <cell r="L5698">
            <v>45320</v>
          </cell>
          <cell r="M5698">
            <v>45321</v>
          </cell>
          <cell r="N5698">
            <v>45324</v>
          </cell>
          <cell r="O5698">
            <v>45321</v>
          </cell>
          <cell r="P5698">
            <v>45327</v>
          </cell>
          <cell r="Q5698">
            <v>45329</v>
          </cell>
          <cell r="R5698">
            <v>45330</v>
          </cell>
          <cell r="S5698">
            <v>45335</v>
          </cell>
          <cell r="T5698">
            <v>45336</v>
          </cell>
          <cell r="U5698">
            <v>45338</v>
          </cell>
          <cell r="V5698">
            <v>45338</v>
          </cell>
          <cell r="W5698">
            <v>45338</v>
          </cell>
          <cell r="X5698">
            <v>41100668</v>
          </cell>
        </row>
        <row r="5699">
          <cell r="K5699" t="str">
            <v>GBWS-4138</v>
          </cell>
          <cell r="L5699">
            <v>45335</v>
          </cell>
          <cell r="M5699">
            <v>45336</v>
          </cell>
          <cell r="N5699">
            <v>45343</v>
          </cell>
          <cell r="O5699">
            <v>45336</v>
          </cell>
          <cell r="P5699">
            <v>45344</v>
          </cell>
          <cell r="Q5699">
            <v>45344</v>
          </cell>
          <cell r="R5699">
            <v>45345</v>
          </cell>
          <cell r="S5699">
            <v>45348</v>
          </cell>
          <cell r="T5699">
            <v>45349</v>
          </cell>
          <cell r="U5699">
            <v>45350</v>
          </cell>
          <cell r="V5699">
            <v>45351</v>
          </cell>
          <cell r="W5699">
            <v>45351</v>
          </cell>
          <cell r="X5699">
            <v>41100564</v>
          </cell>
        </row>
        <row r="5700">
          <cell r="K5700" t="str">
            <v>GBWS-4139</v>
          </cell>
          <cell r="L5700">
            <v>45335</v>
          </cell>
          <cell r="M5700">
            <v>45336</v>
          </cell>
          <cell r="N5700">
            <v>45343</v>
          </cell>
          <cell r="O5700">
            <v>45336</v>
          </cell>
          <cell r="P5700">
            <v>45344</v>
          </cell>
          <cell r="Q5700">
            <v>45344</v>
          </cell>
          <cell r="R5700">
            <v>45345</v>
          </cell>
          <cell r="S5700">
            <v>45350</v>
          </cell>
          <cell r="T5700">
            <v>45355</v>
          </cell>
          <cell r="U5700">
            <v>45356</v>
          </cell>
          <cell r="V5700">
            <v>45357</v>
          </cell>
          <cell r="W5700">
            <v>45357</v>
          </cell>
          <cell r="X5700">
            <v>41100564</v>
          </cell>
        </row>
        <row r="5701">
          <cell r="K5701" t="str">
            <v>GBWS-4140</v>
          </cell>
          <cell r="L5701">
            <v>45335</v>
          </cell>
          <cell r="M5701">
            <v>45336</v>
          </cell>
          <cell r="N5701">
            <v>45343</v>
          </cell>
          <cell r="O5701">
            <v>45336</v>
          </cell>
          <cell r="P5701">
            <v>45344</v>
          </cell>
          <cell r="Q5701">
            <v>45344</v>
          </cell>
          <cell r="R5701">
            <v>45345</v>
          </cell>
          <cell r="S5701">
            <v>45350</v>
          </cell>
          <cell r="T5701">
            <v>45355</v>
          </cell>
          <cell r="U5701">
            <v>45356</v>
          </cell>
          <cell r="V5701">
            <v>45357</v>
          </cell>
          <cell r="W5701">
            <v>45357</v>
          </cell>
          <cell r="X5701">
            <v>41100564</v>
          </cell>
        </row>
        <row r="5702">
          <cell r="K5702" t="str">
            <v>GBWS-4141</v>
          </cell>
          <cell r="L5702">
            <v>45335</v>
          </cell>
          <cell r="M5702">
            <v>45336</v>
          </cell>
          <cell r="N5702">
            <v>45343</v>
          </cell>
          <cell r="O5702">
            <v>45336</v>
          </cell>
          <cell r="P5702">
            <v>45344</v>
          </cell>
          <cell r="Q5702">
            <v>45344</v>
          </cell>
          <cell r="R5702">
            <v>45345</v>
          </cell>
          <cell r="S5702">
            <v>45350</v>
          </cell>
          <cell r="T5702">
            <v>45355</v>
          </cell>
          <cell r="U5702">
            <v>45356</v>
          </cell>
          <cell r="V5702">
            <v>45357</v>
          </cell>
          <cell r="W5702">
            <v>45357</v>
          </cell>
          <cell r="X5702">
            <v>41100564</v>
          </cell>
        </row>
        <row r="5703">
          <cell r="K5703" t="str">
            <v>GBWS-4142</v>
          </cell>
          <cell r="L5703">
            <v>45335</v>
          </cell>
          <cell r="M5703">
            <v>45336</v>
          </cell>
          <cell r="N5703">
            <v>45343</v>
          </cell>
          <cell r="O5703">
            <v>45336</v>
          </cell>
          <cell r="P5703">
            <v>45344</v>
          </cell>
          <cell r="Q5703">
            <v>45344</v>
          </cell>
          <cell r="R5703">
            <v>45345</v>
          </cell>
          <cell r="S5703">
            <v>45350</v>
          </cell>
          <cell r="T5703">
            <v>45355</v>
          </cell>
          <cell r="U5703">
            <v>45356</v>
          </cell>
          <cell r="V5703">
            <v>45357</v>
          </cell>
          <cell r="W5703">
            <v>45357</v>
          </cell>
          <cell r="X5703">
            <v>41100564</v>
          </cell>
        </row>
        <row r="5704">
          <cell r="K5704" t="str">
            <v>GBWS-4143</v>
          </cell>
          <cell r="L5704">
            <v>45335</v>
          </cell>
          <cell r="M5704">
            <v>45336</v>
          </cell>
          <cell r="N5704">
            <v>45343</v>
          </cell>
          <cell r="O5704">
            <v>45336</v>
          </cell>
          <cell r="P5704">
            <v>45344</v>
          </cell>
          <cell r="Q5704">
            <v>45344</v>
          </cell>
          <cell r="R5704">
            <v>45345</v>
          </cell>
          <cell r="S5704">
            <v>45350</v>
          </cell>
          <cell r="T5704">
            <v>45355</v>
          </cell>
          <cell r="U5704">
            <v>45356</v>
          </cell>
          <cell r="V5704">
            <v>45357</v>
          </cell>
          <cell r="W5704">
            <v>45357</v>
          </cell>
          <cell r="X5704">
            <v>41100564</v>
          </cell>
        </row>
        <row r="5705">
          <cell r="K5705" t="str">
            <v>GBWS-4157</v>
          </cell>
          <cell r="L5705">
            <v>45341</v>
          </cell>
          <cell r="M5705">
            <v>45342</v>
          </cell>
          <cell r="N5705">
            <v>45348</v>
          </cell>
          <cell r="O5705">
            <v>45342</v>
          </cell>
          <cell r="P5705">
            <v>45349</v>
          </cell>
          <cell r="Q5705">
            <v>45348</v>
          </cell>
          <cell r="R5705">
            <v>45349</v>
          </cell>
          <cell r="S5705">
            <v>45351</v>
          </cell>
          <cell r="T5705">
            <v>45352</v>
          </cell>
          <cell r="U5705">
            <v>45355</v>
          </cell>
          <cell r="V5705">
            <v>45356</v>
          </cell>
          <cell r="W5705">
            <v>45356</v>
          </cell>
          <cell r="X5705">
            <v>41100573</v>
          </cell>
        </row>
        <row r="5706">
          <cell r="K5706" t="str">
            <v>GBWS-4158</v>
          </cell>
          <cell r="L5706">
            <v>45341</v>
          </cell>
          <cell r="M5706">
            <v>45342</v>
          </cell>
          <cell r="N5706">
            <v>45348</v>
          </cell>
          <cell r="O5706">
            <v>45342</v>
          </cell>
          <cell r="P5706">
            <v>45349</v>
          </cell>
          <cell r="Q5706">
            <v>45348</v>
          </cell>
          <cell r="R5706">
            <v>45349</v>
          </cell>
          <cell r="S5706">
            <v>45350</v>
          </cell>
          <cell r="T5706">
            <v>45351</v>
          </cell>
          <cell r="U5706">
            <v>45355</v>
          </cell>
          <cell r="V5706">
            <v>45356</v>
          </cell>
          <cell r="W5706">
            <v>45356</v>
          </cell>
          <cell r="X5706">
            <v>41100698</v>
          </cell>
        </row>
        <row r="5707">
          <cell r="K5707" t="str">
            <v>GBWS-4159</v>
          </cell>
          <cell r="L5707">
            <v>45341</v>
          </cell>
          <cell r="M5707">
            <v>45342</v>
          </cell>
          <cell r="N5707">
            <v>45348</v>
          </cell>
          <cell r="O5707">
            <v>45342</v>
          </cell>
          <cell r="P5707">
            <v>45349</v>
          </cell>
          <cell r="Q5707">
            <v>45348</v>
          </cell>
          <cell r="R5707">
            <v>45349</v>
          </cell>
          <cell r="S5707">
            <v>45350</v>
          </cell>
          <cell r="T5707">
            <v>45352</v>
          </cell>
          <cell r="U5707">
            <v>45355</v>
          </cell>
          <cell r="V5707">
            <v>45356</v>
          </cell>
          <cell r="W5707">
            <v>45356</v>
          </cell>
          <cell r="X5707">
            <v>41100698</v>
          </cell>
        </row>
        <row r="5708">
          <cell r="K5708" t="str">
            <v>GBWS-4146</v>
          </cell>
          <cell r="L5708">
            <v>45336</v>
          </cell>
          <cell r="M5708">
            <v>45337</v>
          </cell>
          <cell r="N5708">
            <v>45345</v>
          </cell>
          <cell r="O5708">
            <v>45337</v>
          </cell>
          <cell r="P5708">
            <v>45348</v>
          </cell>
          <cell r="Q5708">
            <v>45345</v>
          </cell>
          <cell r="R5708">
            <v>45348</v>
          </cell>
          <cell r="S5708">
            <v>45350</v>
          </cell>
          <cell r="T5708">
            <v>45352</v>
          </cell>
          <cell r="U5708">
            <v>45355</v>
          </cell>
          <cell r="V5708">
            <v>45356</v>
          </cell>
          <cell r="W5708">
            <v>45356</v>
          </cell>
          <cell r="X5708">
            <v>41100633</v>
          </cell>
        </row>
        <row r="5709">
          <cell r="K5709" t="str">
            <v>GBWS-4148</v>
          </cell>
          <cell r="L5709">
            <v>45336</v>
          </cell>
          <cell r="M5709">
            <v>45337</v>
          </cell>
          <cell r="N5709">
            <v>45344</v>
          </cell>
          <cell r="O5709">
            <v>45337</v>
          </cell>
          <cell r="P5709">
            <v>45345</v>
          </cell>
          <cell r="Q5709">
            <v>45344</v>
          </cell>
          <cell r="R5709">
            <v>45345</v>
          </cell>
          <cell r="S5709">
            <v>45350</v>
          </cell>
          <cell r="T5709">
            <v>45352</v>
          </cell>
          <cell r="U5709">
            <v>45355</v>
          </cell>
          <cell r="V5709">
            <v>45356</v>
          </cell>
          <cell r="W5709">
            <v>45356</v>
          </cell>
          <cell r="X5709">
            <v>41100558</v>
          </cell>
        </row>
        <row r="5710">
          <cell r="K5710" t="str">
            <v>GBWS-4149</v>
          </cell>
          <cell r="L5710">
            <v>45336</v>
          </cell>
          <cell r="M5710">
            <v>45337</v>
          </cell>
          <cell r="N5710">
            <v>45344</v>
          </cell>
          <cell r="O5710">
            <v>45337</v>
          </cell>
          <cell r="P5710">
            <v>45345</v>
          </cell>
          <cell r="Q5710">
            <v>45344</v>
          </cell>
          <cell r="R5710">
            <v>45345</v>
          </cell>
          <cell r="S5710">
            <v>45350</v>
          </cell>
          <cell r="T5710">
            <v>45352</v>
          </cell>
          <cell r="U5710">
            <v>45355</v>
          </cell>
          <cell r="V5710">
            <v>45356</v>
          </cell>
          <cell r="W5710">
            <v>45356</v>
          </cell>
          <cell r="X5710">
            <v>41100558</v>
          </cell>
        </row>
        <row r="5711">
          <cell r="K5711" t="str">
            <v>GBWS-4150</v>
          </cell>
          <cell r="L5711">
            <v>45337</v>
          </cell>
          <cell r="M5711">
            <v>45338</v>
          </cell>
          <cell r="N5711">
            <v>45345</v>
          </cell>
          <cell r="O5711">
            <v>45338</v>
          </cell>
          <cell r="P5711">
            <v>45348</v>
          </cell>
          <cell r="Q5711">
            <v>45345</v>
          </cell>
          <cell r="R5711">
            <v>45348</v>
          </cell>
          <cell r="S5711">
            <v>45351</v>
          </cell>
          <cell r="T5711">
            <v>45355</v>
          </cell>
          <cell r="U5711">
            <v>45356</v>
          </cell>
          <cell r="V5711">
            <v>45357</v>
          </cell>
          <cell r="W5711">
            <v>45357</v>
          </cell>
          <cell r="X5711">
            <v>41100565</v>
          </cell>
        </row>
        <row r="5712">
          <cell r="K5712" t="str">
            <v>GBWS-4153</v>
          </cell>
          <cell r="L5712">
            <v>45338</v>
          </cell>
          <cell r="M5712">
            <v>45341</v>
          </cell>
          <cell r="N5712">
            <v>45349</v>
          </cell>
          <cell r="O5712">
            <v>45341</v>
          </cell>
          <cell r="P5712">
            <v>45350</v>
          </cell>
          <cell r="Q5712">
            <v>45349</v>
          </cell>
          <cell r="R5712">
            <v>45350</v>
          </cell>
          <cell r="S5712">
            <v>45351</v>
          </cell>
          <cell r="T5712">
            <v>45355</v>
          </cell>
          <cell r="U5712">
            <v>45356</v>
          </cell>
          <cell r="V5712">
            <v>45357</v>
          </cell>
          <cell r="W5712">
            <v>45357</v>
          </cell>
          <cell r="X5712">
            <v>41100662</v>
          </cell>
        </row>
        <row r="5713">
          <cell r="K5713" t="str">
            <v>GBWS-4154</v>
          </cell>
          <cell r="L5713">
            <v>45338</v>
          </cell>
          <cell r="M5713">
            <v>45341</v>
          </cell>
          <cell r="N5713">
            <v>45349</v>
          </cell>
          <cell r="O5713">
            <v>45341</v>
          </cell>
          <cell r="P5713">
            <v>45350</v>
          </cell>
          <cell r="Q5713">
            <v>45349</v>
          </cell>
          <cell r="R5713">
            <v>45350</v>
          </cell>
          <cell r="S5713">
            <v>45355</v>
          </cell>
          <cell r="T5713">
            <v>45356</v>
          </cell>
          <cell r="U5713">
            <v>45357</v>
          </cell>
          <cell r="V5713">
            <v>45358</v>
          </cell>
          <cell r="W5713">
            <v>45358</v>
          </cell>
          <cell r="X5713">
            <v>41100662</v>
          </cell>
        </row>
        <row r="5714">
          <cell r="K5714" t="str">
            <v>GBWS-4155</v>
          </cell>
          <cell r="L5714">
            <v>45338</v>
          </cell>
          <cell r="M5714">
            <v>45341</v>
          </cell>
          <cell r="N5714">
            <v>45349</v>
          </cell>
          <cell r="O5714">
            <v>45341</v>
          </cell>
          <cell r="P5714">
            <v>45350</v>
          </cell>
          <cell r="Q5714">
            <v>45349</v>
          </cell>
          <cell r="R5714">
            <v>45350</v>
          </cell>
          <cell r="S5714">
            <v>45355</v>
          </cell>
          <cell r="T5714">
            <v>45356</v>
          </cell>
          <cell r="U5714">
            <v>45357</v>
          </cell>
          <cell r="V5714">
            <v>45358</v>
          </cell>
          <cell r="W5714">
            <v>45358</v>
          </cell>
          <cell r="X5714">
            <v>41100662</v>
          </cell>
        </row>
        <row r="5715">
          <cell r="K5715" t="str">
            <v>GBWS-4156</v>
          </cell>
          <cell r="L5715">
            <v>45338</v>
          </cell>
          <cell r="M5715">
            <v>45341</v>
          </cell>
          <cell r="N5715">
            <v>45349</v>
          </cell>
          <cell r="O5715">
            <v>45341</v>
          </cell>
          <cell r="P5715">
            <v>45350</v>
          </cell>
          <cell r="Q5715">
            <v>45349</v>
          </cell>
          <cell r="R5715">
            <v>45350</v>
          </cell>
          <cell r="S5715">
            <v>45355</v>
          </cell>
          <cell r="T5715">
            <v>45356</v>
          </cell>
          <cell r="U5715">
            <v>45357</v>
          </cell>
          <cell r="V5715">
            <v>45358</v>
          </cell>
          <cell r="W5715">
            <v>45358</v>
          </cell>
          <cell r="X5715">
            <v>41100662</v>
          </cell>
        </row>
        <row r="5716">
          <cell r="K5716" t="str">
            <v>GBWS-4162</v>
          </cell>
          <cell r="L5716">
            <v>45342</v>
          </cell>
          <cell r="M5716">
            <v>45343</v>
          </cell>
          <cell r="N5716">
            <v>45349</v>
          </cell>
          <cell r="O5716">
            <v>45343</v>
          </cell>
          <cell r="P5716">
            <v>45350</v>
          </cell>
          <cell r="Q5716">
            <v>45349</v>
          </cell>
          <cell r="R5716">
            <v>45350</v>
          </cell>
          <cell r="S5716">
            <v>45355</v>
          </cell>
          <cell r="T5716">
            <v>45356</v>
          </cell>
          <cell r="U5716">
            <v>45357</v>
          </cell>
          <cell r="V5716">
            <v>45358</v>
          </cell>
          <cell r="W5716">
            <v>45358</v>
          </cell>
          <cell r="X5716">
            <v>41100564</v>
          </cell>
        </row>
        <row r="5717">
          <cell r="K5717" t="str">
            <v>GBWS-4170</v>
          </cell>
          <cell r="L5717">
            <v>45343</v>
          </cell>
          <cell r="M5717">
            <v>45344</v>
          </cell>
          <cell r="N5717">
            <v>45350</v>
          </cell>
          <cell r="O5717">
            <v>45344</v>
          </cell>
          <cell r="P5717">
            <v>45351</v>
          </cell>
          <cell r="Q5717" t="str">
            <v>2024-02-29 → 3/1</v>
          </cell>
          <cell r="R5717">
            <v>45355</v>
          </cell>
          <cell r="S5717">
            <v>45355</v>
          </cell>
          <cell r="T5717">
            <v>45356</v>
          </cell>
          <cell r="U5717">
            <v>45357</v>
          </cell>
          <cell r="V5717">
            <v>45358</v>
          </cell>
          <cell r="W5717">
            <v>45358</v>
          </cell>
          <cell r="X5717">
            <v>41100566</v>
          </cell>
        </row>
        <row r="5718">
          <cell r="K5718" t="str">
            <v>GBWS-4171</v>
          </cell>
          <cell r="L5718">
            <v>45343</v>
          </cell>
          <cell r="M5718">
            <v>45344</v>
          </cell>
          <cell r="N5718">
            <v>45350</v>
          </cell>
          <cell r="O5718">
            <v>45344</v>
          </cell>
          <cell r="P5718">
            <v>45351</v>
          </cell>
          <cell r="Q5718" t="str">
            <v>2024-02-29 → 3/1</v>
          </cell>
          <cell r="R5718">
            <v>45355</v>
          </cell>
          <cell r="S5718">
            <v>45355</v>
          </cell>
          <cell r="T5718">
            <v>45356</v>
          </cell>
          <cell r="U5718">
            <v>45357</v>
          </cell>
          <cell r="V5718">
            <v>45358</v>
          </cell>
          <cell r="W5718">
            <v>45358</v>
          </cell>
          <cell r="X5718">
            <v>41100566</v>
          </cell>
        </row>
        <row r="5719">
          <cell r="K5719" t="str">
            <v>DBW-3255</v>
          </cell>
          <cell r="L5719">
            <v>45341</v>
          </cell>
          <cell r="M5719">
            <v>45342</v>
          </cell>
          <cell r="N5719">
            <v>45349</v>
          </cell>
          <cell r="O5719">
            <v>45342</v>
          </cell>
          <cell r="P5719">
            <v>45350</v>
          </cell>
          <cell r="Q5719">
            <v>45349</v>
          </cell>
          <cell r="R5719">
            <v>45350</v>
          </cell>
          <cell r="S5719">
            <v>45356</v>
          </cell>
          <cell r="T5719">
            <v>45357</v>
          </cell>
          <cell r="U5719">
            <v>45358</v>
          </cell>
          <cell r="V5719">
            <v>45359</v>
          </cell>
          <cell r="W5719">
            <v>45359</v>
          </cell>
          <cell r="X5719">
            <v>41100681</v>
          </cell>
        </row>
        <row r="5720">
          <cell r="K5720" t="str">
            <v>DBW-3256</v>
          </cell>
          <cell r="L5720">
            <v>45341</v>
          </cell>
          <cell r="M5720">
            <v>45342</v>
          </cell>
          <cell r="N5720">
            <v>45349</v>
          </cell>
          <cell r="O5720">
            <v>45342</v>
          </cell>
          <cell r="P5720">
            <v>45350</v>
          </cell>
          <cell r="Q5720">
            <v>45349</v>
          </cell>
          <cell r="R5720">
            <v>45350</v>
          </cell>
          <cell r="S5720">
            <v>45356</v>
          </cell>
          <cell r="T5720">
            <v>45357</v>
          </cell>
          <cell r="U5720">
            <v>45358</v>
          </cell>
          <cell r="V5720">
            <v>45359</v>
          </cell>
          <cell r="W5720">
            <v>45359</v>
          </cell>
          <cell r="X5720">
            <v>41100681</v>
          </cell>
        </row>
        <row r="5721">
          <cell r="K5721" t="str">
            <v>GBWS-4174</v>
          </cell>
          <cell r="L5721">
            <v>45344</v>
          </cell>
          <cell r="M5721" t="str">
            <v>2024-02-27 → 2/23</v>
          </cell>
          <cell r="N5721">
            <v>45355</v>
          </cell>
          <cell r="O5721" t="str">
            <v>2024-02-27 → 2/23</v>
          </cell>
          <cell r="P5721">
            <v>45355</v>
          </cell>
          <cell r="Q5721" t="str">
            <v>2024-03-07 → 3/4</v>
          </cell>
          <cell r="R5721" t="str">
            <v>2024-03-08 → 3/4</v>
          </cell>
          <cell r="S5721">
            <v>45356</v>
          </cell>
          <cell r="T5721">
            <v>45357</v>
          </cell>
          <cell r="U5721">
            <v>45358</v>
          </cell>
          <cell r="V5721">
            <v>45359</v>
          </cell>
          <cell r="W5721">
            <v>45359</v>
          </cell>
          <cell r="X5721">
            <v>41100507</v>
          </cell>
        </row>
        <row r="5722">
          <cell r="K5722" t="str">
            <v>GBWS-4175</v>
          </cell>
          <cell r="L5722">
            <v>45344</v>
          </cell>
          <cell r="M5722" t="str">
            <v>2024-02-27 → 2/23</v>
          </cell>
          <cell r="N5722">
            <v>45355</v>
          </cell>
          <cell r="O5722" t="str">
            <v>2024-02-27 → 2/23</v>
          </cell>
          <cell r="P5722">
            <v>45355</v>
          </cell>
          <cell r="Q5722" t="str">
            <v>2024-03-07 → 3/4</v>
          </cell>
          <cell r="R5722" t="str">
            <v>2024-03-08 → 3/4</v>
          </cell>
          <cell r="S5722">
            <v>45356</v>
          </cell>
          <cell r="T5722">
            <v>45357</v>
          </cell>
          <cell r="U5722">
            <v>45358</v>
          </cell>
          <cell r="V5722">
            <v>45359</v>
          </cell>
          <cell r="W5722">
            <v>45359</v>
          </cell>
          <cell r="X5722">
            <v>41100507</v>
          </cell>
        </row>
        <row r="5723">
          <cell r="K5723" t="str">
            <v>GBWS-3961</v>
          </cell>
          <cell r="L5723">
            <v>45275</v>
          </cell>
          <cell r="M5723">
            <v>45278</v>
          </cell>
          <cell r="N5723">
            <v>45286</v>
          </cell>
          <cell r="O5723">
            <v>45278</v>
          </cell>
          <cell r="P5723">
            <v>45286</v>
          </cell>
          <cell r="Q5723">
            <v>45293</v>
          </cell>
          <cell r="R5723">
            <v>45293</v>
          </cell>
          <cell r="S5723">
            <v>45293</v>
          </cell>
          <cell r="T5723">
            <v>45293</v>
          </cell>
          <cell r="U5723">
            <v>45300</v>
          </cell>
          <cell r="V5723">
            <v>45307</v>
          </cell>
          <cell r="W5723">
            <v>45307</v>
          </cell>
          <cell r="X5723">
            <v>41000516</v>
          </cell>
        </row>
        <row r="5724">
          <cell r="K5724" t="str">
            <v>GBWS-3962</v>
          </cell>
          <cell r="L5724">
            <v>45275</v>
          </cell>
          <cell r="M5724">
            <v>45278</v>
          </cell>
          <cell r="N5724">
            <v>45286</v>
          </cell>
          <cell r="O5724">
            <v>45278</v>
          </cell>
          <cell r="P5724">
            <v>45286</v>
          </cell>
          <cell r="Q5724">
            <v>45293</v>
          </cell>
          <cell r="R5724">
            <v>45293</v>
          </cell>
          <cell r="S5724">
            <v>45293</v>
          </cell>
          <cell r="T5724">
            <v>45293</v>
          </cell>
          <cell r="U5724">
            <v>45300</v>
          </cell>
          <cell r="V5724">
            <v>45301</v>
          </cell>
          <cell r="W5724">
            <v>45301</v>
          </cell>
          <cell r="X5724">
            <v>41000516</v>
          </cell>
        </row>
        <row r="5725">
          <cell r="K5725" t="str">
            <v>DBW-3234</v>
          </cell>
          <cell r="L5725">
            <v>45327</v>
          </cell>
          <cell r="M5725">
            <v>45327</v>
          </cell>
          <cell r="N5725">
            <v>45336</v>
          </cell>
          <cell r="O5725">
            <v>45327</v>
          </cell>
          <cell r="P5725">
            <v>45337</v>
          </cell>
          <cell r="Q5725">
            <v>45337</v>
          </cell>
          <cell r="R5725">
            <v>45338</v>
          </cell>
          <cell r="S5725">
            <v>45345</v>
          </cell>
          <cell r="T5725">
            <v>45349</v>
          </cell>
          <cell r="U5725">
            <v>45350</v>
          </cell>
          <cell r="V5725">
            <v>45351</v>
          </cell>
          <cell r="W5725">
            <v>45351</v>
          </cell>
          <cell r="X5725">
            <v>41000514</v>
          </cell>
        </row>
        <row r="5726">
          <cell r="K5726" t="str">
            <v>GBWS-4167</v>
          </cell>
          <cell r="L5726">
            <v>45343</v>
          </cell>
          <cell r="M5726">
            <v>45344</v>
          </cell>
          <cell r="N5726">
            <v>45355</v>
          </cell>
          <cell r="O5726">
            <v>45344</v>
          </cell>
          <cell r="P5726">
            <v>45355</v>
          </cell>
          <cell r="Q5726" t="str">
            <v>2024-02-29 → 3/3</v>
          </cell>
          <cell r="R5726">
            <v>45355</v>
          </cell>
          <cell r="S5726">
            <v>45356</v>
          </cell>
          <cell r="T5726">
            <v>45358</v>
          </cell>
          <cell r="U5726">
            <v>45359</v>
          </cell>
          <cell r="V5726">
            <v>45362</v>
          </cell>
          <cell r="W5726">
            <v>45362</v>
          </cell>
          <cell r="X5726">
            <v>41100564</v>
          </cell>
        </row>
        <row r="5727">
          <cell r="K5727" t="str">
            <v>GBWS-4168</v>
          </cell>
          <cell r="L5727">
            <v>45343</v>
          </cell>
          <cell r="M5727">
            <v>45344</v>
          </cell>
          <cell r="N5727">
            <v>45355</v>
          </cell>
          <cell r="O5727">
            <v>45344</v>
          </cell>
          <cell r="P5727">
            <v>45355</v>
          </cell>
          <cell r="Q5727" t="str">
            <v>2024-02-29 → 3/3</v>
          </cell>
          <cell r="R5727">
            <v>45355</v>
          </cell>
          <cell r="S5727">
            <v>45356</v>
          </cell>
          <cell r="T5727">
            <v>45357</v>
          </cell>
          <cell r="U5727">
            <v>45359</v>
          </cell>
          <cell r="V5727">
            <v>45362</v>
          </cell>
          <cell r="W5727">
            <v>45362</v>
          </cell>
          <cell r="X5727">
            <v>41100564</v>
          </cell>
        </row>
        <row r="5728">
          <cell r="K5728" t="str">
            <v>GBWS-4169</v>
          </cell>
          <cell r="L5728">
            <v>45343</v>
          </cell>
          <cell r="M5728">
            <v>45344</v>
          </cell>
          <cell r="N5728">
            <v>45355</v>
          </cell>
          <cell r="O5728">
            <v>45344</v>
          </cell>
          <cell r="P5728">
            <v>45355</v>
          </cell>
          <cell r="Q5728" t="str">
            <v>2024-02-29 → 3/3</v>
          </cell>
          <cell r="R5728">
            <v>45355</v>
          </cell>
          <cell r="S5728">
            <v>45356</v>
          </cell>
          <cell r="T5728">
            <v>45358</v>
          </cell>
          <cell r="U5728">
            <v>45359</v>
          </cell>
          <cell r="V5728">
            <v>45362</v>
          </cell>
          <cell r="W5728">
            <v>45362</v>
          </cell>
          <cell r="X5728">
            <v>41100564</v>
          </cell>
        </row>
        <row r="5729">
          <cell r="K5729" t="str">
            <v>GBWS-4172</v>
          </cell>
          <cell r="L5729">
            <v>45343</v>
          </cell>
          <cell r="M5729">
            <v>45344</v>
          </cell>
          <cell r="N5729">
            <v>45351</v>
          </cell>
          <cell r="O5729">
            <v>45344</v>
          </cell>
          <cell r="P5729">
            <v>45351</v>
          </cell>
          <cell r="Q5729" t="str">
            <v>2024-02-28 → 2/29(오전)</v>
          </cell>
          <cell r="R5729">
            <v>45351</v>
          </cell>
          <cell r="S5729">
            <v>45357</v>
          </cell>
          <cell r="T5729">
            <v>45358</v>
          </cell>
          <cell r="U5729">
            <v>45359</v>
          </cell>
          <cell r="V5729">
            <v>45362</v>
          </cell>
          <cell r="W5729">
            <v>45362</v>
          </cell>
          <cell r="X5729">
            <v>41100662</v>
          </cell>
        </row>
        <row r="5730">
          <cell r="K5730" t="str">
            <v>GBWS-4173</v>
          </cell>
          <cell r="L5730">
            <v>45343</v>
          </cell>
          <cell r="M5730">
            <v>45344</v>
          </cell>
          <cell r="N5730">
            <v>45351</v>
          </cell>
          <cell r="O5730">
            <v>45344</v>
          </cell>
          <cell r="P5730">
            <v>45351</v>
          </cell>
          <cell r="Q5730" t="str">
            <v>2024-02-28 → 2/29(오전)</v>
          </cell>
          <cell r="R5730">
            <v>45351</v>
          </cell>
          <cell r="S5730">
            <v>45357</v>
          </cell>
          <cell r="T5730">
            <v>45358</v>
          </cell>
          <cell r="U5730">
            <v>45359</v>
          </cell>
          <cell r="V5730">
            <v>45362</v>
          </cell>
          <cell r="W5730">
            <v>45362</v>
          </cell>
          <cell r="X5730">
            <v>41100662</v>
          </cell>
        </row>
        <row r="5731">
          <cell r="K5731" t="str">
            <v>GBWS-4179</v>
          </cell>
          <cell r="L5731">
            <v>45344</v>
          </cell>
          <cell r="M5731">
            <v>45345</v>
          </cell>
          <cell r="N5731">
            <v>45351</v>
          </cell>
          <cell r="O5731">
            <v>45345</v>
          </cell>
          <cell r="P5731">
            <v>45355</v>
          </cell>
          <cell r="Q5731">
            <v>45351</v>
          </cell>
          <cell r="R5731">
            <v>45355</v>
          </cell>
          <cell r="S5731">
            <v>45356</v>
          </cell>
          <cell r="T5731">
            <v>45357</v>
          </cell>
          <cell r="U5731">
            <v>45358</v>
          </cell>
          <cell r="V5731">
            <v>45359</v>
          </cell>
          <cell r="W5731">
            <v>45359</v>
          </cell>
          <cell r="X5731">
            <v>41100698</v>
          </cell>
        </row>
        <row r="5732">
          <cell r="K5732" t="str">
            <v>GBWS-4180</v>
          </cell>
          <cell r="L5732">
            <v>45344</v>
          </cell>
          <cell r="M5732">
            <v>45345</v>
          </cell>
          <cell r="N5732">
            <v>45351</v>
          </cell>
          <cell r="O5732">
            <v>45345</v>
          </cell>
          <cell r="P5732">
            <v>45355</v>
          </cell>
          <cell r="Q5732">
            <v>45351</v>
          </cell>
          <cell r="R5732">
            <v>45355</v>
          </cell>
          <cell r="S5732">
            <v>45356</v>
          </cell>
          <cell r="T5732">
            <v>45357</v>
          </cell>
          <cell r="U5732">
            <v>45358</v>
          </cell>
          <cell r="V5732">
            <v>45359</v>
          </cell>
          <cell r="W5732">
            <v>45359</v>
          </cell>
          <cell r="X5732">
            <v>41100698</v>
          </cell>
        </row>
        <row r="5733">
          <cell r="K5733" t="str">
            <v>DBW-3250</v>
          </cell>
          <cell r="L5733">
            <v>45337</v>
          </cell>
          <cell r="M5733">
            <v>45338</v>
          </cell>
          <cell r="N5733">
            <v>45345</v>
          </cell>
          <cell r="O5733">
            <v>45338</v>
          </cell>
          <cell r="P5733">
            <v>45348</v>
          </cell>
          <cell r="Q5733">
            <v>45345</v>
          </cell>
          <cell r="R5733">
            <v>45348</v>
          </cell>
          <cell r="S5733">
            <v>45357</v>
          </cell>
          <cell r="T5733">
            <v>45358</v>
          </cell>
          <cell r="U5733">
            <v>45359</v>
          </cell>
          <cell r="V5733">
            <v>45362</v>
          </cell>
          <cell r="W5733">
            <v>45362</v>
          </cell>
          <cell r="X5733">
            <v>41000567</v>
          </cell>
        </row>
        <row r="5734">
          <cell r="K5734" t="str">
            <v>DBW-3251</v>
          </cell>
          <cell r="L5734">
            <v>45337</v>
          </cell>
          <cell r="M5734">
            <v>45338</v>
          </cell>
          <cell r="N5734">
            <v>45345</v>
          </cell>
          <cell r="O5734">
            <v>45338</v>
          </cell>
          <cell r="P5734">
            <v>45348</v>
          </cell>
          <cell r="Q5734">
            <v>45345</v>
          </cell>
          <cell r="R5734">
            <v>45348</v>
          </cell>
          <cell r="S5734">
            <v>45357</v>
          </cell>
          <cell r="T5734">
            <v>45358</v>
          </cell>
          <cell r="U5734">
            <v>45359</v>
          </cell>
          <cell r="V5734">
            <v>45362</v>
          </cell>
          <cell r="W5734">
            <v>45362</v>
          </cell>
          <cell r="X5734">
            <v>41000567</v>
          </cell>
        </row>
        <row r="5735">
          <cell r="K5735" t="str">
            <v>DBW-3252</v>
          </cell>
          <cell r="L5735">
            <v>45337</v>
          </cell>
          <cell r="M5735">
            <v>45338</v>
          </cell>
          <cell r="N5735">
            <v>45345</v>
          </cell>
          <cell r="O5735">
            <v>45338</v>
          </cell>
          <cell r="P5735">
            <v>45348</v>
          </cell>
          <cell r="Q5735">
            <v>45345</v>
          </cell>
          <cell r="R5735">
            <v>45348</v>
          </cell>
          <cell r="S5735">
            <v>45357</v>
          </cell>
          <cell r="T5735">
            <v>45359</v>
          </cell>
          <cell r="U5735">
            <v>45361</v>
          </cell>
          <cell r="V5735">
            <v>45362</v>
          </cell>
          <cell r="W5735">
            <v>45362</v>
          </cell>
          <cell r="X5735">
            <v>41000567</v>
          </cell>
        </row>
        <row r="5736">
          <cell r="K5736" t="str">
            <v>DBW-3253</v>
          </cell>
          <cell r="L5736">
            <v>45337</v>
          </cell>
          <cell r="M5736">
            <v>45338</v>
          </cell>
          <cell r="N5736">
            <v>45345</v>
          </cell>
          <cell r="O5736">
            <v>45338</v>
          </cell>
          <cell r="P5736">
            <v>45348</v>
          </cell>
          <cell r="Q5736">
            <v>45345</v>
          </cell>
          <cell r="R5736">
            <v>45348</v>
          </cell>
          <cell r="S5736">
            <v>45357</v>
          </cell>
          <cell r="T5736">
            <v>45359</v>
          </cell>
          <cell r="U5736">
            <v>45361</v>
          </cell>
          <cell r="V5736">
            <v>45362</v>
          </cell>
          <cell r="W5736">
            <v>45362</v>
          </cell>
          <cell r="X5736">
            <v>41000567</v>
          </cell>
        </row>
        <row r="5737">
          <cell r="K5737" t="str">
            <v>DBW-3254</v>
          </cell>
          <cell r="L5737">
            <v>45337</v>
          </cell>
          <cell r="M5737">
            <v>45338</v>
          </cell>
          <cell r="N5737">
            <v>45345</v>
          </cell>
          <cell r="O5737">
            <v>45338</v>
          </cell>
          <cell r="P5737">
            <v>45348</v>
          </cell>
          <cell r="Q5737">
            <v>45345</v>
          </cell>
          <cell r="R5737">
            <v>45348</v>
          </cell>
          <cell r="S5737">
            <v>45357</v>
          </cell>
          <cell r="T5737">
            <v>45359</v>
          </cell>
          <cell r="U5737">
            <v>45361</v>
          </cell>
          <cell r="V5737">
            <v>45362</v>
          </cell>
          <cell r="W5737">
            <v>45362</v>
          </cell>
          <cell r="X5737">
            <v>41000567</v>
          </cell>
        </row>
        <row r="5738">
          <cell r="K5738" t="str">
            <v>DBW-3257</v>
          </cell>
          <cell r="L5738">
            <v>45342</v>
          </cell>
          <cell r="M5738">
            <v>45343</v>
          </cell>
          <cell r="N5738">
            <v>45350</v>
          </cell>
          <cell r="O5738">
            <v>45343</v>
          </cell>
          <cell r="P5738">
            <v>45351</v>
          </cell>
          <cell r="Q5738">
            <v>45350</v>
          </cell>
          <cell r="R5738">
            <v>45351</v>
          </cell>
          <cell r="S5738">
            <v>45357</v>
          </cell>
          <cell r="T5738">
            <v>45359</v>
          </cell>
          <cell r="U5738">
            <v>45362</v>
          </cell>
          <cell r="V5738">
            <v>45362</v>
          </cell>
          <cell r="W5738">
            <v>45362</v>
          </cell>
          <cell r="X5738">
            <v>41000567</v>
          </cell>
        </row>
        <row r="5739">
          <cell r="K5739" t="str">
            <v>DBW-3258</v>
          </cell>
          <cell r="L5739">
            <v>45342</v>
          </cell>
          <cell r="M5739">
            <v>45343</v>
          </cell>
          <cell r="N5739">
            <v>45350</v>
          </cell>
          <cell r="O5739">
            <v>45343</v>
          </cell>
          <cell r="P5739">
            <v>45351</v>
          </cell>
          <cell r="Q5739">
            <v>45350</v>
          </cell>
          <cell r="R5739">
            <v>45351</v>
          </cell>
          <cell r="S5739">
            <v>45357</v>
          </cell>
          <cell r="T5739">
            <v>45359</v>
          </cell>
          <cell r="U5739">
            <v>45362</v>
          </cell>
          <cell r="V5739">
            <v>45362</v>
          </cell>
          <cell r="W5739">
            <v>45362</v>
          </cell>
          <cell r="X5739">
            <v>41000567</v>
          </cell>
        </row>
        <row r="5740">
          <cell r="K5740" t="str">
            <v>DBW-3259</v>
          </cell>
          <cell r="L5740">
            <v>45342</v>
          </cell>
          <cell r="M5740">
            <v>45343</v>
          </cell>
          <cell r="N5740">
            <v>45350</v>
          </cell>
          <cell r="O5740">
            <v>45343</v>
          </cell>
          <cell r="P5740">
            <v>45351</v>
          </cell>
          <cell r="Q5740">
            <v>45350</v>
          </cell>
          <cell r="R5740">
            <v>45351</v>
          </cell>
          <cell r="S5740">
            <v>45357</v>
          </cell>
          <cell r="T5740">
            <v>45358</v>
          </cell>
          <cell r="U5740">
            <v>45359</v>
          </cell>
          <cell r="V5740">
            <v>45362</v>
          </cell>
          <cell r="W5740">
            <v>45362</v>
          </cell>
          <cell r="X5740">
            <v>41000567</v>
          </cell>
        </row>
        <row r="5741">
          <cell r="K5741" t="str">
            <v>DBW-3260</v>
          </cell>
          <cell r="L5741">
            <v>45342</v>
          </cell>
          <cell r="M5741">
            <v>45343</v>
          </cell>
          <cell r="N5741">
            <v>45350</v>
          </cell>
          <cell r="O5741">
            <v>45343</v>
          </cell>
          <cell r="P5741">
            <v>45351</v>
          </cell>
          <cell r="Q5741">
            <v>45350</v>
          </cell>
          <cell r="R5741">
            <v>45351</v>
          </cell>
          <cell r="S5741">
            <v>45358</v>
          </cell>
          <cell r="T5741">
            <v>45360</v>
          </cell>
          <cell r="U5741">
            <v>45362</v>
          </cell>
          <cell r="V5741">
            <v>45363</v>
          </cell>
          <cell r="W5741">
            <v>45363</v>
          </cell>
          <cell r="X5741">
            <v>41000567</v>
          </cell>
        </row>
        <row r="5742">
          <cell r="K5742" t="str">
            <v>DBW-3261</v>
          </cell>
          <cell r="L5742">
            <v>45342</v>
          </cell>
          <cell r="M5742">
            <v>45343</v>
          </cell>
          <cell r="N5742">
            <v>45350</v>
          </cell>
          <cell r="O5742">
            <v>45343</v>
          </cell>
          <cell r="P5742">
            <v>45351</v>
          </cell>
          <cell r="Q5742">
            <v>45350</v>
          </cell>
          <cell r="R5742">
            <v>45351</v>
          </cell>
          <cell r="S5742">
            <v>45358</v>
          </cell>
          <cell r="T5742">
            <v>45360</v>
          </cell>
          <cell r="U5742">
            <v>45362</v>
          </cell>
          <cell r="V5742">
            <v>45363</v>
          </cell>
          <cell r="W5742">
            <v>45363</v>
          </cell>
          <cell r="X5742">
            <v>41000567</v>
          </cell>
        </row>
        <row r="5743">
          <cell r="K5743" t="str">
            <v>GBWS-4145</v>
          </cell>
          <cell r="L5743">
            <v>45336</v>
          </cell>
          <cell r="M5743">
            <v>45337</v>
          </cell>
          <cell r="N5743">
            <v>45345</v>
          </cell>
          <cell r="O5743">
            <v>45337</v>
          </cell>
          <cell r="P5743">
            <v>45348</v>
          </cell>
          <cell r="Q5743">
            <v>45345</v>
          </cell>
          <cell r="R5743">
            <v>45348</v>
          </cell>
          <cell r="S5743">
            <v>45348</v>
          </cell>
          <cell r="T5743">
            <v>45351</v>
          </cell>
          <cell r="U5743">
            <v>45352</v>
          </cell>
          <cell r="V5743">
            <v>45355</v>
          </cell>
          <cell r="W5743">
            <v>45355</v>
          </cell>
          <cell r="X5743">
            <v>41000592</v>
          </cell>
        </row>
        <row r="5744">
          <cell r="K5744" t="str">
            <v>GBWS-2201</v>
          </cell>
          <cell r="L5744">
            <v>44649</v>
          </cell>
          <cell r="M5744">
            <v>44649</v>
          </cell>
          <cell r="N5744">
            <v>44657</v>
          </cell>
          <cell r="O5744">
            <v>44649</v>
          </cell>
          <cell r="P5744">
            <v>44658</v>
          </cell>
          <cell r="Q5744" t="str">
            <v>2022-04-06 →4/7 오후(전장)</v>
          </cell>
          <cell r="R5744" t="str">
            <v>2022-04-06 →4/7 오후(전장)</v>
          </cell>
          <cell r="S5744"/>
          <cell r="T5744">
            <v>44658</v>
          </cell>
          <cell r="U5744">
            <v>44659</v>
          </cell>
          <cell r="V5744">
            <v>44662</v>
          </cell>
          <cell r="W5744">
            <v>44669</v>
          </cell>
          <cell r="X5744">
            <v>41100483</v>
          </cell>
        </row>
        <row r="5745">
          <cell r="K5745"/>
          <cell r="L5745">
            <v>45343</v>
          </cell>
          <cell r="M5745">
            <v>45343</v>
          </cell>
          <cell r="N5745">
            <v>45349</v>
          </cell>
          <cell r="O5745">
            <v>45343</v>
          </cell>
          <cell r="P5745">
            <v>45349</v>
          </cell>
          <cell r="Q5745">
            <v>45349</v>
          </cell>
          <cell r="R5745">
            <v>45349</v>
          </cell>
          <cell r="S5745">
            <v>45351</v>
          </cell>
          <cell r="T5745">
            <v>45351</v>
          </cell>
          <cell r="U5745">
            <v>45351</v>
          </cell>
          <cell r="V5745">
            <v>45351</v>
          </cell>
          <cell r="W5745">
            <v>45351</v>
          </cell>
          <cell r="X5745">
            <v>41000592</v>
          </cell>
        </row>
        <row r="5746">
          <cell r="K5746" t="str">
            <v>GBWS-4182</v>
          </cell>
          <cell r="L5746">
            <v>45344</v>
          </cell>
          <cell r="M5746">
            <v>45345</v>
          </cell>
          <cell r="N5746">
            <v>45355</v>
          </cell>
          <cell r="O5746">
            <v>45345</v>
          </cell>
          <cell r="P5746">
            <v>45356</v>
          </cell>
          <cell r="Q5746">
            <v>45355</v>
          </cell>
          <cell r="R5746">
            <v>45356</v>
          </cell>
          <cell r="S5746">
            <v>45356</v>
          </cell>
          <cell r="T5746">
            <v>45357</v>
          </cell>
          <cell r="U5746">
            <v>45358</v>
          </cell>
          <cell r="V5746">
            <v>45359</v>
          </cell>
          <cell r="W5746">
            <v>45359</v>
          </cell>
          <cell r="X5746">
            <v>41100463</v>
          </cell>
        </row>
        <row r="5747">
          <cell r="K5747" t="str">
            <v>GBWS-4176</v>
          </cell>
          <cell r="L5747">
            <v>45344</v>
          </cell>
          <cell r="M5747">
            <v>45345</v>
          </cell>
          <cell r="N5747">
            <v>45358</v>
          </cell>
          <cell r="O5747">
            <v>45345</v>
          </cell>
          <cell r="P5747">
            <v>45358</v>
          </cell>
          <cell r="Q5747" t="str">
            <v>2024-03-04 → 3/7</v>
          </cell>
          <cell r="R5747" t="str">
            <v>2024-03-05 → 3/8</v>
          </cell>
          <cell r="S5747">
            <v>45359</v>
          </cell>
          <cell r="T5747">
            <v>45359</v>
          </cell>
          <cell r="U5747">
            <v>45361</v>
          </cell>
          <cell r="V5747">
            <v>45362</v>
          </cell>
          <cell r="W5747">
            <v>45362</v>
          </cell>
          <cell r="X5747">
            <v>41100460</v>
          </cell>
        </row>
        <row r="5748">
          <cell r="K5748" t="str">
            <v>GBWS-4177</v>
          </cell>
          <cell r="L5748">
            <v>45344</v>
          </cell>
          <cell r="M5748">
            <v>45345</v>
          </cell>
          <cell r="N5748">
            <v>45358</v>
          </cell>
          <cell r="O5748">
            <v>45345</v>
          </cell>
          <cell r="P5748">
            <v>45358</v>
          </cell>
          <cell r="Q5748" t="str">
            <v>2024-03-04 → 3/7</v>
          </cell>
          <cell r="R5748" t="str">
            <v>2024-03-05 → 3/8</v>
          </cell>
          <cell r="S5748">
            <v>45359</v>
          </cell>
          <cell r="T5748">
            <v>45359</v>
          </cell>
          <cell r="U5748">
            <v>45361</v>
          </cell>
          <cell r="V5748">
            <v>45362</v>
          </cell>
          <cell r="W5748">
            <v>45362</v>
          </cell>
          <cell r="X5748">
            <v>41100460</v>
          </cell>
        </row>
        <row r="5749">
          <cell r="K5749" t="str">
            <v>GBWS-4200</v>
          </cell>
          <cell r="L5749">
            <v>45348</v>
          </cell>
          <cell r="M5749">
            <v>45349</v>
          </cell>
          <cell r="N5749">
            <v>45356</v>
          </cell>
          <cell r="O5749">
            <v>45349</v>
          </cell>
          <cell r="P5749">
            <v>45357</v>
          </cell>
          <cell r="Q5749">
            <v>45356</v>
          </cell>
          <cell r="R5749">
            <v>45357</v>
          </cell>
          <cell r="S5749">
            <v>45359</v>
          </cell>
          <cell r="T5749">
            <v>45362</v>
          </cell>
          <cell r="U5749">
            <v>45363</v>
          </cell>
          <cell r="V5749">
            <v>45364</v>
          </cell>
          <cell r="W5749">
            <v>45364</v>
          </cell>
          <cell r="X5749">
            <v>41100564</v>
          </cell>
        </row>
        <row r="5750">
          <cell r="K5750" t="str">
            <v>GBWS-4204</v>
          </cell>
          <cell r="L5750">
            <v>45349</v>
          </cell>
          <cell r="M5750">
            <v>45350</v>
          </cell>
          <cell r="N5750">
            <v>45358</v>
          </cell>
          <cell r="O5750">
            <v>45350</v>
          </cell>
          <cell r="P5750">
            <v>45358</v>
          </cell>
          <cell r="Q5750">
            <v>45358</v>
          </cell>
          <cell r="R5750">
            <v>45358</v>
          </cell>
          <cell r="S5750">
            <v>45359</v>
          </cell>
          <cell r="T5750">
            <v>45362</v>
          </cell>
          <cell r="U5750">
            <v>45363</v>
          </cell>
          <cell r="V5750">
            <v>45364</v>
          </cell>
          <cell r="W5750">
            <v>45364</v>
          </cell>
          <cell r="X5750">
            <v>41100566</v>
          </cell>
        </row>
        <row r="5751">
          <cell r="K5751" t="str">
            <v>GBWS-4205</v>
          </cell>
          <cell r="L5751">
            <v>45349</v>
          </cell>
          <cell r="M5751">
            <v>45350</v>
          </cell>
          <cell r="N5751">
            <v>45358</v>
          </cell>
          <cell r="O5751">
            <v>45350</v>
          </cell>
          <cell r="P5751">
            <v>45358</v>
          </cell>
          <cell r="Q5751">
            <v>45358</v>
          </cell>
          <cell r="R5751">
            <v>45358</v>
          </cell>
          <cell r="S5751">
            <v>45359</v>
          </cell>
          <cell r="T5751">
            <v>45362</v>
          </cell>
          <cell r="U5751">
            <v>45363</v>
          </cell>
          <cell r="V5751">
            <v>45364</v>
          </cell>
          <cell r="W5751">
            <v>45364</v>
          </cell>
          <cell r="X5751">
            <v>41100566</v>
          </cell>
        </row>
        <row r="5752">
          <cell r="K5752" t="str">
            <v>GBWS-4181</v>
          </cell>
          <cell r="L5752">
            <v>45344</v>
          </cell>
          <cell r="M5752">
            <v>45345</v>
          </cell>
          <cell r="N5752">
            <v>45355</v>
          </cell>
          <cell r="O5752">
            <v>45345</v>
          </cell>
          <cell r="P5752">
            <v>45355</v>
          </cell>
          <cell r="Q5752" t="str">
            <v>2024-02-29 → 3/3</v>
          </cell>
          <cell r="R5752">
            <v>45355</v>
          </cell>
          <cell r="S5752">
            <v>45357</v>
          </cell>
          <cell r="T5752">
            <v>45358</v>
          </cell>
          <cell r="U5752">
            <v>45359</v>
          </cell>
          <cell r="V5752">
            <v>45362</v>
          </cell>
          <cell r="W5752">
            <v>45362</v>
          </cell>
          <cell r="X5752">
            <v>41100565</v>
          </cell>
        </row>
        <row r="5753">
          <cell r="K5753" t="str">
            <v>GBWS-4187</v>
          </cell>
          <cell r="L5753">
            <v>45345</v>
          </cell>
          <cell r="M5753">
            <v>45348</v>
          </cell>
          <cell r="N5753">
            <v>45355</v>
          </cell>
          <cell r="O5753">
            <v>45348</v>
          </cell>
          <cell r="P5753">
            <v>45356</v>
          </cell>
          <cell r="Q5753">
            <v>45355</v>
          </cell>
          <cell r="R5753">
            <v>45357</v>
          </cell>
          <cell r="S5753">
            <v>45358</v>
          </cell>
          <cell r="T5753">
            <v>45360</v>
          </cell>
          <cell r="U5753">
            <v>45362</v>
          </cell>
          <cell r="V5753">
            <v>45363</v>
          </cell>
          <cell r="W5753">
            <v>45363</v>
          </cell>
          <cell r="X5753">
            <v>41100642</v>
          </cell>
        </row>
        <row r="5754">
          <cell r="K5754" t="str">
            <v>GBWS-4188</v>
          </cell>
          <cell r="L5754">
            <v>45345</v>
          </cell>
          <cell r="M5754">
            <v>45348</v>
          </cell>
          <cell r="N5754">
            <v>45355</v>
          </cell>
          <cell r="O5754">
            <v>45348</v>
          </cell>
          <cell r="P5754">
            <v>45356</v>
          </cell>
          <cell r="Q5754">
            <v>45355</v>
          </cell>
          <cell r="R5754">
            <v>45357</v>
          </cell>
          <cell r="S5754">
            <v>45358</v>
          </cell>
          <cell r="T5754">
            <v>45360</v>
          </cell>
          <cell r="U5754">
            <v>45362</v>
          </cell>
          <cell r="V5754">
            <v>45363</v>
          </cell>
          <cell r="W5754">
            <v>45363</v>
          </cell>
          <cell r="X5754">
            <v>41100642</v>
          </cell>
        </row>
        <row r="5755">
          <cell r="K5755" t="str">
            <v>GBWS-4189</v>
          </cell>
          <cell r="L5755">
            <v>45345</v>
          </cell>
          <cell r="M5755">
            <v>45348</v>
          </cell>
          <cell r="N5755">
            <v>45355</v>
          </cell>
          <cell r="O5755">
            <v>45348</v>
          </cell>
          <cell r="P5755">
            <v>45356</v>
          </cell>
          <cell r="Q5755">
            <v>45355</v>
          </cell>
          <cell r="R5755">
            <v>45357</v>
          </cell>
          <cell r="S5755">
            <v>45359</v>
          </cell>
          <cell r="T5755">
            <v>45362</v>
          </cell>
          <cell r="U5755">
            <v>45363</v>
          </cell>
          <cell r="V5755">
            <v>45364</v>
          </cell>
          <cell r="W5755">
            <v>45364</v>
          </cell>
          <cell r="X5755">
            <v>41100642</v>
          </cell>
        </row>
        <row r="5756">
          <cell r="K5756" t="str">
            <v>GBWS-4178</v>
          </cell>
          <cell r="L5756">
            <v>45344</v>
          </cell>
          <cell r="M5756">
            <v>45345</v>
          </cell>
          <cell r="N5756">
            <v>45355</v>
          </cell>
          <cell r="O5756">
            <v>45345</v>
          </cell>
          <cell r="P5756">
            <v>45356</v>
          </cell>
          <cell r="Q5756">
            <v>45355</v>
          </cell>
          <cell r="R5756">
            <v>45356</v>
          </cell>
          <cell r="S5756">
            <v>45358</v>
          </cell>
          <cell r="T5756">
            <v>45359</v>
          </cell>
          <cell r="U5756">
            <v>45361</v>
          </cell>
          <cell r="V5756">
            <v>45362</v>
          </cell>
          <cell r="W5756">
            <v>45362</v>
          </cell>
          <cell r="X5756">
            <v>41100463</v>
          </cell>
        </row>
        <row r="5757">
          <cell r="K5757" t="str">
            <v>GBWS-4190</v>
          </cell>
          <cell r="L5757">
            <v>45348</v>
          </cell>
          <cell r="M5757">
            <v>45349</v>
          </cell>
          <cell r="N5757">
            <v>45356</v>
          </cell>
          <cell r="O5757">
            <v>45349</v>
          </cell>
          <cell r="P5757">
            <v>45357</v>
          </cell>
          <cell r="Q5757">
            <v>45356</v>
          </cell>
          <cell r="R5757">
            <v>45357</v>
          </cell>
          <cell r="S5757">
            <v>45358</v>
          </cell>
          <cell r="T5757">
            <v>45359</v>
          </cell>
          <cell r="U5757">
            <v>45361</v>
          </cell>
          <cell r="V5757">
            <v>45362</v>
          </cell>
          <cell r="W5757">
            <v>45362</v>
          </cell>
          <cell r="X5757">
            <v>41100558</v>
          </cell>
        </row>
        <row r="5758">
          <cell r="K5758" t="str">
            <v>GBWS-4191</v>
          </cell>
          <cell r="L5758">
            <v>45348</v>
          </cell>
          <cell r="M5758">
            <v>45349</v>
          </cell>
          <cell r="N5758">
            <v>45356</v>
          </cell>
          <cell r="O5758">
            <v>45349</v>
          </cell>
          <cell r="P5758">
            <v>45357</v>
          </cell>
          <cell r="Q5758">
            <v>45356</v>
          </cell>
          <cell r="R5758">
            <v>45357</v>
          </cell>
          <cell r="S5758">
            <v>45358</v>
          </cell>
          <cell r="T5758">
            <v>45359</v>
          </cell>
          <cell r="U5758">
            <v>45361</v>
          </cell>
          <cell r="V5758">
            <v>45362</v>
          </cell>
          <cell r="W5758">
            <v>45362</v>
          </cell>
          <cell r="X5758">
            <v>41100558</v>
          </cell>
        </row>
        <row r="5759">
          <cell r="K5759" t="str">
            <v>GBWS-4192</v>
          </cell>
          <cell r="L5759">
            <v>45348</v>
          </cell>
          <cell r="M5759">
            <v>45349</v>
          </cell>
          <cell r="N5759">
            <v>45356</v>
          </cell>
          <cell r="O5759">
            <v>45349</v>
          </cell>
          <cell r="P5759">
            <v>45357</v>
          </cell>
          <cell r="Q5759">
            <v>45356</v>
          </cell>
          <cell r="R5759">
            <v>45357</v>
          </cell>
          <cell r="S5759">
            <v>45358</v>
          </cell>
          <cell r="T5759">
            <v>45362</v>
          </cell>
          <cell r="U5759">
            <v>45361</v>
          </cell>
          <cell r="V5759">
            <v>45362</v>
          </cell>
          <cell r="W5759">
            <v>45362</v>
          </cell>
          <cell r="X5759">
            <v>41100558</v>
          </cell>
        </row>
        <row r="5760">
          <cell r="K5760" t="str">
            <v>GBWS-4160</v>
          </cell>
          <cell r="L5760">
            <v>45342</v>
          </cell>
          <cell r="M5760">
            <v>45343</v>
          </cell>
          <cell r="N5760">
            <v>45355</v>
          </cell>
          <cell r="O5760">
            <v>45343</v>
          </cell>
          <cell r="P5760">
            <v>45355</v>
          </cell>
          <cell r="Q5760">
            <v>45355</v>
          </cell>
          <cell r="R5760">
            <v>45355</v>
          </cell>
          <cell r="S5760">
            <v>45359</v>
          </cell>
          <cell r="T5760">
            <v>45362</v>
          </cell>
          <cell r="U5760">
            <v>45363</v>
          </cell>
          <cell r="V5760">
            <v>45364</v>
          </cell>
          <cell r="W5760">
            <v>45364</v>
          </cell>
          <cell r="X5760">
            <v>41000594</v>
          </cell>
        </row>
        <row r="5761">
          <cell r="K5761" t="str">
            <v>GBWS-4161</v>
          </cell>
          <cell r="L5761">
            <v>45342</v>
          </cell>
          <cell r="M5761">
            <v>45343</v>
          </cell>
          <cell r="N5761">
            <v>45355</v>
          </cell>
          <cell r="O5761">
            <v>45343</v>
          </cell>
          <cell r="P5761">
            <v>45355</v>
          </cell>
          <cell r="Q5761">
            <v>45355</v>
          </cell>
          <cell r="R5761">
            <v>45355</v>
          </cell>
          <cell r="S5761">
            <v>45359</v>
          </cell>
          <cell r="T5761">
            <v>45362</v>
          </cell>
          <cell r="U5761">
            <v>45363</v>
          </cell>
          <cell r="V5761">
            <v>45364</v>
          </cell>
          <cell r="W5761">
            <v>45364</v>
          </cell>
          <cell r="X5761">
            <v>41000595</v>
          </cell>
        </row>
        <row r="5762">
          <cell r="K5762" t="str">
            <v>DBW-3248</v>
          </cell>
          <cell r="L5762">
            <v>45336</v>
          </cell>
          <cell r="M5762">
            <v>45337</v>
          </cell>
          <cell r="N5762">
            <v>45342</v>
          </cell>
          <cell r="O5762">
            <v>45337</v>
          </cell>
          <cell r="P5762">
            <v>45344</v>
          </cell>
          <cell r="Q5762">
            <v>45344</v>
          </cell>
          <cell r="R5762">
            <v>45345</v>
          </cell>
          <cell r="S5762">
            <v>45348</v>
          </cell>
          <cell r="T5762">
            <v>45349</v>
          </cell>
          <cell r="U5762">
            <v>45351</v>
          </cell>
          <cell r="V5762">
            <v>45351</v>
          </cell>
          <cell r="W5762">
            <v>45351</v>
          </cell>
          <cell r="X5762">
            <v>41000533</v>
          </cell>
        </row>
        <row r="5763">
          <cell r="K5763" t="str">
            <v>GBWS-4193</v>
          </cell>
          <cell r="L5763">
            <v>45348</v>
          </cell>
          <cell r="M5763">
            <v>45349</v>
          </cell>
          <cell r="N5763">
            <v>45356</v>
          </cell>
          <cell r="O5763">
            <v>45349</v>
          </cell>
          <cell r="P5763">
            <v>45357</v>
          </cell>
          <cell r="Q5763">
            <v>45356</v>
          </cell>
          <cell r="R5763">
            <v>45357</v>
          </cell>
          <cell r="S5763">
            <v>45357</v>
          </cell>
          <cell r="T5763">
            <v>45358</v>
          </cell>
          <cell r="U5763">
            <v>45359</v>
          </cell>
          <cell r="V5763">
            <v>45365</v>
          </cell>
          <cell r="W5763">
            <v>45365</v>
          </cell>
          <cell r="X5763">
            <v>41100558</v>
          </cell>
        </row>
        <row r="5764">
          <cell r="K5764" t="str">
            <v>GBWS-4194</v>
          </cell>
          <cell r="L5764">
            <v>45348</v>
          </cell>
          <cell r="M5764">
            <v>45349</v>
          </cell>
          <cell r="N5764">
            <v>45356</v>
          </cell>
          <cell r="O5764">
            <v>45349</v>
          </cell>
          <cell r="P5764">
            <v>45357</v>
          </cell>
          <cell r="Q5764">
            <v>45356</v>
          </cell>
          <cell r="R5764">
            <v>45357</v>
          </cell>
          <cell r="S5764">
            <v>45357</v>
          </cell>
          <cell r="T5764">
            <v>45358</v>
          </cell>
          <cell r="U5764">
            <v>45359</v>
          </cell>
          <cell r="V5764">
            <v>45365</v>
          </cell>
          <cell r="W5764">
            <v>45365</v>
          </cell>
          <cell r="X5764">
            <v>41100558</v>
          </cell>
        </row>
        <row r="5765">
          <cell r="K5765" t="str">
            <v>GBWS-4183</v>
          </cell>
          <cell r="L5765">
            <v>45345</v>
          </cell>
          <cell r="M5765">
            <v>45348</v>
          </cell>
          <cell r="N5765">
            <v>45357</v>
          </cell>
          <cell r="O5765">
            <v>45348</v>
          </cell>
          <cell r="P5765">
            <v>45357</v>
          </cell>
          <cell r="Q5765">
            <v>45357</v>
          </cell>
          <cell r="R5765">
            <v>45357</v>
          </cell>
          <cell r="S5765">
            <v>45362</v>
          </cell>
          <cell r="T5765">
            <v>45363</v>
          </cell>
          <cell r="U5765">
            <v>45365</v>
          </cell>
          <cell r="V5765">
            <v>45365</v>
          </cell>
          <cell r="W5765">
            <v>45365</v>
          </cell>
          <cell r="X5765">
            <v>41100651</v>
          </cell>
        </row>
        <row r="5766">
          <cell r="K5766" t="str">
            <v>GBWS-4184</v>
          </cell>
          <cell r="L5766">
            <v>45345</v>
          </cell>
          <cell r="M5766">
            <v>45348</v>
          </cell>
          <cell r="N5766">
            <v>45357</v>
          </cell>
          <cell r="O5766">
            <v>45348</v>
          </cell>
          <cell r="P5766">
            <v>45357</v>
          </cell>
          <cell r="Q5766">
            <v>45357</v>
          </cell>
          <cell r="R5766">
            <v>45357</v>
          </cell>
          <cell r="S5766">
            <v>45362</v>
          </cell>
          <cell r="T5766">
            <v>45363</v>
          </cell>
          <cell r="U5766">
            <v>45365</v>
          </cell>
          <cell r="V5766">
            <v>45365</v>
          </cell>
          <cell r="W5766">
            <v>45365</v>
          </cell>
          <cell r="X5766">
            <v>41100651</v>
          </cell>
        </row>
        <row r="5767">
          <cell r="K5767" t="str">
            <v>GBWS-4185</v>
          </cell>
          <cell r="L5767">
            <v>45345</v>
          </cell>
          <cell r="M5767">
            <v>45348</v>
          </cell>
          <cell r="N5767">
            <v>45357</v>
          </cell>
          <cell r="O5767">
            <v>45348</v>
          </cell>
          <cell r="P5767">
            <v>45357</v>
          </cell>
          <cell r="Q5767">
            <v>45357</v>
          </cell>
          <cell r="R5767">
            <v>45357</v>
          </cell>
          <cell r="S5767">
            <v>45362</v>
          </cell>
          <cell r="T5767">
            <v>45363</v>
          </cell>
          <cell r="U5767">
            <v>45364</v>
          </cell>
          <cell r="V5767">
            <v>45365</v>
          </cell>
          <cell r="W5767">
            <v>45365</v>
          </cell>
          <cell r="X5767">
            <v>41100651</v>
          </cell>
        </row>
        <row r="5768">
          <cell r="K5768" t="str">
            <v>GBWS-4186</v>
          </cell>
          <cell r="L5768">
            <v>45345</v>
          </cell>
          <cell r="M5768">
            <v>45348</v>
          </cell>
          <cell r="N5768">
            <v>45357</v>
          </cell>
          <cell r="O5768">
            <v>45348</v>
          </cell>
          <cell r="P5768">
            <v>45357</v>
          </cell>
          <cell r="Q5768">
            <v>45357</v>
          </cell>
          <cell r="R5768">
            <v>45357</v>
          </cell>
          <cell r="S5768">
            <v>45362</v>
          </cell>
          <cell r="T5768">
            <v>45363</v>
          </cell>
          <cell r="U5768">
            <v>45364</v>
          </cell>
          <cell r="V5768">
            <v>45365</v>
          </cell>
          <cell r="W5768">
            <v>45365</v>
          </cell>
          <cell r="X5768">
            <v>41100651</v>
          </cell>
        </row>
        <row r="5769">
          <cell r="K5769" t="str">
            <v>GBWS-4096</v>
          </cell>
          <cell r="L5769">
            <v>45321</v>
          </cell>
          <cell r="M5769">
            <v>45322</v>
          </cell>
          <cell r="N5769">
            <v>45329</v>
          </cell>
          <cell r="O5769">
            <v>45322</v>
          </cell>
          <cell r="P5769">
            <v>45328</v>
          </cell>
          <cell r="Q5769">
            <v>45329</v>
          </cell>
          <cell r="R5769">
            <v>45329</v>
          </cell>
          <cell r="S5769">
            <v>45329</v>
          </cell>
          <cell r="T5769">
            <v>45349</v>
          </cell>
          <cell r="U5769">
            <v>45350</v>
          </cell>
          <cell r="V5769">
            <v>45351</v>
          </cell>
          <cell r="W5769">
            <v>45351</v>
          </cell>
          <cell r="X5769">
            <v>41000586</v>
          </cell>
        </row>
        <row r="5770">
          <cell r="K5770" t="str">
            <v>DBW-3269</v>
          </cell>
          <cell r="L5770">
            <v>45349</v>
          </cell>
          <cell r="M5770" t="str">
            <v>2024-02-22 → 2/28</v>
          </cell>
          <cell r="N5770">
            <v>45359</v>
          </cell>
          <cell r="O5770" t="str">
            <v>2024-02-22 → 2/28</v>
          </cell>
          <cell r="P5770">
            <v>45359</v>
          </cell>
          <cell r="Q5770" t="str">
            <v>2024-02-29 → 3/7 → 3/8</v>
          </cell>
          <cell r="R5770" t="str">
            <v>2024-03-04 → 3/7 → 3/8</v>
          </cell>
          <cell r="S5770">
            <v>45363</v>
          </cell>
          <cell r="T5770">
            <v>45364</v>
          </cell>
          <cell r="U5770">
            <v>45365</v>
          </cell>
          <cell r="V5770">
            <v>45366</v>
          </cell>
          <cell r="W5770">
            <v>45366</v>
          </cell>
          <cell r="X5770">
            <v>41000566</v>
          </cell>
        </row>
        <row r="5771">
          <cell r="K5771" t="str">
            <v>DBW-3270</v>
          </cell>
          <cell r="L5771">
            <v>45349</v>
          </cell>
          <cell r="M5771" t="str">
            <v>2024-02-22 → 2/28</v>
          </cell>
          <cell r="N5771">
            <v>45359</v>
          </cell>
          <cell r="O5771" t="str">
            <v>2024-02-22 → 2/28</v>
          </cell>
          <cell r="P5771">
            <v>45359</v>
          </cell>
          <cell r="Q5771" t="str">
            <v>2024-02-29 → 3/7 → 3/8</v>
          </cell>
          <cell r="R5771" t="str">
            <v>2024-03-04 → 3/7 → 3/8</v>
          </cell>
          <cell r="S5771">
            <v>45363</v>
          </cell>
          <cell r="T5771">
            <v>45364</v>
          </cell>
          <cell r="U5771">
            <v>45365</v>
          </cell>
          <cell r="V5771">
            <v>45366</v>
          </cell>
          <cell r="W5771">
            <v>45366</v>
          </cell>
          <cell r="X5771">
            <v>41000566</v>
          </cell>
        </row>
        <row r="5772">
          <cell r="K5772" t="str">
            <v>DBW-3271</v>
          </cell>
          <cell r="L5772">
            <v>45349</v>
          </cell>
          <cell r="M5772" t="str">
            <v>2024-02-22 → 2/28</v>
          </cell>
          <cell r="N5772">
            <v>45359</v>
          </cell>
          <cell r="O5772" t="str">
            <v>2024-02-22 → 2/28</v>
          </cell>
          <cell r="P5772">
            <v>45359</v>
          </cell>
          <cell r="Q5772" t="str">
            <v>2024-02-29 → 3/7 → 3/8</v>
          </cell>
          <cell r="R5772" t="str">
            <v>2024-03-04 → 3/7 → 3/8</v>
          </cell>
          <cell r="S5772">
            <v>45363</v>
          </cell>
          <cell r="T5772">
            <v>45364</v>
          </cell>
          <cell r="U5772">
            <v>45365</v>
          </cell>
          <cell r="V5772">
            <v>45366</v>
          </cell>
          <cell r="W5772">
            <v>45366</v>
          </cell>
          <cell r="X5772">
            <v>41000566</v>
          </cell>
        </row>
        <row r="5773">
          <cell r="K5773" t="str">
            <v>DBW-3272</v>
          </cell>
          <cell r="L5773">
            <v>45349</v>
          </cell>
          <cell r="M5773" t="str">
            <v>2024-02-22 → 2/28</v>
          </cell>
          <cell r="N5773">
            <v>45359</v>
          </cell>
          <cell r="O5773" t="str">
            <v>2024-02-22 → 2/28</v>
          </cell>
          <cell r="P5773">
            <v>45359</v>
          </cell>
          <cell r="Q5773" t="str">
            <v>2024-02-29 → 3/7 → 3/8</v>
          </cell>
          <cell r="R5773" t="str">
            <v>2024-03-04 → 3/7 → 3/8</v>
          </cell>
          <cell r="S5773">
            <v>45363</v>
          </cell>
          <cell r="T5773">
            <v>45364</v>
          </cell>
          <cell r="U5773">
            <v>45365</v>
          </cell>
          <cell r="V5773">
            <v>45366</v>
          </cell>
          <cell r="W5773">
            <v>45366</v>
          </cell>
          <cell r="X5773">
            <v>41000566</v>
          </cell>
        </row>
        <row r="5774">
          <cell r="K5774" t="str">
            <v>DBW-3273</v>
          </cell>
          <cell r="L5774">
            <v>45349</v>
          </cell>
          <cell r="M5774" t="str">
            <v>2024-02-22 → 2/28</v>
          </cell>
          <cell r="N5774">
            <v>45359</v>
          </cell>
          <cell r="O5774" t="str">
            <v>2024-02-22 → 2/28</v>
          </cell>
          <cell r="P5774">
            <v>45359</v>
          </cell>
          <cell r="Q5774" t="str">
            <v>2024-02-29 → 3/7 → 3/8</v>
          </cell>
          <cell r="R5774" t="str">
            <v>2024-03-04 → 3/7 → 3/8</v>
          </cell>
          <cell r="S5774">
            <v>45363</v>
          </cell>
          <cell r="T5774">
            <v>45364</v>
          </cell>
          <cell r="U5774">
            <v>45365</v>
          </cell>
          <cell r="V5774">
            <v>45366</v>
          </cell>
          <cell r="W5774">
            <v>45366</v>
          </cell>
          <cell r="X5774">
            <v>41000566</v>
          </cell>
        </row>
        <row r="5775">
          <cell r="K5775" t="str">
            <v>DBW-3274</v>
          </cell>
          <cell r="L5775">
            <v>45350</v>
          </cell>
          <cell r="M5775">
            <v>45351</v>
          </cell>
          <cell r="N5775">
            <v>45358</v>
          </cell>
          <cell r="O5775">
            <v>45351</v>
          </cell>
          <cell r="P5775">
            <v>45359</v>
          </cell>
          <cell r="Q5775">
            <v>45358</v>
          </cell>
          <cell r="R5775">
            <v>45359</v>
          </cell>
          <cell r="S5775">
            <v>45363</v>
          </cell>
          <cell r="T5775">
            <v>45366</v>
          </cell>
          <cell r="U5775">
            <v>45367</v>
          </cell>
          <cell r="V5775">
            <v>45369</v>
          </cell>
          <cell r="W5775">
            <v>45369</v>
          </cell>
          <cell r="X5775">
            <v>41000566</v>
          </cell>
        </row>
        <row r="5776">
          <cell r="K5776" t="str">
            <v>DBW-3275</v>
          </cell>
          <cell r="L5776">
            <v>45350</v>
          </cell>
          <cell r="M5776">
            <v>45351</v>
          </cell>
          <cell r="N5776">
            <v>45358</v>
          </cell>
          <cell r="O5776">
            <v>45351</v>
          </cell>
          <cell r="P5776">
            <v>45359</v>
          </cell>
          <cell r="Q5776">
            <v>45358</v>
          </cell>
          <cell r="R5776">
            <v>45359</v>
          </cell>
          <cell r="S5776">
            <v>45363</v>
          </cell>
          <cell r="T5776">
            <v>45365</v>
          </cell>
          <cell r="U5776">
            <v>45366</v>
          </cell>
          <cell r="V5776">
            <v>45369</v>
          </cell>
          <cell r="W5776">
            <v>45369</v>
          </cell>
          <cell r="X5776">
            <v>41000566</v>
          </cell>
        </row>
        <row r="5777">
          <cell r="K5777" t="str">
            <v>DBW-3276</v>
          </cell>
          <cell r="L5777">
            <v>45350</v>
          </cell>
          <cell r="M5777">
            <v>45351</v>
          </cell>
          <cell r="N5777">
            <v>45358</v>
          </cell>
          <cell r="O5777">
            <v>45351</v>
          </cell>
          <cell r="P5777">
            <v>45359</v>
          </cell>
          <cell r="Q5777">
            <v>45358</v>
          </cell>
          <cell r="R5777">
            <v>45359</v>
          </cell>
          <cell r="S5777">
            <v>45363</v>
          </cell>
          <cell r="T5777">
            <v>45365</v>
          </cell>
          <cell r="U5777">
            <v>45366</v>
          </cell>
          <cell r="V5777">
            <v>45369</v>
          </cell>
          <cell r="W5777">
            <v>45369</v>
          </cell>
          <cell r="X5777">
            <v>41000566</v>
          </cell>
        </row>
        <row r="5778">
          <cell r="K5778" t="str">
            <v>DBW-3277</v>
          </cell>
          <cell r="L5778">
            <v>45350</v>
          </cell>
          <cell r="M5778">
            <v>45351</v>
          </cell>
          <cell r="N5778">
            <v>45358</v>
          </cell>
          <cell r="O5778">
            <v>45351</v>
          </cell>
          <cell r="P5778">
            <v>45359</v>
          </cell>
          <cell r="Q5778">
            <v>45358</v>
          </cell>
          <cell r="R5778">
            <v>45359</v>
          </cell>
          <cell r="S5778">
            <v>45364</v>
          </cell>
          <cell r="T5778">
            <v>45366</v>
          </cell>
          <cell r="U5778">
            <v>45366</v>
          </cell>
          <cell r="V5778">
            <v>45369</v>
          </cell>
          <cell r="W5778">
            <v>45369</v>
          </cell>
          <cell r="X5778">
            <v>41000566</v>
          </cell>
        </row>
        <row r="5779">
          <cell r="K5779" t="str">
            <v>DBW-3278</v>
          </cell>
          <cell r="L5779">
            <v>45350</v>
          </cell>
          <cell r="M5779">
            <v>45351</v>
          </cell>
          <cell r="N5779">
            <v>45358</v>
          </cell>
          <cell r="O5779">
            <v>45351</v>
          </cell>
          <cell r="P5779">
            <v>45359</v>
          </cell>
          <cell r="Q5779">
            <v>45358</v>
          </cell>
          <cell r="R5779">
            <v>45359</v>
          </cell>
          <cell r="S5779">
            <v>45364</v>
          </cell>
          <cell r="T5779">
            <v>45365</v>
          </cell>
          <cell r="U5779">
            <v>45366</v>
          </cell>
          <cell r="V5779">
            <v>45369</v>
          </cell>
          <cell r="W5779">
            <v>45369</v>
          </cell>
          <cell r="X5779">
            <v>41000566</v>
          </cell>
        </row>
        <row r="5780">
          <cell r="K5780" t="str">
            <v>GBWS-4219</v>
          </cell>
          <cell r="L5780">
            <v>45351</v>
          </cell>
          <cell r="M5780">
            <v>45355</v>
          </cell>
          <cell r="N5780">
            <v>45362</v>
          </cell>
          <cell r="O5780">
            <v>45355</v>
          </cell>
          <cell r="P5780">
            <v>45362</v>
          </cell>
          <cell r="Q5780" t="str">
            <v>2024-03-11 → 3/8</v>
          </cell>
          <cell r="R5780" t="str">
            <v>2024-03-12 → 3/9</v>
          </cell>
          <cell r="S5780">
            <v>45362</v>
          </cell>
          <cell r="T5780">
            <v>45363</v>
          </cell>
          <cell r="U5780">
            <v>45364</v>
          </cell>
          <cell r="V5780">
            <v>45365</v>
          </cell>
          <cell r="W5780">
            <v>45365</v>
          </cell>
          <cell r="X5780">
            <v>41100363</v>
          </cell>
        </row>
        <row r="5781">
          <cell r="K5781" t="str">
            <v>DBW-3267</v>
          </cell>
          <cell r="L5781">
            <v>45345</v>
          </cell>
          <cell r="M5781">
            <v>45348</v>
          </cell>
          <cell r="N5781">
            <v>45355</v>
          </cell>
          <cell r="O5781">
            <v>45348</v>
          </cell>
          <cell r="P5781">
            <v>45356</v>
          </cell>
          <cell r="Q5781">
            <v>45355</v>
          </cell>
          <cell r="R5781">
            <v>45357</v>
          </cell>
          <cell r="S5781">
            <v>45362</v>
          </cell>
          <cell r="T5781">
            <v>45363</v>
          </cell>
          <cell r="U5781">
            <v>45364</v>
          </cell>
          <cell r="V5781">
            <v>45365</v>
          </cell>
          <cell r="W5781">
            <v>45365</v>
          </cell>
          <cell r="X5781">
            <v>41000589</v>
          </cell>
        </row>
        <row r="5782">
          <cell r="K5782" t="str">
            <v>DBW-3268</v>
          </cell>
          <cell r="L5782">
            <v>45345</v>
          </cell>
          <cell r="M5782">
            <v>45348</v>
          </cell>
          <cell r="N5782">
            <v>45355</v>
          </cell>
          <cell r="O5782">
            <v>45348</v>
          </cell>
          <cell r="P5782">
            <v>45356</v>
          </cell>
          <cell r="Q5782">
            <v>45355</v>
          </cell>
          <cell r="R5782">
            <v>45357</v>
          </cell>
          <cell r="S5782">
            <v>45362</v>
          </cell>
          <cell r="T5782">
            <v>45363</v>
          </cell>
          <cell r="U5782">
            <v>45364</v>
          </cell>
          <cell r="V5782">
            <v>45365</v>
          </cell>
          <cell r="W5782">
            <v>45365</v>
          </cell>
          <cell r="X5782">
            <v>41000589</v>
          </cell>
        </row>
        <row r="5783">
          <cell r="K5783" t="str">
            <v>GBWS-4195</v>
          </cell>
          <cell r="L5783">
            <v>45348</v>
          </cell>
          <cell r="M5783">
            <v>45349</v>
          </cell>
          <cell r="N5783">
            <v>45355</v>
          </cell>
          <cell r="O5783">
            <v>45349</v>
          </cell>
          <cell r="P5783">
            <v>45356</v>
          </cell>
          <cell r="Q5783">
            <v>45355</v>
          </cell>
          <cell r="R5783">
            <v>45356</v>
          </cell>
          <cell r="S5783">
            <v>45362</v>
          </cell>
          <cell r="T5783">
            <v>45363</v>
          </cell>
          <cell r="U5783">
            <v>45364</v>
          </cell>
          <cell r="V5783">
            <v>45365</v>
          </cell>
          <cell r="W5783">
            <v>45365</v>
          </cell>
          <cell r="X5783">
            <v>41100564</v>
          </cell>
        </row>
        <row r="5784">
          <cell r="K5784" t="str">
            <v>GBWS-4196</v>
          </cell>
          <cell r="L5784">
            <v>45348</v>
          </cell>
          <cell r="M5784">
            <v>45349</v>
          </cell>
          <cell r="N5784">
            <v>45355</v>
          </cell>
          <cell r="O5784">
            <v>45349</v>
          </cell>
          <cell r="P5784">
            <v>45356</v>
          </cell>
          <cell r="Q5784">
            <v>45355</v>
          </cell>
          <cell r="R5784">
            <v>45356</v>
          </cell>
          <cell r="S5784">
            <v>45363</v>
          </cell>
          <cell r="T5784">
            <v>45364</v>
          </cell>
          <cell r="U5784">
            <v>45365</v>
          </cell>
          <cell r="V5784">
            <v>45366</v>
          </cell>
          <cell r="W5784">
            <v>45366</v>
          </cell>
          <cell r="X5784">
            <v>41100564</v>
          </cell>
        </row>
        <row r="5785">
          <cell r="K5785" t="str">
            <v>GBWS-4197</v>
          </cell>
          <cell r="L5785">
            <v>45348</v>
          </cell>
          <cell r="M5785">
            <v>45349</v>
          </cell>
          <cell r="N5785">
            <v>45355</v>
          </cell>
          <cell r="O5785">
            <v>45349</v>
          </cell>
          <cell r="P5785">
            <v>45356</v>
          </cell>
          <cell r="Q5785">
            <v>45355</v>
          </cell>
          <cell r="R5785">
            <v>45356</v>
          </cell>
          <cell r="S5785">
            <v>45363</v>
          </cell>
          <cell r="T5785">
            <v>45364</v>
          </cell>
          <cell r="U5785">
            <v>45365</v>
          </cell>
          <cell r="V5785">
            <v>45366</v>
          </cell>
          <cell r="W5785">
            <v>45366</v>
          </cell>
          <cell r="X5785">
            <v>41100564</v>
          </cell>
        </row>
        <row r="5786">
          <cell r="K5786" t="str">
            <v>GBWS-4198</v>
          </cell>
          <cell r="L5786">
            <v>45348</v>
          </cell>
          <cell r="M5786">
            <v>45349</v>
          </cell>
          <cell r="N5786">
            <v>45355</v>
          </cell>
          <cell r="O5786">
            <v>45349</v>
          </cell>
          <cell r="P5786">
            <v>45356</v>
          </cell>
          <cell r="Q5786">
            <v>45355</v>
          </cell>
          <cell r="R5786">
            <v>45356</v>
          </cell>
          <cell r="S5786">
            <v>45364</v>
          </cell>
          <cell r="T5786">
            <v>45365</v>
          </cell>
          <cell r="U5786">
            <v>45366</v>
          </cell>
          <cell r="V5786">
            <v>45369</v>
          </cell>
          <cell r="W5786">
            <v>45369</v>
          </cell>
          <cell r="X5786">
            <v>41100564</v>
          </cell>
        </row>
        <row r="5787">
          <cell r="K5787" t="str">
            <v>GBWS-4199</v>
          </cell>
          <cell r="L5787">
            <v>45348</v>
          </cell>
          <cell r="M5787">
            <v>45349</v>
          </cell>
          <cell r="N5787">
            <v>45355</v>
          </cell>
          <cell r="O5787">
            <v>45349</v>
          </cell>
          <cell r="P5787">
            <v>45356</v>
          </cell>
          <cell r="Q5787">
            <v>45355</v>
          </cell>
          <cell r="R5787">
            <v>45356</v>
          </cell>
          <cell r="S5787">
            <v>45364</v>
          </cell>
          <cell r="T5787">
            <v>45366</v>
          </cell>
          <cell r="U5787">
            <v>45369</v>
          </cell>
          <cell r="V5787">
            <v>45369</v>
          </cell>
          <cell r="W5787">
            <v>45369</v>
          </cell>
          <cell r="X5787">
            <v>41100564</v>
          </cell>
        </row>
        <row r="5788">
          <cell r="K5788" t="str">
            <v>GBWS-4226</v>
          </cell>
          <cell r="L5788">
            <v>45351</v>
          </cell>
          <cell r="M5788">
            <v>45355</v>
          </cell>
          <cell r="N5788">
            <v>45362</v>
          </cell>
          <cell r="O5788">
            <v>45355</v>
          </cell>
          <cell r="P5788">
            <v>45363</v>
          </cell>
          <cell r="Q5788">
            <v>45362</v>
          </cell>
          <cell r="R5788">
            <v>45363</v>
          </cell>
          <cell r="S5788">
            <v>45364</v>
          </cell>
          <cell r="T5788">
            <v>45365</v>
          </cell>
          <cell r="U5788">
            <v>45367</v>
          </cell>
          <cell r="V5788">
            <v>45369</v>
          </cell>
          <cell r="W5788">
            <v>45369</v>
          </cell>
          <cell r="X5788">
            <v>41100509</v>
          </cell>
        </row>
        <row r="5789">
          <cell r="K5789" t="str">
            <v>GBWS-4227</v>
          </cell>
          <cell r="L5789">
            <v>45351</v>
          </cell>
          <cell r="M5789">
            <v>45355</v>
          </cell>
          <cell r="N5789">
            <v>45362</v>
          </cell>
          <cell r="O5789">
            <v>45355</v>
          </cell>
          <cell r="P5789">
            <v>45363</v>
          </cell>
          <cell r="Q5789">
            <v>45362</v>
          </cell>
          <cell r="R5789">
            <v>45363</v>
          </cell>
          <cell r="S5789">
            <v>45364</v>
          </cell>
          <cell r="T5789">
            <v>45365</v>
          </cell>
          <cell r="U5789">
            <v>45366</v>
          </cell>
          <cell r="V5789">
            <v>45369</v>
          </cell>
          <cell r="W5789">
            <v>45369</v>
          </cell>
          <cell r="X5789">
            <v>41100509</v>
          </cell>
        </row>
        <row r="5790">
          <cell r="K5790" t="str">
            <v>GBWS-4228</v>
          </cell>
          <cell r="L5790">
            <v>45351</v>
          </cell>
          <cell r="M5790">
            <v>45355</v>
          </cell>
          <cell r="N5790">
            <v>45362</v>
          </cell>
          <cell r="O5790">
            <v>45355</v>
          </cell>
          <cell r="P5790">
            <v>45363</v>
          </cell>
          <cell r="Q5790">
            <v>45362</v>
          </cell>
          <cell r="R5790">
            <v>45363</v>
          </cell>
          <cell r="S5790">
            <v>45364</v>
          </cell>
          <cell r="T5790">
            <v>45365</v>
          </cell>
          <cell r="U5790">
            <v>45366</v>
          </cell>
          <cell r="V5790">
            <v>45369</v>
          </cell>
          <cell r="W5790">
            <v>45369</v>
          </cell>
          <cell r="X5790">
            <v>41100509</v>
          </cell>
        </row>
        <row r="5791">
          <cell r="K5791" t="str">
            <v>GBWS-4229</v>
          </cell>
          <cell r="L5791">
            <v>45351</v>
          </cell>
          <cell r="M5791">
            <v>45355</v>
          </cell>
          <cell r="N5791">
            <v>45362</v>
          </cell>
          <cell r="O5791">
            <v>45355</v>
          </cell>
          <cell r="P5791">
            <v>45363</v>
          </cell>
          <cell r="Q5791">
            <v>45362</v>
          </cell>
          <cell r="R5791">
            <v>45363</v>
          </cell>
          <cell r="S5791">
            <v>45365</v>
          </cell>
          <cell r="T5791">
            <v>45366</v>
          </cell>
          <cell r="U5791">
            <v>45367</v>
          </cell>
          <cell r="V5791">
            <v>45369</v>
          </cell>
          <cell r="W5791">
            <v>45369</v>
          </cell>
          <cell r="X5791">
            <v>41100509</v>
          </cell>
        </row>
        <row r="5792">
          <cell r="K5792" t="str">
            <v>GBWS-4230</v>
          </cell>
          <cell r="L5792">
            <v>45351</v>
          </cell>
          <cell r="M5792">
            <v>45355</v>
          </cell>
          <cell r="N5792">
            <v>45362</v>
          </cell>
          <cell r="O5792">
            <v>45355</v>
          </cell>
          <cell r="P5792">
            <v>45363</v>
          </cell>
          <cell r="Q5792">
            <v>45362</v>
          </cell>
          <cell r="R5792">
            <v>45363</v>
          </cell>
          <cell r="S5792">
            <v>45365</v>
          </cell>
          <cell r="T5792">
            <v>45366</v>
          </cell>
          <cell r="U5792">
            <v>45367</v>
          </cell>
          <cell r="V5792">
            <v>45369</v>
          </cell>
          <cell r="W5792">
            <v>45369</v>
          </cell>
          <cell r="X5792">
            <v>41100509</v>
          </cell>
        </row>
        <row r="5793">
          <cell r="K5793" t="str">
            <v>GBWS-4231</v>
          </cell>
          <cell r="L5793">
            <v>45351</v>
          </cell>
          <cell r="M5793">
            <v>45355</v>
          </cell>
          <cell r="N5793">
            <v>45362</v>
          </cell>
          <cell r="O5793">
            <v>45355</v>
          </cell>
          <cell r="P5793">
            <v>45363</v>
          </cell>
          <cell r="Q5793">
            <v>45362</v>
          </cell>
          <cell r="R5793">
            <v>45363</v>
          </cell>
          <cell r="S5793">
            <v>45365</v>
          </cell>
          <cell r="T5793">
            <v>45366</v>
          </cell>
          <cell r="U5793">
            <v>45367</v>
          </cell>
          <cell r="V5793">
            <v>45369</v>
          </cell>
          <cell r="W5793">
            <v>45369</v>
          </cell>
          <cell r="X5793">
            <v>41100509</v>
          </cell>
        </row>
        <row r="5794">
          <cell r="K5794" t="str">
            <v>GBWS-4218</v>
          </cell>
          <cell r="L5794">
            <v>45351</v>
          </cell>
          <cell r="M5794">
            <v>45355</v>
          </cell>
          <cell r="N5794">
            <v>45362</v>
          </cell>
          <cell r="O5794">
            <v>45355</v>
          </cell>
          <cell r="P5794">
            <v>45362</v>
          </cell>
          <cell r="Q5794">
            <v>45362</v>
          </cell>
          <cell r="R5794">
            <v>45363</v>
          </cell>
          <cell r="S5794">
            <v>45365</v>
          </cell>
          <cell r="T5794">
            <v>45366</v>
          </cell>
          <cell r="U5794">
            <v>45369</v>
          </cell>
          <cell r="V5794">
            <v>45370</v>
          </cell>
          <cell r="W5794">
            <v>45370</v>
          </cell>
          <cell r="X5794">
            <v>41100698</v>
          </cell>
        </row>
        <row r="5795">
          <cell r="K5795" t="str">
            <v>GBWS-4245</v>
          </cell>
          <cell r="L5795">
            <v>45356</v>
          </cell>
          <cell r="M5795">
            <v>45357</v>
          </cell>
          <cell r="N5795">
            <v>45363</v>
          </cell>
          <cell r="O5795">
            <v>45357</v>
          </cell>
          <cell r="P5795">
            <v>45364</v>
          </cell>
          <cell r="Q5795">
            <v>45363</v>
          </cell>
          <cell r="R5795">
            <v>45364</v>
          </cell>
          <cell r="S5795">
            <v>45364</v>
          </cell>
          <cell r="T5795">
            <v>45365</v>
          </cell>
          <cell r="U5795">
            <v>45366</v>
          </cell>
          <cell r="V5795">
            <v>45371</v>
          </cell>
          <cell r="W5795">
            <v>45371</v>
          </cell>
          <cell r="X5795">
            <v>41100698</v>
          </cell>
        </row>
        <row r="5796">
          <cell r="K5796" t="str">
            <v>GBWS-4237</v>
          </cell>
          <cell r="L5796">
            <v>45355</v>
          </cell>
          <cell r="M5796">
            <v>45356</v>
          </cell>
          <cell r="N5796">
            <v>45364</v>
          </cell>
          <cell r="O5796">
            <v>45356</v>
          </cell>
          <cell r="P5796">
            <v>45364</v>
          </cell>
          <cell r="Q5796">
            <v>45364</v>
          </cell>
          <cell r="R5796">
            <v>45365</v>
          </cell>
          <cell r="S5796">
            <v>45366</v>
          </cell>
          <cell r="T5796">
            <v>45367</v>
          </cell>
          <cell r="U5796">
            <v>45369</v>
          </cell>
          <cell r="V5796">
            <v>45370</v>
          </cell>
          <cell r="W5796">
            <v>45370</v>
          </cell>
          <cell r="X5796">
            <v>41100704</v>
          </cell>
        </row>
        <row r="5797">
          <cell r="K5797" t="str">
            <v>MMD-0071</v>
          </cell>
          <cell r="L5797">
            <v>45355</v>
          </cell>
          <cell r="M5797">
            <v>45356</v>
          </cell>
          <cell r="N5797">
            <v>45358</v>
          </cell>
          <cell r="O5797">
            <v>45356</v>
          </cell>
          <cell r="P5797">
            <v>45358</v>
          </cell>
          <cell r="Q5797">
            <v>45358</v>
          </cell>
          <cell r="R5797">
            <v>45358</v>
          </cell>
          <cell r="S5797"/>
          <cell r="T5797"/>
          <cell r="U5797"/>
          <cell r="V5797"/>
          <cell r="W5797"/>
          <cell r="X5797">
            <v>31102402</v>
          </cell>
        </row>
        <row r="5798">
          <cell r="K5798" t="str">
            <v>GBWS-4246</v>
          </cell>
          <cell r="L5798">
            <v>45356</v>
          </cell>
          <cell r="M5798">
            <v>45357</v>
          </cell>
          <cell r="N5798">
            <v>45365</v>
          </cell>
          <cell r="O5798">
            <v>45357</v>
          </cell>
          <cell r="P5798">
            <v>45365</v>
          </cell>
          <cell r="Q5798" t="str">
            <v>2024-03-13 → 3/14</v>
          </cell>
          <cell r="R5798">
            <v>45365</v>
          </cell>
          <cell r="S5798">
            <v>45366</v>
          </cell>
          <cell r="T5798">
            <v>45367</v>
          </cell>
          <cell r="U5798">
            <v>45369</v>
          </cell>
          <cell r="V5798">
            <v>45370</v>
          </cell>
          <cell r="W5798">
            <v>45370</v>
          </cell>
          <cell r="X5798">
            <v>41100584</v>
          </cell>
        </row>
        <row r="5799">
          <cell r="K5799" t="str">
            <v>DBW-3143</v>
          </cell>
          <cell r="L5799">
            <v>45260</v>
          </cell>
          <cell r="M5799">
            <v>45261</v>
          </cell>
          <cell r="N5799">
            <v>45268</v>
          </cell>
          <cell r="O5799">
            <v>45261</v>
          </cell>
          <cell r="P5799">
            <v>45268</v>
          </cell>
          <cell r="Q5799">
            <v>45268</v>
          </cell>
          <cell r="R5799">
            <v>45271</v>
          </cell>
          <cell r="S5799">
            <v>45271</v>
          </cell>
          <cell r="T5799">
            <v>45271</v>
          </cell>
          <cell r="U5799">
            <v>45293</v>
          </cell>
          <cell r="V5799">
            <v>45295</v>
          </cell>
          <cell r="W5799">
            <v>45295</v>
          </cell>
          <cell r="X5799">
            <v>41100668</v>
          </cell>
        </row>
        <row r="5800">
          <cell r="K5800" t="str">
            <v>DBW-3222</v>
          </cell>
          <cell r="L5800">
            <v>45320</v>
          </cell>
          <cell r="M5800">
            <v>45321</v>
          </cell>
          <cell r="N5800">
            <v>45324</v>
          </cell>
          <cell r="O5800">
            <v>45321</v>
          </cell>
          <cell r="P5800">
            <v>45327</v>
          </cell>
          <cell r="Q5800">
            <v>45329</v>
          </cell>
          <cell r="R5800">
            <v>45330</v>
          </cell>
          <cell r="S5800">
            <v>45335</v>
          </cell>
          <cell r="T5800">
            <v>45336</v>
          </cell>
          <cell r="U5800">
            <v>45338</v>
          </cell>
          <cell r="V5800">
            <v>45338</v>
          </cell>
          <cell r="W5800">
            <v>45338</v>
          </cell>
          <cell r="X5800">
            <v>41100668</v>
          </cell>
        </row>
        <row r="5801">
          <cell r="K5801" t="str">
            <v>DBW-3262</v>
          </cell>
          <cell r="L5801">
            <v>45342</v>
          </cell>
          <cell r="M5801">
            <v>45343</v>
          </cell>
          <cell r="N5801">
            <v>45350</v>
          </cell>
          <cell r="O5801">
            <v>45343</v>
          </cell>
          <cell r="P5801">
            <v>45350</v>
          </cell>
          <cell r="Q5801">
            <v>45350</v>
          </cell>
          <cell r="R5801">
            <v>45350</v>
          </cell>
          <cell r="S5801">
            <v>45356</v>
          </cell>
          <cell r="T5801">
            <v>45357</v>
          </cell>
          <cell r="U5801">
            <v>45358</v>
          </cell>
          <cell r="V5801">
            <v>45359</v>
          </cell>
          <cell r="W5801">
            <v>45359</v>
          </cell>
          <cell r="X5801">
            <v>41000587</v>
          </cell>
        </row>
        <row r="5802">
          <cell r="K5802" t="str">
            <v>DBW-3263</v>
          </cell>
          <cell r="L5802">
            <v>45342</v>
          </cell>
          <cell r="M5802">
            <v>45343</v>
          </cell>
          <cell r="N5802">
            <v>45350</v>
          </cell>
          <cell r="O5802">
            <v>45343</v>
          </cell>
          <cell r="P5802">
            <v>45350</v>
          </cell>
          <cell r="Q5802">
            <v>45350</v>
          </cell>
          <cell r="R5802">
            <v>45350</v>
          </cell>
          <cell r="S5802">
            <v>45356</v>
          </cell>
          <cell r="T5802">
            <v>45357</v>
          </cell>
          <cell r="U5802">
            <v>45358</v>
          </cell>
          <cell r="V5802">
            <v>45359</v>
          </cell>
          <cell r="W5802">
            <v>45359</v>
          </cell>
          <cell r="X5802">
            <v>41000587</v>
          </cell>
        </row>
        <row r="5803">
          <cell r="K5803" t="str">
            <v>GBWS-4201</v>
          </cell>
          <cell r="L5803">
            <v>45349</v>
          </cell>
          <cell r="M5803">
            <v>45350</v>
          </cell>
          <cell r="N5803">
            <v>45362</v>
          </cell>
          <cell r="O5803">
            <v>45350</v>
          </cell>
          <cell r="P5803">
            <v>45362</v>
          </cell>
          <cell r="Q5803" t="str">
            <v>2024-03-08 → 3/10</v>
          </cell>
          <cell r="R5803">
            <v>45362</v>
          </cell>
          <cell r="S5803">
            <v>45363</v>
          </cell>
          <cell r="T5803">
            <v>45366</v>
          </cell>
          <cell r="U5803">
            <v>45369</v>
          </cell>
          <cell r="V5803">
            <v>45369</v>
          </cell>
          <cell r="W5803">
            <v>45369</v>
          </cell>
          <cell r="X5803">
            <v>41100317</v>
          </cell>
        </row>
        <row r="5804">
          <cell r="K5804" t="str">
            <v>GBWS-4220</v>
          </cell>
          <cell r="L5804">
            <v>45351</v>
          </cell>
          <cell r="M5804">
            <v>45355</v>
          </cell>
          <cell r="N5804">
            <v>45362</v>
          </cell>
          <cell r="O5804">
            <v>45355</v>
          </cell>
          <cell r="P5804">
            <v>45362</v>
          </cell>
          <cell r="Q5804">
            <v>45362</v>
          </cell>
          <cell r="R5804">
            <v>45363</v>
          </cell>
          <cell r="S5804">
            <v>45365</v>
          </cell>
          <cell r="T5804">
            <v>45369</v>
          </cell>
          <cell r="U5804">
            <v>45370</v>
          </cell>
          <cell r="V5804">
            <v>45371</v>
          </cell>
          <cell r="W5804">
            <v>45371</v>
          </cell>
          <cell r="X5804">
            <v>41100363</v>
          </cell>
        </row>
        <row r="5805">
          <cell r="K5805" t="str">
            <v>GBWS-4238</v>
          </cell>
          <cell r="L5805">
            <v>45355</v>
          </cell>
          <cell r="M5805">
            <v>45356</v>
          </cell>
          <cell r="N5805">
            <v>45364</v>
          </cell>
          <cell r="O5805">
            <v>45356</v>
          </cell>
          <cell r="P5805">
            <v>45365</v>
          </cell>
          <cell r="Q5805" t="str">
            <v>2024-03-13 → 3/14(오후)</v>
          </cell>
          <cell r="R5805">
            <v>45365</v>
          </cell>
          <cell r="S5805">
            <v>45366</v>
          </cell>
          <cell r="T5805">
            <v>45367</v>
          </cell>
          <cell r="U5805">
            <v>45369</v>
          </cell>
          <cell r="V5805">
            <v>45370</v>
          </cell>
          <cell r="W5805">
            <v>45370</v>
          </cell>
          <cell r="X5805">
            <v>41100334</v>
          </cell>
        </row>
        <row r="5806">
          <cell r="K5806" t="str">
            <v>GBWS-3984</v>
          </cell>
          <cell r="L5806">
            <v>45295</v>
          </cell>
          <cell r="M5806">
            <v>45296</v>
          </cell>
          <cell r="N5806">
            <v>45302</v>
          </cell>
          <cell r="O5806">
            <v>45296</v>
          </cell>
          <cell r="P5806">
            <v>45301</v>
          </cell>
          <cell r="Q5806">
            <v>45303</v>
          </cell>
          <cell r="R5806">
            <v>45306</v>
          </cell>
          <cell r="S5806">
            <v>45308</v>
          </cell>
          <cell r="T5806">
            <v>45308</v>
          </cell>
          <cell r="U5806">
            <v>45309</v>
          </cell>
          <cell r="V5806">
            <v>45310</v>
          </cell>
          <cell r="W5806">
            <v>45310</v>
          </cell>
          <cell r="X5806">
            <v>41100509</v>
          </cell>
        </row>
        <row r="5807">
          <cell r="K5807" t="str">
            <v>GBWS-4212</v>
          </cell>
          <cell r="L5807">
            <v>45350</v>
          </cell>
          <cell r="M5807">
            <v>45351</v>
          </cell>
          <cell r="N5807">
            <v>45362</v>
          </cell>
          <cell r="O5807">
            <v>45351</v>
          </cell>
          <cell r="P5807">
            <v>45359</v>
          </cell>
          <cell r="Q5807">
            <v>45362</v>
          </cell>
          <cell r="R5807">
            <v>45363</v>
          </cell>
          <cell r="S5807">
            <v>45365</v>
          </cell>
          <cell r="T5807">
            <v>45367</v>
          </cell>
          <cell r="U5807">
            <v>45369</v>
          </cell>
          <cell r="V5807">
            <v>45370</v>
          </cell>
          <cell r="W5807">
            <v>45370</v>
          </cell>
          <cell r="X5807">
            <v>41100462</v>
          </cell>
        </row>
        <row r="5808">
          <cell r="K5808" t="str">
            <v>GBWS-4213</v>
          </cell>
          <cell r="L5808">
            <v>45350</v>
          </cell>
          <cell r="M5808">
            <v>45351</v>
          </cell>
          <cell r="N5808">
            <v>45362</v>
          </cell>
          <cell r="O5808">
            <v>45351</v>
          </cell>
          <cell r="P5808">
            <v>45359</v>
          </cell>
          <cell r="Q5808">
            <v>45362</v>
          </cell>
          <cell r="R5808">
            <v>45363</v>
          </cell>
          <cell r="S5808">
            <v>45365</v>
          </cell>
          <cell r="T5808">
            <v>45369</v>
          </cell>
          <cell r="U5808">
            <v>45370</v>
          </cell>
          <cell r="V5808">
            <v>45371</v>
          </cell>
          <cell r="W5808">
            <v>45371</v>
          </cell>
          <cell r="X5808">
            <v>41100462</v>
          </cell>
        </row>
        <row r="5809">
          <cell r="K5809" t="str">
            <v>GBWS-4224</v>
          </cell>
          <cell r="L5809">
            <v>45351</v>
          </cell>
          <cell r="M5809">
            <v>45355</v>
          </cell>
          <cell r="N5809">
            <v>45363</v>
          </cell>
          <cell r="O5809">
            <v>45355</v>
          </cell>
          <cell r="P5809">
            <v>45362</v>
          </cell>
          <cell r="Q5809">
            <v>45363</v>
          </cell>
          <cell r="R5809">
            <v>45364</v>
          </cell>
          <cell r="S5809">
            <v>45366</v>
          </cell>
          <cell r="T5809">
            <v>45369</v>
          </cell>
          <cell r="U5809">
            <v>45370</v>
          </cell>
          <cell r="V5809">
            <v>45371</v>
          </cell>
          <cell r="W5809">
            <v>45371</v>
          </cell>
          <cell r="X5809">
            <v>41100507</v>
          </cell>
        </row>
        <row r="5810">
          <cell r="K5810" t="str">
            <v>GBWS-4225</v>
          </cell>
          <cell r="L5810">
            <v>45351</v>
          </cell>
          <cell r="M5810">
            <v>45355</v>
          </cell>
          <cell r="N5810">
            <v>45363</v>
          </cell>
          <cell r="O5810">
            <v>45355</v>
          </cell>
          <cell r="P5810">
            <v>45362</v>
          </cell>
          <cell r="Q5810">
            <v>45363</v>
          </cell>
          <cell r="R5810">
            <v>45364</v>
          </cell>
          <cell r="S5810">
            <v>45366</v>
          </cell>
          <cell r="T5810">
            <v>45369</v>
          </cell>
          <cell r="U5810">
            <v>45370</v>
          </cell>
          <cell r="V5810">
            <v>45371</v>
          </cell>
          <cell r="W5810">
            <v>45371</v>
          </cell>
          <cell r="X5810">
            <v>41100507</v>
          </cell>
        </row>
        <row r="5811">
          <cell r="K5811" t="str">
            <v>GBWS-4221</v>
          </cell>
          <cell r="L5811">
            <v>45351</v>
          </cell>
          <cell r="M5811">
            <v>45355</v>
          </cell>
          <cell r="N5811">
            <v>45362</v>
          </cell>
          <cell r="O5811">
            <v>45355</v>
          </cell>
          <cell r="P5811">
            <v>45363</v>
          </cell>
          <cell r="Q5811">
            <v>45362</v>
          </cell>
          <cell r="R5811">
            <v>45363</v>
          </cell>
          <cell r="S5811">
            <v>45365</v>
          </cell>
          <cell r="T5811">
            <v>45366</v>
          </cell>
          <cell r="U5811">
            <v>45367</v>
          </cell>
          <cell r="V5811">
            <v>45369</v>
          </cell>
          <cell r="W5811">
            <v>45369</v>
          </cell>
          <cell r="X5811">
            <v>41100645</v>
          </cell>
        </row>
        <row r="5812">
          <cell r="K5812" t="str">
            <v>GBWS-4222</v>
          </cell>
          <cell r="L5812">
            <v>45351</v>
          </cell>
          <cell r="M5812">
            <v>45355</v>
          </cell>
          <cell r="N5812">
            <v>45362</v>
          </cell>
          <cell r="O5812">
            <v>45355</v>
          </cell>
          <cell r="P5812">
            <v>45363</v>
          </cell>
          <cell r="Q5812">
            <v>45362</v>
          </cell>
          <cell r="R5812">
            <v>45363</v>
          </cell>
          <cell r="S5812">
            <v>45365</v>
          </cell>
          <cell r="T5812">
            <v>45366</v>
          </cell>
          <cell r="U5812">
            <v>45367</v>
          </cell>
          <cell r="V5812">
            <v>45369</v>
          </cell>
          <cell r="W5812">
            <v>45369</v>
          </cell>
          <cell r="X5812">
            <v>41100645</v>
          </cell>
        </row>
        <row r="5813">
          <cell r="K5813" t="str">
            <v>GBWS-4223</v>
          </cell>
          <cell r="L5813">
            <v>45351</v>
          </cell>
          <cell r="M5813">
            <v>45355</v>
          </cell>
          <cell r="N5813">
            <v>45362</v>
          </cell>
          <cell r="O5813">
            <v>45355</v>
          </cell>
          <cell r="P5813">
            <v>45363</v>
          </cell>
          <cell r="Q5813">
            <v>45362</v>
          </cell>
          <cell r="R5813">
            <v>45363</v>
          </cell>
          <cell r="S5813">
            <v>45365</v>
          </cell>
          <cell r="T5813">
            <v>45366</v>
          </cell>
          <cell r="U5813">
            <v>45367</v>
          </cell>
          <cell r="V5813">
            <v>45369</v>
          </cell>
          <cell r="W5813">
            <v>45369</v>
          </cell>
          <cell r="X5813">
            <v>41100645</v>
          </cell>
        </row>
        <row r="5814">
          <cell r="K5814" t="str">
            <v>GBWS-4216</v>
          </cell>
          <cell r="L5814">
            <v>45350</v>
          </cell>
          <cell r="M5814">
            <v>45351</v>
          </cell>
          <cell r="N5814">
            <v>45358</v>
          </cell>
          <cell r="O5814">
            <v>45351</v>
          </cell>
          <cell r="P5814">
            <v>45358</v>
          </cell>
          <cell r="Q5814">
            <v>45359</v>
          </cell>
          <cell r="R5814">
            <v>45362</v>
          </cell>
          <cell r="S5814">
            <v>45365</v>
          </cell>
          <cell r="T5814">
            <v>45367</v>
          </cell>
          <cell r="U5814">
            <v>45369</v>
          </cell>
          <cell r="V5814">
            <v>45370</v>
          </cell>
          <cell r="W5814">
            <v>45370</v>
          </cell>
          <cell r="X5814">
            <v>41100566</v>
          </cell>
        </row>
        <row r="5815">
          <cell r="K5815" t="str">
            <v>GBWS-4217</v>
          </cell>
          <cell r="L5815">
            <v>45350</v>
          </cell>
          <cell r="M5815">
            <v>45351</v>
          </cell>
          <cell r="N5815">
            <v>45358</v>
          </cell>
          <cell r="O5815">
            <v>45351</v>
          </cell>
          <cell r="P5815">
            <v>45358</v>
          </cell>
          <cell r="Q5815">
            <v>45359</v>
          </cell>
          <cell r="R5815">
            <v>45362</v>
          </cell>
          <cell r="S5815">
            <v>45365</v>
          </cell>
          <cell r="T5815">
            <v>45367</v>
          </cell>
          <cell r="U5815">
            <v>45369</v>
          </cell>
          <cell r="V5815">
            <v>45370</v>
          </cell>
          <cell r="W5815">
            <v>45370</v>
          </cell>
          <cell r="X5815">
            <v>41100566</v>
          </cell>
        </row>
        <row r="5816">
          <cell r="K5816" t="str">
            <v>GBWS-4232</v>
          </cell>
          <cell r="L5816">
            <v>45355</v>
          </cell>
          <cell r="M5816">
            <v>45356</v>
          </cell>
          <cell r="N5816">
            <v>45364</v>
          </cell>
          <cell r="O5816">
            <v>45356</v>
          </cell>
          <cell r="P5816">
            <v>45365</v>
          </cell>
          <cell r="Q5816" t="str">
            <v>2024-03-13 → 3/14(오전)</v>
          </cell>
          <cell r="R5816">
            <v>45365</v>
          </cell>
          <cell r="S5816">
            <v>45369</v>
          </cell>
          <cell r="T5816">
            <v>45370</v>
          </cell>
          <cell r="U5816">
            <v>45371</v>
          </cell>
          <cell r="V5816">
            <v>45372</v>
          </cell>
          <cell r="W5816">
            <v>45372</v>
          </cell>
          <cell r="X5816">
            <v>41100662</v>
          </cell>
        </row>
        <row r="5817">
          <cell r="K5817" t="str">
            <v>GBWS-4233</v>
          </cell>
          <cell r="L5817">
            <v>45355</v>
          </cell>
          <cell r="M5817">
            <v>45356</v>
          </cell>
          <cell r="N5817">
            <v>45364</v>
          </cell>
          <cell r="O5817">
            <v>45356</v>
          </cell>
          <cell r="P5817">
            <v>45365</v>
          </cell>
          <cell r="Q5817" t="str">
            <v>2024-03-13 → 3/14(오전)</v>
          </cell>
          <cell r="R5817">
            <v>45365</v>
          </cell>
          <cell r="S5817">
            <v>45369</v>
          </cell>
          <cell r="T5817">
            <v>45370</v>
          </cell>
          <cell r="U5817">
            <v>45371</v>
          </cell>
          <cell r="V5817">
            <v>45372</v>
          </cell>
          <cell r="W5817">
            <v>45372</v>
          </cell>
          <cell r="X5817">
            <v>41100662</v>
          </cell>
        </row>
        <row r="5818">
          <cell r="K5818" t="str">
            <v>GBWS-4234</v>
          </cell>
          <cell r="L5818">
            <v>45355</v>
          </cell>
          <cell r="M5818">
            <v>45356</v>
          </cell>
          <cell r="N5818">
            <v>45364</v>
          </cell>
          <cell r="O5818">
            <v>45356</v>
          </cell>
          <cell r="P5818">
            <v>45365</v>
          </cell>
          <cell r="Q5818" t="str">
            <v>2024-03-13 → 3/14(오전)</v>
          </cell>
          <cell r="R5818">
            <v>45365</v>
          </cell>
          <cell r="S5818">
            <v>45369</v>
          </cell>
          <cell r="T5818">
            <v>45370</v>
          </cell>
          <cell r="U5818">
            <v>45371</v>
          </cell>
          <cell r="V5818">
            <v>45372</v>
          </cell>
          <cell r="W5818">
            <v>45372</v>
          </cell>
          <cell r="X5818">
            <v>41100662</v>
          </cell>
        </row>
        <row r="5819">
          <cell r="K5819" t="str">
            <v>GBWS-4235</v>
          </cell>
          <cell r="L5819">
            <v>45355</v>
          </cell>
          <cell r="M5819">
            <v>45356</v>
          </cell>
          <cell r="N5819">
            <v>45364</v>
          </cell>
          <cell r="O5819">
            <v>45356</v>
          </cell>
          <cell r="P5819">
            <v>45365</v>
          </cell>
          <cell r="Q5819" t="str">
            <v>2024-03-13 → 3/14(오전)</v>
          </cell>
          <cell r="R5819">
            <v>45365</v>
          </cell>
          <cell r="S5819">
            <v>45369</v>
          </cell>
          <cell r="T5819">
            <v>45370</v>
          </cell>
          <cell r="U5819">
            <v>45371</v>
          </cell>
          <cell r="V5819">
            <v>45372</v>
          </cell>
          <cell r="W5819">
            <v>45372</v>
          </cell>
          <cell r="X5819">
            <v>41100662</v>
          </cell>
        </row>
        <row r="5820">
          <cell r="K5820" t="str">
            <v>GBWS-4236</v>
          </cell>
          <cell r="L5820">
            <v>45355</v>
          </cell>
          <cell r="M5820">
            <v>45356</v>
          </cell>
          <cell r="N5820">
            <v>45364</v>
          </cell>
          <cell r="O5820">
            <v>45356</v>
          </cell>
          <cell r="P5820">
            <v>45365</v>
          </cell>
          <cell r="Q5820" t="str">
            <v>2024-03-13 → 3/14(오전)</v>
          </cell>
          <cell r="R5820">
            <v>45365</v>
          </cell>
          <cell r="S5820">
            <v>45369</v>
          </cell>
          <cell r="T5820">
            <v>45370</v>
          </cell>
          <cell r="U5820">
            <v>45371</v>
          </cell>
          <cell r="V5820">
            <v>45372</v>
          </cell>
          <cell r="W5820">
            <v>45372</v>
          </cell>
          <cell r="X5820">
            <v>41100662</v>
          </cell>
        </row>
        <row r="5821">
          <cell r="K5821" t="str">
            <v>GBWS-4239</v>
          </cell>
          <cell r="L5821">
            <v>45356</v>
          </cell>
          <cell r="M5821">
            <v>45357</v>
          </cell>
          <cell r="N5821">
            <v>45366</v>
          </cell>
          <cell r="O5821">
            <v>45357</v>
          </cell>
          <cell r="P5821">
            <v>45366</v>
          </cell>
          <cell r="Q5821" t="str">
            <v>2024-03-13 → 3/15</v>
          </cell>
          <cell r="R5821" t="str">
            <v>2024-03-14 → 3/16</v>
          </cell>
          <cell r="S5821">
            <v>45366</v>
          </cell>
          <cell r="T5821">
            <v>45369</v>
          </cell>
          <cell r="U5821">
            <v>45370</v>
          </cell>
          <cell r="V5821">
            <v>45371</v>
          </cell>
          <cell r="W5821">
            <v>45371</v>
          </cell>
          <cell r="X5821">
            <v>41100558</v>
          </cell>
        </row>
        <row r="5822">
          <cell r="K5822" t="str">
            <v>GBWS-4240</v>
          </cell>
          <cell r="L5822">
            <v>45356</v>
          </cell>
          <cell r="M5822">
            <v>45357</v>
          </cell>
          <cell r="N5822">
            <v>45366</v>
          </cell>
          <cell r="O5822">
            <v>45357</v>
          </cell>
          <cell r="P5822">
            <v>45366</v>
          </cell>
          <cell r="Q5822" t="str">
            <v>2024-03-13 → 3/15</v>
          </cell>
          <cell r="R5822" t="str">
            <v>2024-03-14 → 3/16</v>
          </cell>
          <cell r="S5822">
            <v>45366</v>
          </cell>
          <cell r="T5822">
            <v>45369</v>
          </cell>
          <cell r="U5822">
            <v>45370</v>
          </cell>
          <cell r="V5822">
            <v>45371</v>
          </cell>
          <cell r="W5822">
            <v>45371</v>
          </cell>
          <cell r="X5822">
            <v>41100558</v>
          </cell>
        </row>
        <row r="5823">
          <cell r="K5823" t="str">
            <v>GBWS-4241</v>
          </cell>
          <cell r="L5823">
            <v>45356</v>
          </cell>
          <cell r="M5823">
            <v>45357</v>
          </cell>
          <cell r="N5823">
            <v>45366</v>
          </cell>
          <cell r="O5823">
            <v>45357</v>
          </cell>
          <cell r="P5823">
            <v>45366</v>
          </cell>
          <cell r="Q5823" t="str">
            <v>2024-03-13 → 3/15</v>
          </cell>
          <cell r="R5823" t="str">
            <v>2024-03-14 → 3/16</v>
          </cell>
          <cell r="S5823">
            <v>45369</v>
          </cell>
          <cell r="T5823">
            <v>45370</v>
          </cell>
          <cell r="U5823">
            <v>45371</v>
          </cell>
          <cell r="V5823">
            <v>45372</v>
          </cell>
          <cell r="W5823">
            <v>45372</v>
          </cell>
          <cell r="X5823">
            <v>41100558</v>
          </cell>
        </row>
        <row r="5824">
          <cell r="K5824" t="str">
            <v>GBWS-4259</v>
          </cell>
          <cell r="L5824">
            <v>45358</v>
          </cell>
          <cell r="M5824">
            <v>45359</v>
          </cell>
          <cell r="N5824">
            <v>45366</v>
          </cell>
          <cell r="O5824">
            <v>45359</v>
          </cell>
          <cell r="P5824">
            <v>45366</v>
          </cell>
          <cell r="Q5824">
            <v>45365</v>
          </cell>
          <cell r="R5824">
            <v>45366</v>
          </cell>
          <cell r="S5824">
            <v>45369</v>
          </cell>
          <cell r="T5824">
            <v>45370</v>
          </cell>
          <cell r="U5824">
            <v>45371</v>
          </cell>
          <cell r="V5824">
            <v>45372</v>
          </cell>
          <cell r="W5824">
            <v>45372</v>
          </cell>
          <cell r="X5824">
            <v>41100565</v>
          </cell>
        </row>
        <row r="5825">
          <cell r="K5825" t="str">
            <v>GBWS-4147</v>
          </cell>
          <cell r="L5825">
            <v>45336</v>
          </cell>
          <cell r="M5825">
            <v>45337</v>
          </cell>
          <cell r="N5825">
            <v>45345</v>
          </cell>
          <cell r="O5825">
            <v>45337</v>
          </cell>
          <cell r="P5825">
            <v>45344</v>
          </cell>
          <cell r="Q5825">
            <v>45345</v>
          </cell>
          <cell r="R5825">
            <v>45348</v>
          </cell>
          <cell r="S5825">
            <v>45370</v>
          </cell>
          <cell r="T5825">
            <v>45371</v>
          </cell>
          <cell r="U5825">
            <v>45372</v>
          </cell>
          <cell r="V5825">
            <v>45373</v>
          </cell>
          <cell r="W5825">
            <v>45373</v>
          </cell>
          <cell r="X5825">
            <v>41100356</v>
          </cell>
        </row>
        <row r="5826">
          <cell r="K5826" t="str">
            <v>DBW-3283</v>
          </cell>
          <cell r="L5826">
            <v>45356</v>
          </cell>
          <cell r="M5826">
            <v>45357</v>
          </cell>
          <cell r="N5826">
            <v>45363</v>
          </cell>
          <cell r="O5826">
            <v>45357</v>
          </cell>
          <cell r="P5826">
            <v>45366</v>
          </cell>
          <cell r="Q5826">
            <v>45365</v>
          </cell>
          <cell r="R5826">
            <v>45366</v>
          </cell>
          <cell r="S5826">
            <v>45369</v>
          </cell>
          <cell r="T5826">
            <v>45370</v>
          </cell>
          <cell r="U5826">
            <v>45371</v>
          </cell>
          <cell r="V5826">
            <v>45372</v>
          </cell>
          <cell r="W5826">
            <v>45372</v>
          </cell>
          <cell r="X5826">
            <v>41000588</v>
          </cell>
        </row>
        <row r="5827">
          <cell r="K5827" t="str">
            <v>DBW-3279</v>
          </cell>
          <cell r="L5827">
            <v>45355</v>
          </cell>
          <cell r="M5827">
            <v>45356</v>
          </cell>
          <cell r="N5827">
            <v>45364</v>
          </cell>
          <cell r="O5827">
            <v>45356</v>
          </cell>
          <cell r="P5827">
            <v>45365</v>
          </cell>
          <cell r="Q5827" t="str">
            <v>2024-03-13 → 3/14</v>
          </cell>
          <cell r="R5827" t="str">
            <v>2024-03-14 → 3/15</v>
          </cell>
          <cell r="S5827">
            <v>45370</v>
          </cell>
          <cell r="T5827">
            <v>45371</v>
          </cell>
          <cell r="U5827">
            <v>45372</v>
          </cell>
          <cell r="V5827">
            <v>45373</v>
          </cell>
          <cell r="W5827">
            <v>45373</v>
          </cell>
          <cell r="X5827">
            <v>41000584</v>
          </cell>
        </row>
        <row r="5828">
          <cell r="K5828" t="str">
            <v>DBW-3280</v>
          </cell>
          <cell r="L5828">
            <v>45355</v>
          </cell>
          <cell r="M5828">
            <v>45356</v>
          </cell>
          <cell r="N5828">
            <v>45364</v>
          </cell>
          <cell r="O5828">
            <v>45356</v>
          </cell>
          <cell r="P5828">
            <v>45365</v>
          </cell>
          <cell r="Q5828" t="str">
            <v>2024-03-13 → 3/14</v>
          </cell>
          <cell r="R5828" t="str">
            <v>2024-03-14 → 3/15</v>
          </cell>
          <cell r="S5828">
            <v>45370</v>
          </cell>
          <cell r="T5828">
            <v>45371</v>
          </cell>
          <cell r="U5828">
            <v>45372</v>
          </cell>
          <cell r="V5828">
            <v>45373</v>
          </cell>
          <cell r="W5828">
            <v>45373</v>
          </cell>
          <cell r="X5828">
            <v>41000584</v>
          </cell>
        </row>
        <row r="5829">
          <cell r="K5829" t="str">
            <v>GBWS-4262</v>
          </cell>
          <cell r="L5829">
            <v>45359</v>
          </cell>
          <cell r="M5829">
            <v>45362</v>
          </cell>
          <cell r="N5829">
            <v>45369</v>
          </cell>
          <cell r="O5829">
            <v>45362</v>
          </cell>
          <cell r="P5829">
            <v>45370</v>
          </cell>
          <cell r="Q5829">
            <v>45369</v>
          </cell>
          <cell r="R5829">
            <v>45370</v>
          </cell>
          <cell r="S5829">
            <v>45371</v>
          </cell>
          <cell r="T5829">
            <v>45372</v>
          </cell>
          <cell r="U5829">
            <v>45373</v>
          </cell>
          <cell r="V5829">
            <v>45376</v>
          </cell>
          <cell r="W5829">
            <v>45376</v>
          </cell>
          <cell r="X5829">
            <v>41100318</v>
          </cell>
        </row>
        <row r="5830">
          <cell r="K5830" t="str">
            <v>DBW-3265</v>
          </cell>
          <cell r="L5830">
            <v>45345</v>
          </cell>
          <cell r="M5830">
            <v>45348</v>
          </cell>
          <cell r="N5830">
            <v>45355</v>
          </cell>
          <cell r="O5830">
            <v>45348</v>
          </cell>
          <cell r="P5830">
            <v>45356</v>
          </cell>
          <cell r="Q5830">
            <v>45355</v>
          </cell>
          <cell r="R5830">
            <v>45357</v>
          </cell>
          <cell r="S5830">
            <v>45358</v>
          </cell>
          <cell r="T5830">
            <v>45360</v>
          </cell>
          <cell r="U5830">
            <v>45362</v>
          </cell>
          <cell r="V5830">
            <v>45363</v>
          </cell>
          <cell r="W5830">
            <v>45363</v>
          </cell>
          <cell r="X5830">
            <v>41000589</v>
          </cell>
        </row>
        <row r="5831">
          <cell r="K5831" t="str">
            <v>DBW-3266</v>
          </cell>
          <cell r="L5831">
            <v>45345</v>
          </cell>
          <cell r="M5831">
            <v>45348</v>
          </cell>
          <cell r="N5831">
            <v>45355</v>
          </cell>
          <cell r="O5831">
            <v>45348</v>
          </cell>
          <cell r="P5831">
            <v>45356</v>
          </cell>
          <cell r="Q5831">
            <v>45355</v>
          </cell>
          <cell r="R5831">
            <v>45357</v>
          </cell>
          <cell r="S5831">
            <v>45359</v>
          </cell>
          <cell r="T5831">
            <v>45360</v>
          </cell>
          <cell r="U5831">
            <v>45362</v>
          </cell>
          <cell r="V5831">
            <v>45363</v>
          </cell>
          <cell r="W5831">
            <v>45363</v>
          </cell>
          <cell r="X5831">
            <v>41000589</v>
          </cell>
        </row>
        <row r="5832">
          <cell r="K5832" t="str">
            <v>GBWS-4260</v>
          </cell>
          <cell r="L5832">
            <v>45358</v>
          </cell>
          <cell r="M5832">
            <v>45359</v>
          </cell>
          <cell r="N5832">
            <v>45366</v>
          </cell>
          <cell r="O5832">
            <v>45359</v>
          </cell>
          <cell r="P5832">
            <v>45370</v>
          </cell>
          <cell r="Q5832">
            <v>45369</v>
          </cell>
          <cell r="R5832">
            <v>45370</v>
          </cell>
          <cell r="S5832">
            <v>45371</v>
          </cell>
          <cell r="T5832">
            <v>45372</v>
          </cell>
          <cell r="U5832">
            <v>45373</v>
          </cell>
          <cell r="V5832">
            <v>45376</v>
          </cell>
          <cell r="W5832">
            <v>45376</v>
          </cell>
          <cell r="X5832">
            <v>41100443</v>
          </cell>
        </row>
        <row r="5833">
          <cell r="K5833" t="str">
            <v>GBWS-4206</v>
          </cell>
          <cell r="L5833">
            <v>45349</v>
          </cell>
          <cell r="M5833" t="str">
            <v>2024-02-23 → 2/28</v>
          </cell>
          <cell r="N5833">
            <v>45358</v>
          </cell>
          <cell r="O5833" t="str">
            <v>2024-02-23 → 2/28</v>
          </cell>
          <cell r="P5833">
            <v>45363</v>
          </cell>
          <cell r="Q5833" t="str">
            <v>2024-03-07 → 3/11</v>
          </cell>
          <cell r="R5833" t="str">
            <v>2024-03-08 → 3/12</v>
          </cell>
          <cell r="S5833">
            <v>45370</v>
          </cell>
          <cell r="T5833">
            <v>45371</v>
          </cell>
          <cell r="U5833">
            <v>45372</v>
          </cell>
          <cell r="V5833">
            <v>45373</v>
          </cell>
          <cell r="W5833">
            <v>45373</v>
          </cell>
          <cell r="X5833">
            <v>41100460</v>
          </cell>
        </row>
        <row r="5834">
          <cell r="K5834" t="str">
            <v>GBWS-4207</v>
          </cell>
          <cell r="L5834">
            <v>45349</v>
          </cell>
          <cell r="M5834" t="str">
            <v>2024-02-23 → 2/28</v>
          </cell>
          <cell r="N5834">
            <v>45358</v>
          </cell>
          <cell r="O5834" t="str">
            <v>2024-02-23 → 2/28</v>
          </cell>
          <cell r="P5834">
            <v>45363</v>
          </cell>
          <cell r="Q5834" t="str">
            <v>2024-03-07 → 3/11</v>
          </cell>
          <cell r="R5834" t="str">
            <v>2024-03-08 → 3/12</v>
          </cell>
          <cell r="S5834">
            <v>45371</v>
          </cell>
          <cell r="T5834">
            <v>45372</v>
          </cell>
          <cell r="U5834">
            <v>45373</v>
          </cell>
          <cell r="V5834">
            <v>45376</v>
          </cell>
          <cell r="W5834">
            <v>45376</v>
          </cell>
          <cell r="X5834">
            <v>41100460</v>
          </cell>
        </row>
        <row r="5835">
          <cell r="K5835" t="str">
            <v>GBWS-4208</v>
          </cell>
          <cell r="L5835">
            <v>45349</v>
          </cell>
          <cell r="M5835" t="str">
            <v>2024-02-23 → 2/28</v>
          </cell>
          <cell r="N5835">
            <v>45358</v>
          </cell>
          <cell r="O5835" t="str">
            <v>2024-02-23 → 2/28</v>
          </cell>
          <cell r="P5835">
            <v>45363</v>
          </cell>
          <cell r="Q5835" t="str">
            <v>2024-03-07 → 3/11</v>
          </cell>
          <cell r="R5835" t="str">
            <v>2024-03-08 → 3/12</v>
          </cell>
          <cell r="S5835">
            <v>45372</v>
          </cell>
          <cell r="T5835">
            <v>45373</v>
          </cell>
          <cell r="U5835">
            <v>45376</v>
          </cell>
          <cell r="V5835">
            <v>45377</v>
          </cell>
          <cell r="W5835">
            <v>45377</v>
          </cell>
          <cell r="X5835">
            <v>41100460</v>
          </cell>
        </row>
        <row r="5836">
          <cell r="K5836" t="str">
            <v>GBWS-4209</v>
          </cell>
          <cell r="L5836">
            <v>45349</v>
          </cell>
          <cell r="M5836" t="str">
            <v>2024-02-23 → 2/28</v>
          </cell>
          <cell r="N5836">
            <v>45358</v>
          </cell>
          <cell r="O5836" t="str">
            <v>2024-02-23 → 2/28</v>
          </cell>
          <cell r="P5836">
            <v>45363</v>
          </cell>
          <cell r="Q5836" t="str">
            <v>2024-03-07 → 3/11</v>
          </cell>
          <cell r="R5836" t="str">
            <v>2024-03-08 → 3/12</v>
          </cell>
          <cell r="S5836">
            <v>45372</v>
          </cell>
          <cell r="T5836">
            <v>45373</v>
          </cell>
          <cell r="U5836">
            <v>45376</v>
          </cell>
          <cell r="V5836">
            <v>45377</v>
          </cell>
          <cell r="W5836">
            <v>45377</v>
          </cell>
          <cell r="X5836">
            <v>41100460</v>
          </cell>
        </row>
        <row r="5837">
          <cell r="K5837" t="str">
            <v>GBWS-4210</v>
          </cell>
          <cell r="L5837">
            <v>45349</v>
          </cell>
          <cell r="M5837" t="str">
            <v>2024-02-23 → 2/28</v>
          </cell>
          <cell r="N5837">
            <v>45358</v>
          </cell>
          <cell r="O5837" t="str">
            <v>2024-02-23 → 2/28</v>
          </cell>
          <cell r="P5837">
            <v>45363</v>
          </cell>
          <cell r="Q5837" t="str">
            <v>2024-03-07 → 3/11</v>
          </cell>
          <cell r="R5837" t="str">
            <v>2024-03-08 → 3/12</v>
          </cell>
          <cell r="S5837">
            <v>45372</v>
          </cell>
          <cell r="T5837">
            <v>45373</v>
          </cell>
          <cell r="U5837">
            <v>45376</v>
          </cell>
          <cell r="V5837">
            <v>45377</v>
          </cell>
          <cell r="W5837">
            <v>45377</v>
          </cell>
          <cell r="X5837">
            <v>41100460</v>
          </cell>
        </row>
        <row r="5838">
          <cell r="K5838" t="str">
            <v>GBWS-4247</v>
          </cell>
          <cell r="L5838">
            <v>45357</v>
          </cell>
          <cell r="M5838">
            <v>45358</v>
          </cell>
          <cell r="N5838">
            <v>45369</v>
          </cell>
          <cell r="O5838">
            <v>45358</v>
          </cell>
          <cell r="P5838">
            <v>45370</v>
          </cell>
          <cell r="Q5838">
            <v>45369</v>
          </cell>
          <cell r="R5838">
            <v>45370</v>
          </cell>
          <cell r="S5838">
            <v>45371</v>
          </cell>
          <cell r="T5838">
            <v>45372</v>
          </cell>
          <cell r="U5838">
            <v>45373</v>
          </cell>
          <cell r="V5838">
            <v>45376</v>
          </cell>
          <cell r="W5838">
            <v>45376</v>
          </cell>
          <cell r="X5838">
            <v>41100566</v>
          </cell>
        </row>
        <row r="5839">
          <cell r="K5839" t="str">
            <v>GBWS-4248</v>
          </cell>
          <cell r="L5839">
            <v>45357</v>
          </cell>
          <cell r="M5839">
            <v>45358</v>
          </cell>
          <cell r="N5839">
            <v>45369</v>
          </cell>
          <cell r="O5839">
            <v>45358</v>
          </cell>
          <cell r="P5839">
            <v>45370</v>
          </cell>
          <cell r="Q5839">
            <v>45369</v>
          </cell>
          <cell r="R5839">
            <v>45370</v>
          </cell>
          <cell r="S5839">
            <v>45371</v>
          </cell>
          <cell r="T5839">
            <v>45372</v>
          </cell>
          <cell r="U5839">
            <v>45373</v>
          </cell>
          <cell r="V5839">
            <v>45376</v>
          </cell>
          <cell r="W5839">
            <v>45376</v>
          </cell>
          <cell r="X5839">
            <v>41100566</v>
          </cell>
        </row>
        <row r="5840">
          <cell r="K5840" t="str">
            <v>GBWS-4249</v>
          </cell>
          <cell r="L5840">
            <v>45357</v>
          </cell>
          <cell r="M5840">
            <v>45358</v>
          </cell>
          <cell r="N5840">
            <v>45369</v>
          </cell>
          <cell r="O5840">
            <v>45358</v>
          </cell>
          <cell r="P5840">
            <v>45370</v>
          </cell>
          <cell r="Q5840">
            <v>45369</v>
          </cell>
          <cell r="R5840">
            <v>45370</v>
          </cell>
          <cell r="S5840">
            <v>45372</v>
          </cell>
          <cell r="T5840">
            <v>45373</v>
          </cell>
          <cell r="U5840">
            <v>45376</v>
          </cell>
          <cell r="V5840">
            <v>45377</v>
          </cell>
          <cell r="W5840">
            <v>45377</v>
          </cell>
          <cell r="X5840">
            <v>41100566</v>
          </cell>
        </row>
        <row r="5841">
          <cell r="K5841" t="str">
            <v>GBWS-4250</v>
          </cell>
          <cell r="L5841">
            <v>45357</v>
          </cell>
          <cell r="M5841">
            <v>45358</v>
          </cell>
          <cell r="N5841">
            <v>45369</v>
          </cell>
          <cell r="O5841">
            <v>45358</v>
          </cell>
          <cell r="P5841">
            <v>45370</v>
          </cell>
          <cell r="Q5841">
            <v>45369</v>
          </cell>
          <cell r="R5841">
            <v>45370</v>
          </cell>
          <cell r="S5841">
            <v>45373</v>
          </cell>
          <cell r="T5841">
            <v>45376</v>
          </cell>
          <cell r="U5841">
            <v>45377</v>
          </cell>
          <cell r="V5841">
            <v>45378</v>
          </cell>
          <cell r="W5841">
            <v>45378</v>
          </cell>
          <cell r="X5841">
            <v>41100566</v>
          </cell>
        </row>
        <row r="5842">
          <cell r="K5842" t="str">
            <v>GBWS-4251</v>
          </cell>
          <cell r="L5842">
            <v>45357</v>
          </cell>
          <cell r="M5842">
            <v>45358</v>
          </cell>
          <cell r="N5842">
            <v>45369</v>
          </cell>
          <cell r="O5842">
            <v>45358</v>
          </cell>
          <cell r="P5842">
            <v>45370</v>
          </cell>
          <cell r="Q5842">
            <v>45369</v>
          </cell>
          <cell r="R5842">
            <v>45370</v>
          </cell>
          <cell r="S5842">
            <v>45373</v>
          </cell>
          <cell r="T5842">
            <v>45376</v>
          </cell>
          <cell r="U5842">
            <v>45377</v>
          </cell>
          <cell r="V5842">
            <v>45378</v>
          </cell>
          <cell r="W5842">
            <v>45378</v>
          </cell>
          <cell r="X5842">
            <v>41100566</v>
          </cell>
        </row>
        <row r="5843">
          <cell r="K5843" t="str">
            <v>GBWS-4252</v>
          </cell>
          <cell r="L5843">
            <v>45357</v>
          </cell>
          <cell r="M5843">
            <v>45358</v>
          </cell>
          <cell r="N5843">
            <v>45369</v>
          </cell>
          <cell r="O5843">
            <v>45358</v>
          </cell>
          <cell r="P5843">
            <v>45370</v>
          </cell>
          <cell r="Q5843">
            <v>45369</v>
          </cell>
          <cell r="R5843">
            <v>45370</v>
          </cell>
          <cell r="S5843">
            <v>45373</v>
          </cell>
          <cell r="T5843">
            <v>45376</v>
          </cell>
          <cell r="U5843">
            <v>45377</v>
          </cell>
          <cell r="V5843">
            <v>45378</v>
          </cell>
          <cell r="W5843">
            <v>45378</v>
          </cell>
          <cell r="X5843">
            <v>41100566</v>
          </cell>
        </row>
        <row r="5844">
          <cell r="K5844" t="str">
            <v>GBWS-4253</v>
          </cell>
          <cell r="L5844">
            <v>45357</v>
          </cell>
          <cell r="M5844">
            <v>45358</v>
          </cell>
          <cell r="N5844">
            <v>45366</v>
          </cell>
          <cell r="O5844">
            <v>45358</v>
          </cell>
          <cell r="P5844">
            <v>45371</v>
          </cell>
          <cell r="Q5844" t="str">
            <v>2024-03-15 → 3/19</v>
          </cell>
          <cell r="R5844" t="str">
            <v>2024-03-18 → 3/20</v>
          </cell>
          <cell r="S5844">
            <v>45372</v>
          </cell>
          <cell r="T5844">
            <v>45373</v>
          </cell>
          <cell r="U5844">
            <v>45376</v>
          </cell>
          <cell r="V5844">
            <v>45377</v>
          </cell>
          <cell r="W5844">
            <v>45377</v>
          </cell>
          <cell r="X5844">
            <v>41100566</v>
          </cell>
        </row>
        <row r="5845">
          <cell r="K5845" t="str">
            <v>GBWS-4243</v>
          </cell>
          <cell r="L5845">
            <v>45356</v>
          </cell>
          <cell r="M5845">
            <v>45357</v>
          </cell>
          <cell r="N5845">
            <v>45366</v>
          </cell>
          <cell r="O5845">
            <v>45357</v>
          </cell>
          <cell r="P5845">
            <v>45366</v>
          </cell>
          <cell r="Q5845" t="str">
            <v>2024-03-13 → 3/15</v>
          </cell>
          <cell r="R5845" t="str">
            <v>2024-03-14 → 3/16</v>
          </cell>
          <cell r="S5845">
            <v>45370</v>
          </cell>
          <cell r="T5845">
            <v>45371</v>
          </cell>
          <cell r="U5845">
            <v>45372</v>
          </cell>
          <cell r="V5845">
            <v>45373</v>
          </cell>
          <cell r="W5845">
            <v>45373</v>
          </cell>
          <cell r="X5845">
            <v>41100558</v>
          </cell>
        </row>
        <row r="5846">
          <cell r="K5846" t="str">
            <v>GBWS-4244</v>
          </cell>
          <cell r="L5846">
            <v>45356</v>
          </cell>
          <cell r="M5846">
            <v>45357</v>
          </cell>
          <cell r="N5846">
            <v>45366</v>
          </cell>
          <cell r="O5846">
            <v>45357</v>
          </cell>
          <cell r="P5846">
            <v>45366</v>
          </cell>
          <cell r="Q5846" t="str">
            <v>2024-03-13 → 3/15</v>
          </cell>
          <cell r="R5846" t="str">
            <v>2024-03-14 → 3/16</v>
          </cell>
          <cell r="S5846">
            <v>45370</v>
          </cell>
          <cell r="T5846">
            <v>45371</v>
          </cell>
          <cell r="U5846">
            <v>45372</v>
          </cell>
          <cell r="V5846">
            <v>45373</v>
          </cell>
          <cell r="W5846">
            <v>45373</v>
          </cell>
          <cell r="X5846">
            <v>41100558</v>
          </cell>
        </row>
        <row r="5847">
          <cell r="K5847" t="str">
            <v>WS-0086</v>
          </cell>
          <cell r="L5847">
            <v>45317</v>
          </cell>
          <cell r="M5847">
            <v>45320</v>
          </cell>
          <cell r="N5847">
            <v>45328</v>
          </cell>
          <cell r="O5847">
            <v>45320</v>
          </cell>
          <cell r="P5847">
            <v>45324</v>
          </cell>
          <cell r="Q5847">
            <v>45329</v>
          </cell>
          <cell r="R5847">
            <v>45330</v>
          </cell>
          <cell r="S5847">
            <v>45373</v>
          </cell>
          <cell r="T5847">
            <v>45377</v>
          </cell>
          <cell r="U5847">
            <v>45378</v>
          </cell>
          <cell r="V5847">
            <v>45378</v>
          </cell>
          <cell r="W5847">
            <v>45378</v>
          </cell>
          <cell r="X5847">
            <v>41100238</v>
          </cell>
        </row>
        <row r="5848">
          <cell r="K5848" t="str">
            <v>GBWS-4265</v>
          </cell>
          <cell r="L5848">
            <v>45359</v>
          </cell>
          <cell r="M5848">
            <v>45362</v>
          </cell>
          <cell r="N5848">
            <v>45366</v>
          </cell>
          <cell r="O5848">
            <v>45362</v>
          </cell>
          <cell r="P5848">
            <v>45370</v>
          </cell>
          <cell r="Q5848">
            <v>45369</v>
          </cell>
          <cell r="R5848">
            <v>45370</v>
          </cell>
          <cell r="S5848">
            <v>45371</v>
          </cell>
          <cell r="T5848">
            <v>45372</v>
          </cell>
          <cell r="U5848">
            <v>45372</v>
          </cell>
          <cell r="V5848">
            <v>45376</v>
          </cell>
          <cell r="W5848">
            <v>45376</v>
          </cell>
          <cell r="X5848">
            <v>41000531</v>
          </cell>
        </row>
        <row r="5849">
          <cell r="K5849" t="str">
            <v>GBWS-4273</v>
          </cell>
          <cell r="L5849">
            <v>45363</v>
          </cell>
          <cell r="M5849">
            <v>45364</v>
          </cell>
          <cell r="N5849">
            <v>45370</v>
          </cell>
          <cell r="O5849">
            <v>45364</v>
          </cell>
          <cell r="P5849">
            <v>45370</v>
          </cell>
          <cell r="Q5849">
            <v>45370</v>
          </cell>
          <cell r="R5849">
            <v>45371</v>
          </cell>
          <cell r="S5849">
            <v>45371</v>
          </cell>
          <cell r="T5849">
            <v>45373</v>
          </cell>
          <cell r="U5849">
            <v>45376</v>
          </cell>
          <cell r="V5849">
            <v>45377</v>
          </cell>
          <cell r="W5849">
            <v>45377</v>
          </cell>
          <cell r="X5849">
            <v>41100564</v>
          </cell>
        </row>
        <row r="5850">
          <cell r="K5850" t="str">
            <v>GBWS-4254</v>
          </cell>
          <cell r="L5850">
            <v>45358</v>
          </cell>
          <cell r="M5850">
            <v>45359</v>
          </cell>
          <cell r="N5850">
            <v>45366</v>
          </cell>
          <cell r="O5850">
            <v>45359</v>
          </cell>
          <cell r="P5850">
            <v>45369</v>
          </cell>
          <cell r="Q5850">
            <v>45369</v>
          </cell>
          <cell r="R5850">
            <v>45370</v>
          </cell>
          <cell r="S5850">
            <v>45376</v>
          </cell>
          <cell r="T5850">
            <v>45377</v>
          </cell>
          <cell r="U5850">
            <v>45378</v>
          </cell>
          <cell r="V5850">
            <v>45379</v>
          </cell>
          <cell r="W5850">
            <v>45379</v>
          </cell>
          <cell r="X5850">
            <v>41100564</v>
          </cell>
        </row>
        <row r="5851">
          <cell r="K5851" t="str">
            <v>GBWS-4255</v>
          </cell>
          <cell r="L5851">
            <v>45358</v>
          </cell>
          <cell r="M5851">
            <v>45359</v>
          </cell>
          <cell r="N5851">
            <v>45366</v>
          </cell>
          <cell r="O5851">
            <v>45359</v>
          </cell>
          <cell r="P5851">
            <v>45369</v>
          </cell>
          <cell r="Q5851">
            <v>45369</v>
          </cell>
          <cell r="R5851">
            <v>45370</v>
          </cell>
          <cell r="S5851">
            <v>45376</v>
          </cell>
          <cell r="T5851">
            <v>45377</v>
          </cell>
          <cell r="U5851">
            <v>45378</v>
          </cell>
          <cell r="V5851">
            <v>45379</v>
          </cell>
          <cell r="W5851">
            <v>45379</v>
          </cell>
          <cell r="X5851">
            <v>41100564</v>
          </cell>
        </row>
        <row r="5852">
          <cell r="K5852" t="str">
            <v>GBWS-4256</v>
          </cell>
          <cell r="L5852">
            <v>45358</v>
          </cell>
          <cell r="M5852">
            <v>45359</v>
          </cell>
          <cell r="N5852">
            <v>45366</v>
          </cell>
          <cell r="O5852">
            <v>45359</v>
          </cell>
          <cell r="P5852">
            <v>45369</v>
          </cell>
          <cell r="Q5852">
            <v>45369</v>
          </cell>
          <cell r="R5852">
            <v>45370</v>
          </cell>
          <cell r="S5852">
            <v>45376</v>
          </cell>
          <cell r="T5852">
            <v>45377</v>
          </cell>
          <cell r="U5852">
            <v>45378</v>
          </cell>
          <cell r="V5852">
            <v>45379</v>
          </cell>
          <cell r="W5852">
            <v>45379</v>
          </cell>
          <cell r="X5852">
            <v>41100564</v>
          </cell>
        </row>
        <row r="5853">
          <cell r="K5853" t="str">
            <v>GBWS-4257</v>
          </cell>
          <cell r="L5853">
            <v>45358</v>
          </cell>
          <cell r="M5853">
            <v>45359</v>
          </cell>
          <cell r="N5853">
            <v>45366</v>
          </cell>
          <cell r="O5853">
            <v>45359</v>
          </cell>
          <cell r="P5853">
            <v>45369</v>
          </cell>
          <cell r="Q5853">
            <v>45369</v>
          </cell>
          <cell r="R5853">
            <v>45370</v>
          </cell>
          <cell r="S5853">
            <v>45376</v>
          </cell>
          <cell r="T5853">
            <v>45377</v>
          </cell>
          <cell r="U5853">
            <v>45378</v>
          </cell>
          <cell r="V5853">
            <v>45379</v>
          </cell>
          <cell r="W5853">
            <v>45379</v>
          </cell>
          <cell r="X5853">
            <v>41100564</v>
          </cell>
        </row>
        <row r="5854">
          <cell r="K5854" t="str">
            <v>GBWS-4261</v>
          </cell>
          <cell r="L5854">
            <v>45358</v>
          </cell>
          <cell r="M5854">
            <v>45359</v>
          </cell>
          <cell r="N5854">
            <v>45366</v>
          </cell>
          <cell r="O5854">
            <v>45359</v>
          </cell>
          <cell r="P5854">
            <v>45370</v>
          </cell>
          <cell r="Q5854">
            <v>45369</v>
          </cell>
          <cell r="R5854">
            <v>45370</v>
          </cell>
          <cell r="S5854">
            <v>45376</v>
          </cell>
          <cell r="T5854">
            <v>45377</v>
          </cell>
          <cell r="U5854">
            <v>45378</v>
          </cell>
          <cell r="V5854">
            <v>45379</v>
          </cell>
          <cell r="W5854">
            <v>45379</v>
          </cell>
          <cell r="X5854">
            <v>41000555</v>
          </cell>
        </row>
        <row r="5855">
          <cell r="K5855" t="str">
            <v>GBWS-4285</v>
          </cell>
          <cell r="L5855">
            <v>45364</v>
          </cell>
          <cell r="M5855">
            <v>45365</v>
          </cell>
          <cell r="N5855">
            <v>45371</v>
          </cell>
          <cell r="O5855">
            <v>45365</v>
          </cell>
          <cell r="P5855">
            <v>45372</v>
          </cell>
          <cell r="Q5855">
            <v>45371</v>
          </cell>
          <cell r="R5855">
            <v>45372</v>
          </cell>
          <cell r="S5855">
            <v>45373</v>
          </cell>
          <cell r="T5855">
            <v>45376</v>
          </cell>
          <cell r="U5855">
            <v>45377</v>
          </cell>
          <cell r="V5855">
            <v>45378</v>
          </cell>
          <cell r="W5855">
            <v>45378</v>
          </cell>
          <cell r="X5855">
            <v>41100584</v>
          </cell>
        </row>
        <row r="5856">
          <cell r="K5856" t="str">
            <v>GBWS-4286</v>
          </cell>
          <cell r="L5856">
            <v>45364</v>
          </cell>
          <cell r="M5856">
            <v>45365</v>
          </cell>
          <cell r="N5856">
            <v>45371</v>
          </cell>
          <cell r="O5856">
            <v>45365</v>
          </cell>
          <cell r="P5856">
            <v>45372</v>
          </cell>
          <cell r="Q5856">
            <v>45371</v>
          </cell>
          <cell r="R5856">
            <v>45372</v>
          </cell>
          <cell r="S5856">
            <v>45373</v>
          </cell>
          <cell r="T5856">
            <v>45376</v>
          </cell>
          <cell r="U5856">
            <v>45377</v>
          </cell>
          <cell r="V5856">
            <v>45378</v>
          </cell>
          <cell r="W5856">
            <v>45378</v>
          </cell>
          <cell r="X5856">
            <v>41100584</v>
          </cell>
        </row>
        <row r="5857">
          <cell r="K5857" t="str">
            <v>GBWS-4272</v>
          </cell>
          <cell r="L5857">
            <v>45362</v>
          </cell>
          <cell r="M5857">
            <v>45363</v>
          </cell>
          <cell r="N5857">
            <v>45369</v>
          </cell>
          <cell r="O5857">
            <v>45363</v>
          </cell>
          <cell r="P5857">
            <v>45370</v>
          </cell>
          <cell r="Q5857">
            <v>45369</v>
          </cell>
          <cell r="R5857">
            <v>45370</v>
          </cell>
          <cell r="S5857">
            <v>45372</v>
          </cell>
          <cell r="T5857">
            <v>45373</v>
          </cell>
          <cell r="U5857">
            <v>45376</v>
          </cell>
          <cell r="V5857">
            <v>45377</v>
          </cell>
          <cell r="W5857">
            <v>45377</v>
          </cell>
          <cell r="X5857">
            <v>41100698</v>
          </cell>
        </row>
        <row r="5858">
          <cell r="K5858" t="str">
            <v>GBWS-4276</v>
          </cell>
          <cell r="L5858">
            <v>45363</v>
          </cell>
          <cell r="M5858">
            <v>45364</v>
          </cell>
          <cell r="N5858">
            <v>45370</v>
          </cell>
          <cell r="O5858">
            <v>45364</v>
          </cell>
          <cell r="P5858">
            <v>45372</v>
          </cell>
          <cell r="Q5858">
            <v>45371</v>
          </cell>
          <cell r="R5858">
            <v>45372</v>
          </cell>
          <cell r="S5858">
            <v>45373</v>
          </cell>
          <cell r="T5858">
            <v>45376</v>
          </cell>
          <cell r="U5858">
            <v>45377</v>
          </cell>
          <cell r="V5858">
            <v>45378</v>
          </cell>
          <cell r="W5858">
            <v>45378</v>
          </cell>
          <cell r="X5858">
            <v>41100698</v>
          </cell>
        </row>
        <row r="5859">
          <cell r="K5859" t="str">
            <v>GBWS-4277</v>
          </cell>
          <cell r="L5859">
            <v>45363</v>
          </cell>
          <cell r="M5859">
            <v>45364</v>
          </cell>
          <cell r="N5859">
            <v>45370</v>
          </cell>
          <cell r="O5859">
            <v>45364</v>
          </cell>
          <cell r="P5859">
            <v>45372</v>
          </cell>
          <cell r="Q5859">
            <v>45371</v>
          </cell>
          <cell r="R5859">
            <v>45372</v>
          </cell>
          <cell r="S5859">
            <v>45373</v>
          </cell>
          <cell r="T5859">
            <v>45376</v>
          </cell>
          <cell r="U5859">
            <v>45377</v>
          </cell>
          <cell r="V5859">
            <v>45378</v>
          </cell>
          <cell r="W5859">
            <v>45378</v>
          </cell>
          <cell r="X5859">
            <v>41100698</v>
          </cell>
        </row>
        <row r="5860">
          <cell r="K5860" t="str">
            <v>GBWS-4278</v>
          </cell>
          <cell r="L5860">
            <v>45363</v>
          </cell>
          <cell r="M5860">
            <v>45364</v>
          </cell>
          <cell r="N5860">
            <v>45370</v>
          </cell>
          <cell r="O5860">
            <v>45364</v>
          </cell>
          <cell r="P5860">
            <v>45372</v>
          </cell>
          <cell r="Q5860">
            <v>45371</v>
          </cell>
          <cell r="R5860">
            <v>45372</v>
          </cell>
          <cell r="S5860">
            <v>45373</v>
          </cell>
          <cell r="T5860">
            <v>45376</v>
          </cell>
          <cell r="U5860">
            <v>45377</v>
          </cell>
          <cell r="V5860">
            <v>45378</v>
          </cell>
          <cell r="W5860">
            <v>45378</v>
          </cell>
          <cell r="X5860">
            <v>41100698</v>
          </cell>
        </row>
        <row r="5861">
          <cell r="K5861" t="str">
            <v>GBWS-4279</v>
          </cell>
          <cell r="L5861">
            <v>45363</v>
          </cell>
          <cell r="M5861">
            <v>45364</v>
          </cell>
          <cell r="N5861">
            <v>45370</v>
          </cell>
          <cell r="O5861">
            <v>45364</v>
          </cell>
          <cell r="P5861">
            <v>45372</v>
          </cell>
          <cell r="Q5861">
            <v>45371</v>
          </cell>
          <cell r="R5861">
            <v>45372</v>
          </cell>
          <cell r="S5861">
            <v>45376</v>
          </cell>
          <cell r="T5861">
            <v>45377</v>
          </cell>
          <cell r="U5861">
            <v>45378</v>
          </cell>
          <cell r="V5861">
            <v>45378</v>
          </cell>
          <cell r="W5861">
            <v>45378</v>
          </cell>
          <cell r="X5861">
            <v>41100698</v>
          </cell>
        </row>
        <row r="5862">
          <cell r="K5862" t="str">
            <v>GBWS-4280</v>
          </cell>
          <cell r="L5862">
            <v>45363</v>
          </cell>
          <cell r="M5862">
            <v>45364</v>
          </cell>
          <cell r="N5862">
            <v>45370</v>
          </cell>
          <cell r="O5862">
            <v>45364</v>
          </cell>
          <cell r="P5862">
            <v>45372</v>
          </cell>
          <cell r="Q5862">
            <v>45371</v>
          </cell>
          <cell r="R5862">
            <v>45372</v>
          </cell>
          <cell r="S5862">
            <v>45376</v>
          </cell>
          <cell r="T5862">
            <v>45377</v>
          </cell>
          <cell r="U5862">
            <v>45378</v>
          </cell>
          <cell r="V5862">
            <v>45378</v>
          </cell>
          <cell r="W5862">
            <v>45378</v>
          </cell>
          <cell r="X5862">
            <v>41100698</v>
          </cell>
        </row>
        <row r="5863">
          <cell r="K5863" t="str">
            <v>DBW-3284</v>
          </cell>
          <cell r="L5863">
            <v>45358</v>
          </cell>
          <cell r="M5863">
            <v>45359</v>
          </cell>
          <cell r="N5863">
            <v>45366</v>
          </cell>
          <cell r="O5863">
            <v>45359</v>
          </cell>
          <cell r="P5863">
            <v>45369</v>
          </cell>
          <cell r="Q5863">
            <v>45366</v>
          </cell>
          <cell r="R5863">
            <v>45369</v>
          </cell>
          <cell r="S5863">
            <v>45372</v>
          </cell>
          <cell r="T5863">
            <v>45373</v>
          </cell>
          <cell r="U5863">
            <v>45376</v>
          </cell>
          <cell r="V5863">
            <v>45377</v>
          </cell>
          <cell r="W5863">
            <v>45377</v>
          </cell>
          <cell r="X5863">
            <v>41100099</v>
          </cell>
        </row>
        <row r="5864">
          <cell r="K5864" t="str">
            <v>GBWS-4287</v>
          </cell>
          <cell r="L5864">
            <v>45364</v>
          </cell>
          <cell r="M5864">
            <v>45365</v>
          </cell>
          <cell r="N5864">
            <v>45373</v>
          </cell>
          <cell r="O5864">
            <v>45365</v>
          </cell>
          <cell r="P5864">
            <v>45376</v>
          </cell>
          <cell r="Q5864">
            <v>45373</v>
          </cell>
          <cell r="R5864">
            <v>45376</v>
          </cell>
          <cell r="S5864">
            <v>45377</v>
          </cell>
          <cell r="T5864">
            <v>45378</v>
          </cell>
          <cell r="U5864">
            <v>45379</v>
          </cell>
          <cell r="V5864">
            <v>45380</v>
          </cell>
          <cell r="W5864">
            <v>45380</v>
          </cell>
          <cell r="X5864">
            <v>41100502</v>
          </cell>
        </row>
        <row r="5865">
          <cell r="K5865" t="str">
            <v>GBWS-4288</v>
          </cell>
          <cell r="L5865">
            <v>45364</v>
          </cell>
          <cell r="M5865">
            <v>45365</v>
          </cell>
          <cell r="N5865">
            <v>45373</v>
          </cell>
          <cell r="O5865">
            <v>45365</v>
          </cell>
          <cell r="P5865">
            <v>45376</v>
          </cell>
          <cell r="Q5865">
            <v>45373</v>
          </cell>
          <cell r="R5865">
            <v>45376</v>
          </cell>
          <cell r="S5865">
            <v>45377</v>
          </cell>
          <cell r="T5865">
            <v>45378</v>
          </cell>
          <cell r="U5865">
            <v>45379</v>
          </cell>
          <cell r="V5865">
            <v>45380</v>
          </cell>
          <cell r="W5865">
            <v>45380</v>
          </cell>
          <cell r="X5865">
            <v>41100502</v>
          </cell>
        </row>
        <row r="5866">
          <cell r="K5866" t="str">
            <v>GBWS-4263</v>
          </cell>
          <cell r="L5866">
            <v>45359</v>
          </cell>
          <cell r="M5866">
            <v>45362</v>
          </cell>
          <cell r="N5866">
            <v>45371</v>
          </cell>
          <cell r="O5866">
            <v>45362</v>
          </cell>
          <cell r="P5866">
            <v>45373</v>
          </cell>
          <cell r="Q5866">
            <v>45372</v>
          </cell>
          <cell r="R5866">
            <v>45373</v>
          </cell>
          <cell r="S5866">
            <v>45373</v>
          </cell>
          <cell r="T5866">
            <v>45377</v>
          </cell>
          <cell r="U5866">
            <v>45378</v>
          </cell>
          <cell r="V5866">
            <v>45379</v>
          </cell>
          <cell r="W5866">
            <v>45379</v>
          </cell>
          <cell r="X5866">
            <v>41100318</v>
          </cell>
        </row>
        <row r="5867">
          <cell r="K5867" t="str">
            <v>GBWS-4264</v>
          </cell>
          <cell r="L5867">
            <v>45359</v>
          </cell>
          <cell r="M5867">
            <v>45362</v>
          </cell>
          <cell r="N5867">
            <v>45371</v>
          </cell>
          <cell r="O5867">
            <v>45362</v>
          </cell>
          <cell r="P5867">
            <v>45369</v>
          </cell>
          <cell r="Q5867">
            <v>45372</v>
          </cell>
          <cell r="R5867">
            <v>45373</v>
          </cell>
          <cell r="S5867">
            <v>45377</v>
          </cell>
          <cell r="T5867">
            <v>45378</v>
          </cell>
          <cell r="U5867">
            <v>45379</v>
          </cell>
          <cell r="V5867">
            <v>45380</v>
          </cell>
          <cell r="W5867">
            <v>45380</v>
          </cell>
          <cell r="X5867">
            <v>41100363</v>
          </cell>
        </row>
        <row r="5868">
          <cell r="K5868" t="str">
            <v>DS-0097</v>
          </cell>
          <cell r="L5868">
            <v>45345</v>
          </cell>
          <cell r="M5868">
            <v>45348</v>
          </cell>
          <cell r="N5868">
            <v>45359</v>
          </cell>
          <cell r="O5868">
            <v>45348</v>
          </cell>
          <cell r="P5868">
            <v>45358</v>
          </cell>
          <cell r="Q5868" t="str">
            <v>2024-03-05 → 3/13</v>
          </cell>
          <cell r="R5868" t="str">
            <v>2024-03-06 → 3/13</v>
          </cell>
          <cell r="S5868">
            <v>45358</v>
          </cell>
          <cell r="T5868">
            <v>45359</v>
          </cell>
          <cell r="U5868">
            <v>45362</v>
          </cell>
          <cell r="V5868">
            <v>45365</v>
          </cell>
          <cell r="W5868">
            <v>45365</v>
          </cell>
          <cell r="X5868">
            <v>41000580</v>
          </cell>
        </row>
        <row r="5869">
          <cell r="K5869" t="str">
            <v>DBW-3285</v>
          </cell>
          <cell r="L5869">
            <v>45359</v>
          </cell>
          <cell r="M5869">
            <v>45362</v>
          </cell>
          <cell r="N5869">
            <v>45366</v>
          </cell>
          <cell r="O5869">
            <v>45362</v>
          </cell>
          <cell r="P5869">
            <v>45369</v>
          </cell>
          <cell r="Q5869">
            <v>45369</v>
          </cell>
          <cell r="R5869">
            <v>45369</v>
          </cell>
          <cell r="S5869">
            <v>45371</v>
          </cell>
          <cell r="T5869">
            <v>45372</v>
          </cell>
          <cell r="U5869">
            <v>45373</v>
          </cell>
          <cell r="V5869">
            <v>45376</v>
          </cell>
          <cell r="W5869">
            <v>45376</v>
          </cell>
          <cell r="X5869">
            <v>41000589</v>
          </cell>
        </row>
        <row r="5870">
          <cell r="K5870" t="str">
            <v>DBW-3286</v>
          </cell>
          <cell r="L5870">
            <v>45359</v>
          </cell>
          <cell r="M5870">
            <v>45362</v>
          </cell>
          <cell r="N5870">
            <v>45366</v>
          </cell>
          <cell r="O5870">
            <v>45362</v>
          </cell>
          <cell r="P5870">
            <v>45369</v>
          </cell>
          <cell r="Q5870">
            <v>45369</v>
          </cell>
          <cell r="R5870">
            <v>45369</v>
          </cell>
          <cell r="S5870">
            <v>45371</v>
          </cell>
          <cell r="T5870">
            <v>45372</v>
          </cell>
          <cell r="U5870">
            <v>45373</v>
          </cell>
          <cell r="V5870">
            <v>45376</v>
          </cell>
          <cell r="W5870">
            <v>45376</v>
          </cell>
          <cell r="X5870">
            <v>41000589</v>
          </cell>
        </row>
        <row r="5871">
          <cell r="K5871" t="str">
            <v>GBWS-4258</v>
          </cell>
          <cell r="L5871">
            <v>45358</v>
          </cell>
          <cell r="M5871">
            <v>45359</v>
          </cell>
          <cell r="N5871">
            <v>45366</v>
          </cell>
          <cell r="O5871">
            <v>45359</v>
          </cell>
          <cell r="P5871">
            <v>45369</v>
          </cell>
          <cell r="Q5871">
            <v>45366</v>
          </cell>
          <cell r="R5871">
            <v>45369</v>
          </cell>
          <cell r="S5871">
            <v>45373</v>
          </cell>
          <cell r="T5871">
            <v>45376</v>
          </cell>
          <cell r="U5871">
            <v>45377</v>
          </cell>
          <cell r="V5871">
            <v>45379</v>
          </cell>
          <cell r="W5871">
            <v>45379</v>
          </cell>
          <cell r="X5871">
            <v>41100564</v>
          </cell>
        </row>
        <row r="5872">
          <cell r="K5872" t="str">
            <v>GBWS-4290</v>
          </cell>
          <cell r="L5872">
            <v>45365</v>
          </cell>
          <cell r="M5872">
            <v>45366</v>
          </cell>
          <cell r="N5872">
            <v>45376</v>
          </cell>
          <cell r="O5872">
            <v>45366</v>
          </cell>
          <cell r="P5872">
            <v>45377</v>
          </cell>
          <cell r="Q5872">
            <v>45376</v>
          </cell>
          <cell r="R5872">
            <v>45377</v>
          </cell>
          <cell r="S5872">
            <v>45378</v>
          </cell>
          <cell r="T5872">
            <v>45379</v>
          </cell>
          <cell r="U5872">
            <v>45380</v>
          </cell>
          <cell r="V5872">
            <v>45383</v>
          </cell>
          <cell r="W5872">
            <v>45383</v>
          </cell>
          <cell r="X5872">
            <v>41100566</v>
          </cell>
        </row>
        <row r="5873">
          <cell r="K5873" t="str">
            <v>GBWS-4291</v>
          </cell>
          <cell r="L5873">
            <v>45365</v>
          </cell>
          <cell r="M5873">
            <v>45366</v>
          </cell>
          <cell r="N5873">
            <v>45376</v>
          </cell>
          <cell r="O5873">
            <v>45366</v>
          </cell>
          <cell r="P5873">
            <v>45377</v>
          </cell>
          <cell r="Q5873">
            <v>45376</v>
          </cell>
          <cell r="R5873">
            <v>45377</v>
          </cell>
          <cell r="S5873">
            <v>45378</v>
          </cell>
          <cell r="T5873">
            <v>45379</v>
          </cell>
          <cell r="U5873">
            <v>45380</v>
          </cell>
          <cell r="V5873">
            <v>45383</v>
          </cell>
          <cell r="W5873">
            <v>45383</v>
          </cell>
          <cell r="X5873">
            <v>41100566</v>
          </cell>
        </row>
        <row r="5874">
          <cell r="K5874" t="str">
            <v>GBWS-4090</v>
          </cell>
          <cell r="L5874">
            <v>45320</v>
          </cell>
          <cell r="M5874">
            <v>45321</v>
          </cell>
          <cell r="N5874">
            <v>45328</v>
          </cell>
          <cell r="O5874">
            <v>45321</v>
          </cell>
          <cell r="P5874">
            <v>45328</v>
          </cell>
          <cell r="Q5874">
            <v>45330</v>
          </cell>
          <cell r="R5874">
            <v>45335</v>
          </cell>
          <cell r="S5874">
            <v>45337</v>
          </cell>
          <cell r="T5874">
            <v>45338</v>
          </cell>
          <cell r="U5874">
            <v>45341</v>
          </cell>
          <cell r="V5874">
            <v>45342</v>
          </cell>
          <cell r="W5874">
            <v>45342</v>
          </cell>
          <cell r="X5874">
            <v>41100642</v>
          </cell>
        </row>
        <row r="5875">
          <cell r="K5875" t="str">
            <v>GBWS-4091</v>
          </cell>
          <cell r="L5875">
            <v>45320</v>
          </cell>
          <cell r="M5875">
            <v>45321</v>
          </cell>
          <cell r="N5875">
            <v>45328</v>
          </cell>
          <cell r="O5875">
            <v>45321</v>
          </cell>
          <cell r="P5875">
            <v>45328</v>
          </cell>
          <cell r="Q5875">
            <v>45330</v>
          </cell>
          <cell r="R5875">
            <v>45335</v>
          </cell>
          <cell r="S5875">
            <v>45337</v>
          </cell>
          <cell r="T5875">
            <v>45338</v>
          </cell>
          <cell r="U5875">
            <v>45341</v>
          </cell>
          <cell r="V5875">
            <v>45342</v>
          </cell>
          <cell r="W5875">
            <v>45342</v>
          </cell>
          <cell r="X5875">
            <v>41100642</v>
          </cell>
        </row>
        <row r="5876">
          <cell r="K5876" t="str">
            <v>GBWS-4293</v>
          </cell>
          <cell r="L5876">
            <v>45365</v>
          </cell>
          <cell r="M5876">
            <v>45366</v>
          </cell>
          <cell r="N5876">
            <v>45376</v>
          </cell>
          <cell r="O5876">
            <v>45366</v>
          </cell>
          <cell r="P5876">
            <v>45377</v>
          </cell>
          <cell r="Q5876">
            <v>45376</v>
          </cell>
          <cell r="R5876">
            <v>45377</v>
          </cell>
          <cell r="S5876">
            <v>45378</v>
          </cell>
          <cell r="T5876">
            <v>45379</v>
          </cell>
          <cell r="U5876">
            <v>45380</v>
          </cell>
          <cell r="V5876">
            <v>45383</v>
          </cell>
          <cell r="W5876">
            <v>45383</v>
          </cell>
          <cell r="X5876">
            <v>41100566</v>
          </cell>
        </row>
        <row r="5877">
          <cell r="K5877" t="str">
            <v>GPWS-0317</v>
          </cell>
          <cell r="L5877">
            <v>45356</v>
          </cell>
          <cell r="M5877">
            <v>45357</v>
          </cell>
          <cell r="N5877">
            <v>45366</v>
          </cell>
          <cell r="O5877">
            <v>45357</v>
          </cell>
          <cell r="P5877">
            <v>45367</v>
          </cell>
          <cell r="Q5877" t="str">
            <v>2024-03-13 → 3/15</v>
          </cell>
          <cell r="R5877" t="str">
            <v>2024-03-14 → 3/16</v>
          </cell>
          <cell r="S5877">
            <v>45370</v>
          </cell>
          <cell r="T5877">
            <v>45371</v>
          </cell>
          <cell r="U5877">
            <v>45384</v>
          </cell>
          <cell r="V5877">
            <v>45384</v>
          </cell>
          <cell r="W5877">
            <v>45384</v>
          </cell>
          <cell r="X5877">
            <v>41000601</v>
          </cell>
        </row>
        <row r="5878">
          <cell r="K5878" t="str">
            <v>GPWS-0318</v>
          </cell>
          <cell r="L5878">
            <v>45356</v>
          </cell>
          <cell r="M5878">
            <v>45357</v>
          </cell>
          <cell r="N5878">
            <v>45366</v>
          </cell>
          <cell r="O5878">
            <v>45357</v>
          </cell>
          <cell r="P5878">
            <v>45367</v>
          </cell>
          <cell r="Q5878" t="str">
            <v>2024-03-13 → 3/15</v>
          </cell>
          <cell r="R5878" t="str">
            <v>2024-03-14 → 3/16</v>
          </cell>
          <cell r="S5878">
            <v>45370</v>
          </cell>
          <cell r="T5878">
            <v>45371</v>
          </cell>
          <cell r="U5878">
            <v>45384</v>
          </cell>
          <cell r="V5878">
            <v>45384</v>
          </cell>
          <cell r="W5878">
            <v>45384</v>
          </cell>
          <cell r="X5878">
            <v>41000601</v>
          </cell>
        </row>
        <row r="5879">
          <cell r="K5879" t="str">
            <v>GBWS-4297</v>
          </cell>
          <cell r="L5879">
            <v>45366</v>
          </cell>
          <cell r="M5879">
            <v>45369</v>
          </cell>
          <cell r="N5879">
            <v>45376</v>
          </cell>
          <cell r="O5879">
            <v>45369</v>
          </cell>
          <cell r="P5879">
            <v>45377</v>
          </cell>
          <cell r="Q5879">
            <v>45376</v>
          </cell>
          <cell r="R5879">
            <v>45377</v>
          </cell>
          <cell r="S5879">
            <v>45378</v>
          </cell>
          <cell r="T5879">
            <v>45379</v>
          </cell>
          <cell r="U5879">
            <v>45380</v>
          </cell>
          <cell r="V5879">
            <v>45383</v>
          </cell>
          <cell r="W5879">
            <v>45383</v>
          </cell>
          <cell r="X5879">
            <v>41100564</v>
          </cell>
        </row>
        <row r="5880">
          <cell r="K5880" t="str">
            <v>GBWS-4311</v>
          </cell>
          <cell r="L5880">
            <v>45369</v>
          </cell>
          <cell r="M5880">
            <v>45370</v>
          </cell>
          <cell r="N5880">
            <v>45376</v>
          </cell>
          <cell r="O5880">
            <v>45370</v>
          </cell>
          <cell r="P5880">
            <v>45377</v>
          </cell>
          <cell r="Q5880">
            <v>45377</v>
          </cell>
          <cell r="R5880">
            <v>45378</v>
          </cell>
          <cell r="S5880">
            <v>45378</v>
          </cell>
          <cell r="T5880">
            <v>45380</v>
          </cell>
          <cell r="U5880">
            <v>45383</v>
          </cell>
          <cell r="V5880">
            <v>45384</v>
          </cell>
          <cell r="W5880">
            <v>45384</v>
          </cell>
          <cell r="X5880">
            <v>41100642</v>
          </cell>
        </row>
        <row r="5881">
          <cell r="K5881" t="str">
            <v>GBWS-4303</v>
          </cell>
          <cell r="L5881">
            <v>45369</v>
          </cell>
          <cell r="M5881">
            <v>45370</v>
          </cell>
          <cell r="N5881">
            <v>45377</v>
          </cell>
          <cell r="O5881">
            <v>45370</v>
          </cell>
          <cell r="P5881">
            <v>45378</v>
          </cell>
          <cell r="Q5881">
            <v>45377</v>
          </cell>
          <cell r="R5881">
            <v>45378</v>
          </cell>
          <cell r="S5881">
            <v>45378</v>
          </cell>
          <cell r="T5881">
            <v>45379</v>
          </cell>
          <cell r="U5881">
            <v>45380</v>
          </cell>
          <cell r="V5881">
            <v>45383</v>
          </cell>
          <cell r="W5881">
            <v>45383</v>
          </cell>
          <cell r="X5881">
            <v>41100558</v>
          </cell>
        </row>
        <row r="5882">
          <cell r="K5882" t="str">
            <v>GBWS-4304</v>
          </cell>
          <cell r="L5882">
            <v>45369</v>
          </cell>
          <cell r="M5882">
            <v>45370</v>
          </cell>
          <cell r="N5882">
            <v>45377</v>
          </cell>
          <cell r="O5882">
            <v>45370</v>
          </cell>
          <cell r="P5882">
            <v>45378</v>
          </cell>
          <cell r="Q5882">
            <v>45377</v>
          </cell>
          <cell r="R5882">
            <v>45378</v>
          </cell>
          <cell r="S5882">
            <v>45378</v>
          </cell>
          <cell r="T5882">
            <v>45379</v>
          </cell>
          <cell r="U5882">
            <v>45380</v>
          </cell>
          <cell r="V5882">
            <v>45383</v>
          </cell>
          <cell r="W5882">
            <v>45383</v>
          </cell>
          <cell r="X5882">
            <v>41100558</v>
          </cell>
        </row>
        <row r="5883">
          <cell r="K5883" t="str">
            <v>GBWS-4294</v>
          </cell>
          <cell r="L5883">
            <v>45366</v>
          </cell>
          <cell r="M5883">
            <v>45369</v>
          </cell>
          <cell r="N5883">
            <v>45376</v>
          </cell>
          <cell r="O5883">
            <v>45369</v>
          </cell>
          <cell r="P5883">
            <v>45377</v>
          </cell>
          <cell r="Q5883">
            <v>45377</v>
          </cell>
          <cell r="R5883">
            <v>45378</v>
          </cell>
          <cell r="S5883">
            <v>45379</v>
          </cell>
          <cell r="T5883">
            <v>45380</v>
          </cell>
          <cell r="U5883">
            <v>45383</v>
          </cell>
          <cell r="V5883">
            <v>45384</v>
          </cell>
          <cell r="W5883">
            <v>45384</v>
          </cell>
          <cell r="X5883">
            <v>41100462</v>
          </cell>
        </row>
        <row r="5884">
          <cell r="K5884" t="str">
            <v>GBWS-4295</v>
          </cell>
          <cell r="L5884">
            <v>45366</v>
          </cell>
          <cell r="M5884">
            <v>45369</v>
          </cell>
          <cell r="N5884">
            <v>45376</v>
          </cell>
          <cell r="O5884">
            <v>45369</v>
          </cell>
          <cell r="P5884">
            <v>45377</v>
          </cell>
          <cell r="Q5884">
            <v>45377</v>
          </cell>
          <cell r="R5884">
            <v>45378</v>
          </cell>
          <cell r="S5884">
            <v>45379</v>
          </cell>
          <cell r="T5884">
            <v>45380</v>
          </cell>
          <cell r="U5884">
            <v>45383</v>
          </cell>
          <cell r="V5884">
            <v>45384</v>
          </cell>
          <cell r="W5884">
            <v>45384</v>
          </cell>
          <cell r="X5884">
            <v>41100462</v>
          </cell>
        </row>
        <row r="5885">
          <cell r="K5885" t="str">
            <v>GBWS-4296</v>
          </cell>
          <cell r="L5885">
            <v>45366</v>
          </cell>
          <cell r="M5885">
            <v>45369</v>
          </cell>
          <cell r="N5885">
            <v>45376</v>
          </cell>
          <cell r="O5885">
            <v>45369</v>
          </cell>
          <cell r="P5885">
            <v>45377</v>
          </cell>
          <cell r="Q5885">
            <v>45377</v>
          </cell>
          <cell r="R5885">
            <v>45378</v>
          </cell>
          <cell r="S5885">
            <v>45379</v>
          </cell>
          <cell r="T5885">
            <v>45380</v>
          </cell>
          <cell r="U5885">
            <v>45383</v>
          </cell>
          <cell r="V5885">
            <v>45384</v>
          </cell>
          <cell r="W5885">
            <v>45384</v>
          </cell>
          <cell r="X5885">
            <v>41100462</v>
          </cell>
        </row>
        <row r="5886">
          <cell r="K5886" t="str">
            <v>GBWS-4301</v>
          </cell>
          <cell r="L5886">
            <v>45369</v>
          </cell>
          <cell r="M5886">
            <v>45370</v>
          </cell>
          <cell r="N5886">
            <v>45378</v>
          </cell>
          <cell r="O5886">
            <v>45370</v>
          </cell>
          <cell r="P5886">
            <v>45377</v>
          </cell>
          <cell r="Q5886">
            <v>45378</v>
          </cell>
          <cell r="R5886">
            <v>45379</v>
          </cell>
          <cell r="S5886">
            <v>45379</v>
          </cell>
          <cell r="T5886">
            <v>45380</v>
          </cell>
          <cell r="U5886">
            <v>45383</v>
          </cell>
          <cell r="V5886">
            <v>45384</v>
          </cell>
          <cell r="W5886">
            <v>45384</v>
          </cell>
          <cell r="X5886">
            <v>41100507</v>
          </cell>
        </row>
        <row r="5887">
          <cell r="K5887" t="str">
            <v>GBWS-4302</v>
          </cell>
          <cell r="L5887">
            <v>45369</v>
          </cell>
          <cell r="M5887">
            <v>45370</v>
          </cell>
          <cell r="N5887">
            <v>45376</v>
          </cell>
          <cell r="O5887">
            <v>45370</v>
          </cell>
          <cell r="P5887">
            <v>45377</v>
          </cell>
          <cell r="Q5887">
            <v>45376</v>
          </cell>
          <cell r="R5887">
            <v>45377</v>
          </cell>
          <cell r="S5887">
            <v>45378</v>
          </cell>
          <cell r="T5887">
            <v>45379</v>
          </cell>
          <cell r="U5887">
            <v>45383</v>
          </cell>
          <cell r="V5887">
            <v>45383</v>
          </cell>
          <cell r="W5887">
            <v>45383</v>
          </cell>
          <cell r="X5887">
            <v>41100590</v>
          </cell>
        </row>
        <row r="5888">
          <cell r="K5888" t="str">
            <v>GBWS-4289</v>
          </cell>
          <cell r="L5888">
            <v>45365</v>
          </cell>
          <cell r="M5888">
            <v>45366</v>
          </cell>
          <cell r="N5888">
            <v>45373</v>
          </cell>
          <cell r="O5888">
            <v>45366</v>
          </cell>
          <cell r="P5888">
            <v>45377</v>
          </cell>
          <cell r="Q5888">
            <v>45376</v>
          </cell>
          <cell r="R5888">
            <v>45377</v>
          </cell>
          <cell r="S5888">
            <v>45378</v>
          </cell>
          <cell r="T5888">
            <v>45379</v>
          </cell>
          <cell r="U5888">
            <v>45380</v>
          </cell>
          <cell r="V5888">
            <v>45383</v>
          </cell>
          <cell r="W5888">
            <v>45383</v>
          </cell>
          <cell r="X5888">
            <v>41100633</v>
          </cell>
        </row>
        <row r="5889">
          <cell r="K5889" t="str">
            <v>GBWS-4307</v>
          </cell>
          <cell r="L5889">
            <v>45369</v>
          </cell>
          <cell r="M5889">
            <v>45370</v>
          </cell>
          <cell r="N5889">
            <v>45376</v>
          </cell>
          <cell r="O5889">
            <v>45370</v>
          </cell>
          <cell r="P5889">
            <v>45378</v>
          </cell>
          <cell r="Q5889">
            <v>45377</v>
          </cell>
          <cell r="R5889">
            <v>45378</v>
          </cell>
          <cell r="S5889">
            <v>45380</v>
          </cell>
          <cell r="T5889">
            <v>45383</v>
          </cell>
          <cell r="U5889">
            <v>45384</v>
          </cell>
          <cell r="V5889">
            <v>45385</v>
          </cell>
          <cell r="W5889">
            <v>45385</v>
          </cell>
          <cell r="X5889">
            <v>41100564</v>
          </cell>
        </row>
        <row r="5890">
          <cell r="K5890" t="str">
            <v>GBWS-4308</v>
          </cell>
          <cell r="L5890">
            <v>45369</v>
          </cell>
          <cell r="M5890">
            <v>45370</v>
          </cell>
          <cell r="N5890">
            <v>45376</v>
          </cell>
          <cell r="O5890">
            <v>45370</v>
          </cell>
          <cell r="P5890">
            <v>45378</v>
          </cell>
          <cell r="Q5890">
            <v>45377</v>
          </cell>
          <cell r="R5890">
            <v>45378</v>
          </cell>
          <cell r="S5890">
            <v>45380</v>
          </cell>
          <cell r="T5890">
            <v>45383</v>
          </cell>
          <cell r="U5890">
            <v>45384</v>
          </cell>
          <cell r="V5890">
            <v>45385</v>
          </cell>
          <cell r="W5890">
            <v>45385</v>
          </cell>
          <cell r="X5890">
            <v>41100564</v>
          </cell>
        </row>
        <row r="5891">
          <cell r="K5891" t="str">
            <v>GBWS-4309</v>
          </cell>
          <cell r="L5891">
            <v>45369</v>
          </cell>
          <cell r="M5891">
            <v>45370</v>
          </cell>
          <cell r="N5891">
            <v>45376</v>
          </cell>
          <cell r="O5891">
            <v>45370</v>
          </cell>
          <cell r="P5891">
            <v>45378</v>
          </cell>
          <cell r="Q5891">
            <v>45377</v>
          </cell>
          <cell r="R5891">
            <v>45378</v>
          </cell>
          <cell r="S5891">
            <v>45380</v>
          </cell>
          <cell r="T5891">
            <v>45383</v>
          </cell>
          <cell r="U5891">
            <v>45384</v>
          </cell>
          <cell r="V5891">
            <v>45385</v>
          </cell>
          <cell r="W5891">
            <v>45385</v>
          </cell>
          <cell r="X5891">
            <v>41100564</v>
          </cell>
        </row>
        <row r="5892">
          <cell r="K5892" t="str">
            <v>GBWS-4298</v>
          </cell>
          <cell r="L5892">
            <v>45366</v>
          </cell>
          <cell r="M5892">
            <v>45369</v>
          </cell>
          <cell r="N5892">
            <v>45376</v>
          </cell>
          <cell r="O5892">
            <v>45369</v>
          </cell>
          <cell r="P5892">
            <v>45377</v>
          </cell>
          <cell r="Q5892">
            <v>45376</v>
          </cell>
          <cell r="R5892">
            <v>45377</v>
          </cell>
          <cell r="S5892">
            <v>45378</v>
          </cell>
          <cell r="T5892">
            <v>45380</v>
          </cell>
          <cell r="U5892">
            <v>45383</v>
          </cell>
          <cell r="V5892">
            <v>45384</v>
          </cell>
          <cell r="W5892">
            <v>45384</v>
          </cell>
          <cell r="X5892">
            <v>41100662</v>
          </cell>
        </row>
        <row r="5893">
          <cell r="K5893" t="str">
            <v>GBWS-4299</v>
          </cell>
          <cell r="L5893">
            <v>45366</v>
          </cell>
          <cell r="M5893">
            <v>45369</v>
          </cell>
          <cell r="N5893">
            <v>45376</v>
          </cell>
          <cell r="O5893">
            <v>45369</v>
          </cell>
          <cell r="P5893">
            <v>45377</v>
          </cell>
          <cell r="Q5893">
            <v>45376</v>
          </cell>
          <cell r="R5893">
            <v>45377</v>
          </cell>
          <cell r="S5893">
            <v>45380</v>
          </cell>
          <cell r="T5893">
            <v>45383</v>
          </cell>
          <cell r="U5893">
            <v>45384</v>
          </cell>
          <cell r="V5893">
            <v>45385</v>
          </cell>
          <cell r="W5893">
            <v>45385</v>
          </cell>
          <cell r="X5893">
            <v>41100662</v>
          </cell>
        </row>
        <row r="5894">
          <cell r="K5894" t="str">
            <v>GBWS-4300</v>
          </cell>
          <cell r="L5894">
            <v>45366</v>
          </cell>
          <cell r="M5894">
            <v>45369</v>
          </cell>
          <cell r="N5894">
            <v>45376</v>
          </cell>
          <cell r="O5894">
            <v>45369</v>
          </cell>
          <cell r="P5894">
            <v>45377</v>
          </cell>
          <cell r="Q5894">
            <v>45376</v>
          </cell>
          <cell r="R5894">
            <v>45377</v>
          </cell>
          <cell r="S5894">
            <v>45380</v>
          </cell>
          <cell r="T5894">
            <v>45383</v>
          </cell>
          <cell r="U5894">
            <v>45384</v>
          </cell>
          <cell r="V5894">
            <v>45385</v>
          </cell>
          <cell r="W5894">
            <v>45385</v>
          </cell>
          <cell r="X5894">
            <v>41100662</v>
          </cell>
        </row>
        <row r="5895">
          <cell r="K5895" t="str">
            <v>GBWS-4012</v>
          </cell>
          <cell r="L5895">
            <v>45302</v>
          </cell>
          <cell r="M5895">
            <v>45303</v>
          </cell>
          <cell r="N5895">
            <v>45310</v>
          </cell>
          <cell r="O5895">
            <v>45303</v>
          </cell>
          <cell r="P5895">
            <v>45314</v>
          </cell>
          <cell r="Q5895">
            <v>45313</v>
          </cell>
          <cell r="R5895">
            <v>45314</v>
          </cell>
          <cell r="S5895">
            <v>45315</v>
          </cell>
          <cell r="T5895">
            <v>45315</v>
          </cell>
          <cell r="U5895">
            <v>45317</v>
          </cell>
          <cell r="V5895">
            <v>45320</v>
          </cell>
          <cell r="W5895">
            <v>45320</v>
          </cell>
          <cell r="X5895">
            <v>41100686</v>
          </cell>
        </row>
        <row r="5896">
          <cell r="K5896" t="str">
            <v>GBWS-4013</v>
          </cell>
          <cell r="L5896">
            <v>45302</v>
          </cell>
          <cell r="M5896">
            <v>45303</v>
          </cell>
          <cell r="N5896">
            <v>45310</v>
          </cell>
          <cell r="O5896">
            <v>45303</v>
          </cell>
          <cell r="P5896">
            <v>45314</v>
          </cell>
          <cell r="Q5896">
            <v>45313</v>
          </cell>
          <cell r="R5896">
            <v>45314</v>
          </cell>
          <cell r="S5896">
            <v>45315</v>
          </cell>
          <cell r="T5896">
            <v>45315</v>
          </cell>
          <cell r="U5896">
            <v>45317</v>
          </cell>
          <cell r="V5896">
            <v>45320</v>
          </cell>
          <cell r="W5896">
            <v>45320</v>
          </cell>
          <cell r="X5896">
            <v>41100686</v>
          </cell>
        </row>
        <row r="5897">
          <cell r="K5897" t="str">
            <v>GBWS-4312</v>
          </cell>
          <cell r="L5897">
            <v>45371</v>
          </cell>
          <cell r="M5897">
            <v>45372</v>
          </cell>
          <cell r="N5897">
            <v>45377</v>
          </cell>
          <cell r="O5897">
            <v>45372</v>
          </cell>
          <cell r="P5897">
            <v>45379</v>
          </cell>
          <cell r="Q5897">
            <v>45379</v>
          </cell>
          <cell r="R5897">
            <v>45380</v>
          </cell>
          <cell r="S5897">
            <v>45383</v>
          </cell>
          <cell r="T5897">
            <v>45384</v>
          </cell>
          <cell r="U5897">
            <v>45385</v>
          </cell>
          <cell r="V5897">
            <v>45386</v>
          </cell>
          <cell r="W5897">
            <v>45386</v>
          </cell>
          <cell r="X5897">
            <v>41100698</v>
          </cell>
        </row>
        <row r="5898">
          <cell r="K5898" t="str">
            <v>GBWS-4313</v>
          </cell>
          <cell r="L5898">
            <v>45371</v>
          </cell>
          <cell r="M5898">
            <v>45372</v>
          </cell>
          <cell r="N5898">
            <v>45377</v>
          </cell>
          <cell r="O5898">
            <v>45372</v>
          </cell>
          <cell r="P5898">
            <v>45379</v>
          </cell>
          <cell r="Q5898">
            <v>45379</v>
          </cell>
          <cell r="R5898">
            <v>45380</v>
          </cell>
          <cell r="S5898">
            <v>45383</v>
          </cell>
          <cell r="T5898">
            <v>45384</v>
          </cell>
          <cell r="U5898">
            <v>45385</v>
          </cell>
          <cell r="V5898">
            <v>45386</v>
          </cell>
          <cell r="W5898">
            <v>45386</v>
          </cell>
          <cell r="X5898">
            <v>41100698</v>
          </cell>
        </row>
        <row r="5899">
          <cell r="K5899" t="str">
            <v>DBW-3293</v>
          </cell>
          <cell r="L5899">
            <v>45366</v>
          </cell>
          <cell r="M5899">
            <v>45369</v>
          </cell>
          <cell r="N5899">
            <v>45378</v>
          </cell>
          <cell r="O5899">
            <v>45369</v>
          </cell>
          <cell r="P5899">
            <v>45379</v>
          </cell>
          <cell r="Q5899">
            <v>45378</v>
          </cell>
          <cell r="R5899">
            <v>45379</v>
          </cell>
          <cell r="S5899">
            <v>45380</v>
          </cell>
          <cell r="T5899">
            <v>45383</v>
          </cell>
          <cell r="U5899">
            <v>45384</v>
          </cell>
          <cell r="V5899">
            <v>45385</v>
          </cell>
          <cell r="W5899">
            <v>45385</v>
          </cell>
          <cell r="X5899">
            <v>41000567</v>
          </cell>
        </row>
        <row r="5900">
          <cell r="K5900" t="str">
            <v>DBW-3294</v>
          </cell>
          <cell r="L5900">
            <v>45366</v>
          </cell>
          <cell r="M5900">
            <v>45369</v>
          </cell>
          <cell r="N5900">
            <v>45378</v>
          </cell>
          <cell r="O5900">
            <v>45369</v>
          </cell>
          <cell r="P5900">
            <v>45379</v>
          </cell>
          <cell r="Q5900">
            <v>45378</v>
          </cell>
          <cell r="R5900">
            <v>45379</v>
          </cell>
          <cell r="S5900">
            <v>45383</v>
          </cell>
          <cell r="T5900">
            <v>45384</v>
          </cell>
          <cell r="U5900">
            <v>45385</v>
          </cell>
          <cell r="V5900">
            <v>45386</v>
          </cell>
          <cell r="W5900">
            <v>45386</v>
          </cell>
          <cell r="X5900">
            <v>41000567</v>
          </cell>
        </row>
        <row r="5901">
          <cell r="K5901" t="str">
            <v>DBW-3295</v>
          </cell>
          <cell r="L5901">
            <v>45366</v>
          </cell>
          <cell r="M5901">
            <v>45369</v>
          </cell>
          <cell r="N5901">
            <v>45378</v>
          </cell>
          <cell r="O5901">
            <v>45369</v>
          </cell>
          <cell r="P5901">
            <v>45379</v>
          </cell>
          <cell r="Q5901">
            <v>45378</v>
          </cell>
          <cell r="R5901">
            <v>45379</v>
          </cell>
          <cell r="S5901">
            <v>45383</v>
          </cell>
          <cell r="T5901">
            <v>45384</v>
          </cell>
          <cell r="U5901">
            <v>45385</v>
          </cell>
          <cell r="V5901">
            <v>45386</v>
          </cell>
          <cell r="W5901">
            <v>45386</v>
          </cell>
          <cell r="X5901">
            <v>41000567</v>
          </cell>
        </row>
        <row r="5902">
          <cell r="K5902" t="str">
            <v>DBW-3296</v>
          </cell>
          <cell r="L5902">
            <v>45366</v>
          </cell>
          <cell r="M5902">
            <v>45369</v>
          </cell>
          <cell r="N5902">
            <v>45379</v>
          </cell>
          <cell r="O5902">
            <v>45369</v>
          </cell>
          <cell r="P5902">
            <v>45379</v>
          </cell>
          <cell r="Q5902" t="str">
            <v>2024-03-27 → 3/28</v>
          </cell>
          <cell r="R5902">
            <v>45379</v>
          </cell>
          <cell r="S5902">
            <v>45383</v>
          </cell>
          <cell r="T5902">
            <v>45384</v>
          </cell>
          <cell r="U5902">
            <v>45385</v>
          </cell>
          <cell r="V5902">
            <v>45386</v>
          </cell>
          <cell r="W5902">
            <v>45386</v>
          </cell>
          <cell r="X5902">
            <v>41000567</v>
          </cell>
        </row>
        <row r="5903">
          <cell r="K5903" t="str">
            <v>DBW-3297</v>
          </cell>
          <cell r="L5903">
            <v>45366</v>
          </cell>
          <cell r="M5903">
            <v>45369</v>
          </cell>
          <cell r="N5903">
            <v>45379</v>
          </cell>
          <cell r="O5903">
            <v>45369</v>
          </cell>
          <cell r="P5903">
            <v>45379</v>
          </cell>
          <cell r="Q5903" t="str">
            <v>2024-03-27 →  3/28</v>
          </cell>
          <cell r="R5903">
            <v>45379</v>
          </cell>
          <cell r="S5903">
            <v>45383</v>
          </cell>
          <cell r="T5903">
            <v>45384</v>
          </cell>
          <cell r="U5903">
            <v>45385</v>
          </cell>
          <cell r="V5903">
            <v>45386</v>
          </cell>
          <cell r="W5903">
            <v>45386</v>
          </cell>
          <cell r="X5903">
            <v>41000567</v>
          </cell>
        </row>
        <row r="5904">
          <cell r="K5904" t="str">
            <v>DBW-3298</v>
          </cell>
          <cell r="L5904">
            <v>45366</v>
          </cell>
          <cell r="M5904">
            <v>45369</v>
          </cell>
          <cell r="N5904">
            <v>45379</v>
          </cell>
          <cell r="O5904">
            <v>45369</v>
          </cell>
          <cell r="P5904">
            <v>45379</v>
          </cell>
          <cell r="Q5904" t="str">
            <v>2024-03-27 →  3/28</v>
          </cell>
          <cell r="R5904">
            <v>45379</v>
          </cell>
          <cell r="S5904">
            <v>45383</v>
          </cell>
          <cell r="T5904">
            <v>45384</v>
          </cell>
          <cell r="U5904">
            <v>45385</v>
          </cell>
          <cell r="V5904">
            <v>45386</v>
          </cell>
          <cell r="W5904">
            <v>45386</v>
          </cell>
          <cell r="X5904">
            <v>41000567</v>
          </cell>
        </row>
        <row r="5905">
          <cell r="K5905" t="str">
            <v>DBW-3299</v>
          </cell>
          <cell r="L5905">
            <v>45366</v>
          </cell>
          <cell r="M5905">
            <v>45369</v>
          </cell>
          <cell r="N5905">
            <v>45379</v>
          </cell>
          <cell r="O5905">
            <v>45369</v>
          </cell>
          <cell r="P5905">
            <v>45379</v>
          </cell>
          <cell r="Q5905" t="str">
            <v>2024-03-27 →  3/28</v>
          </cell>
          <cell r="R5905">
            <v>45379</v>
          </cell>
          <cell r="S5905">
            <v>45383</v>
          </cell>
          <cell r="T5905">
            <v>45384</v>
          </cell>
          <cell r="U5905">
            <v>45385</v>
          </cell>
          <cell r="V5905">
            <v>45386</v>
          </cell>
          <cell r="W5905">
            <v>45386</v>
          </cell>
          <cell r="X5905">
            <v>41000567</v>
          </cell>
        </row>
        <row r="5906">
          <cell r="K5906" t="str">
            <v>DBW-3289</v>
          </cell>
          <cell r="L5906">
            <v>45363</v>
          </cell>
          <cell r="M5906">
            <v>45364</v>
          </cell>
          <cell r="N5906">
            <v>45373</v>
          </cell>
          <cell r="O5906">
            <v>45364</v>
          </cell>
          <cell r="P5906">
            <v>45373</v>
          </cell>
          <cell r="Q5906" t="str">
            <v>2024-03-21 → 3/22</v>
          </cell>
          <cell r="R5906">
            <v>45373</v>
          </cell>
          <cell r="S5906">
            <v>45377</v>
          </cell>
          <cell r="T5906">
            <v>45378</v>
          </cell>
          <cell r="U5906">
            <v>45379</v>
          </cell>
          <cell r="V5906">
            <v>45380</v>
          </cell>
          <cell r="W5906">
            <v>45380</v>
          </cell>
          <cell r="X5906">
            <v>41000587</v>
          </cell>
        </row>
        <row r="5907">
          <cell r="K5907" t="str">
            <v>DBW-3290</v>
          </cell>
          <cell r="L5907">
            <v>45363</v>
          </cell>
          <cell r="M5907">
            <v>45364</v>
          </cell>
          <cell r="N5907">
            <v>45373</v>
          </cell>
          <cell r="O5907">
            <v>45364</v>
          </cell>
          <cell r="P5907">
            <v>45373</v>
          </cell>
          <cell r="Q5907" t="str">
            <v>2024-03-21 → 3/22</v>
          </cell>
          <cell r="R5907">
            <v>45373</v>
          </cell>
          <cell r="S5907">
            <v>45377</v>
          </cell>
          <cell r="T5907">
            <v>45378</v>
          </cell>
          <cell r="U5907">
            <v>45379</v>
          </cell>
          <cell r="V5907">
            <v>45380</v>
          </cell>
          <cell r="W5907">
            <v>45380</v>
          </cell>
          <cell r="X5907">
            <v>41000587</v>
          </cell>
        </row>
        <row r="5908">
          <cell r="K5908" t="str">
            <v>GBWS-4266</v>
          </cell>
          <cell r="L5908">
            <v>45362</v>
          </cell>
          <cell r="M5908">
            <v>45363</v>
          </cell>
          <cell r="N5908">
            <v>45373</v>
          </cell>
          <cell r="O5908">
            <v>45363</v>
          </cell>
          <cell r="P5908">
            <v>45373</v>
          </cell>
          <cell r="Q5908" t="str">
            <v>2024-03-21 → 3/22</v>
          </cell>
          <cell r="R5908">
            <v>45373</v>
          </cell>
          <cell r="S5908">
            <v>45384</v>
          </cell>
          <cell r="T5908">
            <v>45385</v>
          </cell>
          <cell r="U5908">
            <v>45386</v>
          </cell>
          <cell r="V5908">
            <v>45387</v>
          </cell>
          <cell r="W5908">
            <v>45387</v>
          </cell>
          <cell r="X5908">
            <v>41100566</v>
          </cell>
        </row>
        <row r="5909">
          <cell r="K5909" t="str">
            <v>GBWS-4267</v>
          </cell>
          <cell r="L5909">
            <v>45362</v>
          </cell>
          <cell r="M5909">
            <v>45363</v>
          </cell>
          <cell r="N5909">
            <v>45373</v>
          </cell>
          <cell r="O5909">
            <v>45363</v>
          </cell>
          <cell r="P5909">
            <v>45373</v>
          </cell>
          <cell r="Q5909" t="str">
            <v>2024-03-21 → 3/22</v>
          </cell>
          <cell r="R5909">
            <v>45373</v>
          </cell>
          <cell r="S5909">
            <v>45384</v>
          </cell>
          <cell r="T5909">
            <v>45385</v>
          </cell>
          <cell r="U5909">
            <v>45386</v>
          </cell>
          <cell r="V5909">
            <v>45387</v>
          </cell>
          <cell r="W5909">
            <v>45387</v>
          </cell>
          <cell r="X5909">
            <v>41100566</v>
          </cell>
        </row>
        <row r="5910">
          <cell r="K5910" t="str">
            <v>GBWS-4268</v>
          </cell>
          <cell r="L5910">
            <v>45362</v>
          </cell>
          <cell r="M5910">
            <v>45363</v>
          </cell>
          <cell r="N5910">
            <v>45372</v>
          </cell>
          <cell r="O5910">
            <v>45363</v>
          </cell>
          <cell r="P5910">
            <v>45373</v>
          </cell>
          <cell r="Q5910">
            <v>45372</v>
          </cell>
          <cell r="R5910">
            <v>45373</v>
          </cell>
          <cell r="S5910">
            <v>45384</v>
          </cell>
          <cell r="T5910">
            <v>45384</v>
          </cell>
          <cell r="U5910">
            <v>45386</v>
          </cell>
          <cell r="V5910">
            <v>45387</v>
          </cell>
          <cell r="W5910">
            <v>45387</v>
          </cell>
          <cell r="X5910">
            <v>41100566</v>
          </cell>
        </row>
        <row r="5911">
          <cell r="K5911" t="str">
            <v>GBWS-4269</v>
          </cell>
          <cell r="L5911">
            <v>45362</v>
          </cell>
          <cell r="M5911">
            <v>45363</v>
          </cell>
          <cell r="N5911">
            <v>45372</v>
          </cell>
          <cell r="O5911">
            <v>45363</v>
          </cell>
          <cell r="P5911">
            <v>45373</v>
          </cell>
          <cell r="Q5911">
            <v>45372</v>
          </cell>
          <cell r="R5911">
            <v>45373</v>
          </cell>
          <cell r="S5911">
            <v>45384</v>
          </cell>
          <cell r="T5911">
            <v>45384</v>
          </cell>
          <cell r="U5911">
            <v>45386</v>
          </cell>
          <cell r="V5911">
            <v>45387</v>
          </cell>
          <cell r="W5911">
            <v>45387</v>
          </cell>
          <cell r="X5911">
            <v>41100566</v>
          </cell>
        </row>
        <row r="5912">
          <cell r="K5912" t="str">
            <v>GBWS-4270</v>
          </cell>
          <cell r="L5912">
            <v>45362</v>
          </cell>
          <cell r="M5912">
            <v>45363</v>
          </cell>
          <cell r="N5912">
            <v>45372</v>
          </cell>
          <cell r="O5912">
            <v>45363</v>
          </cell>
          <cell r="P5912">
            <v>45373</v>
          </cell>
          <cell r="Q5912">
            <v>45372</v>
          </cell>
          <cell r="R5912">
            <v>45373</v>
          </cell>
          <cell r="S5912">
            <v>45384</v>
          </cell>
          <cell r="T5912">
            <v>45385</v>
          </cell>
          <cell r="U5912">
            <v>45386</v>
          </cell>
          <cell r="V5912">
            <v>45387</v>
          </cell>
          <cell r="W5912">
            <v>45387</v>
          </cell>
          <cell r="X5912">
            <v>41100566</v>
          </cell>
        </row>
        <row r="5913">
          <cell r="K5913" t="str">
            <v>GBWS-4274</v>
          </cell>
          <cell r="L5913">
            <v>45363</v>
          </cell>
          <cell r="M5913">
            <v>45364</v>
          </cell>
          <cell r="N5913">
            <v>45371</v>
          </cell>
          <cell r="O5913">
            <v>45364</v>
          </cell>
          <cell r="P5913">
            <v>45373</v>
          </cell>
          <cell r="Q5913">
            <v>45372</v>
          </cell>
          <cell r="R5913">
            <v>45373</v>
          </cell>
          <cell r="S5913">
            <v>45384</v>
          </cell>
          <cell r="T5913">
            <v>45385</v>
          </cell>
          <cell r="U5913">
            <v>45386</v>
          </cell>
          <cell r="V5913">
            <v>45387</v>
          </cell>
          <cell r="W5913">
            <v>45387</v>
          </cell>
          <cell r="X5913">
            <v>41100662</v>
          </cell>
        </row>
        <row r="5914">
          <cell r="K5914" t="str">
            <v>GBWS-4275</v>
          </cell>
          <cell r="L5914">
            <v>45363</v>
          </cell>
          <cell r="M5914">
            <v>45364</v>
          </cell>
          <cell r="N5914">
            <v>45371</v>
          </cell>
          <cell r="O5914">
            <v>45364</v>
          </cell>
          <cell r="P5914">
            <v>45373</v>
          </cell>
          <cell r="Q5914">
            <v>45372</v>
          </cell>
          <cell r="R5914">
            <v>45373</v>
          </cell>
          <cell r="S5914">
            <v>45384</v>
          </cell>
          <cell r="T5914">
            <v>45385</v>
          </cell>
          <cell r="U5914">
            <v>45386</v>
          </cell>
          <cell r="V5914">
            <v>45390</v>
          </cell>
          <cell r="W5914">
            <v>45390</v>
          </cell>
          <cell r="X5914">
            <v>41100662</v>
          </cell>
        </row>
        <row r="5915">
          <cell r="K5915" t="str">
            <v>GBWS-4282</v>
          </cell>
          <cell r="L5915">
            <v>45364</v>
          </cell>
          <cell r="M5915">
            <v>45365</v>
          </cell>
          <cell r="N5915">
            <v>45373</v>
          </cell>
          <cell r="O5915">
            <v>45365</v>
          </cell>
          <cell r="P5915">
            <v>45373</v>
          </cell>
          <cell r="Q5915" t="str">
            <v>2024-03-21 → 3/22</v>
          </cell>
          <cell r="R5915">
            <v>45373</v>
          </cell>
          <cell r="S5915">
            <v>45378</v>
          </cell>
          <cell r="T5915">
            <v>45379</v>
          </cell>
          <cell r="U5915">
            <v>45384</v>
          </cell>
          <cell r="V5915">
            <v>45384</v>
          </cell>
          <cell r="W5915">
            <v>45384</v>
          </cell>
          <cell r="X5915">
            <v>41100565</v>
          </cell>
        </row>
        <row r="5916">
          <cell r="K5916" t="str">
            <v>GBWS-3951</v>
          </cell>
          <cell r="L5916">
            <v>45272</v>
          </cell>
          <cell r="M5916">
            <v>45273</v>
          </cell>
          <cell r="N5916">
            <v>45279</v>
          </cell>
          <cell r="O5916">
            <v>45273</v>
          </cell>
          <cell r="P5916">
            <v>45280</v>
          </cell>
          <cell r="Q5916">
            <v>45279</v>
          </cell>
          <cell r="R5916">
            <v>45280</v>
          </cell>
          <cell r="S5916">
            <v>45281</v>
          </cell>
          <cell r="T5916">
            <v>45281</v>
          </cell>
          <cell r="U5916">
            <v>45282</v>
          </cell>
          <cell r="V5916">
            <v>45286</v>
          </cell>
          <cell r="W5916">
            <v>45286</v>
          </cell>
          <cell r="X5916">
            <v>41100686</v>
          </cell>
        </row>
        <row r="5917">
          <cell r="K5917" t="str">
            <v>GBWS-3952</v>
          </cell>
          <cell r="L5917">
            <v>45272</v>
          </cell>
          <cell r="M5917">
            <v>45273</v>
          </cell>
          <cell r="N5917">
            <v>45279</v>
          </cell>
          <cell r="O5917">
            <v>45273</v>
          </cell>
          <cell r="P5917">
            <v>45280</v>
          </cell>
          <cell r="Q5917">
            <v>45279</v>
          </cell>
          <cell r="R5917">
            <v>45280</v>
          </cell>
          <cell r="S5917">
            <v>45281</v>
          </cell>
          <cell r="T5917">
            <v>45281</v>
          </cell>
          <cell r="U5917">
            <v>45282</v>
          </cell>
          <cell r="V5917">
            <v>45286</v>
          </cell>
          <cell r="W5917">
            <v>45286</v>
          </cell>
          <cell r="X5917">
            <v>41100686</v>
          </cell>
        </row>
        <row r="5918">
          <cell r="K5918" t="str">
            <v>DBW-3303</v>
          </cell>
          <cell r="L5918">
            <v>45373</v>
          </cell>
          <cell r="M5918">
            <v>45376</v>
          </cell>
          <cell r="N5918">
            <v>45383</v>
          </cell>
          <cell r="O5918">
            <v>45376</v>
          </cell>
          <cell r="P5918">
            <v>45384</v>
          </cell>
          <cell r="Q5918">
            <v>45383</v>
          </cell>
          <cell r="R5918">
            <v>45384</v>
          </cell>
          <cell r="S5918">
            <v>45385</v>
          </cell>
          <cell r="T5918">
            <v>45386</v>
          </cell>
          <cell r="U5918">
            <v>45387</v>
          </cell>
          <cell r="V5918">
            <v>45390</v>
          </cell>
          <cell r="W5918">
            <v>45390</v>
          </cell>
          <cell r="X5918">
            <v>41000567</v>
          </cell>
        </row>
        <row r="5919">
          <cell r="K5919" t="str">
            <v>DBW-3304</v>
          </cell>
          <cell r="L5919">
            <v>45373</v>
          </cell>
          <cell r="M5919">
            <v>45376</v>
          </cell>
          <cell r="N5919">
            <v>45383</v>
          </cell>
          <cell r="O5919">
            <v>45376</v>
          </cell>
          <cell r="P5919">
            <v>45384</v>
          </cell>
          <cell r="Q5919">
            <v>45383</v>
          </cell>
          <cell r="R5919">
            <v>45384</v>
          </cell>
          <cell r="S5919">
            <v>45385</v>
          </cell>
          <cell r="T5919">
            <v>45386</v>
          </cell>
          <cell r="U5919">
            <v>45387</v>
          </cell>
          <cell r="V5919">
            <v>45390</v>
          </cell>
          <cell r="W5919">
            <v>45390</v>
          </cell>
          <cell r="X5919">
            <v>41000567</v>
          </cell>
        </row>
        <row r="5920">
          <cell r="K5920" t="str">
            <v>DBW-3305</v>
          </cell>
          <cell r="L5920">
            <v>45373</v>
          </cell>
          <cell r="M5920">
            <v>45376</v>
          </cell>
          <cell r="N5920">
            <v>45383</v>
          </cell>
          <cell r="O5920">
            <v>45376</v>
          </cell>
          <cell r="P5920">
            <v>45384</v>
          </cell>
          <cell r="Q5920">
            <v>45383</v>
          </cell>
          <cell r="R5920">
            <v>45384</v>
          </cell>
          <cell r="S5920">
            <v>45385</v>
          </cell>
          <cell r="T5920">
            <v>45386</v>
          </cell>
          <cell r="U5920">
            <v>45387</v>
          </cell>
          <cell r="V5920">
            <v>45390</v>
          </cell>
          <cell r="W5920">
            <v>45390</v>
          </cell>
          <cell r="X5920">
            <v>41000567</v>
          </cell>
        </row>
        <row r="5921">
          <cell r="K5921" t="str">
            <v>DBW-3306</v>
          </cell>
          <cell r="L5921">
            <v>45373</v>
          </cell>
          <cell r="M5921">
            <v>45376</v>
          </cell>
          <cell r="N5921">
            <v>45383</v>
          </cell>
          <cell r="O5921">
            <v>45376</v>
          </cell>
          <cell r="P5921">
            <v>45384</v>
          </cell>
          <cell r="Q5921">
            <v>45383</v>
          </cell>
          <cell r="R5921">
            <v>45384</v>
          </cell>
          <cell r="S5921">
            <v>45385</v>
          </cell>
          <cell r="T5921">
            <v>45386</v>
          </cell>
          <cell r="U5921">
            <v>45387</v>
          </cell>
          <cell r="V5921">
            <v>45390</v>
          </cell>
          <cell r="W5921">
            <v>45390</v>
          </cell>
          <cell r="X5921">
            <v>41000567</v>
          </cell>
        </row>
        <row r="5922">
          <cell r="K5922" t="str">
            <v>DBW-3307</v>
          </cell>
          <cell r="L5922">
            <v>45373</v>
          </cell>
          <cell r="M5922">
            <v>45376</v>
          </cell>
          <cell r="N5922">
            <v>45383</v>
          </cell>
          <cell r="O5922">
            <v>45376</v>
          </cell>
          <cell r="P5922">
            <v>45384</v>
          </cell>
          <cell r="Q5922">
            <v>45383</v>
          </cell>
          <cell r="R5922">
            <v>45384</v>
          </cell>
          <cell r="S5922">
            <v>45386</v>
          </cell>
          <cell r="T5922">
            <v>45387</v>
          </cell>
          <cell r="U5922">
            <v>45390</v>
          </cell>
          <cell r="V5922">
            <v>45391</v>
          </cell>
          <cell r="W5922">
            <v>45391</v>
          </cell>
          <cell r="X5922">
            <v>41000567</v>
          </cell>
        </row>
        <row r="5923">
          <cell r="K5923" t="str">
            <v>DBW-3308</v>
          </cell>
          <cell r="L5923">
            <v>45373</v>
          </cell>
          <cell r="M5923">
            <v>45376</v>
          </cell>
          <cell r="N5923">
            <v>45383</v>
          </cell>
          <cell r="O5923">
            <v>45376</v>
          </cell>
          <cell r="P5923">
            <v>45384</v>
          </cell>
          <cell r="Q5923">
            <v>45383</v>
          </cell>
          <cell r="R5923">
            <v>45384</v>
          </cell>
          <cell r="S5923">
            <v>45386</v>
          </cell>
          <cell r="T5923">
            <v>45387</v>
          </cell>
          <cell r="U5923">
            <v>45390</v>
          </cell>
          <cell r="V5923">
            <v>45391</v>
          </cell>
          <cell r="W5923">
            <v>45391</v>
          </cell>
          <cell r="X5923">
            <v>41000567</v>
          </cell>
        </row>
        <row r="5924">
          <cell r="K5924" t="str">
            <v>DBW-3309</v>
          </cell>
          <cell r="L5924">
            <v>45373</v>
          </cell>
          <cell r="M5924">
            <v>45376</v>
          </cell>
          <cell r="N5924">
            <v>45383</v>
          </cell>
          <cell r="O5924">
            <v>45376</v>
          </cell>
          <cell r="P5924">
            <v>45384</v>
          </cell>
          <cell r="Q5924">
            <v>45383</v>
          </cell>
          <cell r="R5924">
            <v>45384</v>
          </cell>
          <cell r="S5924">
            <v>45386</v>
          </cell>
          <cell r="T5924">
            <v>45387</v>
          </cell>
          <cell r="U5924">
            <v>45390</v>
          </cell>
          <cell r="V5924">
            <v>45391</v>
          </cell>
          <cell r="W5924">
            <v>45391</v>
          </cell>
          <cell r="X5924">
            <v>41000567</v>
          </cell>
        </row>
        <row r="5925">
          <cell r="K5925" t="str">
            <v>GBWS-4320</v>
          </cell>
          <cell r="L5925">
            <v>45372</v>
          </cell>
          <cell r="M5925">
            <v>45373</v>
          </cell>
          <cell r="N5925">
            <v>45383</v>
          </cell>
          <cell r="O5925">
            <v>45373</v>
          </cell>
          <cell r="P5925">
            <v>45383</v>
          </cell>
          <cell r="Q5925">
            <v>45383</v>
          </cell>
          <cell r="R5925">
            <v>45384</v>
          </cell>
          <cell r="S5925">
            <v>45385</v>
          </cell>
          <cell r="T5925">
            <v>45386</v>
          </cell>
          <cell r="U5925">
            <v>45387</v>
          </cell>
          <cell r="V5925">
            <v>45390</v>
          </cell>
          <cell r="W5925">
            <v>45390</v>
          </cell>
          <cell r="X5925">
            <v>41100507</v>
          </cell>
        </row>
        <row r="5926">
          <cell r="K5926" t="str">
            <v>GBWS-4321</v>
          </cell>
          <cell r="L5926">
            <v>45372</v>
          </cell>
          <cell r="M5926">
            <v>45373</v>
          </cell>
          <cell r="N5926">
            <v>45383</v>
          </cell>
          <cell r="O5926">
            <v>45373</v>
          </cell>
          <cell r="P5926">
            <v>45383</v>
          </cell>
          <cell r="Q5926">
            <v>45383</v>
          </cell>
          <cell r="R5926">
            <v>45384</v>
          </cell>
          <cell r="S5926">
            <v>45385</v>
          </cell>
          <cell r="T5926">
            <v>45386</v>
          </cell>
          <cell r="U5926">
            <v>45387</v>
          </cell>
          <cell r="V5926">
            <v>45390</v>
          </cell>
          <cell r="W5926">
            <v>45390</v>
          </cell>
          <cell r="X5926">
            <v>41100507</v>
          </cell>
        </row>
        <row r="5927">
          <cell r="K5927" t="str">
            <v>GBWS-4322</v>
          </cell>
          <cell r="L5927">
            <v>45372</v>
          </cell>
          <cell r="M5927">
            <v>45373</v>
          </cell>
          <cell r="N5927">
            <v>45383</v>
          </cell>
          <cell r="O5927">
            <v>45373</v>
          </cell>
          <cell r="P5927">
            <v>45383</v>
          </cell>
          <cell r="Q5927">
            <v>45383</v>
          </cell>
          <cell r="R5927">
            <v>45384</v>
          </cell>
          <cell r="S5927">
            <v>45385</v>
          </cell>
          <cell r="T5927">
            <v>45386</v>
          </cell>
          <cell r="U5927">
            <v>45387</v>
          </cell>
          <cell r="V5927">
            <v>45390</v>
          </cell>
          <cell r="W5927">
            <v>45390</v>
          </cell>
          <cell r="X5927">
            <v>41100507</v>
          </cell>
        </row>
        <row r="5928">
          <cell r="K5928" t="str">
            <v>DBW-3302</v>
          </cell>
          <cell r="L5928">
            <v>45372</v>
          </cell>
          <cell r="M5928">
            <v>45373</v>
          </cell>
          <cell r="N5928">
            <v>45379</v>
          </cell>
          <cell r="O5928">
            <v>45373</v>
          </cell>
          <cell r="P5928">
            <v>45383</v>
          </cell>
          <cell r="Q5928">
            <v>45380</v>
          </cell>
          <cell r="R5928">
            <v>45383</v>
          </cell>
          <cell r="S5928">
            <v>45384</v>
          </cell>
          <cell r="T5928">
            <v>45385</v>
          </cell>
          <cell r="U5928">
            <v>45387</v>
          </cell>
          <cell r="V5928">
            <v>45390</v>
          </cell>
          <cell r="W5928">
            <v>45390</v>
          </cell>
          <cell r="X5928">
            <v>41000533</v>
          </cell>
        </row>
        <row r="5929">
          <cell r="K5929" t="str">
            <v>DBW-3287</v>
          </cell>
          <cell r="L5929">
            <v>45362</v>
          </cell>
          <cell r="M5929">
            <v>45363</v>
          </cell>
          <cell r="N5929">
            <v>45370</v>
          </cell>
          <cell r="O5929">
            <v>45363</v>
          </cell>
          <cell r="P5929">
            <v>45372</v>
          </cell>
          <cell r="Q5929">
            <v>45371</v>
          </cell>
          <cell r="R5929">
            <v>45372</v>
          </cell>
          <cell r="S5929">
            <v>45377</v>
          </cell>
          <cell r="T5929">
            <v>45378</v>
          </cell>
          <cell r="U5929">
            <v>45379</v>
          </cell>
          <cell r="V5929">
            <v>45380</v>
          </cell>
          <cell r="W5929">
            <v>45380</v>
          </cell>
          <cell r="X5929">
            <v>41000588</v>
          </cell>
        </row>
        <row r="5930">
          <cell r="K5930" t="str">
            <v>DBW-3288</v>
          </cell>
          <cell r="L5930">
            <v>45362</v>
          </cell>
          <cell r="M5930">
            <v>45363</v>
          </cell>
          <cell r="N5930">
            <v>45370</v>
          </cell>
          <cell r="O5930">
            <v>45363</v>
          </cell>
          <cell r="P5930">
            <v>45372</v>
          </cell>
          <cell r="Q5930">
            <v>45371</v>
          </cell>
          <cell r="R5930">
            <v>45372</v>
          </cell>
          <cell r="S5930">
            <v>45377</v>
          </cell>
          <cell r="T5930">
            <v>45378</v>
          </cell>
          <cell r="U5930">
            <v>45379</v>
          </cell>
          <cell r="V5930">
            <v>45380</v>
          </cell>
          <cell r="W5930">
            <v>45380</v>
          </cell>
          <cell r="X5930">
            <v>41000588</v>
          </cell>
        </row>
        <row r="5931">
          <cell r="K5931" t="str">
            <v>GBWS-4334</v>
          </cell>
          <cell r="L5931">
            <v>45373</v>
          </cell>
          <cell r="M5931">
            <v>45376</v>
          </cell>
          <cell r="N5931">
            <v>45384</v>
          </cell>
          <cell r="O5931">
            <v>45376</v>
          </cell>
          <cell r="P5931">
            <v>45385</v>
          </cell>
          <cell r="Q5931">
            <v>45384</v>
          </cell>
          <cell r="R5931">
            <v>45385</v>
          </cell>
          <cell r="S5931">
            <v>45386</v>
          </cell>
          <cell r="T5931">
            <v>45387</v>
          </cell>
          <cell r="U5931">
            <v>45390</v>
          </cell>
          <cell r="V5931">
            <v>45391</v>
          </cell>
          <cell r="W5931">
            <v>45391</v>
          </cell>
          <cell r="X5931">
            <v>41100460</v>
          </cell>
        </row>
        <row r="5932">
          <cell r="K5932" t="str">
            <v>GPWS-0316</v>
          </cell>
          <cell r="L5932">
            <v>45306</v>
          </cell>
          <cell r="M5932" t="str">
            <v>2024-01-12 → 1/16</v>
          </cell>
          <cell r="N5932">
            <v>45315</v>
          </cell>
          <cell r="O5932" t="str">
            <v>2024-01-12 → 1/16</v>
          </cell>
          <cell r="P5932">
            <v>45315</v>
          </cell>
          <cell r="Q5932">
            <v>45313</v>
          </cell>
          <cell r="R5932" t="str">
            <v>2024-01-22 → 1/23 → 1/24</v>
          </cell>
          <cell r="S5932">
            <v>45316</v>
          </cell>
          <cell r="T5932">
            <v>45316</v>
          </cell>
          <cell r="U5932">
            <v>45321</v>
          </cell>
          <cell r="V5932">
            <v>45393</v>
          </cell>
          <cell r="W5932">
            <v>45393</v>
          </cell>
          <cell r="X5932" t="str">
            <v>41000581 → 41000600</v>
          </cell>
        </row>
        <row r="5933">
          <cell r="K5933" t="str">
            <v>GBWS-4333</v>
          </cell>
          <cell r="L5933">
            <v>45373</v>
          </cell>
          <cell r="M5933">
            <v>45376</v>
          </cell>
          <cell r="N5933">
            <v>45383</v>
          </cell>
          <cell r="O5933">
            <v>45376</v>
          </cell>
          <cell r="P5933">
            <v>45384</v>
          </cell>
          <cell r="Q5933">
            <v>45383</v>
          </cell>
          <cell r="R5933">
            <v>45384</v>
          </cell>
          <cell r="S5933">
            <v>45385</v>
          </cell>
          <cell r="T5933">
            <v>45386</v>
          </cell>
          <cell r="U5933">
            <v>45387</v>
          </cell>
          <cell r="V5933">
            <v>45390</v>
          </cell>
          <cell r="W5933">
            <v>45390</v>
          </cell>
          <cell r="X5933">
            <v>41100584</v>
          </cell>
        </row>
        <row r="5934">
          <cell r="K5934" t="str">
            <v>GBWS-4339</v>
          </cell>
          <cell r="L5934">
            <v>45376</v>
          </cell>
          <cell r="M5934">
            <v>45377</v>
          </cell>
          <cell r="N5934">
            <v>45384</v>
          </cell>
          <cell r="O5934">
            <v>45377</v>
          </cell>
          <cell r="P5934">
            <v>45385</v>
          </cell>
          <cell r="Q5934">
            <v>45384</v>
          </cell>
          <cell r="R5934">
            <v>45385</v>
          </cell>
          <cell r="S5934">
            <v>45386</v>
          </cell>
          <cell r="T5934">
            <v>45387</v>
          </cell>
          <cell r="U5934">
            <v>45390</v>
          </cell>
          <cell r="V5934">
            <v>45391</v>
          </cell>
          <cell r="W5934">
            <v>45391</v>
          </cell>
          <cell r="X5934">
            <v>41100704</v>
          </cell>
        </row>
        <row r="5935">
          <cell r="K5935" t="str">
            <v>GBWS-4323</v>
          </cell>
          <cell r="L5935">
            <v>45373</v>
          </cell>
          <cell r="M5935">
            <v>45376</v>
          </cell>
          <cell r="N5935">
            <v>45384</v>
          </cell>
          <cell r="O5935">
            <v>45376</v>
          </cell>
          <cell r="P5935">
            <v>45385</v>
          </cell>
          <cell r="Q5935">
            <v>45384</v>
          </cell>
          <cell r="R5935">
            <v>45385</v>
          </cell>
          <cell r="S5935">
            <v>45387</v>
          </cell>
          <cell r="T5935">
            <v>45390</v>
          </cell>
          <cell r="U5935">
            <v>45391</v>
          </cell>
          <cell r="V5935">
            <v>45393</v>
          </cell>
          <cell r="W5935">
            <v>45393</v>
          </cell>
          <cell r="X5935">
            <v>41100538</v>
          </cell>
        </row>
        <row r="5936">
          <cell r="K5936" t="str">
            <v>GBWS-4337</v>
          </cell>
          <cell r="L5936">
            <v>45376</v>
          </cell>
          <cell r="M5936">
            <v>45377</v>
          </cell>
          <cell r="N5936">
            <v>45384</v>
          </cell>
          <cell r="O5936">
            <v>45377</v>
          </cell>
          <cell r="P5936">
            <v>45385</v>
          </cell>
          <cell r="Q5936">
            <v>45384</v>
          </cell>
          <cell r="R5936">
            <v>45385</v>
          </cell>
          <cell r="S5936">
            <v>45386</v>
          </cell>
          <cell r="T5936">
            <v>45387</v>
          </cell>
          <cell r="U5936">
            <v>45390</v>
          </cell>
          <cell r="V5936">
            <v>45391</v>
          </cell>
          <cell r="W5936">
            <v>45391</v>
          </cell>
          <cell r="X5936">
            <v>41100363</v>
          </cell>
        </row>
        <row r="5937">
          <cell r="K5937" t="str">
            <v>AWS-0012</v>
          </cell>
          <cell r="L5937">
            <v>45355</v>
          </cell>
          <cell r="M5937">
            <v>45356</v>
          </cell>
          <cell r="N5937">
            <v>45366</v>
          </cell>
          <cell r="O5937">
            <v>45356</v>
          </cell>
          <cell r="P5937">
            <v>45366</v>
          </cell>
          <cell r="Q5937">
            <v>45365</v>
          </cell>
          <cell r="R5937">
            <v>45366</v>
          </cell>
          <cell r="S5937">
            <v>45377</v>
          </cell>
          <cell r="T5937">
            <v>45378</v>
          </cell>
          <cell r="U5937">
            <v>45386</v>
          </cell>
          <cell r="V5937">
            <v>45386</v>
          </cell>
          <cell r="W5937">
            <v>45386</v>
          </cell>
          <cell r="X5937">
            <v>41000596</v>
          </cell>
        </row>
        <row r="5938">
          <cell r="K5938" t="str">
            <v>GPWS-0305</v>
          </cell>
          <cell r="L5938">
            <v>45268</v>
          </cell>
          <cell r="M5938" t="str">
            <v>2023-12-08 → 12/11</v>
          </cell>
          <cell r="N5938">
            <v>45309</v>
          </cell>
          <cell r="O5938" t="str">
            <v>2023-12-08 → 12/11</v>
          </cell>
          <cell r="P5938">
            <v>45294</v>
          </cell>
          <cell r="Q5938" t="str">
            <v>2023-12-15 → 12/18</v>
          </cell>
          <cell r="R5938" t="str">
            <v>2023-12-18 → 12/19</v>
          </cell>
          <cell r="S5938">
            <v>45308</v>
          </cell>
          <cell r="T5938">
            <v>45308</v>
          </cell>
          <cell r="U5938">
            <v>45328</v>
          </cell>
          <cell r="V5938">
            <v>45394</v>
          </cell>
          <cell r="W5938">
            <v>45394</v>
          </cell>
          <cell r="X5938">
            <v>41000547</v>
          </cell>
        </row>
        <row r="5939">
          <cell r="K5939" t="str">
            <v>GPWS-0332</v>
          </cell>
          <cell r="L5939">
            <v>45371</v>
          </cell>
          <cell r="M5939">
            <v>45373</v>
          </cell>
          <cell r="N5939">
            <v>45380</v>
          </cell>
          <cell r="O5939">
            <v>45373</v>
          </cell>
          <cell r="P5939">
            <v>45383</v>
          </cell>
          <cell r="Q5939">
            <v>45380</v>
          </cell>
          <cell r="R5939">
            <v>45383</v>
          </cell>
          <cell r="S5939">
            <v>45384</v>
          </cell>
          <cell r="T5939">
            <v>45386</v>
          </cell>
          <cell r="U5939">
            <v>45387</v>
          </cell>
          <cell r="V5939">
            <v>45394</v>
          </cell>
          <cell r="W5939">
            <v>45394</v>
          </cell>
          <cell r="X5939">
            <v>41000547</v>
          </cell>
        </row>
        <row r="5940">
          <cell r="K5940" t="str">
            <v>GPWS-0333</v>
          </cell>
          <cell r="L5940">
            <v>45371</v>
          </cell>
          <cell r="M5940">
            <v>45373</v>
          </cell>
          <cell r="N5940">
            <v>45380</v>
          </cell>
          <cell r="O5940">
            <v>45373</v>
          </cell>
          <cell r="P5940">
            <v>45383</v>
          </cell>
          <cell r="Q5940">
            <v>45380</v>
          </cell>
          <cell r="R5940">
            <v>45383</v>
          </cell>
          <cell r="S5940">
            <v>45384</v>
          </cell>
          <cell r="T5940">
            <v>45386</v>
          </cell>
          <cell r="U5940">
            <v>45387</v>
          </cell>
          <cell r="V5940">
            <v>45394</v>
          </cell>
          <cell r="W5940">
            <v>45394</v>
          </cell>
          <cell r="X5940">
            <v>41000547</v>
          </cell>
        </row>
        <row r="5941">
          <cell r="K5941" t="str">
            <v>GPWS-0334</v>
          </cell>
          <cell r="L5941">
            <v>45371</v>
          </cell>
          <cell r="M5941">
            <v>45373</v>
          </cell>
          <cell r="N5941">
            <v>45380</v>
          </cell>
          <cell r="O5941">
            <v>45373</v>
          </cell>
          <cell r="P5941">
            <v>45383</v>
          </cell>
          <cell r="Q5941">
            <v>45380</v>
          </cell>
          <cell r="R5941">
            <v>45383</v>
          </cell>
          <cell r="S5941">
            <v>45387</v>
          </cell>
          <cell r="T5941">
            <v>45390</v>
          </cell>
          <cell r="U5941">
            <v>45391</v>
          </cell>
          <cell r="V5941">
            <v>45394</v>
          </cell>
          <cell r="W5941">
            <v>45394</v>
          </cell>
          <cell r="X5941">
            <v>41000547</v>
          </cell>
        </row>
        <row r="5942">
          <cell r="K5942" t="str">
            <v>GPWS-0335</v>
          </cell>
          <cell r="L5942">
            <v>45371</v>
          </cell>
          <cell r="M5942">
            <v>45373</v>
          </cell>
          <cell r="N5942">
            <v>45380</v>
          </cell>
          <cell r="O5942">
            <v>45373</v>
          </cell>
          <cell r="P5942">
            <v>45383</v>
          </cell>
          <cell r="Q5942">
            <v>45380</v>
          </cell>
          <cell r="R5942">
            <v>45383</v>
          </cell>
          <cell r="S5942">
            <v>45387</v>
          </cell>
          <cell r="T5942">
            <v>45390</v>
          </cell>
          <cell r="U5942">
            <v>45391</v>
          </cell>
          <cell r="V5942">
            <v>45393</v>
          </cell>
          <cell r="W5942">
            <v>45393</v>
          </cell>
          <cell r="X5942">
            <v>41000547</v>
          </cell>
        </row>
        <row r="5943">
          <cell r="K5943" t="str">
            <v>GPWS-0319</v>
          </cell>
          <cell r="L5943">
            <v>45364</v>
          </cell>
          <cell r="M5943">
            <v>45365</v>
          </cell>
          <cell r="N5943">
            <v>45376</v>
          </cell>
          <cell r="O5943">
            <v>45365</v>
          </cell>
          <cell r="P5943">
            <v>45376</v>
          </cell>
          <cell r="Q5943" t="str">
            <v>2024-03-21 → 3/25</v>
          </cell>
          <cell r="R5943" t="str">
            <v>2024-03-22 → 3/26</v>
          </cell>
          <cell r="S5943">
            <v>45383</v>
          </cell>
          <cell r="T5943">
            <v>45384</v>
          </cell>
          <cell r="U5943">
            <v>45385</v>
          </cell>
          <cell r="V5943">
            <v>45394</v>
          </cell>
          <cell r="W5943">
            <v>45394</v>
          </cell>
          <cell r="X5943">
            <v>41000547</v>
          </cell>
        </row>
        <row r="5944">
          <cell r="K5944" t="str">
            <v>GPWS-0320</v>
          </cell>
          <cell r="L5944">
            <v>45364</v>
          </cell>
          <cell r="M5944">
            <v>45365</v>
          </cell>
          <cell r="N5944">
            <v>45376</v>
          </cell>
          <cell r="O5944">
            <v>45365</v>
          </cell>
          <cell r="P5944">
            <v>45376</v>
          </cell>
          <cell r="Q5944" t="str">
            <v>2024-03-21 → 3/25</v>
          </cell>
          <cell r="R5944" t="str">
            <v>2024-03-22 → 3/26</v>
          </cell>
          <cell r="S5944">
            <v>45383</v>
          </cell>
          <cell r="T5944">
            <v>45385</v>
          </cell>
          <cell r="U5944">
            <v>45386</v>
          </cell>
          <cell r="V5944">
            <v>45394</v>
          </cell>
          <cell r="W5944">
            <v>45394</v>
          </cell>
          <cell r="X5944">
            <v>41000547</v>
          </cell>
        </row>
        <row r="5945">
          <cell r="K5945" t="str">
            <v>GPWS-0321</v>
          </cell>
          <cell r="L5945">
            <v>45364</v>
          </cell>
          <cell r="M5945">
            <v>45365</v>
          </cell>
          <cell r="N5945">
            <v>45376</v>
          </cell>
          <cell r="O5945">
            <v>45365</v>
          </cell>
          <cell r="P5945">
            <v>45376</v>
          </cell>
          <cell r="Q5945" t="str">
            <v>2024-03-21 → 3/25</v>
          </cell>
          <cell r="R5945" t="str">
            <v>2024-03-22 → 3/26</v>
          </cell>
          <cell r="S5945">
            <v>45385</v>
          </cell>
          <cell r="T5945">
            <v>45387</v>
          </cell>
          <cell r="U5945">
            <v>45390</v>
          </cell>
          <cell r="V5945">
            <v>45394</v>
          </cell>
          <cell r="W5945">
            <v>45394</v>
          </cell>
          <cell r="X5945">
            <v>41000547</v>
          </cell>
        </row>
        <row r="5946">
          <cell r="K5946" t="str">
            <v>GPWS-0322</v>
          </cell>
          <cell r="L5946">
            <v>45364</v>
          </cell>
          <cell r="M5946">
            <v>45365</v>
          </cell>
          <cell r="N5946">
            <v>45376</v>
          </cell>
          <cell r="O5946">
            <v>45365</v>
          </cell>
          <cell r="P5946">
            <v>45376</v>
          </cell>
          <cell r="Q5946" t="str">
            <v>2024-03-21 → 3/25</v>
          </cell>
          <cell r="R5946" t="str">
            <v>2024-03-22 → 3/26</v>
          </cell>
          <cell r="S5946">
            <v>45385</v>
          </cell>
          <cell r="T5946">
            <v>45390</v>
          </cell>
          <cell r="U5946">
            <v>45391</v>
          </cell>
          <cell r="V5946">
            <v>45393</v>
          </cell>
          <cell r="W5946">
            <v>45393</v>
          </cell>
          <cell r="X5946">
            <v>41000547</v>
          </cell>
        </row>
        <row r="5947">
          <cell r="K5947" t="str">
            <v>GBWS-4314</v>
          </cell>
          <cell r="L5947">
            <v>45371</v>
          </cell>
          <cell r="M5947">
            <v>45373</v>
          </cell>
          <cell r="N5947">
            <v>45383</v>
          </cell>
          <cell r="O5947">
            <v>45373</v>
          </cell>
          <cell r="P5947">
            <v>45384</v>
          </cell>
          <cell r="Q5947">
            <v>45383</v>
          </cell>
          <cell r="R5947">
            <v>45384</v>
          </cell>
          <cell r="S5947">
            <v>45387</v>
          </cell>
          <cell r="T5947">
            <v>45390</v>
          </cell>
          <cell r="U5947">
            <v>45391</v>
          </cell>
          <cell r="V5947">
            <v>45393</v>
          </cell>
          <cell r="W5947">
            <v>45393</v>
          </cell>
          <cell r="X5947">
            <v>41100564</v>
          </cell>
        </row>
        <row r="5948">
          <cell r="K5948" t="str">
            <v>GBWS-4315</v>
          </cell>
          <cell r="L5948">
            <v>45371</v>
          </cell>
          <cell r="M5948">
            <v>45373</v>
          </cell>
          <cell r="N5948">
            <v>45383</v>
          </cell>
          <cell r="O5948">
            <v>45373</v>
          </cell>
          <cell r="P5948">
            <v>45384</v>
          </cell>
          <cell r="Q5948">
            <v>45383</v>
          </cell>
          <cell r="R5948">
            <v>45384</v>
          </cell>
          <cell r="S5948">
            <v>45387</v>
          </cell>
          <cell r="T5948">
            <v>45390</v>
          </cell>
          <cell r="U5948">
            <v>45391</v>
          </cell>
          <cell r="V5948">
            <v>45393</v>
          </cell>
          <cell r="W5948">
            <v>45393</v>
          </cell>
          <cell r="X5948">
            <v>41100564</v>
          </cell>
        </row>
        <row r="5949">
          <cell r="K5949" t="str">
            <v>GBWS-4316</v>
          </cell>
          <cell r="L5949">
            <v>45371</v>
          </cell>
          <cell r="M5949">
            <v>45373</v>
          </cell>
          <cell r="N5949">
            <v>45383</v>
          </cell>
          <cell r="O5949">
            <v>45373</v>
          </cell>
          <cell r="P5949">
            <v>45384</v>
          </cell>
          <cell r="Q5949">
            <v>45383</v>
          </cell>
          <cell r="R5949">
            <v>45384</v>
          </cell>
          <cell r="S5949">
            <v>45387</v>
          </cell>
          <cell r="T5949">
            <v>45390</v>
          </cell>
          <cell r="U5949">
            <v>45391</v>
          </cell>
          <cell r="V5949">
            <v>45393</v>
          </cell>
          <cell r="W5949">
            <v>45393</v>
          </cell>
          <cell r="X5949">
            <v>41100564</v>
          </cell>
        </row>
        <row r="5950">
          <cell r="K5950" t="str">
            <v>GBWS-4317</v>
          </cell>
          <cell r="L5950">
            <v>45371</v>
          </cell>
          <cell r="M5950">
            <v>45373</v>
          </cell>
          <cell r="N5950">
            <v>45383</v>
          </cell>
          <cell r="O5950">
            <v>45373</v>
          </cell>
          <cell r="P5950">
            <v>45384</v>
          </cell>
          <cell r="Q5950">
            <v>45383</v>
          </cell>
          <cell r="R5950">
            <v>45384</v>
          </cell>
          <cell r="S5950">
            <v>45387</v>
          </cell>
          <cell r="T5950">
            <v>45390</v>
          </cell>
          <cell r="U5950">
            <v>45391</v>
          </cell>
          <cell r="V5950">
            <v>45393</v>
          </cell>
          <cell r="W5950">
            <v>45393</v>
          </cell>
          <cell r="X5950">
            <v>41100564</v>
          </cell>
        </row>
        <row r="5951">
          <cell r="K5951" t="str">
            <v>GBWS-4340</v>
          </cell>
          <cell r="L5951">
            <v>45377</v>
          </cell>
          <cell r="M5951">
            <v>45378</v>
          </cell>
          <cell r="N5951">
            <v>45386</v>
          </cell>
          <cell r="O5951">
            <v>45378</v>
          </cell>
          <cell r="P5951">
            <v>45386</v>
          </cell>
          <cell r="Q5951" t="str">
            <v>2024-04-03 → 4/4</v>
          </cell>
          <cell r="R5951">
            <v>45386</v>
          </cell>
          <cell r="S5951">
            <v>45387</v>
          </cell>
          <cell r="T5951">
            <v>45390</v>
          </cell>
          <cell r="U5951">
            <v>45391</v>
          </cell>
          <cell r="V5951">
            <v>45393</v>
          </cell>
          <cell r="W5951">
            <v>45393</v>
          </cell>
          <cell r="X5951">
            <v>41100662</v>
          </cell>
        </row>
        <row r="5952">
          <cell r="K5952" t="str">
            <v>GBWS-4324</v>
          </cell>
          <cell r="L5952">
            <v>45373</v>
          </cell>
          <cell r="M5952">
            <v>45376</v>
          </cell>
          <cell r="N5952">
            <v>45384</v>
          </cell>
          <cell r="O5952">
            <v>45376</v>
          </cell>
          <cell r="P5952">
            <v>45385</v>
          </cell>
          <cell r="Q5952">
            <v>45384</v>
          </cell>
          <cell r="R5952">
            <v>45385</v>
          </cell>
          <cell r="S5952">
            <v>45386</v>
          </cell>
          <cell r="T5952">
            <v>45387</v>
          </cell>
          <cell r="U5952">
            <v>45391</v>
          </cell>
          <cell r="V5952">
            <v>45391</v>
          </cell>
          <cell r="W5952">
            <v>45391</v>
          </cell>
          <cell r="X5952">
            <v>41100564</v>
          </cell>
        </row>
        <row r="5953">
          <cell r="K5953" t="str">
            <v>GBWS-4325</v>
          </cell>
          <cell r="L5953">
            <v>45373</v>
          </cell>
          <cell r="M5953">
            <v>45376</v>
          </cell>
          <cell r="N5953">
            <v>45384</v>
          </cell>
          <cell r="O5953">
            <v>45376</v>
          </cell>
          <cell r="P5953">
            <v>45385</v>
          </cell>
          <cell r="Q5953">
            <v>45384</v>
          </cell>
          <cell r="R5953">
            <v>45385</v>
          </cell>
          <cell r="S5953">
            <v>45386</v>
          </cell>
          <cell r="T5953">
            <v>45387</v>
          </cell>
          <cell r="U5953">
            <v>45391</v>
          </cell>
          <cell r="V5953">
            <v>45391</v>
          </cell>
          <cell r="W5953">
            <v>45391</v>
          </cell>
          <cell r="X5953">
            <v>41100564</v>
          </cell>
        </row>
        <row r="5954">
          <cell r="K5954" t="str">
            <v>GBWS-4335</v>
          </cell>
          <cell r="L5954">
            <v>45376</v>
          </cell>
          <cell r="M5954">
            <v>45377</v>
          </cell>
          <cell r="N5954">
            <v>45384</v>
          </cell>
          <cell r="O5954">
            <v>45377</v>
          </cell>
          <cell r="P5954">
            <v>45385</v>
          </cell>
          <cell r="Q5954">
            <v>45384</v>
          </cell>
          <cell r="R5954">
            <v>45385</v>
          </cell>
          <cell r="S5954">
            <v>45385</v>
          </cell>
          <cell r="T5954">
            <v>45386</v>
          </cell>
          <cell r="U5954">
            <v>45387</v>
          </cell>
          <cell r="V5954">
            <v>45390</v>
          </cell>
          <cell r="W5954">
            <v>45390</v>
          </cell>
          <cell r="X5954">
            <v>41100698</v>
          </cell>
        </row>
        <row r="5955">
          <cell r="K5955" t="str">
            <v>GBWS-4345</v>
          </cell>
          <cell r="L5955">
            <v>45379</v>
          </cell>
          <cell r="M5955">
            <v>45380</v>
          </cell>
          <cell r="N5955">
            <v>45391</v>
          </cell>
          <cell r="O5955">
            <v>45380</v>
          </cell>
          <cell r="P5955">
            <v>45391</v>
          </cell>
          <cell r="Q5955" t="str">
            <v>2024-04-08 → 4/9</v>
          </cell>
          <cell r="R5955">
            <v>45391</v>
          </cell>
          <cell r="S5955">
            <v>45392</v>
          </cell>
          <cell r="T5955">
            <v>45394</v>
          </cell>
          <cell r="U5955">
            <v>45397</v>
          </cell>
          <cell r="V5955">
            <v>45397</v>
          </cell>
          <cell r="W5955">
            <v>45397</v>
          </cell>
          <cell r="X5955">
            <v>41100374</v>
          </cell>
        </row>
        <row r="5956">
          <cell r="K5956" t="str">
            <v>GPWS-0315</v>
          </cell>
          <cell r="L5956">
            <v>45306</v>
          </cell>
          <cell r="M5956" t="str">
            <v>2024-01-12 → 1/16</v>
          </cell>
          <cell r="N5956">
            <v>45315</v>
          </cell>
          <cell r="O5956" t="str">
            <v>2024-01-12 → 1/16</v>
          </cell>
          <cell r="P5956">
            <v>45315</v>
          </cell>
          <cell r="Q5956">
            <v>45313</v>
          </cell>
          <cell r="R5956" t="str">
            <v>2024-01-22 → 1/23 → 1/24</v>
          </cell>
          <cell r="S5956">
            <v>45316</v>
          </cell>
          <cell r="T5956">
            <v>45316</v>
          </cell>
          <cell r="U5956">
            <v>45321</v>
          </cell>
          <cell r="V5956">
            <v>45393</v>
          </cell>
          <cell r="W5956">
            <v>45393</v>
          </cell>
          <cell r="X5956" t="str">
            <v>41000581 → 41000600</v>
          </cell>
        </row>
        <row r="5957">
          <cell r="K5957" t="str">
            <v>GPWS-0323</v>
          </cell>
          <cell r="L5957">
            <v>45370</v>
          </cell>
          <cell r="M5957" t="str">
            <v>2024-03-12 → 3/20</v>
          </cell>
          <cell r="N5957">
            <v>45383</v>
          </cell>
          <cell r="O5957" t="str">
            <v>2024-03-12 → 3/20</v>
          </cell>
          <cell r="P5957">
            <v>45385</v>
          </cell>
          <cell r="Q5957" t="str">
            <v>2024-03-19 → 3/26 → 4/2</v>
          </cell>
          <cell r="R5957" t="str">
            <v>2024-03-20 → 3/27 → 4/5</v>
          </cell>
          <cell r="S5957">
            <v>45387</v>
          </cell>
          <cell r="T5957">
            <v>45392</v>
          </cell>
          <cell r="U5957">
            <v>45397</v>
          </cell>
          <cell r="V5957">
            <v>45397</v>
          </cell>
          <cell r="W5957">
            <v>45397</v>
          </cell>
          <cell r="X5957">
            <v>41000548</v>
          </cell>
        </row>
        <row r="5958">
          <cell r="K5958" t="str">
            <v>GPWS-0324</v>
          </cell>
          <cell r="L5958">
            <v>45370</v>
          </cell>
          <cell r="M5958" t="str">
            <v>2024-03-12 → 3/20</v>
          </cell>
          <cell r="N5958">
            <v>45383</v>
          </cell>
          <cell r="O5958" t="str">
            <v>2024-03-12 → 3/20</v>
          </cell>
          <cell r="P5958">
            <v>45385</v>
          </cell>
          <cell r="Q5958" t="str">
            <v>2024-03-19 → 3/26 → 4/2</v>
          </cell>
          <cell r="R5958" t="str">
            <v>2024-03-20 → 3/27 → 4/5</v>
          </cell>
          <cell r="S5958">
            <v>45390</v>
          </cell>
          <cell r="T5958">
            <v>45392</v>
          </cell>
          <cell r="U5958">
            <v>45394</v>
          </cell>
          <cell r="V5958">
            <v>45397</v>
          </cell>
          <cell r="W5958">
            <v>45397</v>
          </cell>
          <cell r="X5958">
            <v>41000548</v>
          </cell>
        </row>
        <row r="5959">
          <cell r="K5959" t="str">
            <v>GPWS-0325</v>
          </cell>
          <cell r="L5959">
            <v>45370</v>
          </cell>
          <cell r="M5959" t="str">
            <v>2024-03-12 → 3/20</v>
          </cell>
          <cell r="N5959">
            <v>45383</v>
          </cell>
          <cell r="O5959" t="str">
            <v>2024-03-12 → 3/20</v>
          </cell>
          <cell r="P5959">
            <v>45385</v>
          </cell>
          <cell r="Q5959" t="str">
            <v>2024-03-19 → 3/26 → 4/2</v>
          </cell>
          <cell r="R5959" t="str">
            <v>2024-03-20 → 3/27 → 4/5</v>
          </cell>
          <cell r="S5959">
            <v>45391</v>
          </cell>
          <cell r="T5959">
            <v>45392</v>
          </cell>
          <cell r="U5959">
            <v>45397</v>
          </cell>
          <cell r="V5959">
            <v>45397</v>
          </cell>
          <cell r="W5959">
            <v>45397</v>
          </cell>
          <cell r="X5959">
            <v>41000548</v>
          </cell>
        </row>
        <row r="5960">
          <cell r="K5960" t="str">
            <v>GPWS-0329</v>
          </cell>
          <cell r="L5960">
            <v>45370</v>
          </cell>
          <cell r="M5960">
            <v>45371</v>
          </cell>
          <cell r="N5960">
            <v>45386</v>
          </cell>
          <cell r="O5960">
            <v>45371</v>
          </cell>
          <cell r="P5960">
            <v>45387</v>
          </cell>
          <cell r="Q5960" t="str">
            <v>2024-03-29 → 4/4</v>
          </cell>
          <cell r="R5960" t="str">
            <v xml:space="preserve">2024-04-01 → 4/5 </v>
          </cell>
          <cell r="S5960">
            <v>45390</v>
          </cell>
          <cell r="T5960">
            <v>45392</v>
          </cell>
          <cell r="U5960">
            <v>45394</v>
          </cell>
          <cell r="V5960">
            <v>45397</v>
          </cell>
          <cell r="W5960">
            <v>45397</v>
          </cell>
          <cell r="X5960">
            <v>41000548</v>
          </cell>
        </row>
        <row r="5961">
          <cell r="K5961" t="str">
            <v>GPWS-0330</v>
          </cell>
          <cell r="L5961">
            <v>45370</v>
          </cell>
          <cell r="M5961">
            <v>45371</v>
          </cell>
          <cell r="N5961">
            <v>45386</v>
          </cell>
          <cell r="O5961">
            <v>45371</v>
          </cell>
          <cell r="P5961">
            <v>45387</v>
          </cell>
          <cell r="Q5961" t="str">
            <v>2024-03-29 → 4/4</v>
          </cell>
          <cell r="R5961" t="str">
            <v xml:space="preserve">2024-04-01 → 4/5 </v>
          </cell>
          <cell r="S5961">
            <v>45390</v>
          </cell>
          <cell r="T5961">
            <v>45391</v>
          </cell>
          <cell r="U5961">
            <v>45394</v>
          </cell>
          <cell r="V5961">
            <v>45397</v>
          </cell>
          <cell r="W5961">
            <v>45397</v>
          </cell>
          <cell r="X5961">
            <v>41000548</v>
          </cell>
        </row>
        <row r="5962">
          <cell r="K5962" t="str">
            <v>GPWS-0331</v>
          </cell>
          <cell r="L5962">
            <v>45370</v>
          </cell>
          <cell r="M5962">
            <v>45371</v>
          </cell>
          <cell r="N5962">
            <v>45386</v>
          </cell>
          <cell r="O5962">
            <v>45371</v>
          </cell>
          <cell r="P5962">
            <v>45387</v>
          </cell>
          <cell r="Q5962" t="str">
            <v>2024-03-29 → 4/4</v>
          </cell>
          <cell r="R5962" t="str">
            <v xml:space="preserve">2024-04-01 → 4/5 </v>
          </cell>
          <cell r="S5962">
            <v>45390</v>
          </cell>
          <cell r="T5962">
            <v>45391</v>
          </cell>
          <cell r="U5962">
            <v>45394</v>
          </cell>
          <cell r="V5962">
            <v>45397</v>
          </cell>
          <cell r="W5962">
            <v>45397</v>
          </cell>
          <cell r="X5962">
            <v>41000548</v>
          </cell>
        </row>
        <row r="5963">
          <cell r="K5963" t="str">
            <v>GPWS-0347</v>
          </cell>
          <cell r="L5963">
            <v>45378</v>
          </cell>
          <cell r="M5963">
            <v>45379</v>
          </cell>
          <cell r="N5963">
            <v>45387</v>
          </cell>
          <cell r="O5963">
            <v>45379</v>
          </cell>
          <cell r="P5963">
            <v>45390</v>
          </cell>
          <cell r="Q5963" t="str">
            <v>2024-04-04 → 4/5</v>
          </cell>
          <cell r="R5963" t="str">
            <v>2024-04-05 → 4/8</v>
          </cell>
          <cell r="S5963">
            <v>45392</v>
          </cell>
          <cell r="T5963">
            <v>45393</v>
          </cell>
          <cell r="U5963">
            <v>45394</v>
          </cell>
          <cell r="V5963">
            <v>45397</v>
          </cell>
          <cell r="W5963">
            <v>45397</v>
          </cell>
          <cell r="X5963">
            <v>41000548</v>
          </cell>
        </row>
        <row r="5964">
          <cell r="K5964" t="str">
            <v>GPWS-0312</v>
          </cell>
          <cell r="L5964">
            <v>45300</v>
          </cell>
          <cell r="M5964">
            <v>45301</v>
          </cell>
          <cell r="N5964">
            <v>45313</v>
          </cell>
          <cell r="O5964">
            <v>45301</v>
          </cell>
          <cell r="P5964">
            <v>45313</v>
          </cell>
          <cell r="Q5964" t="str">
            <v>2024-01-17 → 1/22</v>
          </cell>
          <cell r="R5964" t="str">
            <v>2024-01-17 → 1/22</v>
          </cell>
          <cell r="S5964">
            <v>45314</v>
          </cell>
          <cell r="T5964">
            <v>45314</v>
          </cell>
          <cell r="U5964">
            <v>45397</v>
          </cell>
          <cell r="V5964">
            <v>45397</v>
          </cell>
          <cell r="W5964">
            <v>45397</v>
          </cell>
          <cell r="X5964">
            <v>41000562</v>
          </cell>
        </row>
        <row r="5965">
          <cell r="K5965" t="str">
            <v>GBWS-4341</v>
          </cell>
          <cell r="L5965">
            <v>45378</v>
          </cell>
          <cell r="M5965">
            <v>45379</v>
          </cell>
          <cell r="N5965">
            <v>45387</v>
          </cell>
          <cell r="O5965">
            <v>45379</v>
          </cell>
          <cell r="P5965">
            <v>45390</v>
          </cell>
          <cell r="Q5965">
            <v>45387</v>
          </cell>
          <cell r="R5965">
            <v>45390</v>
          </cell>
          <cell r="S5965">
            <v>45392</v>
          </cell>
          <cell r="T5965">
            <v>45393</v>
          </cell>
          <cell r="U5965">
            <v>45394</v>
          </cell>
          <cell r="V5965">
            <v>45397</v>
          </cell>
          <cell r="W5965">
            <v>45397</v>
          </cell>
          <cell r="X5965">
            <v>41100642</v>
          </cell>
        </row>
        <row r="5966">
          <cell r="K5966" t="str">
            <v>DBW-3310</v>
          </cell>
          <cell r="L5966">
            <v>45379</v>
          </cell>
          <cell r="M5966">
            <v>45380</v>
          </cell>
          <cell r="N5966">
            <v>45387</v>
          </cell>
          <cell r="O5966">
            <v>45380</v>
          </cell>
          <cell r="P5966">
            <v>45390</v>
          </cell>
          <cell r="Q5966">
            <v>45387</v>
          </cell>
          <cell r="R5966">
            <v>45390</v>
          </cell>
          <cell r="S5966">
            <v>45393</v>
          </cell>
          <cell r="T5966">
            <v>45393</v>
          </cell>
          <cell r="U5966">
            <v>45398</v>
          </cell>
          <cell r="V5966">
            <v>45398</v>
          </cell>
          <cell r="W5966">
            <v>45398</v>
          </cell>
          <cell r="X5966">
            <v>41000590</v>
          </cell>
        </row>
        <row r="5967">
          <cell r="K5967" t="str">
            <v>DBW-3311</v>
          </cell>
          <cell r="L5967">
            <v>45379</v>
          </cell>
          <cell r="M5967">
            <v>45380</v>
          </cell>
          <cell r="N5967">
            <v>45387</v>
          </cell>
          <cell r="O5967">
            <v>45380</v>
          </cell>
          <cell r="P5967">
            <v>45390</v>
          </cell>
          <cell r="Q5967">
            <v>45387</v>
          </cell>
          <cell r="R5967">
            <v>45390</v>
          </cell>
          <cell r="S5967">
            <v>45393</v>
          </cell>
          <cell r="T5967">
            <v>45393</v>
          </cell>
          <cell r="U5967">
            <v>45398</v>
          </cell>
          <cell r="V5967">
            <v>45398</v>
          </cell>
          <cell r="W5967">
            <v>45398</v>
          </cell>
          <cell r="X5967">
            <v>41000590</v>
          </cell>
        </row>
        <row r="5968">
          <cell r="K5968" t="str">
            <v>DBW-3312</v>
          </cell>
          <cell r="L5968">
            <v>45379</v>
          </cell>
          <cell r="M5968">
            <v>45380</v>
          </cell>
          <cell r="N5968">
            <v>45387</v>
          </cell>
          <cell r="O5968">
            <v>45380</v>
          </cell>
          <cell r="P5968">
            <v>45390</v>
          </cell>
          <cell r="Q5968">
            <v>45387</v>
          </cell>
          <cell r="R5968">
            <v>45390</v>
          </cell>
          <cell r="S5968">
            <v>45393</v>
          </cell>
          <cell r="T5968">
            <v>45394</v>
          </cell>
          <cell r="U5968">
            <v>45398</v>
          </cell>
          <cell r="V5968">
            <v>45399</v>
          </cell>
          <cell r="W5968">
            <v>45399</v>
          </cell>
          <cell r="X5968">
            <v>41000590</v>
          </cell>
        </row>
        <row r="5969">
          <cell r="K5969" t="str">
            <v>DBW-3313</v>
          </cell>
          <cell r="L5969">
            <v>45379</v>
          </cell>
          <cell r="M5969">
            <v>45380</v>
          </cell>
          <cell r="N5969">
            <v>45387</v>
          </cell>
          <cell r="O5969">
            <v>45380</v>
          </cell>
          <cell r="P5969">
            <v>45390</v>
          </cell>
          <cell r="Q5969">
            <v>45387</v>
          </cell>
          <cell r="R5969">
            <v>45390</v>
          </cell>
          <cell r="S5969">
            <v>45393</v>
          </cell>
          <cell r="T5969">
            <v>45397</v>
          </cell>
          <cell r="U5969">
            <v>45398</v>
          </cell>
          <cell r="V5969">
            <v>45399</v>
          </cell>
          <cell r="W5969">
            <v>45399</v>
          </cell>
          <cell r="X5969">
            <v>41000590</v>
          </cell>
        </row>
        <row r="5970">
          <cell r="K5970" t="str">
            <v>DBW-3281</v>
          </cell>
          <cell r="L5970">
            <v>45355</v>
          </cell>
          <cell r="M5970">
            <v>45356</v>
          </cell>
          <cell r="N5970">
            <v>45364</v>
          </cell>
          <cell r="O5970">
            <v>45356</v>
          </cell>
          <cell r="P5970">
            <v>45365</v>
          </cell>
          <cell r="Q5970" t="str">
            <v>2024-03-13 → 3/14</v>
          </cell>
          <cell r="R5970" t="str">
            <v>2024-03-14 → 3/15</v>
          </cell>
          <cell r="S5970">
            <v>45370</v>
          </cell>
          <cell r="T5970">
            <v>45371</v>
          </cell>
          <cell r="U5970">
            <v>45372</v>
          </cell>
          <cell r="V5970">
            <v>45373</v>
          </cell>
          <cell r="W5970">
            <v>45373</v>
          </cell>
          <cell r="X5970">
            <v>41000584</v>
          </cell>
        </row>
        <row r="5971">
          <cell r="K5971" t="str">
            <v>DBW-3282</v>
          </cell>
          <cell r="L5971">
            <v>45355</v>
          </cell>
          <cell r="M5971">
            <v>45356</v>
          </cell>
          <cell r="N5971">
            <v>45364</v>
          </cell>
          <cell r="O5971">
            <v>45356</v>
          </cell>
          <cell r="P5971">
            <v>45365</v>
          </cell>
          <cell r="Q5971" t="str">
            <v>2024-03-13 → 3/14</v>
          </cell>
          <cell r="R5971" t="str">
            <v>2024-03-14 → 3/15</v>
          </cell>
          <cell r="S5971">
            <v>45370</v>
          </cell>
          <cell r="T5971">
            <v>45370</v>
          </cell>
          <cell r="U5971">
            <v>45377</v>
          </cell>
          <cell r="V5971">
            <v>45377</v>
          </cell>
          <cell r="W5971">
            <v>45377</v>
          </cell>
          <cell r="X5971">
            <v>41000584</v>
          </cell>
        </row>
        <row r="5972">
          <cell r="K5972" t="str">
            <v>GPWS-0336</v>
          </cell>
          <cell r="L5972">
            <v>45376</v>
          </cell>
          <cell r="M5972">
            <v>45377</v>
          </cell>
          <cell r="N5972">
            <v>45391</v>
          </cell>
          <cell r="O5972">
            <v>45377</v>
          </cell>
          <cell r="P5972">
            <v>45392</v>
          </cell>
          <cell r="Q5972" t="str">
            <v>2024-04-02 → 4/8 → 4/9</v>
          </cell>
          <cell r="R5972" t="str">
            <v>2024-04-03 → 4/9 → 4/10</v>
          </cell>
          <cell r="S5972">
            <v>45394</v>
          </cell>
          <cell r="T5972">
            <v>45397</v>
          </cell>
          <cell r="U5972">
            <v>45399</v>
          </cell>
          <cell r="V5972">
            <v>45400</v>
          </cell>
          <cell r="W5972">
            <v>45400</v>
          </cell>
          <cell r="X5972">
            <v>41000548</v>
          </cell>
        </row>
        <row r="5973">
          <cell r="K5973" t="str">
            <v>GPWS-0337</v>
          </cell>
          <cell r="L5973">
            <v>45376</v>
          </cell>
          <cell r="M5973">
            <v>45377</v>
          </cell>
          <cell r="N5973">
            <v>45391</v>
          </cell>
          <cell r="O5973">
            <v>45377</v>
          </cell>
          <cell r="P5973">
            <v>45392</v>
          </cell>
          <cell r="Q5973" t="str">
            <v>2024-04-02 → 4/8 → 4/9</v>
          </cell>
          <cell r="R5973" t="str">
            <v>2024-04-03 → 4/9 → 4/10</v>
          </cell>
          <cell r="S5973">
            <v>45394</v>
          </cell>
          <cell r="T5973">
            <v>45397</v>
          </cell>
          <cell r="U5973">
            <v>45398</v>
          </cell>
          <cell r="V5973">
            <v>45399</v>
          </cell>
          <cell r="W5973">
            <v>45399</v>
          </cell>
          <cell r="X5973">
            <v>41000548</v>
          </cell>
        </row>
        <row r="5974">
          <cell r="K5974" t="str">
            <v>GPWS-0338</v>
          </cell>
          <cell r="L5974">
            <v>45376</v>
          </cell>
          <cell r="M5974">
            <v>45377</v>
          </cell>
          <cell r="N5974">
            <v>45391</v>
          </cell>
          <cell r="O5974">
            <v>45377</v>
          </cell>
          <cell r="P5974">
            <v>45392</v>
          </cell>
          <cell r="Q5974" t="str">
            <v>2024-04-02 → 4/8 → 4/9</v>
          </cell>
          <cell r="R5974" t="str">
            <v>2024-04-03 → 4/9 → 4/10</v>
          </cell>
          <cell r="S5974">
            <v>45397</v>
          </cell>
          <cell r="T5974">
            <v>45398</v>
          </cell>
          <cell r="U5974">
            <v>45399</v>
          </cell>
          <cell r="V5974">
            <v>45400</v>
          </cell>
          <cell r="W5974">
            <v>45400</v>
          </cell>
          <cell r="X5974">
            <v>41000548</v>
          </cell>
        </row>
        <row r="5975">
          <cell r="K5975" t="str">
            <v>GPWS-0339</v>
          </cell>
          <cell r="L5975">
            <v>45376</v>
          </cell>
          <cell r="M5975">
            <v>45377</v>
          </cell>
          <cell r="N5975">
            <v>45391</v>
          </cell>
          <cell r="O5975">
            <v>45377</v>
          </cell>
          <cell r="P5975">
            <v>45392</v>
          </cell>
          <cell r="Q5975" t="str">
            <v>2024-04-02 → 4/8 → 4/9</v>
          </cell>
          <cell r="R5975" t="str">
            <v>2024-04-03 → 4/9 → 4/10</v>
          </cell>
          <cell r="S5975">
            <v>45397</v>
          </cell>
          <cell r="T5975">
            <v>45399</v>
          </cell>
          <cell r="U5975">
            <v>45400</v>
          </cell>
          <cell r="V5975">
            <v>45400</v>
          </cell>
          <cell r="W5975">
            <v>45400</v>
          </cell>
          <cell r="X5975">
            <v>41000548</v>
          </cell>
        </row>
        <row r="5976">
          <cell r="K5976" t="str">
            <v>GPWS-0340</v>
          </cell>
          <cell r="L5976">
            <v>45378</v>
          </cell>
          <cell r="M5976">
            <v>45379</v>
          </cell>
          <cell r="N5976">
            <v>45390</v>
          </cell>
          <cell r="O5976">
            <v>45379</v>
          </cell>
          <cell r="P5976">
            <v>45391</v>
          </cell>
          <cell r="Q5976" t="str">
            <v>2024-04-04 → 4/8</v>
          </cell>
          <cell r="R5976" t="str">
            <v>2024-04-05 → 4/9</v>
          </cell>
          <cell r="S5976">
            <v>45393</v>
          </cell>
          <cell r="T5976">
            <v>45394</v>
          </cell>
          <cell r="U5976">
            <v>45398</v>
          </cell>
          <cell r="V5976">
            <v>45400</v>
          </cell>
          <cell r="W5976">
            <v>45400</v>
          </cell>
          <cell r="X5976">
            <v>41000548</v>
          </cell>
        </row>
        <row r="5977">
          <cell r="K5977" t="str">
            <v>GPWS-0341</v>
          </cell>
          <cell r="L5977">
            <v>45378</v>
          </cell>
          <cell r="M5977">
            <v>45379</v>
          </cell>
          <cell r="N5977">
            <v>45390</v>
          </cell>
          <cell r="O5977">
            <v>45379</v>
          </cell>
          <cell r="P5977">
            <v>45391</v>
          </cell>
          <cell r="Q5977" t="str">
            <v>2024-04-04 → 4/8</v>
          </cell>
          <cell r="R5977" t="str">
            <v>2024-04-05 → 4/9</v>
          </cell>
          <cell r="S5977">
            <v>45393</v>
          </cell>
          <cell r="T5977">
            <v>45394</v>
          </cell>
          <cell r="U5977">
            <v>45398</v>
          </cell>
          <cell r="V5977">
            <v>45399</v>
          </cell>
          <cell r="W5977">
            <v>45399</v>
          </cell>
          <cell r="X5977">
            <v>41000548</v>
          </cell>
        </row>
        <row r="5978">
          <cell r="K5978" t="str">
            <v>GPWS-0342</v>
          </cell>
          <cell r="L5978">
            <v>45378</v>
          </cell>
          <cell r="M5978">
            <v>45379</v>
          </cell>
          <cell r="N5978">
            <v>45390</v>
          </cell>
          <cell r="O5978">
            <v>45379</v>
          </cell>
          <cell r="P5978">
            <v>45391</v>
          </cell>
          <cell r="Q5978" t="str">
            <v>2024-04-04 → 4/8</v>
          </cell>
          <cell r="R5978" t="str">
            <v>2024-04-05 → 4/9</v>
          </cell>
          <cell r="S5978">
            <v>45393</v>
          </cell>
          <cell r="T5978">
            <v>45394</v>
          </cell>
          <cell r="U5978">
            <v>45398</v>
          </cell>
          <cell r="V5978">
            <v>45399</v>
          </cell>
          <cell r="W5978">
            <v>45399</v>
          </cell>
          <cell r="X5978">
            <v>41000548</v>
          </cell>
        </row>
        <row r="5979">
          <cell r="K5979" t="str">
            <v>DBW-3314</v>
          </cell>
          <cell r="L5979">
            <v>45380</v>
          </cell>
          <cell r="M5979">
            <v>45383</v>
          </cell>
          <cell r="N5979">
            <v>45391</v>
          </cell>
          <cell r="O5979">
            <v>45383</v>
          </cell>
          <cell r="P5979">
            <v>45393</v>
          </cell>
          <cell r="Q5979">
            <v>45391</v>
          </cell>
          <cell r="R5979">
            <v>45393</v>
          </cell>
          <cell r="S5979">
            <v>45394</v>
          </cell>
          <cell r="T5979">
            <v>45397</v>
          </cell>
          <cell r="U5979">
            <v>45398</v>
          </cell>
          <cell r="V5979">
            <v>45399</v>
          </cell>
          <cell r="W5979">
            <v>45399</v>
          </cell>
          <cell r="X5979">
            <v>41100681</v>
          </cell>
        </row>
        <row r="5980">
          <cell r="K5980" t="str">
            <v>DBW-3315</v>
          </cell>
          <cell r="L5980">
            <v>45380</v>
          </cell>
          <cell r="M5980">
            <v>45383</v>
          </cell>
          <cell r="N5980">
            <v>45391</v>
          </cell>
          <cell r="O5980">
            <v>45383</v>
          </cell>
          <cell r="P5980">
            <v>45393</v>
          </cell>
          <cell r="Q5980">
            <v>45391</v>
          </cell>
          <cell r="R5980">
            <v>45393</v>
          </cell>
          <cell r="S5980">
            <v>45394</v>
          </cell>
          <cell r="T5980">
            <v>45397</v>
          </cell>
          <cell r="U5980">
            <v>45398</v>
          </cell>
          <cell r="V5980">
            <v>45399</v>
          </cell>
          <cell r="W5980">
            <v>45399</v>
          </cell>
          <cell r="X5980">
            <v>41100681</v>
          </cell>
        </row>
        <row r="5981">
          <cell r="K5981" t="str">
            <v>DBW-3316</v>
          </cell>
          <cell r="L5981">
            <v>45380</v>
          </cell>
          <cell r="M5981">
            <v>45383</v>
          </cell>
          <cell r="N5981">
            <v>45391</v>
          </cell>
          <cell r="O5981">
            <v>45383</v>
          </cell>
          <cell r="P5981">
            <v>45393</v>
          </cell>
          <cell r="Q5981">
            <v>45391</v>
          </cell>
          <cell r="R5981">
            <v>45393</v>
          </cell>
          <cell r="S5981">
            <v>45394</v>
          </cell>
          <cell r="T5981">
            <v>45399</v>
          </cell>
          <cell r="U5981">
            <v>45399</v>
          </cell>
          <cell r="V5981">
            <v>45400</v>
          </cell>
          <cell r="W5981">
            <v>45400</v>
          </cell>
          <cell r="X5981">
            <v>41100681</v>
          </cell>
        </row>
        <row r="5982">
          <cell r="K5982" t="str">
            <v>DBW-3317</v>
          </cell>
          <cell r="L5982">
            <v>45380</v>
          </cell>
          <cell r="M5982">
            <v>45383</v>
          </cell>
          <cell r="N5982">
            <v>45391</v>
          </cell>
          <cell r="O5982">
            <v>45383</v>
          </cell>
          <cell r="P5982">
            <v>45393</v>
          </cell>
          <cell r="Q5982">
            <v>45391</v>
          </cell>
          <cell r="R5982">
            <v>45393</v>
          </cell>
          <cell r="S5982">
            <v>45394</v>
          </cell>
          <cell r="T5982">
            <v>45397</v>
          </cell>
          <cell r="U5982">
            <v>45398</v>
          </cell>
          <cell r="V5982">
            <v>45399</v>
          </cell>
          <cell r="W5982">
            <v>45399</v>
          </cell>
          <cell r="X5982">
            <v>41100681</v>
          </cell>
        </row>
        <row r="5983">
          <cell r="K5983" t="str">
            <v>GBWS-4364</v>
          </cell>
          <cell r="L5983">
            <v>45383</v>
          </cell>
          <cell r="M5983">
            <v>45384</v>
          </cell>
          <cell r="N5983">
            <v>45393</v>
          </cell>
          <cell r="O5983">
            <v>45384</v>
          </cell>
          <cell r="P5983">
            <v>45394</v>
          </cell>
          <cell r="Q5983">
            <v>45393</v>
          </cell>
          <cell r="R5983" t="str">
            <v>2024-04-12 → 4/13</v>
          </cell>
          <cell r="S5983">
            <v>45397</v>
          </cell>
          <cell r="T5983">
            <v>45398</v>
          </cell>
          <cell r="U5983">
            <v>45400</v>
          </cell>
          <cell r="V5983">
            <v>45400</v>
          </cell>
          <cell r="W5983">
            <v>45400</v>
          </cell>
          <cell r="X5983">
            <v>41100590</v>
          </cell>
        </row>
        <row r="5984">
          <cell r="K5984" t="str">
            <v>GBWS-4369</v>
          </cell>
          <cell r="L5984">
            <v>45384</v>
          </cell>
          <cell r="M5984">
            <v>45385</v>
          </cell>
          <cell r="N5984">
            <v>45393</v>
          </cell>
          <cell r="O5984">
            <v>45385</v>
          </cell>
          <cell r="P5984">
            <v>45394</v>
          </cell>
          <cell r="Q5984">
            <v>45393</v>
          </cell>
          <cell r="R5984" t="str">
            <v>2024-04-12 → 4/13</v>
          </cell>
          <cell r="S5984">
            <v>45397</v>
          </cell>
          <cell r="T5984">
            <v>45398</v>
          </cell>
          <cell r="U5984">
            <v>45400</v>
          </cell>
          <cell r="V5984">
            <v>45400</v>
          </cell>
          <cell r="W5984">
            <v>45400</v>
          </cell>
          <cell r="X5984">
            <v>41100662</v>
          </cell>
        </row>
        <row r="5985">
          <cell r="K5985" t="str">
            <v>GBWS-4343</v>
          </cell>
          <cell r="L5985">
            <v>45379</v>
          </cell>
          <cell r="M5985">
            <v>45380</v>
          </cell>
          <cell r="N5985">
            <v>45390</v>
          </cell>
          <cell r="O5985">
            <v>45380</v>
          </cell>
          <cell r="P5985">
            <v>45391</v>
          </cell>
          <cell r="Q5985">
            <v>45390</v>
          </cell>
          <cell r="R5985">
            <v>45391</v>
          </cell>
          <cell r="S5985">
            <v>45393</v>
          </cell>
          <cell r="T5985">
            <v>45394</v>
          </cell>
          <cell r="U5985">
            <v>45397</v>
          </cell>
          <cell r="V5985">
            <v>45398</v>
          </cell>
          <cell r="W5985">
            <v>45398</v>
          </cell>
          <cell r="X5985">
            <v>41100564</v>
          </cell>
        </row>
        <row r="5986">
          <cell r="K5986" t="str">
            <v>GBWS-4344</v>
          </cell>
          <cell r="L5986">
            <v>45379</v>
          </cell>
          <cell r="M5986">
            <v>45380</v>
          </cell>
          <cell r="N5986">
            <v>45390</v>
          </cell>
          <cell r="O5986">
            <v>45380</v>
          </cell>
          <cell r="P5986">
            <v>45391</v>
          </cell>
          <cell r="Q5986">
            <v>45390</v>
          </cell>
          <cell r="R5986">
            <v>45391</v>
          </cell>
          <cell r="S5986">
            <v>45393</v>
          </cell>
          <cell r="T5986">
            <v>45394</v>
          </cell>
          <cell r="U5986">
            <v>45397</v>
          </cell>
          <cell r="V5986">
            <v>45398</v>
          </cell>
          <cell r="W5986">
            <v>45398</v>
          </cell>
          <cell r="X5986">
            <v>41100564</v>
          </cell>
        </row>
        <row r="5987">
          <cell r="K5987" t="str">
            <v>GBWS-4376</v>
          </cell>
          <cell r="L5987">
            <v>45385</v>
          </cell>
          <cell r="M5987">
            <v>45386</v>
          </cell>
          <cell r="N5987">
            <v>45394</v>
          </cell>
          <cell r="O5987">
            <v>45386</v>
          </cell>
          <cell r="P5987">
            <v>45397</v>
          </cell>
          <cell r="Q5987">
            <v>45394</v>
          </cell>
          <cell r="R5987">
            <v>45397</v>
          </cell>
          <cell r="S5987">
            <v>45397</v>
          </cell>
          <cell r="T5987">
            <v>45398</v>
          </cell>
          <cell r="U5987">
            <v>45400</v>
          </cell>
          <cell r="V5987">
            <v>45400</v>
          </cell>
          <cell r="W5987">
            <v>45400</v>
          </cell>
          <cell r="X5987">
            <v>41100698</v>
          </cell>
        </row>
        <row r="5988">
          <cell r="K5988" t="str">
            <v>GBWS-4377</v>
          </cell>
          <cell r="L5988">
            <v>45385</v>
          </cell>
          <cell r="M5988">
            <v>45386</v>
          </cell>
          <cell r="N5988">
            <v>45394</v>
          </cell>
          <cell r="O5988">
            <v>45386</v>
          </cell>
          <cell r="P5988">
            <v>45397</v>
          </cell>
          <cell r="Q5988">
            <v>45394</v>
          </cell>
          <cell r="R5988">
            <v>45397</v>
          </cell>
          <cell r="S5988">
            <v>45397</v>
          </cell>
          <cell r="T5988">
            <v>45398</v>
          </cell>
          <cell r="U5988">
            <v>45400</v>
          </cell>
          <cell r="V5988">
            <v>45400</v>
          </cell>
          <cell r="W5988">
            <v>45400</v>
          </cell>
          <cell r="X5988">
            <v>41100698</v>
          </cell>
        </row>
        <row r="5989">
          <cell r="K5989" t="str">
            <v>GBWS-4338</v>
          </cell>
          <cell r="L5989">
            <v>45376</v>
          </cell>
          <cell r="M5989">
            <v>45377</v>
          </cell>
          <cell r="N5989">
            <v>45384</v>
          </cell>
          <cell r="O5989">
            <v>45377</v>
          </cell>
          <cell r="P5989">
            <v>45385</v>
          </cell>
          <cell r="Q5989">
            <v>45384</v>
          </cell>
          <cell r="R5989">
            <v>45385</v>
          </cell>
          <cell r="S5989">
            <v>45391</v>
          </cell>
          <cell r="T5989">
            <v>45392</v>
          </cell>
          <cell r="U5989">
            <v>45393</v>
          </cell>
          <cell r="V5989">
            <v>45393</v>
          </cell>
          <cell r="W5989">
            <v>45393</v>
          </cell>
          <cell r="X5989">
            <v>41100363</v>
          </cell>
        </row>
        <row r="5990">
          <cell r="K5990" t="str">
            <v>GBWS-4370</v>
          </cell>
          <cell r="L5990">
            <v>45384</v>
          </cell>
          <cell r="M5990">
            <v>45385</v>
          </cell>
          <cell r="N5990">
            <v>45393</v>
          </cell>
          <cell r="O5990">
            <v>45385</v>
          </cell>
          <cell r="P5990">
            <v>45394</v>
          </cell>
          <cell r="Q5990">
            <v>45393</v>
          </cell>
          <cell r="R5990">
            <v>45394</v>
          </cell>
          <cell r="S5990">
            <v>45397</v>
          </cell>
          <cell r="T5990">
            <v>45398</v>
          </cell>
          <cell r="U5990">
            <v>45400</v>
          </cell>
          <cell r="V5990">
            <v>45400</v>
          </cell>
          <cell r="W5990">
            <v>45400</v>
          </cell>
          <cell r="X5990">
            <v>41100372</v>
          </cell>
        </row>
        <row r="5991">
          <cell r="K5991" t="str">
            <v>GBWS-4348</v>
          </cell>
          <cell r="L5991">
            <v>45380</v>
          </cell>
          <cell r="M5991">
            <v>45383</v>
          </cell>
          <cell r="N5991">
            <v>45392</v>
          </cell>
          <cell r="O5991">
            <v>45383</v>
          </cell>
          <cell r="P5991">
            <v>45393</v>
          </cell>
          <cell r="Q5991" t="str">
            <v>2024-04-09 → 4/10</v>
          </cell>
          <cell r="R5991">
            <v>45393</v>
          </cell>
          <cell r="S5991">
            <v>45394</v>
          </cell>
          <cell r="T5991">
            <v>45397</v>
          </cell>
          <cell r="U5991">
            <v>45399</v>
          </cell>
          <cell r="V5991">
            <v>45401</v>
          </cell>
          <cell r="W5991">
            <v>45401</v>
          </cell>
          <cell r="X5991">
            <v>41100443</v>
          </cell>
        </row>
        <row r="5992">
          <cell r="K5992" t="str">
            <v>GBWS-4349</v>
          </cell>
          <cell r="L5992">
            <v>45380</v>
          </cell>
          <cell r="M5992">
            <v>45383</v>
          </cell>
          <cell r="N5992">
            <v>45392</v>
          </cell>
          <cell r="O5992">
            <v>45383</v>
          </cell>
          <cell r="P5992">
            <v>45393</v>
          </cell>
          <cell r="Q5992" t="str">
            <v>2024-04-09 → 4/10</v>
          </cell>
          <cell r="R5992">
            <v>45393</v>
          </cell>
          <cell r="S5992">
            <v>45394</v>
          </cell>
          <cell r="T5992">
            <v>45397</v>
          </cell>
          <cell r="U5992">
            <v>45399</v>
          </cell>
          <cell r="V5992">
            <v>45401</v>
          </cell>
          <cell r="W5992">
            <v>45401</v>
          </cell>
          <cell r="X5992">
            <v>41100443</v>
          </cell>
        </row>
        <row r="5993">
          <cell r="K5993" t="str">
            <v>GBWS-4350</v>
          </cell>
          <cell r="L5993">
            <v>45380</v>
          </cell>
          <cell r="M5993">
            <v>45383</v>
          </cell>
          <cell r="N5993">
            <v>45392</v>
          </cell>
          <cell r="O5993">
            <v>45383</v>
          </cell>
          <cell r="P5993">
            <v>45393</v>
          </cell>
          <cell r="Q5993" t="str">
            <v>2024-04-09 → 4/10</v>
          </cell>
          <cell r="R5993">
            <v>45393</v>
          </cell>
          <cell r="S5993">
            <v>45394</v>
          </cell>
          <cell r="T5993">
            <v>45398</v>
          </cell>
          <cell r="U5993">
            <v>45400</v>
          </cell>
          <cell r="V5993">
            <v>45400</v>
          </cell>
          <cell r="W5993">
            <v>45400</v>
          </cell>
          <cell r="X5993">
            <v>41100443</v>
          </cell>
        </row>
        <row r="5994">
          <cell r="K5994" t="str">
            <v>GBWS-4378</v>
          </cell>
          <cell r="L5994">
            <v>45385</v>
          </cell>
          <cell r="M5994">
            <v>45386</v>
          </cell>
          <cell r="N5994">
            <v>45393</v>
          </cell>
          <cell r="O5994">
            <v>45386</v>
          </cell>
          <cell r="P5994">
            <v>45394</v>
          </cell>
          <cell r="Q5994">
            <v>45393</v>
          </cell>
          <cell r="R5994">
            <v>45394</v>
          </cell>
          <cell r="S5994">
            <v>45397</v>
          </cell>
          <cell r="T5994">
            <v>45399</v>
          </cell>
          <cell r="U5994">
            <v>45401</v>
          </cell>
          <cell r="V5994">
            <v>45401</v>
          </cell>
          <cell r="W5994">
            <v>45401</v>
          </cell>
          <cell r="X5994">
            <v>41100318</v>
          </cell>
        </row>
        <row r="5995">
          <cell r="K5995" t="str">
            <v>GBWS-4379</v>
          </cell>
          <cell r="L5995">
            <v>45385</v>
          </cell>
          <cell r="M5995">
            <v>45386</v>
          </cell>
          <cell r="N5995">
            <v>45393</v>
          </cell>
          <cell r="O5995">
            <v>45386</v>
          </cell>
          <cell r="P5995">
            <v>45394</v>
          </cell>
          <cell r="Q5995">
            <v>45393</v>
          </cell>
          <cell r="R5995">
            <v>45394</v>
          </cell>
          <cell r="S5995">
            <v>45397</v>
          </cell>
          <cell r="T5995">
            <v>45399</v>
          </cell>
          <cell r="U5995">
            <v>45401</v>
          </cell>
          <cell r="V5995">
            <v>45401</v>
          </cell>
          <cell r="W5995">
            <v>45401</v>
          </cell>
          <cell r="X5995">
            <v>41100318</v>
          </cell>
        </row>
        <row r="5996">
          <cell r="K5996" t="str">
            <v>GBWS-4387</v>
          </cell>
          <cell r="L5996">
            <v>45387</v>
          </cell>
          <cell r="M5996">
            <v>45390</v>
          </cell>
          <cell r="N5996">
            <v>45397</v>
          </cell>
          <cell r="O5996">
            <v>45390</v>
          </cell>
          <cell r="P5996">
            <v>45398</v>
          </cell>
          <cell r="Q5996">
            <v>45397</v>
          </cell>
          <cell r="R5996">
            <v>45398</v>
          </cell>
          <cell r="S5996">
            <v>45399</v>
          </cell>
          <cell r="T5996">
            <v>45400</v>
          </cell>
          <cell r="U5996">
            <v>45401</v>
          </cell>
          <cell r="V5996">
            <v>45401</v>
          </cell>
          <cell r="W5996">
            <v>45401</v>
          </cell>
          <cell r="X5996">
            <v>41100334</v>
          </cell>
        </row>
        <row r="5997">
          <cell r="K5997" t="str">
            <v>GBWS-4366</v>
          </cell>
          <cell r="L5997">
            <v>45384</v>
          </cell>
          <cell r="M5997">
            <v>45385</v>
          </cell>
          <cell r="N5997">
            <v>45394</v>
          </cell>
          <cell r="O5997">
            <v>45385</v>
          </cell>
          <cell r="P5997">
            <v>45394</v>
          </cell>
          <cell r="Q5997">
            <v>45394</v>
          </cell>
          <cell r="R5997">
            <v>45397</v>
          </cell>
          <cell r="S5997">
            <v>45398</v>
          </cell>
          <cell r="T5997">
            <v>45399</v>
          </cell>
          <cell r="U5997">
            <v>45400</v>
          </cell>
          <cell r="V5997">
            <v>45401</v>
          </cell>
          <cell r="W5997">
            <v>45401</v>
          </cell>
          <cell r="X5997">
            <v>41100564</v>
          </cell>
        </row>
        <row r="5998">
          <cell r="K5998" t="str">
            <v>GBWS-4367</v>
          </cell>
          <cell r="L5998">
            <v>45384</v>
          </cell>
          <cell r="M5998">
            <v>45385</v>
          </cell>
          <cell r="N5998">
            <v>45394</v>
          </cell>
          <cell r="O5998">
            <v>45385</v>
          </cell>
          <cell r="P5998">
            <v>45394</v>
          </cell>
          <cell r="Q5998">
            <v>45394</v>
          </cell>
          <cell r="R5998">
            <v>45397</v>
          </cell>
          <cell r="S5998">
            <v>45399</v>
          </cell>
          <cell r="T5998">
            <v>45400</v>
          </cell>
          <cell r="U5998">
            <v>45401</v>
          </cell>
          <cell r="V5998">
            <v>45404</v>
          </cell>
          <cell r="W5998">
            <v>45404</v>
          </cell>
          <cell r="X5998">
            <v>41100564</v>
          </cell>
        </row>
        <row r="5999">
          <cell r="K5999" t="str">
            <v>GBWS-4368</v>
          </cell>
          <cell r="L5999">
            <v>45384</v>
          </cell>
          <cell r="M5999">
            <v>45385</v>
          </cell>
          <cell r="N5999">
            <v>45394</v>
          </cell>
          <cell r="O5999">
            <v>45385</v>
          </cell>
          <cell r="P5999">
            <v>45394</v>
          </cell>
          <cell r="Q5999">
            <v>45394</v>
          </cell>
          <cell r="R5999">
            <v>45397</v>
          </cell>
          <cell r="S5999">
            <v>45399</v>
          </cell>
          <cell r="T5999">
            <v>45400</v>
          </cell>
          <cell r="U5999">
            <v>45401</v>
          </cell>
          <cell r="V5999">
            <v>45404</v>
          </cell>
          <cell r="W5999">
            <v>45404</v>
          </cell>
          <cell r="X5999">
            <v>41100564</v>
          </cell>
        </row>
        <row r="6000">
          <cell r="K6000" t="str">
            <v>GBWS-4361</v>
          </cell>
          <cell r="L6000">
            <v>45383</v>
          </cell>
          <cell r="M6000">
            <v>45384</v>
          </cell>
          <cell r="N6000">
            <v>45393</v>
          </cell>
          <cell r="O6000">
            <v>45384</v>
          </cell>
          <cell r="P6000">
            <v>45394</v>
          </cell>
          <cell r="Q6000">
            <v>45393</v>
          </cell>
          <cell r="R6000">
            <v>45394</v>
          </cell>
          <cell r="S6000">
            <v>45398</v>
          </cell>
          <cell r="T6000">
            <v>45399</v>
          </cell>
          <cell r="U6000">
            <v>45400</v>
          </cell>
          <cell r="V6000">
            <v>45401</v>
          </cell>
          <cell r="W6000">
            <v>45401</v>
          </cell>
          <cell r="X6000">
            <v>41100564</v>
          </cell>
        </row>
        <row r="6001">
          <cell r="K6001" t="str">
            <v>GBWS-4358</v>
          </cell>
          <cell r="L6001">
            <v>45383</v>
          </cell>
          <cell r="M6001">
            <v>45384</v>
          </cell>
          <cell r="N6001">
            <v>45394</v>
          </cell>
          <cell r="O6001">
            <v>45384</v>
          </cell>
          <cell r="P6001">
            <v>45397</v>
          </cell>
          <cell r="Q6001" t="str">
            <v>2024-04-12 → 4/13</v>
          </cell>
          <cell r="R6001">
            <v>45397</v>
          </cell>
          <cell r="S6001">
            <v>45399</v>
          </cell>
          <cell r="T6001">
            <v>45400</v>
          </cell>
          <cell r="U6001">
            <v>45401</v>
          </cell>
          <cell r="V6001">
            <v>45404</v>
          </cell>
          <cell r="W6001">
            <v>45404</v>
          </cell>
          <cell r="X6001">
            <v>41100698</v>
          </cell>
        </row>
        <row r="6002">
          <cell r="K6002" t="str">
            <v>GBWS-4359</v>
          </cell>
          <cell r="L6002">
            <v>45383</v>
          </cell>
          <cell r="M6002">
            <v>45384</v>
          </cell>
          <cell r="N6002">
            <v>45394</v>
          </cell>
          <cell r="O6002">
            <v>45384</v>
          </cell>
          <cell r="P6002">
            <v>45397</v>
          </cell>
          <cell r="Q6002" t="str">
            <v>2024-04-12 → 4/13</v>
          </cell>
          <cell r="R6002">
            <v>45397</v>
          </cell>
          <cell r="S6002">
            <v>45399</v>
          </cell>
          <cell r="T6002">
            <v>45400</v>
          </cell>
          <cell r="U6002">
            <v>45401</v>
          </cell>
          <cell r="V6002">
            <v>45404</v>
          </cell>
          <cell r="W6002">
            <v>45404</v>
          </cell>
          <cell r="X6002">
            <v>41100698</v>
          </cell>
        </row>
        <row r="6003">
          <cell r="K6003" t="str">
            <v>GBWS-4360</v>
          </cell>
          <cell r="L6003">
            <v>45383</v>
          </cell>
          <cell r="M6003">
            <v>45384</v>
          </cell>
          <cell r="N6003">
            <v>45394</v>
          </cell>
          <cell r="O6003">
            <v>45384</v>
          </cell>
          <cell r="P6003">
            <v>45397</v>
          </cell>
          <cell r="Q6003" t="str">
            <v>2024-04-12 → 4/13</v>
          </cell>
          <cell r="R6003">
            <v>45397</v>
          </cell>
          <cell r="S6003">
            <v>45399</v>
          </cell>
          <cell r="T6003">
            <v>45400</v>
          </cell>
          <cell r="U6003">
            <v>45401</v>
          </cell>
          <cell r="V6003">
            <v>45404</v>
          </cell>
          <cell r="W6003">
            <v>45404</v>
          </cell>
          <cell r="X6003">
            <v>41100698</v>
          </cell>
        </row>
        <row r="6004">
          <cell r="K6004" t="str">
            <v>GBWS-4362</v>
          </cell>
          <cell r="L6004">
            <v>45383</v>
          </cell>
          <cell r="M6004">
            <v>45384</v>
          </cell>
          <cell r="N6004">
            <v>45391</v>
          </cell>
          <cell r="O6004">
            <v>45384</v>
          </cell>
          <cell r="P6004">
            <v>45393</v>
          </cell>
          <cell r="Q6004">
            <v>45391</v>
          </cell>
          <cell r="R6004">
            <v>45393</v>
          </cell>
          <cell r="S6004">
            <v>45399</v>
          </cell>
          <cell r="T6004">
            <v>45400</v>
          </cell>
          <cell r="U6004">
            <v>45401</v>
          </cell>
          <cell r="V6004">
            <v>45404</v>
          </cell>
          <cell r="W6004">
            <v>45404</v>
          </cell>
          <cell r="X6004">
            <v>41100698</v>
          </cell>
        </row>
        <row r="6005">
          <cell r="K6005" t="str">
            <v>GBWS-4363</v>
          </cell>
          <cell r="L6005">
            <v>45383</v>
          </cell>
          <cell r="M6005">
            <v>45384</v>
          </cell>
          <cell r="N6005">
            <v>45391</v>
          </cell>
          <cell r="O6005">
            <v>45384</v>
          </cell>
          <cell r="P6005">
            <v>45393</v>
          </cell>
          <cell r="Q6005">
            <v>45391</v>
          </cell>
          <cell r="R6005">
            <v>45393</v>
          </cell>
          <cell r="S6005">
            <v>45399</v>
          </cell>
          <cell r="T6005">
            <v>45400</v>
          </cell>
          <cell r="U6005">
            <v>45401</v>
          </cell>
          <cell r="V6005">
            <v>45404</v>
          </cell>
          <cell r="W6005">
            <v>45404</v>
          </cell>
          <cell r="X6005">
            <v>41100698</v>
          </cell>
        </row>
        <row r="6006">
          <cell r="K6006" t="str">
            <v>GBWS-4365</v>
          </cell>
          <cell r="L6006">
            <v>45383</v>
          </cell>
          <cell r="M6006">
            <v>45384</v>
          </cell>
          <cell r="N6006">
            <v>45393</v>
          </cell>
          <cell r="O6006">
            <v>45384</v>
          </cell>
          <cell r="P6006">
            <v>45394</v>
          </cell>
          <cell r="Q6006">
            <v>45393</v>
          </cell>
          <cell r="R6006">
            <v>45394</v>
          </cell>
          <cell r="S6006">
            <v>45398</v>
          </cell>
          <cell r="T6006">
            <v>45399</v>
          </cell>
          <cell r="U6006">
            <v>45400</v>
          </cell>
          <cell r="V6006">
            <v>45401</v>
          </cell>
          <cell r="W6006">
            <v>45401</v>
          </cell>
          <cell r="X6006">
            <v>41100611</v>
          </cell>
        </row>
        <row r="6007">
          <cell r="K6007" t="str">
            <v>GBWS-4346</v>
          </cell>
          <cell r="L6007">
            <v>45379</v>
          </cell>
          <cell r="M6007">
            <v>45380</v>
          </cell>
          <cell r="N6007">
            <v>45390</v>
          </cell>
          <cell r="O6007">
            <v>45380</v>
          </cell>
          <cell r="P6007">
            <v>45391</v>
          </cell>
          <cell r="Q6007">
            <v>45390</v>
          </cell>
          <cell r="R6007">
            <v>45391</v>
          </cell>
          <cell r="S6007">
            <v>45393</v>
          </cell>
          <cell r="T6007">
            <v>45394</v>
          </cell>
          <cell r="U6007">
            <v>45397</v>
          </cell>
          <cell r="V6007">
            <v>45398</v>
          </cell>
          <cell r="W6007">
            <v>45398</v>
          </cell>
          <cell r="X6007">
            <v>41100328</v>
          </cell>
        </row>
        <row r="6008">
          <cell r="K6008" t="str">
            <v>GBWS-4347</v>
          </cell>
          <cell r="L6008">
            <v>45379</v>
          </cell>
          <cell r="M6008">
            <v>45380</v>
          </cell>
          <cell r="N6008">
            <v>45390</v>
          </cell>
          <cell r="O6008">
            <v>45380</v>
          </cell>
          <cell r="P6008">
            <v>45391</v>
          </cell>
          <cell r="Q6008">
            <v>45390</v>
          </cell>
          <cell r="R6008">
            <v>45391</v>
          </cell>
          <cell r="S6008">
            <v>45393</v>
          </cell>
          <cell r="T6008">
            <v>45394</v>
          </cell>
          <cell r="U6008">
            <v>45397</v>
          </cell>
          <cell r="V6008">
            <v>45398</v>
          </cell>
          <cell r="W6008">
            <v>45398</v>
          </cell>
          <cell r="X6008">
            <v>41100328</v>
          </cell>
        </row>
        <row r="6009">
          <cell r="K6009" t="str">
            <v>GBWS-4371</v>
          </cell>
          <cell r="L6009">
            <v>45385</v>
          </cell>
          <cell r="M6009">
            <v>45386</v>
          </cell>
          <cell r="N6009">
            <v>45397</v>
          </cell>
          <cell r="O6009">
            <v>45386</v>
          </cell>
          <cell r="P6009">
            <v>45397</v>
          </cell>
          <cell r="Q6009">
            <v>45397</v>
          </cell>
          <cell r="R6009">
            <v>45398</v>
          </cell>
          <cell r="S6009">
            <v>45400</v>
          </cell>
          <cell r="T6009">
            <v>45401</v>
          </cell>
          <cell r="U6009">
            <v>45402</v>
          </cell>
          <cell r="V6009">
            <v>45404</v>
          </cell>
          <cell r="W6009">
            <v>45404</v>
          </cell>
          <cell r="X6009">
            <v>41100408</v>
          </cell>
        </row>
        <row r="6010">
          <cell r="K6010" t="str">
            <v>GBWS-4351</v>
          </cell>
          <cell r="L6010">
            <v>45383</v>
          </cell>
          <cell r="M6010">
            <v>45384</v>
          </cell>
          <cell r="N6010">
            <v>45394</v>
          </cell>
          <cell r="O6010">
            <v>45384</v>
          </cell>
          <cell r="P6010">
            <v>45397</v>
          </cell>
          <cell r="Q6010">
            <v>45394</v>
          </cell>
          <cell r="R6010">
            <v>45397</v>
          </cell>
          <cell r="S6010">
            <v>45399</v>
          </cell>
          <cell r="T6010">
            <v>45400</v>
          </cell>
          <cell r="U6010">
            <v>45401</v>
          </cell>
          <cell r="V6010">
            <v>45404</v>
          </cell>
          <cell r="W6010">
            <v>45404</v>
          </cell>
          <cell r="X6010">
            <v>41100462</v>
          </cell>
        </row>
        <row r="6011">
          <cell r="K6011" t="str">
            <v>GBWS-4352</v>
          </cell>
          <cell r="L6011">
            <v>45383</v>
          </cell>
          <cell r="M6011">
            <v>45384</v>
          </cell>
          <cell r="N6011">
            <v>45394</v>
          </cell>
          <cell r="O6011">
            <v>45384</v>
          </cell>
          <cell r="P6011">
            <v>45397</v>
          </cell>
          <cell r="Q6011">
            <v>45394</v>
          </cell>
          <cell r="R6011">
            <v>45397</v>
          </cell>
          <cell r="S6011">
            <v>45399</v>
          </cell>
          <cell r="T6011">
            <v>45400</v>
          </cell>
          <cell r="U6011">
            <v>45401</v>
          </cell>
          <cell r="V6011">
            <v>45404</v>
          </cell>
          <cell r="W6011">
            <v>45404</v>
          </cell>
          <cell r="X6011">
            <v>41100462</v>
          </cell>
        </row>
        <row r="6012">
          <cell r="K6012" t="str">
            <v>GBWS-4353</v>
          </cell>
          <cell r="L6012">
            <v>45383</v>
          </cell>
          <cell r="M6012">
            <v>45384</v>
          </cell>
          <cell r="N6012">
            <v>45394</v>
          </cell>
          <cell r="O6012">
            <v>45384</v>
          </cell>
          <cell r="P6012">
            <v>45397</v>
          </cell>
          <cell r="Q6012">
            <v>45394</v>
          </cell>
          <cell r="R6012">
            <v>45397</v>
          </cell>
          <cell r="S6012">
            <v>45400</v>
          </cell>
          <cell r="T6012">
            <v>45401</v>
          </cell>
          <cell r="U6012">
            <v>45402</v>
          </cell>
          <cell r="V6012">
            <v>45404</v>
          </cell>
          <cell r="W6012">
            <v>45404</v>
          </cell>
          <cell r="X6012">
            <v>41100462</v>
          </cell>
        </row>
        <row r="6013">
          <cell r="K6013" t="str">
            <v>GBWS-4394</v>
          </cell>
          <cell r="L6013">
            <v>45390</v>
          </cell>
          <cell r="M6013">
            <v>45391</v>
          </cell>
          <cell r="N6013">
            <v>45399</v>
          </cell>
          <cell r="O6013">
            <v>45391</v>
          </cell>
          <cell r="P6013">
            <v>45400</v>
          </cell>
          <cell r="Q6013">
            <v>45399</v>
          </cell>
          <cell r="R6013">
            <v>45400</v>
          </cell>
          <cell r="S6013">
            <v>45401</v>
          </cell>
          <cell r="T6013">
            <v>45402</v>
          </cell>
          <cell r="U6013">
            <v>45404</v>
          </cell>
          <cell r="V6013">
            <v>45405</v>
          </cell>
          <cell r="W6013">
            <v>45405</v>
          </cell>
          <cell r="X6013">
            <v>41000516</v>
          </cell>
        </row>
        <row r="6014">
          <cell r="K6014" t="str">
            <v>GBWS-4380</v>
          </cell>
          <cell r="L6014">
            <v>45386</v>
          </cell>
          <cell r="M6014">
            <v>45387</v>
          </cell>
          <cell r="N6014">
            <v>45399</v>
          </cell>
          <cell r="O6014">
            <v>45387</v>
          </cell>
          <cell r="P6014">
            <v>45399</v>
          </cell>
          <cell r="Q6014" t="str">
            <v>2024-04-15 → 4/17</v>
          </cell>
          <cell r="R6014" t="str">
            <v>2024-04-16 → 4/17</v>
          </cell>
          <cell r="S6014">
            <v>45400</v>
          </cell>
          <cell r="T6014">
            <v>45401</v>
          </cell>
          <cell r="U6014">
            <v>45402</v>
          </cell>
          <cell r="V6014">
            <v>45404</v>
          </cell>
          <cell r="W6014">
            <v>45404</v>
          </cell>
          <cell r="X6014">
            <v>41100507</v>
          </cell>
        </row>
        <row r="6015">
          <cell r="K6015" t="str">
            <v>DBW-3300</v>
          </cell>
          <cell r="L6015">
            <v>45370</v>
          </cell>
          <cell r="M6015">
            <v>45371</v>
          </cell>
          <cell r="N6015">
            <v>45378</v>
          </cell>
          <cell r="O6015">
            <v>45371</v>
          </cell>
          <cell r="P6015">
            <v>45379</v>
          </cell>
          <cell r="Q6015">
            <v>45378</v>
          </cell>
          <cell r="R6015">
            <v>45379</v>
          </cell>
          <cell r="S6015">
            <v>45400</v>
          </cell>
          <cell r="T6015">
            <v>45401</v>
          </cell>
          <cell r="U6015">
            <v>45402</v>
          </cell>
          <cell r="V6015">
            <v>45404</v>
          </cell>
          <cell r="W6015">
            <v>45405</v>
          </cell>
          <cell r="X6015">
            <v>41000589</v>
          </cell>
        </row>
        <row r="6016">
          <cell r="K6016"/>
          <cell r="L6016">
            <v>45370</v>
          </cell>
          <cell r="M6016">
            <v>45371</v>
          </cell>
          <cell r="N6016">
            <v>45394</v>
          </cell>
          <cell r="O6016">
            <v>45371</v>
          </cell>
          <cell r="P6016">
            <v>45394</v>
          </cell>
          <cell r="Q6016">
            <v>45393</v>
          </cell>
          <cell r="R6016">
            <v>45394</v>
          </cell>
          <cell r="S6016">
            <v>45400</v>
          </cell>
          <cell r="T6016">
            <v>45401</v>
          </cell>
          <cell r="U6016">
            <v>45402</v>
          </cell>
          <cell r="V6016">
            <v>45404</v>
          </cell>
          <cell r="W6016">
            <v>45405</v>
          </cell>
          <cell r="X6016">
            <v>41000590</v>
          </cell>
        </row>
        <row r="6017">
          <cell r="K6017" t="str">
            <v>DBW-3301</v>
          </cell>
          <cell r="L6017">
            <v>45370</v>
          </cell>
          <cell r="M6017">
            <v>45371</v>
          </cell>
          <cell r="N6017">
            <v>45378</v>
          </cell>
          <cell r="O6017">
            <v>45371</v>
          </cell>
          <cell r="P6017">
            <v>45379</v>
          </cell>
          <cell r="Q6017">
            <v>45378</v>
          </cell>
          <cell r="R6017">
            <v>45379</v>
          </cell>
          <cell r="S6017">
            <v>45400</v>
          </cell>
          <cell r="T6017">
            <v>45401</v>
          </cell>
          <cell r="U6017">
            <v>45402</v>
          </cell>
          <cell r="V6017">
            <v>45404</v>
          </cell>
          <cell r="W6017">
            <v>45405</v>
          </cell>
          <cell r="X6017">
            <v>41000589</v>
          </cell>
        </row>
        <row r="6018">
          <cell r="K6018"/>
          <cell r="L6018">
            <v>45370</v>
          </cell>
          <cell r="M6018">
            <v>45371</v>
          </cell>
          <cell r="N6018">
            <v>45394</v>
          </cell>
          <cell r="O6018">
            <v>45371</v>
          </cell>
          <cell r="P6018">
            <v>45394</v>
          </cell>
          <cell r="Q6018">
            <v>45393</v>
          </cell>
          <cell r="R6018">
            <v>45394</v>
          </cell>
          <cell r="S6018">
            <v>45400</v>
          </cell>
          <cell r="T6018">
            <v>45401</v>
          </cell>
          <cell r="U6018">
            <v>45402</v>
          </cell>
          <cell r="V6018">
            <v>45404</v>
          </cell>
          <cell r="W6018">
            <v>45405</v>
          </cell>
          <cell r="X6018">
            <v>41000590</v>
          </cell>
        </row>
        <row r="6019">
          <cell r="K6019" t="str">
            <v>GBWS-4372</v>
          </cell>
          <cell r="L6019">
            <v>45385</v>
          </cell>
          <cell r="M6019">
            <v>45386</v>
          </cell>
          <cell r="N6019">
            <v>45397</v>
          </cell>
          <cell r="O6019">
            <v>45386</v>
          </cell>
          <cell r="P6019">
            <v>45398</v>
          </cell>
          <cell r="Q6019">
            <v>45397</v>
          </cell>
          <cell r="R6019">
            <v>45398</v>
          </cell>
          <cell r="S6019">
            <v>45399</v>
          </cell>
          <cell r="T6019">
            <v>45401</v>
          </cell>
          <cell r="U6019">
            <v>45402</v>
          </cell>
          <cell r="V6019">
            <v>45404</v>
          </cell>
          <cell r="W6019">
            <v>45404</v>
          </cell>
          <cell r="X6019">
            <v>41100566</v>
          </cell>
        </row>
        <row r="6020">
          <cell r="K6020" t="str">
            <v>GBWS-4373</v>
          </cell>
          <cell r="L6020">
            <v>45385</v>
          </cell>
          <cell r="M6020">
            <v>45386</v>
          </cell>
          <cell r="N6020">
            <v>45397</v>
          </cell>
          <cell r="O6020">
            <v>45386</v>
          </cell>
          <cell r="P6020">
            <v>45398</v>
          </cell>
          <cell r="Q6020">
            <v>45397</v>
          </cell>
          <cell r="R6020">
            <v>45398</v>
          </cell>
          <cell r="S6020">
            <v>45399</v>
          </cell>
          <cell r="T6020">
            <v>45401</v>
          </cell>
          <cell r="U6020">
            <v>45402</v>
          </cell>
          <cell r="V6020">
            <v>45405</v>
          </cell>
          <cell r="W6020">
            <v>45405</v>
          </cell>
          <cell r="X6020">
            <v>41100566</v>
          </cell>
        </row>
        <row r="6021">
          <cell r="K6021" t="str">
            <v>GBWS-4374</v>
          </cell>
          <cell r="L6021">
            <v>45385</v>
          </cell>
          <cell r="M6021">
            <v>45386</v>
          </cell>
          <cell r="N6021">
            <v>45397</v>
          </cell>
          <cell r="O6021">
            <v>45386</v>
          </cell>
          <cell r="P6021">
            <v>45398</v>
          </cell>
          <cell r="Q6021">
            <v>45397</v>
          </cell>
          <cell r="R6021">
            <v>45398</v>
          </cell>
          <cell r="S6021">
            <v>45399</v>
          </cell>
          <cell r="T6021">
            <v>45401</v>
          </cell>
          <cell r="U6021">
            <v>45402</v>
          </cell>
          <cell r="V6021">
            <v>45404</v>
          </cell>
          <cell r="W6021">
            <v>45404</v>
          </cell>
          <cell r="X6021">
            <v>41100566</v>
          </cell>
        </row>
        <row r="6022">
          <cell r="K6022" t="str">
            <v>GBWS-4375</v>
          </cell>
          <cell r="L6022">
            <v>45385</v>
          </cell>
          <cell r="M6022">
            <v>45386</v>
          </cell>
          <cell r="N6022">
            <v>45397</v>
          </cell>
          <cell r="O6022">
            <v>45386</v>
          </cell>
          <cell r="P6022">
            <v>45398</v>
          </cell>
          <cell r="Q6022">
            <v>45397</v>
          </cell>
          <cell r="R6022">
            <v>45398</v>
          </cell>
          <cell r="S6022">
            <v>45399</v>
          </cell>
          <cell r="T6022">
            <v>45401</v>
          </cell>
          <cell r="U6022">
            <v>45402</v>
          </cell>
          <cell r="V6022">
            <v>45404</v>
          </cell>
          <cell r="W6022">
            <v>45404</v>
          </cell>
          <cell r="X6022">
            <v>41100566</v>
          </cell>
        </row>
        <row r="6023">
          <cell r="K6023" t="str">
            <v>GBWS-4342</v>
          </cell>
          <cell r="L6023">
            <v>45378</v>
          </cell>
          <cell r="M6023">
            <v>45379</v>
          </cell>
          <cell r="N6023">
            <v>45387</v>
          </cell>
          <cell r="O6023">
            <v>45379</v>
          </cell>
          <cell r="P6023">
            <v>45390</v>
          </cell>
          <cell r="Q6023">
            <v>45387</v>
          </cell>
          <cell r="R6023">
            <v>45390</v>
          </cell>
          <cell r="S6023">
            <v>45392</v>
          </cell>
          <cell r="T6023">
            <v>45393</v>
          </cell>
          <cell r="U6023">
            <v>45394</v>
          </cell>
          <cell r="V6023">
            <v>45397</v>
          </cell>
          <cell r="W6023">
            <v>45397</v>
          </cell>
          <cell r="X6023">
            <v>41100642</v>
          </cell>
        </row>
        <row r="6024">
          <cell r="K6024" t="str">
            <v>GBWS-4386</v>
          </cell>
          <cell r="L6024">
            <v>45387</v>
          </cell>
          <cell r="M6024">
            <v>45390</v>
          </cell>
          <cell r="N6024">
            <v>45398</v>
          </cell>
          <cell r="O6024">
            <v>45390</v>
          </cell>
          <cell r="P6024">
            <v>45399</v>
          </cell>
          <cell r="Q6024">
            <v>45398</v>
          </cell>
          <cell r="R6024">
            <v>45399</v>
          </cell>
          <cell r="S6024">
            <v>45400</v>
          </cell>
          <cell r="T6024">
            <v>45401</v>
          </cell>
          <cell r="U6024">
            <v>45402</v>
          </cell>
          <cell r="V6024">
            <v>45404</v>
          </cell>
          <cell r="W6024">
            <v>45404</v>
          </cell>
          <cell r="X6024">
            <v>41100642</v>
          </cell>
        </row>
        <row r="6025">
          <cell r="K6025" t="str">
            <v>GBWS-4242</v>
          </cell>
          <cell r="L6025">
            <v>45356</v>
          </cell>
          <cell r="M6025">
            <v>45357</v>
          </cell>
          <cell r="N6025">
            <v>45366</v>
          </cell>
          <cell r="O6025">
            <v>45357</v>
          </cell>
          <cell r="P6025">
            <v>45366</v>
          </cell>
          <cell r="Q6025" t="str">
            <v>2024-03-13 → 3/15</v>
          </cell>
          <cell r="R6025" t="str">
            <v>2024-03-14 → 3/16</v>
          </cell>
          <cell r="S6025">
            <v>45369</v>
          </cell>
          <cell r="T6025">
            <v>45370</v>
          </cell>
          <cell r="U6025">
            <v>45371</v>
          </cell>
          <cell r="V6025">
            <v>45372</v>
          </cell>
          <cell r="W6025">
            <v>45372</v>
          </cell>
          <cell r="X6025">
            <v>41100558</v>
          </cell>
        </row>
        <row r="6026">
          <cell r="K6026" t="str">
            <v>GBWS-4305</v>
          </cell>
          <cell r="L6026">
            <v>45369</v>
          </cell>
          <cell r="M6026">
            <v>45370</v>
          </cell>
          <cell r="N6026">
            <v>45377</v>
          </cell>
          <cell r="O6026">
            <v>45370</v>
          </cell>
          <cell r="P6026">
            <v>45378</v>
          </cell>
          <cell r="Q6026">
            <v>45377</v>
          </cell>
          <cell r="R6026">
            <v>45378</v>
          </cell>
          <cell r="S6026">
            <v>45379</v>
          </cell>
          <cell r="T6026">
            <v>45380</v>
          </cell>
          <cell r="U6026">
            <v>45383</v>
          </cell>
          <cell r="V6026">
            <v>45384</v>
          </cell>
          <cell r="W6026">
            <v>45384</v>
          </cell>
          <cell r="X6026">
            <v>41100558</v>
          </cell>
        </row>
        <row r="6027">
          <cell r="K6027" t="str">
            <v>GBWS-4306</v>
          </cell>
          <cell r="L6027">
            <v>45369</v>
          </cell>
          <cell r="M6027">
            <v>45370</v>
          </cell>
          <cell r="N6027">
            <v>45377</v>
          </cell>
          <cell r="O6027">
            <v>45370</v>
          </cell>
          <cell r="P6027">
            <v>45378</v>
          </cell>
          <cell r="Q6027">
            <v>45377</v>
          </cell>
          <cell r="R6027">
            <v>45378</v>
          </cell>
          <cell r="S6027">
            <v>45379</v>
          </cell>
          <cell r="T6027">
            <v>45380</v>
          </cell>
          <cell r="U6027">
            <v>45383</v>
          </cell>
          <cell r="V6027">
            <v>45384</v>
          </cell>
          <cell r="W6027">
            <v>45384</v>
          </cell>
          <cell r="X6027">
            <v>41100558</v>
          </cell>
        </row>
        <row r="6028">
          <cell r="K6028" t="str">
            <v>GBWS-4403</v>
          </cell>
          <cell r="L6028">
            <v>45391</v>
          </cell>
          <cell r="M6028">
            <v>45393</v>
          </cell>
          <cell r="N6028">
            <v>45399</v>
          </cell>
          <cell r="O6028">
            <v>45393</v>
          </cell>
          <cell r="P6028">
            <v>45400</v>
          </cell>
          <cell r="Q6028">
            <v>45399</v>
          </cell>
          <cell r="R6028">
            <v>45400</v>
          </cell>
          <cell r="S6028">
            <v>45401</v>
          </cell>
          <cell r="T6028">
            <v>45402</v>
          </cell>
          <cell r="U6028">
            <v>45404</v>
          </cell>
          <cell r="V6028">
            <v>45405</v>
          </cell>
          <cell r="W6028">
            <v>45405</v>
          </cell>
          <cell r="X6028">
            <v>41100502</v>
          </cell>
        </row>
        <row r="6029">
          <cell r="K6029" t="str">
            <v>GBWS-4404</v>
          </cell>
          <cell r="L6029">
            <v>45391</v>
          </cell>
          <cell r="M6029">
            <v>45393</v>
          </cell>
          <cell r="N6029">
            <v>45399</v>
          </cell>
          <cell r="O6029">
            <v>45393</v>
          </cell>
          <cell r="P6029">
            <v>45400</v>
          </cell>
          <cell r="Q6029">
            <v>45399</v>
          </cell>
          <cell r="R6029">
            <v>45400</v>
          </cell>
          <cell r="S6029">
            <v>45401</v>
          </cell>
          <cell r="T6029">
            <v>45402</v>
          </cell>
          <cell r="U6029">
            <v>45404</v>
          </cell>
          <cell r="V6029">
            <v>45405</v>
          </cell>
          <cell r="W6029">
            <v>45405</v>
          </cell>
          <cell r="X6029">
            <v>41100502</v>
          </cell>
        </row>
        <row r="6030">
          <cell r="K6030" t="str">
            <v>GBWS-4402</v>
          </cell>
          <cell r="L6030">
            <v>45391</v>
          </cell>
          <cell r="M6030">
            <v>45393</v>
          </cell>
          <cell r="N6030">
            <v>45400</v>
          </cell>
          <cell r="O6030">
            <v>45393</v>
          </cell>
          <cell r="P6030">
            <v>45401</v>
          </cell>
          <cell r="Q6030">
            <v>45400</v>
          </cell>
          <cell r="R6030">
            <v>45401</v>
          </cell>
          <cell r="S6030">
            <v>45401</v>
          </cell>
          <cell r="T6030">
            <v>45404</v>
          </cell>
          <cell r="U6030">
            <v>45406</v>
          </cell>
          <cell r="V6030">
            <v>45406</v>
          </cell>
          <cell r="W6030">
            <v>45406</v>
          </cell>
          <cell r="X6030">
            <v>41100558</v>
          </cell>
        </row>
        <row r="6031">
          <cell r="K6031" t="str">
            <v>-</v>
          </cell>
          <cell r="L6031">
            <v>45380</v>
          </cell>
          <cell r="M6031">
            <v>45383</v>
          </cell>
          <cell r="N6031">
            <v>45384</v>
          </cell>
          <cell r="O6031">
            <v>45383</v>
          </cell>
          <cell r="P6031">
            <v>45384</v>
          </cell>
          <cell r="Q6031">
            <v>45384</v>
          </cell>
          <cell r="R6031">
            <v>45384</v>
          </cell>
          <cell r="S6031">
            <v>45385</v>
          </cell>
          <cell r="T6031">
            <v>45385</v>
          </cell>
          <cell r="U6031">
            <v>45385</v>
          </cell>
          <cell r="V6031">
            <v>45385</v>
          </cell>
          <cell r="W6031">
            <v>45385</v>
          </cell>
          <cell r="X6031">
            <v>31010363</v>
          </cell>
        </row>
        <row r="6032">
          <cell r="K6032" t="str">
            <v>GBWS-4411</v>
          </cell>
          <cell r="L6032">
            <v>45393</v>
          </cell>
          <cell r="M6032">
            <v>45394</v>
          </cell>
          <cell r="N6032">
            <v>45403</v>
          </cell>
          <cell r="O6032">
            <v>45394</v>
          </cell>
          <cell r="P6032">
            <v>45404</v>
          </cell>
          <cell r="Q6032" t="str">
            <v>2024-04-18 → 4/21</v>
          </cell>
          <cell r="R6032" t="str">
            <v>2024-04-19 → 4/22(오전)</v>
          </cell>
          <cell r="S6032">
            <v>45404</v>
          </cell>
          <cell r="T6032">
            <v>45405</v>
          </cell>
          <cell r="U6032">
            <v>45406</v>
          </cell>
          <cell r="V6032">
            <v>45407</v>
          </cell>
          <cell r="W6032">
            <v>45407</v>
          </cell>
          <cell r="X6032">
            <v>41100653</v>
          </cell>
        </row>
        <row r="6033">
          <cell r="K6033" t="str">
            <v>GBWS-4398</v>
          </cell>
          <cell r="L6033">
            <v>45390</v>
          </cell>
          <cell r="M6033">
            <v>45391</v>
          </cell>
          <cell r="N6033">
            <v>45398</v>
          </cell>
          <cell r="O6033">
            <v>45391</v>
          </cell>
          <cell r="P6033">
            <v>45399</v>
          </cell>
          <cell r="Q6033">
            <v>45398</v>
          </cell>
          <cell r="R6033">
            <v>45399</v>
          </cell>
          <cell r="S6033">
            <v>45401</v>
          </cell>
          <cell r="T6033">
            <v>45404</v>
          </cell>
          <cell r="U6033">
            <v>45405</v>
          </cell>
          <cell r="V6033">
            <v>45406</v>
          </cell>
          <cell r="W6033">
            <v>45406</v>
          </cell>
          <cell r="X6033">
            <v>41100650</v>
          </cell>
        </row>
        <row r="6034">
          <cell r="K6034" t="str">
            <v>GBWS-4399</v>
          </cell>
          <cell r="L6034">
            <v>45390</v>
          </cell>
          <cell r="M6034">
            <v>45391</v>
          </cell>
          <cell r="N6034">
            <v>45398</v>
          </cell>
          <cell r="O6034">
            <v>45391</v>
          </cell>
          <cell r="P6034">
            <v>45399</v>
          </cell>
          <cell r="Q6034">
            <v>45398</v>
          </cell>
          <cell r="R6034">
            <v>45399</v>
          </cell>
          <cell r="S6034">
            <v>45401</v>
          </cell>
          <cell r="T6034">
            <v>45404</v>
          </cell>
          <cell r="U6034">
            <v>45405</v>
          </cell>
          <cell r="V6034">
            <v>45406</v>
          </cell>
          <cell r="W6034">
            <v>45406</v>
          </cell>
          <cell r="X6034">
            <v>41100650</v>
          </cell>
        </row>
        <row r="6035">
          <cell r="K6035" t="str">
            <v>GBWS-4400</v>
          </cell>
          <cell r="L6035">
            <v>45390</v>
          </cell>
          <cell r="M6035">
            <v>45391</v>
          </cell>
          <cell r="N6035">
            <v>45399</v>
          </cell>
          <cell r="O6035">
            <v>45391</v>
          </cell>
          <cell r="P6035">
            <v>45400</v>
          </cell>
          <cell r="Q6035">
            <v>45399</v>
          </cell>
          <cell r="R6035">
            <v>45400</v>
          </cell>
          <cell r="S6035">
            <v>45401</v>
          </cell>
          <cell r="T6035">
            <v>45404</v>
          </cell>
          <cell r="U6035">
            <v>45405</v>
          </cell>
          <cell r="V6035">
            <v>45406</v>
          </cell>
          <cell r="W6035">
            <v>45406</v>
          </cell>
          <cell r="X6035">
            <v>41100649</v>
          </cell>
        </row>
        <row r="6036">
          <cell r="K6036" t="str">
            <v>GBWS-4401</v>
          </cell>
          <cell r="L6036">
            <v>45390</v>
          </cell>
          <cell r="M6036">
            <v>45391</v>
          </cell>
          <cell r="N6036">
            <v>45399</v>
          </cell>
          <cell r="O6036">
            <v>45391</v>
          </cell>
          <cell r="P6036">
            <v>45400</v>
          </cell>
          <cell r="Q6036">
            <v>45399</v>
          </cell>
          <cell r="R6036">
            <v>45400</v>
          </cell>
          <cell r="S6036">
            <v>45401</v>
          </cell>
          <cell r="T6036">
            <v>45404</v>
          </cell>
          <cell r="U6036">
            <v>45405</v>
          </cell>
          <cell r="V6036">
            <v>45406</v>
          </cell>
          <cell r="W6036">
            <v>45406</v>
          </cell>
          <cell r="X6036">
            <v>41100649</v>
          </cell>
        </row>
        <row r="6037">
          <cell r="K6037" t="str">
            <v>GBWS-4388</v>
          </cell>
          <cell r="L6037">
            <v>45387</v>
          </cell>
          <cell r="M6037">
            <v>45390</v>
          </cell>
          <cell r="N6037">
            <v>45397</v>
          </cell>
          <cell r="O6037">
            <v>45390</v>
          </cell>
          <cell r="P6037">
            <v>45398</v>
          </cell>
          <cell r="Q6037">
            <v>45397</v>
          </cell>
          <cell r="R6037">
            <v>45398</v>
          </cell>
          <cell r="S6037">
            <v>45400</v>
          </cell>
          <cell r="T6037">
            <v>45401</v>
          </cell>
          <cell r="U6037">
            <v>45404</v>
          </cell>
          <cell r="V6037">
            <v>45405</v>
          </cell>
          <cell r="W6037">
            <v>45405</v>
          </cell>
          <cell r="X6037">
            <v>41100507</v>
          </cell>
        </row>
        <row r="6038">
          <cell r="K6038" t="str">
            <v>GBWS-4381</v>
          </cell>
          <cell r="L6038">
            <v>45386</v>
          </cell>
          <cell r="M6038">
            <v>45387</v>
          </cell>
          <cell r="N6038">
            <v>45399</v>
          </cell>
          <cell r="O6038">
            <v>45387</v>
          </cell>
          <cell r="P6038">
            <v>45400</v>
          </cell>
          <cell r="Q6038" t="str">
            <v>2024-04-17 → 4/22</v>
          </cell>
          <cell r="R6038" t="str">
            <v>2024-04-18 → 4/22</v>
          </cell>
          <cell r="S6038">
            <v>45405</v>
          </cell>
          <cell r="T6038">
            <v>45406</v>
          </cell>
          <cell r="U6038">
            <v>45407</v>
          </cell>
          <cell r="V6038">
            <v>45408</v>
          </cell>
          <cell r="W6038">
            <v>45408</v>
          </cell>
          <cell r="X6038">
            <v>41100460</v>
          </cell>
        </row>
        <row r="6039">
          <cell r="K6039" t="str">
            <v>GBWS-4382</v>
          </cell>
          <cell r="L6039">
            <v>45386</v>
          </cell>
          <cell r="M6039">
            <v>45387</v>
          </cell>
          <cell r="N6039">
            <v>45399</v>
          </cell>
          <cell r="O6039">
            <v>45387</v>
          </cell>
          <cell r="P6039">
            <v>45400</v>
          </cell>
          <cell r="Q6039" t="str">
            <v>2024-04-17 → 4/22</v>
          </cell>
          <cell r="R6039" t="str">
            <v>2024-04-18 → 4/22</v>
          </cell>
          <cell r="S6039">
            <v>45405</v>
          </cell>
          <cell r="T6039">
            <v>45406</v>
          </cell>
          <cell r="U6039">
            <v>45407</v>
          </cell>
          <cell r="V6039">
            <v>45408</v>
          </cell>
          <cell r="W6039">
            <v>45408</v>
          </cell>
          <cell r="X6039">
            <v>41100460</v>
          </cell>
        </row>
        <row r="6040">
          <cell r="K6040" t="str">
            <v>GBWS-4389</v>
          </cell>
          <cell r="L6040">
            <v>45387</v>
          </cell>
          <cell r="M6040">
            <v>45390</v>
          </cell>
          <cell r="N6040">
            <v>45398</v>
          </cell>
          <cell r="O6040">
            <v>45390</v>
          </cell>
          <cell r="P6040">
            <v>45399</v>
          </cell>
          <cell r="Q6040">
            <v>45398</v>
          </cell>
          <cell r="R6040">
            <v>45399</v>
          </cell>
          <cell r="S6040">
            <v>45400</v>
          </cell>
          <cell r="T6040">
            <v>45402</v>
          </cell>
          <cell r="U6040">
            <v>45404</v>
          </cell>
          <cell r="V6040">
            <v>45405</v>
          </cell>
          <cell r="W6040">
            <v>45405</v>
          </cell>
          <cell r="X6040">
            <v>41100564</v>
          </cell>
        </row>
        <row r="6041">
          <cell r="K6041" t="str">
            <v>GBWS-4395</v>
          </cell>
          <cell r="L6041">
            <v>45390</v>
          </cell>
          <cell r="M6041">
            <v>45391</v>
          </cell>
          <cell r="N6041">
            <v>45398</v>
          </cell>
          <cell r="O6041">
            <v>45391</v>
          </cell>
          <cell r="P6041">
            <v>45399</v>
          </cell>
          <cell r="Q6041">
            <v>45398</v>
          </cell>
          <cell r="R6041">
            <v>45399</v>
          </cell>
          <cell r="S6041">
            <v>45404</v>
          </cell>
          <cell r="T6041">
            <v>45405</v>
          </cell>
          <cell r="U6041">
            <v>45406</v>
          </cell>
          <cell r="V6041">
            <v>45406</v>
          </cell>
          <cell r="W6041">
            <v>45406</v>
          </cell>
          <cell r="X6041">
            <v>41100698</v>
          </cell>
        </row>
        <row r="6042">
          <cell r="K6042" t="str">
            <v>GBWS-4396</v>
          </cell>
          <cell r="L6042">
            <v>45390</v>
          </cell>
          <cell r="M6042">
            <v>45391</v>
          </cell>
          <cell r="N6042">
            <v>45398</v>
          </cell>
          <cell r="O6042">
            <v>45391</v>
          </cell>
          <cell r="P6042">
            <v>45399</v>
          </cell>
          <cell r="Q6042">
            <v>45398</v>
          </cell>
          <cell r="R6042">
            <v>45399</v>
          </cell>
          <cell r="S6042">
            <v>45404</v>
          </cell>
          <cell r="T6042">
            <v>45405</v>
          </cell>
          <cell r="U6042">
            <v>45406</v>
          </cell>
          <cell r="V6042">
            <v>45407</v>
          </cell>
          <cell r="W6042">
            <v>45407</v>
          </cell>
          <cell r="X6042">
            <v>41100698</v>
          </cell>
        </row>
        <row r="6043">
          <cell r="K6043" t="str">
            <v>DBW-3321</v>
          </cell>
          <cell r="L6043">
            <v>45390</v>
          </cell>
          <cell r="M6043">
            <v>45391</v>
          </cell>
          <cell r="N6043">
            <v>45400</v>
          </cell>
          <cell r="O6043">
            <v>45391</v>
          </cell>
          <cell r="P6043">
            <v>45401</v>
          </cell>
          <cell r="Q6043">
            <v>45400</v>
          </cell>
          <cell r="R6043">
            <v>45401</v>
          </cell>
          <cell r="S6043">
            <v>45404</v>
          </cell>
          <cell r="T6043">
            <v>45405</v>
          </cell>
          <cell r="U6043">
            <v>45406</v>
          </cell>
          <cell r="V6043">
            <v>45407</v>
          </cell>
          <cell r="W6043">
            <v>45407</v>
          </cell>
          <cell r="X6043">
            <v>41100682</v>
          </cell>
        </row>
        <row r="6044">
          <cell r="K6044" t="str">
            <v>DBW-3322</v>
          </cell>
          <cell r="L6044">
            <v>45390</v>
          </cell>
          <cell r="M6044">
            <v>45391</v>
          </cell>
          <cell r="N6044">
            <v>45401</v>
          </cell>
          <cell r="O6044">
            <v>45391</v>
          </cell>
          <cell r="P6044">
            <v>45401</v>
          </cell>
          <cell r="Q6044" t="str">
            <v>2024-04-18 → 4/19</v>
          </cell>
          <cell r="R6044" t="str">
            <v>2024-04-19 → 4/20</v>
          </cell>
          <cell r="S6044">
            <v>45404</v>
          </cell>
          <cell r="T6044">
            <v>45405</v>
          </cell>
          <cell r="U6044">
            <v>45406</v>
          </cell>
          <cell r="V6044">
            <v>45407</v>
          </cell>
          <cell r="W6044">
            <v>45407</v>
          </cell>
          <cell r="X6044">
            <v>41100683</v>
          </cell>
        </row>
        <row r="6045">
          <cell r="K6045" t="str">
            <v>DBW-3323</v>
          </cell>
          <cell r="L6045">
            <v>45390</v>
          </cell>
          <cell r="M6045">
            <v>45391</v>
          </cell>
          <cell r="N6045">
            <v>45401</v>
          </cell>
          <cell r="O6045">
            <v>45391</v>
          </cell>
          <cell r="P6045">
            <v>45401</v>
          </cell>
          <cell r="Q6045" t="str">
            <v>2024-04-18 → 4/19</v>
          </cell>
          <cell r="R6045" t="str">
            <v>2024-04-19 → 4/20</v>
          </cell>
          <cell r="S6045">
            <v>45404</v>
          </cell>
          <cell r="T6045">
            <v>45405</v>
          </cell>
          <cell r="U6045">
            <v>45406</v>
          </cell>
          <cell r="V6045">
            <v>45407</v>
          </cell>
          <cell r="W6045">
            <v>45407</v>
          </cell>
          <cell r="X6045">
            <v>41100683</v>
          </cell>
        </row>
        <row r="6046">
          <cell r="K6046" t="str">
            <v>DBW-3324</v>
          </cell>
          <cell r="L6046">
            <v>45390</v>
          </cell>
          <cell r="M6046">
            <v>45391</v>
          </cell>
          <cell r="N6046">
            <v>45401</v>
          </cell>
          <cell r="O6046">
            <v>45391</v>
          </cell>
          <cell r="P6046">
            <v>45401</v>
          </cell>
          <cell r="Q6046" t="str">
            <v>2024-04-18 → 4/19</v>
          </cell>
          <cell r="R6046" t="str">
            <v>2024-04-19 → 4/20</v>
          </cell>
          <cell r="S6046">
            <v>45404</v>
          </cell>
          <cell r="T6046">
            <v>45405</v>
          </cell>
          <cell r="U6046">
            <v>45406</v>
          </cell>
          <cell r="V6046">
            <v>45407</v>
          </cell>
          <cell r="W6046">
            <v>45407</v>
          </cell>
          <cell r="X6046">
            <v>41100683</v>
          </cell>
        </row>
        <row r="6047">
          <cell r="K6047" t="str">
            <v>DBW-3325</v>
          </cell>
          <cell r="L6047">
            <v>45390</v>
          </cell>
          <cell r="M6047">
            <v>45391</v>
          </cell>
          <cell r="N6047">
            <v>45401</v>
          </cell>
          <cell r="O6047">
            <v>45391</v>
          </cell>
          <cell r="P6047">
            <v>45401</v>
          </cell>
          <cell r="Q6047" t="str">
            <v>2024-04-18 → 4/19</v>
          </cell>
          <cell r="R6047" t="str">
            <v>2024-04-19 → 4/20</v>
          </cell>
          <cell r="S6047">
            <v>45404</v>
          </cell>
          <cell r="T6047">
            <v>45405</v>
          </cell>
          <cell r="U6047">
            <v>45406</v>
          </cell>
          <cell r="V6047">
            <v>45407</v>
          </cell>
          <cell r="W6047">
            <v>45407</v>
          </cell>
          <cell r="X6047">
            <v>41100683</v>
          </cell>
        </row>
        <row r="6048">
          <cell r="K6048" t="str">
            <v>DBW-3326</v>
          </cell>
          <cell r="L6048">
            <v>45390</v>
          </cell>
          <cell r="M6048">
            <v>45391</v>
          </cell>
          <cell r="N6048">
            <v>45400</v>
          </cell>
          <cell r="O6048">
            <v>45391</v>
          </cell>
          <cell r="P6048">
            <v>45401</v>
          </cell>
          <cell r="Q6048">
            <v>45400</v>
          </cell>
          <cell r="R6048">
            <v>45401</v>
          </cell>
          <cell r="S6048">
            <v>45404</v>
          </cell>
          <cell r="T6048">
            <v>45405</v>
          </cell>
          <cell r="U6048">
            <v>45407</v>
          </cell>
          <cell r="V6048">
            <v>45408</v>
          </cell>
          <cell r="W6048">
            <v>45408</v>
          </cell>
          <cell r="X6048">
            <v>41100684</v>
          </cell>
        </row>
        <row r="6049">
          <cell r="K6049" t="str">
            <v>DBW-3327</v>
          </cell>
          <cell r="L6049">
            <v>45390</v>
          </cell>
          <cell r="M6049">
            <v>45391</v>
          </cell>
          <cell r="N6049">
            <v>45400</v>
          </cell>
          <cell r="O6049">
            <v>45391</v>
          </cell>
          <cell r="P6049">
            <v>45401</v>
          </cell>
          <cell r="Q6049">
            <v>45400</v>
          </cell>
          <cell r="R6049">
            <v>45401</v>
          </cell>
          <cell r="S6049">
            <v>45404</v>
          </cell>
          <cell r="T6049">
            <v>45405</v>
          </cell>
          <cell r="U6049">
            <v>45407</v>
          </cell>
          <cell r="V6049">
            <v>45408</v>
          </cell>
          <cell r="W6049">
            <v>45408</v>
          </cell>
          <cell r="X6049">
            <v>41100684</v>
          </cell>
        </row>
        <row r="6050">
          <cell r="K6050" t="str">
            <v>GPWS-0307</v>
          </cell>
          <cell r="L6050">
            <v>45268</v>
          </cell>
          <cell r="M6050" t="str">
            <v>2023-12-08 → 12/11</v>
          </cell>
          <cell r="N6050">
            <v>45309</v>
          </cell>
          <cell r="O6050" t="str">
            <v>2023-12-08 → 12/11</v>
          </cell>
          <cell r="P6050">
            <v>45294</v>
          </cell>
          <cell r="Q6050" t="str">
            <v>2023-12-15 → 12/18</v>
          </cell>
          <cell r="R6050" t="str">
            <v>2023-12-18 → 12/19</v>
          </cell>
          <cell r="S6050">
            <v>45308</v>
          </cell>
          <cell r="T6050">
            <v>45308</v>
          </cell>
          <cell r="U6050">
            <v>45408</v>
          </cell>
          <cell r="V6050">
            <v>45411</v>
          </cell>
          <cell r="W6050">
            <v>45411</v>
          </cell>
          <cell r="X6050">
            <v>41000546</v>
          </cell>
        </row>
        <row r="6051">
          <cell r="K6051" t="str">
            <v>GPWS-0343</v>
          </cell>
          <cell r="L6051">
            <v>45378</v>
          </cell>
          <cell r="M6051">
            <v>45379</v>
          </cell>
          <cell r="N6051">
            <v>45386</v>
          </cell>
          <cell r="O6051">
            <v>45379</v>
          </cell>
          <cell r="P6051">
            <v>45387</v>
          </cell>
          <cell r="Q6051">
            <v>45386</v>
          </cell>
          <cell r="R6051">
            <v>45387</v>
          </cell>
          <cell r="S6051">
            <v>45391</v>
          </cell>
          <cell r="T6051">
            <v>45392</v>
          </cell>
          <cell r="U6051">
            <v>45394</v>
          </cell>
          <cell r="V6051">
            <v>45398</v>
          </cell>
          <cell r="W6051">
            <v>45398</v>
          </cell>
          <cell r="X6051">
            <v>41000546</v>
          </cell>
        </row>
        <row r="6052">
          <cell r="K6052" t="str">
            <v>GPWS-0344</v>
          </cell>
          <cell r="L6052">
            <v>45378</v>
          </cell>
          <cell r="M6052">
            <v>45379</v>
          </cell>
          <cell r="N6052">
            <v>45386</v>
          </cell>
          <cell r="O6052">
            <v>45379</v>
          </cell>
          <cell r="P6052">
            <v>45387</v>
          </cell>
          <cell r="Q6052">
            <v>45386</v>
          </cell>
          <cell r="R6052">
            <v>45387</v>
          </cell>
          <cell r="S6052">
            <v>45391</v>
          </cell>
          <cell r="T6052">
            <v>45392</v>
          </cell>
          <cell r="U6052">
            <v>45392</v>
          </cell>
          <cell r="V6052">
            <v>45397</v>
          </cell>
          <cell r="W6052">
            <v>45397</v>
          </cell>
          <cell r="X6052">
            <v>41000546</v>
          </cell>
        </row>
        <row r="6053">
          <cell r="K6053" t="str">
            <v>GPWS-0345</v>
          </cell>
          <cell r="L6053">
            <v>45378</v>
          </cell>
          <cell r="M6053">
            <v>45379</v>
          </cell>
          <cell r="N6053">
            <v>45386</v>
          </cell>
          <cell r="O6053">
            <v>45379</v>
          </cell>
          <cell r="P6053">
            <v>45387</v>
          </cell>
          <cell r="Q6053">
            <v>45386</v>
          </cell>
          <cell r="R6053">
            <v>45387</v>
          </cell>
          <cell r="S6053">
            <v>45391</v>
          </cell>
          <cell r="T6053">
            <v>45392</v>
          </cell>
          <cell r="U6053">
            <v>45394</v>
          </cell>
          <cell r="V6053">
            <v>45398</v>
          </cell>
          <cell r="W6053">
            <v>45398</v>
          </cell>
          <cell r="X6053">
            <v>41000546</v>
          </cell>
        </row>
        <row r="6054">
          <cell r="K6054" t="str">
            <v>GPWS-0346</v>
          </cell>
          <cell r="L6054">
            <v>45378</v>
          </cell>
          <cell r="M6054">
            <v>45379</v>
          </cell>
          <cell r="N6054">
            <v>45386</v>
          </cell>
          <cell r="O6054">
            <v>45379</v>
          </cell>
          <cell r="P6054">
            <v>45387</v>
          </cell>
          <cell r="Q6054">
            <v>45386</v>
          </cell>
          <cell r="R6054">
            <v>45387</v>
          </cell>
          <cell r="S6054">
            <v>45391</v>
          </cell>
          <cell r="T6054">
            <v>45392</v>
          </cell>
          <cell r="U6054">
            <v>45393</v>
          </cell>
          <cell r="V6054">
            <v>45397</v>
          </cell>
          <cell r="W6054">
            <v>45397</v>
          </cell>
          <cell r="X6054">
            <v>41000546</v>
          </cell>
        </row>
        <row r="6055">
          <cell r="K6055" t="str">
            <v>GPWS-0352</v>
          </cell>
          <cell r="L6055">
            <v>45380</v>
          </cell>
          <cell r="M6055">
            <v>45383</v>
          </cell>
          <cell r="N6055">
            <v>45397</v>
          </cell>
          <cell r="O6055">
            <v>45383</v>
          </cell>
          <cell r="P6055">
            <v>45398</v>
          </cell>
          <cell r="Q6055" t="str">
            <v>2024-04-11 → 4/15</v>
          </cell>
          <cell r="R6055" t="str">
            <v>2024-04-12 → 4/16</v>
          </cell>
          <cell r="S6055">
            <v>45400</v>
          </cell>
          <cell r="T6055">
            <v>45402</v>
          </cell>
          <cell r="U6055">
            <v>45404</v>
          </cell>
          <cell r="V6055">
            <v>45405</v>
          </cell>
          <cell r="W6055">
            <v>45405</v>
          </cell>
          <cell r="X6055">
            <v>41000546</v>
          </cell>
        </row>
        <row r="6056">
          <cell r="K6056" t="str">
            <v>GPWS-0353</v>
          </cell>
          <cell r="L6056">
            <v>45380</v>
          </cell>
          <cell r="M6056">
            <v>45383</v>
          </cell>
          <cell r="N6056">
            <v>45397</v>
          </cell>
          <cell r="O6056">
            <v>45383</v>
          </cell>
          <cell r="P6056">
            <v>45398</v>
          </cell>
          <cell r="Q6056" t="str">
            <v>2024-04-11 → 4/15</v>
          </cell>
          <cell r="R6056" t="str">
            <v>2024-04-12 → 4/16</v>
          </cell>
          <cell r="S6056">
            <v>45400</v>
          </cell>
          <cell r="T6056">
            <v>45402</v>
          </cell>
          <cell r="U6056">
            <v>45404</v>
          </cell>
          <cell r="V6056">
            <v>45405</v>
          </cell>
          <cell r="W6056">
            <v>45405</v>
          </cell>
          <cell r="X6056">
            <v>41000546</v>
          </cell>
        </row>
        <row r="6057">
          <cell r="K6057" t="str">
            <v>GPWS-0354</v>
          </cell>
          <cell r="L6057">
            <v>45380</v>
          </cell>
          <cell r="M6057">
            <v>45383</v>
          </cell>
          <cell r="N6057">
            <v>45397</v>
          </cell>
          <cell r="O6057">
            <v>45383</v>
          </cell>
          <cell r="P6057">
            <v>45398</v>
          </cell>
          <cell r="Q6057" t="str">
            <v>2024-04-11 → 4/15</v>
          </cell>
          <cell r="R6057" t="str">
            <v>2024-04-12 → 4/16</v>
          </cell>
          <cell r="S6057">
            <v>45400</v>
          </cell>
          <cell r="T6057">
            <v>45401</v>
          </cell>
          <cell r="U6057">
            <v>45406</v>
          </cell>
          <cell r="V6057">
            <v>45408</v>
          </cell>
          <cell r="W6057">
            <v>45408</v>
          </cell>
          <cell r="X6057">
            <v>41000546</v>
          </cell>
        </row>
        <row r="6058">
          <cell r="K6058" t="str">
            <v>GPWS-0355</v>
          </cell>
          <cell r="L6058">
            <v>45380</v>
          </cell>
          <cell r="M6058">
            <v>45383</v>
          </cell>
          <cell r="N6058">
            <v>45397</v>
          </cell>
          <cell r="O6058">
            <v>45383</v>
          </cell>
          <cell r="P6058">
            <v>45398</v>
          </cell>
          <cell r="Q6058" t="str">
            <v>2024-04-11 → 4/15</v>
          </cell>
          <cell r="R6058" t="str">
            <v>2024-04-12 → 4/16</v>
          </cell>
          <cell r="S6058">
            <v>45400</v>
          </cell>
          <cell r="T6058">
            <v>45405</v>
          </cell>
          <cell r="U6058">
            <v>45406</v>
          </cell>
          <cell r="V6058">
            <v>45408</v>
          </cell>
          <cell r="W6058">
            <v>45408</v>
          </cell>
          <cell r="X6058">
            <v>41000546</v>
          </cell>
        </row>
        <row r="6059">
          <cell r="K6059" t="str">
            <v>GBWS-4392</v>
          </cell>
          <cell r="L6059">
            <v>45390</v>
          </cell>
          <cell r="M6059" t="str">
            <v>2024-03-29 → 4/9</v>
          </cell>
          <cell r="N6059">
            <v>45400</v>
          </cell>
          <cell r="O6059" t="str">
            <v>2024-03-29 → 4/9</v>
          </cell>
          <cell r="P6059">
            <v>45399</v>
          </cell>
          <cell r="Q6059" t="str">
            <v>2024-04-08 → 4/19</v>
          </cell>
          <cell r="R6059" t="str">
            <v>2024-04-09 → 4/22</v>
          </cell>
          <cell r="S6059">
            <v>45401</v>
          </cell>
          <cell r="T6059">
            <v>45404</v>
          </cell>
          <cell r="U6059">
            <v>45405</v>
          </cell>
          <cell r="V6059">
            <v>45406</v>
          </cell>
          <cell r="W6059">
            <v>45406</v>
          </cell>
          <cell r="X6059">
            <v>41100460</v>
          </cell>
        </row>
        <row r="6060">
          <cell r="K6060" t="str">
            <v>GBWS-4393</v>
          </cell>
          <cell r="L6060">
            <v>45390</v>
          </cell>
          <cell r="M6060" t="str">
            <v>2024-03-29 → 4/9</v>
          </cell>
          <cell r="N6060">
            <v>45400</v>
          </cell>
          <cell r="O6060" t="str">
            <v>2024-03-29 → 4/9</v>
          </cell>
          <cell r="P6060">
            <v>45399</v>
          </cell>
          <cell r="Q6060" t="str">
            <v>2024-04-08 → 4/19</v>
          </cell>
          <cell r="R6060" t="str">
            <v>2024-04-09 → 4/22</v>
          </cell>
          <cell r="S6060">
            <v>45401</v>
          </cell>
          <cell r="T6060">
            <v>45402</v>
          </cell>
          <cell r="U6060">
            <v>45404</v>
          </cell>
          <cell r="V6060">
            <v>45405</v>
          </cell>
          <cell r="W6060">
            <v>45405</v>
          </cell>
          <cell r="X6060">
            <v>41100460</v>
          </cell>
        </row>
        <row r="6061">
          <cell r="K6061" t="str">
            <v>GBWS-4390</v>
          </cell>
          <cell r="L6061">
            <v>45387</v>
          </cell>
          <cell r="M6061" t="str">
            <v>2024-03-29 → 4/8</v>
          </cell>
          <cell r="N6061">
            <v>45398</v>
          </cell>
          <cell r="O6061" t="str">
            <v>2024-03-29 → 4/8</v>
          </cell>
          <cell r="P6061">
            <v>45398</v>
          </cell>
          <cell r="Q6061" t="str">
            <v>2024-04-08 → 4/17</v>
          </cell>
          <cell r="R6061" t="str">
            <v>2024-04-09 → 4/18</v>
          </cell>
          <cell r="S6061">
            <v>45405</v>
          </cell>
          <cell r="T6061">
            <v>45406</v>
          </cell>
          <cell r="U6061">
            <v>45407</v>
          </cell>
          <cell r="V6061">
            <v>45408</v>
          </cell>
          <cell r="W6061">
            <v>45408</v>
          </cell>
          <cell r="X6061">
            <v>41100461</v>
          </cell>
        </row>
        <row r="6062">
          <cell r="K6062" t="str">
            <v>GBWS-4391</v>
          </cell>
          <cell r="L6062">
            <v>45387</v>
          </cell>
          <cell r="M6062" t="str">
            <v>2024-03-29 → 4/8</v>
          </cell>
          <cell r="N6062">
            <v>45398</v>
          </cell>
          <cell r="O6062" t="str">
            <v>2024-03-29 → 4/8</v>
          </cell>
          <cell r="P6062">
            <v>45398</v>
          </cell>
          <cell r="Q6062" t="str">
            <v>2024-04-08 → 4/17</v>
          </cell>
          <cell r="R6062" t="str">
            <v>2024-04-09 → 4/18</v>
          </cell>
          <cell r="S6062">
            <v>45405</v>
          </cell>
          <cell r="T6062">
            <v>45406</v>
          </cell>
          <cell r="U6062">
            <v>45407</v>
          </cell>
          <cell r="V6062">
            <v>45408</v>
          </cell>
          <cell r="W6062">
            <v>45408</v>
          </cell>
          <cell r="X6062">
            <v>41100461</v>
          </cell>
        </row>
        <row r="6063">
          <cell r="K6063" t="str">
            <v>GBWS-4405</v>
          </cell>
          <cell r="L6063">
            <v>45393</v>
          </cell>
          <cell r="M6063">
            <v>45394</v>
          </cell>
          <cell r="N6063">
            <v>45403</v>
          </cell>
          <cell r="O6063">
            <v>45394</v>
          </cell>
          <cell r="P6063">
            <v>45404</v>
          </cell>
          <cell r="Q6063" t="str">
            <v>2024-04-19 → 4/21</v>
          </cell>
          <cell r="R6063">
            <v>45404</v>
          </cell>
          <cell r="S6063">
            <v>45406</v>
          </cell>
          <cell r="T6063">
            <v>45407</v>
          </cell>
          <cell r="U6063">
            <v>45408</v>
          </cell>
          <cell r="V6063">
            <v>45411</v>
          </cell>
          <cell r="W6063">
            <v>45411</v>
          </cell>
          <cell r="X6063">
            <v>41100662</v>
          </cell>
        </row>
        <row r="6064">
          <cell r="K6064" t="str">
            <v>GBWS-4406</v>
          </cell>
          <cell r="L6064">
            <v>45393</v>
          </cell>
          <cell r="M6064">
            <v>45394</v>
          </cell>
          <cell r="N6064">
            <v>45403</v>
          </cell>
          <cell r="O6064">
            <v>45394</v>
          </cell>
          <cell r="P6064">
            <v>45404</v>
          </cell>
          <cell r="Q6064" t="str">
            <v>2024-04-19 → 4/21</v>
          </cell>
          <cell r="R6064">
            <v>45404</v>
          </cell>
          <cell r="S6064">
            <v>45406</v>
          </cell>
          <cell r="T6064">
            <v>45407</v>
          </cell>
          <cell r="U6064">
            <v>45408</v>
          </cell>
          <cell r="V6064">
            <v>45411</v>
          </cell>
          <cell r="W6064">
            <v>45411</v>
          </cell>
          <cell r="X6064">
            <v>41100662</v>
          </cell>
        </row>
        <row r="6065">
          <cell r="K6065" t="str">
            <v>GBWS-4423</v>
          </cell>
          <cell r="L6065">
            <v>45397</v>
          </cell>
          <cell r="M6065">
            <v>45398</v>
          </cell>
          <cell r="N6065">
            <v>45406</v>
          </cell>
          <cell r="O6065">
            <v>45398</v>
          </cell>
          <cell r="P6065">
            <v>45407</v>
          </cell>
          <cell r="Q6065" t="str">
            <v>2024-04-23 → 4/24</v>
          </cell>
          <cell r="R6065" t="str">
            <v>2024-04-24(25일 오전)</v>
          </cell>
          <cell r="S6065">
            <v>45407</v>
          </cell>
          <cell r="T6065">
            <v>45408</v>
          </cell>
          <cell r="U6065">
            <v>45410</v>
          </cell>
          <cell r="V6065">
            <v>45411</v>
          </cell>
          <cell r="W6065">
            <v>45411</v>
          </cell>
          <cell r="X6065">
            <v>41100698</v>
          </cell>
        </row>
        <row r="6066">
          <cell r="K6066" t="str">
            <v>SOS-0323</v>
          </cell>
          <cell r="L6066">
            <v>45393</v>
          </cell>
          <cell r="M6066">
            <v>45394</v>
          </cell>
          <cell r="N6066">
            <v>45400</v>
          </cell>
          <cell r="O6066">
            <v>45394</v>
          </cell>
          <cell r="P6066">
            <v>45400</v>
          </cell>
          <cell r="Q6066">
            <v>45399</v>
          </cell>
          <cell r="R6066">
            <v>45400</v>
          </cell>
          <cell r="S6066">
            <v>45405</v>
          </cell>
          <cell r="T6066">
            <v>45405</v>
          </cell>
          <cell r="U6066">
            <v>45412</v>
          </cell>
          <cell r="V6066">
            <v>45412</v>
          </cell>
          <cell r="W6066">
            <v>45412</v>
          </cell>
          <cell r="X6066">
            <v>41000558</v>
          </cell>
        </row>
        <row r="6067">
          <cell r="K6067" t="str">
            <v>SOS-0324</v>
          </cell>
          <cell r="L6067">
            <v>45393</v>
          </cell>
          <cell r="M6067">
            <v>45394</v>
          </cell>
          <cell r="N6067">
            <v>45400</v>
          </cell>
          <cell r="O6067">
            <v>45394</v>
          </cell>
          <cell r="P6067">
            <v>45400</v>
          </cell>
          <cell r="Q6067">
            <v>45399</v>
          </cell>
          <cell r="R6067">
            <v>45400</v>
          </cell>
          <cell r="S6067">
            <v>45405</v>
          </cell>
          <cell r="T6067">
            <v>45405</v>
          </cell>
          <cell r="U6067">
            <v>45412</v>
          </cell>
          <cell r="V6067">
            <v>45412</v>
          </cell>
          <cell r="W6067">
            <v>45412</v>
          </cell>
          <cell r="X6067">
            <v>41000558</v>
          </cell>
        </row>
        <row r="6068">
          <cell r="K6068" t="str">
            <v>GPWS-0348</v>
          </cell>
          <cell r="L6068">
            <v>45380</v>
          </cell>
          <cell r="M6068">
            <v>45383</v>
          </cell>
          <cell r="N6068">
            <v>45397</v>
          </cell>
          <cell r="O6068">
            <v>45383</v>
          </cell>
          <cell r="P6068">
            <v>45400</v>
          </cell>
          <cell r="Q6068" t="str">
            <v>2024-04-12 → 4/14</v>
          </cell>
          <cell r="R6068" t="str">
            <v>2024-04-15 → 4/19</v>
          </cell>
          <cell r="S6068">
            <v>45404</v>
          </cell>
          <cell r="T6068">
            <v>45406</v>
          </cell>
          <cell r="U6068">
            <v>45407</v>
          </cell>
          <cell r="V6068">
            <v>45412</v>
          </cell>
          <cell r="W6068">
            <v>45412</v>
          </cell>
          <cell r="X6068">
            <v>41000548</v>
          </cell>
        </row>
        <row r="6069">
          <cell r="K6069" t="str">
            <v>GPWS-0349</v>
          </cell>
          <cell r="L6069">
            <v>45380</v>
          </cell>
          <cell r="M6069">
            <v>45383</v>
          </cell>
          <cell r="N6069">
            <v>45397</v>
          </cell>
          <cell r="O6069">
            <v>45383</v>
          </cell>
          <cell r="P6069">
            <v>45400</v>
          </cell>
          <cell r="Q6069" t="str">
            <v>2024-04-12 → 4/14</v>
          </cell>
          <cell r="R6069" t="str">
            <v>2024-04-15 → 4/19</v>
          </cell>
          <cell r="S6069">
            <v>45404</v>
          </cell>
          <cell r="T6069">
            <v>45406</v>
          </cell>
          <cell r="U6069">
            <v>45407</v>
          </cell>
          <cell r="V6069">
            <v>45408</v>
          </cell>
          <cell r="W6069">
            <v>45408</v>
          </cell>
          <cell r="X6069">
            <v>41000548</v>
          </cell>
        </row>
        <row r="6070">
          <cell r="K6070" t="str">
            <v>GPWS-0350</v>
          </cell>
          <cell r="L6070">
            <v>45380</v>
          </cell>
          <cell r="M6070">
            <v>45383</v>
          </cell>
          <cell r="N6070">
            <v>45397</v>
          </cell>
          <cell r="O6070">
            <v>45383</v>
          </cell>
          <cell r="P6070">
            <v>45400</v>
          </cell>
          <cell r="Q6070" t="str">
            <v>2024-04-12 → 4/14</v>
          </cell>
          <cell r="R6070" t="str">
            <v>2024-04-15 → 4/19</v>
          </cell>
          <cell r="S6070">
            <v>45405</v>
          </cell>
          <cell r="T6070">
            <v>45406</v>
          </cell>
          <cell r="U6070">
            <v>45408</v>
          </cell>
          <cell r="V6070">
            <v>45411</v>
          </cell>
          <cell r="W6070">
            <v>45411</v>
          </cell>
          <cell r="X6070">
            <v>41000548</v>
          </cell>
        </row>
        <row r="6071">
          <cell r="K6071" t="str">
            <v>GPWS-0351</v>
          </cell>
          <cell r="L6071">
            <v>45380</v>
          </cell>
          <cell r="M6071">
            <v>45383</v>
          </cell>
          <cell r="N6071">
            <v>45397</v>
          </cell>
          <cell r="O6071">
            <v>45383</v>
          </cell>
          <cell r="P6071">
            <v>45400</v>
          </cell>
          <cell r="Q6071" t="str">
            <v>2024-04-12 → 4/14</v>
          </cell>
          <cell r="R6071" t="str">
            <v>2024-04-15 → 4/19</v>
          </cell>
          <cell r="S6071">
            <v>45406</v>
          </cell>
          <cell r="T6071">
            <v>45407</v>
          </cell>
          <cell r="U6071">
            <v>45408</v>
          </cell>
          <cell r="V6071">
            <v>45411</v>
          </cell>
          <cell r="W6071">
            <v>45411</v>
          </cell>
          <cell r="X6071">
            <v>41000548</v>
          </cell>
        </row>
        <row r="6072">
          <cell r="K6072" t="str">
            <v>GPWS-0357</v>
          </cell>
          <cell r="L6072">
            <v>45387</v>
          </cell>
          <cell r="M6072">
            <v>45390</v>
          </cell>
          <cell r="N6072">
            <v>45401</v>
          </cell>
          <cell r="O6072">
            <v>45390</v>
          </cell>
          <cell r="P6072">
            <v>45404</v>
          </cell>
          <cell r="Q6072" t="str">
            <v>2024-04-18 → 4/20</v>
          </cell>
          <cell r="R6072" t="str">
            <v>2024-04-19 → 4/21</v>
          </cell>
          <cell r="S6072">
            <v>45407</v>
          </cell>
          <cell r="T6072">
            <v>45408</v>
          </cell>
          <cell r="U6072">
            <v>45411</v>
          </cell>
          <cell r="V6072">
            <v>45412</v>
          </cell>
          <cell r="W6072">
            <v>45412</v>
          </cell>
          <cell r="X6072">
            <v>41000548</v>
          </cell>
        </row>
        <row r="6073">
          <cell r="K6073" t="str">
            <v>GPWS-0358</v>
          </cell>
          <cell r="L6073">
            <v>45387</v>
          </cell>
          <cell r="M6073">
            <v>45390</v>
          </cell>
          <cell r="N6073">
            <v>45401</v>
          </cell>
          <cell r="O6073">
            <v>45390</v>
          </cell>
          <cell r="P6073">
            <v>45404</v>
          </cell>
          <cell r="Q6073" t="str">
            <v>2024-04-18 → 4/20</v>
          </cell>
          <cell r="R6073" t="str">
            <v>2024-04-19 → 4/21</v>
          </cell>
          <cell r="S6073">
            <v>45407</v>
          </cell>
          <cell r="T6073">
            <v>45408</v>
          </cell>
          <cell r="U6073">
            <v>45410</v>
          </cell>
          <cell r="V6073">
            <v>45412</v>
          </cell>
          <cell r="W6073">
            <v>45412</v>
          </cell>
          <cell r="X6073">
            <v>41000548</v>
          </cell>
        </row>
        <row r="6074">
          <cell r="K6074" t="str">
            <v>GPWS-0356</v>
          </cell>
          <cell r="L6074">
            <v>45387</v>
          </cell>
          <cell r="M6074">
            <v>45390</v>
          </cell>
          <cell r="N6074">
            <v>45401</v>
          </cell>
          <cell r="O6074">
            <v>45390</v>
          </cell>
          <cell r="P6074">
            <v>45404</v>
          </cell>
          <cell r="Q6074" t="str">
            <v>2024-04-18 → 4/20</v>
          </cell>
          <cell r="R6074" t="str">
            <v>2024-04-19 → 4/21</v>
          </cell>
          <cell r="S6074">
            <v>45407</v>
          </cell>
          <cell r="T6074">
            <v>45408</v>
          </cell>
          <cell r="U6074">
            <v>45411</v>
          </cell>
          <cell r="V6074">
            <v>45414</v>
          </cell>
          <cell r="W6074">
            <v>45414</v>
          </cell>
          <cell r="X6074">
            <v>41000548</v>
          </cell>
        </row>
        <row r="6075">
          <cell r="K6075" t="str">
            <v>GBWS-4122</v>
          </cell>
          <cell r="L6075">
            <v>45324</v>
          </cell>
          <cell r="M6075">
            <v>45327</v>
          </cell>
          <cell r="N6075">
            <v>45336</v>
          </cell>
          <cell r="O6075">
            <v>45327</v>
          </cell>
          <cell r="P6075">
            <v>45336</v>
          </cell>
          <cell r="Q6075">
            <v>45337</v>
          </cell>
          <cell r="R6075">
            <v>45338</v>
          </cell>
          <cell r="S6075">
            <v>45344</v>
          </cell>
          <cell r="T6075">
            <v>45345</v>
          </cell>
          <cell r="U6075">
            <v>45348</v>
          </cell>
          <cell r="V6075">
            <v>45349</v>
          </cell>
          <cell r="W6075">
            <v>45349</v>
          </cell>
          <cell r="X6075">
            <v>41100566</v>
          </cell>
        </row>
        <row r="6076">
          <cell r="K6076" t="str">
            <v>GBWS-4292</v>
          </cell>
          <cell r="L6076">
            <v>45365</v>
          </cell>
          <cell r="M6076">
            <v>45366</v>
          </cell>
          <cell r="N6076">
            <v>45376</v>
          </cell>
          <cell r="O6076">
            <v>45366</v>
          </cell>
          <cell r="P6076">
            <v>45377</v>
          </cell>
          <cell r="Q6076">
            <v>45376</v>
          </cell>
          <cell r="R6076">
            <v>45377</v>
          </cell>
          <cell r="S6076">
            <v>45378</v>
          </cell>
          <cell r="T6076">
            <v>45379</v>
          </cell>
          <cell r="U6076">
            <v>45380</v>
          </cell>
          <cell r="V6076">
            <v>45383</v>
          </cell>
          <cell r="W6076">
            <v>45383</v>
          </cell>
          <cell r="X6076">
            <v>41100566</v>
          </cell>
        </row>
        <row r="6077">
          <cell r="K6077" t="str">
            <v>GBWS-4331</v>
          </cell>
          <cell r="L6077">
            <v>45373</v>
          </cell>
          <cell r="M6077">
            <v>45376</v>
          </cell>
          <cell r="N6077">
            <v>45387</v>
          </cell>
          <cell r="O6077">
            <v>45376</v>
          </cell>
          <cell r="P6077">
            <v>45387</v>
          </cell>
          <cell r="Q6077" t="str">
            <v>2024-04-03 → 4/5</v>
          </cell>
          <cell r="R6077" t="str">
            <v>2024-04-04 → 4/5</v>
          </cell>
          <cell r="S6077">
            <v>45391</v>
          </cell>
          <cell r="T6077">
            <v>45392</v>
          </cell>
          <cell r="U6077">
            <v>45394</v>
          </cell>
          <cell r="V6077">
            <v>45397</v>
          </cell>
          <cell r="W6077">
            <v>45397</v>
          </cell>
          <cell r="X6077">
            <v>41100566</v>
          </cell>
        </row>
        <row r="6078">
          <cell r="K6078" t="str">
            <v>GBWS-4332</v>
          </cell>
          <cell r="L6078">
            <v>45373</v>
          </cell>
          <cell r="M6078">
            <v>45376</v>
          </cell>
          <cell r="N6078">
            <v>45387</v>
          </cell>
          <cell r="O6078">
            <v>45376</v>
          </cell>
          <cell r="P6078">
            <v>45387</v>
          </cell>
          <cell r="Q6078" t="str">
            <v>2024-04-03 → 4/5</v>
          </cell>
          <cell r="R6078" t="str">
            <v>2024-04-04 → 4/5</v>
          </cell>
          <cell r="S6078">
            <v>45391</v>
          </cell>
          <cell r="T6078">
            <v>45393</v>
          </cell>
          <cell r="U6078">
            <v>45394</v>
          </cell>
          <cell r="V6078">
            <v>45397</v>
          </cell>
          <cell r="W6078">
            <v>45397</v>
          </cell>
          <cell r="X6078">
            <v>41100566</v>
          </cell>
        </row>
        <row r="6079">
          <cell r="K6079" t="str">
            <v>GBWS-4271</v>
          </cell>
          <cell r="L6079">
            <v>45362</v>
          </cell>
          <cell r="M6079">
            <v>45363</v>
          </cell>
          <cell r="N6079">
            <v>45370</v>
          </cell>
          <cell r="O6079">
            <v>45363</v>
          </cell>
          <cell r="P6079">
            <v>45370</v>
          </cell>
          <cell r="Q6079">
            <v>45370</v>
          </cell>
          <cell r="R6079">
            <v>45371</v>
          </cell>
          <cell r="S6079">
            <v>45371</v>
          </cell>
          <cell r="T6079">
            <v>45373</v>
          </cell>
          <cell r="U6079">
            <v>45376</v>
          </cell>
          <cell r="V6079">
            <v>45377</v>
          </cell>
          <cell r="W6079">
            <v>45377</v>
          </cell>
          <cell r="X6079">
            <v>41100642</v>
          </cell>
        </row>
        <row r="6080">
          <cell r="K6080" t="str">
            <v>GBWS-4413</v>
          </cell>
          <cell r="L6080">
            <v>45394</v>
          </cell>
          <cell r="M6080">
            <v>45397</v>
          </cell>
          <cell r="N6080">
            <v>45404</v>
          </cell>
          <cell r="O6080">
            <v>45397</v>
          </cell>
          <cell r="P6080">
            <v>45406</v>
          </cell>
          <cell r="Q6080">
            <v>45404</v>
          </cell>
          <cell r="R6080" t="str">
            <v>2024-04-23 → 4/25</v>
          </cell>
          <cell r="S6080">
            <v>45408</v>
          </cell>
          <cell r="T6080">
            <v>45411</v>
          </cell>
          <cell r="U6080">
            <v>45412</v>
          </cell>
          <cell r="V6080">
            <v>45414</v>
          </cell>
          <cell r="W6080">
            <v>45414</v>
          </cell>
          <cell r="X6080">
            <v>41100566</v>
          </cell>
        </row>
        <row r="6081">
          <cell r="K6081" t="str">
            <v>GBWS-4418</v>
          </cell>
          <cell r="L6081">
            <v>45394</v>
          </cell>
          <cell r="M6081">
            <v>45397</v>
          </cell>
          <cell r="N6081">
            <v>45405</v>
          </cell>
          <cell r="O6081">
            <v>45397</v>
          </cell>
          <cell r="P6081">
            <v>45405</v>
          </cell>
          <cell r="Q6081">
            <v>45404</v>
          </cell>
          <cell r="R6081">
            <v>45405</v>
          </cell>
          <cell r="S6081">
            <v>45407</v>
          </cell>
          <cell r="T6081">
            <v>45411</v>
          </cell>
          <cell r="U6081">
            <v>45412</v>
          </cell>
          <cell r="V6081">
            <v>45412</v>
          </cell>
          <cell r="W6081">
            <v>45412</v>
          </cell>
          <cell r="X6081">
            <v>41100320</v>
          </cell>
        </row>
        <row r="6082">
          <cell r="K6082" t="str">
            <v>GBWS-4420</v>
          </cell>
          <cell r="L6082">
            <v>45397</v>
          </cell>
          <cell r="M6082">
            <v>45398</v>
          </cell>
          <cell r="N6082">
            <v>45406</v>
          </cell>
          <cell r="O6082">
            <v>45398</v>
          </cell>
          <cell r="P6082">
            <v>45407</v>
          </cell>
          <cell r="Q6082">
            <v>45406</v>
          </cell>
          <cell r="R6082">
            <v>45407</v>
          </cell>
          <cell r="S6082">
            <v>45408</v>
          </cell>
          <cell r="T6082">
            <v>45411</v>
          </cell>
          <cell r="U6082">
            <v>45414</v>
          </cell>
          <cell r="V6082">
            <v>45414</v>
          </cell>
          <cell r="W6082">
            <v>45414</v>
          </cell>
          <cell r="X6082">
            <v>41100460</v>
          </cell>
        </row>
        <row r="6083">
          <cell r="K6083" t="str">
            <v>GBWS-4421</v>
          </cell>
          <cell r="L6083">
            <v>45397</v>
          </cell>
          <cell r="M6083">
            <v>45398</v>
          </cell>
          <cell r="N6083">
            <v>45406</v>
          </cell>
          <cell r="O6083">
            <v>45398</v>
          </cell>
          <cell r="P6083">
            <v>45407</v>
          </cell>
          <cell r="Q6083">
            <v>45406</v>
          </cell>
          <cell r="R6083">
            <v>45407</v>
          </cell>
          <cell r="S6083">
            <v>45411</v>
          </cell>
          <cell r="T6083">
            <v>45412</v>
          </cell>
          <cell r="U6083">
            <v>45415</v>
          </cell>
          <cell r="V6083">
            <v>45415</v>
          </cell>
          <cell r="W6083">
            <v>45415</v>
          </cell>
          <cell r="X6083">
            <v>41100460</v>
          </cell>
        </row>
        <row r="6084">
          <cell r="K6084" t="str">
            <v>GBWS-4427</v>
          </cell>
          <cell r="L6084">
            <v>45398</v>
          </cell>
          <cell r="M6084">
            <v>45399</v>
          </cell>
          <cell r="N6084">
            <v>45406</v>
          </cell>
          <cell r="O6084">
            <v>45399</v>
          </cell>
          <cell r="P6084">
            <v>45407</v>
          </cell>
          <cell r="Q6084">
            <v>45406</v>
          </cell>
          <cell r="R6084">
            <v>45407</v>
          </cell>
          <cell r="S6084">
            <v>45408</v>
          </cell>
          <cell r="T6084">
            <v>45411</v>
          </cell>
          <cell r="U6084">
            <v>45412</v>
          </cell>
          <cell r="V6084">
            <v>45415</v>
          </cell>
          <cell r="W6084">
            <v>45415</v>
          </cell>
          <cell r="X6084">
            <v>41100460</v>
          </cell>
        </row>
        <row r="6085">
          <cell r="K6085" t="str">
            <v>SOS-0327</v>
          </cell>
          <cell r="L6085">
            <v>45406</v>
          </cell>
          <cell r="M6085">
            <v>45407</v>
          </cell>
          <cell r="N6085">
            <v>45408</v>
          </cell>
          <cell r="O6085">
            <v>45407</v>
          </cell>
          <cell r="P6085">
            <v>45411</v>
          </cell>
          <cell r="Q6085">
            <v>45411</v>
          </cell>
          <cell r="R6085">
            <v>45411</v>
          </cell>
          <cell r="S6085">
            <v>45412</v>
          </cell>
          <cell r="T6085">
            <v>45412</v>
          </cell>
          <cell r="U6085">
            <v>45415</v>
          </cell>
          <cell r="V6085">
            <v>45415</v>
          </cell>
          <cell r="W6085">
            <v>45415</v>
          </cell>
          <cell r="X6085">
            <v>41100182</v>
          </cell>
        </row>
        <row r="6086">
          <cell r="K6086" t="str">
            <v>GBWS-4428</v>
          </cell>
          <cell r="L6086">
            <v>45398</v>
          </cell>
          <cell r="M6086">
            <v>45399</v>
          </cell>
          <cell r="N6086">
            <v>45407</v>
          </cell>
          <cell r="O6086">
            <v>45399</v>
          </cell>
          <cell r="P6086">
            <v>45407</v>
          </cell>
          <cell r="Q6086">
            <v>45407</v>
          </cell>
          <cell r="R6086">
            <v>45408</v>
          </cell>
          <cell r="S6086">
            <v>45411</v>
          </cell>
          <cell r="T6086">
            <v>45411</v>
          </cell>
          <cell r="U6086">
            <v>45412</v>
          </cell>
          <cell r="V6086">
            <v>45414</v>
          </cell>
          <cell r="W6086">
            <v>45414</v>
          </cell>
          <cell r="X6086">
            <v>41100564</v>
          </cell>
        </row>
        <row r="6087">
          <cell r="K6087" t="str">
            <v>GBWS-4429</v>
          </cell>
          <cell r="L6087">
            <v>45398</v>
          </cell>
          <cell r="M6087">
            <v>45399</v>
          </cell>
          <cell r="N6087">
            <v>45407</v>
          </cell>
          <cell r="O6087">
            <v>45399</v>
          </cell>
          <cell r="P6087">
            <v>45407</v>
          </cell>
          <cell r="Q6087">
            <v>45407</v>
          </cell>
          <cell r="R6087">
            <v>45408</v>
          </cell>
          <cell r="S6087">
            <v>45411</v>
          </cell>
          <cell r="T6087">
            <v>45411</v>
          </cell>
          <cell r="U6087">
            <v>45412</v>
          </cell>
          <cell r="V6087">
            <v>45414</v>
          </cell>
          <cell r="W6087">
            <v>45414</v>
          </cell>
          <cell r="X6087">
            <v>41100564</v>
          </cell>
        </row>
        <row r="6088">
          <cell r="K6088" t="str">
            <v>GBWS-4430</v>
          </cell>
          <cell r="L6088">
            <v>45398</v>
          </cell>
          <cell r="M6088">
            <v>45399</v>
          </cell>
          <cell r="N6088">
            <v>45407</v>
          </cell>
          <cell r="O6088">
            <v>45399</v>
          </cell>
          <cell r="P6088">
            <v>45407</v>
          </cell>
          <cell r="Q6088">
            <v>45407</v>
          </cell>
          <cell r="R6088">
            <v>45408</v>
          </cell>
          <cell r="S6088">
            <v>45411</v>
          </cell>
          <cell r="T6088">
            <v>45412</v>
          </cell>
          <cell r="U6088">
            <v>45414</v>
          </cell>
          <cell r="V6088">
            <v>45415</v>
          </cell>
          <cell r="W6088">
            <v>45415</v>
          </cell>
          <cell r="X6088">
            <v>41100564</v>
          </cell>
        </row>
        <row r="6089">
          <cell r="K6089" t="str">
            <v>GBWS-4441</v>
          </cell>
          <cell r="L6089">
            <v>45399</v>
          </cell>
          <cell r="M6089">
            <v>45400</v>
          </cell>
          <cell r="N6089">
            <v>45407</v>
          </cell>
          <cell r="O6089">
            <v>45400</v>
          </cell>
          <cell r="P6089">
            <v>45407</v>
          </cell>
          <cell r="Q6089">
            <v>45407</v>
          </cell>
          <cell r="R6089">
            <v>45408</v>
          </cell>
          <cell r="S6089">
            <v>45411</v>
          </cell>
          <cell r="T6089">
            <v>45412</v>
          </cell>
          <cell r="U6089">
            <v>45414</v>
          </cell>
          <cell r="V6089">
            <v>45415</v>
          </cell>
          <cell r="W6089">
            <v>45415</v>
          </cell>
          <cell r="X6089">
            <v>41100662</v>
          </cell>
        </row>
        <row r="6090">
          <cell r="K6090" t="str">
            <v>GBWS-4424</v>
          </cell>
          <cell r="L6090">
            <v>45397</v>
          </cell>
          <cell r="M6090">
            <v>45398</v>
          </cell>
          <cell r="N6090">
            <v>45406</v>
          </cell>
          <cell r="O6090">
            <v>45398</v>
          </cell>
          <cell r="P6090">
            <v>45407</v>
          </cell>
          <cell r="Q6090" t="str">
            <v>2024-04-23 → 4/25</v>
          </cell>
          <cell r="R6090" t="str">
            <v>2024-04-24 → 4/26</v>
          </cell>
          <cell r="S6090">
            <v>45412</v>
          </cell>
          <cell r="T6090">
            <v>45414</v>
          </cell>
          <cell r="U6090">
            <v>45415</v>
          </cell>
          <cell r="V6090">
            <v>45419</v>
          </cell>
          <cell r="W6090">
            <v>45419</v>
          </cell>
          <cell r="X6090">
            <v>41100564</v>
          </cell>
        </row>
        <row r="6091">
          <cell r="K6091" t="str">
            <v>GBWS-4425</v>
          </cell>
          <cell r="L6091">
            <v>45397</v>
          </cell>
          <cell r="M6091">
            <v>45398</v>
          </cell>
          <cell r="N6091">
            <v>45406</v>
          </cell>
          <cell r="O6091">
            <v>45398</v>
          </cell>
          <cell r="P6091">
            <v>45407</v>
          </cell>
          <cell r="Q6091" t="str">
            <v>2024-04-23 → 4/25</v>
          </cell>
          <cell r="R6091" t="str">
            <v>2024-04-24 → 4/26</v>
          </cell>
          <cell r="S6091">
            <v>45412</v>
          </cell>
          <cell r="T6091">
            <v>45414</v>
          </cell>
          <cell r="U6091">
            <v>45415</v>
          </cell>
          <cell r="V6091">
            <v>45419</v>
          </cell>
          <cell r="W6091">
            <v>45419</v>
          </cell>
          <cell r="X6091">
            <v>41100564</v>
          </cell>
        </row>
        <row r="6092">
          <cell r="K6092" t="str">
            <v>GBWS-4442</v>
          </cell>
          <cell r="L6092">
            <v>45399</v>
          </cell>
          <cell r="M6092">
            <v>45400</v>
          </cell>
          <cell r="N6092">
            <v>45407</v>
          </cell>
          <cell r="O6092">
            <v>45400</v>
          </cell>
          <cell r="P6092">
            <v>45408</v>
          </cell>
          <cell r="Q6092">
            <v>45407</v>
          </cell>
          <cell r="R6092">
            <v>45408</v>
          </cell>
          <cell r="S6092">
            <v>45411</v>
          </cell>
          <cell r="T6092">
            <v>45412</v>
          </cell>
          <cell r="U6092">
            <v>45414</v>
          </cell>
          <cell r="V6092">
            <v>45414</v>
          </cell>
          <cell r="W6092">
            <v>45414</v>
          </cell>
          <cell r="X6092">
            <v>41100698</v>
          </cell>
        </row>
        <row r="6093">
          <cell r="K6093" t="str">
            <v>GBWS-4436</v>
          </cell>
          <cell r="L6093">
            <v>45399</v>
          </cell>
          <cell r="M6093">
            <v>45400</v>
          </cell>
          <cell r="N6093">
            <v>45408</v>
          </cell>
          <cell r="O6093">
            <v>45400</v>
          </cell>
          <cell r="P6093">
            <v>45411</v>
          </cell>
          <cell r="Q6093">
            <v>45408</v>
          </cell>
          <cell r="R6093">
            <v>45411</v>
          </cell>
          <cell r="S6093">
            <v>45412</v>
          </cell>
          <cell r="T6093">
            <v>45414</v>
          </cell>
          <cell r="U6093">
            <v>45415</v>
          </cell>
          <cell r="V6093">
            <v>45419</v>
          </cell>
          <cell r="W6093">
            <v>45419</v>
          </cell>
          <cell r="X6093">
            <v>41100495</v>
          </cell>
        </row>
        <row r="6094">
          <cell r="K6094" t="str">
            <v>DBW-3291</v>
          </cell>
          <cell r="L6094">
            <v>45363</v>
          </cell>
          <cell r="M6094">
            <v>45364</v>
          </cell>
          <cell r="N6094">
            <v>45373</v>
          </cell>
          <cell r="O6094">
            <v>45364</v>
          </cell>
          <cell r="P6094">
            <v>45373</v>
          </cell>
          <cell r="Q6094" t="str">
            <v>2024-03-21 → 3/22</v>
          </cell>
          <cell r="R6094">
            <v>45373</v>
          </cell>
          <cell r="S6094">
            <v>45377</v>
          </cell>
          <cell r="T6094">
            <v>45378</v>
          </cell>
          <cell r="U6094">
            <v>45379</v>
          </cell>
          <cell r="V6094">
            <v>45380</v>
          </cell>
          <cell r="W6094">
            <v>45380</v>
          </cell>
          <cell r="X6094">
            <v>41000587</v>
          </cell>
        </row>
        <row r="6095">
          <cell r="K6095" t="str">
            <v>DBW-3292</v>
          </cell>
          <cell r="L6095">
            <v>45363</v>
          </cell>
          <cell r="M6095">
            <v>45364</v>
          </cell>
          <cell r="N6095">
            <v>45373</v>
          </cell>
          <cell r="O6095">
            <v>45364</v>
          </cell>
          <cell r="P6095">
            <v>45373</v>
          </cell>
          <cell r="Q6095" t="str">
            <v>2024-03-21 → 3/22</v>
          </cell>
          <cell r="R6095">
            <v>45373</v>
          </cell>
          <cell r="S6095">
            <v>45377</v>
          </cell>
          <cell r="T6095">
            <v>45378</v>
          </cell>
          <cell r="U6095">
            <v>45379</v>
          </cell>
          <cell r="V6095">
            <v>45380</v>
          </cell>
          <cell r="W6095">
            <v>45380</v>
          </cell>
          <cell r="X6095">
            <v>41000587</v>
          </cell>
        </row>
        <row r="6096">
          <cell r="K6096" t="str">
            <v>GBWS-4432</v>
          </cell>
          <cell r="L6096">
            <v>45398</v>
          </cell>
          <cell r="M6096">
            <v>45399</v>
          </cell>
          <cell r="N6096">
            <v>45406</v>
          </cell>
          <cell r="O6096">
            <v>45399</v>
          </cell>
          <cell r="P6096">
            <v>45407</v>
          </cell>
          <cell r="Q6096" t="str">
            <v>2024-04-23 → 4/24</v>
          </cell>
          <cell r="R6096" t="str">
            <v>2024-04-24(25일 오후)</v>
          </cell>
          <cell r="S6096">
            <v>45408</v>
          </cell>
          <cell r="T6096">
            <v>45408</v>
          </cell>
          <cell r="U6096">
            <v>45411</v>
          </cell>
          <cell r="V6096">
            <v>45412</v>
          </cell>
          <cell r="W6096">
            <v>45412</v>
          </cell>
          <cell r="X6096">
            <v>41100338</v>
          </cell>
        </row>
        <row r="6097">
          <cell r="K6097" t="str">
            <v>GBWS-4433</v>
          </cell>
          <cell r="L6097">
            <v>45398</v>
          </cell>
          <cell r="M6097">
            <v>45399</v>
          </cell>
          <cell r="N6097">
            <v>45406</v>
          </cell>
          <cell r="O6097">
            <v>45399</v>
          </cell>
          <cell r="P6097">
            <v>45407</v>
          </cell>
          <cell r="Q6097" t="str">
            <v>2024-04-23 → 4/24</v>
          </cell>
          <cell r="R6097" t="str">
            <v>2024-04-24(25일 오후)</v>
          </cell>
          <cell r="S6097">
            <v>45408</v>
          </cell>
          <cell r="T6097">
            <v>45408</v>
          </cell>
          <cell r="U6097">
            <v>45411</v>
          </cell>
          <cell r="V6097">
            <v>45412</v>
          </cell>
          <cell r="W6097">
            <v>45412</v>
          </cell>
          <cell r="X6097">
            <v>41100338</v>
          </cell>
        </row>
        <row r="6098">
          <cell r="K6098" t="str">
            <v>GBWS-4409</v>
          </cell>
          <cell r="L6098">
            <v>45393</v>
          </cell>
          <cell r="M6098">
            <v>45394</v>
          </cell>
          <cell r="N6098">
            <v>45401</v>
          </cell>
          <cell r="O6098">
            <v>45394</v>
          </cell>
          <cell r="P6098">
            <v>45404</v>
          </cell>
          <cell r="Q6098">
            <v>45401</v>
          </cell>
          <cell r="R6098">
            <v>45404</v>
          </cell>
          <cell r="S6098">
            <v>45405</v>
          </cell>
          <cell r="T6098">
            <v>45407</v>
          </cell>
          <cell r="U6098">
            <v>45408</v>
          </cell>
          <cell r="V6098">
            <v>45411</v>
          </cell>
          <cell r="W6098">
            <v>45411</v>
          </cell>
          <cell r="X6098">
            <v>41100502</v>
          </cell>
        </row>
        <row r="6099">
          <cell r="K6099" t="str">
            <v>GBWS-4410</v>
          </cell>
          <cell r="L6099">
            <v>45393</v>
          </cell>
          <cell r="M6099">
            <v>45394</v>
          </cell>
          <cell r="N6099">
            <v>45401</v>
          </cell>
          <cell r="O6099">
            <v>45394</v>
          </cell>
          <cell r="P6099">
            <v>45404</v>
          </cell>
          <cell r="Q6099">
            <v>45401</v>
          </cell>
          <cell r="R6099">
            <v>45404</v>
          </cell>
          <cell r="S6099">
            <v>45405</v>
          </cell>
          <cell r="T6099">
            <v>45407</v>
          </cell>
          <cell r="U6099">
            <v>45408</v>
          </cell>
          <cell r="V6099">
            <v>45411</v>
          </cell>
          <cell r="W6099">
            <v>45411</v>
          </cell>
          <cell r="X6099">
            <v>41100502</v>
          </cell>
        </row>
        <row r="6100">
          <cell r="K6100" t="str">
            <v>GBWS-4434</v>
          </cell>
          <cell r="L6100">
            <v>45398</v>
          </cell>
          <cell r="M6100">
            <v>45399</v>
          </cell>
          <cell r="N6100">
            <v>45406</v>
          </cell>
          <cell r="O6100">
            <v>45399</v>
          </cell>
          <cell r="P6100">
            <v>45407</v>
          </cell>
          <cell r="Q6100" t="str">
            <v>2024-04-23 → 4/24</v>
          </cell>
          <cell r="R6100" t="str">
            <v>2024-04-24(25일 오후)</v>
          </cell>
          <cell r="S6100">
            <v>45408</v>
          </cell>
          <cell r="T6100">
            <v>45408</v>
          </cell>
          <cell r="U6100">
            <v>45411</v>
          </cell>
          <cell r="V6100">
            <v>45412</v>
          </cell>
          <cell r="W6100">
            <v>45412</v>
          </cell>
          <cell r="X6100">
            <v>41100375</v>
          </cell>
        </row>
        <row r="6101">
          <cell r="K6101" t="str">
            <v>GBWS-4435</v>
          </cell>
          <cell r="L6101">
            <v>45398</v>
          </cell>
          <cell r="M6101">
            <v>45399</v>
          </cell>
          <cell r="N6101">
            <v>45406</v>
          </cell>
          <cell r="O6101">
            <v>45399</v>
          </cell>
          <cell r="P6101">
            <v>45407</v>
          </cell>
          <cell r="Q6101" t="str">
            <v>2024-04-23 → 4/24</v>
          </cell>
          <cell r="R6101" t="str">
            <v>2024-04-24(25일 오후)</v>
          </cell>
          <cell r="S6101">
            <v>45408</v>
          </cell>
          <cell r="T6101">
            <v>45408</v>
          </cell>
          <cell r="U6101">
            <v>45411</v>
          </cell>
          <cell r="V6101">
            <v>45412</v>
          </cell>
          <cell r="W6101">
            <v>45412</v>
          </cell>
          <cell r="X6101">
            <v>41100375</v>
          </cell>
        </row>
        <row r="6102">
          <cell r="K6102" t="str">
            <v>GBWS-4407</v>
          </cell>
          <cell r="L6102">
            <v>45393</v>
          </cell>
          <cell r="M6102">
            <v>45394</v>
          </cell>
          <cell r="N6102">
            <v>45404</v>
          </cell>
          <cell r="O6102">
            <v>45394</v>
          </cell>
          <cell r="P6102">
            <v>45404</v>
          </cell>
          <cell r="Q6102">
            <v>45404</v>
          </cell>
          <cell r="R6102">
            <v>45405</v>
          </cell>
          <cell r="S6102">
            <v>45407</v>
          </cell>
          <cell r="T6102">
            <v>45408</v>
          </cell>
          <cell r="U6102">
            <v>45410</v>
          </cell>
          <cell r="V6102">
            <v>45411</v>
          </cell>
          <cell r="W6102">
            <v>45411</v>
          </cell>
          <cell r="X6102">
            <v>41100363</v>
          </cell>
        </row>
        <row r="6103">
          <cell r="K6103" t="str">
            <v>GBWS-4408</v>
          </cell>
          <cell r="L6103">
            <v>45393</v>
          </cell>
          <cell r="M6103">
            <v>45394</v>
          </cell>
          <cell r="N6103">
            <v>45404</v>
          </cell>
          <cell r="O6103">
            <v>45394</v>
          </cell>
          <cell r="P6103">
            <v>45404</v>
          </cell>
          <cell r="Q6103">
            <v>45404</v>
          </cell>
          <cell r="R6103">
            <v>45405</v>
          </cell>
          <cell r="S6103">
            <v>45407</v>
          </cell>
          <cell r="T6103">
            <v>45408</v>
          </cell>
          <cell r="U6103">
            <v>45410</v>
          </cell>
          <cell r="V6103">
            <v>45411</v>
          </cell>
          <cell r="W6103">
            <v>45411</v>
          </cell>
          <cell r="X6103">
            <v>41100363</v>
          </cell>
        </row>
        <row r="6104">
          <cell r="K6104" t="str">
            <v>GBWS-4415</v>
          </cell>
          <cell r="L6104">
            <v>45394</v>
          </cell>
          <cell r="M6104">
            <v>45397</v>
          </cell>
          <cell r="N6104">
            <v>45404</v>
          </cell>
          <cell r="O6104">
            <v>45397</v>
          </cell>
          <cell r="P6104">
            <v>45405</v>
          </cell>
          <cell r="Q6104">
            <v>45404</v>
          </cell>
          <cell r="R6104">
            <v>45405</v>
          </cell>
          <cell r="S6104">
            <v>45406</v>
          </cell>
          <cell r="T6104">
            <v>45407</v>
          </cell>
          <cell r="U6104">
            <v>45408</v>
          </cell>
          <cell r="V6104">
            <v>45411</v>
          </cell>
          <cell r="W6104">
            <v>45411</v>
          </cell>
          <cell r="X6104">
            <v>41100318</v>
          </cell>
        </row>
        <row r="6105">
          <cell r="K6105" t="str">
            <v>GBWS-4416</v>
          </cell>
          <cell r="L6105">
            <v>45394</v>
          </cell>
          <cell r="M6105">
            <v>45397</v>
          </cell>
          <cell r="N6105">
            <v>45404</v>
          </cell>
          <cell r="O6105">
            <v>45397</v>
          </cell>
          <cell r="P6105">
            <v>45405</v>
          </cell>
          <cell r="Q6105">
            <v>45404</v>
          </cell>
          <cell r="R6105">
            <v>45405</v>
          </cell>
          <cell r="S6105">
            <v>45406</v>
          </cell>
          <cell r="T6105">
            <v>45407</v>
          </cell>
          <cell r="U6105">
            <v>45408</v>
          </cell>
          <cell r="V6105">
            <v>45411</v>
          </cell>
          <cell r="W6105">
            <v>45411</v>
          </cell>
          <cell r="X6105">
            <v>41100320</v>
          </cell>
        </row>
        <row r="6106">
          <cell r="K6106" t="str">
            <v>GBWS-4422</v>
          </cell>
          <cell r="L6106">
            <v>45397</v>
          </cell>
          <cell r="M6106">
            <v>45398</v>
          </cell>
          <cell r="N6106">
            <v>45406</v>
          </cell>
          <cell r="O6106">
            <v>45398</v>
          </cell>
          <cell r="P6106">
            <v>45407</v>
          </cell>
          <cell r="Q6106">
            <v>45406</v>
          </cell>
          <cell r="R6106">
            <v>45407</v>
          </cell>
          <cell r="S6106">
            <v>45412</v>
          </cell>
          <cell r="T6106">
            <v>45414</v>
          </cell>
          <cell r="U6106">
            <v>45415</v>
          </cell>
          <cell r="V6106">
            <v>45419</v>
          </cell>
          <cell r="W6106">
            <v>45419</v>
          </cell>
          <cell r="X6106">
            <v>41100460</v>
          </cell>
        </row>
        <row r="6107">
          <cell r="K6107" t="str">
            <v>GBWS-4412</v>
          </cell>
          <cell r="L6107">
            <v>45394</v>
          </cell>
          <cell r="M6107" t="str">
            <v>2024-04-05 → 4/15</v>
          </cell>
          <cell r="N6107">
            <v>45405</v>
          </cell>
          <cell r="O6107" t="str">
            <v>2024-04-05 → 4/15</v>
          </cell>
          <cell r="P6107">
            <v>45406</v>
          </cell>
          <cell r="Q6107" t="str">
            <v>2024-04-15 → 4/23</v>
          </cell>
          <cell r="R6107" t="str">
            <v>2024-04-16 → 4/24</v>
          </cell>
          <cell r="S6107">
            <v>45407</v>
          </cell>
          <cell r="T6107">
            <v>45408</v>
          </cell>
          <cell r="U6107">
            <v>45410</v>
          </cell>
          <cell r="V6107">
            <v>45411</v>
          </cell>
          <cell r="W6107">
            <v>45411</v>
          </cell>
          <cell r="X6107">
            <v>41100507</v>
          </cell>
        </row>
        <row r="6108">
          <cell r="K6108" t="str">
            <v>GBWS-4431</v>
          </cell>
          <cell r="L6108">
            <v>45398</v>
          </cell>
          <cell r="M6108">
            <v>45399</v>
          </cell>
          <cell r="N6108">
            <v>45407</v>
          </cell>
          <cell r="O6108">
            <v>45399</v>
          </cell>
          <cell r="P6108">
            <v>45407</v>
          </cell>
          <cell r="Q6108">
            <v>45407</v>
          </cell>
          <cell r="R6108">
            <v>45408</v>
          </cell>
          <cell r="S6108">
            <v>45411</v>
          </cell>
          <cell r="T6108">
            <v>45412</v>
          </cell>
          <cell r="U6108">
            <v>45414</v>
          </cell>
          <cell r="V6108">
            <v>45415</v>
          </cell>
          <cell r="W6108">
            <v>45415</v>
          </cell>
          <cell r="X6108">
            <v>41100317</v>
          </cell>
        </row>
        <row r="6109">
          <cell r="K6109" t="str">
            <v>SOS-0318</v>
          </cell>
          <cell r="L6109">
            <v>45322</v>
          </cell>
          <cell r="M6109">
            <v>45323</v>
          </cell>
          <cell r="N6109">
            <v>45328</v>
          </cell>
          <cell r="O6109">
            <v>45323</v>
          </cell>
          <cell r="P6109">
            <v>45328</v>
          </cell>
          <cell r="Q6109">
            <v>45328</v>
          </cell>
          <cell r="R6109">
            <v>45329</v>
          </cell>
          <cell r="S6109">
            <v>45329</v>
          </cell>
          <cell r="T6109">
            <v>45338</v>
          </cell>
          <cell r="U6109">
            <v>45338</v>
          </cell>
          <cell r="V6109">
            <v>45338</v>
          </cell>
          <cell r="W6109">
            <v>45338</v>
          </cell>
          <cell r="X6109">
            <v>41000558</v>
          </cell>
        </row>
        <row r="6110">
          <cell r="K6110" t="str">
            <v>GBWS-4318</v>
          </cell>
          <cell r="L6110">
            <v>45371</v>
          </cell>
          <cell r="M6110">
            <v>45373</v>
          </cell>
          <cell r="N6110">
            <v>45383</v>
          </cell>
          <cell r="O6110">
            <v>45373</v>
          </cell>
          <cell r="P6110">
            <v>45384</v>
          </cell>
          <cell r="Q6110">
            <v>45383</v>
          </cell>
          <cell r="R6110">
            <v>45384</v>
          </cell>
          <cell r="S6110">
            <v>45390</v>
          </cell>
          <cell r="T6110">
            <v>45391</v>
          </cell>
          <cell r="U6110">
            <v>45392</v>
          </cell>
          <cell r="V6110">
            <v>45393</v>
          </cell>
          <cell r="W6110">
            <v>45393</v>
          </cell>
          <cell r="X6110">
            <v>41100564</v>
          </cell>
        </row>
        <row r="6111">
          <cell r="K6111" t="str">
            <v>GBWS-4319</v>
          </cell>
          <cell r="L6111">
            <v>45371</v>
          </cell>
          <cell r="M6111">
            <v>45373</v>
          </cell>
          <cell r="N6111">
            <v>45383</v>
          </cell>
          <cell r="O6111">
            <v>45373</v>
          </cell>
          <cell r="P6111">
            <v>45384</v>
          </cell>
          <cell r="Q6111">
            <v>45383</v>
          </cell>
          <cell r="R6111">
            <v>45384</v>
          </cell>
          <cell r="S6111">
            <v>45390</v>
          </cell>
          <cell r="T6111">
            <v>45391</v>
          </cell>
          <cell r="U6111">
            <v>45392</v>
          </cell>
          <cell r="V6111">
            <v>45393</v>
          </cell>
          <cell r="W6111">
            <v>45393</v>
          </cell>
          <cell r="X6111">
            <v>41100564</v>
          </cell>
        </row>
        <row r="6112">
          <cell r="K6112" t="str">
            <v>GBWS-4437</v>
          </cell>
          <cell r="L6112">
            <v>45399</v>
          </cell>
          <cell r="M6112">
            <v>45400</v>
          </cell>
          <cell r="N6112">
            <v>45407</v>
          </cell>
          <cell r="O6112">
            <v>45400</v>
          </cell>
          <cell r="P6112">
            <v>45407</v>
          </cell>
          <cell r="Q6112">
            <v>45407</v>
          </cell>
          <cell r="R6112">
            <v>45408</v>
          </cell>
          <cell r="S6112">
            <v>45411</v>
          </cell>
          <cell r="T6112">
            <v>45412</v>
          </cell>
          <cell r="U6112">
            <v>45414</v>
          </cell>
          <cell r="V6112">
            <v>45415</v>
          </cell>
          <cell r="W6112">
            <v>45415</v>
          </cell>
          <cell r="X6112">
            <v>41100662</v>
          </cell>
        </row>
        <row r="6113">
          <cell r="K6113" t="str">
            <v>GBWS-4336</v>
          </cell>
          <cell r="L6113">
            <v>45376</v>
          </cell>
          <cell r="M6113">
            <v>45377</v>
          </cell>
          <cell r="N6113">
            <v>45386</v>
          </cell>
          <cell r="O6113">
            <v>45377</v>
          </cell>
          <cell r="P6113">
            <v>45386</v>
          </cell>
          <cell r="Q6113" t="str">
            <v>2024-04-03 → 4/4</v>
          </cell>
          <cell r="R6113">
            <v>45386</v>
          </cell>
          <cell r="S6113">
            <v>45387</v>
          </cell>
          <cell r="T6113">
            <v>45390</v>
          </cell>
          <cell r="U6113">
            <v>45391</v>
          </cell>
          <cell r="V6113">
            <v>45393</v>
          </cell>
          <cell r="W6113">
            <v>45393</v>
          </cell>
          <cell r="X6113">
            <v>41100662</v>
          </cell>
        </row>
        <row r="6114">
          <cell r="K6114" t="str">
            <v>GBWS-4438</v>
          </cell>
          <cell r="L6114">
            <v>45399</v>
          </cell>
          <cell r="M6114">
            <v>45400</v>
          </cell>
          <cell r="N6114">
            <v>45407</v>
          </cell>
          <cell r="O6114">
            <v>45400</v>
          </cell>
          <cell r="P6114">
            <v>45408</v>
          </cell>
          <cell r="Q6114">
            <v>45407</v>
          </cell>
          <cell r="R6114">
            <v>45408</v>
          </cell>
          <cell r="S6114">
            <v>45412</v>
          </cell>
          <cell r="T6114">
            <v>45412</v>
          </cell>
          <cell r="U6114">
            <v>45414</v>
          </cell>
          <cell r="V6114">
            <v>45415</v>
          </cell>
          <cell r="W6114">
            <v>45415</v>
          </cell>
          <cell r="X6114">
            <v>41100698</v>
          </cell>
        </row>
        <row r="6115">
          <cell r="K6115" t="str">
            <v>GBWS-4439</v>
          </cell>
          <cell r="L6115">
            <v>45399</v>
          </cell>
          <cell r="M6115">
            <v>45400</v>
          </cell>
          <cell r="N6115">
            <v>45407</v>
          </cell>
          <cell r="O6115">
            <v>45400</v>
          </cell>
          <cell r="P6115">
            <v>45408</v>
          </cell>
          <cell r="Q6115">
            <v>45407</v>
          </cell>
          <cell r="R6115">
            <v>45408</v>
          </cell>
          <cell r="S6115">
            <v>45412</v>
          </cell>
          <cell r="T6115">
            <v>45412</v>
          </cell>
          <cell r="U6115">
            <v>45414</v>
          </cell>
          <cell r="V6115">
            <v>45415</v>
          </cell>
          <cell r="W6115">
            <v>45415</v>
          </cell>
          <cell r="X6115">
            <v>41100698</v>
          </cell>
        </row>
        <row r="6116">
          <cell r="K6116" t="str">
            <v>GBWS-4440</v>
          </cell>
          <cell r="L6116">
            <v>45399</v>
          </cell>
          <cell r="M6116">
            <v>45400</v>
          </cell>
          <cell r="N6116">
            <v>45407</v>
          </cell>
          <cell r="O6116">
            <v>45400</v>
          </cell>
          <cell r="P6116">
            <v>45408</v>
          </cell>
          <cell r="Q6116">
            <v>45407</v>
          </cell>
          <cell r="R6116">
            <v>45408</v>
          </cell>
          <cell r="S6116">
            <v>45412</v>
          </cell>
          <cell r="T6116">
            <v>45412</v>
          </cell>
          <cell r="U6116">
            <v>45414</v>
          </cell>
          <cell r="V6116">
            <v>45415</v>
          </cell>
          <cell r="W6116">
            <v>45415</v>
          </cell>
          <cell r="X6116">
            <v>41100698</v>
          </cell>
        </row>
        <row r="6117">
          <cell r="K6117" t="str">
            <v>GBWS-4443</v>
          </cell>
          <cell r="L6117">
            <v>45401</v>
          </cell>
          <cell r="M6117">
            <v>45404</v>
          </cell>
          <cell r="N6117">
            <v>45411</v>
          </cell>
          <cell r="O6117">
            <v>45404</v>
          </cell>
          <cell r="P6117">
            <v>45412</v>
          </cell>
          <cell r="Q6117">
            <v>45411</v>
          </cell>
          <cell r="R6117">
            <v>45412</v>
          </cell>
          <cell r="S6117">
            <v>45414</v>
          </cell>
          <cell r="T6117">
            <v>45415</v>
          </cell>
          <cell r="U6117">
            <v>45419</v>
          </cell>
          <cell r="V6117">
            <v>45420</v>
          </cell>
          <cell r="W6117">
            <v>45420</v>
          </cell>
          <cell r="X6117">
            <v>41100564</v>
          </cell>
        </row>
        <row r="6118">
          <cell r="K6118" t="str">
            <v>GBWS-4444</v>
          </cell>
          <cell r="L6118">
            <v>45401</v>
          </cell>
          <cell r="M6118">
            <v>45404</v>
          </cell>
          <cell r="N6118">
            <v>45411</v>
          </cell>
          <cell r="O6118">
            <v>45404</v>
          </cell>
          <cell r="P6118">
            <v>45412</v>
          </cell>
          <cell r="Q6118">
            <v>45411</v>
          </cell>
          <cell r="R6118">
            <v>45412</v>
          </cell>
          <cell r="S6118">
            <v>45414</v>
          </cell>
          <cell r="T6118">
            <v>45415</v>
          </cell>
          <cell r="U6118">
            <v>45419</v>
          </cell>
          <cell r="V6118">
            <v>45420</v>
          </cell>
          <cell r="W6118">
            <v>45420</v>
          </cell>
          <cell r="X6118">
            <v>41100564</v>
          </cell>
        </row>
        <row r="6119">
          <cell r="K6119" t="str">
            <v>GBWS-4445</v>
          </cell>
          <cell r="L6119">
            <v>45401</v>
          </cell>
          <cell r="M6119">
            <v>45404</v>
          </cell>
          <cell r="N6119">
            <v>45411</v>
          </cell>
          <cell r="O6119">
            <v>45404</v>
          </cell>
          <cell r="P6119">
            <v>45412</v>
          </cell>
          <cell r="Q6119">
            <v>45411</v>
          </cell>
          <cell r="R6119">
            <v>45412</v>
          </cell>
          <cell r="S6119">
            <v>45414</v>
          </cell>
          <cell r="T6119">
            <v>45415</v>
          </cell>
          <cell r="U6119">
            <v>45419</v>
          </cell>
          <cell r="V6119">
            <v>45420</v>
          </cell>
          <cell r="W6119">
            <v>45420</v>
          </cell>
          <cell r="X6119">
            <v>41100564</v>
          </cell>
        </row>
        <row r="6120">
          <cell r="K6120" t="str">
            <v>GBWS-4447</v>
          </cell>
          <cell r="L6120">
            <v>45404</v>
          </cell>
          <cell r="M6120">
            <v>45405</v>
          </cell>
          <cell r="N6120">
            <v>45411</v>
          </cell>
          <cell r="O6120">
            <v>45405</v>
          </cell>
          <cell r="P6120">
            <v>45412</v>
          </cell>
          <cell r="Q6120">
            <v>45411</v>
          </cell>
          <cell r="R6120">
            <v>45412</v>
          </cell>
          <cell r="S6120">
            <v>45414</v>
          </cell>
          <cell r="T6120">
            <v>45415</v>
          </cell>
          <cell r="U6120">
            <v>45419</v>
          </cell>
          <cell r="V6120">
            <v>45420</v>
          </cell>
          <cell r="W6120">
            <v>45420</v>
          </cell>
          <cell r="X6120">
            <v>41100462</v>
          </cell>
        </row>
        <row r="6121">
          <cell r="K6121" t="str">
            <v>GBWS-4448</v>
          </cell>
          <cell r="L6121">
            <v>45404</v>
          </cell>
          <cell r="M6121">
            <v>45405</v>
          </cell>
          <cell r="N6121">
            <v>45411</v>
          </cell>
          <cell r="O6121">
            <v>45405</v>
          </cell>
          <cell r="P6121">
            <v>45412</v>
          </cell>
          <cell r="Q6121">
            <v>45412</v>
          </cell>
          <cell r="R6121">
            <v>45414</v>
          </cell>
          <cell r="S6121">
            <v>45415</v>
          </cell>
          <cell r="T6121">
            <v>45419</v>
          </cell>
          <cell r="U6121">
            <v>45420</v>
          </cell>
          <cell r="V6121">
            <v>45421</v>
          </cell>
          <cell r="W6121">
            <v>45421</v>
          </cell>
          <cell r="X6121">
            <v>41100363</v>
          </cell>
        </row>
        <row r="6122">
          <cell r="K6122" t="str">
            <v>GBWS-4471</v>
          </cell>
          <cell r="L6122">
            <v>45397</v>
          </cell>
          <cell r="M6122">
            <v>45398</v>
          </cell>
          <cell r="N6122">
            <v>45413</v>
          </cell>
          <cell r="O6122" t="str">
            <v>2024-04-16 → 4/26</v>
          </cell>
          <cell r="P6122">
            <v>45411</v>
          </cell>
          <cell r="Q6122" t="str">
            <v>2024-04-26 → 5/1</v>
          </cell>
          <cell r="R6122">
            <v>45411</v>
          </cell>
          <cell r="S6122">
            <v>45414</v>
          </cell>
          <cell r="T6122">
            <v>45415</v>
          </cell>
          <cell r="U6122">
            <v>45419</v>
          </cell>
          <cell r="V6122">
            <v>45420</v>
          </cell>
          <cell r="W6122">
            <v>45420</v>
          </cell>
          <cell r="X6122">
            <v>41100686</v>
          </cell>
        </row>
        <row r="6123">
          <cell r="K6123" t="str">
            <v>GBWS-4472</v>
          </cell>
          <cell r="L6123">
            <v>45397</v>
          </cell>
          <cell r="M6123">
            <v>45398</v>
          </cell>
          <cell r="N6123">
            <v>45413</v>
          </cell>
          <cell r="O6123" t="str">
            <v>2024-04-16 → 4/26</v>
          </cell>
          <cell r="P6123">
            <v>45411</v>
          </cell>
          <cell r="Q6123" t="str">
            <v>2024-04-26 → 5/1</v>
          </cell>
          <cell r="R6123">
            <v>45411</v>
          </cell>
          <cell r="S6123">
            <v>45414</v>
          </cell>
          <cell r="T6123">
            <v>45415</v>
          </cell>
          <cell r="U6123">
            <v>45419</v>
          </cell>
          <cell r="V6123">
            <v>45420</v>
          </cell>
          <cell r="W6123">
            <v>45420</v>
          </cell>
          <cell r="X6123">
            <v>41100686</v>
          </cell>
        </row>
        <row r="6124">
          <cell r="K6124" t="str">
            <v>GBWS-4426</v>
          </cell>
          <cell r="L6124">
            <v>45399</v>
          </cell>
          <cell r="M6124" t="str">
            <v>2024-04-05 → 4/17</v>
          </cell>
          <cell r="N6124">
            <v>45405</v>
          </cell>
          <cell r="O6124" t="str">
            <v>2024-04-05 → 4/17</v>
          </cell>
          <cell r="P6124">
            <v>45407</v>
          </cell>
          <cell r="Q6124" t="str">
            <v>2024-04-17 → 4/24</v>
          </cell>
          <cell r="R6124" t="str">
            <v>2024-04-18 → 4/25</v>
          </cell>
          <cell r="S6124">
            <v>45408</v>
          </cell>
          <cell r="T6124">
            <v>45411</v>
          </cell>
          <cell r="U6124">
            <v>45412</v>
          </cell>
          <cell r="V6124">
            <v>45420</v>
          </cell>
          <cell r="W6124">
            <v>45420</v>
          </cell>
          <cell r="X6124">
            <v>41100460</v>
          </cell>
        </row>
        <row r="6125">
          <cell r="K6125" t="str">
            <v>GBWS-4449</v>
          </cell>
          <cell r="L6125">
            <v>45404</v>
          </cell>
          <cell r="M6125">
            <v>45405</v>
          </cell>
          <cell r="N6125">
            <v>45412</v>
          </cell>
          <cell r="O6125">
            <v>45405</v>
          </cell>
          <cell r="P6125">
            <v>45412</v>
          </cell>
          <cell r="Q6125">
            <v>45414</v>
          </cell>
          <cell r="R6125">
            <v>45415</v>
          </cell>
          <cell r="S6125">
            <v>45419</v>
          </cell>
          <cell r="T6125">
            <v>45420</v>
          </cell>
          <cell r="U6125">
            <v>45421</v>
          </cell>
          <cell r="V6125">
            <v>45422</v>
          </cell>
          <cell r="W6125">
            <v>45422</v>
          </cell>
          <cell r="X6125">
            <v>41100363</v>
          </cell>
        </row>
        <row r="6126">
          <cell r="K6126" t="str">
            <v>DBW-3097</v>
          </cell>
          <cell r="L6126">
            <v>45219</v>
          </cell>
          <cell r="M6126">
            <v>45222</v>
          </cell>
          <cell r="N6126">
            <v>45229</v>
          </cell>
          <cell r="O6126">
            <v>45222</v>
          </cell>
          <cell r="P6126">
            <v>45230</v>
          </cell>
          <cell r="Q6126">
            <v>45229</v>
          </cell>
          <cell r="R6126">
            <v>45230</v>
          </cell>
          <cell r="S6126">
            <v>45236</v>
          </cell>
          <cell r="T6126">
            <v>45236</v>
          </cell>
          <cell r="U6126">
            <v>45251</v>
          </cell>
          <cell r="V6126">
            <v>45252</v>
          </cell>
          <cell r="W6126">
            <v>45252</v>
          </cell>
          <cell r="X6126">
            <v>41100695</v>
          </cell>
        </row>
        <row r="6127">
          <cell r="K6127" t="str">
            <v>DBW-3098</v>
          </cell>
          <cell r="L6127">
            <v>45219</v>
          </cell>
          <cell r="M6127">
            <v>45222</v>
          </cell>
          <cell r="N6127">
            <v>45229</v>
          </cell>
          <cell r="O6127">
            <v>45222</v>
          </cell>
          <cell r="P6127">
            <v>45230</v>
          </cell>
          <cell r="Q6127">
            <v>45229</v>
          </cell>
          <cell r="R6127">
            <v>45230</v>
          </cell>
          <cell r="S6127">
            <v>45236</v>
          </cell>
          <cell r="T6127">
            <v>45236</v>
          </cell>
          <cell r="U6127">
            <v>45251</v>
          </cell>
          <cell r="V6127">
            <v>45252</v>
          </cell>
          <cell r="W6127">
            <v>45252</v>
          </cell>
          <cell r="X6127">
            <v>41100695</v>
          </cell>
        </row>
        <row r="6128">
          <cell r="K6128" t="str">
            <v>DBW-3105</v>
          </cell>
          <cell r="L6128">
            <v>45226</v>
          </cell>
          <cell r="M6128">
            <v>45229</v>
          </cell>
          <cell r="N6128">
            <v>45236</v>
          </cell>
          <cell r="O6128">
            <v>45229</v>
          </cell>
          <cell r="P6128">
            <v>45237</v>
          </cell>
          <cell r="Q6128">
            <v>45236</v>
          </cell>
          <cell r="R6128">
            <v>45237</v>
          </cell>
          <cell r="S6128">
            <v>45239</v>
          </cell>
          <cell r="T6128">
            <v>45239</v>
          </cell>
          <cell r="U6128">
            <v>45299</v>
          </cell>
          <cell r="V6128">
            <v>45299</v>
          </cell>
          <cell r="W6128">
            <v>45299</v>
          </cell>
          <cell r="X6128">
            <v>41100695</v>
          </cell>
        </row>
        <row r="6129">
          <cell r="K6129" t="str">
            <v>DBW-3264</v>
          </cell>
          <cell r="L6129">
            <v>45342</v>
          </cell>
          <cell r="M6129">
            <v>45343</v>
          </cell>
          <cell r="N6129">
            <v>45349</v>
          </cell>
          <cell r="O6129">
            <v>45343</v>
          </cell>
          <cell r="P6129">
            <v>45350</v>
          </cell>
          <cell r="Q6129">
            <v>45349</v>
          </cell>
          <cell r="R6129">
            <v>45350</v>
          </cell>
          <cell r="S6129">
            <v>45355</v>
          </cell>
          <cell r="T6129">
            <v>45356</v>
          </cell>
          <cell r="U6129">
            <v>45357</v>
          </cell>
          <cell r="V6129">
            <v>45358</v>
          </cell>
          <cell r="W6129">
            <v>45358</v>
          </cell>
          <cell r="X6129">
            <v>41100099</v>
          </cell>
        </row>
        <row r="6130">
          <cell r="K6130" t="str">
            <v>DBW-3329</v>
          </cell>
          <cell r="L6130">
            <v>45408</v>
          </cell>
          <cell r="M6130">
            <v>45411</v>
          </cell>
          <cell r="N6130">
            <v>45419</v>
          </cell>
          <cell r="O6130">
            <v>45411</v>
          </cell>
          <cell r="P6130">
            <v>45420</v>
          </cell>
          <cell r="Q6130">
            <v>45419</v>
          </cell>
          <cell r="R6130">
            <v>45420</v>
          </cell>
          <cell r="S6130">
            <v>45421</v>
          </cell>
          <cell r="T6130">
            <v>45421</v>
          </cell>
          <cell r="U6130">
            <v>45422</v>
          </cell>
          <cell r="V6130">
            <v>45425</v>
          </cell>
          <cell r="W6130">
            <v>45425</v>
          </cell>
          <cell r="X6130">
            <v>41100696</v>
          </cell>
        </row>
        <row r="6131">
          <cell r="K6131" t="str">
            <v>GBWS-4455</v>
          </cell>
          <cell r="L6131">
            <v>45405</v>
          </cell>
          <cell r="M6131">
            <v>45407</v>
          </cell>
          <cell r="N6131">
            <v>45414</v>
          </cell>
          <cell r="O6131">
            <v>45407</v>
          </cell>
          <cell r="P6131">
            <v>45415</v>
          </cell>
          <cell r="Q6131">
            <v>45414</v>
          </cell>
          <cell r="R6131">
            <v>45415</v>
          </cell>
          <cell r="S6131">
            <v>45419</v>
          </cell>
          <cell r="T6131">
            <v>45420</v>
          </cell>
          <cell r="U6131">
            <v>45421</v>
          </cell>
          <cell r="V6131">
            <v>45422</v>
          </cell>
          <cell r="W6131">
            <v>45422</v>
          </cell>
          <cell r="X6131">
            <v>41100698</v>
          </cell>
        </row>
        <row r="6132">
          <cell r="K6132" t="str">
            <v>GBWS-4456</v>
          </cell>
          <cell r="L6132">
            <v>45405</v>
          </cell>
          <cell r="M6132">
            <v>45407</v>
          </cell>
          <cell r="N6132">
            <v>45414</v>
          </cell>
          <cell r="O6132">
            <v>45407</v>
          </cell>
          <cell r="P6132">
            <v>45415</v>
          </cell>
          <cell r="Q6132">
            <v>45414</v>
          </cell>
          <cell r="R6132">
            <v>45415</v>
          </cell>
          <cell r="S6132">
            <v>45419</v>
          </cell>
          <cell r="T6132">
            <v>45420</v>
          </cell>
          <cell r="U6132">
            <v>45421</v>
          </cell>
          <cell r="V6132">
            <v>45422</v>
          </cell>
          <cell r="W6132">
            <v>45422</v>
          </cell>
          <cell r="X6132">
            <v>41100698</v>
          </cell>
        </row>
        <row r="6133">
          <cell r="K6133" t="str">
            <v>GBWS-4133</v>
          </cell>
          <cell r="L6133">
            <v>45329</v>
          </cell>
          <cell r="M6133">
            <v>45330</v>
          </cell>
          <cell r="N6133">
            <v>45341</v>
          </cell>
          <cell r="O6133">
            <v>45330</v>
          </cell>
          <cell r="P6133">
            <v>45338</v>
          </cell>
          <cell r="Q6133">
            <v>45342</v>
          </cell>
          <cell r="R6133">
            <v>45343</v>
          </cell>
          <cell r="S6133">
            <v>45345</v>
          </cell>
          <cell r="T6133">
            <v>45348</v>
          </cell>
          <cell r="U6133">
            <v>45350</v>
          </cell>
          <cell r="V6133">
            <v>45350</v>
          </cell>
          <cell r="W6133">
            <v>45350</v>
          </cell>
          <cell r="X6133">
            <v>41100662</v>
          </cell>
        </row>
        <row r="6134">
          <cell r="K6134" t="str">
            <v>GBWS-4459</v>
          </cell>
          <cell r="L6134">
            <v>45407</v>
          </cell>
          <cell r="M6134">
            <v>45408</v>
          </cell>
          <cell r="N6134">
            <v>45419</v>
          </cell>
          <cell r="O6134">
            <v>45408</v>
          </cell>
          <cell r="P6134">
            <v>45419</v>
          </cell>
          <cell r="Q6134">
            <v>45419</v>
          </cell>
          <cell r="R6134">
            <v>45420</v>
          </cell>
          <cell r="S6134">
            <v>45420</v>
          </cell>
          <cell r="T6134">
            <v>45421</v>
          </cell>
          <cell r="U6134">
            <v>45422</v>
          </cell>
          <cell r="V6134">
            <v>45425</v>
          </cell>
          <cell r="W6134">
            <v>45425</v>
          </cell>
          <cell r="X6134">
            <v>41100564</v>
          </cell>
        </row>
        <row r="6135">
          <cell r="K6135" t="str">
            <v>GBWS-4089</v>
          </cell>
          <cell r="L6135">
            <v>45317</v>
          </cell>
          <cell r="M6135">
            <v>45320</v>
          </cell>
          <cell r="N6135">
            <v>45327</v>
          </cell>
          <cell r="O6135">
            <v>45320</v>
          </cell>
          <cell r="P6135">
            <v>45328</v>
          </cell>
          <cell r="Q6135">
            <v>45327</v>
          </cell>
          <cell r="R6135">
            <v>45328</v>
          </cell>
          <cell r="S6135">
            <v>45328</v>
          </cell>
          <cell r="T6135">
            <v>45329</v>
          </cell>
          <cell r="U6135">
            <v>45331</v>
          </cell>
          <cell r="V6135">
            <v>45335</v>
          </cell>
          <cell r="W6135">
            <v>45335</v>
          </cell>
          <cell r="X6135">
            <v>41100702</v>
          </cell>
        </row>
        <row r="6136">
          <cell r="K6136" t="str">
            <v>GBWS-4450</v>
          </cell>
          <cell r="L6136">
            <v>45405</v>
          </cell>
          <cell r="M6136">
            <v>45406</v>
          </cell>
          <cell r="N6136">
            <v>45414</v>
          </cell>
          <cell r="O6136">
            <v>45406</v>
          </cell>
          <cell r="P6136">
            <v>45415</v>
          </cell>
          <cell r="Q6136">
            <v>45414</v>
          </cell>
          <cell r="R6136">
            <v>45415</v>
          </cell>
          <cell r="S6136">
            <v>45419</v>
          </cell>
          <cell r="T6136">
            <v>45420</v>
          </cell>
          <cell r="U6136">
            <v>45421</v>
          </cell>
          <cell r="V6136">
            <v>45425</v>
          </cell>
          <cell r="W6136">
            <v>45425</v>
          </cell>
          <cell r="X6136">
            <v>41100662</v>
          </cell>
        </row>
        <row r="6137">
          <cell r="K6137" t="str">
            <v>GBWS-4451</v>
          </cell>
          <cell r="L6137">
            <v>45405</v>
          </cell>
          <cell r="M6137">
            <v>45406</v>
          </cell>
          <cell r="N6137">
            <v>45414</v>
          </cell>
          <cell r="O6137">
            <v>45406</v>
          </cell>
          <cell r="P6137">
            <v>45415</v>
          </cell>
          <cell r="Q6137">
            <v>45414</v>
          </cell>
          <cell r="R6137">
            <v>45415</v>
          </cell>
          <cell r="S6137">
            <v>45419</v>
          </cell>
          <cell r="T6137">
            <v>45420</v>
          </cell>
          <cell r="U6137">
            <v>45421</v>
          </cell>
          <cell r="V6137">
            <v>45422</v>
          </cell>
          <cell r="W6137">
            <v>45422</v>
          </cell>
          <cell r="X6137">
            <v>41100662</v>
          </cell>
        </row>
        <row r="6138">
          <cell r="K6138" t="str">
            <v>GBWS-4452</v>
          </cell>
          <cell r="L6138">
            <v>45405</v>
          </cell>
          <cell r="M6138">
            <v>45406</v>
          </cell>
          <cell r="N6138">
            <v>45414</v>
          </cell>
          <cell r="O6138">
            <v>45406</v>
          </cell>
          <cell r="P6138">
            <v>45415</v>
          </cell>
          <cell r="Q6138">
            <v>45414</v>
          </cell>
          <cell r="R6138">
            <v>45415</v>
          </cell>
          <cell r="S6138">
            <v>45419</v>
          </cell>
          <cell r="T6138">
            <v>45420</v>
          </cell>
          <cell r="U6138">
            <v>45421</v>
          </cell>
          <cell r="V6138">
            <v>45422</v>
          </cell>
          <cell r="W6138">
            <v>45422</v>
          </cell>
          <cell r="X6138">
            <v>41100662</v>
          </cell>
        </row>
        <row r="6139">
          <cell r="K6139" t="str">
            <v>GBWS-4453</v>
          </cell>
          <cell r="L6139">
            <v>45405</v>
          </cell>
          <cell r="M6139">
            <v>45406</v>
          </cell>
          <cell r="N6139">
            <v>45414</v>
          </cell>
          <cell r="O6139">
            <v>45406</v>
          </cell>
          <cell r="P6139">
            <v>45415</v>
          </cell>
          <cell r="Q6139">
            <v>45414</v>
          </cell>
          <cell r="R6139">
            <v>45415</v>
          </cell>
          <cell r="S6139">
            <v>45419</v>
          </cell>
          <cell r="T6139">
            <v>45420</v>
          </cell>
          <cell r="U6139">
            <v>45421</v>
          </cell>
          <cell r="V6139">
            <v>45425</v>
          </cell>
          <cell r="W6139">
            <v>45425</v>
          </cell>
          <cell r="X6139">
            <v>41100662</v>
          </cell>
        </row>
        <row r="6140">
          <cell r="K6140" t="str">
            <v>GBWS-4446</v>
          </cell>
          <cell r="L6140">
            <v>45401</v>
          </cell>
          <cell r="M6140">
            <v>45404</v>
          </cell>
          <cell r="N6140">
            <v>45411</v>
          </cell>
          <cell r="O6140">
            <v>45404</v>
          </cell>
          <cell r="P6140">
            <v>45412</v>
          </cell>
          <cell r="Q6140">
            <v>45412</v>
          </cell>
          <cell r="R6140">
            <v>45414</v>
          </cell>
          <cell r="S6140">
            <v>45415</v>
          </cell>
          <cell r="T6140">
            <v>45419</v>
          </cell>
          <cell r="U6140">
            <v>45420</v>
          </cell>
          <cell r="V6140">
            <v>45421</v>
          </cell>
          <cell r="W6140">
            <v>45421</v>
          </cell>
          <cell r="X6140">
            <v>41100320</v>
          </cell>
        </row>
        <row r="6141">
          <cell r="K6141" t="str">
            <v>DBW-3330</v>
          </cell>
          <cell r="L6141">
            <v>45408</v>
          </cell>
          <cell r="M6141">
            <v>45411</v>
          </cell>
          <cell r="N6141">
            <v>45414</v>
          </cell>
          <cell r="O6141">
            <v>45411</v>
          </cell>
          <cell r="P6141">
            <v>45419</v>
          </cell>
          <cell r="Q6141">
            <v>45415</v>
          </cell>
          <cell r="R6141">
            <v>45419</v>
          </cell>
          <cell r="S6141">
            <v>45420</v>
          </cell>
          <cell r="T6141">
            <v>45421</v>
          </cell>
          <cell r="U6141">
            <v>45422</v>
          </cell>
          <cell r="V6141">
            <v>45425</v>
          </cell>
          <cell r="W6141">
            <v>45425</v>
          </cell>
          <cell r="X6141">
            <v>41000590</v>
          </cell>
        </row>
        <row r="6142">
          <cell r="K6142" t="str">
            <v>DBW-3331</v>
          </cell>
          <cell r="L6142">
            <v>45408</v>
          </cell>
          <cell r="M6142">
            <v>45411</v>
          </cell>
          <cell r="N6142">
            <v>45414</v>
          </cell>
          <cell r="O6142">
            <v>45411</v>
          </cell>
          <cell r="P6142">
            <v>45419</v>
          </cell>
          <cell r="Q6142">
            <v>45415</v>
          </cell>
          <cell r="R6142">
            <v>45419</v>
          </cell>
          <cell r="S6142">
            <v>45420</v>
          </cell>
          <cell r="T6142">
            <v>45421</v>
          </cell>
          <cell r="U6142">
            <v>45422</v>
          </cell>
          <cell r="V6142">
            <v>45425</v>
          </cell>
          <cell r="W6142">
            <v>45425</v>
          </cell>
          <cell r="X6142">
            <v>41000590</v>
          </cell>
        </row>
        <row r="6143">
          <cell r="K6143" t="str">
            <v>GBWS-4460</v>
          </cell>
          <cell r="L6143">
            <v>45407</v>
          </cell>
          <cell r="M6143">
            <v>45408</v>
          </cell>
          <cell r="N6143">
            <v>45419</v>
          </cell>
          <cell r="O6143">
            <v>45408</v>
          </cell>
          <cell r="P6143">
            <v>45419</v>
          </cell>
          <cell r="Q6143">
            <v>45419</v>
          </cell>
          <cell r="R6143">
            <v>45420</v>
          </cell>
          <cell r="S6143">
            <v>45421</v>
          </cell>
          <cell r="T6143">
            <v>45425</v>
          </cell>
          <cell r="U6143">
            <v>45426</v>
          </cell>
          <cell r="V6143">
            <v>45426</v>
          </cell>
          <cell r="W6143">
            <v>45426</v>
          </cell>
          <cell r="X6143">
            <v>41100363</v>
          </cell>
        </row>
        <row r="6144">
          <cell r="K6144" t="str">
            <v>GBWS-4467</v>
          </cell>
          <cell r="L6144">
            <v>45411</v>
          </cell>
          <cell r="M6144">
            <v>45412</v>
          </cell>
          <cell r="N6144">
            <v>45420</v>
          </cell>
          <cell r="O6144">
            <v>45412</v>
          </cell>
          <cell r="P6144">
            <v>45421</v>
          </cell>
          <cell r="Q6144">
            <v>45420</v>
          </cell>
          <cell r="R6144">
            <v>45421</v>
          </cell>
          <cell r="S6144">
            <v>45422</v>
          </cell>
          <cell r="T6144">
            <v>45425</v>
          </cell>
          <cell r="U6144">
            <v>45426</v>
          </cell>
          <cell r="V6144">
            <v>45428</v>
          </cell>
          <cell r="W6144">
            <v>45428</v>
          </cell>
          <cell r="X6144">
            <v>41200003</v>
          </cell>
        </row>
        <row r="6145">
          <cell r="K6145" t="str">
            <v>GBWS-4469</v>
          </cell>
          <cell r="L6145">
            <v>45411</v>
          </cell>
          <cell r="M6145">
            <v>45412</v>
          </cell>
          <cell r="N6145">
            <v>45420</v>
          </cell>
          <cell r="O6145">
            <v>45412</v>
          </cell>
          <cell r="P6145">
            <v>45420</v>
          </cell>
          <cell r="Q6145">
            <v>45420</v>
          </cell>
          <cell r="R6145">
            <v>45421</v>
          </cell>
          <cell r="S6145">
            <v>45422</v>
          </cell>
          <cell r="T6145">
            <v>45425</v>
          </cell>
          <cell r="U6145">
            <v>45426</v>
          </cell>
          <cell r="V6145">
            <v>45428</v>
          </cell>
          <cell r="W6145">
            <v>45428</v>
          </cell>
          <cell r="X6145">
            <v>41000603</v>
          </cell>
        </row>
        <row r="6146">
          <cell r="K6146" t="str">
            <v>GBWS-4470</v>
          </cell>
          <cell r="L6146">
            <v>45411</v>
          </cell>
          <cell r="M6146">
            <v>45412</v>
          </cell>
          <cell r="N6146">
            <v>45420</v>
          </cell>
          <cell r="O6146">
            <v>45412</v>
          </cell>
          <cell r="P6146">
            <v>45420</v>
          </cell>
          <cell r="Q6146">
            <v>45420</v>
          </cell>
          <cell r="R6146">
            <v>45421</v>
          </cell>
          <cell r="S6146">
            <v>45422</v>
          </cell>
          <cell r="T6146">
            <v>45425</v>
          </cell>
          <cell r="U6146">
            <v>45426</v>
          </cell>
          <cell r="V6146">
            <v>45428</v>
          </cell>
          <cell r="W6146">
            <v>45428</v>
          </cell>
          <cell r="X6146">
            <v>41000603</v>
          </cell>
        </row>
        <row r="6147">
          <cell r="K6147" t="str">
            <v>GBWS-4458</v>
          </cell>
          <cell r="L6147">
            <v>45406</v>
          </cell>
          <cell r="M6147">
            <v>45407</v>
          </cell>
          <cell r="N6147">
            <v>45414</v>
          </cell>
          <cell r="O6147">
            <v>45407</v>
          </cell>
          <cell r="P6147">
            <v>45420</v>
          </cell>
          <cell r="Q6147">
            <v>45419</v>
          </cell>
          <cell r="R6147">
            <v>45420</v>
          </cell>
          <cell r="S6147">
            <v>45421</v>
          </cell>
          <cell r="T6147">
            <v>45425</v>
          </cell>
          <cell r="U6147">
            <v>45428</v>
          </cell>
          <cell r="V6147">
            <v>45428</v>
          </cell>
          <cell r="W6147">
            <v>45428</v>
          </cell>
          <cell r="X6147">
            <v>41100320</v>
          </cell>
        </row>
        <row r="6148">
          <cell r="K6148" t="str">
            <v>GBWS-4028</v>
          </cell>
          <cell r="L6148">
            <v>45303</v>
          </cell>
          <cell r="M6148">
            <v>45306</v>
          </cell>
          <cell r="N6148">
            <v>45313</v>
          </cell>
          <cell r="O6148">
            <v>45306</v>
          </cell>
          <cell r="P6148">
            <v>45314</v>
          </cell>
          <cell r="Q6148">
            <v>45313</v>
          </cell>
          <cell r="R6148">
            <v>45314</v>
          </cell>
          <cell r="S6148">
            <v>45316</v>
          </cell>
          <cell r="T6148">
            <v>45316</v>
          </cell>
          <cell r="U6148">
            <v>45322</v>
          </cell>
          <cell r="V6148">
            <v>45323</v>
          </cell>
          <cell r="W6148">
            <v>45323</v>
          </cell>
          <cell r="X6148">
            <v>41000561</v>
          </cell>
        </row>
        <row r="6149">
          <cell r="K6149" t="str">
            <v>GBWS-4029</v>
          </cell>
          <cell r="L6149">
            <v>45303</v>
          </cell>
          <cell r="M6149">
            <v>45306</v>
          </cell>
          <cell r="N6149">
            <v>45313</v>
          </cell>
          <cell r="O6149">
            <v>45306</v>
          </cell>
          <cell r="P6149">
            <v>45314</v>
          </cell>
          <cell r="Q6149">
            <v>45313</v>
          </cell>
          <cell r="R6149">
            <v>45314</v>
          </cell>
          <cell r="S6149">
            <v>45316</v>
          </cell>
          <cell r="T6149">
            <v>45316</v>
          </cell>
          <cell r="U6149">
            <v>45322</v>
          </cell>
          <cell r="V6149">
            <v>45323</v>
          </cell>
          <cell r="W6149">
            <v>45323</v>
          </cell>
          <cell r="X6149">
            <v>41000561</v>
          </cell>
        </row>
        <row r="6150">
          <cell r="K6150" t="str">
            <v>GBWS-4462</v>
          </cell>
          <cell r="L6150">
            <v>45408</v>
          </cell>
          <cell r="M6150">
            <v>45411</v>
          </cell>
          <cell r="N6150">
            <v>45421</v>
          </cell>
          <cell r="O6150">
            <v>45411</v>
          </cell>
          <cell r="P6150">
            <v>45421</v>
          </cell>
          <cell r="Q6150">
            <v>45421</v>
          </cell>
          <cell r="R6150">
            <v>45422</v>
          </cell>
          <cell r="S6150">
            <v>45425</v>
          </cell>
          <cell r="T6150">
            <v>45426</v>
          </cell>
          <cell r="U6150">
            <v>45428</v>
          </cell>
          <cell r="V6150">
            <v>45429</v>
          </cell>
          <cell r="W6150">
            <v>45429</v>
          </cell>
          <cell r="X6150">
            <v>41100223</v>
          </cell>
        </row>
        <row r="6151">
          <cell r="K6151" t="str">
            <v>GBWS-4463</v>
          </cell>
          <cell r="L6151">
            <v>45408</v>
          </cell>
          <cell r="M6151">
            <v>45411</v>
          </cell>
          <cell r="N6151">
            <v>45421</v>
          </cell>
          <cell r="O6151">
            <v>45411</v>
          </cell>
          <cell r="P6151">
            <v>45421</v>
          </cell>
          <cell r="Q6151">
            <v>45421</v>
          </cell>
          <cell r="R6151">
            <v>45422</v>
          </cell>
          <cell r="S6151">
            <v>45425</v>
          </cell>
          <cell r="T6151">
            <v>45426</v>
          </cell>
          <cell r="U6151">
            <v>45428</v>
          </cell>
          <cell r="V6151">
            <v>45429</v>
          </cell>
          <cell r="W6151">
            <v>45429</v>
          </cell>
          <cell r="X6151">
            <v>41100223</v>
          </cell>
        </row>
        <row r="6152">
          <cell r="K6152" t="str">
            <v>SOS-0325</v>
          </cell>
          <cell r="L6152">
            <v>45401</v>
          </cell>
          <cell r="M6152">
            <v>45404</v>
          </cell>
          <cell r="N6152">
            <v>45406</v>
          </cell>
          <cell r="O6152">
            <v>45404</v>
          </cell>
          <cell r="P6152">
            <v>45407</v>
          </cell>
          <cell r="Q6152">
            <v>45406</v>
          </cell>
          <cell r="R6152">
            <v>45407</v>
          </cell>
          <cell r="S6152">
            <v>45408</v>
          </cell>
          <cell r="T6152">
            <v>45408</v>
          </cell>
          <cell r="U6152">
            <v>45411</v>
          </cell>
          <cell r="V6152">
            <v>45429</v>
          </cell>
          <cell r="W6152">
            <v>45429</v>
          </cell>
          <cell r="X6152">
            <v>41000558</v>
          </cell>
        </row>
        <row r="6153">
          <cell r="K6153" t="str">
            <v>SOS-0326</v>
          </cell>
          <cell r="L6153">
            <v>45401</v>
          </cell>
          <cell r="M6153">
            <v>45404</v>
          </cell>
          <cell r="N6153">
            <v>45406</v>
          </cell>
          <cell r="O6153">
            <v>45404</v>
          </cell>
          <cell r="P6153">
            <v>45407</v>
          </cell>
          <cell r="Q6153">
            <v>45406</v>
          </cell>
          <cell r="R6153">
            <v>45407</v>
          </cell>
          <cell r="S6153">
            <v>45408</v>
          </cell>
          <cell r="T6153">
            <v>45408</v>
          </cell>
          <cell r="U6153">
            <v>45411</v>
          </cell>
          <cell r="V6153">
            <v>45429</v>
          </cell>
          <cell r="W6153">
            <v>45429</v>
          </cell>
          <cell r="X6153">
            <v>41000558</v>
          </cell>
        </row>
        <row r="6154">
          <cell r="K6154" t="str">
            <v>GBWS-4461</v>
          </cell>
          <cell r="L6154">
            <v>45407</v>
          </cell>
          <cell r="M6154">
            <v>45408</v>
          </cell>
          <cell r="N6154">
            <v>45419</v>
          </cell>
          <cell r="O6154">
            <v>45408</v>
          </cell>
          <cell r="P6154">
            <v>45419</v>
          </cell>
          <cell r="Q6154">
            <v>45419</v>
          </cell>
          <cell r="R6154">
            <v>45420</v>
          </cell>
          <cell r="S6154">
            <v>45420</v>
          </cell>
          <cell r="T6154">
            <v>45421</v>
          </cell>
          <cell r="U6154">
            <v>45422</v>
          </cell>
          <cell r="V6154">
            <v>45425</v>
          </cell>
          <cell r="W6154">
            <v>45425</v>
          </cell>
          <cell r="X6154">
            <v>41100363</v>
          </cell>
        </row>
        <row r="6155">
          <cell r="K6155" t="str">
            <v>GBWS-4466</v>
          </cell>
          <cell r="L6155">
            <v>45408</v>
          </cell>
          <cell r="M6155">
            <v>45411</v>
          </cell>
          <cell r="N6155">
            <v>45420</v>
          </cell>
          <cell r="O6155">
            <v>45411</v>
          </cell>
          <cell r="P6155">
            <v>45421</v>
          </cell>
          <cell r="Q6155">
            <v>45420</v>
          </cell>
          <cell r="R6155">
            <v>45421</v>
          </cell>
          <cell r="S6155">
            <v>45425</v>
          </cell>
          <cell r="T6155">
            <v>45426</v>
          </cell>
          <cell r="U6155">
            <v>45428</v>
          </cell>
          <cell r="V6155">
            <v>45429</v>
          </cell>
          <cell r="W6155">
            <v>45429</v>
          </cell>
          <cell r="X6155">
            <v>41100318</v>
          </cell>
        </row>
        <row r="6156">
          <cell r="K6156" t="str">
            <v>GBWS-4417</v>
          </cell>
          <cell r="L6156">
            <v>45394</v>
          </cell>
          <cell r="M6156">
            <v>45397</v>
          </cell>
          <cell r="N6156">
            <v>45405</v>
          </cell>
          <cell r="O6156">
            <v>45397</v>
          </cell>
          <cell r="P6156">
            <v>45406</v>
          </cell>
          <cell r="Q6156">
            <v>45405</v>
          </cell>
          <cell r="R6156">
            <v>45406</v>
          </cell>
          <cell r="S6156">
            <v>45407</v>
          </cell>
          <cell r="T6156">
            <v>45411</v>
          </cell>
          <cell r="U6156">
            <v>45411</v>
          </cell>
          <cell r="V6156">
            <v>45412</v>
          </cell>
          <cell r="W6156">
            <v>45412</v>
          </cell>
          <cell r="X6156">
            <v>41100318</v>
          </cell>
        </row>
        <row r="6157">
          <cell r="K6157" t="str">
            <v>GBWS-4475</v>
          </cell>
          <cell r="L6157">
            <v>45413</v>
          </cell>
          <cell r="M6157">
            <v>45414</v>
          </cell>
          <cell r="N6157">
            <v>45421</v>
          </cell>
          <cell r="O6157">
            <v>45414</v>
          </cell>
          <cell r="P6157">
            <v>45422</v>
          </cell>
          <cell r="Q6157">
            <v>45421</v>
          </cell>
          <cell r="R6157">
            <v>45422</v>
          </cell>
          <cell r="S6157">
            <v>45425</v>
          </cell>
          <cell r="T6157">
            <v>45426</v>
          </cell>
          <cell r="U6157">
            <v>45428</v>
          </cell>
          <cell r="V6157">
            <v>45429</v>
          </cell>
          <cell r="W6157">
            <v>45429</v>
          </cell>
          <cell r="X6157">
            <v>41200005</v>
          </cell>
        </row>
        <row r="6158">
          <cell r="K6158" t="str">
            <v>GBWS-4476</v>
          </cell>
          <cell r="L6158">
            <v>45413</v>
          </cell>
          <cell r="M6158">
            <v>45414</v>
          </cell>
          <cell r="N6158">
            <v>45421</v>
          </cell>
          <cell r="O6158">
            <v>45414</v>
          </cell>
          <cell r="P6158">
            <v>45422</v>
          </cell>
          <cell r="Q6158">
            <v>45421</v>
          </cell>
          <cell r="R6158">
            <v>45422</v>
          </cell>
          <cell r="S6158">
            <v>45425</v>
          </cell>
          <cell r="T6158">
            <v>45426</v>
          </cell>
          <cell r="U6158">
            <v>45428</v>
          </cell>
          <cell r="V6158">
            <v>45429</v>
          </cell>
          <cell r="W6158">
            <v>45429</v>
          </cell>
          <cell r="X6158">
            <v>41200005</v>
          </cell>
        </row>
        <row r="6159">
          <cell r="K6159" t="str">
            <v>GBWS-4477</v>
          </cell>
          <cell r="L6159">
            <v>45413</v>
          </cell>
          <cell r="M6159">
            <v>45414</v>
          </cell>
          <cell r="N6159">
            <v>45421</v>
          </cell>
          <cell r="O6159">
            <v>45414</v>
          </cell>
          <cell r="P6159">
            <v>45421</v>
          </cell>
          <cell r="Q6159" t="str">
            <v>2024-05-08 → 5/9</v>
          </cell>
          <cell r="R6159">
            <v>45421</v>
          </cell>
          <cell r="S6159">
            <v>45422</v>
          </cell>
          <cell r="T6159">
            <v>45425</v>
          </cell>
          <cell r="U6159">
            <v>45426</v>
          </cell>
          <cell r="V6159">
            <v>45428</v>
          </cell>
          <cell r="W6159">
            <v>45428</v>
          </cell>
          <cell r="X6159">
            <v>41200006</v>
          </cell>
        </row>
        <row r="6160">
          <cell r="K6160" t="str">
            <v>GBWS-4478</v>
          </cell>
          <cell r="L6160">
            <v>45413</v>
          </cell>
          <cell r="M6160">
            <v>45414</v>
          </cell>
          <cell r="N6160">
            <v>45421</v>
          </cell>
          <cell r="O6160">
            <v>45414</v>
          </cell>
          <cell r="P6160">
            <v>45421</v>
          </cell>
          <cell r="Q6160" t="str">
            <v>2024-05-08 → 5/9</v>
          </cell>
          <cell r="R6160">
            <v>45421</v>
          </cell>
          <cell r="S6160">
            <v>45422</v>
          </cell>
          <cell r="T6160">
            <v>45425</v>
          </cell>
          <cell r="U6160">
            <v>45426</v>
          </cell>
          <cell r="V6160">
            <v>45428</v>
          </cell>
          <cell r="W6160">
            <v>45428</v>
          </cell>
          <cell r="X6160">
            <v>41200006</v>
          </cell>
        </row>
        <row r="6161">
          <cell r="K6161" t="str">
            <v>GPWS-0359</v>
          </cell>
          <cell r="L6161">
            <v>45391</v>
          </cell>
          <cell r="M6161">
            <v>45393</v>
          </cell>
          <cell r="N6161">
            <v>45406</v>
          </cell>
          <cell r="O6161">
            <v>45393</v>
          </cell>
          <cell r="P6161">
            <v>45412</v>
          </cell>
          <cell r="Q6161" t="str">
            <v>2024-04-22 → 4/30</v>
          </cell>
          <cell r="R6161" t="str">
            <v>2024-04-23 → 5/2</v>
          </cell>
          <cell r="S6161">
            <v>45415</v>
          </cell>
          <cell r="T6161">
            <v>45419</v>
          </cell>
          <cell r="U6161">
            <v>45420</v>
          </cell>
          <cell r="V6161">
            <v>45426</v>
          </cell>
          <cell r="W6161">
            <v>45426</v>
          </cell>
          <cell r="X6161">
            <v>41000547</v>
          </cell>
        </row>
        <row r="6162">
          <cell r="K6162" t="str">
            <v>GPWS-0360</v>
          </cell>
          <cell r="L6162">
            <v>45391</v>
          </cell>
          <cell r="M6162">
            <v>45393</v>
          </cell>
          <cell r="N6162">
            <v>45406</v>
          </cell>
          <cell r="O6162">
            <v>45393</v>
          </cell>
          <cell r="P6162">
            <v>45412</v>
          </cell>
          <cell r="Q6162" t="str">
            <v>2024-04-22 → 4/30</v>
          </cell>
          <cell r="R6162" t="str">
            <v>2024-04-23 → 5/2</v>
          </cell>
          <cell r="S6162">
            <v>45415</v>
          </cell>
          <cell r="T6162">
            <v>45419</v>
          </cell>
          <cell r="U6162">
            <v>45420</v>
          </cell>
          <cell r="V6162">
            <v>45421</v>
          </cell>
          <cell r="W6162">
            <v>45421</v>
          </cell>
          <cell r="X6162">
            <v>41000547</v>
          </cell>
        </row>
        <row r="6163">
          <cell r="K6163" t="str">
            <v>GPWS-0361</v>
          </cell>
          <cell r="L6163">
            <v>45391</v>
          </cell>
          <cell r="M6163">
            <v>45393</v>
          </cell>
          <cell r="N6163">
            <v>45406</v>
          </cell>
          <cell r="O6163">
            <v>45393</v>
          </cell>
          <cell r="P6163">
            <v>45412</v>
          </cell>
          <cell r="Q6163" t="str">
            <v>2024-04-22 → 4/30</v>
          </cell>
          <cell r="R6163" t="str">
            <v>2024-04-23 → 5/2</v>
          </cell>
          <cell r="S6163">
            <v>45415</v>
          </cell>
          <cell r="T6163">
            <v>45419</v>
          </cell>
          <cell r="U6163">
            <v>45420</v>
          </cell>
          <cell r="V6163">
            <v>45421</v>
          </cell>
          <cell r="W6163">
            <v>45421</v>
          </cell>
          <cell r="X6163">
            <v>41000547</v>
          </cell>
        </row>
        <row r="6164">
          <cell r="K6164" t="str">
            <v>GPWS-0381</v>
          </cell>
          <cell r="L6164">
            <v>45398</v>
          </cell>
          <cell r="M6164">
            <v>45399</v>
          </cell>
          <cell r="N6164">
            <v>45414</v>
          </cell>
          <cell r="O6164">
            <v>45399</v>
          </cell>
          <cell r="P6164">
            <v>45414</v>
          </cell>
          <cell r="Q6164" t="str">
            <v>2024-04-26 → 5/7</v>
          </cell>
          <cell r="R6164" t="str">
            <v>2024-04-29 → 5/8</v>
          </cell>
          <cell r="S6164">
            <v>45421</v>
          </cell>
          <cell r="T6164">
            <v>45421</v>
          </cell>
          <cell r="U6164">
            <v>45422</v>
          </cell>
          <cell r="V6164">
            <v>45425</v>
          </cell>
          <cell r="W6164">
            <v>45425</v>
          </cell>
          <cell r="X6164">
            <v>41000547</v>
          </cell>
        </row>
        <row r="6165">
          <cell r="K6165" t="str">
            <v>GPWS-0382</v>
          </cell>
          <cell r="L6165">
            <v>45398</v>
          </cell>
          <cell r="M6165">
            <v>45399</v>
          </cell>
          <cell r="N6165">
            <v>45414</v>
          </cell>
          <cell r="O6165">
            <v>45399</v>
          </cell>
          <cell r="P6165">
            <v>45414</v>
          </cell>
          <cell r="Q6165" t="str">
            <v>2024-04-26 → 5/7</v>
          </cell>
          <cell r="R6165" t="str">
            <v>2024-04-29 → 5/8</v>
          </cell>
          <cell r="S6165">
            <v>45421</v>
          </cell>
          <cell r="T6165">
            <v>45421</v>
          </cell>
          <cell r="U6165">
            <v>45422</v>
          </cell>
          <cell r="V6165">
            <v>45425</v>
          </cell>
          <cell r="W6165">
            <v>45425</v>
          </cell>
          <cell r="X6165">
            <v>41000547</v>
          </cell>
        </row>
        <row r="6166">
          <cell r="K6166" t="str">
            <v>GPWS-0383</v>
          </cell>
          <cell r="L6166">
            <v>45398</v>
          </cell>
          <cell r="M6166">
            <v>45399</v>
          </cell>
          <cell r="N6166">
            <v>45414</v>
          </cell>
          <cell r="O6166">
            <v>45399</v>
          </cell>
          <cell r="P6166">
            <v>45414</v>
          </cell>
          <cell r="Q6166" t="str">
            <v>2024-04-26 → 5/7</v>
          </cell>
          <cell r="R6166" t="str">
            <v>2024-04-29 → 5/8</v>
          </cell>
          <cell r="S6166">
            <v>45421</v>
          </cell>
          <cell r="T6166">
            <v>45425</v>
          </cell>
          <cell r="U6166">
            <v>45426</v>
          </cell>
          <cell r="V6166">
            <v>45426</v>
          </cell>
          <cell r="W6166">
            <v>45426</v>
          </cell>
          <cell r="X6166">
            <v>41000547</v>
          </cell>
        </row>
        <row r="6167">
          <cell r="K6167" t="str">
            <v>GPWS-0384</v>
          </cell>
          <cell r="L6167">
            <v>45398</v>
          </cell>
          <cell r="M6167">
            <v>45399</v>
          </cell>
          <cell r="N6167">
            <v>45414</v>
          </cell>
          <cell r="O6167">
            <v>45399</v>
          </cell>
          <cell r="P6167">
            <v>45414</v>
          </cell>
          <cell r="Q6167" t="str">
            <v>2024-04-26 → 5/7</v>
          </cell>
          <cell r="R6167" t="str">
            <v>2024-04-29 → 5/8</v>
          </cell>
          <cell r="S6167">
            <v>45421</v>
          </cell>
          <cell r="T6167">
            <v>45425</v>
          </cell>
          <cell r="U6167">
            <v>45426</v>
          </cell>
          <cell r="V6167">
            <v>45426</v>
          </cell>
          <cell r="W6167">
            <v>45426</v>
          </cell>
          <cell r="X6167">
            <v>41000547</v>
          </cell>
        </row>
        <row r="6168">
          <cell r="K6168" t="str">
            <v>GPWS-0385</v>
          </cell>
          <cell r="L6168">
            <v>45398</v>
          </cell>
          <cell r="M6168">
            <v>45399</v>
          </cell>
          <cell r="N6168">
            <v>45414</v>
          </cell>
          <cell r="O6168">
            <v>45399</v>
          </cell>
          <cell r="P6168">
            <v>45414</v>
          </cell>
          <cell r="Q6168" t="str">
            <v>2024-04-26 → 5/7</v>
          </cell>
          <cell r="R6168" t="str">
            <v>2024-04-29 → 5/8</v>
          </cell>
          <cell r="S6168">
            <v>45421</v>
          </cell>
          <cell r="T6168">
            <v>45425</v>
          </cell>
          <cell r="U6168">
            <v>45426</v>
          </cell>
          <cell r="V6168">
            <v>45426</v>
          </cell>
          <cell r="W6168">
            <v>45426</v>
          </cell>
          <cell r="X6168">
            <v>41000547</v>
          </cell>
        </row>
        <row r="6169">
          <cell r="K6169" t="str">
            <v>GPWS-0386</v>
          </cell>
          <cell r="L6169">
            <v>45398</v>
          </cell>
          <cell r="M6169">
            <v>45399</v>
          </cell>
          <cell r="N6169">
            <v>45414</v>
          </cell>
          <cell r="O6169">
            <v>45399</v>
          </cell>
          <cell r="P6169">
            <v>45414</v>
          </cell>
          <cell r="Q6169" t="str">
            <v>2024-04-26 → 5/7</v>
          </cell>
          <cell r="R6169" t="str">
            <v>2024-04-29 → 5/8</v>
          </cell>
          <cell r="S6169">
            <v>45421</v>
          </cell>
          <cell r="T6169">
            <v>45425</v>
          </cell>
          <cell r="U6169">
            <v>45426</v>
          </cell>
          <cell r="V6169">
            <v>45426</v>
          </cell>
          <cell r="W6169">
            <v>45426</v>
          </cell>
          <cell r="X6169">
            <v>41000547</v>
          </cell>
        </row>
        <row r="6170">
          <cell r="K6170" t="str">
            <v>-</v>
          </cell>
          <cell r="L6170">
            <v>45404</v>
          </cell>
          <cell r="M6170">
            <v>45405</v>
          </cell>
          <cell r="N6170">
            <v>45415</v>
          </cell>
          <cell r="O6170">
            <v>45405</v>
          </cell>
          <cell r="P6170">
            <v>45415</v>
          </cell>
          <cell r="Q6170">
            <v>45415</v>
          </cell>
          <cell r="R6170">
            <v>45419</v>
          </cell>
          <cell r="S6170">
            <v>45422</v>
          </cell>
          <cell r="T6170">
            <v>45426</v>
          </cell>
          <cell r="U6170">
            <v>45426</v>
          </cell>
          <cell r="V6170">
            <v>45426</v>
          </cell>
          <cell r="W6170">
            <v>45426</v>
          </cell>
          <cell r="X6170">
            <v>31102262</v>
          </cell>
        </row>
        <row r="6171">
          <cell r="K6171" t="str">
            <v>-</v>
          </cell>
          <cell r="L6171">
            <v>45404</v>
          </cell>
          <cell r="M6171">
            <v>45405</v>
          </cell>
          <cell r="N6171">
            <v>45415</v>
          </cell>
          <cell r="O6171">
            <v>45405</v>
          </cell>
          <cell r="P6171">
            <v>45415</v>
          </cell>
          <cell r="Q6171">
            <v>45415</v>
          </cell>
          <cell r="R6171">
            <v>45419</v>
          </cell>
          <cell r="S6171">
            <v>45422</v>
          </cell>
          <cell r="T6171">
            <v>45426</v>
          </cell>
          <cell r="U6171">
            <v>45426</v>
          </cell>
          <cell r="V6171">
            <v>45426</v>
          </cell>
          <cell r="W6171">
            <v>45426</v>
          </cell>
          <cell r="X6171">
            <v>31010468</v>
          </cell>
        </row>
        <row r="6172">
          <cell r="K6172" t="str">
            <v>GPWS-0362</v>
          </cell>
          <cell r="L6172">
            <v>45391</v>
          </cell>
          <cell r="M6172">
            <v>45393</v>
          </cell>
          <cell r="N6172">
            <v>45407</v>
          </cell>
          <cell r="O6172">
            <v>45393</v>
          </cell>
          <cell r="P6172">
            <v>45411</v>
          </cell>
          <cell r="Q6172" t="str">
            <v>2024-04-23 → 4/26</v>
          </cell>
          <cell r="R6172" t="str">
            <v>2024-04-24 → 4/29</v>
          </cell>
          <cell r="S6172">
            <v>45412</v>
          </cell>
          <cell r="T6172">
            <v>45415</v>
          </cell>
          <cell r="U6172">
            <v>45420</v>
          </cell>
          <cell r="V6172">
            <v>45421</v>
          </cell>
          <cell r="W6172">
            <v>45421</v>
          </cell>
          <cell r="X6172">
            <v>41000548</v>
          </cell>
        </row>
        <row r="6173">
          <cell r="K6173" t="str">
            <v>GPWS-0363</v>
          </cell>
          <cell r="L6173">
            <v>45391</v>
          </cell>
          <cell r="M6173">
            <v>45393</v>
          </cell>
          <cell r="N6173">
            <v>45407</v>
          </cell>
          <cell r="O6173">
            <v>45393</v>
          </cell>
          <cell r="P6173">
            <v>45411</v>
          </cell>
          <cell r="Q6173" t="str">
            <v>2024-04-23 → 4/26</v>
          </cell>
          <cell r="R6173" t="str">
            <v>2024-04-24 → 4/29</v>
          </cell>
          <cell r="S6173">
            <v>45419</v>
          </cell>
          <cell r="T6173">
            <v>45419</v>
          </cell>
          <cell r="U6173">
            <v>45420</v>
          </cell>
          <cell r="V6173">
            <v>45421</v>
          </cell>
          <cell r="W6173">
            <v>45421</v>
          </cell>
          <cell r="X6173">
            <v>41000548</v>
          </cell>
        </row>
        <row r="6174">
          <cell r="K6174" t="str">
            <v>GPWS-0364</v>
          </cell>
          <cell r="L6174">
            <v>45391</v>
          </cell>
          <cell r="M6174">
            <v>45393</v>
          </cell>
          <cell r="N6174">
            <v>45407</v>
          </cell>
          <cell r="O6174">
            <v>45393</v>
          </cell>
          <cell r="P6174">
            <v>45411</v>
          </cell>
          <cell r="Q6174" t="str">
            <v>2024-04-23 → 4/26</v>
          </cell>
          <cell r="R6174" t="str">
            <v>2024-04-24 → 4/29</v>
          </cell>
          <cell r="S6174">
            <v>45421</v>
          </cell>
          <cell r="T6174">
            <v>45421</v>
          </cell>
          <cell r="U6174">
            <v>45422</v>
          </cell>
          <cell r="V6174">
            <v>45426</v>
          </cell>
          <cell r="W6174">
            <v>45426</v>
          </cell>
          <cell r="X6174">
            <v>41000548</v>
          </cell>
        </row>
        <row r="6175">
          <cell r="K6175" t="str">
            <v>GPWS-0365</v>
          </cell>
          <cell r="L6175">
            <v>45391</v>
          </cell>
          <cell r="M6175">
            <v>45393</v>
          </cell>
          <cell r="N6175">
            <v>45407</v>
          </cell>
          <cell r="O6175">
            <v>45393</v>
          </cell>
          <cell r="P6175">
            <v>45411</v>
          </cell>
          <cell r="Q6175" t="str">
            <v>2024-04-23 → 4/26</v>
          </cell>
          <cell r="R6175" t="str">
            <v>2024-04-24 → 4/29</v>
          </cell>
          <cell r="S6175">
            <v>45420</v>
          </cell>
          <cell r="T6175">
            <v>45420</v>
          </cell>
          <cell r="U6175">
            <v>45421</v>
          </cell>
          <cell r="V6175">
            <v>45422</v>
          </cell>
          <cell r="W6175">
            <v>45422</v>
          </cell>
          <cell r="X6175">
            <v>41000548</v>
          </cell>
        </row>
        <row r="6176">
          <cell r="K6176" t="str">
            <v>GPWS-0366</v>
          </cell>
          <cell r="L6176">
            <v>45391</v>
          </cell>
          <cell r="M6176">
            <v>45393</v>
          </cell>
          <cell r="N6176">
            <v>45407</v>
          </cell>
          <cell r="O6176">
            <v>45393</v>
          </cell>
          <cell r="P6176">
            <v>45411</v>
          </cell>
          <cell r="Q6176" t="str">
            <v>2024-04-23 → 4/26</v>
          </cell>
          <cell r="R6176" t="str">
            <v>2024-04-24 → 4/29</v>
          </cell>
          <cell r="S6176">
            <v>45419</v>
          </cell>
          <cell r="T6176">
            <v>45419</v>
          </cell>
          <cell r="U6176">
            <v>45420</v>
          </cell>
          <cell r="V6176">
            <v>45421</v>
          </cell>
          <cell r="W6176">
            <v>45421</v>
          </cell>
          <cell r="X6176">
            <v>41000548</v>
          </cell>
        </row>
        <row r="6177">
          <cell r="K6177" t="str">
            <v>GPWS-0367</v>
          </cell>
          <cell r="L6177">
            <v>45391</v>
          </cell>
          <cell r="M6177">
            <v>45393</v>
          </cell>
          <cell r="N6177">
            <v>45407</v>
          </cell>
          <cell r="O6177">
            <v>45393</v>
          </cell>
          <cell r="P6177">
            <v>45411</v>
          </cell>
          <cell r="Q6177" t="str">
            <v>2024-04-23 → 4/26</v>
          </cell>
          <cell r="R6177" t="str">
            <v>2024-04-24 → 4/29</v>
          </cell>
          <cell r="S6177">
            <v>45412</v>
          </cell>
          <cell r="T6177">
            <v>45415</v>
          </cell>
          <cell r="U6177">
            <v>45415</v>
          </cell>
          <cell r="V6177">
            <v>45421</v>
          </cell>
          <cell r="W6177">
            <v>45421</v>
          </cell>
          <cell r="X6177">
            <v>41000548</v>
          </cell>
        </row>
        <row r="6178">
          <cell r="K6178" t="str">
            <v>GPWS-0368</v>
          </cell>
          <cell r="L6178">
            <v>45391</v>
          </cell>
          <cell r="M6178">
            <v>45393</v>
          </cell>
          <cell r="N6178">
            <v>45407</v>
          </cell>
          <cell r="O6178">
            <v>45393</v>
          </cell>
          <cell r="P6178">
            <v>45411</v>
          </cell>
          <cell r="Q6178" t="str">
            <v>2024-04-23 → 4/26</v>
          </cell>
          <cell r="R6178" t="str">
            <v>2024-04-24 → 4/29</v>
          </cell>
          <cell r="S6178">
            <v>45420</v>
          </cell>
          <cell r="T6178">
            <v>45421</v>
          </cell>
          <cell r="U6178">
            <v>45422</v>
          </cell>
          <cell r="V6178">
            <v>45426</v>
          </cell>
          <cell r="W6178">
            <v>45426</v>
          </cell>
          <cell r="X6178">
            <v>41000548</v>
          </cell>
        </row>
        <row r="6179">
          <cell r="K6179" t="str">
            <v>GPWS-0369</v>
          </cell>
          <cell r="L6179">
            <v>45393</v>
          </cell>
          <cell r="M6179">
            <v>45394</v>
          </cell>
          <cell r="N6179">
            <v>45411</v>
          </cell>
          <cell r="O6179">
            <v>45394</v>
          </cell>
          <cell r="P6179">
            <v>45411</v>
          </cell>
          <cell r="Q6179" t="str">
            <v>2024-04-24 → 4/29</v>
          </cell>
          <cell r="R6179" t="str">
            <v>2024-04-25 → 4/30</v>
          </cell>
          <cell r="S6179">
            <v>45414</v>
          </cell>
          <cell r="T6179">
            <v>45415</v>
          </cell>
          <cell r="U6179">
            <v>45415</v>
          </cell>
          <cell r="V6179">
            <v>45420</v>
          </cell>
          <cell r="W6179">
            <v>45420</v>
          </cell>
          <cell r="X6179">
            <v>41000546</v>
          </cell>
        </row>
        <row r="6180">
          <cell r="K6180" t="str">
            <v>GPWS-0370</v>
          </cell>
          <cell r="L6180">
            <v>45393</v>
          </cell>
          <cell r="M6180">
            <v>45394</v>
          </cell>
          <cell r="N6180">
            <v>45411</v>
          </cell>
          <cell r="O6180">
            <v>45394</v>
          </cell>
          <cell r="P6180">
            <v>45411</v>
          </cell>
          <cell r="Q6180" t="str">
            <v>2024-04-24 → 4/29</v>
          </cell>
          <cell r="R6180" t="str">
            <v>2024-04-25 → 4/30</v>
          </cell>
          <cell r="S6180">
            <v>45414</v>
          </cell>
          <cell r="T6180">
            <v>45415</v>
          </cell>
          <cell r="U6180">
            <v>45419</v>
          </cell>
          <cell r="V6180">
            <v>45420</v>
          </cell>
          <cell r="W6180">
            <v>45420</v>
          </cell>
          <cell r="X6180">
            <v>41000546</v>
          </cell>
        </row>
        <row r="6181">
          <cell r="K6181" t="str">
            <v>GPWS-0371</v>
          </cell>
          <cell r="L6181">
            <v>45393</v>
          </cell>
          <cell r="M6181">
            <v>45394</v>
          </cell>
          <cell r="N6181">
            <v>45411</v>
          </cell>
          <cell r="O6181">
            <v>45394</v>
          </cell>
          <cell r="P6181">
            <v>45411</v>
          </cell>
          <cell r="Q6181" t="str">
            <v>2024-04-24 → 4/29</v>
          </cell>
          <cell r="R6181" t="str">
            <v>2024-04-25 → 4/30</v>
          </cell>
          <cell r="S6181">
            <v>45414</v>
          </cell>
          <cell r="T6181">
            <v>45415</v>
          </cell>
          <cell r="U6181">
            <v>45419</v>
          </cell>
          <cell r="V6181">
            <v>45420</v>
          </cell>
          <cell r="W6181">
            <v>45420</v>
          </cell>
          <cell r="X6181">
            <v>41000546</v>
          </cell>
        </row>
        <row r="6182">
          <cell r="K6182" t="str">
            <v>GPWS-0372</v>
          </cell>
          <cell r="L6182">
            <v>45393</v>
          </cell>
          <cell r="M6182">
            <v>45394</v>
          </cell>
          <cell r="N6182">
            <v>45411</v>
          </cell>
          <cell r="O6182">
            <v>45394</v>
          </cell>
          <cell r="P6182">
            <v>45411</v>
          </cell>
          <cell r="Q6182" t="str">
            <v>2024-04-24 → 4/29</v>
          </cell>
          <cell r="R6182" t="str">
            <v>2024-04-25 → 4/30</v>
          </cell>
          <cell r="S6182">
            <v>45414</v>
          </cell>
          <cell r="T6182">
            <v>45415</v>
          </cell>
          <cell r="U6182">
            <v>45419</v>
          </cell>
          <cell r="V6182">
            <v>45420</v>
          </cell>
          <cell r="W6182">
            <v>45420</v>
          </cell>
          <cell r="X6182">
            <v>41000546</v>
          </cell>
        </row>
        <row r="6183">
          <cell r="K6183" t="str">
            <v>GPWS-0373</v>
          </cell>
          <cell r="L6183">
            <v>45393</v>
          </cell>
          <cell r="M6183">
            <v>45394</v>
          </cell>
          <cell r="N6183">
            <v>45411</v>
          </cell>
          <cell r="O6183">
            <v>45394</v>
          </cell>
          <cell r="P6183">
            <v>45411</v>
          </cell>
          <cell r="Q6183" t="str">
            <v>2024-04-24 → 4/29</v>
          </cell>
          <cell r="R6183" t="str">
            <v>2024-04-25 → 4/30</v>
          </cell>
          <cell r="S6183">
            <v>45414</v>
          </cell>
          <cell r="T6183">
            <v>45415</v>
          </cell>
          <cell r="U6183">
            <v>45419</v>
          </cell>
          <cell r="V6183">
            <v>45419</v>
          </cell>
          <cell r="W6183">
            <v>45419</v>
          </cell>
          <cell r="X6183">
            <v>41000546</v>
          </cell>
        </row>
        <row r="6184">
          <cell r="K6184" t="str">
            <v>GBWS-4479</v>
          </cell>
          <cell r="L6184">
            <v>45413</v>
          </cell>
          <cell r="M6184">
            <v>45414</v>
          </cell>
          <cell r="N6184">
            <v>45421</v>
          </cell>
          <cell r="O6184">
            <v>45414</v>
          </cell>
          <cell r="P6184">
            <v>45421</v>
          </cell>
          <cell r="Q6184" t="str">
            <v>2024-05-08 → 5/9</v>
          </cell>
          <cell r="R6184">
            <v>45421</v>
          </cell>
          <cell r="S6184">
            <v>45422</v>
          </cell>
          <cell r="T6184">
            <v>45425</v>
          </cell>
          <cell r="U6184">
            <v>45426</v>
          </cell>
          <cell r="V6184">
            <v>45428</v>
          </cell>
          <cell r="W6184">
            <v>45428</v>
          </cell>
          <cell r="X6184">
            <v>41200006</v>
          </cell>
        </row>
        <row r="6185">
          <cell r="K6185" t="str">
            <v>GBWS-4480</v>
          </cell>
          <cell r="L6185">
            <v>45413</v>
          </cell>
          <cell r="M6185">
            <v>45414</v>
          </cell>
          <cell r="N6185">
            <v>45421</v>
          </cell>
          <cell r="O6185">
            <v>45414</v>
          </cell>
          <cell r="P6185">
            <v>45421</v>
          </cell>
          <cell r="Q6185" t="str">
            <v>2024-05-08 → 5/9</v>
          </cell>
          <cell r="R6185">
            <v>45421</v>
          </cell>
          <cell r="S6185">
            <v>45422</v>
          </cell>
          <cell r="T6185">
            <v>45426</v>
          </cell>
          <cell r="U6185">
            <v>45428</v>
          </cell>
          <cell r="V6185">
            <v>45428</v>
          </cell>
          <cell r="W6185">
            <v>45428</v>
          </cell>
          <cell r="X6185">
            <v>41200006</v>
          </cell>
        </row>
        <row r="6186">
          <cell r="K6186" t="str">
            <v>GBWS-4482</v>
          </cell>
          <cell r="L6186">
            <v>45414</v>
          </cell>
          <cell r="M6186">
            <v>45415</v>
          </cell>
          <cell r="N6186">
            <v>45422</v>
          </cell>
          <cell r="O6186">
            <v>45415</v>
          </cell>
          <cell r="P6186">
            <v>45425</v>
          </cell>
          <cell r="Q6186">
            <v>45422</v>
          </cell>
          <cell r="R6186">
            <v>45425</v>
          </cell>
          <cell r="S6186">
            <v>45426</v>
          </cell>
          <cell r="T6186">
            <v>45428</v>
          </cell>
          <cell r="U6186">
            <v>45429</v>
          </cell>
          <cell r="V6186">
            <v>45432</v>
          </cell>
          <cell r="W6186">
            <v>45432</v>
          </cell>
          <cell r="X6186">
            <v>41000516</v>
          </cell>
        </row>
        <row r="6187">
          <cell r="K6187" t="str">
            <v>GBWS-4486</v>
          </cell>
          <cell r="L6187">
            <v>45415</v>
          </cell>
          <cell r="M6187">
            <v>45419</v>
          </cell>
          <cell r="N6187">
            <v>45425</v>
          </cell>
          <cell r="O6187">
            <v>45419</v>
          </cell>
          <cell r="P6187">
            <v>45426</v>
          </cell>
          <cell r="Q6187">
            <v>45425</v>
          </cell>
          <cell r="R6187">
            <v>45426</v>
          </cell>
          <cell r="S6187">
            <v>45428</v>
          </cell>
          <cell r="T6187">
            <v>45429</v>
          </cell>
          <cell r="U6187">
            <v>45433</v>
          </cell>
          <cell r="V6187">
            <v>45433</v>
          </cell>
          <cell r="W6187">
            <v>45433</v>
          </cell>
          <cell r="X6187">
            <v>41200004</v>
          </cell>
        </row>
        <row r="6188">
          <cell r="K6188" t="str">
            <v>GBWS-4464</v>
          </cell>
          <cell r="L6188">
            <v>45408</v>
          </cell>
          <cell r="M6188">
            <v>45411</v>
          </cell>
          <cell r="N6188">
            <v>45421</v>
          </cell>
          <cell r="O6188">
            <v>45411</v>
          </cell>
          <cell r="P6188">
            <v>45421</v>
          </cell>
          <cell r="Q6188">
            <v>45425</v>
          </cell>
          <cell r="R6188">
            <v>45426</v>
          </cell>
          <cell r="S6188">
            <v>45426</v>
          </cell>
          <cell r="T6188">
            <v>45429</v>
          </cell>
          <cell r="U6188">
            <v>45433</v>
          </cell>
          <cell r="V6188">
            <v>45433</v>
          </cell>
          <cell r="W6188">
            <v>45433</v>
          </cell>
          <cell r="X6188">
            <v>41100223</v>
          </cell>
        </row>
        <row r="6189">
          <cell r="K6189" t="str">
            <v>GBWS-4465</v>
          </cell>
          <cell r="L6189">
            <v>45408</v>
          </cell>
          <cell r="M6189">
            <v>45411</v>
          </cell>
          <cell r="N6189">
            <v>45421</v>
          </cell>
          <cell r="O6189">
            <v>45411</v>
          </cell>
          <cell r="P6189">
            <v>45421</v>
          </cell>
          <cell r="Q6189">
            <v>45425</v>
          </cell>
          <cell r="R6189">
            <v>45426</v>
          </cell>
          <cell r="S6189">
            <v>45428</v>
          </cell>
          <cell r="T6189">
            <v>45429</v>
          </cell>
          <cell r="U6189">
            <v>45433</v>
          </cell>
          <cell r="V6189">
            <v>45433</v>
          </cell>
          <cell r="W6189">
            <v>45433</v>
          </cell>
          <cell r="X6189">
            <v>41100223</v>
          </cell>
        </row>
        <row r="6190">
          <cell r="K6190" t="str">
            <v>SOS-0321</v>
          </cell>
          <cell r="L6190">
            <v>45397</v>
          </cell>
          <cell r="M6190">
            <v>45398</v>
          </cell>
          <cell r="N6190">
            <v>45400</v>
          </cell>
          <cell r="O6190">
            <v>45398</v>
          </cell>
          <cell r="P6190">
            <v>45405</v>
          </cell>
          <cell r="Q6190">
            <v>45401</v>
          </cell>
          <cell r="R6190">
            <v>45404</v>
          </cell>
          <cell r="S6190">
            <v>45406</v>
          </cell>
          <cell r="T6190">
            <v>45406</v>
          </cell>
          <cell r="U6190">
            <v>45433</v>
          </cell>
          <cell r="V6190">
            <v>45433</v>
          </cell>
          <cell r="W6190">
            <v>45433</v>
          </cell>
          <cell r="X6190">
            <v>41000558</v>
          </cell>
        </row>
        <row r="6191">
          <cell r="K6191" t="str">
            <v>SOS-0322</v>
          </cell>
          <cell r="L6191">
            <v>45397</v>
          </cell>
          <cell r="M6191">
            <v>45398</v>
          </cell>
          <cell r="N6191">
            <v>45400</v>
          </cell>
          <cell r="O6191">
            <v>45398</v>
          </cell>
          <cell r="P6191">
            <v>45405</v>
          </cell>
          <cell r="Q6191">
            <v>45401</v>
          </cell>
          <cell r="R6191">
            <v>45404</v>
          </cell>
          <cell r="S6191">
            <v>45406</v>
          </cell>
          <cell r="T6191">
            <v>45406</v>
          </cell>
          <cell r="U6191">
            <v>45433</v>
          </cell>
          <cell r="V6191">
            <v>45433</v>
          </cell>
          <cell r="W6191">
            <v>45433</v>
          </cell>
          <cell r="X6191">
            <v>41000558</v>
          </cell>
        </row>
        <row r="6192">
          <cell r="K6192" t="str">
            <v>GBWS-4489</v>
          </cell>
          <cell r="L6192">
            <v>45415</v>
          </cell>
          <cell r="M6192">
            <v>45419</v>
          </cell>
          <cell r="N6192">
            <v>45426</v>
          </cell>
          <cell r="O6192">
            <v>45419</v>
          </cell>
          <cell r="P6192">
            <v>45428</v>
          </cell>
          <cell r="Q6192">
            <v>45426</v>
          </cell>
          <cell r="R6192">
            <v>45428</v>
          </cell>
          <cell r="S6192">
            <v>45428</v>
          </cell>
          <cell r="T6192">
            <v>45429</v>
          </cell>
          <cell r="U6192">
            <v>45433</v>
          </cell>
          <cell r="V6192">
            <v>45433</v>
          </cell>
          <cell r="W6192">
            <v>45433</v>
          </cell>
          <cell r="X6192">
            <v>41100558</v>
          </cell>
        </row>
        <row r="6193">
          <cell r="K6193" t="str">
            <v>GBWS-4490</v>
          </cell>
          <cell r="L6193">
            <v>45415</v>
          </cell>
          <cell r="M6193">
            <v>45419</v>
          </cell>
          <cell r="N6193">
            <v>45426</v>
          </cell>
          <cell r="O6193">
            <v>45419</v>
          </cell>
          <cell r="P6193">
            <v>45428</v>
          </cell>
          <cell r="Q6193">
            <v>45426</v>
          </cell>
          <cell r="R6193">
            <v>45428</v>
          </cell>
          <cell r="S6193">
            <v>45428</v>
          </cell>
          <cell r="T6193">
            <v>45429</v>
          </cell>
          <cell r="U6193">
            <v>45433</v>
          </cell>
          <cell r="V6193">
            <v>45433</v>
          </cell>
          <cell r="W6193">
            <v>45433</v>
          </cell>
          <cell r="X6193">
            <v>41100558</v>
          </cell>
        </row>
        <row r="6194">
          <cell r="K6194" t="str">
            <v>GBWS-4494</v>
          </cell>
          <cell r="L6194">
            <v>45419</v>
          </cell>
          <cell r="M6194">
            <v>45420</v>
          </cell>
          <cell r="N6194">
            <v>45426</v>
          </cell>
          <cell r="O6194">
            <v>45420</v>
          </cell>
          <cell r="P6194">
            <v>45428</v>
          </cell>
          <cell r="Q6194">
            <v>45426</v>
          </cell>
          <cell r="R6194">
            <v>45428</v>
          </cell>
          <cell r="S6194">
            <v>45429</v>
          </cell>
          <cell r="T6194">
            <v>45433</v>
          </cell>
          <cell r="U6194">
            <v>45434</v>
          </cell>
          <cell r="V6194">
            <v>45434</v>
          </cell>
          <cell r="W6194">
            <v>45434</v>
          </cell>
          <cell r="X6194">
            <v>41000553</v>
          </cell>
        </row>
        <row r="6195">
          <cell r="K6195" t="str">
            <v>GBWS-4414</v>
          </cell>
          <cell r="L6195">
            <v>45394</v>
          </cell>
          <cell r="M6195">
            <v>45397</v>
          </cell>
          <cell r="N6195">
            <v>45404</v>
          </cell>
          <cell r="O6195">
            <v>45397</v>
          </cell>
          <cell r="P6195">
            <v>45406</v>
          </cell>
          <cell r="Q6195">
            <v>45404</v>
          </cell>
          <cell r="R6195" t="str">
            <v>2024-04-23 → 4/25</v>
          </cell>
          <cell r="S6195">
            <v>45420</v>
          </cell>
          <cell r="T6195">
            <v>45421</v>
          </cell>
          <cell r="U6195">
            <v>45422</v>
          </cell>
          <cell r="V6195">
            <v>45425</v>
          </cell>
          <cell r="W6195">
            <v>45425</v>
          </cell>
          <cell r="X6195">
            <v>41100566</v>
          </cell>
        </row>
        <row r="6196">
          <cell r="K6196" t="str">
            <v>GBWS-4468</v>
          </cell>
          <cell r="L6196">
            <v>45411</v>
          </cell>
          <cell r="M6196">
            <v>45412</v>
          </cell>
          <cell r="N6196">
            <v>45422</v>
          </cell>
          <cell r="O6196">
            <v>45412</v>
          </cell>
          <cell r="P6196">
            <v>45420</v>
          </cell>
          <cell r="Q6196">
            <v>45422</v>
          </cell>
          <cell r="R6196">
            <v>45425</v>
          </cell>
          <cell r="S6196">
            <v>45426</v>
          </cell>
          <cell r="T6196">
            <v>45428</v>
          </cell>
          <cell r="U6196">
            <v>45429</v>
          </cell>
          <cell r="V6196">
            <v>45432</v>
          </cell>
          <cell r="W6196">
            <v>45432</v>
          </cell>
          <cell r="X6196">
            <v>41100566</v>
          </cell>
        </row>
        <row r="6197">
          <cell r="K6197" t="str">
            <v>GBWS-4473</v>
          </cell>
          <cell r="L6197">
            <v>45413</v>
          </cell>
          <cell r="M6197">
            <v>45414</v>
          </cell>
          <cell r="N6197">
            <v>45422</v>
          </cell>
          <cell r="O6197">
            <v>45414</v>
          </cell>
          <cell r="P6197">
            <v>45425</v>
          </cell>
          <cell r="Q6197">
            <v>45422</v>
          </cell>
          <cell r="R6197">
            <v>45425</v>
          </cell>
          <cell r="S6197">
            <v>45426</v>
          </cell>
          <cell r="T6197">
            <v>45428</v>
          </cell>
          <cell r="U6197">
            <v>45429</v>
          </cell>
          <cell r="V6197">
            <v>45432</v>
          </cell>
          <cell r="W6197">
            <v>45432</v>
          </cell>
          <cell r="X6197">
            <v>41100564</v>
          </cell>
        </row>
        <row r="6198">
          <cell r="K6198" t="str">
            <v>GBWS-4481</v>
          </cell>
          <cell r="L6198">
            <v>45413</v>
          </cell>
          <cell r="M6198">
            <v>45414</v>
          </cell>
          <cell r="N6198">
            <v>45422</v>
          </cell>
          <cell r="O6198">
            <v>45414</v>
          </cell>
          <cell r="P6198">
            <v>45422</v>
          </cell>
          <cell r="Q6198">
            <v>45422</v>
          </cell>
          <cell r="R6198">
            <v>45425</v>
          </cell>
          <cell r="S6198">
            <v>45426</v>
          </cell>
          <cell r="T6198">
            <v>45428</v>
          </cell>
          <cell r="U6198">
            <v>45429</v>
          </cell>
          <cell r="V6198">
            <v>45432</v>
          </cell>
          <cell r="W6198">
            <v>45432</v>
          </cell>
          <cell r="X6198">
            <v>41100443</v>
          </cell>
        </row>
        <row r="6199">
          <cell r="K6199" t="str">
            <v>GBWS-4493</v>
          </cell>
          <cell r="L6199">
            <v>45415</v>
          </cell>
          <cell r="M6199">
            <v>45419</v>
          </cell>
          <cell r="N6199">
            <v>45425</v>
          </cell>
          <cell r="O6199">
            <v>45419</v>
          </cell>
          <cell r="P6199">
            <v>45425</v>
          </cell>
          <cell r="Q6199">
            <v>45425</v>
          </cell>
          <cell r="R6199">
            <v>45426</v>
          </cell>
          <cell r="S6199">
            <v>45429</v>
          </cell>
          <cell r="T6199">
            <v>45432</v>
          </cell>
          <cell r="U6199">
            <v>45433</v>
          </cell>
          <cell r="V6199">
            <v>45434</v>
          </cell>
          <cell r="W6199">
            <v>45434</v>
          </cell>
          <cell r="X6199">
            <v>41000553</v>
          </cell>
        </row>
        <row r="6200">
          <cell r="K6200" t="str">
            <v>GBWS-4214</v>
          </cell>
          <cell r="L6200">
            <v>45350</v>
          </cell>
          <cell r="M6200">
            <v>45351</v>
          </cell>
          <cell r="N6200">
            <v>45359</v>
          </cell>
          <cell r="O6200">
            <v>45351</v>
          </cell>
          <cell r="P6200">
            <v>45359</v>
          </cell>
          <cell r="Q6200" t="str">
            <v>2024-03-07 → 3/8</v>
          </cell>
          <cell r="R6200" t="str">
            <v>2024-03-08 → 3/9</v>
          </cell>
          <cell r="S6200">
            <v>45362</v>
          </cell>
          <cell r="T6200">
            <v>45363</v>
          </cell>
          <cell r="U6200">
            <v>45364</v>
          </cell>
          <cell r="V6200">
            <v>45365</v>
          </cell>
          <cell r="W6200">
            <v>45365</v>
          </cell>
          <cell r="X6200">
            <v>41100702</v>
          </cell>
        </row>
        <row r="6201">
          <cell r="K6201" t="str">
            <v>GBWS-4215</v>
          </cell>
          <cell r="L6201">
            <v>45350</v>
          </cell>
          <cell r="M6201">
            <v>45351</v>
          </cell>
          <cell r="N6201">
            <v>45359</v>
          </cell>
          <cell r="O6201">
            <v>45351</v>
          </cell>
          <cell r="P6201">
            <v>45359</v>
          </cell>
          <cell r="Q6201" t="str">
            <v>2024-03-07 → 3/8</v>
          </cell>
          <cell r="R6201" t="str">
            <v>2024-03-08 → 3/9</v>
          </cell>
          <cell r="S6201">
            <v>45362</v>
          </cell>
          <cell r="T6201">
            <v>45363</v>
          </cell>
          <cell r="U6201">
            <v>45364</v>
          </cell>
          <cell r="V6201">
            <v>45365</v>
          </cell>
          <cell r="W6201">
            <v>45365</v>
          </cell>
          <cell r="X6201">
            <v>41100702</v>
          </cell>
        </row>
        <row r="6202">
          <cell r="K6202" t="str">
            <v>GBWS-4488</v>
          </cell>
          <cell r="L6202">
            <v>45415</v>
          </cell>
          <cell r="M6202">
            <v>45419</v>
          </cell>
          <cell r="N6202">
            <v>45426</v>
          </cell>
          <cell r="O6202">
            <v>45419</v>
          </cell>
          <cell r="P6202">
            <v>45428</v>
          </cell>
          <cell r="Q6202">
            <v>45426</v>
          </cell>
          <cell r="R6202">
            <v>45428</v>
          </cell>
          <cell r="S6202">
            <v>45428</v>
          </cell>
          <cell r="T6202">
            <v>45432</v>
          </cell>
          <cell r="U6202">
            <v>45433</v>
          </cell>
          <cell r="V6202">
            <v>45434</v>
          </cell>
          <cell r="W6202">
            <v>45434</v>
          </cell>
          <cell r="X6202">
            <v>41100564</v>
          </cell>
        </row>
        <row r="6203">
          <cell r="K6203" t="str">
            <v>GBWS-4483</v>
          </cell>
          <cell r="L6203">
            <v>45414</v>
          </cell>
          <cell r="M6203">
            <v>45415</v>
          </cell>
          <cell r="N6203">
            <v>45425</v>
          </cell>
          <cell r="O6203">
            <v>45415</v>
          </cell>
          <cell r="P6203">
            <v>45426</v>
          </cell>
          <cell r="Q6203">
            <v>45425</v>
          </cell>
          <cell r="R6203">
            <v>45426</v>
          </cell>
          <cell r="S6203">
            <v>45428</v>
          </cell>
          <cell r="T6203">
            <v>45429</v>
          </cell>
          <cell r="U6203">
            <v>45433</v>
          </cell>
          <cell r="V6203">
            <v>45435</v>
          </cell>
          <cell r="W6203">
            <v>45435</v>
          </cell>
          <cell r="X6203">
            <v>41000555</v>
          </cell>
        </row>
        <row r="6204">
          <cell r="K6204" t="str">
            <v>GBWS-4484</v>
          </cell>
          <cell r="L6204">
            <v>45415</v>
          </cell>
          <cell r="M6204">
            <v>45419</v>
          </cell>
          <cell r="N6204">
            <v>45426</v>
          </cell>
          <cell r="O6204">
            <v>45419</v>
          </cell>
          <cell r="P6204">
            <v>45428</v>
          </cell>
          <cell r="Q6204">
            <v>45426</v>
          </cell>
          <cell r="R6204">
            <v>45428</v>
          </cell>
          <cell r="S6204">
            <v>45428</v>
          </cell>
          <cell r="T6204">
            <v>45432</v>
          </cell>
          <cell r="U6204">
            <v>45433</v>
          </cell>
          <cell r="V6204">
            <v>45434</v>
          </cell>
          <cell r="W6204">
            <v>45434</v>
          </cell>
          <cell r="X6204">
            <v>41100564</v>
          </cell>
        </row>
        <row r="6205">
          <cell r="K6205" t="str">
            <v>-</v>
          </cell>
          <cell r="L6205">
            <v>45412</v>
          </cell>
          <cell r="M6205">
            <v>45411</v>
          </cell>
          <cell r="N6205">
            <v>45422</v>
          </cell>
          <cell r="O6205">
            <v>45411</v>
          </cell>
          <cell r="P6205">
            <v>45422</v>
          </cell>
          <cell r="Q6205">
            <v>45425</v>
          </cell>
          <cell r="R6205">
            <v>45426</v>
          </cell>
          <cell r="S6205">
            <v>45426</v>
          </cell>
          <cell r="T6205">
            <v>45435</v>
          </cell>
          <cell r="U6205">
            <v>45435</v>
          </cell>
          <cell r="V6205">
            <v>45435</v>
          </cell>
          <cell r="W6205">
            <v>45435</v>
          </cell>
          <cell r="X6205">
            <v>31102555</v>
          </cell>
        </row>
        <row r="6206">
          <cell r="K6206" t="str">
            <v>GBWS-4492</v>
          </cell>
          <cell r="L6206">
            <v>45415</v>
          </cell>
          <cell r="M6206">
            <v>45419</v>
          </cell>
          <cell r="N6206">
            <v>45425</v>
          </cell>
          <cell r="O6206">
            <v>45419</v>
          </cell>
          <cell r="P6206">
            <v>45425</v>
          </cell>
          <cell r="Q6206">
            <v>45426</v>
          </cell>
          <cell r="R6206">
            <v>45428</v>
          </cell>
          <cell r="S6206">
            <v>45429</v>
          </cell>
          <cell r="T6206">
            <v>45432</v>
          </cell>
          <cell r="U6206">
            <v>45434</v>
          </cell>
          <cell r="V6206">
            <v>45435</v>
          </cell>
          <cell r="W6206">
            <v>45435</v>
          </cell>
          <cell r="X6206">
            <v>41100322</v>
          </cell>
        </row>
        <row r="6207">
          <cell r="K6207" t="str">
            <v>WS-0087</v>
          </cell>
          <cell r="L6207">
            <v>45421</v>
          </cell>
          <cell r="M6207">
            <v>45422</v>
          </cell>
          <cell r="N6207">
            <v>45434</v>
          </cell>
          <cell r="O6207">
            <v>45422</v>
          </cell>
          <cell r="P6207">
            <v>45433</v>
          </cell>
          <cell r="Q6207" t="str">
            <v>2024-05-17 → 5/22</v>
          </cell>
          <cell r="R6207" t="str">
            <v>2024-05-20 → 5/22</v>
          </cell>
          <cell r="S6207">
            <v>45434</v>
          </cell>
          <cell r="T6207">
            <v>45435</v>
          </cell>
          <cell r="U6207">
            <v>45436</v>
          </cell>
          <cell r="V6207">
            <v>45436</v>
          </cell>
          <cell r="W6207">
            <v>45436</v>
          </cell>
          <cell r="X6207">
            <v>41100238</v>
          </cell>
        </row>
        <row r="6208">
          <cell r="K6208" t="str">
            <v>GPWS-0399</v>
          </cell>
          <cell r="L6208">
            <v>45408</v>
          </cell>
          <cell r="M6208">
            <v>45411</v>
          </cell>
          <cell r="N6208">
            <v>45422</v>
          </cell>
          <cell r="O6208">
            <v>45411</v>
          </cell>
          <cell r="P6208">
            <v>45422</v>
          </cell>
          <cell r="Q6208" t="str">
            <v>2024-05-08 → 5/10</v>
          </cell>
          <cell r="R6208" t="str">
            <v>2024-05-09 → 5/10</v>
          </cell>
          <cell r="S6208">
            <v>45425</v>
          </cell>
          <cell r="T6208">
            <v>45426</v>
          </cell>
          <cell r="U6208">
            <v>45426</v>
          </cell>
          <cell r="V6208">
            <v>45436</v>
          </cell>
          <cell r="W6208">
            <v>45436</v>
          </cell>
          <cell r="X6208">
            <v>41000599</v>
          </cell>
        </row>
        <row r="6209">
          <cell r="K6209" t="str">
            <v>GPWS-0374</v>
          </cell>
          <cell r="L6209">
            <v>45397</v>
          </cell>
          <cell r="M6209">
            <v>45398</v>
          </cell>
          <cell r="N6209">
            <v>45407</v>
          </cell>
          <cell r="O6209">
            <v>45398</v>
          </cell>
          <cell r="P6209">
            <v>45412</v>
          </cell>
          <cell r="Q6209" t="str">
            <v>2024-04-26 → 5/2</v>
          </cell>
          <cell r="R6209" t="str">
            <v>2024-04-29 → 5/3</v>
          </cell>
          <cell r="S6209">
            <v>45426</v>
          </cell>
          <cell r="T6209">
            <v>45428</v>
          </cell>
          <cell r="U6209">
            <v>45428</v>
          </cell>
          <cell r="V6209">
            <v>45432</v>
          </cell>
          <cell r="W6209">
            <v>45432</v>
          </cell>
          <cell r="X6209">
            <v>41000546</v>
          </cell>
        </row>
        <row r="6210">
          <cell r="K6210" t="str">
            <v>GPWS-0375</v>
          </cell>
          <cell r="L6210">
            <v>45397</v>
          </cell>
          <cell r="M6210">
            <v>45398</v>
          </cell>
          <cell r="N6210">
            <v>45407</v>
          </cell>
          <cell r="O6210">
            <v>45398</v>
          </cell>
          <cell r="P6210">
            <v>45412</v>
          </cell>
          <cell r="Q6210" t="str">
            <v>2024-04-26 → 5/2</v>
          </cell>
          <cell r="R6210" t="str">
            <v>2024-04-29 → 5/3</v>
          </cell>
          <cell r="S6210">
            <v>45426</v>
          </cell>
          <cell r="T6210">
            <v>45428</v>
          </cell>
          <cell r="U6210">
            <v>45429</v>
          </cell>
          <cell r="V6210">
            <v>45432</v>
          </cell>
          <cell r="W6210">
            <v>45432</v>
          </cell>
          <cell r="X6210">
            <v>41000546</v>
          </cell>
        </row>
        <row r="6211">
          <cell r="K6211" t="str">
            <v>GPWS-0376</v>
          </cell>
          <cell r="L6211">
            <v>45397</v>
          </cell>
          <cell r="M6211">
            <v>45398</v>
          </cell>
          <cell r="N6211">
            <v>45407</v>
          </cell>
          <cell r="O6211">
            <v>45398</v>
          </cell>
          <cell r="P6211">
            <v>45412</v>
          </cell>
          <cell r="Q6211" t="str">
            <v>2024-04-26 → 5/2</v>
          </cell>
          <cell r="R6211" t="str">
            <v>2024-04-29 → 5/3</v>
          </cell>
          <cell r="S6211">
            <v>45426</v>
          </cell>
          <cell r="T6211">
            <v>45428</v>
          </cell>
          <cell r="U6211">
            <v>45429</v>
          </cell>
          <cell r="V6211">
            <v>45432</v>
          </cell>
          <cell r="W6211">
            <v>45432</v>
          </cell>
          <cell r="X6211">
            <v>41000546</v>
          </cell>
        </row>
        <row r="6212">
          <cell r="K6212" t="str">
            <v>GPWS-0387</v>
          </cell>
          <cell r="L6212">
            <v>45404</v>
          </cell>
          <cell r="M6212">
            <v>45405</v>
          </cell>
          <cell r="N6212">
            <v>45425</v>
          </cell>
          <cell r="O6212">
            <v>45405</v>
          </cell>
          <cell r="P6212">
            <v>45425</v>
          </cell>
          <cell r="Q6212" t="str">
            <v>2024-05-03 → 5/13</v>
          </cell>
          <cell r="R6212" t="str">
            <v>2024-05-07 → 5/14</v>
          </cell>
          <cell r="S6212">
            <v>45428</v>
          </cell>
          <cell r="T6212">
            <v>45429</v>
          </cell>
          <cell r="U6212">
            <v>45433</v>
          </cell>
          <cell r="V6212">
            <v>45433</v>
          </cell>
          <cell r="W6212">
            <v>45433</v>
          </cell>
          <cell r="X6212">
            <v>41000546</v>
          </cell>
        </row>
        <row r="6213">
          <cell r="K6213" t="str">
            <v>GPWS-0388</v>
          </cell>
          <cell r="L6213">
            <v>45404</v>
          </cell>
          <cell r="M6213">
            <v>45405</v>
          </cell>
          <cell r="N6213">
            <v>45425</v>
          </cell>
          <cell r="O6213">
            <v>45405</v>
          </cell>
          <cell r="P6213">
            <v>45425</v>
          </cell>
          <cell r="Q6213" t="str">
            <v>2024-05-03 → 5/13</v>
          </cell>
          <cell r="R6213" t="str">
            <v>2024-05-07 → 5/14</v>
          </cell>
          <cell r="S6213">
            <v>45432</v>
          </cell>
          <cell r="T6213">
            <v>45433</v>
          </cell>
          <cell r="U6213">
            <v>45434</v>
          </cell>
          <cell r="V6213">
            <v>45435</v>
          </cell>
          <cell r="W6213">
            <v>45435</v>
          </cell>
          <cell r="X6213">
            <v>41000546</v>
          </cell>
        </row>
        <row r="6214">
          <cell r="K6214" t="str">
            <v>GPWS-0389</v>
          </cell>
          <cell r="L6214">
            <v>45404</v>
          </cell>
          <cell r="M6214">
            <v>45405</v>
          </cell>
          <cell r="N6214">
            <v>45425</v>
          </cell>
          <cell r="O6214">
            <v>45405</v>
          </cell>
          <cell r="P6214">
            <v>45425</v>
          </cell>
          <cell r="Q6214" t="str">
            <v>2024-05-03 → 5/13</v>
          </cell>
          <cell r="R6214" t="str">
            <v>2024-05-07 → 5/14</v>
          </cell>
          <cell r="S6214">
            <v>45432</v>
          </cell>
          <cell r="T6214">
            <v>45433</v>
          </cell>
          <cell r="U6214">
            <v>45434</v>
          </cell>
          <cell r="V6214">
            <v>45435</v>
          </cell>
          <cell r="W6214">
            <v>45435</v>
          </cell>
          <cell r="X6214">
            <v>41000546</v>
          </cell>
        </row>
        <row r="6215">
          <cell r="K6215" t="str">
            <v>GPWS-0390</v>
          </cell>
          <cell r="L6215">
            <v>45404</v>
          </cell>
          <cell r="M6215">
            <v>45405</v>
          </cell>
          <cell r="N6215">
            <v>45425</v>
          </cell>
          <cell r="O6215">
            <v>45405</v>
          </cell>
          <cell r="P6215">
            <v>45425</v>
          </cell>
          <cell r="Q6215" t="str">
            <v>2024-05-03 → 5/13</v>
          </cell>
          <cell r="R6215" t="str">
            <v>2024-05-07 → 5/14</v>
          </cell>
          <cell r="S6215">
            <v>45428</v>
          </cell>
          <cell r="T6215">
            <v>45429</v>
          </cell>
          <cell r="U6215">
            <v>45433</v>
          </cell>
          <cell r="V6215">
            <v>45433</v>
          </cell>
          <cell r="W6215">
            <v>45433</v>
          </cell>
          <cell r="X6215">
            <v>41000546</v>
          </cell>
        </row>
        <row r="6216">
          <cell r="K6216" t="str">
            <v>GPWS-0391</v>
          </cell>
          <cell r="L6216">
            <v>45415</v>
          </cell>
          <cell r="M6216" t="str">
            <v>2024-04-26 → 5/7</v>
          </cell>
          <cell r="N6216">
            <v>45428</v>
          </cell>
          <cell r="O6216" t="str">
            <v>2024-04-26 → 5/7</v>
          </cell>
          <cell r="P6216">
            <v>45429</v>
          </cell>
          <cell r="Q6216" t="str">
            <v>2024-05-08 → 5/16</v>
          </cell>
          <cell r="R6216" t="str">
            <v>2024-05-09 → 5/17</v>
          </cell>
          <cell r="S6216">
            <v>45432</v>
          </cell>
          <cell r="T6216">
            <v>45433</v>
          </cell>
          <cell r="U6216">
            <v>45434</v>
          </cell>
          <cell r="V6216">
            <v>45435</v>
          </cell>
          <cell r="W6216">
            <v>45435</v>
          </cell>
          <cell r="X6216">
            <v>41000546</v>
          </cell>
        </row>
        <row r="6217">
          <cell r="K6217" t="str">
            <v>GPWS-0392</v>
          </cell>
          <cell r="L6217">
            <v>45415</v>
          </cell>
          <cell r="M6217" t="str">
            <v>2024-04-26 → 5/7</v>
          </cell>
          <cell r="N6217">
            <v>45428</v>
          </cell>
          <cell r="O6217" t="str">
            <v>2024-04-26 → 5/7</v>
          </cell>
          <cell r="P6217">
            <v>45429</v>
          </cell>
          <cell r="Q6217" t="str">
            <v>2024-05-08 → 5/16</v>
          </cell>
          <cell r="R6217" t="str">
            <v>2024-05-09 → 5/17</v>
          </cell>
          <cell r="S6217">
            <v>45432</v>
          </cell>
          <cell r="T6217">
            <v>45433</v>
          </cell>
          <cell r="U6217">
            <v>45434</v>
          </cell>
          <cell r="V6217">
            <v>45435</v>
          </cell>
          <cell r="W6217">
            <v>45435</v>
          </cell>
          <cell r="X6217">
            <v>41000546</v>
          </cell>
        </row>
        <row r="6218">
          <cell r="K6218" t="str">
            <v>GPWS-0393</v>
          </cell>
          <cell r="L6218">
            <v>45415</v>
          </cell>
          <cell r="M6218" t="str">
            <v>2024-04-26 → 5/7</v>
          </cell>
          <cell r="N6218">
            <v>45428</v>
          </cell>
          <cell r="O6218" t="str">
            <v>2024-04-26 → 5/7</v>
          </cell>
          <cell r="P6218">
            <v>45429</v>
          </cell>
          <cell r="Q6218" t="str">
            <v>2024-05-08 → 5/16</v>
          </cell>
          <cell r="R6218" t="str">
            <v>2024-05-09 → 5/17</v>
          </cell>
          <cell r="S6218">
            <v>45432</v>
          </cell>
          <cell r="T6218">
            <v>45434</v>
          </cell>
          <cell r="U6218">
            <v>45435</v>
          </cell>
          <cell r="V6218">
            <v>45436</v>
          </cell>
          <cell r="W6218">
            <v>45436</v>
          </cell>
          <cell r="X6218">
            <v>41000546</v>
          </cell>
        </row>
        <row r="6219">
          <cell r="K6219" t="str">
            <v>GPWS-0394</v>
          </cell>
          <cell r="L6219">
            <v>45415</v>
          </cell>
          <cell r="M6219" t="str">
            <v>2024-04-26 → 5/7</v>
          </cell>
          <cell r="N6219">
            <v>45428</v>
          </cell>
          <cell r="O6219" t="str">
            <v>2024-04-26 → 5/7</v>
          </cell>
          <cell r="P6219">
            <v>45429</v>
          </cell>
          <cell r="Q6219" t="str">
            <v>2024-05-08 → 5/16</v>
          </cell>
          <cell r="R6219" t="str">
            <v>2024-05-09 → 5/17</v>
          </cell>
          <cell r="S6219">
            <v>45432</v>
          </cell>
          <cell r="T6219">
            <v>45433</v>
          </cell>
          <cell r="U6219">
            <v>45435</v>
          </cell>
          <cell r="V6219">
            <v>45436</v>
          </cell>
          <cell r="W6219">
            <v>45436</v>
          </cell>
          <cell r="X6219">
            <v>41000546</v>
          </cell>
        </row>
        <row r="6220">
          <cell r="K6220" t="str">
            <v>GBWS-4510</v>
          </cell>
          <cell r="L6220">
            <v>45422</v>
          </cell>
          <cell r="M6220">
            <v>45425</v>
          </cell>
          <cell r="N6220">
            <v>45432</v>
          </cell>
          <cell r="O6220">
            <v>45425</v>
          </cell>
          <cell r="P6220">
            <v>45433</v>
          </cell>
          <cell r="Q6220">
            <v>45432</v>
          </cell>
          <cell r="R6220">
            <v>45433</v>
          </cell>
          <cell r="S6220">
            <v>45434</v>
          </cell>
          <cell r="T6220">
            <v>45435</v>
          </cell>
          <cell r="U6220">
            <v>45436</v>
          </cell>
          <cell r="V6220">
            <v>45439</v>
          </cell>
          <cell r="W6220">
            <v>45439</v>
          </cell>
          <cell r="X6220">
            <v>41100443</v>
          </cell>
        </row>
        <row r="6221">
          <cell r="K6221" t="str">
            <v>DBW-3336</v>
          </cell>
          <cell r="L6221">
            <v>45422</v>
          </cell>
          <cell r="M6221">
            <v>45425</v>
          </cell>
          <cell r="N6221">
            <v>45433</v>
          </cell>
          <cell r="O6221">
            <v>45425</v>
          </cell>
          <cell r="P6221">
            <v>45434</v>
          </cell>
          <cell r="Q6221">
            <v>45433</v>
          </cell>
          <cell r="R6221">
            <v>45434</v>
          </cell>
          <cell r="S6221">
            <v>45435</v>
          </cell>
          <cell r="T6221">
            <v>45436</v>
          </cell>
          <cell r="U6221">
            <v>45439</v>
          </cell>
          <cell r="V6221">
            <v>45440</v>
          </cell>
          <cell r="W6221">
            <v>45440</v>
          </cell>
          <cell r="X6221">
            <v>41100696</v>
          </cell>
        </row>
        <row r="6222">
          <cell r="K6222" t="str">
            <v>DBW-3337</v>
          </cell>
          <cell r="L6222">
            <v>45422</v>
          </cell>
          <cell r="M6222">
            <v>45425</v>
          </cell>
          <cell r="N6222">
            <v>45433</v>
          </cell>
          <cell r="O6222">
            <v>45425</v>
          </cell>
          <cell r="P6222">
            <v>45434</v>
          </cell>
          <cell r="Q6222">
            <v>45433</v>
          </cell>
          <cell r="R6222">
            <v>45434</v>
          </cell>
          <cell r="S6222">
            <v>45435</v>
          </cell>
          <cell r="T6222">
            <v>45436</v>
          </cell>
          <cell r="U6222">
            <v>45439</v>
          </cell>
          <cell r="V6222">
            <v>45440</v>
          </cell>
          <cell r="W6222">
            <v>45440</v>
          </cell>
          <cell r="X6222">
            <v>41100696</v>
          </cell>
        </row>
        <row r="6223">
          <cell r="K6223" t="str">
            <v>GBWS-4497</v>
          </cell>
          <cell r="L6223">
            <v>45421</v>
          </cell>
          <cell r="M6223">
            <v>45422</v>
          </cell>
          <cell r="N6223">
            <v>45429</v>
          </cell>
          <cell r="O6223">
            <v>45422</v>
          </cell>
          <cell r="P6223">
            <v>45432</v>
          </cell>
          <cell r="Q6223">
            <v>45429</v>
          </cell>
          <cell r="R6223">
            <v>45432</v>
          </cell>
          <cell r="S6223">
            <v>45433</v>
          </cell>
          <cell r="T6223">
            <v>45434</v>
          </cell>
          <cell r="U6223">
            <v>45435</v>
          </cell>
          <cell r="V6223">
            <v>45440</v>
          </cell>
          <cell r="W6223">
            <v>45440</v>
          </cell>
          <cell r="X6223">
            <v>41100584</v>
          </cell>
        </row>
        <row r="6224">
          <cell r="K6224" t="str">
            <v>GBWS-4508</v>
          </cell>
          <cell r="L6224">
            <v>45422</v>
          </cell>
          <cell r="M6224">
            <v>45425</v>
          </cell>
          <cell r="N6224">
            <v>45433</v>
          </cell>
          <cell r="O6224">
            <v>45425</v>
          </cell>
          <cell r="P6224">
            <v>45434</v>
          </cell>
          <cell r="Q6224">
            <v>45433</v>
          </cell>
          <cell r="R6224">
            <v>45434</v>
          </cell>
          <cell r="S6224">
            <v>45435</v>
          </cell>
          <cell r="T6224">
            <v>45436</v>
          </cell>
          <cell r="U6224">
            <v>45439</v>
          </cell>
          <cell r="V6224">
            <v>45440</v>
          </cell>
          <cell r="W6224">
            <v>45440</v>
          </cell>
          <cell r="X6224">
            <v>41200006</v>
          </cell>
        </row>
        <row r="6225">
          <cell r="K6225" t="str">
            <v>GBWS-4509</v>
          </cell>
          <cell r="L6225">
            <v>45422</v>
          </cell>
          <cell r="M6225">
            <v>45425</v>
          </cell>
          <cell r="N6225">
            <v>45433</v>
          </cell>
          <cell r="O6225">
            <v>45425</v>
          </cell>
          <cell r="P6225">
            <v>45434</v>
          </cell>
          <cell r="Q6225">
            <v>45433</v>
          </cell>
          <cell r="R6225">
            <v>45434</v>
          </cell>
          <cell r="S6225">
            <v>45435</v>
          </cell>
          <cell r="T6225">
            <v>45436</v>
          </cell>
          <cell r="U6225">
            <v>45439</v>
          </cell>
          <cell r="V6225">
            <v>45440</v>
          </cell>
          <cell r="W6225">
            <v>45440</v>
          </cell>
          <cell r="X6225">
            <v>41200006</v>
          </cell>
        </row>
        <row r="6226">
          <cell r="K6226" t="str">
            <v>GBWS-4498</v>
          </cell>
          <cell r="L6226">
            <v>45422</v>
          </cell>
          <cell r="M6226">
            <v>45422</v>
          </cell>
          <cell r="N6226">
            <v>45429</v>
          </cell>
          <cell r="O6226">
            <v>45422</v>
          </cell>
          <cell r="P6226">
            <v>45433</v>
          </cell>
          <cell r="Q6226">
            <v>45432</v>
          </cell>
          <cell r="R6226">
            <v>45433</v>
          </cell>
          <cell r="S6226">
            <v>45434</v>
          </cell>
          <cell r="T6226">
            <v>45435</v>
          </cell>
          <cell r="U6226">
            <v>45436</v>
          </cell>
          <cell r="V6226">
            <v>45440</v>
          </cell>
          <cell r="W6226">
            <v>45440</v>
          </cell>
          <cell r="X6226">
            <v>41100704</v>
          </cell>
        </row>
        <row r="6227">
          <cell r="K6227" t="str">
            <v>GBWS-4506</v>
          </cell>
          <cell r="L6227">
            <v>45422</v>
          </cell>
          <cell r="M6227">
            <v>45425</v>
          </cell>
          <cell r="N6227">
            <v>45433</v>
          </cell>
          <cell r="O6227">
            <v>45425</v>
          </cell>
          <cell r="P6227">
            <v>45433</v>
          </cell>
          <cell r="Q6227">
            <v>45434</v>
          </cell>
          <cell r="R6227">
            <v>45435</v>
          </cell>
          <cell r="S6227">
            <v>45436</v>
          </cell>
          <cell r="T6227">
            <v>45439</v>
          </cell>
          <cell r="U6227">
            <v>45440</v>
          </cell>
          <cell r="V6227">
            <v>45441</v>
          </cell>
          <cell r="W6227">
            <v>45441</v>
          </cell>
          <cell r="X6227">
            <v>41100564</v>
          </cell>
        </row>
        <row r="6228">
          <cell r="K6228" t="str">
            <v>GBWS-4507</v>
          </cell>
          <cell r="L6228">
            <v>45422</v>
          </cell>
          <cell r="M6228">
            <v>45425</v>
          </cell>
          <cell r="N6228">
            <v>45433</v>
          </cell>
          <cell r="O6228">
            <v>45425</v>
          </cell>
          <cell r="P6228">
            <v>45433</v>
          </cell>
          <cell r="Q6228">
            <v>45434</v>
          </cell>
          <cell r="R6228">
            <v>45435</v>
          </cell>
          <cell r="S6228">
            <v>45436</v>
          </cell>
          <cell r="T6228">
            <v>45439</v>
          </cell>
          <cell r="U6228">
            <v>45439</v>
          </cell>
          <cell r="V6228">
            <v>45441</v>
          </cell>
          <cell r="W6228">
            <v>45441</v>
          </cell>
          <cell r="X6228">
            <v>41100564</v>
          </cell>
        </row>
        <row r="6229">
          <cell r="K6229" t="str">
            <v>GBWS-4496</v>
          </cell>
          <cell r="L6229">
            <v>45421</v>
          </cell>
          <cell r="M6229">
            <v>45422</v>
          </cell>
          <cell r="N6229">
            <v>45432</v>
          </cell>
          <cell r="O6229">
            <v>45422</v>
          </cell>
          <cell r="P6229">
            <v>45429</v>
          </cell>
          <cell r="Q6229">
            <v>45432</v>
          </cell>
          <cell r="R6229">
            <v>45433</v>
          </cell>
          <cell r="S6229">
            <v>45435</v>
          </cell>
          <cell r="T6229">
            <v>45436</v>
          </cell>
          <cell r="U6229">
            <v>45439</v>
          </cell>
          <cell r="V6229">
            <v>45440</v>
          </cell>
          <cell r="W6229">
            <v>45440</v>
          </cell>
          <cell r="X6229">
            <v>41100662</v>
          </cell>
        </row>
        <row r="6230">
          <cell r="K6230" t="str">
            <v>GBWS-4511</v>
          </cell>
          <cell r="L6230">
            <v>45425</v>
          </cell>
          <cell r="M6230">
            <v>45426</v>
          </cell>
          <cell r="N6230">
            <v>45434</v>
          </cell>
          <cell r="O6230">
            <v>45426</v>
          </cell>
          <cell r="P6230">
            <v>45435</v>
          </cell>
          <cell r="Q6230">
            <v>45434</v>
          </cell>
          <cell r="R6230">
            <v>45435</v>
          </cell>
          <cell r="S6230">
            <v>45436</v>
          </cell>
          <cell r="T6230">
            <v>45439</v>
          </cell>
          <cell r="U6230">
            <v>45441</v>
          </cell>
          <cell r="V6230">
            <v>45441</v>
          </cell>
          <cell r="W6230">
            <v>45441</v>
          </cell>
          <cell r="X6230">
            <v>41100698</v>
          </cell>
        </row>
        <row r="6231">
          <cell r="K6231" t="str">
            <v>GBWS-4512</v>
          </cell>
          <cell r="L6231">
            <v>45425</v>
          </cell>
          <cell r="M6231">
            <v>45426</v>
          </cell>
          <cell r="N6231">
            <v>45434</v>
          </cell>
          <cell r="O6231">
            <v>45426</v>
          </cell>
          <cell r="P6231">
            <v>45435</v>
          </cell>
          <cell r="Q6231">
            <v>45434</v>
          </cell>
          <cell r="R6231">
            <v>45435</v>
          </cell>
          <cell r="S6231">
            <v>45436</v>
          </cell>
          <cell r="T6231">
            <v>45439</v>
          </cell>
          <cell r="U6231">
            <v>45439</v>
          </cell>
          <cell r="V6231">
            <v>45441</v>
          </cell>
          <cell r="W6231">
            <v>45441</v>
          </cell>
          <cell r="X6231">
            <v>41100698</v>
          </cell>
        </row>
        <row r="6232">
          <cell r="K6232" t="str">
            <v>GBWS-4513</v>
          </cell>
          <cell r="L6232">
            <v>45425</v>
          </cell>
          <cell r="M6232">
            <v>45426</v>
          </cell>
          <cell r="N6232">
            <v>45434</v>
          </cell>
          <cell r="O6232">
            <v>45426</v>
          </cell>
          <cell r="P6232">
            <v>45435</v>
          </cell>
          <cell r="Q6232">
            <v>45434</v>
          </cell>
          <cell r="R6232">
            <v>45435</v>
          </cell>
          <cell r="S6232">
            <v>45436</v>
          </cell>
          <cell r="T6232">
            <v>45439</v>
          </cell>
          <cell r="U6232">
            <v>45439</v>
          </cell>
          <cell r="V6232">
            <v>45441</v>
          </cell>
          <cell r="W6232">
            <v>45441</v>
          </cell>
          <cell r="X6232">
            <v>41100698</v>
          </cell>
        </row>
        <row r="6233">
          <cell r="K6233" t="str">
            <v>GBWS-4354</v>
          </cell>
          <cell r="L6233">
            <v>45383</v>
          </cell>
          <cell r="M6233">
            <v>45384</v>
          </cell>
          <cell r="N6233">
            <v>45393</v>
          </cell>
          <cell r="O6233">
            <v>45384</v>
          </cell>
          <cell r="P6233">
            <v>45394</v>
          </cell>
          <cell r="Q6233">
            <v>45393</v>
          </cell>
          <cell r="R6233">
            <v>45394</v>
          </cell>
          <cell r="S6233">
            <v>45398</v>
          </cell>
          <cell r="T6233">
            <v>45399</v>
          </cell>
          <cell r="U6233">
            <v>45400</v>
          </cell>
          <cell r="V6233">
            <v>45401</v>
          </cell>
          <cell r="W6233">
            <v>45401</v>
          </cell>
          <cell r="X6233">
            <v>41100698</v>
          </cell>
        </row>
        <row r="6234">
          <cell r="K6234" t="str">
            <v>GBWS-4355</v>
          </cell>
          <cell r="L6234">
            <v>45383</v>
          </cell>
          <cell r="M6234">
            <v>45384</v>
          </cell>
          <cell r="N6234">
            <v>45393</v>
          </cell>
          <cell r="O6234">
            <v>45384</v>
          </cell>
          <cell r="P6234">
            <v>45394</v>
          </cell>
          <cell r="Q6234">
            <v>45393</v>
          </cell>
          <cell r="R6234">
            <v>45394</v>
          </cell>
          <cell r="S6234">
            <v>45398</v>
          </cell>
          <cell r="T6234">
            <v>45404</v>
          </cell>
          <cell r="U6234">
            <v>45405</v>
          </cell>
          <cell r="V6234">
            <v>45405</v>
          </cell>
          <cell r="W6234">
            <v>45405</v>
          </cell>
          <cell r="X6234">
            <v>41100698</v>
          </cell>
        </row>
        <row r="6235">
          <cell r="K6235" t="str">
            <v>DBW-3192</v>
          </cell>
          <cell r="L6235">
            <v>45306</v>
          </cell>
          <cell r="M6235">
            <v>45307</v>
          </cell>
          <cell r="N6235">
            <v>45313</v>
          </cell>
          <cell r="O6235">
            <v>45307</v>
          </cell>
          <cell r="P6235">
            <v>45316</v>
          </cell>
          <cell r="Q6235">
            <v>45315</v>
          </cell>
          <cell r="R6235">
            <v>45316</v>
          </cell>
          <cell r="S6235">
            <v>45317</v>
          </cell>
          <cell r="T6235">
            <v>45317</v>
          </cell>
          <cell r="U6235">
            <v>45321</v>
          </cell>
          <cell r="V6235">
            <v>45322</v>
          </cell>
          <cell r="W6235">
            <v>45322</v>
          </cell>
          <cell r="X6235">
            <v>41000573</v>
          </cell>
        </row>
        <row r="6236">
          <cell r="K6236" t="str">
            <v>DBW-3193</v>
          </cell>
          <cell r="L6236">
            <v>45306</v>
          </cell>
          <cell r="M6236">
            <v>45307</v>
          </cell>
          <cell r="N6236">
            <v>45313</v>
          </cell>
          <cell r="O6236">
            <v>45307</v>
          </cell>
          <cell r="P6236">
            <v>45316</v>
          </cell>
          <cell r="Q6236">
            <v>45315</v>
          </cell>
          <cell r="R6236">
            <v>45316</v>
          </cell>
          <cell r="S6236">
            <v>45317</v>
          </cell>
          <cell r="T6236">
            <v>45317</v>
          </cell>
          <cell r="U6236">
            <v>45321</v>
          </cell>
          <cell r="V6236">
            <v>45322</v>
          </cell>
          <cell r="W6236">
            <v>45322</v>
          </cell>
          <cell r="X6236">
            <v>41000573</v>
          </cell>
        </row>
        <row r="6237">
          <cell r="K6237" t="str">
            <v>GPWS-0326</v>
          </cell>
          <cell r="L6237">
            <v>45370</v>
          </cell>
          <cell r="M6237" t="str">
            <v>2024-03-19 → 3/20</v>
          </cell>
          <cell r="N6237">
            <v>45387</v>
          </cell>
          <cell r="O6237" t="str">
            <v>2024-03-19 → 3/20</v>
          </cell>
          <cell r="P6237">
            <v>45387</v>
          </cell>
          <cell r="Q6237" t="str">
            <v>2024-03-25 → 3/26 → 3/27 → 4/9</v>
          </cell>
          <cell r="R6237" t="str">
            <v>2024-03-26 → 3/27 →4/9</v>
          </cell>
          <cell r="S6237">
            <v>45419</v>
          </cell>
          <cell r="T6237">
            <v>45420</v>
          </cell>
          <cell r="U6237">
            <v>45421</v>
          </cell>
          <cell r="V6237">
            <v>45425</v>
          </cell>
          <cell r="W6237">
            <v>45425</v>
          </cell>
          <cell r="X6237">
            <v>41000548</v>
          </cell>
        </row>
        <row r="6238">
          <cell r="K6238" t="str">
            <v>GPWS-0327</v>
          </cell>
          <cell r="L6238">
            <v>45370</v>
          </cell>
          <cell r="M6238" t="str">
            <v>2024-03-19 → 3/20</v>
          </cell>
          <cell r="N6238">
            <v>45387</v>
          </cell>
          <cell r="O6238" t="str">
            <v>2024-03-19 → 3/20</v>
          </cell>
          <cell r="P6238">
            <v>45387</v>
          </cell>
          <cell r="Q6238" t="str">
            <v>2024-03-25 → 3/26 → 3/27 → 4/9</v>
          </cell>
          <cell r="R6238" t="str">
            <v>2024-03-26 → 3/27 →4/9</v>
          </cell>
          <cell r="S6238">
            <v>45432</v>
          </cell>
          <cell r="T6238">
            <v>45435</v>
          </cell>
          <cell r="U6238">
            <v>45436</v>
          </cell>
          <cell r="V6238">
            <v>45439</v>
          </cell>
          <cell r="W6238">
            <v>45439</v>
          </cell>
          <cell r="X6238">
            <v>41000548</v>
          </cell>
        </row>
        <row r="6239">
          <cell r="K6239" t="str">
            <v>GPWS-0328</v>
          </cell>
          <cell r="L6239">
            <v>45370</v>
          </cell>
          <cell r="M6239" t="str">
            <v>2024-03-19 → 3/20</v>
          </cell>
          <cell r="N6239">
            <v>45387</v>
          </cell>
          <cell r="O6239" t="str">
            <v>2024-03-19 → 3/20</v>
          </cell>
          <cell r="P6239">
            <v>45387</v>
          </cell>
          <cell r="Q6239" t="str">
            <v>2024-03-25 → 3/26 → 3/27 → 4/9</v>
          </cell>
          <cell r="R6239" t="str">
            <v>2024-03-26 → 3/27 →4/9</v>
          </cell>
          <cell r="S6239">
            <v>45432</v>
          </cell>
          <cell r="T6239">
            <v>45435</v>
          </cell>
          <cell r="U6239">
            <v>45436</v>
          </cell>
          <cell r="V6239">
            <v>45439</v>
          </cell>
          <cell r="W6239">
            <v>45439</v>
          </cell>
          <cell r="X6239">
            <v>41000548</v>
          </cell>
        </row>
        <row r="6240">
          <cell r="K6240" t="str">
            <v>GPWS-0377</v>
          </cell>
          <cell r="L6240">
            <v>45397</v>
          </cell>
          <cell r="M6240">
            <v>45398</v>
          </cell>
          <cell r="N6240">
            <v>45407</v>
          </cell>
          <cell r="O6240">
            <v>45398</v>
          </cell>
          <cell r="P6240">
            <v>45412</v>
          </cell>
          <cell r="Q6240" t="str">
            <v>2024-04-26 → 5/2</v>
          </cell>
          <cell r="R6240" t="str">
            <v>2024-04-29 → 5/3</v>
          </cell>
          <cell r="S6240">
            <v>45426</v>
          </cell>
          <cell r="T6240">
            <v>45429</v>
          </cell>
          <cell r="U6240">
            <v>45429</v>
          </cell>
          <cell r="V6240">
            <v>45432</v>
          </cell>
          <cell r="W6240">
            <v>45432</v>
          </cell>
          <cell r="X6240">
            <v>41000546</v>
          </cell>
        </row>
        <row r="6241">
          <cell r="K6241" t="str">
            <v>GPWS-0378</v>
          </cell>
          <cell r="L6241">
            <v>45397</v>
          </cell>
          <cell r="M6241">
            <v>45398</v>
          </cell>
          <cell r="N6241">
            <v>45407</v>
          </cell>
          <cell r="O6241">
            <v>45398</v>
          </cell>
          <cell r="P6241">
            <v>45412</v>
          </cell>
          <cell r="Q6241" t="str">
            <v>2024-04-26 → 5/2</v>
          </cell>
          <cell r="R6241" t="str">
            <v>2024-04-29 → 5/3</v>
          </cell>
          <cell r="S6241">
            <v>45426</v>
          </cell>
          <cell r="T6241">
            <v>45429</v>
          </cell>
          <cell r="U6241">
            <v>45433</v>
          </cell>
          <cell r="V6241">
            <v>45433</v>
          </cell>
          <cell r="W6241">
            <v>45433</v>
          </cell>
          <cell r="X6241">
            <v>41000546</v>
          </cell>
        </row>
        <row r="6242">
          <cell r="K6242" t="str">
            <v>GPWS-0379</v>
          </cell>
          <cell r="L6242">
            <v>45397</v>
          </cell>
          <cell r="M6242">
            <v>45398</v>
          </cell>
          <cell r="N6242">
            <v>45407</v>
          </cell>
          <cell r="O6242">
            <v>45398</v>
          </cell>
          <cell r="P6242">
            <v>45412</v>
          </cell>
          <cell r="Q6242" t="str">
            <v>2024-04-26 → 5/2</v>
          </cell>
          <cell r="R6242" t="str">
            <v>2024-04-29 → 5/3</v>
          </cell>
          <cell r="S6242">
            <v>45432</v>
          </cell>
          <cell r="T6242">
            <v>45433</v>
          </cell>
          <cell r="U6242">
            <v>45434</v>
          </cell>
          <cell r="V6242">
            <v>45435</v>
          </cell>
          <cell r="W6242">
            <v>45435</v>
          </cell>
          <cell r="X6242">
            <v>41000546</v>
          </cell>
        </row>
        <row r="6243">
          <cell r="K6243" t="str">
            <v>GPWS-0380</v>
          </cell>
          <cell r="L6243">
            <v>45397</v>
          </cell>
          <cell r="M6243">
            <v>45398</v>
          </cell>
          <cell r="N6243">
            <v>45407</v>
          </cell>
          <cell r="O6243">
            <v>45398</v>
          </cell>
          <cell r="P6243">
            <v>45412</v>
          </cell>
          <cell r="Q6243" t="str">
            <v>2024-04-26 → 5/2</v>
          </cell>
          <cell r="R6243" t="str">
            <v>2024-04-29 → 5/3</v>
          </cell>
          <cell r="S6243">
            <v>45433</v>
          </cell>
          <cell r="T6243">
            <v>45434</v>
          </cell>
          <cell r="U6243">
            <v>45435</v>
          </cell>
          <cell r="V6243">
            <v>45436</v>
          </cell>
          <cell r="W6243">
            <v>45436</v>
          </cell>
          <cell r="X6243">
            <v>41000546</v>
          </cell>
        </row>
        <row r="6244">
          <cell r="K6244" t="str">
            <v>GPWS-0395</v>
          </cell>
          <cell r="L6244">
            <v>45419</v>
          </cell>
          <cell r="M6244" t="str">
            <v>2024-04-30 → 5/8</v>
          </cell>
          <cell r="N6244">
            <v>45429</v>
          </cell>
          <cell r="O6244" t="str">
            <v>2024-04-30 → 5/8</v>
          </cell>
          <cell r="P6244">
            <v>45432</v>
          </cell>
          <cell r="Q6244" t="str">
            <v>2024-05-10 → 5/17</v>
          </cell>
          <cell r="R6244" t="str">
            <v>2024-05-13 → 5/20</v>
          </cell>
          <cell r="S6244">
            <v>45434</v>
          </cell>
          <cell r="T6244">
            <v>45435</v>
          </cell>
          <cell r="U6244">
            <v>45436</v>
          </cell>
          <cell r="V6244">
            <v>45440</v>
          </cell>
          <cell r="W6244">
            <v>45440</v>
          </cell>
          <cell r="X6244">
            <v>41000546</v>
          </cell>
        </row>
        <row r="6245">
          <cell r="K6245" t="str">
            <v>GPWS-0396</v>
          </cell>
          <cell r="L6245">
            <v>45419</v>
          </cell>
          <cell r="M6245" t="str">
            <v>2024-04-30 → 5/8</v>
          </cell>
          <cell r="N6245">
            <v>45429</v>
          </cell>
          <cell r="O6245" t="str">
            <v>2024-04-30 → 5/8</v>
          </cell>
          <cell r="P6245">
            <v>45432</v>
          </cell>
          <cell r="Q6245" t="str">
            <v>2024-05-10 → 5/17</v>
          </cell>
          <cell r="R6245" t="str">
            <v>2024-05-13 → 5/20</v>
          </cell>
          <cell r="S6245">
            <v>45436</v>
          </cell>
          <cell r="T6245">
            <v>45439</v>
          </cell>
          <cell r="U6245">
            <v>45439</v>
          </cell>
          <cell r="V6245">
            <v>45440</v>
          </cell>
          <cell r="W6245">
            <v>45440</v>
          </cell>
          <cell r="X6245">
            <v>41000546</v>
          </cell>
        </row>
        <row r="6246">
          <cell r="K6246" t="str">
            <v>GPWS-0397</v>
          </cell>
          <cell r="L6246">
            <v>45419</v>
          </cell>
          <cell r="M6246" t="str">
            <v>2024-04-30 → 5/8</v>
          </cell>
          <cell r="N6246">
            <v>45429</v>
          </cell>
          <cell r="O6246" t="str">
            <v>2024-04-30 → 5/8</v>
          </cell>
          <cell r="P6246">
            <v>45432</v>
          </cell>
          <cell r="Q6246" t="str">
            <v>2024-05-10 → 5/17</v>
          </cell>
          <cell r="R6246" t="str">
            <v>2024-05-13 → 5/20</v>
          </cell>
          <cell r="S6246">
            <v>45435</v>
          </cell>
          <cell r="T6246">
            <v>45436</v>
          </cell>
          <cell r="U6246">
            <v>45439</v>
          </cell>
          <cell r="V6246">
            <v>45440</v>
          </cell>
          <cell r="W6246">
            <v>45440</v>
          </cell>
          <cell r="X6246">
            <v>41000546</v>
          </cell>
        </row>
        <row r="6247">
          <cell r="K6247" t="str">
            <v>GPWS-0398</v>
          </cell>
          <cell r="L6247">
            <v>45419</v>
          </cell>
          <cell r="M6247" t="str">
            <v>2024-04-30 → 5/8</v>
          </cell>
          <cell r="N6247">
            <v>45429</v>
          </cell>
          <cell r="O6247" t="str">
            <v>2024-04-30 → 5/8</v>
          </cell>
          <cell r="P6247">
            <v>45432</v>
          </cell>
          <cell r="Q6247" t="str">
            <v>2024-05-10 → 5/17</v>
          </cell>
          <cell r="R6247" t="str">
            <v>2024-05-13 → 5/20</v>
          </cell>
          <cell r="S6247">
            <v>45435</v>
          </cell>
          <cell r="T6247">
            <v>45436</v>
          </cell>
          <cell r="U6247">
            <v>45439</v>
          </cell>
          <cell r="V6247">
            <v>45440</v>
          </cell>
          <cell r="W6247">
            <v>45440</v>
          </cell>
          <cell r="X6247">
            <v>41000546</v>
          </cell>
        </row>
        <row r="6248">
          <cell r="K6248" t="str">
            <v>GBWS-4514</v>
          </cell>
          <cell r="L6248">
            <v>45425</v>
          </cell>
          <cell r="M6248">
            <v>45426</v>
          </cell>
          <cell r="N6248">
            <v>45435</v>
          </cell>
          <cell r="O6248">
            <v>45426</v>
          </cell>
          <cell r="P6248">
            <v>45436</v>
          </cell>
          <cell r="Q6248">
            <v>45435</v>
          </cell>
          <cell r="R6248">
            <v>45436</v>
          </cell>
          <cell r="S6248">
            <v>45439</v>
          </cell>
          <cell r="T6248">
            <v>45440</v>
          </cell>
          <cell r="U6248">
            <v>45441</v>
          </cell>
          <cell r="V6248">
            <v>45442</v>
          </cell>
          <cell r="W6248">
            <v>45442</v>
          </cell>
          <cell r="X6248">
            <v>41100566</v>
          </cell>
        </row>
        <row r="6249">
          <cell r="K6249" t="str">
            <v>GBWS-4491</v>
          </cell>
          <cell r="L6249">
            <v>45415</v>
          </cell>
          <cell r="M6249">
            <v>45419</v>
          </cell>
          <cell r="N6249">
            <v>45435</v>
          </cell>
          <cell r="O6249">
            <v>45419</v>
          </cell>
          <cell r="P6249">
            <v>45434</v>
          </cell>
          <cell r="Q6249">
            <v>45425</v>
          </cell>
          <cell r="R6249">
            <v>45426</v>
          </cell>
          <cell r="S6249">
            <v>45435</v>
          </cell>
          <cell r="T6249">
            <v>45439</v>
          </cell>
          <cell r="U6249">
            <v>45442</v>
          </cell>
          <cell r="V6249">
            <v>45443</v>
          </cell>
          <cell r="W6249">
            <v>45443</v>
          </cell>
          <cell r="X6249">
            <v>41100232</v>
          </cell>
        </row>
        <row r="6250">
          <cell r="K6250" t="str">
            <v>RT-0027</v>
          </cell>
          <cell r="L6250">
            <v>45415</v>
          </cell>
          <cell r="M6250">
            <v>45419</v>
          </cell>
          <cell r="N6250">
            <v>45436</v>
          </cell>
          <cell r="O6250">
            <v>45419</v>
          </cell>
          <cell r="P6250">
            <v>45434</v>
          </cell>
          <cell r="Q6250">
            <v>45425</v>
          </cell>
          <cell r="R6250">
            <v>45426</v>
          </cell>
          <cell r="S6250">
            <v>45435</v>
          </cell>
          <cell r="T6250">
            <v>45439</v>
          </cell>
          <cell r="U6250">
            <v>45442</v>
          </cell>
          <cell r="V6250">
            <v>45443</v>
          </cell>
          <cell r="W6250">
            <v>45443</v>
          </cell>
          <cell r="X6250">
            <v>31101044</v>
          </cell>
        </row>
        <row r="6251">
          <cell r="K6251" t="str">
            <v>GBWS-4525</v>
          </cell>
          <cell r="L6251">
            <v>45428</v>
          </cell>
          <cell r="M6251">
            <v>45429</v>
          </cell>
          <cell r="N6251">
            <v>45435</v>
          </cell>
          <cell r="O6251">
            <v>45429</v>
          </cell>
          <cell r="P6251">
            <v>45435</v>
          </cell>
          <cell r="Q6251">
            <v>45435</v>
          </cell>
          <cell r="R6251">
            <v>45436</v>
          </cell>
          <cell r="S6251">
            <v>45439</v>
          </cell>
          <cell r="T6251">
            <v>45440</v>
          </cell>
          <cell r="U6251">
            <v>45442</v>
          </cell>
          <cell r="V6251">
            <v>45442</v>
          </cell>
          <cell r="W6251">
            <v>45442</v>
          </cell>
          <cell r="X6251">
            <v>41100558</v>
          </cell>
        </row>
        <row r="6252">
          <cell r="K6252" t="str">
            <v>GBWS-4534</v>
          </cell>
          <cell r="L6252">
            <v>45429</v>
          </cell>
          <cell r="M6252">
            <v>45432</v>
          </cell>
          <cell r="N6252">
            <v>45436</v>
          </cell>
          <cell r="O6252">
            <v>45432</v>
          </cell>
          <cell r="P6252">
            <v>45436</v>
          </cell>
          <cell r="Q6252">
            <v>45436</v>
          </cell>
          <cell r="R6252">
            <v>45439</v>
          </cell>
          <cell r="S6252">
            <v>45440</v>
          </cell>
          <cell r="T6252">
            <v>45441</v>
          </cell>
          <cell r="U6252">
            <v>45442</v>
          </cell>
          <cell r="V6252">
            <v>45443</v>
          </cell>
          <cell r="W6252">
            <v>45443</v>
          </cell>
          <cell r="X6252">
            <v>41100448</v>
          </cell>
        </row>
        <row r="6253">
          <cell r="K6253" t="str">
            <v>GBWS-4535</v>
          </cell>
          <cell r="L6253">
            <v>45429</v>
          </cell>
          <cell r="M6253">
            <v>45432</v>
          </cell>
          <cell r="N6253">
            <v>45436</v>
          </cell>
          <cell r="O6253">
            <v>45432</v>
          </cell>
          <cell r="P6253">
            <v>45436</v>
          </cell>
          <cell r="Q6253">
            <v>45436</v>
          </cell>
          <cell r="R6253">
            <v>45439</v>
          </cell>
          <cell r="S6253">
            <v>45440</v>
          </cell>
          <cell r="T6253">
            <v>45442</v>
          </cell>
          <cell r="U6253">
            <v>45442</v>
          </cell>
          <cell r="V6253">
            <v>45443</v>
          </cell>
          <cell r="W6253">
            <v>45443</v>
          </cell>
          <cell r="X6253">
            <v>41100448</v>
          </cell>
        </row>
        <row r="6254">
          <cell r="K6254" t="str">
            <v>GBWS-4520</v>
          </cell>
          <cell r="L6254">
            <v>45427</v>
          </cell>
          <cell r="M6254">
            <v>45428</v>
          </cell>
          <cell r="N6254">
            <v>45435</v>
          </cell>
          <cell r="O6254">
            <v>45428</v>
          </cell>
          <cell r="P6254">
            <v>45436</v>
          </cell>
          <cell r="Q6254">
            <v>45435</v>
          </cell>
          <cell r="R6254">
            <v>45436</v>
          </cell>
          <cell r="S6254">
            <v>45439</v>
          </cell>
          <cell r="T6254">
            <v>45440</v>
          </cell>
          <cell r="U6254">
            <v>45441</v>
          </cell>
          <cell r="V6254">
            <v>45442</v>
          </cell>
          <cell r="W6254">
            <v>45442</v>
          </cell>
          <cell r="X6254">
            <v>41200006</v>
          </cell>
        </row>
        <row r="6255">
          <cell r="K6255" t="str">
            <v>GBWS-4495</v>
          </cell>
          <cell r="L6255">
            <v>45420</v>
          </cell>
          <cell r="M6255">
            <v>45421</v>
          </cell>
          <cell r="N6255">
            <v>45429</v>
          </cell>
          <cell r="O6255">
            <v>45421</v>
          </cell>
          <cell r="P6255">
            <v>45432</v>
          </cell>
          <cell r="Q6255">
            <v>45429</v>
          </cell>
          <cell r="R6255">
            <v>45432</v>
          </cell>
          <cell r="S6255">
            <v>45434</v>
          </cell>
          <cell r="T6255">
            <v>45435</v>
          </cell>
          <cell r="U6255">
            <v>45436</v>
          </cell>
          <cell r="V6255">
            <v>45439</v>
          </cell>
          <cell r="W6255">
            <v>45439</v>
          </cell>
          <cell r="X6255">
            <v>41100318</v>
          </cell>
        </row>
        <row r="6256">
          <cell r="K6256" t="str">
            <v>WS-0088</v>
          </cell>
          <cell r="L6256">
            <v>45422</v>
          </cell>
          <cell r="M6256">
            <v>45425</v>
          </cell>
          <cell r="N6256">
            <v>45429</v>
          </cell>
          <cell r="O6256">
            <v>45425</v>
          </cell>
          <cell r="P6256">
            <v>45433</v>
          </cell>
          <cell r="Q6256">
            <v>45432</v>
          </cell>
          <cell r="R6256">
            <v>45433</v>
          </cell>
          <cell r="S6256">
            <v>45434</v>
          </cell>
          <cell r="T6256">
            <v>45435</v>
          </cell>
          <cell r="U6256">
            <v>45436</v>
          </cell>
          <cell r="V6256">
            <v>45439</v>
          </cell>
          <cell r="W6256">
            <v>45439</v>
          </cell>
          <cell r="X6256">
            <v>41100435</v>
          </cell>
        </row>
        <row r="6257">
          <cell r="K6257" t="str">
            <v>GBWS-4518</v>
          </cell>
          <cell r="L6257">
            <v>45427</v>
          </cell>
          <cell r="M6257">
            <v>45428</v>
          </cell>
          <cell r="N6257">
            <v>45436</v>
          </cell>
          <cell r="O6257">
            <v>45428</v>
          </cell>
          <cell r="P6257">
            <v>45439</v>
          </cell>
          <cell r="Q6257">
            <v>45436</v>
          </cell>
          <cell r="R6257">
            <v>45439</v>
          </cell>
          <cell r="S6257">
            <v>45440</v>
          </cell>
          <cell r="T6257">
            <v>45441</v>
          </cell>
          <cell r="U6257">
            <v>45442</v>
          </cell>
          <cell r="V6257">
            <v>45443</v>
          </cell>
          <cell r="W6257">
            <v>45443</v>
          </cell>
          <cell r="X6257">
            <v>41100363</v>
          </cell>
        </row>
        <row r="6258">
          <cell r="K6258" t="str">
            <v>GBWS-4519</v>
          </cell>
          <cell r="L6258">
            <v>45427</v>
          </cell>
          <cell r="M6258">
            <v>45428</v>
          </cell>
          <cell r="N6258">
            <v>45436</v>
          </cell>
          <cell r="O6258">
            <v>45428</v>
          </cell>
          <cell r="P6258">
            <v>45439</v>
          </cell>
          <cell r="Q6258">
            <v>45436</v>
          </cell>
          <cell r="R6258">
            <v>45439</v>
          </cell>
          <cell r="S6258">
            <v>45440</v>
          </cell>
          <cell r="T6258">
            <v>45441</v>
          </cell>
          <cell r="U6258">
            <v>45442</v>
          </cell>
          <cell r="V6258">
            <v>45443</v>
          </cell>
          <cell r="W6258">
            <v>45443</v>
          </cell>
          <cell r="X6258">
            <v>41100363</v>
          </cell>
        </row>
        <row r="6259">
          <cell r="K6259" t="str">
            <v>GBWS-4526</v>
          </cell>
          <cell r="L6259">
            <v>45428</v>
          </cell>
          <cell r="M6259">
            <v>45429</v>
          </cell>
          <cell r="N6259">
            <v>45436</v>
          </cell>
          <cell r="O6259">
            <v>45429</v>
          </cell>
          <cell r="P6259">
            <v>45436</v>
          </cell>
          <cell r="Q6259">
            <v>45436</v>
          </cell>
          <cell r="R6259">
            <v>45439</v>
          </cell>
          <cell r="S6259">
            <v>45440</v>
          </cell>
          <cell r="T6259">
            <v>45441</v>
          </cell>
          <cell r="U6259">
            <v>45442</v>
          </cell>
          <cell r="V6259">
            <v>45443</v>
          </cell>
          <cell r="W6259">
            <v>45443</v>
          </cell>
          <cell r="X6259">
            <v>41100334</v>
          </cell>
        </row>
        <row r="6260">
          <cell r="K6260" t="str">
            <v>GBWS-4419</v>
          </cell>
          <cell r="L6260">
            <v>45397</v>
          </cell>
          <cell r="M6260">
            <v>45398</v>
          </cell>
          <cell r="N6260">
            <v>45406</v>
          </cell>
          <cell r="O6260">
            <v>45398</v>
          </cell>
          <cell r="P6260">
            <v>45407</v>
          </cell>
          <cell r="Q6260">
            <v>45406</v>
          </cell>
          <cell r="R6260">
            <v>45407</v>
          </cell>
          <cell r="S6260">
            <v>45408</v>
          </cell>
          <cell r="T6260">
            <v>45411</v>
          </cell>
          <cell r="U6260">
            <v>45412</v>
          </cell>
          <cell r="V6260">
            <v>45414</v>
          </cell>
          <cell r="W6260">
            <v>45414</v>
          </cell>
          <cell r="X6260">
            <v>41100249</v>
          </cell>
        </row>
        <row r="6261">
          <cell r="K6261" t="str">
            <v>GBWS-4499</v>
          </cell>
          <cell r="L6261">
            <v>45421</v>
          </cell>
          <cell r="M6261">
            <v>45422</v>
          </cell>
          <cell r="N6261">
            <v>45429</v>
          </cell>
          <cell r="O6261">
            <v>45422</v>
          </cell>
          <cell r="P6261">
            <v>45432</v>
          </cell>
          <cell r="Q6261">
            <v>45429</v>
          </cell>
          <cell r="R6261">
            <v>45432</v>
          </cell>
          <cell r="S6261">
            <v>45433</v>
          </cell>
          <cell r="T6261">
            <v>45434</v>
          </cell>
          <cell r="U6261">
            <v>45435</v>
          </cell>
          <cell r="V6261">
            <v>45436</v>
          </cell>
          <cell r="W6261">
            <v>45436</v>
          </cell>
          <cell r="X6261">
            <v>41200005</v>
          </cell>
        </row>
        <row r="6262">
          <cell r="K6262" t="str">
            <v>GBWS-4500</v>
          </cell>
          <cell r="L6262">
            <v>45421</v>
          </cell>
          <cell r="M6262">
            <v>45422</v>
          </cell>
          <cell r="N6262">
            <v>45429</v>
          </cell>
          <cell r="O6262">
            <v>45422</v>
          </cell>
          <cell r="P6262">
            <v>45432</v>
          </cell>
          <cell r="Q6262">
            <v>45429</v>
          </cell>
          <cell r="R6262">
            <v>45432</v>
          </cell>
          <cell r="S6262">
            <v>45433</v>
          </cell>
          <cell r="T6262">
            <v>45434</v>
          </cell>
          <cell r="U6262">
            <v>45435</v>
          </cell>
          <cell r="V6262">
            <v>45436</v>
          </cell>
          <cell r="W6262">
            <v>45436</v>
          </cell>
          <cell r="X6262">
            <v>41200005</v>
          </cell>
        </row>
        <row r="6263">
          <cell r="K6263" t="str">
            <v>GBWS-4501</v>
          </cell>
          <cell r="L6263">
            <v>45421</v>
          </cell>
          <cell r="M6263">
            <v>45422</v>
          </cell>
          <cell r="N6263">
            <v>45429</v>
          </cell>
          <cell r="O6263">
            <v>45422</v>
          </cell>
          <cell r="P6263">
            <v>45432</v>
          </cell>
          <cell r="Q6263">
            <v>45429</v>
          </cell>
          <cell r="R6263">
            <v>45432</v>
          </cell>
          <cell r="S6263">
            <v>45433</v>
          </cell>
          <cell r="T6263">
            <v>45434</v>
          </cell>
          <cell r="U6263">
            <v>45435</v>
          </cell>
          <cell r="V6263">
            <v>45436</v>
          </cell>
          <cell r="W6263">
            <v>45436</v>
          </cell>
          <cell r="X6263">
            <v>41200005</v>
          </cell>
        </row>
        <row r="6264">
          <cell r="K6264" t="str">
            <v>GBWS-4502</v>
          </cell>
          <cell r="L6264">
            <v>45421</v>
          </cell>
          <cell r="M6264">
            <v>45422</v>
          </cell>
          <cell r="N6264">
            <v>45429</v>
          </cell>
          <cell r="O6264">
            <v>45422</v>
          </cell>
          <cell r="P6264">
            <v>45432</v>
          </cell>
          <cell r="Q6264">
            <v>45429</v>
          </cell>
          <cell r="R6264">
            <v>45432</v>
          </cell>
          <cell r="S6264">
            <v>45433</v>
          </cell>
          <cell r="T6264">
            <v>45434</v>
          </cell>
          <cell r="U6264">
            <v>45435</v>
          </cell>
          <cell r="V6264">
            <v>45436</v>
          </cell>
          <cell r="W6264">
            <v>45436</v>
          </cell>
          <cell r="X6264">
            <v>41200005</v>
          </cell>
        </row>
        <row r="6265">
          <cell r="K6265" t="str">
            <v>GBWS-4521</v>
          </cell>
          <cell r="L6265">
            <v>45427</v>
          </cell>
          <cell r="M6265">
            <v>45428</v>
          </cell>
          <cell r="N6265">
            <v>45435</v>
          </cell>
          <cell r="O6265">
            <v>45428</v>
          </cell>
          <cell r="P6265">
            <v>45436</v>
          </cell>
          <cell r="Q6265">
            <v>45435</v>
          </cell>
          <cell r="R6265">
            <v>45436</v>
          </cell>
          <cell r="S6265">
            <v>45439</v>
          </cell>
          <cell r="T6265">
            <v>45440</v>
          </cell>
          <cell r="U6265">
            <v>45441</v>
          </cell>
          <cell r="V6265">
            <v>45442</v>
          </cell>
          <cell r="W6265">
            <v>45442</v>
          </cell>
          <cell r="X6265">
            <v>41200006</v>
          </cell>
        </row>
        <row r="6266">
          <cell r="K6266" t="str">
            <v>GBWS-4516</v>
          </cell>
          <cell r="L6266">
            <v>45425</v>
          </cell>
          <cell r="M6266">
            <v>45426</v>
          </cell>
          <cell r="N6266">
            <v>45433</v>
          </cell>
          <cell r="O6266">
            <v>45426</v>
          </cell>
          <cell r="P6266">
            <v>45434</v>
          </cell>
          <cell r="Q6266">
            <v>45433</v>
          </cell>
          <cell r="R6266">
            <v>45434</v>
          </cell>
          <cell r="S6266">
            <v>45436</v>
          </cell>
          <cell r="T6266">
            <v>45440</v>
          </cell>
          <cell r="U6266">
            <v>45442</v>
          </cell>
          <cell r="V6266">
            <v>45443</v>
          </cell>
          <cell r="W6266">
            <v>45443</v>
          </cell>
          <cell r="X6266">
            <v>41200006</v>
          </cell>
        </row>
        <row r="6267">
          <cell r="K6267" t="str">
            <v>GBWS-4517</v>
          </cell>
          <cell r="L6267">
            <v>45425</v>
          </cell>
          <cell r="M6267">
            <v>45426</v>
          </cell>
          <cell r="N6267">
            <v>45433</v>
          </cell>
          <cell r="O6267">
            <v>45426</v>
          </cell>
          <cell r="P6267">
            <v>45434</v>
          </cell>
          <cell r="Q6267">
            <v>45433</v>
          </cell>
          <cell r="R6267">
            <v>45434</v>
          </cell>
          <cell r="S6267">
            <v>45436</v>
          </cell>
          <cell r="T6267">
            <v>45440</v>
          </cell>
          <cell r="U6267">
            <v>45442</v>
          </cell>
          <cell r="V6267">
            <v>45443</v>
          </cell>
          <cell r="W6267">
            <v>45443</v>
          </cell>
          <cell r="X6267">
            <v>41200006</v>
          </cell>
        </row>
        <row r="6268">
          <cell r="K6268" t="str">
            <v>GBWS-4515</v>
          </cell>
          <cell r="L6268">
            <v>45425</v>
          </cell>
          <cell r="M6268">
            <v>45426</v>
          </cell>
          <cell r="N6268">
            <v>45433</v>
          </cell>
          <cell r="O6268">
            <v>45426</v>
          </cell>
          <cell r="P6268">
            <v>45434</v>
          </cell>
          <cell r="Q6268">
            <v>45433</v>
          </cell>
          <cell r="R6268">
            <v>45434</v>
          </cell>
          <cell r="S6268">
            <v>45440</v>
          </cell>
          <cell r="T6268">
            <v>45442</v>
          </cell>
          <cell r="U6268">
            <v>45443</v>
          </cell>
          <cell r="V6268">
            <v>45446</v>
          </cell>
          <cell r="W6268">
            <v>45446</v>
          </cell>
          <cell r="X6268">
            <v>41100320</v>
          </cell>
        </row>
        <row r="6269">
          <cell r="K6269" t="str">
            <v>GBWS-4522</v>
          </cell>
          <cell r="L6269">
            <v>45427</v>
          </cell>
          <cell r="M6269">
            <v>45428</v>
          </cell>
          <cell r="N6269">
            <v>45435</v>
          </cell>
          <cell r="O6269">
            <v>45428</v>
          </cell>
          <cell r="P6269">
            <v>45436</v>
          </cell>
          <cell r="Q6269">
            <v>45435</v>
          </cell>
          <cell r="R6269">
            <v>45436</v>
          </cell>
          <cell r="S6269">
            <v>45439</v>
          </cell>
          <cell r="T6269">
            <v>45442</v>
          </cell>
          <cell r="U6269">
            <v>45443</v>
          </cell>
          <cell r="V6269">
            <v>45446</v>
          </cell>
          <cell r="W6269">
            <v>45446</v>
          </cell>
          <cell r="X6269">
            <v>41200006</v>
          </cell>
        </row>
        <row r="6270">
          <cell r="K6270" t="str">
            <v>GBWS-4523</v>
          </cell>
          <cell r="L6270">
            <v>45427</v>
          </cell>
          <cell r="M6270">
            <v>45428</v>
          </cell>
          <cell r="N6270">
            <v>45435</v>
          </cell>
          <cell r="O6270">
            <v>45428</v>
          </cell>
          <cell r="P6270">
            <v>45436</v>
          </cell>
          <cell r="Q6270">
            <v>45435</v>
          </cell>
          <cell r="R6270">
            <v>45436</v>
          </cell>
          <cell r="S6270">
            <v>45439</v>
          </cell>
          <cell r="T6270">
            <v>45442</v>
          </cell>
          <cell r="U6270">
            <v>45443</v>
          </cell>
          <cell r="V6270">
            <v>45446</v>
          </cell>
          <cell r="W6270">
            <v>45446</v>
          </cell>
          <cell r="X6270">
            <v>41200006</v>
          </cell>
        </row>
        <row r="6271">
          <cell r="K6271" t="str">
            <v>GBWS-4538</v>
          </cell>
          <cell r="L6271">
            <v>45429</v>
          </cell>
          <cell r="M6271">
            <v>45432</v>
          </cell>
          <cell r="N6271">
            <v>45436</v>
          </cell>
          <cell r="O6271">
            <v>45432</v>
          </cell>
          <cell r="P6271">
            <v>45439</v>
          </cell>
          <cell r="Q6271">
            <v>45436</v>
          </cell>
          <cell r="R6271">
            <v>45439</v>
          </cell>
          <cell r="S6271">
            <v>45440</v>
          </cell>
          <cell r="T6271">
            <v>45442</v>
          </cell>
          <cell r="U6271">
            <v>45443</v>
          </cell>
          <cell r="V6271">
            <v>45446</v>
          </cell>
          <cell r="W6271">
            <v>45446</v>
          </cell>
          <cell r="X6271">
            <v>41100363</v>
          </cell>
        </row>
        <row r="6272">
          <cell r="K6272" t="str">
            <v>GBWS-4539</v>
          </cell>
          <cell r="L6272">
            <v>45432</v>
          </cell>
          <cell r="M6272">
            <v>45433</v>
          </cell>
          <cell r="N6272">
            <v>45439</v>
          </cell>
          <cell r="O6272">
            <v>45433</v>
          </cell>
          <cell r="P6272">
            <v>45440</v>
          </cell>
          <cell r="Q6272">
            <v>45440</v>
          </cell>
          <cell r="R6272">
            <v>45441</v>
          </cell>
          <cell r="S6272">
            <v>45441</v>
          </cell>
          <cell r="T6272">
            <v>45443</v>
          </cell>
          <cell r="U6272">
            <v>45447</v>
          </cell>
          <cell r="V6272">
            <v>45447</v>
          </cell>
          <cell r="W6272">
            <v>45447</v>
          </cell>
          <cell r="X6272">
            <v>41000553</v>
          </cell>
        </row>
        <row r="6273">
          <cell r="K6273" t="str">
            <v>GBWS-4540</v>
          </cell>
          <cell r="L6273">
            <v>45432</v>
          </cell>
          <cell r="M6273">
            <v>45433</v>
          </cell>
          <cell r="N6273">
            <v>45439</v>
          </cell>
          <cell r="O6273">
            <v>45433</v>
          </cell>
          <cell r="P6273">
            <v>45440</v>
          </cell>
          <cell r="Q6273">
            <v>45439</v>
          </cell>
          <cell r="R6273">
            <v>45440</v>
          </cell>
          <cell r="S6273">
            <v>45441</v>
          </cell>
          <cell r="T6273">
            <v>45442</v>
          </cell>
          <cell r="U6273">
            <v>45446</v>
          </cell>
          <cell r="V6273">
            <v>45446</v>
          </cell>
          <cell r="W6273">
            <v>45446</v>
          </cell>
          <cell r="X6273">
            <v>41100558</v>
          </cell>
        </row>
        <row r="6274">
          <cell r="K6274" t="str">
            <v>GBWS-4546</v>
          </cell>
          <cell r="L6274">
            <v>45432</v>
          </cell>
          <cell r="M6274">
            <v>45433</v>
          </cell>
          <cell r="N6274">
            <v>45440</v>
          </cell>
          <cell r="O6274">
            <v>45433</v>
          </cell>
          <cell r="P6274">
            <v>45440</v>
          </cell>
          <cell r="Q6274">
            <v>45440</v>
          </cell>
          <cell r="R6274">
            <v>45441</v>
          </cell>
          <cell r="S6274">
            <v>45441</v>
          </cell>
          <cell r="T6274">
            <v>45446</v>
          </cell>
          <cell r="U6274">
            <v>45447</v>
          </cell>
          <cell r="V6274">
            <v>45447</v>
          </cell>
          <cell r="W6274">
            <v>45447</v>
          </cell>
          <cell r="X6274">
            <v>41100566</v>
          </cell>
        </row>
        <row r="6275">
          <cell r="K6275" t="str">
            <v>IVAS-244</v>
          </cell>
          <cell r="L6275">
            <v>45422</v>
          </cell>
          <cell r="M6275">
            <v>45425</v>
          </cell>
          <cell r="N6275">
            <v>45435</v>
          </cell>
          <cell r="O6275">
            <v>45425</v>
          </cell>
          <cell r="P6275">
            <v>45439</v>
          </cell>
          <cell r="Q6275">
            <v>45435</v>
          </cell>
          <cell r="R6275">
            <v>45436</v>
          </cell>
          <cell r="S6275">
            <v>45439</v>
          </cell>
          <cell r="T6275">
            <v>45439</v>
          </cell>
          <cell r="U6275">
            <v>45439</v>
          </cell>
          <cell r="V6275">
            <v>45447</v>
          </cell>
          <cell r="W6275">
            <v>45447</v>
          </cell>
          <cell r="X6275">
            <v>41200009</v>
          </cell>
        </row>
        <row r="6276">
          <cell r="K6276" t="str">
            <v>GBWS-4530</v>
          </cell>
          <cell r="L6276">
            <v>45428</v>
          </cell>
          <cell r="M6276">
            <v>45429</v>
          </cell>
          <cell r="N6276">
            <v>45436</v>
          </cell>
          <cell r="O6276">
            <v>45429</v>
          </cell>
          <cell r="P6276">
            <v>45436</v>
          </cell>
          <cell r="Q6276">
            <v>45436</v>
          </cell>
          <cell r="R6276">
            <v>45439</v>
          </cell>
          <cell r="S6276">
            <v>45441</v>
          </cell>
          <cell r="T6276">
            <v>45442</v>
          </cell>
          <cell r="U6276">
            <v>45443</v>
          </cell>
          <cell r="V6276">
            <v>45446</v>
          </cell>
          <cell r="W6276">
            <v>45446</v>
          </cell>
          <cell r="X6276">
            <v>41100558</v>
          </cell>
        </row>
        <row r="6277">
          <cell r="K6277" t="str">
            <v>GBWS-4531</v>
          </cell>
          <cell r="L6277">
            <v>45428</v>
          </cell>
          <cell r="M6277">
            <v>45429</v>
          </cell>
          <cell r="N6277">
            <v>45436</v>
          </cell>
          <cell r="O6277">
            <v>45429</v>
          </cell>
          <cell r="P6277">
            <v>45436</v>
          </cell>
          <cell r="Q6277">
            <v>45436</v>
          </cell>
          <cell r="R6277">
            <v>45439</v>
          </cell>
          <cell r="S6277">
            <v>45441</v>
          </cell>
          <cell r="T6277">
            <v>45442</v>
          </cell>
          <cell r="U6277">
            <v>45443</v>
          </cell>
          <cell r="V6277">
            <v>45446</v>
          </cell>
          <cell r="W6277">
            <v>45446</v>
          </cell>
          <cell r="X6277">
            <v>41100558</v>
          </cell>
        </row>
        <row r="6278">
          <cell r="K6278" t="str">
            <v>GBWS-4532</v>
          </cell>
          <cell r="L6278">
            <v>45428</v>
          </cell>
          <cell r="M6278">
            <v>45429</v>
          </cell>
          <cell r="N6278">
            <v>45436</v>
          </cell>
          <cell r="O6278">
            <v>45429</v>
          </cell>
          <cell r="P6278">
            <v>45436</v>
          </cell>
          <cell r="Q6278">
            <v>45436</v>
          </cell>
          <cell r="R6278">
            <v>45439</v>
          </cell>
          <cell r="S6278">
            <v>45441</v>
          </cell>
          <cell r="T6278">
            <v>45443</v>
          </cell>
          <cell r="U6278">
            <v>45447</v>
          </cell>
          <cell r="V6278">
            <v>45447</v>
          </cell>
          <cell r="W6278">
            <v>45447</v>
          </cell>
          <cell r="X6278">
            <v>41100558</v>
          </cell>
        </row>
        <row r="6279">
          <cell r="K6279" t="str">
            <v>GBWS-4533</v>
          </cell>
          <cell r="L6279">
            <v>45428</v>
          </cell>
          <cell r="M6279">
            <v>45429</v>
          </cell>
          <cell r="N6279">
            <v>45436</v>
          </cell>
          <cell r="O6279">
            <v>45429</v>
          </cell>
          <cell r="P6279">
            <v>45436</v>
          </cell>
          <cell r="Q6279">
            <v>45436</v>
          </cell>
          <cell r="R6279">
            <v>45439</v>
          </cell>
          <cell r="S6279">
            <v>45441</v>
          </cell>
          <cell r="T6279">
            <v>45447</v>
          </cell>
          <cell r="U6279">
            <v>45447</v>
          </cell>
          <cell r="V6279">
            <v>45447</v>
          </cell>
          <cell r="W6279">
            <v>45447</v>
          </cell>
          <cell r="X6279">
            <v>41100558</v>
          </cell>
        </row>
        <row r="6280">
          <cell r="K6280" t="str">
            <v>WS-0089</v>
          </cell>
          <cell r="L6280">
            <v>45432</v>
          </cell>
          <cell r="M6280">
            <v>45433</v>
          </cell>
          <cell r="N6280">
            <v>45439</v>
          </cell>
          <cell r="O6280">
            <v>45433</v>
          </cell>
          <cell r="P6280">
            <v>45439</v>
          </cell>
          <cell r="Q6280">
            <v>45439</v>
          </cell>
          <cell r="R6280">
            <v>45440</v>
          </cell>
          <cell r="S6280">
            <v>45442</v>
          </cell>
          <cell r="T6280">
            <v>45443</v>
          </cell>
          <cell r="U6280">
            <v>45446</v>
          </cell>
          <cell r="V6280">
            <v>45446</v>
          </cell>
          <cell r="W6280">
            <v>45446</v>
          </cell>
          <cell r="X6280">
            <v>41100435</v>
          </cell>
        </row>
        <row r="6281">
          <cell r="K6281" t="str">
            <v>GBWS-4536</v>
          </cell>
          <cell r="L6281">
            <v>45429</v>
          </cell>
          <cell r="M6281">
            <v>45432</v>
          </cell>
          <cell r="N6281">
            <v>45439</v>
          </cell>
          <cell r="O6281">
            <v>45432</v>
          </cell>
          <cell r="P6281">
            <v>45441</v>
          </cell>
          <cell r="Q6281">
            <v>45440</v>
          </cell>
          <cell r="R6281">
            <v>45441</v>
          </cell>
          <cell r="S6281">
            <v>45442</v>
          </cell>
          <cell r="T6281">
            <v>45443</v>
          </cell>
          <cell r="U6281">
            <v>45446</v>
          </cell>
          <cell r="V6281">
            <v>45446</v>
          </cell>
          <cell r="W6281">
            <v>45446</v>
          </cell>
          <cell r="X6281">
            <v>41100566</v>
          </cell>
        </row>
        <row r="6282">
          <cell r="K6282" t="str">
            <v>GBWS-4537</v>
          </cell>
          <cell r="L6282">
            <v>45429</v>
          </cell>
          <cell r="M6282">
            <v>45432</v>
          </cell>
          <cell r="N6282">
            <v>45439</v>
          </cell>
          <cell r="O6282">
            <v>45432</v>
          </cell>
          <cell r="P6282">
            <v>45441</v>
          </cell>
          <cell r="Q6282">
            <v>45440</v>
          </cell>
          <cell r="R6282">
            <v>45441</v>
          </cell>
          <cell r="S6282">
            <v>45442</v>
          </cell>
          <cell r="T6282">
            <v>45443</v>
          </cell>
          <cell r="U6282">
            <v>45446</v>
          </cell>
          <cell r="V6282">
            <v>45446</v>
          </cell>
          <cell r="W6282">
            <v>45446</v>
          </cell>
          <cell r="X6282">
            <v>41100566</v>
          </cell>
        </row>
        <row r="6283">
          <cell r="K6283" t="str">
            <v>GBWS-4566</v>
          </cell>
          <cell r="L6283">
            <v>45435</v>
          </cell>
          <cell r="M6283">
            <v>45436</v>
          </cell>
          <cell r="N6283">
            <v>45441</v>
          </cell>
          <cell r="O6283">
            <v>45436</v>
          </cell>
          <cell r="P6283">
            <v>45442</v>
          </cell>
          <cell r="Q6283" t="str">
            <v>2024-05-31 → 5/29</v>
          </cell>
          <cell r="R6283" t="str">
            <v>2024-06-03 → 5/30</v>
          </cell>
          <cell r="S6283">
            <v>45443</v>
          </cell>
          <cell r="T6283">
            <v>45447</v>
          </cell>
          <cell r="U6283">
            <v>45447</v>
          </cell>
          <cell r="V6283">
            <v>45447</v>
          </cell>
          <cell r="W6283">
            <v>45447</v>
          </cell>
          <cell r="X6283">
            <v>41100566</v>
          </cell>
        </row>
        <row r="6284">
          <cell r="K6284" t="str">
            <v>DBW-3320</v>
          </cell>
          <cell r="L6284">
            <v>45383</v>
          </cell>
          <cell r="M6284">
            <v>45384</v>
          </cell>
          <cell r="N6284">
            <v>45393</v>
          </cell>
          <cell r="O6284">
            <v>45384</v>
          </cell>
          <cell r="P6284">
            <v>45394</v>
          </cell>
          <cell r="Q6284">
            <v>45393</v>
          </cell>
          <cell r="R6284">
            <v>45394</v>
          </cell>
          <cell r="S6284">
            <v>45398</v>
          </cell>
          <cell r="T6284">
            <v>45399</v>
          </cell>
          <cell r="U6284">
            <v>45399</v>
          </cell>
          <cell r="V6284">
            <v>45401</v>
          </cell>
          <cell r="W6284">
            <v>45401</v>
          </cell>
          <cell r="X6284">
            <v>41000588</v>
          </cell>
        </row>
        <row r="6285">
          <cell r="K6285" t="str">
            <v>GBWS-4547</v>
          </cell>
          <cell r="L6285">
            <v>45433</v>
          </cell>
          <cell r="M6285">
            <v>45434</v>
          </cell>
          <cell r="N6285">
            <v>45440</v>
          </cell>
          <cell r="O6285">
            <v>45434</v>
          </cell>
          <cell r="P6285">
            <v>45441</v>
          </cell>
          <cell r="Q6285">
            <v>45440</v>
          </cell>
          <cell r="R6285">
            <v>45441</v>
          </cell>
          <cell r="S6285">
            <v>45442</v>
          </cell>
          <cell r="T6285">
            <v>45443</v>
          </cell>
          <cell r="U6285">
            <v>45447</v>
          </cell>
          <cell r="V6285">
            <v>45447</v>
          </cell>
          <cell r="W6285">
            <v>45447</v>
          </cell>
          <cell r="X6285">
            <v>41100697</v>
          </cell>
        </row>
        <row r="6286">
          <cell r="K6286" t="str">
            <v>GBWS-4548</v>
          </cell>
          <cell r="L6286">
            <v>45433</v>
          </cell>
          <cell r="M6286">
            <v>45434</v>
          </cell>
          <cell r="N6286">
            <v>45440</v>
          </cell>
          <cell r="O6286">
            <v>45434</v>
          </cell>
          <cell r="P6286">
            <v>45441</v>
          </cell>
          <cell r="Q6286">
            <v>45440</v>
          </cell>
          <cell r="R6286">
            <v>45441</v>
          </cell>
          <cell r="S6286">
            <v>45442</v>
          </cell>
          <cell r="T6286">
            <v>45443</v>
          </cell>
          <cell r="U6286">
            <v>45447</v>
          </cell>
          <cell r="V6286">
            <v>45447</v>
          </cell>
          <cell r="W6286">
            <v>45447</v>
          </cell>
          <cell r="X6286">
            <v>41100697</v>
          </cell>
        </row>
        <row r="6287">
          <cell r="K6287" t="str">
            <v>-</v>
          </cell>
          <cell r="L6287">
            <v>45429</v>
          </cell>
          <cell r="M6287">
            <v>45433</v>
          </cell>
          <cell r="N6287">
            <v>45442</v>
          </cell>
          <cell r="O6287">
            <v>45433</v>
          </cell>
          <cell r="P6287">
            <v>45442</v>
          </cell>
          <cell r="Q6287">
            <v>45441</v>
          </cell>
          <cell r="R6287">
            <v>45442</v>
          </cell>
          <cell r="S6287">
            <v>45443</v>
          </cell>
          <cell r="T6287">
            <v>45443</v>
          </cell>
          <cell r="U6287">
            <v>45446</v>
          </cell>
          <cell r="V6287">
            <v>45446</v>
          </cell>
          <cell r="W6287">
            <v>45446</v>
          </cell>
          <cell r="X6287">
            <v>31102290</v>
          </cell>
        </row>
        <row r="6288">
          <cell r="K6288" t="str">
            <v>-</v>
          </cell>
          <cell r="L6288">
            <v>45429</v>
          </cell>
          <cell r="M6288">
            <v>45433</v>
          </cell>
          <cell r="N6288">
            <v>45442</v>
          </cell>
          <cell r="O6288">
            <v>45433</v>
          </cell>
          <cell r="P6288">
            <v>45442</v>
          </cell>
          <cell r="Q6288">
            <v>45441</v>
          </cell>
          <cell r="R6288">
            <v>45442</v>
          </cell>
          <cell r="S6288">
            <v>45443</v>
          </cell>
          <cell r="T6288">
            <v>45443</v>
          </cell>
          <cell r="U6288">
            <v>45446</v>
          </cell>
          <cell r="V6288">
            <v>45446</v>
          </cell>
          <cell r="W6288">
            <v>45446</v>
          </cell>
          <cell r="X6288">
            <v>31102304</v>
          </cell>
        </row>
        <row r="6289">
          <cell r="K6289" t="str">
            <v>-</v>
          </cell>
          <cell r="L6289">
            <v>45429</v>
          </cell>
          <cell r="M6289">
            <v>45433</v>
          </cell>
          <cell r="N6289">
            <v>45442</v>
          </cell>
          <cell r="O6289">
            <v>45433</v>
          </cell>
          <cell r="P6289">
            <v>45442</v>
          </cell>
          <cell r="Q6289">
            <v>45441</v>
          </cell>
          <cell r="R6289">
            <v>45442</v>
          </cell>
          <cell r="S6289">
            <v>45443</v>
          </cell>
          <cell r="T6289">
            <v>45443</v>
          </cell>
          <cell r="U6289">
            <v>45446</v>
          </cell>
          <cell r="V6289">
            <v>45446</v>
          </cell>
          <cell r="W6289">
            <v>45446</v>
          </cell>
          <cell r="X6289">
            <v>31102831</v>
          </cell>
        </row>
        <row r="6290">
          <cell r="K6290" t="str">
            <v>-</v>
          </cell>
          <cell r="L6290">
            <v>45429</v>
          </cell>
          <cell r="M6290">
            <v>45433</v>
          </cell>
          <cell r="N6290">
            <v>45442</v>
          </cell>
          <cell r="O6290">
            <v>45433</v>
          </cell>
          <cell r="P6290">
            <v>45442</v>
          </cell>
          <cell r="Q6290">
            <v>45441</v>
          </cell>
          <cell r="R6290">
            <v>45442</v>
          </cell>
          <cell r="S6290">
            <v>45443</v>
          </cell>
          <cell r="T6290">
            <v>45443</v>
          </cell>
          <cell r="U6290">
            <v>45446</v>
          </cell>
          <cell r="V6290">
            <v>45446</v>
          </cell>
          <cell r="W6290">
            <v>45446</v>
          </cell>
          <cell r="X6290">
            <v>31102258</v>
          </cell>
        </row>
        <row r="6291">
          <cell r="K6291" t="str">
            <v>GBWS-4567</v>
          </cell>
          <cell r="L6291">
            <v>45436</v>
          </cell>
          <cell r="M6291">
            <v>45439</v>
          </cell>
          <cell r="N6291">
            <v>45443</v>
          </cell>
          <cell r="O6291">
            <v>45439</v>
          </cell>
          <cell r="P6291">
            <v>45446</v>
          </cell>
          <cell r="Q6291">
            <v>45443</v>
          </cell>
          <cell r="R6291">
            <v>45446</v>
          </cell>
          <cell r="S6291">
            <v>45447</v>
          </cell>
          <cell r="T6291">
            <v>45448</v>
          </cell>
          <cell r="U6291">
            <v>45450</v>
          </cell>
          <cell r="V6291">
            <v>45450</v>
          </cell>
          <cell r="W6291">
            <v>45450</v>
          </cell>
          <cell r="X6291">
            <v>41100507</v>
          </cell>
        </row>
        <row r="6292">
          <cell r="K6292" t="str">
            <v>GBWS-4564</v>
          </cell>
          <cell r="L6292">
            <v>45435</v>
          </cell>
          <cell r="M6292">
            <v>45436</v>
          </cell>
          <cell r="N6292">
            <v>45442</v>
          </cell>
          <cell r="O6292">
            <v>45436</v>
          </cell>
          <cell r="P6292">
            <v>45443</v>
          </cell>
          <cell r="Q6292">
            <v>45442</v>
          </cell>
          <cell r="R6292">
            <v>45443</v>
          </cell>
          <cell r="S6292">
            <v>45446</v>
          </cell>
          <cell r="T6292">
            <v>45447</v>
          </cell>
          <cell r="U6292">
            <v>45448</v>
          </cell>
          <cell r="V6292">
            <v>45450</v>
          </cell>
          <cell r="W6292">
            <v>45450</v>
          </cell>
          <cell r="X6292">
            <v>41100223</v>
          </cell>
        </row>
        <row r="6293">
          <cell r="K6293" t="str">
            <v>GBWS-4565</v>
          </cell>
          <cell r="L6293">
            <v>45435</v>
          </cell>
          <cell r="M6293">
            <v>45436</v>
          </cell>
          <cell r="N6293">
            <v>45442</v>
          </cell>
          <cell r="O6293">
            <v>45436</v>
          </cell>
          <cell r="P6293">
            <v>45443</v>
          </cell>
          <cell r="Q6293">
            <v>45442</v>
          </cell>
          <cell r="R6293">
            <v>45443</v>
          </cell>
          <cell r="S6293">
            <v>45446</v>
          </cell>
          <cell r="T6293">
            <v>45447</v>
          </cell>
          <cell r="U6293">
            <v>45448</v>
          </cell>
          <cell r="V6293">
            <v>45450</v>
          </cell>
          <cell r="W6293">
            <v>45450</v>
          </cell>
          <cell r="X6293">
            <v>41100223</v>
          </cell>
        </row>
        <row r="6294">
          <cell r="K6294" t="str">
            <v>GBWS-4568</v>
          </cell>
          <cell r="L6294">
            <v>45436</v>
          </cell>
          <cell r="M6294">
            <v>45439</v>
          </cell>
          <cell r="N6294">
            <v>45446</v>
          </cell>
          <cell r="O6294">
            <v>45439</v>
          </cell>
          <cell r="P6294">
            <v>45447</v>
          </cell>
          <cell r="Q6294">
            <v>45446</v>
          </cell>
          <cell r="R6294">
            <v>45447</v>
          </cell>
          <cell r="S6294">
            <v>45448</v>
          </cell>
          <cell r="T6294">
            <v>45450</v>
          </cell>
          <cell r="U6294">
            <v>45450</v>
          </cell>
          <cell r="V6294">
            <v>45450</v>
          </cell>
          <cell r="W6294">
            <v>45450</v>
          </cell>
          <cell r="X6294">
            <v>41100317</v>
          </cell>
        </row>
        <row r="6295">
          <cell r="K6295" t="str">
            <v>GBWS-4562</v>
          </cell>
          <cell r="L6295">
            <v>45435</v>
          </cell>
          <cell r="M6295">
            <v>45436</v>
          </cell>
          <cell r="N6295">
            <v>45443</v>
          </cell>
          <cell r="O6295">
            <v>45436</v>
          </cell>
          <cell r="P6295">
            <v>45446</v>
          </cell>
          <cell r="Q6295">
            <v>45443</v>
          </cell>
          <cell r="R6295">
            <v>45446</v>
          </cell>
          <cell r="S6295">
            <v>45447</v>
          </cell>
          <cell r="T6295">
            <v>45448</v>
          </cell>
          <cell r="U6295">
            <v>45450</v>
          </cell>
          <cell r="V6295">
            <v>45453</v>
          </cell>
          <cell r="W6295">
            <v>45453</v>
          </cell>
          <cell r="X6295">
            <v>41100558</v>
          </cell>
        </row>
        <row r="6296">
          <cell r="K6296" t="str">
            <v>GBWS-4563</v>
          </cell>
          <cell r="L6296">
            <v>45435</v>
          </cell>
          <cell r="M6296">
            <v>45436</v>
          </cell>
          <cell r="N6296">
            <v>45443</v>
          </cell>
          <cell r="O6296">
            <v>45436</v>
          </cell>
          <cell r="P6296">
            <v>45446</v>
          </cell>
          <cell r="Q6296">
            <v>45443</v>
          </cell>
          <cell r="R6296">
            <v>45446</v>
          </cell>
          <cell r="S6296">
            <v>45447</v>
          </cell>
          <cell r="T6296">
            <v>45448</v>
          </cell>
          <cell r="U6296">
            <v>45450</v>
          </cell>
          <cell r="V6296">
            <v>45453</v>
          </cell>
          <cell r="W6296">
            <v>45453</v>
          </cell>
          <cell r="X6296">
            <v>41100558</v>
          </cell>
        </row>
        <row r="6297">
          <cell r="K6297" t="str">
            <v>GBWS-4557</v>
          </cell>
          <cell r="L6297">
            <v>45434</v>
          </cell>
          <cell r="M6297">
            <v>45435</v>
          </cell>
          <cell r="N6297">
            <v>45441</v>
          </cell>
          <cell r="O6297">
            <v>45435</v>
          </cell>
          <cell r="P6297">
            <v>45442</v>
          </cell>
          <cell r="Q6297">
            <v>45441</v>
          </cell>
          <cell r="R6297">
            <v>45442</v>
          </cell>
          <cell r="S6297">
            <v>45446</v>
          </cell>
          <cell r="T6297">
            <v>45447</v>
          </cell>
          <cell r="U6297">
            <v>45448</v>
          </cell>
          <cell r="V6297">
            <v>45450</v>
          </cell>
          <cell r="W6297">
            <v>45450</v>
          </cell>
          <cell r="X6297">
            <v>41100645</v>
          </cell>
        </row>
        <row r="6298">
          <cell r="K6298" t="str">
            <v>GBWS-4558</v>
          </cell>
          <cell r="L6298">
            <v>45434</v>
          </cell>
          <cell r="M6298">
            <v>45435</v>
          </cell>
          <cell r="N6298">
            <v>45441</v>
          </cell>
          <cell r="O6298">
            <v>45435</v>
          </cell>
          <cell r="P6298">
            <v>45442</v>
          </cell>
          <cell r="Q6298">
            <v>45441</v>
          </cell>
          <cell r="R6298">
            <v>45442</v>
          </cell>
          <cell r="S6298">
            <v>45446</v>
          </cell>
          <cell r="T6298">
            <v>45447</v>
          </cell>
          <cell r="U6298">
            <v>45448</v>
          </cell>
          <cell r="V6298">
            <v>45450</v>
          </cell>
          <cell r="W6298">
            <v>45450</v>
          </cell>
          <cell r="X6298">
            <v>41100645</v>
          </cell>
        </row>
        <row r="6299">
          <cell r="K6299" t="str">
            <v>GBWS-4560</v>
          </cell>
          <cell r="L6299">
            <v>45435</v>
          </cell>
          <cell r="M6299">
            <v>45436</v>
          </cell>
          <cell r="N6299">
            <v>45442</v>
          </cell>
          <cell r="O6299">
            <v>45436</v>
          </cell>
          <cell r="P6299">
            <v>45443</v>
          </cell>
          <cell r="Q6299">
            <v>45442</v>
          </cell>
          <cell r="R6299">
            <v>45443</v>
          </cell>
          <cell r="S6299">
            <v>45447</v>
          </cell>
          <cell r="T6299">
            <v>45448</v>
          </cell>
          <cell r="U6299">
            <v>45450</v>
          </cell>
          <cell r="V6299">
            <v>45453</v>
          </cell>
          <cell r="W6299">
            <v>45453</v>
          </cell>
          <cell r="X6299">
            <v>41100649</v>
          </cell>
        </row>
        <row r="6300">
          <cell r="K6300" t="str">
            <v>GBWS-4561</v>
          </cell>
          <cell r="L6300">
            <v>45435</v>
          </cell>
          <cell r="M6300">
            <v>45436</v>
          </cell>
          <cell r="N6300">
            <v>45442</v>
          </cell>
          <cell r="O6300">
            <v>45436</v>
          </cell>
          <cell r="P6300">
            <v>45443</v>
          </cell>
          <cell r="Q6300">
            <v>45442</v>
          </cell>
          <cell r="R6300">
            <v>45443</v>
          </cell>
          <cell r="S6300">
            <v>45447</v>
          </cell>
          <cell r="T6300">
            <v>45448</v>
          </cell>
          <cell r="U6300">
            <v>45450</v>
          </cell>
          <cell r="V6300">
            <v>45453</v>
          </cell>
          <cell r="W6300">
            <v>45453</v>
          </cell>
          <cell r="X6300">
            <v>41100649</v>
          </cell>
        </row>
        <row r="6301">
          <cell r="K6301" t="str">
            <v>DBW-3334</v>
          </cell>
          <cell r="L6301">
            <v>45420</v>
          </cell>
          <cell r="M6301">
            <v>45421</v>
          </cell>
          <cell r="N6301">
            <v>45429</v>
          </cell>
          <cell r="O6301">
            <v>45421</v>
          </cell>
          <cell r="P6301">
            <v>45429</v>
          </cell>
          <cell r="Q6301">
            <v>45429</v>
          </cell>
          <cell r="R6301">
            <v>45432</v>
          </cell>
          <cell r="S6301">
            <v>45433</v>
          </cell>
          <cell r="T6301">
            <v>45434</v>
          </cell>
          <cell r="U6301">
            <v>45435</v>
          </cell>
          <cell r="V6301">
            <v>45436</v>
          </cell>
          <cell r="W6301">
            <v>45436</v>
          </cell>
          <cell r="X6301">
            <v>41000587</v>
          </cell>
        </row>
        <row r="6302">
          <cell r="K6302" t="str">
            <v>DBW-3335</v>
          </cell>
          <cell r="L6302">
            <v>45420</v>
          </cell>
          <cell r="M6302">
            <v>45421</v>
          </cell>
          <cell r="N6302">
            <v>45429</v>
          </cell>
          <cell r="O6302">
            <v>45421</v>
          </cell>
          <cell r="P6302">
            <v>45429</v>
          </cell>
          <cell r="Q6302">
            <v>45429</v>
          </cell>
          <cell r="R6302">
            <v>45432</v>
          </cell>
          <cell r="S6302">
            <v>45433</v>
          </cell>
          <cell r="T6302">
            <v>45434</v>
          </cell>
          <cell r="U6302">
            <v>45435</v>
          </cell>
          <cell r="V6302">
            <v>45436</v>
          </cell>
          <cell r="W6302">
            <v>45436</v>
          </cell>
          <cell r="X6302">
            <v>41000587</v>
          </cell>
        </row>
        <row r="6303">
          <cell r="K6303" t="str">
            <v>GBWS-4559</v>
          </cell>
          <cell r="L6303">
            <v>45434</v>
          </cell>
          <cell r="M6303">
            <v>45435</v>
          </cell>
          <cell r="N6303">
            <v>45441</v>
          </cell>
          <cell r="O6303">
            <v>45435</v>
          </cell>
          <cell r="P6303">
            <v>45442</v>
          </cell>
          <cell r="Q6303">
            <v>45441</v>
          </cell>
          <cell r="R6303">
            <v>45442</v>
          </cell>
          <cell r="S6303">
            <v>45446</v>
          </cell>
          <cell r="T6303">
            <v>45447</v>
          </cell>
          <cell r="U6303">
            <v>45448</v>
          </cell>
          <cell r="V6303">
            <v>45450</v>
          </cell>
          <cell r="W6303">
            <v>45450</v>
          </cell>
          <cell r="X6303">
            <v>41100645</v>
          </cell>
        </row>
        <row r="6304">
          <cell r="K6304" t="str">
            <v>IVAS-245</v>
          </cell>
          <cell r="L6304">
            <v>45427</v>
          </cell>
          <cell r="M6304">
            <v>45428</v>
          </cell>
          <cell r="N6304">
            <v>45435</v>
          </cell>
          <cell r="O6304">
            <v>45428</v>
          </cell>
          <cell r="P6304">
            <v>45443</v>
          </cell>
          <cell r="Q6304">
            <v>45439</v>
          </cell>
          <cell r="R6304">
            <v>45440</v>
          </cell>
          <cell r="S6304">
            <v>45441</v>
          </cell>
          <cell r="T6304">
            <v>45441</v>
          </cell>
          <cell r="U6304">
            <v>45453</v>
          </cell>
          <cell r="V6304">
            <v>45454</v>
          </cell>
          <cell r="W6304">
            <v>45454</v>
          </cell>
          <cell r="X6304">
            <v>41200009</v>
          </cell>
        </row>
        <row r="6305">
          <cell r="K6305" t="str">
            <v>GBWS-4572</v>
          </cell>
          <cell r="L6305">
            <v>45436</v>
          </cell>
          <cell r="M6305">
            <v>45439</v>
          </cell>
          <cell r="N6305">
            <v>45446</v>
          </cell>
          <cell r="O6305">
            <v>45439</v>
          </cell>
          <cell r="P6305">
            <v>45447</v>
          </cell>
          <cell r="Q6305">
            <v>45446</v>
          </cell>
          <cell r="R6305">
            <v>45447</v>
          </cell>
          <cell r="S6305">
            <v>45448</v>
          </cell>
          <cell r="T6305">
            <v>45450</v>
          </cell>
          <cell r="U6305">
            <v>45453</v>
          </cell>
          <cell r="V6305">
            <v>45454</v>
          </cell>
          <cell r="W6305">
            <v>45454</v>
          </cell>
          <cell r="X6305">
            <v>41100645</v>
          </cell>
        </row>
        <row r="6306">
          <cell r="K6306" t="str">
            <v>GBWS-4573</v>
          </cell>
          <cell r="L6306">
            <v>45436</v>
          </cell>
          <cell r="M6306">
            <v>45439</v>
          </cell>
          <cell r="N6306">
            <v>45446</v>
          </cell>
          <cell r="O6306">
            <v>45439</v>
          </cell>
          <cell r="P6306">
            <v>45447</v>
          </cell>
          <cell r="Q6306">
            <v>45446</v>
          </cell>
          <cell r="R6306">
            <v>45447</v>
          </cell>
          <cell r="S6306">
            <v>45448</v>
          </cell>
          <cell r="T6306">
            <v>45450</v>
          </cell>
          <cell r="U6306">
            <v>45453</v>
          </cell>
          <cell r="V6306">
            <v>45454</v>
          </cell>
          <cell r="W6306">
            <v>45454</v>
          </cell>
          <cell r="X6306">
            <v>41100645</v>
          </cell>
        </row>
        <row r="6307">
          <cell r="K6307" t="str">
            <v>GBWS-4574</v>
          </cell>
          <cell r="L6307">
            <v>45436</v>
          </cell>
          <cell r="M6307">
            <v>45439</v>
          </cell>
          <cell r="N6307">
            <v>45446</v>
          </cell>
          <cell r="O6307">
            <v>45439</v>
          </cell>
          <cell r="P6307">
            <v>45447</v>
          </cell>
          <cell r="Q6307">
            <v>45446</v>
          </cell>
          <cell r="R6307">
            <v>45447</v>
          </cell>
          <cell r="S6307">
            <v>45448</v>
          </cell>
          <cell r="T6307">
            <v>45450</v>
          </cell>
          <cell r="U6307">
            <v>45453</v>
          </cell>
          <cell r="V6307">
            <v>45454</v>
          </cell>
          <cell r="W6307">
            <v>45454</v>
          </cell>
          <cell r="X6307">
            <v>41100645</v>
          </cell>
        </row>
        <row r="6308">
          <cell r="K6308" t="str">
            <v>GBWS-4503</v>
          </cell>
          <cell r="L6308">
            <v>45421</v>
          </cell>
          <cell r="M6308">
            <v>45422</v>
          </cell>
          <cell r="N6308">
            <v>45436</v>
          </cell>
          <cell r="O6308">
            <v>45422</v>
          </cell>
          <cell r="P6308">
            <v>45439</v>
          </cell>
          <cell r="Q6308" t="str">
            <v>2024-05-20 → 5/24 → 5/27</v>
          </cell>
          <cell r="R6308" t="str">
            <v>2024-05-21 → 5/27 → 5/27</v>
          </cell>
          <cell r="S6308">
            <v>45440</v>
          </cell>
          <cell r="T6308">
            <v>45440</v>
          </cell>
          <cell r="U6308">
            <v>45454</v>
          </cell>
          <cell r="V6308">
            <v>45454</v>
          </cell>
          <cell r="W6308">
            <v>45454</v>
          </cell>
          <cell r="X6308">
            <v>41000602</v>
          </cell>
        </row>
        <row r="6309">
          <cell r="K6309" t="str">
            <v>GBWS-4504</v>
          </cell>
          <cell r="L6309">
            <v>45421</v>
          </cell>
          <cell r="M6309">
            <v>45422</v>
          </cell>
          <cell r="N6309">
            <v>45436</v>
          </cell>
          <cell r="O6309">
            <v>45422</v>
          </cell>
          <cell r="P6309">
            <v>45440</v>
          </cell>
          <cell r="Q6309" t="str">
            <v>2024-05-20 → 5/24 → 5/28</v>
          </cell>
          <cell r="R6309" t="str">
            <v>2024-05-21 → 5/27 → 5/29</v>
          </cell>
          <cell r="S6309">
            <v>45446</v>
          </cell>
          <cell r="T6309">
            <v>45446</v>
          </cell>
          <cell r="U6309">
            <v>45454</v>
          </cell>
          <cell r="V6309">
            <v>45455</v>
          </cell>
          <cell r="W6309">
            <v>45455</v>
          </cell>
          <cell r="X6309">
            <v>41000602</v>
          </cell>
        </row>
        <row r="6310">
          <cell r="K6310" t="str">
            <v>GBWS-4505</v>
          </cell>
          <cell r="L6310">
            <v>45421</v>
          </cell>
          <cell r="M6310">
            <v>45422</v>
          </cell>
          <cell r="N6310">
            <v>45436</v>
          </cell>
          <cell r="O6310">
            <v>45422</v>
          </cell>
          <cell r="P6310">
            <v>45440</v>
          </cell>
          <cell r="Q6310" t="str">
            <v>2024-05-20 → 5/24 → 5/28</v>
          </cell>
          <cell r="R6310" t="str">
            <v>2024-05-21 → 5/27 → 5/29</v>
          </cell>
          <cell r="S6310">
            <v>45446</v>
          </cell>
          <cell r="T6310">
            <v>45446</v>
          </cell>
          <cell r="U6310">
            <v>45454</v>
          </cell>
          <cell r="V6310">
            <v>45455</v>
          </cell>
          <cell r="W6310">
            <v>45455</v>
          </cell>
          <cell r="X6310">
            <v>41000602</v>
          </cell>
        </row>
        <row r="6311">
          <cell r="K6311" t="str">
            <v>IVAS-241</v>
          </cell>
          <cell r="L6311">
            <v>45258</v>
          </cell>
          <cell r="M6311" t="str">
            <v>2023-11-14 → 11/28</v>
          </cell>
          <cell r="N6311">
            <v>45314</v>
          </cell>
          <cell r="O6311" t="str">
            <v>2023-11-14 → 11/28</v>
          </cell>
          <cell r="P6311">
            <v>45306</v>
          </cell>
          <cell r="Q6311" t="str">
            <v>2023-11-23 → 12/7</v>
          </cell>
          <cell r="R6311" t="str">
            <v>2023-11-24 → 12/8</v>
          </cell>
          <cell r="S6311">
            <v>45443</v>
          </cell>
          <cell r="T6311">
            <v>45443</v>
          </cell>
          <cell r="U6311">
            <v>45453</v>
          </cell>
          <cell r="V6311">
            <v>45454</v>
          </cell>
          <cell r="W6311">
            <v>45454</v>
          </cell>
          <cell r="X6311">
            <v>41100542</v>
          </cell>
        </row>
        <row r="6312">
          <cell r="K6312"/>
          <cell r="L6312">
            <v>45433</v>
          </cell>
          <cell r="M6312">
            <v>45433</v>
          </cell>
          <cell r="N6312">
            <v>45441</v>
          </cell>
          <cell r="O6312">
            <v>45433</v>
          </cell>
          <cell r="P6312">
            <v>45442</v>
          </cell>
          <cell r="Q6312">
            <v>45441</v>
          </cell>
          <cell r="R6312">
            <v>45442</v>
          </cell>
          <cell r="S6312">
            <v>45443</v>
          </cell>
          <cell r="T6312">
            <v>45443</v>
          </cell>
          <cell r="U6312">
            <v>45453</v>
          </cell>
          <cell r="V6312">
            <v>45454</v>
          </cell>
          <cell r="W6312">
            <v>45454</v>
          </cell>
          <cell r="X6312">
            <v>41100658</v>
          </cell>
        </row>
        <row r="6313">
          <cell r="K6313" t="str">
            <v>GBWS-4556</v>
          </cell>
          <cell r="L6313">
            <v>45434</v>
          </cell>
          <cell r="M6313">
            <v>45435</v>
          </cell>
          <cell r="N6313">
            <v>45442</v>
          </cell>
          <cell r="O6313">
            <v>45435</v>
          </cell>
          <cell r="P6313">
            <v>45443</v>
          </cell>
          <cell r="Q6313" t="str">
            <v>2024-05-29 → 5/31</v>
          </cell>
          <cell r="R6313" t="str">
            <v>2024-05-30 → 6/3</v>
          </cell>
          <cell r="S6313">
            <v>45448</v>
          </cell>
          <cell r="T6313">
            <v>45450</v>
          </cell>
          <cell r="U6313">
            <v>45453</v>
          </cell>
          <cell r="V6313">
            <v>45455</v>
          </cell>
          <cell r="W6313">
            <v>45455</v>
          </cell>
          <cell r="X6313">
            <v>41100460</v>
          </cell>
        </row>
        <row r="6314">
          <cell r="K6314" t="str">
            <v>GBWS-4541</v>
          </cell>
          <cell r="L6314">
            <v>45432</v>
          </cell>
          <cell r="M6314">
            <v>45433</v>
          </cell>
          <cell r="N6314">
            <v>45441</v>
          </cell>
          <cell r="O6314">
            <v>45433</v>
          </cell>
          <cell r="P6314">
            <v>45442</v>
          </cell>
          <cell r="Q6314">
            <v>45441</v>
          </cell>
          <cell r="R6314">
            <v>45442</v>
          </cell>
          <cell r="S6314">
            <v>45447</v>
          </cell>
          <cell r="T6314">
            <v>45448</v>
          </cell>
          <cell r="U6314">
            <v>45450</v>
          </cell>
          <cell r="V6314">
            <v>45453</v>
          </cell>
          <cell r="W6314">
            <v>45453</v>
          </cell>
          <cell r="X6314">
            <v>41100651</v>
          </cell>
        </row>
        <row r="6315">
          <cell r="K6315" t="str">
            <v>GBWS-4542</v>
          </cell>
          <cell r="L6315">
            <v>45432</v>
          </cell>
          <cell r="M6315">
            <v>45433</v>
          </cell>
          <cell r="N6315">
            <v>45441</v>
          </cell>
          <cell r="O6315">
            <v>45433</v>
          </cell>
          <cell r="P6315">
            <v>45442</v>
          </cell>
          <cell r="Q6315">
            <v>45441</v>
          </cell>
          <cell r="R6315">
            <v>45442</v>
          </cell>
          <cell r="S6315">
            <v>45450</v>
          </cell>
          <cell r="T6315">
            <v>45454</v>
          </cell>
          <cell r="U6315">
            <v>45455</v>
          </cell>
          <cell r="V6315">
            <v>45455</v>
          </cell>
          <cell r="W6315">
            <v>45455</v>
          </cell>
          <cell r="X6315">
            <v>41100651</v>
          </cell>
        </row>
        <row r="6316">
          <cell r="K6316" t="str">
            <v>GBWS-4543</v>
          </cell>
          <cell r="L6316">
            <v>45432</v>
          </cell>
          <cell r="M6316">
            <v>45433</v>
          </cell>
          <cell r="N6316">
            <v>45441</v>
          </cell>
          <cell r="O6316">
            <v>45433</v>
          </cell>
          <cell r="P6316">
            <v>45442</v>
          </cell>
          <cell r="Q6316">
            <v>45441</v>
          </cell>
          <cell r="R6316">
            <v>45442</v>
          </cell>
          <cell r="S6316">
            <v>45448</v>
          </cell>
          <cell r="T6316">
            <v>45450</v>
          </cell>
          <cell r="U6316">
            <v>45453</v>
          </cell>
          <cell r="V6316">
            <v>45454</v>
          </cell>
          <cell r="W6316">
            <v>45454</v>
          </cell>
          <cell r="X6316">
            <v>41100651</v>
          </cell>
        </row>
        <row r="6317">
          <cell r="K6317" t="str">
            <v>GBWS-4544</v>
          </cell>
          <cell r="L6317">
            <v>45432</v>
          </cell>
          <cell r="M6317">
            <v>45433</v>
          </cell>
          <cell r="N6317">
            <v>45441</v>
          </cell>
          <cell r="O6317">
            <v>45433</v>
          </cell>
          <cell r="P6317">
            <v>45442</v>
          </cell>
          <cell r="Q6317">
            <v>45441</v>
          </cell>
          <cell r="R6317">
            <v>45442</v>
          </cell>
          <cell r="S6317">
            <v>45448</v>
          </cell>
          <cell r="T6317">
            <v>45450</v>
          </cell>
          <cell r="U6317">
            <v>45453</v>
          </cell>
          <cell r="V6317">
            <v>45454</v>
          </cell>
          <cell r="W6317">
            <v>45454</v>
          </cell>
          <cell r="X6317">
            <v>41100651</v>
          </cell>
        </row>
        <row r="6318">
          <cell r="K6318" t="str">
            <v>GBWS-4545</v>
          </cell>
          <cell r="L6318">
            <v>45432</v>
          </cell>
          <cell r="M6318">
            <v>45433</v>
          </cell>
          <cell r="N6318">
            <v>45441</v>
          </cell>
          <cell r="O6318">
            <v>45433</v>
          </cell>
          <cell r="P6318">
            <v>45442</v>
          </cell>
          <cell r="Q6318">
            <v>45441</v>
          </cell>
          <cell r="R6318">
            <v>45442</v>
          </cell>
          <cell r="S6318">
            <v>45448</v>
          </cell>
          <cell r="T6318">
            <v>45448</v>
          </cell>
          <cell r="U6318">
            <v>45454</v>
          </cell>
          <cell r="V6318">
            <v>45455</v>
          </cell>
          <cell r="W6318">
            <v>45455</v>
          </cell>
          <cell r="X6318">
            <v>41100651</v>
          </cell>
        </row>
        <row r="6319">
          <cell r="K6319" t="str">
            <v>DBW-3340</v>
          </cell>
          <cell r="L6319">
            <v>45433</v>
          </cell>
          <cell r="M6319">
            <v>45434</v>
          </cell>
          <cell r="N6319">
            <v>45440</v>
          </cell>
          <cell r="O6319">
            <v>45434</v>
          </cell>
          <cell r="P6319">
            <v>45441</v>
          </cell>
          <cell r="Q6319">
            <v>45440</v>
          </cell>
          <cell r="R6319">
            <v>45441</v>
          </cell>
          <cell r="S6319">
            <v>45442</v>
          </cell>
          <cell r="T6319">
            <v>45446</v>
          </cell>
          <cell r="U6319">
            <v>45446</v>
          </cell>
          <cell r="V6319">
            <v>45456</v>
          </cell>
          <cell r="W6319">
            <v>45456</v>
          </cell>
          <cell r="X6319">
            <v>41000590</v>
          </cell>
        </row>
        <row r="6320">
          <cell r="K6320" t="str">
            <v>DBW-3341</v>
          </cell>
          <cell r="L6320">
            <v>45433</v>
          </cell>
          <cell r="M6320">
            <v>45434</v>
          </cell>
          <cell r="N6320">
            <v>45440</v>
          </cell>
          <cell r="O6320">
            <v>45434</v>
          </cell>
          <cell r="P6320">
            <v>45441</v>
          </cell>
          <cell r="Q6320">
            <v>45440</v>
          </cell>
          <cell r="R6320">
            <v>45441</v>
          </cell>
          <cell r="S6320">
            <v>45442</v>
          </cell>
          <cell r="T6320">
            <v>45446</v>
          </cell>
          <cell r="U6320">
            <v>45446</v>
          </cell>
          <cell r="V6320">
            <v>45456</v>
          </cell>
          <cell r="W6320">
            <v>45456</v>
          </cell>
          <cell r="X6320">
            <v>41000590</v>
          </cell>
        </row>
        <row r="6321">
          <cell r="K6321" t="str">
            <v>GBWS-4570</v>
          </cell>
          <cell r="L6321">
            <v>45436</v>
          </cell>
          <cell r="M6321">
            <v>45439</v>
          </cell>
          <cell r="N6321">
            <v>45446</v>
          </cell>
          <cell r="O6321">
            <v>45439</v>
          </cell>
          <cell r="P6321">
            <v>45447</v>
          </cell>
          <cell r="Q6321">
            <v>45446</v>
          </cell>
          <cell r="R6321">
            <v>45447</v>
          </cell>
          <cell r="S6321">
            <v>45450</v>
          </cell>
          <cell r="T6321">
            <v>45453</v>
          </cell>
          <cell r="U6321">
            <v>45454</v>
          </cell>
          <cell r="V6321">
            <v>45456</v>
          </cell>
          <cell r="W6321">
            <v>45456</v>
          </cell>
          <cell r="X6321">
            <v>41100320</v>
          </cell>
        </row>
        <row r="6322">
          <cell r="K6322" t="str">
            <v>GBWS-4571</v>
          </cell>
          <cell r="L6322">
            <v>45436</v>
          </cell>
          <cell r="M6322">
            <v>45439</v>
          </cell>
          <cell r="N6322">
            <v>45446</v>
          </cell>
          <cell r="O6322">
            <v>45439</v>
          </cell>
          <cell r="P6322">
            <v>45447</v>
          </cell>
          <cell r="Q6322">
            <v>45446</v>
          </cell>
          <cell r="R6322">
            <v>45447</v>
          </cell>
          <cell r="S6322">
            <v>45450</v>
          </cell>
          <cell r="T6322">
            <v>45453</v>
          </cell>
          <cell r="U6322">
            <v>45454</v>
          </cell>
          <cell r="V6322">
            <v>45455</v>
          </cell>
          <cell r="W6322">
            <v>45455</v>
          </cell>
          <cell r="X6322">
            <v>41100320</v>
          </cell>
        </row>
        <row r="6323">
          <cell r="K6323" t="str">
            <v>GBWS-4575</v>
          </cell>
          <cell r="L6323">
            <v>45439</v>
          </cell>
          <cell r="M6323">
            <v>45440</v>
          </cell>
          <cell r="N6323">
            <v>45448</v>
          </cell>
          <cell r="O6323">
            <v>45440</v>
          </cell>
          <cell r="P6323">
            <v>45450</v>
          </cell>
          <cell r="Q6323">
            <v>45448</v>
          </cell>
          <cell r="R6323">
            <v>45450</v>
          </cell>
          <cell r="S6323">
            <v>45453</v>
          </cell>
          <cell r="T6323">
            <v>45454</v>
          </cell>
          <cell r="U6323">
            <v>45455</v>
          </cell>
          <cell r="V6323">
            <v>45456</v>
          </cell>
          <cell r="W6323">
            <v>45456</v>
          </cell>
          <cell r="X6323">
            <v>41100363</v>
          </cell>
        </row>
        <row r="6324">
          <cell r="K6324" t="str">
            <v>GBWS-4569</v>
          </cell>
          <cell r="L6324">
            <v>45436</v>
          </cell>
          <cell r="M6324">
            <v>45439</v>
          </cell>
          <cell r="N6324">
            <v>45446</v>
          </cell>
          <cell r="O6324">
            <v>45439</v>
          </cell>
          <cell r="P6324">
            <v>45447</v>
          </cell>
          <cell r="Q6324">
            <v>45446</v>
          </cell>
          <cell r="R6324">
            <v>45447</v>
          </cell>
          <cell r="S6324">
            <v>45450</v>
          </cell>
          <cell r="T6324">
            <v>45453</v>
          </cell>
          <cell r="U6324">
            <v>45454</v>
          </cell>
          <cell r="V6324">
            <v>45455</v>
          </cell>
          <cell r="W6324">
            <v>45455</v>
          </cell>
          <cell r="X6324">
            <v>41100317</v>
          </cell>
        </row>
        <row r="6325">
          <cell r="K6325" t="str">
            <v>GBWS-4588</v>
          </cell>
          <cell r="L6325">
            <v>45442</v>
          </cell>
          <cell r="M6325">
            <v>45443</v>
          </cell>
          <cell r="N6325">
            <v>45450</v>
          </cell>
          <cell r="O6325">
            <v>45443</v>
          </cell>
          <cell r="P6325">
            <v>45453</v>
          </cell>
          <cell r="Q6325">
            <v>45450</v>
          </cell>
          <cell r="R6325">
            <v>45453</v>
          </cell>
          <cell r="S6325">
            <v>45454</v>
          </cell>
          <cell r="T6325">
            <v>45455</v>
          </cell>
          <cell r="U6325">
            <v>45456</v>
          </cell>
          <cell r="V6325">
            <v>45456</v>
          </cell>
          <cell r="W6325">
            <v>45456</v>
          </cell>
          <cell r="X6325">
            <v>41100611</v>
          </cell>
        </row>
        <row r="6326">
          <cell r="K6326" t="str">
            <v>GBWS-4576</v>
          </cell>
          <cell r="L6326">
            <v>45439</v>
          </cell>
          <cell r="M6326">
            <v>45440</v>
          </cell>
          <cell r="N6326">
            <v>45448</v>
          </cell>
          <cell r="O6326">
            <v>45440</v>
          </cell>
          <cell r="P6326">
            <v>45450</v>
          </cell>
          <cell r="Q6326">
            <v>45448</v>
          </cell>
          <cell r="R6326">
            <v>45450</v>
          </cell>
          <cell r="S6326">
            <v>45453</v>
          </cell>
          <cell r="T6326">
            <v>45454</v>
          </cell>
          <cell r="U6326">
            <v>45455</v>
          </cell>
          <cell r="V6326">
            <v>45456</v>
          </cell>
          <cell r="W6326">
            <v>45456</v>
          </cell>
          <cell r="X6326">
            <v>41100363</v>
          </cell>
        </row>
        <row r="6327">
          <cell r="K6327" t="str">
            <v>GBWS-4582</v>
          </cell>
          <cell r="L6327">
            <v>45440</v>
          </cell>
          <cell r="M6327">
            <v>45441</v>
          </cell>
          <cell r="N6327">
            <v>45448</v>
          </cell>
          <cell r="O6327">
            <v>45441</v>
          </cell>
          <cell r="P6327">
            <v>45448</v>
          </cell>
          <cell r="Q6327">
            <v>45448</v>
          </cell>
          <cell r="R6327">
            <v>45450</v>
          </cell>
          <cell r="S6327">
            <v>45453</v>
          </cell>
          <cell r="T6327">
            <v>45454</v>
          </cell>
          <cell r="U6327">
            <v>45455</v>
          </cell>
          <cell r="V6327">
            <v>45456</v>
          </cell>
          <cell r="W6327">
            <v>45456</v>
          </cell>
          <cell r="X6327">
            <v>41100462</v>
          </cell>
        </row>
        <row r="6328">
          <cell r="K6328" t="str">
            <v>GBWS-4583</v>
          </cell>
          <cell r="L6328">
            <v>45440</v>
          </cell>
          <cell r="M6328">
            <v>45441</v>
          </cell>
          <cell r="N6328">
            <v>45448</v>
          </cell>
          <cell r="O6328">
            <v>45441</v>
          </cell>
          <cell r="P6328">
            <v>45448</v>
          </cell>
          <cell r="Q6328">
            <v>45448</v>
          </cell>
          <cell r="R6328">
            <v>45450</v>
          </cell>
          <cell r="S6328">
            <v>45453</v>
          </cell>
          <cell r="T6328">
            <v>45454</v>
          </cell>
          <cell r="U6328">
            <v>45455</v>
          </cell>
          <cell r="V6328">
            <v>45456</v>
          </cell>
          <cell r="W6328">
            <v>45456</v>
          </cell>
          <cell r="X6328">
            <v>41100462</v>
          </cell>
        </row>
        <row r="6329">
          <cell r="K6329" t="str">
            <v>GBWS-4584</v>
          </cell>
          <cell r="L6329">
            <v>45440</v>
          </cell>
          <cell r="M6329">
            <v>45441</v>
          </cell>
          <cell r="N6329">
            <v>45448</v>
          </cell>
          <cell r="O6329">
            <v>45441</v>
          </cell>
          <cell r="P6329">
            <v>45448</v>
          </cell>
          <cell r="Q6329">
            <v>45448</v>
          </cell>
          <cell r="R6329">
            <v>45450</v>
          </cell>
          <cell r="S6329">
            <v>45453</v>
          </cell>
          <cell r="T6329">
            <v>45454</v>
          </cell>
          <cell r="U6329">
            <v>45455</v>
          </cell>
          <cell r="V6329">
            <v>45456</v>
          </cell>
          <cell r="W6329">
            <v>45456</v>
          </cell>
          <cell r="X6329">
            <v>41100462</v>
          </cell>
        </row>
        <row r="6330">
          <cell r="K6330" t="str">
            <v>DBW-3332</v>
          </cell>
          <cell r="L6330">
            <v>45419</v>
          </cell>
          <cell r="M6330">
            <v>45420</v>
          </cell>
          <cell r="N6330">
            <v>45426</v>
          </cell>
          <cell r="O6330">
            <v>45420</v>
          </cell>
          <cell r="P6330">
            <v>45428</v>
          </cell>
          <cell r="Q6330">
            <v>45426</v>
          </cell>
          <cell r="R6330">
            <v>45428</v>
          </cell>
          <cell r="S6330">
            <v>45429</v>
          </cell>
          <cell r="T6330">
            <v>45432</v>
          </cell>
          <cell r="U6330">
            <v>45433</v>
          </cell>
          <cell r="V6330">
            <v>45434</v>
          </cell>
          <cell r="W6330">
            <v>45434</v>
          </cell>
          <cell r="X6330">
            <v>41200008</v>
          </cell>
        </row>
        <row r="6331">
          <cell r="K6331" t="str">
            <v>DBW-3333</v>
          </cell>
          <cell r="L6331">
            <v>45419</v>
          </cell>
          <cell r="M6331">
            <v>45420</v>
          </cell>
          <cell r="N6331">
            <v>45426</v>
          </cell>
          <cell r="O6331">
            <v>45420</v>
          </cell>
          <cell r="P6331">
            <v>45428</v>
          </cell>
          <cell r="Q6331">
            <v>45426</v>
          </cell>
          <cell r="R6331">
            <v>45428</v>
          </cell>
          <cell r="S6331">
            <v>45429</v>
          </cell>
          <cell r="T6331">
            <v>45432</v>
          </cell>
          <cell r="U6331">
            <v>45433</v>
          </cell>
          <cell r="V6331">
            <v>45434</v>
          </cell>
          <cell r="W6331">
            <v>45434</v>
          </cell>
          <cell r="X6331">
            <v>41200008</v>
          </cell>
        </row>
        <row r="6332">
          <cell r="K6332" t="str">
            <v>DBW-3338</v>
          </cell>
          <cell r="L6332">
            <v>45422</v>
          </cell>
          <cell r="M6332">
            <v>45425</v>
          </cell>
          <cell r="N6332">
            <v>45432</v>
          </cell>
          <cell r="O6332">
            <v>45425</v>
          </cell>
          <cell r="P6332">
            <v>45433</v>
          </cell>
          <cell r="Q6332">
            <v>45432</v>
          </cell>
          <cell r="R6332">
            <v>45433</v>
          </cell>
          <cell r="S6332">
            <v>45434</v>
          </cell>
          <cell r="T6332">
            <v>45435</v>
          </cell>
          <cell r="U6332">
            <v>45439</v>
          </cell>
          <cell r="V6332">
            <v>45440</v>
          </cell>
          <cell r="W6332">
            <v>45440</v>
          </cell>
          <cell r="X6332">
            <v>41200008</v>
          </cell>
        </row>
        <row r="6333">
          <cell r="K6333" t="str">
            <v>DBW-3339</v>
          </cell>
          <cell r="L6333">
            <v>45422</v>
          </cell>
          <cell r="M6333">
            <v>45425</v>
          </cell>
          <cell r="N6333">
            <v>45432</v>
          </cell>
          <cell r="O6333">
            <v>45425</v>
          </cell>
          <cell r="P6333">
            <v>45433</v>
          </cell>
          <cell r="Q6333">
            <v>45432</v>
          </cell>
          <cell r="R6333">
            <v>45433</v>
          </cell>
          <cell r="S6333">
            <v>45434</v>
          </cell>
          <cell r="T6333">
            <v>45435</v>
          </cell>
          <cell r="U6333">
            <v>45439</v>
          </cell>
          <cell r="V6333">
            <v>45440</v>
          </cell>
          <cell r="W6333">
            <v>45440</v>
          </cell>
          <cell r="X6333">
            <v>41200008</v>
          </cell>
        </row>
        <row r="6334">
          <cell r="K6334" t="str">
            <v>-</v>
          </cell>
          <cell r="L6334">
            <v>45450</v>
          </cell>
          <cell r="M6334">
            <v>45453</v>
          </cell>
          <cell r="N6334">
            <v>45456</v>
          </cell>
          <cell r="O6334">
            <v>45453</v>
          </cell>
          <cell r="P6334">
            <v>45456</v>
          </cell>
          <cell r="Q6334">
            <v>45455</v>
          </cell>
          <cell r="R6334">
            <v>45455</v>
          </cell>
          <cell r="S6334">
            <v>45457</v>
          </cell>
          <cell r="T6334">
            <v>45457</v>
          </cell>
          <cell r="U6334">
            <v>45457</v>
          </cell>
          <cell r="V6334">
            <v>45457</v>
          </cell>
          <cell r="W6334">
            <v>45457</v>
          </cell>
          <cell r="X6334">
            <v>31100994</v>
          </cell>
        </row>
        <row r="6335">
          <cell r="K6335" t="str">
            <v>GBWS-4587</v>
          </cell>
          <cell r="L6335">
            <v>45442</v>
          </cell>
          <cell r="M6335">
            <v>45443</v>
          </cell>
          <cell r="N6335">
            <v>45453</v>
          </cell>
          <cell r="O6335">
            <v>45443</v>
          </cell>
          <cell r="P6335">
            <v>45453</v>
          </cell>
          <cell r="Q6335">
            <v>45453</v>
          </cell>
          <cell r="R6335">
            <v>45454</v>
          </cell>
          <cell r="S6335">
            <v>45455</v>
          </cell>
          <cell r="T6335">
            <v>45456</v>
          </cell>
          <cell r="U6335">
            <v>45457</v>
          </cell>
          <cell r="V6335">
            <v>45460</v>
          </cell>
          <cell r="W6335">
            <v>45460</v>
          </cell>
          <cell r="X6335">
            <v>41200020</v>
          </cell>
        </row>
        <row r="6336">
          <cell r="K6336" t="str">
            <v>GBWS-4527</v>
          </cell>
          <cell r="L6336">
            <v>45428</v>
          </cell>
          <cell r="M6336">
            <v>45429</v>
          </cell>
          <cell r="N6336">
            <v>45435</v>
          </cell>
          <cell r="O6336">
            <v>45429</v>
          </cell>
          <cell r="P6336">
            <v>45436</v>
          </cell>
          <cell r="Q6336">
            <v>45435</v>
          </cell>
          <cell r="R6336">
            <v>45436</v>
          </cell>
          <cell r="S6336">
            <v>45439</v>
          </cell>
          <cell r="T6336">
            <v>45442</v>
          </cell>
          <cell r="U6336">
            <v>45441</v>
          </cell>
          <cell r="V6336">
            <v>45442</v>
          </cell>
          <cell r="W6336">
            <v>45442</v>
          </cell>
          <cell r="X6336">
            <v>41200007</v>
          </cell>
        </row>
        <row r="6337">
          <cell r="K6337" t="str">
            <v>GBWS-4528</v>
          </cell>
          <cell r="L6337">
            <v>45428</v>
          </cell>
          <cell r="M6337">
            <v>45429</v>
          </cell>
          <cell r="N6337">
            <v>45435</v>
          </cell>
          <cell r="O6337">
            <v>45429</v>
          </cell>
          <cell r="P6337">
            <v>45436</v>
          </cell>
          <cell r="Q6337">
            <v>45435</v>
          </cell>
          <cell r="R6337">
            <v>45436</v>
          </cell>
          <cell r="S6337">
            <v>45439</v>
          </cell>
          <cell r="T6337">
            <v>45440</v>
          </cell>
          <cell r="U6337">
            <v>45441</v>
          </cell>
          <cell r="V6337">
            <v>45442</v>
          </cell>
          <cell r="W6337">
            <v>45442</v>
          </cell>
          <cell r="X6337">
            <v>41200007</v>
          </cell>
        </row>
        <row r="6338">
          <cell r="K6338" t="str">
            <v>DBW-3342</v>
          </cell>
          <cell r="L6338">
            <v>45442</v>
          </cell>
          <cell r="M6338">
            <v>45443</v>
          </cell>
          <cell r="N6338">
            <v>45450</v>
          </cell>
          <cell r="O6338">
            <v>45443</v>
          </cell>
          <cell r="P6338">
            <v>45453</v>
          </cell>
          <cell r="Q6338">
            <v>45450</v>
          </cell>
          <cell r="R6338">
            <v>45453</v>
          </cell>
          <cell r="S6338">
            <v>45454</v>
          </cell>
          <cell r="T6338">
            <v>45455</v>
          </cell>
          <cell r="U6338">
            <v>45456</v>
          </cell>
          <cell r="V6338">
            <v>45457</v>
          </cell>
          <cell r="W6338">
            <v>45457</v>
          </cell>
          <cell r="X6338">
            <v>41000567</v>
          </cell>
        </row>
        <row r="6339">
          <cell r="K6339" t="str">
            <v>DBW-3343</v>
          </cell>
          <cell r="L6339">
            <v>45442</v>
          </cell>
          <cell r="M6339">
            <v>45443</v>
          </cell>
          <cell r="N6339">
            <v>45450</v>
          </cell>
          <cell r="O6339">
            <v>45443</v>
          </cell>
          <cell r="P6339">
            <v>45453</v>
          </cell>
          <cell r="Q6339">
            <v>45450</v>
          </cell>
          <cell r="R6339">
            <v>45453</v>
          </cell>
          <cell r="S6339">
            <v>45454</v>
          </cell>
          <cell r="T6339">
            <v>45455</v>
          </cell>
          <cell r="U6339">
            <v>45456</v>
          </cell>
          <cell r="V6339">
            <v>45457</v>
          </cell>
          <cell r="W6339">
            <v>45457</v>
          </cell>
          <cell r="X6339">
            <v>41000567</v>
          </cell>
        </row>
        <row r="6340">
          <cell r="K6340" t="str">
            <v>DBW-3344</v>
          </cell>
          <cell r="L6340">
            <v>45442</v>
          </cell>
          <cell r="M6340">
            <v>45443</v>
          </cell>
          <cell r="N6340">
            <v>45450</v>
          </cell>
          <cell r="O6340">
            <v>45443</v>
          </cell>
          <cell r="P6340">
            <v>45453</v>
          </cell>
          <cell r="Q6340">
            <v>45450</v>
          </cell>
          <cell r="R6340">
            <v>45453</v>
          </cell>
          <cell r="S6340">
            <v>45454</v>
          </cell>
          <cell r="T6340">
            <v>45455</v>
          </cell>
          <cell r="U6340">
            <v>45456</v>
          </cell>
          <cell r="V6340">
            <v>45457</v>
          </cell>
          <cell r="W6340">
            <v>45457</v>
          </cell>
          <cell r="X6340">
            <v>41000567</v>
          </cell>
        </row>
        <row r="6341">
          <cell r="K6341" t="str">
            <v>DBW-3345</v>
          </cell>
          <cell r="L6341">
            <v>45443</v>
          </cell>
          <cell r="M6341">
            <v>45446</v>
          </cell>
          <cell r="N6341">
            <v>45453</v>
          </cell>
          <cell r="O6341">
            <v>45446</v>
          </cell>
          <cell r="P6341">
            <v>45454</v>
          </cell>
          <cell r="Q6341">
            <v>45453</v>
          </cell>
          <cell r="R6341">
            <v>45454</v>
          </cell>
          <cell r="S6341">
            <v>45455</v>
          </cell>
          <cell r="T6341">
            <v>45456</v>
          </cell>
          <cell r="U6341">
            <v>45460</v>
          </cell>
          <cell r="V6341">
            <v>45460</v>
          </cell>
          <cell r="W6341">
            <v>45460</v>
          </cell>
          <cell r="X6341">
            <v>41000566</v>
          </cell>
        </row>
        <row r="6342">
          <cell r="K6342" t="str">
            <v>DBW-3346</v>
          </cell>
          <cell r="L6342">
            <v>45443</v>
          </cell>
          <cell r="M6342">
            <v>45446</v>
          </cell>
          <cell r="N6342">
            <v>45453</v>
          </cell>
          <cell r="O6342">
            <v>45446</v>
          </cell>
          <cell r="P6342">
            <v>45454</v>
          </cell>
          <cell r="Q6342">
            <v>45453</v>
          </cell>
          <cell r="R6342">
            <v>45454</v>
          </cell>
          <cell r="S6342">
            <v>45455</v>
          </cell>
          <cell r="T6342">
            <v>45456</v>
          </cell>
          <cell r="U6342">
            <v>45460</v>
          </cell>
          <cell r="V6342">
            <v>45460</v>
          </cell>
          <cell r="W6342">
            <v>45460</v>
          </cell>
          <cell r="X6342">
            <v>41000566</v>
          </cell>
        </row>
        <row r="6343">
          <cell r="K6343" t="str">
            <v>DBW-3347</v>
          </cell>
          <cell r="L6343">
            <v>45443</v>
          </cell>
          <cell r="M6343">
            <v>45446</v>
          </cell>
          <cell r="N6343">
            <v>45453</v>
          </cell>
          <cell r="O6343">
            <v>45446</v>
          </cell>
          <cell r="P6343">
            <v>45454</v>
          </cell>
          <cell r="Q6343">
            <v>45453</v>
          </cell>
          <cell r="R6343">
            <v>45454</v>
          </cell>
          <cell r="S6343">
            <v>45455</v>
          </cell>
          <cell r="T6343">
            <v>45456</v>
          </cell>
          <cell r="U6343">
            <v>45460</v>
          </cell>
          <cell r="V6343">
            <v>45460</v>
          </cell>
          <cell r="W6343">
            <v>45460</v>
          </cell>
          <cell r="X6343">
            <v>41000566</v>
          </cell>
        </row>
        <row r="6344">
          <cell r="K6344" t="str">
            <v>DBW-3348</v>
          </cell>
          <cell r="L6344">
            <v>45443</v>
          </cell>
          <cell r="M6344">
            <v>45446</v>
          </cell>
          <cell r="N6344">
            <v>45453</v>
          </cell>
          <cell r="O6344">
            <v>45446</v>
          </cell>
          <cell r="P6344">
            <v>45454</v>
          </cell>
          <cell r="Q6344">
            <v>45453</v>
          </cell>
          <cell r="R6344">
            <v>45454</v>
          </cell>
          <cell r="S6344">
            <v>45455</v>
          </cell>
          <cell r="T6344">
            <v>45456</v>
          </cell>
          <cell r="U6344">
            <v>45460</v>
          </cell>
          <cell r="V6344">
            <v>45460</v>
          </cell>
          <cell r="W6344">
            <v>45460</v>
          </cell>
          <cell r="X6344">
            <v>41000566</v>
          </cell>
        </row>
        <row r="6345">
          <cell r="K6345" t="str">
            <v>DBW-3349</v>
          </cell>
          <cell r="L6345">
            <v>45443</v>
          </cell>
          <cell r="M6345">
            <v>45446</v>
          </cell>
          <cell r="N6345">
            <v>45453</v>
          </cell>
          <cell r="O6345">
            <v>45446</v>
          </cell>
          <cell r="P6345">
            <v>45454</v>
          </cell>
          <cell r="Q6345">
            <v>45453</v>
          </cell>
          <cell r="R6345">
            <v>45454</v>
          </cell>
          <cell r="S6345">
            <v>45455</v>
          </cell>
          <cell r="T6345">
            <v>45456</v>
          </cell>
          <cell r="U6345">
            <v>45460</v>
          </cell>
          <cell r="V6345">
            <v>45460</v>
          </cell>
          <cell r="W6345">
            <v>45460</v>
          </cell>
          <cell r="X6345">
            <v>41000566</v>
          </cell>
        </row>
        <row r="6346">
          <cell r="K6346" t="str">
            <v>GPWS-0400</v>
          </cell>
          <cell r="L6346">
            <v>45422</v>
          </cell>
          <cell r="M6346">
            <v>45425</v>
          </cell>
          <cell r="N6346">
            <v>45434</v>
          </cell>
          <cell r="O6346">
            <v>45425</v>
          </cell>
          <cell r="P6346">
            <v>45436</v>
          </cell>
          <cell r="Q6346" t="str">
            <v>2024-05-24 → 5/30</v>
          </cell>
          <cell r="R6346" t="str">
            <v>2024-05-27 → 5/31</v>
          </cell>
          <cell r="S6346">
            <v>45454</v>
          </cell>
          <cell r="T6346">
            <v>45455</v>
          </cell>
          <cell r="U6346">
            <v>45456</v>
          </cell>
          <cell r="V6346">
            <v>45457</v>
          </cell>
          <cell r="W6346">
            <v>45457</v>
          </cell>
          <cell r="X6346">
            <v>41000546</v>
          </cell>
        </row>
        <row r="6347">
          <cell r="K6347" t="str">
            <v>GPWS-0401</v>
          </cell>
          <cell r="L6347">
            <v>45422</v>
          </cell>
          <cell r="M6347">
            <v>45425</v>
          </cell>
          <cell r="N6347">
            <v>45434</v>
          </cell>
          <cell r="O6347">
            <v>45425</v>
          </cell>
          <cell r="P6347">
            <v>45436</v>
          </cell>
          <cell r="Q6347" t="str">
            <v>2024-05-24 → 5/30</v>
          </cell>
          <cell r="R6347" t="str">
            <v>2024-05-27 → 5/31</v>
          </cell>
          <cell r="S6347">
            <v>45454</v>
          </cell>
          <cell r="T6347">
            <v>45455</v>
          </cell>
          <cell r="U6347">
            <v>45459</v>
          </cell>
          <cell r="V6347">
            <v>45460</v>
          </cell>
          <cell r="W6347">
            <v>45460</v>
          </cell>
          <cell r="X6347">
            <v>41000546</v>
          </cell>
        </row>
        <row r="6348">
          <cell r="K6348" t="str">
            <v>GPWS-0402</v>
          </cell>
          <cell r="L6348">
            <v>45422</v>
          </cell>
          <cell r="M6348">
            <v>45425</v>
          </cell>
          <cell r="N6348">
            <v>45434</v>
          </cell>
          <cell r="O6348">
            <v>45425</v>
          </cell>
          <cell r="P6348">
            <v>45436</v>
          </cell>
          <cell r="Q6348" t="str">
            <v>2024-05-24 → 5/30</v>
          </cell>
          <cell r="R6348" t="str">
            <v>2024-05-27 → 5/31</v>
          </cell>
          <cell r="S6348">
            <v>45454</v>
          </cell>
          <cell r="T6348">
            <v>45455</v>
          </cell>
          <cell r="U6348">
            <v>45456</v>
          </cell>
          <cell r="V6348">
            <v>45457</v>
          </cell>
          <cell r="W6348">
            <v>45457</v>
          </cell>
          <cell r="X6348">
            <v>41000546</v>
          </cell>
        </row>
        <row r="6349">
          <cell r="K6349" t="str">
            <v>GPWS-0403</v>
          </cell>
          <cell r="L6349">
            <v>45422</v>
          </cell>
          <cell r="M6349">
            <v>45425</v>
          </cell>
          <cell r="N6349">
            <v>45434</v>
          </cell>
          <cell r="O6349">
            <v>45425</v>
          </cell>
          <cell r="P6349">
            <v>45436</v>
          </cell>
          <cell r="Q6349" t="str">
            <v>2024-05-24 → 5/30</v>
          </cell>
          <cell r="R6349" t="str">
            <v>2024-05-27 → 5/31</v>
          </cell>
          <cell r="S6349">
            <v>45454</v>
          </cell>
          <cell r="T6349">
            <v>45455</v>
          </cell>
          <cell r="U6349">
            <v>45456</v>
          </cell>
          <cell r="V6349">
            <v>45457</v>
          </cell>
          <cell r="W6349">
            <v>45457</v>
          </cell>
          <cell r="X6349">
            <v>41000546</v>
          </cell>
        </row>
        <row r="6350">
          <cell r="K6350" t="str">
            <v>GPWS-0404</v>
          </cell>
          <cell r="L6350">
            <v>45422</v>
          </cell>
          <cell r="M6350">
            <v>45425</v>
          </cell>
          <cell r="N6350">
            <v>45434</v>
          </cell>
          <cell r="O6350">
            <v>45425</v>
          </cell>
          <cell r="P6350">
            <v>45436</v>
          </cell>
          <cell r="Q6350" t="str">
            <v>2024-05-24 → 5/30</v>
          </cell>
          <cell r="R6350" t="str">
            <v>2024-05-27 → 5/31</v>
          </cell>
          <cell r="S6350">
            <v>45454</v>
          </cell>
          <cell r="T6350">
            <v>45455</v>
          </cell>
          <cell r="U6350">
            <v>45456</v>
          </cell>
          <cell r="V6350">
            <v>45457</v>
          </cell>
          <cell r="W6350">
            <v>45457</v>
          </cell>
          <cell r="X6350">
            <v>41000546</v>
          </cell>
        </row>
        <row r="6351">
          <cell r="K6351" t="str">
            <v>GPWS-0405</v>
          </cell>
          <cell r="L6351">
            <v>45429</v>
          </cell>
          <cell r="M6351">
            <v>45432</v>
          </cell>
          <cell r="N6351">
            <v>45441</v>
          </cell>
          <cell r="O6351">
            <v>45432</v>
          </cell>
          <cell r="P6351">
            <v>45442</v>
          </cell>
          <cell r="Q6351">
            <v>45441</v>
          </cell>
          <cell r="R6351">
            <v>45442</v>
          </cell>
          <cell r="S6351">
            <v>45448</v>
          </cell>
          <cell r="T6351">
            <v>45450</v>
          </cell>
          <cell r="U6351">
            <v>45453</v>
          </cell>
          <cell r="V6351">
            <v>45455</v>
          </cell>
          <cell r="W6351">
            <v>45455</v>
          </cell>
          <cell r="X6351">
            <v>41000546</v>
          </cell>
        </row>
        <row r="6352">
          <cell r="K6352" t="str">
            <v>GPWS-0406</v>
          </cell>
          <cell r="L6352">
            <v>45429</v>
          </cell>
          <cell r="M6352">
            <v>45432</v>
          </cell>
          <cell r="N6352">
            <v>45441</v>
          </cell>
          <cell r="O6352">
            <v>45432</v>
          </cell>
          <cell r="P6352">
            <v>45442</v>
          </cell>
          <cell r="Q6352">
            <v>45441</v>
          </cell>
          <cell r="R6352">
            <v>45442</v>
          </cell>
          <cell r="S6352">
            <v>45448</v>
          </cell>
          <cell r="T6352">
            <v>45450</v>
          </cell>
          <cell r="U6352">
            <v>45453</v>
          </cell>
          <cell r="V6352">
            <v>45455</v>
          </cell>
          <cell r="W6352">
            <v>45455</v>
          </cell>
          <cell r="X6352">
            <v>41000546</v>
          </cell>
        </row>
        <row r="6353">
          <cell r="K6353" t="str">
            <v>GPWS-0407</v>
          </cell>
          <cell r="L6353">
            <v>45429</v>
          </cell>
          <cell r="M6353">
            <v>45432</v>
          </cell>
          <cell r="N6353">
            <v>45441</v>
          </cell>
          <cell r="O6353">
            <v>45432</v>
          </cell>
          <cell r="P6353">
            <v>45442</v>
          </cell>
          <cell r="Q6353">
            <v>45441</v>
          </cell>
          <cell r="R6353">
            <v>45442</v>
          </cell>
          <cell r="S6353">
            <v>45450</v>
          </cell>
          <cell r="T6353">
            <v>45453</v>
          </cell>
          <cell r="U6353">
            <v>45456</v>
          </cell>
          <cell r="V6353">
            <v>45457</v>
          </cell>
          <cell r="W6353">
            <v>45457</v>
          </cell>
          <cell r="X6353">
            <v>41000546</v>
          </cell>
        </row>
        <row r="6354">
          <cell r="K6354" t="str">
            <v>GPWS-0408</v>
          </cell>
          <cell r="L6354">
            <v>45429</v>
          </cell>
          <cell r="M6354">
            <v>45432</v>
          </cell>
          <cell r="N6354">
            <v>45441</v>
          </cell>
          <cell r="O6354">
            <v>45432</v>
          </cell>
          <cell r="P6354">
            <v>45442</v>
          </cell>
          <cell r="Q6354">
            <v>45441</v>
          </cell>
          <cell r="R6354">
            <v>45442</v>
          </cell>
          <cell r="S6354">
            <v>45450</v>
          </cell>
          <cell r="T6354">
            <v>45455</v>
          </cell>
          <cell r="U6354">
            <v>45456</v>
          </cell>
          <cell r="V6354">
            <v>45457</v>
          </cell>
          <cell r="W6354">
            <v>45457</v>
          </cell>
          <cell r="X6354">
            <v>41000546</v>
          </cell>
        </row>
        <row r="6355">
          <cell r="K6355" t="str">
            <v>GPWS-0409</v>
          </cell>
          <cell r="L6355">
            <v>45434</v>
          </cell>
          <cell r="M6355">
            <v>45435</v>
          </cell>
          <cell r="N6355">
            <v>45446</v>
          </cell>
          <cell r="O6355">
            <v>45435</v>
          </cell>
          <cell r="P6355">
            <v>45447</v>
          </cell>
          <cell r="Q6355">
            <v>45446</v>
          </cell>
          <cell r="R6355">
            <v>45447</v>
          </cell>
          <cell r="S6355">
            <v>45450</v>
          </cell>
          <cell r="T6355">
            <v>45453</v>
          </cell>
          <cell r="U6355">
            <v>45454</v>
          </cell>
          <cell r="V6355">
            <v>45455</v>
          </cell>
          <cell r="W6355">
            <v>45455</v>
          </cell>
          <cell r="X6355">
            <v>41000546</v>
          </cell>
        </row>
        <row r="6356">
          <cell r="K6356" t="str">
            <v>GPWS-0410</v>
          </cell>
          <cell r="L6356">
            <v>45434</v>
          </cell>
          <cell r="M6356">
            <v>45435</v>
          </cell>
          <cell r="N6356">
            <v>45446</v>
          </cell>
          <cell r="O6356">
            <v>45435</v>
          </cell>
          <cell r="P6356">
            <v>45447</v>
          </cell>
          <cell r="Q6356">
            <v>45446</v>
          </cell>
          <cell r="R6356">
            <v>45447</v>
          </cell>
          <cell r="S6356">
            <v>45450</v>
          </cell>
          <cell r="T6356">
            <v>45453</v>
          </cell>
          <cell r="U6356">
            <v>45454</v>
          </cell>
          <cell r="V6356">
            <v>45455</v>
          </cell>
          <cell r="W6356">
            <v>45455</v>
          </cell>
          <cell r="X6356">
            <v>41000546</v>
          </cell>
        </row>
        <row r="6357">
          <cell r="K6357" t="str">
            <v>GPWS-0411</v>
          </cell>
          <cell r="L6357">
            <v>45434</v>
          </cell>
          <cell r="M6357">
            <v>45435</v>
          </cell>
          <cell r="N6357">
            <v>45446</v>
          </cell>
          <cell r="O6357">
            <v>45435</v>
          </cell>
          <cell r="P6357">
            <v>45447</v>
          </cell>
          <cell r="Q6357">
            <v>45446</v>
          </cell>
          <cell r="R6357">
            <v>45447</v>
          </cell>
          <cell r="S6357">
            <v>45450</v>
          </cell>
          <cell r="T6357">
            <v>45454</v>
          </cell>
          <cell r="U6357">
            <v>45455</v>
          </cell>
          <cell r="V6357">
            <v>45456</v>
          </cell>
          <cell r="W6357">
            <v>45456</v>
          </cell>
          <cell r="X6357">
            <v>41000546</v>
          </cell>
        </row>
        <row r="6358">
          <cell r="K6358" t="str">
            <v>GPWS-0412</v>
          </cell>
          <cell r="L6358">
            <v>45434</v>
          </cell>
          <cell r="M6358">
            <v>45435</v>
          </cell>
          <cell r="N6358">
            <v>45446</v>
          </cell>
          <cell r="O6358">
            <v>45435</v>
          </cell>
          <cell r="P6358">
            <v>45447</v>
          </cell>
          <cell r="Q6358">
            <v>45446</v>
          </cell>
          <cell r="R6358">
            <v>45447</v>
          </cell>
          <cell r="S6358">
            <v>45450</v>
          </cell>
          <cell r="T6358">
            <v>45454</v>
          </cell>
          <cell r="U6358">
            <v>45455</v>
          </cell>
          <cell r="V6358">
            <v>45456</v>
          </cell>
          <cell r="W6358">
            <v>45456</v>
          </cell>
          <cell r="X6358">
            <v>41000546</v>
          </cell>
        </row>
        <row r="6359">
          <cell r="K6359" t="str">
            <v>GPWS-0417</v>
          </cell>
          <cell r="L6359">
            <v>45436</v>
          </cell>
          <cell r="M6359">
            <v>45439</v>
          </cell>
          <cell r="N6359">
            <v>45446</v>
          </cell>
          <cell r="O6359">
            <v>45439</v>
          </cell>
          <cell r="P6359">
            <v>45450</v>
          </cell>
          <cell r="Q6359">
            <v>45448</v>
          </cell>
          <cell r="R6359">
            <v>45450</v>
          </cell>
          <cell r="S6359">
            <v>45454</v>
          </cell>
          <cell r="T6359">
            <v>45456</v>
          </cell>
          <cell r="U6359">
            <v>45457</v>
          </cell>
          <cell r="V6359">
            <v>45460</v>
          </cell>
          <cell r="W6359">
            <v>45460</v>
          </cell>
          <cell r="X6359">
            <v>41000546</v>
          </cell>
        </row>
        <row r="6360">
          <cell r="K6360" t="str">
            <v>GPWS-0418</v>
          </cell>
          <cell r="L6360">
            <v>45436</v>
          </cell>
          <cell r="M6360">
            <v>45439</v>
          </cell>
          <cell r="N6360">
            <v>45446</v>
          </cell>
          <cell r="O6360">
            <v>45439</v>
          </cell>
          <cell r="P6360">
            <v>45450</v>
          </cell>
          <cell r="Q6360">
            <v>45448</v>
          </cell>
          <cell r="R6360">
            <v>45450</v>
          </cell>
          <cell r="S6360">
            <v>45454</v>
          </cell>
          <cell r="T6360">
            <v>45456</v>
          </cell>
          <cell r="U6360">
            <v>45457</v>
          </cell>
          <cell r="V6360">
            <v>45460</v>
          </cell>
          <cell r="W6360">
            <v>45460</v>
          </cell>
          <cell r="X6360">
            <v>41000546</v>
          </cell>
        </row>
        <row r="6361">
          <cell r="K6361" t="str">
            <v>DBW-3350</v>
          </cell>
          <cell r="L6361">
            <v>45446</v>
          </cell>
          <cell r="M6361">
            <v>45447</v>
          </cell>
          <cell r="N6361">
            <v>45454</v>
          </cell>
          <cell r="O6361">
            <v>45447</v>
          </cell>
          <cell r="P6361">
            <v>45455</v>
          </cell>
          <cell r="Q6361">
            <v>45454</v>
          </cell>
          <cell r="R6361">
            <v>45455</v>
          </cell>
          <cell r="S6361">
            <v>45456</v>
          </cell>
          <cell r="T6361">
            <v>45457</v>
          </cell>
          <cell r="U6361">
            <v>45459</v>
          </cell>
          <cell r="V6361">
            <v>45460</v>
          </cell>
          <cell r="W6361">
            <v>45460</v>
          </cell>
          <cell r="X6361">
            <v>41000566</v>
          </cell>
        </row>
        <row r="6362">
          <cell r="K6362" t="str">
            <v>DBW-3351</v>
          </cell>
          <cell r="L6362">
            <v>45446</v>
          </cell>
          <cell r="M6362">
            <v>45447</v>
          </cell>
          <cell r="N6362">
            <v>45454</v>
          </cell>
          <cell r="O6362">
            <v>45447</v>
          </cell>
          <cell r="P6362">
            <v>45455</v>
          </cell>
          <cell r="Q6362">
            <v>45454</v>
          </cell>
          <cell r="R6362">
            <v>45455</v>
          </cell>
          <cell r="S6362">
            <v>45456</v>
          </cell>
          <cell r="T6362">
            <v>45457</v>
          </cell>
          <cell r="U6362">
            <v>45459</v>
          </cell>
          <cell r="V6362">
            <v>45460</v>
          </cell>
          <cell r="W6362">
            <v>45460</v>
          </cell>
          <cell r="X6362">
            <v>41000566</v>
          </cell>
        </row>
        <row r="6363">
          <cell r="K6363" t="str">
            <v>DBW-3352</v>
          </cell>
          <cell r="L6363">
            <v>45446</v>
          </cell>
          <cell r="M6363">
            <v>45447</v>
          </cell>
          <cell r="N6363">
            <v>45454</v>
          </cell>
          <cell r="O6363">
            <v>45447</v>
          </cell>
          <cell r="P6363">
            <v>45455</v>
          </cell>
          <cell r="Q6363">
            <v>45454</v>
          </cell>
          <cell r="R6363">
            <v>45455</v>
          </cell>
          <cell r="S6363">
            <v>45456</v>
          </cell>
          <cell r="T6363">
            <v>45457</v>
          </cell>
          <cell r="U6363">
            <v>45457</v>
          </cell>
          <cell r="V6363">
            <v>45460</v>
          </cell>
          <cell r="W6363">
            <v>45460</v>
          </cell>
          <cell r="X6363">
            <v>41000566</v>
          </cell>
        </row>
        <row r="6364">
          <cell r="K6364" t="str">
            <v>DBW-3353</v>
          </cell>
          <cell r="L6364">
            <v>45446</v>
          </cell>
          <cell r="M6364">
            <v>45447</v>
          </cell>
          <cell r="N6364">
            <v>45454</v>
          </cell>
          <cell r="O6364">
            <v>45447</v>
          </cell>
          <cell r="P6364">
            <v>45455</v>
          </cell>
          <cell r="Q6364">
            <v>45454</v>
          </cell>
          <cell r="R6364">
            <v>45455</v>
          </cell>
          <cell r="S6364">
            <v>45456</v>
          </cell>
          <cell r="T6364">
            <v>45456</v>
          </cell>
          <cell r="U6364">
            <v>45457</v>
          </cell>
          <cell r="V6364">
            <v>45460</v>
          </cell>
          <cell r="W6364">
            <v>45460</v>
          </cell>
          <cell r="X6364">
            <v>41000566</v>
          </cell>
        </row>
        <row r="6365">
          <cell r="K6365" t="str">
            <v>DBW-3354</v>
          </cell>
          <cell r="L6365">
            <v>45446</v>
          </cell>
          <cell r="M6365">
            <v>45447</v>
          </cell>
          <cell r="N6365">
            <v>45454</v>
          </cell>
          <cell r="O6365">
            <v>45447</v>
          </cell>
          <cell r="P6365">
            <v>45455</v>
          </cell>
          <cell r="Q6365">
            <v>45454</v>
          </cell>
          <cell r="R6365">
            <v>45455</v>
          </cell>
          <cell r="S6365">
            <v>45456</v>
          </cell>
          <cell r="T6365">
            <v>45457</v>
          </cell>
          <cell r="U6365">
            <v>45457</v>
          </cell>
          <cell r="V6365">
            <v>45460</v>
          </cell>
          <cell r="W6365">
            <v>45460</v>
          </cell>
          <cell r="X6365">
            <v>41000566</v>
          </cell>
        </row>
        <row r="6366">
          <cell r="K6366" t="str">
            <v>GBWS-4487</v>
          </cell>
          <cell r="L6366">
            <v>45415</v>
          </cell>
          <cell r="M6366">
            <v>45419</v>
          </cell>
          <cell r="N6366">
            <v>45425</v>
          </cell>
          <cell r="O6366">
            <v>45419</v>
          </cell>
          <cell r="P6366">
            <v>45426</v>
          </cell>
          <cell r="Q6366">
            <v>45425</v>
          </cell>
          <cell r="R6366">
            <v>45426</v>
          </cell>
          <cell r="S6366">
            <v>45428</v>
          </cell>
          <cell r="T6366">
            <v>45429</v>
          </cell>
          <cell r="U6366">
            <v>45434</v>
          </cell>
          <cell r="V6366">
            <v>45434</v>
          </cell>
          <cell r="W6366">
            <v>45434</v>
          </cell>
          <cell r="X6366">
            <v>41200004</v>
          </cell>
        </row>
        <row r="6367">
          <cell r="K6367" t="str">
            <v>GBWS-4555</v>
          </cell>
          <cell r="L6367">
            <v>45434</v>
          </cell>
          <cell r="M6367">
            <v>45435</v>
          </cell>
          <cell r="N6367">
            <v>45442</v>
          </cell>
          <cell r="O6367">
            <v>45435</v>
          </cell>
          <cell r="P6367">
            <v>45442</v>
          </cell>
          <cell r="Q6367">
            <v>45442</v>
          </cell>
          <cell r="R6367">
            <v>45443</v>
          </cell>
          <cell r="S6367">
            <v>45446</v>
          </cell>
          <cell r="T6367">
            <v>45448</v>
          </cell>
          <cell r="U6367">
            <v>45450</v>
          </cell>
          <cell r="V6367">
            <v>45453</v>
          </cell>
          <cell r="W6367">
            <v>45453</v>
          </cell>
          <cell r="X6367">
            <v>41100350</v>
          </cell>
        </row>
        <row r="6368">
          <cell r="K6368" t="str">
            <v>GBWS-4586</v>
          </cell>
          <cell r="L6368">
            <v>45442</v>
          </cell>
          <cell r="M6368">
            <v>45443</v>
          </cell>
          <cell r="N6368">
            <v>45453</v>
          </cell>
          <cell r="O6368">
            <v>45443</v>
          </cell>
          <cell r="P6368">
            <v>45454</v>
          </cell>
          <cell r="Q6368">
            <v>45453</v>
          </cell>
          <cell r="R6368">
            <v>45454</v>
          </cell>
          <cell r="S6368">
            <v>45455</v>
          </cell>
          <cell r="T6368">
            <v>45456</v>
          </cell>
          <cell r="U6368">
            <v>45457</v>
          </cell>
          <cell r="V6368">
            <v>45460</v>
          </cell>
          <cell r="W6368">
            <v>45460</v>
          </cell>
          <cell r="X6368">
            <v>41100507</v>
          </cell>
        </row>
        <row r="6369">
          <cell r="K6369" t="str">
            <v>GBWS-4589</v>
          </cell>
          <cell r="L6369">
            <v>45443</v>
          </cell>
          <cell r="M6369">
            <v>45446</v>
          </cell>
          <cell r="N6369">
            <v>45454</v>
          </cell>
          <cell r="O6369">
            <v>45446</v>
          </cell>
          <cell r="P6369">
            <v>45455</v>
          </cell>
          <cell r="Q6369">
            <v>45454</v>
          </cell>
          <cell r="R6369">
            <v>45455</v>
          </cell>
          <cell r="S6369">
            <v>45456</v>
          </cell>
          <cell r="T6369">
            <v>45457</v>
          </cell>
          <cell r="U6369">
            <v>45459</v>
          </cell>
          <cell r="V6369">
            <v>45460</v>
          </cell>
          <cell r="W6369">
            <v>45460</v>
          </cell>
          <cell r="X6369">
            <v>41100334</v>
          </cell>
        </row>
        <row r="6370">
          <cell r="K6370" t="str">
            <v>IVAS-246</v>
          </cell>
          <cell r="L6370">
            <v>45439</v>
          </cell>
          <cell r="M6370">
            <v>45440</v>
          </cell>
          <cell r="N6370">
            <v>45453</v>
          </cell>
          <cell r="O6370">
            <v>45440</v>
          </cell>
          <cell r="P6370">
            <v>45455</v>
          </cell>
          <cell r="Q6370">
            <v>45453</v>
          </cell>
          <cell r="R6370">
            <v>45454</v>
          </cell>
          <cell r="S6370">
            <v>45455</v>
          </cell>
          <cell r="T6370">
            <v>45455</v>
          </cell>
          <cell r="U6370">
            <v>45462</v>
          </cell>
          <cell r="V6370">
            <v>45462</v>
          </cell>
          <cell r="W6370">
            <v>45462</v>
          </cell>
          <cell r="X6370">
            <v>41200010</v>
          </cell>
        </row>
        <row r="6371">
          <cell r="K6371" t="str">
            <v>GBWS-4597</v>
          </cell>
          <cell r="L6371">
            <v>45447</v>
          </cell>
          <cell r="M6371">
            <v>45448</v>
          </cell>
          <cell r="N6371">
            <v>45455</v>
          </cell>
          <cell r="O6371">
            <v>45448</v>
          </cell>
          <cell r="P6371">
            <v>45456</v>
          </cell>
          <cell r="Q6371">
            <v>45455</v>
          </cell>
          <cell r="R6371">
            <v>45456</v>
          </cell>
          <cell r="S6371">
            <v>45457</v>
          </cell>
          <cell r="T6371">
            <v>45458</v>
          </cell>
          <cell r="U6371">
            <v>45461</v>
          </cell>
          <cell r="V6371">
            <v>45462</v>
          </cell>
          <cell r="W6371">
            <v>45462</v>
          </cell>
          <cell r="X6371">
            <v>41100558</v>
          </cell>
        </row>
        <row r="6372">
          <cell r="K6372" t="str">
            <v>GBWS-4598</v>
          </cell>
          <cell r="L6372">
            <v>45447</v>
          </cell>
          <cell r="M6372">
            <v>45448</v>
          </cell>
          <cell r="N6372">
            <v>45455</v>
          </cell>
          <cell r="O6372">
            <v>45448</v>
          </cell>
          <cell r="P6372">
            <v>45456</v>
          </cell>
          <cell r="Q6372">
            <v>45455</v>
          </cell>
          <cell r="R6372">
            <v>45456</v>
          </cell>
          <cell r="S6372">
            <v>45457</v>
          </cell>
          <cell r="T6372">
            <v>45460</v>
          </cell>
          <cell r="U6372">
            <v>45461</v>
          </cell>
          <cell r="V6372">
            <v>45462</v>
          </cell>
          <cell r="W6372">
            <v>45462</v>
          </cell>
          <cell r="X6372">
            <v>41100558</v>
          </cell>
        </row>
        <row r="6373">
          <cell r="K6373" t="str">
            <v>GBWS-4605</v>
          </cell>
          <cell r="L6373">
            <v>45447</v>
          </cell>
          <cell r="M6373">
            <v>45448</v>
          </cell>
          <cell r="N6373">
            <v>45455</v>
          </cell>
          <cell r="O6373">
            <v>45448</v>
          </cell>
          <cell r="P6373">
            <v>45456</v>
          </cell>
          <cell r="Q6373">
            <v>45455</v>
          </cell>
          <cell r="R6373">
            <v>45456</v>
          </cell>
          <cell r="S6373">
            <v>45457</v>
          </cell>
          <cell r="T6373">
            <v>45460</v>
          </cell>
          <cell r="U6373">
            <v>45461</v>
          </cell>
          <cell r="V6373">
            <v>45462</v>
          </cell>
          <cell r="W6373">
            <v>45462</v>
          </cell>
          <cell r="X6373">
            <v>41100662</v>
          </cell>
        </row>
        <row r="6374">
          <cell r="K6374" t="str">
            <v>GBWS-4592</v>
          </cell>
          <cell r="L6374">
            <v>45443</v>
          </cell>
          <cell r="M6374">
            <v>45446</v>
          </cell>
          <cell r="N6374">
            <v>45454</v>
          </cell>
          <cell r="O6374">
            <v>45446</v>
          </cell>
          <cell r="P6374">
            <v>45455</v>
          </cell>
          <cell r="Q6374">
            <v>45454</v>
          </cell>
          <cell r="R6374">
            <v>45455</v>
          </cell>
          <cell r="S6374">
            <v>45457</v>
          </cell>
          <cell r="T6374">
            <v>45460</v>
          </cell>
          <cell r="U6374">
            <v>45460</v>
          </cell>
          <cell r="V6374">
            <v>45461</v>
          </cell>
          <cell r="W6374">
            <v>45461</v>
          </cell>
          <cell r="X6374">
            <v>41100565</v>
          </cell>
        </row>
        <row r="6375">
          <cell r="K6375" t="str">
            <v>GBWS-4593</v>
          </cell>
          <cell r="L6375">
            <v>45443</v>
          </cell>
          <cell r="M6375">
            <v>45446</v>
          </cell>
          <cell r="N6375">
            <v>45454</v>
          </cell>
          <cell r="O6375">
            <v>45446</v>
          </cell>
          <cell r="P6375">
            <v>45455</v>
          </cell>
          <cell r="Q6375">
            <v>45454</v>
          </cell>
          <cell r="R6375">
            <v>45455</v>
          </cell>
          <cell r="S6375">
            <v>45457</v>
          </cell>
          <cell r="T6375">
            <v>45460</v>
          </cell>
          <cell r="U6375">
            <v>45460</v>
          </cell>
          <cell r="V6375">
            <v>45461</v>
          </cell>
          <cell r="W6375">
            <v>45461</v>
          </cell>
          <cell r="X6375">
            <v>41100565</v>
          </cell>
        </row>
        <row r="6376">
          <cell r="K6376" t="str">
            <v>GBWS-4585</v>
          </cell>
          <cell r="L6376">
            <v>45441</v>
          </cell>
          <cell r="M6376">
            <v>45442</v>
          </cell>
          <cell r="N6376">
            <v>45453</v>
          </cell>
          <cell r="O6376">
            <v>45442</v>
          </cell>
          <cell r="P6376">
            <v>45454</v>
          </cell>
          <cell r="Q6376">
            <v>45453</v>
          </cell>
          <cell r="R6376">
            <v>45454</v>
          </cell>
          <cell r="S6376">
            <v>45455</v>
          </cell>
          <cell r="T6376">
            <v>45456</v>
          </cell>
          <cell r="U6376">
            <v>45457</v>
          </cell>
          <cell r="V6376">
            <v>45460</v>
          </cell>
          <cell r="W6376">
            <v>45460</v>
          </cell>
          <cell r="X6376">
            <v>41100566</v>
          </cell>
        </row>
        <row r="6377">
          <cell r="K6377" t="str">
            <v>DS-0437~0442</v>
          </cell>
          <cell r="L6377">
            <v>45457</v>
          </cell>
          <cell r="M6377">
            <v>45460</v>
          </cell>
          <cell r="N6377">
            <v>45462</v>
          </cell>
          <cell r="O6377">
            <v>45460</v>
          </cell>
          <cell r="P6377">
            <v>45462</v>
          </cell>
          <cell r="Q6377">
            <v>45461</v>
          </cell>
          <cell r="R6377">
            <v>45461</v>
          </cell>
          <cell r="S6377">
            <v>45462</v>
          </cell>
          <cell r="T6377">
            <v>45462</v>
          </cell>
          <cell r="U6377">
            <v>45462</v>
          </cell>
          <cell r="V6377">
            <v>45462</v>
          </cell>
          <cell r="W6377">
            <v>45462</v>
          </cell>
          <cell r="X6377">
            <v>31010314</v>
          </cell>
        </row>
        <row r="6378">
          <cell r="K6378" t="str">
            <v>GBWS-4604</v>
          </cell>
          <cell r="L6378">
            <v>45447</v>
          </cell>
          <cell r="M6378">
            <v>45448</v>
          </cell>
          <cell r="N6378">
            <v>45455</v>
          </cell>
          <cell r="O6378">
            <v>45448</v>
          </cell>
          <cell r="P6378">
            <v>45456</v>
          </cell>
          <cell r="Q6378">
            <v>45455</v>
          </cell>
          <cell r="R6378">
            <v>45456</v>
          </cell>
          <cell r="S6378">
            <v>45457</v>
          </cell>
          <cell r="T6378">
            <v>45460</v>
          </cell>
          <cell r="U6378">
            <v>45460</v>
          </cell>
          <cell r="V6378">
            <v>45462</v>
          </cell>
          <cell r="W6378">
            <v>45462</v>
          </cell>
          <cell r="X6378">
            <v>41100566</v>
          </cell>
        </row>
        <row r="6379">
          <cell r="K6379" t="str">
            <v>-</v>
          </cell>
          <cell r="L6379">
            <v>45440</v>
          </cell>
          <cell r="M6379">
            <v>45441</v>
          </cell>
          <cell r="N6379">
            <v>45450</v>
          </cell>
          <cell r="O6379">
            <v>45441</v>
          </cell>
          <cell r="P6379">
            <v>45453</v>
          </cell>
          <cell r="Q6379">
            <v>45448</v>
          </cell>
          <cell r="R6379">
            <v>45450</v>
          </cell>
          <cell r="S6379">
            <v>45453</v>
          </cell>
          <cell r="T6379">
            <v>45453</v>
          </cell>
          <cell r="U6379">
            <v>45453</v>
          </cell>
          <cell r="V6379">
            <v>45463</v>
          </cell>
          <cell r="W6379">
            <v>45463</v>
          </cell>
          <cell r="X6379">
            <v>31102290</v>
          </cell>
        </row>
        <row r="6380">
          <cell r="K6380" t="str">
            <v>-</v>
          </cell>
          <cell r="L6380">
            <v>45440</v>
          </cell>
          <cell r="M6380">
            <v>45441</v>
          </cell>
          <cell r="N6380">
            <v>45450</v>
          </cell>
          <cell r="O6380">
            <v>45441</v>
          </cell>
          <cell r="P6380">
            <v>45453</v>
          </cell>
          <cell r="Q6380">
            <v>45448</v>
          </cell>
          <cell r="R6380">
            <v>45450</v>
          </cell>
          <cell r="S6380">
            <v>45453</v>
          </cell>
          <cell r="T6380">
            <v>45453</v>
          </cell>
          <cell r="U6380">
            <v>45453</v>
          </cell>
          <cell r="V6380">
            <v>45463</v>
          </cell>
          <cell r="W6380">
            <v>45463</v>
          </cell>
          <cell r="X6380">
            <v>31200002</v>
          </cell>
        </row>
        <row r="6381">
          <cell r="K6381" t="str">
            <v>-</v>
          </cell>
          <cell r="L6381">
            <v>45440</v>
          </cell>
          <cell r="M6381">
            <v>45441</v>
          </cell>
          <cell r="N6381">
            <v>45450</v>
          </cell>
          <cell r="O6381">
            <v>45441</v>
          </cell>
          <cell r="P6381">
            <v>45453</v>
          </cell>
          <cell r="Q6381">
            <v>45448</v>
          </cell>
          <cell r="R6381">
            <v>45450</v>
          </cell>
          <cell r="S6381">
            <v>45453</v>
          </cell>
          <cell r="T6381">
            <v>45453</v>
          </cell>
          <cell r="U6381">
            <v>45453</v>
          </cell>
          <cell r="V6381">
            <v>45463</v>
          </cell>
          <cell r="W6381">
            <v>45463</v>
          </cell>
          <cell r="X6381">
            <v>31200004</v>
          </cell>
        </row>
        <row r="6382">
          <cell r="K6382" t="str">
            <v>-</v>
          </cell>
          <cell r="L6382">
            <v>45440</v>
          </cell>
          <cell r="M6382">
            <v>45441</v>
          </cell>
          <cell r="N6382">
            <v>45450</v>
          </cell>
          <cell r="O6382">
            <v>45441</v>
          </cell>
          <cell r="P6382">
            <v>45453</v>
          </cell>
          <cell r="Q6382">
            <v>45448</v>
          </cell>
          <cell r="R6382">
            <v>45450</v>
          </cell>
          <cell r="S6382">
            <v>45453</v>
          </cell>
          <cell r="T6382">
            <v>45453</v>
          </cell>
          <cell r="U6382">
            <v>45453</v>
          </cell>
          <cell r="V6382">
            <v>45463</v>
          </cell>
          <cell r="W6382">
            <v>45463</v>
          </cell>
          <cell r="X6382">
            <v>31102292</v>
          </cell>
        </row>
        <row r="6383">
          <cell r="K6383" t="str">
            <v>-</v>
          </cell>
          <cell r="L6383">
            <v>45440</v>
          </cell>
          <cell r="M6383">
            <v>45441</v>
          </cell>
          <cell r="N6383">
            <v>45450</v>
          </cell>
          <cell r="O6383">
            <v>45441</v>
          </cell>
          <cell r="P6383">
            <v>45453</v>
          </cell>
          <cell r="Q6383">
            <v>45448</v>
          </cell>
          <cell r="R6383">
            <v>45450</v>
          </cell>
          <cell r="S6383">
            <v>45453</v>
          </cell>
          <cell r="T6383">
            <v>45453</v>
          </cell>
          <cell r="U6383">
            <v>45453</v>
          </cell>
          <cell r="V6383">
            <v>45463</v>
          </cell>
          <cell r="W6383">
            <v>45463</v>
          </cell>
          <cell r="X6383">
            <v>31102291</v>
          </cell>
        </row>
        <row r="6384">
          <cell r="K6384" t="str">
            <v>-</v>
          </cell>
          <cell r="L6384">
            <v>45440</v>
          </cell>
          <cell r="M6384">
            <v>45441</v>
          </cell>
          <cell r="N6384">
            <v>45450</v>
          </cell>
          <cell r="O6384">
            <v>45441</v>
          </cell>
          <cell r="P6384">
            <v>45453</v>
          </cell>
          <cell r="Q6384">
            <v>45448</v>
          </cell>
          <cell r="R6384">
            <v>45450</v>
          </cell>
          <cell r="S6384">
            <v>45453</v>
          </cell>
          <cell r="T6384">
            <v>45453</v>
          </cell>
          <cell r="U6384">
            <v>45453</v>
          </cell>
          <cell r="V6384">
            <v>45463</v>
          </cell>
          <cell r="W6384">
            <v>45463</v>
          </cell>
          <cell r="X6384">
            <v>31102303</v>
          </cell>
        </row>
        <row r="6385">
          <cell r="K6385" t="str">
            <v>-</v>
          </cell>
          <cell r="L6385">
            <v>45440</v>
          </cell>
          <cell r="M6385" t="str">
            <v>2024-05-21 → 5/29</v>
          </cell>
          <cell r="N6385">
            <v>45453</v>
          </cell>
          <cell r="O6385" t="str">
            <v>2024-05-21 → 5/29</v>
          </cell>
          <cell r="P6385">
            <v>45453</v>
          </cell>
          <cell r="Q6385" t="str">
            <v>2024-05-29 → 6/5</v>
          </cell>
          <cell r="R6385" t="str">
            <v>2024-05-30 → 6/7</v>
          </cell>
          <cell r="S6385">
            <v>45453</v>
          </cell>
          <cell r="T6385">
            <v>45453</v>
          </cell>
          <cell r="U6385">
            <v>45453</v>
          </cell>
          <cell r="V6385">
            <v>45463</v>
          </cell>
          <cell r="W6385">
            <v>45463</v>
          </cell>
          <cell r="X6385">
            <v>31200002</v>
          </cell>
        </row>
        <row r="6386">
          <cell r="K6386" t="str">
            <v>-</v>
          </cell>
          <cell r="L6386">
            <v>45440</v>
          </cell>
          <cell r="M6386" t="str">
            <v>2024-05-21 → 5/29</v>
          </cell>
          <cell r="N6386">
            <v>45453</v>
          </cell>
          <cell r="O6386" t="str">
            <v>2024-05-21 → 5/29</v>
          </cell>
          <cell r="P6386">
            <v>45453</v>
          </cell>
          <cell r="Q6386" t="str">
            <v>2024-05-29 → 6/5</v>
          </cell>
          <cell r="R6386" t="str">
            <v>2024-05-30 → 6/7</v>
          </cell>
          <cell r="S6386">
            <v>45453</v>
          </cell>
          <cell r="T6386">
            <v>45453</v>
          </cell>
          <cell r="U6386">
            <v>45453</v>
          </cell>
          <cell r="V6386">
            <v>45463</v>
          </cell>
          <cell r="W6386">
            <v>45463</v>
          </cell>
          <cell r="X6386">
            <v>31200003</v>
          </cell>
        </row>
        <row r="6387">
          <cell r="K6387" t="str">
            <v>GBWS-4601</v>
          </cell>
          <cell r="L6387">
            <v>45447</v>
          </cell>
          <cell r="M6387">
            <v>45448</v>
          </cell>
          <cell r="N6387">
            <v>45456</v>
          </cell>
          <cell r="O6387">
            <v>45448</v>
          </cell>
          <cell r="P6387">
            <v>45457</v>
          </cell>
          <cell r="Q6387">
            <v>45456</v>
          </cell>
          <cell r="R6387">
            <v>45457</v>
          </cell>
          <cell r="S6387">
            <v>45460</v>
          </cell>
          <cell r="T6387">
            <v>45461</v>
          </cell>
          <cell r="U6387">
            <v>45462</v>
          </cell>
          <cell r="V6387">
            <v>45463</v>
          </cell>
          <cell r="W6387">
            <v>45463</v>
          </cell>
          <cell r="X6387">
            <v>41100443</v>
          </cell>
        </row>
        <row r="6388">
          <cell r="K6388" t="str">
            <v>GBWS-4602</v>
          </cell>
          <cell r="L6388">
            <v>45447</v>
          </cell>
          <cell r="M6388">
            <v>45448</v>
          </cell>
          <cell r="N6388">
            <v>45456</v>
          </cell>
          <cell r="O6388">
            <v>45448</v>
          </cell>
          <cell r="P6388">
            <v>45457</v>
          </cell>
          <cell r="Q6388">
            <v>45456</v>
          </cell>
          <cell r="R6388">
            <v>45457</v>
          </cell>
          <cell r="S6388">
            <v>45460</v>
          </cell>
          <cell r="T6388">
            <v>45461</v>
          </cell>
          <cell r="U6388">
            <v>45462</v>
          </cell>
          <cell r="V6388">
            <v>45463</v>
          </cell>
          <cell r="W6388">
            <v>45463</v>
          </cell>
          <cell r="X6388">
            <v>41100443</v>
          </cell>
        </row>
        <row r="6389">
          <cell r="K6389" t="str">
            <v>GBWS-4554</v>
          </cell>
          <cell r="L6389">
            <v>45434</v>
          </cell>
          <cell r="M6389">
            <v>45435</v>
          </cell>
          <cell r="N6389">
            <v>45442</v>
          </cell>
          <cell r="O6389">
            <v>45435</v>
          </cell>
          <cell r="P6389">
            <v>45442</v>
          </cell>
          <cell r="Q6389">
            <v>45442</v>
          </cell>
          <cell r="R6389">
            <v>45443</v>
          </cell>
          <cell r="S6389">
            <v>45457</v>
          </cell>
          <cell r="T6389">
            <v>45460</v>
          </cell>
          <cell r="U6389">
            <v>45461</v>
          </cell>
          <cell r="V6389">
            <v>45462</v>
          </cell>
          <cell r="W6389">
            <v>45462</v>
          </cell>
          <cell r="X6389">
            <v>41100356</v>
          </cell>
        </row>
        <row r="6390">
          <cell r="K6390" t="str">
            <v>GBWS-4610</v>
          </cell>
          <cell r="L6390">
            <v>45448</v>
          </cell>
          <cell r="M6390">
            <v>45450</v>
          </cell>
          <cell r="N6390">
            <v>45457</v>
          </cell>
          <cell r="O6390">
            <v>45450</v>
          </cell>
          <cell r="P6390">
            <v>45460</v>
          </cell>
          <cell r="Q6390">
            <v>45457</v>
          </cell>
          <cell r="R6390">
            <v>45460</v>
          </cell>
          <cell r="S6390">
            <v>45461</v>
          </cell>
          <cell r="T6390">
            <v>45462</v>
          </cell>
          <cell r="U6390">
            <v>45463</v>
          </cell>
          <cell r="V6390">
            <v>45464</v>
          </cell>
          <cell r="W6390">
            <v>45464</v>
          </cell>
          <cell r="X6390">
            <v>41100584</v>
          </cell>
        </row>
        <row r="6391">
          <cell r="K6391" t="str">
            <v>IVAS-247</v>
          </cell>
          <cell r="L6391">
            <v>45439</v>
          </cell>
          <cell r="M6391">
            <v>45440</v>
          </cell>
          <cell r="N6391">
            <v>45453</v>
          </cell>
          <cell r="O6391">
            <v>45440</v>
          </cell>
          <cell r="P6391">
            <v>45454</v>
          </cell>
          <cell r="Q6391">
            <v>45454</v>
          </cell>
          <cell r="R6391">
            <v>45455</v>
          </cell>
          <cell r="S6391">
            <v>45455</v>
          </cell>
          <cell r="T6391">
            <v>45455</v>
          </cell>
          <cell r="U6391">
            <v>45459</v>
          </cell>
          <cell r="V6391">
            <v>45464</v>
          </cell>
          <cell r="W6391">
            <v>45464</v>
          </cell>
          <cell r="X6391">
            <v>41200011</v>
          </cell>
        </row>
        <row r="6392">
          <cell r="K6392" t="str">
            <v>GBWS-4603</v>
          </cell>
          <cell r="L6392">
            <v>45447</v>
          </cell>
          <cell r="M6392">
            <v>45448</v>
          </cell>
          <cell r="N6392">
            <v>45457</v>
          </cell>
          <cell r="O6392">
            <v>45448</v>
          </cell>
          <cell r="P6392">
            <v>45460</v>
          </cell>
          <cell r="Q6392">
            <v>45457</v>
          </cell>
          <cell r="R6392">
            <v>45460</v>
          </cell>
          <cell r="S6392">
            <v>45461</v>
          </cell>
          <cell r="T6392">
            <v>45463</v>
          </cell>
          <cell r="U6392">
            <v>45464</v>
          </cell>
          <cell r="V6392">
            <v>45464</v>
          </cell>
          <cell r="W6392">
            <v>45464</v>
          </cell>
          <cell r="X6392">
            <v>41100704</v>
          </cell>
        </row>
        <row r="6393">
          <cell r="K6393" t="str">
            <v>MMD-0076</v>
          </cell>
          <cell r="L6393">
            <v>45447</v>
          </cell>
          <cell r="M6393">
            <v>45448</v>
          </cell>
          <cell r="N6393">
            <v>45450</v>
          </cell>
          <cell r="O6393">
            <v>45448</v>
          </cell>
          <cell r="P6393">
            <v>45450</v>
          </cell>
          <cell r="Q6393">
            <v>45450</v>
          </cell>
          <cell r="R6393">
            <v>45450</v>
          </cell>
          <cell r="S6393">
            <v>45464</v>
          </cell>
          <cell r="T6393">
            <v>45464</v>
          </cell>
          <cell r="U6393">
            <v>45464</v>
          </cell>
          <cell r="V6393">
            <v>45464</v>
          </cell>
          <cell r="W6393">
            <v>45464</v>
          </cell>
          <cell r="X6393">
            <v>31102402</v>
          </cell>
        </row>
        <row r="6394">
          <cell r="K6394" t="str">
            <v>GPWS-0416</v>
          </cell>
          <cell r="L6394">
            <v>45436</v>
          </cell>
          <cell r="M6394">
            <v>45439</v>
          </cell>
          <cell r="N6394">
            <v>45446</v>
          </cell>
          <cell r="O6394">
            <v>45439</v>
          </cell>
          <cell r="P6394">
            <v>45450</v>
          </cell>
          <cell r="Q6394">
            <v>45448</v>
          </cell>
          <cell r="R6394">
            <v>45450</v>
          </cell>
          <cell r="S6394">
            <v>45454</v>
          </cell>
          <cell r="T6394">
            <v>45455</v>
          </cell>
          <cell r="U6394">
            <v>45457</v>
          </cell>
          <cell r="V6394">
            <v>45460</v>
          </cell>
          <cell r="W6394">
            <v>45460</v>
          </cell>
          <cell r="X6394">
            <v>41000546</v>
          </cell>
        </row>
        <row r="6395">
          <cell r="K6395" t="str">
            <v>GPWS-0419</v>
          </cell>
          <cell r="L6395">
            <v>45436</v>
          </cell>
          <cell r="M6395">
            <v>45439</v>
          </cell>
          <cell r="N6395">
            <v>45446</v>
          </cell>
          <cell r="O6395">
            <v>45439</v>
          </cell>
          <cell r="P6395">
            <v>45450</v>
          </cell>
          <cell r="Q6395">
            <v>45448</v>
          </cell>
          <cell r="R6395">
            <v>45450</v>
          </cell>
          <cell r="S6395">
            <v>45455</v>
          </cell>
          <cell r="T6395">
            <v>45457</v>
          </cell>
          <cell r="U6395">
            <v>45457</v>
          </cell>
          <cell r="V6395">
            <v>45460</v>
          </cell>
          <cell r="W6395">
            <v>45460</v>
          </cell>
          <cell r="X6395">
            <v>41000546</v>
          </cell>
        </row>
        <row r="6396">
          <cell r="K6396" t="str">
            <v>GPWS-0421</v>
          </cell>
          <cell r="L6396">
            <v>45441</v>
          </cell>
          <cell r="M6396">
            <v>45442</v>
          </cell>
          <cell r="N6396">
            <v>45453</v>
          </cell>
          <cell r="O6396">
            <v>45442</v>
          </cell>
          <cell r="P6396">
            <v>45454</v>
          </cell>
          <cell r="Q6396">
            <v>45453</v>
          </cell>
          <cell r="R6396">
            <v>45454</v>
          </cell>
          <cell r="S6396">
            <v>45456</v>
          </cell>
          <cell r="T6396">
            <v>45460</v>
          </cell>
          <cell r="U6396">
            <v>45461</v>
          </cell>
          <cell r="V6396">
            <v>45463</v>
          </cell>
          <cell r="W6396">
            <v>45463</v>
          </cell>
          <cell r="X6396">
            <v>41000546</v>
          </cell>
        </row>
        <row r="6397">
          <cell r="K6397" t="str">
            <v>GPWS-0422</v>
          </cell>
          <cell r="L6397">
            <v>45441</v>
          </cell>
          <cell r="M6397">
            <v>45442</v>
          </cell>
          <cell r="N6397">
            <v>45453</v>
          </cell>
          <cell r="O6397">
            <v>45442</v>
          </cell>
          <cell r="P6397">
            <v>45454</v>
          </cell>
          <cell r="Q6397">
            <v>45453</v>
          </cell>
          <cell r="R6397">
            <v>45454</v>
          </cell>
          <cell r="S6397">
            <v>45456</v>
          </cell>
          <cell r="T6397">
            <v>45460</v>
          </cell>
          <cell r="U6397">
            <v>45461</v>
          </cell>
          <cell r="V6397">
            <v>45462</v>
          </cell>
          <cell r="W6397">
            <v>45462</v>
          </cell>
          <cell r="X6397">
            <v>41000546</v>
          </cell>
        </row>
        <row r="6398">
          <cell r="K6398" t="str">
            <v>GPWS-0423</v>
          </cell>
          <cell r="L6398">
            <v>45441</v>
          </cell>
          <cell r="M6398">
            <v>45442</v>
          </cell>
          <cell r="N6398">
            <v>45453</v>
          </cell>
          <cell r="O6398">
            <v>45442</v>
          </cell>
          <cell r="P6398">
            <v>45454</v>
          </cell>
          <cell r="Q6398">
            <v>45453</v>
          </cell>
          <cell r="R6398">
            <v>45454</v>
          </cell>
          <cell r="S6398">
            <v>45460</v>
          </cell>
          <cell r="T6398">
            <v>45461</v>
          </cell>
          <cell r="U6398">
            <v>45462</v>
          </cell>
          <cell r="V6398">
            <v>45462</v>
          </cell>
          <cell r="W6398">
            <v>45462</v>
          </cell>
          <cell r="X6398">
            <v>41000546</v>
          </cell>
        </row>
        <row r="6399">
          <cell r="K6399" t="str">
            <v>GPWS-0424</v>
          </cell>
          <cell r="L6399">
            <v>45443</v>
          </cell>
          <cell r="M6399">
            <v>45446</v>
          </cell>
          <cell r="N6399">
            <v>45455</v>
          </cell>
          <cell r="O6399">
            <v>45446</v>
          </cell>
          <cell r="P6399">
            <v>45456</v>
          </cell>
          <cell r="Q6399">
            <v>45457</v>
          </cell>
          <cell r="R6399">
            <v>45460</v>
          </cell>
          <cell r="S6399">
            <v>45460</v>
          </cell>
          <cell r="T6399">
            <v>45461</v>
          </cell>
          <cell r="U6399">
            <v>45462</v>
          </cell>
          <cell r="V6399">
            <v>45463</v>
          </cell>
          <cell r="W6399">
            <v>45463</v>
          </cell>
          <cell r="X6399">
            <v>41000546</v>
          </cell>
        </row>
        <row r="6400">
          <cell r="K6400" t="str">
            <v>GPWS-0425</v>
          </cell>
          <cell r="L6400">
            <v>45443</v>
          </cell>
          <cell r="M6400">
            <v>45446</v>
          </cell>
          <cell r="N6400">
            <v>45455</v>
          </cell>
          <cell r="O6400">
            <v>45446</v>
          </cell>
          <cell r="P6400">
            <v>45456</v>
          </cell>
          <cell r="Q6400">
            <v>45457</v>
          </cell>
          <cell r="R6400">
            <v>45460</v>
          </cell>
          <cell r="S6400">
            <v>45461</v>
          </cell>
          <cell r="T6400">
            <v>45462</v>
          </cell>
          <cell r="U6400">
            <v>45463</v>
          </cell>
          <cell r="V6400">
            <v>45463</v>
          </cell>
          <cell r="W6400">
            <v>45463</v>
          </cell>
          <cell r="X6400">
            <v>41000546</v>
          </cell>
        </row>
        <row r="6401">
          <cell r="K6401" t="str">
            <v>GPWS-0426</v>
          </cell>
          <cell r="L6401">
            <v>45443</v>
          </cell>
          <cell r="M6401">
            <v>45446</v>
          </cell>
          <cell r="N6401">
            <v>45455</v>
          </cell>
          <cell r="O6401">
            <v>45446</v>
          </cell>
          <cell r="P6401">
            <v>45456</v>
          </cell>
          <cell r="Q6401">
            <v>45457</v>
          </cell>
          <cell r="R6401">
            <v>45460</v>
          </cell>
          <cell r="S6401">
            <v>45461</v>
          </cell>
          <cell r="T6401">
            <v>45463</v>
          </cell>
          <cell r="U6401">
            <v>45463</v>
          </cell>
          <cell r="V6401">
            <v>45463</v>
          </cell>
          <cell r="W6401">
            <v>45463</v>
          </cell>
          <cell r="X6401">
            <v>41000546</v>
          </cell>
        </row>
        <row r="6402">
          <cell r="K6402" t="str">
            <v>GPWS-0420</v>
          </cell>
          <cell r="L6402">
            <v>45440</v>
          </cell>
          <cell r="M6402" t="str">
            <v>2024-05-27 → 5/29</v>
          </cell>
          <cell r="N6402">
            <v>45450</v>
          </cell>
          <cell r="O6402" t="str">
            <v>2024-05-27 → 5/29</v>
          </cell>
          <cell r="P6402">
            <v>45453</v>
          </cell>
          <cell r="Q6402" t="str">
            <v>2024-06-04 → 6/7</v>
          </cell>
          <cell r="R6402" t="str">
            <v>2024-06-05 → 6/10</v>
          </cell>
          <cell r="S6402">
            <v>45456</v>
          </cell>
          <cell r="T6402">
            <v>45457</v>
          </cell>
          <cell r="U6402">
            <v>45460</v>
          </cell>
          <cell r="V6402">
            <v>45467</v>
          </cell>
          <cell r="W6402">
            <v>45467</v>
          </cell>
          <cell r="X6402">
            <v>41000598</v>
          </cell>
        </row>
        <row r="6403">
          <cell r="K6403" t="str">
            <v>GPWS-0427</v>
          </cell>
          <cell r="L6403">
            <v>45446</v>
          </cell>
          <cell r="M6403">
            <v>45448</v>
          </cell>
          <cell r="N6403">
            <v>45456</v>
          </cell>
          <cell r="O6403">
            <v>45448</v>
          </cell>
          <cell r="P6403">
            <v>45457</v>
          </cell>
          <cell r="Q6403">
            <v>45456</v>
          </cell>
          <cell r="R6403">
            <v>45457</v>
          </cell>
          <cell r="S6403">
            <v>45461</v>
          </cell>
          <cell r="T6403">
            <v>45462</v>
          </cell>
          <cell r="U6403">
            <v>45463</v>
          </cell>
          <cell r="V6403">
            <v>45467</v>
          </cell>
          <cell r="W6403">
            <v>45467</v>
          </cell>
          <cell r="X6403">
            <v>41000598</v>
          </cell>
        </row>
        <row r="6404">
          <cell r="K6404" t="str">
            <v>GPWS-0428</v>
          </cell>
          <cell r="L6404">
            <v>45446</v>
          </cell>
          <cell r="M6404">
            <v>45448</v>
          </cell>
          <cell r="N6404">
            <v>45456</v>
          </cell>
          <cell r="O6404">
            <v>45448</v>
          </cell>
          <cell r="P6404">
            <v>45457</v>
          </cell>
          <cell r="Q6404">
            <v>45456</v>
          </cell>
          <cell r="R6404">
            <v>45457</v>
          </cell>
          <cell r="S6404">
            <v>45461</v>
          </cell>
          <cell r="T6404">
            <v>45462</v>
          </cell>
          <cell r="U6404">
            <v>45463</v>
          </cell>
          <cell r="V6404">
            <v>45464</v>
          </cell>
          <cell r="W6404">
            <v>45464</v>
          </cell>
          <cell r="X6404">
            <v>41000598</v>
          </cell>
        </row>
        <row r="6405">
          <cell r="K6405" t="str">
            <v>GBWS-4606</v>
          </cell>
          <cell r="L6405">
            <v>45448</v>
          </cell>
          <cell r="M6405">
            <v>45450</v>
          </cell>
          <cell r="N6405">
            <v>45457</v>
          </cell>
          <cell r="O6405">
            <v>45450</v>
          </cell>
          <cell r="P6405">
            <v>45460</v>
          </cell>
          <cell r="Q6405">
            <v>45457</v>
          </cell>
          <cell r="R6405">
            <v>45460</v>
          </cell>
          <cell r="S6405">
            <v>45461</v>
          </cell>
          <cell r="T6405">
            <v>45462</v>
          </cell>
          <cell r="U6405">
            <v>45463</v>
          </cell>
          <cell r="V6405">
            <v>45464</v>
          </cell>
          <cell r="W6405">
            <v>45464</v>
          </cell>
          <cell r="X6405">
            <v>41100662</v>
          </cell>
        </row>
        <row r="6406">
          <cell r="K6406" t="str">
            <v>GBWS-4607</v>
          </cell>
          <cell r="L6406">
            <v>45448</v>
          </cell>
          <cell r="M6406">
            <v>45450</v>
          </cell>
          <cell r="N6406">
            <v>45457</v>
          </cell>
          <cell r="O6406">
            <v>45450</v>
          </cell>
          <cell r="P6406">
            <v>45460</v>
          </cell>
          <cell r="Q6406">
            <v>45457</v>
          </cell>
          <cell r="R6406">
            <v>45460</v>
          </cell>
          <cell r="S6406">
            <v>45461</v>
          </cell>
          <cell r="T6406">
            <v>45462</v>
          </cell>
          <cell r="U6406">
            <v>45463</v>
          </cell>
          <cell r="V6406">
            <v>45464</v>
          </cell>
          <cell r="W6406">
            <v>45464</v>
          </cell>
          <cell r="X6406">
            <v>41100662</v>
          </cell>
        </row>
        <row r="6407">
          <cell r="K6407" t="str">
            <v>GBWS-4608</v>
          </cell>
          <cell r="L6407">
            <v>45448</v>
          </cell>
          <cell r="M6407">
            <v>45450</v>
          </cell>
          <cell r="N6407">
            <v>45457</v>
          </cell>
          <cell r="O6407">
            <v>45450</v>
          </cell>
          <cell r="P6407">
            <v>45460</v>
          </cell>
          <cell r="Q6407">
            <v>45457</v>
          </cell>
          <cell r="R6407">
            <v>45460</v>
          </cell>
          <cell r="S6407">
            <v>45461</v>
          </cell>
          <cell r="T6407">
            <v>45462</v>
          </cell>
          <cell r="U6407">
            <v>45463</v>
          </cell>
          <cell r="V6407">
            <v>45464</v>
          </cell>
          <cell r="W6407">
            <v>45464</v>
          </cell>
          <cell r="X6407">
            <v>41100662</v>
          </cell>
        </row>
        <row r="6408">
          <cell r="K6408" t="str">
            <v>GBWS-4609</v>
          </cell>
          <cell r="L6408">
            <v>45448</v>
          </cell>
          <cell r="M6408">
            <v>45450</v>
          </cell>
          <cell r="N6408">
            <v>45457</v>
          </cell>
          <cell r="O6408">
            <v>45450</v>
          </cell>
          <cell r="P6408">
            <v>45460</v>
          </cell>
          <cell r="Q6408">
            <v>45457</v>
          </cell>
          <cell r="R6408">
            <v>45460</v>
          </cell>
          <cell r="S6408">
            <v>45461</v>
          </cell>
          <cell r="T6408">
            <v>45462</v>
          </cell>
          <cell r="U6408">
            <v>45462</v>
          </cell>
          <cell r="V6408">
            <v>45463</v>
          </cell>
          <cell r="W6408">
            <v>45463</v>
          </cell>
          <cell r="X6408">
            <v>41100662</v>
          </cell>
        </row>
        <row r="6409">
          <cell r="K6409" t="str">
            <v>GBWS-4611</v>
          </cell>
          <cell r="L6409">
            <v>45450</v>
          </cell>
          <cell r="M6409">
            <v>45453</v>
          </cell>
          <cell r="N6409">
            <v>45460</v>
          </cell>
          <cell r="O6409">
            <v>45453</v>
          </cell>
          <cell r="P6409">
            <v>45461</v>
          </cell>
          <cell r="Q6409">
            <v>45460</v>
          </cell>
          <cell r="R6409">
            <v>45461</v>
          </cell>
          <cell r="S6409">
            <v>45462</v>
          </cell>
          <cell r="T6409">
            <v>45463</v>
          </cell>
          <cell r="U6409">
            <v>45464</v>
          </cell>
          <cell r="V6409">
            <v>45467</v>
          </cell>
          <cell r="W6409">
            <v>45467</v>
          </cell>
          <cell r="X6409">
            <v>41100662</v>
          </cell>
        </row>
        <row r="6410">
          <cell r="K6410" t="str">
            <v>GBWS-4612</v>
          </cell>
          <cell r="L6410">
            <v>45450</v>
          </cell>
          <cell r="M6410">
            <v>45453</v>
          </cell>
          <cell r="N6410">
            <v>45460</v>
          </cell>
          <cell r="O6410">
            <v>45453</v>
          </cell>
          <cell r="P6410">
            <v>45461</v>
          </cell>
          <cell r="Q6410">
            <v>45460</v>
          </cell>
          <cell r="R6410">
            <v>45461</v>
          </cell>
          <cell r="S6410">
            <v>45462</v>
          </cell>
          <cell r="T6410">
            <v>45463</v>
          </cell>
          <cell r="U6410">
            <v>45464</v>
          </cell>
          <cell r="V6410">
            <v>45467</v>
          </cell>
          <cell r="W6410">
            <v>45467</v>
          </cell>
          <cell r="X6410">
            <v>41100662</v>
          </cell>
        </row>
        <row r="6411">
          <cell r="K6411" t="str">
            <v>GBWS-4613</v>
          </cell>
          <cell r="L6411">
            <v>45450</v>
          </cell>
          <cell r="M6411">
            <v>45453</v>
          </cell>
          <cell r="N6411">
            <v>45460</v>
          </cell>
          <cell r="O6411">
            <v>45453</v>
          </cell>
          <cell r="P6411">
            <v>45461</v>
          </cell>
          <cell r="Q6411">
            <v>45460</v>
          </cell>
          <cell r="R6411">
            <v>45461</v>
          </cell>
          <cell r="S6411">
            <v>45462</v>
          </cell>
          <cell r="T6411">
            <v>45463</v>
          </cell>
          <cell r="U6411">
            <v>45464</v>
          </cell>
          <cell r="V6411">
            <v>45467</v>
          </cell>
          <cell r="W6411">
            <v>45467</v>
          </cell>
          <cell r="X6411">
            <v>41100662</v>
          </cell>
        </row>
        <row r="6412">
          <cell r="K6412" t="str">
            <v>GBWS-4614</v>
          </cell>
          <cell r="L6412">
            <v>45450</v>
          </cell>
          <cell r="M6412">
            <v>45453</v>
          </cell>
          <cell r="N6412">
            <v>45460</v>
          </cell>
          <cell r="O6412">
            <v>45453</v>
          </cell>
          <cell r="P6412">
            <v>45460</v>
          </cell>
          <cell r="Q6412">
            <v>45460</v>
          </cell>
          <cell r="R6412">
            <v>45461</v>
          </cell>
          <cell r="S6412">
            <v>45462</v>
          </cell>
          <cell r="T6412">
            <v>45463</v>
          </cell>
          <cell r="U6412">
            <v>45464</v>
          </cell>
          <cell r="V6412">
            <v>45467</v>
          </cell>
          <cell r="W6412">
            <v>45467</v>
          </cell>
          <cell r="X6412">
            <v>41000555</v>
          </cell>
        </row>
        <row r="6413">
          <cell r="K6413" t="str">
            <v>GBWS-4599</v>
          </cell>
          <cell r="L6413">
            <v>45447</v>
          </cell>
          <cell r="M6413">
            <v>45448</v>
          </cell>
          <cell r="N6413">
            <v>45456</v>
          </cell>
          <cell r="O6413">
            <v>45448</v>
          </cell>
          <cell r="P6413">
            <v>45457</v>
          </cell>
          <cell r="Q6413">
            <v>45456</v>
          </cell>
          <cell r="R6413">
            <v>45457</v>
          </cell>
          <cell r="S6413">
            <v>45460</v>
          </cell>
          <cell r="T6413">
            <v>45462</v>
          </cell>
          <cell r="U6413">
            <v>45463</v>
          </cell>
          <cell r="V6413">
            <v>45463</v>
          </cell>
          <cell r="W6413">
            <v>45463</v>
          </cell>
          <cell r="X6413">
            <v>41100363</v>
          </cell>
        </row>
        <row r="6414">
          <cell r="K6414" t="str">
            <v>GBWS-4594</v>
          </cell>
          <cell r="L6414">
            <v>45446</v>
          </cell>
          <cell r="M6414">
            <v>45447</v>
          </cell>
          <cell r="N6414">
            <v>45456</v>
          </cell>
          <cell r="O6414">
            <v>45447</v>
          </cell>
          <cell r="P6414">
            <v>45457</v>
          </cell>
          <cell r="Q6414">
            <v>45456</v>
          </cell>
          <cell r="R6414">
            <v>45457</v>
          </cell>
          <cell r="S6414">
            <v>45460</v>
          </cell>
          <cell r="T6414">
            <v>45461</v>
          </cell>
          <cell r="U6414">
            <v>45462</v>
          </cell>
          <cell r="V6414">
            <v>45463</v>
          </cell>
          <cell r="W6414">
            <v>45463</v>
          </cell>
          <cell r="X6414">
            <v>41100320</v>
          </cell>
        </row>
        <row r="6415">
          <cell r="K6415" t="str">
            <v>GBWS-4595</v>
          </cell>
          <cell r="L6415">
            <v>45446</v>
          </cell>
          <cell r="M6415">
            <v>45447</v>
          </cell>
          <cell r="N6415">
            <v>45456</v>
          </cell>
          <cell r="O6415">
            <v>45447</v>
          </cell>
          <cell r="P6415">
            <v>45457</v>
          </cell>
          <cell r="Q6415">
            <v>45456</v>
          </cell>
          <cell r="R6415">
            <v>45457</v>
          </cell>
          <cell r="S6415">
            <v>45460</v>
          </cell>
          <cell r="T6415">
            <v>45461</v>
          </cell>
          <cell r="U6415">
            <v>45462</v>
          </cell>
          <cell r="V6415">
            <v>45463</v>
          </cell>
          <cell r="W6415">
            <v>45463</v>
          </cell>
          <cell r="X6415">
            <v>41100372</v>
          </cell>
        </row>
        <row r="6416">
          <cell r="K6416" t="str">
            <v>DBW-3355</v>
          </cell>
          <cell r="L6416">
            <v>45450</v>
          </cell>
          <cell r="M6416">
            <v>45453</v>
          </cell>
          <cell r="N6416">
            <v>45460</v>
          </cell>
          <cell r="O6416">
            <v>45453</v>
          </cell>
          <cell r="P6416">
            <v>45460</v>
          </cell>
          <cell r="Q6416">
            <v>45460</v>
          </cell>
          <cell r="R6416">
            <v>45461</v>
          </cell>
          <cell r="S6416">
            <v>45462</v>
          </cell>
          <cell r="T6416">
            <v>45463</v>
          </cell>
          <cell r="U6416">
            <v>45467</v>
          </cell>
          <cell r="V6416">
            <v>45467</v>
          </cell>
          <cell r="W6416">
            <v>45467</v>
          </cell>
          <cell r="X6416">
            <v>41000566</v>
          </cell>
        </row>
        <row r="6417">
          <cell r="K6417" t="str">
            <v>DBW-3356</v>
          </cell>
          <cell r="L6417">
            <v>45450</v>
          </cell>
          <cell r="M6417">
            <v>45453</v>
          </cell>
          <cell r="N6417">
            <v>45460</v>
          </cell>
          <cell r="O6417">
            <v>45453</v>
          </cell>
          <cell r="P6417">
            <v>45460</v>
          </cell>
          <cell r="Q6417">
            <v>45460</v>
          </cell>
          <cell r="R6417">
            <v>45461</v>
          </cell>
          <cell r="S6417">
            <v>45462</v>
          </cell>
          <cell r="T6417">
            <v>45463</v>
          </cell>
          <cell r="U6417">
            <v>45467</v>
          </cell>
          <cell r="V6417">
            <v>45467</v>
          </cell>
          <cell r="W6417">
            <v>45467</v>
          </cell>
          <cell r="X6417">
            <v>41000566</v>
          </cell>
        </row>
        <row r="6418">
          <cell r="K6418" t="str">
            <v>DBW-3357</v>
          </cell>
          <cell r="L6418">
            <v>45450</v>
          </cell>
          <cell r="M6418">
            <v>45453</v>
          </cell>
          <cell r="N6418">
            <v>45460</v>
          </cell>
          <cell r="O6418">
            <v>45453</v>
          </cell>
          <cell r="P6418">
            <v>45460</v>
          </cell>
          <cell r="Q6418">
            <v>45460</v>
          </cell>
          <cell r="R6418">
            <v>45461</v>
          </cell>
          <cell r="S6418">
            <v>45463</v>
          </cell>
          <cell r="T6418">
            <v>45463</v>
          </cell>
          <cell r="U6418">
            <v>45467</v>
          </cell>
          <cell r="V6418">
            <v>45468</v>
          </cell>
          <cell r="W6418">
            <v>45468</v>
          </cell>
          <cell r="X6418">
            <v>41000566</v>
          </cell>
        </row>
        <row r="6419">
          <cell r="K6419" t="str">
            <v>GBWS-4579</v>
          </cell>
          <cell r="L6419">
            <v>45439</v>
          </cell>
          <cell r="M6419">
            <v>45440</v>
          </cell>
          <cell r="N6419">
            <v>45447</v>
          </cell>
          <cell r="O6419">
            <v>45440</v>
          </cell>
          <cell r="P6419">
            <v>45448</v>
          </cell>
          <cell r="Q6419">
            <v>45447</v>
          </cell>
          <cell r="R6419">
            <v>45448</v>
          </cell>
          <cell r="S6419">
            <v>45460</v>
          </cell>
          <cell r="T6419">
            <v>45461</v>
          </cell>
          <cell r="U6419">
            <v>45462</v>
          </cell>
          <cell r="V6419">
            <v>45463</v>
          </cell>
          <cell r="W6419">
            <v>45463</v>
          </cell>
          <cell r="X6419">
            <v>41100509</v>
          </cell>
        </row>
        <row r="6420">
          <cell r="K6420" t="str">
            <v>DBW-3358</v>
          </cell>
          <cell r="L6420">
            <v>45450</v>
          </cell>
          <cell r="M6420">
            <v>45453</v>
          </cell>
          <cell r="N6420">
            <v>45460</v>
          </cell>
          <cell r="O6420">
            <v>45453</v>
          </cell>
          <cell r="P6420">
            <v>45461</v>
          </cell>
          <cell r="Q6420">
            <v>45460</v>
          </cell>
          <cell r="R6420">
            <v>45461</v>
          </cell>
          <cell r="S6420">
            <v>45462</v>
          </cell>
          <cell r="T6420">
            <v>45463</v>
          </cell>
          <cell r="U6420">
            <v>45467</v>
          </cell>
          <cell r="V6420">
            <v>45468</v>
          </cell>
          <cell r="W6420">
            <v>45468</v>
          </cell>
          <cell r="X6420">
            <v>41000566</v>
          </cell>
        </row>
        <row r="6421">
          <cell r="K6421" t="str">
            <v>DBW-3359</v>
          </cell>
          <cell r="L6421">
            <v>45450</v>
          </cell>
          <cell r="M6421">
            <v>45453</v>
          </cell>
          <cell r="N6421">
            <v>45460</v>
          </cell>
          <cell r="O6421">
            <v>45453</v>
          </cell>
          <cell r="P6421">
            <v>45461</v>
          </cell>
          <cell r="Q6421">
            <v>45460</v>
          </cell>
          <cell r="R6421">
            <v>45461</v>
          </cell>
          <cell r="S6421">
            <v>45462</v>
          </cell>
          <cell r="T6421">
            <v>45463</v>
          </cell>
          <cell r="U6421">
            <v>45467</v>
          </cell>
          <cell r="V6421">
            <v>45468</v>
          </cell>
          <cell r="W6421">
            <v>45468</v>
          </cell>
          <cell r="X6421">
            <v>41000566</v>
          </cell>
        </row>
        <row r="6422">
          <cell r="K6422" t="str">
            <v>DBW-3362</v>
          </cell>
          <cell r="L6422">
            <v>45454</v>
          </cell>
          <cell r="M6422">
            <v>45455</v>
          </cell>
          <cell r="N6422">
            <v>45462</v>
          </cell>
          <cell r="O6422">
            <v>45455</v>
          </cell>
          <cell r="P6422">
            <v>45462</v>
          </cell>
          <cell r="Q6422" t="str">
            <v>2024-06-18 → 6/19</v>
          </cell>
          <cell r="R6422">
            <v>45462</v>
          </cell>
          <cell r="S6422">
            <v>45463</v>
          </cell>
          <cell r="T6422">
            <v>45464</v>
          </cell>
          <cell r="U6422">
            <v>45467</v>
          </cell>
          <cell r="V6422">
            <v>45468</v>
          </cell>
          <cell r="W6422">
            <v>45468</v>
          </cell>
          <cell r="X6422">
            <v>41000566</v>
          </cell>
        </row>
        <row r="6423">
          <cell r="K6423" t="str">
            <v>DBW-3363</v>
          </cell>
          <cell r="L6423">
            <v>45454</v>
          </cell>
          <cell r="M6423">
            <v>45455</v>
          </cell>
          <cell r="N6423">
            <v>45462</v>
          </cell>
          <cell r="O6423">
            <v>45455</v>
          </cell>
          <cell r="P6423">
            <v>45462</v>
          </cell>
          <cell r="Q6423" t="str">
            <v>2024-06-18 → 6/19</v>
          </cell>
          <cell r="R6423">
            <v>45462</v>
          </cell>
          <cell r="S6423">
            <v>45463</v>
          </cell>
          <cell r="T6423">
            <v>45464</v>
          </cell>
          <cell r="U6423">
            <v>45467</v>
          </cell>
          <cell r="V6423">
            <v>45468</v>
          </cell>
          <cell r="W6423">
            <v>45468</v>
          </cell>
          <cell r="X6423">
            <v>41000566</v>
          </cell>
        </row>
        <row r="6424">
          <cell r="K6424" t="str">
            <v>DBW-3360</v>
          </cell>
          <cell r="L6424">
            <v>45450</v>
          </cell>
          <cell r="M6424">
            <v>45453</v>
          </cell>
          <cell r="N6424">
            <v>45460</v>
          </cell>
          <cell r="O6424">
            <v>45453</v>
          </cell>
          <cell r="P6424">
            <v>45461</v>
          </cell>
          <cell r="Q6424">
            <v>45460</v>
          </cell>
          <cell r="R6424">
            <v>45461</v>
          </cell>
          <cell r="S6424">
            <v>45463</v>
          </cell>
          <cell r="T6424">
            <v>45467</v>
          </cell>
          <cell r="U6424">
            <v>45468</v>
          </cell>
          <cell r="V6424">
            <v>45469</v>
          </cell>
          <cell r="W6424">
            <v>45469</v>
          </cell>
          <cell r="X6424">
            <v>41000566</v>
          </cell>
        </row>
        <row r="6425">
          <cell r="K6425" t="str">
            <v>DBW-3361</v>
          </cell>
          <cell r="L6425">
            <v>45450</v>
          </cell>
          <cell r="M6425">
            <v>45453</v>
          </cell>
          <cell r="N6425">
            <v>45460</v>
          </cell>
          <cell r="O6425">
            <v>45453</v>
          </cell>
          <cell r="P6425">
            <v>45461</v>
          </cell>
          <cell r="Q6425">
            <v>45460</v>
          </cell>
          <cell r="R6425">
            <v>45461</v>
          </cell>
          <cell r="S6425">
            <v>45463</v>
          </cell>
          <cell r="T6425">
            <v>45467</v>
          </cell>
          <cell r="U6425">
            <v>45468</v>
          </cell>
          <cell r="V6425">
            <v>45469</v>
          </cell>
          <cell r="W6425">
            <v>45469</v>
          </cell>
          <cell r="X6425">
            <v>41000566</v>
          </cell>
        </row>
        <row r="6426">
          <cell r="K6426" t="str">
            <v>DBW-3364</v>
          </cell>
          <cell r="L6426">
            <v>45454</v>
          </cell>
          <cell r="M6426">
            <v>45455</v>
          </cell>
          <cell r="N6426">
            <v>45462</v>
          </cell>
          <cell r="O6426">
            <v>45455</v>
          </cell>
          <cell r="P6426">
            <v>45462</v>
          </cell>
          <cell r="Q6426" t="str">
            <v>2024-06-18 → 6/19</v>
          </cell>
          <cell r="R6426">
            <v>45462</v>
          </cell>
          <cell r="S6426">
            <v>45464</v>
          </cell>
          <cell r="T6426">
            <v>45467</v>
          </cell>
          <cell r="U6426">
            <v>45468</v>
          </cell>
          <cell r="V6426">
            <v>45469</v>
          </cell>
          <cell r="W6426">
            <v>45469</v>
          </cell>
          <cell r="X6426">
            <v>41000566</v>
          </cell>
        </row>
        <row r="6427">
          <cell r="K6427" t="str">
            <v>DBW-3365</v>
          </cell>
          <cell r="L6427">
            <v>45454</v>
          </cell>
          <cell r="M6427">
            <v>45455</v>
          </cell>
          <cell r="N6427">
            <v>45462</v>
          </cell>
          <cell r="O6427">
            <v>45455</v>
          </cell>
          <cell r="P6427">
            <v>45462</v>
          </cell>
          <cell r="Q6427" t="str">
            <v>2024-06-18 → 6/19</v>
          </cell>
          <cell r="R6427">
            <v>45462</v>
          </cell>
          <cell r="S6427">
            <v>45464</v>
          </cell>
          <cell r="T6427">
            <v>45467</v>
          </cell>
          <cell r="U6427">
            <v>45468</v>
          </cell>
          <cell r="V6427">
            <v>45469</v>
          </cell>
          <cell r="W6427">
            <v>45469</v>
          </cell>
          <cell r="X6427">
            <v>41000566</v>
          </cell>
        </row>
        <row r="6428">
          <cell r="K6428" t="str">
            <v>DBW-3103</v>
          </cell>
          <cell r="L6428">
            <v>45226</v>
          </cell>
          <cell r="M6428">
            <v>45229</v>
          </cell>
          <cell r="N6428">
            <v>45236</v>
          </cell>
          <cell r="O6428">
            <v>45229</v>
          </cell>
          <cell r="P6428">
            <v>45237</v>
          </cell>
          <cell r="Q6428">
            <v>45236</v>
          </cell>
          <cell r="R6428">
            <v>45237</v>
          </cell>
          <cell r="S6428">
            <v>45239</v>
          </cell>
          <cell r="T6428">
            <v>45239</v>
          </cell>
          <cell r="U6428">
            <v>45299</v>
          </cell>
          <cell r="V6428">
            <v>45299</v>
          </cell>
          <cell r="W6428">
            <v>45299</v>
          </cell>
          <cell r="X6428">
            <v>41100695</v>
          </cell>
        </row>
        <row r="6429">
          <cell r="K6429" t="str">
            <v>DBW-3104</v>
          </cell>
          <cell r="L6429">
            <v>45226</v>
          </cell>
          <cell r="M6429">
            <v>45229</v>
          </cell>
          <cell r="N6429">
            <v>45236</v>
          </cell>
          <cell r="O6429">
            <v>45229</v>
          </cell>
          <cell r="P6429">
            <v>45237</v>
          </cell>
          <cell r="Q6429">
            <v>45236</v>
          </cell>
          <cell r="R6429">
            <v>45237</v>
          </cell>
          <cell r="S6429">
            <v>45239</v>
          </cell>
          <cell r="T6429">
            <v>45239</v>
          </cell>
          <cell r="U6429">
            <v>45299</v>
          </cell>
          <cell r="V6429">
            <v>45299</v>
          </cell>
          <cell r="W6429">
            <v>45299</v>
          </cell>
          <cell r="X6429">
            <v>41100695</v>
          </cell>
        </row>
        <row r="6430">
          <cell r="K6430" t="str">
            <v>DBW-3106</v>
          </cell>
          <cell r="L6430">
            <v>45226</v>
          </cell>
          <cell r="M6430">
            <v>45229</v>
          </cell>
          <cell r="N6430">
            <v>45236</v>
          </cell>
          <cell r="O6430">
            <v>45229</v>
          </cell>
          <cell r="P6430">
            <v>45237</v>
          </cell>
          <cell r="Q6430">
            <v>45236</v>
          </cell>
          <cell r="R6430">
            <v>45237</v>
          </cell>
          <cell r="S6430">
            <v>45239</v>
          </cell>
          <cell r="T6430">
            <v>45239</v>
          </cell>
          <cell r="U6430">
            <v>45299</v>
          </cell>
          <cell r="V6430">
            <v>45299</v>
          </cell>
          <cell r="W6430">
            <v>45299</v>
          </cell>
          <cell r="X6430">
            <v>41100695</v>
          </cell>
        </row>
        <row r="6431">
          <cell r="K6431" t="str">
            <v>GBWS-4620</v>
          </cell>
          <cell r="L6431">
            <v>45455</v>
          </cell>
          <cell r="M6431">
            <v>45456</v>
          </cell>
          <cell r="N6431">
            <v>45462</v>
          </cell>
          <cell r="O6431">
            <v>45456</v>
          </cell>
          <cell r="P6431">
            <v>45463</v>
          </cell>
          <cell r="Q6431">
            <v>45462</v>
          </cell>
          <cell r="R6431">
            <v>45463</v>
          </cell>
          <cell r="S6431">
            <v>45464</v>
          </cell>
          <cell r="T6431">
            <v>45467</v>
          </cell>
          <cell r="U6431">
            <v>45468</v>
          </cell>
          <cell r="V6431">
            <v>45469</v>
          </cell>
          <cell r="W6431">
            <v>45469</v>
          </cell>
          <cell r="X6431">
            <v>41100697</v>
          </cell>
        </row>
        <row r="6432">
          <cell r="K6432" t="str">
            <v>GBWS-4596</v>
          </cell>
          <cell r="L6432">
            <v>45446</v>
          </cell>
          <cell r="M6432">
            <v>45448</v>
          </cell>
          <cell r="N6432">
            <v>45455</v>
          </cell>
          <cell r="O6432">
            <v>45448</v>
          </cell>
          <cell r="P6432">
            <v>45455</v>
          </cell>
          <cell r="Q6432">
            <v>45455</v>
          </cell>
          <cell r="R6432">
            <v>45456</v>
          </cell>
          <cell r="S6432">
            <v>45463</v>
          </cell>
          <cell r="T6432">
            <v>45467</v>
          </cell>
          <cell r="U6432">
            <v>45468</v>
          </cell>
          <cell r="V6432">
            <v>45469</v>
          </cell>
          <cell r="W6432">
            <v>45469</v>
          </cell>
          <cell r="X6432">
            <v>41100227</v>
          </cell>
        </row>
        <row r="6433">
          <cell r="K6433" t="str">
            <v>IVAS-248</v>
          </cell>
          <cell r="L6433">
            <v>45447</v>
          </cell>
          <cell r="M6433">
            <v>45448</v>
          </cell>
          <cell r="N6433">
            <v>45460</v>
          </cell>
          <cell r="O6433">
            <v>45448</v>
          </cell>
          <cell r="P6433">
            <v>45462</v>
          </cell>
          <cell r="Q6433">
            <v>45460</v>
          </cell>
          <cell r="R6433">
            <v>45461</v>
          </cell>
          <cell r="S6433">
            <v>45462</v>
          </cell>
          <cell r="T6433">
            <v>45463</v>
          </cell>
          <cell r="U6433">
            <v>45468</v>
          </cell>
          <cell r="V6433">
            <v>45470</v>
          </cell>
          <cell r="W6433">
            <v>45470</v>
          </cell>
          <cell r="X6433">
            <v>41200012</v>
          </cell>
        </row>
        <row r="6434">
          <cell r="K6434" t="str">
            <v>GBWS-4628</v>
          </cell>
          <cell r="L6434">
            <v>45456</v>
          </cell>
          <cell r="M6434" t="str">
            <v>2024-06-21 → 6/14</v>
          </cell>
          <cell r="N6434">
            <v>45463</v>
          </cell>
          <cell r="O6434" t="str">
            <v>2024-06-21 → 6/14</v>
          </cell>
          <cell r="P6434">
            <v>45463</v>
          </cell>
          <cell r="Q6434" t="str">
            <v>2024-06-28 → 6/20</v>
          </cell>
          <cell r="R6434" t="str">
            <v>2024-07-01 → 6/21</v>
          </cell>
          <cell r="S6434">
            <v>45467</v>
          </cell>
          <cell r="T6434">
            <v>45468</v>
          </cell>
          <cell r="U6434">
            <v>45469</v>
          </cell>
          <cell r="V6434">
            <v>45470</v>
          </cell>
          <cell r="W6434">
            <v>45470</v>
          </cell>
          <cell r="X6434">
            <v>41100374</v>
          </cell>
        </row>
        <row r="6435">
          <cell r="K6435" t="str">
            <v>GBWS-4623</v>
          </cell>
          <cell r="L6435">
            <v>45456</v>
          </cell>
          <cell r="M6435">
            <v>45457</v>
          </cell>
          <cell r="N6435">
            <v>45463</v>
          </cell>
          <cell r="O6435">
            <v>45457</v>
          </cell>
          <cell r="P6435">
            <v>45464</v>
          </cell>
          <cell r="Q6435">
            <v>45463</v>
          </cell>
          <cell r="R6435">
            <v>45464</v>
          </cell>
          <cell r="S6435">
            <v>45467</v>
          </cell>
          <cell r="T6435">
            <v>45468</v>
          </cell>
          <cell r="U6435">
            <v>45469</v>
          </cell>
          <cell r="V6435">
            <v>45470</v>
          </cell>
          <cell r="W6435">
            <v>45470</v>
          </cell>
          <cell r="X6435">
            <v>41100320</v>
          </cell>
        </row>
        <row r="6436">
          <cell r="K6436" t="str">
            <v>GBWS-4619</v>
          </cell>
          <cell r="L6436">
            <v>45454</v>
          </cell>
          <cell r="M6436">
            <v>45455</v>
          </cell>
          <cell r="N6436">
            <v>45462</v>
          </cell>
          <cell r="O6436">
            <v>45455</v>
          </cell>
          <cell r="P6436">
            <v>45463</v>
          </cell>
          <cell r="Q6436">
            <v>45462</v>
          </cell>
          <cell r="R6436">
            <v>45463</v>
          </cell>
          <cell r="S6436">
            <v>45467</v>
          </cell>
          <cell r="T6436">
            <v>45468</v>
          </cell>
          <cell r="U6436">
            <v>45469</v>
          </cell>
          <cell r="V6436">
            <v>45470</v>
          </cell>
          <cell r="W6436">
            <v>45470</v>
          </cell>
          <cell r="X6436">
            <v>41100318</v>
          </cell>
        </row>
        <row r="6437">
          <cell r="K6437" t="str">
            <v>GBWS-4615</v>
          </cell>
          <cell r="L6437">
            <v>45454</v>
          </cell>
          <cell r="M6437">
            <v>45455</v>
          </cell>
          <cell r="N6437">
            <v>45462</v>
          </cell>
          <cell r="O6437">
            <v>45455</v>
          </cell>
          <cell r="P6437">
            <v>45463</v>
          </cell>
          <cell r="Q6437">
            <v>45462</v>
          </cell>
          <cell r="R6437">
            <v>45463</v>
          </cell>
          <cell r="S6437">
            <v>45464</v>
          </cell>
          <cell r="T6437">
            <v>45467</v>
          </cell>
          <cell r="U6437">
            <v>45468</v>
          </cell>
          <cell r="V6437">
            <v>45470</v>
          </cell>
          <cell r="W6437">
            <v>45470</v>
          </cell>
          <cell r="X6437">
            <v>41200006</v>
          </cell>
        </row>
        <row r="6438">
          <cell r="K6438" t="str">
            <v>GBWS-4616</v>
          </cell>
          <cell r="L6438">
            <v>45454</v>
          </cell>
          <cell r="M6438">
            <v>45455</v>
          </cell>
          <cell r="N6438">
            <v>45462</v>
          </cell>
          <cell r="O6438">
            <v>45455</v>
          </cell>
          <cell r="P6438">
            <v>45463</v>
          </cell>
          <cell r="Q6438">
            <v>45462</v>
          </cell>
          <cell r="R6438">
            <v>45463</v>
          </cell>
          <cell r="S6438">
            <v>45464</v>
          </cell>
          <cell r="T6438">
            <v>45467</v>
          </cell>
          <cell r="U6438">
            <v>45468</v>
          </cell>
          <cell r="V6438">
            <v>45470</v>
          </cell>
          <cell r="W6438">
            <v>45470</v>
          </cell>
          <cell r="X6438">
            <v>41200006</v>
          </cell>
        </row>
        <row r="6439">
          <cell r="K6439" t="str">
            <v>GBWS-4618</v>
          </cell>
          <cell r="L6439">
            <v>45454</v>
          </cell>
          <cell r="M6439">
            <v>45455</v>
          </cell>
          <cell r="N6439">
            <v>45462</v>
          </cell>
          <cell r="O6439">
            <v>45455</v>
          </cell>
          <cell r="P6439">
            <v>45463</v>
          </cell>
          <cell r="Q6439">
            <v>45462</v>
          </cell>
          <cell r="R6439">
            <v>45463</v>
          </cell>
          <cell r="S6439">
            <v>45467</v>
          </cell>
          <cell r="T6439">
            <v>45468</v>
          </cell>
          <cell r="U6439">
            <v>45469</v>
          </cell>
          <cell r="V6439">
            <v>45470</v>
          </cell>
          <cell r="W6439">
            <v>45470</v>
          </cell>
          <cell r="X6439">
            <v>41200006</v>
          </cell>
        </row>
        <row r="6440">
          <cell r="K6440" t="str">
            <v>GBWS-4550</v>
          </cell>
          <cell r="L6440">
            <v>45433</v>
          </cell>
          <cell r="M6440">
            <v>45434</v>
          </cell>
          <cell r="N6440">
            <v>45440</v>
          </cell>
          <cell r="O6440">
            <v>45434</v>
          </cell>
          <cell r="P6440">
            <v>45441</v>
          </cell>
          <cell r="Q6440">
            <v>45440</v>
          </cell>
          <cell r="R6440">
            <v>45441</v>
          </cell>
          <cell r="S6440">
            <v>45443</v>
          </cell>
          <cell r="T6440">
            <v>45446</v>
          </cell>
          <cell r="U6440">
            <v>45447</v>
          </cell>
          <cell r="V6440">
            <v>45450</v>
          </cell>
          <cell r="W6440">
            <v>45450</v>
          </cell>
          <cell r="X6440">
            <v>41200006</v>
          </cell>
        </row>
        <row r="6441">
          <cell r="K6441" t="str">
            <v>-</v>
          </cell>
          <cell r="L6441">
            <v>45450</v>
          </cell>
          <cell r="M6441" t="str">
            <v>2024-06-07 → 6/13</v>
          </cell>
          <cell r="N6441">
            <v>45463</v>
          </cell>
          <cell r="O6441" t="str">
            <v>2024-06-07 → 6/13</v>
          </cell>
          <cell r="P6441">
            <v>45463</v>
          </cell>
          <cell r="Q6441" t="str">
            <v>2024-06-14 → 6/20</v>
          </cell>
          <cell r="R6441" t="str">
            <v>2024-06-17 → 6/21</v>
          </cell>
          <cell r="S6441">
            <v>45467</v>
          </cell>
          <cell r="T6441">
            <v>45467</v>
          </cell>
          <cell r="U6441">
            <v>45470</v>
          </cell>
          <cell r="V6441">
            <v>45470</v>
          </cell>
          <cell r="W6441">
            <v>45470</v>
          </cell>
          <cell r="X6441">
            <v>31200054</v>
          </cell>
        </row>
        <row r="6442">
          <cell r="K6442" t="str">
            <v>-</v>
          </cell>
          <cell r="L6442">
            <v>45443</v>
          </cell>
          <cell r="M6442">
            <v>45446</v>
          </cell>
          <cell r="N6442">
            <v>45453</v>
          </cell>
          <cell r="O6442">
            <v>45446</v>
          </cell>
          <cell r="P6442">
            <v>45453</v>
          </cell>
          <cell r="Q6442" t="str">
            <v>2024-06-11 → 6/14</v>
          </cell>
          <cell r="R6442" t="str">
            <v>2024-06-12 → 6/17</v>
          </cell>
          <cell r="S6442">
            <v>45453</v>
          </cell>
          <cell r="T6442">
            <v>45453</v>
          </cell>
          <cell r="U6442">
            <v>45470</v>
          </cell>
          <cell r="V6442">
            <v>45470</v>
          </cell>
          <cell r="W6442">
            <v>45470</v>
          </cell>
          <cell r="X6442">
            <v>31200059</v>
          </cell>
        </row>
        <row r="6443">
          <cell r="K6443" t="str">
            <v>-</v>
          </cell>
          <cell r="L6443">
            <v>45446</v>
          </cell>
          <cell r="M6443" t="str">
            <v>2024-06-03 → 6/13</v>
          </cell>
          <cell r="N6443">
            <v>45453</v>
          </cell>
          <cell r="O6443" t="str">
            <v>2024-06-03 → 6/13</v>
          </cell>
          <cell r="P6443">
            <v>45453</v>
          </cell>
          <cell r="Q6443" t="str">
            <v>2024-06-14 → 6/20</v>
          </cell>
          <cell r="R6443" t="str">
            <v>2024-06-17 → 6/21</v>
          </cell>
          <cell r="S6443">
            <v>45453</v>
          </cell>
          <cell r="T6443">
            <v>45453</v>
          </cell>
          <cell r="U6443">
            <v>45470</v>
          </cell>
          <cell r="V6443">
            <v>45470</v>
          </cell>
          <cell r="W6443">
            <v>45470</v>
          </cell>
          <cell r="X6443">
            <v>31200058</v>
          </cell>
        </row>
        <row r="6444">
          <cell r="K6444" t="str">
            <v>WS-0090</v>
          </cell>
          <cell r="L6444">
            <v>45457</v>
          </cell>
          <cell r="M6444">
            <v>45460</v>
          </cell>
          <cell r="N6444">
            <v>45464</v>
          </cell>
          <cell r="O6444">
            <v>45460</v>
          </cell>
          <cell r="P6444">
            <v>45467</v>
          </cell>
          <cell r="Q6444">
            <v>45464</v>
          </cell>
          <cell r="R6444">
            <v>45467</v>
          </cell>
          <cell r="S6444">
            <v>45468</v>
          </cell>
          <cell r="T6444">
            <v>45469</v>
          </cell>
          <cell r="U6444">
            <v>45470</v>
          </cell>
          <cell r="V6444">
            <v>45470</v>
          </cell>
          <cell r="W6444">
            <v>45470</v>
          </cell>
          <cell r="X6444">
            <v>41100435</v>
          </cell>
        </row>
        <row r="6445">
          <cell r="K6445" t="str">
            <v>GBWS-4621</v>
          </cell>
          <cell r="L6445">
            <v>45456</v>
          </cell>
          <cell r="M6445">
            <v>45457</v>
          </cell>
          <cell r="N6445">
            <v>45463</v>
          </cell>
          <cell r="O6445">
            <v>45457</v>
          </cell>
          <cell r="P6445">
            <v>45463</v>
          </cell>
          <cell r="Q6445">
            <v>45463</v>
          </cell>
          <cell r="R6445">
            <v>45464</v>
          </cell>
          <cell r="S6445">
            <v>45467</v>
          </cell>
          <cell r="T6445">
            <v>45468</v>
          </cell>
          <cell r="U6445">
            <v>45469</v>
          </cell>
          <cell r="V6445">
            <v>45470</v>
          </cell>
          <cell r="W6445">
            <v>45470</v>
          </cell>
          <cell r="X6445">
            <v>41100443</v>
          </cell>
        </row>
        <row r="6446">
          <cell r="K6446" t="str">
            <v>GBWS-4622</v>
          </cell>
          <cell r="L6446">
            <v>45456</v>
          </cell>
          <cell r="M6446">
            <v>45457</v>
          </cell>
          <cell r="N6446">
            <v>45463</v>
          </cell>
          <cell r="O6446">
            <v>45457</v>
          </cell>
          <cell r="P6446">
            <v>45463</v>
          </cell>
          <cell r="Q6446">
            <v>45463</v>
          </cell>
          <cell r="R6446">
            <v>45464</v>
          </cell>
          <cell r="S6446">
            <v>45468</v>
          </cell>
          <cell r="T6446">
            <v>45469</v>
          </cell>
          <cell r="U6446">
            <v>45470</v>
          </cell>
          <cell r="V6446">
            <v>45471</v>
          </cell>
          <cell r="W6446">
            <v>45471</v>
          </cell>
          <cell r="X6446">
            <v>41100322</v>
          </cell>
        </row>
        <row r="6447">
          <cell r="K6447" t="str">
            <v>GBWS-4624</v>
          </cell>
          <cell r="L6447">
            <v>45456</v>
          </cell>
          <cell r="M6447">
            <v>45457</v>
          </cell>
          <cell r="N6447">
            <v>45464</v>
          </cell>
          <cell r="O6447">
            <v>45457</v>
          </cell>
          <cell r="P6447">
            <v>45467</v>
          </cell>
          <cell r="Q6447">
            <v>45464</v>
          </cell>
          <cell r="R6447">
            <v>45467</v>
          </cell>
          <cell r="S6447">
            <v>45468</v>
          </cell>
          <cell r="T6447">
            <v>45469</v>
          </cell>
          <cell r="U6447">
            <v>45470</v>
          </cell>
          <cell r="V6447">
            <v>45471</v>
          </cell>
          <cell r="W6447">
            <v>45471</v>
          </cell>
          <cell r="X6447">
            <v>41100363</v>
          </cell>
        </row>
        <row r="6448">
          <cell r="K6448" t="str">
            <v>GBWS-4625</v>
          </cell>
          <cell r="L6448">
            <v>45456</v>
          </cell>
          <cell r="M6448">
            <v>45457</v>
          </cell>
          <cell r="N6448">
            <v>45464</v>
          </cell>
          <cell r="O6448">
            <v>45457</v>
          </cell>
          <cell r="P6448">
            <v>45467</v>
          </cell>
          <cell r="Q6448">
            <v>45464</v>
          </cell>
          <cell r="R6448">
            <v>45467</v>
          </cell>
          <cell r="S6448">
            <v>45468</v>
          </cell>
          <cell r="T6448">
            <v>45469</v>
          </cell>
          <cell r="U6448">
            <v>45470</v>
          </cell>
          <cell r="V6448">
            <v>45471</v>
          </cell>
          <cell r="W6448">
            <v>45471</v>
          </cell>
          <cell r="X6448">
            <v>41100363</v>
          </cell>
        </row>
        <row r="6449">
          <cell r="K6449" t="str">
            <v>GBWS-4627</v>
          </cell>
          <cell r="L6449">
            <v>45456</v>
          </cell>
          <cell r="M6449">
            <v>45457</v>
          </cell>
          <cell r="N6449">
            <v>45464</v>
          </cell>
          <cell r="O6449">
            <v>45457</v>
          </cell>
          <cell r="P6449">
            <v>45467</v>
          </cell>
          <cell r="Q6449">
            <v>45464</v>
          </cell>
          <cell r="R6449">
            <v>45467</v>
          </cell>
          <cell r="S6449">
            <v>45468</v>
          </cell>
          <cell r="T6449">
            <v>45469</v>
          </cell>
          <cell r="U6449">
            <v>45470</v>
          </cell>
          <cell r="V6449">
            <v>45471</v>
          </cell>
          <cell r="W6449">
            <v>45471</v>
          </cell>
          <cell r="X6449">
            <v>41100322</v>
          </cell>
        </row>
        <row r="6450">
          <cell r="K6450" t="str">
            <v>DBW-3367</v>
          </cell>
          <cell r="L6450">
            <v>45457</v>
          </cell>
          <cell r="M6450">
            <v>45461</v>
          </cell>
          <cell r="N6450">
            <v>45467</v>
          </cell>
          <cell r="O6450">
            <v>45461</v>
          </cell>
          <cell r="P6450">
            <v>45468</v>
          </cell>
          <cell r="Q6450">
            <v>45467</v>
          </cell>
          <cell r="R6450">
            <v>45468</v>
          </cell>
          <cell r="S6450">
            <v>45469</v>
          </cell>
          <cell r="T6450">
            <v>45470</v>
          </cell>
          <cell r="U6450">
            <v>45471</v>
          </cell>
          <cell r="V6450">
            <v>45474</v>
          </cell>
          <cell r="W6450">
            <v>45474</v>
          </cell>
          <cell r="X6450">
            <v>41100684</v>
          </cell>
        </row>
        <row r="6451">
          <cell r="K6451" t="str">
            <v>DBW-3368</v>
          </cell>
          <cell r="L6451">
            <v>45457</v>
          </cell>
          <cell r="M6451">
            <v>45461</v>
          </cell>
          <cell r="N6451">
            <v>45467</v>
          </cell>
          <cell r="O6451">
            <v>45461</v>
          </cell>
          <cell r="P6451">
            <v>45468</v>
          </cell>
          <cell r="Q6451">
            <v>45467</v>
          </cell>
          <cell r="R6451">
            <v>45468</v>
          </cell>
          <cell r="S6451">
            <v>45469</v>
          </cell>
          <cell r="T6451">
            <v>45470</v>
          </cell>
          <cell r="U6451">
            <v>45471</v>
          </cell>
          <cell r="V6451">
            <v>45474</v>
          </cell>
          <cell r="W6451">
            <v>45474</v>
          </cell>
          <cell r="X6451">
            <v>41100684</v>
          </cell>
        </row>
        <row r="6452">
          <cell r="K6452" t="str">
            <v>SOS-0330</v>
          </cell>
          <cell r="L6452">
            <v>45461</v>
          </cell>
          <cell r="M6452">
            <v>45462</v>
          </cell>
          <cell r="N6452">
            <v>45463</v>
          </cell>
          <cell r="O6452">
            <v>45462</v>
          </cell>
          <cell r="P6452">
            <v>45467</v>
          </cell>
          <cell r="Q6452">
            <v>45464</v>
          </cell>
          <cell r="R6452">
            <v>45467</v>
          </cell>
          <cell r="S6452">
            <v>45468</v>
          </cell>
          <cell r="T6452">
            <v>45468</v>
          </cell>
          <cell r="U6452">
            <v>45475</v>
          </cell>
          <cell r="V6452">
            <v>45475</v>
          </cell>
          <cell r="W6452">
            <v>45475</v>
          </cell>
          <cell r="X6452">
            <v>41100182</v>
          </cell>
        </row>
        <row r="6453">
          <cell r="K6453" t="str">
            <v>HNM-0034~0037</v>
          </cell>
          <cell r="L6453">
            <v>45462</v>
          </cell>
          <cell r="M6453">
            <v>45463</v>
          </cell>
          <cell r="N6453">
            <v>45470</v>
          </cell>
          <cell r="O6453">
            <v>45463</v>
          </cell>
          <cell r="P6453">
            <v>45470</v>
          </cell>
          <cell r="Q6453">
            <v>45469</v>
          </cell>
          <cell r="R6453">
            <v>45470</v>
          </cell>
          <cell r="S6453">
            <v>45471</v>
          </cell>
          <cell r="T6453">
            <v>45471</v>
          </cell>
          <cell r="U6453">
            <v>45471</v>
          </cell>
          <cell r="V6453">
            <v>45475</v>
          </cell>
          <cell r="W6453">
            <v>45475</v>
          </cell>
          <cell r="X6453">
            <v>31102573</v>
          </cell>
        </row>
        <row r="6454">
          <cell r="K6454" t="str">
            <v>GBWS-3249</v>
          </cell>
          <cell r="L6454">
            <v>44998</v>
          </cell>
          <cell r="M6454">
            <v>44999</v>
          </cell>
          <cell r="N6454">
            <v>45008</v>
          </cell>
          <cell r="O6454">
            <v>44999</v>
          </cell>
          <cell r="P6454">
            <v>45008</v>
          </cell>
          <cell r="Q6454" t="str">
            <v>2023-03-23 → 3/24</v>
          </cell>
          <cell r="R6454" t="str">
            <v>2023-03-23 → 3/24</v>
          </cell>
          <cell r="S6454">
            <v>45008</v>
          </cell>
          <cell r="T6454">
            <v>45027</v>
          </cell>
          <cell r="U6454">
            <v>45030</v>
          </cell>
          <cell r="V6454">
            <v>45033</v>
          </cell>
          <cell r="W6454">
            <v>45033</v>
          </cell>
          <cell r="X6454">
            <v>41100511</v>
          </cell>
        </row>
        <row r="6455">
          <cell r="K6455" t="str">
            <v>DBW-3366</v>
          </cell>
          <cell r="L6455">
            <v>45456</v>
          </cell>
          <cell r="M6455">
            <v>45457</v>
          </cell>
          <cell r="N6455">
            <v>45463</v>
          </cell>
          <cell r="O6455">
            <v>45457</v>
          </cell>
          <cell r="P6455">
            <v>45463</v>
          </cell>
          <cell r="Q6455">
            <v>45463</v>
          </cell>
          <cell r="R6455">
            <v>45464</v>
          </cell>
          <cell r="S6455">
            <v>45469</v>
          </cell>
          <cell r="T6455">
            <v>45470</v>
          </cell>
          <cell r="U6455">
            <v>45471</v>
          </cell>
          <cell r="V6455">
            <v>45475</v>
          </cell>
          <cell r="W6455">
            <v>45475</v>
          </cell>
          <cell r="X6455">
            <v>41000514</v>
          </cell>
        </row>
        <row r="6456">
          <cell r="K6456" t="str">
            <v>GBWS-4642</v>
          </cell>
          <cell r="L6456">
            <v>45461</v>
          </cell>
          <cell r="M6456">
            <v>45462</v>
          </cell>
          <cell r="N6456">
            <v>45470</v>
          </cell>
          <cell r="O6456">
            <v>45462</v>
          </cell>
          <cell r="P6456">
            <v>45470</v>
          </cell>
          <cell r="Q6456">
            <v>45470</v>
          </cell>
          <cell r="R6456">
            <v>45471</v>
          </cell>
          <cell r="S6456">
            <v>45474</v>
          </cell>
          <cell r="T6456">
            <v>45475</v>
          </cell>
          <cell r="U6456">
            <v>45476</v>
          </cell>
          <cell r="V6456">
            <v>45477</v>
          </cell>
          <cell r="W6456">
            <v>45477</v>
          </cell>
          <cell r="X6456">
            <v>41100566</v>
          </cell>
        </row>
        <row r="6457">
          <cell r="K6457" t="str">
            <v>GBWS-4643</v>
          </cell>
          <cell r="L6457">
            <v>45461</v>
          </cell>
          <cell r="M6457">
            <v>45462</v>
          </cell>
          <cell r="N6457">
            <v>45470</v>
          </cell>
          <cell r="O6457">
            <v>45462</v>
          </cell>
          <cell r="P6457">
            <v>45470</v>
          </cell>
          <cell r="Q6457">
            <v>45470</v>
          </cell>
          <cell r="R6457">
            <v>45471</v>
          </cell>
          <cell r="S6457">
            <v>45474</v>
          </cell>
          <cell r="T6457">
            <v>45475</v>
          </cell>
          <cell r="U6457">
            <v>45476</v>
          </cell>
          <cell r="V6457">
            <v>45477</v>
          </cell>
          <cell r="W6457">
            <v>45477</v>
          </cell>
          <cell r="X6457">
            <v>41100566</v>
          </cell>
        </row>
        <row r="6458">
          <cell r="K6458" t="str">
            <v>GBWS-4644</v>
          </cell>
          <cell r="L6458">
            <v>45461</v>
          </cell>
          <cell r="M6458">
            <v>45462</v>
          </cell>
          <cell r="N6458">
            <v>45470</v>
          </cell>
          <cell r="O6458">
            <v>45462</v>
          </cell>
          <cell r="P6458">
            <v>45470</v>
          </cell>
          <cell r="Q6458">
            <v>45470</v>
          </cell>
          <cell r="R6458">
            <v>45471</v>
          </cell>
          <cell r="S6458">
            <v>45474</v>
          </cell>
          <cell r="T6458">
            <v>45475</v>
          </cell>
          <cell r="U6458">
            <v>45476</v>
          </cell>
          <cell r="V6458">
            <v>45477</v>
          </cell>
          <cell r="W6458">
            <v>45477</v>
          </cell>
          <cell r="X6458">
            <v>41100566</v>
          </cell>
        </row>
        <row r="6459">
          <cell r="K6459" t="str">
            <v>GBWS-4645</v>
          </cell>
          <cell r="L6459">
            <v>45461</v>
          </cell>
          <cell r="M6459">
            <v>45462</v>
          </cell>
          <cell r="N6459">
            <v>45470</v>
          </cell>
          <cell r="O6459">
            <v>45462</v>
          </cell>
          <cell r="P6459">
            <v>45470</v>
          </cell>
          <cell r="Q6459">
            <v>45470</v>
          </cell>
          <cell r="R6459">
            <v>45471</v>
          </cell>
          <cell r="S6459">
            <v>45474</v>
          </cell>
          <cell r="T6459">
            <v>45475</v>
          </cell>
          <cell r="U6459">
            <v>45476</v>
          </cell>
          <cell r="V6459">
            <v>45477</v>
          </cell>
          <cell r="W6459">
            <v>45477</v>
          </cell>
          <cell r="X6459">
            <v>41100566</v>
          </cell>
        </row>
        <row r="6460">
          <cell r="K6460" t="str">
            <v>GBWS-4651</v>
          </cell>
          <cell r="L6460">
            <v>45463</v>
          </cell>
          <cell r="M6460">
            <v>45464</v>
          </cell>
          <cell r="N6460">
            <v>45470</v>
          </cell>
          <cell r="O6460">
            <v>45464</v>
          </cell>
          <cell r="P6460">
            <v>45471</v>
          </cell>
          <cell r="Q6460">
            <v>45470</v>
          </cell>
          <cell r="R6460">
            <v>45471</v>
          </cell>
          <cell r="S6460">
            <v>45474</v>
          </cell>
          <cell r="T6460">
            <v>45475</v>
          </cell>
          <cell r="U6460">
            <v>45476</v>
          </cell>
          <cell r="V6460">
            <v>45477</v>
          </cell>
          <cell r="W6460">
            <v>45477</v>
          </cell>
          <cell r="X6460">
            <v>41100566</v>
          </cell>
        </row>
        <row r="6461">
          <cell r="K6461" t="str">
            <v>GBWS-4626</v>
          </cell>
          <cell r="L6461">
            <v>45456</v>
          </cell>
          <cell r="M6461">
            <v>45457</v>
          </cell>
          <cell r="N6461">
            <v>45464</v>
          </cell>
          <cell r="O6461">
            <v>45457</v>
          </cell>
          <cell r="P6461">
            <v>45467</v>
          </cell>
          <cell r="Q6461">
            <v>45464</v>
          </cell>
          <cell r="R6461">
            <v>45467</v>
          </cell>
          <cell r="S6461">
            <v>45469</v>
          </cell>
          <cell r="T6461">
            <v>45470</v>
          </cell>
          <cell r="U6461">
            <v>45471</v>
          </cell>
          <cell r="V6461">
            <v>45474</v>
          </cell>
          <cell r="W6461">
            <v>45474</v>
          </cell>
          <cell r="X6461">
            <v>41100363</v>
          </cell>
        </row>
        <row r="6462">
          <cell r="K6462" t="str">
            <v>GBWS-4636</v>
          </cell>
          <cell r="L6462">
            <v>45461</v>
          </cell>
          <cell r="M6462">
            <v>45462</v>
          </cell>
          <cell r="N6462">
            <v>45469</v>
          </cell>
          <cell r="O6462">
            <v>45462</v>
          </cell>
          <cell r="P6462">
            <v>45470</v>
          </cell>
          <cell r="Q6462">
            <v>45469</v>
          </cell>
          <cell r="R6462">
            <v>45470</v>
          </cell>
          <cell r="S6462">
            <v>45470</v>
          </cell>
          <cell r="T6462">
            <v>45471</v>
          </cell>
          <cell r="U6462">
            <v>45474</v>
          </cell>
          <cell r="V6462">
            <v>45475</v>
          </cell>
          <cell r="W6462">
            <v>45475</v>
          </cell>
          <cell r="X6462">
            <v>41100642</v>
          </cell>
        </row>
        <row r="6463">
          <cell r="K6463" t="str">
            <v>GBWS-4646</v>
          </cell>
          <cell r="L6463">
            <v>45461</v>
          </cell>
          <cell r="M6463">
            <v>45462</v>
          </cell>
          <cell r="N6463">
            <v>45469</v>
          </cell>
          <cell r="O6463">
            <v>45462</v>
          </cell>
          <cell r="P6463">
            <v>45470</v>
          </cell>
          <cell r="Q6463">
            <v>45469</v>
          </cell>
          <cell r="R6463">
            <v>45470</v>
          </cell>
          <cell r="S6463">
            <v>45471</v>
          </cell>
          <cell r="T6463">
            <v>45474</v>
          </cell>
          <cell r="U6463">
            <v>45475</v>
          </cell>
          <cell r="V6463">
            <v>45476</v>
          </cell>
          <cell r="W6463">
            <v>45476</v>
          </cell>
          <cell r="X6463">
            <v>41100334</v>
          </cell>
        </row>
        <row r="6464">
          <cell r="K6464" t="str">
            <v>GBWS-4665</v>
          </cell>
          <cell r="L6464">
            <v>45463</v>
          </cell>
          <cell r="M6464">
            <v>45464</v>
          </cell>
          <cell r="N6464">
            <v>45470</v>
          </cell>
          <cell r="O6464">
            <v>45464</v>
          </cell>
          <cell r="P6464">
            <v>45471</v>
          </cell>
          <cell r="Q6464">
            <v>45470</v>
          </cell>
          <cell r="R6464">
            <v>45471</v>
          </cell>
          <cell r="S6464">
            <v>45474</v>
          </cell>
          <cell r="T6464">
            <v>45475</v>
          </cell>
          <cell r="U6464">
            <v>45476</v>
          </cell>
          <cell r="V6464">
            <v>45477</v>
          </cell>
          <cell r="W6464">
            <v>45477</v>
          </cell>
          <cell r="X6464">
            <v>41100662</v>
          </cell>
        </row>
        <row r="6465">
          <cell r="K6465" t="str">
            <v>GBWS-4633</v>
          </cell>
          <cell r="L6465">
            <v>45457</v>
          </cell>
          <cell r="M6465">
            <v>45460</v>
          </cell>
          <cell r="N6465">
            <v>45467</v>
          </cell>
          <cell r="O6465">
            <v>45460</v>
          </cell>
          <cell r="P6465">
            <v>45467</v>
          </cell>
          <cell r="Q6465">
            <v>45467</v>
          </cell>
          <cell r="R6465">
            <v>45468</v>
          </cell>
          <cell r="S6465">
            <v>45469</v>
          </cell>
          <cell r="T6465">
            <v>45470</v>
          </cell>
          <cell r="U6465">
            <v>45471</v>
          </cell>
          <cell r="V6465">
            <v>45474</v>
          </cell>
          <cell r="W6465">
            <v>45474</v>
          </cell>
          <cell r="X6465">
            <v>41100334</v>
          </cell>
        </row>
        <row r="6466">
          <cell r="K6466" t="str">
            <v>IVAS-250</v>
          </cell>
          <cell r="L6466">
            <v>45454</v>
          </cell>
          <cell r="M6466">
            <v>45455</v>
          </cell>
          <cell r="N6466">
            <v>45467</v>
          </cell>
          <cell r="O6466">
            <v>45455</v>
          </cell>
          <cell r="P6466">
            <v>45468</v>
          </cell>
          <cell r="Q6466">
            <v>45467</v>
          </cell>
          <cell r="R6466">
            <v>45468</v>
          </cell>
          <cell r="S6466">
            <v>45469</v>
          </cell>
          <cell r="T6466">
            <v>45469</v>
          </cell>
          <cell r="U6466">
            <v>45474</v>
          </cell>
          <cell r="V6466">
            <v>45476</v>
          </cell>
          <cell r="W6466">
            <v>45478</v>
          </cell>
          <cell r="X6466">
            <v>41200011</v>
          </cell>
        </row>
        <row r="6467">
          <cell r="K6467" t="str">
            <v>GBWS-4551</v>
          </cell>
          <cell r="L6467">
            <v>45433</v>
          </cell>
          <cell r="M6467">
            <v>45434</v>
          </cell>
          <cell r="N6467">
            <v>45440</v>
          </cell>
          <cell r="O6467">
            <v>45434</v>
          </cell>
          <cell r="P6467">
            <v>45441</v>
          </cell>
          <cell r="Q6467">
            <v>45440</v>
          </cell>
          <cell r="R6467">
            <v>45441</v>
          </cell>
          <cell r="S6467">
            <v>45443</v>
          </cell>
          <cell r="T6467">
            <v>45446</v>
          </cell>
          <cell r="U6467">
            <v>45447</v>
          </cell>
          <cell r="V6467">
            <v>45450</v>
          </cell>
          <cell r="W6467">
            <v>45450</v>
          </cell>
          <cell r="X6467">
            <v>41200006</v>
          </cell>
        </row>
        <row r="6468">
          <cell r="K6468" t="str">
            <v>GBWS-4552</v>
          </cell>
          <cell r="L6468">
            <v>45433</v>
          </cell>
          <cell r="M6468">
            <v>45434</v>
          </cell>
          <cell r="N6468">
            <v>45440</v>
          </cell>
          <cell r="O6468">
            <v>45434</v>
          </cell>
          <cell r="P6468">
            <v>45441</v>
          </cell>
          <cell r="Q6468">
            <v>45440</v>
          </cell>
          <cell r="R6468">
            <v>45441</v>
          </cell>
          <cell r="S6468">
            <v>45443</v>
          </cell>
          <cell r="T6468">
            <v>45446</v>
          </cell>
          <cell r="U6468">
            <v>45448</v>
          </cell>
          <cell r="V6468">
            <v>45448</v>
          </cell>
          <cell r="W6468">
            <v>45448</v>
          </cell>
          <cell r="X6468">
            <v>41200006</v>
          </cell>
        </row>
        <row r="6469">
          <cell r="K6469" t="str">
            <v>GBWS-4553</v>
          </cell>
          <cell r="L6469">
            <v>45433</v>
          </cell>
          <cell r="M6469">
            <v>45434</v>
          </cell>
          <cell r="N6469">
            <v>45440</v>
          </cell>
          <cell r="O6469">
            <v>45434</v>
          </cell>
          <cell r="P6469">
            <v>45441</v>
          </cell>
          <cell r="Q6469">
            <v>45440</v>
          </cell>
          <cell r="R6469">
            <v>45441</v>
          </cell>
          <cell r="S6469">
            <v>45447</v>
          </cell>
          <cell r="T6469">
            <v>45447</v>
          </cell>
          <cell r="U6469">
            <v>45448</v>
          </cell>
          <cell r="V6469">
            <v>45450</v>
          </cell>
          <cell r="W6469">
            <v>45450</v>
          </cell>
          <cell r="X6469">
            <v>41200006</v>
          </cell>
        </row>
        <row r="6470">
          <cell r="K6470" t="str">
            <v>GBWS-4617</v>
          </cell>
          <cell r="L6470">
            <v>45454</v>
          </cell>
          <cell r="M6470">
            <v>45455</v>
          </cell>
          <cell r="N6470">
            <v>45462</v>
          </cell>
          <cell r="O6470">
            <v>45455</v>
          </cell>
          <cell r="P6470">
            <v>45463</v>
          </cell>
          <cell r="Q6470">
            <v>45462</v>
          </cell>
          <cell r="R6470">
            <v>45463</v>
          </cell>
          <cell r="S6470">
            <v>45474</v>
          </cell>
          <cell r="T6470">
            <v>45474</v>
          </cell>
          <cell r="U6470">
            <v>45476</v>
          </cell>
          <cell r="V6470">
            <v>45478</v>
          </cell>
          <cell r="W6470">
            <v>45478</v>
          </cell>
          <cell r="X6470">
            <v>41200006</v>
          </cell>
        </row>
        <row r="6471">
          <cell r="K6471" t="str">
            <v>GBWS-4590</v>
          </cell>
          <cell r="L6471">
            <v>45443</v>
          </cell>
          <cell r="M6471">
            <v>45446</v>
          </cell>
          <cell r="N6471">
            <v>45453</v>
          </cell>
          <cell r="O6471">
            <v>45446</v>
          </cell>
          <cell r="P6471">
            <v>45454</v>
          </cell>
          <cell r="Q6471">
            <v>45454</v>
          </cell>
          <cell r="R6471">
            <v>45455</v>
          </cell>
          <cell r="S6471">
            <v>45456</v>
          </cell>
          <cell r="T6471">
            <v>45458</v>
          </cell>
          <cell r="U6471">
            <v>45459</v>
          </cell>
          <cell r="V6471">
            <v>45461</v>
          </cell>
          <cell r="W6471">
            <v>45461</v>
          </cell>
          <cell r="X6471">
            <v>41200006</v>
          </cell>
        </row>
        <row r="6472">
          <cell r="K6472" t="str">
            <v>GBWS-4591</v>
          </cell>
          <cell r="L6472">
            <v>45443</v>
          </cell>
          <cell r="M6472">
            <v>45446</v>
          </cell>
          <cell r="N6472">
            <v>45453</v>
          </cell>
          <cell r="O6472">
            <v>45446</v>
          </cell>
          <cell r="P6472">
            <v>45454</v>
          </cell>
          <cell r="Q6472">
            <v>45454</v>
          </cell>
          <cell r="R6472">
            <v>45455</v>
          </cell>
          <cell r="S6472">
            <v>45456</v>
          </cell>
          <cell r="T6472">
            <v>45460</v>
          </cell>
          <cell r="U6472">
            <v>45460</v>
          </cell>
          <cell r="V6472">
            <v>45461</v>
          </cell>
          <cell r="W6472">
            <v>45461</v>
          </cell>
          <cell r="X6472">
            <v>41200006</v>
          </cell>
        </row>
        <row r="6473">
          <cell r="K6473" t="str">
            <v>IVAS-251</v>
          </cell>
          <cell r="L6473">
            <v>45456</v>
          </cell>
          <cell r="M6473">
            <v>45457</v>
          </cell>
          <cell r="N6473">
            <v>45468</v>
          </cell>
          <cell r="O6473">
            <v>45457</v>
          </cell>
          <cell r="P6473">
            <v>45469</v>
          </cell>
          <cell r="Q6473">
            <v>45468</v>
          </cell>
          <cell r="R6473">
            <v>45469</v>
          </cell>
          <cell r="S6473">
            <v>45470</v>
          </cell>
          <cell r="T6473">
            <v>45470</v>
          </cell>
          <cell r="U6473">
            <v>45481</v>
          </cell>
          <cell r="V6473">
            <v>45481</v>
          </cell>
          <cell r="W6473">
            <v>45481</v>
          </cell>
          <cell r="X6473">
            <v>41200022</v>
          </cell>
        </row>
        <row r="6474">
          <cell r="K6474" t="str">
            <v>GBWS-4671</v>
          </cell>
          <cell r="L6474">
            <v>45468</v>
          </cell>
          <cell r="M6474">
            <v>45469</v>
          </cell>
          <cell r="N6474">
            <v>45476</v>
          </cell>
          <cell r="O6474">
            <v>45469</v>
          </cell>
          <cell r="P6474">
            <v>45476</v>
          </cell>
          <cell r="Q6474" t="str">
            <v>2024-07-03 → 7/2</v>
          </cell>
          <cell r="R6474" t="str">
            <v>2024-07-04 → 7/3</v>
          </cell>
          <cell r="S6474">
            <v>45477</v>
          </cell>
          <cell r="T6474">
            <v>45478</v>
          </cell>
          <cell r="U6474">
            <v>45481</v>
          </cell>
          <cell r="V6474">
            <v>45482</v>
          </cell>
          <cell r="W6474">
            <v>45482</v>
          </cell>
          <cell r="X6474">
            <v>41100322</v>
          </cell>
        </row>
        <row r="6475">
          <cell r="K6475" t="str">
            <v>GBWS-4647</v>
          </cell>
          <cell r="L6475">
            <v>45461</v>
          </cell>
          <cell r="M6475">
            <v>45462</v>
          </cell>
          <cell r="N6475">
            <v>45468</v>
          </cell>
          <cell r="O6475">
            <v>45462</v>
          </cell>
          <cell r="P6475">
            <v>45470</v>
          </cell>
          <cell r="Q6475">
            <v>45469</v>
          </cell>
          <cell r="R6475">
            <v>45470</v>
          </cell>
          <cell r="S6475">
            <v>45471</v>
          </cell>
          <cell r="T6475">
            <v>45474</v>
          </cell>
          <cell r="U6475">
            <v>45475</v>
          </cell>
          <cell r="V6475">
            <v>45476</v>
          </cell>
          <cell r="W6475">
            <v>45476</v>
          </cell>
          <cell r="X6475">
            <v>41100566</v>
          </cell>
        </row>
        <row r="6476">
          <cell r="K6476" t="str">
            <v>GBWS-4648</v>
          </cell>
          <cell r="L6476">
            <v>45461</v>
          </cell>
          <cell r="M6476">
            <v>45462</v>
          </cell>
          <cell r="N6476">
            <v>45468</v>
          </cell>
          <cell r="O6476">
            <v>45462</v>
          </cell>
          <cell r="P6476">
            <v>45470</v>
          </cell>
          <cell r="Q6476">
            <v>45469</v>
          </cell>
          <cell r="R6476">
            <v>45470</v>
          </cell>
          <cell r="S6476">
            <v>45471</v>
          </cell>
          <cell r="T6476">
            <v>45474</v>
          </cell>
          <cell r="U6476">
            <v>45475</v>
          </cell>
          <cell r="V6476">
            <v>45476</v>
          </cell>
          <cell r="W6476">
            <v>45476</v>
          </cell>
          <cell r="X6476">
            <v>41100566</v>
          </cell>
        </row>
        <row r="6477">
          <cell r="K6477" t="str">
            <v>GBWS-4649</v>
          </cell>
          <cell r="L6477">
            <v>45461</v>
          </cell>
          <cell r="M6477">
            <v>45462</v>
          </cell>
          <cell r="N6477">
            <v>45468</v>
          </cell>
          <cell r="O6477">
            <v>45462</v>
          </cell>
          <cell r="P6477">
            <v>45470</v>
          </cell>
          <cell r="Q6477">
            <v>45469</v>
          </cell>
          <cell r="R6477">
            <v>45470</v>
          </cell>
          <cell r="S6477">
            <v>45471</v>
          </cell>
          <cell r="T6477">
            <v>45474</v>
          </cell>
          <cell r="U6477">
            <v>45475</v>
          </cell>
          <cell r="V6477">
            <v>45476</v>
          </cell>
          <cell r="W6477">
            <v>45476</v>
          </cell>
          <cell r="X6477">
            <v>41100566</v>
          </cell>
        </row>
        <row r="6478">
          <cell r="K6478" t="str">
            <v>GBWS-4661</v>
          </cell>
          <cell r="L6478">
            <v>45464</v>
          </cell>
          <cell r="M6478">
            <v>45467</v>
          </cell>
          <cell r="N6478">
            <v>45474</v>
          </cell>
          <cell r="O6478">
            <v>45467</v>
          </cell>
          <cell r="P6478">
            <v>45476</v>
          </cell>
          <cell r="Q6478">
            <v>45474</v>
          </cell>
          <cell r="R6478">
            <v>45475</v>
          </cell>
          <cell r="S6478">
            <v>45476</v>
          </cell>
          <cell r="T6478">
            <v>45477</v>
          </cell>
          <cell r="U6478">
            <v>45481</v>
          </cell>
          <cell r="V6478">
            <v>45481</v>
          </cell>
          <cell r="W6478">
            <v>45481</v>
          </cell>
          <cell r="X6478">
            <v>41100566</v>
          </cell>
        </row>
        <row r="6479">
          <cell r="K6479" t="str">
            <v>GBWS-4662</v>
          </cell>
          <cell r="L6479">
            <v>45464</v>
          </cell>
          <cell r="M6479">
            <v>45467</v>
          </cell>
          <cell r="N6479">
            <v>45474</v>
          </cell>
          <cell r="O6479">
            <v>45467</v>
          </cell>
          <cell r="P6479">
            <v>45476</v>
          </cell>
          <cell r="Q6479">
            <v>45474</v>
          </cell>
          <cell r="R6479">
            <v>45475</v>
          </cell>
          <cell r="S6479">
            <v>45476</v>
          </cell>
          <cell r="T6479">
            <v>45477</v>
          </cell>
          <cell r="U6479">
            <v>45481</v>
          </cell>
          <cell r="V6479">
            <v>45482</v>
          </cell>
          <cell r="W6479">
            <v>45482</v>
          </cell>
          <cell r="X6479">
            <v>41100566</v>
          </cell>
        </row>
        <row r="6480">
          <cell r="K6480" t="str">
            <v>GBWS-4663</v>
          </cell>
          <cell r="L6480">
            <v>45464</v>
          </cell>
          <cell r="M6480">
            <v>45467</v>
          </cell>
          <cell r="N6480">
            <v>45474</v>
          </cell>
          <cell r="O6480">
            <v>45467</v>
          </cell>
          <cell r="P6480">
            <v>45476</v>
          </cell>
          <cell r="Q6480">
            <v>45474</v>
          </cell>
          <cell r="R6480">
            <v>45475</v>
          </cell>
          <cell r="S6480">
            <v>45476</v>
          </cell>
          <cell r="T6480">
            <v>45477</v>
          </cell>
          <cell r="U6480">
            <v>45481</v>
          </cell>
          <cell r="V6480">
            <v>45482</v>
          </cell>
          <cell r="W6480">
            <v>45482</v>
          </cell>
          <cell r="X6480">
            <v>41100566</v>
          </cell>
        </row>
        <row r="6481">
          <cell r="K6481" t="str">
            <v>GBWS-4664</v>
          </cell>
          <cell r="L6481">
            <v>45464</v>
          </cell>
          <cell r="M6481">
            <v>45467</v>
          </cell>
          <cell r="N6481">
            <v>45474</v>
          </cell>
          <cell r="O6481">
            <v>45467</v>
          </cell>
          <cell r="P6481">
            <v>45476</v>
          </cell>
          <cell r="Q6481">
            <v>45474</v>
          </cell>
          <cell r="R6481">
            <v>45475</v>
          </cell>
          <cell r="S6481">
            <v>45476</v>
          </cell>
          <cell r="T6481">
            <v>45477</v>
          </cell>
          <cell r="U6481">
            <v>45481</v>
          </cell>
          <cell r="V6481">
            <v>45481</v>
          </cell>
          <cell r="W6481">
            <v>45481</v>
          </cell>
          <cell r="X6481">
            <v>41100566</v>
          </cell>
        </row>
        <row r="6482">
          <cell r="K6482" t="str">
            <v>GBWS-4635</v>
          </cell>
          <cell r="L6482">
            <v>45461</v>
          </cell>
          <cell r="M6482">
            <v>45462</v>
          </cell>
          <cell r="N6482">
            <v>45468</v>
          </cell>
          <cell r="O6482">
            <v>45462</v>
          </cell>
          <cell r="P6482">
            <v>45470</v>
          </cell>
          <cell r="Q6482">
            <v>45469</v>
          </cell>
          <cell r="R6482">
            <v>45470</v>
          </cell>
          <cell r="S6482">
            <v>45471</v>
          </cell>
          <cell r="T6482">
            <v>45474</v>
          </cell>
          <cell r="U6482">
            <v>45475</v>
          </cell>
          <cell r="V6482">
            <v>45476</v>
          </cell>
          <cell r="W6482">
            <v>45476</v>
          </cell>
          <cell r="X6482">
            <v>41100320</v>
          </cell>
        </row>
        <row r="6483">
          <cell r="K6483" t="str">
            <v>GBWS-4652</v>
          </cell>
          <cell r="L6483">
            <v>45463</v>
          </cell>
          <cell r="M6483">
            <v>45464</v>
          </cell>
          <cell r="N6483">
            <v>45471</v>
          </cell>
          <cell r="O6483">
            <v>45464</v>
          </cell>
          <cell r="P6483">
            <v>45476</v>
          </cell>
          <cell r="Q6483">
            <v>45471</v>
          </cell>
          <cell r="R6483">
            <v>45474</v>
          </cell>
          <cell r="S6483">
            <v>45475</v>
          </cell>
          <cell r="T6483">
            <v>45476</v>
          </cell>
          <cell r="U6483">
            <v>45477</v>
          </cell>
          <cell r="V6483">
            <v>45478</v>
          </cell>
          <cell r="W6483">
            <v>45478</v>
          </cell>
          <cell r="X6483">
            <v>41100363</v>
          </cell>
        </row>
        <row r="6484">
          <cell r="K6484" t="str">
            <v>GBWS-4641</v>
          </cell>
          <cell r="L6484">
            <v>45461</v>
          </cell>
          <cell r="M6484">
            <v>45462</v>
          </cell>
          <cell r="N6484">
            <v>45470</v>
          </cell>
          <cell r="O6484">
            <v>45462</v>
          </cell>
          <cell r="P6484">
            <v>45471</v>
          </cell>
          <cell r="Q6484">
            <v>45470</v>
          </cell>
          <cell r="R6484">
            <v>45471</v>
          </cell>
          <cell r="S6484">
            <v>45476</v>
          </cell>
          <cell r="T6484">
            <v>45476</v>
          </cell>
          <cell r="U6484">
            <v>45477</v>
          </cell>
          <cell r="V6484">
            <v>45478</v>
          </cell>
          <cell r="W6484">
            <v>45478</v>
          </cell>
          <cell r="X6484">
            <v>41100372</v>
          </cell>
        </row>
        <row r="6485">
          <cell r="K6485" t="str">
            <v>GPWS-0413</v>
          </cell>
          <cell r="L6485">
            <v>45436</v>
          </cell>
          <cell r="M6485" t="str">
            <v>2024-05-23 → 5/27</v>
          </cell>
          <cell r="N6485">
            <v>45446</v>
          </cell>
          <cell r="O6485" t="str">
            <v>2024-05-23 → 5/27</v>
          </cell>
          <cell r="P6485">
            <v>45447</v>
          </cell>
          <cell r="Q6485" t="str">
            <v>2024-05-30 → 6/3</v>
          </cell>
          <cell r="R6485" t="str">
            <v>2024-05-31 → 6/4</v>
          </cell>
          <cell r="S6485">
            <v>45456</v>
          </cell>
          <cell r="T6485">
            <v>45460</v>
          </cell>
          <cell r="U6485">
            <v>45460</v>
          </cell>
          <cell r="V6485">
            <v>45463</v>
          </cell>
          <cell r="W6485">
            <v>45463</v>
          </cell>
          <cell r="X6485">
            <v>41000549</v>
          </cell>
        </row>
        <row r="6486">
          <cell r="K6486" t="str">
            <v>GPWS-0414</v>
          </cell>
          <cell r="L6486">
            <v>45436</v>
          </cell>
          <cell r="M6486" t="str">
            <v>2024-05-23 → 5/27</v>
          </cell>
          <cell r="N6486">
            <v>45446</v>
          </cell>
          <cell r="O6486" t="str">
            <v>2024-05-23 → 5/27</v>
          </cell>
          <cell r="P6486">
            <v>45447</v>
          </cell>
          <cell r="Q6486" t="str">
            <v>2024-05-30 → 6/3</v>
          </cell>
          <cell r="R6486" t="str">
            <v>2024-05-31 → 6/4</v>
          </cell>
          <cell r="S6486">
            <v>45457</v>
          </cell>
          <cell r="T6486">
            <v>45460</v>
          </cell>
          <cell r="U6486">
            <v>45461</v>
          </cell>
          <cell r="V6486">
            <v>45463</v>
          </cell>
          <cell r="W6486">
            <v>45463</v>
          </cell>
          <cell r="X6486">
            <v>41000549</v>
          </cell>
        </row>
        <row r="6487">
          <cell r="K6487" t="str">
            <v>-</v>
          </cell>
          <cell r="L6487">
            <v>45439</v>
          </cell>
          <cell r="M6487">
            <v>45440</v>
          </cell>
          <cell r="N6487">
            <v>45453</v>
          </cell>
          <cell r="O6487">
            <v>45440</v>
          </cell>
          <cell r="P6487">
            <v>45453</v>
          </cell>
          <cell r="Q6487">
            <v>45446</v>
          </cell>
          <cell r="R6487">
            <v>45447</v>
          </cell>
          <cell r="S6487">
            <v>45482</v>
          </cell>
          <cell r="T6487">
            <v>45482</v>
          </cell>
          <cell r="U6487">
            <v>45484</v>
          </cell>
          <cell r="V6487">
            <v>45484</v>
          </cell>
          <cell r="W6487">
            <v>45484</v>
          </cell>
          <cell r="X6487">
            <v>31010654</v>
          </cell>
        </row>
        <row r="6488">
          <cell r="K6488" t="str">
            <v>GPWS-0415</v>
          </cell>
          <cell r="L6488">
            <v>45436</v>
          </cell>
          <cell r="M6488" t="str">
            <v>2024-05-23 → 5/27</v>
          </cell>
          <cell r="N6488">
            <v>45446</v>
          </cell>
          <cell r="O6488" t="str">
            <v>2024-05-23 → 5/27</v>
          </cell>
          <cell r="P6488">
            <v>45447</v>
          </cell>
          <cell r="Q6488" t="str">
            <v>2024-05-30 → 6/3</v>
          </cell>
          <cell r="R6488" t="str">
            <v>2024-05-31 → 6/4</v>
          </cell>
          <cell r="S6488">
            <v>45454</v>
          </cell>
          <cell r="T6488">
            <v>45457</v>
          </cell>
          <cell r="U6488">
            <v>45457</v>
          </cell>
          <cell r="V6488">
            <v>45461</v>
          </cell>
          <cell r="W6488">
            <v>45461</v>
          </cell>
          <cell r="X6488">
            <v>41000549</v>
          </cell>
        </row>
        <row r="6489">
          <cell r="K6489" t="str">
            <v>DBW-3371</v>
          </cell>
          <cell r="L6489">
            <v>45468</v>
          </cell>
          <cell r="M6489">
            <v>45469</v>
          </cell>
          <cell r="N6489">
            <v>45476</v>
          </cell>
          <cell r="O6489">
            <v>45469</v>
          </cell>
          <cell r="P6489">
            <v>45476</v>
          </cell>
          <cell r="Q6489">
            <v>45476</v>
          </cell>
          <cell r="R6489">
            <v>45477</v>
          </cell>
          <cell r="S6489">
            <v>45478</v>
          </cell>
          <cell r="T6489">
            <v>45481</v>
          </cell>
          <cell r="U6489">
            <v>45483</v>
          </cell>
          <cell r="V6489">
            <v>45483</v>
          </cell>
          <cell r="W6489">
            <v>45483</v>
          </cell>
          <cell r="X6489">
            <v>41100696</v>
          </cell>
        </row>
        <row r="6490">
          <cell r="K6490" t="str">
            <v>IVAS-252</v>
          </cell>
          <cell r="L6490">
            <v>45462</v>
          </cell>
          <cell r="M6490">
            <v>45463</v>
          </cell>
          <cell r="N6490">
            <v>45474</v>
          </cell>
          <cell r="O6490">
            <v>45463</v>
          </cell>
          <cell r="P6490">
            <v>45475</v>
          </cell>
          <cell r="Q6490">
            <v>45474</v>
          </cell>
          <cell r="R6490">
            <v>45475</v>
          </cell>
          <cell r="S6490">
            <v>45476</v>
          </cell>
          <cell r="T6490">
            <v>45476</v>
          </cell>
          <cell r="U6490">
            <v>45481</v>
          </cell>
          <cell r="V6490">
            <v>45483</v>
          </cell>
          <cell r="W6490">
            <v>45483</v>
          </cell>
          <cell r="X6490">
            <v>41200018</v>
          </cell>
        </row>
        <row r="6491">
          <cell r="K6491" t="str">
            <v>IVAS-253</v>
          </cell>
          <cell r="L6491">
            <v>45463</v>
          </cell>
          <cell r="M6491">
            <v>45464</v>
          </cell>
          <cell r="N6491">
            <v>45475</v>
          </cell>
          <cell r="O6491">
            <v>45464</v>
          </cell>
          <cell r="P6491">
            <v>45475</v>
          </cell>
          <cell r="Q6491">
            <v>45475</v>
          </cell>
          <cell r="R6491">
            <v>45475</v>
          </cell>
          <cell r="S6491">
            <v>45476</v>
          </cell>
          <cell r="T6491">
            <v>45476</v>
          </cell>
          <cell r="U6491">
            <v>45483</v>
          </cell>
          <cell r="V6491">
            <v>45484</v>
          </cell>
          <cell r="W6491">
            <v>45484</v>
          </cell>
          <cell r="X6491">
            <v>41200023</v>
          </cell>
        </row>
        <row r="6492">
          <cell r="K6492" t="str">
            <v>DBW-3369</v>
          </cell>
          <cell r="L6492">
            <v>45468</v>
          </cell>
          <cell r="M6492">
            <v>45469</v>
          </cell>
          <cell r="N6492">
            <v>45476</v>
          </cell>
          <cell r="O6492">
            <v>45469</v>
          </cell>
          <cell r="P6492">
            <v>45476</v>
          </cell>
          <cell r="Q6492">
            <v>45475</v>
          </cell>
          <cell r="R6492">
            <v>45476</v>
          </cell>
          <cell r="S6492">
            <v>45477</v>
          </cell>
          <cell r="T6492">
            <v>45478</v>
          </cell>
          <cell r="U6492">
            <v>45481</v>
          </cell>
          <cell r="V6492">
            <v>45482</v>
          </cell>
          <cell r="W6492">
            <v>45482</v>
          </cell>
          <cell r="X6492">
            <v>41200008</v>
          </cell>
        </row>
        <row r="6493">
          <cell r="K6493" t="str">
            <v>DBW-3370</v>
          </cell>
          <cell r="L6493">
            <v>45468</v>
          </cell>
          <cell r="M6493">
            <v>45469</v>
          </cell>
          <cell r="N6493">
            <v>45476</v>
          </cell>
          <cell r="O6493">
            <v>45469</v>
          </cell>
          <cell r="P6493">
            <v>45476</v>
          </cell>
          <cell r="Q6493">
            <v>45475</v>
          </cell>
          <cell r="R6493">
            <v>45476</v>
          </cell>
          <cell r="S6493">
            <v>45477</v>
          </cell>
          <cell r="T6493">
            <v>45478</v>
          </cell>
          <cell r="U6493">
            <v>45481</v>
          </cell>
          <cell r="V6493">
            <v>45482</v>
          </cell>
          <cell r="W6493">
            <v>45482</v>
          </cell>
          <cell r="X6493">
            <v>41200008</v>
          </cell>
        </row>
        <row r="6494">
          <cell r="K6494" t="str">
            <v>GBWS-4666</v>
          </cell>
          <cell r="L6494">
            <v>45468</v>
          </cell>
          <cell r="M6494">
            <v>45469</v>
          </cell>
          <cell r="N6494">
            <v>45476</v>
          </cell>
          <cell r="O6494">
            <v>45469</v>
          </cell>
          <cell r="P6494">
            <v>45477</v>
          </cell>
          <cell r="Q6494">
            <v>45476</v>
          </cell>
          <cell r="R6494">
            <v>45477</v>
          </cell>
          <cell r="S6494">
            <v>45478</v>
          </cell>
          <cell r="T6494">
            <v>45481</v>
          </cell>
          <cell r="U6494">
            <v>45483</v>
          </cell>
          <cell r="V6494">
            <v>45483</v>
          </cell>
          <cell r="W6494">
            <v>45483</v>
          </cell>
          <cell r="X6494">
            <v>41100565</v>
          </cell>
        </row>
        <row r="6495">
          <cell r="K6495" t="str">
            <v>GBWS-4600</v>
          </cell>
          <cell r="L6495">
            <v>45446</v>
          </cell>
          <cell r="M6495">
            <v>45448</v>
          </cell>
          <cell r="N6495">
            <v>45455</v>
          </cell>
          <cell r="O6495">
            <v>45448</v>
          </cell>
          <cell r="P6495">
            <v>45455</v>
          </cell>
          <cell r="Q6495">
            <v>45456</v>
          </cell>
          <cell r="R6495">
            <v>45457</v>
          </cell>
          <cell r="S6495">
            <v>45475</v>
          </cell>
          <cell r="T6495">
            <v>45476</v>
          </cell>
          <cell r="U6495">
            <v>45477</v>
          </cell>
          <cell r="V6495">
            <v>45481</v>
          </cell>
          <cell r="W6495">
            <v>45481</v>
          </cell>
          <cell r="X6495">
            <v>41100286</v>
          </cell>
        </row>
        <row r="6496">
          <cell r="K6496" t="str">
            <v>GBWS-4677</v>
          </cell>
          <cell r="L6496">
            <v>45470</v>
          </cell>
          <cell r="M6496">
            <v>45471</v>
          </cell>
          <cell r="N6496">
            <v>45477</v>
          </cell>
          <cell r="O6496">
            <v>45471</v>
          </cell>
          <cell r="P6496">
            <v>45478</v>
          </cell>
          <cell r="Q6496">
            <v>45477</v>
          </cell>
          <cell r="R6496">
            <v>45478</v>
          </cell>
          <cell r="S6496">
            <v>45481</v>
          </cell>
          <cell r="T6496">
            <v>45482</v>
          </cell>
          <cell r="U6496">
            <v>45483</v>
          </cell>
          <cell r="V6496">
            <v>45484</v>
          </cell>
          <cell r="W6496">
            <v>45484</v>
          </cell>
          <cell r="X6496">
            <v>41100363</v>
          </cell>
        </row>
        <row r="6497">
          <cell r="K6497" t="str">
            <v>GBWS-3786</v>
          </cell>
          <cell r="L6497">
            <v>45216</v>
          </cell>
          <cell r="M6497">
            <v>45217</v>
          </cell>
          <cell r="N6497">
            <v>45227</v>
          </cell>
          <cell r="O6497">
            <v>45217</v>
          </cell>
          <cell r="P6497">
            <v>45226</v>
          </cell>
          <cell r="Q6497" t="str">
            <v>2023-10-26 → 10/27</v>
          </cell>
          <cell r="R6497">
            <v>45226</v>
          </cell>
          <cell r="S6497">
            <v>45229</v>
          </cell>
          <cell r="T6497">
            <v>45229</v>
          </cell>
          <cell r="U6497">
            <v>45239</v>
          </cell>
          <cell r="V6497">
            <v>45243</v>
          </cell>
          <cell r="W6497">
            <v>45243</v>
          </cell>
          <cell r="X6497">
            <v>41100481</v>
          </cell>
        </row>
        <row r="6498">
          <cell r="K6498" t="str">
            <v>GBWS-4580</v>
          </cell>
          <cell r="L6498">
            <v>45439</v>
          </cell>
          <cell r="M6498">
            <v>45440</v>
          </cell>
          <cell r="N6498">
            <v>45447</v>
          </cell>
          <cell r="O6498">
            <v>45440</v>
          </cell>
          <cell r="P6498">
            <v>45448</v>
          </cell>
          <cell r="Q6498">
            <v>45447</v>
          </cell>
          <cell r="R6498">
            <v>45448</v>
          </cell>
          <cell r="S6498">
            <v>45470</v>
          </cell>
          <cell r="T6498">
            <v>45471</v>
          </cell>
          <cell r="U6498">
            <v>45474</v>
          </cell>
          <cell r="V6498">
            <v>45475</v>
          </cell>
          <cell r="W6498">
            <v>45475</v>
          </cell>
          <cell r="X6498">
            <v>41100509</v>
          </cell>
        </row>
        <row r="6499">
          <cell r="K6499" t="str">
            <v>GBWS-4581</v>
          </cell>
          <cell r="L6499">
            <v>45439</v>
          </cell>
          <cell r="M6499">
            <v>45440</v>
          </cell>
          <cell r="N6499">
            <v>45447</v>
          </cell>
          <cell r="O6499">
            <v>45440</v>
          </cell>
          <cell r="P6499">
            <v>45448</v>
          </cell>
          <cell r="Q6499">
            <v>45447</v>
          </cell>
          <cell r="R6499">
            <v>45448</v>
          </cell>
          <cell r="S6499">
            <v>45470</v>
          </cell>
          <cell r="T6499">
            <v>45471</v>
          </cell>
          <cell r="U6499">
            <v>45474</v>
          </cell>
          <cell r="V6499">
            <v>45475</v>
          </cell>
          <cell r="W6499">
            <v>45475</v>
          </cell>
          <cell r="X6499">
            <v>41100509</v>
          </cell>
        </row>
        <row r="6500">
          <cell r="K6500" t="str">
            <v>DBW-3307</v>
          </cell>
          <cell r="L6500">
            <v>45461</v>
          </cell>
          <cell r="M6500">
            <v>45462</v>
          </cell>
          <cell r="N6500">
            <v>45476</v>
          </cell>
          <cell r="O6500">
            <v>45462</v>
          </cell>
          <cell r="P6500">
            <v>45474</v>
          </cell>
          <cell r="Q6500">
            <v>45471</v>
          </cell>
          <cell r="R6500">
            <v>45474</v>
          </cell>
          <cell r="S6500">
            <v>45478</v>
          </cell>
          <cell r="T6500">
            <v>45481</v>
          </cell>
          <cell r="U6500">
            <v>45483</v>
          </cell>
          <cell r="V6500">
            <v>45484</v>
          </cell>
          <cell r="W6500">
            <v>45484</v>
          </cell>
          <cell r="X6500">
            <v>41000567</v>
          </cell>
        </row>
        <row r="6501">
          <cell r="K6501" t="str">
            <v>GBWS-4676</v>
          </cell>
          <cell r="L6501">
            <v>45470</v>
          </cell>
          <cell r="M6501">
            <v>45471</v>
          </cell>
          <cell r="N6501">
            <v>45478</v>
          </cell>
          <cell r="O6501">
            <v>45471</v>
          </cell>
          <cell r="P6501">
            <v>45477</v>
          </cell>
          <cell r="Q6501">
            <v>45478</v>
          </cell>
          <cell r="R6501">
            <v>45481</v>
          </cell>
          <cell r="S6501">
            <v>45483</v>
          </cell>
          <cell r="T6501">
            <v>45484</v>
          </cell>
          <cell r="U6501">
            <v>45488</v>
          </cell>
          <cell r="V6501">
            <v>45488</v>
          </cell>
          <cell r="W6501">
            <v>45488</v>
          </cell>
          <cell r="X6501">
            <v>41100443</v>
          </cell>
        </row>
        <row r="6502">
          <cell r="K6502" t="str">
            <v>GBWS-4687</v>
          </cell>
          <cell r="L6502">
            <v>45471</v>
          </cell>
          <cell r="M6502">
            <v>45474</v>
          </cell>
          <cell r="N6502">
            <v>45481</v>
          </cell>
          <cell r="O6502">
            <v>45474</v>
          </cell>
          <cell r="P6502">
            <v>45482</v>
          </cell>
          <cell r="Q6502">
            <v>45481</v>
          </cell>
          <cell r="R6502">
            <v>45482</v>
          </cell>
          <cell r="S6502">
            <v>45483</v>
          </cell>
          <cell r="T6502">
            <v>45484</v>
          </cell>
          <cell r="U6502">
            <v>45485</v>
          </cell>
          <cell r="V6502">
            <v>45488</v>
          </cell>
          <cell r="W6502">
            <v>45488</v>
          </cell>
          <cell r="X6502">
            <v>41100363</v>
          </cell>
        </row>
        <row r="6503">
          <cell r="K6503" t="str">
            <v>GBWS-4682</v>
          </cell>
          <cell r="L6503">
            <v>45471</v>
          </cell>
          <cell r="M6503">
            <v>45474</v>
          </cell>
          <cell r="N6503">
            <v>45481</v>
          </cell>
          <cell r="O6503">
            <v>45474</v>
          </cell>
          <cell r="P6503">
            <v>45481</v>
          </cell>
          <cell r="Q6503">
            <v>45481</v>
          </cell>
          <cell r="R6503">
            <v>45482</v>
          </cell>
          <cell r="S6503">
            <v>45483</v>
          </cell>
          <cell r="T6503">
            <v>45484</v>
          </cell>
          <cell r="U6503">
            <v>45485</v>
          </cell>
          <cell r="V6503">
            <v>45488</v>
          </cell>
          <cell r="W6503">
            <v>45488</v>
          </cell>
          <cell r="X6503">
            <v>41100363</v>
          </cell>
        </row>
        <row r="6504">
          <cell r="K6504" t="str">
            <v>GBWS-4685</v>
          </cell>
          <cell r="L6504">
            <v>45471</v>
          </cell>
          <cell r="M6504">
            <v>45474</v>
          </cell>
          <cell r="N6504">
            <v>45478</v>
          </cell>
          <cell r="O6504">
            <v>45474</v>
          </cell>
          <cell r="P6504">
            <v>45481</v>
          </cell>
          <cell r="Q6504">
            <v>45478</v>
          </cell>
          <cell r="R6504">
            <v>45481</v>
          </cell>
          <cell r="S6504">
            <v>45482</v>
          </cell>
          <cell r="T6504">
            <v>45483</v>
          </cell>
          <cell r="U6504">
            <v>45484</v>
          </cell>
          <cell r="V6504">
            <v>45485</v>
          </cell>
          <cell r="W6504">
            <v>45485</v>
          </cell>
          <cell r="X6504">
            <v>41100584</v>
          </cell>
        </row>
        <row r="6505">
          <cell r="K6505" t="str">
            <v>GBWS-4686</v>
          </cell>
          <cell r="L6505">
            <v>45471</v>
          </cell>
          <cell r="M6505">
            <v>45474</v>
          </cell>
          <cell r="N6505">
            <v>45481</v>
          </cell>
          <cell r="O6505">
            <v>45474</v>
          </cell>
          <cell r="P6505">
            <v>45482</v>
          </cell>
          <cell r="Q6505">
            <v>45481</v>
          </cell>
          <cell r="R6505">
            <v>45482</v>
          </cell>
          <cell r="S6505">
            <v>45483</v>
          </cell>
          <cell r="T6505">
            <v>45484</v>
          </cell>
          <cell r="U6505">
            <v>45485</v>
          </cell>
          <cell r="V6505">
            <v>45488</v>
          </cell>
          <cell r="W6505">
            <v>45488</v>
          </cell>
          <cell r="X6505">
            <v>41100704</v>
          </cell>
        </row>
        <row r="6506">
          <cell r="K6506" t="str">
            <v>MMD-0077</v>
          </cell>
          <cell r="L6506">
            <v>45471</v>
          </cell>
          <cell r="M6506">
            <v>45474</v>
          </cell>
          <cell r="N6506">
            <v>45476</v>
          </cell>
          <cell r="O6506">
            <v>45474</v>
          </cell>
          <cell r="P6506">
            <v>45475</v>
          </cell>
          <cell r="Q6506">
            <v>45475</v>
          </cell>
          <cell r="R6506">
            <v>45475</v>
          </cell>
          <cell r="S6506">
            <v>45477</v>
          </cell>
          <cell r="T6506">
            <v>45477</v>
          </cell>
          <cell r="U6506">
            <v>45488</v>
          </cell>
          <cell r="V6506">
            <v>45488</v>
          </cell>
          <cell r="W6506">
            <v>45488</v>
          </cell>
          <cell r="X6506">
            <v>31102402</v>
          </cell>
        </row>
        <row r="6507">
          <cell r="K6507" t="str">
            <v>GBWS-4678</v>
          </cell>
          <cell r="L6507">
            <v>45470</v>
          </cell>
          <cell r="M6507">
            <v>45471</v>
          </cell>
          <cell r="N6507">
            <v>45478</v>
          </cell>
          <cell r="O6507">
            <v>45471</v>
          </cell>
          <cell r="P6507">
            <v>45481</v>
          </cell>
          <cell r="Q6507">
            <v>45478</v>
          </cell>
          <cell r="R6507">
            <v>45481</v>
          </cell>
          <cell r="S6507">
            <v>45482</v>
          </cell>
          <cell r="T6507">
            <v>45483</v>
          </cell>
          <cell r="U6507">
            <v>45484</v>
          </cell>
          <cell r="V6507">
            <v>45485</v>
          </cell>
          <cell r="W6507">
            <v>45485</v>
          </cell>
          <cell r="X6507">
            <v>41200027</v>
          </cell>
        </row>
        <row r="6508">
          <cell r="K6508" t="str">
            <v>GBWS-4679</v>
          </cell>
          <cell r="L6508">
            <v>45470</v>
          </cell>
          <cell r="M6508">
            <v>45471</v>
          </cell>
          <cell r="N6508">
            <v>45478</v>
          </cell>
          <cell r="O6508">
            <v>45471</v>
          </cell>
          <cell r="P6508">
            <v>45481</v>
          </cell>
          <cell r="Q6508">
            <v>45478</v>
          </cell>
          <cell r="R6508">
            <v>45481</v>
          </cell>
          <cell r="S6508">
            <v>45482</v>
          </cell>
          <cell r="T6508">
            <v>45483</v>
          </cell>
          <cell r="U6508">
            <v>45484</v>
          </cell>
          <cell r="V6508">
            <v>45485</v>
          </cell>
          <cell r="W6508">
            <v>45485</v>
          </cell>
          <cell r="X6508">
            <v>41200027</v>
          </cell>
        </row>
        <row r="6509">
          <cell r="K6509" t="str">
            <v>GBWS-4680</v>
          </cell>
          <cell r="L6509">
            <v>45470</v>
          </cell>
          <cell r="M6509">
            <v>45471</v>
          </cell>
          <cell r="N6509">
            <v>45478</v>
          </cell>
          <cell r="O6509">
            <v>45471</v>
          </cell>
          <cell r="P6509">
            <v>45481</v>
          </cell>
          <cell r="Q6509">
            <v>45478</v>
          </cell>
          <cell r="R6509">
            <v>45481</v>
          </cell>
          <cell r="S6509">
            <v>45482</v>
          </cell>
          <cell r="T6509">
            <v>45483</v>
          </cell>
          <cell r="U6509">
            <v>45484</v>
          </cell>
          <cell r="V6509">
            <v>45488</v>
          </cell>
          <cell r="W6509">
            <v>45488</v>
          </cell>
          <cell r="X6509">
            <v>41200027</v>
          </cell>
        </row>
        <row r="6510">
          <cell r="K6510" t="str">
            <v>GBWS-4681</v>
          </cell>
          <cell r="L6510">
            <v>45470</v>
          </cell>
          <cell r="M6510">
            <v>45471</v>
          </cell>
          <cell r="N6510">
            <v>45478</v>
          </cell>
          <cell r="O6510">
            <v>45471</v>
          </cell>
          <cell r="P6510">
            <v>45481</v>
          </cell>
          <cell r="Q6510">
            <v>45478</v>
          </cell>
          <cell r="R6510">
            <v>45481</v>
          </cell>
          <cell r="S6510">
            <v>45482</v>
          </cell>
          <cell r="T6510">
            <v>45483</v>
          </cell>
          <cell r="U6510">
            <v>45484</v>
          </cell>
          <cell r="V6510">
            <v>45488</v>
          </cell>
          <cell r="W6510">
            <v>45488</v>
          </cell>
          <cell r="X6510">
            <v>41200027</v>
          </cell>
        </row>
        <row r="6511">
          <cell r="K6511" t="str">
            <v>IVAS-254</v>
          </cell>
          <cell r="L6511">
            <v>45470</v>
          </cell>
          <cell r="M6511">
            <v>45471</v>
          </cell>
          <cell r="N6511">
            <v>45481</v>
          </cell>
          <cell r="O6511">
            <v>45471</v>
          </cell>
          <cell r="P6511">
            <v>45482</v>
          </cell>
          <cell r="Q6511" t="str">
            <v>2024-07-09 → 7/8</v>
          </cell>
          <cell r="R6511" t="str">
            <v>2024-07-10 → 7/9</v>
          </cell>
          <cell r="S6511">
            <v>45481</v>
          </cell>
          <cell r="T6511">
            <v>45481</v>
          </cell>
          <cell r="U6511">
            <v>45489</v>
          </cell>
          <cell r="V6511">
            <v>45490</v>
          </cell>
          <cell r="W6511">
            <v>45490</v>
          </cell>
          <cell r="X6511" t="str">
            <v>41200016 → 41200014</v>
          </cell>
        </row>
        <row r="6512">
          <cell r="K6512" t="str">
            <v>GBWS-4683</v>
          </cell>
          <cell r="L6512">
            <v>45471</v>
          </cell>
          <cell r="M6512">
            <v>45474</v>
          </cell>
          <cell r="N6512">
            <v>45481</v>
          </cell>
          <cell r="O6512">
            <v>45474</v>
          </cell>
          <cell r="P6512">
            <v>45481</v>
          </cell>
          <cell r="Q6512">
            <v>45481</v>
          </cell>
          <cell r="R6512">
            <v>45482</v>
          </cell>
          <cell r="S6512">
            <v>45483</v>
          </cell>
          <cell r="T6512">
            <v>45484</v>
          </cell>
          <cell r="U6512">
            <v>45485</v>
          </cell>
          <cell r="V6512">
            <v>45488</v>
          </cell>
          <cell r="W6512">
            <v>45488</v>
          </cell>
          <cell r="X6512">
            <v>41100363</v>
          </cell>
        </row>
        <row r="6513">
          <cell r="K6513" t="str">
            <v>GBWS-4684</v>
          </cell>
          <cell r="L6513">
            <v>45471</v>
          </cell>
          <cell r="M6513">
            <v>45474</v>
          </cell>
          <cell r="N6513">
            <v>45481</v>
          </cell>
          <cell r="O6513">
            <v>45474</v>
          </cell>
          <cell r="P6513">
            <v>45481</v>
          </cell>
          <cell r="Q6513">
            <v>45481</v>
          </cell>
          <cell r="R6513">
            <v>45482</v>
          </cell>
          <cell r="S6513">
            <v>45483</v>
          </cell>
          <cell r="T6513">
            <v>45484</v>
          </cell>
          <cell r="U6513">
            <v>45485</v>
          </cell>
          <cell r="V6513">
            <v>45488</v>
          </cell>
          <cell r="W6513">
            <v>45488</v>
          </cell>
          <cell r="X6513">
            <v>41100363</v>
          </cell>
        </row>
        <row r="6514">
          <cell r="K6514" t="str">
            <v>GBWS-4675</v>
          </cell>
          <cell r="L6514">
            <v>45470</v>
          </cell>
          <cell r="M6514">
            <v>45471</v>
          </cell>
          <cell r="N6514">
            <v>45477</v>
          </cell>
          <cell r="O6514">
            <v>45471</v>
          </cell>
          <cell r="P6514">
            <v>45477</v>
          </cell>
          <cell r="Q6514">
            <v>45477</v>
          </cell>
          <cell r="R6514">
            <v>45478</v>
          </cell>
          <cell r="S6514">
            <v>45481</v>
          </cell>
          <cell r="T6514">
            <v>45482</v>
          </cell>
          <cell r="U6514">
            <v>45483</v>
          </cell>
          <cell r="V6514">
            <v>45484</v>
          </cell>
          <cell r="W6514">
            <v>45484</v>
          </cell>
          <cell r="X6514">
            <v>41100317</v>
          </cell>
        </row>
        <row r="6515">
          <cell r="K6515" t="str">
            <v>-</v>
          </cell>
          <cell r="L6515">
            <v>45412</v>
          </cell>
          <cell r="M6515">
            <v>45411</v>
          </cell>
          <cell r="N6515">
            <v>45422</v>
          </cell>
          <cell r="O6515">
            <v>45411</v>
          </cell>
          <cell r="P6515">
            <v>45422</v>
          </cell>
          <cell r="Q6515" t="str">
            <v>2024-05-09 → 6/28</v>
          </cell>
          <cell r="R6515" t="str">
            <v>2024-05-10 → 7/1</v>
          </cell>
          <cell r="S6515">
            <v>45426</v>
          </cell>
          <cell r="T6515">
            <v>45488</v>
          </cell>
          <cell r="U6515">
            <v>45490</v>
          </cell>
          <cell r="V6515">
            <v>45490</v>
          </cell>
          <cell r="W6515">
            <v>45490</v>
          </cell>
          <cell r="X6515">
            <v>31011019</v>
          </cell>
        </row>
        <row r="6516">
          <cell r="K6516"/>
          <cell r="L6516">
            <v>45483</v>
          </cell>
          <cell r="M6516">
            <v>45483</v>
          </cell>
          <cell r="N6516">
            <v>45488</v>
          </cell>
          <cell r="O6516">
            <v>45483</v>
          </cell>
          <cell r="P6516">
            <v>45488</v>
          </cell>
          <cell r="Q6516">
            <v>45488</v>
          </cell>
          <cell r="R6516">
            <v>45488</v>
          </cell>
          <cell r="S6516"/>
          <cell r="T6516"/>
          <cell r="U6516"/>
          <cell r="V6516"/>
          <cell r="W6516"/>
          <cell r="X6516"/>
        </row>
        <row r="6517">
          <cell r="K6517" t="str">
            <v>GBWS-4693</v>
          </cell>
          <cell r="L6517">
            <v>45476</v>
          </cell>
          <cell r="M6517">
            <v>45477</v>
          </cell>
          <cell r="N6517">
            <v>45485</v>
          </cell>
          <cell r="O6517">
            <v>45477</v>
          </cell>
          <cell r="P6517">
            <v>45488</v>
          </cell>
          <cell r="Q6517">
            <v>45485</v>
          </cell>
          <cell r="R6517">
            <v>45488</v>
          </cell>
          <cell r="S6517">
            <v>45489</v>
          </cell>
          <cell r="T6517">
            <v>45490</v>
          </cell>
          <cell r="U6517">
            <v>45490</v>
          </cell>
          <cell r="V6517">
            <v>45490</v>
          </cell>
          <cell r="W6517">
            <v>45490</v>
          </cell>
          <cell r="X6517">
            <v>41200021</v>
          </cell>
        </row>
        <row r="6518">
          <cell r="K6518" t="str">
            <v>GBWS-4692</v>
          </cell>
          <cell r="L6518">
            <v>45475</v>
          </cell>
          <cell r="M6518">
            <v>45477</v>
          </cell>
          <cell r="N6518">
            <v>45484</v>
          </cell>
          <cell r="O6518">
            <v>45477</v>
          </cell>
          <cell r="P6518">
            <v>45485</v>
          </cell>
          <cell r="Q6518">
            <v>45484</v>
          </cell>
          <cell r="R6518">
            <v>45485</v>
          </cell>
          <cell r="S6518">
            <v>45488</v>
          </cell>
          <cell r="T6518">
            <v>45489</v>
          </cell>
          <cell r="U6518">
            <v>45490</v>
          </cell>
          <cell r="V6518">
            <v>45491</v>
          </cell>
          <cell r="W6518">
            <v>45491</v>
          </cell>
          <cell r="X6518">
            <v>41100286</v>
          </cell>
        </row>
        <row r="6519">
          <cell r="K6519" t="str">
            <v>GPWS-0296</v>
          </cell>
          <cell r="L6519">
            <v>45215</v>
          </cell>
          <cell r="M6519">
            <v>45216</v>
          </cell>
          <cell r="N6519">
            <v>45223</v>
          </cell>
          <cell r="O6519">
            <v>45216</v>
          </cell>
          <cell r="P6519">
            <v>45225</v>
          </cell>
          <cell r="Q6519">
            <v>45224</v>
          </cell>
          <cell r="R6519">
            <v>45225</v>
          </cell>
          <cell r="S6519">
            <v>45239</v>
          </cell>
          <cell r="T6519">
            <v>45239</v>
          </cell>
          <cell r="U6519">
            <v>45264</v>
          </cell>
          <cell r="V6519">
            <v>45265</v>
          </cell>
          <cell r="W6519">
            <v>45265</v>
          </cell>
          <cell r="X6519">
            <v>41100380</v>
          </cell>
        </row>
        <row r="6520">
          <cell r="K6520" t="str">
            <v>GBWS-4657</v>
          </cell>
          <cell r="L6520">
            <v>45464</v>
          </cell>
          <cell r="M6520">
            <v>45467</v>
          </cell>
          <cell r="N6520">
            <v>45474</v>
          </cell>
          <cell r="O6520">
            <v>45467</v>
          </cell>
          <cell r="P6520">
            <v>45476</v>
          </cell>
          <cell r="Q6520">
            <v>45474</v>
          </cell>
          <cell r="R6520">
            <v>45475</v>
          </cell>
          <cell r="S6520">
            <v>45478</v>
          </cell>
          <cell r="T6520">
            <v>45481</v>
          </cell>
          <cell r="U6520">
            <v>45483</v>
          </cell>
          <cell r="V6520">
            <v>45483</v>
          </cell>
          <cell r="W6520">
            <v>45483</v>
          </cell>
          <cell r="X6520">
            <v>41100550</v>
          </cell>
        </row>
        <row r="6521">
          <cell r="K6521" t="str">
            <v>GBWS-4658</v>
          </cell>
          <cell r="L6521">
            <v>45464</v>
          </cell>
          <cell r="M6521">
            <v>45467</v>
          </cell>
          <cell r="N6521">
            <v>45474</v>
          </cell>
          <cell r="O6521">
            <v>45467</v>
          </cell>
          <cell r="P6521">
            <v>45476</v>
          </cell>
          <cell r="Q6521">
            <v>45474</v>
          </cell>
          <cell r="R6521">
            <v>45475</v>
          </cell>
          <cell r="S6521">
            <v>45478</v>
          </cell>
          <cell r="T6521">
            <v>45481</v>
          </cell>
          <cell r="U6521">
            <v>45483</v>
          </cell>
          <cell r="V6521">
            <v>45484</v>
          </cell>
          <cell r="W6521">
            <v>45484</v>
          </cell>
          <cell r="X6521">
            <v>41100550</v>
          </cell>
        </row>
        <row r="6522">
          <cell r="K6522" t="str">
            <v>DBW-3372</v>
          </cell>
          <cell r="L6522">
            <v>45475</v>
          </cell>
          <cell r="M6522">
            <v>45476</v>
          </cell>
          <cell r="N6522">
            <v>45482</v>
          </cell>
          <cell r="O6522">
            <v>45476</v>
          </cell>
          <cell r="P6522">
            <v>45482</v>
          </cell>
          <cell r="Q6522">
            <v>45483</v>
          </cell>
          <cell r="R6522">
            <v>45484</v>
          </cell>
          <cell r="S6522">
            <v>45485</v>
          </cell>
          <cell r="T6522">
            <v>45488</v>
          </cell>
          <cell r="U6522">
            <v>45492</v>
          </cell>
          <cell r="V6522">
            <v>45492</v>
          </cell>
          <cell r="W6522">
            <v>45492</v>
          </cell>
          <cell r="X6522">
            <v>41100695</v>
          </cell>
        </row>
        <row r="6523">
          <cell r="K6523" t="str">
            <v>DBW-3385</v>
          </cell>
          <cell r="L6523">
            <v>45476</v>
          </cell>
          <cell r="M6523">
            <v>45477</v>
          </cell>
          <cell r="N6523">
            <v>45485</v>
          </cell>
          <cell r="O6523">
            <v>45477</v>
          </cell>
          <cell r="P6523">
            <v>45485</v>
          </cell>
          <cell r="Q6523">
            <v>45485</v>
          </cell>
          <cell r="R6523">
            <v>45488</v>
          </cell>
          <cell r="S6523">
            <v>45489</v>
          </cell>
          <cell r="T6523">
            <v>45490</v>
          </cell>
          <cell r="U6523">
            <v>45492</v>
          </cell>
          <cell r="V6523">
            <v>45492</v>
          </cell>
          <cell r="W6523">
            <v>45492</v>
          </cell>
          <cell r="X6523">
            <v>41200025</v>
          </cell>
        </row>
        <row r="6524">
          <cell r="K6524" t="str">
            <v>DBW-3386</v>
          </cell>
          <cell r="L6524">
            <v>45476</v>
          </cell>
          <cell r="M6524">
            <v>45477</v>
          </cell>
          <cell r="N6524">
            <v>45485</v>
          </cell>
          <cell r="O6524">
            <v>45477</v>
          </cell>
          <cell r="P6524">
            <v>45485</v>
          </cell>
          <cell r="Q6524">
            <v>45485</v>
          </cell>
          <cell r="R6524">
            <v>45488</v>
          </cell>
          <cell r="S6524">
            <v>45489</v>
          </cell>
          <cell r="T6524">
            <v>45490</v>
          </cell>
          <cell r="U6524">
            <v>45495</v>
          </cell>
          <cell r="V6524">
            <v>45495</v>
          </cell>
          <cell r="W6524">
            <v>45495</v>
          </cell>
          <cell r="X6524">
            <v>41200025</v>
          </cell>
        </row>
        <row r="6525">
          <cell r="K6525" t="str">
            <v>GBWS-4702</v>
          </cell>
          <cell r="L6525">
            <v>45478</v>
          </cell>
          <cell r="M6525">
            <v>45481</v>
          </cell>
          <cell r="N6525">
            <v>45488</v>
          </cell>
          <cell r="O6525">
            <v>45481</v>
          </cell>
          <cell r="P6525">
            <v>45488</v>
          </cell>
          <cell r="Q6525">
            <v>45488</v>
          </cell>
          <cell r="R6525">
            <v>45489</v>
          </cell>
          <cell r="S6525">
            <v>45490</v>
          </cell>
          <cell r="T6525">
            <v>45491</v>
          </cell>
          <cell r="U6525">
            <v>45495</v>
          </cell>
          <cell r="V6525">
            <v>45495</v>
          </cell>
          <cell r="W6525">
            <v>45495</v>
          </cell>
          <cell r="X6525">
            <v>41100584</v>
          </cell>
        </row>
        <row r="6526">
          <cell r="K6526" t="str">
            <v>GBWS-4703</v>
          </cell>
          <cell r="L6526">
            <v>45478</v>
          </cell>
          <cell r="M6526">
            <v>45481</v>
          </cell>
          <cell r="N6526">
            <v>45488</v>
          </cell>
          <cell r="O6526">
            <v>45481</v>
          </cell>
          <cell r="P6526">
            <v>45488</v>
          </cell>
          <cell r="Q6526">
            <v>45488</v>
          </cell>
          <cell r="R6526">
            <v>45489</v>
          </cell>
          <cell r="S6526">
            <v>45490</v>
          </cell>
          <cell r="T6526">
            <v>45491</v>
          </cell>
          <cell r="U6526">
            <v>45495</v>
          </cell>
          <cell r="V6526">
            <v>45495</v>
          </cell>
          <cell r="W6526">
            <v>45495</v>
          </cell>
          <cell r="X6526">
            <v>41100584</v>
          </cell>
        </row>
        <row r="6527">
          <cell r="K6527" t="str">
            <v>GBWS-4704</v>
          </cell>
          <cell r="L6527">
            <v>45478</v>
          </cell>
          <cell r="M6527">
            <v>45481</v>
          </cell>
          <cell r="N6527">
            <v>45488</v>
          </cell>
          <cell r="O6527">
            <v>45481</v>
          </cell>
          <cell r="P6527">
            <v>45488</v>
          </cell>
          <cell r="Q6527">
            <v>45488</v>
          </cell>
          <cell r="R6527">
            <v>45489</v>
          </cell>
          <cell r="S6527">
            <v>45490</v>
          </cell>
          <cell r="T6527">
            <v>45491</v>
          </cell>
          <cell r="U6527">
            <v>45495</v>
          </cell>
          <cell r="V6527">
            <v>45495</v>
          </cell>
          <cell r="W6527">
            <v>45495</v>
          </cell>
          <cell r="X6527">
            <v>41100584</v>
          </cell>
        </row>
        <row r="6528">
          <cell r="K6528" t="str">
            <v>GBWS-4688</v>
          </cell>
          <cell r="L6528">
            <v>45475</v>
          </cell>
          <cell r="M6528">
            <v>45476</v>
          </cell>
          <cell r="N6528">
            <v>45482</v>
          </cell>
          <cell r="O6528">
            <v>45476</v>
          </cell>
          <cell r="P6528">
            <v>45485</v>
          </cell>
          <cell r="Q6528">
            <v>45484</v>
          </cell>
          <cell r="R6528">
            <v>45485</v>
          </cell>
          <cell r="S6528">
            <v>45488</v>
          </cell>
          <cell r="T6528">
            <v>45489</v>
          </cell>
          <cell r="U6528">
            <v>45496</v>
          </cell>
          <cell r="V6528">
            <v>45496</v>
          </cell>
          <cell r="W6528">
            <v>45496</v>
          </cell>
          <cell r="X6528">
            <v>41100704</v>
          </cell>
        </row>
        <row r="6529">
          <cell r="K6529" t="str">
            <v>GBWS-4689</v>
          </cell>
          <cell r="L6529">
            <v>45475</v>
          </cell>
          <cell r="M6529">
            <v>45476</v>
          </cell>
          <cell r="N6529">
            <v>45482</v>
          </cell>
          <cell r="O6529">
            <v>45476</v>
          </cell>
          <cell r="P6529">
            <v>45485</v>
          </cell>
          <cell r="Q6529">
            <v>45484</v>
          </cell>
          <cell r="R6529">
            <v>45485</v>
          </cell>
          <cell r="S6529">
            <v>45488</v>
          </cell>
          <cell r="T6529">
            <v>45489</v>
          </cell>
          <cell r="U6529">
            <v>45491</v>
          </cell>
          <cell r="V6529">
            <v>45491</v>
          </cell>
          <cell r="W6529">
            <v>45491</v>
          </cell>
          <cell r="X6529">
            <v>41100704</v>
          </cell>
        </row>
        <row r="6530">
          <cell r="K6530" t="str">
            <v>GBWS-4690</v>
          </cell>
          <cell r="L6530">
            <v>45475</v>
          </cell>
          <cell r="M6530">
            <v>45476</v>
          </cell>
          <cell r="N6530">
            <v>45482</v>
          </cell>
          <cell r="O6530">
            <v>45476</v>
          </cell>
          <cell r="P6530">
            <v>45485</v>
          </cell>
          <cell r="Q6530">
            <v>45484</v>
          </cell>
          <cell r="R6530">
            <v>45485</v>
          </cell>
          <cell r="S6530">
            <v>45489</v>
          </cell>
          <cell r="T6530">
            <v>45490</v>
          </cell>
          <cell r="U6530">
            <v>45492</v>
          </cell>
          <cell r="V6530">
            <v>45492</v>
          </cell>
          <cell r="W6530">
            <v>45492</v>
          </cell>
          <cell r="X6530">
            <v>41100704</v>
          </cell>
        </row>
        <row r="6531">
          <cell r="K6531" t="str">
            <v>GBWS-4701</v>
          </cell>
          <cell r="L6531">
            <v>45478</v>
          </cell>
          <cell r="M6531">
            <v>45481</v>
          </cell>
          <cell r="N6531">
            <v>45485</v>
          </cell>
          <cell r="O6531">
            <v>45481</v>
          </cell>
          <cell r="P6531">
            <v>45488</v>
          </cell>
          <cell r="Q6531">
            <v>45485</v>
          </cell>
          <cell r="R6531">
            <v>45488</v>
          </cell>
          <cell r="S6531">
            <v>45489</v>
          </cell>
          <cell r="T6531">
            <v>45491</v>
          </cell>
          <cell r="U6531">
            <v>45492</v>
          </cell>
          <cell r="V6531">
            <v>45492</v>
          </cell>
          <cell r="W6531">
            <v>45492</v>
          </cell>
          <cell r="X6531">
            <v>41100374</v>
          </cell>
        </row>
        <row r="6532">
          <cell r="K6532" t="str">
            <v>GBWS-4707</v>
          </cell>
          <cell r="L6532">
            <v>45478</v>
          </cell>
          <cell r="M6532">
            <v>45481</v>
          </cell>
          <cell r="N6532">
            <v>45488</v>
          </cell>
          <cell r="O6532">
            <v>45481</v>
          </cell>
          <cell r="P6532">
            <v>45488</v>
          </cell>
          <cell r="Q6532">
            <v>45488</v>
          </cell>
          <cell r="R6532">
            <v>45489</v>
          </cell>
          <cell r="S6532">
            <v>45490</v>
          </cell>
          <cell r="T6532">
            <v>45492</v>
          </cell>
          <cell r="U6532">
            <v>45496</v>
          </cell>
          <cell r="V6532">
            <v>45496</v>
          </cell>
          <cell r="W6532">
            <v>45496</v>
          </cell>
          <cell r="X6532">
            <v>41100322</v>
          </cell>
        </row>
        <row r="6533">
          <cell r="K6533" t="str">
            <v>GBA-0126</v>
          </cell>
          <cell r="L6533">
            <v>45477</v>
          </cell>
          <cell r="M6533">
            <v>45478</v>
          </cell>
          <cell r="N6533">
            <v>45488</v>
          </cell>
          <cell r="O6533">
            <v>45478</v>
          </cell>
          <cell r="P6533">
            <v>45489</v>
          </cell>
          <cell r="Q6533">
            <v>45488</v>
          </cell>
          <cell r="R6533">
            <v>45489</v>
          </cell>
          <cell r="S6533">
            <v>45490</v>
          </cell>
          <cell r="T6533">
            <v>45491</v>
          </cell>
          <cell r="U6533">
            <v>45495</v>
          </cell>
          <cell r="V6533">
            <v>45495</v>
          </cell>
          <cell r="W6533">
            <v>45495</v>
          </cell>
          <cell r="X6533">
            <v>41100164</v>
          </cell>
        </row>
        <row r="6534">
          <cell r="K6534" t="str">
            <v>SOS-0329</v>
          </cell>
          <cell r="L6534">
            <v>45461</v>
          </cell>
          <cell r="M6534">
            <v>45462</v>
          </cell>
          <cell r="N6534">
            <v>45463</v>
          </cell>
          <cell r="O6534">
            <v>45462</v>
          </cell>
          <cell r="P6534">
            <v>45467</v>
          </cell>
          <cell r="Q6534">
            <v>45467</v>
          </cell>
          <cell r="R6534">
            <v>45468</v>
          </cell>
          <cell r="S6534">
            <v>45469</v>
          </cell>
          <cell r="T6534">
            <v>45469</v>
          </cell>
          <cell r="U6534">
            <v>45495</v>
          </cell>
          <cell r="V6534">
            <v>45495</v>
          </cell>
          <cell r="W6534">
            <v>45495</v>
          </cell>
          <cell r="X6534">
            <v>41000558</v>
          </cell>
        </row>
        <row r="6535">
          <cell r="K6535" t="str">
            <v>GBWS-4709</v>
          </cell>
          <cell r="L6535">
            <v>45481</v>
          </cell>
          <cell r="M6535">
            <v>45482</v>
          </cell>
          <cell r="N6535">
            <v>45489</v>
          </cell>
          <cell r="O6535">
            <v>45482</v>
          </cell>
          <cell r="P6535">
            <v>45489</v>
          </cell>
          <cell r="Q6535">
            <v>45489</v>
          </cell>
          <cell r="R6535">
            <v>45490</v>
          </cell>
          <cell r="S6535">
            <v>45491</v>
          </cell>
          <cell r="T6535">
            <v>45492</v>
          </cell>
          <cell r="U6535">
            <v>45496</v>
          </cell>
          <cell r="V6535">
            <v>45496</v>
          </cell>
          <cell r="W6535">
            <v>45496</v>
          </cell>
          <cell r="X6535">
            <v>41100462</v>
          </cell>
        </row>
        <row r="6536">
          <cell r="K6536" t="str">
            <v>GBWS-4549</v>
          </cell>
          <cell r="L6536">
            <v>45433</v>
          </cell>
          <cell r="M6536">
            <v>45434</v>
          </cell>
          <cell r="N6536">
            <v>45440</v>
          </cell>
          <cell r="O6536">
            <v>45434</v>
          </cell>
          <cell r="P6536">
            <v>45441</v>
          </cell>
          <cell r="Q6536">
            <v>45440</v>
          </cell>
          <cell r="R6536">
            <v>45441</v>
          </cell>
          <cell r="S6536">
            <v>45442</v>
          </cell>
          <cell r="T6536">
            <v>45447</v>
          </cell>
          <cell r="U6536">
            <v>45448</v>
          </cell>
          <cell r="V6536">
            <v>45450</v>
          </cell>
          <cell r="W6536">
            <v>45450</v>
          </cell>
          <cell r="X6536">
            <v>41100494</v>
          </cell>
        </row>
        <row r="6537">
          <cell r="K6537" t="str">
            <v>GBWS-4715</v>
          </cell>
          <cell r="L6537">
            <v>45482</v>
          </cell>
          <cell r="M6537">
            <v>45483</v>
          </cell>
          <cell r="N6537">
            <v>45490</v>
          </cell>
          <cell r="O6537">
            <v>45483</v>
          </cell>
          <cell r="P6537">
            <v>45491</v>
          </cell>
          <cell r="Q6537">
            <v>45490</v>
          </cell>
          <cell r="R6537">
            <v>45491</v>
          </cell>
          <cell r="S6537">
            <v>45492</v>
          </cell>
          <cell r="T6537">
            <v>45495</v>
          </cell>
          <cell r="U6537">
            <v>45497</v>
          </cell>
          <cell r="V6537">
            <v>45497</v>
          </cell>
          <cell r="W6537">
            <v>45497</v>
          </cell>
          <cell r="X6537">
            <v>41100507</v>
          </cell>
        </row>
        <row r="6538">
          <cell r="K6538" t="str">
            <v>GBWS-4716</v>
          </cell>
          <cell r="L6538">
            <v>45482</v>
          </cell>
          <cell r="M6538">
            <v>45483</v>
          </cell>
          <cell r="N6538">
            <v>45490</v>
          </cell>
          <cell r="O6538">
            <v>45483</v>
          </cell>
          <cell r="P6538">
            <v>45491</v>
          </cell>
          <cell r="Q6538">
            <v>45490</v>
          </cell>
          <cell r="R6538">
            <v>45491</v>
          </cell>
          <cell r="S6538">
            <v>45492</v>
          </cell>
          <cell r="T6538">
            <v>45492</v>
          </cell>
          <cell r="U6538">
            <v>45496</v>
          </cell>
          <cell r="V6538">
            <v>45496</v>
          </cell>
          <cell r="W6538">
            <v>45496</v>
          </cell>
          <cell r="X6538">
            <v>41100507</v>
          </cell>
        </row>
        <row r="6539">
          <cell r="K6539" t="str">
            <v>GBWS-4694</v>
          </cell>
          <cell r="L6539">
            <v>45477</v>
          </cell>
          <cell r="M6539">
            <v>45478</v>
          </cell>
          <cell r="N6539">
            <v>45484</v>
          </cell>
          <cell r="O6539">
            <v>45478</v>
          </cell>
          <cell r="P6539">
            <v>45485</v>
          </cell>
          <cell r="Q6539">
            <v>45484</v>
          </cell>
          <cell r="R6539">
            <v>45485</v>
          </cell>
          <cell r="S6539">
            <v>45488</v>
          </cell>
          <cell r="T6539">
            <v>45489</v>
          </cell>
          <cell r="U6539">
            <v>45490</v>
          </cell>
          <cell r="V6539">
            <v>45491</v>
          </cell>
          <cell r="W6539">
            <v>45491</v>
          </cell>
          <cell r="X6539">
            <v>41100363</v>
          </cell>
        </row>
        <row r="6540">
          <cell r="K6540" t="str">
            <v>GBWS-4695</v>
          </cell>
          <cell r="L6540">
            <v>45477</v>
          </cell>
          <cell r="M6540">
            <v>45478</v>
          </cell>
          <cell r="N6540">
            <v>45484</v>
          </cell>
          <cell r="O6540">
            <v>45478</v>
          </cell>
          <cell r="P6540">
            <v>45485</v>
          </cell>
          <cell r="Q6540">
            <v>45484</v>
          </cell>
          <cell r="R6540">
            <v>45485</v>
          </cell>
          <cell r="S6540">
            <v>45488</v>
          </cell>
          <cell r="T6540">
            <v>45489</v>
          </cell>
          <cell r="U6540">
            <v>45491</v>
          </cell>
          <cell r="V6540">
            <v>45491</v>
          </cell>
          <cell r="W6540">
            <v>45491</v>
          </cell>
          <cell r="X6540">
            <v>41100363</v>
          </cell>
        </row>
        <row r="6541">
          <cell r="K6541" t="str">
            <v>GBWS-4710</v>
          </cell>
          <cell r="L6541">
            <v>45482</v>
          </cell>
          <cell r="M6541">
            <v>45483</v>
          </cell>
          <cell r="N6541">
            <v>45490</v>
          </cell>
          <cell r="O6541">
            <v>45483</v>
          </cell>
          <cell r="P6541">
            <v>45491</v>
          </cell>
          <cell r="Q6541">
            <v>45490</v>
          </cell>
          <cell r="R6541">
            <v>45491</v>
          </cell>
          <cell r="S6541">
            <v>45492</v>
          </cell>
          <cell r="T6541">
            <v>45495</v>
          </cell>
          <cell r="U6541">
            <v>45497</v>
          </cell>
          <cell r="V6541">
            <v>45497</v>
          </cell>
          <cell r="W6541">
            <v>45497</v>
          </cell>
          <cell r="X6541">
            <v>41100264</v>
          </cell>
        </row>
        <row r="6542">
          <cell r="K6542" t="str">
            <v>GBWS-4711</v>
          </cell>
          <cell r="L6542">
            <v>45482</v>
          </cell>
          <cell r="M6542">
            <v>45483</v>
          </cell>
          <cell r="N6542">
            <v>45490</v>
          </cell>
          <cell r="O6542">
            <v>45483</v>
          </cell>
          <cell r="P6542">
            <v>45491</v>
          </cell>
          <cell r="Q6542">
            <v>45490</v>
          </cell>
          <cell r="R6542">
            <v>45491</v>
          </cell>
          <cell r="S6542">
            <v>45492</v>
          </cell>
          <cell r="T6542">
            <v>45495</v>
          </cell>
          <cell r="U6542">
            <v>45497</v>
          </cell>
          <cell r="V6542">
            <v>45497</v>
          </cell>
          <cell r="W6542">
            <v>45497</v>
          </cell>
          <cell r="X6542">
            <v>41100264</v>
          </cell>
        </row>
        <row r="6543">
          <cell r="K6543" t="str">
            <v>-</v>
          </cell>
          <cell r="L6543">
            <v>45471</v>
          </cell>
          <cell r="M6543">
            <v>45474</v>
          </cell>
          <cell r="N6543">
            <v>45481</v>
          </cell>
          <cell r="O6543">
            <v>45474</v>
          </cell>
          <cell r="P6543">
            <v>45481</v>
          </cell>
          <cell r="Q6543">
            <v>45483</v>
          </cell>
          <cell r="R6543">
            <v>45484</v>
          </cell>
          <cell r="S6543">
            <v>45482</v>
          </cell>
          <cell r="T6543">
            <v>45482</v>
          </cell>
          <cell r="U6543">
            <v>45488</v>
          </cell>
          <cell r="V6543">
            <v>45488</v>
          </cell>
          <cell r="W6543">
            <v>45488</v>
          </cell>
          <cell r="X6543">
            <v>31200054</v>
          </cell>
        </row>
        <row r="6544">
          <cell r="K6544" t="str">
            <v>-</v>
          </cell>
          <cell r="L6544">
            <v>45471</v>
          </cell>
          <cell r="M6544">
            <v>45474</v>
          </cell>
          <cell r="N6544">
            <v>45481</v>
          </cell>
          <cell r="O6544">
            <v>45474</v>
          </cell>
          <cell r="P6544">
            <v>45481</v>
          </cell>
          <cell r="Q6544">
            <v>45482</v>
          </cell>
          <cell r="R6544">
            <v>45483</v>
          </cell>
          <cell r="S6544">
            <v>45482</v>
          </cell>
          <cell r="T6544">
            <v>45482</v>
          </cell>
          <cell r="U6544">
            <v>45488</v>
          </cell>
          <cell r="V6544">
            <v>45488</v>
          </cell>
          <cell r="W6544">
            <v>45488</v>
          </cell>
          <cell r="X6544">
            <v>31200058</v>
          </cell>
        </row>
        <row r="6545">
          <cell r="K6545" t="str">
            <v>DBW-3373</v>
          </cell>
          <cell r="L6545">
            <v>45475</v>
          </cell>
          <cell r="M6545">
            <v>45476</v>
          </cell>
          <cell r="N6545">
            <v>45482</v>
          </cell>
          <cell r="O6545">
            <v>45476</v>
          </cell>
          <cell r="P6545">
            <v>45482</v>
          </cell>
          <cell r="Q6545">
            <v>45483</v>
          </cell>
          <cell r="R6545">
            <v>45484</v>
          </cell>
          <cell r="S6545">
            <v>45485</v>
          </cell>
          <cell r="T6545">
            <v>45488</v>
          </cell>
          <cell r="U6545">
            <v>45489</v>
          </cell>
          <cell r="V6545">
            <v>45490</v>
          </cell>
          <cell r="W6545">
            <v>45490</v>
          </cell>
          <cell r="X6545">
            <v>41000566</v>
          </cell>
        </row>
        <row r="6546">
          <cell r="K6546" t="str">
            <v>DBW-3374</v>
          </cell>
          <cell r="L6546">
            <v>45475</v>
          </cell>
          <cell r="M6546">
            <v>45476</v>
          </cell>
          <cell r="N6546">
            <v>45482</v>
          </cell>
          <cell r="O6546">
            <v>45476</v>
          </cell>
          <cell r="P6546">
            <v>45482</v>
          </cell>
          <cell r="Q6546">
            <v>45483</v>
          </cell>
          <cell r="R6546">
            <v>45484</v>
          </cell>
          <cell r="S6546">
            <v>45485</v>
          </cell>
          <cell r="T6546">
            <v>45488</v>
          </cell>
          <cell r="U6546">
            <v>45489</v>
          </cell>
          <cell r="V6546">
            <v>45490</v>
          </cell>
          <cell r="W6546">
            <v>45490</v>
          </cell>
          <cell r="X6546">
            <v>41000566</v>
          </cell>
        </row>
        <row r="6547">
          <cell r="K6547" t="str">
            <v>DBW-3375</v>
          </cell>
          <cell r="L6547">
            <v>45475</v>
          </cell>
          <cell r="M6547">
            <v>45476</v>
          </cell>
          <cell r="N6547">
            <v>45482</v>
          </cell>
          <cell r="O6547">
            <v>45476</v>
          </cell>
          <cell r="P6547">
            <v>45482</v>
          </cell>
          <cell r="Q6547">
            <v>45483</v>
          </cell>
          <cell r="R6547">
            <v>45484</v>
          </cell>
          <cell r="S6547">
            <v>45485</v>
          </cell>
          <cell r="T6547">
            <v>45488</v>
          </cell>
          <cell r="U6547">
            <v>45489</v>
          </cell>
          <cell r="V6547">
            <v>45490</v>
          </cell>
          <cell r="W6547">
            <v>45490</v>
          </cell>
          <cell r="X6547">
            <v>41000566</v>
          </cell>
        </row>
        <row r="6548">
          <cell r="K6548" t="str">
            <v>DBW-3376</v>
          </cell>
          <cell r="L6548">
            <v>45475</v>
          </cell>
          <cell r="M6548">
            <v>45476</v>
          </cell>
          <cell r="N6548">
            <v>45482</v>
          </cell>
          <cell r="O6548">
            <v>45476</v>
          </cell>
          <cell r="P6548">
            <v>45482</v>
          </cell>
          <cell r="Q6548">
            <v>45483</v>
          </cell>
          <cell r="R6548">
            <v>45484</v>
          </cell>
          <cell r="S6548">
            <v>45485</v>
          </cell>
          <cell r="T6548">
            <v>45488</v>
          </cell>
          <cell r="U6548">
            <v>45489</v>
          </cell>
          <cell r="V6548">
            <v>45490</v>
          </cell>
          <cell r="W6548">
            <v>45490</v>
          </cell>
          <cell r="X6548">
            <v>41000566</v>
          </cell>
        </row>
        <row r="6549">
          <cell r="K6549" t="str">
            <v>DBW-3377</v>
          </cell>
          <cell r="L6549">
            <v>45475</v>
          </cell>
          <cell r="M6549">
            <v>45476</v>
          </cell>
          <cell r="N6549">
            <v>45484</v>
          </cell>
          <cell r="O6549">
            <v>45476</v>
          </cell>
          <cell r="P6549">
            <v>45484</v>
          </cell>
          <cell r="Q6549">
            <v>45484</v>
          </cell>
          <cell r="R6549">
            <v>45485</v>
          </cell>
          <cell r="S6549">
            <v>45488</v>
          </cell>
          <cell r="T6549">
            <v>45489</v>
          </cell>
          <cell r="U6549">
            <v>45490</v>
          </cell>
          <cell r="V6549">
            <v>45490</v>
          </cell>
          <cell r="W6549">
            <v>45490</v>
          </cell>
          <cell r="X6549">
            <v>41000566</v>
          </cell>
        </row>
        <row r="6550">
          <cell r="K6550" t="str">
            <v>DBW-3378</v>
          </cell>
          <cell r="L6550">
            <v>45475</v>
          </cell>
          <cell r="M6550">
            <v>45476</v>
          </cell>
          <cell r="N6550">
            <v>45484</v>
          </cell>
          <cell r="O6550">
            <v>45476</v>
          </cell>
          <cell r="P6550">
            <v>45484</v>
          </cell>
          <cell r="Q6550">
            <v>45484</v>
          </cell>
          <cell r="R6550">
            <v>45485</v>
          </cell>
          <cell r="S6550">
            <v>45488</v>
          </cell>
          <cell r="T6550">
            <v>45489</v>
          </cell>
          <cell r="U6550">
            <v>45490</v>
          </cell>
          <cell r="V6550">
            <v>45490</v>
          </cell>
          <cell r="W6550">
            <v>45490</v>
          </cell>
          <cell r="X6550">
            <v>41000566</v>
          </cell>
        </row>
        <row r="6551">
          <cell r="K6551" t="str">
            <v>DBW-3379</v>
          </cell>
          <cell r="L6551">
            <v>45475</v>
          </cell>
          <cell r="M6551">
            <v>45476</v>
          </cell>
          <cell r="N6551">
            <v>45484</v>
          </cell>
          <cell r="O6551">
            <v>45476</v>
          </cell>
          <cell r="P6551">
            <v>45484</v>
          </cell>
          <cell r="Q6551">
            <v>45484</v>
          </cell>
          <cell r="R6551">
            <v>45485</v>
          </cell>
          <cell r="S6551">
            <v>45488</v>
          </cell>
          <cell r="T6551">
            <v>45489</v>
          </cell>
          <cell r="U6551">
            <v>45490</v>
          </cell>
          <cell r="V6551">
            <v>45490</v>
          </cell>
          <cell r="W6551">
            <v>45490</v>
          </cell>
          <cell r="X6551">
            <v>41000566</v>
          </cell>
        </row>
        <row r="6552">
          <cell r="K6552" t="str">
            <v>DBW-3380</v>
          </cell>
          <cell r="L6552">
            <v>45475</v>
          </cell>
          <cell r="M6552">
            <v>45476</v>
          </cell>
          <cell r="N6552">
            <v>45484</v>
          </cell>
          <cell r="O6552">
            <v>45476</v>
          </cell>
          <cell r="P6552">
            <v>45484</v>
          </cell>
          <cell r="Q6552">
            <v>45484</v>
          </cell>
          <cell r="R6552">
            <v>45485</v>
          </cell>
          <cell r="S6552">
            <v>45488</v>
          </cell>
          <cell r="T6552">
            <v>45488</v>
          </cell>
          <cell r="U6552">
            <v>45489</v>
          </cell>
          <cell r="V6552">
            <v>45490</v>
          </cell>
          <cell r="W6552">
            <v>45490</v>
          </cell>
          <cell r="X6552">
            <v>41000566</v>
          </cell>
        </row>
        <row r="6553">
          <cell r="K6553" t="str">
            <v>DBW-3381</v>
          </cell>
          <cell r="L6553">
            <v>45475</v>
          </cell>
          <cell r="M6553">
            <v>45476</v>
          </cell>
          <cell r="N6553">
            <v>45483</v>
          </cell>
          <cell r="O6553">
            <v>45476</v>
          </cell>
          <cell r="P6553">
            <v>45484</v>
          </cell>
          <cell r="Q6553">
            <v>45483</v>
          </cell>
          <cell r="R6553">
            <v>45484</v>
          </cell>
          <cell r="S6553">
            <v>45488</v>
          </cell>
          <cell r="T6553">
            <v>45489</v>
          </cell>
          <cell r="U6553">
            <v>45490</v>
          </cell>
          <cell r="V6553">
            <v>45490</v>
          </cell>
          <cell r="W6553">
            <v>45490</v>
          </cell>
          <cell r="X6553">
            <v>41000566</v>
          </cell>
        </row>
        <row r="6554">
          <cell r="K6554" t="str">
            <v>DBW-3382</v>
          </cell>
          <cell r="L6554">
            <v>45475</v>
          </cell>
          <cell r="M6554">
            <v>45476</v>
          </cell>
          <cell r="N6554">
            <v>45483</v>
          </cell>
          <cell r="O6554">
            <v>45476</v>
          </cell>
          <cell r="P6554">
            <v>45484</v>
          </cell>
          <cell r="Q6554">
            <v>45483</v>
          </cell>
          <cell r="R6554">
            <v>45484</v>
          </cell>
          <cell r="S6554">
            <v>45488</v>
          </cell>
          <cell r="T6554">
            <v>45489</v>
          </cell>
          <cell r="U6554">
            <v>45490</v>
          </cell>
          <cell r="V6554">
            <v>45490</v>
          </cell>
          <cell r="W6554">
            <v>45490</v>
          </cell>
          <cell r="X6554">
            <v>41000566</v>
          </cell>
        </row>
        <row r="6555">
          <cell r="K6555" t="str">
            <v>GBWS-4719</v>
          </cell>
          <cell r="L6555">
            <v>45483</v>
          </cell>
          <cell r="M6555">
            <v>45484</v>
          </cell>
          <cell r="N6555">
            <v>45491</v>
          </cell>
          <cell r="O6555">
            <v>45484</v>
          </cell>
          <cell r="P6555">
            <v>45492</v>
          </cell>
          <cell r="Q6555">
            <v>45491</v>
          </cell>
          <cell r="R6555">
            <v>45492</v>
          </cell>
          <cell r="S6555">
            <v>45495</v>
          </cell>
          <cell r="T6555">
            <v>45496</v>
          </cell>
          <cell r="U6555">
            <v>45498</v>
          </cell>
          <cell r="V6555">
            <v>45498</v>
          </cell>
          <cell r="W6555">
            <v>45498</v>
          </cell>
          <cell r="X6555">
            <v>41200029</v>
          </cell>
        </row>
        <row r="6556">
          <cell r="K6556" t="str">
            <v>-</v>
          </cell>
          <cell r="L6556">
            <v>45485</v>
          </cell>
          <cell r="M6556" t="str">
            <v>2024-07-01 → 7/15</v>
          </cell>
          <cell r="N6556">
            <v>45495</v>
          </cell>
          <cell r="O6556" t="str">
            <v>2024-07-01 → 7/15</v>
          </cell>
          <cell r="P6556">
            <v>45495</v>
          </cell>
          <cell r="Q6556" t="str">
            <v>2024-07-12 → 7/22</v>
          </cell>
          <cell r="R6556" t="str">
            <v>2024-07-15 → 7/22</v>
          </cell>
          <cell r="S6556">
            <v>45496</v>
          </cell>
          <cell r="T6556">
            <v>45496</v>
          </cell>
          <cell r="U6556">
            <v>45499</v>
          </cell>
          <cell r="V6556">
            <v>45499</v>
          </cell>
          <cell r="W6556">
            <v>45499</v>
          </cell>
          <cell r="X6556">
            <v>31200056</v>
          </cell>
        </row>
        <row r="6557">
          <cell r="K6557" t="str">
            <v>DBW-3406</v>
          </cell>
          <cell r="L6557">
            <v>45489</v>
          </cell>
          <cell r="M6557">
            <v>45490</v>
          </cell>
          <cell r="N6557">
            <v>45496</v>
          </cell>
          <cell r="O6557">
            <v>45490</v>
          </cell>
          <cell r="P6557">
            <v>45497</v>
          </cell>
          <cell r="Q6557">
            <v>45496</v>
          </cell>
          <cell r="R6557">
            <v>45497</v>
          </cell>
          <cell r="S6557">
            <v>45498</v>
          </cell>
          <cell r="T6557">
            <v>45498</v>
          </cell>
          <cell r="U6557">
            <v>45502</v>
          </cell>
          <cell r="V6557">
            <v>45502</v>
          </cell>
          <cell r="W6557">
            <v>45502</v>
          </cell>
          <cell r="X6557">
            <v>41000587</v>
          </cell>
        </row>
        <row r="6558">
          <cell r="K6558" t="str">
            <v>DBW-3383</v>
          </cell>
          <cell r="L6558">
            <v>45475</v>
          </cell>
          <cell r="M6558">
            <v>45476</v>
          </cell>
          <cell r="N6558">
            <v>45483</v>
          </cell>
          <cell r="O6558">
            <v>45476</v>
          </cell>
          <cell r="P6558">
            <v>45484</v>
          </cell>
          <cell r="Q6558">
            <v>45483</v>
          </cell>
          <cell r="R6558">
            <v>45484</v>
          </cell>
          <cell r="S6558">
            <v>45488</v>
          </cell>
          <cell r="T6558">
            <v>45489</v>
          </cell>
          <cell r="U6558">
            <v>45490</v>
          </cell>
          <cell r="V6558">
            <v>45490</v>
          </cell>
          <cell r="W6558">
            <v>45490</v>
          </cell>
          <cell r="X6558">
            <v>41000566</v>
          </cell>
        </row>
        <row r="6559">
          <cell r="K6559" t="str">
            <v>DBW-3384</v>
          </cell>
          <cell r="L6559">
            <v>45475</v>
          </cell>
          <cell r="M6559">
            <v>45476</v>
          </cell>
          <cell r="N6559">
            <v>45483</v>
          </cell>
          <cell r="O6559">
            <v>45476</v>
          </cell>
          <cell r="P6559">
            <v>45484</v>
          </cell>
          <cell r="Q6559">
            <v>45483</v>
          </cell>
          <cell r="R6559">
            <v>45484</v>
          </cell>
          <cell r="S6559">
            <v>45488</v>
          </cell>
          <cell r="T6559">
            <v>45489</v>
          </cell>
          <cell r="U6559">
            <v>45490</v>
          </cell>
          <cell r="V6559">
            <v>45490</v>
          </cell>
          <cell r="W6559">
            <v>45490</v>
          </cell>
          <cell r="X6559">
            <v>41000566</v>
          </cell>
        </row>
        <row r="6560">
          <cell r="K6560" t="str">
            <v>DBW-3388</v>
          </cell>
          <cell r="L6560">
            <v>45481</v>
          </cell>
          <cell r="M6560">
            <v>45482</v>
          </cell>
          <cell r="N6560">
            <v>45488</v>
          </cell>
          <cell r="O6560">
            <v>45482</v>
          </cell>
          <cell r="P6560">
            <v>45489</v>
          </cell>
          <cell r="Q6560">
            <v>45488</v>
          </cell>
          <cell r="R6560">
            <v>45489</v>
          </cell>
          <cell r="S6560">
            <v>45491</v>
          </cell>
          <cell r="T6560">
            <v>45492</v>
          </cell>
          <cell r="U6560">
            <v>45496</v>
          </cell>
          <cell r="V6560">
            <v>45496</v>
          </cell>
          <cell r="W6560">
            <v>45496</v>
          </cell>
          <cell r="X6560">
            <v>41000566</v>
          </cell>
        </row>
        <row r="6561">
          <cell r="K6561" t="str">
            <v>DBW-3389</v>
          </cell>
          <cell r="L6561">
            <v>45481</v>
          </cell>
          <cell r="M6561">
            <v>45482</v>
          </cell>
          <cell r="N6561">
            <v>45488</v>
          </cell>
          <cell r="O6561">
            <v>45482</v>
          </cell>
          <cell r="P6561">
            <v>45489</v>
          </cell>
          <cell r="Q6561">
            <v>45488</v>
          </cell>
          <cell r="R6561">
            <v>45489</v>
          </cell>
          <cell r="S6561">
            <v>45491</v>
          </cell>
          <cell r="T6561">
            <v>45492</v>
          </cell>
          <cell r="U6561">
            <v>45496</v>
          </cell>
          <cell r="V6561">
            <v>45496</v>
          </cell>
          <cell r="W6561">
            <v>45496</v>
          </cell>
          <cell r="X6561">
            <v>41000566</v>
          </cell>
        </row>
        <row r="6562">
          <cell r="K6562" t="str">
            <v>DBW-3390</v>
          </cell>
          <cell r="L6562">
            <v>45481</v>
          </cell>
          <cell r="M6562">
            <v>45482</v>
          </cell>
          <cell r="N6562">
            <v>45488</v>
          </cell>
          <cell r="O6562">
            <v>45482</v>
          </cell>
          <cell r="P6562">
            <v>45489</v>
          </cell>
          <cell r="Q6562">
            <v>45488</v>
          </cell>
          <cell r="R6562">
            <v>45489</v>
          </cell>
          <cell r="S6562">
            <v>45491</v>
          </cell>
          <cell r="T6562">
            <v>45495</v>
          </cell>
          <cell r="U6562">
            <v>45497</v>
          </cell>
          <cell r="V6562">
            <v>45497</v>
          </cell>
          <cell r="W6562">
            <v>45497</v>
          </cell>
          <cell r="X6562">
            <v>41000566</v>
          </cell>
        </row>
        <row r="6563">
          <cell r="K6563" t="str">
            <v>DBW-3395</v>
          </cell>
          <cell r="L6563">
            <v>45482</v>
          </cell>
          <cell r="M6563">
            <v>45483</v>
          </cell>
          <cell r="N6563">
            <v>45489</v>
          </cell>
          <cell r="O6563">
            <v>45483</v>
          </cell>
          <cell r="P6563">
            <v>45490</v>
          </cell>
          <cell r="Q6563">
            <v>45489</v>
          </cell>
          <cell r="R6563">
            <v>45490</v>
          </cell>
          <cell r="S6563">
            <v>45491</v>
          </cell>
          <cell r="T6563">
            <v>45492</v>
          </cell>
          <cell r="U6563">
            <v>45496</v>
          </cell>
          <cell r="V6563">
            <v>45496</v>
          </cell>
          <cell r="W6563">
            <v>45496</v>
          </cell>
          <cell r="X6563">
            <v>41000567</v>
          </cell>
        </row>
        <row r="6564">
          <cell r="K6564" t="str">
            <v>DBW-3391</v>
          </cell>
          <cell r="L6564">
            <v>45481</v>
          </cell>
          <cell r="M6564">
            <v>45482</v>
          </cell>
          <cell r="N6564">
            <v>45490</v>
          </cell>
          <cell r="O6564">
            <v>45482</v>
          </cell>
          <cell r="P6564">
            <v>45491</v>
          </cell>
          <cell r="Q6564">
            <v>45490</v>
          </cell>
          <cell r="R6564">
            <v>45491</v>
          </cell>
          <cell r="S6564">
            <v>45492</v>
          </cell>
          <cell r="T6564">
            <v>45495</v>
          </cell>
          <cell r="U6564">
            <v>45497</v>
          </cell>
          <cell r="V6564">
            <v>45497</v>
          </cell>
          <cell r="W6564">
            <v>45497</v>
          </cell>
          <cell r="X6564">
            <v>41000567</v>
          </cell>
        </row>
        <row r="6565">
          <cell r="K6565" t="str">
            <v>DBW-3392</v>
          </cell>
          <cell r="L6565">
            <v>45481</v>
          </cell>
          <cell r="M6565">
            <v>45482</v>
          </cell>
          <cell r="N6565">
            <v>45490</v>
          </cell>
          <cell r="O6565">
            <v>45482</v>
          </cell>
          <cell r="P6565">
            <v>45491</v>
          </cell>
          <cell r="Q6565">
            <v>45490</v>
          </cell>
          <cell r="R6565">
            <v>45491</v>
          </cell>
          <cell r="S6565">
            <v>45492</v>
          </cell>
          <cell r="T6565">
            <v>45495</v>
          </cell>
          <cell r="U6565">
            <v>45497</v>
          </cell>
          <cell r="V6565">
            <v>45497</v>
          </cell>
          <cell r="W6565">
            <v>45497</v>
          </cell>
          <cell r="X6565">
            <v>41000567</v>
          </cell>
        </row>
        <row r="6566">
          <cell r="K6566" t="str">
            <v>DBW-3393</v>
          </cell>
          <cell r="L6566">
            <v>45481</v>
          </cell>
          <cell r="M6566">
            <v>45482</v>
          </cell>
          <cell r="N6566">
            <v>45490</v>
          </cell>
          <cell r="O6566">
            <v>45482</v>
          </cell>
          <cell r="P6566">
            <v>45491</v>
          </cell>
          <cell r="Q6566">
            <v>45490</v>
          </cell>
          <cell r="R6566">
            <v>45491</v>
          </cell>
          <cell r="S6566">
            <v>45492</v>
          </cell>
          <cell r="T6566">
            <v>45495</v>
          </cell>
          <cell r="U6566">
            <v>45497</v>
          </cell>
          <cell r="V6566">
            <v>45497</v>
          </cell>
          <cell r="W6566">
            <v>45497</v>
          </cell>
          <cell r="X6566">
            <v>41000567</v>
          </cell>
        </row>
        <row r="6567">
          <cell r="K6567" t="str">
            <v>DBW-3394</v>
          </cell>
          <cell r="L6567">
            <v>45481</v>
          </cell>
          <cell r="M6567">
            <v>45482</v>
          </cell>
          <cell r="N6567">
            <v>45490</v>
          </cell>
          <cell r="O6567">
            <v>45482</v>
          </cell>
          <cell r="P6567">
            <v>45491</v>
          </cell>
          <cell r="Q6567">
            <v>45490</v>
          </cell>
          <cell r="R6567">
            <v>45491</v>
          </cell>
          <cell r="S6567">
            <v>45492</v>
          </cell>
          <cell r="T6567">
            <v>45495</v>
          </cell>
          <cell r="U6567">
            <v>45497</v>
          </cell>
          <cell r="V6567">
            <v>45497</v>
          </cell>
          <cell r="W6567">
            <v>45497</v>
          </cell>
          <cell r="X6567">
            <v>41000567</v>
          </cell>
        </row>
        <row r="6568">
          <cell r="K6568" t="str">
            <v>GBWS-4737</v>
          </cell>
          <cell r="L6568">
            <v>45489</v>
          </cell>
          <cell r="M6568">
            <v>45490</v>
          </cell>
          <cell r="N6568">
            <v>45496</v>
          </cell>
          <cell r="O6568">
            <v>45490</v>
          </cell>
          <cell r="P6568">
            <v>45497</v>
          </cell>
          <cell r="Q6568">
            <v>45496</v>
          </cell>
          <cell r="R6568">
            <v>45497</v>
          </cell>
          <cell r="S6568">
            <v>45498</v>
          </cell>
          <cell r="T6568">
            <v>45498</v>
          </cell>
          <cell r="U6568">
            <v>45502</v>
          </cell>
          <cell r="V6568">
            <v>45502</v>
          </cell>
          <cell r="W6568">
            <v>45502</v>
          </cell>
          <cell r="X6568">
            <v>41200005</v>
          </cell>
        </row>
        <row r="6569">
          <cell r="K6569" t="str">
            <v>GBWS-4738</v>
          </cell>
          <cell r="L6569">
            <v>45489</v>
          </cell>
          <cell r="M6569">
            <v>45490</v>
          </cell>
          <cell r="N6569">
            <v>45496</v>
          </cell>
          <cell r="O6569">
            <v>45490</v>
          </cell>
          <cell r="P6569">
            <v>45497</v>
          </cell>
          <cell r="Q6569">
            <v>45496</v>
          </cell>
          <cell r="R6569">
            <v>45497</v>
          </cell>
          <cell r="S6569">
            <v>45498</v>
          </cell>
          <cell r="T6569">
            <v>45498</v>
          </cell>
          <cell r="U6569">
            <v>45502</v>
          </cell>
          <cell r="V6569">
            <v>45502</v>
          </cell>
          <cell r="W6569">
            <v>45502</v>
          </cell>
          <cell r="X6569">
            <v>41200005</v>
          </cell>
        </row>
        <row r="6570">
          <cell r="K6570" t="str">
            <v>GBWS-4739</v>
          </cell>
          <cell r="L6570">
            <v>45489</v>
          </cell>
          <cell r="M6570">
            <v>45490</v>
          </cell>
          <cell r="N6570">
            <v>45496</v>
          </cell>
          <cell r="O6570">
            <v>45490</v>
          </cell>
          <cell r="P6570">
            <v>45497</v>
          </cell>
          <cell r="Q6570">
            <v>45496</v>
          </cell>
          <cell r="R6570">
            <v>45497</v>
          </cell>
          <cell r="S6570">
            <v>45498</v>
          </cell>
          <cell r="T6570">
            <v>45499</v>
          </cell>
          <cell r="U6570">
            <v>45502</v>
          </cell>
          <cell r="V6570">
            <v>45502</v>
          </cell>
          <cell r="W6570">
            <v>45502</v>
          </cell>
          <cell r="X6570">
            <v>41200005</v>
          </cell>
        </row>
        <row r="6571">
          <cell r="K6571" t="str">
            <v>GBWS-4740</v>
          </cell>
          <cell r="L6571">
            <v>45489</v>
          </cell>
          <cell r="M6571">
            <v>45490</v>
          </cell>
          <cell r="N6571">
            <v>45496</v>
          </cell>
          <cell r="O6571">
            <v>45490</v>
          </cell>
          <cell r="P6571">
            <v>45497</v>
          </cell>
          <cell r="Q6571">
            <v>45496</v>
          </cell>
          <cell r="R6571">
            <v>45497</v>
          </cell>
          <cell r="S6571">
            <v>45498</v>
          </cell>
          <cell r="T6571">
            <v>45499</v>
          </cell>
          <cell r="U6571">
            <v>45502</v>
          </cell>
          <cell r="V6571">
            <v>45502</v>
          </cell>
          <cell r="W6571">
            <v>45502</v>
          </cell>
          <cell r="X6571">
            <v>41200005</v>
          </cell>
        </row>
        <row r="6572">
          <cell r="K6572" t="str">
            <v>DBW-3407</v>
          </cell>
          <cell r="L6572">
            <v>45490</v>
          </cell>
          <cell r="M6572">
            <v>45491</v>
          </cell>
          <cell r="N6572">
            <v>45497</v>
          </cell>
          <cell r="O6572">
            <v>45491</v>
          </cell>
          <cell r="P6572">
            <v>45497</v>
          </cell>
          <cell r="Q6572" t="str">
            <v>2024-07-31 → 7/25</v>
          </cell>
          <cell r="R6572" t="str">
            <v>2024-08-01 → 7/25</v>
          </cell>
          <cell r="S6572">
            <v>45498</v>
          </cell>
          <cell r="T6572">
            <v>45499</v>
          </cell>
          <cell r="U6572">
            <v>45502</v>
          </cell>
          <cell r="V6572">
            <v>45503</v>
          </cell>
          <cell r="W6572">
            <v>45503</v>
          </cell>
          <cell r="X6572">
            <v>41000587</v>
          </cell>
        </row>
        <row r="6573">
          <cell r="K6573" t="str">
            <v>GBWS-4728</v>
          </cell>
          <cell r="L6573">
            <v>45489</v>
          </cell>
          <cell r="M6573">
            <v>45490</v>
          </cell>
          <cell r="N6573">
            <v>45496</v>
          </cell>
          <cell r="O6573">
            <v>45490</v>
          </cell>
          <cell r="P6573">
            <v>45497</v>
          </cell>
          <cell r="Q6573">
            <v>45496</v>
          </cell>
          <cell r="R6573">
            <v>45497</v>
          </cell>
          <cell r="S6573">
            <v>45499</v>
          </cell>
          <cell r="T6573">
            <v>45499</v>
          </cell>
          <cell r="U6573">
            <v>45502</v>
          </cell>
          <cell r="V6573">
            <v>45503</v>
          </cell>
          <cell r="W6573">
            <v>45503</v>
          </cell>
          <cell r="X6573">
            <v>41100320</v>
          </cell>
        </row>
        <row r="6574">
          <cell r="K6574" t="str">
            <v>GBWS-4721</v>
          </cell>
          <cell r="L6574">
            <v>45484</v>
          </cell>
          <cell r="M6574">
            <v>45485</v>
          </cell>
          <cell r="N6574">
            <v>45491</v>
          </cell>
          <cell r="O6574">
            <v>45485</v>
          </cell>
          <cell r="P6574">
            <v>45492</v>
          </cell>
          <cell r="Q6574">
            <v>45491</v>
          </cell>
          <cell r="R6574">
            <v>45492</v>
          </cell>
          <cell r="S6574">
            <v>45496</v>
          </cell>
          <cell r="T6574">
            <v>45497</v>
          </cell>
          <cell r="U6574">
            <v>45499</v>
          </cell>
          <cell r="V6574">
            <v>45499</v>
          </cell>
          <cell r="W6574">
            <v>45499</v>
          </cell>
          <cell r="X6574">
            <v>41100565</v>
          </cell>
        </row>
        <row r="6575">
          <cell r="K6575" t="str">
            <v>GBWS-4722</v>
          </cell>
          <cell r="L6575">
            <v>45484</v>
          </cell>
          <cell r="M6575">
            <v>45485</v>
          </cell>
          <cell r="N6575">
            <v>45495</v>
          </cell>
          <cell r="O6575">
            <v>45485</v>
          </cell>
          <cell r="P6575">
            <v>45496</v>
          </cell>
          <cell r="Q6575">
            <v>45495</v>
          </cell>
          <cell r="R6575">
            <v>45496</v>
          </cell>
          <cell r="S6575">
            <v>45497</v>
          </cell>
          <cell r="T6575">
            <v>45497</v>
          </cell>
          <cell r="U6575">
            <v>45499</v>
          </cell>
          <cell r="V6575">
            <v>45499</v>
          </cell>
          <cell r="W6575">
            <v>45499</v>
          </cell>
          <cell r="X6575">
            <v>41100566</v>
          </cell>
        </row>
        <row r="6576">
          <cell r="K6576" t="str">
            <v>GBWS-4723</v>
          </cell>
          <cell r="L6576">
            <v>45484</v>
          </cell>
          <cell r="M6576">
            <v>45485</v>
          </cell>
          <cell r="N6576">
            <v>45495</v>
          </cell>
          <cell r="O6576">
            <v>45485</v>
          </cell>
          <cell r="P6576">
            <v>45496</v>
          </cell>
          <cell r="Q6576">
            <v>45495</v>
          </cell>
          <cell r="R6576">
            <v>45496</v>
          </cell>
          <cell r="S6576">
            <v>45497</v>
          </cell>
          <cell r="T6576">
            <v>45498</v>
          </cell>
          <cell r="U6576">
            <v>45502</v>
          </cell>
          <cell r="V6576">
            <v>45502</v>
          </cell>
          <cell r="W6576">
            <v>45502</v>
          </cell>
          <cell r="X6576">
            <v>41100566</v>
          </cell>
        </row>
        <row r="6577">
          <cell r="K6577" t="str">
            <v>GBWS-4724</v>
          </cell>
          <cell r="L6577">
            <v>45484</v>
          </cell>
          <cell r="M6577">
            <v>45485</v>
          </cell>
          <cell r="N6577">
            <v>45495</v>
          </cell>
          <cell r="O6577">
            <v>45485</v>
          </cell>
          <cell r="P6577">
            <v>45496</v>
          </cell>
          <cell r="Q6577">
            <v>45495</v>
          </cell>
          <cell r="R6577">
            <v>45496</v>
          </cell>
          <cell r="S6577">
            <v>45497</v>
          </cell>
          <cell r="T6577">
            <v>45498</v>
          </cell>
          <cell r="U6577">
            <v>45502</v>
          </cell>
          <cell r="V6577">
            <v>45502</v>
          </cell>
          <cell r="W6577">
            <v>45502</v>
          </cell>
          <cell r="X6577">
            <v>41100566</v>
          </cell>
        </row>
        <row r="6578">
          <cell r="K6578" t="str">
            <v>GBWS-4725</v>
          </cell>
          <cell r="L6578">
            <v>45484</v>
          </cell>
          <cell r="M6578">
            <v>45485</v>
          </cell>
          <cell r="N6578">
            <v>45495</v>
          </cell>
          <cell r="O6578">
            <v>45485</v>
          </cell>
          <cell r="P6578">
            <v>45496</v>
          </cell>
          <cell r="Q6578">
            <v>45495</v>
          </cell>
          <cell r="R6578">
            <v>45496</v>
          </cell>
          <cell r="S6578">
            <v>45497</v>
          </cell>
          <cell r="T6578">
            <v>45498</v>
          </cell>
          <cell r="U6578">
            <v>45502</v>
          </cell>
          <cell r="V6578">
            <v>45502</v>
          </cell>
          <cell r="W6578">
            <v>45502</v>
          </cell>
          <cell r="X6578">
            <v>41100566</v>
          </cell>
        </row>
        <row r="6579">
          <cell r="K6579" t="str">
            <v>GBWS-4733</v>
          </cell>
          <cell r="L6579">
            <v>45489</v>
          </cell>
          <cell r="M6579">
            <v>45490</v>
          </cell>
          <cell r="N6579">
            <v>45497</v>
          </cell>
          <cell r="O6579">
            <v>45490</v>
          </cell>
          <cell r="P6579">
            <v>45498</v>
          </cell>
          <cell r="Q6579">
            <v>45497</v>
          </cell>
          <cell r="R6579">
            <v>45498</v>
          </cell>
          <cell r="S6579">
            <v>45499</v>
          </cell>
          <cell r="T6579">
            <v>45502</v>
          </cell>
          <cell r="U6579">
            <v>45502</v>
          </cell>
          <cell r="V6579">
            <v>45502</v>
          </cell>
          <cell r="W6579">
            <v>45502</v>
          </cell>
          <cell r="X6579">
            <v>41100558</v>
          </cell>
        </row>
        <row r="6580">
          <cell r="K6580" t="str">
            <v>GBWS-4734</v>
          </cell>
          <cell r="L6580">
            <v>45489</v>
          </cell>
          <cell r="M6580">
            <v>45490</v>
          </cell>
          <cell r="N6580">
            <v>45497</v>
          </cell>
          <cell r="O6580">
            <v>45490</v>
          </cell>
          <cell r="P6580">
            <v>45498</v>
          </cell>
          <cell r="Q6580">
            <v>45497</v>
          </cell>
          <cell r="R6580">
            <v>45498</v>
          </cell>
          <cell r="S6580">
            <v>45499</v>
          </cell>
          <cell r="T6580">
            <v>45499</v>
          </cell>
          <cell r="U6580">
            <v>45502</v>
          </cell>
          <cell r="V6580">
            <v>45503</v>
          </cell>
          <cell r="W6580">
            <v>45503</v>
          </cell>
          <cell r="X6580">
            <v>41100558</v>
          </cell>
        </row>
        <row r="6581">
          <cell r="K6581" t="str">
            <v>GBWS-4735</v>
          </cell>
          <cell r="L6581">
            <v>45489</v>
          </cell>
          <cell r="M6581">
            <v>45490</v>
          </cell>
          <cell r="N6581">
            <v>45497</v>
          </cell>
          <cell r="O6581">
            <v>45490</v>
          </cell>
          <cell r="P6581">
            <v>45498</v>
          </cell>
          <cell r="Q6581">
            <v>45497</v>
          </cell>
          <cell r="R6581">
            <v>45498</v>
          </cell>
          <cell r="S6581">
            <v>45499</v>
          </cell>
          <cell r="T6581">
            <v>45499</v>
          </cell>
          <cell r="U6581">
            <v>45502</v>
          </cell>
          <cell r="V6581">
            <v>45503</v>
          </cell>
          <cell r="W6581">
            <v>45503</v>
          </cell>
          <cell r="X6581">
            <v>41100558</v>
          </cell>
        </row>
        <row r="6582">
          <cell r="K6582" t="str">
            <v>GBWS-4736</v>
          </cell>
          <cell r="L6582">
            <v>45489</v>
          </cell>
          <cell r="M6582">
            <v>45490</v>
          </cell>
          <cell r="N6582">
            <v>45497</v>
          </cell>
          <cell r="O6582">
            <v>45490</v>
          </cell>
          <cell r="P6582">
            <v>45498</v>
          </cell>
          <cell r="Q6582">
            <v>45497</v>
          </cell>
          <cell r="R6582">
            <v>45498</v>
          </cell>
          <cell r="S6582">
            <v>45499</v>
          </cell>
          <cell r="T6582">
            <v>45499</v>
          </cell>
          <cell r="U6582">
            <v>45502</v>
          </cell>
          <cell r="V6582">
            <v>45503</v>
          </cell>
          <cell r="W6582">
            <v>45503</v>
          </cell>
          <cell r="X6582">
            <v>41100558</v>
          </cell>
        </row>
        <row r="6583">
          <cell r="K6583" t="str">
            <v>IVAS-243</v>
          </cell>
          <cell r="L6583">
            <v>45366</v>
          </cell>
          <cell r="M6583">
            <v>45369</v>
          </cell>
          <cell r="N6583">
            <v>45377</v>
          </cell>
          <cell r="O6583">
            <v>45369</v>
          </cell>
          <cell r="P6583">
            <v>45379</v>
          </cell>
          <cell r="Q6583">
            <v>45378</v>
          </cell>
          <cell r="R6583">
            <v>45379</v>
          </cell>
          <cell r="S6583">
            <v>45495</v>
          </cell>
          <cell r="T6583">
            <v>45495</v>
          </cell>
          <cell r="U6583">
            <v>45502</v>
          </cell>
          <cell r="V6583">
            <v>45502</v>
          </cell>
          <cell r="W6583">
            <v>45502</v>
          </cell>
          <cell r="X6583">
            <v>41100383</v>
          </cell>
        </row>
        <row r="6584">
          <cell r="K6584"/>
          <cell r="L6584">
            <v>45484</v>
          </cell>
          <cell r="M6584">
            <v>45484</v>
          </cell>
          <cell r="N6584">
            <v>45489</v>
          </cell>
          <cell r="O6584">
            <v>45484</v>
          </cell>
          <cell r="P6584">
            <v>45491</v>
          </cell>
          <cell r="Q6584">
            <v>45489</v>
          </cell>
          <cell r="R6584">
            <v>45495</v>
          </cell>
          <cell r="S6584">
            <v>45495</v>
          </cell>
          <cell r="T6584">
            <v>45495</v>
          </cell>
          <cell r="U6584">
            <v>45502</v>
          </cell>
          <cell r="V6584">
            <v>45502</v>
          </cell>
          <cell r="W6584">
            <v>45502</v>
          </cell>
          <cell r="X6584">
            <v>41200014</v>
          </cell>
        </row>
        <row r="6585">
          <cell r="K6585" t="str">
            <v>GPWS-0429</v>
          </cell>
          <cell r="L6585">
            <v>45464</v>
          </cell>
          <cell r="M6585">
            <v>45467</v>
          </cell>
          <cell r="N6585">
            <v>45474</v>
          </cell>
          <cell r="O6585">
            <v>45467</v>
          </cell>
          <cell r="P6585">
            <v>45476</v>
          </cell>
          <cell r="Q6585">
            <v>45474</v>
          </cell>
          <cell r="R6585">
            <v>90</v>
          </cell>
          <cell r="S6585">
            <v>45477</v>
          </cell>
          <cell r="T6585">
            <v>45478</v>
          </cell>
          <cell r="U6585">
            <v>45481</v>
          </cell>
          <cell r="V6585">
            <v>45483</v>
          </cell>
          <cell r="W6585">
            <v>45483</v>
          </cell>
          <cell r="X6585">
            <v>41000598</v>
          </cell>
        </row>
        <row r="6586">
          <cell r="K6586" t="str">
            <v>GPWS-0430</v>
          </cell>
          <cell r="L6586">
            <v>45464</v>
          </cell>
          <cell r="M6586">
            <v>45467</v>
          </cell>
          <cell r="N6586">
            <v>45474</v>
          </cell>
          <cell r="O6586">
            <v>45467</v>
          </cell>
          <cell r="P6586">
            <v>45476</v>
          </cell>
          <cell r="Q6586">
            <v>45474</v>
          </cell>
          <cell r="R6586">
            <v>90</v>
          </cell>
          <cell r="S6586">
            <v>45477</v>
          </cell>
          <cell r="T6586">
            <v>45478</v>
          </cell>
          <cell r="U6586">
            <v>45481</v>
          </cell>
          <cell r="V6586">
            <v>45483</v>
          </cell>
          <cell r="W6586">
            <v>45483</v>
          </cell>
          <cell r="X6586">
            <v>41000598</v>
          </cell>
        </row>
        <row r="6587">
          <cell r="K6587" t="str">
            <v>GBWS-4524</v>
          </cell>
          <cell r="L6587">
            <v>45427</v>
          </cell>
          <cell r="M6587">
            <v>45428</v>
          </cell>
          <cell r="N6587">
            <v>45434</v>
          </cell>
          <cell r="O6587">
            <v>45428</v>
          </cell>
          <cell r="P6587">
            <v>45435</v>
          </cell>
          <cell r="Q6587">
            <v>45434</v>
          </cell>
          <cell r="R6587">
            <v>45435</v>
          </cell>
          <cell r="S6587">
            <v>45481</v>
          </cell>
          <cell r="T6587">
            <v>45483</v>
          </cell>
          <cell r="U6587">
            <v>45484</v>
          </cell>
          <cell r="V6587">
            <v>45490</v>
          </cell>
          <cell r="W6587">
            <v>45490</v>
          </cell>
          <cell r="X6587">
            <v>41100350</v>
          </cell>
        </row>
        <row r="6588">
          <cell r="K6588" t="str">
            <v>GBWS-4696</v>
          </cell>
          <cell r="L6588">
            <v>45477</v>
          </cell>
          <cell r="M6588">
            <v>45478</v>
          </cell>
          <cell r="N6588">
            <v>45485</v>
          </cell>
          <cell r="O6588">
            <v>45478</v>
          </cell>
          <cell r="P6588">
            <v>45488</v>
          </cell>
          <cell r="Q6588">
            <v>45485</v>
          </cell>
          <cell r="R6588">
            <v>45488</v>
          </cell>
          <cell r="S6588">
            <v>45489</v>
          </cell>
          <cell r="T6588">
            <v>45490</v>
          </cell>
          <cell r="U6588">
            <v>45502</v>
          </cell>
          <cell r="V6588">
            <v>45503</v>
          </cell>
          <cell r="W6588">
            <v>45503</v>
          </cell>
          <cell r="X6588">
            <v>41100184</v>
          </cell>
        </row>
        <row r="6589">
          <cell r="K6589" t="str">
            <v>GBWS-4697</v>
          </cell>
          <cell r="L6589">
            <v>45477</v>
          </cell>
          <cell r="M6589">
            <v>45478</v>
          </cell>
          <cell r="N6589">
            <v>45485</v>
          </cell>
          <cell r="O6589">
            <v>45478</v>
          </cell>
          <cell r="P6589">
            <v>45488</v>
          </cell>
          <cell r="Q6589">
            <v>45485</v>
          </cell>
          <cell r="R6589">
            <v>45488</v>
          </cell>
          <cell r="S6589">
            <v>45489</v>
          </cell>
          <cell r="T6589">
            <v>45490</v>
          </cell>
          <cell r="U6589">
            <v>45502</v>
          </cell>
          <cell r="V6589">
            <v>45503</v>
          </cell>
          <cell r="W6589">
            <v>45503</v>
          </cell>
          <cell r="X6589">
            <v>41100184</v>
          </cell>
        </row>
        <row r="6590">
          <cell r="K6590" t="str">
            <v>GBWS-4698</v>
          </cell>
          <cell r="L6590">
            <v>45477</v>
          </cell>
          <cell r="M6590">
            <v>45478</v>
          </cell>
          <cell r="N6590">
            <v>45488</v>
          </cell>
          <cell r="O6590">
            <v>45478</v>
          </cell>
          <cell r="P6590">
            <v>45488</v>
          </cell>
          <cell r="Q6590">
            <v>45488</v>
          </cell>
          <cell r="R6590">
            <v>45489</v>
          </cell>
          <cell r="S6590">
            <v>45496</v>
          </cell>
          <cell r="T6590">
            <v>45497</v>
          </cell>
          <cell r="U6590">
            <v>45502</v>
          </cell>
          <cell r="V6590">
            <v>45503</v>
          </cell>
          <cell r="W6590">
            <v>45503</v>
          </cell>
          <cell r="X6590">
            <v>41100184</v>
          </cell>
        </row>
        <row r="6591">
          <cell r="K6591" t="str">
            <v>GBWS-4699</v>
          </cell>
          <cell r="L6591">
            <v>45477</v>
          </cell>
          <cell r="M6591">
            <v>45478</v>
          </cell>
          <cell r="N6591">
            <v>45488</v>
          </cell>
          <cell r="O6591">
            <v>45478</v>
          </cell>
          <cell r="P6591">
            <v>45488</v>
          </cell>
          <cell r="Q6591">
            <v>45488</v>
          </cell>
          <cell r="R6591">
            <v>45489</v>
          </cell>
          <cell r="S6591">
            <v>45497</v>
          </cell>
          <cell r="T6591">
            <v>45498</v>
          </cell>
          <cell r="U6591">
            <v>45502</v>
          </cell>
          <cell r="V6591">
            <v>45503</v>
          </cell>
          <cell r="W6591">
            <v>45503</v>
          </cell>
          <cell r="X6591">
            <v>41100184</v>
          </cell>
        </row>
        <row r="6592">
          <cell r="K6592" t="str">
            <v>GBWS-4700</v>
          </cell>
          <cell r="L6592">
            <v>45477</v>
          </cell>
          <cell r="M6592">
            <v>45478</v>
          </cell>
          <cell r="N6592">
            <v>45488</v>
          </cell>
          <cell r="O6592">
            <v>45478</v>
          </cell>
          <cell r="P6592">
            <v>45488</v>
          </cell>
          <cell r="Q6592">
            <v>45488</v>
          </cell>
          <cell r="R6592">
            <v>45489</v>
          </cell>
          <cell r="S6592">
            <v>45496</v>
          </cell>
          <cell r="T6592">
            <v>45497</v>
          </cell>
          <cell r="U6592">
            <v>45502</v>
          </cell>
          <cell r="V6592">
            <v>45503</v>
          </cell>
          <cell r="W6592">
            <v>45503</v>
          </cell>
          <cell r="X6592">
            <v>41100184</v>
          </cell>
        </row>
        <row r="6593">
          <cell r="K6593" t="str">
            <v>GBWS-4726</v>
          </cell>
          <cell r="L6593">
            <v>45489</v>
          </cell>
          <cell r="M6593">
            <v>45490</v>
          </cell>
          <cell r="N6593">
            <v>45496</v>
          </cell>
          <cell r="O6593">
            <v>45490</v>
          </cell>
          <cell r="P6593">
            <v>45497</v>
          </cell>
          <cell r="Q6593">
            <v>45496</v>
          </cell>
          <cell r="R6593">
            <v>45497</v>
          </cell>
          <cell r="S6593">
            <v>45498</v>
          </cell>
          <cell r="T6593">
            <v>45499</v>
          </cell>
          <cell r="U6593">
            <v>45502</v>
          </cell>
          <cell r="V6593">
            <v>45503</v>
          </cell>
          <cell r="W6593">
            <v>45503</v>
          </cell>
          <cell r="X6593">
            <v>41100584</v>
          </cell>
        </row>
        <row r="6594">
          <cell r="K6594" t="str">
            <v>MMD-0081</v>
          </cell>
          <cell r="L6594">
            <v>45489</v>
          </cell>
          <cell r="M6594">
            <v>45490</v>
          </cell>
          <cell r="N6594">
            <v>45491</v>
          </cell>
          <cell r="O6594">
            <v>45490</v>
          </cell>
          <cell r="P6594">
            <v>45491</v>
          </cell>
          <cell r="Q6594">
            <v>45491</v>
          </cell>
          <cell r="R6594">
            <v>45491</v>
          </cell>
          <cell r="S6594">
            <v>45502</v>
          </cell>
          <cell r="T6594">
            <v>45502</v>
          </cell>
          <cell r="U6594">
            <v>45502</v>
          </cell>
          <cell r="V6594">
            <v>45503</v>
          </cell>
          <cell r="W6594">
            <v>45503</v>
          </cell>
          <cell r="X6594">
            <v>31102402</v>
          </cell>
        </row>
        <row r="6595">
          <cell r="K6595" t="str">
            <v>GBWS-4727</v>
          </cell>
          <cell r="L6595">
            <v>45489</v>
          </cell>
          <cell r="M6595">
            <v>45490</v>
          </cell>
          <cell r="N6595">
            <v>45497</v>
          </cell>
          <cell r="O6595">
            <v>45490</v>
          </cell>
          <cell r="P6595">
            <v>45498</v>
          </cell>
          <cell r="Q6595">
            <v>45497</v>
          </cell>
          <cell r="R6595">
            <v>45498</v>
          </cell>
          <cell r="S6595">
            <v>45499</v>
          </cell>
          <cell r="T6595">
            <v>45502</v>
          </cell>
          <cell r="U6595">
            <v>45504</v>
          </cell>
          <cell r="V6595">
            <v>45504</v>
          </cell>
          <cell r="W6595">
            <v>45504</v>
          </cell>
          <cell r="X6595">
            <v>41100704</v>
          </cell>
        </row>
        <row r="6596">
          <cell r="K6596" t="str">
            <v>GBWS-4741</v>
          </cell>
          <cell r="L6596">
            <v>45491</v>
          </cell>
          <cell r="M6596" t="str">
            <v>2024-07-29 → 7/19</v>
          </cell>
          <cell r="N6596">
            <v>45498</v>
          </cell>
          <cell r="O6596" t="str">
            <v>2024-07-29 → 7/19</v>
          </cell>
          <cell r="P6596">
            <v>45499</v>
          </cell>
          <cell r="Q6596" t="str">
            <v>2024-08-05 → 7/25</v>
          </cell>
          <cell r="R6596" t="str">
            <v>2024-08-06 → 7/26</v>
          </cell>
          <cell r="S6596">
            <v>45502</v>
          </cell>
          <cell r="T6596">
            <v>45503</v>
          </cell>
          <cell r="U6596">
            <v>45505</v>
          </cell>
          <cell r="V6596">
            <v>45505</v>
          </cell>
          <cell r="W6596">
            <v>45505</v>
          </cell>
          <cell r="X6596">
            <v>41100227</v>
          </cell>
        </row>
        <row r="6597">
          <cell r="K6597" t="str">
            <v>GBWS-4743</v>
          </cell>
          <cell r="L6597">
            <v>45491</v>
          </cell>
          <cell r="M6597">
            <v>45492</v>
          </cell>
          <cell r="N6597">
            <v>45498</v>
          </cell>
          <cell r="O6597">
            <v>45492</v>
          </cell>
          <cell r="P6597">
            <v>45499</v>
          </cell>
          <cell r="Q6597">
            <v>45498</v>
          </cell>
          <cell r="R6597">
            <v>45499</v>
          </cell>
          <cell r="S6597">
            <v>45503</v>
          </cell>
          <cell r="T6597">
            <v>45504</v>
          </cell>
          <cell r="U6597">
            <v>45505</v>
          </cell>
          <cell r="V6597">
            <v>45506</v>
          </cell>
          <cell r="W6597">
            <v>45506</v>
          </cell>
          <cell r="X6597">
            <v>41100286</v>
          </cell>
        </row>
        <row r="6598">
          <cell r="K6598" t="str">
            <v>GBWS-4742</v>
          </cell>
          <cell r="L6598">
            <v>45491</v>
          </cell>
          <cell r="M6598">
            <v>45492</v>
          </cell>
          <cell r="N6598">
            <v>45498</v>
          </cell>
          <cell r="O6598">
            <v>45492</v>
          </cell>
          <cell r="P6598">
            <v>45499</v>
          </cell>
          <cell r="Q6598">
            <v>45498</v>
          </cell>
          <cell r="R6598">
            <v>45499</v>
          </cell>
          <cell r="S6598">
            <v>45502</v>
          </cell>
          <cell r="T6598">
            <v>45503</v>
          </cell>
          <cell r="U6598">
            <v>45505</v>
          </cell>
          <cell r="V6598">
            <v>45506</v>
          </cell>
          <cell r="W6598">
            <v>45506</v>
          </cell>
          <cell r="X6598">
            <v>41100494</v>
          </cell>
        </row>
        <row r="6599">
          <cell r="K6599" t="str">
            <v>GBWS-4672</v>
          </cell>
          <cell r="L6599">
            <v>45469</v>
          </cell>
          <cell r="M6599">
            <v>45470</v>
          </cell>
          <cell r="N6599">
            <v>45476</v>
          </cell>
          <cell r="O6599">
            <v>45470</v>
          </cell>
          <cell r="P6599">
            <v>45477</v>
          </cell>
          <cell r="Q6599">
            <v>45476</v>
          </cell>
          <cell r="R6599">
            <v>45477</v>
          </cell>
          <cell r="S6599">
            <v>45481</v>
          </cell>
          <cell r="T6599">
            <v>45482</v>
          </cell>
          <cell r="U6599">
            <v>45483</v>
          </cell>
          <cell r="V6599">
            <v>45484</v>
          </cell>
          <cell r="W6599">
            <v>45484</v>
          </cell>
          <cell r="X6599">
            <v>41100460</v>
          </cell>
        </row>
        <row r="6600">
          <cell r="K6600" t="str">
            <v>DBW-3396</v>
          </cell>
          <cell r="L6600">
            <v>45482</v>
          </cell>
          <cell r="M6600">
            <v>45483</v>
          </cell>
          <cell r="N6600">
            <v>45490</v>
          </cell>
          <cell r="O6600">
            <v>45483</v>
          </cell>
          <cell r="P6600">
            <v>45491</v>
          </cell>
          <cell r="Q6600">
            <v>45490</v>
          </cell>
          <cell r="R6600">
            <v>45491</v>
          </cell>
          <cell r="S6600">
            <v>45495</v>
          </cell>
          <cell r="T6600">
            <v>45496</v>
          </cell>
          <cell r="U6600">
            <v>45498</v>
          </cell>
          <cell r="V6600">
            <v>45498</v>
          </cell>
          <cell r="W6600">
            <v>45498</v>
          </cell>
          <cell r="X6600">
            <v>41000567</v>
          </cell>
        </row>
        <row r="6601">
          <cell r="K6601" t="str">
            <v>DBW-3397</v>
          </cell>
          <cell r="L6601">
            <v>45482</v>
          </cell>
          <cell r="M6601">
            <v>45483</v>
          </cell>
          <cell r="N6601">
            <v>45490</v>
          </cell>
          <cell r="O6601">
            <v>45483</v>
          </cell>
          <cell r="P6601">
            <v>45491</v>
          </cell>
          <cell r="Q6601">
            <v>45490</v>
          </cell>
          <cell r="R6601">
            <v>45491</v>
          </cell>
          <cell r="S6601">
            <v>45495</v>
          </cell>
          <cell r="T6601">
            <v>45496</v>
          </cell>
          <cell r="U6601">
            <v>45498</v>
          </cell>
          <cell r="V6601">
            <v>45498</v>
          </cell>
          <cell r="W6601">
            <v>45498</v>
          </cell>
          <cell r="X6601">
            <v>41000567</v>
          </cell>
        </row>
        <row r="6602">
          <cell r="K6602" t="str">
            <v>DBW-3398</v>
          </cell>
          <cell r="L6602">
            <v>45482</v>
          </cell>
          <cell r="M6602">
            <v>45483</v>
          </cell>
          <cell r="N6602">
            <v>45490</v>
          </cell>
          <cell r="O6602">
            <v>45483</v>
          </cell>
          <cell r="P6602">
            <v>45491</v>
          </cell>
          <cell r="Q6602">
            <v>45490</v>
          </cell>
          <cell r="R6602">
            <v>45491</v>
          </cell>
          <cell r="S6602">
            <v>45495</v>
          </cell>
          <cell r="T6602">
            <v>45496</v>
          </cell>
          <cell r="U6602">
            <v>45498</v>
          </cell>
          <cell r="V6602">
            <v>45498</v>
          </cell>
          <cell r="W6602">
            <v>45498</v>
          </cell>
          <cell r="X6602">
            <v>41000567</v>
          </cell>
        </row>
        <row r="6603">
          <cell r="K6603" t="str">
            <v>DBW-3399</v>
          </cell>
          <cell r="L6603">
            <v>45482</v>
          </cell>
          <cell r="M6603">
            <v>45483</v>
          </cell>
          <cell r="N6603">
            <v>45490</v>
          </cell>
          <cell r="O6603">
            <v>45483</v>
          </cell>
          <cell r="P6603">
            <v>45491</v>
          </cell>
          <cell r="Q6603">
            <v>45490</v>
          </cell>
          <cell r="R6603">
            <v>45491</v>
          </cell>
          <cell r="S6603">
            <v>45495</v>
          </cell>
          <cell r="T6603">
            <v>45496</v>
          </cell>
          <cell r="U6603">
            <v>45498</v>
          </cell>
          <cell r="V6603">
            <v>45498</v>
          </cell>
          <cell r="W6603">
            <v>45498</v>
          </cell>
          <cell r="X6603">
            <v>41000567</v>
          </cell>
        </row>
        <row r="6604">
          <cell r="K6604" t="str">
            <v>DBW-3400</v>
          </cell>
          <cell r="L6604">
            <v>45484</v>
          </cell>
          <cell r="M6604">
            <v>45485</v>
          </cell>
          <cell r="N6604">
            <v>45495</v>
          </cell>
          <cell r="O6604">
            <v>45485</v>
          </cell>
          <cell r="P6604">
            <v>45496</v>
          </cell>
          <cell r="Q6604">
            <v>45495</v>
          </cell>
          <cell r="R6604">
            <v>45496</v>
          </cell>
          <cell r="S6604">
            <v>45497</v>
          </cell>
          <cell r="T6604">
            <v>45497</v>
          </cell>
          <cell r="U6604">
            <v>45499</v>
          </cell>
          <cell r="V6604">
            <v>45499</v>
          </cell>
          <cell r="W6604">
            <v>45499</v>
          </cell>
          <cell r="X6604">
            <v>41000567</v>
          </cell>
        </row>
        <row r="6605">
          <cell r="K6605" t="str">
            <v>DBW-3401</v>
          </cell>
          <cell r="L6605">
            <v>45484</v>
          </cell>
          <cell r="M6605">
            <v>45485</v>
          </cell>
          <cell r="N6605">
            <v>45495</v>
          </cell>
          <cell r="O6605">
            <v>45485</v>
          </cell>
          <cell r="P6605">
            <v>45496</v>
          </cell>
          <cell r="Q6605">
            <v>45495</v>
          </cell>
          <cell r="R6605">
            <v>45496</v>
          </cell>
          <cell r="S6605">
            <v>45497</v>
          </cell>
          <cell r="T6605">
            <v>45498</v>
          </cell>
          <cell r="U6605">
            <v>45502</v>
          </cell>
          <cell r="V6605">
            <v>45502</v>
          </cell>
          <cell r="W6605">
            <v>45502</v>
          </cell>
          <cell r="X6605">
            <v>41000567</v>
          </cell>
        </row>
        <row r="6606">
          <cell r="K6606" t="str">
            <v>DBW-3402</v>
          </cell>
          <cell r="L6606">
            <v>45484</v>
          </cell>
          <cell r="M6606">
            <v>45485</v>
          </cell>
          <cell r="N6606">
            <v>45495</v>
          </cell>
          <cell r="O6606">
            <v>45485</v>
          </cell>
          <cell r="P6606">
            <v>45496</v>
          </cell>
          <cell r="Q6606">
            <v>45495</v>
          </cell>
          <cell r="R6606">
            <v>45496</v>
          </cell>
          <cell r="S6606">
            <v>45502</v>
          </cell>
          <cell r="T6606">
            <v>45503</v>
          </cell>
          <cell r="U6606">
            <v>45505</v>
          </cell>
          <cell r="V6606">
            <v>45505</v>
          </cell>
          <cell r="W6606">
            <v>45505</v>
          </cell>
          <cell r="X6606">
            <v>41000567</v>
          </cell>
        </row>
        <row r="6607">
          <cell r="K6607" t="str">
            <v>DBW-3403</v>
          </cell>
          <cell r="L6607">
            <v>45484</v>
          </cell>
          <cell r="M6607">
            <v>45485</v>
          </cell>
          <cell r="N6607">
            <v>45495</v>
          </cell>
          <cell r="O6607">
            <v>45485</v>
          </cell>
          <cell r="P6607">
            <v>45496</v>
          </cell>
          <cell r="Q6607">
            <v>45495</v>
          </cell>
          <cell r="R6607">
            <v>45496</v>
          </cell>
          <cell r="S6607">
            <v>45502</v>
          </cell>
          <cell r="T6607">
            <v>45503</v>
          </cell>
          <cell r="U6607">
            <v>45506</v>
          </cell>
          <cell r="V6607">
            <v>45506</v>
          </cell>
          <cell r="W6607">
            <v>45506</v>
          </cell>
          <cell r="X6607">
            <v>41000567</v>
          </cell>
        </row>
        <row r="6608">
          <cell r="K6608" t="str">
            <v>DBW-3404</v>
          </cell>
          <cell r="L6608">
            <v>45484</v>
          </cell>
          <cell r="M6608">
            <v>45485</v>
          </cell>
          <cell r="N6608">
            <v>45495</v>
          </cell>
          <cell r="O6608">
            <v>45485</v>
          </cell>
          <cell r="P6608">
            <v>45496</v>
          </cell>
          <cell r="Q6608">
            <v>45495</v>
          </cell>
          <cell r="R6608">
            <v>45496</v>
          </cell>
          <cell r="S6608">
            <v>45502</v>
          </cell>
          <cell r="T6608">
            <v>45503</v>
          </cell>
          <cell r="U6608">
            <v>45505</v>
          </cell>
          <cell r="V6608">
            <v>45505</v>
          </cell>
          <cell r="W6608">
            <v>45505</v>
          </cell>
          <cell r="X6608">
            <v>41000567</v>
          </cell>
        </row>
        <row r="6609">
          <cell r="K6609" t="str">
            <v>DBW-3405</v>
          </cell>
          <cell r="L6609">
            <v>45484</v>
          </cell>
          <cell r="M6609">
            <v>45485</v>
          </cell>
          <cell r="N6609">
            <v>45495</v>
          </cell>
          <cell r="O6609">
            <v>45485</v>
          </cell>
          <cell r="P6609">
            <v>45496</v>
          </cell>
          <cell r="Q6609">
            <v>45495</v>
          </cell>
          <cell r="R6609">
            <v>45496</v>
          </cell>
          <cell r="S6609">
            <v>45502</v>
          </cell>
          <cell r="T6609">
            <v>45504</v>
          </cell>
          <cell r="U6609">
            <v>45505</v>
          </cell>
          <cell r="V6609">
            <v>45505</v>
          </cell>
          <cell r="W6609">
            <v>45505</v>
          </cell>
          <cell r="X6609">
            <v>41000567</v>
          </cell>
        </row>
        <row r="6610">
          <cell r="K6610" t="str">
            <v>GBWS-4752</v>
          </cell>
          <cell r="L6610">
            <v>45496</v>
          </cell>
          <cell r="M6610">
            <v>45497</v>
          </cell>
          <cell r="N6610">
            <v>45504</v>
          </cell>
          <cell r="O6610">
            <v>45497</v>
          </cell>
          <cell r="P6610">
            <v>45505</v>
          </cell>
          <cell r="Q6610">
            <v>45504</v>
          </cell>
          <cell r="R6610">
            <v>45505</v>
          </cell>
          <cell r="S6610">
            <v>45506</v>
          </cell>
          <cell r="T6610">
            <v>45509</v>
          </cell>
          <cell r="U6610">
            <v>45511</v>
          </cell>
          <cell r="V6610">
            <v>45511</v>
          </cell>
          <cell r="W6610">
            <v>45511</v>
          </cell>
          <cell r="X6610">
            <v>41100374</v>
          </cell>
        </row>
        <row r="6611">
          <cell r="K6611" t="str">
            <v>GBWS-4757</v>
          </cell>
          <cell r="L6611">
            <v>45496</v>
          </cell>
          <cell r="M6611">
            <v>45497</v>
          </cell>
          <cell r="N6611">
            <v>45503</v>
          </cell>
          <cell r="O6611">
            <v>45497</v>
          </cell>
          <cell r="P6611">
            <v>45505</v>
          </cell>
          <cell r="Q6611">
            <v>45504</v>
          </cell>
          <cell r="R6611">
            <v>45505</v>
          </cell>
          <cell r="S6611">
            <v>45506</v>
          </cell>
          <cell r="T6611">
            <v>45509</v>
          </cell>
          <cell r="U6611">
            <v>45511</v>
          </cell>
          <cell r="V6611">
            <v>45511</v>
          </cell>
          <cell r="W6611">
            <v>45511</v>
          </cell>
          <cell r="X6611">
            <v>41100363</v>
          </cell>
        </row>
        <row r="6612">
          <cell r="K6612" t="str">
            <v>-</v>
          </cell>
          <cell r="L6612">
            <v>45489</v>
          </cell>
          <cell r="M6612">
            <v>45489</v>
          </cell>
          <cell r="N6612">
            <v>45506</v>
          </cell>
          <cell r="O6612">
            <v>45489</v>
          </cell>
          <cell r="P6612">
            <v>45500</v>
          </cell>
          <cell r="Q6612" t="str">
            <v>2024-07-24 → 7/26</v>
          </cell>
          <cell r="R6612" t="str">
            <v>2024-07-25 → 7/29</v>
          </cell>
          <cell r="S6612">
            <v>45509</v>
          </cell>
          <cell r="T6612">
            <v>45512</v>
          </cell>
          <cell r="U6612">
            <v>45512</v>
          </cell>
          <cell r="V6612">
            <v>45512</v>
          </cell>
          <cell r="W6612">
            <v>45512</v>
          </cell>
          <cell r="X6612">
            <v>31200054</v>
          </cell>
        </row>
        <row r="6613">
          <cell r="K6613" t="str">
            <v>-</v>
          </cell>
          <cell r="L6613">
            <v>45489</v>
          </cell>
          <cell r="M6613">
            <v>45489</v>
          </cell>
          <cell r="N6613">
            <v>45506</v>
          </cell>
          <cell r="O6613">
            <v>45489</v>
          </cell>
          <cell r="P6613">
            <v>45500</v>
          </cell>
          <cell r="Q6613">
            <v>45497</v>
          </cell>
          <cell r="R6613">
            <v>45498</v>
          </cell>
          <cell r="S6613">
            <v>45509</v>
          </cell>
          <cell r="T6613">
            <v>45512</v>
          </cell>
          <cell r="U6613">
            <v>45512</v>
          </cell>
          <cell r="V6613">
            <v>45512</v>
          </cell>
          <cell r="W6613">
            <v>45512</v>
          </cell>
          <cell r="X6613">
            <v>31200058</v>
          </cell>
        </row>
        <row r="6614">
          <cell r="K6614" t="str">
            <v>-</v>
          </cell>
          <cell r="L6614">
            <v>45489</v>
          </cell>
          <cell r="M6614">
            <v>45489</v>
          </cell>
          <cell r="N6614">
            <v>45506</v>
          </cell>
          <cell r="O6614">
            <v>45489</v>
          </cell>
          <cell r="P6614">
            <v>45500</v>
          </cell>
          <cell r="Q6614" t="str">
            <v>2024-07-25 → 7/24</v>
          </cell>
          <cell r="R6614" t="str">
            <v>2024-07-26 → 7/25</v>
          </cell>
          <cell r="S6614">
            <v>45509</v>
          </cell>
          <cell r="T6614">
            <v>45512</v>
          </cell>
          <cell r="U6614">
            <v>45512</v>
          </cell>
          <cell r="V6614">
            <v>45512</v>
          </cell>
          <cell r="W6614">
            <v>45512</v>
          </cell>
          <cell r="X6614">
            <v>31200059</v>
          </cell>
        </row>
        <row r="6615">
          <cell r="K6615" t="str">
            <v>GBWS-4631</v>
          </cell>
          <cell r="L6615">
            <v>45457</v>
          </cell>
          <cell r="M6615">
            <v>45460</v>
          </cell>
          <cell r="N6615">
            <v>45467</v>
          </cell>
          <cell r="O6615">
            <v>45460</v>
          </cell>
          <cell r="P6615">
            <v>45468</v>
          </cell>
          <cell r="Q6615">
            <v>45467</v>
          </cell>
          <cell r="R6615">
            <v>45468</v>
          </cell>
          <cell r="S6615">
            <v>45482</v>
          </cell>
          <cell r="T6615">
            <v>45484</v>
          </cell>
          <cell r="U6615">
            <v>45488</v>
          </cell>
          <cell r="V6615">
            <v>45489</v>
          </cell>
          <cell r="W6615">
            <v>45489</v>
          </cell>
          <cell r="X6615">
            <v>41100460</v>
          </cell>
        </row>
        <row r="6616">
          <cell r="K6616" t="str">
            <v>GBWS-4632</v>
          </cell>
          <cell r="L6616">
            <v>45457</v>
          </cell>
          <cell r="M6616">
            <v>45460</v>
          </cell>
          <cell r="N6616">
            <v>45467</v>
          </cell>
          <cell r="O6616">
            <v>45460</v>
          </cell>
          <cell r="P6616">
            <v>45468</v>
          </cell>
          <cell r="Q6616">
            <v>45467</v>
          </cell>
          <cell r="R6616">
            <v>45468</v>
          </cell>
          <cell r="S6616">
            <v>45482</v>
          </cell>
          <cell r="T6616">
            <v>45484</v>
          </cell>
          <cell r="U6616">
            <v>45489</v>
          </cell>
          <cell r="V6616">
            <v>45490</v>
          </cell>
          <cell r="W6616">
            <v>45490</v>
          </cell>
          <cell r="X6616">
            <v>41100460</v>
          </cell>
        </row>
        <row r="6617">
          <cell r="K6617" t="str">
            <v>GBWS-4637</v>
          </cell>
          <cell r="L6617">
            <v>45461</v>
          </cell>
          <cell r="M6617">
            <v>45462</v>
          </cell>
          <cell r="N6617">
            <v>45468</v>
          </cell>
          <cell r="O6617">
            <v>45462</v>
          </cell>
          <cell r="P6617">
            <v>45470</v>
          </cell>
          <cell r="Q6617">
            <v>45469</v>
          </cell>
          <cell r="R6617">
            <v>45470</v>
          </cell>
          <cell r="S6617">
            <v>45477</v>
          </cell>
          <cell r="T6617">
            <v>45497</v>
          </cell>
          <cell r="U6617">
            <v>45499</v>
          </cell>
          <cell r="V6617">
            <v>45499</v>
          </cell>
          <cell r="W6617">
            <v>45499</v>
          </cell>
          <cell r="X6617">
            <v>41100507</v>
          </cell>
        </row>
        <row r="6618">
          <cell r="K6618" t="str">
            <v>GBWS-4729</v>
          </cell>
          <cell r="L6618">
            <v>45489</v>
          </cell>
          <cell r="M6618">
            <v>45490</v>
          </cell>
          <cell r="N6618">
            <v>45496</v>
          </cell>
          <cell r="O6618">
            <v>45490</v>
          </cell>
          <cell r="P6618">
            <v>45497</v>
          </cell>
          <cell r="Q6618">
            <v>45496</v>
          </cell>
          <cell r="R6618">
            <v>45497</v>
          </cell>
          <cell r="S6618">
            <v>45499</v>
          </cell>
          <cell r="T6618">
            <v>45499</v>
          </cell>
          <cell r="U6618">
            <v>45502</v>
          </cell>
          <cell r="V6618">
            <v>45503</v>
          </cell>
          <cell r="W6618">
            <v>45503</v>
          </cell>
          <cell r="X6618">
            <v>41100320</v>
          </cell>
        </row>
        <row r="6619">
          <cell r="K6619" t="str">
            <v>GBWS-4730</v>
          </cell>
          <cell r="L6619">
            <v>45489</v>
          </cell>
          <cell r="M6619">
            <v>45490</v>
          </cell>
          <cell r="N6619">
            <v>45496</v>
          </cell>
          <cell r="O6619">
            <v>45490</v>
          </cell>
          <cell r="P6619">
            <v>45497</v>
          </cell>
          <cell r="Q6619">
            <v>45496</v>
          </cell>
          <cell r="R6619">
            <v>45497</v>
          </cell>
          <cell r="S6619">
            <v>45499</v>
          </cell>
          <cell r="T6619">
            <v>45499</v>
          </cell>
          <cell r="U6619">
            <v>45502</v>
          </cell>
          <cell r="V6619">
            <v>45503</v>
          </cell>
          <cell r="W6619">
            <v>45503</v>
          </cell>
          <cell r="X6619">
            <v>41100320</v>
          </cell>
        </row>
        <row r="6620">
          <cell r="K6620" t="str">
            <v>SOS-0331</v>
          </cell>
          <cell r="L6620">
            <v>45489</v>
          </cell>
          <cell r="M6620">
            <v>45490</v>
          </cell>
          <cell r="N6620">
            <v>45490</v>
          </cell>
          <cell r="O6620">
            <v>45490</v>
          </cell>
          <cell r="P6620">
            <v>45491</v>
          </cell>
          <cell r="Q6620">
            <v>45492</v>
          </cell>
          <cell r="R6620">
            <v>45495</v>
          </cell>
          <cell r="S6620">
            <v>45496</v>
          </cell>
          <cell r="T6620">
            <v>45496</v>
          </cell>
          <cell r="U6620">
            <v>45512</v>
          </cell>
          <cell r="V6620">
            <v>45512</v>
          </cell>
          <cell r="W6620">
            <v>45512</v>
          </cell>
          <cell r="X6620">
            <v>41000558</v>
          </cell>
        </row>
        <row r="6621">
          <cell r="K6621" t="str">
            <v>IVAS-255</v>
          </cell>
          <cell r="L6621">
            <v>45491</v>
          </cell>
          <cell r="M6621">
            <v>45492</v>
          </cell>
          <cell r="N6621">
            <v>45499</v>
          </cell>
          <cell r="O6621">
            <v>45492</v>
          </cell>
          <cell r="P6621">
            <v>45502</v>
          </cell>
          <cell r="Q6621" t="str">
            <v>2024-07-30 → 7/26</v>
          </cell>
          <cell r="R6621" t="str">
            <v>2024-07-31 → 7/29</v>
          </cell>
          <cell r="S6621">
            <v>45503</v>
          </cell>
          <cell r="T6621">
            <v>45504</v>
          </cell>
          <cell r="U6621">
            <v>45506</v>
          </cell>
          <cell r="V6621">
            <v>45511</v>
          </cell>
          <cell r="W6621">
            <v>45511</v>
          </cell>
          <cell r="X6621">
            <v>41200015</v>
          </cell>
        </row>
        <row r="6622">
          <cell r="K6622" t="str">
            <v>GBWS-4638</v>
          </cell>
          <cell r="L6622">
            <v>45461</v>
          </cell>
          <cell r="M6622">
            <v>45462</v>
          </cell>
          <cell r="N6622">
            <v>45468</v>
          </cell>
          <cell r="O6622">
            <v>45462</v>
          </cell>
          <cell r="P6622">
            <v>45470</v>
          </cell>
          <cell r="Q6622">
            <v>45469</v>
          </cell>
          <cell r="R6622">
            <v>45470</v>
          </cell>
          <cell r="S6622">
            <v>45477</v>
          </cell>
          <cell r="T6622">
            <v>45502</v>
          </cell>
          <cell r="U6622">
            <v>45506</v>
          </cell>
          <cell r="V6622">
            <v>45506</v>
          </cell>
          <cell r="W6622">
            <v>45506</v>
          </cell>
          <cell r="X6622">
            <v>41100507</v>
          </cell>
        </row>
        <row r="6623">
          <cell r="K6623" t="str">
            <v>GBWS-4639</v>
          </cell>
          <cell r="L6623">
            <v>45461</v>
          </cell>
          <cell r="M6623">
            <v>45462</v>
          </cell>
          <cell r="N6623">
            <v>45468</v>
          </cell>
          <cell r="O6623">
            <v>45462</v>
          </cell>
          <cell r="P6623">
            <v>45470</v>
          </cell>
          <cell r="Q6623">
            <v>45469</v>
          </cell>
          <cell r="R6623">
            <v>45470</v>
          </cell>
          <cell r="S6623">
            <v>45477</v>
          </cell>
          <cell r="T6623">
            <v>45504</v>
          </cell>
          <cell r="U6623">
            <v>45504</v>
          </cell>
          <cell r="V6623">
            <v>45504</v>
          </cell>
          <cell r="W6623">
            <v>45504</v>
          </cell>
          <cell r="X6623">
            <v>41100507</v>
          </cell>
        </row>
        <row r="6624">
          <cell r="K6624" t="str">
            <v>GBWS-4720</v>
          </cell>
          <cell r="L6624">
            <v>45484</v>
          </cell>
          <cell r="M6624">
            <v>45485</v>
          </cell>
          <cell r="N6624">
            <v>45492</v>
          </cell>
          <cell r="O6624">
            <v>45485</v>
          </cell>
          <cell r="P6624">
            <v>45495</v>
          </cell>
          <cell r="Q6624">
            <v>45492</v>
          </cell>
          <cell r="R6624">
            <v>45495</v>
          </cell>
          <cell r="S6624">
            <v>45496</v>
          </cell>
          <cell r="T6624">
            <v>45497</v>
          </cell>
          <cell r="U6624">
            <v>45499</v>
          </cell>
          <cell r="V6624">
            <v>45499</v>
          </cell>
          <cell r="W6624">
            <v>45499</v>
          </cell>
          <cell r="X6624">
            <v>41100317</v>
          </cell>
        </row>
        <row r="6625">
          <cell r="K6625" t="str">
            <v>GBWS-4754</v>
          </cell>
          <cell r="L6625">
            <v>45496</v>
          </cell>
          <cell r="M6625">
            <v>45497</v>
          </cell>
          <cell r="N6625">
            <v>45503</v>
          </cell>
          <cell r="O6625">
            <v>45497</v>
          </cell>
          <cell r="P6625">
            <v>45506</v>
          </cell>
          <cell r="Q6625">
            <v>45505</v>
          </cell>
          <cell r="R6625">
            <v>45506</v>
          </cell>
          <cell r="S6625">
            <v>45509</v>
          </cell>
          <cell r="T6625">
            <v>45510</v>
          </cell>
          <cell r="U6625">
            <v>45512</v>
          </cell>
          <cell r="V6625">
            <v>45512</v>
          </cell>
          <cell r="W6625">
            <v>45512</v>
          </cell>
          <cell r="X6625">
            <v>41100372</v>
          </cell>
        </row>
        <row r="6626">
          <cell r="K6626" t="str">
            <v>GBWS-4755</v>
          </cell>
          <cell r="L6626">
            <v>45496</v>
          </cell>
          <cell r="M6626">
            <v>45497</v>
          </cell>
          <cell r="N6626">
            <v>45503</v>
          </cell>
          <cell r="O6626">
            <v>45497</v>
          </cell>
          <cell r="P6626">
            <v>45506</v>
          </cell>
          <cell r="Q6626">
            <v>45505</v>
          </cell>
          <cell r="R6626">
            <v>45506</v>
          </cell>
          <cell r="S6626">
            <v>45509</v>
          </cell>
          <cell r="T6626">
            <v>45510</v>
          </cell>
          <cell r="U6626">
            <v>45512</v>
          </cell>
          <cell r="V6626">
            <v>45512</v>
          </cell>
          <cell r="W6626">
            <v>45512</v>
          </cell>
          <cell r="X6626">
            <v>41100372</v>
          </cell>
        </row>
        <row r="6627">
          <cell r="K6627" t="str">
            <v>WS-0091</v>
          </cell>
          <cell r="L6627">
            <v>45498</v>
          </cell>
          <cell r="M6627">
            <v>45499</v>
          </cell>
          <cell r="N6627">
            <v>45506</v>
          </cell>
          <cell r="O6627">
            <v>45499</v>
          </cell>
          <cell r="P6627">
            <v>45509</v>
          </cell>
          <cell r="Q6627">
            <v>45506</v>
          </cell>
          <cell r="R6627">
            <v>45509</v>
          </cell>
          <cell r="S6627">
            <v>45510</v>
          </cell>
          <cell r="T6627">
            <v>45511</v>
          </cell>
          <cell r="U6627">
            <v>45513</v>
          </cell>
          <cell r="V6627">
            <v>45513</v>
          </cell>
          <cell r="W6627">
            <v>45513</v>
          </cell>
          <cell r="X6627">
            <v>41100435</v>
          </cell>
        </row>
        <row r="6628">
          <cell r="K6628" t="str">
            <v>GBWS-4758</v>
          </cell>
          <cell r="L6628">
            <v>45498</v>
          </cell>
          <cell r="M6628">
            <v>45499</v>
          </cell>
          <cell r="N6628">
            <v>45506</v>
          </cell>
          <cell r="O6628">
            <v>45499</v>
          </cell>
          <cell r="P6628">
            <v>45509</v>
          </cell>
          <cell r="Q6628">
            <v>45506</v>
          </cell>
          <cell r="R6628">
            <v>45509</v>
          </cell>
          <cell r="S6628">
            <v>45510</v>
          </cell>
          <cell r="T6628">
            <v>45511</v>
          </cell>
          <cell r="U6628">
            <v>45513</v>
          </cell>
          <cell r="V6628">
            <v>45513</v>
          </cell>
          <cell r="W6628">
            <v>45513</v>
          </cell>
          <cell r="X6628">
            <v>41100507</v>
          </cell>
        </row>
        <row r="6629">
          <cell r="K6629" t="str">
            <v>GBWS-4762</v>
          </cell>
          <cell r="L6629">
            <v>45498</v>
          </cell>
          <cell r="M6629">
            <v>45499</v>
          </cell>
          <cell r="N6629">
            <v>45505</v>
          </cell>
          <cell r="O6629">
            <v>45499</v>
          </cell>
          <cell r="P6629">
            <v>45505</v>
          </cell>
          <cell r="Q6629">
            <v>45505</v>
          </cell>
          <cell r="R6629">
            <v>45506</v>
          </cell>
          <cell r="S6629">
            <v>45510</v>
          </cell>
          <cell r="T6629">
            <v>45511</v>
          </cell>
          <cell r="U6629">
            <v>45513</v>
          </cell>
          <cell r="V6629">
            <v>45513</v>
          </cell>
          <cell r="W6629">
            <v>45513</v>
          </cell>
          <cell r="X6629">
            <v>41100322</v>
          </cell>
        </row>
        <row r="6630">
          <cell r="K6630" t="str">
            <v>GBWS-4629</v>
          </cell>
          <cell r="L6630">
            <v>45457</v>
          </cell>
          <cell r="M6630">
            <v>45460</v>
          </cell>
          <cell r="N6630">
            <v>45464</v>
          </cell>
          <cell r="O6630">
            <v>45460</v>
          </cell>
          <cell r="P6630">
            <v>45467</v>
          </cell>
          <cell r="Q6630">
            <v>45464</v>
          </cell>
          <cell r="R6630">
            <v>45467</v>
          </cell>
          <cell r="S6630">
            <v>45468</v>
          </cell>
          <cell r="T6630">
            <v>45469</v>
          </cell>
          <cell r="U6630">
            <v>45469</v>
          </cell>
          <cell r="V6630">
            <v>45471</v>
          </cell>
          <cell r="W6630">
            <v>45471</v>
          </cell>
          <cell r="X6630">
            <v>41200024</v>
          </cell>
        </row>
        <row r="6631">
          <cell r="K6631" t="str">
            <v>GBWS-4630</v>
          </cell>
          <cell r="L6631">
            <v>45457</v>
          </cell>
          <cell r="M6631">
            <v>45460</v>
          </cell>
          <cell r="N6631">
            <v>45464</v>
          </cell>
          <cell r="O6631">
            <v>45460</v>
          </cell>
          <cell r="P6631">
            <v>45467</v>
          </cell>
          <cell r="Q6631">
            <v>45464</v>
          </cell>
          <cell r="R6631">
            <v>45467</v>
          </cell>
          <cell r="S6631">
            <v>45468</v>
          </cell>
          <cell r="T6631">
            <v>45469</v>
          </cell>
          <cell r="U6631">
            <v>45470</v>
          </cell>
          <cell r="V6631">
            <v>45471</v>
          </cell>
          <cell r="W6631">
            <v>45471</v>
          </cell>
          <cell r="X6631">
            <v>41200024</v>
          </cell>
        </row>
        <row r="6632">
          <cell r="K6632" t="str">
            <v>DBW-3413</v>
          </cell>
          <cell r="L6632">
            <v>45492</v>
          </cell>
          <cell r="M6632">
            <v>45495</v>
          </cell>
          <cell r="N6632">
            <v>45502</v>
          </cell>
          <cell r="O6632">
            <v>45495</v>
          </cell>
          <cell r="P6632">
            <v>45503</v>
          </cell>
          <cell r="Q6632">
            <v>45502</v>
          </cell>
          <cell r="R6632">
            <v>45503</v>
          </cell>
          <cell r="S6632">
            <v>45504</v>
          </cell>
          <cell r="T6632">
            <v>45505</v>
          </cell>
          <cell r="U6632">
            <v>45506</v>
          </cell>
          <cell r="V6632">
            <v>45509</v>
          </cell>
          <cell r="W6632">
            <v>45509</v>
          </cell>
          <cell r="X6632">
            <v>41100696</v>
          </cell>
        </row>
        <row r="6633">
          <cell r="K6633" t="str">
            <v>GBWS-4767</v>
          </cell>
          <cell r="L6633">
            <v>45499</v>
          </cell>
          <cell r="M6633">
            <v>45502</v>
          </cell>
          <cell r="N6633">
            <v>45510</v>
          </cell>
          <cell r="O6633">
            <v>45502</v>
          </cell>
          <cell r="P6633">
            <v>45511</v>
          </cell>
          <cell r="Q6633">
            <v>45510</v>
          </cell>
          <cell r="R6633">
            <v>45511</v>
          </cell>
          <cell r="S6633">
            <v>45512</v>
          </cell>
          <cell r="T6633">
            <v>45513</v>
          </cell>
          <cell r="U6633">
            <v>45517</v>
          </cell>
          <cell r="V6633">
            <v>45517</v>
          </cell>
          <cell r="W6633">
            <v>45517</v>
          </cell>
          <cell r="X6633">
            <v>41100697</v>
          </cell>
        </row>
        <row r="6634">
          <cell r="K6634" t="str">
            <v>GBWS-4768</v>
          </cell>
          <cell r="L6634">
            <v>45499</v>
          </cell>
          <cell r="M6634">
            <v>45502</v>
          </cell>
          <cell r="N6634">
            <v>45510</v>
          </cell>
          <cell r="O6634">
            <v>45502</v>
          </cell>
          <cell r="P6634">
            <v>45511</v>
          </cell>
          <cell r="Q6634">
            <v>45510</v>
          </cell>
          <cell r="R6634">
            <v>45511</v>
          </cell>
          <cell r="S6634">
            <v>45512</v>
          </cell>
          <cell r="T6634">
            <v>45513</v>
          </cell>
          <cell r="U6634">
            <v>45517</v>
          </cell>
          <cell r="V6634">
            <v>45517</v>
          </cell>
          <cell r="W6634">
            <v>45517</v>
          </cell>
          <cell r="X6634">
            <v>41100697</v>
          </cell>
        </row>
        <row r="6635">
          <cell r="K6635" t="str">
            <v>GBWS-4769</v>
          </cell>
          <cell r="L6635">
            <v>45499</v>
          </cell>
          <cell r="M6635">
            <v>45502</v>
          </cell>
          <cell r="N6635">
            <v>45510</v>
          </cell>
          <cell r="O6635">
            <v>45502</v>
          </cell>
          <cell r="P6635">
            <v>45511</v>
          </cell>
          <cell r="Q6635">
            <v>45510</v>
          </cell>
          <cell r="R6635">
            <v>45511</v>
          </cell>
          <cell r="S6635">
            <v>45512</v>
          </cell>
          <cell r="T6635">
            <v>45513</v>
          </cell>
          <cell r="U6635">
            <v>45517</v>
          </cell>
          <cell r="V6635">
            <v>45517</v>
          </cell>
          <cell r="W6635">
            <v>45517</v>
          </cell>
          <cell r="X6635">
            <v>41100697</v>
          </cell>
        </row>
        <row r="6636">
          <cell r="K6636" t="str">
            <v>GBWS-4793</v>
          </cell>
          <cell r="L6636">
            <v>45503</v>
          </cell>
          <cell r="M6636">
            <v>45504</v>
          </cell>
          <cell r="N6636">
            <v>45510</v>
          </cell>
          <cell r="O6636">
            <v>45504</v>
          </cell>
          <cell r="P6636">
            <v>45511</v>
          </cell>
          <cell r="Q6636">
            <v>45510</v>
          </cell>
          <cell r="R6636">
            <v>45511</v>
          </cell>
          <cell r="S6636">
            <v>45512</v>
          </cell>
          <cell r="T6636">
            <v>45513</v>
          </cell>
          <cell r="U6636">
            <v>45517</v>
          </cell>
          <cell r="V6636">
            <v>45517</v>
          </cell>
          <cell r="W6636">
            <v>45517</v>
          </cell>
          <cell r="X6636">
            <v>41100566</v>
          </cell>
        </row>
        <row r="6637">
          <cell r="K6637" t="str">
            <v>GBWS-4770</v>
          </cell>
          <cell r="L6637">
            <v>45499</v>
          </cell>
          <cell r="M6637">
            <v>45502</v>
          </cell>
          <cell r="N6637">
            <v>45506</v>
          </cell>
          <cell r="O6637">
            <v>45502</v>
          </cell>
          <cell r="P6637">
            <v>45510</v>
          </cell>
          <cell r="Q6637">
            <v>45509</v>
          </cell>
          <cell r="R6637">
            <v>45510</v>
          </cell>
          <cell r="S6637">
            <v>45510</v>
          </cell>
          <cell r="T6637">
            <v>45512</v>
          </cell>
          <cell r="U6637">
            <v>45516</v>
          </cell>
          <cell r="V6637">
            <v>45516</v>
          </cell>
          <cell r="W6637">
            <v>45516</v>
          </cell>
          <cell r="X6637">
            <v>41100558</v>
          </cell>
        </row>
        <row r="6638">
          <cell r="K6638" t="str">
            <v>GBWS-4771</v>
          </cell>
          <cell r="L6638">
            <v>45499</v>
          </cell>
          <cell r="M6638">
            <v>45502</v>
          </cell>
          <cell r="N6638">
            <v>45506</v>
          </cell>
          <cell r="O6638">
            <v>45502</v>
          </cell>
          <cell r="P6638">
            <v>45510</v>
          </cell>
          <cell r="Q6638">
            <v>45509</v>
          </cell>
          <cell r="R6638">
            <v>45510</v>
          </cell>
          <cell r="S6638">
            <v>45510</v>
          </cell>
          <cell r="T6638">
            <v>45512</v>
          </cell>
          <cell r="U6638">
            <v>45516</v>
          </cell>
          <cell r="V6638">
            <v>45516</v>
          </cell>
          <cell r="W6638">
            <v>45516</v>
          </cell>
          <cell r="X6638">
            <v>41100558</v>
          </cell>
        </row>
        <row r="6639">
          <cell r="K6639" t="str">
            <v>GBWS-4772</v>
          </cell>
          <cell r="L6639">
            <v>45499</v>
          </cell>
          <cell r="M6639">
            <v>45502</v>
          </cell>
          <cell r="N6639">
            <v>45506</v>
          </cell>
          <cell r="O6639">
            <v>45502</v>
          </cell>
          <cell r="P6639">
            <v>45510</v>
          </cell>
          <cell r="Q6639">
            <v>45509</v>
          </cell>
          <cell r="R6639">
            <v>45510</v>
          </cell>
          <cell r="S6639">
            <v>45510</v>
          </cell>
          <cell r="T6639">
            <v>45512</v>
          </cell>
          <cell r="U6639">
            <v>45516</v>
          </cell>
          <cell r="V6639">
            <v>45516</v>
          </cell>
          <cell r="W6639">
            <v>45516</v>
          </cell>
          <cell r="X6639">
            <v>41100558</v>
          </cell>
        </row>
        <row r="6640">
          <cell r="K6640" t="str">
            <v>GBWS-4773</v>
          </cell>
          <cell r="L6640">
            <v>45499</v>
          </cell>
          <cell r="M6640">
            <v>45502</v>
          </cell>
          <cell r="N6640">
            <v>45506</v>
          </cell>
          <cell r="O6640">
            <v>45502</v>
          </cell>
          <cell r="P6640">
            <v>45510</v>
          </cell>
          <cell r="Q6640">
            <v>45509</v>
          </cell>
          <cell r="R6640">
            <v>45510</v>
          </cell>
          <cell r="S6640">
            <v>45510</v>
          </cell>
          <cell r="T6640">
            <v>45512</v>
          </cell>
          <cell r="U6640">
            <v>45516</v>
          </cell>
          <cell r="V6640">
            <v>45516</v>
          </cell>
          <cell r="W6640">
            <v>45516</v>
          </cell>
          <cell r="X6640">
            <v>41100558</v>
          </cell>
        </row>
        <row r="6641">
          <cell r="K6641" t="str">
            <v>DBW-3424</v>
          </cell>
          <cell r="L6641">
            <v>45499</v>
          </cell>
          <cell r="M6641">
            <v>45502</v>
          </cell>
          <cell r="N6641">
            <v>45509</v>
          </cell>
          <cell r="O6641">
            <v>45502</v>
          </cell>
          <cell r="P6641">
            <v>45509</v>
          </cell>
          <cell r="Q6641">
            <v>45509</v>
          </cell>
          <cell r="R6641">
            <v>45510</v>
          </cell>
          <cell r="S6641">
            <v>45511</v>
          </cell>
          <cell r="T6641">
            <v>45512</v>
          </cell>
          <cell r="U6641">
            <v>45516</v>
          </cell>
          <cell r="V6641">
            <v>45516</v>
          </cell>
          <cell r="W6641">
            <v>45516</v>
          </cell>
          <cell r="X6641">
            <v>41100695</v>
          </cell>
        </row>
        <row r="6642">
          <cell r="K6642" t="str">
            <v>GBWS-4779</v>
          </cell>
          <cell r="L6642">
            <v>45503</v>
          </cell>
          <cell r="M6642">
            <v>45503</v>
          </cell>
          <cell r="N6642">
            <v>45509</v>
          </cell>
          <cell r="O6642">
            <v>45503</v>
          </cell>
          <cell r="P6642">
            <v>45510</v>
          </cell>
          <cell r="Q6642">
            <v>45509</v>
          </cell>
          <cell r="R6642">
            <v>45510</v>
          </cell>
          <cell r="S6642">
            <v>45511</v>
          </cell>
          <cell r="T6642">
            <v>45512</v>
          </cell>
          <cell r="U6642">
            <v>45516</v>
          </cell>
          <cell r="V6642">
            <v>45516</v>
          </cell>
          <cell r="W6642">
            <v>45516</v>
          </cell>
          <cell r="X6642">
            <v>41200006</v>
          </cell>
        </row>
        <row r="6643">
          <cell r="K6643" t="str">
            <v>GBWS-4780</v>
          </cell>
          <cell r="L6643">
            <v>45503</v>
          </cell>
          <cell r="M6643">
            <v>45503</v>
          </cell>
          <cell r="N6643">
            <v>45509</v>
          </cell>
          <cell r="O6643">
            <v>45503</v>
          </cell>
          <cell r="P6643">
            <v>45510</v>
          </cell>
          <cell r="Q6643">
            <v>45509</v>
          </cell>
          <cell r="R6643">
            <v>45510</v>
          </cell>
          <cell r="S6643">
            <v>45511</v>
          </cell>
          <cell r="T6643">
            <v>45512</v>
          </cell>
          <cell r="U6643">
            <v>45516</v>
          </cell>
          <cell r="V6643">
            <v>45516</v>
          </cell>
          <cell r="W6643">
            <v>45516</v>
          </cell>
          <cell r="X6643">
            <v>41200006</v>
          </cell>
        </row>
        <row r="6644">
          <cell r="K6644" t="str">
            <v>GBWS-4673</v>
          </cell>
          <cell r="L6644">
            <v>45469</v>
          </cell>
          <cell r="M6644">
            <v>45470</v>
          </cell>
          <cell r="N6644">
            <v>45478</v>
          </cell>
          <cell r="O6644">
            <v>45470</v>
          </cell>
          <cell r="P6644">
            <v>45481</v>
          </cell>
          <cell r="Q6644">
            <v>45478</v>
          </cell>
          <cell r="R6644">
            <v>45481</v>
          </cell>
          <cell r="S6644">
            <v>45481</v>
          </cell>
          <cell r="T6644">
            <v>45482</v>
          </cell>
          <cell r="U6644">
            <v>45484</v>
          </cell>
          <cell r="V6644">
            <v>45485</v>
          </cell>
          <cell r="W6644">
            <v>45485</v>
          </cell>
          <cell r="X6644">
            <v>41100550</v>
          </cell>
        </row>
        <row r="6645">
          <cell r="K6645" t="str">
            <v>GBWS-4674</v>
          </cell>
          <cell r="L6645">
            <v>45469</v>
          </cell>
          <cell r="M6645">
            <v>45470</v>
          </cell>
          <cell r="N6645">
            <v>45478</v>
          </cell>
          <cell r="O6645">
            <v>45470</v>
          </cell>
          <cell r="P6645">
            <v>45481</v>
          </cell>
          <cell r="Q6645">
            <v>45478</v>
          </cell>
          <cell r="R6645">
            <v>45481</v>
          </cell>
          <cell r="S6645">
            <v>45481</v>
          </cell>
          <cell r="T6645">
            <v>45482</v>
          </cell>
          <cell r="U6645">
            <v>45483</v>
          </cell>
          <cell r="V6645">
            <v>45484</v>
          </cell>
          <cell r="W6645">
            <v>45484</v>
          </cell>
          <cell r="X6645">
            <v>41100550</v>
          </cell>
        </row>
        <row r="6646">
          <cell r="K6646" t="str">
            <v>GBWS-4777</v>
          </cell>
          <cell r="L6646">
            <v>45502</v>
          </cell>
          <cell r="M6646">
            <v>45503</v>
          </cell>
          <cell r="N6646">
            <v>45509</v>
          </cell>
          <cell r="O6646">
            <v>45503</v>
          </cell>
          <cell r="P6646">
            <v>45510</v>
          </cell>
          <cell r="Q6646">
            <v>45509</v>
          </cell>
          <cell r="R6646">
            <v>45510</v>
          </cell>
          <cell r="S6646">
            <v>45511</v>
          </cell>
          <cell r="T6646">
            <v>45512</v>
          </cell>
          <cell r="U6646">
            <v>45516</v>
          </cell>
          <cell r="V6646">
            <v>45516</v>
          </cell>
          <cell r="W6646">
            <v>45516</v>
          </cell>
          <cell r="X6646">
            <v>41200007</v>
          </cell>
        </row>
        <row r="6647">
          <cell r="K6647" t="str">
            <v>GBWS-4778</v>
          </cell>
          <cell r="L6647">
            <v>45502</v>
          </cell>
          <cell r="M6647">
            <v>45503</v>
          </cell>
          <cell r="N6647">
            <v>45509</v>
          </cell>
          <cell r="O6647">
            <v>45503</v>
          </cell>
          <cell r="P6647">
            <v>45510</v>
          </cell>
          <cell r="Q6647">
            <v>45509</v>
          </cell>
          <cell r="R6647">
            <v>45510</v>
          </cell>
          <cell r="S6647">
            <v>45511</v>
          </cell>
          <cell r="T6647">
            <v>45512</v>
          </cell>
          <cell r="U6647">
            <v>45516</v>
          </cell>
          <cell r="V6647">
            <v>45516</v>
          </cell>
          <cell r="W6647">
            <v>45516</v>
          </cell>
          <cell r="X6647">
            <v>41200007</v>
          </cell>
        </row>
        <row r="6648">
          <cell r="K6648" t="str">
            <v>DBW-3409</v>
          </cell>
          <cell r="L6648">
            <v>45492</v>
          </cell>
          <cell r="M6648">
            <v>45495</v>
          </cell>
          <cell r="N6648">
            <v>45502</v>
          </cell>
          <cell r="O6648">
            <v>45495</v>
          </cell>
          <cell r="P6648">
            <v>45505</v>
          </cell>
          <cell r="Q6648">
            <v>45504</v>
          </cell>
          <cell r="R6648">
            <v>45505</v>
          </cell>
          <cell r="S6648">
            <v>45505</v>
          </cell>
          <cell r="T6648">
            <v>45506</v>
          </cell>
          <cell r="U6648">
            <v>45509</v>
          </cell>
          <cell r="V6648">
            <v>45510</v>
          </cell>
          <cell r="W6648">
            <v>45510</v>
          </cell>
          <cell r="X6648">
            <v>41000566</v>
          </cell>
        </row>
        <row r="6649">
          <cell r="K6649" t="str">
            <v>DBW-3410</v>
          </cell>
          <cell r="L6649">
            <v>45492</v>
          </cell>
          <cell r="M6649">
            <v>45495</v>
          </cell>
          <cell r="N6649">
            <v>45502</v>
          </cell>
          <cell r="O6649">
            <v>45495</v>
          </cell>
          <cell r="P6649">
            <v>45505</v>
          </cell>
          <cell r="Q6649">
            <v>45504</v>
          </cell>
          <cell r="R6649">
            <v>45505</v>
          </cell>
          <cell r="S6649">
            <v>45505</v>
          </cell>
          <cell r="T6649">
            <v>45506</v>
          </cell>
          <cell r="U6649">
            <v>45509</v>
          </cell>
          <cell r="V6649">
            <v>45510</v>
          </cell>
          <cell r="W6649">
            <v>45510</v>
          </cell>
          <cell r="X6649">
            <v>41000566</v>
          </cell>
        </row>
        <row r="6650">
          <cell r="K6650" t="str">
            <v>DBW-3411</v>
          </cell>
          <cell r="L6650">
            <v>45492</v>
          </cell>
          <cell r="M6650">
            <v>45495</v>
          </cell>
          <cell r="N6650">
            <v>45502</v>
          </cell>
          <cell r="O6650">
            <v>45495</v>
          </cell>
          <cell r="P6650">
            <v>45505</v>
          </cell>
          <cell r="Q6650">
            <v>45504</v>
          </cell>
          <cell r="R6650">
            <v>45505</v>
          </cell>
          <cell r="S6650">
            <v>45513</v>
          </cell>
          <cell r="T6650">
            <v>45513</v>
          </cell>
          <cell r="U6650">
            <v>45513</v>
          </cell>
          <cell r="V6650">
            <v>45513</v>
          </cell>
          <cell r="W6650">
            <v>45513</v>
          </cell>
          <cell r="X6650">
            <v>41000566</v>
          </cell>
        </row>
        <row r="6651">
          <cell r="K6651" t="str">
            <v>DBW-3412</v>
          </cell>
          <cell r="L6651">
            <v>45492</v>
          </cell>
          <cell r="M6651">
            <v>45495</v>
          </cell>
          <cell r="N6651">
            <v>45502</v>
          </cell>
          <cell r="O6651">
            <v>45495</v>
          </cell>
          <cell r="P6651">
            <v>45505</v>
          </cell>
          <cell r="Q6651">
            <v>45504</v>
          </cell>
          <cell r="R6651">
            <v>45505</v>
          </cell>
          <cell r="S6651">
            <v>45513</v>
          </cell>
          <cell r="T6651">
            <v>45513</v>
          </cell>
          <cell r="U6651">
            <v>45513</v>
          </cell>
          <cell r="V6651">
            <v>45513</v>
          </cell>
          <cell r="W6651">
            <v>45513</v>
          </cell>
          <cell r="X6651">
            <v>41000566</v>
          </cell>
        </row>
        <row r="6652">
          <cell r="K6652" t="str">
            <v>DBW-3420</v>
          </cell>
          <cell r="L6652">
            <v>45497</v>
          </cell>
          <cell r="M6652">
            <v>45498</v>
          </cell>
          <cell r="N6652">
            <v>45506</v>
          </cell>
          <cell r="O6652">
            <v>45498</v>
          </cell>
          <cell r="P6652">
            <v>45509</v>
          </cell>
          <cell r="Q6652">
            <v>45506</v>
          </cell>
          <cell r="R6652">
            <v>45509</v>
          </cell>
          <cell r="S6652">
            <v>45509</v>
          </cell>
          <cell r="T6652">
            <v>45511</v>
          </cell>
          <cell r="U6652">
            <v>45513</v>
          </cell>
          <cell r="V6652">
            <v>45513</v>
          </cell>
          <cell r="W6652">
            <v>45513</v>
          </cell>
          <cell r="X6652">
            <v>41000566</v>
          </cell>
        </row>
        <row r="6653">
          <cell r="K6653" t="str">
            <v>DBW-3421</v>
          </cell>
          <cell r="L6653">
            <v>45497</v>
          </cell>
          <cell r="M6653">
            <v>45498</v>
          </cell>
          <cell r="N6653">
            <v>45506</v>
          </cell>
          <cell r="O6653">
            <v>45498</v>
          </cell>
          <cell r="P6653">
            <v>45509</v>
          </cell>
          <cell r="Q6653">
            <v>45506</v>
          </cell>
          <cell r="R6653">
            <v>45509</v>
          </cell>
          <cell r="S6653">
            <v>45509</v>
          </cell>
          <cell r="T6653">
            <v>45511</v>
          </cell>
          <cell r="U6653">
            <v>45513</v>
          </cell>
          <cell r="V6653">
            <v>45513</v>
          </cell>
          <cell r="W6653">
            <v>45513</v>
          </cell>
          <cell r="X6653">
            <v>41000566</v>
          </cell>
        </row>
        <row r="6654">
          <cell r="K6654" t="str">
            <v>DBW-3422</v>
          </cell>
          <cell r="L6654">
            <v>45497</v>
          </cell>
          <cell r="M6654">
            <v>45498</v>
          </cell>
          <cell r="N6654">
            <v>45506</v>
          </cell>
          <cell r="O6654">
            <v>45498</v>
          </cell>
          <cell r="P6654">
            <v>45509</v>
          </cell>
          <cell r="Q6654">
            <v>45506</v>
          </cell>
          <cell r="R6654">
            <v>45509</v>
          </cell>
          <cell r="S6654">
            <v>45510</v>
          </cell>
          <cell r="T6654">
            <v>45510</v>
          </cell>
          <cell r="U6654">
            <v>45512</v>
          </cell>
          <cell r="V6654">
            <v>45512</v>
          </cell>
          <cell r="W6654">
            <v>45512</v>
          </cell>
          <cell r="X6654">
            <v>41000566</v>
          </cell>
        </row>
        <row r="6655">
          <cell r="K6655" t="str">
            <v>DBW-3423</v>
          </cell>
          <cell r="L6655">
            <v>45497</v>
          </cell>
          <cell r="M6655">
            <v>45498</v>
          </cell>
          <cell r="N6655">
            <v>45506</v>
          </cell>
          <cell r="O6655">
            <v>45498</v>
          </cell>
          <cell r="P6655">
            <v>45509</v>
          </cell>
          <cell r="Q6655">
            <v>45506</v>
          </cell>
          <cell r="R6655">
            <v>45509</v>
          </cell>
          <cell r="S6655">
            <v>45510</v>
          </cell>
          <cell r="T6655">
            <v>45511</v>
          </cell>
          <cell r="U6655">
            <v>45512</v>
          </cell>
          <cell r="V6655">
            <v>45512</v>
          </cell>
          <cell r="W6655">
            <v>45512</v>
          </cell>
          <cell r="X6655">
            <v>41000566</v>
          </cell>
        </row>
        <row r="6656">
          <cell r="K6656" t="str">
            <v>GBWS-4747</v>
          </cell>
          <cell r="L6656">
            <v>45492</v>
          </cell>
          <cell r="M6656">
            <v>45495</v>
          </cell>
          <cell r="N6656">
            <v>45499</v>
          </cell>
          <cell r="O6656">
            <v>45495</v>
          </cell>
          <cell r="P6656">
            <v>45504</v>
          </cell>
          <cell r="Q6656">
            <v>45503</v>
          </cell>
          <cell r="R6656">
            <v>45504</v>
          </cell>
          <cell r="S6656">
            <v>45506</v>
          </cell>
          <cell r="T6656">
            <v>45509</v>
          </cell>
          <cell r="U6656">
            <v>45511</v>
          </cell>
          <cell r="V6656">
            <v>45511</v>
          </cell>
          <cell r="W6656">
            <v>45511</v>
          </cell>
          <cell r="X6656">
            <v>41100350</v>
          </cell>
        </row>
        <row r="6657">
          <cell r="K6657" t="str">
            <v>GBWS-4764</v>
          </cell>
          <cell r="L6657">
            <v>45498</v>
          </cell>
          <cell r="M6657">
            <v>45499</v>
          </cell>
          <cell r="N6657">
            <v>45506</v>
          </cell>
          <cell r="O6657">
            <v>45499</v>
          </cell>
          <cell r="P6657">
            <v>45505</v>
          </cell>
          <cell r="Q6657">
            <v>45505</v>
          </cell>
          <cell r="R6657">
            <v>45506</v>
          </cell>
          <cell r="S6657">
            <v>45509</v>
          </cell>
          <cell r="T6657">
            <v>45510</v>
          </cell>
          <cell r="U6657">
            <v>45512</v>
          </cell>
          <cell r="V6657">
            <v>45512</v>
          </cell>
          <cell r="W6657">
            <v>45512</v>
          </cell>
          <cell r="X6657">
            <v>41100320</v>
          </cell>
        </row>
        <row r="6658">
          <cell r="K6658" t="str">
            <v>DBW-3425</v>
          </cell>
          <cell r="L6658">
            <v>45499</v>
          </cell>
          <cell r="M6658">
            <v>45502</v>
          </cell>
          <cell r="N6658">
            <v>45509</v>
          </cell>
          <cell r="O6658">
            <v>45502</v>
          </cell>
          <cell r="P6658">
            <v>45506</v>
          </cell>
          <cell r="Q6658" t="str">
            <v>2024-08-05 → 8/7</v>
          </cell>
          <cell r="R6658" t="str">
            <v>2024-08-06 → 8/8</v>
          </cell>
          <cell r="S6658">
            <v>45513</v>
          </cell>
          <cell r="T6658">
            <v>45516</v>
          </cell>
          <cell r="U6658">
            <v>45518</v>
          </cell>
          <cell r="V6658">
            <v>45518</v>
          </cell>
          <cell r="W6658">
            <v>45518</v>
          </cell>
          <cell r="X6658">
            <v>41000566</v>
          </cell>
        </row>
        <row r="6659">
          <cell r="K6659" t="str">
            <v>DBW-3426</v>
          </cell>
          <cell r="L6659">
            <v>45499</v>
          </cell>
          <cell r="M6659">
            <v>45502</v>
          </cell>
          <cell r="N6659">
            <v>45509</v>
          </cell>
          <cell r="O6659">
            <v>45502</v>
          </cell>
          <cell r="P6659">
            <v>45506</v>
          </cell>
          <cell r="Q6659" t="str">
            <v>2024-08-05 → 8/7</v>
          </cell>
          <cell r="R6659" t="str">
            <v>2024-08-06 → 8/8</v>
          </cell>
          <cell r="S6659">
            <v>45513</v>
          </cell>
          <cell r="T6659">
            <v>45516</v>
          </cell>
          <cell r="U6659">
            <v>45518</v>
          </cell>
          <cell r="V6659">
            <v>45518</v>
          </cell>
          <cell r="W6659">
            <v>45518</v>
          </cell>
          <cell r="X6659">
            <v>41000566</v>
          </cell>
        </row>
        <row r="6660">
          <cell r="K6660" t="str">
            <v>GBWS-4774</v>
          </cell>
          <cell r="L6660">
            <v>45499</v>
          </cell>
          <cell r="M6660">
            <v>45502</v>
          </cell>
          <cell r="N6660">
            <v>45509</v>
          </cell>
          <cell r="O6660">
            <v>45502</v>
          </cell>
          <cell r="P6660">
            <v>45506</v>
          </cell>
          <cell r="Q6660">
            <v>45510</v>
          </cell>
          <cell r="R6660">
            <v>45511</v>
          </cell>
          <cell r="S6660">
            <v>45513</v>
          </cell>
          <cell r="T6660">
            <v>45516</v>
          </cell>
          <cell r="U6660">
            <v>45518</v>
          </cell>
          <cell r="V6660">
            <v>45518</v>
          </cell>
          <cell r="W6660">
            <v>45518</v>
          </cell>
          <cell r="X6660">
            <v>41100317</v>
          </cell>
        </row>
        <row r="6661">
          <cell r="K6661" t="str">
            <v>GBWS-4653</v>
          </cell>
          <cell r="L6661">
            <v>45463</v>
          </cell>
          <cell r="M6661">
            <v>45464</v>
          </cell>
          <cell r="N6661">
            <v>45471</v>
          </cell>
          <cell r="O6661">
            <v>45464</v>
          </cell>
          <cell r="P6661">
            <v>45471</v>
          </cell>
          <cell r="Q6661">
            <v>45471</v>
          </cell>
          <cell r="R6661">
            <v>45474</v>
          </cell>
          <cell r="S6661">
            <v>45483</v>
          </cell>
          <cell r="T6661">
            <v>45485</v>
          </cell>
          <cell r="U6661">
            <v>45488</v>
          </cell>
          <cell r="V6661">
            <v>45489</v>
          </cell>
          <cell r="W6661">
            <v>45489</v>
          </cell>
          <cell r="X6661">
            <v>41100509</v>
          </cell>
        </row>
        <row r="6662">
          <cell r="K6662" t="str">
            <v>GBWS-4654</v>
          </cell>
          <cell r="L6662">
            <v>45463</v>
          </cell>
          <cell r="M6662">
            <v>45464</v>
          </cell>
          <cell r="N6662">
            <v>45471</v>
          </cell>
          <cell r="O6662">
            <v>45464</v>
          </cell>
          <cell r="P6662">
            <v>45471</v>
          </cell>
          <cell r="Q6662">
            <v>45471</v>
          </cell>
          <cell r="R6662">
            <v>45474</v>
          </cell>
          <cell r="S6662">
            <v>45483</v>
          </cell>
          <cell r="T6662">
            <v>45485</v>
          </cell>
          <cell r="U6662">
            <v>45488</v>
          </cell>
          <cell r="V6662">
            <v>45489</v>
          </cell>
          <cell r="W6662">
            <v>45489</v>
          </cell>
          <cell r="X6662">
            <v>41100509</v>
          </cell>
        </row>
        <row r="6663">
          <cell r="K6663" t="str">
            <v>GBWS-4789</v>
          </cell>
          <cell r="L6663">
            <v>45503</v>
          </cell>
          <cell r="M6663">
            <v>45504</v>
          </cell>
          <cell r="N6663">
            <v>45512</v>
          </cell>
          <cell r="O6663">
            <v>45504</v>
          </cell>
          <cell r="P6663">
            <v>45513</v>
          </cell>
          <cell r="Q6663">
            <v>45512</v>
          </cell>
          <cell r="R6663">
            <v>45513</v>
          </cell>
          <cell r="S6663">
            <v>45516</v>
          </cell>
          <cell r="T6663">
            <v>45517</v>
          </cell>
          <cell r="U6663">
            <v>45520</v>
          </cell>
          <cell r="V6663">
            <v>45520</v>
          </cell>
          <cell r="W6663">
            <v>45520</v>
          </cell>
          <cell r="X6663">
            <v>41100507</v>
          </cell>
        </row>
        <row r="6664">
          <cell r="K6664" t="str">
            <v>GBWS-4790</v>
          </cell>
          <cell r="L6664">
            <v>45503</v>
          </cell>
          <cell r="M6664">
            <v>45504</v>
          </cell>
          <cell r="N6664">
            <v>45512</v>
          </cell>
          <cell r="O6664">
            <v>45504</v>
          </cell>
          <cell r="P6664">
            <v>45513</v>
          </cell>
          <cell r="Q6664">
            <v>45512</v>
          </cell>
          <cell r="R6664">
            <v>45513</v>
          </cell>
          <cell r="S6664">
            <v>45516</v>
          </cell>
          <cell r="T6664">
            <v>45517</v>
          </cell>
          <cell r="U6664">
            <v>45520</v>
          </cell>
          <cell r="V6664">
            <v>45520</v>
          </cell>
          <cell r="W6664">
            <v>45520</v>
          </cell>
          <cell r="X6664">
            <v>41100507</v>
          </cell>
        </row>
        <row r="6665">
          <cell r="K6665" t="str">
            <v>GBWS-4791</v>
          </cell>
          <cell r="L6665">
            <v>45503</v>
          </cell>
          <cell r="M6665">
            <v>45504</v>
          </cell>
          <cell r="N6665">
            <v>45512</v>
          </cell>
          <cell r="O6665">
            <v>45504</v>
          </cell>
          <cell r="P6665">
            <v>45513</v>
          </cell>
          <cell r="Q6665">
            <v>45512</v>
          </cell>
          <cell r="R6665">
            <v>45513</v>
          </cell>
          <cell r="S6665">
            <v>45516</v>
          </cell>
          <cell r="T6665">
            <v>45517</v>
          </cell>
          <cell r="U6665">
            <v>45520</v>
          </cell>
          <cell r="V6665">
            <v>45520</v>
          </cell>
          <cell r="W6665">
            <v>45520</v>
          </cell>
          <cell r="X6665">
            <v>41100507</v>
          </cell>
        </row>
        <row r="6666">
          <cell r="K6666" t="str">
            <v>GBWS-4792</v>
          </cell>
          <cell r="L6666">
            <v>45503</v>
          </cell>
          <cell r="M6666">
            <v>45504</v>
          </cell>
          <cell r="N6666">
            <v>45512</v>
          </cell>
          <cell r="O6666">
            <v>45504</v>
          </cell>
          <cell r="P6666">
            <v>45513</v>
          </cell>
          <cell r="Q6666">
            <v>45512</v>
          </cell>
          <cell r="R6666">
            <v>45513</v>
          </cell>
          <cell r="S6666">
            <v>45516</v>
          </cell>
          <cell r="T6666">
            <v>45517</v>
          </cell>
          <cell r="U6666">
            <v>45520</v>
          </cell>
          <cell r="V6666">
            <v>45520</v>
          </cell>
          <cell r="W6666">
            <v>45520</v>
          </cell>
          <cell r="X6666">
            <v>41100507</v>
          </cell>
        </row>
        <row r="6667">
          <cell r="K6667" t="str">
            <v>DBW-3414</v>
          </cell>
          <cell r="L6667">
            <v>45496</v>
          </cell>
          <cell r="M6667">
            <v>45497</v>
          </cell>
          <cell r="N6667">
            <v>45504</v>
          </cell>
          <cell r="O6667">
            <v>45497</v>
          </cell>
          <cell r="P6667">
            <v>45505</v>
          </cell>
          <cell r="Q6667">
            <v>45504</v>
          </cell>
          <cell r="R6667">
            <v>45505</v>
          </cell>
          <cell r="S6667">
            <v>45505</v>
          </cell>
          <cell r="T6667">
            <v>45509</v>
          </cell>
          <cell r="U6667">
            <v>45511</v>
          </cell>
          <cell r="V6667">
            <v>45511</v>
          </cell>
          <cell r="W6667">
            <v>45511</v>
          </cell>
          <cell r="X6667">
            <v>41000587</v>
          </cell>
        </row>
        <row r="6668">
          <cell r="K6668" t="str">
            <v>GBWS-4781</v>
          </cell>
          <cell r="L6668">
            <v>45502</v>
          </cell>
          <cell r="M6668">
            <v>45503</v>
          </cell>
          <cell r="N6668">
            <v>45509</v>
          </cell>
          <cell r="O6668">
            <v>45503</v>
          </cell>
          <cell r="P6668">
            <v>45510</v>
          </cell>
          <cell r="Q6668" t="str">
            <v>2024-08-07 → 8/5</v>
          </cell>
          <cell r="R6668" t="str">
            <v>2024-08-08 → 8/6</v>
          </cell>
          <cell r="S6668">
            <v>45513</v>
          </cell>
          <cell r="T6668">
            <v>45516</v>
          </cell>
          <cell r="U6668">
            <v>45518</v>
          </cell>
          <cell r="V6668">
            <v>45518</v>
          </cell>
          <cell r="W6668">
            <v>45518</v>
          </cell>
          <cell r="X6668">
            <v>41200006</v>
          </cell>
        </row>
        <row r="6669">
          <cell r="K6669" t="str">
            <v>GBWS-4782</v>
          </cell>
          <cell r="L6669">
            <v>45502</v>
          </cell>
          <cell r="M6669">
            <v>45503</v>
          </cell>
          <cell r="N6669">
            <v>45509</v>
          </cell>
          <cell r="O6669">
            <v>45503</v>
          </cell>
          <cell r="P6669">
            <v>45510</v>
          </cell>
          <cell r="Q6669" t="str">
            <v>2024-08-07 → 8/5</v>
          </cell>
          <cell r="R6669" t="str">
            <v>2024-08-08 → 8/6</v>
          </cell>
          <cell r="S6669">
            <v>45513</v>
          </cell>
          <cell r="T6669">
            <v>45516</v>
          </cell>
          <cell r="U6669">
            <v>45518</v>
          </cell>
          <cell r="V6669">
            <v>45518</v>
          </cell>
          <cell r="W6669">
            <v>45518</v>
          </cell>
          <cell r="X6669">
            <v>41200006</v>
          </cell>
        </row>
        <row r="6670">
          <cell r="K6670" t="str">
            <v>GBWS-4794</v>
          </cell>
          <cell r="L6670">
            <v>45504</v>
          </cell>
          <cell r="M6670">
            <v>45505</v>
          </cell>
          <cell r="N6670">
            <v>45511</v>
          </cell>
          <cell r="O6670">
            <v>45505</v>
          </cell>
          <cell r="P6670">
            <v>45512</v>
          </cell>
          <cell r="Q6670">
            <v>45511</v>
          </cell>
          <cell r="R6670">
            <v>45512</v>
          </cell>
          <cell r="S6670">
            <v>45516</v>
          </cell>
          <cell r="T6670">
            <v>45517</v>
          </cell>
          <cell r="U6670">
            <v>45518</v>
          </cell>
          <cell r="V6670">
            <v>45523</v>
          </cell>
          <cell r="W6670">
            <v>45523</v>
          </cell>
          <cell r="X6670">
            <v>41100507</v>
          </cell>
        </row>
        <row r="6671">
          <cell r="K6671" t="str">
            <v>DBW-3427</v>
          </cell>
          <cell r="L6671">
            <v>45503</v>
          </cell>
          <cell r="M6671">
            <v>45503</v>
          </cell>
          <cell r="N6671">
            <v>45510</v>
          </cell>
          <cell r="O6671">
            <v>45503</v>
          </cell>
          <cell r="P6671">
            <v>45511</v>
          </cell>
          <cell r="Q6671">
            <v>45510</v>
          </cell>
          <cell r="R6671">
            <v>45511</v>
          </cell>
          <cell r="S6671">
            <v>45512</v>
          </cell>
          <cell r="T6671">
            <v>45516</v>
          </cell>
          <cell r="U6671">
            <v>45518</v>
          </cell>
          <cell r="V6671">
            <v>45518</v>
          </cell>
          <cell r="W6671">
            <v>45518</v>
          </cell>
          <cell r="X6671">
            <v>41200058</v>
          </cell>
        </row>
        <row r="6672">
          <cell r="K6672" t="str">
            <v>GBWS-4795</v>
          </cell>
          <cell r="L6672">
            <v>45505</v>
          </cell>
          <cell r="M6672">
            <v>45506</v>
          </cell>
          <cell r="N6672">
            <v>45512</v>
          </cell>
          <cell r="O6672">
            <v>45506</v>
          </cell>
          <cell r="P6672">
            <v>45513</v>
          </cell>
          <cell r="Q6672">
            <v>45513</v>
          </cell>
          <cell r="R6672">
            <v>45516</v>
          </cell>
          <cell r="S6672">
            <v>45516</v>
          </cell>
          <cell r="T6672">
            <v>45518</v>
          </cell>
          <cell r="U6672">
            <v>45523</v>
          </cell>
          <cell r="V6672">
            <v>45523</v>
          </cell>
          <cell r="W6672">
            <v>45523</v>
          </cell>
          <cell r="X6672">
            <v>41100662</v>
          </cell>
        </row>
        <row r="6673">
          <cell r="K6673" t="str">
            <v>DBW-3430</v>
          </cell>
          <cell r="L6673">
            <v>45503</v>
          </cell>
          <cell r="M6673">
            <v>45504</v>
          </cell>
          <cell r="N6673">
            <v>45510</v>
          </cell>
          <cell r="O6673">
            <v>45504</v>
          </cell>
          <cell r="P6673">
            <v>45510</v>
          </cell>
          <cell r="Q6673">
            <v>45510</v>
          </cell>
          <cell r="R6673">
            <v>45511</v>
          </cell>
          <cell r="S6673">
            <v>45512</v>
          </cell>
          <cell r="T6673">
            <v>45513</v>
          </cell>
          <cell r="U6673">
            <v>45517</v>
          </cell>
          <cell r="V6673">
            <v>45517</v>
          </cell>
          <cell r="W6673">
            <v>45517</v>
          </cell>
          <cell r="X6673">
            <v>41100696</v>
          </cell>
        </row>
        <row r="6674">
          <cell r="K6674" t="str">
            <v>GBWS-2947</v>
          </cell>
          <cell r="L6674">
            <v>44852</v>
          </cell>
          <cell r="M6674">
            <v>44853</v>
          </cell>
          <cell r="N6674">
            <v>44862</v>
          </cell>
          <cell r="O6674">
            <v>44853</v>
          </cell>
          <cell r="P6674">
            <v>44862</v>
          </cell>
          <cell r="Q6674">
            <v>44862</v>
          </cell>
          <cell r="R6674">
            <v>44862</v>
          </cell>
          <cell r="S6674">
            <v>44561</v>
          </cell>
          <cell r="T6674">
            <v>44866</v>
          </cell>
          <cell r="U6674">
            <v>44867</v>
          </cell>
          <cell r="V6674">
            <v>44868</v>
          </cell>
          <cell r="W6674">
            <v>44869</v>
          </cell>
          <cell r="X6674">
            <v>41100582</v>
          </cell>
        </row>
        <row r="6675">
          <cell r="K6675"/>
          <cell r="L6675">
            <v>45498</v>
          </cell>
          <cell r="M6675">
            <v>45498</v>
          </cell>
          <cell r="N6675">
            <v>45506</v>
          </cell>
          <cell r="O6675">
            <v>45498</v>
          </cell>
          <cell r="P6675">
            <v>45509</v>
          </cell>
          <cell r="Q6675">
            <v>45506</v>
          </cell>
          <cell r="R6675">
            <v>45509</v>
          </cell>
          <cell r="S6675">
            <v>45512</v>
          </cell>
          <cell r="T6675">
            <v>45516</v>
          </cell>
          <cell r="U6675">
            <v>45523</v>
          </cell>
          <cell r="V6675">
            <v>45523</v>
          </cell>
          <cell r="W6675">
            <v>45523</v>
          </cell>
          <cell r="X6675">
            <v>41100538</v>
          </cell>
        </row>
        <row r="6676">
          <cell r="K6676" t="str">
            <v>GBWS-4775</v>
          </cell>
          <cell r="L6676">
            <v>45502</v>
          </cell>
          <cell r="M6676">
            <v>45503</v>
          </cell>
          <cell r="N6676">
            <v>45509</v>
          </cell>
          <cell r="O6676">
            <v>45503</v>
          </cell>
          <cell r="P6676">
            <v>45511</v>
          </cell>
          <cell r="Q6676">
            <v>45510</v>
          </cell>
          <cell r="R6676">
            <v>45511</v>
          </cell>
          <cell r="S6676">
            <v>45512</v>
          </cell>
          <cell r="T6676">
            <v>45513</v>
          </cell>
          <cell r="U6676">
            <v>45517</v>
          </cell>
          <cell r="V6676">
            <v>45517</v>
          </cell>
          <cell r="W6676">
            <v>45517</v>
          </cell>
          <cell r="X6676">
            <v>41200006</v>
          </cell>
        </row>
        <row r="6677">
          <cell r="K6677" t="str">
            <v>GBWS-4776</v>
          </cell>
          <cell r="L6677">
            <v>45502</v>
          </cell>
          <cell r="M6677">
            <v>45503</v>
          </cell>
          <cell r="N6677">
            <v>45509</v>
          </cell>
          <cell r="O6677">
            <v>45503</v>
          </cell>
          <cell r="P6677">
            <v>45511</v>
          </cell>
          <cell r="Q6677">
            <v>45510</v>
          </cell>
          <cell r="R6677">
            <v>45511</v>
          </cell>
          <cell r="S6677">
            <v>45512</v>
          </cell>
          <cell r="T6677">
            <v>45513</v>
          </cell>
          <cell r="U6677">
            <v>45517</v>
          </cell>
          <cell r="V6677">
            <v>45517</v>
          </cell>
          <cell r="W6677">
            <v>45517</v>
          </cell>
          <cell r="X6677">
            <v>41200006</v>
          </cell>
        </row>
        <row r="6678">
          <cell r="K6678" t="str">
            <v>DBW-3415</v>
          </cell>
          <cell r="L6678">
            <v>45497</v>
          </cell>
          <cell r="M6678">
            <v>45498</v>
          </cell>
          <cell r="N6678">
            <v>45505</v>
          </cell>
          <cell r="O6678">
            <v>45498</v>
          </cell>
          <cell r="P6678">
            <v>45506</v>
          </cell>
          <cell r="Q6678">
            <v>45505</v>
          </cell>
          <cell r="R6678">
            <v>45506</v>
          </cell>
          <cell r="S6678">
            <v>45509</v>
          </cell>
          <cell r="T6678">
            <v>45510</v>
          </cell>
          <cell r="U6678">
            <v>45512</v>
          </cell>
          <cell r="V6678">
            <v>45512</v>
          </cell>
          <cell r="W6678">
            <v>45512</v>
          </cell>
          <cell r="X6678">
            <v>41000588</v>
          </cell>
        </row>
        <row r="6679">
          <cell r="K6679" t="str">
            <v>GBWS-4798</v>
          </cell>
          <cell r="L6679">
            <v>45506</v>
          </cell>
          <cell r="M6679">
            <v>45509</v>
          </cell>
          <cell r="N6679">
            <v>45516</v>
          </cell>
          <cell r="O6679">
            <v>45509</v>
          </cell>
          <cell r="P6679">
            <v>45517</v>
          </cell>
          <cell r="Q6679">
            <v>45516</v>
          </cell>
          <cell r="R6679">
            <v>45517</v>
          </cell>
          <cell r="S6679">
            <v>45517</v>
          </cell>
          <cell r="T6679">
            <v>45518</v>
          </cell>
          <cell r="U6679">
            <v>45523</v>
          </cell>
          <cell r="V6679">
            <v>45523</v>
          </cell>
          <cell r="W6679">
            <v>45523</v>
          </cell>
          <cell r="X6679">
            <v>41100320</v>
          </cell>
        </row>
        <row r="6680">
          <cell r="K6680" t="str">
            <v>GBWS-4799</v>
          </cell>
          <cell r="L6680">
            <v>45506</v>
          </cell>
          <cell r="M6680">
            <v>45509</v>
          </cell>
          <cell r="N6680">
            <v>45517</v>
          </cell>
          <cell r="O6680">
            <v>45509</v>
          </cell>
          <cell r="P6680">
            <v>45518</v>
          </cell>
          <cell r="Q6680" t="str">
            <v>2024-08-12 → 8/13</v>
          </cell>
          <cell r="R6680" t="str">
            <v>2024-08-13 → 8/14</v>
          </cell>
          <cell r="S6680">
            <v>45517</v>
          </cell>
          <cell r="T6680">
            <v>45518</v>
          </cell>
          <cell r="U6680">
            <v>45523</v>
          </cell>
          <cell r="V6680">
            <v>45523</v>
          </cell>
          <cell r="W6680">
            <v>45523</v>
          </cell>
          <cell r="X6680">
            <v>41100334</v>
          </cell>
        </row>
        <row r="6681">
          <cell r="K6681" t="str">
            <v>GBWS-4783</v>
          </cell>
          <cell r="L6681">
            <v>45503</v>
          </cell>
          <cell r="M6681">
            <v>45504</v>
          </cell>
          <cell r="N6681">
            <v>45511</v>
          </cell>
          <cell r="O6681">
            <v>45504</v>
          </cell>
          <cell r="P6681">
            <v>45512</v>
          </cell>
          <cell r="Q6681">
            <v>45511</v>
          </cell>
          <cell r="R6681">
            <v>45512</v>
          </cell>
          <cell r="S6681">
            <v>45516</v>
          </cell>
          <cell r="T6681">
            <v>45517</v>
          </cell>
          <cell r="U6681">
            <v>45518</v>
          </cell>
          <cell r="V6681">
            <v>45520</v>
          </cell>
          <cell r="W6681">
            <v>45520</v>
          </cell>
          <cell r="X6681">
            <v>41100363</v>
          </cell>
        </row>
        <row r="6682">
          <cell r="K6682" t="str">
            <v>GBWS-4784</v>
          </cell>
          <cell r="L6682">
            <v>45503</v>
          </cell>
          <cell r="M6682">
            <v>45504</v>
          </cell>
          <cell r="N6682">
            <v>45511</v>
          </cell>
          <cell r="O6682">
            <v>45504</v>
          </cell>
          <cell r="P6682">
            <v>45512</v>
          </cell>
          <cell r="Q6682">
            <v>45511</v>
          </cell>
          <cell r="R6682">
            <v>45512</v>
          </cell>
          <cell r="S6682">
            <v>45516</v>
          </cell>
          <cell r="T6682">
            <v>45517</v>
          </cell>
          <cell r="U6682">
            <v>45518</v>
          </cell>
          <cell r="V6682">
            <v>45520</v>
          </cell>
          <cell r="W6682">
            <v>45520</v>
          </cell>
          <cell r="X6682">
            <v>41100363</v>
          </cell>
        </row>
        <row r="6683">
          <cell r="K6683" t="str">
            <v>GBWS-4785</v>
          </cell>
          <cell r="L6683">
            <v>45503</v>
          </cell>
          <cell r="M6683">
            <v>45504</v>
          </cell>
          <cell r="N6683">
            <v>45512</v>
          </cell>
          <cell r="O6683">
            <v>45504</v>
          </cell>
          <cell r="P6683">
            <v>45512</v>
          </cell>
          <cell r="Q6683">
            <v>45513</v>
          </cell>
          <cell r="R6683">
            <v>45516</v>
          </cell>
          <cell r="S6683">
            <v>45517</v>
          </cell>
          <cell r="T6683">
            <v>45518</v>
          </cell>
          <cell r="U6683">
            <v>45523</v>
          </cell>
          <cell r="V6683">
            <v>45523</v>
          </cell>
          <cell r="W6683">
            <v>45523</v>
          </cell>
          <cell r="X6683">
            <v>41100363</v>
          </cell>
        </row>
        <row r="6684">
          <cell r="K6684" t="str">
            <v>GBWS-4786</v>
          </cell>
          <cell r="L6684">
            <v>45503</v>
          </cell>
          <cell r="M6684">
            <v>45504</v>
          </cell>
          <cell r="N6684">
            <v>45512</v>
          </cell>
          <cell r="O6684">
            <v>45504</v>
          </cell>
          <cell r="P6684">
            <v>45512</v>
          </cell>
          <cell r="Q6684">
            <v>45513</v>
          </cell>
          <cell r="R6684">
            <v>45516</v>
          </cell>
          <cell r="S6684">
            <v>45517</v>
          </cell>
          <cell r="T6684">
            <v>45518</v>
          </cell>
          <cell r="U6684">
            <v>45523</v>
          </cell>
          <cell r="V6684">
            <v>45523</v>
          </cell>
          <cell r="W6684">
            <v>45523</v>
          </cell>
          <cell r="X6684">
            <v>41100363</v>
          </cell>
        </row>
        <row r="6685">
          <cell r="K6685" t="str">
            <v>GBWS-4800</v>
          </cell>
          <cell r="L6685">
            <v>45506</v>
          </cell>
          <cell r="M6685">
            <v>45509</v>
          </cell>
          <cell r="N6685">
            <v>45516</v>
          </cell>
          <cell r="O6685">
            <v>45509</v>
          </cell>
          <cell r="P6685">
            <v>45517</v>
          </cell>
          <cell r="Q6685">
            <v>45516</v>
          </cell>
          <cell r="R6685">
            <v>45517</v>
          </cell>
          <cell r="S6685">
            <v>45517</v>
          </cell>
          <cell r="T6685">
            <v>45518</v>
          </cell>
          <cell r="U6685">
            <v>45523</v>
          </cell>
          <cell r="V6685">
            <v>45523</v>
          </cell>
          <cell r="W6685">
            <v>45523</v>
          </cell>
          <cell r="X6685">
            <v>41100363</v>
          </cell>
        </row>
        <row r="6686">
          <cell r="K6686" t="str">
            <v>GBWS-4801</v>
          </cell>
          <cell r="L6686">
            <v>45506</v>
          </cell>
          <cell r="M6686">
            <v>45509</v>
          </cell>
          <cell r="N6686">
            <v>45516</v>
          </cell>
          <cell r="O6686">
            <v>45509</v>
          </cell>
          <cell r="P6686">
            <v>45517</v>
          </cell>
          <cell r="Q6686">
            <v>45516</v>
          </cell>
          <cell r="R6686">
            <v>45517</v>
          </cell>
          <cell r="S6686">
            <v>45517</v>
          </cell>
          <cell r="T6686">
            <v>45518</v>
          </cell>
          <cell r="U6686">
            <v>45523</v>
          </cell>
          <cell r="V6686">
            <v>45523</v>
          </cell>
          <cell r="W6686">
            <v>45523</v>
          </cell>
          <cell r="X6686">
            <v>41100363</v>
          </cell>
        </row>
        <row r="6687">
          <cell r="K6687" t="str">
            <v>GBWS-4787</v>
          </cell>
          <cell r="L6687">
            <v>45503</v>
          </cell>
          <cell r="M6687">
            <v>45504</v>
          </cell>
          <cell r="N6687">
            <v>45511</v>
          </cell>
          <cell r="O6687">
            <v>45504</v>
          </cell>
          <cell r="P6687">
            <v>45512</v>
          </cell>
          <cell r="Q6687">
            <v>45511</v>
          </cell>
          <cell r="R6687">
            <v>45512</v>
          </cell>
          <cell r="S6687">
            <v>45517</v>
          </cell>
          <cell r="T6687">
            <v>45518</v>
          </cell>
          <cell r="U6687">
            <v>45523</v>
          </cell>
          <cell r="V6687">
            <v>45523</v>
          </cell>
          <cell r="W6687">
            <v>45523</v>
          </cell>
          <cell r="X6687">
            <v>41100374</v>
          </cell>
        </row>
        <row r="6688">
          <cell r="K6688" t="str">
            <v>GBWS-4788</v>
          </cell>
          <cell r="L6688">
            <v>45503</v>
          </cell>
          <cell r="M6688">
            <v>45504</v>
          </cell>
          <cell r="N6688">
            <v>45512</v>
          </cell>
          <cell r="O6688">
            <v>45504</v>
          </cell>
          <cell r="P6688">
            <v>45512</v>
          </cell>
          <cell r="Q6688">
            <v>45512</v>
          </cell>
          <cell r="R6688">
            <v>45513</v>
          </cell>
          <cell r="S6688">
            <v>45517</v>
          </cell>
          <cell r="T6688">
            <v>45518</v>
          </cell>
          <cell r="U6688">
            <v>45523</v>
          </cell>
          <cell r="V6688">
            <v>45523</v>
          </cell>
          <cell r="W6688">
            <v>45523</v>
          </cell>
          <cell r="X6688">
            <v>41100318</v>
          </cell>
        </row>
        <row r="6689">
          <cell r="K6689" t="str">
            <v>DBW-3436</v>
          </cell>
          <cell r="L6689">
            <v>45503</v>
          </cell>
          <cell r="M6689">
            <v>45504</v>
          </cell>
          <cell r="N6689">
            <v>45512</v>
          </cell>
          <cell r="O6689">
            <v>45504</v>
          </cell>
          <cell r="P6689">
            <v>45513</v>
          </cell>
          <cell r="Q6689">
            <v>45512</v>
          </cell>
          <cell r="R6689">
            <v>45513</v>
          </cell>
          <cell r="S6689">
            <v>45516</v>
          </cell>
          <cell r="T6689">
            <v>45517</v>
          </cell>
          <cell r="U6689">
            <v>45518</v>
          </cell>
          <cell r="V6689">
            <v>45520</v>
          </cell>
          <cell r="W6689">
            <v>45520</v>
          </cell>
          <cell r="X6689">
            <v>41000584</v>
          </cell>
        </row>
        <row r="6690">
          <cell r="K6690" t="str">
            <v>DBW-3437</v>
          </cell>
          <cell r="L6690">
            <v>45503</v>
          </cell>
          <cell r="M6690">
            <v>45504</v>
          </cell>
          <cell r="N6690">
            <v>45512</v>
          </cell>
          <cell r="O6690">
            <v>45504</v>
          </cell>
          <cell r="P6690">
            <v>45513</v>
          </cell>
          <cell r="Q6690">
            <v>45512</v>
          </cell>
          <cell r="R6690">
            <v>45513</v>
          </cell>
          <cell r="S6690">
            <v>45516</v>
          </cell>
          <cell r="T6690">
            <v>45517</v>
          </cell>
          <cell r="U6690">
            <v>45518</v>
          </cell>
          <cell r="V6690">
            <v>45520</v>
          </cell>
          <cell r="W6690">
            <v>45520</v>
          </cell>
          <cell r="X6690">
            <v>41000584</v>
          </cell>
        </row>
        <row r="6691">
          <cell r="K6691" t="str">
            <v>WS-0092</v>
          </cell>
          <cell r="L6691">
            <v>45506</v>
          </cell>
          <cell r="M6691">
            <v>45509</v>
          </cell>
          <cell r="N6691">
            <v>45516</v>
          </cell>
          <cell r="O6691">
            <v>45509</v>
          </cell>
          <cell r="P6691">
            <v>45517</v>
          </cell>
          <cell r="Q6691">
            <v>45516</v>
          </cell>
          <cell r="R6691">
            <v>45517</v>
          </cell>
          <cell r="S6691">
            <v>45520</v>
          </cell>
          <cell r="T6691">
            <v>45523</v>
          </cell>
          <cell r="U6691">
            <v>45524</v>
          </cell>
          <cell r="V6691">
            <v>45524</v>
          </cell>
          <cell r="W6691">
            <v>45524</v>
          </cell>
          <cell r="X6691">
            <v>41100435</v>
          </cell>
        </row>
        <row r="6692">
          <cell r="K6692" t="str">
            <v>WS-0093</v>
          </cell>
          <cell r="L6692">
            <v>45506</v>
          </cell>
          <cell r="M6692">
            <v>45509</v>
          </cell>
          <cell r="N6692">
            <v>45516</v>
          </cell>
          <cell r="O6692">
            <v>45509</v>
          </cell>
          <cell r="P6692">
            <v>45517</v>
          </cell>
          <cell r="Q6692">
            <v>45516</v>
          </cell>
          <cell r="R6692">
            <v>45517</v>
          </cell>
          <cell r="S6692">
            <v>45520</v>
          </cell>
          <cell r="T6692">
            <v>45523</v>
          </cell>
          <cell r="U6692">
            <v>45524</v>
          </cell>
          <cell r="V6692">
            <v>45524</v>
          </cell>
          <cell r="W6692">
            <v>45524</v>
          </cell>
          <cell r="X6692">
            <v>41100435</v>
          </cell>
        </row>
        <row r="6693">
          <cell r="K6693" t="str">
            <v>GBWS-4802</v>
          </cell>
          <cell r="L6693">
            <v>45506</v>
          </cell>
          <cell r="M6693">
            <v>45509</v>
          </cell>
          <cell r="N6693">
            <v>45517</v>
          </cell>
          <cell r="O6693">
            <v>45509</v>
          </cell>
          <cell r="P6693">
            <v>45518</v>
          </cell>
          <cell r="Q6693" t="str">
            <v>2024-08-12 → 8/13</v>
          </cell>
          <cell r="R6693" t="str">
            <v>2024-08-13 → 8/14</v>
          </cell>
          <cell r="S6693">
            <v>45518</v>
          </cell>
          <cell r="T6693">
            <v>45520</v>
          </cell>
          <cell r="U6693">
            <v>45523</v>
          </cell>
          <cell r="V6693">
            <v>45524</v>
          </cell>
          <cell r="W6693">
            <v>45524</v>
          </cell>
          <cell r="X6693">
            <v>41100372</v>
          </cell>
        </row>
        <row r="6694">
          <cell r="K6694" t="str">
            <v>DBW-3431</v>
          </cell>
          <cell r="L6694">
            <v>45503</v>
          </cell>
          <cell r="M6694">
            <v>45504</v>
          </cell>
          <cell r="N6694">
            <v>45513</v>
          </cell>
          <cell r="O6694">
            <v>45504</v>
          </cell>
          <cell r="P6694">
            <v>45513</v>
          </cell>
          <cell r="Q6694">
            <v>45513</v>
          </cell>
          <cell r="R6694">
            <v>45516</v>
          </cell>
          <cell r="S6694">
            <v>45516</v>
          </cell>
          <cell r="T6694">
            <v>45517</v>
          </cell>
          <cell r="U6694">
            <v>45518</v>
          </cell>
          <cell r="V6694">
            <v>45520</v>
          </cell>
          <cell r="W6694">
            <v>45520</v>
          </cell>
          <cell r="X6694">
            <v>41000566</v>
          </cell>
        </row>
        <row r="6695">
          <cell r="K6695" t="str">
            <v>DBW-3432</v>
          </cell>
          <cell r="L6695">
            <v>45503</v>
          </cell>
          <cell r="M6695">
            <v>45504</v>
          </cell>
          <cell r="N6695">
            <v>45513</v>
          </cell>
          <cell r="O6695">
            <v>45504</v>
          </cell>
          <cell r="P6695">
            <v>45513</v>
          </cell>
          <cell r="Q6695">
            <v>45513</v>
          </cell>
          <cell r="R6695">
            <v>45516</v>
          </cell>
          <cell r="S6695">
            <v>45516</v>
          </cell>
          <cell r="T6695">
            <v>45517</v>
          </cell>
          <cell r="U6695">
            <v>45518</v>
          </cell>
          <cell r="V6695">
            <v>45520</v>
          </cell>
          <cell r="W6695">
            <v>45520</v>
          </cell>
          <cell r="X6695">
            <v>41000566</v>
          </cell>
        </row>
        <row r="6696">
          <cell r="K6696" t="str">
            <v>DBW-3433</v>
          </cell>
          <cell r="L6696">
            <v>45503</v>
          </cell>
          <cell r="M6696">
            <v>45504</v>
          </cell>
          <cell r="N6696">
            <v>45513</v>
          </cell>
          <cell r="O6696">
            <v>45504</v>
          </cell>
          <cell r="P6696">
            <v>45513</v>
          </cell>
          <cell r="Q6696">
            <v>45513</v>
          </cell>
          <cell r="R6696">
            <v>45516</v>
          </cell>
          <cell r="S6696">
            <v>45520</v>
          </cell>
          <cell r="T6696">
            <v>45523</v>
          </cell>
          <cell r="U6696">
            <v>45525</v>
          </cell>
          <cell r="V6696">
            <v>45525</v>
          </cell>
          <cell r="W6696">
            <v>45525</v>
          </cell>
          <cell r="X6696">
            <v>41000566</v>
          </cell>
        </row>
        <row r="6697">
          <cell r="K6697" t="str">
            <v>DBW-3434</v>
          </cell>
          <cell r="L6697">
            <v>45503</v>
          </cell>
          <cell r="M6697">
            <v>45504</v>
          </cell>
          <cell r="N6697">
            <v>45513</v>
          </cell>
          <cell r="O6697">
            <v>45504</v>
          </cell>
          <cell r="P6697">
            <v>45513</v>
          </cell>
          <cell r="Q6697">
            <v>45513</v>
          </cell>
          <cell r="R6697">
            <v>45516</v>
          </cell>
          <cell r="S6697">
            <v>45520</v>
          </cell>
          <cell r="T6697">
            <v>45523</v>
          </cell>
          <cell r="U6697">
            <v>45525</v>
          </cell>
          <cell r="V6697">
            <v>45525</v>
          </cell>
          <cell r="W6697">
            <v>45525</v>
          </cell>
          <cell r="X6697">
            <v>41000566</v>
          </cell>
        </row>
        <row r="6698">
          <cell r="K6698" t="str">
            <v>DBW-3435</v>
          </cell>
          <cell r="L6698">
            <v>45503</v>
          </cell>
          <cell r="M6698">
            <v>45504</v>
          </cell>
          <cell r="N6698">
            <v>45513</v>
          </cell>
          <cell r="O6698">
            <v>45504</v>
          </cell>
          <cell r="P6698">
            <v>45513</v>
          </cell>
          <cell r="Q6698">
            <v>45513</v>
          </cell>
          <cell r="R6698">
            <v>45516</v>
          </cell>
          <cell r="S6698">
            <v>45520</v>
          </cell>
          <cell r="T6698">
            <v>45523</v>
          </cell>
          <cell r="U6698">
            <v>45525</v>
          </cell>
          <cell r="V6698">
            <v>45525</v>
          </cell>
          <cell r="W6698">
            <v>45525</v>
          </cell>
          <cell r="X6698">
            <v>41000566</v>
          </cell>
        </row>
        <row r="6699">
          <cell r="K6699" t="str">
            <v>DBW-3438</v>
          </cell>
          <cell r="L6699">
            <v>45506</v>
          </cell>
          <cell r="M6699">
            <v>45509</v>
          </cell>
          <cell r="N6699">
            <v>45516</v>
          </cell>
          <cell r="O6699">
            <v>45509</v>
          </cell>
          <cell r="P6699">
            <v>45516</v>
          </cell>
          <cell r="Q6699">
            <v>45516</v>
          </cell>
          <cell r="R6699">
            <v>45517</v>
          </cell>
          <cell r="S6699">
            <v>45518</v>
          </cell>
          <cell r="T6699">
            <v>45520</v>
          </cell>
          <cell r="U6699">
            <v>45523</v>
          </cell>
          <cell r="V6699">
            <v>45524</v>
          </cell>
          <cell r="W6699">
            <v>45524</v>
          </cell>
          <cell r="X6699">
            <v>41000567</v>
          </cell>
        </row>
        <row r="6700">
          <cell r="K6700" t="str">
            <v>DBW-3439</v>
          </cell>
          <cell r="L6700">
            <v>45506</v>
          </cell>
          <cell r="M6700">
            <v>45509</v>
          </cell>
          <cell r="N6700">
            <v>45516</v>
          </cell>
          <cell r="O6700">
            <v>45509</v>
          </cell>
          <cell r="P6700">
            <v>45516</v>
          </cell>
          <cell r="Q6700">
            <v>45516</v>
          </cell>
          <cell r="R6700">
            <v>45517</v>
          </cell>
          <cell r="S6700">
            <v>45518</v>
          </cell>
          <cell r="T6700">
            <v>45520</v>
          </cell>
          <cell r="U6700">
            <v>45523</v>
          </cell>
          <cell r="V6700">
            <v>45524</v>
          </cell>
          <cell r="W6700">
            <v>45524</v>
          </cell>
          <cell r="X6700">
            <v>41000567</v>
          </cell>
        </row>
        <row r="6701">
          <cell r="K6701" t="str">
            <v>DBW-3440</v>
          </cell>
          <cell r="L6701">
            <v>45506</v>
          </cell>
          <cell r="M6701">
            <v>45509</v>
          </cell>
          <cell r="N6701">
            <v>45516</v>
          </cell>
          <cell r="O6701">
            <v>45509</v>
          </cell>
          <cell r="P6701">
            <v>45516</v>
          </cell>
          <cell r="Q6701">
            <v>45516</v>
          </cell>
          <cell r="R6701">
            <v>45517</v>
          </cell>
          <cell r="S6701">
            <v>45518</v>
          </cell>
          <cell r="T6701">
            <v>45520</v>
          </cell>
          <cell r="U6701">
            <v>45523</v>
          </cell>
          <cell r="V6701">
            <v>45524</v>
          </cell>
          <cell r="W6701">
            <v>45524</v>
          </cell>
          <cell r="X6701">
            <v>41000567</v>
          </cell>
        </row>
        <row r="6702">
          <cell r="K6702" t="str">
            <v>DBW-3441</v>
          </cell>
          <cell r="L6702">
            <v>45506</v>
          </cell>
          <cell r="M6702">
            <v>45509</v>
          </cell>
          <cell r="N6702">
            <v>45516</v>
          </cell>
          <cell r="O6702">
            <v>45509</v>
          </cell>
          <cell r="P6702">
            <v>45516</v>
          </cell>
          <cell r="Q6702">
            <v>45516</v>
          </cell>
          <cell r="R6702">
            <v>45517</v>
          </cell>
          <cell r="S6702">
            <v>45518</v>
          </cell>
          <cell r="T6702">
            <v>45520</v>
          </cell>
          <cell r="U6702">
            <v>45523</v>
          </cell>
          <cell r="V6702">
            <v>45524</v>
          </cell>
          <cell r="W6702">
            <v>45524</v>
          </cell>
          <cell r="X6702">
            <v>41000567</v>
          </cell>
        </row>
        <row r="6703">
          <cell r="K6703" t="str">
            <v>DBW-3442</v>
          </cell>
          <cell r="L6703">
            <v>45506</v>
          </cell>
          <cell r="M6703">
            <v>45509</v>
          </cell>
          <cell r="N6703">
            <v>45516</v>
          </cell>
          <cell r="O6703">
            <v>45509</v>
          </cell>
          <cell r="P6703">
            <v>45516</v>
          </cell>
          <cell r="Q6703">
            <v>45516</v>
          </cell>
          <cell r="R6703">
            <v>45517</v>
          </cell>
          <cell r="S6703">
            <v>45518</v>
          </cell>
          <cell r="T6703">
            <v>45520</v>
          </cell>
          <cell r="U6703">
            <v>45523</v>
          </cell>
          <cell r="V6703">
            <v>45524</v>
          </cell>
          <cell r="W6703">
            <v>45524</v>
          </cell>
          <cell r="X6703">
            <v>41000567</v>
          </cell>
        </row>
        <row r="6704">
          <cell r="K6704" t="str">
            <v>DBW-3453</v>
          </cell>
          <cell r="L6704">
            <v>45506</v>
          </cell>
          <cell r="M6704">
            <v>45510</v>
          </cell>
          <cell r="N6704">
            <v>45516</v>
          </cell>
          <cell r="O6704">
            <v>45510</v>
          </cell>
          <cell r="P6704">
            <v>45518</v>
          </cell>
          <cell r="Q6704" t="str">
            <v>2024-08-12 → 8/13</v>
          </cell>
          <cell r="R6704" t="str">
            <v>2024-08-13 → 8/14</v>
          </cell>
          <cell r="S6704">
            <v>45518</v>
          </cell>
          <cell r="T6704">
            <v>45520</v>
          </cell>
          <cell r="U6704">
            <v>45523</v>
          </cell>
          <cell r="V6704">
            <v>45524</v>
          </cell>
          <cell r="W6704">
            <v>45524</v>
          </cell>
          <cell r="X6704">
            <v>41000587</v>
          </cell>
        </row>
        <row r="6705">
          <cell r="K6705" t="str">
            <v>DBW-3454</v>
          </cell>
          <cell r="L6705">
            <v>45506</v>
          </cell>
          <cell r="M6705">
            <v>45510</v>
          </cell>
          <cell r="N6705">
            <v>45516</v>
          </cell>
          <cell r="O6705">
            <v>45510</v>
          </cell>
          <cell r="P6705">
            <v>45518</v>
          </cell>
          <cell r="Q6705" t="str">
            <v>2024-08-12 → 8/13</v>
          </cell>
          <cell r="R6705" t="str">
            <v>2024-08-13 → 8/14</v>
          </cell>
          <cell r="S6705">
            <v>45518</v>
          </cell>
          <cell r="T6705">
            <v>45520</v>
          </cell>
          <cell r="U6705">
            <v>45523</v>
          </cell>
          <cell r="V6705">
            <v>45524</v>
          </cell>
          <cell r="W6705">
            <v>45524</v>
          </cell>
          <cell r="X6705">
            <v>41000587</v>
          </cell>
        </row>
        <row r="6706">
          <cell r="K6706" t="str">
            <v>GBWS-4812</v>
          </cell>
          <cell r="L6706">
            <v>45511</v>
          </cell>
          <cell r="M6706">
            <v>45512</v>
          </cell>
          <cell r="N6706">
            <v>45520</v>
          </cell>
          <cell r="O6706">
            <v>45512</v>
          </cell>
          <cell r="P6706">
            <v>45523</v>
          </cell>
          <cell r="Q6706">
            <v>45520</v>
          </cell>
          <cell r="R6706">
            <v>45523</v>
          </cell>
          <cell r="S6706">
            <v>45524</v>
          </cell>
          <cell r="T6706">
            <v>45525</v>
          </cell>
          <cell r="U6706">
            <v>45526</v>
          </cell>
          <cell r="V6706">
            <v>45526</v>
          </cell>
          <cell r="W6706">
            <v>45526</v>
          </cell>
          <cell r="X6706">
            <v>41100611</v>
          </cell>
        </row>
        <row r="6707">
          <cell r="K6707" t="str">
            <v>GBWS-4813</v>
          </cell>
          <cell r="L6707">
            <v>45511</v>
          </cell>
          <cell r="M6707">
            <v>45512</v>
          </cell>
          <cell r="N6707">
            <v>45520</v>
          </cell>
          <cell r="O6707">
            <v>45512</v>
          </cell>
          <cell r="P6707">
            <v>45523</v>
          </cell>
          <cell r="Q6707">
            <v>45520</v>
          </cell>
          <cell r="R6707">
            <v>45523</v>
          </cell>
          <cell r="S6707">
            <v>45524</v>
          </cell>
          <cell r="T6707">
            <v>45525</v>
          </cell>
          <cell r="U6707">
            <v>45526</v>
          </cell>
          <cell r="V6707">
            <v>45526</v>
          </cell>
          <cell r="W6707">
            <v>45526</v>
          </cell>
          <cell r="X6707">
            <v>41100611</v>
          </cell>
        </row>
        <row r="6708">
          <cell r="K6708" t="str">
            <v>GBWS-4808</v>
          </cell>
          <cell r="L6708">
            <v>45511</v>
          </cell>
          <cell r="M6708" t="str">
            <v>2024-08-21 → 8/8</v>
          </cell>
          <cell r="N6708">
            <v>45520</v>
          </cell>
          <cell r="O6708" t="str">
            <v>2024-08-21 → 8/8</v>
          </cell>
          <cell r="P6708">
            <v>45523</v>
          </cell>
          <cell r="Q6708" t="str">
            <v>2024-08-27 → 8/16</v>
          </cell>
          <cell r="R6708" t="str">
            <v>2024-08-28 → 8/19</v>
          </cell>
          <cell r="S6708">
            <v>45524</v>
          </cell>
          <cell r="T6708">
            <v>45525</v>
          </cell>
          <cell r="U6708">
            <v>45526</v>
          </cell>
          <cell r="V6708">
            <v>45526</v>
          </cell>
          <cell r="W6708">
            <v>45526</v>
          </cell>
          <cell r="X6708">
            <v>41100662</v>
          </cell>
        </row>
        <row r="6709">
          <cell r="K6709" t="str">
            <v>GBWS-4809</v>
          </cell>
          <cell r="L6709">
            <v>45511</v>
          </cell>
          <cell r="M6709" t="str">
            <v>2024-08-21 → 8/8</v>
          </cell>
          <cell r="N6709">
            <v>45520</v>
          </cell>
          <cell r="O6709" t="str">
            <v>2024-08-21 → 8/8</v>
          </cell>
          <cell r="P6709">
            <v>45523</v>
          </cell>
          <cell r="Q6709" t="str">
            <v>2024-08-29 → 8/16</v>
          </cell>
          <cell r="R6709" t="str">
            <v>2024-08-30 → 8/19</v>
          </cell>
          <cell r="S6709">
            <v>45524</v>
          </cell>
          <cell r="T6709">
            <v>45525</v>
          </cell>
          <cell r="U6709">
            <v>45526</v>
          </cell>
          <cell r="V6709">
            <v>45526</v>
          </cell>
          <cell r="W6709">
            <v>45526</v>
          </cell>
          <cell r="X6709">
            <v>41100662</v>
          </cell>
        </row>
        <row r="6710">
          <cell r="K6710" t="str">
            <v>GBWS-4810</v>
          </cell>
          <cell r="L6710">
            <v>45511</v>
          </cell>
          <cell r="M6710" t="str">
            <v>2024-08-21 → 8/8</v>
          </cell>
          <cell r="N6710">
            <v>45520</v>
          </cell>
          <cell r="O6710" t="str">
            <v>2024-08-21 → 8/8</v>
          </cell>
          <cell r="P6710">
            <v>45523</v>
          </cell>
          <cell r="Q6710" t="str">
            <v>2024-08-29 → 8/16</v>
          </cell>
          <cell r="R6710" t="str">
            <v>2024-08-30 → 8/19</v>
          </cell>
          <cell r="S6710">
            <v>45524</v>
          </cell>
          <cell r="T6710">
            <v>45525</v>
          </cell>
          <cell r="U6710">
            <v>45526</v>
          </cell>
          <cell r="V6710">
            <v>45526</v>
          </cell>
          <cell r="W6710">
            <v>45526</v>
          </cell>
          <cell r="X6710">
            <v>41100662</v>
          </cell>
        </row>
        <row r="6711">
          <cell r="K6711" t="str">
            <v>GBWS-4811</v>
          </cell>
          <cell r="L6711">
            <v>45511</v>
          </cell>
          <cell r="M6711" t="str">
            <v>2024-08-21 → 8/8</v>
          </cell>
          <cell r="N6711">
            <v>45520</v>
          </cell>
          <cell r="O6711" t="str">
            <v>2024-08-21 → 8/8</v>
          </cell>
          <cell r="P6711">
            <v>45523</v>
          </cell>
          <cell r="Q6711" t="str">
            <v>2024-08-29 → 8/16</v>
          </cell>
          <cell r="R6711" t="str">
            <v>2024-08-30 → 8/19</v>
          </cell>
          <cell r="S6711">
            <v>45524</v>
          </cell>
          <cell r="T6711">
            <v>45525</v>
          </cell>
          <cell r="U6711">
            <v>45526</v>
          </cell>
          <cell r="V6711">
            <v>45526</v>
          </cell>
          <cell r="W6711">
            <v>45526</v>
          </cell>
          <cell r="X6711">
            <v>41100662</v>
          </cell>
        </row>
        <row r="6712">
          <cell r="K6712" t="str">
            <v>GBWS-4806</v>
          </cell>
          <cell r="L6712">
            <v>45510</v>
          </cell>
          <cell r="M6712">
            <v>45511</v>
          </cell>
          <cell r="N6712">
            <v>45518</v>
          </cell>
          <cell r="O6712">
            <v>45511</v>
          </cell>
          <cell r="P6712">
            <v>45520</v>
          </cell>
          <cell r="Q6712">
            <v>45518</v>
          </cell>
          <cell r="R6712">
            <v>45520</v>
          </cell>
          <cell r="S6712">
            <v>45523</v>
          </cell>
          <cell r="T6712">
            <v>45524</v>
          </cell>
          <cell r="U6712">
            <v>45525</v>
          </cell>
          <cell r="V6712">
            <v>45526</v>
          </cell>
          <cell r="W6712">
            <v>45526</v>
          </cell>
          <cell r="X6712">
            <v>41100566</v>
          </cell>
        </row>
        <row r="6713">
          <cell r="K6713" t="str">
            <v>GBWS-4807</v>
          </cell>
          <cell r="L6713">
            <v>45510</v>
          </cell>
          <cell r="M6713">
            <v>45511</v>
          </cell>
          <cell r="N6713">
            <v>45518</v>
          </cell>
          <cell r="O6713">
            <v>45511</v>
          </cell>
          <cell r="P6713">
            <v>45520</v>
          </cell>
          <cell r="Q6713">
            <v>45518</v>
          </cell>
          <cell r="R6713">
            <v>45520</v>
          </cell>
          <cell r="S6713">
            <v>45524</v>
          </cell>
          <cell r="T6713">
            <v>45525</v>
          </cell>
          <cell r="U6713">
            <v>45526</v>
          </cell>
          <cell r="V6713">
            <v>45526</v>
          </cell>
          <cell r="W6713">
            <v>45526</v>
          </cell>
          <cell r="X6713">
            <v>41100662</v>
          </cell>
        </row>
        <row r="6714">
          <cell r="K6714" t="str">
            <v>GBWS-4383</v>
          </cell>
          <cell r="L6714">
            <v>45387</v>
          </cell>
          <cell r="M6714">
            <v>45390</v>
          </cell>
          <cell r="N6714">
            <v>45399</v>
          </cell>
          <cell r="O6714">
            <v>45390</v>
          </cell>
          <cell r="P6714">
            <v>45400</v>
          </cell>
          <cell r="Q6714">
            <v>45399</v>
          </cell>
          <cell r="R6714">
            <v>45400</v>
          </cell>
          <cell r="S6714">
            <v>45415</v>
          </cell>
          <cell r="T6714">
            <v>45419</v>
          </cell>
          <cell r="U6714">
            <v>45420</v>
          </cell>
          <cell r="V6714">
            <v>45421</v>
          </cell>
          <cell r="W6714">
            <v>45421</v>
          </cell>
          <cell r="X6714">
            <v>41100564</v>
          </cell>
        </row>
        <row r="6715">
          <cell r="K6715" t="str">
            <v>GBWS-4745</v>
          </cell>
          <cell r="L6715">
            <v>45489</v>
          </cell>
          <cell r="M6715">
            <v>45490</v>
          </cell>
          <cell r="N6715">
            <v>45497</v>
          </cell>
          <cell r="O6715">
            <v>45490</v>
          </cell>
          <cell r="P6715">
            <v>45497</v>
          </cell>
          <cell r="Q6715">
            <v>45497</v>
          </cell>
          <cell r="R6715">
            <v>45498</v>
          </cell>
          <cell r="S6715">
            <v>45499</v>
          </cell>
          <cell r="T6715">
            <v>45502</v>
          </cell>
          <cell r="U6715">
            <v>45504</v>
          </cell>
          <cell r="V6715">
            <v>45504</v>
          </cell>
          <cell r="W6715">
            <v>45504</v>
          </cell>
          <cell r="X6715">
            <v>41100564</v>
          </cell>
        </row>
        <row r="6716">
          <cell r="K6716" t="str">
            <v>GBWS-4746</v>
          </cell>
          <cell r="L6716">
            <v>45489</v>
          </cell>
          <cell r="M6716">
            <v>45490</v>
          </cell>
          <cell r="N6716">
            <v>45497</v>
          </cell>
          <cell r="O6716">
            <v>45490</v>
          </cell>
          <cell r="P6716">
            <v>45497</v>
          </cell>
          <cell r="Q6716">
            <v>45497</v>
          </cell>
          <cell r="R6716">
            <v>45498</v>
          </cell>
          <cell r="S6716">
            <v>45499</v>
          </cell>
          <cell r="T6716">
            <v>45502</v>
          </cell>
          <cell r="U6716">
            <v>45504</v>
          </cell>
          <cell r="V6716">
            <v>45504</v>
          </cell>
          <cell r="W6716">
            <v>45504</v>
          </cell>
          <cell r="X6716">
            <v>41100564</v>
          </cell>
        </row>
        <row r="6717">
          <cell r="K6717" t="str">
            <v>DBW-3460</v>
          </cell>
          <cell r="L6717">
            <v>45512</v>
          </cell>
          <cell r="M6717">
            <v>45513</v>
          </cell>
          <cell r="N6717">
            <v>45520</v>
          </cell>
          <cell r="O6717">
            <v>45513</v>
          </cell>
          <cell r="P6717">
            <v>45523</v>
          </cell>
          <cell r="Q6717">
            <v>45520</v>
          </cell>
          <cell r="R6717">
            <v>45523</v>
          </cell>
          <cell r="S6717">
            <v>45524</v>
          </cell>
          <cell r="T6717">
            <v>45525</v>
          </cell>
          <cell r="U6717">
            <v>45526</v>
          </cell>
          <cell r="V6717">
            <v>45530</v>
          </cell>
          <cell r="W6717">
            <v>45530</v>
          </cell>
          <cell r="X6717">
            <v>41000587</v>
          </cell>
        </row>
        <row r="6718">
          <cell r="K6718" t="str">
            <v>DBW-3461</v>
          </cell>
          <cell r="L6718">
            <v>45512</v>
          </cell>
          <cell r="M6718">
            <v>45513</v>
          </cell>
          <cell r="N6718">
            <v>45520</v>
          </cell>
          <cell r="O6718">
            <v>45513</v>
          </cell>
          <cell r="P6718">
            <v>45523</v>
          </cell>
          <cell r="Q6718">
            <v>45520</v>
          </cell>
          <cell r="R6718">
            <v>45523</v>
          </cell>
          <cell r="S6718">
            <v>45524</v>
          </cell>
          <cell r="T6718">
            <v>45525</v>
          </cell>
          <cell r="U6718">
            <v>45526</v>
          </cell>
          <cell r="V6718">
            <v>45530</v>
          </cell>
          <cell r="W6718">
            <v>45530</v>
          </cell>
          <cell r="X6718">
            <v>41000587</v>
          </cell>
        </row>
        <row r="6719">
          <cell r="K6719" t="str">
            <v>GBWS-4816</v>
          </cell>
          <cell r="L6719">
            <v>45513</v>
          </cell>
          <cell r="M6719">
            <v>45516</v>
          </cell>
          <cell r="N6719">
            <v>45523</v>
          </cell>
          <cell r="O6719">
            <v>45516</v>
          </cell>
          <cell r="P6719">
            <v>45524</v>
          </cell>
          <cell r="Q6719">
            <v>45523</v>
          </cell>
          <cell r="R6719">
            <v>45524</v>
          </cell>
          <cell r="S6719">
            <v>45525</v>
          </cell>
          <cell r="T6719">
            <v>45526</v>
          </cell>
          <cell r="U6719">
            <v>45530</v>
          </cell>
          <cell r="V6719">
            <v>45530</v>
          </cell>
          <cell r="W6719">
            <v>45530</v>
          </cell>
          <cell r="X6719">
            <v>41200007</v>
          </cell>
        </row>
        <row r="6720">
          <cell r="K6720" t="str">
            <v>GBWS-4817</v>
          </cell>
          <cell r="L6720">
            <v>45513</v>
          </cell>
          <cell r="M6720">
            <v>45516</v>
          </cell>
          <cell r="N6720">
            <v>45523</v>
          </cell>
          <cell r="O6720">
            <v>45516</v>
          </cell>
          <cell r="P6720">
            <v>45524</v>
          </cell>
          <cell r="Q6720">
            <v>45523</v>
          </cell>
          <cell r="R6720">
            <v>45524</v>
          </cell>
          <cell r="S6720">
            <v>45525</v>
          </cell>
          <cell r="T6720">
            <v>45526</v>
          </cell>
          <cell r="U6720">
            <v>45530</v>
          </cell>
          <cell r="V6720">
            <v>45530</v>
          </cell>
          <cell r="W6720">
            <v>45530</v>
          </cell>
          <cell r="X6720">
            <v>41200007</v>
          </cell>
        </row>
        <row r="6721">
          <cell r="K6721" t="str">
            <v>DBW-3462</v>
          </cell>
          <cell r="L6721">
            <v>45513</v>
          </cell>
          <cell r="M6721">
            <v>45516</v>
          </cell>
          <cell r="N6721">
            <v>45523</v>
          </cell>
          <cell r="O6721">
            <v>45516</v>
          </cell>
          <cell r="P6721">
            <v>45523</v>
          </cell>
          <cell r="Q6721">
            <v>45523</v>
          </cell>
          <cell r="R6721">
            <v>45524</v>
          </cell>
          <cell r="S6721">
            <v>45525</v>
          </cell>
          <cell r="T6721">
            <v>45526</v>
          </cell>
          <cell r="U6721">
            <v>45527</v>
          </cell>
          <cell r="V6721">
            <v>45530</v>
          </cell>
          <cell r="W6721">
            <v>45530</v>
          </cell>
          <cell r="X6721">
            <v>41000590</v>
          </cell>
        </row>
        <row r="6722">
          <cell r="K6722" t="str">
            <v>DBW-3465</v>
          </cell>
          <cell r="L6722">
            <v>45513</v>
          </cell>
          <cell r="M6722">
            <v>45516</v>
          </cell>
          <cell r="N6722">
            <v>45523</v>
          </cell>
          <cell r="O6722">
            <v>45516</v>
          </cell>
          <cell r="P6722">
            <v>45523</v>
          </cell>
          <cell r="Q6722">
            <v>45523</v>
          </cell>
          <cell r="R6722">
            <v>45524</v>
          </cell>
          <cell r="S6722">
            <v>45525</v>
          </cell>
          <cell r="T6722">
            <v>45526</v>
          </cell>
          <cell r="U6722">
            <v>45527</v>
          </cell>
          <cell r="V6722">
            <v>45530</v>
          </cell>
          <cell r="W6722">
            <v>45530</v>
          </cell>
          <cell r="X6722">
            <v>41000590</v>
          </cell>
        </row>
        <row r="6723">
          <cell r="K6723" t="str">
            <v>GBWS-4818</v>
          </cell>
          <cell r="L6723">
            <v>45517</v>
          </cell>
          <cell r="M6723">
            <v>45518</v>
          </cell>
          <cell r="N6723">
            <v>45524</v>
          </cell>
          <cell r="O6723">
            <v>45518</v>
          </cell>
          <cell r="P6723">
            <v>45524</v>
          </cell>
          <cell r="Q6723">
            <v>45525</v>
          </cell>
          <cell r="R6723">
            <v>45526</v>
          </cell>
          <cell r="S6723">
            <v>45527</v>
          </cell>
          <cell r="T6723">
            <v>45530</v>
          </cell>
          <cell r="U6723">
            <v>45531</v>
          </cell>
          <cell r="V6723">
            <v>45532</v>
          </cell>
          <cell r="W6723">
            <v>45532</v>
          </cell>
          <cell r="X6723">
            <v>41200006</v>
          </cell>
        </row>
        <row r="6724">
          <cell r="K6724" t="str">
            <v>GBWS-4819</v>
          </cell>
          <cell r="L6724">
            <v>45517</v>
          </cell>
          <cell r="M6724">
            <v>45518</v>
          </cell>
          <cell r="N6724">
            <v>45524</v>
          </cell>
          <cell r="O6724">
            <v>45518</v>
          </cell>
          <cell r="P6724">
            <v>45524</v>
          </cell>
          <cell r="Q6724">
            <v>45525</v>
          </cell>
          <cell r="R6724">
            <v>45526</v>
          </cell>
          <cell r="S6724">
            <v>45527</v>
          </cell>
          <cell r="T6724">
            <v>45530</v>
          </cell>
          <cell r="U6724">
            <v>45531</v>
          </cell>
          <cell r="V6724">
            <v>45532</v>
          </cell>
          <cell r="W6724">
            <v>45532</v>
          </cell>
          <cell r="X6724">
            <v>41200006</v>
          </cell>
        </row>
        <row r="6725">
          <cell r="K6725" t="str">
            <v>DBW-3463</v>
          </cell>
          <cell r="L6725">
            <v>45513</v>
          </cell>
          <cell r="M6725">
            <v>45516</v>
          </cell>
          <cell r="N6725">
            <v>45523</v>
          </cell>
          <cell r="O6725">
            <v>45516</v>
          </cell>
          <cell r="P6725">
            <v>45523</v>
          </cell>
          <cell r="Q6725">
            <v>45523</v>
          </cell>
          <cell r="R6725">
            <v>45524</v>
          </cell>
          <cell r="S6725">
            <v>45525</v>
          </cell>
          <cell r="T6725">
            <v>45526</v>
          </cell>
          <cell r="U6725">
            <v>45527</v>
          </cell>
          <cell r="V6725">
            <v>45530</v>
          </cell>
          <cell r="W6725">
            <v>45530</v>
          </cell>
          <cell r="X6725">
            <v>41000590</v>
          </cell>
        </row>
        <row r="6726">
          <cell r="K6726" t="str">
            <v>DBW-3464</v>
          </cell>
          <cell r="L6726">
            <v>45513</v>
          </cell>
          <cell r="M6726">
            <v>45516</v>
          </cell>
          <cell r="N6726">
            <v>45523</v>
          </cell>
          <cell r="O6726">
            <v>45516</v>
          </cell>
          <cell r="P6726">
            <v>45523</v>
          </cell>
          <cell r="Q6726">
            <v>45523</v>
          </cell>
          <cell r="R6726">
            <v>45524</v>
          </cell>
          <cell r="S6726">
            <v>45525</v>
          </cell>
          <cell r="T6726">
            <v>45526</v>
          </cell>
          <cell r="U6726">
            <v>45527</v>
          </cell>
          <cell r="V6726">
            <v>45530</v>
          </cell>
          <cell r="W6726">
            <v>45530</v>
          </cell>
          <cell r="X6726">
            <v>41000590</v>
          </cell>
        </row>
        <row r="6727">
          <cell r="K6727" t="str">
            <v>-</v>
          </cell>
          <cell r="L6727">
            <v>45513</v>
          </cell>
          <cell r="M6727">
            <v>45513</v>
          </cell>
          <cell r="N6727">
            <v>45524</v>
          </cell>
          <cell r="O6727">
            <v>45513</v>
          </cell>
          <cell r="P6727">
            <v>45524</v>
          </cell>
          <cell r="Q6727">
            <v>45523</v>
          </cell>
          <cell r="R6727">
            <v>45524</v>
          </cell>
          <cell r="S6727">
            <v>45526</v>
          </cell>
          <cell r="T6727">
            <v>45526</v>
          </cell>
          <cell r="U6727">
            <v>45531</v>
          </cell>
          <cell r="V6727">
            <v>45533</v>
          </cell>
          <cell r="W6727">
            <v>45533</v>
          </cell>
          <cell r="X6727">
            <v>31200054</v>
          </cell>
        </row>
        <row r="6728">
          <cell r="K6728" t="str">
            <v>-</v>
          </cell>
          <cell r="L6728">
            <v>45513</v>
          </cell>
          <cell r="M6728">
            <v>45513</v>
          </cell>
          <cell r="N6728">
            <v>45524</v>
          </cell>
          <cell r="O6728">
            <v>45513</v>
          </cell>
          <cell r="P6728">
            <v>45524</v>
          </cell>
          <cell r="Q6728">
            <v>45520</v>
          </cell>
          <cell r="R6728">
            <v>45523</v>
          </cell>
          <cell r="S6728">
            <v>45526</v>
          </cell>
          <cell r="T6728">
            <v>45526</v>
          </cell>
          <cell r="U6728">
            <v>45531</v>
          </cell>
          <cell r="V6728">
            <v>45533</v>
          </cell>
          <cell r="W6728">
            <v>45533</v>
          </cell>
          <cell r="X6728">
            <v>31200059</v>
          </cell>
        </row>
        <row r="6729">
          <cell r="K6729" t="str">
            <v>-</v>
          </cell>
          <cell r="L6729">
            <v>45513</v>
          </cell>
          <cell r="M6729">
            <v>45513</v>
          </cell>
          <cell r="N6729">
            <v>45524</v>
          </cell>
          <cell r="O6729">
            <v>45513</v>
          </cell>
          <cell r="P6729">
            <v>45524</v>
          </cell>
          <cell r="Q6729">
            <v>45525</v>
          </cell>
          <cell r="R6729">
            <v>45526</v>
          </cell>
          <cell r="S6729">
            <v>45532</v>
          </cell>
          <cell r="T6729">
            <v>45532</v>
          </cell>
          <cell r="U6729">
            <v>45531</v>
          </cell>
          <cell r="V6729">
            <v>45533</v>
          </cell>
          <cell r="W6729">
            <v>45533</v>
          </cell>
          <cell r="X6729">
            <v>31200057</v>
          </cell>
        </row>
        <row r="6730">
          <cell r="K6730" t="str">
            <v>-</v>
          </cell>
          <cell r="L6730">
            <v>45485</v>
          </cell>
          <cell r="M6730" t="str">
            <v>2024-07-16 → 7/15</v>
          </cell>
          <cell r="N6730">
            <v>45498</v>
          </cell>
          <cell r="O6730" t="str">
            <v>2024-07-16 → 7/15</v>
          </cell>
          <cell r="P6730">
            <v>45504</v>
          </cell>
          <cell r="Q6730">
            <v>45502</v>
          </cell>
          <cell r="R6730">
            <v>45503</v>
          </cell>
          <cell r="S6730">
            <v>45509</v>
          </cell>
          <cell r="T6730">
            <v>45510</v>
          </cell>
          <cell r="U6730">
            <v>45510</v>
          </cell>
          <cell r="V6730">
            <v>45510</v>
          </cell>
          <cell r="W6730">
            <v>45510</v>
          </cell>
          <cell r="X6730">
            <v>31200056</v>
          </cell>
        </row>
        <row r="6731">
          <cell r="K6731" t="str">
            <v>-</v>
          </cell>
          <cell r="L6731">
            <v>45485</v>
          </cell>
          <cell r="M6731" t="str">
            <v>2024-07-16 → 7/15</v>
          </cell>
          <cell r="N6731">
            <v>45498</v>
          </cell>
          <cell r="O6731" t="str">
            <v>2024-07-16 → 7/15</v>
          </cell>
          <cell r="P6731">
            <v>45504</v>
          </cell>
          <cell r="Q6731">
            <v>45503</v>
          </cell>
          <cell r="R6731">
            <v>45504</v>
          </cell>
          <cell r="S6731">
            <v>45509</v>
          </cell>
          <cell r="T6731">
            <v>45510</v>
          </cell>
          <cell r="U6731">
            <v>45510</v>
          </cell>
          <cell r="V6731">
            <v>45510</v>
          </cell>
          <cell r="W6731">
            <v>45510</v>
          </cell>
          <cell r="X6731">
            <v>31200057</v>
          </cell>
        </row>
        <row r="6732">
          <cell r="K6732" t="str">
            <v>GBWS-4820</v>
          </cell>
          <cell r="L6732">
            <v>45517</v>
          </cell>
          <cell r="M6732">
            <v>45518</v>
          </cell>
          <cell r="N6732">
            <v>45524</v>
          </cell>
          <cell r="O6732">
            <v>45518</v>
          </cell>
          <cell r="P6732">
            <v>45525</v>
          </cell>
          <cell r="Q6732">
            <v>45525</v>
          </cell>
          <cell r="R6732">
            <v>45526</v>
          </cell>
          <cell r="S6732">
            <v>45527</v>
          </cell>
          <cell r="T6732">
            <v>45530</v>
          </cell>
          <cell r="U6732">
            <v>45531</v>
          </cell>
          <cell r="V6732">
            <v>45532</v>
          </cell>
          <cell r="W6732">
            <v>45532</v>
          </cell>
          <cell r="X6732">
            <v>41200006</v>
          </cell>
        </row>
        <row r="6733">
          <cell r="K6733" t="str">
            <v>GBWS-4821</v>
          </cell>
          <cell r="L6733">
            <v>45517</v>
          </cell>
          <cell r="M6733">
            <v>45518</v>
          </cell>
          <cell r="N6733">
            <v>45524</v>
          </cell>
          <cell r="O6733">
            <v>45518</v>
          </cell>
          <cell r="P6733">
            <v>45525</v>
          </cell>
          <cell r="Q6733">
            <v>45525</v>
          </cell>
          <cell r="R6733">
            <v>45526</v>
          </cell>
          <cell r="S6733">
            <v>45527</v>
          </cell>
          <cell r="T6733">
            <v>45530</v>
          </cell>
          <cell r="U6733">
            <v>45531</v>
          </cell>
          <cell r="V6733">
            <v>45532</v>
          </cell>
          <cell r="W6733">
            <v>45532</v>
          </cell>
          <cell r="X6733">
            <v>41200006</v>
          </cell>
        </row>
        <row r="6734">
          <cell r="K6734" t="str">
            <v>GBWS-4822</v>
          </cell>
          <cell r="L6734">
            <v>45517</v>
          </cell>
          <cell r="M6734">
            <v>45518</v>
          </cell>
          <cell r="N6734">
            <v>45524</v>
          </cell>
          <cell r="O6734">
            <v>45518</v>
          </cell>
          <cell r="P6734">
            <v>45525</v>
          </cell>
          <cell r="Q6734">
            <v>45525</v>
          </cell>
          <cell r="R6734">
            <v>45526</v>
          </cell>
          <cell r="S6734">
            <v>45527</v>
          </cell>
          <cell r="T6734">
            <v>45530</v>
          </cell>
          <cell r="U6734">
            <v>45531</v>
          </cell>
          <cell r="V6734">
            <v>45532</v>
          </cell>
          <cell r="W6734">
            <v>45532</v>
          </cell>
          <cell r="X6734">
            <v>41200006</v>
          </cell>
        </row>
        <row r="6735">
          <cell r="K6735" t="str">
            <v>GBWS-4823</v>
          </cell>
          <cell r="L6735">
            <v>45517</v>
          </cell>
          <cell r="M6735">
            <v>45518</v>
          </cell>
          <cell r="N6735">
            <v>45524</v>
          </cell>
          <cell r="O6735">
            <v>45518</v>
          </cell>
          <cell r="P6735">
            <v>45525</v>
          </cell>
          <cell r="Q6735">
            <v>45525</v>
          </cell>
          <cell r="R6735">
            <v>45526</v>
          </cell>
          <cell r="S6735">
            <v>45527</v>
          </cell>
          <cell r="T6735">
            <v>45530</v>
          </cell>
          <cell r="U6735">
            <v>45531</v>
          </cell>
          <cell r="V6735">
            <v>45532</v>
          </cell>
          <cell r="W6735">
            <v>45532</v>
          </cell>
          <cell r="X6735">
            <v>41200006</v>
          </cell>
        </row>
        <row r="6736">
          <cell r="K6736" t="str">
            <v>GBWS-4824</v>
          </cell>
          <cell r="L6736">
            <v>45517</v>
          </cell>
          <cell r="M6736">
            <v>45518</v>
          </cell>
          <cell r="N6736">
            <v>45524</v>
          </cell>
          <cell r="O6736">
            <v>45518</v>
          </cell>
          <cell r="P6736">
            <v>45524</v>
          </cell>
          <cell r="Q6736">
            <v>45526</v>
          </cell>
          <cell r="R6736">
            <v>45527</v>
          </cell>
          <cell r="S6736">
            <v>45530</v>
          </cell>
          <cell r="T6736">
            <v>45531</v>
          </cell>
          <cell r="U6736">
            <v>45532</v>
          </cell>
          <cell r="V6736">
            <v>45533</v>
          </cell>
          <cell r="W6736">
            <v>45533</v>
          </cell>
          <cell r="X6736">
            <v>41200006</v>
          </cell>
        </row>
        <row r="6737">
          <cell r="K6737" t="str">
            <v>GBWS-4825</v>
          </cell>
          <cell r="L6737">
            <v>45517</v>
          </cell>
          <cell r="M6737">
            <v>45518</v>
          </cell>
          <cell r="N6737">
            <v>45524</v>
          </cell>
          <cell r="O6737">
            <v>45518</v>
          </cell>
          <cell r="P6737">
            <v>45524</v>
          </cell>
          <cell r="Q6737">
            <v>45526</v>
          </cell>
          <cell r="R6737">
            <v>45527</v>
          </cell>
          <cell r="S6737">
            <v>45530</v>
          </cell>
          <cell r="T6737">
            <v>45531</v>
          </cell>
          <cell r="U6737">
            <v>45532</v>
          </cell>
          <cell r="V6737">
            <v>45533</v>
          </cell>
          <cell r="W6737">
            <v>45533</v>
          </cell>
          <cell r="X6737">
            <v>41200006</v>
          </cell>
        </row>
        <row r="6738">
          <cell r="K6738" t="str">
            <v>DBW-3455</v>
          </cell>
          <cell r="L6738">
            <v>45512</v>
          </cell>
          <cell r="M6738">
            <v>45513</v>
          </cell>
          <cell r="N6738">
            <v>45520</v>
          </cell>
          <cell r="O6738">
            <v>45513</v>
          </cell>
          <cell r="P6738">
            <v>45523</v>
          </cell>
          <cell r="Q6738">
            <v>45520</v>
          </cell>
          <cell r="R6738">
            <v>45523</v>
          </cell>
          <cell r="S6738">
            <v>45525</v>
          </cell>
          <cell r="T6738">
            <v>45526</v>
          </cell>
          <cell r="U6738">
            <v>45527</v>
          </cell>
          <cell r="V6738">
            <v>45530</v>
          </cell>
          <cell r="W6738">
            <v>45530</v>
          </cell>
          <cell r="X6738">
            <v>41000567</v>
          </cell>
        </row>
        <row r="6739">
          <cell r="K6739" t="str">
            <v>DBW-3456</v>
          </cell>
          <cell r="L6739">
            <v>45512</v>
          </cell>
          <cell r="M6739">
            <v>45513</v>
          </cell>
          <cell r="N6739">
            <v>45520</v>
          </cell>
          <cell r="O6739">
            <v>45513</v>
          </cell>
          <cell r="P6739">
            <v>45523</v>
          </cell>
          <cell r="Q6739">
            <v>45520</v>
          </cell>
          <cell r="R6739">
            <v>45523</v>
          </cell>
          <cell r="S6739">
            <v>45525</v>
          </cell>
          <cell r="T6739">
            <v>45526</v>
          </cell>
          <cell r="U6739">
            <v>45527</v>
          </cell>
          <cell r="V6739">
            <v>45530</v>
          </cell>
          <cell r="W6739">
            <v>45530</v>
          </cell>
          <cell r="X6739">
            <v>41000567</v>
          </cell>
        </row>
        <row r="6740">
          <cell r="K6740" t="str">
            <v>DBW-3457</v>
          </cell>
          <cell r="L6740">
            <v>45512</v>
          </cell>
          <cell r="M6740">
            <v>45513</v>
          </cell>
          <cell r="N6740">
            <v>45520</v>
          </cell>
          <cell r="O6740">
            <v>45513</v>
          </cell>
          <cell r="P6740">
            <v>45523</v>
          </cell>
          <cell r="Q6740">
            <v>45520</v>
          </cell>
          <cell r="R6740">
            <v>45523</v>
          </cell>
          <cell r="S6740">
            <v>45525</v>
          </cell>
          <cell r="T6740">
            <v>45526</v>
          </cell>
          <cell r="U6740">
            <v>45527</v>
          </cell>
          <cell r="V6740">
            <v>45530</v>
          </cell>
          <cell r="W6740">
            <v>45530</v>
          </cell>
          <cell r="X6740">
            <v>41000567</v>
          </cell>
        </row>
        <row r="6741">
          <cell r="K6741" t="str">
            <v>DBW-3458</v>
          </cell>
          <cell r="L6741">
            <v>45512</v>
          </cell>
          <cell r="M6741">
            <v>45513</v>
          </cell>
          <cell r="N6741">
            <v>45520</v>
          </cell>
          <cell r="O6741">
            <v>45513</v>
          </cell>
          <cell r="P6741">
            <v>45523</v>
          </cell>
          <cell r="Q6741">
            <v>45520</v>
          </cell>
          <cell r="R6741">
            <v>45523</v>
          </cell>
          <cell r="S6741">
            <v>45525</v>
          </cell>
          <cell r="T6741">
            <v>45526</v>
          </cell>
          <cell r="U6741">
            <v>45527</v>
          </cell>
          <cell r="V6741">
            <v>45530</v>
          </cell>
          <cell r="W6741">
            <v>45530</v>
          </cell>
          <cell r="X6741">
            <v>41000567</v>
          </cell>
        </row>
        <row r="6742">
          <cell r="K6742" t="str">
            <v>DBW-3459</v>
          </cell>
          <cell r="L6742">
            <v>45512</v>
          </cell>
          <cell r="M6742">
            <v>45513</v>
          </cell>
          <cell r="N6742">
            <v>45520</v>
          </cell>
          <cell r="O6742">
            <v>45513</v>
          </cell>
          <cell r="P6742">
            <v>45523</v>
          </cell>
          <cell r="Q6742">
            <v>45520</v>
          </cell>
          <cell r="R6742">
            <v>45523</v>
          </cell>
          <cell r="S6742">
            <v>45525</v>
          </cell>
          <cell r="T6742">
            <v>45526</v>
          </cell>
          <cell r="U6742">
            <v>45527</v>
          </cell>
          <cell r="V6742">
            <v>45530</v>
          </cell>
          <cell r="W6742">
            <v>45530</v>
          </cell>
          <cell r="X6742">
            <v>41000567</v>
          </cell>
        </row>
        <row r="6743">
          <cell r="K6743" t="str">
            <v>DBW-3466</v>
          </cell>
          <cell r="L6743">
            <v>45516</v>
          </cell>
          <cell r="M6743">
            <v>45517</v>
          </cell>
          <cell r="N6743">
            <v>45523</v>
          </cell>
          <cell r="O6743">
            <v>45517</v>
          </cell>
          <cell r="P6743">
            <v>45525</v>
          </cell>
          <cell r="Q6743">
            <v>45524</v>
          </cell>
          <cell r="R6743">
            <v>45525</v>
          </cell>
          <cell r="S6743">
            <v>45526</v>
          </cell>
          <cell r="T6743">
            <v>45527</v>
          </cell>
          <cell r="U6743">
            <v>45530</v>
          </cell>
          <cell r="V6743">
            <v>45531</v>
          </cell>
          <cell r="W6743">
            <v>45531</v>
          </cell>
          <cell r="X6743">
            <v>41000567</v>
          </cell>
        </row>
        <row r="6744">
          <cell r="K6744" t="str">
            <v>DBW-3467</v>
          </cell>
          <cell r="L6744">
            <v>45516</v>
          </cell>
          <cell r="M6744">
            <v>45517</v>
          </cell>
          <cell r="N6744">
            <v>45523</v>
          </cell>
          <cell r="O6744">
            <v>45517</v>
          </cell>
          <cell r="P6744">
            <v>45525</v>
          </cell>
          <cell r="Q6744">
            <v>45524</v>
          </cell>
          <cell r="R6744">
            <v>45525</v>
          </cell>
          <cell r="S6744">
            <v>45526</v>
          </cell>
          <cell r="T6744">
            <v>45527</v>
          </cell>
          <cell r="U6744">
            <v>45530</v>
          </cell>
          <cell r="V6744">
            <v>45531</v>
          </cell>
          <cell r="W6744">
            <v>45531</v>
          </cell>
          <cell r="X6744">
            <v>41000567</v>
          </cell>
        </row>
        <row r="6745">
          <cell r="K6745" t="str">
            <v>DBW-3468</v>
          </cell>
          <cell r="L6745">
            <v>45516</v>
          </cell>
          <cell r="M6745">
            <v>45517</v>
          </cell>
          <cell r="N6745">
            <v>45523</v>
          </cell>
          <cell r="O6745">
            <v>45517</v>
          </cell>
          <cell r="P6745">
            <v>45525</v>
          </cell>
          <cell r="Q6745">
            <v>45524</v>
          </cell>
          <cell r="R6745">
            <v>45525</v>
          </cell>
          <cell r="S6745">
            <v>45526</v>
          </cell>
          <cell r="T6745">
            <v>45527</v>
          </cell>
          <cell r="U6745">
            <v>45530</v>
          </cell>
          <cell r="V6745">
            <v>45531</v>
          </cell>
          <cell r="W6745">
            <v>45531</v>
          </cell>
          <cell r="X6745">
            <v>41000567</v>
          </cell>
        </row>
        <row r="6746">
          <cell r="K6746" t="str">
            <v>DBW-3469</v>
          </cell>
          <cell r="L6746">
            <v>45516</v>
          </cell>
          <cell r="M6746">
            <v>45517</v>
          </cell>
          <cell r="N6746">
            <v>45523</v>
          </cell>
          <cell r="O6746">
            <v>45517</v>
          </cell>
          <cell r="P6746">
            <v>45525</v>
          </cell>
          <cell r="Q6746">
            <v>45524</v>
          </cell>
          <cell r="R6746">
            <v>45525</v>
          </cell>
          <cell r="S6746">
            <v>45526</v>
          </cell>
          <cell r="T6746">
            <v>45527</v>
          </cell>
          <cell r="U6746">
            <v>45530</v>
          </cell>
          <cell r="V6746">
            <v>45531</v>
          </cell>
          <cell r="W6746">
            <v>45531</v>
          </cell>
          <cell r="X6746">
            <v>41000567</v>
          </cell>
        </row>
        <row r="6747">
          <cell r="K6747" t="str">
            <v>DBW-3470</v>
          </cell>
          <cell r="L6747">
            <v>45516</v>
          </cell>
          <cell r="M6747">
            <v>45517</v>
          </cell>
          <cell r="N6747">
            <v>45523</v>
          </cell>
          <cell r="O6747">
            <v>45517</v>
          </cell>
          <cell r="P6747">
            <v>45525</v>
          </cell>
          <cell r="Q6747">
            <v>45524</v>
          </cell>
          <cell r="R6747">
            <v>45525</v>
          </cell>
          <cell r="S6747">
            <v>45526</v>
          </cell>
          <cell r="T6747">
            <v>45527</v>
          </cell>
          <cell r="U6747">
            <v>45530</v>
          </cell>
          <cell r="V6747">
            <v>45531</v>
          </cell>
          <cell r="W6747">
            <v>45531</v>
          </cell>
          <cell r="X6747">
            <v>41000567</v>
          </cell>
        </row>
        <row r="6748">
          <cell r="K6748" t="str">
            <v>GBWS-4708</v>
          </cell>
          <cell r="L6748">
            <v>45481</v>
          </cell>
          <cell r="M6748">
            <v>45482</v>
          </cell>
          <cell r="N6748">
            <v>45488</v>
          </cell>
          <cell r="O6748">
            <v>45482</v>
          </cell>
          <cell r="P6748">
            <v>45488</v>
          </cell>
          <cell r="Q6748">
            <v>45488</v>
          </cell>
          <cell r="R6748">
            <v>45489</v>
          </cell>
          <cell r="S6748">
            <v>45490</v>
          </cell>
          <cell r="T6748">
            <v>45491</v>
          </cell>
          <cell r="U6748">
            <v>45495</v>
          </cell>
          <cell r="V6748">
            <v>45495</v>
          </cell>
          <cell r="W6748">
            <v>45495</v>
          </cell>
          <cell r="X6748">
            <v>41100460</v>
          </cell>
        </row>
        <row r="6749">
          <cell r="K6749" t="str">
            <v>GBWS-4655</v>
          </cell>
          <cell r="L6749">
            <v>45463</v>
          </cell>
          <cell r="M6749">
            <v>45464</v>
          </cell>
          <cell r="N6749">
            <v>45471</v>
          </cell>
          <cell r="O6749">
            <v>45464</v>
          </cell>
          <cell r="P6749">
            <v>45471</v>
          </cell>
          <cell r="Q6749">
            <v>45471</v>
          </cell>
          <cell r="R6749">
            <v>45474</v>
          </cell>
          <cell r="S6749">
            <v>45490</v>
          </cell>
          <cell r="T6749">
            <v>45491</v>
          </cell>
          <cell r="U6749">
            <v>45495</v>
          </cell>
          <cell r="V6749">
            <v>45495</v>
          </cell>
          <cell r="W6749">
            <v>45495</v>
          </cell>
          <cell r="X6749">
            <v>41100509</v>
          </cell>
        </row>
        <row r="6750">
          <cell r="K6750" t="str">
            <v>GBWS-4656</v>
          </cell>
          <cell r="L6750">
            <v>45463</v>
          </cell>
          <cell r="M6750">
            <v>45464</v>
          </cell>
          <cell r="N6750">
            <v>45471</v>
          </cell>
          <cell r="O6750">
            <v>45464</v>
          </cell>
          <cell r="P6750">
            <v>45471</v>
          </cell>
          <cell r="Q6750">
            <v>45471</v>
          </cell>
          <cell r="R6750">
            <v>45474</v>
          </cell>
          <cell r="S6750">
            <v>45490</v>
          </cell>
          <cell r="T6750">
            <v>45491</v>
          </cell>
          <cell r="U6750">
            <v>45495</v>
          </cell>
          <cell r="V6750">
            <v>45495</v>
          </cell>
          <cell r="W6750">
            <v>45495</v>
          </cell>
          <cell r="X6750">
            <v>41100509</v>
          </cell>
        </row>
        <row r="6751">
          <cell r="K6751" t="str">
            <v>GBWS-4667</v>
          </cell>
          <cell r="L6751">
            <v>45468</v>
          </cell>
          <cell r="M6751">
            <v>45469</v>
          </cell>
          <cell r="N6751">
            <v>45476</v>
          </cell>
          <cell r="O6751">
            <v>45469</v>
          </cell>
          <cell r="P6751">
            <v>45477</v>
          </cell>
          <cell r="Q6751">
            <v>45476</v>
          </cell>
          <cell r="R6751">
            <v>45477</v>
          </cell>
          <cell r="S6751">
            <v>45484</v>
          </cell>
          <cell r="T6751">
            <v>45485</v>
          </cell>
          <cell r="U6751">
            <v>45488</v>
          </cell>
          <cell r="V6751">
            <v>45489</v>
          </cell>
          <cell r="W6751">
            <v>45489</v>
          </cell>
          <cell r="X6751">
            <v>41100509</v>
          </cell>
        </row>
        <row r="6752">
          <cell r="K6752" t="str">
            <v>GBWS-4668</v>
          </cell>
          <cell r="L6752">
            <v>45468</v>
          </cell>
          <cell r="M6752">
            <v>45469</v>
          </cell>
          <cell r="N6752">
            <v>45476</v>
          </cell>
          <cell r="O6752">
            <v>45469</v>
          </cell>
          <cell r="P6752">
            <v>45477</v>
          </cell>
          <cell r="Q6752">
            <v>45476</v>
          </cell>
          <cell r="R6752">
            <v>45477</v>
          </cell>
          <cell r="S6752">
            <v>45484</v>
          </cell>
          <cell r="T6752">
            <v>45485</v>
          </cell>
          <cell r="U6752">
            <v>45488</v>
          </cell>
          <cell r="V6752">
            <v>45489</v>
          </cell>
          <cell r="W6752">
            <v>45489</v>
          </cell>
          <cell r="X6752">
            <v>41100509</v>
          </cell>
        </row>
        <row r="6753">
          <cell r="K6753" t="str">
            <v>WS-0094</v>
          </cell>
          <cell r="L6753">
            <v>45518</v>
          </cell>
          <cell r="M6753">
            <v>45520</v>
          </cell>
          <cell r="N6753">
            <v>45527</v>
          </cell>
          <cell r="O6753">
            <v>45520</v>
          </cell>
          <cell r="P6753">
            <v>45527</v>
          </cell>
          <cell r="Q6753">
            <v>45527</v>
          </cell>
          <cell r="R6753">
            <v>45530</v>
          </cell>
          <cell r="S6753">
            <v>45531</v>
          </cell>
          <cell r="T6753">
            <v>45532</v>
          </cell>
          <cell r="U6753">
            <v>45533</v>
          </cell>
          <cell r="V6753">
            <v>45534</v>
          </cell>
          <cell r="W6753">
            <v>45534</v>
          </cell>
          <cell r="X6753">
            <v>41100435</v>
          </cell>
        </row>
        <row r="6754">
          <cell r="K6754" t="str">
            <v>GBWS-4836</v>
          </cell>
          <cell r="L6754">
            <v>45520</v>
          </cell>
          <cell r="M6754">
            <v>45523</v>
          </cell>
          <cell r="N6754">
            <v>45530</v>
          </cell>
          <cell r="O6754">
            <v>45523</v>
          </cell>
          <cell r="P6754">
            <v>45527</v>
          </cell>
          <cell r="Q6754">
            <v>45530</v>
          </cell>
          <cell r="R6754">
            <v>45531</v>
          </cell>
          <cell r="S6754">
            <v>45531</v>
          </cell>
          <cell r="T6754">
            <v>45532</v>
          </cell>
          <cell r="U6754">
            <v>45533</v>
          </cell>
          <cell r="V6754">
            <v>45534</v>
          </cell>
          <cell r="W6754">
            <v>45534</v>
          </cell>
          <cell r="X6754">
            <v>41100322</v>
          </cell>
        </row>
        <row r="6755">
          <cell r="K6755" t="str">
            <v>GBWS-4849</v>
          </cell>
          <cell r="L6755">
            <v>45520</v>
          </cell>
          <cell r="M6755">
            <v>45523</v>
          </cell>
          <cell r="N6755">
            <v>45530</v>
          </cell>
          <cell r="O6755">
            <v>45523</v>
          </cell>
          <cell r="P6755">
            <v>45530</v>
          </cell>
          <cell r="Q6755">
            <v>45530</v>
          </cell>
          <cell r="R6755">
            <v>45531</v>
          </cell>
          <cell r="S6755">
            <v>45532</v>
          </cell>
          <cell r="T6755">
            <v>45533</v>
          </cell>
          <cell r="U6755">
            <v>45537</v>
          </cell>
          <cell r="V6755">
            <v>45537</v>
          </cell>
          <cell r="W6755">
            <v>45537</v>
          </cell>
          <cell r="X6755">
            <v>41100320</v>
          </cell>
        </row>
        <row r="6756">
          <cell r="K6756" t="str">
            <v>GBWS-4356</v>
          </cell>
          <cell r="L6756">
            <v>45383</v>
          </cell>
          <cell r="M6756">
            <v>45384</v>
          </cell>
          <cell r="N6756">
            <v>45393</v>
          </cell>
          <cell r="O6756">
            <v>45384</v>
          </cell>
          <cell r="P6756">
            <v>45394</v>
          </cell>
          <cell r="Q6756">
            <v>45393</v>
          </cell>
          <cell r="R6756">
            <v>45394</v>
          </cell>
          <cell r="S6756">
            <v>45398</v>
          </cell>
          <cell r="T6756">
            <v>45404</v>
          </cell>
          <cell r="U6756">
            <v>45405</v>
          </cell>
          <cell r="V6756">
            <v>45405</v>
          </cell>
          <cell r="W6756">
            <v>45405</v>
          </cell>
          <cell r="X6756">
            <v>41100698</v>
          </cell>
        </row>
        <row r="6757">
          <cell r="K6757" t="str">
            <v>GBWS-4310</v>
          </cell>
          <cell r="L6757">
            <v>45369</v>
          </cell>
          <cell r="M6757">
            <v>45370</v>
          </cell>
          <cell r="N6757">
            <v>45376</v>
          </cell>
          <cell r="O6757">
            <v>45370</v>
          </cell>
          <cell r="P6757">
            <v>45378</v>
          </cell>
          <cell r="Q6757">
            <v>45377</v>
          </cell>
          <cell r="R6757">
            <v>45378</v>
          </cell>
          <cell r="S6757">
            <v>45380</v>
          </cell>
          <cell r="T6757">
            <v>45383</v>
          </cell>
          <cell r="U6757">
            <v>45384</v>
          </cell>
          <cell r="V6757">
            <v>45385</v>
          </cell>
          <cell r="W6757">
            <v>45385</v>
          </cell>
          <cell r="X6757">
            <v>41100564</v>
          </cell>
        </row>
        <row r="6758">
          <cell r="K6758" t="str">
            <v>GBWS-4847</v>
          </cell>
          <cell r="L6758">
            <v>45520</v>
          </cell>
          <cell r="M6758">
            <v>45523</v>
          </cell>
          <cell r="N6758">
            <v>45530</v>
          </cell>
          <cell r="O6758">
            <v>45523</v>
          </cell>
          <cell r="P6758">
            <v>45530</v>
          </cell>
          <cell r="Q6758">
            <v>45530</v>
          </cell>
          <cell r="R6758">
            <v>45531</v>
          </cell>
          <cell r="S6758">
            <v>45532</v>
          </cell>
          <cell r="T6758">
            <v>45533</v>
          </cell>
          <cell r="U6758">
            <v>45537</v>
          </cell>
          <cell r="V6758">
            <v>45538</v>
          </cell>
          <cell r="W6758">
            <v>45538</v>
          </cell>
          <cell r="X6758">
            <v>41100662</v>
          </cell>
        </row>
        <row r="6759">
          <cell r="K6759" t="str">
            <v>GBWS-4848</v>
          </cell>
          <cell r="L6759">
            <v>45520</v>
          </cell>
          <cell r="M6759">
            <v>45523</v>
          </cell>
          <cell r="N6759">
            <v>45530</v>
          </cell>
          <cell r="O6759">
            <v>45523</v>
          </cell>
          <cell r="P6759">
            <v>45530</v>
          </cell>
          <cell r="Q6759">
            <v>45530</v>
          </cell>
          <cell r="R6759">
            <v>45531</v>
          </cell>
          <cell r="S6759">
            <v>45532</v>
          </cell>
          <cell r="T6759">
            <v>45533</v>
          </cell>
          <cell r="U6759">
            <v>45537</v>
          </cell>
          <cell r="V6759">
            <v>45538</v>
          </cell>
          <cell r="W6759">
            <v>45538</v>
          </cell>
          <cell r="X6759">
            <v>41100662</v>
          </cell>
        </row>
        <row r="6760">
          <cell r="K6760" t="str">
            <v>GBWS-4831</v>
          </cell>
          <cell r="L6760">
            <v>45518</v>
          </cell>
          <cell r="M6760">
            <v>45520</v>
          </cell>
          <cell r="N6760">
            <v>45530</v>
          </cell>
          <cell r="O6760">
            <v>45520</v>
          </cell>
          <cell r="P6760">
            <v>45530</v>
          </cell>
          <cell r="Q6760">
            <v>45530</v>
          </cell>
          <cell r="R6760">
            <v>45531</v>
          </cell>
          <cell r="S6760">
            <v>45532</v>
          </cell>
          <cell r="T6760">
            <v>45533</v>
          </cell>
          <cell r="U6760">
            <v>45537</v>
          </cell>
          <cell r="V6760">
            <v>45537</v>
          </cell>
          <cell r="W6760">
            <v>45537</v>
          </cell>
          <cell r="X6760">
            <v>41100363</v>
          </cell>
        </row>
        <row r="6761">
          <cell r="K6761" t="str">
            <v>GBWS-4843</v>
          </cell>
          <cell r="L6761">
            <v>45520</v>
          </cell>
          <cell r="M6761">
            <v>45523</v>
          </cell>
          <cell r="N6761">
            <v>45530</v>
          </cell>
          <cell r="O6761">
            <v>45523</v>
          </cell>
          <cell r="P6761">
            <v>45530</v>
          </cell>
          <cell r="Q6761">
            <v>45531</v>
          </cell>
          <cell r="R6761">
            <v>45532</v>
          </cell>
          <cell r="S6761">
            <v>45533</v>
          </cell>
          <cell r="T6761">
            <v>45534</v>
          </cell>
          <cell r="U6761">
            <v>45538</v>
          </cell>
          <cell r="V6761">
            <v>45538</v>
          </cell>
          <cell r="W6761">
            <v>45538</v>
          </cell>
          <cell r="X6761">
            <v>41100564</v>
          </cell>
        </row>
        <row r="6762">
          <cell r="K6762" t="str">
            <v>GBWS-4844</v>
          </cell>
          <cell r="L6762">
            <v>45520</v>
          </cell>
          <cell r="M6762">
            <v>45523</v>
          </cell>
          <cell r="N6762">
            <v>45530</v>
          </cell>
          <cell r="O6762">
            <v>45523</v>
          </cell>
          <cell r="P6762">
            <v>45530</v>
          </cell>
          <cell r="Q6762">
            <v>45531</v>
          </cell>
          <cell r="R6762">
            <v>45532</v>
          </cell>
          <cell r="S6762">
            <v>45533</v>
          </cell>
          <cell r="T6762">
            <v>45534</v>
          </cell>
          <cell r="U6762">
            <v>45538</v>
          </cell>
          <cell r="V6762">
            <v>45538</v>
          </cell>
          <cell r="W6762">
            <v>45538</v>
          </cell>
          <cell r="X6762">
            <v>41100564</v>
          </cell>
        </row>
        <row r="6763">
          <cell r="K6763" t="str">
            <v>GBWS-4814</v>
          </cell>
          <cell r="L6763">
            <v>45512</v>
          </cell>
          <cell r="M6763">
            <v>45513</v>
          </cell>
          <cell r="N6763">
            <v>45524</v>
          </cell>
          <cell r="O6763">
            <v>45513</v>
          </cell>
          <cell r="P6763">
            <v>45525</v>
          </cell>
          <cell r="Q6763">
            <v>45524</v>
          </cell>
          <cell r="R6763">
            <v>45525</v>
          </cell>
          <cell r="S6763">
            <v>45526</v>
          </cell>
          <cell r="T6763">
            <v>45527</v>
          </cell>
          <cell r="U6763">
            <v>45531</v>
          </cell>
          <cell r="V6763">
            <v>45532</v>
          </cell>
          <cell r="W6763">
            <v>45532</v>
          </cell>
          <cell r="X6763">
            <v>41200028</v>
          </cell>
        </row>
        <row r="6764">
          <cell r="K6764" t="str">
            <v>IVAS-257</v>
          </cell>
          <cell r="L6764">
            <v>45518</v>
          </cell>
          <cell r="M6764">
            <v>45520</v>
          </cell>
          <cell r="N6764">
            <v>45527</v>
          </cell>
          <cell r="O6764">
            <v>45520</v>
          </cell>
          <cell r="P6764">
            <v>45532</v>
          </cell>
          <cell r="Q6764">
            <v>45531</v>
          </cell>
          <cell r="R6764">
            <v>45532</v>
          </cell>
          <cell r="S6764">
            <v>45533</v>
          </cell>
          <cell r="T6764">
            <v>45533</v>
          </cell>
          <cell r="U6764">
            <v>45537</v>
          </cell>
          <cell r="V6764">
            <v>45539</v>
          </cell>
          <cell r="W6764">
            <v>45539</v>
          </cell>
          <cell r="X6764" t="str">
            <v>41200011 → 41200032</v>
          </cell>
        </row>
        <row r="6765">
          <cell r="K6765" t="str">
            <v>GBWS-4837</v>
          </cell>
          <cell r="L6765">
            <v>45520</v>
          </cell>
          <cell r="M6765">
            <v>45523</v>
          </cell>
          <cell r="N6765">
            <v>45531</v>
          </cell>
          <cell r="O6765">
            <v>45523</v>
          </cell>
          <cell r="P6765">
            <v>45531</v>
          </cell>
          <cell r="Q6765">
            <v>45531</v>
          </cell>
          <cell r="R6765">
            <v>45532</v>
          </cell>
          <cell r="S6765">
            <v>45533</v>
          </cell>
          <cell r="T6765">
            <v>45534</v>
          </cell>
          <cell r="U6765">
            <v>45537</v>
          </cell>
          <cell r="V6765">
            <v>45538</v>
          </cell>
          <cell r="W6765">
            <v>45538</v>
          </cell>
          <cell r="X6765">
            <v>41100558</v>
          </cell>
        </row>
        <row r="6766">
          <cell r="K6766" t="str">
            <v>GBWS-4838</v>
          </cell>
          <cell r="L6766">
            <v>45520</v>
          </cell>
          <cell r="M6766">
            <v>45523</v>
          </cell>
          <cell r="N6766">
            <v>45531</v>
          </cell>
          <cell r="O6766">
            <v>45523</v>
          </cell>
          <cell r="P6766">
            <v>45531</v>
          </cell>
          <cell r="Q6766">
            <v>45531</v>
          </cell>
          <cell r="R6766">
            <v>45532</v>
          </cell>
          <cell r="S6766">
            <v>45533</v>
          </cell>
          <cell r="T6766">
            <v>45534</v>
          </cell>
          <cell r="U6766">
            <v>45537</v>
          </cell>
          <cell r="V6766">
            <v>45538</v>
          </cell>
          <cell r="W6766">
            <v>45538</v>
          </cell>
          <cell r="X6766">
            <v>41100558</v>
          </cell>
        </row>
        <row r="6767">
          <cell r="K6767" t="str">
            <v>GBWS-4839</v>
          </cell>
          <cell r="L6767">
            <v>45520</v>
          </cell>
          <cell r="M6767">
            <v>45523</v>
          </cell>
          <cell r="N6767">
            <v>45531</v>
          </cell>
          <cell r="O6767">
            <v>45523</v>
          </cell>
          <cell r="P6767">
            <v>45531</v>
          </cell>
          <cell r="Q6767">
            <v>45531</v>
          </cell>
          <cell r="R6767">
            <v>45532</v>
          </cell>
          <cell r="S6767">
            <v>45533</v>
          </cell>
          <cell r="T6767">
            <v>45534</v>
          </cell>
          <cell r="U6767">
            <v>45537</v>
          </cell>
          <cell r="V6767">
            <v>45538</v>
          </cell>
          <cell r="W6767">
            <v>45538</v>
          </cell>
          <cell r="X6767">
            <v>41100558</v>
          </cell>
        </row>
        <row r="6768">
          <cell r="K6768" t="str">
            <v>GBWS-4840</v>
          </cell>
          <cell r="L6768">
            <v>45520</v>
          </cell>
          <cell r="M6768">
            <v>45523</v>
          </cell>
          <cell r="N6768">
            <v>45531</v>
          </cell>
          <cell r="O6768">
            <v>45523</v>
          </cell>
          <cell r="P6768">
            <v>45531</v>
          </cell>
          <cell r="Q6768">
            <v>45531</v>
          </cell>
          <cell r="R6768">
            <v>45532</v>
          </cell>
          <cell r="S6768">
            <v>45533</v>
          </cell>
          <cell r="T6768">
            <v>45534</v>
          </cell>
          <cell r="U6768">
            <v>45537</v>
          </cell>
          <cell r="V6768">
            <v>45538</v>
          </cell>
          <cell r="W6768">
            <v>45538</v>
          </cell>
          <cell r="X6768">
            <v>41100558</v>
          </cell>
        </row>
        <row r="6769">
          <cell r="K6769" t="str">
            <v>GBWS-4855</v>
          </cell>
          <cell r="L6769">
            <v>45524</v>
          </cell>
          <cell r="M6769">
            <v>45525</v>
          </cell>
          <cell r="N6769">
            <v>45531</v>
          </cell>
          <cell r="O6769">
            <v>45525</v>
          </cell>
          <cell r="P6769">
            <v>45532</v>
          </cell>
          <cell r="Q6769">
            <v>45531</v>
          </cell>
          <cell r="R6769">
            <v>45532</v>
          </cell>
          <cell r="S6769">
            <v>45533</v>
          </cell>
          <cell r="T6769">
            <v>45534</v>
          </cell>
          <cell r="U6769">
            <v>45537</v>
          </cell>
          <cell r="V6769">
            <v>45538</v>
          </cell>
          <cell r="W6769">
            <v>45538</v>
          </cell>
          <cell r="X6769">
            <v>41100566</v>
          </cell>
        </row>
        <row r="6770">
          <cell r="K6770" t="str">
            <v>GBWS-4815</v>
          </cell>
          <cell r="L6770">
            <v>45513</v>
          </cell>
          <cell r="M6770">
            <v>45516</v>
          </cell>
          <cell r="N6770">
            <v>45523</v>
          </cell>
          <cell r="O6770">
            <v>45516</v>
          </cell>
          <cell r="P6770">
            <v>45524</v>
          </cell>
          <cell r="Q6770">
            <v>45523</v>
          </cell>
          <cell r="R6770">
            <v>45524</v>
          </cell>
          <cell r="S6770">
            <v>45527</v>
          </cell>
          <cell r="T6770">
            <v>45530</v>
          </cell>
          <cell r="U6770">
            <v>45531</v>
          </cell>
          <cell r="V6770">
            <v>45532</v>
          </cell>
          <cell r="W6770">
            <v>45532</v>
          </cell>
          <cell r="X6770">
            <v>41100642</v>
          </cell>
        </row>
        <row r="6771">
          <cell r="K6771" t="str">
            <v>GBWS-4845</v>
          </cell>
          <cell r="L6771">
            <v>45520</v>
          </cell>
          <cell r="M6771">
            <v>45523</v>
          </cell>
          <cell r="N6771">
            <v>45530</v>
          </cell>
          <cell r="O6771">
            <v>45523</v>
          </cell>
          <cell r="P6771">
            <v>45527</v>
          </cell>
          <cell r="Q6771">
            <v>45530</v>
          </cell>
          <cell r="R6771">
            <v>45531</v>
          </cell>
          <cell r="S6771">
            <v>45532</v>
          </cell>
          <cell r="T6771">
            <v>45532</v>
          </cell>
          <cell r="U6771">
            <v>45537</v>
          </cell>
          <cell r="V6771">
            <v>45537</v>
          </cell>
          <cell r="W6771">
            <v>45537</v>
          </cell>
          <cell r="X6771">
            <v>41100566</v>
          </cell>
        </row>
        <row r="6772">
          <cell r="K6772" t="str">
            <v>GBWS-4846</v>
          </cell>
          <cell r="L6772">
            <v>45520</v>
          </cell>
          <cell r="M6772">
            <v>45523</v>
          </cell>
          <cell r="N6772">
            <v>45530</v>
          </cell>
          <cell r="O6772">
            <v>45523</v>
          </cell>
          <cell r="P6772">
            <v>45527</v>
          </cell>
          <cell r="Q6772">
            <v>45530</v>
          </cell>
          <cell r="R6772">
            <v>45531</v>
          </cell>
          <cell r="S6772">
            <v>45532</v>
          </cell>
          <cell r="T6772">
            <v>45533</v>
          </cell>
          <cell r="U6772">
            <v>45537</v>
          </cell>
          <cell r="V6772">
            <v>45537</v>
          </cell>
          <cell r="W6772">
            <v>45537</v>
          </cell>
          <cell r="X6772">
            <v>41100566</v>
          </cell>
        </row>
        <row r="6773">
          <cell r="K6773" t="str">
            <v>GBWS-4634</v>
          </cell>
          <cell r="L6773">
            <v>45457</v>
          </cell>
          <cell r="M6773">
            <v>45460</v>
          </cell>
          <cell r="N6773">
            <v>45467</v>
          </cell>
          <cell r="O6773">
            <v>45460</v>
          </cell>
          <cell r="P6773">
            <v>45469</v>
          </cell>
          <cell r="Q6773">
            <v>45468</v>
          </cell>
          <cell r="R6773">
            <v>45469</v>
          </cell>
          <cell r="S6773">
            <v>45470</v>
          </cell>
          <cell r="T6773">
            <v>45471</v>
          </cell>
          <cell r="U6773">
            <v>45474</v>
          </cell>
          <cell r="V6773">
            <v>45475</v>
          </cell>
          <cell r="W6773">
            <v>45475</v>
          </cell>
          <cell r="X6773">
            <v>41100391</v>
          </cell>
        </row>
        <row r="6774">
          <cell r="K6774" t="str">
            <v>GBWS-4765</v>
          </cell>
          <cell r="L6774">
            <v>45499</v>
          </cell>
          <cell r="M6774">
            <v>45502</v>
          </cell>
          <cell r="N6774">
            <v>45509</v>
          </cell>
          <cell r="O6774">
            <v>45502</v>
          </cell>
          <cell r="P6774">
            <v>45510</v>
          </cell>
          <cell r="Q6774">
            <v>45509</v>
          </cell>
          <cell r="R6774">
            <v>45510</v>
          </cell>
          <cell r="S6774">
            <v>45511</v>
          </cell>
          <cell r="T6774">
            <v>45531</v>
          </cell>
          <cell r="U6774">
            <v>45532</v>
          </cell>
          <cell r="V6774">
            <v>45532</v>
          </cell>
          <cell r="W6774">
            <v>45532</v>
          </cell>
          <cell r="X6774">
            <v>41100227</v>
          </cell>
        </row>
        <row r="6775">
          <cell r="K6775" t="str">
            <v>GBWS-4861</v>
          </cell>
          <cell r="L6775">
            <v>45526</v>
          </cell>
          <cell r="M6775">
            <v>45527</v>
          </cell>
          <cell r="N6775">
            <v>45533</v>
          </cell>
          <cell r="O6775">
            <v>45527</v>
          </cell>
          <cell r="P6775">
            <v>45534</v>
          </cell>
          <cell r="Q6775" t="str">
            <v>2024-08-30 → 8/29</v>
          </cell>
          <cell r="R6775" t="str">
            <v>2024-09-02 → 8/30</v>
          </cell>
          <cell r="S6775">
            <v>45537</v>
          </cell>
          <cell r="T6775">
            <v>45538</v>
          </cell>
          <cell r="U6775">
            <v>45539</v>
          </cell>
          <cell r="V6775">
            <v>45540</v>
          </cell>
          <cell r="W6775">
            <v>45540</v>
          </cell>
          <cell r="X6775">
            <v>41100502</v>
          </cell>
        </row>
        <row r="6776">
          <cell r="K6776" t="str">
            <v>GBWS-4862</v>
          </cell>
          <cell r="L6776">
            <v>45526</v>
          </cell>
          <cell r="M6776">
            <v>45527</v>
          </cell>
          <cell r="N6776">
            <v>45533</v>
          </cell>
          <cell r="O6776">
            <v>45527</v>
          </cell>
          <cell r="P6776">
            <v>45534</v>
          </cell>
          <cell r="Q6776" t="str">
            <v>2024-08-30 → 8/29</v>
          </cell>
          <cell r="R6776" t="str">
            <v>2024-09-02 → 8/30</v>
          </cell>
          <cell r="S6776">
            <v>45537</v>
          </cell>
          <cell r="T6776">
            <v>45538</v>
          </cell>
          <cell r="U6776">
            <v>45539</v>
          </cell>
          <cell r="V6776">
            <v>45540</v>
          </cell>
          <cell r="W6776">
            <v>45540</v>
          </cell>
          <cell r="X6776">
            <v>41100502</v>
          </cell>
        </row>
        <row r="6777">
          <cell r="K6777" t="str">
            <v>GBWS-4850</v>
          </cell>
          <cell r="L6777">
            <v>45524</v>
          </cell>
          <cell r="M6777">
            <v>45525</v>
          </cell>
          <cell r="N6777">
            <v>45532</v>
          </cell>
          <cell r="O6777">
            <v>45525</v>
          </cell>
          <cell r="P6777">
            <v>45532</v>
          </cell>
          <cell r="Q6777">
            <v>45532</v>
          </cell>
          <cell r="R6777">
            <v>45533</v>
          </cell>
          <cell r="S6777">
            <v>45534</v>
          </cell>
          <cell r="T6777">
            <v>45537</v>
          </cell>
          <cell r="U6777">
            <v>45541</v>
          </cell>
          <cell r="V6777">
            <v>45541</v>
          </cell>
          <cell r="W6777">
            <v>45541</v>
          </cell>
          <cell r="X6777">
            <v>41100566</v>
          </cell>
        </row>
        <row r="6778">
          <cell r="K6778" t="str">
            <v>GBWS-4851</v>
          </cell>
          <cell r="L6778">
            <v>45524</v>
          </cell>
          <cell r="M6778">
            <v>45525</v>
          </cell>
          <cell r="N6778">
            <v>45532</v>
          </cell>
          <cell r="O6778">
            <v>45525</v>
          </cell>
          <cell r="P6778">
            <v>45532</v>
          </cell>
          <cell r="Q6778">
            <v>45532</v>
          </cell>
          <cell r="R6778">
            <v>45533</v>
          </cell>
          <cell r="S6778">
            <v>45534</v>
          </cell>
          <cell r="T6778">
            <v>45537</v>
          </cell>
          <cell r="U6778">
            <v>45538</v>
          </cell>
          <cell r="V6778">
            <v>45539</v>
          </cell>
          <cell r="W6778">
            <v>45539</v>
          </cell>
          <cell r="X6778">
            <v>41100566</v>
          </cell>
        </row>
        <row r="6779">
          <cell r="K6779" t="str">
            <v>GBWS-4485</v>
          </cell>
          <cell r="L6779">
            <v>45415</v>
          </cell>
          <cell r="M6779">
            <v>45419</v>
          </cell>
          <cell r="N6779">
            <v>45426</v>
          </cell>
          <cell r="O6779">
            <v>45419</v>
          </cell>
          <cell r="P6779">
            <v>45428</v>
          </cell>
          <cell r="Q6779">
            <v>45426</v>
          </cell>
          <cell r="R6779">
            <v>45428</v>
          </cell>
          <cell r="S6779">
            <v>45429</v>
          </cell>
          <cell r="T6779">
            <v>45432</v>
          </cell>
          <cell r="U6779">
            <v>45434</v>
          </cell>
          <cell r="V6779">
            <v>45435</v>
          </cell>
          <cell r="W6779">
            <v>45435</v>
          </cell>
          <cell r="X6779">
            <v>41100564</v>
          </cell>
        </row>
        <row r="6780">
          <cell r="K6780" t="str">
            <v>GBWS-4856</v>
          </cell>
          <cell r="L6780">
            <v>45525</v>
          </cell>
          <cell r="M6780">
            <v>45526</v>
          </cell>
          <cell r="N6780">
            <v>45533</v>
          </cell>
          <cell r="O6780">
            <v>45526</v>
          </cell>
          <cell r="P6780">
            <v>45533</v>
          </cell>
          <cell r="Q6780">
            <v>45533</v>
          </cell>
          <cell r="R6780">
            <v>45534</v>
          </cell>
          <cell r="S6780">
            <v>45537</v>
          </cell>
          <cell r="T6780">
            <v>45538</v>
          </cell>
          <cell r="U6780">
            <v>45539</v>
          </cell>
          <cell r="V6780">
            <v>45540</v>
          </cell>
          <cell r="W6780">
            <v>45540</v>
          </cell>
          <cell r="X6780">
            <v>41100564</v>
          </cell>
        </row>
        <row r="6781">
          <cell r="K6781" t="str">
            <v>GBWS-4857</v>
          </cell>
          <cell r="L6781">
            <v>45525</v>
          </cell>
          <cell r="M6781">
            <v>45526</v>
          </cell>
          <cell r="N6781">
            <v>45533</v>
          </cell>
          <cell r="O6781">
            <v>45526</v>
          </cell>
          <cell r="P6781">
            <v>45533</v>
          </cell>
          <cell r="Q6781">
            <v>45533</v>
          </cell>
          <cell r="R6781">
            <v>45534</v>
          </cell>
          <cell r="S6781">
            <v>45537</v>
          </cell>
          <cell r="T6781">
            <v>45538</v>
          </cell>
          <cell r="U6781">
            <v>45541</v>
          </cell>
          <cell r="V6781">
            <v>45541</v>
          </cell>
          <cell r="W6781">
            <v>45541</v>
          </cell>
          <cell r="X6781">
            <v>41100564</v>
          </cell>
        </row>
        <row r="6782">
          <cell r="K6782" t="str">
            <v>GBWS-4858</v>
          </cell>
          <cell r="L6782">
            <v>45525</v>
          </cell>
          <cell r="M6782">
            <v>45526</v>
          </cell>
          <cell r="N6782">
            <v>45533</v>
          </cell>
          <cell r="O6782">
            <v>45526</v>
          </cell>
          <cell r="P6782">
            <v>45533</v>
          </cell>
          <cell r="Q6782">
            <v>45533</v>
          </cell>
          <cell r="R6782">
            <v>45534</v>
          </cell>
          <cell r="S6782">
            <v>45537</v>
          </cell>
          <cell r="T6782">
            <v>45538</v>
          </cell>
          <cell r="U6782">
            <v>45541</v>
          </cell>
          <cell r="V6782">
            <v>45541</v>
          </cell>
          <cell r="W6782">
            <v>45541</v>
          </cell>
          <cell r="X6782">
            <v>41100564</v>
          </cell>
        </row>
        <row r="6783">
          <cell r="K6783" t="str">
            <v>GBWS-4859</v>
          </cell>
          <cell r="L6783">
            <v>45525</v>
          </cell>
          <cell r="M6783">
            <v>45526</v>
          </cell>
          <cell r="N6783">
            <v>45533</v>
          </cell>
          <cell r="O6783">
            <v>45526</v>
          </cell>
          <cell r="P6783">
            <v>45533</v>
          </cell>
          <cell r="Q6783">
            <v>45533</v>
          </cell>
          <cell r="R6783">
            <v>45534</v>
          </cell>
          <cell r="S6783">
            <v>45537</v>
          </cell>
          <cell r="T6783">
            <v>45538</v>
          </cell>
          <cell r="U6783">
            <v>45541</v>
          </cell>
          <cell r="V6783">
            <v>45541</v>
          </cell>
          <cell r="W6783">
            <v>45541</v>
          </cell>
          <cell r="X6783">
            <v>41100564</v>
          </cell>
        </row>
        <row r="6784">
          <cell r="K6784" t="str">
            <v>GBWS-4860</v>
          </cell>
          <cell r="L6784">
            <v>45525</v>
          </cell>
          <cell r="M6784">
            <v>45526</v>
          </cell>
          <cell r="N6784">
            <v>45533</v>
          </cell>
          <cell r="O6784">
            <v>45526</v>
          </cell>
          <cell r="P6784">
            <v>45533</v>
          </cell>
          <cell r="Q6784">
            <v>45533</v>
          </cell>
          <cell r="R6784">
            <v>45534</v>
          </cell>
          <cell r="S6784">
            <v>45537</v>
          </cell>
          <cell r="T6784">
            <v>45538</v>
          </cell>
          <cell r="U6784">
            <v>45539</v>
          </cell>
          <cell r="V6784">
            <v>45540</v>
          </cell>
          <cell r="W6784">
            <v>45540</v>
          </cell>
          <cell r="X6784">
            <v>41100662</v>
          </cell>
        </row>
        <row r="6785">
          <cell r="K6785" t="str">
            <v>GBWS-4827</v>
          </cell>
          <cell r="L6785">
            <v>45518</v>
          </cell>
          <cell r="M6785">
            <v>45520</v>
          </cell>
          <cell r="N6785">
            <v>45526</v>
          </cell>
          <cell r="O6785">
            <v>45520</v>
          </cell>
          <cell r="P6785">
            <v>45530</v>
          </cell>
          <cell r="Q6785">
            <v>45527</v>
          </cell>
          <cell r="R6785">
            <v>45530</v>
          </cell>
          <cell r="S6785">
            <v>45531</v>
          </cell>
          <cell r="T6785">
            <v>45532</v>
          </cell>
          <cell r="U6785">
            <v>45533</v>
          </cell>
          <cell r="V6785">
            <v>45534</v>
          </cell>
          <cell r="W6785">
            <v>45534</v>
          </cell>
          <cell r="X6785">
            <v>41200007</v>
          </cell>
        </row>
        <row r="6786">
          <cell r="K6786" t="str">
            <v>GBWS-4828</v>
          </cell>
          <cell r="L6786">
            <v>45518</v>
          </cell>
          <cell r="M6786">
            <v>45520</v>
          </cell>
          <cell r="N6786">
            <v>45526</v>
          </cell>
          <cell r="O6786">
            <v>45520</v>
          </cell>
          <cell r="P6786">
            <v>45530</v>
          </cell>
          <cell r="Q6786">
            <v>45527</v>
          </cell>
          <cell r="R6786">
            <v>45530</v>
          </cell>
          <cell r="S6786">
            <v>45531</v>
          </cell>
          <cell r="T6786">
            <v>45532</v>
          </cell>
          <cell r="U6786">
            <v>45533</v>
          </cell>
          <cell r="V6786">
            <v>45534</v>
          </cell>
          <cell r="W6786">
            <v>45534</v>
          </cell>
          <cell r="X6786">
            <v>41200007</v>
          </cell>
        </row>
        <row r="6787">
          <cell r="K6787" t="str">
            <v>GBWS-4474</v>
          </cell>
          <cell r="L6787">
            <v>45413</v>
          </cell>
          <cell r="M6787">
            <v>45414</v>
          </cell>
          <cell r="N6787">
            <v>45422</v>
          </cell>
          <cell r="O6787">
            <v>45414</v>
          </cell>
          <cell r="P6787">
            <v>45425</v>
          </cell>
          <cell r="Q6787">
            <v>45422</v>
          </cell>
          <cell r="R6787">
            <v>45425</v>
          </cell>
          <cell r="S6787">
            <v>45453</v>
          </cell>
          <cell r="T6787">
            <v>45464</v>
          </cell>
          <cell r="U6787">
            <v>45467</v>
          </cell>
          <cell r="V6787">
            <v>45468</v>
          </cell>
          <cell r="W6787">
            <v>45468</v>
          </cell>
          <cell r="X6787">
            <v>41100564</v>
          </cell>
        </row>
        <row r="6788">
          <cell r="K6788" t="str">
            <v>DBW-3471</v>
          </cell>
          <cell r="L6788">
            <v>45524</v>
          </cell>
          <cell r="M6788">
            <v>45525</v>
          </cell>
          <cell r="N6788">
            <v>45531</v>
          </cell>
          <cell r="O6788">
            <v>45525</v>
          </cell>
          <cell r="P6788">
            <v>45532</v>
          </cell>
          <cell r="Q6788">
            <v>45532</v>
          </cell>
          <cell r="R6788">
            <v>45533</v>
          </cell>
          <cell r="S6788">
            <v>45534</v>
          </cell>
          <cell r="T6788">
            <v>45537</v>
          </cell>
          <cell r="U6788">
            <v>45538</v>
          </cell>
          <cell r="V6788">
            <v>45539</v>
          </cell>
          <cell r="W6788">
            <v>45539</v>
          </cell>
          <cell r="X6788">
            <v>41000567</v>
          </cell>
        </row>
        <row r="6789">
          <cell r="K6789" t="str">
            <v>DBW-3472</v>
          </cell>
          <cell r="L6789">
            <v>45524</v>
          </cell>
          <cell r="M6789">
            <v>45525</v>
          </cell>
          <cell r="N6789">
            <v>45531</v>
          </cell>
          <cell r="O6789">
            <v>45525</v>
          </cell>
          <cell r="P6789">
            <v>45532</v>
          </cell>
          <cell r="Q6789">
            <v>45532</v>
          </cell>
          <cell r="R6789">
            <v>45533</v>
          </cell>
          <cell r="S6789">
            <v>45534</v>
          </cell>
          <cell r="T6789">
            <v>45537</v>
          </cell>
          <cell r="U6789">
            <v>45539</v>
          </cell>
          <cell r="V6789">
            <v>45540</v>
          </cell>
          <cell r="W6789">
            <v>45540</v>
          </cell>
          <cell r="X6789">
            <v>41000567</v>
          </cell>
        </row>
        <row r="6790">
          <cell r="K6790" t="str">
            <v>DBW-3473</v>
          </cell>
          <cell r="L6790">
            <v>45524</v>
          </cell>
          <cell r="M6790">
            <v>45525</v>
          </cell>
          <cell r="N6790">
            <v>45531</v>
          </cell>
          <cell r="O6790">
            <v>45525</v>
          </cell>
          <cell r="P6790">
            <v>45532</v>
          </cell>
          <cell r="Q6790">
            <v>45532</v>
          </cell>
          <cell r="R6790">
            <v>45533</v>
          </cell>
          <cell r="S6790">
            <v>45534</v>
          </cell>
          <cell r="T6790">
            <v>45537</v>
          </cell>
          <cell r="U6790">
            <v>45539</v>
          </cell>
          <cell r="V6790">
            <v>45539</v>
          </cell>
          <cell r="W6790">
            <v>45539</v>
          </cell>
          <cell r="X6790">
            <v>41000567</v>
          </cell>
        </row>
        <row r="6791">
          <cell r="K6791" t="str">
            <v>DBW-3474</v>
          </cell>
          <cell r="L6791">
            <v>45524</v>
          </cell>
          <cell r="M6791">
            <v>45525</v>
          </cell>
          <cell r="N6791">
            <v>45531</v>
          </cell>
          <cell r="O6791">
            <v>45525</v>
          </cell>
          <cell r="P6791">
            <v>45532</v>
          </cell>
          <cell r="Q6791">
            <v>45532</v>
          </cell>
          <cell r="R6791">
            <v>45533</v>
          </cell>
          <cell r="S6791">
            <v>45534</v>
          </cell>
          <cell r="T6791">
            <v>45537</v>
          </cell>
          <cell r="U6791">
            <v>45539</v>
          </cell>
          <cell r="V6791">
            <v>45540</v>
          </cell>
          <cell r="W6791">
            <v>45540</v>
          </cell>
          <cell r="X6791">
            <v>41000567</v>
          </cell>
        </row>
        <row r="6792">
          <cell r="K6792" t="str">
            <v>DBW-3475</v>
          </cell>
          <cell r="L6792">
            <v>45524</v>
          </cell>
          <cell r="M6792">
            <v>45525</v>
          </cell>
          <cell r="N6792">
            <v>45531</v>
          </cell>
          <cell r="O6792">
            <v>45525</v>
          </cell>
          <cell r="P6792">
            <v>45532</v>
          </cell>
          <cell r="Q6792">
            <v>45532</v>
          </cell>
          <cell r="R6792">
            <v>45533</v>
          </cell>
          <cell r="S6792">
            <v>45534</v>
          </cell>
          <cell r="T6792">
            <v>45537</v>
          </cell>
          <cell r="U6792">
            <v>45539</v>
          </cell>
          <cell r="V6792">
            <v>45540</v>
          </cell>
          <cell r="W6792">
            <v>45540</v>
          </cell>
          <cell r="X6792">
            <v>41000567</v>
          </cell>
        </row>
        <row r="6793">
          <cell r="K6793" t="str">
            <v>DBW-3476</v>
          </cell>
          <cell r="L6793">
            <v>45526</v>
          </cell>
          <cell r="M6793">
            <v>45527</v>
          </cell>
          <cell r="N6793">
            <v>45534</v>
          </cell>
          <cell r="O6793">
            <v>45527</v>
          </cell>
          <cell r="P6793">
            <v>45537</v>
          </cell>
          <cell r="Q6793">
            <v>45534</v>
          </cell>
          <cell r="R6793">
            <v>45537</v>
          </cell>
          <cell r="S6793">
            <v>45538</v>
          </cell>
          <cell r="T6793">
            <v>45539</v>
          </cell>
          <cell r="U6793">
            <v>45540</v>
          </cell>
          <cell r="V6793">
            <v>45541</v>
          </cell>
          <cell r="W6793">
            <v>45541</v>
          </cell>
          <cell r="X6793">
            <v>41000567</v>
          </cell>
        </row>
        <row r="6794">
          <cell r="K6794" t="str">
            <v>DBW-3477</v>
          </cell>
          <cell r="L6794">
            <v>45526</v>
          </cell>
          <cell r="M6794">
            <v>45527</v>
          </cell>
          <cell r="N6794">
            <v>45534</v>
          </cell>
          <cell r="O6794">
            <v>45527</v>
          </cell>
          <cell r="P6794">
            <v>45537</v>
          </cell>
          <cell r="Q6794">
            <v>45534</v>
          </cell>
          <cell r="R6794">
            <v>45537</v>
          </cell>
          <cell r="S6794">
            <v>45538</v>
          </cell>
          <cell r="T6794">
            <v>45539</v>
          </cell>
          <cell r="U6794">
            <v>45541</v>
          </cell>
          <cell r="V6794">
            <v>45544</v>
          </cell>
          <cell r="W6794">
            <v>45544</v>
          </cell>
          <cell r="X6794">
            <v>41000567</v>
          </cell>
        </row>
        <row r="6795">
          <cell r="K6795" t="str">
            <v>DBW-3478</v>
          </cell>
          <cell r="L6795">
            <v>45526</v>
          </cell>
          <cell r="M6795">
            <v>45527</v>
          </cell>
          <cell r="N6795">
            <v>45534</v>
          </cell>
          <cell r="O6795">
            <v>45527</v>
          </cell>
          <cell r="P6795">
            <v>45537</v>
          </cell>
          <cell r="Q6795">
            <v>45534</v>
          </cell>
          <cell r="R6795">
            <v>45537</v>
          </cell>
          <cell r="S6795">
            <v>45538</v>
          </cell>
          <cell r="T6795">
            <v>45539</v>
          </cell>
          <cell r="U6795">
            <v>45541</v>
          </cell>
          <cell r="V6795">
            <v>45544</v>
          </cell>
          <cell r="W6795">
            <v>45544</v>
          </cell>
          <cell r="X6795">
            <v>41000567</v>
          </cell>
        </row>
        <row r="6796">
          <cell r="K6796" t="str">
            <v>DBW-3479</v>
          </cell>
          <cell r="L6796">
            <v>45526</v>
          </cell>
          <cell r="M6796">
            <v>45527</v>
          </cell>
          <cell r="N6796">
            <v>45534</v>
          </cell>
          <cell r="O6796">
            <v>45527</v>
          </cell>
          <cell r="P6796">
            <v>45537</v>
          </cell>
          <cell r="Q6796">
            <v>45534</v>
          </cell>
          <cell r="R6796">
            <v>45537</v>
          </cell>
          <cell r="S6796">
            <v>45538</v>
          </cell>
          <cell r="T6796">
            <v>45539</v>
          </cell>
          <cell r="U6796">
            <v>45541</v>
          </cell>
          <cell r="V6796">
            <v>45544</v>
          </cell>
          <cell r="W6796">
            <v>45544</v>
          </cell>
          <cell r="X6796">
            <v>41000567</v>
          </cell>
        </row>
        <row r="6797">
          <cell r="K6797" t="str">
            <v>DBW-3480</v>
          </cell>
          <cell r="L6797">
            <v>45526</v>
          </cell>
          <cell r="M6797">
            <v>45527</v>
          </cell>
          <cell r="N6797">
            <v>45534</v>
          </cell>
          <cell r="O6797">
            <v>45527</v>
          </cell>
          <cell r="P6797">
            <v>45537</v>
          </cell>
          <cell r="Q6797">
            <v>45534</v>
          </cell>
          <cell r="R6797">
            <v>45537</v>
          </cell>
          <cell r="S6797">
            <v>45538</v>
          </cell>
          <cell r="T6797">
            <v>45539</v>
          </cell>
          <cell r="U6797">
            <v>45544</v>
          </cell>
          <cell r="V6797">
            <v>45545</v>
          </cell>
          <cell r="W6797">
            <v>45545</v>
          </cell>
          <cell r="X6797">
            <v>41000567</v>
          </cell>
        </row>
        <row r="6798">
          <cell r="K6798" t="str">
            <v>GBWS-4852</v>
          </cell>
          <cell r="L6798">
            <v>45524</v>
          </cell>
          <cell r="M6798">
            <v>45525</v>
          </cell>
          <cell r="N6798">
            <v>45532</v>
          </cell>
          <cell r="O6798">
            <v>45525</v>
          </cell>
          <cell r="P6798">
            <v>45533</v>
          </cell>
          <cell r="Q6798">
            <v>45532</v>
          </cell>
          <cell r="R6798">
            <v>45533</v>
          </cell>
          <cell r="S6798">
            <v>45534</v>
          </cell>
          <cell r="T6798">
            <v>45537</v>
          </cell>
          <cell r="U6798">
            <v>45538</v>
          </cell>
          <cell r="V6798">
            <v>45539</v>
          </cell>
          <cell r="W6798">
            <v>45539</v>
          </cell>
          <cell r="X6798">
            <v>41100320</v>
          </cell>
        </row>
        <row r="6799">
          <cell r="K6799" t="str">
            <v>GBWS-4853</v>
          </cell>
          <cell r="L6799">
            <v>45524</v>
          </cell>
          <cell r="M6799">
            <v>45525</v>
          </cell>
          <cell r="N6799">
            <v>45532</v>
          </cell>
          <cell r="O6799">
            <v>45525</v>
          </cell>
          <cell r="P6799">
            <v>45533</v>
          </cell>
          <cell r="Q6799">
            <v>45532</v>
          </cell>
          <cell r="R6799">
            <v>45533</v>
          </cell>
          <cell r="S6799">
            <v>45534</v>
          </cell>
          <cell r="T6799">
            <v>45537</v>
          </cell>
          <cell r="U6799">
            <v>45538</v>
          </cell>
          <cell r="V6799">
            <v>45539</v>
          </cell>
          <cell r="W6799">
            <v>45539</v>
          </cell>
          <cell r="X6799">
            <v>41100320</v>
          </cell>
        </row>
        <row r="6800">
          <cell r="K6800" t="str">
            <v>GBWS-4841</v>
          </cell>
          <cell r="L6800">
            <v>45520</v>
          </cell>
          <cell r="M6800">
            <v>45523</v>
          </cell>
          <cell r="N6800">
            <v>45531</v>
          </cell>
          <cell r="O6800">
            <v>45523</v>
          </cell>
          <cell r="P6800">
            <v>45530</v>
          </cell>
          <cell r="Q6800">
            <v>45531</v>
          </cell>
          <cell r="R6800">
            <v>45532</v>
          </cell>
          <cell r="S6800">
            <v>45533</v>
          </cell>
          <cell r="T6800">
            <v>45533</v>
          </cell>
          <cell r="U6800">
            <v>45537</v>
          </cell>
          <cell r="V6800">
            <v>45538</v>
          </cell>
          <cell r="W6800">
            <v>45538</v>
          </cell>
          <cell r="X6800">
            <v>41100363</v>
          </cell>
        </row>
        <row r="6801">
          <cell r="K6801" t="str">
            <v>DBW-3486</v>
          </cell>
          <cell r="L6801">
            <v>45527</v>
          </cell>
          <cell r="M6801">
            <v>45530</v>
          </cell>
          <cell r="N6801">
            <v>45537</v>
          </cell>
          <cell r="O6801">
            <v>45530</v>
          </cell>
          <cell r="P6801">
            <v>45537</v>
          </cell>
          <cell r="Q6801">
            <v>45537</v>
          </cell>
          <cell r="R6801">
            <v>45538</v>
          </cell>
          <cell r="S6801">
            <v>45539</v>
          </cell>
          <cell r="T6801">
            <v>45540</v>
          </cell>
          <cell r="U6801">
            <v>45541</v>
          </cell>
          <cell r="V6801">
            <v>45545</v>
          </cell>
          <cell r="W6801">
            <v>45545</v>
          </cell>
          <cell r="X6801">
            <v>41000587</v>
          </cell>
        </row>
        <row r="6802">
          <cell r="K6802" t="str">
            <v>DBW-3485</v>
          </cell>
          <cell r="L6802">
            <v>45527</v>
          </cell>
          <cell r="M6802">
            <v>45530</v>
          </cell>
          <cell r="N6802">
            <v>45537</v>
          </cell>
          <cell r="O6802">
            <v>45530</v>
          </cell>
          <cell r="P6802">
            <v>45537</v>
          </cell>
          <cell r="Q6802">
            <v>45537</v>
          </cell>
          <cell r="R6802">
            <v>45538</v>
          </cell>
          <cell r="S6802">
            <v>45539</v>
          </cell>
          <cell r="T6802">
            <v>45540</v>
          </cell>
          <cell r="U6802">
            <v>45541</v>
          </cell>
          <cell r="V6802">
            <v>45544</v>
          </cell>
          <cell r="W6802">
            <v>45544</v>
          </cell>
          <cell r="X6802">
            <v>41100620</v>
          </cell>
        </row>
        <row r="6803">
          <cell r="K6803" t="str">
            <v>-</v>
          </cell>
          <cell r="L6803">
            <v>45516</v>
          </cell>
          <cell r="M6803">
            <v>45517</v>
          </cell>
          <cell r="N6803">
            <v>45524</v>
          </cell>
          <cell r="O6803">
            <v>45517</v>
          </cell>
          <cell r="P6803">
            <v>45524</v>
          </cell>
          <cell r="Q6803">
            <v>45524</v>
          </cell>
          <cell r="R6803">
            <v>45525</v>
          </cell>
          <cell r="S6803">
            <v>45526</v>
          </cell>
          <cell r="T6803">
            <v>45526</v>
          </cell>
          <cell r="U6803">
            <v>45545</v>
          </cell>
          <cell r="V6803">
            <v>45545</v>
          </cell>
          <cell r="W6803">
            <v>45545</v>
          </cell>
          <cell r="X6803">
            <v>31102454</v>
          </cell>
        </row>
        <row r="6804">
          <cell r="K6804" t="str">
            <v>GBWS-4870</v>
          </cell>
          <cell r="L6804">
            <v>45531</v>
          </cell>
          <cell r="M6804">
            <v>45532</v>
          </cell>
          <cell r="N6804">
            <v>45538</v>
          </cell>
          <cell r="O6804">
            <v>45532</v>
          </cell>
          <cell r="P6804">
            <v>45539</v>
          </cell>
          <cell r="Q6804">
            <v>45538</v>
          </cell>
          <cell r="R6804">
            <v>45539</v>
          </cell>
          <cell r="S6804">
            <v>45540</v>
          </cell>
          <cell r="T6804">
            <v>45541</v>
          </cell>
          <cell r="U6804">
            <v>45544</v>
          </cell>
          <cell r="V6804">
            <v>45545</v>
          </cell>
          <cell r="W6804">
            <v>45545</v>
          </cell>
          <cell r="X6804">
            <v>41200007</v>
          </cell>
        </row>
        <row r="6805">
          <cell r="K6805" t="str">
            <v>GBWS-4871</v>
          </cell>
          <cell r="L6805">
            <v>45531</v>
          </cell>
          <cell r="M6805">
            <v>45532</v>
          </cell>
          <cell r="N6805">
            <v>45538</v>
          </cell>
          <cell r="O6805">
            <v>45532</v>
          </cell>
          <cell r="P6805">
            <v>45539</v>
          </cell>
          <cell r="Q6805">
            <v>45538</v>
          </cell>
          <cell r="R6805">
            <v>45539</v>
          </cell>
          <cell r="S6805">
            <v>45540</v>
          </cell>
          <cell r="T6805">
            <v>45541</v>
          </cell>
          <cell r="U6805">
            <v>45544</v>
          </cell>
          <cell r="V6805">
            <v>45545</v>
          </cell>
          <cell r="W6805">
            <v>45545</v>
          </cell>
          <cell r="X6805">
            <v>41200007</v>
          </cell>
        </row>
        <row r="6806">
          <cell r="K6806" t="str">
            <v>DBW-3484</v>
          </cell>
          <cell r="L6806">
            <v>45527</v>
          </cell>
          <cell r="M6806">
            <v>45530</v>
          </cell>
          <cell r="N6806">
            <v>45537</v>
          </cell>
          <cell r="O6806">
            <v>45530</v>
          </cell>
          <cell r="P6806">
            <v>45538</v>
          </cell>
          <cell r="Q6806">
            <v>45537</v>
          </cell>
          <cell r="R6806">
            <v>45538</v>
          </cell>
          <cell r="S6806">
            <v>45539</v>
          </cell>
          <cell r="T6806">
            <v>45540</v>
          </cell>
          <cell r="U6806">
            <v>45541</v>
          </cell>
          <cell r="V6806">
            <v>45544</v>
          </cell>
          <cell r="W6806">
            <v>45544</v>
          </cell>
          <cell r="X6806">
            <v>41100696</v>
          </cell>
        </row>
        <row r="6807">
          <cell r="K6807" t="str">
            <v>GBWS-4873</v>
          </cell>
          <cell r="L6807">
            <v>45531</v>
          </cell>
          <cell r="M6807">
            <v>45532</v>
          </cell>
          <cell r="N6807">
            <v>45538</v>
          </cell>
          <cell r="O6807">
            <v>45532</v>
          </cell>
          <cell r="P6807">
            <v>45539</v>
          </cell>
          <cell r="Q6807">
            <v>45538</v>
          </cell>
          <cell r="R6807">
            <v>45539</v>
          </cell>
          <cell r="S6807">
            <v>45540</v>
          </cell>
          <cell r="T6807">
            <v>45541</v>
          </cell>
          <cell r="U6807">
            <v>45544</v>
          </cell>
          <cell r="V6807">
            <v>45545</v>
          </cell>
          <cell r="W6807">
            <v>45545</v>
          </cell>
          <cell r="X6807">
            <v>41100697</v>
          </cell>
        </row>
        <row r="6808">
          <cell r="K6808" t="str">
            <v>DBW-3481</v>
          </cell>
          <cell r="L6808">
            <v>45526</v>
          </cell>
          <cell r="M6808">
            <v>45527</v>
          </cell>
          <cell r="N6808">
            <v>45534</v>
          </cell>
          <cell r="O6808">
            <v>45527</v>
          </cell>
          <cell r="P6808">
            <v>45537</v>
          </cell>
          <cell r="Q6808">
            <v>45534</v>
          </cell>
          <cell r="R6808">
            <v>45537</v>
          </cell>
          <cell r="S6808">
            <v>45538</v>
          </cell>
          <cell r="T6808">
            <v>45539</v>
          </cell>
          <cell r="U6808">
            <v>45540</v>
          </cell>
          <cell r="V6808">
            <v>45541</v>
          </cell>
          <cell r="W6808">
            <v>45541</v>
          </cell>
          <cell r="X6808">
            <v>41100695</v>
          </cell>
        </row>
        <row r="6809">
          <cell r="K6809" t="str">
            <v>DBW-3482</v>
          </cell>
          <cell r="L6809">
            <v>45526</v>
          </cell>
          <cell r="M6809">
            <v>45527</v>
          </cell>
          <cell r="N6809">
            <v>45534</v>
          </cell>
          <cell r="O6809">
            <v>45527</v>
          </cell>
          <cell r="P6809">
            <v>45537</v>
          </cell>
          <cell r="Q6809">
            <v>45534</v>
          </cell>
          <cell r="R6809">
            <v>45537</v>
          </cell>
          <cell r="S6809">
            <v>45538</v>
          </cell>
          <cell r="T6809">
            <v>45539</v>
          </cell>
          <cell r="U6809">
            <v>45540</v>
          </cell>
          <cell r="V6809">
            <v>45541</v>
          </cell>
          <cell r="W6809">
            <v>45541</v>
          </cell>
          <cell r="X6809">
            <v>41100695</v>
          </cell>
        </row>
        <row r="6810">
          <cell r="K6810" t="str">
            <v>DBW-3483</v>
          </cell>
          <cell r="L6810">
            <v>45526</v>
          </cell>
          <cell r="M6810">
            <v>45527</v>
          </cell>
          <cell r="N6810">
            <v>45534</v>
          </cell>
          <cell r="O6810">
            <v>45527</v>
          </cell>
          <cell r="P6810">
            <v>45537</v>
          </cell>
          <cell r="Q6810">
            <v>45534</v>
          </cell>
          <cell r="R6810">
            <v>45537</v>
          </cell>
          <cell r="S6810">
            <v>45538</v>
          </cell>
          <cell r="T6810">
            <v>45539</v>
          </cell>
          <cell r="U6810">
            <v>45540</v>
          </cell>
          <cell r="V6810">
            <v>45541</v>
          </cell>
          <cell r="W6810">
            <v>45541</v>
          </cell>
          <cell r="X6810">
            <v>41100695</v>
          </cell>
        </row>
        <row r="6811">
          <cell r="K6811" t="str">
            <v>GBWS-4797</v>
          </cell>
          <cell r="L6811">
            <v>45506</v>
          </cell>
          <cell r="M6811">
            <v>45509</v>
          </cell>
          <cell r="N6811">
            <v>45513</v>
          </cell>
          <cell r="O6811">
            <v>45509</v>
          </cell>
          <cell r="P6811">
            <v>45516</v>
          </cell>
          <cell r="Q6811">
            <v>45513</v>
          </cell>
          <cell r="R6811">
            <v>45516</v>
          </cell>
          <cell r="S6811">
            <v>45527</v>
          </cell>
          <cell r="T6811">
            <v>45527</v>
          </cell>
          <cell r="U6811">
            <v>45527</v>
          </cell>
          <cell r="V6811">
            <v>45527</v>
          </cell>
          <cell r="W6811">
            <v>45527</v>
          </cell>
          <cell r="X6811">
            <v>41100286</v>
          </cell>
        </row>
        <row r="6812">
          <cell r="K6812" t="str">
            <v>GBWS-4842</v>
          </cell>
          <cell r="L6812">
            <v>45520</v>
          </cell>
          <cell r="M6812">
            <v>45523</v>
          </cell>
          <cell r="N6812">
            <v>45531</v>
          </cell>
          <cell r="O6812">
            <v>45523</v>
          </cell>
          <cell r="P6812">
            <v>45533</v>
          </cell>
          <cell r="Q6812">
            <v>45532</v>
          </cell>
          <cell r="R6812">
            <v>45533</v>
          </cell>
          <cell r="S6812">
            <v>45537</v>
          </cell>
          <cell r="T6812">
            <v>45538</v>
          </cell>
          <cell r="U6812">
            <v>45539</v>
          </cell>
          <cell r="V6812">
            <v>45540</v>
          </cell>
          <cell r="W6812">
            <v>45540</v>
          </cell>
          <cell r="X6812">
            <v>41200052</v>
          </cell>
        </row>
        <row r="6813">
          <cell r="K6813" t="str">
            <v>GBWS-4867</v>
          </cell>
          <cell r="L6813">
            <v>45530</v>
          </cell>
          <cell r="M6813">
            <v>45531</v>
          </cell>
          <cell r="N6813">
            <v>45538</v>
          </cell>
          <cell r="O6813">
            <v>45531</v>
          </cell>
          <cell r="P6813">
            <v>45539</v>
          </cell>
          <cell r="Q6813">
            <v>45538</v>
          </cell>
          <cell r="R6813">
            <v>45539</v>
          </cell>
          <cell r="S6813">
            <v>45540</v>
          </cell>
          <cell r="T6813">
            <v>45541</v>
          </cell>
          <cell r="U6813">
            <v>45544</v>
          </cell>
          <cell r="V6813">
            <v>45545</v>
          </cell>
          <cell r="W6813">
            <v>45545</v>
          </cell>
          <cell r="X6813">
            <v>41100320</v>
          </cell>
        </row>
        <row r="6814">
          <cell r="K6814" t="str">
            <v>GBWS-4854</v>
          </cell>
          <cell r="L6814">
            <v>45524</v>
          </cell>
          <cell r="M6814">
            <v>45525</v>
          </cell>
          <cell r="N6814">
            <v>45533</v>
          </cell>
          <cell r="O6814">
            <v>45525</v>
          </cell>
          <cell r="P6814">
            <v>45533</v>
          </cell>
          <cell r="Q6814">
            <v>45533</v>
          </cell>
          <cell r="R6814">
            <v>45534</v>
          </cell>
          <cell r="S6814">
            <v>45537</v>
          </cell>
          <cell r="T6814">
            <v>45537</v>
          </cell>
          <cell r="U6814">
            <v>45538</v>
          </cell>
          <cell r="V6814">
            <v>45539</v>
          </cell>
          <cell r="W6814">
            <v>45539</v>
          </cell>
          <cell r="X6814">
            <v>41100363</v>
          </cell>
        </row>
        <row r="6815">
          <cell r="K6815" t="str">
            <v>GBWS-4749</v>
          </cell>
          <cell r="L6815">
            <v>45492</v>
          </cell>
          <cell r="M6815">
            <v>45495</v>
          </cell>
          <cell r="N6815">
            <v>45503</v>
          </cell>
          <cell r="O6815">
            <v>45495</v>
          </cell>
          <cell r="P6815">
            <v>45503</v>
          </cell>
          <cell r="Q6815">
            <v>45502</v>
          </cell>
          <cell r="R6815">
            <v>45503</v>
          </cell>
          <cell r="S6815">
            <v>45504</v>
          </cell>
          <cell r="T6815">
            <v>45505</v>
          </cell>
          <cell r="U6815">
            <v>45505</v>
          </cell>
          <cell r="V6815">
            <v>45509</v>
          </cell>
          <cell r="W6815">
            <v>45509</v>
          </cell>
          <cell r="X6815">
            <v>41100320</v>
          </cell>
        </row>
        <row r="6816">
          <cell r="K6816" t="str">
            <v>GBWS-4874</v>
          </cell>
          <cell r="L6816">
            <v>45531</v>
          </cell>
          <cell r="M6816">
            <v>45532</v>
          </cell>
          <cell r="N6816">
            <v>45539</v>
          </cell>
          <cell r="O6816">
            <v>45532</v>
          </cell>
          <cell r="P6816">
            <v>45540</v>
          </cell>
          <cell r="Q6816">
            <v>45539</v>
          </cell>
          <cell r="R6816">
            <v>45540</v>
          </cell>
          <cell r="S6816">
            <v>45541</v>
          </cell>
          <cell r="T6816">
            <v>45544</v>
          </cell>
          <cell r="U6816">
            <v>45545</v>
          </cell>
          <cell r="V6816">
            <v>45546</v>
          </cell>
          <cell r="W6816">
            <v>45546</v>
          </cell>
          <cell r="X6816">
            <v>41100363</v>
          </cell>
        </row>
        <row r="6817">
          <cell r="K6817" t="str">
            <v>GBWS-4875</v>
          </cell>
          <cell r="L6817">
            <v>45531</v>
          </cell>
          <cell r="M6817">
            <v>45532</v>
          </cell>
          <cell r="N6817">
            <v>45539</v>
          </cell>
          <cell r="O6817">
            <v>45532</v>
          </cell>
          <cell r="P6817">
            <v>45540</v>
          </cell>
          <cell r="Q6817">
            <v>45539</v>
          </cell>
          <cell r="R6817">
            <v>45540</v>
          </cell>
          <cell r="S6817">
            <v>45541</v>
          </cell>
          <cell r="T6817">
            <v>45544</v>
          </cell>
          <cell r="U6817">
            <v>45545</v>
          </cell>
          <cell r="V6817">
            <v>45546</v>
          </cell>
          <cell r="W6817">
            <v>45546</v>
          </cell>
          <cell r="X6817">
            <v>41100363</v>
          </cell>
        </row>
        <row r="6818">
          <cell r="K6818" t="str">
            <v>WS-0095</v>
          </cell>
          <cell r="L6818">
            <v>45531</v>
          </cell>
          <cell r="M6818">
            <v>45532</v>
          </cell>
          <cell r="N6818">
            <v>45540</v>
          </cell>
          <cell r="O6818">
            <v>45532</v>
          </cell>
          <cell r="P6818">
            <v>45539</v>
          </cell>
          <cell r="Q6818">
            <v>45540</v>
          </cell>
          <cell r="R6818">
            <v>45541</v>
          </cell>
          <cell r="S6818">
            <v>45544</v>
          </cell>
          <cell r="T6818">
            <v>45545</v>
          </cell>
          <cell r="U6818">
            <v>45546</v>
          </cell>
          <cell r="V6818">
            <v>45547</v>
          </cell>
          <cell r="W6818">
            <v>45547</v>
          </cell>
          <cell r="X6818">
            <v>41100435</v>
          </cell>
        </row>
        <row r="6819">
          <cell r="K6819" t="str">
            <v>GBWS-4887</v>
          </cell>
          <cell r="L6819">
            <v>45534</v>
          </cell>
          <cell r="M6819">
            <v>45537</v>
          </cell>
          <cell r="N6819">
            <v>45541</v>
          </cell>
          <cell r="O6819">
            <v>45537</v>
          </cell>
          <cell r="P6819">
            <v>45544</v>
          </cell>
          <cell r="Q6819">
            <v>45541</v>
          </cell>
          <cell r="R6819">
            <v>45544</v>
          </cell>
          <cell r="S6819">
            <v>45545</v>
          </cell>
          <cell r="T6819">
            <v>45545</v>
          </cell>
          <cell r="U6819">
            <v>45546</v>
          </cell>
          <cell r="V6819">
            <v>45547</v>
          </cell>
          <cell r="W6819">
            <v>45547</v>
          </cell>
          <cell r="X6819" t="str">
            <v>41100336 → 41200069</v>
          </cell>
        </row>
        <row r="6820">
          <cell r="K6820" t="str">
            <v>GBWS-4888</v>
          </cell>
          <cell r="L6820">
            <v>45538</v>
          </cell>
          <cell r="M6820">
            <v>45539</v>
          </cell>
          <cell r="N6820">
            <v>45544</v>
          </cell>
          <cell r="O6820">
            <v>45539</v>
          </cell>
          <cell r="P6820">
            <v>45545</v>
          </cell>
          <cell r="Q6820">
            <v>45544</v>
          </cell>
          <cell r="R6820">
            <v>45544</v>
          </cell>
          <cell r="S6820">
            <v>45545</v>
          </cell>
          <cell r="T6820">
            <v>45546</v>
          </cell>
          <cell r="U6820">
            <v>45548</v>
          </cell>
          <cell r="V6820">
            <v>45548</v>
          </cell>
          <cell r="W6820">
            <v>45548</v>
          </cell>
          <cell r="X6820">
            <v>41200039</v>
          </cell>
        </row>
        <row r="6821">
          <cell r="K6821" t="str">
            <v>GBWS-4829</v>
          </cell>
          <cell r="L6821">
            <v>45518</v>
          </cell>
          <cell r="M6821">
            <v>45520</v>
          </cell>
          <cell r="N6821">
            <v>45526</v>
          </cell>
          <cell r="O6821">
            <v>45520</v>
          </cell>
          <cell r="P6821">
            <v>45530</v>
          </cell>
          <cell r="Q6821">
            <v>45527</v>
          </cell>
          <cell r="R6821">
            <v>45530</v>
          </cell>
          <cell r="S6821">
            <v>45531</v>
          </cell>
          <cell r="T6821">
            <v>45532</v>
          </cell>
          <cell r="U6821">
            <v>45533</v>
          </cell>
          <cell r="V6821">
            <v>45534</v>
          </cell>
          <cell r="W6821">
            <v>45534</v>
          </cell>
          <cell r="X6821">
            <v>41200007</v>
          </cell>
        </row>
        <row r="6822">
          <cell r="K6822" t="str">
            <v>GBWS-4830</v>
          </cell>
          <cell r="L6822">
            <v>45518</v>
          </cell>
          <cell r="M6822">
            <v>45520</v>
          </cell>
          <cell r="N6822">
            <v>45526</v>
          </cell>
          <cell r="O6822">
            <v>45520</v>
          </cell>
          <cell r="P6822">
            <v>45530</v>
          </cell>
          <cell r="Q6822">
            <v>45527</v>
          </cell>
          <cell r="R6822">
            <v>45530</v>
          </cell>
          <cell r="S6822">
            <v>45531</v>
          </cell>
          <cell r="T6822">
            <v>45532</v>
          </cell>
          <cell r="U6822">
            <v>45533</v>
          </cell>
          <cell r="V6822">
            <v>45534</v>
          </cell>
          <cell r="W6822">
            <v>45534</v>
          </cell>
          <cell r="X6822">
            <v>41200007</v>
          </cell>
        </row>
        <row r="6823">
          <cell r="K6823" t="str">
            <v>GBWS-4760</v>
          </cell>
          <cell r="L6823">
            <v>45498</v>
          </cell>
          <cell r="M6823">
            <v>45499</v>
          </cell>
          <cell r="N6823">
            <v>45506</v>
          </cell>
          <cell r="O6823">
            <v>45499</v>
          </cell>
          <cell r="P6823">
            <v>45509</v>
          </cell>
          <cell r="Q6823">
            <v>45506</v>
          </cell>
          <cell r="R6823">
            <v>45509</v>
          </cell>
          <cell r="S6823">
            <v>45530</v>
          </cell>
          <cell r="T6823">
            <v>45531</v>
          </cell>
          <cell r="U6823">
            <v>45532</v>
          </cell>
          <cell r="V6823">
            <v>45533</v>
          </cell>
          <cell r="W6823">
            <v>45533</v>
          </cell>
          <cell r="X6823">
            <v>41100507</v>
          </cell>
        </row>
        <row r="6824">
          <cell r="K6824" t="str">
            <v>GBWS-4761</v>
          </cell>
          <cell r="L6824">
            <v>45498</v>
          </cell>
          <cell r="M6824">
            <v>45499</v>
          </cell>
          <cell r="N6824">
            <v>45506</v>
          </cell>
          <cell r="O6824">
            <v>45499</v>
          </cell>
          <cell r="P6824">
            <v>45509</v>
          </cell>
          <cell r="Q6824">
            <v>45506</v>
          </cell>
          <cell r="R6824">
            <v>45509</v>
          </cell>
          <cell r="S6824">
            <v>45530</v>
          </cell>
          <cell r="T6824">
            <v>45531</v>
          </cell>
          <cell r="U6824">
            <v>45532</v>
          </cell>
          <cell r="V6824">
            <v>45533</v>
          </cell>
          <cell r="W6824">
            <v>45533</v>
          </cell>
          <cell r="X6824">
            <v>41100507</v>
          </cell>
        </row>
        <row r="6825">
          <cell r="K6825" t="str">
            <v>GBWS-4669</v>
          </cell>
          <cell r="L6825">
            <v>45468</v>
          </cell>
          <cell r="M6825">
            <v>45469</v>
          </cell>
          <cell r="N6825">
            <v>45476</v>
          </cell>
          <cell r="O6825">
            <v>45469</v>
          </cell>
          <cell r="P6825">
            <v>45477</v>
          </cell>
          <cell r="Q6825">
            <v>45476</v>
          </cell>
          <cell r="R6825">
            <v>45477</v>
          </cell>
          <cell r="S6825">
            <v>45484</v>
          </cell>
          <cell r="T6825">
            <v>45485</v>
          </cell>
          <cell r="U6825">
            <v>45488</v>
          </cell>
          <cell r="V6825">
            <v>45489</v>
          </cell>
          <cell r="W6825">
            <v>45489</v>
          </cell>
          <cell r="X6825">
            <v>41100509</v>
          </cell>
        </row>
        <row r="6826">
          <cell r="K6826" t="str">
            <v>GBWS-4670</v>
          </cell>
          <cell r="L6826">
            <v>45468</v>
          </cell>
          <cell r="M6826">
            <v>45469</v>
          </cell>
          <cell r="N6826">
            <v>45476</v>
          </cell>
          <cell r="O6826">
            <v>45469</v>
          </cell>
          <cell r="P6826">
            <v>45477</v>
          </cell>
          <cell r="Q6826">
            <v>45476</v>
          </cell>
          <cell r="R6826">
            <v>45477</v>
          </cell>
          <cell r="S6826">
            <v>45484</v>
          </cell>
          <cell r="T6826">
            <v>45485</v>
          </cell>
          <cell r="U6826">
            <v>45488</v>
          </cell>
          <cell r="V6826">
            <v>45489</v>
          </cell>
          <cell r="W6826">
            <v>45489</v>
          </cell>
          <cell r="X6826">
            <v>41100509</v>
          </cell>
        </row>
        <row r="6827">
          <cell r="K6827" t="str">
            <v>GBWS-4826</v>
          </cell>
          <cell r="L6827">
            <v>45518</v>
          </cell>
          <cell r="M6827">
            <v>45520</v>
          </cell>
          <cell r="N6827">
            <v>45527</v>
          </cell>
          <cell r="O6827">
            <v>45520</v>
          </cell>
          <cell r="P6827">
            <v>45527</v>
          </cell>
          <cell r="Q6827">
            <v>45527</v>
          </cell>
          <cell r="R6827">
            <v>45530</v>
          </cell>
          <cell r="S6827">
            <v>45531</v>
          </cell>
          <cell r="T6827">
            <v>45532</v>
          </cell>
          <cell r="U6827">
            <v>45533</v>
          </cell>
          <cell r="V6827">
            <v>45534</v>
          </cell>
          <cell r="W6827">
            <v>45534</v>
          </cell>
          <cell r="X6827">
            <v>41100350</v>
          </cell>
        </row>
        <row r="6828">
          <cell r="K6828" t="str">
            <v>GBWS-4882</v>
          </cell>
          <cell r="L6828">
            <v>45534</v>
          </cell>
          <cell r="M6828">
            <v>45537</v>
          </cell>
          <cell r="N6828">
            <v>45544</v>
          </cell>
          <cell r="O6828">
            <v>45537</v>
          </cell>
          <cell r="P6828">
            <v>45545</v>
          </cell>
          <cell r="Q6828">
            <v>45544</v>
          </cell>
          <cell r="R6828">
            <v>45545</v>
          </cell>
          <cell r="S6828">
            <v>45546</v>
          </cell>
          <cell r="T6828">
            <v>45547</v>
          </cell>
          <cell r="U6828">
            <v>45554</v>
          </cell>
          <cell r="V6828">
            <v>45554</v>
          </cell>
          <cell r="W6828">
            <v>45554</v>
          </cell>
          <cell r="X6828">
            <v>41100320</v>
          </cell>
        </row>
        <row r="6829">
          <cell r="K6829" t="str">
            <v>-</v>
          </cell>
          <cell r="L6829">
            <v>45538</v>
          </cell>
          <cell r="M6829">
            <v>45538</v>
          </cell>
          <cell r="N6829">
            <v>45544</v>
          </cell>
          <cell r="O6829">
            <v>45538</v>
          </cell>
          <cell r="P6829">
            <v>45544</v>
          </cell>
          <cell r="Q6829">
            <v>45544</v>
          </cell>
          <cell r="R6829">
            <v>45544</v>
          </cell>
          <cell r="S6829">
            <v>45546</v>
          </cell>
          <cell r="T6829">
            <v>45546</v>
          </cell>
          <cell r="U6829">
            <v>45546</v>
          </cell>
          <cell r="V6829">
            <v>45546</v>
          </cell>
          <cell r="W6829">
            <v>45546</v>
          </cell>
          <cell r="X6829">
            <v>31200202</v>
          </cell>
        </row>
        <row r="6830">
          <cell r="K6830" t="str">
            <v>-</v>
          </cell>
          <cell r="L6830">
            <v>45538</v>
          </cell>
          <cell r="M6830">
            <v>45538</v>
          </cell>
          <cell r="N6830">
            <v>45544</v>
          </cell>
          <cell r="O6830">
            <v>45538</v>
          </cell>
          <cell r="P6830">
            <v>45544</v>
          </cell>
          <cell r="Q6830">
            <v>45544</v>
          </cell>
          <cell r="R6830">
            <v>45544</v>
          </cell>
          <cell r="S6830">
            <v>45546</v>
          </cell>
          <cell r="T6830">
            <v>45546</v>
          </cell>
          <cell r="U6830">
            <v>45546</v>
          </cell>
          <cell r="V6830">
            <v>45546</v>
          </cell>
          <cell r="W6830">
            <v>45546</v>
          </cell>
          <cell r="X6830">
            <v>31200187</v>
          </cell>
        </row>
        <row r="6831">
          <cell r="K6831" t="str">
            <v>GBWS-4454</v>
          </cell>
          <cell r="L6831">
            <v>45405</v>
          </cell>
          <cell r="M6831">
            <v>45407</v>
          </cell>
          <cell r="N6831">
            <v>45414</v>
          </cell>
          <cell r="O6831">
            <v>45407</v>
          </cell>
          <cell r="P6831">
            <v>45415</v>
          </cell>
          <cell r="Q6831">
            <v>45415</v>
          </cell>
          <cell r="R6831">
            <v>45419</v>
          </cell>
          <cell r="S6831">
            <v>45420</v>
          </cell>
          <cell r="T6831">
            <v>45421</v>
          </cell>
          <cell r="U6831">
            <v>45422</v>
          </cell>
          <cell r="V6831">
            <v>45428</v>
          </cell>
          <cell r="W6831">
            <v>45428</v>
          </cell>
          <cell r="X6831">
            <v>41100702</v>
          </cell>
        </row>
        <row r="6832">
          <cell r="K6832" t="str">
            <v>DS-0443~0445</v>
          </cell>
          <cell r="L6832">
            <v>45547</v>
          </cell>
          <cell r="M6832">
            <v>45548</v>
          </cell>
          <cell r="N6832">
            <v>45555</v>
          </cell>
          <cell r="O6832">
            <v>45548</v>
          </cell>
          <cell r="P6832">
            <v>45555</v>
          </cell>
          <cell r="Q6832">
            <v>45554</v>
          </cell>
          <cell r="R6832">
            <v>45554</v>
          </cell>
          <cell r="S6832">
            <v>45555</v>
          </cell>
          <cell r="T6832">
            <v>45555</v>
          </cell>
          <cell r="U6832">
            <v>45555</v>
          </cell>
          <cell r="V6832">
            <v>45555</v>
          </cell>
          <cell r="W6832">
            <v>45555</v>
          </cell>
          <cell r="X6832">
            <v>31010315</v>
          </cell>
        </row>
        <row r="6833">
          <cell r="K6833" t="str">
            <v>-</v>
          </cell>
          <cell r="L6833">
            <v>45520</v>
          </cell>
          <cell r="M6833">
            <v>45523</v>
          </cell>
          <cell r="N6833">
            <v>45530</v>
          </cell>
          <cell r="O6833">
            <v>45523</v>
          </cell>
          <cell r="P6833">
            <v>45531</v>
          </cell>
          <cell r="Q6833">
            <v>45530</v>
          </cell>
          <cell r="R6833">
            <v>45531</v>
          </cell>
          <cell r="S6833">
            <v>45532</v>
          </cell>
          <cell r="T6833">
            <v>45532</v>
          </cell>
          <cell r="U6833">
            <v>45555</v>
          </cell>
          <cell r="V6833">
            <v>45555</v>
          </cell>
          <cell r="W6833">
            <v>45555</v>
          </cell>
          <cell r="X6833">
            <v>31102454</v>
          </cell>
        </row>
        <row r="6834">
          <cell r="K6834" t="str">
            <v>WS-0096</v>
          </cell>
          <cell r="L6834">
            <v>45534</v>
          </cell>
          <cell r="M6834">
            <v>45537</v>
          </cell>
          <cell r="N6834">
            <v>45544</v>
          </cell>
          <cell r="O6834">
            <v>45537</v>
          </cell>
          <cell r="P6834">
            <v>45541</v>
          </cell>
          <cell r="Q6834">
            <v>45545</v>
          </cell>
          <cell r="R6834">
            <v>45546</v>
          </cell>
          <cell r="S6834">
            <v>45547</v>
          </cell>
          <cell r="T6834">
            <v>45548</v>
          </cell>
          <cell r="U6834">
            <v>45554</v>
          </cell>
          <cell r="V6834">
            <v>45555</v>
          </cell>
          <cell r="W6834">
            <v>45555</v>
          </cell>
          <cell r="X6834">
            <v>41100435</v>
          </cell>
        </row>
        <row r="6835">
          <cell r="K6835" t="str">
            <v>WS-0097</v>
          </cell>
          <cell r="L6835">
            <v>45534</v>
          </cell>
          <cell r="M6835">
            <v>45537</v>
          </cell>
          <cell r="N6835">
            <v>45544</v>
          </cell>
          <cell r="O6835">
            <v>45537</v>
          </cell>
          <cell r="P6835">
            <v>45541</v>
          </cell>
          <cell r="Q6835">
            <v>45545</v>
          </cell>
          <cell r="R6835">
            <v>45546</v>
          </cell>
          <cell r="S6835">
            <v>45547</v>
          </cell>
          <cell r="T6835">
            <v>45548</v>
          </cell>
          <cell r="U6835">
            <v>45554</v>
          </cell>
          <cell r="V6835">
            <v>45555</v>
          </cell>
          <cell r="W6835">
            <v>45555</v>
          </cell>
          <cell r="X6835">
            <v>41100435</v>
          </cell>
        </row>
        <row r="6836">
          <cell r="K6836" t="str">
            <v>GBWS-4863</v>
          </cell>
          <cell r="L6836">
            <v>45530</v>
          </cell>
          <cell r="M6836">
            <v>45531</v>
          </cell>
          <cell r="N6836">
            <v>45537</v>
          </cell>
          <cell r="O6836">
            <v>45531</v>
          </cell>
          <cell r="P6836">
            <v>45538</v>
          </cell>
          <cell r="Q6836">
            <v>45537</v>
          </cell>
          <cell r="R6836">
            <v>45538</v>
          </cell>
          <cell r="S6836">
            <v>45539</v>
          </cell>
          <cell r="T6836">
            <v>45540</v>
          </cell>
          <cell r="U6836">
            <v>45544</v>
          </cell>
          <cell r="V6836">
            <v>45545</v>
          </cell>
          <cell r="W6836">
            <v>45545</v>
          </cell>
          <cell r="X6836">
            <v>41200005</v>
          </cell>
        </row>
        <row r="6837">
          <cell r="K6837" t="str">
            <v>GBWS-4864</v>
          </cell>
          <cell r="L6837">
            <v>45530</v>
          </cell>
          <cell r="M6837">
            <v>45531</v>
          </cell>
          <cell r="N6837">
            <v>45537</v>
          </cell>
          <cell r="O6837">
            <v>45531</v>
          </cell>
          <cell r="P6837">
            <v>45538</v>
          </cell>
          <cell r="Q6837">
            <v>45537</v>
          </cell>
          <cell r="R6837">
            <v>45538</v>
          </cell>
          <cell r="S6837">
            <v>45539</v>
          </cell>
          <cell r="T6837">
            <v>45540</v>
          </cell>
          <cell r="U6837">
            <v>45544</v>
          </cell>
          <cell r="V6837">
            <v>45545</v>
          </cell>
          <cell r="W6837">
            <v>45545</v>
          </cell>
          <cell r="X6837">
            <v>41200005</v>
          </cell>
        </row>
        <row r="6838">
          <cell r="K6838" t="str">
            <v>GBWS-4893</v>
          </cell>
          <cell r="L6838">
            <v>45539</v>
          </cell>
          <cell r="M6838">
            <v>45540</v>
          </cell>
          <cell r="N6838">
            <v>45547</v>
          </cell>
          <cell r="O6838">
            <v>45540</v>
          </cell>
          <cell r="P6838">
            <v>45547</v>
          </cell>
          <cell r="Q6838">
            <v>45547</v>
          </cell>
          <cell r="R6838">
            <v>45548</v>
          </cell>
          <cell r="S6838">
            <v>45554</v>
          </cell>
          <cell r="T6838">
            <v>45555</v>
          </cell>
          <cell r="U6838">
            <v>45559</v>
          </cell>
          <cell r="V6838">
            <v>45559</v>
          </cell>
          <cell r="W6838">
            <v>45559</v>
          </cell>
          <cell r="X6838">
            <v>41200039</v>
          </cell>
        </row>
        <row r="6839">
          <cell r="K6839" t="str">
            <v>GBWS-4894</v>
          </cell>
          <cell r="L6839">
            <v>45539</v>
          </cell>
          <cell r="M6839">
            <v>45540</v>
          </cell>
          <cell r="N6839">
            <v>45547</v>
          </cell>
          <cell r="O6839">
            <v>45540</v>
          </cell>
          <cell r="P6839">
            <v>45547</v>
          </cell>
          <cell r="Q6839">
            <v>45547</v>
          </cell>
          <cell r="R6839">
            <v>45548</v>
          </cell>
          <cell r="S6839">
            <v>45554</v>
          </cell>
          <cell r="T6839">
            <v>45555</v>
          </cell>
          <cell r="U6839">
            <v>45558</v>
          </cell>
          <cell r="V6839">
            <v>45559</v>
          </cell>
          <cell r="W6839">
            <v>45559</v>
          </cell>
          <cell r="X6839">
            <v>41200039</v>
          </cell>
        </row>
        <row r="6840">
          <cell r="K6840" t="str">
            <v>DBW-3497</v>
          </cell>
          <cell r="L6840">
            <v>45532</v>
          </cell>
          <cell r="M6840">
            <v>45533</v>
          </cell>
          <cell r="N6840">
            <v>45540</v>
          </cell>
          <cell r="O6840">
            <v>45533</v>
          </cell>
          <cell r="P6840">
            <v>45544</v>
          </cell>
          <cell r="Q6840">
            <v>45540</v>
          </cell>
          <cell r="R6840">
            <v>45541</v>
          </cell>
          <cell r="S6840">
            <v>45544</v>
          </cell>
          <cell r="T6840">
            <v>45545</v>
          </cell>
          <cell r="U6840">
            <v>45547</v>
          </cell>
          <cell r="V6840">
            <v>45548</v>
          </cell>
          <cell r="W6840">
            <v>45548</v>
          </cell>
          <cell r="X6840">
            <v>41000588</v>
          </cell>
        </row>
        <row r="6841">
          <cell r="K6841" t="str">
            <v>GBWS-4876</v>
          </cell>
          <cell r="L6841">
            <v>45531</v>
          </cell>
          <cell r="M6841">
            <v>45532</v>
          </cell>
          <cell r="N6841">
            <v>45539</v>
          </cell>
          <cell r="O6841">
            <v>45532</v>
          </cell>
          <cell r="P6841">
            <v>45540</v>
          </cell>
          <cell r="Q6841">
            <v>45539</v>
          </cell>
          <cell r="R6841">
            <v>45540</v>
          </cell>
          <cell r="S6841">
            <v>45541</v>
          </cell>
          <cell r="T6841">
            <v>45544</v>
          </cell>
          <cell r="U6841">
            <v>45545</v>
          </cell>
          <cell r="V6841">
            <v>45546</v>
          </cell>
          <cell r="W6841">
            <v>45546</v>
          </cell>
          <cell r="X6841">
            <v>41100363</v>
          </cell>
        </row>
        <row r="6842">
          <cell r="K6842" t="str">
            <v>GBWS-4879</v>
          </cell>
          <cell r="L6842">
            <v>45534</v>
          </cell>
          <cell r="M6842">
            <v>45537</v>
          </cell>
          <cell r="N6842">
            <v>45541</v>
          </cell>
          <cell r="O6842">
            <v>45537</v>
          </cell>
          <cell r="P6842">
            <v>45541</v>
          </cell>
          <cell r="Q6842">
            <v>45544</v>
          </cell>
          <cell r="R6842">
            <v>45545</v>
          </cell>
          <cell r="S6842">
            <v>45546</v>
          </cell>
          <cell r="T6842">
            <v>45547</v>
          </cell>
          <cell r="U6842">
            <v>45548</v>
          </cell>
          <cell r="V6842">
            <v>45554</v>
          </cell>
          <cell r="W6842">
            <v>45554</v>
          </cell>
          <cell r="X6842">
            <v>41100334</v>
          </cell>
        </row>
        <row r="6843">
          <cell r="K6843" t="str">
            <v>GBWS-4880</v>
          </cell>
          <cell r="L6843">
            <v>45534</v>
          </cell>
          <cell r="M6843">
            <v>45537</v>
          </cell>
          <cell r="N6843">
            <v>45544</v>
          </cell>
          <cell r="O6843">
            <v>45537</v>
          </cell>
          <cell r="P6843">
            <v>45545</v>
          </cell>
          <cell r="Q6843">
            <v>45544</v>
          </cell>
          <cell r="R6843">
            <v>45545</v>
          </cell>
          <cell r="S6843">
            <v>45546</v>
          </cell>
          <cell r="T6843">
            <v>45547</v>
          </cell>
          <cell r="U6843">
            <v>45554</v>
          </cell>
          <cell r="V6843">
            <v>45555</v>
          </cell>
          <cell r="W6843">
            <v>45555</v>
          </cell>
          <cell r="X6843">
            <v>41100372</v>
          </cell>
        </row>
        <row r="6844">
          <cell r="K6844" t="str">
            <v>GBWS-4881</v>
          </cell>
          <cell r="L6844">
            <v>45534</v>
          </cell>
          <cell r="M6844">
            <v>45537</v>
          </cell>
          <cell r="N6844">
            <v>45544</v>
          </cell>
          <cell r="O6844">
            <v>45537</v>
          </cell>
          <cell r="P6844">
            <v>45545</v>
          </cell>
          <cell r="Q6844">
            <v>45544</v>
          </cell>
          <cell r="R6844">
            <v>45545</v>
          </cell>
          <cell r="S6844">
            <v>45546</v>
          </cell>
          <cell r="T6844">
            <v>45547</v>
          </cell>
          <cell r="U6844">
            <v>45554</v>
          </cell>
          <cell r="V6844">
            <v>45555</v>
          </cell>
          <cell r="W6844">
            <v>45555</v>
          </cell>
          <cell r="X6844">
            <v>41100374</v>
          </cell>
        </row>
        <row r="6845">
          <cell r="K6845" t="str">
            <v>GBWS-4763</v>
          </cell>
          <cell r="L6845">
            <v>45498</v>
          </cell>
          <cell r="M6845">
            <v>45499</v>
          </cell>
          <cell r="N6845">
            <v>45506</v>
          </cell>
          <cell r="O6845">
            <v>45499</v>
          </cell>
          <cell r="P6845">
            <v>45505</v>
          </cell>
          <cell r="Q6845">
            <v>45506</v>
          </cell>
          <cell r="R6845">
            <v>45509</v>
          </cell>
          <cell r="S6845">
            <v>45540</v>
          </cell>
          <cell r="T6845">
            <v>45541</v>
          </cell>
          <cell r="U6845">
            <v>45544</v>
          </cell>
          <cell r="V6845">
            <v>45546</v>
          </cell>
          <cell r="W6845">
            <v>45546</v>
          </cell>
          <cell r="X6845">
            <v>41100317</v>
          </cell>
        </row>
        <row r="6846">
          <cell r="K6846" t="str">
            <v>GBWS-4895</v>
          </cell>
          <cell r="L6846">
            <v>45540</v>
          </cell>
          <cell r="M6846">
            <v>45541</v>
          </cell>
          <cell r="N6846">
            <v>45548</v>
          </cell>
          <cell r="O6846">
            <v>45541</v>
          </cell>
          <cell r="P6846">
            <v>45547</v>
          </cell>
          <cell r="Q6846">
            <v>45548</v>
          </cell>
          <cell r="R6846">
            <v>45554</v>
          </cell>
          <cell r="S6846">
            <v>45554</v>
          </cell>
          <cell r="T6846">
            <v>45558</v>
          </cell>
          <cell r="U6846">
            <v>45559</v>
          </cell>
          <cell r="V6846">
            <v>45560</v>
          </cell>
          <cell r="W6846">
            <v>45560</v>
          </cell>
          <cell r="X6846">
            <v>41200033</v>
          </cell>
        </row>
        <row r="6847">
          <cell r="K6847" t="str">
            <v>GBWS-4896</v>
          </cell>
          <cell r="L6847">
            <v>45540</v>
          </cell>
          <cell r="M6847">
            <v>45541</v>
          </cell>
          <cell r="N6847">
            <v>45548</v>
          </cell>
          <cell r="O6847">
            <v>45541</v>
          </cell>
          <cell r="P6847">
            <v>45547</v>
          </cell>
          <cell r="Q6847">
            <v>45548</v>
          </cell>
          <cell r="R6847">
            <v>45554</v>
          </cell>
          <cell r="S6847">
            <v>45554</v>
          </cell>
          <cell r="T6847">
            <v>45558</v>
          </cell>
          <cell r="U6847">
            <v>45559</v>
          </cell>
          <cell r="V6847">
            <v>45560</v>
          </cell>
          <cell r="W6847">
            <v>45560</v>
          </cell>
          <cell r="X6847">
            <v>41200036</v>
          </cell>
        </row>
        <row r="6848">
          <cell r="K6848" t="str">
            <v>GBWS-4897</v>
          </cell>
          <cell r="L6848">
            <v>45540</v>
          </cell>
          <cell r="M6848">
            <v>45541</v>
          </cell>
          <cell r="N6848">
            <v>45548</v>
          </cell>
          <cell r="O6848">
            <v>45541</v>
          </cell>
          <cell r="P6848">
            <v>45547</v>
          </cell>
          <cell r="Q6848">
            <v>45548</v>
          </cell>
          <cell r="R6848">
            <v>45554</v>
          </cell>
          <cell r="S6848">
            <v>45554</v>
          </cell>
          <cell r="T6848">
            <v>45558</v>
          </cell>
          <cell r="U6848">
            <v>45559</v>
          </cell>
          <cell r="V6848">
            <v>45560</v>
          </cell>
          <cell r="W6848">
            <v>45560</v>
          </cell>
          <cell r="X6848">
            <v>41200036</v>
          </cell>
        </row>
        <row r="6849">
          <cell r="K6849" t="str">
            <v>DBW-3487</v>
          </cell>
          <cell r="L6849">
            <v>45527</v>
          </cell>
          <cell r="M6849">
            <v>45530</v>
          </cell>
          <cell r="N6849">
            <v>45537</v>
          </cell>
          <cell r="O6849">
            <v>45530</v>
          </cell>
          <cell r="P6849">
            <v>45538</v>
          </cell>
          <cell r="Q6849">
            <v>45537</v>
          </cell>
          <cell r="R6849">
            <v>45538</v>
          </cell>
          <cell r="S6849">
            <v>45540</v>
          </cell>
          <cell r="T6849">
            <v>45541</v>
          </cell>
          <cell r="U6849">
            <v>45546</v>
          </cell>
          <cell r="V6849">
            <v>45547</v>
          </cell>
          <cell r="W6849">
            <v>45547</v>
          </cell>
          <cell r="X6849">
            <v>41000566</v>
          </cell>
        </row>
        <row r="6850">
          <cell r="K6850" t="str">
            <v>DBW-3488</v>
          </cell>
          <cell r="L6850">
            <v>45527</v>
          </cell>
          <cell r="M6850">
            <v>45530</v>
          </cell>
          <cell r="N6850">
            <v>45540</v>
          </cell>
          <cell r="O6850">
            <v>45530</v>
          </cell>
          <cell r="P6850">
            <v>45540</v>
          </cell>
          <cell r="Q6850" t="str">
            <v>2024-09-02 → 9/10</v>
          </cell>
          <cell r="R6850" t="str">
            <v>2024-09-03 → 9/11</v>
          </cell>
          <cell r="S6850">
            <v>45544</v>
          </cell>
          <cell r="T6850">
            <v>45546</v>
          </cell>
          <cell r="U6850">
            <v>45547</v>
          </cell>
          <cell r="V6850">
            <v>45548</v>
          </cell>
          <cell r="W6850">
            <v>45548</v>
          </cell>
          <cell r="X6850" t="str">
            <v>41000566 →  41000567</v>
          </cell>
        </row>
        <row r="6851">
          <cell r="K6851" t="str">
            <v>GBWS-4872</v>
          </cell>
          <cell r="L6851">
            <v>45531</v>
          </cell>
          <cell r="M6851">
            <v>45532</v>
          </cell>
          <cell r="N6851">
            <v>45539</v>
          </cell>
          <cell r="O6851">
            <v>45532</v>
          </cell>
          <cell r="P6851">
            <v>45540</v>
          </cell>
          <cell r="Q6851">
            <v>45539</v>
          </cell>
          <cell r="R6851">
            <v>45540</v>
          </cell>
          <cell r="S6851">
            <v>45541</v>
          </cell>
          <cell r="T6851">
            <v>45544</v>
          </cell>
          <cell r="U6851">
            <v>45545</v>
          </cell>
          <cell r="V6851">
            <v>45546</v>
          </cell>
          <cell r="W6851">
            <v>45546</v>
          </cell>
          <cell r="X6851">
            <v>41200054</v>
          </cell>
        </row>
        <row r="6852">
          <cell r="K6852" t="str">
            <v>GBWS-4883</v>
          </cell>
          <cell r="L6852">
            <v>45534</v>
          </cell>
          <cell r="M6852">
            <v>45537</v>
          </cell>
          <cell r="N6852">
            <v>45544</v>
          </cell>
          <cell r="O6852">
            <v>45537</v>
          </cell>
          <cell r="P6852">
            <v>45545</v>
          </cell>
          <cell r="Q6852">
            <v>45544</v>
          </cell>
          <cell r="R6852">
            <v>45545</v>
          </cell>
          <cell r="S6852">
            <v>45546</v>
          </cell>
          <cell r="T6852">
            <v>45547</v>
          </cell>
          <cell r="U6852">
            <v>45548</v>
          </cell>
          <cell r="V6852">
            <v>45554</v>
          </cell>
          <cell r="W6852">
            <v>45554</v>
          </cell>
          <cell r="X6852">
            <v>41200006</v>
          </cell>
        </row>
        <row r="6853">
          <cell r="K6853" t="str">
            <v>GBWS-4884</v>
          </cell>
          <cell r="L6853">
            <v>45534</v>
          </cell>
          <cell r="M6853">
            <v>45537</v>
          </cell>
          <cell r="N6853">
            <v>45544</v>
          </cell>
          <cell r="O6853">
            <v>45537</v>
          </cell>
          <cell r="P6853">
            <v>45545</v>
          </cell>
          <cell r="Q6853">
            <v>45544</v>
          </cell>
          <cell r="R6853">
            <v>45545</v>
          </cell>
          <cell r="S6853">
            <v>45546</v>
          </cell>
          <cell r="T6853">
            <v>45547</v>
          </cell>
          <cell r="U6853">
            <v>45548</v>
          </cell>
          <cell r="V6853">
            <v>45554</v>
          </cell>
          <cell r="W6853">
            <v>45554</v>
          </cell>
          <cell r="X6853">
            <v>41200006</v>
          </cell>
        </row>
        <row r="6854">
          <cell r="K6854" t="str">
            <v>GBWS-4885</v>
          </cell>
          <cell r="L6854">
            <v>45534</v>
          </cell>
          <cell r="M6854">
            <v>45537</v>
          </cell>
          <cell r="N6854">
            <v>45544</v>
          </cell>
          <cell r="O6854">
            <v>45537</v>
          </cell>
          <cell r="P6854">
            <v>45545</v>
          </cell>
          <cell r="Q6854">
            <v>45544</v>
          </cell>
          <cell r="R6854">
            <v>45545</v>
          </cell>
          <cell r="S6854">
            <v>45546</v>
          </cell>
          <cell r="T6854">
            <v>45547</v>
          </cell>
          <cell r="U6854">
            <v>45548</v>
          </cell>
          <cell r="V6854">
            <v>45554</v>
          </cell>
          <cell r="W6854">
            <v>45554</v>
          </cell>
          <cell r="X6854">
            <v>41200006</v>
          </cell>
        </row>
        <row r="6855">
          <cell r="K6855" t="str">
            <v>GBWS-4886</v>
          </cell>
          <cell r="L6855">
            <v>45534</v>
          </cell>
          <cell r="M6855">
            <v>45537</v>
          </cell>
          <cell r="N6855">
            <v>45544</v>
          </cell>
          <cell r="O6855">
            <v>45537</v>
          </cell>
          <cell r="P6855">
            <v>45545</v>
          </cell>
          <cell r="Q6855">
            <v>45544</v>
          </cell>
          <cell r="R6855">
            <v>45545</v>
          </cell>
          <cell r="S6855">
            <v>45546</v>
          </cell>
          <cell r="T6855">
            <v>45547</v>
          </cell>
          <cell r="U6855">
            <v>45548</v>
          </cell>
          <cell r="V6855">
            <v>45554</v>
          </cell>
          <cell r="W6855">
            <v>45554</v>
          </cell>
          <cell r="X6855">
            <v>41200006</v>
          </cell>
        </row>
        <row r="6856">
          <cell r="K6856" t="str">
            <v>DBW-3501</v>
          </cell>
          <cell r="L6856">
            <v>45538</v>
          </cell>
          <cell r="M6856">
            <v>45539</v>
          </cell>
          <cell r="N6856">
            <v>45546</v>
          </cell>
          <cell r="O6856">
            <v>45539</v>
          </cell>
          <cell r="P6856">
            <v>45546</v>
          </cell>
          <cell r="Q6856">
            <v>45546</v>
          </cell>
          <cell r="R6856">
            <v>45547</v>
          </cell>
          <cell r="S6856">
            <v>45547</v>
          </cell>
          <cell r="T6856">
            <v>45554</v>
          </cell>
          <cell r="U6856">
            <v>45555</v>
          </cell>
          <cell r="V6856">
            <v>45558</v>
          </cell>
          <cell r="W6856">
            <v>45558</v>
          </cell>
          <cell r="X6856">
            <v>41000590</v>
          </cell>
        </row>
        <row r="6857">
          <cell r="K6857" t="str">
            <v>DBW-3502</v>
          </cell>
          <cell r="L6857">
            <v>45538</v>
          </cell>
          <cell r="M6857">
            <v>45539</v>
          </cell>
          <cell r="N6857">
            <v>45546</v>
          </cell>
          <cell r="O6857">
            <v>45539</v>
          </cell>
          <cell r="P6857">
            <v>45546</v>
          </cell>
          <cell r="Q6857">
            <v>45546</v>
          </cell>
          <cell r="R6857">
            <v>45547</v>
          </cell>
          <cell r="S6857">
            <v>45547</v>
          </cell>
          <cell r="T6857">
            <v>45554</v>
          </cell>
          <cell r="U6857">
            <v>45555</v>
          </cell>
          <cell r="V6857">
            <v>45559</v>
          </cell>
          <cell r="W6857">
            <v>45559</v>
          </cell>
          <cell r="X6857">
            <v>41000590</v>
          </cell>
        </row>
        <row r="6858">
          <cell r="K6858" t="str">
            <v>DBW-3507</v>
          </cell>
          <cell r="L6858">
            <v>45542</v>
          </cell>
          <cell r="M6858" t="str">
            <v>2024-09-04 → 9/9</v>
          </cell>
          <cell r="N6858">
            <v>45554</v>
          </cell>
          <cell r="O6858" t="str">
            <v>2024-09-04 → 9/9</v>
          </cell>
          <cell r="P6858">
            <v>45555</v>
          </cell>
          <cell r="Q6858" t="str">
            <v>2024-09-11 → 9/19</v>
          </cell>
          <cell r="R6858" t="str">
            <v>2024-09-12 → 9/20</v>
          </cell>
          <cell r="S6858">
            <v>45555</v>
          </cell>
          <cell r="T6858">
            <v>45558</v>
          </cell>
          <cell r="U6858">
            <v>45560</v>
          </cell>
          <cell r="V6858">
            <v>45561</v>
          </cell>
          <cell r="W6858">
            <v>45561</v>
          </cell>
          <cell r="X6858">
            <v>41200067</v>
          </cell>
        </row>
        <row r="6859">
          <cell r="K6859" t="str">
            <v>DBW-3508</v>
          </cell>
          <cell r="L6859">
            <v>45542</v>
          </cell>
          <cell r="M6859" t="str">
            <v>2024-09-04 → 9/9</v>
          </cell>
          <cell r="N6859">
            <v>45554</v>
          </cell>
          <cell r="O6859" t="str">
            <v>2024-09-04 → 9/9</v>
          </cell>
          <cell r="P6859">
            <v>45555</v>
          </cell>
          <cell r="Q6859" t="str">
            <v>2024-09-11 → 9/19</v>
          </cell>
          <cell r="R6859" t="str">
            <v>2024-09-12 → 9/20</v>
          </cell>
          <cell r="S6859">
            <v>45555</v>
          </cell>
          <cell r="T6859">
            <v>45558</v>
          </cell>
          <cell r="U6859">
            <v>45559</v>
          </cell>
          <cell r="V6859">
            <v>45560</v>
          </cell>
          <cell r="W6859">
            <v>45560</v>
          </cell>
          <cell r="X6859">
            <v>41200067</v>
          </cell>
        </row>
        <row r="6860">
          <cell r="K6860" t="str">
            <v>DBW-3509</v>
          </cell>
          <cell r="L6860">
            <v>45542</v>
          </cell>
          <cell r="M6860" t="str">
            <v>2024-09-04 → 9/9</v>
          </cell>
          <cell r="N6860">
            <v>45554</v>
          </cell>
          <cell r="O6860" t="str">
            <v>2024-09-04 → 9/9</v>
          </cell>
          <cell r="P6860">
            <v>45555</v>
          </cell>
          <cell r="Q6860" t="str">
            <v>2024-09-11 → 9/19</v>
          </cell>
          <cell r="R6860" t="str">
            <v>2024-09-12 → 9/20</v>
          </cell>
          <cell r="S6860">
            <v>45555</v>
          </cell>
          <cell r="T6860">
            <v>45558</v>
          </cell>
          <cell r="U6860">
            <v>45559</v>
          </cell>
          <cell r="V6860">
            <v>45560</v>
          </cell>
          <cell r="W6860">
            <v>45560</v>
          </cell>
          <cell r="X6860">
            <v>41200067</v>
          </cell>
        </row>
        <row r="6861">
          <cell r="K6861" t="str">
            <v>DBW-3510</v>
          </cell>
          <cell r="L6861">
            <v>45542</v>
          </cell>
          <cell r="M6861" t="str">
            <v>2024-09-04 → 9/9</v>
          </cell>
          <cell r="N6861">
            <v>45554</v>
          </cell>
          <cell r="O6861" t="str">
            <v>2024-09-04 → 9/9</v>
          </cell>
          <cell r="P6861">
            <v>45555</v>
          </cell>
          <cell r="Q6861" t="str">
            <v>2024-09-11 → 9/19</v>
          </cell>
          <cell r="R6861" t="str">
            <v>2024-09-12 → 9/20</v>
          </cell>
          <cell r="S6861">
            <v>45555</v>
          </cell>
          <cell r="T6861">
            <v>45558</v>
          </cell>
          <cell r="U6861">
            <v>45559</v>
          </cell>
          <cell r="V6861">
            <v>45560</v>
          </cell>
          <cell r="W6861">
            <v>45560</v>
          </cell>
          <cell r="X6861">
            <v>41200067</v>
          </cell>
        </row>
        <row r="6862">
          <cell r="K6862" t="str">
            <v>DBW-3489</v>
          </cell>
          <cell r="L6862">
            <v>45527</v>
          </cell>
          <cell r="M6862">
            <v>45530</v>
          </cell>
          <cell r="N6862">
            <v>45540</v>
          </cell>
          <cell r="O6862">
            <v>45530</v>
          </cell>
          <cell r="P6862">
            <v>45540</v>
          </cell>
          <cell r="Q6862" t="str">
            <v>2024-09-02 → 9/10</v>
          </cell>
          <cell r="R6862" t="str">
            <v>2024-09-03 → 9/11</v>
          </cell>
          <cell r="S6862">
            <v>45541</v>
          </cell>
          <cell r="T6862">
            <v>45544</v>
          </cell>
          <cell r="U6862">
            <v>45545</v>
          </cell>
          <cell r="V6862">
            <v>45546</v>
          </cell>
          <cell r="W6862">
            <v>45546</v>
          </cell>
          <cell r="X6862" t="str">
            <v>41000566 →  41000567</v>
          </cell>
        </row>
        <row r="6863">
          <cell r="K6863" t="str">
            <v>DBW-3490</v>
          </cell>
          <cell r="L6863">
            <v>45527</v>
          </cell>
          <cell r="M6863">
            <v>45530</v>
          </cell>
          <cell r="N6863">
            <v>45540</v>
          </cell>
          <cell r="O6863">
            <v>45530</v>
          </cell>
          <cell r="P6863">
            <v>45540</v>
          </cell>
          <cell r="Q6863" t="str">
            <v>2024-09-02 → 9/10</v>
          </cell>
          <cell r="R6863" t="str">
            <v>2024-09-03 → 9/11</v>
          </cell>
          <cell r="S6863">
            <v>45541</v>
          </cell>
          <cell r="T6863">
            <v>45545</v>
          </cell>
          <cell r="U6863">
            <v>45546</v>
          </cell>
          <cell r="V6863">
            <v>45547</v>
          </cell>
          <cell r="W6863">
            <v>45547</v>
          </cell>
          <cell r="X6863" t="str">
            <v>41000566 →  41000567</v>
          </cell>
        </row>
        <row r="6864">
          <cell r="K6864" t="str">
            <v>DBW-3491</v>
          </cell>
          <cell r="L6864">
            <v>45527</v>
          </cell>
          <cell r="M6864">
            <v>45530</v>
          </cell>
          <cell r="N6864">
            <v>45540</v>
          </cell>
          <cell r="O6864">
            <v>45530</v>
          </cell>
          <cell r="P6864">
            <v>45540</v>
          </cell>
          <cell r="Q6864" t="str">
            <v>2024-09-02 → 9/10</v>
          </cell>
          <cell r="R6864" t="str">
            <v>2024-09-03 → 9/11</v>
          </cell>
          <cell r="S6864">
            <v>45544</v>
          </cell>
          <cell r="T6864">
            <v>45545</v>
          </cell>
          <cell r="U6864">
            <v>45546</v>
          </cell>
          <cell r="V6864">
            <v>45547</v>
          </cell>
          <cell r="W6864">
            <v>45547</v>
          </cell>
          <cell r="X6864" t="str">
            <v>41000566 →  41000567</v>
          </cell>
        </row>
        <row r="6865">
          <cell r="K6865" t="str">
            <v>DBW-3492</v>
          </cell>
          <cell r="L6865">
            <v>45531</v>
          </cell>
          <cell r="M6865">
            <v>45532</v>
          </cell>
          <cell r="N6865">
            <v>45546</v>
          </cell>
          <cell r="O6865">
            <v>45532</v>
          </cell>
          <cell r="P6865">
            <v>45548</v>
          </cell>
          <cell r="Q6865" t="str">
            <v>2024-09-04 → 9/13</v>
          </cell>
          <cell r="R6865" t="str">
            <v>2024-09-05 → 9/19</v>
          </cell>
          <cell r="S6865">
            <v>45558</v>
          </cell>
          <cell r="T6865">
            <v>45560</v>
          </cell>
          <cell r="U6865">
            <v>45560</v>
          </cell>
          <cell r="V6865">
            <v>45561</v>
          </cell>
          <cell r="W6865">
            <v>45561</v>
          </cell>
          <cell r="X6865">
            <v>41000566</v>
          </cell>
        </row>
        <row r="6866">
          <cell r="K6866" t="str">
            <v>DBW-3493</v>
          </cell>
          <cell r="L6866">
            <v>45531</v>
          </cell>
          <cell r="M6866">
            <v>45532</v>
          </cell>
          <cell r="N6866">
            <v>45546</v>
          </cell>
          <cell r="O6866">
            <v>45532</v>
          </cell>
          <cell r="P6866">
            <v>45548</v>
          </cell>
          <cell r="Q6866" t="str">
            <v>2024-09-04 → 9/13</v>
          </cell>
          <cell r="R6866" t="str">
            <v>2024-09-05 → 9/19</v>
          </cell>
          <cell r="S6866">
            <v>45558</v>
          </cell>
          <cell r="T6866">
            <v>45560</v>
          </cell>
          <cell r="U6866">
            <v>45560</v>
          </cell>
          <cell r="V6866">
            <v>45561</v>
          </cell>
          <cell r="W6866">
            <v>45561</v>
          </cell>
          <cell r="X6866">
            <v>41000566</v>
          </cell>
        </row>
        <row r="6867">
          <cell r="K6867" t="str">
            <v>DBW-3494</v>
          </cell>
          <cell r="L6867">
            <v>45531</v>
          </cell>
          <cell r="M6867">
            <v>45532</v>
          </cell>
          <cell r="N6867">
            <v>45546</v>
          </cell>
          <cell r="O6867">
            <v>45532</v>
          </cell>
          <cell r="P6867">
            <v>45548</v>
          </cell>
          <cell r="Q6867" t="str">
            <v>2024-09-04 → 9/13</v>
          </cell>
          <cell r="R6867" t="str">
            <v>2024-09-05 → 9/19</v>
          </cell>
          <cell r="S6867">
            <v>45558</v>
          </cell>
          <cell r="T6867">
            <v>45560</v>
          </cell>
          <cell r="U6867">
            <v>45560</v>
          </cell>
          <cell r="V6867">
            <v>45561</v>
          </cell>
          <cell r="W6867">
            <v>45561</v>
          </cell>
          <cell r="X6867">
            <v>41000566</v>
          </cell>
        </row>
        <row r="6868">
          <cell r="K6868" t="str">
            <v>DBW-3495</v>
          </cell>
          <cell r="L6868">
            <v>45531</v>
          </cell>
          <cell r="M6868">
            <v>45532</v>
          </cell>
          <cell r="N6868">
            <v>45546</v>
          </cell>
          <cell r="O6868">
            <v>45532</v>
          </cell>
          <cell r="P6868">
            <v>45548</v>
          </cell>
          <cell r="Q6868" t="str">
            <v>2024-09-04 → 9/13</v>
          </cell>
          <cell r="R6868" t="str">
            <v>2024-09-05 → 9/19</v>
          </cell>
          <cell r="S6868">
            <v>45558</v>
          </cell>
          <cell r="T6868">
            <v>45560</v>
          </cell>
          <cell r="U6868">
            <v>45560</v>
          </cell>
          <cell r="V6868">
            <v>45561</v>
          </cell>
          <cell r="W6868">
            <v>45561</v>
          </cell>
          <cell r="X6868">
            <v>41000566</v>
          </cell>
        </row>
        <row r="6869">
          <cell r="K6869" t="str">
            <v>DBW-3496</v>
          </cell>
          <cell r="L6869">
            <v>45531</v>
          </cell>
          <cell r="M6869">
            <v>45532</v>
          </cell>
          <cell r="N6869">
            <v>45546</v>
          </cell>
          <cell r="O6869">
            <v>45532</v>
          </cell>
          <cell r="P6869">
            <v>45548</v>
          </cell>
          <cell r="Q6869" t="str">
            <v>2024-09-04 → 9/13</v>
          </cell>
          <cell r="R6869" t="str">
            <v>2024-09-05 → 9/19</v>
          </cell>
          <cell r="S6869">
            <v>45558</v>
          </cell>
          <cell r="T6869">
            <v>45560</v>
          </cell>
          <cell r="U6869">
            <v>45560</v>
          </cell>
          <cell r="V6869">
            <v>45561</v>
          </cell>
          <cell r="W6869">
            <v>45561</v>
          </cell>
          <cell r="X6869">
            <v>41000566</v>
          </cell>
        </row>
        <row r="6870">
          <cell r="K6870" t="str">
            <v>DBW-3499</v>
          </cell>
          <cell r="L6870">
            <v>45534</v>
          </cell>
          <cell r="M6870">
            <v>45537</v>
          </cell>
          <cell r="N6870">
            <v>45546</v>
          </cell>
          <cell r="O6870">
            <v>45537</v>
          </cell>
          <cell r="P6870">
            <v>45544</v>
          </cell>
          <cell r="Q6870" t="str">
            <v>2024-09-10 → 9/13</v>
          </cell>
          <cell r="R6870" t="str">
            <v>2024-09-11 → 9/19</v>
          </cell>
          <cell r="S6870">
            <v>45547</v>
          </cell>
          <cell r="T6870">
            <v>45560</v>
          </cell>
          <cell r="U6870">
            <v>45560</v>
          </cell>
          <cell r="V6870">
            <v>45561</v>
          </cell>
          <cell r="W6870">
            <v>45561</v>
          </cell>
          <cell r="X6870">
            <v>41000566</v>
          </cell>
        </row>
        <row r="6871">
          <cell r="K6871" t="str">
            <v>DBW-3500</v>
          </cell>
          <cell r="L6871">
            <v>45534</v>
          </cell>
          <cell r="M6871">
            <v>45537</v>
          </cell>
          <cell r="N6871">
            <v>45546</v>
          </cell>
          <cell r="O6871">
            <v>45537</v>
          </cell>
          <cell r="P6871">
            <v>45544</v>
          </cell>
          <cell r="Q6871" t="str">
            <v>2024-09-10 → 9/13</v>
          </cell>
          <cell r="R6871" t="str">
            <v>2024-09-11 → 9/19</v>
          </cell>
          <cell r="S6871">
            <v>45547</v>
          </cell>
          <cell r="T6871">
            <v>45560</v>
          </cell>
          <cell r="U6871">
            <v>45560</v>
          </cell>
          <cell r="V6871">
            <v>45561</v>
          </cell>
          <cell r="W6871">
            <v>45561</v>
          </cell>
          <cell r="X6871">
            <v>41000566</v>
          </cell>
        </row>
        <row r="6872">
          <cell r="K6872" t="str">
            <v>GPWS-0433</v>
          </cell>
          <cell r="L6872">
            <v>45542</v>
          </cell>
          <cell r="M6872">
            <v>45544</v>
          </cell>
          <cell r="N6872">
            <v>45558</v>
          </cell>
          <cell r="O6872">
            <v>45544</v>
          </cell>
          <cell r="P6872">
            <v>45558</v>
          </cell>
          <cell r="Q6872">
            <v>45554</v>
          </cell>
          <cell r="R6872">
            <v>45555</v>
          </cell>
          <cell r="S6872">
            <v>45559</v>
          </cell>
          <cell r="T6872">
            <v>45559</v>
          </cell>
          <cell r="U6872">
            <v>45560</v>
          </cell>
          <cell r="V6872">
            <v>45561</v>
          </cell>
          <cell r="W6872">
            <v>45561</v>
          </cell>
          <cell r="X6872">
            <v>41200068</v>
          </cell>
        </row>
        <row r="6873">
          <cell r="K6873" t="str">
            <v>GBWS-4766</v>
          </cell>
          <cell r="L6873">
            <v>45499</v>
          </cell>
          <cell r="M6873">
            <v>45502</v>
          </cell>
          <cell r="N6873">
            <v>45509</v>
          </cell>
          <cell r="O6873">
            <v>45502</v>
          </cell>
          <cell r="P6873">
            <v>45510</v>
          </cell>
          <cell r="Q6873">
            <v>45509</v>
          </cell>
          <cell r="R6873">
            <v>45510</v>
          </cell>
          <cell r="S6873">
            <v>45526</v>
          </cell>
          <cell r="T6873">
            <v>45530</v>
          </cell>
          <cell r="U6873">
            <v>45531</v>
          </cell>
          <cell r="V6873">
            <v>45532</v>
          </cell>
          <cell r="W6873">
            <v>45532</v>
          </cell>
          <cell r="X6873">
            <v>41100227</v>
          </cell>
        </row>
        <row r="6874">
          <cell r="K6874" t="str">
            <v>DBW-3503</v>
          </cell>
          <cell r="L6874">
            <v>45538</v>
          </cell>
          <cell r="M6874">
            <v>45539</v>
          </cell>
          <cell r="N6874">
            <v>45546</v>
          </cell>
          <cell r="O6874">
            <v>45539</v>
          </cell>
          <cell r="P6874">
            <v>45547</v>
          </cell>
          <cell r="Q6874">
            <v>45546</v>
          </cell>
          <cell r="R6874">
            <v>45547</v>
          </cell>
          <cell r="S6874">
            <v>45548</v>
          </cell>
          <cell r="T6874">
            <v>45554</v>
          </cell>
          <cell r="U6874">
            <v>45558</v>
          </cell>
          <cell r="V6874">
            <v>45559</v>
          </cell>
          <cell r="W6874">
            <v>45559</v>
          </cell>
          <cell r="X6874">
            <v>41100695</v>
          </cell>
        </row>
        <row r="6875">
          <cell r="K6875" t="str">
            <v>DBW-3504</v>
          </cell>
          <cell r="L6875">
            <v>45538</v>
          </cell>
          <cell r="M6875">
            <v>45539</v>
          </cell>
          <cell r="N6875">
            <v>45546</v>
          </cell>
          <cell r="O6875">
            <v>45539</v>
          </cell>
          <cell r="P6875">
            <v>45547</v>
          </cell>
          <cell r="Q6875">
            <v>45546</v>
          </cell>
          <cell r="R6875">
            <v>45547</v>
          </cell>
          <cell r="S6875">
            <v>45548</v>
          </cell>
          <cell r="T6875">
            <v>45554</v>
          </cell>
          <cell r="U6875">
            <v>45558</v>
          </cell>
          <cell r="V6875">
            <v>45559</v>
          </cell>
          <cell r="W6875">
            <v>45559</v>
          </cell>
          <cell r="X6875">
            <v>41100695</v>
          </cell>
        </row>
        <row r="6876">
          <cell r="K6876" t="str">
            <v>DBW-3505</v>
          </cell>
          <cell r="L6876">
            <v>45538</v>
          </cell>
          <cell r="M6876">
            <v>45539</v>
          </cell>
          <cell r="N6876">
            <v>45546</v>
          </cell>
          <cell r="O6876">
            <v>45539</v>
          </cell>
          <cell r="P6876">
            <v>45547</v>
          </cell>
          <cell r="Q6876">
            <v>45546</v>
          </cell>
          <cell r="R6876">
            <v>45547</v>
          </cell>
          <cell r="S6876">
            <v>45548</v>
          </cell>
          <cell r="T6876">
            <v>45554</v>
          </cell>
          <cell r="U6876">
            <v>45558</v>
          </cell>
          <cell r="V6876">
            <v>45559</v>
          </cell>
          <cell r="W6876">
            <v>45559</v>
          </cell>
          <cell r="X6876">
            <v>41100695</v>
          </cell>
        </row>
        <row r="6877">
          <cell r="K6877" t="str">
            <v>DBW-3506</v>
          </cell>
          <cell r="L6877">
            <v>45538</v>
          </cell>
          <cell r="M6877">
            <v>45539</v>
          </cell>
          <cell r="N6877">
            <v>45546</v>
          </cell>
          <cell r="O6877">
            <v>45539</v>
          </cell>
          <cell r="P6877">
            <v>45547</v>
          </cell>
          <cell r="Q6877">
            <v>45546</v>
          </cell>
          <cell r="R6877">
            <v>45547</v>
          </cell>
          <cell r="S6877">
            <v>45548</v>
          </cell>
          <cell r="T6877">
            <v>45554</v>
          </cell>
          <cell r="U6877">
            <v>45558</v>
          </cell>
          <cell r="V6877">
            <v>45559</v>
          </cell>
          <cell r="W6877">
            <v>45559</v>
          </cell>
          <cell r="X6877">
            <v>41100695</v>
          </cell>
        </row>
        <row r="6878">
          <cell r="K6878" t="str">
            <v>GBWS-4889</v>
          </cell>
          <cell r="L6878">
            <v>45538</v>
          </cell>
          <cell r="M6878">
            <v>45539</v>
          </cell>
          <cell r="N6878">
            <v>45547</v>
          </cell>
          <cell r="O6878">
            <v>45539</v>
          </cell>
          <cell r="P6878">
            <v>45548</v>
          </cell>
          <cell r="Q6878">
            <v>45547</v>
          </cell>
          <cell r="R6878">
            <v>45548</v>
          </cell>
          <cell r="S6878">
            <v>45554</v>
          </cell>
          <cell r="T6878">
            <v>45555</v>
          </cell>
          <cell r="U6878">
            <v>45559</v>
          </cell>
          <cell r="V6878">
            <v>45560</v>
          </cell>
          <cell r="W6878">
            <v>45560</v>
          </cell>
          <cell r="X6878">
            <v>41100697</v>
          </cell>
        </row>
        <row r="6879">
          <cell r="K6879" t="str">
            <v>GBWS-4890</v>
          </cell>
          <cell r="L6879">
            <v>45538</v>
          </cell>
          <cell r="M6879">
            <v>45539</v>
          </cell>
          <cell r="N6879">
            <v>45547</v>
          </cell>
          <cell r="O6879">
            <v>45539</v>
          </cell>
          <cell r="P6879">
            <v>45548</v>
          </cell>
          <cell r="Q6879">
            <v>45547</v>
          </cell>
          <cell r="R6879">
            <v>45548</v>
          </cell>
          <cell r="S6879">
            <v>45554</v>
          </cell>
          <cell r="T6879">
            <v>45555</v>
          </cell>
          <cell r="U6879">
            <v>45558</v>
          </cell>
          <cell r="V6879">
            <v>45559</v>
          </cell>
          <cell r="W6879">
            <v>45559</v>
          </cell>
          <cell r="X6879">
            <v>41100697</v>
          </cell>
        </row>
        <row r="6880">
          <cell r="K6880" t="str">
            <v>GBWS-4891</v>
          </cell>
          <cell r="L6880">
            <v>45538</v>
          </cell>
          <cell r="M6880">
            <v>45539</v>
          </cell>
          <cell r="N6880">
            <v>45547</v>
          </cell>
          <cell r="O6880">
            <v>45539</v>
          </cell>
          <cell r="P6880">
            <v>45548</v>
          </cell>
          <cell r="Q6880">
            <v>45547</v>
          </cell>
          <cell r="R6880">
            <v>45548</v>
          </cell>
          <cell r="S6880">
            <v>45554</v>
          </cell>
          <cell r="T6880">
            <v>45555</v>
          </cell>
          <cell r="U6880">
            <v>45559</v>
          </cell>
          <cell r="V6880">
            <v>45560</v>
          </cell>
          <cell r="W6880">
            <v>45560</v>
          </cell>
          <cell r="X6880">
            <v>41100697</v>
          </cell>
        </row>
        <row r="6881">
          <cell r="K6881" t="str">
            <v>GBWS-4892</v>
          </cell>
          <cell r="L6881">
            <v>45538</v>
          </cell>
          <cell r="M6881">
            <v>45539</v>
          </cell>
          <cell r="N6881">
            <v>45547</v>
          </cell>
          <cell r="O6881">
            <v>45539</v>
          </cell>
          <cell r="P6881">
            <v>45548</v>
          </cell>
          <cell r="Q6881">
            <v>45547</v>
          </cell>
          <cell r="R6881">
            <v>45548</v>
          </cell>
          <cell r="S6881">
            <v>45554</v>
          </cell>
          <cell r="T6881">
            <v>45555</v>
          </cell>
          <cell r="U6881">
            <v>45558</v>
          </cell>
          <cell r="V6881">
            <v>45559</v>
          </cell>
          <cell r="W6881">
            <v>45559</v>
          </cell>
          <cell r="X6881">
            <v>41100697</v>
          </cell>
        </row>
        <row r="6882">
          <cell r="K6882" t="str">
            <v>GBWS-4865</v>
          </cell>
          <cell r="L6882">
            <v>45530</v>
          </cell>
          <cell r="M6882">
            <v>45531</v>
          </cell>
          <cell r="N6882">
            <v>45537</v>
          </cell>
          <cell r="O6882">
            <v>45531</v>
          </cell>
          <cell r="P6882">
            <v>45538</v>
          </cell>
          <cell r="Q6882">
            <v>45537</v>
          </cell>
          <cell r="R6882">
            <v>45538</v>
          </cell>
          <cell r="S6882">
            <v>45539</v>
          </cell>
          <cell r="T6882">
            <v>45540</v>
          </cell>
          <cell r="U6882">
            <v>45544</v>
          </cell>
          <cell r="V6882">
            <v>45545</v>
          </cell>
          <cell r="W6882">
            <v>45545</v>
          </cell>
          <cell r="X6882">
            <v>41200005</v>
          </cell>
        </row>
        <row r="6883">
          <cell r="K6883" t="str">
            <v>GBWS-4866</v>
          </cell>
          <cell r="L6883">
            <v>45530</v>
          </cell>
          <cell r="M6883">
            <v>45531</v>
          </cell>
          <cell r="N6883">
            <v>45537</v>
          </cell>
          <cell r="O6883">
            <v>45531</v>
          </cell>
          <cell r="P6883">
            <v>45538</v>
          </cell>
          <cell r="Q6883">
            <v>45537</v>
          </cell>
          <cell r="R6883">
            <v>45538</v>
          </cell>
          <cell r="S6883">
            <v>45539</v>
          </cell>
          <cell r="T6883">
            <v>45540</v>
          </cell>
          <cell r="U6883">
            <v>45544</v>
          </cell>
          <cell r="V6883">
            <v>45545</v>
          </cell>
          <cell r="W6883">
            <v>45545</v>
          </cell>
          <cell r="X6883">
            <v>41200005</v>
          </cell>
        </row>
        <row r="6884">
          <cell r="K6884" t="str">
            <v>GBWS-4901</v>
          </cell>
          <cell r="L6884">
            <v>45542</v>
          </cell>
          <cell r="M6884">
            <v>45544</v>
          </cell>
          <cell r="N6884">
            <v>45555</v>
          </cell>
          <cell r="O6884">
            <v>45544</v>
          </cell>
          <cell r="P6884">
            <v>45558</v>
          </cell>
          <cell r="Q6884">
            <v>45555</v>
          </cell>
          <cell r="R6884">
            <v>45558</v>
          </cell>
          <cell r="S6884">
            <v>45559</v>
          </cell>
          <cell r="T6884">
            <v>45560</v>
          </cell>
          <cell r="U6884">
            <v>45561</v>
          </cell>
          <cell r="V6884">
            <v>45562</v>
          </cell>
          <cell r="W6884">
            <v>45562</v>
          </cell>
          <cell r="X6884">
            <v>41100372</v>
          </cell>
        </row>
        <row r="6885">
          <cell r="K6885" t="str">
            <v>GBWS-4902</v>
          </cell>
          <cell r="L6885">
            <v>45542</v>
          </cell>
          <cell r="M6885">
            <v>45544</v>
          </cell>
          <cell r="N6885">
            <v>45555</v>
          </cell>
          <cell r="O6885">
            <v>45544</v>
          </cell>
          <cell r="P6885">
            <v>45558</v>
          </cell>
          <cell r="Q6885">
            <v>45555</v>
          </cell>
          <cell r="R6885">
            <v>45558</v>
          </cell>
          <cell r="S6885">
            <v>45559</v>
          </cell>
          <cell r="T6885">
            <v>45560</v>
          </cell>
          <cell r="U6885">
            <v>45561</v>
          </cell>
          <cell r="V6885">
            <v>45562</v>
          </cell>
          <cell r="W6885">
            <v>45562</v>
          </cell>
          <cell r="X6885">
            <v>41100372</v>
          </cell>
        </row>
        <row r="6886">
          <cell r="K6886" t="str">
            <v>GBWS-4900</v>
          </cell>
          <cell r="L6886">
            <v>45542</v>
          </cell>
          <cell r="M6886">
            <v>45544</v>
          </cell>
          <cell r="N6886">
            <v>45554</v>
          </cell>
          <cell r="O6886">
            <v>45544</v>
          </cell>
          <cell r="P6886">
            <v>45555</v>
          </cell>
          <cell r="Q6886">
            <v>45554</v>
          </cell>
          <cell r="R6886">
            <v>45555</v>
          </cell>
          <cell r="S6886">
            <v>45561</v>
          </cell>
          <cell r="T6886">
            <v>45562</v>
          </cell>
          <cell r="U6886">
            <v>45567</v>
          </cell>
          <cell r="V6886">
            <v>45567</v>
          </cell>
          <cell r="W6886">
            <v>45567</v>
          </cell>
          <cell r="X6886">
            <v>41100363</v>
          </cell>
        </row>
        <row r="6887">
          <cell r="K6887" t="str">
            <v>GBWS-4899</v>
          </cell>
          <cell r="L6887">
            <v>45542</v>
          </cell>
          <cell r="M6887">
            <v>45544</v>
          </cell>
          <cell r="N6887">
            <v>45555</v>
          </cell>
          <cell r="O6887">
            <v>45544</v>
          </cell>
          <cell r="P6887">
            <v>45559</v>
          </cell>
          <cell r="Q6887">
            <v>45558</v>
          </cell>
          <cell r="R6887">
            <v>45559</v>
          </cell>
          <cell r="S6887">
            <v>45560</v>
          </cell>
          <cell r="T6887">
            <v>45561</v>
          </cell>
          <cell r="U6887">
            <v>45562</v>
          </cell>
          <cell r="V6887">
            <v>45565</v>
          </cell>
          <cell r="W6887">
            <v>45565</v>
          </cell>
          <cell r="X6887">
            <v>41100320</v>
          </cell>
        </row>
        <row r="6888">
          <cell r="K6888" t="str">
            <v>DBW-3515</v>
          </cell>
          <cell r="L6888">
            <v>45540</v>
          </cell>
          <cell r="M6888">
            <v>45541</v>
          </cell>
          <cell r="N6888">
            <v>45547</v>
          </cell>
          <cell r="O6888">
            <v>45541</v>
          </cell>
          <cell r="P6888">
            <v>45548</v>
          </cell>
          <cell r="Q6888">
            <v>45547</v>
          </cell>
          <cell r="R6888">
            <v>45548</v>
          </cell>
          <cell r="S6888">
            <v>45554</v>
          </cell>
          <cell r="T6888">
            <v>45555</v>
          </cell>
          <cell r="U6888">
            <v>45558</v>
          </cell>
          <cell r="V6888">
            <v>45559</v>
          </cell>
          <cell r="W6888">
            <v>45559</v>
          </cell>
          <cell r="X6888">
            <v>41000514</v>
          </cell>
        </row>
        <row r="6889">
          <cell r="K6889" t="str">
            <v>GPWS-0432</v>
          </cell>
          <cell r="L6889">
            <v>45526</v>
          </cell>
          <cell r="M6889">
            <v>45527</v>
          </cell>
          <cell r="N6889">
            <v>45537</v>
          </cell>
          <cell r="O6889">
            <v>45527</v>
          </cell>
          <cell r="P6889">
            <v>45538</v>
          </cell>
          <cell r="Q6889">
            <v>45537</v>
          </cell>
          <cell r="R6889">
            <v>45538</v>
          </cell>
          <cell r="S6889">
            <v>45544</v>
          </cell>
          <cell r="T6889">
            <v>45545</v>
          </cell>
          <cell r="U6889">
            <v>45547</v>
          </cell>
          <cell r="V6889">
            <v>45548</v>
          </cell>
          <cell r="W6889">
            <v>45548</v>
          </cell>
          <cell r="X6889">
            <v>41000598</v>
          </cell>
        </row>
        <row r="6890">
          <cell r="K6890" t="str">
            <v>DBW-3511</v>
          </cell>
          <cell r="L6890">
            <v>45542</v>
          </cell>
          <cell r="M6890" t="str">
            <v>2024-09-04 → 9/9</v>
          </cell>
          <cell r="N6890">
            <v>45555</v>
          </cell>
          <cell r="O6890" t="str">
            <v>2024-09-04 → 9/9</v>
          </cell>
          <cell r="P6890">
            <v>45555</v>
          </cell>
          <cell r="Q6890" t="str">
            <v>2024-09-12 → 9/20</v>
          </cell>
          <cell r="R6890" t="str">
            <v>2024-09-13 → 9/23</v>
          </cell>
          <cell r="S6890">
            <v>45559</v>
          </cell>
          <cell r="T6890">
            <v>45560</v>
          </cell>
          <cell r="U6890">
            <v>45561</v>
          </cell>
          <cell r="V6890">
            <v>45562</v>
          </cell>
          <cell r="W6890">
            <v>45562</v>
          </cell>
          <cell r="X6890">
            <v>41200067</v>
          </cell>
        </row>
        <row r="6891">
          <cell r="K6891" t="str">
            <v>DBW-3512</v>
          </cell>
          <cell r="L6891">
            <v>45542</v>
          </cell>
          <cell r="M6891" t="str">
            <v>2024-09-04 → 9/9</v>
          </cell>
          <cell r="N6891">
            <v>45555</v>
          </cell>
          <cell r="O6891" t="str">
            <v>2024-09-04 → 9/9</v>
          </cell>
          <cell r="P6891">
            <v>45555</v>
          </cell>
          <cell r="Q6891" t="str">
            <v>2024-09-12 → 9/20</v>
          </cell>
          <cell r="R6891" t="str">
            <v>2024-09-13 → 9/23</v>
          </cell>
          <cell r="S6891">
            <v>45559</v>
          </cell>
          <cell r="T6891">
            <v>45560</v>
          </cell>
          <cell r="U6891">
            <v>45561</v>
          </cell>
          <cell r="V6891">
            <v>45562</v>
          </cell>
          <cell r="W6891">
            <v>45562</v>
          </cell>
          <cell r="X6891">
            <v>41200067</v>
          </cell>
        </row>
        <row r="6892">
          <cell r="K6892" t="str">
            <v>DBW-3513</v>
          </cell>
          <cell r="L6892">
            <v>45542</v>
          </cell>
          <cell r="M6892" t="str">
            <v>2024-09-04 → 9/9</v>
          </cell>
          <cell r="N6892">
            <v>45555</v>
          </cell>
          <cell r="O6892" t="str">
            <v>2024-09-04 → 9/9</v>
          </cell>
          <cell r="P6892">
            <v>45555</v>
          </cell>
          <cell r="Q6892" t="str">
            <v>2024-09-12 → 9/20</v>
          </cell>
          <cell r="R6892" t="str">
            <v>2024-09-13 → 9/23</v>
          </cell>
          <cell r="S6892">
            <v>45559</v>
          </cell>
          <cell r="T6892">
            <v>45560</v>
          </cell>
          <cell r="U6892">
            <v>45561</v>
          </cell>
          <cell r="V6892">
            <v>45562</v>
          </cell>
          <cell r="W6892">
            <v>45562</v>
          </cell>
          <cell r="X6892">
            <v>41200067</v>
          </cell>
        </row>
        <row r="6893">
          <cell r="K6893" t="str">
            <v>DBW-3514</v>
          </cell>
          <cell r="L6893">
            <v>45542</v>
          </cell>
          <cell r="M6893" t="str">
            <v>2024-09-04 → 9/9</v>
          </cell>
          <cell r="N6893">
            <v>45555</v>
          </cell>
          <cell r="O6893" t="str">
            <v>2024-09-04 → 9/9</v>
          </cell>
          <cell r="P6893">
            <v>45555</v>
          </cell>
          <cell r="Q6893" t="str">
            <v>2024-09-12 → 9/20</v>
          </cell>
          <cell r="R6893" t="str">
            <v>2024-09-13 → 9/23</v>
          </cell>
          <cell r="S6893">
            <v>45559</v>
          </cell>
          <cell r="T6893">
            <v>45560</v>
          </cell>
          <cell r="U6893">
            <v>45561</v>
          </cell>
          <cell r="V6893">
            <v>45562</v>
          </cell>
          <cell r="W6893">
            <v>45562</v>
          </cell>
          <cell r="X6893">
            <v>41200067</v>
          </cell>
        </row>
        <row r="6894">
          <cell r="K6894" t="str">
            <v>GBWS-4912</v>
          </cell>
          <cell r="L6894">
            <v>45547</v>
          </cell>
          <cell r="M6894">
            <v>45548</v>
          </cell>
          <cell r="N6894">
            <v>45560</v>
          </cell>
          <cell r="O6894">
            <v>45548</v>
          </cell>
          <cell r="P6894">
            <v>45560</v>
          </cell>
          <cell r="Q6894">
            <v>45560</v>
          </cell>
          <cell r="R6894">
            <v>45561</v>
          </cell>
          <cell r="S6894">
            <v>45562</v>
          </cell>
          <cell r="T6894">
            <v>45565</v>
          </cell>
          <cell r="U6894">
            <v>45567</v>
          </cell>
          <cell r="V6894">
            <v>45569</v>
          </cell>
          <cell r="W6894">
            <v>45569</v>
          </cell>
          <cell r="X6894">
            <v>41100443</v>
          </cell>
        </row>
        <row r="6895">
          <cell r="K6895" t="str">
            <v>GBWS-4832</v>
          </cell>
          <cell r="L6895">
            <v>45518</v>
          </cell>
          <cell r="M6895">
            <v>45520</v>
          </cell>
          <cell r="N6895">
            <v>45526</v>
          </cell>
          <cell r="O6895">
            <v>45520</v>
          </cell>
          <cell r="P6895">
            <v>45525</v>
          </cell>
          <cell r="Q6895">
            <v>45526</v>
          </cell>
          <cell r="R6895">
            <v>45527</v>
          </cell>
          <cell r="S6895">
            <v>45530</v>
          </cell>
          <cell r="T6895">
            <v>45531</v>
          </cell>
          <cell r="U6895">
            <v>45532</v>
          </cell>
          <cell r="V6895">
            <v>45533</v>
          </cell>
          <cell r="W6895">
            <v>45533</v>
          </cell>
          <cell r="X6895">
            <v>41200007</v>
          </cell>
        </row>
        <row r="6896">
          <cell r="K6896" t="str">
            <v>GBWS-4833</v>
          </cell>
          <cell r="L6896">
            <v>45518</v>
          </cell>
          <cell r="M6896">
            <v>45520</v>
          </cell>
          <cell r="N6896">
            <v>45526</v>
          </cell>
          <cell r="O6896">
            <v>45520</v>
          </cell>
          <cell r="P6896">
            <v>45525</v>
          </cell>
          <cell r="Q6896">
            <v>45526</v>
          </cell>
          <cell r="R6896">
            <v>45527</v>
          </cell>
          <cell r="S6896">
            <v>45530</v>
          </cell>
          <cell r="T6896">
            <v>45531</v>
          </cell>
          <cell r="U6896">
            <v>45532</v>
          </cell>
          <cell r="V6896">
            <v>45533</v>
          </cell>
          <cell r="W6896">
            <v>45533</v>
          </cell>
          <cell r="X6896">
            <v>41200007</v>
          </cell>
        </row>
        <row r="6897">
          <cell r="K6897" t="str">
            <v>GBWS-4913</v>
          </cell>
          <cell r="L6897">
            <v>45553</v>
          </cell>
          <cell r="M6897">
            <v>45554</v>
          </cell>
          <cell r="N6897">
            <v>45561</v>
          </cell>
          <cell r="O6897">
            <v>45554</v>
          </cell>
          <cell r="P6897">
            <v>45561</v>
          </cell>
          <cell r="Q6897">
            <v>45561</v>
          </cell>
          <cell r="R6897">
            <v>45562</v>
          </cell>
          <cell r="S6897">
            <v>45565</v>
          </cell>
          <cell r="T6897">
            <v>45567</v>
          </cell>
          <cell r="U6897">
            <v>45569</v>
          </cell>
          <cell r="V6897">
            <v>45572</v>
          </cell>
          <cell r="W6897">
            <v>45572</v>
          </cell>
          <cell r="X6897">
            <v>41100320</v>
          </cell>
        </row>
        <row r="6898">
          <cell r="K6898" t="str">
            <v>IVAS-258</v>
          </cell>
          <cell r="L6898">
            <v>45545</v>
          </cell>
          <cell r="M6898">
            <v>45546</v>
          </cell>
          <cell r="N6898">
            <v>45561</v>
          </cell>
          <cell r="O6898">
            <v>45546</v>
          </cell>
          <cell r="P6898">
            <v>45561</v>
          </cell>
          <cell r="Q6898">
            <v>45560</v>
          </cell>
          <cell r="R6898">
            <v>45561</v>
          </cell>
          <cell r="S6898">
            <v>45565</v>
          </cell>
          <cell r="T6898">
            <v>45569</v>
          </cell>
          <cell r="U6898">
            <v>45573</v>
          </cell>
          <cell r="V6898">
            <v>45573</v>
          </cell>
          <cell r="W6898">
            <v>45573</v>
          </cell>
          <cell r="X6898">
            <v>41200011</v>
          </cell>
        </row>
        <row r="6899">
          <cell r="K6899" t="str">
            <v>GBWS-4907</v>
          </cell>
          <cell r="L6899">
            <v>45545</v>
          </cell>
          <cell r="M6899">
            <v>45546</v>
          </cell>
          <cell r="N6899">
            <v>45558</v>
          </cell>
          <cell r="O6899">
            <v>45546</v>
          </cell>
          <cell r="P6899">
            <v>45559</v>
          </cell>
          <cell r="Q6899">
            <v>45558</v>
          </cell>
          <cell r="R6899">
            <v>45559</v>
          </cell>
          <cell r="S6899">
            <v>45560</v>
          </cell>
          <cell r="T6899">
            <v>45561</v>
          </cell>
          <cell r="U6899">
            <v>45567</v>
          </cell>
          <cell r="V6899">
            <v>45567</v>
          </cell>
          <cell r="W6899">
            <v>45567</v>
          </cell>
          <cell r="X6899">
            <v>41200007</v>
          </cell>
        </row>
        <row r="6900">
          <cell r="K6900" t="str">
            <v>GBWS-4908</v>
          </cell>
          <cell r="L6900">
            <v>45545</v>
          </cell>
          <cell r="M6900">
            <v>45546</v>
          </cell>
          <cell r="N6900">
            <v>45558</v>
          </cell>
          <cell r="O6900">
            <v>45546</v>
          </cell>
          <cell r="P6900">
            <v>45559</v>
          </cell>
          <cell r="Q6900">
            <v>45558</v>
          </cell>
          <cell r="R6900">
            <v>45559</v>
          </cell>
          <cell r="S6900">
            <v>45560</v>
          </cell>
          <cell r="T6900">
            <v>45561</v>
          </cell>
          <cell r="U6900">
            <v>45562</v>
          </cell>
          <cell r="V6900">
            <v>45565</v>
          </cell>
          <cell r="W6900">
            <v>45565</v>
          </cell>
          <cell r="X6900">
            <v>41200007</v>
          </cell>
        </row>
        <row r="6901">
          <cell r="K6901" t="str">
            <v>GBWS-4744</v>
          </cell>
          <cell r="L6901">
            <v>45491</v>
          </cell>
          <cell r="M6901">
            <v>45492</v>
          </cell>
          <cell r="N6901">
            <v>45499</v>
          </cell>
          <cell r="O6901">
            <v>45492</v>
          </cell>
          <cell r="P6901">
            <v>45502</v>
          </cell>
          <cell r="Q6901">
            <v>45499</v>
          </cell>
          <cell r="R6901">
            <v>45502</v>
          </cell>
          <cell r="S6901">
            <v>45503</v>
          </cell>
          <cell r="T6901">
            <v>45504</v>
          </cell>
          <cell r="U6901">
            <v>45505</v>
          </cell>
          <cell r="V6901">
            <v>45506</v>
          </cell>
          <cell r="W6901">
            <v>45506</v>
          </cell>
          <cell r="X6901">
            <v>41100460</v>
          </cell>
        </row>
        <row r="6902">
          <cell r="K6902" t="str">
            <v>GBWS-4917</v>
          </cell>
          <cell r="L6902">
            <v>45558</v>
          </cell>
          <cell r="M6902">
            <v>45558</v>
          </cell>
          <cell r="N6902">
            <v>45565</v>
          </cell>
          <cell r="O6902">
            <v>45558</v>
          </cell>
          <cell r="P6902">
            <v>45565</v>
          </cell>
          <cell r="Q6902">
            <v>45565</v>
          </cell>
          <cell r="R6902">
            <v>45566</v>
          </cell>
          <cell r="S6902">
            <v>45567</v>
          </cell>
          <cell r="T6902">
            <v>45569</v>
          </cell>
          <cell r="U6902">
            <v>45572</v>
          </cell>
          <cell r="V6902">
            <v>45573</v>
          </cell>
          <cell r="W6902">
            <v>45573</v>
          </cell>
          <cell r="X6902">
            <v>41200034</v>
          </cell>
        </row>
        <row r="6903">
          <cell r="K6903" t="str">
            <v>GBWS-4918</v>
          </cell>
          <cell r="L6903">
            <v>45558</v>
          </cell>
          <cell r="M6903">
            <v>45558</v>
          </cell>
          <cell r="N6903">
            <v>45565</v>
          </cell>
          <cell r="O6903">
            <v>45558</v>
          </cell>
          <cell r="P6903">
            <v>45565</v>
          </cell>
          <cell r="Q6903">
            <v>45565</v>
          </cell>
          <cell r="R6903">
            <v>45566</v>
          </cell>
          <cell r="S6903">
            <v>45567</v>
          </cell>
          <cell r="T6903">
            <v>45569</v>
          </cell>
          <cell r="U6903">
            <v>45572</v>
          </cell>
          <cell r="V6903">
            <v>45573</v>
          </cell>
          <cell r="W6903">
            <v>45573</v>
          </cell>
          <cell r="X6903">
            <v>41200034</v>
          </cell>
        </row>
        <row r="6904">
          <cell r="K6904" t="str">
            <v>GBWS-4920</v>
          </cell>
          <cell r="L6904">
            <v>45558</v>
          </cell>
          <cell r="M6904">
            <v>45558</v>
          </cell>
          <cell r="N6904">
            <v>45565</v>
          </cell>
          <cell r="O6904">
            <v>45558</v>
          </cell>
          <cell r="P6904">
            <v>45562</v>
          </cell>
          <cell r="Q6904">
            <v>45565</v>
          </cell>
          <cell r="R6904">
            <v>45566</v>
          </cell>
          <cell r="S6904">
            <v>45565</v>
          </cell>
          <cell r="T6904">
            <v>45567</v>
          </cell>
          <cell r="U6904">
            <v>45573</v>
          </cell>
          <cell r="V6904">
            <v>45573</v>
          </cell>
          <cell r="W6904">
            <v>45573</v>
          </cell>
          <cell r="X6904">
            <v>41200039</v>
          </cell>
        </row>
        <row r="6905">
          <cell r="K6905" t="str">
            <v>GBWS-4919</v>
          </cell>
          <cell r="L6905">
            <v>45558</v>
          </cell>
          <cell r="M6905">
            <v>45558</v>
          </cell>
          <cell r="N6905">
            <v>45565</v>
          </cell>
          <cell r="O6905">
            <v>45558</v>
          </cell>
          <cell r="P6905">
            <v>45562</v>
          </cell>
          <cell r="Q6905">
            <v>45565</v>
          </cell>
          <cell r="R6905">
            <v>45566</v>
          </cell>
          <cell r="S6905">
            <v>45567</v>
          </cell>
          <cell r="T6905">
            <v>45569</v>
          </cell>
          <cell r="U6905">
            <v>45573</v>
          </cell>
          <cell r="V6905">
            <v>45575</v>
          </cell>
          <cell r="W6905">
            <v>45575</v>
          </cell>
          <cell r="X6905">
            <v>41200036</v>
          </cell>
        </row>
        <row r="6906">
          <cell r="K6906" t="str">
            <v>GBWS-4910</v>
          </cell>
          <cell r="L6906">
            <v>45547</v>
          </cell>
          <cell r="M6906">
            <v>45548</v>
          </cell>
          <cell r="N6906">
            <v>45560</v>
          </cell>
          <cell r="O6906">
            <v>45548</v>
          </cell>
          <cell r="P6906">
            <v>45561</v>
          </cell>
          <cell r="Q6906">
            <v>45560</v>
          </cell>
          <cell r="R6906">
            <v>45561</v>
          </cell>
          <cell r="S6906">
            <v>45562</v>
          </cell>
          <cell r="T6906">
            <v>45567</v>
          </cell>
          <cell r="U6906">
            <v>45569</v>
          </cell>
          <cell r="V6906">
            <v>45572</v>
          </cell>
          <cell r="W6906">
            <v>45572</v>
          </cell>
          <cell r="X6906">
            <v>41200051</v>
          </cell>
        </row>
        <row r="6907">
          <cell r="K6907" t="str">
            <v>GBWS-4911</v>
          </cell>
          <cell r="L6907">
            <v>45547</v>
          </cell>
          <cell r="M6907">
            <v>45548</v>
          </cell>
          <cell r="N6907">
            <v>45561</v>
          </cell>
          <cell r="O6907">
            <v>45548</v>
          </cell>
          <cell r="P6907">
            <v>45560</v>
          </cell>
          <cell r="Q6907">
            <v>45560</v>
          </cell>
          <cell r="R6907">
            <v>45561</v>
          </cell>
          <cell r="S6907">
            <v>45562</v>
          </cell>
          <cell r="T6907">
            <v>45565</v>
          </cell>
          <cell r="U6907">
            <v>45567</v>
          </cell>
          <cell r="V6907">
            <v>45569</v>
          </cell>
          <cell r="W6907">
            <v>45569</v>
          </cell>
          <cell r="X6907">
            <v>41200004</v>
          </cell>
        </row>
        <row r="6908">
          <cell r="K6908" t="str">
            <v>DBW-3520</v>
          </cell>
          <cell r="L6908">
            <v>45559</v>
          </cell>
          <cell r="M6908">
            <v>45560</v>
          </cell>
          <cell r="N6908">
            <v>45565</v>
          </cell>
          <cell r="O6908">
            <v>45560</v>
          </cell>
          <cell r="P6908">
            <v>45567</v>
          </cell>
          <cell r="Q6908">
            <v>45566</v>
          </cell>
          <cell r="R6908">
            <v>45567</v>
          </cell>
          <cell r="S6908">
            <v>45569</v>
          </cell>
          <cell r="T6908">
            <v>45572</v>
          </cell>
          <cell r="U6908">
            <v>45573</v>
          </cell>
          <cell r="V6908">
            <v>45575</v>
          </cell>
          <cell r="W6908">
            <v>45575</v>
          </cell>
          <cell r="X6908">
            <v>41100695</v>
          </cell>
        </row>
        <row r="6909">
          <cell r="K6909" t="str">
            <v>GBWS-4916</v>
          </cell>
          <cell r="L6909">
            <v>45558</v>
          </cell>
          <cell r="M6909">
            <v>45558</v>
          </cell>
          <cell r="N6909">
            <v>45565</v>
          </cell>
          <cell r="O6909">
            <v>45558</v>
          </cell>
          <cell r="P6909">
            <v>45565</v>
          </cell>
          <cell r="Q6909">
            <v>45565</v>
          </cell>
          <cell r="R6909">
            <v>45566</v>
          </cell>
          <cell r="S6909">
            <v>45569</v>
          </cell>
          <cell r="T6909">
            <v>45572</v>
          </cell>
          <cell r="U6909">
            <v>45573</v>
          </cell>
          <cell r="V6909">
            <v>45575</v>
          </cell>
          <cell r="W6909">
            <v>45575</v>
          </cell>
          <cell r="X6909">
            <v>41100697</v>
          </cell>
        </row>
        <row r="6910">
          <cell r="K6910" t="str">
            <v>GBWS-4903</v>
          </cell>
          <cell r="L6910">
            <v>45544</v>
          </cell>
          <cell r="M6910">
            <v>45545</v>
          </cell>
          <cell r="N6910">
            <v>45558</v>
          </cell>
          <cell r="O6910">
            <v>45545</v>
          </cell>
          <cell r="P6910">
            <v>45555</v>
          </cell>
          <cell r="Q6910">
            <v>45558</v>
          </cell>
          <cell r="R6910">
            <v>45559</v>
          </cell>
          <cell r="S6910">
            <v>45560</v>
          </cell>
          <cell r="T6910">
            <v>45561</v>
          </cell>
          <cell r="U6910">
            <v>45567</v>
          </cell>
          <cell r="V6910">
            <v>45567</v>
          </cell>
          <cell r="W6910">
            <v>45567</v>
          </cell>
          <cell r="X6910">
            <v>41200006</v>
          </cell>
        </row>
        <row r="6911">
          <cell r="K6911" t="str">
            <v>GBWS-4904</v>
          </cell>
          <cell r="L6911">
            <v>45544</v>
          </cell>
          <cell r="M6911">
            <v>45545</v>
          </cell>
          <cell r="N6911">
            <v>45558</v>
          </cell>
          <cell r="O6911">
            <v>45545</v>
          </cell>
          <cell r="P6911">
            <v>45555</v>
          </cell>
          <cell r="Q6911">
            <v>45558</v>
          </cell>
          <cell r="R6911">
            <v>45559</v>
          </cell>
          <cell r="S6911">
            <v>45560</v>
          </cell>
          <cell r="T6911">
            <v>45561</v>
          </cell>
          <cell r="U6911">
            <v>45562</v>
          </cell>
          <cell r="V6911">
            <v>45565</v>
          </cell>
          <cell r="W6911">
            <v>45565</v>
          </cell>
          <cell r="X6911">
            <v>41200006</v>
          </cell>
        </row>
        <row r="6912">
          <cell r="K6912" t="str">
            <v>GBWS-4905</v>
          </cell>
          <cell r="L6912">
            <v>45544</v>
          </cell>
          <cell r="M6912">
            <v>45545</v>
          </cell>
          <cell r="N6912">
            <v>45558</v>
          </cell>
          <cell r="O6912">
            <v>45545</v>
          </cell>
          <cell r="P6912">
            <v>45555</v>
          </cell>
          <cell r="Q6912">
            <v>45558</v>
          </cell>
          <cell r="R6912">
            <v>45559</v>
          </cell>
          <cell r="S6912">
            <v>45560</v>
          </cell>
          <cell r="T6912">
            <v>45561</v>
          </cell>
          <cell r="U6912">
            <v>45562</v>
          </cell>
          <cell r="V6912">
            <v>45565</v>
          </cell>
          <cell r="W6912">
            <v>45565</v>
          </cell>
          <cell r="X6912">
            <v>41200006</v>
          </cell>
        </row>
        <row r="6913">
          <cell r="K6913" t="str">
            <v>GBWS-4906</v>
          </cell>
          <cell r="L6913">
            <v>45544</v>
          </cell>
          <cell r="M6913">
            <v>45545</v>
          </cell>
          <cell r="N6913">
            <v>45558</v>
          </cell>
          <cell r="O6913">
            <v>45545</v>
          </cell>
          <cell r="P6913">
            <v>45555</v>
          </cell>
          <cell r="Q6913">
            <v>45558</v>
          </cell>
          <cell r="R6913">
            <v>45559</v>
          </cell>
          <cell r="S6913">
            <v>45560</v>
          </cell>
          <cell r="T6913">
            <v>45561</v>
          </cell>
          <cell r="U6913">
            <v>45562</v>
          </cell>
          <cell r="V6913">
            <v>45565</v>
          </cell>
          <cell r="W6913">
            <v>45565</v>
          </cell>
          <cell r="X6913">
            <v>41200006</v>
          </cell>
        </row>
        <row r="6914">
          <cell r="K6914" t="str">
            <v>-</v>
          </cell>
          <cell r="L6914">
            <v>45538</v>
          </cell>
          <cell r="M6914">
            <v>45538</v>
          </cell>
          <cell r="N6914">
            <v>45547</v>
          </cell>
          <cell r="O6914">
            <v>45538</v>
          </cell>
          <cell r="P6914">
            <v>45547</v>
          </cell>
          <cell r="Q6914">
            <v>45547</v>
          </cell>
          <cell r="R6914">
            <v>45548</v>
          </cell>
          <cell r="S6914">
            <v>45555</v>
          </cell>
          <cell r="T6914">
            <v>45555</v>
          </cell>
          <cell r="U6914">
            <v>45560</v>
          </cell>
          <cell r="V6914">
            <v>45575</v>
          </cell>
          <cell r="W6914">
            <v>45575</v>
          </cell>
          <cell r="X6914">
            <v>31200056</v>
          </cell>
        </row>
        <row r="6915">
          <cell r="K6915" t="str">
            <v>-</v>
          </cell>
          <cell r="L6915">
            <v>45538</v>
          </cell>
          <cell r="M6915">
            <v>45538</v>
          </cell>
          <cell r="N6915">
            <v>45547</v>
          </cell>
          <cell r="O6915">
            <v>45538</v>
          </cell>
          <cell r="P6915">
            <v>45547</v>
          </cell>
          <cell r="Q6915">
            <v>45554</v>
          </cell>
          <cell r="R6915">
            <v>45555</v>
          </cell>
          <cell r="S6915">
            <v>45555</v>
          </cell>
          <cell r="T6915">
            <v>45555</v>
          </cell>
          <cell r="U6915">
            <v>45560</v>
          </cell>
          <cell r="V6915">
            <v>45575</v>
          </cell>
          <cell r="W6915">
            <v>45575</v>
          </cell>
          <cell r="X6915">
            <v>31200057</v>
          </cell>
        </row>
        <row r="6916">
          <cell r="K6916" t="str">
            <v>-</v>
          </cell>
          <cell r="L6916">
            <v>45542</v>
          </cell>
          <cell r="M6916">
            <v>45544</v>
          </cell>
          <cell r="N6916">
            <v>45547</v>
          </cell>
          <cell r="O6916">
            <v>45544</v>
          </cell>
          <cell r="P6916">
            <v>45547</v>
          </cell>
          <cell r="Q6916">
            <v>45554</v>
          </cell>
          <cell r="R6916">
            <v>45554</v>
          </cell>
          <cell r="S6916">
            <v>45560</v>
          </cell>
          <cell r="T6916">
            <v>45560</v>
          </cell>
          <cell r="U6916">
            <v>45576</v>
          </cell>
          <cell r="V6916">
            <v>45576</v>
          </cell>
          <cell r="W6916">
            <v>45576</v>
          </cell>
          <cell r="X6916">
            <v>31200190</v>
          </cell>
        </row>
        <row r="6917">
          <cell r="K6917" t="str">
            <v>GBWS-4691</v>
          </cell>
          <cell r="L6917">
            <v>45475</v>
          </cell>
          <cell r="M6917">
            <v>45476</v>
          </cell>
          <cell r="N6917">
            <v>45482</v>
          </cell>
          <cell r="O6917">
            <v>45476</v>
          </cell>
          <cell r="P6917">
            <v>45482</v>
          </cell>
          <cell r="Q6917">
            <v>45482</v>
          </cell>
          <cell r="R6917">
            <v>45483</v>
          </cell>
          <cell r="S6917">
            <v>45484</v>
          </cell>
          <cell r="T6917">
            <v>45485</v>
          </cell>
          <cell r="U6917">
            <v>45488</v>
          </cell>
          <cell r="V6917">
            <v>45489</v>
          </cell>
          <cell r="W6917">
            <v>45489</v>
          </cell>
          <cell r="X6917">
            <v>41100508</v>
          </cell>
        </row>
        <row r="6918">
          <cell r="K6918" t="str">
            <v>GBWS-4705</v>
          </cell>
          <cell r="L6918">
            <v>45478</v>
          </cell>
          <cell r="M6918">
            <v>45481</v>
          </cell>
          <cell r="N6918">
            <v>45488</v>
          </cell>
          <cell r="O6918">
            <v>45481</v>
          </cell>
          <cell r="P6918">
            <v>45489</v>
          </cell>
          <cell r="Q6918">
            <v>45488</v>
          </cell>
          <cell r="R6918">
            <v>45489</v>
          </cell>
          <cell r="S6918">
            <v>45490</v>
          </cell>
          <cell r="T6918">
            <v>45491</v>
          </cell>
          <cell r="U6918">
            <v>45495</v>
          </cell>
          <cell r="V6918">
            <v>45495</v>
          </cell>
          <cell r="W6918">
            <v>45495</v>
          </cell>
          <cell r="X6918">
            <v>41100667</v>
          </cell>
        </row>
        <row r="6919">
          <cell r="K6919" t="str">
            <v>GBWS-4706</v>
          </cell>
          <cell r="L6919">
            <v>45478</v>
          </cell>
          <cell r="M6919">
            <v>45481</v>
          </cell>
          <cell r="N6919">
            <v>45488</v>
          </cell>
          <cell r="O6919">
            <v>45481</v>
          </cell>
          <cell r="P6919">
            <v>45489</v>
          </cell>
          <cell r="Q6919">
            <v>45488</v>
          </cell>
          <cell r="R6919">
            <v>45489</v>
          </cell>
          <cell r="S6919">
            <v>45491</v>
          </cell>
          <cell r="T6919">
            <v>45492</v>
          </cell>
          <cell r="U6919">
            <v>45497</v>
          </cell>
          <cell r="V6919">
            <v>45497</v>
          </cell>
          <cell r="W6919">
            <v>45497</v>
          </cell>
          <cell r="X6919">
            <v>41100667</v>
          </cell>
        </row>
        <row r="6920">
          <cell r="K6920" t="str">
            <v>IVAS-260</v>
          </cell>
          <cell r="L6920">
            <v>45554</v>
          </cell>
          <cell r="M6920">
            <v>45555</v>
          </cell>
          <cell r="N6920">
            <v>45572</v>
          </cell>
          <cell r="O6920">
            <v>45555</v>
          </cell>
          <cell r="P6920">
            <v>45579</v>
          </cell>
          <cell r="Q6920">
            <v>45566</v>
          </cell>
          <cell r="R6920">
            <v>45567</v>
          </cell>
          <cell r="S6920">
            <v>45569</v>
          </cell>
          <cell r="T6920">
            <v>45575</v>
          </cell>
          <cell r="U6920">
            <v>45579</v>
          </cell>
          <cell r="V6920">
            <v>45579</v>
          </cell>
          <cell r="W6920">
            <v>45579</v>
          </cell>
          <cell r="X6920">
            <v>41200030</v>
          </cell>
        </row>
        <row r="6921">
          <cell r="K6921" t="str">
            <v>GBA-0127</v>
          </cell>
          <cell r="L6921">
            <v>45558</v>
          </cell>
          <cell r="M6921">
            <v>45558</v>
          </cell>
          <cell r="N6921">
            <v>45575</v>
          </cell>
          <cell r="O6921">
            <v>45558</v>
          </cell>
          <cell r="P6921">
            <v>45575</v>
          </cell>
          <cell r="Q6921">
            <v>45567</v>
          </cell>
          <cell r="R6921">
            <v>45569</v>
          </cell>
          <cell r="S6921">
            <v>45573</v>
          </cell>
          <cell r="T6921">
            <v>45576</v>
          </cell>
          <cell r="U6921">
            <v>45576</v>
          </cell>
          <cell r="V6921">
            <v>45579</v>
          </cell>
          <cell r="W6921">
            <v>45579</v>
          </cell>
          <cell r="X6921">
            <v>41100666</v>
          </cell>
        </row>
        <row r="6922">
          <cell r="K6922" t="str">
            <v>GBA-0128</v>
          </cell>
          <cell r="L6922">
            <v>45558</v>
          </cell>
          <cell r="M6922">
            <v>45558</v>
          </cell>
          <cell r="N6922">
            <v>45575</v>
          </cell>
          <cell r="O6922">
            <v>45558</v>
          </cell>
          <cell r="P6922">
            <v>45575</v>
          </cell>
          <cell r="Q6922">
            <v>45567</v>
          </cell>
          <cell r="R6922">
            <v>45569</v>
          </cell>
          <cell r="S6922">
            <v>45573</v>
          </cell>
          <cell r="T6922">
            <v>45576</v>
          </cell>
          <cell r="U6922">
            <v>45579</v>
          </cell>
          <cell r="V6922">
            <v>45579</v>
          </cell>
          <cell r="W6922">
            <v>45579</v>
          </cell>
          <cell r="X6922">
            <v>41100666</v>
          </cell>
        </row>
        <row r="6923">
          <cell r="K6923" t="str">
            <v>GBA-0129</v>
          </cell>
          <cell r="L6923">
            <v>45558</v>
          </cell>
          <cell r="M6923">
            <v>45558</v>
          </cell>
          <cell r="N6923">
            <v>45575</v>
          </cell>
          <cell r="O6923">
            <v>45558</v>
          </cell>
          <cell r="P6923">
            <v>45575</v>
          </cell>
          <cell r="Q6923">
            <v>45567</v>
          </cell>
          <cell r="R6923">
            <v>45569</v>
          </cell>
          <cell r="S6923">
            <v>45575</v>
          </cell>
          <cell r="T6923">
            <v>45576</v>
          </cell>
          <cell r="U6923">
            <v>45579</v>
          </cell>
          <cell r="V6923">
            <v>45579</v>
          </cell>
          <cell r="W6923">
            <v>45579</v>
          </cell>
          <cell r="X6923">
            <v>41100666</v>
          </cell>
        </row>
        <row r="6924">
          <cell r="K6924" t="str">
            <v>GBWS-4929</v>
          </cell>
          <cell r="L6924">
            <v>45561</v>
          </cell>
          <cell r="M6924">
            <v>45562</v>
          </cell>
          <cell r="N6924">
            <v>45572</v>
          </cell>
          <cell r="O6924">
            <v>45562</v>
          </cell>
          <cell r="P6924">
            <v>45573</v>
          </cell>
          <cell r="Q6924">
            <v>45572</v>
          </cell>
          <cell r="R6924">
            <v>45573</v>
          </cell>
          <cell r="S6924">
            <v>45575</v>
          </cell>
          <cell r="T6924">
            <v>45575</v>
          </cell>
          <cell r="U6924">
            <v>45576</v>
          </cell>
          <cell r="V6924">
            <v>45579</v>
          </cell>
          <cell r="W6924">
            <v>45579</v>
          </cell>
          <cell r="X6924">
            <v>41100564</v>
          </cell>
        </row>
        <row r="6925">
          <cell r="K6925" t="str">
            <v>GBWS-4930</v>
          </cell>
          <cell r="L6925">
            <v>45561</v>
          </cell>
          <cell r="M6925">
            <v>45562</v>
          </cell>
          <cell r="N6925">
            <v>45572</v>
          </cell>
          <cell r="O6925">
            <v>45562</v>
          </cell>
          <cell r="P6925">
            <v>45573</v>
          </cell>
          <cell r="Q6925">
            <v>45572</v>
          </cell>
          <cell r="R6925">
            <v>45573</v>
          </cell>
          <cell r="S6925">
            <v>45575</v>
          </cell>
          <cell r="T6925">
            <v>45575</v>
          </cell>
          <cell r="U6925">
            <v>45579</v>
          </cell>
          <cell r="V6925">
            <v>45580</v>
          </cell>
          <cell r="W6925">
            <v>45580</v>
          </cell>
          <cell r="X6925">
            <v>41100564</v>
          </cell>
        </row>
        <row r="6926">
          <cell r="K6926" t="str">
            <v>GBWS-4931</v>
          </cell>
          <cell r="L6926">
            <v>45561</v>
          </cell>
          <cell r="M6926">
            <v>45562</v>
          </cell>
          <cell r="N6926">
            <v>45572</v>
          </cell>
          <cell r="O6926">
            <v>45562</v>
          </cell>
          <cell r="P6926">
            <v>45573</v>
          </cell>
          <cell r="Q6926">
            <v>45572</v>
          </cell>
          <cell r="R6926">
            <v>45573</v>
          </cell>
          <cell r="S6926">
            <v>45575</v>
          </cell>
          <cell r="T6926">
            <v>45576</v>
          </cell>
          <cell r="U6926">
            <v>45579</v>
          </cell>
          <cell r="V6926">
            <v>45580</v>
          </cell>
          <cell r="W6926">
            <v>45580</v>
          </cell>
          <cell r="X6926">
            <v>41100564</v>
          </cell>
        </row>
        <row r="6927">
          <cell r="K6927" t="str">
            <v>GBWS-4932</v>
          </cell>
          <cell r="L6927">
            <v>45561</v>
          </cell>
          <cell r="M6927">
            <v>45562</v>
          </cell>
          <cell r="N6927">
            <v>45572</v>
          </cell>
          <cell r="O6927">
            <v>45562</v>
          </cell>
          <cell r="P6927">
            <v>45573</v>
          </cell>
          <cell r="Q6927">
            <v>45572</v>
          </cell>
          <cell r="R6927">
            <v>45573</v>
          </cell>
          <cell r="S6927">
            <v>45575</v>
          </cell>
          <cell r="T6927">
            <v>45576</v>
          </cell>
          <cell r="U6927">
            <v>45579</v>
          </cell>
          <cell r="V6927">
            <v>45580</v>
          </cell>
          <cell r="W6927">
            <v>45580</v>
          </cell>
          <cell r="X6927">
            <v>41100564</v>
          </cell>
        </row>
        <row r="6928">
          <cell r="K6928" t="str">
            <v>GBW-0286</v>
          </cell>
          <cell r="L6928">
            <v>45559</v>
          </cell>
          <cell r="M6928">
            <v>45560</v>
          </cell>
          <cell r="N6928">
            <v>45569</v>
          </cell>
          <cell r="O6928">
            <v>45560</v>
          </cell>
          <cell r="P6928">
            <v>45579</v>
          </cell>
          <cell r="Q6928">
            <v>45569</v>
          </cell>
          <cell r="R6928">
            <v>45572</v>
          </cell>
          <cell r="S6928">
            <v>45575</v>
          </cell>
          <cell r="T6928">
            <v>45576</v>
          </cell>
          <cell r="U6928">
            <v>45576</v>
          </cell>
          <cell r="V6928">
            <v>45579</v>
          </cell>
          <cell r="W6928">
            <v>45579</v>
          </cell>
          <cell r="X6928">
            <v>41100715</v>
          </cell>
        </row>
        <row r="6929">
          <cell r="K6929" t="str">
            <v>GBWS-4898</v>
          </cell>
          <cell r="L6929">
            <v>45542</v>
          </cell>
          <cell r="M6929">
            <v>45544</v>
          </cell>
          <cell r="N6929">
            <v>45555</v>
          </cell>
          <cell r="O6929">
            <v>45544</v>
          </cell>
          <cell r="P6929">
            <v>45555</v>
          </cell>
          <cell r="Q6929">
            <v>45555</v>
          </cell>
          <cell r="R6929">
            <v>45558</v>
          </cell>
          <cell r="S6929">
            <v>45561</v>
          </cell>
          <cell r="T6929">
            <v>45562</v>
          </cell>
          <cell r="U6929">
            <v>45567</v>
          </cell>
          <cell r="V6929">
            <v>45567</v>
          </cell>
          <cell r="W6929">
            <v>45567</v>
          </cell>
          <cell r="X6929">
            <v>41100286</v>
          </cell>
        </row>
        <row r="6930">
          <cell r="K6930" t="str">
            <v>GBA-0130</v>
          </cell>
          <cell r="L6930">
            <v>45558</v>
          </cell>
          <cell r="M6930">
            <v>45558</v>
          </cell>
          <cell r="N6930">
            <v>45576</v>
          </cell>
          <cell r="O6930">
            <v>45558</v>
          </cell>
          <cell r="P6930">
            <v>45576</v>
          </cell>
          <cell r="Q6930">
            <v>45572</v>
          </cell>
          <cell r="R6930">
            <v>45573</v>
          </cell>
          <cell r="S6930">
            <v>45576</v>
          </cell>
          <cell r="T6930">
            <v>45576</v>
          </cell>
          <cell r="U6930">
            <v>45580</v>
          </cell>
          <cell r="V6930">
            <v>45580</v>
          </cell>
          <cell r="W6930">
            <v>45580</v>
          </cell>
          <cell r="X6930">
            <v>41100666</v>
          </cell>
        </row>
        <row r="6931">
          <cell r="K6931" t="str">
            <v>GBA-0131</v>
          </cell>
          <cell r="L6931">
            <v>45558</v>
          </cell>
          <cell r="M6931">
            <v>45558</v>
          </cell>
          <cell r="N6931">
            <v>45576</v>
          </cell>
          <cell r="O6931">
            <v>45558</v>
          </cell>
          <cell r="P6931">
            <v>45576</v>
          </cell>
          <cell r="Q6931">
            <v>45572</v>
          </cell>
          <cell r="R6931">
            <v>45573</v>
          </cell>
          <cell r="S6931">
            <v>45576</v>
          </cell>
          <cell r="T6931">
            <v>45576</v>
          </cell>
          <cell r="U6931">
            <v>45580</v>
          </cell>
          <cell r="V6931">
            <v>45580</v>
          </cell>
          <cell r="W6931">
            <v>45580</v>
          </cell>
          <cell r="X6931">
            <v>41100666</v>
          </cell>
        </row>
        <row r="6932">
          <cell r="K6932" t="str">
            <v>GBA-0132</v>
          </cell>
          <cell r="L6932">
            <v>45558</v>
          </cell>
          <cell r="M6932">
            <v>45558</v>
          </cell>
          <cell r="N6932">
            <v>45576</v>
          </cell>
          <cell r="O6932">
            <v>45558</v>
          </cell>
          <cell r="P6932">
            <v>45576</v>
          </cell>
          <cell r="Q6932">
            <v>45572</v>
          </cell>
          <cell r="R6932">
            <v>45573</v>
          </cell>
          <cell r="S6932">
            <v>45576</v>
          </cell>
          <cell r="T6932">
            <v>45576</v>
          </cell>
          <cell r="U6932">
            <v>45579</v>
          </cell>
          <cell r="V6932">
            <v>45580</v>
          </cell>
          <cell r="W6932">
            <v>45580</v>
          </cell>
          <cell r="X6932">
            <v>41100666</v>
          </cell>
        </row>
        <row r="6933">
          <cell r="K6933" t="str">
            <v>GBWS-4921</v>
          </cell>
          <cell r="L6933">
            <v>45558</v>
          </cell>
          <cell r="M6933">
            <v>45559</v>
          </cell>
          <cell r="N6933">
            <v>45567</v>
          </cell>
          <cell r="O6933">
            <v>45559</v>
          </cell>
          <cell r="P6933">
            <v>45579</v>
          </cell>
          <cell r="Q6933">
            <v>45567</v>
          </cell>
          <cell r="R6933">
            <v>45569</v>
          </cell>
          <cell r="S6933">
            <v>45572</v>
          </cell>
          <cell r="T6933">
            <v>45573</v>
          </cell>
          <cell r="U6933">
            <v>45575</v>
          </cell>
          <cell r="V6933">
            <v>45576</v>
          </cell>
          <cell r="W6933">
            <v>45576</v>
          </cell>
          <cell r="X6933">
            <v>41100320</v>
          </cell>
        </row>
        <row r="6934">
          <cell r="K6934" t="str">
            <v>GBWS-4924</v>
          </cell>
          <cell r="L6934">
            <v>45560</v>
          </cell>
          <cell r="M6934">
            <v>45561</v>
          </cell>
          <cell r="N6934">
            <v>45569</v>
          </cell>
          <cell r="O6934">
            <v>45561</v>
          </cell>
          <cell r="P6934">
            <v>45572</v>
          </cell>
          <cell r="Q6934">
            <v>45569</v>
          </cell>
          <cell r="R6934">
            <v>45572</v>
          </cell>
          <cell r="S6934">
            <v>45573</v>
          </cell>
          <cell r="T6934">
            <v>45575</v>
          </cell>
          <cell r="U6934">
            <v>45576</v>
          </cell>
          <cell r="V6934">
            <v>45579</v>
          </cell>
          <cell r="W6934">
            <v>45579</v>
          </cell>
          <cell r="X6934">
            <v>41100363</v>
          </cell>
        </row>
        <row r="6935">
          <cell r="K6935" t="str">
            <v>GBWS-4925</v>
          </cell>
          <cell r="L6935">
            <v>45560</v>
          </cell>
          <cell r="M6935">
            <v>45561</v>
          </cell>
          <cell r="N6935">
            <v>45569</v>
          </cell>
          <cell r="O6935">
            <v>45561</v>
          </cell>
          <cell r="P6935">
            <v>45572</v>
          </cell>
          <cell r="Q6935">
            <v>45569</v>
          </cell>
          <cell r="R6935">
            <v>45572</v>
          </cell>
          <cell r="S6935">
            <v>45573</v>
          </cell>
          <cell r="T6935">
            <v>45575</v>
          </cell>
          <cell r="U6935">
            <v>45576</v>
          </cell>
          <cell r="V6935">
            <v>45579</v>
          </cell>
          <cell r="W6935">
            <v>45579</v>
          </cell>
          <cell r="X6935">
            <v>41100363</v>
          </cell>
        </row>
        <row r="6936">
          <cell r="K6936" t="str">
            <v>GBWS-4926</v>
          </cell>
          <cell r="L6936">
            <v>45560</v>
          </cell>
          <cell r="M6936">
            <v>45561</v>
          </cell>
          <cell r="N6936">
            <v>45569</v>
          </cell>
          <cell r="O6936">
            <v>45561</v>
          </cell>
          <cell r="P6936">
            <v>45572</v>
          </cell>
          <cell r="Q6936">
            <v>45569</v>
          </cell>
          <cell r="R6936">
            <v>45572</v>
          </cell>
          <cell r="S6936">
            <v>45573</v>
          </cell>
          <cell r="T6936">
            <v>45575</v>
          </cell>
          <cell r="U6936">
            <v>45576</v>
          </cell>
          <cell r="V6936">
            <v>45579</v>
          </cell>
          <cell r="W6936">
            <v>45579</v>
          </cell>
          <cell r="X6936">
            <v>41100363</v>
          </cell>
        </row>
        <row r="6937">
          <cell r="K6937" t="str">
            <v>GBWS-4914</v>
          </cell>
          <cell r="L6937">
            <v>45554</v>
          </cell>
          <cell r="M6937">
            <v>45555</v>
          </cell>
          <cell r="N6937">
            <v>45562</v>
          </cell>
          <cell r="O6937">
            <v>45555</v>
          </cell>
          <cell r="P6937">
            <v>45567</v>
          </cell>
          <cell r="Q6937">
            <v>45565</v>
          </cell>
          <cell r="R6937">
            <v>45566</v>
          </cell>
          <cell r="S6937">
            <v>45567</v>
          </cell>
          <cell r="T6937">
            <v>45569</v>
          </cell>
          <cell r="U6937">
            <v>45572</v>
          </cell>
          <cell r="V6937">
            <v>45573</v>
          </cell>
          <cell r="W6937">
            <v>45573</v>
          </cell>
          <cell r="X6937">
            <v>41100334</v>
          </cell>
        </row>
        <row r="6938">
          <cell r="K6938" t="str">
            <v>GBWS-4915</v>
          </cell>
          <cell r="L6938">
            <v>45554</v>
          </cell>
          <cell r="M6938">
            <v>45555</v>
          </cell>
          <cell r="N6938">
            <v>45562</v>
          </cell>
          <cell r="O6938">
            <v>45555</v>
          </cell>
          <cell r="P6938">
            <v>45567</v>
          </cell>
          <cell r="Q6938">
            <v>45565</v>
          </cell>
          <cell r="R6938">
            <v>45566</v>
          </cell>
          <cell r="S6938">
            <v>45567</v>
          </cell>
          <cell r="T6938">
            <v>45569</v>
          </cell>
          <cell r="U6938">
            <v>45572</v>
          </cell>
          <cell r="V6938">
            <v>45573</v>
          </cell>
          <cell r="W6938">
            <v>45573</v>
          </cell>
          <cell r="X6938">
            <v>41100334</v>
          </cell>
        </row>
        <row r="6939">
          <cell r="K6939" t="str">
            <v>GBWS-4909</v>
          </cell>
          <cell r="L6939">
            <v>45547</v>
          </cell>
          <cell r="M6939">
            <v>45548</v>
          </cell>
          <cell r="N6939">
            <v>45561</v>
          </cell>
          <cell r="O6939">
            <v>45548</v>
          </cell>
          <cell r="P6939">
            <v>45562</v>
          </cell>
          <cell r="Q6939">
            <v>45561</v>
          </cell>
          <cell r="R6939">
            <v>45562</v>
          </cell>
          <cell r="S6939">
            <v>45565</v>
          </cell>
          <cell r="T6939">
            <v>45567</v>
          </cell>
          <cell r="U6939">
            <v>45569</v>
          </cell>
          <cell r="V6939">
            <v>45572</v>
          </cell>
          <cell r="W6939">
            <v>45572</v>
          </cell>
          <cell r="X6939">
            <v>41100374</v>
          </cell>
        </row>
        <row r="6940">
          <cell r="K6940" t="str">
            <v>DBW-3519</v>
          </cell>
          <cell r="L6940">
            <v>45547</v>
          </cell>
          <cell r="M6940">
            <v>45548</v>
          </cell>
          <cell r="N6940">
            <v>45560</v>
          </cell>
          <cell r="O6940">
            <v>45548</v>
          </cell>
          <cell r="P6940">
            <v>45561</v>
          </cell>
          <cell r="Q6940">
            <v>45560</v>
          </cell>
          <cell r="R6940">
            <v>45561</v>
          </cell>
          <cell r="S6940">
            <v>45562</v>
          </cell>
          <cell r="T6940">
            <v>45565</v>
          </cell>
          <cell r="U6940">
            <v>45567</v>
          </cell>
          <cell r="V6940">
            <v>45569</v>
          </cell>
          <cell r="W6940">
            <v>45569</v>
          </cell>
          <cell r="X6940">
            <v>41100620</v>
          </cell>
        </row>
        <row r="6941">
          <cell r="K6941" t="str">
            <v>GBWS-3739</v>
          </cell>
          <cell r="L6941">
            <v>45195</v>
          </cell>
          <cell r="M6941">
            <v>45196</v>
          </cell>
          <cell r="N6941">
            <v>45205</v>
          </cell>
          <cell r="O6941">
            <v>45196</v>
          </cell>
          <cell r="P6941">
            <v>45209</v>
          </cell>
          <cell r="Q6941">
            <v>45205</v>
          </cell>
          <cell r="R6941">
            <v>45209</v>
          </cell>
          <cell r="S6941">
            <v>45210</v>
          </cell>
          <cell r="T6941">
            <v>45210</v>
          </cell>
          <cell r="U6941">
            <v>45212</v>
          </cell>
          <cell r="V6941">
            <v>45215</v>
          </cell>
          <cell r="W6941">
            <v>45215</v>
          </cell>
          <cell r="X6941" t="str">
            <v>41000537 → 41100584</v>
          </cell>
        </row>
        <row r="6942">
          <cell r="K6942" t="str">
            <v>GBWS-4938</v>
          </cell>
          <cell r="L6942">
            <v>45564</v>
          </cell>
          <cell r="M6942">
            <v>45565</v>
          </cell>
          <cell r="N6942">
            <v>45572</v>
          </cell>
          <cell r="O6942">
            <v>45565</v>
          </cell>
          <cell r="P6942">
            <v>45579</v>
          </cell>
          <cell r="Q6942">
            <v>45572</v>
          </cell>
          <cell r="R6942">
            <v>45573</v>
          </cell>
          <cell r="S6942">
            <v>45575</v>
          </cell>
          <cell r="T6942">
            <v>45576</v>
          </cell>
          <cell r="U6942">
            <v>45580</v>
          </cell>
          <cell r="V6942">
            <v>45580</v>
          </cell>
          <cell r="W6942">
            <v>45580</v>
          </cell>
          <cell r="X6942">
            <v>41200007</v>
          </cell>
        </row>
        <row r="6943">
          <cell r="K6943" t="str">
            <v>GBWS-4939</v>
          </cell>
          <cell r="L6943">
            <v>45564</v>
          </cell>
          <cell r="M6943">
            <v>45565</v>
          </cell>
          <cell r="N6943">
            <v>45572</v>
          </cell>
          <cell r="O6943">
            <v>45565</v>
          </cell>
          <cell r="P6943">
            <v>45579</v>
          </cell>
          <cell r="Q6943">
            <v>45572</v>
          </cell>
          <cell r="R6943">
            <v>45573</v>
          </cell>
          <cell r="S6943">
            <v>45575</v>
          </cell>
          <cell r="T6943">
            <v>45576</v>
          </cell>
          <cell r="U6943">
            <v>45579</v>
          </cell>
          <cell r="V6943">
            <v>45580</v>
          </cell>
          <cell r="W6943">
            <v>45580</v>
          </cell>
          <cell r="X6943">
            <v>41200007</v>
          </cell>
        </row>
        <row r="6944">
          <cell r="K6944" t="str">
            <v>GBWS-4834</v>
          </cell>
          <cell r="L6944">
            <v>45518</v>
          </cell>
          <cell r="M6944">
            <v>45520</v>
          </cell>
          <cell r="N6944">
            <v>45526</v>
          </cell>
          <cell r="O6944">
            <v>45520</v>
          </cell>
          <cell r="P6944">
            <v>45525</v>
          </cell>
          <cell r="Q6944">
            <v>45526</v>
          </cell>
          <cell r="R6944">
            <v>45527</v>
          </cell>
          <cell r="S6944">
            <v>45530</v>
          </cell>
          <cell r="T6944">
            <v>45531</v>
          </cell>
          <cell r="U6944">
            <v>45532</v>
          </cell>
          <cell r="V6944">
            <v>45533</v>
          </cell>
          <cell r="W6944">
            <v>45533</v>
          </cell>
          <cell r="X6944">
            <v>41200007</v>
          </cell>
        </row>
        <row r="6945">
          <cell r="K6945" t="str">
            <v>GBWS-4835</v>
          </cell>
          <cell r="L6945">
            <v>45518</v>
          </cell>
          <cell r="M6945">
            <v>45520</v>
          </cell>
          <cell r="N6945">
            <v>45526</v>
          </cell>
          <cell r="O6945">
            <v>45520</v>
          </cell>
          <cell r="P6945">
            <v>45525</v>
          </cell>
          <cell r="Q6945">
            <v>45526</v>
          </cell>
          <cell r="R6945">
            <v>45527</v>
          </cell>
          <cell r="S6945">
            <v>45530</v>
          </cell>
          <cell r="T6945">
            <v>45531</v>
          </cell>
          <cell r="U6945">
            <v>45532</v>
          </cell>
          <cell r="V6945">
            <v>45533</v>
          </cell>
          <cell r="W6945">
            <v>45533</v>
          </cell>
          <cell r="X6945">
            <v>41200007</v>
          </cell>
        </row>
        <row r="6946">
          <cell r="K6946" t="str">
            <v>GBWS-4947</v>
          </cell>
          <cell r="L6946">
            <v>45567</v>
          </cell>
          <cell r="M6946">
            <v>45567</v>
          </cell>
          <cell r="N6946">
            <v>45573</v>
          </cell>
          <cell r="O6946">
            <v>45567</v>
          </cell>
          <cell r="P6946">
            <v>45575</v>
          </cell>
          <cell r="Q6946">
            <v>45575</v>
          </cell>
          <cell r="R6946">
            <v>45576</v>
          </cell>
          <cell r="S6946">
            <v>45579</v>
          </cell>
          <cell r="T6946">
            <v>45580</v>
          </cell>
          <cell r="U6946">
            <v>45581</v>
          </cell>
          <cell r="V6946">
            <v>45582</v>
          </cell>
          <cell r="W6946">
            <v>45582</v>
          </cell>
          <cell r="X6946">
            <v>41100318</v>
          </cell>
        </row>
        <row r="6947">
          <cell r="K6947" t="str">
            <v>GBWS-4948</v>
          </cell>
          <cell r="L6947">
            <v>45567</v>
          </cell>
          <cell r="M6947">
            <v>45567</v>
          </cell>
          <cell r="N6947">
            <v>45573</v>
          </cell>
          <cell r="O6947">
            <v>45567</v>
          </cell>
          <cell r="P6947">
            <v>45575</v>
          </cell>
          <cell r="Q6947">
            <v>45575</v>
          </cell>
          <cell r="R6947">
            <v>45576</v>
          </cell>
          <cell r="S6947">
            <v>45579</v>
          </cell>
          <cell r="T6947">
            <v>45580</v>
          </cell>
          <cell r="U6947">
            <v>45581</v>
          </cell>
          <cell r="V6947">
            <v>45582</v>
          </cell>
          <cell r="W6947">
            <v>45582</v>
          </cell>
          <cell r="X6947">
            <v>41100318</v>
          </cell>
        </row>
        <row r="6948">
          <cell r="K6948" t="str">
            <v>GBWS-4357</v>
          </cell>
          <cell r="L6948">
            <v>45383</v>
          </cell>
          <cell r="M6948">
            <v>45384</v>
          </cell>
          <cell r="N6948">
            <v>45393</v>
          </cell>
          <cell r="O6948">
            <v>45384</v>
          </cell>
          <cell r="P6948">
            <v>45394</v>
          </cell>
          <cell r="Q6948">
            <v>45393</v>
          </cell>
          <cell r="R6948">
            <v>45394</v>
          </cell>
          <cell r="S6948">
            <v>45398</v>
          </cell>
          <cell r="T6948">
            <v>45404</v>
          </cell>
          <cell r="U6948">
            <v>45405</v>
          </cell>
          <cell r="V6948">
            <v>45405</v>
          </cell>
          <cell r="W6948">
            <v>45405</v>
          </cell>
          <cell r="X6948">
            <v>41100698</v>
          </cell>
        </row>
        <row r="6949">
          <cell r="K6949" t="str">
            <v>GBWS-4457</v>
          </cell>
          <cell r="L6949">
            <v>45405</v>
          </cell>
          <cell r="M6949">
            <v>45407</v>
          </cell>
          <cell r="N6949">
            <v>45414</v>
          </cell>
          <cell r="O6949">
            <v>45407</v>
          </cell>
          <cell r="P6949">
            <v>45415</v>
          </cell>
          <cell r="Q6949">
            <v>45414</v>
          </cell>
          <cell r="R6949">
            <v>45415</v>
          </cell>
          <cell r="S6949">
            <v>45419</v>
          </cell>
          <cell r="T6949">
            <v>45420</v>
          </cell>
          <cell r="U6949">
            <v>45421</v>
          </cell>
          <cell r="V6949">
            <v>45422</v>
          </cell>
          <cell r="W6949">
            <v>45422</v>
          </cell>
          <cell r="X6949">
            <v>41100698</v>
          </cell>
        </row>
        <row r="6950">
          <cell r="K6950" t="str">
            <v>GBWS-4936</v>
          </cell>
          <cell r="L6950">
            <v>45564</v>
          </cell>
          <cell r="M6950">
            <v>45565</v>
          </cell>
          <cell r="N6950">
            <v>45575</v>
          </cell>
          <cell r="O6950">
            <v>45565</v>
          </cell>
          <cell r="P6950">
            <v>45576</v>
          </cell>
          <cell r="Q6950">
            <v>45575</v>
          </cell>
          <cell r="R6950">
            <v>45576</v>
          </cell>
          <cell r="S6950">
            <v>45579</v>
          </cell>
          <cell r="T6950">
            <v>45580</v>
          </cell>
          <cell r="U6950">
            <v>45581</v>
          </cell>
          <cell r="V6950">
            <v>45582</v>
          </cell>
          <cell r="W6950">
            <v>45582</v>
          </cell>
          <cell r="X6950">
            <v>41100363</v>
          </cell>
        </row>
        <row r="6951">
          <cell r="K6951" t="str">
            <v>GBWS-4940</v>
          </cell>
          <cell r="L6951">
            <v>45567</v>
          </cell>
          <cell r="M6951">
            <v>45567</v>
          </cell>
          <cell r="N6951">
            <v>45576</v>
          </cell>
          <cell r="O6951">
            <v>45567</v>
          </cell>
          <cell r="P6951">
            <v>45576</v>
          </cell>
          <cell r="Q6951">
            <v>45576</v>
          </cell>
          <cell r="R6951">
            <v>45579</v>
          </cell>
          <cell r="S6951">
            <v>45580</v>
          </cell>
          <cell r="T6951">
            <v>45581</v>
          </cell>
          <cell r="U6951">
            <v>45582</v>
          </cell>
          <cell r="V6951">
            <v>45583</v>
          </cell>
          <cell r="W6951">
            <v>45583</v>
          </cell>
          <cell r="X6951">
            <v>41100320</v>
          </cell>
        </row>
        <row r="6952">
          <cell r="K6952" t="str">
            <v>-</v>
          </cell>
          <cell r="L6952">
            <v>45542</v>
          </cell>
          <cell r="M6952">
            <v>45544</v>
          </cell>
          <cell r="N6952">
            <v>45547</v>
          </cell>
          <cell r="O6952">
            <v>45544</v>
          </cell>
          <cell r="P6952">
            <v>45547</v>
          </cell>
          <cell r="Q6952">
            <v>45554</v>
          </cell>
          <cell r="R6952">
            <v>45554</v>
          </cell>
          <cell r="S6952">
            <v>45560</v>
          </cell>
          <cell r="T6952">
            <v>45560</v>
          </cell>
          <cell r="U6952">
            <v>45576</v>
          </cell>
          <cell r="V6952">
            <v>45576</v>
          </cell>
          <cell r="W6952">
            <v>45576</v>
          </cell>
          <cell r="X6952">
            <v>31200190</v>
          </cell>
        </row>
        <row r="6953">
          <cell r="K6953" t="str">
            <v>-</v>
          </cell>
          <cell r="L6953">
            <v>45545</v>
          </cell>
          <cell r="M6953">
            <v>45546</v>
          </cell>
          <cell r="N6953">
            <v>45558</v>
          </cell>
          <cell r="O6953">
            <v>45546</v>
          </cell>
          <cell r="P6953">
            <v>45558</v>
          </cell>
          <cell r="Q6953">
            <v>45559</v>
          </cell>
          <cell r="R6953">
            <v>45559</v>
          </cell>
          <cell r="S6953">
            <v>45560</v>
          </cell>
          <cell r="T6953">
            <v>45560</v>
          </cell>
          <cell r="U6953">
            <v>45582</v>
          </cell>
          <cell r="V6953">
            <v>45582</v>
          </cell>
          <cell r="W6953">
            <v>45582</v>
          </cell>
          <cell r="X6953">
            <v>31200189</v>
          </cell>
        </row>
        <row r="6954">
          <cell r="K6954" t="str">
            <v>GBWS-4922</v>
          </cell>
          <cell r="L6954">
            <v>45558</v>
          </cell>
          <cell r="M6954">
            <v>45559</v>
          </cell>
          <cell r="N6954">
            <v>45567</v>
          </cell>
          <cell r="O6954">
            <v>45559</v>
          </cell>
          <cell r="P6954">
            <v>45579</v>
          </cell>
          <cell r="Q6954">
            <v>45567</v>
          </cell>
          <cell r="R6954">
            <v>45569</v>
          </cell>
          <cell r="S6954">
            <v>45572</v>
          </cell>
          <cell r="T6954">
            <v>45573</v>
          </cell>
          <cell r="U6954">
            <v>45575</v>
          </cell>
          <cell r="V6954">
            <v>45576</v>
          </cell>
          <cell r="W6954">
            <v>45576</v>
          </cell>
          <cell r="X6954">
            <v>41100320</v>
          </cell>
        </row>
        <row r="6955">
          <cell r="K6955" t="str">
            <v>GBWS-4941</v>
          </cell>
          <cell r="L6955">
            <v>45567</v>
          </cell>
          <cell r="M6955">
            <v>45567</v>
          </cell>
          <cell r="N6955">
            <v>45576</v>
          </cell>
          <cell r="O6955">
            <v>45567</v>
          </cell>
          <cell r="P6955">
            <v>45576</v>
          </cell>
          <cell r="Q6955">
            <v>45576</v>
          </cell>
          <cell r="R6955">
            <v>45579</v>
          </cell>
          <cell r="S6955">
            <v>45580</v>
          </cell>
          <cell r="T6955">
            <v>45581</v>
          </cell>
          <cell r="U6955">
            <v>45582</v>
          </cell>
          <cell r="V6955">
            <v>45583</v>
          </cell>
          <cell r="W6955">
            <v>45583</v>
          </cell>
          <cell r="X6955">
            <v>41100320</v>
          </cell>
        </row>
        <row r="6956">
          <cell r="K6956" t="str">
            <v>GBWS-4942</v>
          </cell>
          <cell r="L6956">
            <v>45567</v>
          </cell>
          <cell r="M6956">
            <v>45567</v>
          </cell>
          <cell r="N6956">
            <v>45576</v>
          </cell>
          <cell r="O6956">
            <v>45567</v>
          </cell>
          <cell r="P6956">
            <v>45579</v>
          </cell>
          <cell r="Q6956">
            <v>45576</v>
          </cell>
          <cell r="R6956">
            <v>45579</v>
          </cell>
          <cell r="S6956">
            <v>45580</v>
          </cell>
          <cell r="T6956">
            <v>45581</v>
          </cell>
          <cell r="U6956">
            <v>45582</v>
          </cell>
          <cell r="V6956">
            <v>45583</v>
          </cell>
          <cell r="W6956">
            <v>45583</v>
          </cell>
          <cell r="X6956">
            <v>41200033</v>
          </cell>
        </row>
        <row r="6957">
          <cell r="K6957" t="str">
            <v>GBWS-4943</v>
          </cell>
          <cell r="L6957">
            <v>45567</v>
          </cell>
          <cell r="M6957">
            <v>45567</v>
          </cell>
          <cell r="N6957">
            <v>45576</v>
          </cell>
          <cell r="O6957">
            <v>45567</v>
          </cell>
          <cell r="P6957">
            <v>45579</v>
          </cell>
          <cell r="Q6957">
            <v>45576</v>
          </cell>
          <cell r="R6957">
            <v>45579</v>
          </cell>
          <cell r="S6957">
            <v>45580</v>
          </cell>
          <cell r="T6957">
            <v>45581</v>
          </cell>
          <cell r="U6957">
            <v>45582</v>
          </cell>
          <cell r="V6957">
            <v>45583</v>
          </cell>
          <cell r="W6957">
            <v>45583</v>
          </cell>
          <cell r="X6957">
            <v>41200036</v>
          </cell>
        </row>
        <row r="6958">
          <cell r="K6958" t="str">
            <v>GBWS-4934</v>
          </cell>
          <cell r="L6958">
            <v>45561</v>
          </cell>
          <cell r="M6958">
            <v>45562</v>
          </cell>
          <cell r="N6958">
            <v>45573</v>
          </cell>
          <cell r="O6958">
            <v>45562</v>
          </cell>
          <cell r="P6958">
            <v>45579</v>
          </cell>
          <cell r="Q6958">
            <v>45572</v>
          </cell>
          <cell r="R6958">
            <v>45573</v>
          </cell>
          <cell r="S6958">
            <v>45579</v>
          </cell>
          <cell r="T6958">
            <v>45579</v>
          </cell>
          <cell r="U6958">
            <v>45580</v>
          </cell>
          <cell r="V6958">
            <v>45581</v>
          </cell>
          <cell r="W6958">
            <v>45581</v>
          </cell>
          <cell r="X6958">
            <v>41200036</v>
          </cell>
        </row>
        <row r="6959">
          <cell r="K6959" t="str">
            <v>GBWS-4935</v>
          </cell>
          <cell r="L6959">
            <v>45561</v>
          </cell>
          <cell r="M6959">
            <v>45562</v>
          </cell>
          <cell r="N6959">
            <v>45573</v>
          </cell>
          <cell r="O6959">
            <v>45562</v>
          </cell>
          <cell r="P6959">
            <v>45579</v>
          </cell>
          <cell r="Q6959">
            <v>45572</v>
          </cell>
          <cell r="R6959">
            <v>45573</v>
          </cell>
          <cell r="S6959">
            <v>45579</v>
          </cell>
          <cell r="T6959">
            <v>45579</v>
          </cell>
          <cell r="U6959">
            <v>45580</v>
          </cell>
          <cell r="V6959">
            <v>45582</v>
          </cell>
          <cell r="W6959">
            <v>45582</v>
          </cell>
          <cell r="X6959">
            <v>41200036</v>
          </cell>
        </row>
        <row r="6960">
          <cell r="K6960" t="str">
            <v>GBWS-4944</v>
          </cell>
          <cell r="L6960">
            <v>45567</v>
          </cell>
          <cell r="M6960">
            <v>45567</v>
          </cell>
          <cell r="N6960">
            <v>45576</v>
          </cell>
          <cell r="O6960">
            <v>45567</v>
          </cell>
          <cell r="P6960">
            <v>45579</v>
          </cell>
          <cell r="Q6960">
            <v>45576</v>
          </cell>
          <cell r="R6960">
            <v>45579</v>
          </cell>
          <cell r="S6960">
            <v>45580</v>
          </cell>
          <cell r="T6960">
            <v>45581</v>
          </cell>
          <cell r="U6960">
            <v>45582</v>
          </cell>
          <cell r="V6960">
            <v>45583</v>
          </cell>
          <cell r="W6960">
            <v>45583</v>
          </cell>
          <cell r="X6960">
            <v>41200036</v>
          </cell>
        </row>
        <row r="6961">
          <cell r="K6961" t="str">
            <v>GBWS-4945</v>
          </cell>
          <cell r="L6961">
            <v>45567</v>
          </cell>
          <cell r="M6961">
            <v>45567</v>
          </cell>
          <cell r="N6961">
            <v>45576</v>
          </cell>
          <cell r="O6961">
            <v>45567</v>
          </cell>
          <cell r="P6961">
            <v>45579</v>
          </cell>
          <cell r="Q6961">
            <v>45576</v>
          </cell>
          <cell r="R6961">
            <v>45579</v>
          </cell>
          <cell r="S6961">
            <v>45580</v>
          </cell>
          <cell r="T6961">
            <v>45581</v>
          </cell>
          <cell r="U6961">
            <v>45582</v>
          </cell>
          <cell r="V6961">
            <v>45583</v>
          </cell>
          <cell r="W6961">
            <v>45583</v>
          </cell>
          <cell r="X6961">
            <v>41200036</v>
          </cell>
        </row>
        <row r="6962">
          <cell r="K6962" t="str">
            <v>GBWS-4946</v>
          </cell>
          <cell r="L6962">
            <v>45567</v>
          </cell>
          <cell r="M6962">
            <v>45567</v>
          </cell>
          <cell r="N6962">
            <v>45576</v>
          </cell>
          <cell r="O6962">
            <v>45567</v>
          </cell>
          <cell r="P6962">
            <v>45579</v>
          </cell>
          <cell r="Q6962">
            <v>45576</v>
          </cell>
          <cell r="R6962">
            <v>45579</v>
          </cell>
          <cell r="S6962">
            <v>45580</v>
          </cell>
          <cell r="T6962">
            <v>45581</v>
          </cell>
          <cell r="U6962">
            <v>45582</v>
          </cell>
          <cell r="V6962">
            <v>45583</v>
          </cell>
          <cell r="W6962">
            <v>45583</v>
          </cell>
          <cell r="X6962">
            <v>41200036</v>
          </cell>
        </row>
        <row r="6963">
          <cell r="K6963" t="str">
            <v>GBWS-4937</v>
          </cell>
          <cell r="L6963">
            <v>45564</v>
          </cell>
          <cell r="M6963">
            <v>45565</v>
          </cell>
          <cell r="N6963">
            <v>45575</v>
          </cell>
          <cell r="O6963">
            <v>45565</v>
          </cell>
          <cell r="P6963">
            <v>45576</v>
          </cell>
          <cell r="Q6963">
            <v>45575</v>
          </cell>
          <cell r="R6963">
            <v>45576</v>
          </cell>
          <cell r="S6963">
            <v>45579</v>
          </cell>
          <cell r="T6963">
            <v>45580</v>
          </cell>
          <cell r="U6963">
            <v>45581</v>
          </cell>
          <cell r="V6963">
            <v>45581</v>
          </cell>
          <cell r="W6963">
            <v>45581</v>
          </cell>
          <cell r="X6963">
            <v>41200037</v>
          </cell>
        </row>
        <row r="6964">
          <cell r="K6964" t="str">
            <v>GPWS-0431</v>
          </cell>
          <cell r="L6964">
            <v>45517</v>
          </cell>
          <cell r="M6964">
            <v>45518</v>
          </cell>
          <cell r="N6964">
            <v>45527</v>
          </cell>
          <cell r="O6964">
            <v>45518</v>
          </cell>
          <cell r="P6964">
            <v>45530</v>
          </cell>
          <cell r="Q6964">
            <v>45527</v>
          </cell>
          <cell r="R6964">
            <v>45530</v>
          </cell>
          <cell r="S6964">
            <v>45532</v>
          </cell>
          <cell r="T6964">
            <v>45533</v>
          </cell>
          <cell r="U6964">
            <v>45537</v>
          </cell>
          <cell r="V6964">
            <v>45537</v>
          </cell>
          <cell r="W6964">
            <v>45537</v>
          </cell>
          <cell r="X6964">
            <v>41200061</v>
          </cell>
        </row>
        <row r="6965">
          <cell r="K6965" t="str">
            <v>IVAS-259</v>
          </cell>
          <cell r="L6965">
            <v>45546</v>
          </cell>
          <cell r="M6965">
            <v>45547</v>
          </cell>
          <cell r="N6965">
            <v>45573</v>
          </cell>
          <cell r="O6965">
            <v>45547</v>
          </cell>
          <cell r="P6965">
            <v>45573</v>
          </cell>
          <cell r="Q6965" t="str">
            <v>2024-09-26 → 10/4</v>
          </cell>
          <cell r="R6965" t="str">
            <v>2024-09-27 → 10/7</v>
          </cell>
          <cell r="S6965">
            <v>45576</v>
          </cell>
          <cell r="T6965">
            <v>45583</v>
          </cell>
          <cell r="U6965">
            <v>45585</v>
          </cell>
          <cell r="V6965">
            <v>45586</v>
          </cell>
          <cell r="W6965">
            <v>45586</v>
          </cell>
          <cell r="X6965">
            <v>41200059</v>
          </cell>
        </row>
        <row r="6966">
          <cell r="K6966" t="str">
            <v>DBW-3387</v>
          </cell>
          <cell r="L6966">
            <v>45477</v>
          </cell>
          <cell r="M6966">
            <v>45478</v>
          </cell>
          <cell r="N6966">
            <v>45485</v>
          </cell>
          <cell r="O6966">
            <v>45478</v>
          </cell>
          <cell r="P6966">
            <v>45488</v>
          </cell>
          <cell r="Q6966">
            <v>45485</v>
          </cell>
          <cell r="R6966">
            <v>45488</v>
          </cell>
          <cell r="S6966">
            <v>45489</v>
          </cell>
          <cell r="T6966">
            <v>45490</v>
          </cell>
          <cell r="U6966">
            <v>45492</v>
          </cell>
          <cell r="V6966">
            <v>45492</v>
          </cell>
          <cell r="W6966">
            <v>45492</v>
          </cell>
          <cell r="X6966">
            <v>41100696</v>
          </cell>
        </row>
        <row r="6967">
          <cell r="K6967" t="str">
            <v>GBWS-4933</v>
          </cell>
          <cell r="L6967">
            <v>45561</v>
          </cell>
          <cell r="M6967">
            <v>45562</v>
          </cell>
          <cell r="N6967">
            <v>45573</v>
          </cell>
          <cell r="O6967">
            <v>45562</v>
          </cell>
          <cell r="P6967">
            <v>45579</v>
          </cell>
          <cell r="Q6967">
            <v>45573</v>
          </cell>
          <cell r="R6967">
            <v>45575</v>
          </cell>
          <cell r="S6967">
            <v>45576</v>
          </cell>
          <cell r="T6967">
            <v>45579</v>
          </cell>
          <cell r="U6967">
            <v>45580</v>
          </cell>
          <cell r="V6967">
            <v>45581</v>
          </cell>
          <cell r="W6967">
            <v>45581</v>
          </cell>
          <cell r="X6967">
            <v>41100697</v>
          </cell>
        </row>
        <row r="6968">
          <cell r="K6968" t="str">
            <v>DBW-3523</v>
          </cell>
          <cell r="L6968">
            <v>45564</v>
          </cell>
          <cell r="M6968">
            <v>45565</v>
          </cell>
          <cell r="N6968">
            <v>45573</v>
          </cell>
          <cell r="O6968">
            <v>45565</v>
          </cell>
          <cell r="P6968">
            <v>45575</v>
          </cell>
          <cell r="Q6968">
            <v>45573</v>
          </cell>
          <cell r="R6968">
            <v>45575</v>
          </cell>
          <cell r="S6968">
            <v>45576</v>
          </cell>
          <cell r="T6968">
            <v>45579</v>
          </cell>
          <cell r="U6968">
            <v>45581</v>
          </cell>
          <cell r="V6968">
            <v>45582</v>
          </cell>
          <cell r="W6968">
            <v>45582</v>
          </cell>
          <cell r="X6968">
            <v>41100696</v>
          </cell>
        </row>
        <row r="6969">
          <cell r="K6969" t="str">
            <v>DBW-3524</v>
          </cell>
          <cell r="L6969">
            <v>45567</v>
          </cell>
          <cell r="M6969">
            <v>45569</v>
          </cell>
          <cell r="N6969">
            <v>45579</v>
          </cell>
          <cell r="O6969">
            <v>45569</v>
          </cell>
          <cell r="P6969">
            <v>45576</v>
          </cell>
          <cell r="Q6969">
            <v>45580</v>
          </cell>
          <cell r="R6969">
            <v>45581</v>
          </cell>
          <cell r="S6969">
            <v>45582</v>
          </cell>
          <cell r="T6969">
            <v>45583</v>
          </cell>
          <cell r="U6969">
            <v>45587</v>
          </cell>
          <cell r="V6969">
            <v>45588</v>
          </cell>
          <cell r="W6969">
            <v>45588</v>
          </cell>
          <cell r="X6969">
            <v>41000588</v>
          </cell>
        </row>
        <row r="6970">
          <cell r="K6970" t="str">
            <v>DBW-3525</v>
          </cell>
          <cell r="L6970">
            <v>45567</v>
          </cell>
          <cell r="M6970">
            <v>45569</v>
          </cell>
          <cell r="N6970">
            <v>45579</v>
          </cell>
          <cell r="O6970">
            <v>45569</v>
          </cell>
          <cell r="P6970">
            <v>45576</v>
          </cell>
          <cell r="Q6970">
            <v>45580</v>
          </cell>
          <cell r="R6970">
            <v>45581</v>
          </cell>
          <cell r="S6970">
            <v>45582</v>
          </cell>
          <cell r="T6970">
            <v>45583</v>
          </cell>
          <cell r="U6970">
            <v>45586</v>
          </cell>
          <cell r="V6970">
            <v>45587</v>
          </cell>
          <cell r="W6970">
            <v>45587</v>
          </cell>
          <cell r="X6970">
            <v>41000588</v>
          </cell>
        </row>
        <row r="6971">
          <cell r="K6971" t="str">
            <v>DBW-3527</v>
          </cell>
          <cell r="L6971">
            <v>45572</v>
          </cell>
          <cell r="M6971">
            <v>45572</v>
          </cell>
          <cell r="N6971">
            <v>45579</v>
          </cell>
          <cell r="O6971">
            <v>45572</v>
          </cell>
          <cell r="P6971">
            <v>45579</v>
          </cell>
          <cell r="Q6971">
            <v>45579</v>
          </cell>
          <cell r="R6971">
            <v>45580</v>
          </cell>
          <cell r="S6971">
            <v>45581</v>
          </cell>
          <cell r="T6971">
            <v>45582</v>
          </cell>
          <cell r="U6971">
            <v>45586</v>
          </cell>
          <cell r="V6971">
            <v>45586</v>
          </cell>
          <cell r="W6971">
            <v>45586</v>
          </cell>
          <cell r="X6971">
            <v>41200025</v>
          </cell>
        </row>
        <row r="6972">
          <cell r="K6972" t="str">
            <v>DBW-3528</v>
          </cell>
          <cell r="L6972">
            <v>45572</v>
          </cell>
          <cell r="M6972">
            <v>45572</v>
          </cell>
          <cell r="N6972">
            <v>45579</v>
          </cell>
          <cell r="O6972">
            <v>45572</v>
          </cell>
          <cell r="P6972">
            <v>45579</v>
          </cell>
          <cell r="Q6972">
            <v>45579</v>
          </cell>
          <cell r="R6972">
            <v>45580</v>
          </cell>
          <cell r="S6972">
            <v>45581</v>
          </cell>
          <cell r="T6972">
            <v>45582</v>
          </cell>
          <cell r="U6972">
            <v>45586</v>
          </cell>
          <cell r="V6972">
            <v>45586</v>
          </cell>
          <cell r="W6972">
            <v>45586</v>
          </cell>
          <cell r="X6972">
            <v>41200025</v>
          </cell>
        </row>
        <row r="6973">
          <cell r="K6973" t="str">
            <v>DBW-3521</v>
          </cell>
          <cell r="L6973">
            <v>45560</v>
          </cell>
          <cell r="M6973">
            <v>45561</v>
          </cell>
          <cell r="N6973">
            <v>45569</v>
          </cell>
          <cell r="O6973">
            <v>45561</v>
          </cell>
          <cell r="P6973">
            <v>45572</v>
          </cell>
          <cell r="Q6973">
            <v>45569</v>
          </cell>
          <cell r="R6973">
            <v>45572</v>
          </cell>
          <cell r="S6973">
            <v>45573</v>
          </cell>
          <cell r="T6973">
            <v>45575</v>
          </cell>
          <cell r="U6973">
            <v>45576</v>
          </cell>
          <cell r="V6973">
            <v>45579</v>
          </cell>
          <cell r="W6973">
            <v>45579</v>
          </cell>
          <cell r="X6973">
            <v>41000590</v>
          </cell>
        </row>
        <row r="6974">
          <cell r="K6974" t="str">
            <v>DBW-3522</v>
          </cell>
          <cell r="L6974">
            <v>45560</v>
          </cell>
          <cell r="M6974">
            <v>45561</v>
          </cell>
          <cell r="N6974">
            <v>45569</v>
          </cell>
          <cell r="O6974">
            <v>45561</v>
          </cell>
          <cell r="P6974">
            <v>45572</v>
          </cell>
          <cell r="Q6974">
            <v>45569</v>
          </cell>
          <cell r="R6974">
            <v>45572</v>
          </cell>
          <cell r="S6974">
            <v>45573</v>
          </cell>
          <cell r="T6974">
            <v>45575</v>
          </cell>
          <cell r="U6974">
            <v>45576</v>
          </cell>
          <cell r="V6974">
            <v>45579</v>
          </cell>
          <cell r="W6974">
            <v>45579</v>
          </cell>
          <cell r="X6974">
            <v>41000590</v>
          </cell>
        </row>
        <row r="6975">
          <cell r="K6975" t="str">
            <v>GPWS-0434</v>
          </cell>
          <cell r="L6975">
            <v>45572</v>
          </cell>
          <cell r="M6975">
            <v>45573</v>
          </cell>
          <cell r="N6975">
            <v>45581</v>
          </cell>
          <cell r="O6975">
            <v>45573</v>
          </cell>
          <cell r="P6975">
            <v>45582</v>
          </cell>
          <cell r="Q6975">
            <v>45581</v>
          </cell>
          <cell r="R6975">
            <v>45582</v>
          </cell>
          <cell r="S6975">
            <v>45583</v>
          </cell>
          <cell r="T6975">
            <v>45586</v>
          </cell>
          <cell r="U6975">
            <v>45587</v>
          </cell>
          <cell r="V6975">
            <v>45588</v>
          </cell>
          <cell r="W6975">
            <v>45588</v>
          </cell>
          <cell r="X6975">
            <v>41000598</v>
          </cell>
        </row>
        <row r="6976">
          <cell r="K6976" t="str">
            <v>GBWS-4953</v>
          </cell>
          <cell r="L6976">
            <v>45572</v>
          </cell>
          <cell r="M6976">
            <v>45573</v>
          </cell>
          <cell r="N6976">
            <v>45581</v>
          </cell>
          <cell r="O6976">
            <v>45573</v>
          </cell>
          <cell r="P6976">
            <v>45582</v>
          </cell>
          <cell r="Q6976">
            <v>45581</v>
          </cell>
          <cell r="R6976">
            <v>45582</v>
          </cell>
          <cell r="S6976">
            <v>45583</v>
          </cell>
          <cell r="T6976">
            <v>45586</v>
          </cell>
          <cell r="U6976">
            <v>45588</v>
          </cell>
          <cell r="V6976">
            <v>45589</v>
          </cell>
          <cell r="W6976">
            <v>45589</v>
          </cell>
          <cell r="X6976">
            <v>41100350</v>
          </cell>
        </row>
        <row r="6977">
          <cell r="K6977" t="str">
            <v>SOS-0332</v>
          </cell>
          <cell r="L6977">
            <v>45553</v>
          </cell>
          <cell r="M6977">
            <v>45554</v>
          </cell>
          <cell r="N6977">
            <v>45558</v>
          </cell>
          <cell r="O6977">
            <v>45554</v>
          </cell>
          <cell r="P6977">
            <v>45559</v>
          </cell>
          <cell r="Q6977">
            <v>45558</v>
          </cell>
          <cell r="R6977">
            <v>45559</v>
          </cell>
          <cell r="S6977">
            <v>45559</v>
          </cell>
          <cell r="T6977">
            <v>45559</v>
          </cell>
          <cell r="U6977">
            <v>45590</v>
          </cell>
          <cell r="V6977">
            <v>45590</v>
          </cell>
          <cell r="W6977">
            <v>45590</v>
          </cell>
          <cell r="X6977">
            <v>41000558</v>
          </cell>
        </row>
        <row r="6978">
          <cell r="K6978"/>
          <cell r="L6978">
            <v>45558</v>
          </cell>
          <cell r="M6978">
            <v>45558</v>
          </cell>
          <cell r="N6978">
            <v>45579</v>
          </cell>
          <cell r="O6978">
            <v>45558</v>
          </cell>
          <cell r="P6978">
            <v>45575</v>
          </cell>
          <cell r="Q6978">
            <v>45569</v>
          </cell>
          <cell r="R6978">
            <v>45572</v>
          </cell>
          <cell r="S6978">
            <v>45573</v>
          </cell>
          <cell r="T6978">
            <v>45573</v>
          </cell>
          <cell r="U6978">
            <v>45575</v>
          </cell>
          <cell r="V6978">
            <v>45590</v>
          </cell>
          <cell r="W6978">
            <v>45590</v>
          </cell>
          <cell r="X6978">
            <v>31200056</v>
          </cell>
        </row>
        <row r="6979">
          <cell r="K6979"/>
          <cell r="L6979">
            <v>45558</v>
          </cell>
          <cell r="M6979">
            <v>45558</v>
          </cell>
          <cell r="N6979">
            <v>45579</v>
          </cell>
          <cell r="O6979">
            <v>45558</v>
          </cell>
          <cell r="P6979">
            <v>45575</v>
          </cell>
          <cell r="Q6979">
            <v>45566</v>
          </cell>
          <cell r="R6979">
            <v>45567</v>
          </cell>
          <cell r="S6979">
            <v>45573</v>
          </cell>
          <cell r="T6979">
            <v>45573</v>
          </cell>
          <cell r="U6979">
            <v>45573</v>
          </cell>
          <cell r="V6979">
            <v>45590</v>
          </cell>
          <cell r="W6979">
            <v>45590</v>
          </cell>
          <cell r="X6979">
            <v>31200057</v>
          </cell>
        </row>
        <row r="6980">
          <cell r="K6980" t="str">
            <v>DBW-3498</v>
          </cell>
          <cell r="L6980">
            <v>45533</v>
          </cell>
          <cell r="M6980">
            <v>45534</v>
          </cell>
          <cell r="N6980">
            <v>45541</v>
          </cell>
          <cell r="O6980">
            <v>45534</v>
          </cell>
          <cell r="P6980">
            <v>45544</v>
          </cell>
          <cell r="Q6980">
            <v>45541</v>
          </cell>
          <cell r="R6980">
            <v>45544</v>
          </cell>
          <cell r="S6980">
            <v>45545</v>
          </cell>
          <cell r="T6980">
            <v>45546</v>
          </cell>
          <cell r="U6980">
            <v>45554</v>
          </cell>
          <cell r="V6980">
            <v>45555</v>
          </cell>
          <cell r="W6980">
            <v>45555</v>
          </cell>
          <cell r="X6980">
            <v>41200057</v>
          </cell>
        </row>
        <row r="6981">
          <cell r="K6981" t="str">
            <v>DS-0443~0448</v>
          </cell>
          <cell r="L6981">
            <v>45587</v>
          </cell>
          <cell r="M6981">
            <v>45587</v>
          </cell>
          <cell r="N6981">
            <v>45589</v>
          </cell>
          <cell r="O6981">
            <v>45587</v>
          </cell>
          <cell r="P6981">
            <v>45589</v>
          </cell>
          <cell r="Q6981">
            <v>45588</v>
          </cell>
          <cell r="R6981">
            <v>45589</v>
          </cell>
          <cell r="S6981">
            <v>45589</v>
          </cell>
          <cell r="T6981">
            <v>45589</v>
          </cell>
          <cell r="U6981">
            <v>45589</v>
          </cell>
          <cell r="V6981">
            <v>45589</v>
          </cell>
          <cell r="W6981">
            <v>45589</v>
          </cell>
          <cell r="X6981">
            <v>31010314</v>
          </cell>
        </row>
        <row r="6982">
          <cell r="K6982" t="str">
            <v>SOS-0328</v>
          </cell>
          <cell r="L6982">
            <v>45413</v>
          </cell>
          <cell r="M6982">
            <v>45414</v>
          </cell>
          <cell r="N6982">
            <v>45419</v>
          </cell>
          <cell r="O6982">
            <v>45414</v>
          </cell>
          <cell r="P6982">
            <v>45419</v>
          </cell>
          <cell r="Q6982">
            <v>45419</v>
          </cell>
          <cell r="R6982">
            <v>45420</v>
          </cell>
          <cell r="S6982">
            <v>45509</v>
          </cell>
          <cell r="T6982">
            <v>45509</v>
          </cell>
          <cell r="U6982">
            <v>45593</v>
          </cell>
          <cell r="V6982">
            <v>45594</v>
          </cell>
          <cell r="W6982">
            <v>45594</v>
          </cell>
          <cell r="X6982">
            <v>41100182</v>
          </cell>
        </row>
        <row r="6983">
          <cell r="K6983" t="str">
            <v>GBWS-4971</v>
          </cell>
          <cell r="L6983">
            <v>45579</v>
          </cell>
          <cell r="M6983">
            <v>45580</v>
          </cell>
          <cell r="N6983">
            <v>45586</v>
          </cell>
          <cell r="O6983">
            <v>45580</v>
          </cell>
          <cell r="P6983">
            <v>45586</v>
          </cell>
          <cell r="Q6983">
            <v>45587</v>
          </cell>
          <cell r="R6983">
            <v>45588</v>
          </cell>
          <cell r="S6983">
            <v>45589</v>
          </cell>
          <cell r="T6983">
            <v>45590</v>
          </cell>
          <cell r="U6983">
            <v>45593</v>
          </cell>
          <cell r="V6983">
            <v>45594</v>
          </cell>
          <cell r="W6983">
            <v>45594</v>
          </cell>
          <cell r="X6983">
            <v>41100443</v>
          </cell>
        </row>
        <row r="6984">
          <cell r="K6984" t="str">
            <v>DBW-3526</v>
          </cell>
          <cell r="L6984">
            <v>45567</v>
          </cell>
          <cell r="M6984">
            <v>45569</v>
          </cell>
          <cell r="N6984">
            <v>45579</v>
          </cell>
          <cell r="O6984">
            <v>45569</v>
          </cell>
          <cell r="P6984">
            <v>45576</v>
          </cell>
          <cell r="Q6984">
            <v>45580</v>
          </cell>
          <cell r="R6984">
            <v>45581</v>
          </cell>
          <cell r="S6984">
            <v>45582</v>
          </cell>
          <cell r="T6984">
            <v>45583</v>
          </cell>
          <cell r="U6984">
            <v>45586</v>
          </cell>
          <cell r="V6984">
            <v>45587</v>
          </cell>
          <cell r="W6984">
            <v>45587</v>
          </cell>
          <cell r="X6984">
            <v>41000588</v>
          </cell>
        </row>
        <row r="6985">
          <cell r="K6985" t="str">
            <v>IVAS-261</v>
          </cell>
          <cell r="L6985">
            <v>45572</v>
          </cell>
          <cell r="M6985">
            <v>45572</v>
          </cell>
          <cell r="N6985">
            <v>45583</v>
          </cell>
          <cell r="O6985">
            <v>45572</v>
          </cell>
          <cell r="P6985">
            <v>45583</v>
          </cell>
          <cell r="Q6985">
            <v>45587</v>
          </cell>
          <cell r="R6985">
            <v>45587</v>
          </cell>
          <cell r="S6985">
            <v>45587</v>
          </cell>
          <cell r="T6985">
            <v>45588</v>
          </cell>
          <cell r="U6985">
            <v>45593</v>
          </cell>
          <cell r="V6985">
            <v>45594</v>
          </cell>
          <cell r="W6985">
            <v>45595</v>
          </cell>
          <cell r="X6985">
            <v>41200062</v>
          </cell>
        </row>
        <row r="6986">
          <cell r="K6986" t="str">
            <v>DBW-3516</v>
          </cell>
          <cell r="L6986">
            <v>45545</v>
          </cell>
          <cell r="M6986">
            <v>45546</v>
          </cell>
          <cell r="N6986">
            <v>45558</v>
          </cell>
          <cell r="O6986">
            <v>45546</v>
          </cell>
          <cell r="P6986">
            <v>45559</v>
          </cell>
          <cell r="Q6986">
            <v>45558</v>
          </cell>
          <cell r="R6986">
            <v>45559</v>
          </cell>
          <cell r="S6986">
            <v>45561</v>
          </cell>
          <cell r="T6986">
            <v>45562</v>
          </cell>
          <cell r="U6986">
            <v>45573</v>
          </cell>
          <cell r="V6986">
            <v>45575</v>
          </cell>
          <cell r="W6986">
            <v>45575</v>
          </cell>
          <cell r="X6986">
            <v>41100668</v>
          </cell>
        </row>
        <row r="6987">
          <cell r="K6987"/>
          <cell r="L6987">
            <v>45542</v>
          </cell>
          <cell r="M6987">
            <v>45544</v>
          </cell>
          <cell r="N6987">
            <v>45547</v>
          </cell>
          <cell r="O6987">
            <v>45544</v>
          </cell>
          <cell r="P6987">
            <v>45547</v>
          </cell>
          <cell r="Q6987">
            <v>45554</v>
          </cell>
          <cell r="R6987">
            <v>45554</v>
          </cell>
          <cell r="S6987">
            <v>45560</v>
          </cell>
          <cell r="T6987">
            <v>45560</v>
          </cell>
          <cell r="U6987">
            <v>45593</v>
          </cell>
          <cell r="V6987">
            <v>45594</v>
          </cell>
          <cell r="W6987">
            <v>45594</v>
          </cell>
          <cell r="X6987">
            <v>31200190</v>
          </cell>
        </row>
        <row r="6988">
          <cell r="K6988"/>
          <cell r="L6988">
            <v>45545</v>
          </cell>
          <cell r="M6988">
            <v>45545</v>
          </cell>
          <cell r="N6988">
            <v>45548</v>
          </cell>
          <cell r="O6988">
            <v>45545</v>
          </cell>
          <cell r="P6988">
            <v>45548</v>
          </cell>
          <cell r="Q6988">
            <v>45554</v>
          </cell>
          <cell r="R6988">
            <v>45554</v>
          </cell>
          <cell r="S6988"/>
          <cell r="T6988"/>
          <cell r="U6988" t="str">
            <v>TMS 기구 Module 작업</v>
          </cell>
          <cell r="V6988"/>
          <cell r="W6988"/>
          <cell r="X6988">
            <v>41100320</v>
          </cell>
        </row>
        <row r="6989">
          <cell r="K6989"/>
          <cell r="L6989">
            <v>45545</v>
          </cell>
          <cell r="M6989">
            <v>45545</v>
          </cell>
          <cell r="N6989">
            <v>45548</v>
          </cell>
          <cell r="O6989">
            <v>45545</v>
          </cell>
          <cell r="P6989">
            <v>45548</v>
          </cell>
          <cell r="Q6989">
            <v>45555</v>
          </cell>
          <cell r="R6989">
            <v>45555</v>
          </cell>
          <cell r="S6989"/>
          <cell r="T6989"/>
          <cell r="U6989" t="str">
            <v>TMS 기구 Module 작업</v>
          </cell>
          <cell r="V6989"/>
          <cell r="W6989"/>
          <cell r="X6989">
            <v>41200030</v>
          </cell>
        </row>
        <row r="6990">
          <cell r="K6990"/>
          <cell r="L6990">
            <v>45545</v>
          </cell>
          <cell r="M6990">
            <v>45545</v>
          </cell>
          <cell r="N6990">
            <v>45548</v>
          </cell>
          <cell r="O6990">
            <v>45547</v>
          </cell>
          <cell r="P6990">
            <v>45548</v>
          </cell>
          <cell r="Q6990">
            <v>45555</v>
          </cell>
          <cell r="R6990">
            <v>45555</v>
          </cell>
          <cell r="S6990"/>
          <cell r="T6990"/>
          <cell r="U6990" t="str">
            <v>TMS 기구 Module 작업</v>
          </cell>
          <cell r="V6990"/>
          <cell r="W6990"/>
          <cell r="X6990">
            <v>41100334</v>
          </cell>
        </row>
        <row r="6991">
          <cell r="K6991"/>
          <cell r="L6991">
            <v>45546</v>
          </cell>
          <cell r="M6991">
            <v>45546</v>
          </cell>
          <cell r="N6991">
            <v>45548</v>
          </cell>
          <cell r="O6991">
            <v>45546</v>
          </cell>
          <cell r="P6991">
            <v>45548</v>
          </cell>
          <cell r="Q6991">
            <v>45554</v>
          </cell>
          <cell r="R6991">
            <v>45554</v>
          </cell>
          <cell r="S6991"/>
          <cell r="T6991"/>
          <cell r="U6991" t="str">
            <v>TMS 기구 Module 작업</v>
          </cell>
          <cell r="V6991"/>
          <cell r="W6991"/>
          <cell r="X6991">
            <v>41200051</v>
          </cell>
        </row>
        <row r="6992">
          <cell r="K6992"/>
          <cell r="L6992">
            <v>45546</v>
          </cell>
          <cell r="M6992">
            <v>45546</v>
          </cell>
          <cell r="N6992">
            <v>45548</v>
          </cell>
          <cell r="O6992">
            <v>45546</v>
          </cell>
          <cell r="P6992">
            <v>45548</v>
          </cell>
          <cell r="Q6992">
            <v>45558</v>
          </cell>
          <cell r="R6992">
            <v>45558</v>
          </cell>
          <cell r="S6992"/>
          <cell r="T6992"/>
          <cell r="U6992" t="str">
            <v>TMS 기구 Module 작업</v>
          </cell>
          <cell r="V6992"/>
          <cell r="W6992"/>
          <cell r="X6992">
            <v>41200034</v>
          </cell>
        </row>
        <row r="6993">
          <cell r="K6993"/>
          <cell r="L6993">
            <v>45546</v>
          </cell>
          <cell r="M6993">
            <v>45546</v>
          </cell>
          <cell r="N6993">
            <v>45548</v>
          </cell>
          <cell r="O6993">
            <v>45546</v>
          </cell>
          <cell r="P6993">
            <v>45548</v>
          </cell>
          <cell r="Q6993">
            <v>45558</v>
          </cell>
          <cell r="R6993">
            <v>45558</v>
          </cell>
          <cell r="S6993"/>
          <cell r="T6993"/>
          <cell r="U6993" t="str">
            <v>TMS 기구 Module 작업</v>
          </cell>
          <cell r="V6993"/>
          <cell r="W6993"/>
          <cell r="X6993">
            <v>41200036</v>
          </cell>
        </row>
        <row r="6994">
          <cell r="K6994"/>
          <cell r="L6994">
            <v>45546</v>
          </cell>
          <cell r="M6994">
            <v>45546</v>
          </cell>
          <cell r="N6994">
            <v>45548</v>
          </cell>
          <cell r="O6994">
            <v>45546</v>
          </cell>
          <cell r="P6994">
            <v>45548</v>
          </cell>
          <cell r="Q6994">
            <v>45558</v>
          </cell>
          <cell r="R6994">
            <v>45558</v>
          </cell>
          <cell r="S6994"/>
          <cell r="T6994"/>
          <cell r="U6994" t="str">
            <v>TMS 기구 Module 작업</v>
          </cell>
          <cell r="V6994"/>
          <cell r="W6994"/>
          <cell r="X6994">
            <v>41200039</v>
          </cell>
        </row>
        <row r="6995">
          <cell r="K6995"/>
          <cell r="L6995">
            <v>45547</v>
          </cell>
          <cell r="M6995">
            <v>45547</v>
          </cell>
          <cell r="N6995">
            <v>45548</v>
          </cell>
          <cell r="O6995">
            <v>45547</v>
          </cell>
          <cell r="P6995">
            <v>45548</v>
          </cell>
          <cell r="Q6995">
            <v>45558</v>
          </cell>
          <cell r="R6995">
            <v>45558</v>
          </cell>
          <cell r="S6995"/>
          <cell r="T6995"/>
          <cell r="U6995" t="str">
            <v>TMS 기구 Module 작업</v>
          </cell>
          <cell r="V6995"/>
          <cell r="W6995"/>
          <cell r="X6995">
            <v>41100697</v>
          </cell>
        </row>
        <row r="6996">
          <cell r="K6996"/>
          <cell r="L6996">
            <v>45547</v>
          </cell>
          <cell r="M6996">
            <v>45547</v>
          </cell>
          <cell r="N6996">
            <v>45548</v>
          </cell>
          <cell r="O6996">
            <v>45547</v>
          </cell>
          <cell r="P6996">
            <v>45548</v>
          </cell>
          <cell r="Q6996">
            <v>45559</v>
          </cell>
          <cell r="R6996">
            <v>45559</v>
          </cell>
          <cell r="S6996"/>
          <cell r="T6996"/>
          <cell r="U6996" t="str">
            <v>TMS 기구 Module 작업</v>
          </cell>
          <cell r="V6996"/>
          <cell r="W6996"/>
          <cell r="X6996">
            <v>41100320</v>
          </cell>
        </row>
        <row r="6997">
          <cell r="K6997"/>
          <cell r="L6997">
            <v>45545</v>
          </cell>
          <cell r="M6997">
            <v>45546</v>
          </cell>
          <cell r="N6997">
            <v>45558</v>
          </cell>
          <cell r="O6997">
            <v>45546</v>
          </cell>
          <cell r="P6997">
            <v>45558</v>
          </cell>
          <cell r="Q6997">
            <v>45559</v>
          </cell>
          <cell r="R6997">
            <v>45559</v>
          </cell>
          <cell r="S6997">
            <v>45560</v>
          </cell>
          <cell r="T6997">
            <v>45560</v>
          </cell>
          <cell r="U6997">
            <v>45593</v>
          </cell>
          <cell r="V6997">
            <v>45594</v>
          </cell>
          <cell r="W6997">
            <v>45594</v>
          </cell>
          <cell r="X6997">
            <v>31200189</v>
          </cell>
        </row>
        <row r="6998">
          <cell r="K6998" t="str">
            <v>GBWS-4956</v>
          </cell>
          <cell r="L6998">
            <v>45579</v>
          </cell>
          <cell r="M6998">
            <v>45579</v>
          </cell>
          <cell r="N6998">
            <v>45586</v>
          </cell>
          <cell r="O6998">
            <v>45579</v>
          </cell>
          <cell r="P6998">
            <v>45582</v>
          </cell>
          <cell r="Q6998">
            <v>45586</v>
          </cell>
          <cell r="R6998">
            <v>45587</v>
          </cell>
          <cell r="S6998">
            <v>45588</v>
          </cell>
          <cell r="T6998">
            <v>45589</v>
          </cell>
          <cell r="U6998">
            <v>45590</v>
          </cell>
          <cell r="V6998">
            <v>45593</v>
          </cell>
          <cell r="W6998">
            <v>45593</v>
          </cell>
          <cell r="X6998">
            <v>41100662</v>
          </cell>
        </row>
        <row r="6999">
          <cell r="K6999" t="str">
            <v>GBWS-4957</v>
          </cell>
          <cell r="L6999">
            <v>45579</v>
          </cell>
          <cell r="M6999">
            <v>45579</v>
          </cell>
          <cell r="N6999">
            <v>45586</v>
          </cell>
          <cell r="O6999">
            <v>45579</v>
          </cell>
          <cell r="P6999">
            <v>45588</v>
          </cell>
          <cell r="Q6999">
            <v>45586</v>
          </cell>
          <cell r="R6999">
            <v>45587</v>
          </cell>
          <cell r="S6999">
            <v>45588</v>
          </cell>
          <cell r="T6999">
            <v>45589</v>
          </cell>
          <cell r="U6999">
            <v>45590</v>
          </cell>
          <cell r="V6999">
            <v>45593</v>
          </cell>
          <cell r="W6999">
            <v>45593</v>
          </cell>
          <cell r="X6999">
            <v>41100662</v>
          </cell>
        </row>
        <row r="7000">
          <cell r="K7000" t="str">
            <v>GBWS-4961</v>
          </cell>
          <cell r="L7000">
            <v>45579</v>
          </cell>
          <cell r="M7000">
            <v>45580</v>
          </cell>
          <cell r="N7000">
            <v>45588</v>
          </cell>
          <cell r="O7000">
            <v>45580</v>
          </cell>
          <cell r="P7000">
            <v>45586</v>
          </cell>
          <cell r="Q7000">
            <v>45588</v>
          </cell>
          <cell r="R7000">
            <v>45589</v>
          </cell>
          <cell r="S7000">
            <v>45590</v>
          </cell>
          <cell r="T7000">
            <v>45593</v>
          </cell>
          <cell r="U7000">
            <v>45594</v>
          </cell>
          <cell r="V7000">
            <v>45595</v>
          </cell>
          <cell r="W7000">
            <v>45595</v>
          </cell>
          <cell r="X7000">
            <v>41100564</v>
          </cell>
        </row>
        <row r="7001">
          <cell r="K7001" t="str">
            <v>GBWS-4949</v>
          </cell>
          <cell r="L7001">
            <v>45567</v>
          </cell>
          <cell r="M7001">
            <v>45569</v>
          </cell>
          <cell r="N7001">
            <v>45579</v>
          </cell>
          <cell r="O7001">
            <v>45569</v>
          </cell>
          <cell r="P7001">
            <v>45580</v>
          </cell>
          <cell r="Q7001">
            <v>45579</v>
          </cell>
          <cell r="R7001">
            <v>45580</v>
          </cell>
          <cell r="S7001">
            <v>45581</v>
          </cell>
          <cell r="T7001">
            <v>45582</v>
          </cell>
          <cell r="U7001">
            <v>45586</v>
          </cell>
          <cell r="V7001">
            <v>45586</v>
          </cell>
          <cell r="W7001">
            <v>45586</v>
          </cell>
          <cell r="X7001">
            <v>41100564</v>
          </cell>
        </row>
        <row r="7002">
          <cell r="K7002" t="str">
            <v>GBWS-4950</v>
          </cell>
          <cell r="L7002">
            <v>45567</v>
          </cell>
          <cell r="M7002">
            <v>45569</v>
          </cell>
          <cell r="N7002">
            <v>45579</v>
          </cell>
          <cell r="O7002">
            <v>45569</v>
          </cell>
          <cell r="P7002">
            <v>45580</v>
          </cell>
          <cell r="Q7002">
            <v>45579</v>
          </cell>
          <cell r="R7002">
            <v>45580</v>
          </cell>
          <cell r="S7002">
            <v>45581</v>
          </cell>
          <cell r="T7002">
            <v>45582</v>
          </cell>
          <cell r="U7002">
            <v>45586</v>
          </cell>
          <cell r="V7002">
            <v>45586</v>
          </cell>
          <cell r="W7002">
            <v>45586</v>
          </cell>
          <cell r="X7002">
            <v>41100564</v>
          </cell>
        </row>
        <row r="7003">
          <cell r="K7003" t="str">
            <v>GBWS-4951</v>
          </cell>
          <cell r="L7003">
            <v>45567</v>
          </cell>
          <cell r="M7003">
            <v>45569</v>
          </cell>
          <cell r="N7003">
            <v>45579</v>
          </cell>
          <cell r="O7003">
            <v>45569</v>
          </cell>
          <cell r="P7003">
            <v>45580</v>
          </cell>
          <cell r="Q7003">
            <v>45579</v>
          </cell>
          <cell r="R7003">
            <v>45580</v>
          </cell>
          <cell r="S7003">
            <v>45581</v>
          </cell>
          <cell r="T7003">
            <v>45582</v>
          </cell>
          <cell r="U7003">
            <v>45586</v>
          </cell>
          <cell r="V7003">
            <v>45586</v>
          </cell>
          <cell r="W7003">
            <v>45586</v>
          </cell>
          <cell r="X7003">
            <v>41100564</v>
          </cell>
        </row>
        <row r="7004">
          <cell r="K7004" t="str">
            <v>GBWS-4958</v>
          </cell>
          <cell r="L7004">
            <v>45579</v>
          </cell>
          <cell r="M7004">
            <v>45580</v>
          </cell>
          <cell r="N7004">
            <v>45588</v>
          </cell>
          <cell r="O7004">
            <v>45580</v>
          </cell>
          <cell r="P7004">
            <v>45590</v>
          </cell>
          <cell r="Q7004">
            <v>45588</v>
          </cell>
          <cell r="R7004">
            <v>45589</v>
          </cell>
          <cell r="S7004">
            <v>45590</v>
          </cell>
          <cell r="T7004">
            <v>45593</v>
          </cell>
          <cell r="U7004">
            <v>45594</v>
          </cell>
          <cell r="V7004">
            <v>45595</v>
          </cell>
          <cell r="W7004">
            <v>45595</v>
          </cell>
          <cell r="X7004">
            <v>41100564</v>
          </cell>
        </row>
        <row r="7005">
          <cell r="K7005" t="str">
            <v>GBWS-4959</v>
          </cell>
          <cell r="L7005">
            <v>45579</v>
          </cell>
          <cell r="M7005">
            <v>45580</v>
          </cell>
          <cell r="N7005">
            <v>45588</v>
          </cell>
          <cell r="O7005">
            <v>45580</v>
          </cell>
          <cell r="P7005">
            <v>45590</v>
          </cell>
          <cell r="Q7005">
            <v>45588</v>
          </cell>
          <cell r="R7005">
            <v>45589</v>
          </cell>
          <cell r="S7005">
            <v>45590</v>
          </cell>
          <cell r="T7005">
            <v>45593</v>
          </cell>
          <cell r="U7005">
            <v>45594</v>
          </cell>
          <cell r="V7005">
            <v>45595</v>
          </cell>
          <cell r="W7005">
            <v>45595</v>
          </cell>
          <cell r="X7005">
            <v>41100564</v>
          </cell>
        </row>
        <row r="7006">
          <cell r="K7006" t="str">
            <v>GBWS-4960</v>
          </cell>
          <cell r="L7006">
            <v>45579</v>
          </cell>
          <cell r="M7006">
            <v>45580</v>
          </cell>
          <cell r="N7006">
            <v>45588</v>
          </cell>
          <cell r="O7006">
            <v>45580</v>
          </cell>
          <cell r="P7006">
            <v>45590</v>
          </cell>
          <cell r="Q7006">
            <v>45588</v>
          </cell>
          <cell r="R7006">
            <v>45589</v>
          </cell>
          <cell r="S7006">
            <v>45590</v>
          </cell>
          <cell r="T7006">
            <v>45593</v>
          </cell>
          <cell r="U7006">
            <v>45594</v>
          </cell>
          <cell r="V7006">
            <v>45595</v>
          </cell>
          <cell r="W7006">
            <v>45595</v>
          </cell>
          <cell r="X7006">
            <v>41100564</v>
          </cell>
        </row>
        <row r="7007">
          <cell r="K7007" t="str">
            <v>GBWS-4999</v>
          </cell>
          <cell r="L7007">
            <v>45581</v>
          </cell>
          <cell r="M7007" t="str">
            <v>2024-10-21→10/17</v>
          </cell>
          <cell r="N7007">
            <v>45588</v>
          </cell>
          <cell r="O7007" t="str">
            <v>2024-10-21→10/17</v>
          </cell>
          <cell r="P7007">
            <v>45589</v>
          </cell>
          <cell r="Q7007" t="str">
            <v>2024-10-28→10/23</v>
          </cell>
          <cell r="R7007" t="str">
            <v>2024-10-29→10/24</v>
          </cell>
          <cell r="S7007">
            <v>45590</v>
          </cell>
          <cell r="T7007">
            <v>45593</v>
          </cell>
          <cell r="U7007">
            <v>45594</v>
          </cell>
          <cell r="V7007">
            <v>45595</v>
          </cell>
          <cell r="W7007">
            <v>45595</v>
          </cell>
          <cell r="X7007">
            <v>41100320</v>
          </cell>
        </row>
        <row r="7008">
          <cell r="K7008" t="str">
            <v>GBWS-5015</v>
          </cell>
          <cell r="L7008">
            <v>45580</v>
          </cell>
          <cell r="M7008">
            <v>45581</v>
          </cell>
          <cell r="N7008">
            <v>45587</v>
          </cell>
          <cell r="O7008">
            <v>45581</v>
          </cell>
          <cell r="P7008">
            <v>45589</v>
          </cell>
          <cell r="Q7008">
            <v>45587</v>
          </cell>
          <cell r="R7008">
            <v>45588</v>
          </cell>
          <cell r="S7008">
            <v>45589</v>
          </cell>
          <cell r="T7008">
            <v>45590</v>
          </cell>
          <cell r="U7008">
            <v>45593</v>
          </cell>
          <cell r="V7008">
            <v>45594</v>
          </cell>
          <cell r="W7008">
            <v>45594</v>
          </cell>
          <cell r="X7008" t="str">
            <v>41100363 → 41200076</v>
          </cell>
        </row>
        <row r="7009">
          <cell r="K7009" t="str">
            <v>GBWS-5016</v>
          </cell>
          <cell r="L7009">
            <v>45580</v>
          </cell>
          <cell r="M7009">
            <v>45581</v>
          </cell>
          <cell r="N7009">
            <v>45587</v>
          </cell>
          <cell r="O7009">
            <v>45581</v>
          </cell>
          <cell r="P7009">
            <v>45589</v>
          </cell>
          <cell r="Q7009">
            <v>45587</v>
          </cell>
          <cell r="R7009">
            <v>45588</v>
          </cell>
          <cell r="S7009">
            <v>45589</v>
          </cell>
          <cell r="T7009">
            <v>45590</v>
          </cell>
          <cell r="U7009">
            <v>45593</v>
          </cell>
          <cell r="V7009">
            <v>45594</v>
          </cell>
          <cell r="W7009">
            <v>45594</v>
          </cell>
          <cell r="X7009" t="str">
            <v>41100363 → 41200076</v>
          </cell>
        </row>
        <row r="7010">
          <cell r="K7010" t="str">
            <v>GBWS-4986</v>
          </cell>
          <cell r="L7010">
            <v>45582</v>
          </cell>
          <cell r="M7010">
            <v>45583</v>
          </cell>
          <cell r="N7010">
            <v>45589</v>
          </cell>
          <cell r="O7010">
            <v>45583</v>
          </cell>
          <cell r="P7010">
            <v>45590</v>
          </cell>
          <cell r="Q7010">
            <v>45589</v>
          </cell>
          <cell r="R7010">
            <v>45590</v>
          </cell>
          <cell r="S7010">
            <v>45593</v>
          </cell>
          <cell r="T7010">
            <v>45594</v>
          </cell>
          <cell r="U7010">
            <v>45595</v>
          </cell>
          <cell r="V7010">
            <v>45596</v>
          </cell>
          <cell r="W7010">
            <v>45596</v>
          </cell>
          <cell r="X7010" t="str">
            <v>41100363 → 41200076</v>
          </cell>
        </row>
        <row r="7011">
          <cell r="K7011" t="str">
            <v>GBWS-4968</v>
          </cell>
          <cell r="L7011">
            <v>45575</v>
          </cell>
          <cell r="M7011">
            <v>45576</v>
          </cell>
          <cell r="N7011">
            <v>45581</v>
          </cell>
          <cell r="O7011">
            <v>45576</v>
          </cell>
          <cell r="P7011">
            <v>45582</v>
          </cell>
          <cell r="Q7011">
            <v>45582</v>
          </cell>
          <cell r="R7011">
            <v>45583</v>
          </cell>
          <cell r="S7011">
            <v>45586</v>
          </cell>
          <cell r="T7011">
            <v>45587</v>
          </cell>
          <cell r="U7011">
            <v>45588</v>
          </cell>
          <cell r="V7011">
            <v>45589</v>
          </cell>
          <cell r="W7011">
            <v>45589</v>
          </cell>
          <cell r="X7011">
            <v>41200006</v>
          </cell>
        </row>
        <row r="7012">
          <cell r="K7012" t="str">
            <v>GBWS-4969</v>
          </cell>
          <cell r="L7012">
            <v>45575</v>
          </cell>
          <cell r="M7012">
            <v>45576</v>
          </cell>
          <cell r="N7012">
            <v>45581</v>
          </cell>
          <cell r="O7012">
            <v>45576</v>
          </cell>
          <cell r="P7012">
            <v>45582</v>
          </cell>
          <cell r="Q7012">
            <v>45582</v>
          </cell>
          <cell r="R7012">
            <v>45583</v>
          </cell>
          <cell r="S7012">
            <v>45586</v>
          </cell>
          <cell r="T7012">
            <v>45587</v>
          </cell>
          <cell r="U7012">
            <v>45588</v>
          </cell>
          <cell r="V7012">
            <v>45589</v>
          </cell>
          <cell r="W7012">
            <v>45589</v>
          </cell>
          <cell r="X7012">
            <v>41200006</v>
          </cell>
        </row>
        <row r="7013">
          <cell r="K7013" t="str">
            <v>GBWS-4977</v>
          </cell>
          <cell r="L7013">
            <v>45579</v>
          </cell>
          <cell r="M7013">
            <v>45579</v>
          </cell>
          <cell r="N7013">
            <v>45589</v>
          </cell>
          <cell r="O7013">
            <v>45579</v>
          </cell>
          <cell r="P7013">
            <v>45586</v>
          </cell>
          <cell r="Q7013" t="str">
            <v>2024-10-21 → 10/24</v>
          </cell>
          <cell r="R7013" t="str">
            <v>2024-10-22 → 10/25</v>
          </cell>
          <cell r="S7013">
            <v>45593</v>
          </cell>
          <cell r="T7013">
            <v>45594</v>
          </cell>
          <cell r="U7013">
            <v>45595</v>
          </cell>
          <cell r="V7013">
            <v>45596</v>
          </cell>
          <cell r="W7013">
            <v>45596</v>
          </cell>
          <cell r="X7013">
            <v>41200046</v>
          </cell>
        </row>
        <row r="7014">
          <cell r="K7014" t="str">
            <v>GBWS-4978</v>
          </cell>
          <cell r="L7014">
            <v>45579</v>
          </cell>
          <cell r="M7014">
            <v>45579</v>
          </cell>
          <cell r="N7014">
            <v>45589</v>
          </cell>
          <cell r="O7014">
            <v>45579</v>
          </cell>
          <cell r="P7014">
            <v>45586</v>
          </cell>
          <cell r="Q7014" t="str">
            <v>2024-10-21 → 10/24</v>
          </cell>
          <cell r="R7014" t="str">
            <v>2024-10-22 → 10/25</v>
          </cell>
          <cell r="S7014">
            <v>45593</v>
          </cell>
          <cell r="T7014">
            <v>45594</v>
          </cell>
          <cell r="U7014">
            <v>45595</v>
          </cell>
          <cell r="V7014">
            <v>45596</v>
          </cell>
          <cell r="W7014">
            <v>45596</v>
          </cell>
          <cell r="X7014">
            <v>41200046</v>
          </cell>
        </row>
        <row r="7015">
          <cell r="K7015" t="str">
            <v>GBWS-4979</v>
          </cell>
          <cell r="L7015">
            <v>45579</v>
          </cell>
          <cell r="M7015">
            <v>45579</v>
          </cell>
          <cell r="N7015">
            <v>45586</v>
          </cell>
          <cell r="O7015">
            <v>45579</v>
          </cell>
          <cell r="P7015">
            <v>45588</v>
          </cell>
          <cell r="Q7015" t="str">
            <v>2024-10-21 → 10/24</v>
          </cell>
          <cell r="R7015" t="str">
            <v>2024-10-22 → 10/25</v>
          </cell>
          <cell r="S7015">
            <v>45593</v>
          </cell>
          <cell r="T7015">
            <v>45594</v>
          </cell>
          <cell r="U7015">
            <v>45595</v>
          </cell>
          <cell r="V7015">
            <v>45596</v>
          </cell>
          <cell r="W7015">
            <v>45596</v>
          </cell>
          <cell r="X7015">
            <v>41200048</v>
          </cell>
        </row>
        <row r="7016">
          <cell r="K7016" t="str">
            <v>GBWS-4952</v>
          </cell>
          <cell r="L7016">
            <v>45572</v>
          </cell>
          <cell r="M7016">
            <v>45572</v>
          </cell>
          <cell r="N7016">
            <v>45580</v>
          </cell>
          <cell r="O7016">
            <v>45572</v>
          </cell>
          <cell r="P7016">
            <v>45581</v>
          </cell>
          <cell r="Q7016">
            <v>45580</v>
          </cell>
          <cell r="R7016">
            <v>45581</v>
          </cell>
          <cell r="S7016">
            <v>45582</v>
          </cell>
          <cell r="T7016">
            <v>45583</v>
          </cell>
          <cell r="U7016">
            <v>45586</v>
          </cell>
          <cell r="V7016">
            <v>45587</v>
          </cell>
          <cell r="W7016">
            <v>45587</v>
          </cell>
          <cell r="X7016">
            <v>41100227</v>
          </cell>
        </row>
        <row r="7017">
          <cell r="K7017" t="str">
            <v>GBWS-4983</v>
          </cell>
          <cell r="L7017">
            <v>45581</v>
          </cell>
          <cell r="M7017">
            <v>45582</v>
          </cell>
          <cell r="N7017">
            <v>45588</v>
          </cell>
          <cell r="O7017">
            <v>45582</v>
          </cell>
          <cell r="P7017">
            <v>45588</v>
          </cell>
          <cell r="Q7017" t="str">
            <v>2024-10-24 →10/28</v>
          </cell>
          <cell r="R7017" t="str">
            <v>2024-10-25 → 10/29</v>
          </cell>
          <cell r="S7017">
            <v>45595</v>
          </cell>
          <cell r="T7017">
            <v>45596</v>
          </cell>
          <cell r="U7017">
            <v>45597</v>
          </cell>
          <cell r="V7017">
            <v>45600</v>
          </cell>
          <cell r="W7017">
            <v>45600</v>
          </cell>
          <cell r="X7017">
            <v>41200046</v>
          </cell>
        </row>
        <row r="7018">
          <cell r="K7018" t="str">
            <v>GBWS-4984</v>
          </cell>
          <cell r="L7018">
            <v>45581</v>
          </cell>
          <cell r="M7018">
            <v>45582</v>
          </cell>
          <cell r="N7018">
            <v>45588</v>
          </cell>
          <cell r="O7018">
            <v>45582</v>
          </cell>
          <cell r="P7018">
            <v>45588</v>
          </cell>
          <cell r="Q7018" t="str">
            <v>2024-10-24 →10/28</v>
          </cell>
          <cell r="R7018" t="str">
            <v>2024-10-25 → 10/29</v>
          </cell>
          <cell r="S7018">
            <v>45595</v>
          </cell>
          <cell r="T7018">
            <v>45596</v>
          </cell>
          <cell r="U7018">
            <v>45597</v>
          </cell>
          <cell r="V7018">
            <v>45600</v>
          </cell>
          <cell r="W7018">
            <v>45600</v>
          </cell>
          <cell r="X7018">
            <v>41200046</v>
          </cell>
        </row>
        <row r="7019">
          <cell r="K7019" t="str">
            <v>GBWS-5017</v>
          </cell>
          <cell r="L7019">
            <v>45581</v>
          </cell>
          <cell r="M7019">
            <v>45583</v>
          </cell>
          <cell r="N7019">
            <v>45590</v>
          </cell>
          <cell r="O7019">
            <v>45583</v>
          </cell>
          <cell r="P7019">
            <v>45590</v>
          </cell>
          <cell r="Q7019">
            <v>45590</v>
          </cell>
          <cell r="R7019">
            <v>45593</v>
          </cell>
          <cell r="S7019">
            <v>45595</v>
          </cell>
          <cell r="T7019">
            <v>45596</v>
          </cell>
          <cell r="U7019">
            <v>45597</v>
          </cell>
          <cell r="V7019">
            <v>45600</v>
          </cell>
          <cell r="W7019">
            <v>45600</v>
          </cell>
          <cell r="X7019">
            <v>41200036</v>
          </cell>
        </row>
        <row r="7020">
          <cell r="K7020" t="str">
            <v>GBWS-5018</v>
          </cell>
          <cell r="L7020">
            <v>45581</v>
          </cell>
          <cell r="M7020">
            <v>45583</v>
          </cell>
          <cell r="N7020">
            <v>45590</v>
          </cell>
          <cell r="O7020">
            <v>45583</v>
          </cell>
          <cell r="P7020">
            <v>45590</v>
          </cell>
          <cell r="Q7020">
            <v>45590</v>
          </cell>
          <cell r="R7020">
            <v>45593</v>
          </cell>
          <cell r="S7020">
            <v>45595</v>
          </cell>
          <cell r="T7020">
            <v>45596</v>
          </cell>
          <cell r="U7020">
            <v>45600</v>
          </cell>
          <cell r="V7020">
            <v>45600</v>
          </cell>
          <cell r="W7020">
            <v>45600</v>
          </cell>
          <cell r="X7020">
            <v>41200039</v>
          </cell>
        </row>
        <row r="7021">
          <cell r="K7021" t="str">
            <v>GBWS-4975</v>
          </cell>
          <cell r="L7021">
            <v>45579</v>
          </cell>
          <cell r="M7021">
            <v>45579</v>
          </cell>
          <cell r="N7021">
            <v>45586</v>
          </cell>
          <cell r="O7021">
            <v>45579</v>
          </cell>
          <cell r="P7021">
            <v>45587</v>
          </cell>
          <cell r="Q7021" t="str">
            <v>2024-10-18 → 10/24</v>
          </cell>
          <cell r="R7021" t="str">
            <v>2024-10-21 → 10/25</v>
          </cell>
          <cell r="S7021">
            <v>45588</v>
          </cell>
          <cell r="T7021">
            <v>45593</v>
          </cell>
          <cell r="U7021">
            <v>45594</v>
          </cell>
          <cell r="V7021">
            <v>45595</v>
          </cell>
          <cell r="W7021">
            <v>45595</v>
          </cell>
          <cell r="X7021">
            <v>41200046</v>
          </cell>
        </row>
        <row r="7022">
          <cell r="K7022" t="str">
            <v>GBWS-4976</v>
          </cell>
          <cell r="L7022">
            <v>45579</v>
          </cell>
          <cell r="M7022">
            <v>45579</v>
          </cell>
          <cell r="N7022">
            <v>45586</v>
          </cell>
          <cell r="O7022">
            <v>45579</v>
          </cell>
          <cell r="P7022">
            <v>45587</v>
          </cell>
          <cell r="Q7022" t="str">
            <v>2024-10-18 → 10/24</v>
          </cell>
          <cell r="R7022" t="str">
            <v>2024-10-21 → 10/25</v>
          </cell>
          <cell r="S7022">
            <v>45588</v>
          </cell>
          <cell r="T7022">
            <v>45593</v>
          </cell>
          <cell r="U7022">
            <v>45594</v>
          </cell>
          <cell r="V7022">
            <v>45595</v>
          </cell>
          <cell r="W7022">
            <v>45595</v>
          </cell>
          <cell r="X7022">
            <v>41200046</v>
          </cell>
        </row>
        <row r="7023">
          <cell r="K7023" t="str">
            <v>GBWS-4980</v>
          </cell>
          <cell r="L7023">
            <v>45580</v>
          </cell>
          <cell r="M7023">
            <v>45581</v>
          </cell>
          <cell r="N7023">
            <v>45590</v>
          </cell>
          <cell r="O7023">
            <v>45581</v>
          </cell>
          <cell r="P7023">
            <v>45593</v>
          </cell>
          <cell r="Q7023" t="str">
            <v>2024-10-23 →10/25</v>
          </cell>
          <cell r="R7023" t="str">
            <v>2024-10-24 → 10/28</v>
          </cell>
          <cell r="S7023">
            <v>45594</v>
          </cell>
          <cell r="T7023">
            <v>45595</v>
          </cell>
          <cell r="U7023">
            <v>45596</v>
          </cell>
          <cell r="V7023">
            <v>45597</v>
          </cell>
          <cell r="W7023">
            <v>45597</v>
          </cell>
          <cell r="X7023">
            <v>41200047</v>
          </cell>
        </row>
        <row r="7024">
          <cell r="K7024" t="str">
            <v>GBWS-4981</v>
          </cell>
          <cell r="L7024">
            <v>45580</v>
          </cell>
          <cell r="M7024">
            <v>45581</v>
          </cell>
          <cell r="N7024">
            <v>45590</v>
          </cell>
          <cell r="O7024">
            <v>45581</v>
          </cell>
          <cell r="P7024">
            <v>45593</v>
          </cell>
          <cell r="Q7024" t="str">
            <v>2024-10-23 →10/25</v>
          </cell>
          <cell r="R7024" t="str">
            <v>2024-10-24 → 10/28</v>
          </cell>
          <cell r="S7024">
            <v>45594</v>
          </cell>
          <cell r="T7024">
            <v>45595</v>
          </cell>
          <cell r="U7024">
            <v>45596</v>
          </cell>
          <cell r="V7024">
            <v>45597</v>
          </cell>
          <cell r="W7024">
            <v>45597</v>
          </cell>
          <cell r="X7024">
            <v>41200047</v>
          </cell>
        </row>
        <row r="7025">
          <cell r="K7025" t="str">
            <v>GBWS-4982</v>
          </cell>
          <cell r="L7025">
            <v>45580</v>
          </cell>
          <cell r="M7025">
            <v>45581</v>
          </cell>
          <cell r="N7025">
            <v>45590</v>
          </cell>
          <cell r="O7025">
            <v>45581</v>
          </cell>
          <cell r="P7025">
            <v>45593</v>
          </cell>
          <cell r="Q7025" t="str">
            <v>2024-10-23 →10/25</v>
          </cell>
          <cell r="R7025" t="str">
            <v>2024-10-24 → 10/28</v>
          </cell>
          <cell r="S7025">
            <v>45594</v>
          </cell>
          <cell r="T7025">
            <v>45595</v>
          </cell>
          <cell r="U7025">
            <v>45596</v>
          </cell>
          <cell r="V7025">
            <v>45597</v>
          </cell>
          <cell r="W7025">
            <v>45597</v>
          </cell>
          <cell r="X7025">
            <v>41200047</v>
          </cell>
        </row>
        <row r="7026">
          <cell r="K7026" t="str">
            <v>GBWS-4970</v>
          </cell>
          <cell r="L7026">
            <v>45575</v>
          </cell>
          <cell r="M7026">
            <v>45576</v>
          </cell>
          <cell r="N7026">
            <v>45581</v>
          </cell>
          <cell r="O7026">
            <v>45576</v>
          </cell>
          <cell r="P7026">
            <v>45582</v>
          </cell>
          <cell r="Q7026">
            <v>45582</v>
          </cell>
          <cell r="R7026">
            <v>45583</v>
          </cell>
          <cell r="S7026">
            <v>45586</v>
          </cell>
          <cell r="T7026">
            <v>45587</v>
          </cell>
          <cell r="U7026">
            <v>45588</v>
          </cell>
          <cell r="V7026">
            <v>45589</v>
          </cell>
          <cell r="W7026">
            <v>45589</v>
          </cell>
          <cell r="X7026">
            <v>41200006</v>
          </cell>
        </row>
        <row r="7027">
          <cell r="K7027" t="str">
            <v>DBW-3533</v>
          </cell>
          <cell r="L7027">
            <v>45581</v>
          </cell>
          <cell r="M7027">
            <v>45583</v>
          </cell>
          <cell r="N7027">
            <v>45590</v>
          </cell>
          <cell r="O7027">
            <v>45583</v>
          </cell>
          <cell r="P7027">
            <v>45590</v>
          </cell>
          <cell r="Q7027">
            <v>45590</v>
          </cell>
          <cell r="R7027">
            <v>45593</v>
          </cell>
          <cell r="S7027">
            <v>45594</v>
          </cell>
          <cell r="T7027">
            <v>45595</v>
          </cell>
          <cell r="U7027">
            <v>45596</v>
          </cell>
          <cell r="V7027">
            <v>45597</v>
          </cell>
          <cell r="W7027">
            <v>45597</v>
          </cell>
          <cell r="X7027">
            <v>41000588</v>
          </cell>
        </row>
        <row r="7028">
          <cell r="K7028" t="str">
            <v>GBWS-4985</v>
          </cell>
          <cell r="L7028">
            <v>45581</v>
          </cell>
          <cell r="M7028">
            <v>45582</v>
          </cell>
          <cell r="N7028">
            <v>45589</v>
          </cell>
          <cell r="O7028">
            <v>45582</v>
          </cell>
          <cell r="P7028">
            <v>45588</v>
          </cell>
          <cell r="Q7028">
            <v>45589</v>
          </cell>
          <cell r="R7028">
            <v>45590</v>
          </cell>
          <cell r="S7028">
            <v>45594</v>
          </cell>
          <cell r="T7028">
            <v>45595</v>
          </cell>
          <cell r="U7028">
            <v>45596</v>
          </cell>
          <cell r="V7028">
            <v>45597</v>
          </cell>
          <cell r="W7028">
            <v>45597</v>
          </cell>
          <cell r="X7028">
            <v>41200038</v>
          </cell>
        </row>
        <row r="7029">
          <cell r="K7029" t="str">
            <v>GBWS-4987</v>
          </cell>
          <cell r="L7029">
            <v>45582</v>
          </cell>
          <cell r="M7029">
            <v>45583</v>
          </cell>
          <cell r="N7029">
            <v>45589</v>
          </cell>
          <cell r="O7029">
            <v>45583</v>
          </cell>
          <cell r="P7029">
            <v>45590</v>
          </cell>
          <cell r="Q7029">
            <v>45590</v>
          </cell>
          <cell r="R7029">
            <v>45593</v>
          </cell>
          <cell r="S7029">
            <v>45594</v>
          </cell>
          <cell r="T7029">
            <v>45595</v>
          </cell>
          <cell r="U7029">
            <v>45596</v>
          </cell>
          <cell r="V7029">
            <v>45597</v>
          </cell>
          <cell r="W7029">
            <v>45597</v>
          </cell>
          <cell r="X7029" t="str">
            <v>41100363 → 41200076</v>
          </cell>
        </row>
        <row r="7030">
          <cell r="K7030" t="str">
            <v>GBWS-4988</v>
          </cell>
          <cell r="L7030">
            <v>45582</v>
          </cell>
          <cell r="M7030">
            <v>45583</v>
          </cell>
          <cell r="N7030">
            <v>45589</v>
          </cell>
          <cell r="O7030">
            <v>45583</v>
          </cell>
          <cell r="P7030">
            <v>45590</v>
          </cell>
          <cell r="Q7030">
            <v>45590</v>
          </cell>
          <cell r="R7030">
            <v>45593</v>
          </cell>
          <cell r="S7030">
            <v>45594</v>
          </cell>
          <cell r="T7030">
            <v>45595</v>
          </cell>
          <cell r="U7030">
            <v>45596</v>
          </cell>
          <cell r="V7030">
            <v>45597</v>
          </cell>
          <cell r="W7030">
            <v>45597</v>
          </cell>
          <cell r="X7030" t="str">
            <v>41100363 → 41200076</v>
          </cell>
        </row>
        <row r="7031">
          <cell r="K7031" t="str">
            <v>GBWS-5019</v>
          </cell>
          <cell r="L7031">
            <v>45586</v>
          </cell>
          <cell r="M7031">
            <v>45587</v>
          </cell>
          <cell r="N7031">
            <v>45594</v>
          </cell>
          <cell r="O7031">
            <v>45587</v>
          </cell>
          <cell r="P7031">
            <v>45594</v>
          </cell>
          <cell r="Q7031">
            <v>45594</v>
          </cell>
          <cell r="R7031">
            <v>45595</v>
          </cell>
          <cell r="S7031">
            <v>45596</v>
          </cell>
          <cell r="T7031">
            <v>45597</v>
          </cell>
          <cell r="U7031">
            <v>45600</v>
          </cell>
          <cell r="V7031">
            <v>45601</v>
          </cell>
          <cell r="W7031">
            <v>45601</v>
          </cell>
          <cell r="X7031" t="str">
            <v>41100363 → 41200076</v>
          </cell>
        </row>
        <row r="7032">
          <cell r="K7032" t="str">
            <v>GBWS-5020</v>
          </cell>
          <cell r="L7032">
            <v>45586</v>
          </cell>
          <cell r="M7032">
            <v>45587</v>
          </cell>
          <cell r="N7032">
            <v>45594</v>
          </cell>
          <cell r="O7032">
            <v>45587</v>
          </cell>
          <cell r="P7032">
            <v>45594</v>
          </cell>
          <cell r="Q7032">
            <v>45594</v>
          </cell>
          <cell r="R7032">
            <v>45595</v>
          </cell>
          <cell r="S7032">
            <v>45596</v>
          </cell>
          <cell r="T7032">
            <v>45597</v>
          </cell>
          <cell r="U7032">
            <v>45600</v>
          </cell>
          <cell r="V7032">
            <v>45601</v>
          </cell>
          <cell r="W7032">
            <v>45601</v>
          </cell>
          <cell r="X7032" t="str">
            <v>41100363 → 41200076</v>
          </cell>
        </row>
        <row r="7033">
          <cell r="K7033" t="str">
            <v>GBWS-4990</v>
          </cell>
          <cell r="L7033">
            <v>45586</v>
          </cell>
          <cell r="M7033">
            <v>45586</v>
          </cell>
          <cell r="N7033">
            <v>45593</v>
          </cell>
          <cell r="O7033">
            <v>45586</v>
          </cell>
          <cell r="P7033">
            <v>45595</v>
          </cell>
          <cell r="Q7033">
            <v>45593</v>
          </cell>
          <cell r="R7033">
            <v>45594</v>
          </cell>
          <cell r="S7033">
            <v>45595</v>
          </cell>
          <cell r="T7033">
            <v>45596</v>
          </cell>
          <cell r="U7033">
            <v>45597</v>
          </cell>
          <cell r="V7033">
            <v>45600</v>
          </cell>
          <cell r="W7033">
            <v>45600</v>
          </cell>
          <cell r="X7033">
            <v>41100334</v>
          </cell>
        </row>
        <row r="7034">
          <cell r="K7034" t="str">
            <v>GBWS-4991</v>
          </cell>
          <cell r="L7034">
            <v>45586</v>
          </cell>
          <cell r="M7034">
            <v>45586</v>
          </cell>
          <cell r="N7034">
            <v>45593</v>
          </cell>
          <cell r="O7034">
            <v>45586</v>
          </cell>
          <cell r="P7034">
            <v>45595</v>
          </cell>
          <cell r="Q7034">
            <v>45593</v>
          </cell>
          <cell r="R7034">
            <v>45594</v>
          </cell>
          <cell r="S7034">
            <v>45595</v>
          </cell>
          <cell r="T7034">
            <v>45596</v>
          </cell>
          <cell r="U7034">
            <v>45597</v>
          </cell>
          <cell r="V7034">
            <v>45600</v>
          </cell>
          <cell r="W7034">
            <v>45600</v>
          </cell>
          <cell r="X7034">
            <v>41100334</v>
          </cell>
        </row>
        <row r="7035">
          <cell r="K7035" t="str">
            <v>GBWS-4989</v>
          </cell>
          <cell r="L7035">
            <v>45586</v>
          </cell>
          <cell r="M7035">
            <v>45586</v>
          </cell>
          <cell r="N7035">
            <v>45593</v>
          </cell>
          <cell r="O7035">
            <v>45586</v>
          </cell>
          <cell r="P7035">
            <v>45595</v>
          </cell>
          <cell r="Q7035">
            <v>45593</v>
          </cell>
          <cell r="R7035">
            <v>45594</v>
          </cell>
          <cell r="S7035">
            <v>45596</v>
          </cell>
          <cell r="T7035">
            <v>45597</v>
          </cell>
          <cell r="U7035">
            <v>45600</v>
          </cell>
          <cell r="V7035">
            <v>45601</v>
          </cell>
          <cell r="W7035">
            <v>45601</v>
          </cell>
          <cell r="X7035">
            <v>41100320</v>
          </cell>
        </row>
        <row r="7036">
          <cell r="K7036" t="str">
            <v>GBWS-5021</v>
          </cell>
          <cell r="L7036">
            <v>45586</v>
          </cell>
          <cell r="M7036">
            <v>45587</v>
          </cell>
          <cell r="N7036">
            <v>45594</v>
          </cell>
          <cell r="O7036">
            <v>45587</v>
          </cell>
          <cell r="P7036">
            <v>45594</v>
          </cell>
          <cell r="Q7036">
            <v>45594</v>
          </cell>
          <cell r="R7036">
            <v>45595</v>
          </cell>
          <cell r="S7036">
            <v>45596</v>
          </cell>
          <cell r="T7036">
            <v>45597</v>
          </cell>
          <cell r="U7036">
            <v>45600</v>
          </cell>
          <cell r="V7036">
            <v>45601</v>
          </cell>
          <cell r="W7036">
            <v>45601</v>
          </cell>
          <cell r="X7036">
            <v>41100319</v>
          </cell>
        </row>
        <row r="7037">
          <cell r="K7037" t="str">
            <v>DBW-3537</v>
          </cell>
          <cell r="L7037">
            <v>45587</v>
          </cell>
          <cell r="M7037">
            <v>45588</v>
          </cell>
          <cell r="N7037">
            <v>45595</v>
          </cell>
          <cell r="O7037">
            <v>45588</v>
          </cell>
          <cell r="P7037">
            <v>45596</v>
          </cell>
          <cell r="Q7037">
            <v>45595</v>
          </cell>
          <cell r="R7037">
            <v>45596</v>
          </cell>
          <cell r="S7037">
            <v>45597</v>
          </cell>
          <cell r="T7037">
            <v>45600</v>
          </cell>
          <cell r="U7037">
            <v>45601</v>
          </cell>
          <cell r="V7037">
            <v>45602</v>
          </cell>
          <cell r="W7037">
            <v>45602</v>
          </cell>
          <cell r="X7037">
            <v>41100620</v>
          </cell>
        </row>
        <row r="7038">
          <cell r="K7038" t="str">
            <v>GBWS-5000</v>
          </cell>
          <cell r="L7038">
            <v>45587</v>
          </cell>
          <cell r="M7038">
            <v>45588</v>
          </cell>
          <cell r="N7038">
            <v>45596</v>
          </cell>
          <cell r="O7038">
            <v>45588</v>
          </cell>
          <cell r="P7038">
            <v>45596</v>
          </cell>
          <cell r="Q7038">
            <v>45595</v>
          </cell>
          <cell r="R7038">
            <v>45596</v>
          </cell>
          <cell r="S7038">
            <v>45597</v>
          </cell>
          <cell r="T7038">
            <v>45600</v>
          </cell>
          <cell r="U7038">
            <v>45601</v>
          </cell>
          <cell r="V7038">
            <v>45602</v>
          </cell>
          <cell r="W7038">
            <v>45602</v>
          </cell>
          <cell r="X7038">
            <v>41000556</v>
          </cell>
        </row>
        <row r="7039">
          <cell r="K7039" t="str">
            <v>DBW-3529</v>
          </cell>
          <cell r="L7039">
            <v>45579</v>
          </cell>
          <cell r="M7039">
            <v>45579</v>
          </cell>
          <cell r="N7039">
            <v>45582</v>
          </cell>
          <cell r="O7039">
            <v>45579</v>
          </cell>
          <cell r="P7039">
            <v>45583</v>
          </cell>
          <cell r="Q7039">
            <v>45586</v>
          </cell>
          <cell r="R7039">
            <v>45587</v>
          </cell>
          <cell r="S7039">
            <v>45587</v>
          </cell>
          <cell r="T7039">
            <v>45588</v>
          </cell>
          <cell r="U7039">
            <v>45589</v>
          </cell>
          <cell r="V7039">
            <v>45590</v>
          </cell>
          <cell r="W7039">
            <v>45590</v>
          </cell>
          <cell r="X7039">
            <v>41000589</v>
          </cell>
        </row>
        <row r="7040">
          <cell r="K7040" t="str">
            <v>DBW-3530</v>
          </cell>
          <cell r="L7040">
            <v>45579</v>
          </cell>
          <cell r="M7040">
            <v>45579</v>
          </cell>
          <cell r="N7040">
            <v>45582</v>
          </cell>
          <cell r="O7040">
            <v>45579</v>
          </cell>
          <cell r="P7040">
            <v>45583</v>
          </cell>
          <cell r="Q7040">
            <v>45586</v>
          </cell>
          <cell r="R7040">
            <v>45587</v>
          </cell>
          <cell r="S7040">
            <v>45587</v>
          </cell>
          <cell r="T7040">
            <v>45588</v>
          </cell>
          <cell r="U7040">
            <v>45589</v>
          </cell>
          <cell r="V7040">
            <v>45590</v>
          </cell>
          <cell r="W7040">
            <v>45590</v>
          </cell>
          <cell r="X7040">
            <v>41000589</v>
          </cell>
        </row>
        <row r="7041">
          <cell r="K7041" t="str">
            <v>DBW-3534</v>
          </cell>
          <cell r="L7041">
            <v>45586</v>
          </cell>
          <cell r="M7041">
            <v>45587</v>
          </cell>
          <cell r="N7041">
            <v>45595</v>
          </cell>
          <cell r="O7041">
            <v>45587</v>
          </cell>
          <cell r="P7041">
            <v>45596</v>
          </cell>
          <cell r="Q7041">
            <v>45595</v>
          </cell>
          <cell r="R7041">
            <v>45596</v>
          </cell>
          <cell r="S7041">
            <v>45597</v>
          </cell>
          <cell r="T7041">
            <v>45600</v>
          </cell>
          <cell r="U7041">
            <v>45601</v>
          </cell>
          <cell r="V7041">
            <v>45602</v>
          </cell>
          <cell r="W7041">
            <v>45602</v>
          </cell>
          <cell r="X7041">
            <v>41000584</v>
          </cell>
        </row>
        <row r="7042">
          <cell r="K7042" t="str">
            <v>DBW-3535</v>
          </cell>
          <cell r="L7042">
            <v>45586</v>
          </cell>
          <cell r="M7042">
            <v>45587</v>
          </cell>
          <cell r="N7042">
            <v>45595</v>
          </cell>
          <cell r="O7042">
            <v>45587</v>
          </cell>
          <cell r="P7042">
            <v>45596</v>
          </cell>
          <cell r="Q7042">
            <v>45595</v>
          </cell>
          <cell r="R7042">
            <v>45596</v>
          </cell>
          <cell r="S7042">
            <v>45600</v>
          </cell>
          <cell r="T7042">
            <v>45601</v>
          </cell>
          <cell r="U7042">
            <v>45602</v>
          </cell>
          <cell r="V7042">
            <v>45603</v>
          </cell>
          <cell r="W7042">
            <v>45603</v>
          </cell>
          <cell r="X7042">
            <v>41000584</v>
          </cell>
        </row>
        <row r="7043">
          <cell r="K7043" t="str">
            <v>DBW-3536</v>
          </cell>
          <cell r="L7043">
            <v>45586</v>
          </cell>
          <cell r="M7043">
            <v>45587</v>
          </cell>
          <cell r="N7043">
            <v>45595</v>
          </cell>
          <cell r="O7043">
            <v>45587</v>
          </cell>
          <cell r="P7043">
            <v>45596</v>
          </cell>
          <cell r="Q7043">
            <v>45595</v>
          </cell>
          <cell r="R7043">
            <v>45596</v>
          </cell>
          <cell r="S7043">
            <v>45600</v>
          </cell>
          <cell r="T7043">
            <v>45601</v>
          </cell>
          <cell r="U7043">
            <v>45602</v>
          </cell>
          <cell r="V7043">
            <v>45603</v>
          </cell>
          <cell r="W7043">
            <v>45603</v>
          </cell>
          <cell r="X7043">
            <v>41000584</v>
          </cell>
        </row>
        <row r="7044">
          <cell r="K7044" t="str">
            <v>GBWS-4972</v>
          </cell>
          <cell r="L7044">
            <v>45580</v>
          </cell>
          <cell r="M7044">
            <v>45581</v>
          </cell>
          <cell r="N7044">
            <v>45587</v>
          </cell>
          <cell r="O7044">
            <v>45581</v>
          </cell>
          <cell r="P7044">
            <v>45594</v>
          </cell>
          <cell r="Q7044">
            <v>45588</v>
          </cell>
          <cell r="R7044">
            <v>45589</v>
          </cell>
          <cell r="S7044">
            <v>45593</v>
          </cell>
          <cell r="T7044">
            <v>45594</v>
          </cell>
          <cell r="U7044">
            <v>45595</v>
          </cell>
          <cell r="V7044">
            <v>45595</v>
          </cell>
          <cell r="W7044">
            <v>45595</v>
          </cell>
          <cell r="X7044">
            <v>41200007</v>
          </cell>
        </row>
        <row r="7045">
          <cell r="K7045" t="str">
            <v>GBWS-4973</v>
          </cell>
          <cell r="L7045">
            <v>45580</v>
          </cell>
          <cell r="M7045">
            <v>45581</v>
          </cell>
          <cell r="N7045">
            <v>45587</v>
          </cell>
          <cell r="O7045">
            <v>45581</v>
          </cell>
          <cell r="P7045">
            <v>45594</v>
          </cell>
          <cell r="Q7045">
            <v>45588</v>
          </cell>
          <cell r="R7045">
            <v>45589</v>
          </cell>
          <cell r="S7045">
            <v>45593</v>
          </cell>
          <cell r="T7045">
            <v>45594</v>
          </cell>
          <cell r="U7045">
            <v>45595</v>
          </cell>
          <cell r="V7045">
            <v>45595</v>
          </cell>
          <cell r="W7045">
            <v>45595</v>
          </cell>
          <cell r="X7045">
            <v>41200007</v>
          </cell>
        </row>
        <row r="7046">
          <cell r="K7046" t="str">
            <v>GBWS-4384</v>
          </cell>
          <cell r="L7046">
            <v>45387</v>
          </cell>
          <cell r="M7046">
            <v>45390</v>
          </cell>
          <cell r="N7046">
            <v>45399</v>
          </cell>
          <cell r="O7046">
            <v>45390</v>
          </cell>
          <cell r="P7046">
            <v>45400</v>
          </cell>
          <cell r="Q7046">
            <v>45399</v>
          </cell>
          <cell r="R7046">
            <v>45400</v>
          </cell>
          <cell r="S7046">
            <v>45435</v>
          </cell>
          <cell r="T7046">
            <v>45436</v>
          </cell>
          <cell r="U7046">
            <v>45439</v>
          </cell>
          <cell r="V7046">
            <v>45441</v>
          </cell>
          <cell r="W7046">
            <v>45441</v>
          </cell>
          <cell r="X7046">
            <v>41100564</v>
          </cell>
        </row>
        <row r="7047">
          <cell r="K7047" t="str">
            <v>GBWS-4992</v>
          </cell>
          <cell r="L7047">
            <v>45586</v>
          </cell>
          <cell r="M7047">
            <v>45586</v>
          </cell>
          <cell r="N7047">
            <v>45593</v>
          </cell>
          <cell r="O7047">
            <v>45586</v>
          </cell>
          <cell r="P7047">
            <v>45594</v>
          </cell>
          <cell r="Q7047">
            <v>45593</v>
          </cell>
          <cell r="R7047">
            <v>45594</v>
          </cell>
          <cell r="S7047">
            <v>45595</v>
          </cell>
          <cell r="T7047">
            <v>45596</v>
          </cell>
          <cell r="U7047">
            <v>45597</v>
          </cell>
          <cell r="V7047">
            <v>45600</v>
          </cell>
          <cell r="W7047">
            <v>45600</v>
          </cell>
          <cell r="X7047">
            <v>41100564</v>
          </cell>
        </row>
        <row r="7048">
          <cell r="K7048" t="str">
            <v>GBWS-4993</v>
          </cell>
          <cell r="L7048">
            <v>45586</v>
          </cell>
          <cell r="M7048">
            <v>45586</v>
          </cell>
          <cell r="N7048">
            <v>45593</v>
          </cell>
          <cell r="O7048">
            <v>45586</v>
          </cell>
          <cell r="P7048">
            <v>45594</v>
          </cell>
          <cell r="Q7048">
            <v>45593</v>
          </cell>
          <cell r="R7048">
            <v>45594</v>
          </cell>
          <cell r="S7048">
            <v>45595</v>
          </cell>
          <cell r="T7048">
            <v>45596</v>
          </cell>
          <cell r="U7048">
            <v>45597</v>
          </cell>
          <cell r="V7048">
            <v>45600</v>
          </cell>
          <cell r="W7048">
            <v>45600</v>
          </cell>
          <cell r="X7048">
            <v>41100564</v>
          </cell>
        </row>
        <row r="7049">
          <cell r="K7049" t="str">
            <v>GBWS-4994</v>
          </cell>
          <cell r="L7049">
            <v>45586</v>
          </cell>
          <cell r="M7049">
            <v>45586</v>
          </cell>
          <cell r="N7049">
            <v>45593</v>
          </cell>
          <cell r="O7049">
            <v>45586</v>
          </cell>
          <cell r="P7049">
            <v>45594</v>
          </cell>
          <cell r="Q7049">
            <v>45593</v>
          </cell>
          <cell r="R7049">
            <v>45594</v>
          </cell>
          <cell r="S7049">
            <v>45596</v>
          </cell>
          <cell r="T7049">
            <v>45597</v>
          </cell>
          <cell r="U7049">
            <v>45600</v>
          </cell>
          <cell r="V7049">
            <v>45601</v>
          </cell>
          <cell r="W7049">
            <v>45601</v>
          </cell>
          <cell r="X7049">
            <v>41100564</v>
          </cell>
        </row>
        <row r="7050">
          <cell r="K7050" t="str">
            <v>GBWS-5001</v>
          </cell>
          <cell r="L7050">
            <v>45587</v>
          </cell>
          <cell r="M7050">
            <v>45588</v>
          </cell>
          <cell r="N7050">
            <v>45596</v>
          </cell>
          <cell r="O7050">
            <v>45588</v>
          </cell>
          <cell r="P7050">
            <v>45597</v>
          </cell>
          <cell r="Q7050">
            <v>45596</v>
          </cell>
          <cell r="R7050">
            <v>45597</v>
          </cell>
          <cell r="S7050">
            <v>45600</v>
          </cell>
          <cell r="T7050">
            <v>45601</v>
          </cell>
          <cell r="U7050">
            <v>45602</v>
          </cell>
          <cell r="V7050">
            <v>45603</v>
          </cell>
          <cell r="W7050">
            <v>45603</v>
          </cell>
          <cell r="X7050">
            <v>41100564</v>
          </cell>
        </row>
        <row r="7051">
          <cell r="K7051" t="str">
            <v>GBWS-5002</v>
          </cell>
          <cell r="L7051">
            <v>45587</v>
          </cell>
          <cell r="M7051">
            <v>45588</v>
          </cell>
          <cell r="N7051">
            <v>45596</v>
          </cell>
          <cell r="O7051">
            <v>45588</v>
          </cell>
          <cell r="P7051">
            <v>45597</v>
          </cell>
          <cell r="Q7051">
            <v>45596</v>
          </cell>
          <cell r="R7051">
            <v>45597</v>
          </cell>
          <cell r="S7051">
            <v>45600</v>
          </cell>
          <cell r="T7051">
            <v>45601</v>
          </cell>
          <cell r="U7051">
            <v>45602</v>
          </cell>
          <cell r="V7051">
            <v>45603</v>
          </cell>
          <cell r="W7051">
            <v>45603</v>
          </cell>
          <cell r="X7051">
            <v>41100564</v>
          </cell>
        </row>
        <row r="7052">
          <cell r="K7052" t="str">
            <v>GBWS-5003</v>
          </cell>
          <cell r="L7052">
            <v>45587</v>
          </cell>
          <cell r="M7052">
            <v>45588</v>
          </cell>
          <cell r="N7052">
            <v>45596</v>
          </cell>
          <cell r="O7052">
            <v>45588</v>
          </cell>
          <cell r="P7052">
            <v>45597</v>
          </cell>
          <cell r="Q7052">
            <v>45596</v>
          </cell>
          <cell r="R7052">
            <v>45597</v>
          </cell>
          <cell r="S7052">
            <v>45600</v>
          </cell>
          <cell r="T7052">
            <v>45601</v>
          </cell>
          <cell r="U7052">
            <v>45602</v>
          </cell>
          <cell r="V7052">
            <v>45603</v>
          </cell>
          <cell r="W7052">
            <v>45603</v>
          </cell>
          <cell r="X7052">
            <v>41100564</v>
          </cell>
        </row>
        <row r="7053">
          <cell r="K7053" t="str">
            <v>GBWS-5004</v>
          </cell>
          <cell r="L7053">
            <v>45587</v>
          </cell>
          <cell r="M7053">
            <v>45588</v>
          </cell>
          <cell r="N7053">
            <v>45596</v>
          </cell>
          <cell r="O7053">
            <v>45588</v>
          </cell>
          <cell r="P7053">
            <v>45597</v>
          </cell>
          <cell r="Q7053">
            <v>45596</v>
          </cell>
          <cell r="R7053">
            <v>45597</v>
          </cell>
          <cell r="S7053">
            <v>45600</v>
          </cell>
          <cell r="T7053">
            <v>45601</v>
          </cell>
          <cell r="U7053">
            <v>45602</v>
          </cell>
          <cell r="V7053">
            <v>45603</v>
          </cell>
          <cell r="W7053">
            <v>45603</v>
          </cell>
          <cell r="X7053">
            <v>41100564</v>
          </cell>
        </row>
        <row r="7054">
          <cell r="K7054" t="str">
            <v>GBWS-5024</v>
          </cell>
          <cell r="L7054">
            <v>45588</v>
          </cell>
          <cell r="M7054">
            <v>45589</v>
          </cell>
          <cell r="N7054">
            <v>45597</v>
          </cell>
          <cell r="O7054">
            <v>45589</v>
          </cell>
          <cell r="P7054">
            <v>45597</v>
          </cell>
          <cell r="Q7054">
            <v>45596</v>
          </cell>
          <cell r="R7054">
            <v>45597</v>
          </cell>
          <cell r="S7054">
            <v>45600</v>
          </cell>
          <cell r="T7054">
            <v>45601</v>
          </cell>
          <cell r="U7054">
            <v>45602</v>
          </cell>
          <cell r="V7054">
            <v>45603</v>
          </cell>
          <cell r="W7054">
            <v>45603</v>
          </cell>
          <cell r="X7054">
            <v>41200033</v>
          </cell>
        </row>
        <row r="7055">
          <cell r="K7055" t="str">
            <v>GBWS-5005</v>
          </cell>
          <cell r="L7055">
            <v>45587</v>
          </cell>
          <cell r="M7055">
            <v>45588</v>
          </cell>
          <cell r="N7055">
            <v>45595</v>
          </cell>
          <cell r="O7055">
            <v>45588</v>
          </cell>
          <cell r="P7055">
            <v>45595</v>
          </cell>
          <cell r="Q7055">
            <v>45595</v>
          </cell>
          <cell r="R7055">
            <v>45596</v>
          </cell>
          <cell r="S7055">
            <v>45597</v>
          </cell>
          <cell r="T7055">
            <v>45600</v>
          </cell>
          <cell r="U7055">
            <v>45601</v>
          </cell>
          <cell r="V7055">
            <v>45602</v>
          </cell>
          <cell r="W7055">
            <v>45602</v>
          </cell>
          <cell r="X7055">
            <v>41100662</v>
          </cell>
        </row>
        <row r="7056">
          <cell r="K7056"/>
          <cell r="L7056">
            <v>45582</v>
          </cell>
          <cell r="M7056">
            <v>45582</v>
          </cell>
          <cell r="N7056">
            <v>45588</v>
          </cell>
          <cell r="O7056">
            <v>45582</v>
          </cell>
          <cell r="P7056">
            <v>45588</v>
          </cell>
          <cell r="Q7056">
            <v>45593</v>
          </cell>
          <cell r="R7056">
            <v>45594</v>
          </cell>
          <cell r="S7056">
            <v>45594</v>
          </cell>
          <cell r="T7056">
            <v>45594</v>
          </cell>
          <cell r="U7056">
            <v>45603</v>
          </cell>
          <cell r="V7056">
            <v>45603</v>
          </cell>
          <cell r="W7056">
            <v>45603</v>
          </cell>
          <cell r="X7056">
            <v>31200266</v>
          </cell>
        </row>
        <row r="7057">
          <cell r="K7057" t="str">
            <v>GBWS-5007</v>
          </cell>
          <cell r="L7057">
            <v>45588</v>
          </cell>
          <cell r="M7057">
            <v>45589</v>
          </cell>
          <cell r="N7057">
            <v>45596</v>
          </cell>
          <cell r="O7057">
            <v>45589</v>
          </cell>
          <cell r="P7057">
            <v>45596</v>
          </cell>
          <cell r="Q7057">
            <v>45596</v>
          </cell>
          <cell r="R7057">
            <v>45597</v>
          </cell>
          <cell r="S7057">
            <v>45600</v>
          </cell>
          <cell r="T7057">
            <v>45601</v>
          </cell>
          <cell r="U7057">
            <v>45602</v>
          </cell>
          <cell r="V7057">
            <v>45603</v>
          </cell>
          <cell r="W7057">
            <v>45603</v>
          </cell>
          <cell r="X7057" t="str">
            <v>41100363 → 41200076</v>
          </cell>
        </row>
        <row r="7058">
          <cell r="K7058"/>
          <cell r="L7058">
            <v>45590</v>
          </cell>
          <cell r="M7058">
            <v>45590</v>
          </cell>
          <cell r="N7058">
            <v>45597</v>
          </cell>
          <cell r="O7058">
            <v>45590</v>
          </cell>
          <cell r="P7058">
            <v>45597</v>
          </cell>
          <cell r="Q7058">
            <v>45596</v>
          </cell>
          <cell r="R7058">
            <v>45597</v>
          </cell>
          <cell r="S7058">
            <v>45600</v>
          </cell>
          <cell r="T7058">
            <v>45600</v>
          </cell>
          <cell r="U7058">
            <v>45600</v>
          </cell>
          <cell r="V7058">
            <v>45603</v>
          </cell>
          <cell r="W7058">
            <v>45603</v>
          </cell>
          <cell r="X7058">
            <v>31200275</v>
          </cell>
        </row>
        <row r="7059">
          <cell r="K7059" t="str">
            <v>GBWS-4954</v>
          </cell>
          <cell r="L7059">
            <v>45579</v>
          </cell>
          <cell r="M7059">
            <v>45579</v>
          </cell>
          <cell r="N7059">
            <v>45583</v>
          </cell>
          <cell r="O7059">
            <v>45579</v>
          </cell>
          <cell r="P7059">
            <v>45586</v>
          </cell>
          <cell r="Q7059">
            <v>45586</v>
          </cell>
          <cell r="R7059">
            <v>45587</v>
          </cell>
          <cell r="S7059">
            <v>45588</v>
          </cell>
          <cell r="T7059">
            <v>45588</v>
          </cell>
          <cell r="U7059">
            <v>45589</v>
          </cell>
          <cell r="V7059">
            <v>45590</v>
          </cell>
          <cell r="W7059">
            <v>45590</v>
          </cell>
          <cell r="X7059">
            <v>41100550</v>
          </cell>
        </row>
        <row r="7060">
          <cell r="K7060" t="str">
            <v>GBWS-4955</v>
          </cell>
          <cell r="L7060">
            <v>45579</v>
          </cell>
          <cell r="M7060">
            <v>45579</v>
          </cell>
          <cell r="N7060">
            <v>45583</v>
          </cell>
          <cell r="O7060">
            <v>45579</v>
          </cell>
          <cell r="P7060">
            <v>45586</v>
          </cell>
          <cell r="Q7060">
            <v>45586</v>
          </cell>
          <cell r="R7060">
            <v>45587</v>
          </cell>
          <cell r="S7060">
            <v>45588</v>
          </cell>
          <cell r="T7060">
            <v>45588</v>
          </cell>
          <cell r="U7060">
            <v>45589</v>
          </cell>
          <cell r="V7060">
            <v>45590</v>
          </cell>
          <cell r="W7060">
            <v>45590</v>
          </cell>
          <cell r="X7060">
            <v>41100550</v>
          </cell>
        </row>
        <row r="7061">
          <cell r="K7061" t="str">
            <v>GBWS-4962</v>
          </cell>
          <cell r="L7061">
            <v>45580</v>
          </cell>
          <cell r="M7061">
            <v>45581</v>
          </cell>
          <cell r="N7061">
            <v>45589</v>
          </cell>
          <cell r="O7061">
            <v>45581</v>
          </cell>
          <cell r="P7061">
            <v>45590</v>
          </cell>
          <cell r="Q7061">
            <v>45589</v>
          </cell>
          <cell r="R7061">
            <v>45590</v>
          </cell>
          <cell r="S7061">
            <v>45593</v>
          </cell>
          <cell r="T7061">
            <v>45594</v>
          </cell>
          <cell r="U7061">
            <v>45595</v>
          </cell>
          <cell r="V7061">
            <v>45596</v>
          </cell>
          <cell r="W7061">
            <v>45596</v>
          </cell>
          <cell r="X7061">
            <v>41200007</v>
          </cell>
        </row>
        <row r="7062">
          <cell r="K7062" t="str">
            <v>GBWS-4963</v>
          </cell>
          <cell r="L7062">
            <v>45580</v>
          </cell>
          <cell r="M7062">
            <v>45581</v>
          </cell>
          <cell r="N7062">
            <v>45589</v>
          </cell>
          <cell r="O7062">
            <v>45581</v>
          </cell>
          <cell r="P7062">
            <v>45590</v>
          </cell>
          <cell r="Q7062">
            <v>45589</v>
          </cell>
          <cell r="R7062">
            <v>45590</v>
          </cell>
          <cell r="S7062">
            <v>45593</v>
          </cell>
          <cell r="T7062">
            <v>45594</v>
          </cell>
          <cell r="U7062">
            <v>45595</v>
          </cell>
          <cell r="V7062">
            <v>45596</v>
          </cell>
          <cell r="W7062">
            <v>45596</v>
          </cell>
          <cell r="X7062">
            <v>41200007</v>
          </cell>
        </row>
        <row r="7063">
          <cell r="K7063" t="str">
            <v>DBW-3540</v>
          </cell>
          <cell r="L7063">
            <v>45588</v>
          </cell>
          <cell r="M7063">
            <v>45590</v>
          </cell>
          <cell r="N7063">
            <v>45596</v>
          </cell>
          <cell r="O7063">
            <v>45590</v>
          </cell>
          <cell r="P7063">
            <v>45597</v>
          </cell>
          <cell r="Q7063">
            <v>45596</v>
          </cell>
          <cell r="R7063">
            <v>45597</v>
          </cell>
          <cell r="S7063">
            <v>45602</v>
          </cell>
          <cell r="T7063">
            <v>45603</v>
          </cell>
          <cell r="U7063">
            <v>45604</v>
          </cell>
          <cell r="V7063">
            <v>45607</v>
          </cell>
          <cell r="W7063">
            <v>45607</v>
          </cell>
          <cell r="X7063">
            <v>41000590</v>
          </cell>
        </row>
        <row r="7064">
          <cell r="K7064" t="str">
            <v>DBW-3541</v>
          </cell>
          <cell r="L7064">
            <v>45588</v>
          </cell>
          <cell r="M7064">
            <v>45590</v>
          </cell>
          <cell r="N7064">
            <v>45596</v>
          </cell>
          <cell r="O7064">
            <v>45590</v>
          </cell>
          <cell r="P7064">
            <v>45597</v>
          </cell>
          <cell r="Q7064">
            <v>45596</v>
          </cell>
          <cell r="R7064">
            <v>45597</v>
          </cell>
          <cell r="S7064">
            <v>45602</v>
          </cell>
          <cell r="T7064">
            <v>45603</v>
          </cell>
          <cell r="U7064">
            <v>45604</v>
          </cell>
          <cell r="V7064">
            <v>45607</v>
          </cell>
          <cell r="W7064">
            <v>45607</v>
          </cell>
          <cell r="X7064">
            <v>41000590</v>
          </cell>
        </row>
        <row r="7065">
          <cell r="K7065" t="str">
            <v>GBWS-4996</v>
          </cell>
          <cell r="L7065">
            <v>45587</v>
          </cell>
          <cell r="M7065">
            <v>45587</v>
          </cell>
          <cell r="N7065">
            <v>45594</v>
          </cell>
          <cell r="O7065">
            <v>45587</v>
          </cell>
          <cell r="P7065">
            <v>45595</v>
          </cell>
          <cell r="Q7065">
            <v>45594</v>
          </cell>
          <cell r="R7065">
            <v>45595</v>
          </cell>
          <cell r="S7065">
            <v>45596</v>
          </cell>
          <cell r="T7065">
            <v>45597</v>
          </cell>
          <cell r="U7065">
            <v>45600</v>
          </cell>
          <cell r="V7065">
            <v>45601</v>
          </cell>
          <cell r="W7065">
            <v>45601</v>
          </cell>
          <cell r="X7065">
            <v>41200047</v>
          </cell>
        </row>
        <row r="7066">
          <cell r="K7066" t="str">
            <v>GBWS-4997</v>
          </cell>
          <cell r="L7066">
            <v>45587</v>
          </cell>
          <cell r="M7066">
            <v>45587</v>
          </cell>
          <cell r="N7066">
            <v>45594</v>
          </cell>
          <cell r="O7066">
            <v>45587</v>
          </cell>
          <cell r="P7066">
            <v>45595</v>
          </cell>
          <cell r="Q7066">
            <v>45594</v>
          </cell>
          <cell r="R7066">
            <v>45595</v>
          </cell>
          <cell r="S7066">
            <v>45597</v>
          </cell>
          <cell r="T7066">
            <v>45600</v>
          </cell>
          <cell r="U7066">
            <v>45601</v>
          </cell>
          <cell r="V7066">
            <v>45602</v>
          </cell>
          <cell r="W7066">
            <v>45602</v>
          </cell>
          <cell r="X7066">
            <v>41200047</v>
          </cell>
        </row>
        <row r="7067">
          <cell r="K7067" t="str">
            <v>GBWS-4998</v>
          </cell>
          <cell r="L7067">
            <v>45587</v>
          </cell>
          <cell r="M7067">
            <v>45587</v>
          </cell>
          <cell r="N7067">
            <v>45594</v>
          </cell>
          <cell r="O7067">
            <v>45587</v>
          </cell>
          <cell r="P7067">
            <v>45595</v>
          </cell>
          <cell r="Q7067">
            <v>45594</v>
          </cell>
          <cell r="R7067">
            <v>45595</v>
          </cell>
          <cell r="S7067">
            <v>45597</v>
          </cell>
          <cell r="T7067">
            <v>45600</v>
          </cell>
          <cell r="U7067">
            <v>45601</v>
          </cell>
          <cell r="V7067">
            <v>45602</v>
          </cell>
          <cell r="W7067">
            <v>45602</v>
          </cell>
          <cell r="X7067">
            <v>41200047</v>
          </cell>
        </row>
        <row r="7068">
          <cell r="K7068" t="str">
            <v>GBWS-5009</v>
          </cell>
          <cell r="L7068">
            <v>45589</v>
          </cell>
          <cell r="M7068">
            <v>45590</v>
          </cell>
          <cell r="N7068">
            <v>45597</v>
          </cell>
          <cell r="O7068">
            <v>45590</v>
          </cell>
          <cell r="P7068">
            <v>45600</v>
          </cell>
          <cell r="Q7068">
            <v>45597</v>
          </cell>
          <cell r="R7068">
            <v>45600</v>
          </cell>
          <cell r="S7068">
            <v>45601</v>
          </cell>
          <cell r="T7068">
            <v>45602</v>
          </cell>
          <cell r="U7068">
            <v>45603</v>
          </cell>
          <cell r="V7068">
            <v>45604</v>
          </cell>
          <cell r="W7068">
            <v>45604</v>
          </cell>
          <cell r="X7068">
            <v>41200047</v>
          </cell>
        </row>
        <row r="7069">
          <cell r="K7069" t="str">
            <v>GBWS-5010</v>
          </cell>
          <cell r="L7069">
            <v>45589</v>
          </cell>
          <cell r="M7069">
            <v>45590</v>
          </cell>
          <cell r="N7069">
            <v>45597</v>
          </cell>
          <cell r="O7069">
            <v>45590</v>
          </cell>
          <cell r="P7069">
            <v>45600</v>
          </cell>
          <cell r="Q7069">
            <v>45597</v>
          </cell>
          <cell r="R7069">
            <v>45600</v>
          </cell>
          <cell r="S7069">
            <v>45601</v>
          </cell>
          <cell r="T7069">
            <v>45602</v>
          </cell>
          <cell r="U7069">
            <v>45603</v>
          </cell>
          <cell r="V7069">
            <v>45604</v>
          </cell>
          <cell r="W7069">
            <v>45604</v>
          </cell>
          <cell r="X7069">
            <v>41200047</v>
          </cell>
        </row>
        <row r="7070">
          <cell r="K7070" t="str">
            <v>GBWS-5011</v>
          </cell>
          <cell r="L7070">
            <v>45589</v>
          </cell>
          <cell r="M7070">
            <v>45590</v>
          </cell>
          <cell r="N7070">
            <v>45597</v>
          </cell>
          <cell r="O7070">
            <v>45590</v>
          </cell>
          <cell r="P7070">
            <v>45600</v>
          </cell>
          <cell r="Q7070">
            <v>45597</v>
          </cell>
          <cell r="R7070">
            <v>45600</v>
          </cell>
          <cell r="S7070">
            <v>45601</v>
          </cell>
          <cell r="T7070">
            <v>45602</v>
          </cell>
          <cell r="U7070">
            <v>45603</v>
          </cell>
          <cell r="V7070">
            <v>45604</v>
          </cell>
          <cell r="W7070">
            <v>45604</v>
          </cell>
          <cell r="X7070">
            <v>41200047</v>
          </cell>
        </row>
        <row r="7071">
          <cell r="K7071" t="str">
            <v>GBWS-5012</v>
          </cell>
          <cell r="L7071">
            <v>45589</v>
          </cell>
          <cell r="M7071">
            <v>45590</v>
          </cell>
          <cell r="N7071">
            <v>45600</v>
          </cell>
          <cell r="O7071">
            <v>45590</v>
          </cell>
          <cell r="P7071">
            <v>45600</v>
          </cell>
          <cell r="Q7071">
            <v>45597</v>
          </cell>
          <cell r="R7071">
            <v>45600</v>
          </cell>
          <cell r="S7071">
            <v>45601</v>
          </cell>
          <cell r="T7071">
            <v>45602</v>
          </cell>
          <cell r="U7071">
            <v>45603</v>
          </cell>
          <cell r="V7071">
            <v>45604</v>
          </cell>
          <cell r="W7071">
            <v>45604</v>
          </cell>
          <cell r="X7071">
            <v>41200048</v>
          </cell>
        </row>
        <row r="7072">
          <cell r="K7072" t="str">
            <v>DBW-3538</v>
          </cell>
          <cell r="L7072">
            <v>45588</v>
          </cell>
          <cell r="M7072">
            <v>45590</v>
          </cell>
          <cell r="N7072">
            <v>45597</v>
          </cell>
          <cell r="O7072">
            <v>45590</v>
          </cell>
          <cell r="P7072">
            <v>45600</v>
          </cell>
          <cell r="Q7072">
            <v>45597</v>
          </cell>
          <cell r="R7072">
            <v>45600</v>
          </cell>
          <cell r="S7072">
            <v>45601</v>
          </cell>
          <cell r="T7072">
            <v>45602</v>
          </cell>
          <cell r="U7072">
            <v>45603</v>
          </cell>
          <cell r="V7072">
            <v>45604</v>
          </cell>
          <cell r="W7072">
            <v>45604</v>
          </cell>
          <cell r="X7072">
            <v>41000584</v>
          </cell>
        </row>
        <row r="7073">
          <cell r="K7073" t="str">
            <v>DBW-3539</v>
          </cell>
          <cell r="L7073">
            <v>45588</v>
          </cell>
          <cell r="M7073">
            <v>45590</v>
          </cell>
          <cell r="N7073">
            <v>45597</v>
          </cell>
          <cell r="O7073">
            <v>45590</v>
          </cell>
          <cell r="P7073">
            <v>45600</v>
          </cell>
          <cell r="Q7073">
            <v>45597</v>
          </cell>
          <cell r="R7073">
            <v>45600</v>
          </cell>
          <cell r="S7073">
            <v>45601</v>
          </cell>
          <cell r="T7073">
            <v>45602</v>
          </cell>
          <cell r="U7073">
            <v>45603</v>
          </cell>
          <cell r="V7073">
            <v>45604</v>
          </cell>
          <cell r="W7073">
            <v>45604</v>
          </cell>
          <cell r="X7073">
            <v>41000584</v>
          </cell>
        </row>
        <row r="7074">
          <cell r="K7074" t="str">
            <v>GBWS-5022</v>
          </cell>
          <cell r="L7074">
            <v>45593</v>
          </cell>
          <cell r="M7074">
            <v>45593</v>
          </cell>
          <cell r="N7074">
            <v>45600</v>
          </cell>
          <cell r="O7074">
            <v>45593</v>
          </cell>
          <cell r="P7074">
            <v>45601</v>
          </cell>
          <cell r="Q7074">
            <v>45600</v>
          </cell>
          <cell r="R7074">
            <v>45601</v>
          </cell>
          <cell r="S7074">
            <v>45602</v>
          </cell>
          <cell r="T7074">
            <v>45603</v>
          </cell>
          <cell r="U7074">
            <v>45604</v>
          </cell>
          <cell r="V7074">
            <v>45607</v>
          </cell>
          <cell r="W7074">
            <v>45607</v>
          </cell>
          <cell r="X7074">
            <v>41200076</v>
          </cell>
        </row>
        <row r="7075">
          <cell r="K7075" t="str">
            <v>GBWS-5023</v>
          </cell>
          <cell r="L7075">
            <v>45593</v>
          </cell>
          <cell r="M7075">
            <v>45593</v>
          </cell>
          <cell r="N7075">
            <v>45600</v>
          </cell>
          <cell r="O7075">
            <v>45593</v>
          </cell>
          <cell r="P7075">
            <v>45601</v>
          </cell>
          <cell r="Q7075">
            <v>45600</v>
          </cell>
          <cell r="R7075">
            <v>45601</v>
          </cell>
          <cell r="S7075">
            <v>45602</v>
          </cell>
          <cell r="T7075">
            <v>45603</v>
          </cell>
          <cell r="U7075">
            <v>45604</v>
          </cell>
          <cell r="V7075">
            <v>45607</v>
          </cell>
          <cell r="W7075">
            <v>45607</v>
          </cell>
          <cell r="X7075">
            <v>41200076</v>
          </cell>
        </row>
        <row r="7076">
          <cell r="K7076" t="str">
            <v>GBWS-5008</v>
          </cell>
          <cell r="L7076">
            <v>45588</v>
          </cell>
          <cell r="M7076">
            <v>45589</v>
          </cell>
          <cell r="N7076">
            <v>45596</v>
          </cell>
          <cell r="O7076">
            <v>45589</v>
          </cell>
          <cell r="P7076">
            <v>45596</v>
          </cell>
          <cell r="Q7076">
            <v>45596</v>
          </cell>
          <cell r="R7076">
            <v>45597</v>
          </cell>
          <cell r="S7076">
            <v>45603</v>
          </cell>
          <cell r="T7076">
            <v>45604</v>
          </cell>
          <cell r="U7076">
            <v>45607</v>
          </cell>
          <cell r="V7076">
            <v>45608</v>
          </cell>
          <cell r="W7076">
            <v>45608</v>
          </cell>
          <cell r="X7076">
            <v>41200076</v>
          </cell>
        </row>
        <row r="7077">
          <cell r="K7077" t="str">
            <v>DBW-3546</v>
          </cell>
          <cell r="L7077">
            <v>45595</v>
          </cell>
          <cell r="M7077">
            <v>45595</v>
          </cell>
          <cell r="N7077">
            <v>45602</v>
          </cell>
          <cell r="O7077">
            <v>45595</v>
          </cell>
          <cell r="P7077">
            <v>45601</v>
          </cell>
          <cell r="Q7077">
            <v>45602</v>
          </cell>
          <cell r="R7077">
            <v>45603</v>
          </cell>
          <cell r="S7077">
            <v>45603</v>
          </cell>
          <cell r="T7077">
            <v>45604</v>
          </cell>
          <cell r="U7077">
            <v>45607</v>
          </cell>
          <cell r="V7077">
            <v>45608</v>
          </cell>
          <cell r="W7077">
            <v>45608</v>
          </cell>
          <cell r="X7077">
            <v>41100696</v>
          </cell>
        </row>
        <row r="7078">
          <cell r="K7078" t="str">
            <v>GBWS-4964</v>
          </cell>
          <cell r="L7078">
            <v>45580</v>
          </cell>
          <cell r="M7078">
            <v>45581</v>
          </cell>
          <cell r="N7078">
            <v>45587</v>
          </cell>
          <cell r="O7078">
            <v>45581</v>
          </cell>
          <cell r="P7078">
            <v>45589</v>
          </cell>
          <cell r="Q7078">
            <v>45587</v>
          </cell>
          <cell r="R7078">
            <v>45588</v>
          </cell>
          <cell r="S7078">
            <v>45589</v>
          </cell>
          <cell r="T7078">
            <v>45590</v>
          </cell>
          <cell r="U7078">
            <v>45593</v>
          </cell>
          <cell r="V7078">
            <v>45594</v>
          </cell>
          <cell r="W7078">
            <v>45594</v>
          </cell>
          <cell r="X7078">
            <v>41200006</v>
          </cell>
        </row>
        <row r="7079">
          <cell r="K7079" t="str">
            <v>GBWS-4965</v>
          </cell>
          <cell r="L7079">
            <v>45580</v>
          </cell>
          <cell r="M7079">
            <v>45581</v>
          </cell>
          <cell r="N7079">
            <v>45587</v>
          </cell>
          <cell r="O7079">
            <v>45581</v>
          </cell>
          <cell r="P7079">
            <v>45589</v>
          </cell>
          <cell r="Q7079">
            <v>45587</v>
          </cell>
          <cell r="R7079">
            <v>45588</v>
          </cell>
          <cell r="S7079">
            <v>45589</v>
          </cell>
          <cell r="T7079">
            <v>45590</v>
          </cell>
          <cell r="U7079">
            <v>45593</v>
          </cell>
          <cell r="V7079">
            <v>45594</v>
          </cell>
          <cell r="W7079">
            <v>45594</v>
          </cell>
          <cell r="X7079">
            <v>41200006</v>
          </cell>
        </row>
        <row r="7080">
          <cell r="K7080" t="str">
            <v>GBWS-4927</v>
          </cell>
          <cell r="L7080">
            <v>45561</v>
          </cell>
          <cell r="M7080">
            <v>45562</v>
          </cell>
          <cell r="N7080">
            <v>45572</v>
          </cell>
          <cell r="O7080">
            <v>45562</v>
          </cell>
          <cell r="P7080">
            <v>45573</v>
          </cell>
          <cell r="Q7080">
            <v>45572</v>
          </cell>
          <cell r="R7080">
            <v>45573</v>
          </cell>
          <cell r="S7080">
            <v>45575</v>
          </cell>
          <cell r="T7080">
            <v>45579</v>
          </cell>
          <cell r="U7080">
            <v>45580</v>
          </cell>
          <cell r="V7080">
            <v>45581</v>
          </cell>
          <cell r="W7080">
            <v>45581</v>
          </cell>
          <cell r="X7080">
            <v>41200005</v>
          </cell>
        </row>
        <row r="7081">
          <cell r="K7081" t="str">
            <v>GBWS-4928</v>
          </cell>
          <cell r="L7081">
            <v>45561</v>
          </cell>
          <cell r="M7081">
            <v>45562</v>
          </cell>
          <cell r="N7081">
            <v>45572</v>
          </cell>
          <cell r="O7081">
            <v>45562</v>
          </cell>
          <cell r="P7081">
            <v>45573</v>
          </cell>
          <cell r="Q7081">
            <v>45572</v>
          </cell>
          <cell r="R7081">
            <v>45573</v>
          </cell>
          <cell r="S7081">
            <v>45575</v>
          </cell>
          <cell r="T7081">
            <v>45579</v>
          </cell>
          <cell r="U7081">
            <v>45580</v>
          </cell>
          <cell r="V7081">
            <v>45581</v>
          </cell>
          <cell r="W7081">
            <v>45581</v>
          </cell>
          <cell r="X7081">
            <v>41200005</v>
          </cell>
        </row>
        <row r="7082">
          <cell r="K7082" t="str">
            <v>-</v>
          </cell>
          <cell r="L7082">
            <v>45531</v>
          </cell>
          <cell r="M7082">
            <v>45531</v>
          </cell>
          <cell r="N7082">
            <v>45538</v>
          </cell>
          <cell r="O7082">
            <v>45531</v>
          </cell>
          <cell r="P7082">
            <v>45538</v>
          </cell>
          <cell r="Q7082">
            <v>45537</v>
          </cell>
          <cell r="R7082">
            <v>45538</v>
          </cell>
          <cell r="S7082">
            <v>45539</v>
          </cell>
          <cell r="T7082">
            <v>45539</v>
          </cell>
          <cell r="U7082">
            <v>45546</v>
          </cell>
          <cell r="V7082">
            <v>45546</v>
          </cell>
          <cell r="W7082">
            <v>45546</v>
          </cell>
          <cell r="X7082">
            <v>31200153</v>
          </cell>
        </row>
        <row r="7083">
          <cell r="K7083" t="str">
            <v>-</v>
          </cell>
          <cell r="L7083">
            <v>45526</v>
          </cell>
          <cell r="M7083">
            <v>45527</v>
          </cell>
          <cell r="N7083">
            <v>45531</v>
          </cell>
          <cell r="O7083">
            <v>45527</v>
          </cell>
          <cell r="P7083">
            <v>45531</v>
          </cell>
          <cell r="Q7083">
            <v>45532</v>
          </cell>
          <cell r="R7083">
            <v>45532</v>
          </cell>
          <cell r="S7083">
            <v>45533</v>
          </cell>
          <cell r="T7083">
            <v>45533</v>
          </cell>
          <cell r="U7083">
            <v>45555</v>
          </cell>
          <cell r="V7083">
            <v>45555</v>
          </cell>
          <cell r="W7083">
            <v>45555</v>
          </cell>
          <cell r="X7083">
            <v>31200150</v>
          </cell>
        </row>
        <row r="7084">
          <cell r="K7084" t="str">
            <v>-</v>
          </cell>
          <cell r="L7084">
            <v>45526</v>
          </cell>
          <cell r="M7084">
            <v>45527</v>
          </cell>
          <cell r="N7084">
            <v>45531</v>
          </cell>
          <cell r="O7084">
            <v>45527</v>
          </cell>
          <cell r="P7084">
            <v>45531</v>
          </cell>
          <cell r="Q7084">
            <v>45532</v>
          </cell>
          <cell r="R7084">
            <v>45532</v>
          </cell>
          <cell r="S7084">
            <v>45533</v>
          </cell>
          <cell r="T7084">
            <v>45533</v>
          </cell>
          <cell r="U7084">
            <v>45555</v>
          </cell>
          <cell r="V7084">
            <v>45555</v>
          </cell>
          <cell r="W7084">
            <v>45555</v>
          </cell>
          <cell r="X7084">
            <v>31200151</v>
          </cell>
        </row>
        <row r="7085">
          <cell r="K7085" t="str">
            <v>-</v>
          </cell>
          <cell r="L7085">
            <v>45531</v>
          </cell>
          <cell r="M7085">
            <v>45531</v>
          </cell>
          <cell r="N7085">
            <v>45538</v>
          </cell>
          <cell r="O7085">
            <v>45531</v>
          </cell>
          <cell r="P7085">
            <v>45538</v>
          </cell>
          <cell r="Q7085">
            <v>45538</v>
          </cell>
          <cell r="R7085">
            <v>45538</v>
          </cell>
          <cell r="S7085">
            <v>45539</v>
          </cell>
          <cell r="T7085">
            <v>45539</v>
          </cell>
          <cell r="U7085">
            <v>45558</v>
          </cell>
          <cell r="V7085">
            <v>45558</v>
          </cell>
          <cell r="W7085">
            <v>45558</v>
          </cell>
          <cell r="X7085">
            <v>31200152</v>
          </cell>
        </row>
        <row r="7086">
          <cell r="K7086" t="str">
            <v>DBW-3544</v>
          </cell>
          <cell r="L7086">
            <v>45595</v>
          </cell>
          <cell r="M7086">
            <v>45595</v>
          </cell>
          <cell r="N7086">
            <v>45601</v>
          </cell>
          <cell r="O7086">
            <v>45595</v>
          </cell>
          <cell r="P7086">
            <v>45601</v>
          </cell>
          <cell r="Q7086">
            <v>45602</v>
          </cell>
          <cell r="R7086">
            <v>45603</v>
          </cell>
          <cell r="S7086">
            <v>45604</v>
          </cell>
          <cell r="T7086">
            <v>45607</v>
          </cell>
          <cell r="U7086">
            <v>45608</v>
          </cell>
          <cell r="V7086">
            <v>45609</v>
          </cell>
          <cell r="W7086">
            <v>45609</v>
          </cell>
          <cell r="X7086">
            <v>41000590</v>
          </cell>
        </row>
        <row r="7087">
          <cell r="K7087" t="str">
            <v>DBW-3545</v>
          </cell>
          <cell r="L7087">
            <v>45595</v>
          </cell>
          <cell r="M7087">
            <v>45595</v>
          </cell>
          <cell r="N7087">
            <v>45601</v>
          </cell>
          <cell r="O7087">
            <v>45595</v>
          </cell>
          <cell r="P7087">
            <v>45601</v>
          </cell>
          <cell r="Q7087">
            <v>45602</v>
          </cell>
          <cell r="R7087">
            <v>45603</v>
          </cell>
          <cell r="S7087">
            <v>45604</v>
          </cell>
          <cell r="T7087">
            <v>45607</v>
          </cell>
          <cell r="U7087">
            <v>45608</v>
          </cell>
          <cell r="V7087">
            <v>45609</v>
          </cell>
          <cell r="W7087">
            <v>45609</v>
          </cell>
          <cell r="X7087">
            <v>41000590</v>
          </cell>
        </row>
        <row r="7088">
          <cell r="K7088"/>
          <cell r="L7088">
            <v>45594</v>
          </cell>
          <cell r="M7088">
            <v>45594</v>
          </cell>
          <cell r="N7088">
            <v>45603</v>
          </cell>
          <cell r="O7088">
            <v>45594</v>
          </cell>
          <cell r="P7088">
            <v>45607</v>
          </cell>
          <cell r="Q7088">
            <v>45602</v>
          </cell>
          <cell r="R7088">
            <v>45603</v>
          </cell>
          <cell r="S7088">
            <v>45607</v>
          </cell>
          <cell r="T7088">
            <v>45607</v>
          </cell>
          <cell r="U7088">
            <v>45608</v>
          </cell>
          <cell r="V7088">
            <v>45610</v>
          </cell>
          <cell r="W7088">
            <v>45610</v>
          </cell>
          <cell r="X7088">
            <v>31200260</v>
          </cell>
        </row>
        <row r="7089">
          <cell r="K7089"/>
          <cell r="L7089">
            <v>45594</v>
          </cell>
          <cell r="M7089">
            <v>45594</v>
          </cell>
          <cell r="N7089">
            <v>45603</v>
          </cell>
          <cell r="O7089">
            <v>45594</v>
          </cell>
          <cell r="P7089">
            <v>45607</v>
          </cell>
          <cell r="Q7089">
            <v>45602</v>
          </cell>
          <cell r="R7089">
            <v>45603</v>
          </cell>
          <cell r="S7089">
            <v>45607</v>
          </cell>
          <cell r="T7089">
            <v>45607</v>
          </cell>
          <cell r="U7089">
            <v>45607</v>
          </cell>
          <cell r="V7089">
            <v>45610</v>
          </cell>
          <cell r="W7089">
            <v>45610</v>
          </cell>
          <cell r="X7089">
            <v>31200266</v>
          </cell>
        </row>
        <row r="7090">
          <cell r="K7090"/>
          <cell r="L7090">
            <v>45596</v>
          </cell>
          <cell r="M7090">
            <v>45596</v>
          </cell>
          <cell r="N7090">
            <v>45607</v>
          </cell>
          <cell r="O7090">
            <v>45596</v>
          </cell>
          <cell r="P7090">
            <v>45607</v>
          </cell>
          <cell r="Q7090">
            <v>45604</v>
          </cell>
          <cell r="R7090">
            <v>45607</v>
          </cell>
          <cell r="S7090">
            <v>45607</v>
          </cell>
          <cell r="T7090">
            <v>45607</v>
          </cell>
          <cell r="U7090">
            <v>45609</v>
          </cell>
          <cell r="V7090">
            <v>45610</v>
          </cell>
          <cell r="W7090">
            <v>45610</v>
          </cell>
          <cell r="X7090">
            <v>31200272</v>
          </cell>
        </row>
        <row r="7091">
          <cell r="K7091"/>
          <cell r="L7091">
            <v>45590</v>
          </cell>
          <cell r="M7091">
            <v>45590</v>
          </cell>
          <cell r="N7091">
            <v>45597</v>
          </cell>
          <cell r="O7091">
            <v>45590</v>
          </cell>
          <cell r="P7091">
            <v>45597</v>
          </cell>
          <cell r="Q7091">
            <v>45600</v>
          </cell>
          <cell r="R7091">
            <v>45601</v>
          </cell>
          <cell r="S7091">
            <v>45600</v>
          </cell>
          <cell r="T7091">
            <v>45600</v>
          </cell>
          <cell r="U7091">
            <v>45603</v>
          </cell>
          <cell r="V7091">
            <v>45610</v>
          </cell>
          <cell r="W7091">
            <v>45610</v>
          </cell>
          <cell r="X7091">
            <v>31010467</v>
          </cell>
        </row>
        <row r="7092">
          <cell r="K7092"/>
          <cell r="L7092">
            <v>45590</v>
          </cell>
          <cell r="M7092">
            <v>45590</v>
          </cell>
          <cell r="N7092">
            <v>45597</v>
          </cell>
          <cell r="O7092">
            <v>45590</v>
          </cell>
          <cell r="P7092">
            <v>45597</v>
          </cell>
          <cell r="Q7092">
            <v>45600</v>
          </cell>
          <cell r="R7092">
            <v>45601</v>
          </cell>
          <cell r="S7092">
            <v>45600</v>
          </cell>
          <cell r="T7092">
            <v>45600</v>
          </cell>
          <cell r="U7092">
            <v>45603</v>
          </cell>
          <cell r="V7092">
            <v>45610</v>
          </cell>
          <cell r="W7092">
            <v>45610</v>
          </cell>
          <cell r="X7092">
            <v>31101694</v>
          </cell>
        </row>
        <row r="7093">
          <cell r="K7093" t="str">
            <v>DBW-3554</v>
          </cell>
          <cell r="L7093">
            <v>45596</v>
          </cell>
          <cell r="M7093" t="str">
            <v>2024-11-04 → 11/01</v>
          </cell>
          <cell r="N7093">
            <v>45603</v>
          </cell>
          <cell r="O7093" t="str">
            <v>2024-11-04 → 11/01</v>
          </cell>
          <cell r="P7093">
            <v>45604</v>
          </cell>
          <cell r="Q7093" t="str">
            <v>2024-11-11 → 11/07</v>
          </cell>
          <cell r="R7093" t="str">
            <v>2024-11-12 → 11/08</v>
          </cell>
          <cell r="S7093">
            <v>45607</v>
          </cell>
          <cell r="T7093">
            <v>45608</v>
          </cell>
          <cell r="U7093">
            <v>45609</v>
          </cell>
          <cell r="V7093">
            <v>45610</v>
          </cell>
          <cell r="W7093">
            <v>45610</v>
          </cell>
          <cell r="X7093">
            <v>41100655</v>
          </cell>
        </row>
        <row r="7094">
          <cell r="K7094" t="str">
            <v>DBW-3555</v>
          </cell>
          <cell r="L7094">
            <v>45596</v>
          </cell>
          <cell r="M7094" t="str">
            <v>2024-11-04 → 11/01</v>
          </cell>
          <cell r="N7094">
            <v>45603</v>
          </cell>
          <cell r="O7094" t="str">
            <v>2024-11-04 → 11/01</v>
          </cell>
          <cell r="P7094">
            <v>45604</v>
          </cell>
          <cell r="Q7094" t="str">
            <v>2024-11-11 → 11/07</v>
          </cell>
          <cell r="R7094" t="str">
            <v>2024-11-12 → 11/08</v>
          </cell>
          <cell r="S7094">
            <v>45607</v>
          </cell>
          <cell r="T7094">
            <v>45608</v>
          </cell>
          <cell r="U7094">
            <v>45609</v>
          </cell>
          <cell r="V7094">
            <v>45610</v>
          </cell>
          <cell r="W7094">
            <v>45610</v>
          </cell>
          <cell r="X7094">
            <v>41100647</v>
          </cell>
        </row>
        <row r="7095">
          <cell r="K7095" t="str">
            <v>DBW-3556</v>
          </cell>
          <cell r="L7095">
            <v>45596</v>
          </cell>
          <cell r="M7095" t="str">
            <v>2024-11-04 → 11/01</v>
          </cell>
          <cell r="N7095">
            <v>45603</v>
          </cell>
          <cell r="O7095" t="str">
            <v>2024-11-04 → 11/01</v>
          </cell>
          <cell r="P7095">
            <v>45604</v>
          </cell>
          <cell r="Q7095" t="str">
            <v>2024-11-11 → 11/07</v>
          </cell>
          <cell r="R7095" t="str">
            <v>2024-11-12 → 11/08</v>
          </cell>
          <cell r="S7095">
            <v>45607</v>
          </cell>
          <cell r="T7095">
            <v>45608</v>
          </cell>
          <cell r="U7095">
            <v>45609</v>
          </cell>
          <cell r="V7095">
            <v>45610</v>
          </cell>
          <cell r="W7095">
            <v>45610</v>
          </cell>
          <cell r="X7095">
            <v>41100647</v>
          </cell>
        </row>
        <row r="7096">
          <cell r="K7096" t="str">
            <v>GBWS-5030</v>
          </cell>
          <cell r="L7096">
            <v>45596</v>
          </cell>
          <cell r="M7096" t="str">
            <v>2024-11-07 → 11/01</v>
          </cell>
          <cell r="N7096">
            <v>45603</v>
          </cell>
          <cell r="O7096" t="str">
            <v>2024-11-07 → 11/08</v>
          </cell>
          <cell r="P7096">
            <v>45604</v>
          </cell>
          <cell r="Q7096" t="str">
            <v>2024-11-15 → 11/07</v>
          </cell>
          <cell r="R7096" t="str">
            <v>2024-11-18 → 11/08</v>
          </cell>
          <cell r="S7096">
            <v>45607</v>
          </cell>
          <cell r="T7096">
            <v>45608</v>
          </cell>
          <cell r="U7096">
            <v>45609</v>
          </cell>
          <cell r="V7096">
            <v>45610</v>
          </cell>
          <cell r="W7096">
            <v>45610</v>
          </cell>
          <cell r="X7096">
            <v>41100673</v>
          </cell>
        </row>
        <row r="7097">
          <cell r="K7097" t="str">
            <v>DBW-3517</v>
          </cell>
          <cell r="L7097">
            <v>45545</v>
          </cell>
          <cell r="M7097">
            <v>45546</v>
          </cell>
          <cell r="N7097">
            <v>45558</v>
          </cell>
          <cell r="O7097">
            <v>45546</v>
          </cell>
          <cell r="P7097">
            <v>45559</v>
          </cell>
          <cell r="Q7097">
            <v>45558</v>
          </cell>
          <cell r="R7097">
            <v>45559</v>
          </cell>
          <cell r="S7097">
            <v>45561</v>
          </cell>
          <cell r="T7097">
            <v>45562</v>
          </cell>
          <cell r="U7097">
            <v>45567</v>
          </cell>
          <cell r="V7097">
            <v>45567</v>
          </cell>
          <cell r="W7097">
            <v>45567</v>
          </cell>
          <cell r="X7097">
            <v>41100668</v>
          </cell>
        </row>
        <row r="7098">
          <cell r="K7098" t="str">
            <v>DBW-3549</v>
          </cell>
          <cell r="L7098">
            <v>45595</v>
          </cell>
          <cell r="M7098">
            <v>45596</v>
          </cell>
          <cell r="N7098">
            <v>45603</v>
          </cell>
          <cell r="O7098">
            <v>45596</v>
          </cell>
          <cell r="P7098">
            <v>45604</v>
          </cell>
          <cell r="Q7098">
            <v>45603</v>
          </cell>
          <cell r="R7098">
            <v>45604</v>
          </cell>
          <cell r="S7098">
            <v>45607</v>
          </cell>
          <cell r="T7098">
            <v>45609</v>
          </cell>
          <cell r="U7098">
            <v>45610</v>
          </cell>
          <cell r="V7098">
            <v>45611</v>
          </cell>
          <cell r="W7098">
            <v>45611</v>
          </cell>
          <cell r="X7098">
            <v>41200053</v>
          </cell>
        </row>
        <row r="7099">
          <cell r="K7099" t="str">
            <v>DBW-3550</v>
          </cell>
          <cell r="L7099">
            <v>45595</v>
          </cell>
          <cell r="M7099">
            <v>45596</v>
          </cell>
          <cell r="N7099">
            <v>45603</v>
          </cell>
          <cell r="O7099">
            <v>45596</v>
          </cell>
          <cell r="P7099">
            <v>45604</v>
          </cell>
          <cell r="Q7099">
            <v>45603</v>
          </cell>
          <cell r="R7099">
            <v>45604</v>
          </cell>
          <cell r="S7099">
            <v>45607</v>
          </cell>
          <cell r="T7099">
            <v>45609</v>
          </cell>
          <cell r="U7099">
            <v>45610</v>
          </cell>
          <cell r="V7099">
            <v>45611</v>
          </cell>
          <cell r="W7099">
            <v>45611</v>
          </cell>
          <cell r="X7099">
            <v>41200053</v>
          </cell>
        </row>
        <row r="7100">
          <cell r="K7100" t="str">
            <v>DBW-3518</v>
          </cell>
          <cell r="L7100">
            <v>45545</v>
          </cell>
          <cell r="M7100">
            <v>45546</v>
          </cell>
          <cell r="N7100">
            <v>45558</v>
          </cell>
          <cell r="O7100">
            <v>45546</v>
          </cell>
          <cell r="P7100">
            <v>45559</v>
          </cell>
          <cell r="Q7100">
            <v>45558</v>
          </cell>
          <cell r="R7100">
            <v>45559</v>
          </cell>
          <cell r="S7100">
            <v>45561</v>
          </cell>
          <cell r="T7100">
            <v>45562</v>
          </cell>
          <cell r="U7100">
            <v>45573</v>
          </cell>
          <cell r="V7100">
            <v>45575</v>
          </cell>
          <cell r="W7100">
            <v>45575</v>
          </cell>
          <cell r="X7100">
            <v>41100668</v>
          </cell>
        </row>
        <row r="7101">
          <cell r="K7101" t="str">
            <v>GPWS-0435</v>
          </cell>
          <cell r="L7101">
            <v>45595</v>
          </cell>
          <cell r="M7101">
            <v>45596</v>
          </cell>
          <cell r="N7101">
            <v>45603</v>
          </cell>
          <cell r="O7101">
            <v>45596</v>
          </cell>
          <cell r="P7101">
            <v>45604</v>
          </cell>
          <cell r="Q7101">
            <v>45603</v>
          </cell>
          <cell r="R7101">
            <v>45604</v>
          </cell>
          <cell r="S7101">
            <v>45608</v>
          </cell>
          <cell r="T7101">
            <v>45609</v>
          </cell>
          <cell r="U7101">
            <v>45610</v>
          </cell>
          <cell r="V7101">
            <v>45611</v>
          </cell>
          <cell r="W7101">
            <v>45611</v>
          </cell>
          <cell r="X7101">
            <v>41200077</v>
          </cell>
        </row>
        <row r="7102">
          <cell r="K7102" t="str">
            <v>GBWS-5027</v>
          </cell>
          <cell r="L7102">
            <v>45595</v>
          </cell>
          <cell r="M7102">
            <v>45595</v>
          </cell>
          <cell r="N7102">
            <v>45602</v>
          </cell>
          <cell r="O7102">
            <v>45595</v>
          </cell>
          <cell r="P7102">
            <v>45603</v>
          </cell>
          <cell r="Q7102">
            <v>45602</v>
          </cell>
          <cell r="R7102">
            <v>45603</v>
          </cell>
          <cell r="S7102">
            <v>45604</v>
          </cell>
          <cell r="T7102">
            <v>45607</v>
          </cell>
          <cell r="U7102">
            <v>45608</v>
          </cell>
          <cell r="V7102">
            <v>45609</v>
          </cell>
          <cell r="W7102">
            <v>45609</v>
          </cell>
          <cell r="X7102">
            <v>41100320</v>
          </cell>
        </row>
        <row r="7103">
          <cell r="K7103" t="str">
            <v>GBWS-5031</v>
          </cell>
          <cell r="L7103">
            <v>45596</v>
          </cell>
          <cell r="M7103">
            <v>45597</v>
          </cell>
          <cell r="N7103">
            <v>45604</v>
          </cell>
          <cell r="O7103">
            <v>45597</v>
          </cell>
          <cell r="P7103">
            <v>45607</v>
          </cell>
          <cell r="Q7103">
            <v>45604</v>
          </cell>
          <cell r="R7103">
            <v>45607</v>
          </cell>
          <cell r="S7103">
            <v>45608</v>
          </cell>
          <cell r="T7103">
            <v>45609</v>
          </cell>
          <cell r="U7103">
            <v>45610</v>
          </cell>
          <cell r="V7103">
            <v>45615</v>
          </cell>
          <cell r="W7103">
            <v>45615</v>
          </cell>
          <cell r="X7103">
            <v>41200033</v>
          </cell>
        </row>
        <row r="7104">
          <cell r="K7104" t="str">
            <v>GBWS-5032</v>
          </cell>
          <cell r="L7104">
            <v>45596</v>
          </cell>
          <cell r="M7104">
            <v>45597</v>
          </cell>
          <cell r="N7104">
            <v>45604</v>
          </cell>
          <cell r="O7104">
            <v>45597</v>
          </cell>
          <cell r="P7104">
            <v>45607</v>
          </cell>
          <cell r="Q7104">
            <v>45604</v>
          </cell>
          <cell r="R7104">
            <v>45607</v>
          </cell>
          <cell r="S7104">
            <v>45608</v>
          </cell>
          <cell r="T7104">
            <v>45609</v>
          </cell>
          <cell r="U7104">
            <v>45610</v>
          </cell>
          <cell r="V7104">
            <v>45611</v>
          </cell>
          <cell r="W7104">
            <v>45611</v>
          </cell>
          <cell r="X7104">
            <v>41200033</v>
          </cell>
        </row>
        <row r="7105">
          <cell r="K7105" t="str">
            <v>GBWS-5033</v>
          </cell>
          <cell r="L7105">
            <v>45596</v>
          </cell>
          <cell r="M7105">
            <v>45597</v>
          </cell>
          <cell r="N7105">
            <v>45605</v>
          </cell>
          <cell r="O7105">
            <v>45597</v>
          </cell>
          <cell r="P7105">
            <v>45607</v>
          </cell>
          <cell r="Q7105">
            <v>45604</v>
          </cell>
          <cell r="R7105">
            <v>45607</v>
          </cell>
          <cell r="S7105">
            <v>45609</v>
          </cell>
          <cell r="T7105">
            <v>45610</v>
          </cell>
          <cell r="U7105">
            <v>45611</v>
          </cell>
          <cell r="V7105">
            <v>45614</v>
          </cell>
          <cell r="W7105">
            <v>45614</v>
          </cell>
          <cell r="X7105">
            <v>41200034</v>
          </cell>
        </row>
        <row r="7106">
          <cell r="K7106" t="str">
            <v>GBWS-5034</v>
          </cell>
          <cell r="L7106">
            <v>45596</v>
          </cell>
          <cell r="M7106">
            <v>45597</v>
          </cell>
          <cell r="N7106">
            <v>45605</v>
          </cell>
          <cell r="O7106">
            <v>45597</v>
          </cell>
          <cell r="P7106">
            <v>45607</v>
          </cell>
          <cell r="Q7106">
            <v>45604</v>
          </cell>
          <cell r="R7106">
            <v>45607</v>
          </cell>
          <cell r="S7106">
            <v>45609</v>
          </cell>
          <cell r="T7106">
            <v>45610</v>
          </cell>
          <cell r="U7106">
            <v>45611</v>
          </cell>
          <cell r="V7106">
            <v>45614</v>
          </cell>
          <cell r="W7106">
            <v>45614</v>
          </cell>
          <cell r="X7106">
            <v>41200034</v>
          </cell>
        </row>
        <row r="7107">
          <cell r="K7107" t="str">
            <v>GBWS-5042</v>
          </cell>
          <cell r="L7107">
            <v>45600</v>
          </cell>
          <cell r="M7107">
            <v>45601</v>
          </cell>
          <cell r="N7107">
            <v>45608</v>
          </cell>
          <cell r="O7107">
            <v>45601</v>
          </cell>
          <cell r="P7107">
            <v>45608</v>
          </cell>
          <cell r="Q7107">
            <v>45608</v>
          </cell>
          <cell r="R7107">
            <v>45609</v>
          </cell>
          <cell r="S7107">
            <v>45610</v>
          </cell>
          <cell r="T7107">
            <v>45611</v>
          </cell>
          <cell r="U7107">
            <v>45614</v>
          </cell>
          <cell r="V7107">
            <v>45615</v>
          </cell>
          <cell r="W7107">
            <v>45615</v>
          </cell>
          <cell r="X7107">
            <v>41200036</v>
          </cell>
        </row>
        <row r="7108">
          <cell r="K7108" t="str">
            <v>GBWS-5035</v>
          </cell>
          <cell r="L7108">
            <v>45596</v>
          </cell>
          <cell r="M7108">
            <v>45597</v>
          </cell>
          <cell r="N7108">
            <v>45607</v>
          </cell>
          <cell r="O7108">
            <v>45597</v>
          </cell>
          <cell r="P7108">
            <v>45608</v>
          </cell>
          <cell r="Q7108">
            <v>45607</v>
          </cell>
          <cell r="R7108">
            <v>45608</v>
          </cell>
          <cell r="S7108">
            <v>45609</v>
          </cell>
          <cell r="T7108">
            <v>45610</v>
          </cell>
          <cell r="U7108">
            <v>45611</v>
          </cell>
          <cell r="V7108">
            <v>45614</v>
          </cell>
          <cell r="W7108">
            <v>45614</v>
          </cell>
          <cell r="X7108">
            <v>41200036</v>
          </cell>
        </row>
        <row r="7109">
          <cell r="K7109" t="str">
            <v>GBWS-5036</v>
          </cell>
          <cell r="L7109">
            <v>45596</v>
          </cell>
          <cell r="M7109">
            <v>45597</v>
          </cell>
          <cell r="N7109">
            <v>45607</v>
          </cell>
          <cell r="O7109">
            <v>45597</v>
          </cell>
          <cell r="P7109">
            <v>45608</v>
          </cell>
          <cell r="Q7109">
            <v>45607</v>
          </cell>
          <cell r="R7109">
            <v>45608</v>
          </cell>
          <cell r="S7109">
            <v>45609</v>
          </cell>
          <cell r="T7109">
            <v>45610</v>
          </cell>
          <cell r="U7109">
            <v>45611</v>
          </cell>
          <cell r="V7109">
            <v>45614</v>
          </cell>
          <cell r="W7109">
            <v>45614</v>
          </cell>
          <cell r="X7109">
            <v>41200036</v>
          </cell>
        </row>
        <row r="7110">
          <cell r="K7110" t="str">
            <v>GBWS-5037</v>
          </cell>
          <cell r="L7110">
            <v>45596</v>
          </cell>
          <cell r="M7110">
            <v>45597</v>
          </cell>
          <cell r="N7110">
            <v>45607</v>
          </cell>
          <cell r="O7110">
            <v>45597</v>
          </cell>
          <cell r="P7110">
            <v>45608</v>
          </cell>
          <cell r="Q7110">
            <v>45607</v>
          </cell>
          <cell r="R7110">
            <v>45608</v>
          </cell>
          <cell r="S7110">
            <v>45609</v>
          </cell>
          <cell r="T7110">
            <v>45610</v>
          </cell>
          <cell r="U7110">
            <v>45611</v>
          </cell>
          <cell r="V7110">
            <v>45614</v>
          </cell>
          <cell r="W7110">
            <v>45614</v>
          </cell>
          <cell r="X7110">
            <v>41200036</v>
          </cell>
        </row>
        <row r="7111">
          <cell r="K7111" t="str">
            <v>GBWS-5038</v>
          </cell>
          <cell r="L7111">
            <v>45596</v>
          </cell>
          <cell r="M7111">
            <v>45597</v>
          </cell>
          <cell r="N7111">
            <v>45607</v>
          </cell>
          <cell r="O7111">
            <v>45597</v>
          </cell>
          <cell r="P7111">
            <v>45608</v>
          </cell>
          <cell r="Q7111">
            <v>45607</v>
          </cell>
          <cell r="R7111">
            <v>45608</v>
          </cell>
          <cell r="S7111">
            <v>45610</v>
          </cell>
          <cell r="T7111">
            <v>45611</v>
          </cell>
          <cell r="U7111">
            <v>45614</v>
          </cell>
          <cell r="V7111">
            <v>45615</v>
          </cell>
          <cell r="W7111">
            <v>45615</v>
          </cell>
          <cell r="X7111">
            <v>41200036</v>
          </cell>
        </row>
        <row r="7112">
          <cell r="K7112" t="str">
            <v>GBWS-5052</v>
          </cell>
          <cell r="L7112">
            <v>45600</v>
          </cell>
          <cell r="M7112">
            <v>45602</v>
          </cell>
          <cell r="N7112">
            <v>45609</v>
          </cell>
          <cell r="O7112">
            <v>45602</v>
          </cell>
          <cell r="P7112">
            <v>45609</v>
          </cell>
          <cell r="Q7112">
            <v>45609</v>
          </cell>
          <cell r="R7112">
            <v>45610</v>
          </cell>
          <cell r="S7112">
            <v>45611</v>
          </cell>
          <cell r="T7112">
            <v>45614</v>
          </cell>
          <cell r="U7112">
            <v>45615</v>
          </cell>
          <cell r="V7112">
            <v>45616</v>
          </cell>
          <cell r="W7112">
            <v>45616</v>
          </cell>
          <cell r="X7112">
            <v>41100350</v>
          </cell>
        </row>
        <row r="7113">
          <cell r="K7113" t="str">
            <v>GBWS-5046</v>
          </cell>
          <cell r="L7113">
            <v>45600</v>
          </cell>
          <cell r="M7113">
            <v>45601</v>
          </cell>
          <cell r="N7113">
            <v>45608</v>
          </cell>
          <cell r="O7113">
            <v>45601</v>
          </cell>
          <cell r="P7113">
            <v>45609</v>
          </cell>
          <cell r="Q7113">
            <v>45608</v>
          </cell>
          <cell r="R7113">
            <v>45609</v>
          </cell>
          <cell r="S7113">
            <v>45610</v>
          </cell>
          <cell r="T7113">
            <v>45611</v>
          </cell>
          <cell r="U7113">
            <v>45614</v>
          </cell>
          <cell r="V7113">
            <v>45615</v>
          </cell>
          <cell r="W7113">
            <v>45615</v>
          </cell>
          <cell r="X7113">
            <v>41200047</v>
          </cell>
        </row>
        <row r="7114">
          <cell r="K7114" t="str">
            <v>GBWS-5047</v>
          </cell>
          <cell r="L7114">
            <v>45600</v>
          </cell>
          <cell r="M7114">
            <v>45601</v>
          </cell>
          <cell r="N7114">
            <v>45608</v>
          </cell>
          <cell r="O7114">
            <v>45601</v>
          </cell>
          <cell r="P7114">
            <v>45609</v>
          </cell>
          <cell r="Q7114">
            <v>45608</v>
          </cell>
          <cell r="R7114">
            <v>45609</v>
          </cell>
          <cell r="S7114">
            <v>45610</v>
          </cell>
          <cell r="T7114">
            <v>45611</v>
          </cell>
          <cell r="U7114">
            <v>45614</v>
          </cell>
          <cell r="V7114">
            <v>45615</v>
          </cell>
          <cell r="W7114">
            <v>45615</v>
          </cell>
          <cell r="X7114">
            <v>41200047</v>
          </cell>
        </row>
        <row r="7115">
          <cell r="K7115" t="str">
            <v>GBWS-5048</v>
          </cell>
          <cell r="L7115">
            <v>45600</v>
          </cell>
          <cell r="M7115">
            <v>45601</v>
          </cell>
          <cell r="N7115">
            <v>45608</v>
          </cell>
          <cell r="O7115">
            <v>45601</v>
          </cell>
          <cell r="P7115">
            <v>45609</v>
          </cell>
          <cell r="Q7115">
            <v>45608</v>
          </cell>
          <cell r="R7115">
            <v>45609</v>
          </cell>
          <cell r="S7115">
            <v>45611</v>
          </cell>
          <cell r="T7115">
            <v>45614</v>
          </cell>
          <cell r="U7115">
            <v>45615</v>
          </cell>
          <cell r="V7115">
            <v>45616</v>
          </cell>
          <cell r="W7115">
            <v>45616</v>
          </cell>
          <cell r="X7115">
            <v>41200047</v>
          </cell>
        </row>
        <row r="7116">
          <cell r="K7116" t="str">
            <v>DBW-3547</v>
          </cell>
          <cell r="L7116">
            <v>45595</v>
          </cell>
          <cell r="M7116">
            <v>45596</v>
          </cell>
          <cell r="N7116">
            <v>45603</v>
          </cell>
          <cell r="O7116">
            <v>45596</v>
          </cell>
          <cell r="P7116">
            <v>45604</v>
          </cell>
          <cell r="Q7116">
            <v>45603</v>
          </cell>
          <cell r="R7116">
            <v>45604</v>
          </cell>
          <cell r="S7116">
            <v>45607</v>
          </cell>
          <cell r="T7116">
            <v>45608</v>
          </cell>
          <cell r="U7116">
            <v>45609</v>
          </cell>
          <cell r="V7116">
            <v>45610</v>
          </cell>
          <cell r="W7116">
            <v>45610</v>
          </cell>
          <cell r="X7116">
            <v>41200053</v>
          </cell>
        </row>
        <row r="7117">
          <cell r="K7117" t="str">
            <v>DBW-3548</v>
          </cell>
          <cell r="L7117">
            <v>45595</v>
          </cell>
          <cell r="M7117">
            <v>45596</v>
          </cell>
          <cell r="N7117">
            <v>45603</v>
          </cell>
          <cell r="O7117">
            <v>45596</v>
          </cell>
          <cell r="P7117">
            <v>45604</v>
          </cell>
          <cell r="Q7117">
            <v>45603</v>
          </cell>
          <cell r="R7117">
            <v>45604</v>
          </cell>
          <cell r="S7117">
            <v>45607</v>
          </cell>
          <cell r="T7117">
            <v>45608</v>
          </cell>
          <cell r="U7117">
            <v>45609</v>
          </cell>
          <cell r="V7117">
            <v>45610</v>
          </cell>
          <cell r="W7117">
            <v>45610</v>
          </cell>
          <cell r="X7117">
            <v>41200053</v>
          </cell>
        </row>
        <row r="7118">
          <cell r="K7118"/>
          <cell r="L7118">
            <v>45542</v>
          </cell>
          <cell r="M7118">
            <v>45544</v>
          </cell>
          <cell r="N7118">
            <v>45547</v>
          </cell>
          <cell r="O7118">
            <v>45544</v>
          </cell>
          <cell r="P7118">
            <v>45547</v>
          </cell>
          <cell r="Q7118">
            <v>45554</v>
          </cell>
          <cell r="R7118">
            <v>45554</v>
          </cell>
          <cell r="S7118">
            <v>45560</v>
          </cell>
          <cell r="T7118">
            <v>45560</v>
          </cell>
          <cell r="U7118">
            <v>45595</v>
          </cell>
          <cell r="V7118">
            <v>45595</v>
          </cell>
          <cell r="W7118">
            <v>45595</v>
          </cell>
          <cell r="X7118">
            <v>31200190</v>
          </cell>
        </row>
        <row r="7119">
          <cell r="K7119"/>
          <cell r="L7119">
            <v>45545</v>
          </cell>
          <cell r="M7119">
            <v>45545</v>
          </cell>
          <cell r="N7119">
            <v>45548</v>
          </cell>
          <cell r="O7119">
            <v>45545</v>
          </cell>
          <cell r="P7119">
            <v>45548</v>
          </cell>
          <cell r="Q7119">
            <v>45554</v>
          </cell>
          <cell r="R7119">
            <v>45554</v>
          </cell>
          <cell r="S7119"/>
          <cell r="T7119"/>
          <cell r="U7119"/>
          <cell r="V7119"/>
          <cell r="W7119"/>
          <cell r="X7119">
            <v>41100320</v>
          </cell>
        </row>
        <row r="7120">
          <cell r="K7120"/>
          <cell r="L7120">
            <v>45545</v>
          </cell>
          <cell r="M7120">
            <v>45545</v>
          </cell>
          <cell r="N7120">
            <v>45548</v>
          </cell>
          <cell r="O7120">
            <v>45545</v>
          </cell>
          <cell r="P7120">
            <v>45548</v>
          </cell>
          <cell r="Q7120">
            <v>45555</v>
          </cell>
          <cell r="R7120">
            <v>45555</v>
          </cell>
          <cell r="S7120"/>
          <cell r="T7120"/>
          <cell r="U7120"/>
          <cell r="V7120"/>
          <cell r="W7120"/>
          <cell r="X7120">
            <v>41200030</v>
          </cell>
        </row>
        <row r="7121">
          <cell r="K7121"/>
          <cell r="L7121">
            <v>45545</v>
          </cell>
          <cell r="M7121">
            <v>45545</v>
          </cell>
          <cell r="N7121">
            <v>45548</v>
          </cell>
          <cell r="O7121">
            <v>45547</v>
          </cell>
          <cell r="P7121">
            <v>45548</v>
          </cell>
          <cell r="Q7121">
            <v>45555</v>
          </cell>
          <cell r="R7121">
            <v>45555</v>
          </cell>
          <cell r="S7121"/>
          <cell r="T7121"/>
          <cell r="U7121"/>
          <cell r="V7121"/>
          <cell r="W7121"/>
          <cell r="X7121">
            <v>41100334</v>
          </cell>
        </row>
        <row r="7122">
          <cell r="K7122"/>
          <cell r="L7122">
            <v>45546</v>
          </cell>
          <cell r="M7122">
            <v>45546</v>
          </cell>
          <cell r="N7122">
            <v>45548</v>
          </cell>
          <cell r="O7122">
            <v>45546</v>
          </cell>
          <cell r="P7122">
            <v>45548</v>
          </cell>
          <cell r="Q7122">
            <v>45554</v>
          </cell>
          <cell r="R7122">
            <v>45554</v>
          </cell>
          <cell r="S7122"/>
          <cell r="T7122"/>
          <cell r="U7122"/>
          <cell r="V7122"/>
          <cell r="W7122"/>
          <cell r="X7122">
            <v>41200051</v>
          </cell>
        </row>
        <row r="7123">
          <cell r="K7123"/>
          <cell r="L7123">
            <v>45546</v>
          </cell>
          <cell r="M7123">
            <v>45546</v>
          </cell>
          <cell r="N7123">
            <v>45548</v>
          </cell>
          <cell r="O7123">
            <v>45546</v>
          </cell>
          <cell r="P7123">
            <v>45548</v>
          </cell>
          <cell r="Q7123">
            <v>45558</v>
          </cell>
          <cell r="R7123">
            <v>45558</v>
          </cell>
          <cell r="S7123"/>
          <cell r="T7123"/>
          <cell r="U7123"/>
          <cell r="V7123"/>
          <cell r="W7123"/>
          <cell r="X7123">
            <v>41200034</v>
          </cell>
        </row>
        <row r="7124">
          <cell r="K7124"/>
          <cell r="L7124">
            <v>45546</v>
          </cell>
          <cell r="M7124">
            <v>45546</v>
          </cell>
          <cell r="N7124">
            <v>45548</v>
          </cell>
          <cell r="O7124">
            <v>45546</v>
          </cell>
          <cell r="P7124">
            <v>45548</v>
          </cell>
          <cell r="Q7124">
            <v>45558</v>
          </cell>
          <cell r="R7124">
            <v>45558</v>
          </cell>
          <cell r="S7124"/>
          <cell r="T7124"/>
          <cell r="U7124"/>
          <cell r="V7124"/>
          <cell r="W7124"/>
          <cell r="X7124">
            <v>41200036</v>
          </cell>
        </row>
        <row r="7125">
          <cell r="K7125"/>
          <cell r="L7125">
            <v>45546</v>
          </cell>
          <cell r="M7125">
            <v>45546</v>
          </cell>
          <cell r="N7125">
            <v>45548</v>
          </cell>
          <cell r="O7125">
            <v>45546</v>
          </cell>
          <cell r="P7125">
            <v>45548</v>
          </cell>
          <cell r="Q7125">
            <v>45558</v>
          </cell>
          <cell r="R7125">
            <v>45558</v>
          </cell>
          <cell r="S7125"/>
          <cell r="T7125"/>
          <cell r="U7125"/>
          <cell r="V7125"/>
          <cell r="W7125"/>
          <cell r="X7125">
            <v>41200039</v>
          </cell>
        </row>
        <row r="7126">
          <cell r="K7126"/>
          <cell r="L7126">
            <v>45547</v>
          </cell>
          <cell r="M7126">
            <v>45547</v>
          </cell>
          <cell r="N7126">
            <v>45548</v>
          </cell>
          <cell r="O7126">
            <v>45547</v>
          </cell>
          <cell r="P7126">
            <v>45548</v>
          </cell>
          <cell r="Q7126">
            <v>45558</v>
          </cell>
          <cell r="R7126">
            <v>45558</v>
          </cell>
          <cell r="S7126"/>
          <cell r="T7126"/>
          <cell r="U7126"/>
          <cell r="V7126"/>
          <cell r="W7126"/>
          <cell r="X7126">
            <v>41100697</v>
          </cell>
        </row>
        <row r="7127">
          <cell r="K7127"/>
          <cell r="L7127">
            <v>45547</v>
          </cell>
          <cell r="M7127">
            <v>45547</v>
          </cell>
          <cell r="N7127">
            <v>45548</v>
          </cell>
          <cell r="O7127">
            <v>45547</v>
          </cell>
          <cell r="P7127">
            <v>45548</v>
          </cell>
          <cell r="Q7127">
            <v>45559</v>
          </cell>
          <cell r="R7127">
            <v>45559</v>
          </cell>
          <cell r="S7127"/>
          <cell r="T7127"/>
          <cell r="U7127"/>
          <cell r="V7127"/>
          <cell r="W7127"/>
          <cell r="X7127">
            <v>41100320</v>
          </cell>
        </row>
        <row r="7128">
          <cell r="K7128"/>
          <cell r="L7128">
            <v>45545</v>
          </cell>
          <cell r="M7128">
            <v>45546</v>
          </cell>
          <cell r="N7128">
            <v>45558</v>
          </cell>
          <cell r="O7128">
            <v>45546</v>
          </cell>
          <cell r="P7128">
            <v>45558</v>
          </cell>
          <cell r="Q7128">
            <v>45559</v>
          </cell>
          <cell r="R7128">
            <v>45559</v>
          </cell>
          <cell r="S7128">
            <v>45560</v>
          </cell>
          <cell r="T7128">
            <v>45560</v>
          </cell>
          <cell r="U7128">
            <v>45595</v>
          </cell>
          <cell r="V7128">
            <v>45595</v>
          </cell>
          <cell r="W7128">
            <v>45595</v>
          </cell>
          <cell r="X7128">
            <v>31200189</v>
          </cell>
        </row>
        <row r="7129">
          <cell r="K7129"/>
          <cell r="L7129">
            <v>45545</v>
          </cell>
          <cell r="M7129">
            <v>45546</v>
          </cell>
          <cell r="N7129">
            <v>45558</v>
          </cell>
          <cell r="O7129">
            <v>45546</v>
          </cell>
          <cell r="P7129">
            <v>45558</v>
          </cell>
          <cell r="Q7129">
            <v>45559</v>
          </cell>
          <cell r="R7129">
            <v>45559</v>
          </cell>
          <cell r="S7129">
            <v>45560</v>
          </cell>
          <cell r="T7129">
            <v>45560</v>
          </cell>
          <cell r="U7129">
            <v>45595</v>
          </cell>
          <cell r="V7129">
            <v>45595</v>
          </cell>
          <cell r="W7129">
            <v>45595</v>
          </cell>
          <cell r="X7129">
            <v>31200188</v>
          </cell>
        </row>
        <row r="7130">
          <cell r="K7130" t="str">
            <v>DBW-3560</v>
          </cell>
          <cell r="L7130">
            <v>45602</v>
          </cell>
          <cell r="M7130" t="str">
            <v>2024-10-31 → 11/7</v>
          </cell>
          <cell r="N7130">
            <v>45611</v>
          </cell>
          <cell r="O7130" t="str">
            <v>2024-10-31 → 11/7</v>
          </cell>
          <cell r="P7130">
            <v>45609</v>
          </cell>
          <cell r="Q7130" t="str">
            <v>2024-11-06 → 11/13</v>
          </cell>
          <cell r="R7130" t="str">
            <v>2024-11-07 → 11/14</v>
          </cell>
          <cell r="S7130">
            <v>45611</v>
          </cell>
          <cell r="T7130">
            <v>45614</v>
          </cell>
          <cell r="U7130">
            <v>45615</v>
          </cell>
          <cell r="V7130">
            <v>45616</v>
          </cell>
          <cell r="W7130">
            <v>45616</v>
          </cell>
          <cell r="X7130">
            <v>41000587</v>
          </cell>
        </row>
        <row r="7131">
          <cell r="K7131" t="str">
            <v>GBWS-5025</v>
          </cell>
          <cell r="L7131">
            <v>45588</v>
          </cell>
          <cell r="M7131">
            <v>45590</v>
          </cell>
          <cell r="N7131">
            <v>45597</v>
          </cell>
          <cell r="O7131">
            <v>45590</v>
          </cell>
          <cell r="P7131">
            <v>45600</v>
          </cell>
          <cell r="Q7131">
            <v>45597</v>
          </cell>
          <cell r="R7131">
            <v>45600</v>
          </cell>
          <cell r="S7131">
            <v>45602</v>
          </cell>
          <cell r="T7131">
            <v>45603</v>
          </cell>
          <cell r="U7131">
            <v>45604</v>
          </cell>
          <cell r="V7131">
            <v>45608</v>
          </cell>
          <cell r="W7131">
            <v>45608</v>
          </cell>
          <cell r="X7131">
            <v>41200006</v>
          </cell>
        </row>
        <row r="7132">
          <cell r="K7132" t="str">
            <v>GBWS-5026</v>
          </cell>
          <cell r="L7132">
            <v>45588</v>
          </cell>
          <cell r="M7132">
            <v>45590</v>
          </cell>
          <cell r="N7132">
            <v>45597</v>
          </cell>
          <cell r="O7132">
            <v>45590</v>
          </cell>
          <cell r="P7132">
            <v>45600</v>
          </cell>
          <cell r="Q7132">
            <v>45597</v>
          </cell>
          <cell r="R7132">
            <v>45600</v>
          </cell>
          <cell r="S7132">
            <v>45602</v>
          </cell>
          <cell r="T7132">
            <v>45603</v>
          </cell>
          <cell r="U7132">
            <v>45607</v>
          </cell>
          <cell r="V7132">
            <v>45608</v>
          </cell>
          <cell r="W7132">
            <v>45608</v>
          </cell>
          <cell r="X7132">
            <v>41200006</v>
          </cell>
        </row>
        <row r="7133">
          <cell r="K7133" t="str">
            <v>DBW-3531</v>
          </cell>
          <cell r="L7133">
            <v>45580</v>
          </cell>
          <cell r="M7133">
            <v>45581</v>
          </cell>
          <cell r="N7133">
            <v>45587</v>
          </cell>
          <cell r="O7133">
            <v>45581</v>
          </cell>
          <cell r="P7133">
            <v>45588</v>
          </cell>
          <cell r="Q7133">
            <v>45587</v>
          </cell>
          <cell r="R7133">
            <v>45588</v>
          </cell>
          <cell r="S7133">
            <v>45588</v>
          </cell>
          <cell r="T7133">
            <v>45589</v>
          </cell>
          <cell r="U7133">
            <v>45590</v>
          </cell>
          <cell r="V7133">
            <v>45593</v>
          </cell>
          <cell r="W7133">
            <v>45593</v>
          </cell>
          <cell r="X7133">
            <v>41200025</v>
          </cell>
        </row>
        <row r="7134">
          <cell r="K7134" t="str">
            <v>DBW-3532</v>
          </cell>
          <cell r="L7134">
            <v>45580</v>
          </cell>
          <cell r="M7134">
            <v>45581</v>
          </cell>
          <cell r="N7134">
            <v>45587</v>
          </cell>
          <cell r="O7134">
            <v>45581</v>
          </cell>
          <cell r="P7134">
            <v>45588</v>
          </cell>
          <cell r="Q7134">
            <v>45587</v>
          </cell>
          <cell r="R7134">
            <v>45588</v>
          </cell>
          <cell r="S7134">
            <v>45589</v>
          </cell>
          <cell r="T7134">
            <v>45590</v>
          </cell>
          <cell r="U7134">
            <v>45593</v>
          </cell>
          <cell r="V7134">
            <v>45594</v>
          </cell>
          <cell r="W7134">
            <v>45594</v>
          </cell>
          <cell r="X7134">
            <v>41200025</v>
          </cell>
        </row>
        <row r="7135">
          <cell r="K7135" t="str">
            <v>GBWS-4966</v>
          </cell>
          <cell r="L7135">
            <v>45580</v>
          </cell>
          <cell r="M7135">
            <v>45581</v>
          </cell>
          <cell r="N7135">
            <v>45587</v>
          </cell>
          <cell r="O7135">
            <v>45581</v>
          </cell>
          <cell r="P7135">
            <v>45588</v>
          </cell>
          <cell r="Q7135">
            <v>45587</v>
          </cell>
          <cell r="R7135">
            <v>45588</v>
          </cell>
          <cell r="S7135">
            <v>45589</v>
          </cell>
          <cell r="T7135">
            <v>45589</v>
          </cell>
          <cell r="U7135">
            <v>45590</v>
          </cell>
          <cell r="V7135">
            <v>45593</v>
          </cell>
          <cell r="W7135">
            <v>45593</v>
          </cell>
          <cell r="X7135">
            <v>41200005</v>
          </cell>
        </row>
        <row r="7136">
          <cell r="K7136" t="str">
            <v>GBWS-4967</v>
          </cell>
          <cell r="L7136">
            <v>45580</v>
          </cell>
          <cell r="M7136">
            <v>45581</v>
          </cell>
          <cell r="N7136">
            <v>45587</v>
          </cell>
          <cell r="O7136">
            <v>45581</v>
          </cell>
          <cell r="P7136">
            <v>45588</v>
          </cell>
          <cell r="Q7136">
            <v>45587</v>
          </cell>
          <cell r="R7136">
            <v>45588</v>
          </cell>
          <cell r="S7136">
            <v>45588</v>
          </cell>
          <cell r="T7136">
            <v>45589</v>
          </cell>
          <cell r="U7136">
            <v>45590</v>
          </cell>
          <cell r="V7136">
            <v>45593</v>
          </cell>
          <cell r="W7136">
            <v>45593</v>
          </cell>
          <cell r="X7136">
            <v>41200005</v>
          </cell>
        </row>
        <row r="7137">
          <cell r="K7137" t="str">
            <v>DBW-3557</v>
          </cell>
          <cell r="L7137">
            <v>45600</v>
          </cell>
          <cell r="M7137">
            <v>45600</v>
          </cell>
          <cell r="N7137">
            <v>45604</v>
          </cell>
          <cell r="O7137">
            <v>45600</v>
          </cell>
          <cell r="P7137">
            <v>45604</v>
          </cell>
          <cell r="Q7137">
            <v>45607</v>
          </cell>
          <cell r="R7137">
            <v>45608</v>
          </cell>
          <cell r="S7137">
            <v>45607</v>
          </cell>
          <cell r="T7137">
            <v>45610</v>
          </cell>
          <cell r="U7137">
            <v>45611</v>
          </cell>
          <cell r="V7137">
            <v>45614</v>
          </cell>
          <cell r="W7137">
            <v>45614</v>
          </cell>
          <cell r="X7137">
            <v>41200025</v>
          </cell>
        </row>
        <row r="7138">
          <cell r="K7138" t="str">
            <v>DBW-3558</v>
          </cell>
          <cell r="L7138">
            <v>45600</v>
          </cell>
          <cell r="M7138">
            <v>45600</v>
          </cell>
          <cell r="N7138">
            <v>45604</v>
          </cell>
          <cell r="O7138">
            <v>45600</v>
          </cell>
          <cell r="P7138">
            <v>45604</v>
          </cell>
          <cell r="Q7138">
            <v>45607</v>
          </cell>
          <cell r="R7138">
            <v>45608</v>
          </cell>
          <cell r="S7138">
            <v>45607</v>
          </cell>
          <cell r="T7138">
            <v>45610</v>
          </cell>
          <cell r="U7138">
            <v>45611</v>
          </cell>
          <cell r="V7138">
            <v>45614</v>
          </cell>
          <cell r="W7138">
            <v>45614</v>
          </cell>
          <cell r="X7138">
            <v>41200025</v>
          </cell>
        </row>
        <row r="7139">
          <cell r="K7139" t="str">
            <v>GBWS-5058</v>
          </cell>
          <cell r="L7139">
            <v>45601</v>
          </cell>
          <cell r="M7139">
            <v>45602</v>
          </cell>
          <cell r="N7139">
            <v>45609</v>
          </cell>
          <cell r="O7139">
            <v>45602</v>
          </cell>
          <cell r="P7139">
            <v>45610</v>
          </cell>
          <cell r="Q7139">
            <v>45609</v>
          </cell>
          <cell r="R7139">
            <v>45610</v>
          </cell>
          <cell r="S7139">
            <v>45614</v>
          </cell>
          <cell r="T7139">
            <v>45615</v>
          </cell>
          <cell r="U7139">
            <v>45616</v>
          </cell>
          <cell r="V7139">
            <v>45617</v>
          </cell>
          <cell r="W7139">
            <v>45617</v>
          </cell>
          <cell r="X7139">
            <v>41000553</v>
          </cell>
        </row>
        <row r="7140">
          <cell r="K7140" t="str">
            <v>GBWS-5059</v>
          </cell>
          <cell r="L7140">
            <v>45602</v>
          </cell>
          <cell r="M7140">
            <v>45603</v>
          </cell>
          <cell r="N7140">
            <v>45610</v>
          </cell>
          <cell r="O7140">
            <v>45603</v>
          </cell>
          <cell r="P7140">
            <v>45611</v>
          </cell>
          <cell r="Q7140">
            <v>45610</v>
          </cell>
          <cell r="R7140">
            <v>45611</v>
          </cell>
          <cell r="S7140">
            <v>45614</v>
          </cell>
          <cell r="T7140">
            <v>45615</v>
          </cell>
          <cell r="U7140">
            <v>45616</v>
          </cell>
          <cell r="V7140">
            <v>45617</v>
          </cell>
          <cell r="W7140">
            <v>45617</v>
          </cell>
          <cell r="X7140">
            <v>41000555</v>
          </cell>
        </row>
        <row r="7141">
          <cell r="K7141" t="str">
            <v>GBWS-5043</v>
          </cell>
          <cell r="L7141">
            <v>45600</v>
          </cell>
          <cell r="M7141">
            <v>45601</v>
          </cell>
          <cell r="N7141">
            <v>45608</v>
          </cell>
          <cell r="O7141">
            <v>45601</v>
          </cell>
          <cell r="P7141">
            <v>45609</v>
          </cell>
          <cell r="Q7141">
            <v>45608</v>
          </cell>
          <cell r="R7141">
            <v>45609</v>
          </cell>
          <cell r="S7141">
            <v>45610</v>
          </cell>
          <cell r="T7141">
            <v>45611</v>
          </cell>
          <cell r="U7141">
            <v>45616</v>
          </cell>
          <cell r="V7141">
            <v>45617</v>
          </cell>
          <cell r="W7141">
            <v>45617</v>
          </cell>
          <cell r="X7141">
            <v>41200076</v>
          </cell>
        </row>
        <row r="7142">
          <cell r="K7142" t="str">
            <v>GBWS-5062</v>
          </cell>
          <cell r="L7142">
            <v>45602</v>
          </cell>
          <cell r="M7142">
            <v>45603</v>
          </cell>
          <cell r="N7142">
            <v>45610</v>
          </cell>
          <cell r="O7142">
            <v>45603</v>
          </cell>
          <cell r="P7142">
            <v>45611</v>
          </cell>
          <cell r="Q7142">
            <v>45610</v>
          </cell>
          <cell r="R7142">
            <v>45611</v>
          </cell>
          <cell r="S7142">
            <v>45614</v>
          </cell>
          <cell r="T7142">
            <v>45615</v>
          </cell>
          <cell r="U7142">
            <v>45616</v>
          </cell>
          <cell r="V7142">
            <v>45617</v>
          </cell>
          <cell r="W7142">
            <v>45617</v>
          </cell>
          <cell r="X7142">
            <v>41100372</v>
          </cell>
        </row>
        <row r="7143">
          <cell r="K7143"/>
          <cell r="L7143">
            <v>45600</v>
          </cell>
          <cell r="M7143">
            <v>45600</v>
          </cell>
          <cell r="N7143">
            <v>45607</v>
          </cell>
          <cell r="O7143">
            <v>45600</v>
          </cell>
          <cell r="P7143">
            <v>45607</v>
          </cell>
          <cell r="Q7143">
            <v>45607</v>
          </cell>
          <cell r="R7143">
            <v>45608</v>
          </cell>
          <cell r="S7143">
            <v>45614</v>
          </cell>
          <cell r="T7143">
            <v>45614</v>
          </cell>
          <cell r="U7143">
            <v>45615</v>
          </cell>
          <cell r="V7143">
            <v>45617</v>
          </cell>
          <cell r="W7143">
            <v>45617</v>
          </cell>
          <cell r="X7143">
            <v>31010467</v>
          </cell>
        </row>
        <row r="7144">
          <cell r="K7144"/>
          <cell r="L7144">
            <v>45600</v>
          </cell>
          <cell r="M7144">
            <v>45600</v>
          </cell>
          <cell r="N7144">
            <v>45607</v>
          </cell>
          <cell r="O7144">
            <v>45600</v>
          </cell>
          <cell r="P7144">
            <v>45607</v>
          </cell>
          <cell r="Q7144">
            <v>45607</v>
          </cell>
          <cell r="R7144">
            <v>45608</v>
          </cell>
          <cell r="S7144">
            <v>45614</v>
          </cell>
          <cell r="T7144">
            <v>45614</v>
          </cell>
          <cell r="U7144">
            <v>45615</v>
          </cell>
          <cell r="V7144">
            <v>45617</v>
          </cell>
          <cell r="W7144">
            <v>45617</v>
          </cell>
          <cell r="X7144" t="str">
            <v>31010467 → 31010466</v>
          </cell>
        </row>
        <row r="7145">
          <cell r="K7145"/>
          <cell r="L7145">
            <v>45600</v>
          </cell>
          <cell r="M7145">
            <v>45600</v>
          </cell>
          <cell r="N7145">
            <v>45607</v>
          </cell>
          <cell r="O7145">
            <v>45600</v>
          </cell>
          <cell r="P7145">
            <v>45607</v>
          </cell>
          <cell r="Q7145">
            <v>45607</v>
          </cell>
          <cell r="R7145">
            <v>45608</v>
          </cell>
          <cell r="S7145">
            <v>45614</v>
          </cell>
          <cell r="T7145">
            <v>45614</v>
          </cell>
          <cell r="U7145">
            <v>45615</v>
          </cell>
          <cell r="V7145">
            <v>45617</v>
          </cell>
          <cell r="W7145">
            <v>45617</v>
          </cell>
          <cell r="X7145">
            <v>31102258</v>
          </cell>
        </row>
        <row r="7146">
          <cell r="K7146"/>
          <cell r="L7146">
            <v>45600</v>
          </cell>
          <cell r="M7146">
            <v>45600</v>
          </cell>
          <cell r="N7146">
            <v>45607</v>
          </cell>
          <cell r="O7146">
            <v>45600</v>
          </cell>
          <cell r="P7146">
            <v>45607</v>
          </cell>
          <cell r="Q7146">
            <v>45607</v>
          </cell>
          <cell r="R7146">
            <v>45608</v>
          </cell>
          <cell r="S7146">
            <v>45614</v>
          </cell>
          <cell r="T7146">
            <v>45614</v>
          </cell>
          <cell r="U7146">
            <v>45615</v>
          </cell>
          <cell r="V7146">
            <v>45617</v>
          </cell>
          <cell r="W7146">
            <v>45617</v>
          </cell>
          <cell r="X7146">
            <v>31200266</v>
          </cell>
        </row>
        <row r="7147">
          <cell r="K7147"/>
          <cell r="L7147">
            <v>45604</v>
          </cell>
          <cell r="M7147">
            <v>45604</v>
          </cell>
          <cell r="N7147">
            <v>45610</v>
          </cell>
          <cell r="O7147">
            <v>45604</v>
          </cell>
          <cell r="P7147">
            <v>45607</v>
          </cell>
          <cell r="Q7147">
            <v>45611</v>
          </cell>
          <cell r="R7147">
            <v>45614</v>
          </cell>
          <cell r="S7147">
            <v>45614</v>
          </cell>
          <cell r="T7147">
            <v>45614</v>
          </cell>
          <cell r="U7147">
            <v>45616</v>
          </cell>
          <cell r="V7147">
            <v>45617</v>
          </cell>
          <cell r="W7147">
            <v>45617</v>
          </cell>
          <cell r="X7147">
            <v>31102290</v>
          </cell>
        </row>
        <row r="7148">
          <cell r="K7148"/>
          <cell r="L7148">
            <v>45604</v>
          </cell>
          <cell r="M7148">
            <v>45604</v>
          </cell>
          <cell r="N7148">
            <v>45610</v>
          </cell>
          <cell r="O7148">
            <v>45604</v>
          </cell>
          <cell r="P7148">
            <v>45607</v>
          </cell>
          <cell r="Q7148">
            <v>45611</v>
          </cell>
          <cell r="R7148">
            <v>45614</v>
          </cell>
          <cell r="S7148">
            <v>45614</v>
          </cell>
          <cell r="T7148">
            <v>45614</v>
          </cell>
          <cell r="U7148">
            <v>45616</v>
          </cell>
          <cell r="V7148">
            <v>45617</v>
          </cell>
          <cell r="W7148">
            <v>45617</v>
          </cell>
          <cell r="X7148">
            <v>31102292</v>
          </cell>
        </row>
        <row r="7149">
          <cell r="K7149"/>
          <cell r="L7149">
            <v>45604</v>
          </cell>
          <cell r="M7149">
            <v>45604</v>
          </cell>
          <cell r="N7149">
            <v>45610</v>
          </cell>
          <cell r="O7149">
            <v>45604</v>
          </cell>
          <cell r="P7149">
            <v>45607</v>
          </cell>
          <cell r="Q7149">
            <v>45611</v>
          </cell>
          <cell r="R7149">
            <v>45614</v>
          </cell>
          <cell r="S7149">
            <v>45614</v>
          </cell>
          <cell r="T7149">
            <v>45614</v>
          </cell>
          <cell r="U7149">
            <v>45616</v>
          </cell>
          <cell r="V7149">
            <v>45617</v>
          </cell>
          <cell r="W7149">
            <v>45617</v>
          </cell>
          <cell r="X7149">
            <v>31102306</v>
          </cell>
        </row>
        <row r="7150">
          <cell r="K7150"/>
          <cell r="L7150">
            <v>45604</v>
          </cell>
          <cell r="M7150">
            <v>45604</v>
          </cell>
          <cell r="N7150">
            <v>45610</v>
          </cell>
          <cell r="O7150">
            <v>45604</v>
          </cell>
          <cell r="P7150">
            <v>45607</v>
          </cell>
          <cell r="Q7150">
            <v>45611</v>
          </cell>
          <cell r="R7150">
            <v>45614</v>
          </cell>
          <cell r="S7150">
            <v>45614</v>
          </cell>
          <cell r="T7150">
            <v>45614</v>
          </cell>
          <cell r="U7150">
            <v>45616</v>
          </cell>
          <cell r="V7150">
            <v>45617</v>
          </cell>
          <cell r="W7150">
            <v>45617</v>
          </cell>
          <cell r="X7150">
            <v>31200260</v>
          </cell>
        </row>
        <row r="7151">
          <cell r="K7151"/>
          <cell r="L7151">
            <v>45610</v>
          </cell>
          <cell r="M7151">
            <v>45610</v>
          </cell>
          <cell r="N7151">
            <v>45615</v>
          </cell>
          <cell r="O7151">
            <v>45610</v>
          </cell>
          <cell r="P7151">
            <v>45615</v>
          </cell>
          <cell r="Q7151" t="str">
            <v>2024-11-20 → 11/19</v>
          </cell>
          <cell r="R7151" t="str">
            <v>2024-11-20 → 11/19</v>
          </cell>
          <cell r="S7151">
            <v>45616</v>
          </cell>
          <cell r="T7151">
            <v>45616</v>
          </cell>
          <cell r="U7151">
            <v>45617</v>
          </cell>
          <cell r="V7151">
            <v>45617</v>
          </cell>
          <cell r="W7151">
            <v>45617</v>
          </cell>
          <cell r="X7151">
            <v>31102304</v>
          </cell>
        </row>
        <row r="7152">
          <cell r="K7152"/>
          <cell r="L7152">
            <v>45608</v>
          </cell>
          <cell r="M7152">
            <v>45608</v>
          </cell>
          <cell r="N7152">
            <v>45614</v>
          </cell>
          <cell r="O7152">
            <v>45608</v>
          </cell>
          <cell r="P7152">
            <v>45614</v>
          </cell>
          <cell r="Q7152">
            <v>45614</v>
          </cell>
          <cell r="R7152">
            <v>45614</v>
          </cell>
          <cell r="S7152"/>
          <cell r="T7152"/>
          <cell r="U7152"/>
          <cell r="V7152"/>
          <cell r="W7152"/>
          <cell r="X7152">
            <v>31102371</v>
          </cell>
        </row>
        <row r="7153">
          <cell r="K7153" t="str">
            <v>SOS-0335</v>
          </cell>
          <cell r="L7153">
            <v>45608</v>
          </cell>
          <cell r="M7153">
            <v>45608</v>
          </cell>
          <cell r="N7153">
            <v>45611</v>
          </cell>
          <cell r="O7153">
            <v>45608</v>
          </cell>
          <cell r="P7153">
            <v>45611</v>
          </cell>
          <cell r="Q7153">
            <v>45611</v>
          </cell>
          <cell r="R7153">
            <v>45614</v>
          </cell>
          <cell r="S7153">
            <v>45615</v>
          </cell>
          <cell r="T7153">
            <v>45615</v>
          </cell>
          <cell r="U7153">
            <v>45618</v>
          </cell>
          <cell r="V7153">
            <v>45621</v>
          </cell>
          <cell r="W7153">
            <v>45621</v>
          </cell>
          <cell r="X7153">
            <v>41000558</v>
          </cell>
        </row>
        <row r="7154">
          <cell r="K7154" t="str">
            <v>-</v>
          </cell>
          <cell r="L7154">
            <v>45608</v>
          </cell>
          <cell r="M7154">
            <v>45608</v>
          </cell>
          <cell r="N7154">
            <v>45611</v>
          </cell>
          <cell r="O7154">
            <v>45608</v>
          </cell>
          <cell r="P7154">
            <v>45611</v>
          </cell>
          <cell r="Q7154">
            <v>45611</v>
          </cell>
          <cell r="R7154">
            <v>45614</v>
          </cell>
          <cell r="S7154">
            <v>45615</v>
          </cell>
          <cell r="T7154">
            <v>45615</v>
          </cell>
          <cell r="U7154">
            <v>45618</v>
          </cell>
          <cell r="V7154">
            <v>45621</v>
          </cell>
          <cell r="W7154">
            <v>45621</v>
          </cell>
          <cell r="X7154">
            <v>31010312</v>
          </cell>
        </row>
        <row r="7155">
          <cell r="K7155" t="str">
            <v>DBW-3551</v>
          </cell>
          <cell r="L7155">
            <v>45596</v>
          </cell>
          <cell r="M7155">
            <v>45597</v>
          </cell>
          <cell r="N7155">
            <v>45604</v>
          </cell>
          <cell r="O7155">
            <v>45597</v>
          </cell>
          <cell r="P7155">
            <v>45607</v>
          </cell>
          <cell r="Q7155">
            <v>45604</v>
          </cell>
          <cell r="R7155">
            <v>45607</v>
          </cell>
          <cell r="S7155">
            <v>45608</v>
          </cell>
          <cell r="T7155">
            <v>45609</v>
          </cell>
          <cell r="U7155">
            <v>45610</v>
          </cell>
          <cell r="V7155">
            <v>45611</v>
          </cell>
          <cell r="W7155">
            <v>45611</v>
          </cell>
          <cell r="X7155">
            <v>41100668</v>
          </cell>
        </row>
        <row r="7156">
          <cell r="K7156" t="str">
            <v>GBWS-5051</v>
          </cell>
          <cell r="L7156">
            <v>45600</v>
          </cell>
          <cell r="M7156">
            <v>45602</v>
          </cell>
          <cell r="N7156">
            <v>45609</v>
          </cell>
          <cell r="O7156">
            <v>45602</v>
          </cell>
          <cell r="P7156">
            <v>45609</v>
          </cell>
          <cell r="Q7156">
            <v>45609</v>
          </cell>
          <cell r="R7156">
            <v>45610</v>
          </cell>
          <cell r="S7156">
            <v>45615</v>
          </cell>
          <cell r="T7156">
            <v>45616</v>
          </cell>
          <cell r="U7156">
            <v>45618</v>
          </cell>
          <cell r="V7156">
            <v>45621</v>
          </cell>
          <cell r="W7156">
            <v>45621</v>
          </cell>
          <cell r="X7156">
            <v>41100286</v>
          </cell>
        </row>
        <row r="7157">
          <cell r="K7157" t="str">
            <v>DBW-3542</v>
          </cell>
          <cell r="L7157">
            <v>45595</v>
          </cell>
          <cell r="M7157">
            <v>45595</v>
          </cell>
          <cell r="N7157">
            <v>45602</v>
          </cell>
          <cell r="O7157">
            <v>45595</v>
          </cell>
          <cell r="P7157">
            <v>45601</v>
          </cell>
          <cell r="Q7157">
            <v>45602</v>
          </cell>
          <cell r="R7157">
            <v>45603</v>
          </cell>
          <cell r="S7157">
            <v>45604</v>
          </cell>
          <cell r="T7157">
            <v>45607</v>
          </cell>
          <cell r="U7157">
            <v>45608</v>
          </cell>
          <cell r="V7157">
            <v>45609</v>
          </cell>
          <cell r="W7157">
            <v>45609</v>
          </cell>
          <cell r="X7157">
            <v>41000588</v>
          </cell>
        </row>
        <row r="7158">
          <cell r="K7158" t="str">
            <v>DBW-3543</v>
          </cell>
          <cell r="L7158">
            <v>45595</v>
          </cell>
          <cell r="M7158">
            <v>45595</v>
          </cell>
          <cell r="N7158">
            <v>45602</v>
          </cell>
          <cell r="O7158">
            <v>45595</v>
          </cell>
          <cell r="P7158">
            <v>45601</v>
          </cell>
          <cell r="Q7158">
            <v>45602</v>
          </cell>
          <cell r="R7158">
            <v>45603</v>
          </cell>
          <cell r="S7158">
            <v>45604</v>
          </cell>
          <cell r="T7158">
            <v>45607</v>
          </cell>
          <cell r="U7158">
            <v>45608</v>
          </cell>
          <cell r="V7158">
            <v>45609</v>
          </cell>
          <cell r="W7158">
            <v>45609</v>
          </cell>
          <cell r="X7158">
            <v>41000588</v>
          </cell>
        </row>
        <row r="7159">
          <cell r="K7159" t="str">
            <v>GBWS-5054</v>
          </cell>
          <cell r="L7159">
            <v>45600</v>
          </cell>
          <cell r="M7159">
            <v>45602</v>
          </cell>
          <cell r="N7159">
            <v>45610</v>
          </cell>
          <cell r="O7159">
            <v>45602</v>
          </cell>
          <cell r="P7159">
            <v>45609</v>
          </cell>
          <cell r="Q7159">
            <v>45610</v>
          </cell>
          <cell r="R7159">
            <v>45611</v>
          </cell>
          <cell r="S7159">
            <v>45615</v>
          </cell>
          <cell r="T7159">
            <v>45616</v>
          </cell>
          <cell r="U7159">
            <v>45617</v>
          </cell>
          <cell r="V7159">
            <v>45618</v>
          </cell>
          <cell r="W7159">
            <v>45618</v>
          </cell>
          <cell r="X7159">
            <v>41200046</v>
          </cell>
        </row>
        <row r="7160">
          <cell r="K7160" t="str">
            <v>GBWS-5055</v>
          </cell>
          <cell r="L7160">
            <v>45600</v>
          </cell>
          <cell r="M7160">
            <v>45602</v>
          </cell>
          <cell r="N7160">
            <v>45610</v>
          </cell>
          <cell r="O7160">
            <v>45602</v>
          </cell>
          <cell r="P7160">
            <v>45609</v>
          </cell>
          <cell r="Q7160">
            <v>45610</v>
          </cell>
          <cell r="R7160">
            <v>45611</v>
          </cell>
          <cell r="S7160">
            <v>45615</v>
          </cell>
          <cell r="T7160">
            <v>45616</v>
          </cell>
          <cell r="U7160">
            <v>45617</v>
          </cell>
          <cell r="V7160">
            <v>45618</v>
          </cell>
          <cell r="W7160">
            <v>45618</v>
          </cell>
          <cell r="X7160">
            <v>41200046</v>
          </cell>
        </row>
        <row r="7161">
          <cell r="K7161" t="str">
            <v>GBWS-5056</v>
          </cell>
          <cell r="L7161">
            <v>45600</v>
          </cell>
          <cell r="M7161">
            <v>45602</v>
          </cell>
          <cell r="N7161">
            <v>45610</v>
          </cell>
          <cell r="O7161">
            <v>45602</v>
          </cell>
          <cell r="P7161">
            <v>45609</v>
          </cell>
          <cell r="Q7161">
            <v>45610</v>
          </cell>
          <cell r="R7161">
            <v>45611</v>
          </cell>
          <cell r="S7161">
            <v>45615</v>
          </cell>
          <cell r="T7161">
            <v>45616</v>
          </cell>
          <cell r="U7161">
            <v>45617</v>
          </cell>
          <cell r="V7161">
            <v>45618</v>
          </cell>
          <cell r="W7161">
            <v>45618</v>
          </cell>
          <cell r="X7161">
            <v>41200046</v>
          </cell>
        </row>
        <row r="7162">
          <cell r="K7162" t="str">
            <v>GBWS-5057</v>
          </cell>
          <cell r="L7162">
            <v>45600</v>
          </cell>
          <cell r="M7162">
            <v>45602</v>
          </cell>
          <cell r="N7162">
            <v>45610</v>
          </cell>
          <cell r="O7162">
            <v>45602</v>
          </cell>
          <cell r="P7162">
            <v>45609</v>
          </cell>
          <cell r="Q7162">
            <v>45610</v>
          </cell>
          <cell r="R7162">
            <v>45611</v>
          </cell>
          <cell r="S7162">
            <v>45615</v>
          </cell>
          <cell r="T7162">
            <v>45616</v>
          </cell>
          <cell r="U7162">
            <v>45617</v>
          </cell>
          <cell r="V7162">
            <v>45618</v>
          </cell>
          <cell r="W7162">
            <v>45618</v>
          </cell>
          <cell r="X7162">
            <v>41200046</v>
          </cell>
        </row>
        <row r="7163">
          <cell r="K7163" t="str">
            <v>GBWS-5060</v>
          </cell>
          <cell r="L7163">
            <v>45602</v>
          </cell>
          <cell r="M7163">
            <v>45603</v>
          </cell>
          <cell r="N7163">
            <v>45610</v>
          </cell>
          <cell r="O7163">
            <v>45603</v>
          </cell>
          <cell r="P7163">
            <v>45611</v>
          </cell>
          <cell r="Q7163">
            <v>45610</v>
          </cell>
          <cell r="R7163">
            <v>45611</v>
          </cell>
          <cell r="S7163">
            <v>45615</v>
          </cell>
          <cell r="T7163">
            <v>45616</v>
          </cell>
          <cell r="U7163">
            <v>45618</v>
          </cell>
          <cell r="V7163">
            <v>45621</v>
          </cell>
          <cell r="W7163">
            <v>45621</v>
          </cell>
          <cell r="X7163">
            <v>41200048</v>
          </cell>
        </row>
        <row r="7164">
          <cell r="K7164" t="str">
            <v>GBWS-5061</v>
          </cell>
          <cell r="L7164">
            <v>45602</v>
          </cell>
          <cell r="M7164">
            <v>45603</v>
          </cell>
          <cell r="N7164">
            <v>45610</v>
          </cell>
          <cell r="O7164">
            <v>45603</v>
          </cell>
          <cell r="P7164">
            <v>45611</v>
          </cell>
          <cell r="Q7164">
            <v>45610</v>
          </cell>
          <cell r="R7164">
            <v>45611</v>
          </cell>
          <cell r="S7164">
            <v>45615</v>
          </cell>
          <cell r="T7164">
            <v>45616</v>
          </cell>
          <cell r="U7164">
            <v>45618</v>
          </cell>
          <cell r="V7164">
            <v>45621</v>
          </cell>
          <cell r="W7164">
            <v>45621</v>
          </cell>
          <cell r="X7164">
            <v>41200048</v>
          </cell>
        </row>
        <row r="7165">
          <cell r="K7165" t="str">
            <v>DS-0449~0451</v>
          </cell>
          <cell r="L7165">
            <v>45617</v>
          </cell>
          <cell r="M7165">
            <v>45617</v>
          </cell>
          <cell r="N7165">
            <v>45618</v>
          </cell>
          <cell r="O7165">
            <v>45617</v>
          </cell>
          <cell r="P7165">
            <v>45618</v>
          </cell>
          <cell r="Q7165">
            <v>45618</v>
          </cell>
          <cell r="R7165">
            <v>45618</v>
          </cell>
          <cell r="S7165">
            <v>45618</v>
          </cell>
          <cell r="T7165">
            <v>45618</v>
          </cell>
          <cell r="U7165">
            <v>45622</v>
          </cell>
          <cell r="V7165">
            <v>45622</v>
          </cell>
          <cell r="W7165">
            <v>45622</v>
          </cell>
          <cell r="X7165">
            <v>31010313</v>
          </cell>
        </row>
        <row r="7166">
          <cell r="K7166" t="str">
            <v>GBWS-5066</v>
          </cell>
          <cell r="L7166">
            <v>45608</v>
          </cell>
          <cell r="M7166">
            <v>45608</v>
          </cell>
          <cell r="N7166">
            <v>45615</v>
          </cell>
          <cell r="O7166">
            <v>45608</v>
          </cell>
          <cell r="P7166">
            <v>45615</v>
          </cell>
          <cell r="Q7166">
            <v>45615</v>
          </cell>
          <cell r="R7166">
            <v>45616</v>
          </cell>
          <cell r="S7166">
            <v>45617</v>
          </cell>
          <cell r="T7166">
            <v>45618</v>
          </cell>
          <cell r="U7166">
            <v>45622</v>
          </cell>
          <cell r="V7166">
            <v>45622</v>
          </cell>
          <cell r="W7166">
            <v>45622</v>
          </cell>
          <cell r="X7166">
            <v>41200076</v>
          </cell>
        </row>
        <row r="7167">
          <cell r="K7167" t="str">
            <v>GBWS-4748</v>
          </cell>
          <cell r="L7167">
            <v>45492</v>
          </cell>
          <cell r="M7167">
            <v>45495</v>
          </cell>
          <cell r="N7167">
            <v>45499</v>
          </cell>
          <cell r="O7167">
            <v>45495</v>
          </cell>
          <cell r="P7167">
            <v>45503</v>
          </cell>
          <cell r="Q7167">
            <v>45502</v>
          </cell>
          <cell r="R7167">
            <v>45503</v>
          </cell>
          <cell r="S7167">
            <v>45587</v>
          </cell>
          <cell r="T7167">
            <v>45588</v>
          </cell>
          <cell r="U7167">
            <v>45589</v>
          </cell>
          <cell r="V7167">
            <v>45590</v>
          </cell>
          <cell r="W7167">
            <v>45590</v>
          </cell>
          <cell r="X7167">
            <v>41100590</v>
          </cell>
        </row>
        <row r="7168">
          <cell r="K7168" t="str">
            <v>GBWS-5083</v>
          </cell>
          <cell r="L7168">
            <v>45610</v>
          </cell>
          <cell r="M7168" t="str">
            <v>2024-11-18 → 11/15</v>
          </cell>
          <cell r="N7168">
            <v>45617</v>
          </cell>
          <cell r="O7168" t="str">
            <v>2024-11-18 → 11/15</v>
          </cell>
          <cell r="P7168">
            <v>45617</v>
          </cell>
          <cell r="Q7168" t="str">
            <v>2024-11-25 → 11/21</v>
          </cell>
          <cell r="R7168" t="str">
            <v>2024-11-26 → 11/22</v>
          </cell>
          <cell r="S7168">
            <v>45621</v>
          </cell>
          <cell r="T7168">
            <v>45622</v>
          </cell>
          <cell r="U7168">
            <v>45623</v>
          </cell>
          <cell r="V7168">
            <v>45623</v>
          </cell>
          <cell r="W7168">
            <v>45623</v>
          </cell>
          <cell r="X7168">
            <v>41100334</v>
          </cell>
        </row>
        <row r="7169">
          <cell r="K7169" t="str">
            <v>WS-0098</v>
          </cell>
          <cell r="L7169">
            <v>45609</v>
          </cell>
          <cell r="M7169">
            <v>45609</v>
          </cell>
          <cell r="N7169">
            <v>45615</v>
          </cell>
          <cell r="O7169">
            <v>45609</v>
          </cell>
          <cell r="P7169">
            <v>45616</v>
          </cell>
          <cell r="Q7169">
            <v>45615</v>
          </cell>
          <cell r="R7169">
            <v>45616</v>
          </cell>
          <cell r="S7169">
            <v>45617</v>
          </cell>
          <cell r="T7169">
            <v>45618</v>
          </cell>
          <cell r="U7169">
            <v>45622</v>
          </cell>
          <cell r="V7169">
            <v>45622</v>
          </cell>
          <cell r="W7169">
            <v>45622</v>
          </cell>
          <cell r="X7169">
            <v>41100435</v>
          </cell>
        </row>
        <row r="7170">
          <cell r="K7170" t="str">
            <v>GBWS-5053</v>
          </cell>
          <cell r="L7170">
            <v>45600</v>
          </cell>
          <cell r="M7170">
            <v>45602</v>
          </cell>
          <cell r="N7170">
            <v>45609</v>
          </cell>
          <cell r="O7170">
            <v>45602</v>
          </cell>
          <cell r="P7170">
            <v>45610</v>
          </cell>
          <cell r="Q7170">
            <v>45609</v>
          </cell>
          <cell r="R7170">
            <v>45610</v>
          </cell>
          <cell r="S7170">
            <v>45614</v>
          </cell>
          <cell r="T7170">
            <v>45615</v>
          </cell>
          <cell r="U7170">
            <v>45616</v>
          </cell>
          <cell r="V7170">
            <v>45617</v>
          </cell>
          <cell r="W7170">
            <v>45617</v>
          </cell>
          <cell r="X7170">
            <v>41200075</v>
          </cell>
        </row>
        <row r="7171">
          <cell r="K7171" t="str">
            <v>GBWS-5044</v>
          </cell>
          <cell r="L7171">
            <v>45600</v>
          </cell>
          <cell r="M7171">
            <v>45601</v>
          </cell>
          <cell r="N7171">
            <v>45608</v>
          </cell>
          <cell r="O7171">
            <v>45601</v>
          </cell>
          <cell r="P7171">
            <v>45609</v>
          </cell>
          <cell r="Q7171">
            <v>45608</v>
          </cell>
          <cell r="R7171">
            <v>45609</v>
          </cell>
          <cell r="S7171">
            <v>45610</v>
          </cell>
          <cell r="T7171">
            <v>45611</v>
          </cell>
          <cell r="U7171">
            <v>45614</v>
          </cell>
          <cell r="V7171">
            <v>45615</v>
          </cell>
          <cell r="W7171">
            <v>45615</v>
          </cell>
          <cell r="X7171">
            <v>41200076</v>
          </cell>
        </row>
        <row r="7172">
          <cell r="K7172" t="str">
            <v>GBWS-5045</v>
          </cell>
          <cell r="L7172">
            <v>45600</v>
          </cell>
          <cell r="M7172">
            <v>45601</v>
          </cell>
          <cell r="N7172">
            <v>45608</v>
          </cell>
          <cell r="O7172">
            <v>45601</v>
          </cell>
          <cell r="P7172">
            <v>45609</v>
          </cell>
          <cell r="Q7172">
            <v>45608</v>
          </cell>
          <cell r="R7172">
            <v>45609</v>
          </cell>
          <cell r="S7172">
            <v>45611</v>
          </cell>
          <cell r="T7172">
            <v>45614</v>
          </cell>
          <cell r="U7172">
            <v>45615</v>
          </cell>
          <cell r="V7172">
            <v>45616</v>
          </cell>
          <cell r="W7172">
            <v>45616</v>
          </cell>
          <cell r="X7172">
            <v>41200076</v>
          </cell>
        </row>
        <row r="7173">
          <cell r="K7173" t="str">
            <v>GBWS-5073</v>
          </cell>
          <cell r="L7173">
            <v>45609</v>
          </cell>
          <cell r="M7173">
            <v>45609</v>
          </cell>
          <cell r="N7173">
            <v>45616</v>
          </cell>
          <cell r="O7173">
            <v>45609</v>
          </cell>
          <cell r="P7173">
            <v>45617</v>
          </cell>
          <cell r="Q7173">
            <v>45616</v>
          </cell>
          <cell r="R7173">
            <v>45617</v>
          </cell>
          <cell r="S7173">
            <v>45618</v>
          </cell>
          <cell r="T7173">
            <v>45621</v>
          </cell>
          <cell r="U7173">
            <v>45622</v>
          </cell>
          <cell r="V7173">
            <v>45623</v>
          </cell>
          <cell r="W7173">
            <v>45623</v>
          </cell>
          <cell r="X7173" t="str">
            <v>41100611 → 41200087</v>
          </cell>
        </row>
        <row r="7174">
          <cell r="K7174" t="str">
            <v>GBWS-5098</v>
          </cell>
          <cell r="L7174">
            <v>45610</v>
          </cell>
          <cell r="M7174">
            <v>45611</v>
          </cell>
          <cell r="N7174">
            <v>45617</v>
          </cell>
          <cell r="O7174">
            <v>45611</v>
          </cell>
          <cell r="P7174">
            <v>45618</v>
          </cell>
          <cell r="Q7174">
            <v>45617</v>
          </cell>
          <cell r="R7174">
            <v>45618</v>
          </cell>
          <cell r="S7174">
            <v>45621</v>
          </cell>
          <cell r="T7174">
            <v>45622</v>
          </cell>
          <cell r="U7174">
            <v>45623</v>
          </cell>
          <cell r="V7174">
            <v>45624</v>
          </cell>
          <cell r="W7174">
            <v>45624</v>
          </cell>
          <cell r="X7174">
            <v>41200006</v>
          </cell>
        </row>
        <row r="7175">
          <cell r="K7175" t="str">
            <v>GBWS-5099</v>
          </cell>
          <cell r="L7175">
            <v>45610</v>
          </cell>
          <cell r="M7175">
            <v>45611</v>
          </cell>
          <cell r="N7175">
            <v>45617</v>
          </cell>
          <cell r="O7175">
            <v>45611</v>
          </cell>
          <cell r="P7175">
            <v>45618</v>
          </cell>
          <cell r="Q7175">
            <v>45617</v>
          </cell>
          <cell r="R7175">
            <v>45618</v>
          </cell>
          <cell r="S7175">
            <v>45621</v>
          </cell>
          <cell r="T7175">
            <v>45622</v>
          </cell>
          <cell r="U7175">
            <v>45623</v>
          </cell>
          <cell r="V7175">
            <v>45624</v>
          </cell>
          <cell r="W7175">
            <v>45624</v>
          </cell>
          <cell r="X7175">
            <v>41200006</v>
          </cell>
        </row>
        <row r="7176">
          <cell r="K7176" t="str">
            <v>GBWS-5014</v>
          </cell>
          <cell r="L7176">
            <v>45593</v>
          </cell>
          <cell r="M7176">
            <v>45594</v>
          </cell>
          <cell r="N7176">
            <v>45601</v>
          </cell>
          <cell r="O7176">
            <v>45594</v>
          </cell>
          <cell r="P7176">
            <v>45601</v>
          </cell>
          <cell r="Q7176">
            <v>45601</v>
          </cell>
          <cell r="R7176">
            <v>45602</v>
          </cell>
          <cell r="S7176">
            <v>45603</v>
          </cell>
          <cell r="T7176">
            <v>45604</v>
          </cell>
          <cell r="U7176">
            <v>45607</v>
          </cell>
          <cell r="V7176">
            <v>45608</v>
          </cell>
          <cell r="W7176">
            <v>45608</v>
          </cell>
          <cell r="X7176">
            <v>41000544</v>
          </cell>
        </row>
        <row r="7177">
          <cell r="K7177" t="str">
            <v>GPWS-0436</v>
          </cell>
          <cell r="L7177">
            <v>45601</v>
          </cell>
          <cell r="M7177">
            <v>45602</v>
          </cell>
          <cell r="N7177">
            <v>45609</v>
          </cell>
          <cell r="O7177">
            <v>45602</v>
          </cell>
          <cell r="P7177">
            <v>45610</v>
          </cell>
          <cell r="Q7177">
            <v>45609</v>
          </cell>
          <cell r="R7177">
            <v>45610</v>
          </cell>
          <cell r="S7177">
            <v>45614</v>
          </cell>
          <cell r="T7177">
            <v>45615</v>
          </cell>
          <cell r="U7177">
            <v>45616</v>
          </cell>
          <cell r="V7177">
            <v>45617</v>
          </cell>
          <cell r="W7177">
            <v>45617</v>
          </cell>
          <cell r="X7177" t="str">
            <v>41200070 → 41200061</v>
          </cell>
        </row>
        <row r="7178">
          <cell r="K7178" t="str">
            <v>GBWS-5068</v>
          </cell>
          <cell r="L7178">
            <v>45609</v>
          </cell>
          <cell r="M7178">
            <v>45609</v>
          </cell>
          <cell r="N7178">
            <v>45615</v>
          </cell>
          <cell r="O7178">
            <v>45609</v>
          </cell>
          <cell r="P7178">
            <v>45616</v>
          </cell>
          <cell r="Q7178">
            <v>45615</v>
          </cell>
          <cell r="R7178">
            <v>45616</v>
          </cell>
          <cell r="S7178">
            <v>45617</v>
          </cell>
          <cell r="T7178">
            <v>45618</v>
          </cell>
          <cell r="U7178">
            <v>45621</v>
          </cell>
          <cell r="V7178">
            <v>45622</v>
          </cell>
          <cell r="W7178">
            <v>45622</v>
          </cell>
          <cell r="X7178">
            <v>41200007</v>
          </cell>
        </row>
        <row r="7179">
          <cell r="K7179" t="str">
            <v>GBWS-5069</v>
          </cell>
          <cell r="L7179">
            <v>45609</v>
          </cell>
          <cell r="M7179">
            <v>45609</v>
          </cell>
          <cell r="N7179">
            <v>45615</v>
          </cell>
          <cell r="O7179">
            <v>45609</v>
          </cell>
          <cell r="P7179">
            <v>45616</v>
          </cell>
          <cell r="Q7179">
            <v>45615</v>
          </cell>
          <cell r="R7179">
            <v>45616</v>
          </cell>
          <cell r="S7179">
            <v>45617</v>
          </cell>
          <cell r="T7179">
            <v>45618</v>
          </cell>
          <cell r="U7179">
            <v>45622</v>
          </cell>
          <cell r="V7179">
            <v>45623</v>
          </cell>
          <cell r="W7179">
            <v>45623</v>
          </cell>
          <cell r="X7179">
            <v>41200007</v>
          </cell>
        </row>
        <row r="7180">
          <cell r="K7180" t="str">
            <v>GBWS-5013</v>
          </cell>
          <cell r="L7180">
            <v>45593</v>
          </cell>
          <cell r="M7180">
            <v>45593</v>
          </cell>
          <cell r="N7180">
            <v>45600</v>
          </cell>
          <cell r="O7180">
            <v>45593</v>
          </cell>
          <cell r="P7180">
            <v>45601</v>
          </cell>
          <cell r="Q7180">
            <v>45600</v>
          </cell>
          <cell r="R7180">
            <v>45601</v>
          </cell>
          <cell r="S7180">
            <v>45602</v>
          </cell>
          <cell r="T7180">
            <v>45603</v>
          </cell>
          <cell r="U7180">
            <v>45607</v>
          </cell>
          <cell r="V7180">
            <v>45607</v>
          </cell>
          <cell r="W7180">
            <v>45607</v>
          </cell>
          <cell r="X7180">
            <v>41100350</v>
          </cell>
        </row>
        <row r="7181">
          <cell r="K7181" t="str">
            <v>GBWS-5006</v>
          </cell>
          <cell r="L7181">
            <v>45587</v>
          </cell>
          <cell r="M7181">
            <v>45588</v>
          </cell>
          <cell r="N7181">
            <v>45595</v>
          </cell>
          <cell r="O7181">
            <v>45588</v>
          </cell>
          <cell r="P7181">
            <v>45595</v>
          </cell>
          <cell r="Q7181">
            <v>45595</v>
          </cell>
          <cell r="R7181">
            <v>45596</v>
          </cell>
          <cell r="S7181">
            <v>45597</v>
          </cell>
          <cell r="T7181">
            <v>45600</v>
          </cell>
          <cell r="U7181">
            <v>45601</v>
          </cell>
          <cell r="V7181">
            <v>45602</v>
          </cell>
          <cell r="W7181">
            <v>45602</v>
          </cell>
          <cell r="X7181">
            <v>41100662</v>
          </cell>
        </row>
        <row r="7182">
          <cell r="K7182"/>
          <cell r="L7182">
            <v>45608</v>
          </cell>
          <cell r="M7182">
            <v>45608</v>
          </cell>
          <cell r="N7182">
            <v>45614</v>
          </cell>
          <cell r="O7182">
            <v>45608</v>
          </cell>
          <cell r="P7182">
            <v>45615</v>
          </cell>
          <cell r="Q7182">
            <v>45614</v>
          </cell>
          <cell r="R7182">
            <v>45615</v>
          </cell>
          <cell r="S7182">
            <v>45623</v>
          </cell>
          <cell r="T7182">
            <v>45623</v>
          </cell>
          <cell r="U7182">
            <v>45624</v>
          </cell>
          <cell r="V7182">
            <v>45625</v>
          </cell>
          <cell r="W7182">
            <v>45625</v>
          </cell>
          <cell r="X7182">
            <v>31101933</v>
          </cell>
        </row>
        <row r="7183">
          <cell r="K7183"/>
          <cell r="L7183">
            <v>45608</v>
          </cell>
          <cell r="M7183">
            <v>45608</v>
          </cell>
          <cell r="N7183">
            <v>45614</v>
          </cell>
          <cell r="O7183">
            <v>45608</v>
          </cell>
          <cell r="P7183">
            <v>45615</v>
          </cell>
          <cell r="Q7183">
            <v>45614</v>
          </cell>
          <cell r="R7183">
            <v>45615</v>
          </cell>
          <cell r="S7183">
            <v>45623</v>
          </cell>
          <cell r="T7183">
            <v>45623</v>
          </cell>
          <cell r="U7183">
            <v>45624</v>
          </cell>
          <cell r="V7183">
            <v>45625</v>
          </cell>
          <cell r="W7183">
            <v>45625</v>
          </cell>
          <cell r="X7183">
            <v>31102306</v>
          </cell>
        </row>
        <row r="7184">
          <cell r="K7184"/>
          <cell r="L7184">
            <v>45610</v>
          </cell>
          <cell r="M7184">
            <v>45610</v>
          </cell>
          <cell r="N7184">
            <v>45615</v>
          </cell>
          <cell r="O7184">
            <v>45610</v>
          </cell>
          <cell r="P7184">
            <v>45615</v>
          </cell>
          <cell r="Q7184">
            <v>45616</v>
          </cell>
          <cell r="R7184">
            <v>45617</v>
          </cell>
          <cell r="S7184">
            <v>45623</v>
          </cell>
          <cell r="T7184">
            <v>45623</v>
          </cell>
          <cell r="U7184">
            <v>45624</v>
          </cell>
          <cell r="V7184">
            <v>45625</v>
          </cell>
          <cell r="W7184">
            <v>45625</v>
          </cell>
          <cell r="X7184">
            <v>31102304</v>
          </cell>
        </row>
        <row r="7185">
          <cell r="K7185"/>
          <cell r="L7185">
            <v>45611</v>
          </cell>
          <cell r="M7185">
            <v>45611</v>
          </cell>
          <cell r="N7185">
            <v>45617</v>
          </cell>
          <cell r="O7185">
            <v>45611</v>
          </cell>
          <cell r="P7185">
            <v>45617</v>
          </cell>
          <cell r="Q7185">
            <v>45618</v>
          </cell>
          <cell r="R7185">
            <v>45621</v>
          </cell>
          <cell r="S7185">
            <v>45623</v>
          </cell>
          <cell r="T7185">
            <v>45623</v>
          </cell>
          <cell r="U7185">
            <v>45624</v>
          </cell>
          <cell r="V7185">
            <v>45625</v>
          </cell>
          <cell r="W7185">
            <v>45625</v>
          </cell>
          <cell r="X7185">
            <v>31102296</v>
          </cell>
        </row>
        <row r="7186">
          <cell r="K7186"/>
          <cell r="L7186">
            <v>45610</v>
          </cell>
          <cell r="M7186">
            <v>45610</v>
          </cell>
          <cell r="N7186">
            <v>45615</v>
          </cell>
          <cell r="O7186">
            <v>45610</v>
          </cell>
          <cell r="P7186">
            <v>45615</v>
          </cell>
          <cell r="Q7186">
            <v>45616</v>
          </cell>
          <cell r="R7186">
            <v>45617</v>
          </cell>
          <cell r="S7186">
            <v>45623</v>
          </cell>
          <cell r="T7186">
            <v>45623</v>
          </cell>
          <cell r="U7186">
            <v>45624</v>
          </cell>
          <cell r="V7186">
            <v>45625</v>
          </cell>
          <cell r="W7186">
            <v>45625</v>
          </cell>
          <cell r="X7186">
            <v>31102277</v>
          </cell>
        </row>
        <row r="7187">
          <cell r="K7187" t="str">
            <v>GBWS-5070</v>
          </cell>
          <cell r="L7187">
            <v>45609</v>
          </cell>
          <cell r="M7187">
            <v>45609</v>
          </cell>
          <cell r="N7187">
            <v>45615</v>
          </cell>
          <cell r="O7187">
            <v>45609</v>
          </cell>
          <cell r="P7187">
            <v>45616</v>
          </cell>
          <cell r="Q7187">
            <v>45615</v>
          </cell>
          <cell r="R7187">
            <v>45616</v>
          </cell>
          <cell r="S7187">
            <v>45617</v>
          </cell>
          <cell r="T7187">
            <v>45618</v>
          </cell>
          <cell r="U7187">
            <v>45621</v>
          </cell>
          <cell r="V7187">
            <v>45622</v>
          </cell>
          <cell r="W7187">
            <v>45622</v>
          </cell>
          <cell r="X7187">
            <v>41200007</v>
          </cell>
        </row>
        <row r="7188">
          <cell r="K7188" t="str">
            <v>GBWS-5084</v>
          </cell>
          <cell r="L7188">
            <v>45614</v>
          </cell>
          <cell r="M7188">
            <v>45614</v>
          </cell>
          <cell r="N7188">
            <v>45617</v>
          </cell>
          <cell r="O7188">
            <v>45614</v>
          </cell>
          <cell r="P7188">
            <v>45618</v>
          </cell>
          <cell r="Q7188">
            <v>45618</v>
          </cell>
          <cell r="R7188">
            <v>45621</v>
          </cell>
          <cell r="S7188">
            <v>45622</v>
          </cell>
          <cell r="T7188">
            <v>45623</v>
          </cell>
          <cell r="U7188">
            <v>45624</v>
          </cell>
          <cell r="V7188">
            <v>45625</v>
          </cell>
          <cell r="W7188">
            <v>45625</v>
          </cell>
          <cell r="X7188">
            <v>41200007</v>
          </cell>
        </row>
        <row r="7189">
          <cell r="K7189" t="str">
            <v>GBWS-5102</v>
          </cell>
          <cell r="L7189">
            <v>45614</v>
          </cell>
          <cell r="M7189">
            <v>45614</v>
          </cell>
          <cell r="N7189">
            <v>45621</v>
          </cell>
          <cell r="O7189">
            <v>45614</v>
          </cell>
          <cell r="P7189">
            <v>45622</v>
          </cell>
          <cell r="Q7189">
            <v>45621</v>
          </cell>
          <cell r="R7189">
            <v>45622</v>
          </cell>
          <cell r="S7189">
            <v>45623</v>
          </cell>
          <cell r="T7189">
            <v>45625</v>
          </cell>
          <cell r="U7189">
            <v>45625</v>
          </cell>
          <cell r="V7189">
            <v>45628</v>
          </cell>
          <cell r="W7189">
            <v>45628</v>
          </cell>
          <cell r="X7189">
            <v>41200043</v>
          </cell>
        </row>
        <row r="7190">
          <cell r="K7190" t="str">
            <v>GBWS-5103</v>
          </cell>
          <cell r="L7190">
            <v>45614</v>
          </cell>
          <cell r="M7190">
            <v>45614</v>
          </cell>
          <cell r="N7190">
            <v>45621</v>
          </cell>
          <cell r="O7190">
            <v>45614</v>
          </cell>
          <cell r="P7190">
            <v>45622</v>
          </cell>
          <cell r="Q7190">
            <v>45621</v>
          </cell>
          <cell r="R7190">
            <v>45622</v>
          </cell>
          <cell r="S7190">
            <v>45623</v>
          </cell>
          <cell r="T7190">
            <v>45625</v>
          </cell>
          <cell r="U7190">
            <v>45625</v>
          </cell>
          <cell r="V7190">
            <v>45628</v>
          </cell>
          <cell r="W7190">
            <v>45628</v>
          </cell>
          <cell r="X7190">
            <v>41200043</v>
          </cell>
        </row>
        <row r="7191">
          <cell r="K7191" t="str">
            <v>DBW-3559</v>
          </cell>
          <cell r="L7191">
            <v>45600</v>
          </cell>
          <cell r="M7191">
            <v>45600</v>
          </cell>
          <cell r="N7191">
            <v>45607</v>
          </cell>
          <cell r="O7191">
            <v>45600</v>
          </cell>
          <cell r="P7191">
            <v>45608</v>
          </cell>
          <cell r="Q7191">
            <v>45607</v>
          </cell>
          <cell r="R7191">
            <v>45608</v>
          </cell>
          <cell r="S7191">
            <v>45616</v>
          </cell>
          <cell r="T7191">
            <v>45617</v>
          </cell>
          <cell r="U7191">
            <v>45621</v>
          </cell>
          <cell r="V7191">
            <v>45622</v>
          </cell>
          <cell r="W7191">
            <v>45622</v>
          </cell>
          <cell r="X7191">
            <v>41000514</v>
          </cell>
        </row>
        <row r="7192">
          <cell r="K7192" t="str">
            <v>DBW-3552</v>
          </cell>
          <cell r="L7192">
            <v>45596</v>
          </cell>
          <cell r="M7192">
            <v>45597</v>
          </cell>
          <cell r="N7192">
            <v>45604</v>
          </cell>
          <cell r="O7192">
            <v>45597</v>
          </cell>
          <cell r="P7192">
            <v>45607</v>
          </cell>
          <cell r="Q7192">
            <v>45604</v>
          </cell>
          <cell r="R7192">
            <v>45607</v>
          </cell>
          <cell r="S7192">
            <v>45608</v>
          </cell>
          <cell r="T7192">
            <v>45609</v>
          </cell>
          <cell r="U7192">
            <v>45610</v>
          </cell>
          <cell r="V7192">
            <v>45611</v>
          </cell>
          <cell r="W7192">
            <v>45611</v>
          </cell>
          <cell r="X7192">
            <v>41100668</v>
          </cell>
        </row>
        <row r="7193">
          <cell r="K7193" t="str">
            <v>GBWS-5063</v>
          </cell>
          <cell r="L7193">
            <v>45602</v>
          </cell>
          <cell r="M7193">
            <v>45603</v>
          </cell>
          <cell r="N7193">
            <v>45611</v>
          </cell>
          <cell r="O7193">
            <v>45603</v>
          </cell>
          <cell r="P7193">
            <v>45614</v>
          </cell>
          <cell r="Q7193">
            <v>45611</v>
          </cell>
          <cell r="R7193">
            <v>45614</v>
          </cell>
          <cell r="S7193">
            <v>45616</v>
          </cell>
          <cell r="T7193">
            <v>45617</v>
          </cell>
          <cell r="U7193">
            <v>45625</v>
          </cell>
          <cell r="V7193">
            <v>45628</v>
          </cell>
          <cell r="W7193">
            <v>45628</v>
          </cell>
          <cell r="X7193">
            <v>41100673</v>
          </cell>
        </row>
        <row r="7194">
          <cell r="K7194" t="str">
            <v>GBWS-5100</v>
          </cell>
          <cell r="L7194">
            <v>45602</v>
          </cell>
          <cell r="M7194">
            <v>45603</v>
          </cell>
          <cell r="N7194">
            <v>45611</v>
          </cell>
          <cell r="O7194">
            <v>45603</v>
          </cell>
          <cell r="P7194">
            <v>45614</v>
          </cell>
          <cell r="Q7194">
            <v>45611</v>
          </cell>
          <cell r="R7194">
            <v>45614</v>
          </cell>
          <cell r="S7194">
            <v>45616</v>
          </cell>
          <cell r="T7194">
            <v>45617</v>
          </cell>
          <cell r="U7194">
            <v>45618</v>
          </cell>
          <cell r="V7194">
            <v>45621</v>
          </cell>
          <cell r="W7194">
            <v>45621</v>
          </cell>
          <cell r="X7194">
            <v>41100673</v>
          </cell>
        </row>
        <row r="7195">
          <cell r="K7195" t="str">
            <v>GBWS-5101</v>
          </cell>
          <cell r="L7195">
            <v>45602</v>
          </cell>
          <cell r="M7195">
            <v>45603</v>
          </cell>
          <cell r="N7195">
            <v>45611</v>
          </cell>
          <cell r="O7195">
            <v>45603</v>
          </cell>
          <cell r="P7195">
            <v>45614</v>
          </cell>
          <cell r="Q7195">
            <v>45611</v>
          </cell>
          <cell r="R7195">
            <v>45614</v>
          </cell>
          <cell r="S7195">
            <v>45616</v>
          </cell>
          <cell r="T7195">
            <v>45617</v>
          </cell>
          <cell r="U7195">
            <v>45624</v>
          </cell>
          <cell r="V7195">
            <v>45625</v>
          </cell>
          <cell r="W7195">
            <v>45625</v>
          </cell>
          <cell r="X7195">
            <v>41100673</v>
          </cell>
        </row>
        <row r="7196">
          <cell r="K7196" t="str">
            <v>GBWS-5071</v>
          </cell>
          <cell r="L7196">
            <v>45609</v>
          </cell>
          <cell r="M7196">
            <v>45609</v>
          </cell>
          <cell r="N7196">
            <v>45616</v>
          </cell>
          <cell r="O7196">
            <v>45609</v>
          </cell>
          <cell r="P7196">
            <v>45616</v>
          </cell>
          <cell r="Q7196">
            <v>45616</v>
          </cell>
          <cell r="R7196">
            <v>45617</v>
          </cell>
          <cell r="S7196">
            <v>45618</v>
          </cell>
          <cell r="T7196">
            <v>45621</v>
          </cell>
          <cell r="U7196">
            <v>45622</v>
          </cell>
          <cell r="V7196">
            <v>45623</v>
          </cell>
          <cell r="W7196">
            <v>45623</v>
          </cell>
          <cell r="X7196">
            <v>41100673</v>
          </cell>
        </row>
        <row r="7197">
          <cell r="K7197" t="str">
            <v>GBWS-5072</v>
          </cell>
          <cell r="L7197">
            <v>45609</v>
          </cell>
          <cell r="M7197">
            <v>45609</v>
          </cell>
          <cell r="N7197">
            <v>45616</v>
          </cell>
          <cell r="O7197">
            <v>45609</v>
          </cell>
          <cell r="P7197">
            <v>45616</v>
          </cell>
          <cell r="Q7197">
            <v>45616</v>
          </cell>
          <cell r="R7197">
            <v>45617</v>
          </cell>
          <cell r="S7197">
            <v>45618</v>
          </cell>
          <cell r="T7197">
            <v>45621</v>
          </cell>
          <cell r="U7197">
            <v>45622</v>
          </cell>
          <cell r="V7197">
            <v>45623</v>
          </cell>
          <cell r="W7197">
            <v>45623</v>
          </cell>
          <cell r="X7197">
            <v>41100673</v>
          </cell>
        </row>
        <row r="7198">
          <cell r="K7198" t="str">
            <v>GBWS-5064</v>
          </cell>
          <cell r="L7198">
            <v>45602</v>
          </cell>
          <cell r="M7198">
            <v>45604</v>
          </cell>
          <cell r="N7198">
            <v>45611</v>
          </cell>
          <cell r="O7198">
            <v>45604</v>
          </cell>
          <cell r="P7198">
            <v>45614</v>
          </cell>
          <cell r="Q7198">
            <v>45611</v>
          </cell>
          <cell r="R7198">
            <v>45614</v>
          </cell>
          <cell r="S7198">
            <v>45616</v>
          </cell>
          <cell r="T7198">
            <v>45617</v>
          </cell>
          <cell r="U7198">
            <v>45618</v>
          </cell>
          <cell r="V7198">
            <v>45621</v>
          </cell>
          <cell r="W7198">
            <v>45621</v>
          </cell>
          <cell r="X7198">
            <v>41100646</v>
          </cell>
        </row>
        <row r="7199">
          <cell r="K7199" t="str">
            <v>GBWS-5028</v>
          </cell>
          <cell r="L7199">
            <v>45595</v>
          </cell>
          <cell r="M7199">
            <v>45596</v>
          </cell>
          <cell r="N7199">
            <v>45603</v>
          </cell>
          <cell r="O7199">
            <v>45596</v>
          </cell>
          <cell r="P7199">
            <v>45604</v>
          </cell>
          <cell r="Q7199">
            <v>45603</v>
          </cell>
          <cell r="R7199">
            <v>45604</v>
          </cell>
          <cell r="S7199">
            <v>45607</v>
          </cell>
          <cell r="T7199">
            <v>45608</v>
          </cell>
          <cell r="U7199">
            <v>45614</v>
          </cell>
          <cell r="V7199">
            <v>45615</v>
          </cell>
          <cell r="W7199">
            <v>45615</v>
          </cell>
          <cell r="X7199">
            <v>41100350</v>
          </cell>
        </row>
        <row r="7200">
          <cell r="K7200" t="str">
            <v>GBWS-5080</v>
          </cell>
          <cell r="L7200">
            <v>45614</v>
          </cell>
          <cell r="M7200">
            <v>45614</v>
          </cell>
          <cell r="N7200">
            <v>45617</v>
          </cell>
          <cell r="O7200">
            <v>45614</v>
          </cell>
          <cell r="P7200">
            <v>45617</v>
          </cell>
          <cell r="Q7200">
            <v>45621</v>
          </cell>
          <cell r="R7200">
            <v>45622</v>
          </cell>
          <cell r="S7200">
            <v>45623</v>
          </cell>
          <cell r="T7200">
            <v>45625</v>
          </cell>
          <cell r="U7200">
            <v>45625</v>
          </cell>
          <cell r="V7200">
            <v>45628</v>
          </cell>
          <cell r="W7200">
            <v>45628</v>
          </cell>
          <cell r="X7200">
            <v>41100320</v>
          </cell>
        </row>
        <row r="7201">
          <cell r="K7201" t="str">
            <v>GBWS-5081</v>
          </cell>
          <cell r="L7201">
            <v>45614</v>
          </cell>
          <cell r="M7201">
            <v>45614</v>
          </cell>
          <cell r="N7201">
            <v>45617</v>
          </cell>
          <cell r="O7201">
            <v>45614</v>
          </cell>
          <cell r="P7201">
            <v>45617</v>
          </cell>
          <cell r="Q7201">
            <v>45621</v>
          </cell>
          <cell r="R7201">
            <v>45622</v>
          </cell>
          <cell r="S7201">
            <v>45623</v>
          </cell>
          <cell r="T7201">
            <v>45625</v>
          </cell>
          <cell r="U7201">
            <v>45625</v>
          </cell>
          <cell r="V7201">
            <v>45628</v>
          </cell>
          <cell r="W7201">
            <v>45628</v>
          </cell>
          <cell r="X7201">
            <v>41100320</v>
          </cell>
        </row>
        <row r="7202">
          <cell r="K7202" t="str">
            <v>GBWS-5049</v>
          </cell>
          <cell r="L7202">
            <v>45600</v>
          </cell>
          <cell r="M7202">
            <v>45601</v>
          </cell>
          <cell r="N7202">
            <v>45609</v>
          </cell>
          <cell r="O7202">
            <v>45601</v>
          </cell>
          <cell r="P7202">
            <v>45610</v>
          </cell>
          <cell r="Q7202">
            <v>45609</v>
          </cell>
          <cell r="R7202">
            <v>45610</v>
          </cell>
          <cell r="S7202">
            <v>45614</v>
          </cell>
          <cell r="T7202">
            <v>45623</v>
          </cell>
          <cell r="U7202">
            <v>45625</v>
          </cell>
          <cell r="V7202">
            <v>45628</v>
          </cell>
          <cell r="W7202">
            <v>45628</v>
          </cell>
          <cell r="X7202">
            <v>41200074</v>
          </cell>
        </row>
        <row r="7203">
          <cell r="K7203" t="str">
            <v>GBWS-5050</v>
          </cell>
          <cell r="L7203">
            <v>45600</v>
          </cell>
          <cell r="M7203">
            <v>45601</v>
          </cell>
          <cell r="N7203">
            <v>45609</v>
          </cell>
          <cell r="O7203">
            <v>45601</v>
          </cell>
          <cell r="P7203">
            <v>45610</v>
          </cell>
          <cell r="Q7203">
            <v>45609</v>
          </cell>
          <cell r="R7203">
            <v>45610</v>
          </cell>
          <cell r="S7203">
            <v>45618</v>
          </cell>
          <cell r="T7203">
            <v>45628</v>
          </cell>
          <cell r="U7203">
            <v>45630</v>
          </cell>
          <cell r="V7203">
            <v>45631</v>
          </cell>
          <cell r="W7203">
            <v>45631</v>
          </cell>
          <cell r="X7203">
            <v>41200074</v>
          </cell>
        </row>
        <row r="7204">
          <cell r="K7204" t="str">
            <v>GBWS-5114</v>
          </cell>
          <cell r="L7204">
            <v>45616</v>
          </cell>
          <cell r="M7204">
            <v>45617</v>
          </cell>
          <cell r="N7204">
            <v>45625</v>
          </cell>
          <cell r="O7204">
            <v>45617</v>
          </cell>
          <cell r="P7204">
            <v>45625</v>
          </cell>
          <cell r="Q7204">
            <v>45624</v>
          </cell>
          <cell r="R7204">
            <v>45625</v>
          </cell>
          <cell r="S7204">
            <v>45628</v>
          </cell>
          <cell r="T7204">
            <v>45629</v>
          </cell>
          <cell r="U7204">
            <v>45630</v>
          </cell>
          <cell r="V7204">
            <v>45631</v>
          </cell>
          <cell r="W7204">
            <v>45631</v>
          </cell>
          <cell r="X7204">
            <v>41200080</v>
          </cell>
        </row>
        <row r="7205">
          <cell r="K7205" t="str">
            <v>GBWS-5115</v>
          </cell>
          <cell r="L7205">
            <v>45616</v>
          </cell>
          <cell r="M7205">
            <v>45617</v>
          </cell>
          <cell r="N7205">
            <v>45625</v>
          </cell>
          <cell r="O7205">
            <v>45617</v>
          </cell>
          <cell r="P7205">
            <v>45625</v>
          </cell>
          <cell r="Q7205">
            <v>45624</v>
          </cell>
          <cell r="R7205">
            <v>45625</v>
          </cell>
          <cell r="S7205">
            <v>45628</v>
          </cell>
          <cell r="T7205">
            <v>45629</v>
          </cell>
          <cell r="U7205">
            <v>45630</v>
          </cell>
          <cell r="V7205">
            <v>45631</v>
          </cell>
          <cell r="W7205">
            <v>45631</v>
          </cell>
          <cell r="X7205">
            <v>41200080</v>
          </cell>
        </row>
        <row r="7206">
          <cell r="K7206" t="str">
            <v>GBWS-5104</v>
          </cell>
          <cell r="L7206">
            <v>45616</v>
          </cell>
          <cell r="M7206">
            <v>45616</v>
          </cell>
          <cell r="N7206">
            <v>45622</v>
          </cell>
          <cell r="O7206">
            <v>45616</v>
          </cell>
          <cell r="P7206">
            <v>45623</v>
          </cell>
          <cell r="Q7206">
            <v>45622</v>
          </cell>
          <cell r="R7206">
            <v>45623</v>
          </cell>
          <cell r="S7206">
            <v>45624</v>
          </cell>
          <cell r="T7206">
            <v>45625</v>
          </cell>
          <cell r="U7206">
            <v>45630</v>
          </cell>
          <cell r="V7206">
            <v>45630</v>
          </cell>
          <cell r="W7206">
            <v>45630</v>
          </cell>
          <cell r="X7206">
            <v>41200087</v>
          </cell>
        </row>
        <row r="7207">
          <cell r="K7207" t="str">
            <v>GBWS-5106</v>
          </cell>
          <cell r="L7207">
            <v>45616</v>
          </cell>
          <cell r="M7207">
            <v>45616</v>
          </cell>
          <cell r="N7207">
            <v>45622</v>
          </cell>
          <cell r="O7207">
            <v>45616</v>
          </cell>
          <cell r="P7207">
            <v>45623</v>
          </cell>
          <cell r="Q7207">
            <v>45622</v>
          </cell>
          <cell r="R7207">
            <v>45623</v>
          </cell>
          <cell r="S7207">
            <v>45625</v>
          </cell>
          <cell r="T7207">
            <v>45628</v>
          </cell>
          <cell r="U7207">
            <v>45629</v>
          </cell>
          <cell r="V7207">
            <v>45630</v>
          </cell>
          <cell r="W7207">
            <v>45630</v>
          </cell>
          <cell r="X7207">
            <v>41200087</v>
          </cell>
        </row>
        <row r="7208">
          <cell r="K7208" t="str">
            <v>GBWS-5105</v>
          </cell>
          <cell r="L7208">
            <v>45616</v>
          </cell>
          <cell r="M7208">
            <v>45616</v>
          </cell>
          <cell r="N7208">
            <v>45622</v>
          </cell>
          <cell r="O7208">
            <v>45616</v>
          </cell>
          <cell r="P7208">
            <v>45623</v>
          </cell>
          <cell r="Q7208">
            <v>45622</v>
          </cell>
          <cell r="R7208">
            <v>45623</v>
          </cell>
          <cell r="S7208">
            <v>45625</v>
          </cell>
          <cell r="T7208">
            <v>45628</v>
          </cell>
          <cell r="U7208">
            <v>45630</v>
          </cell>
          <cell r="V7208">
            <v>45631</v>
          </cell>
          <cell r="W7208">
            <v>45631</v>
          </cell>
          <cell r="X7208">
            <v>41200087</v>
          </cell>
        </row>
        <row r="7209">
          <cell r="K7209" t="str">
            <v>GBWS-4756</v>
          </cell>
          <cell r="L7209">
            <v>45496</v>
          </cell>
          <cell r="M7209">
            <v>45497</v>
          </cell>
          <cell r="N7209">
            <v>45503</v>
          </cell>
          <cell r="O7209">
            <v>45497</v>
          </cell>
          <cell r="P7209">
            <v>45505</v>
          </cell>
          <cell r="Q7209">
            <v>45504</v>
          </cell>
          <cell r="R7209">
            <v>45505</v>
          </cell>
          <cell r="S7209">
            <v>45562</v>
          </cell>
          <cell r="T7209">
            <v>45565</v>
          </cell>
          <cell r="U7209">
            <v>45567</v>
          </cell>
          <cell r="V7209">
            <v>45569</v>
          </cell>
          <cell r="W7209">
            <v>45569</v>
          </cell>
          <cell r="X7209">
            <v>41100372</v>
          </cell>
        </row>
        <row r="7210">
          <cell r="K7210" t="str">
            <v>GBWS-5111</v>
          </cell>
          <cell r="L7210">
            <v>45616</v>
          </cell>
          <cell r="M7210">
            <v>45617</v>
          </cell>
          <cell r="N7210">
            <v>45623</v>
          </cell>
          <cell r="O7210">
            <v>45617</v>
          </cell>
          <cell r="P7210">
            <v>45625</v>
          </cell>
          <cell r="Q7210">
            <v>45624</v>
          </cell>
          <cell r="R7210">
            <v>45625</v>
          </cell>
          <cell r="S7210">
            <v>45625</v>
          </cell>
          <cell r="T7210">
            <v>45629</v>
          </cell>
          <cell r="U7210">
            <v>45630</v>
          </cell>
          <cell r="V7210">
            <v>45631</v>
          </cell>
          <cell r="W7210">
            <v>45631</v>
          </cell>
          <cell r="X7210">
            <v>41200075</v>
          </cell>
        </row>
        <row r="7211">
          <cell r="K7211"/>
          <cell r="L7211">
            <v>45616</v>
          </cell>
          <cell r="M7211">
            <v>45616</v>
          </cell>
          <cell r="N7211">
            <v>45623</v>
          </cell>
          <cell r="O7211">
            <v>45616</v>
          </cell>
          <cell r="P7211">
            <v>45621</v>
          </cell>
          <cell r="Q7211">
            <v>45623</v>
          </cell>
          <cell r="R7211">
            <v>45624</v>
          </cell>
          <cell r="S7211">
            <v>45628</v>
          </cell>
          <cell r="T7211">
            <v>45628</v>
          </cell>
          <cell r="U7211">
            <v>45630</v>
          </cell>
          <cell r="V7211">
            <v>45632</v>
          </cell>
          <cell r="W7211">
            <v>45632</v>
          </cell>
          <cell r="X7211">
            <v>31102253</v>
          </cell>
        </row>
        <row r="7212">
          <cell r="K7212"/>
          <cell r="L7212">
            <v>45616</v>
          </cell>
          <cell r="M7212">
            <v>45616</v>
          </cell>
          <cell r="N7212">
            <v>45623</v>
          </cell>
          <cell r="O7212">
            <v>45616</v>
          </cell>
          <cell r="P7212">
            <v>45621</v>
          </cell>
          <cell r="Q7212">
            <v>45623</v>
          </cell>
          <cell r="R7212">
            <v>45624</v>
          </cell>
          <cell r="S7212">
            <v>45628</v>
          </cell>
          <cell r="T7212">
            <v>45628</v>
          </cell>
          <cell r="U7212">
            <v>45630</v>
          </cell>
          <cell r="V7212">
            <v>45632</v>
          </cell>
          <cell r="W7212">
            <v>45632</v>
          </cell>
          <cell r="X7212">
            <v>31102258</v>
          </cell>
        </row>
        <row r="7213">
          <cell r="K7213"/>
          <cell r="L7213">
            <v>45616</v>
          </cell>
          <cell r="M7213">
            <v>45616</v>
          </cell>
          <cell r="N7213">
            <v>45623</v>
          </cell>
          <cell r="O7213">
            <v>45616</v>
          </cell>
          <cell r="P7213">
            <v>45621</v>
          </cell>
          <cell r="Q7213">
            <v>45624</v>
          </cell>
          <cell r="R7213">
            <v>45625</v>
          </cell>
          <cell r="S7213">
            <v>45628</v>
          </cell>
          <cell r="T7213">
            <v>45628</v>
          </cell>
          <cell r="U7213">
            <v>45630</v>
          </cell>
          <cell r="V7213">
            <v>45632</v>
          </cell>
          <cell r="W7213">
            <v>45632</v>
          </cell>
          <cell r="X7213">
            <v>31102289</v>
          </cell>
        </row>
        <row r="7214">
          <cell r="K7214"/>
          <cell r="L7214">
            <v>45616</v>
          </cell>
          <cell r="M7214">
            <v>45616</v>
          </cell>
          <cell r="N7214">
            <v>45623</v>
          </cell>
          <cell r="O7214">
            <v>45616</v>
          </cell>
          <cell r="P7214">
            <v>45621</v>
          </cell>
          <cell r="Q7214">
            <v>45625</v>
          </cell>
          <cell r="R7214">
            <v>45628</v>
          </cell>
          <cell r="S7214">
            <v>45628</v>
          </cell>
          <cell r="T7214">
            <v>45628</v>
          </cell>
          <cell r="U7214">
            <v>45629</v>
          </cell>
          <cell r="V7214">
            <v>45632</v>
          </cell>
          <cell r="W7214">
            <v>45632</v>
          </cell>
          <cell r="X7214">
            <v>31102291</v>
          </cell>
        </row>
        <row r="7215">
          <cell r="K7215"/>
          <cell r="L7215">
            <v>45616</v>
          </cell>
          <cell r="M7215">
            <v>45616</v>
          </cell>
          <cell r="N7215">
            <v>45623</v>
          </cell>
          <cell r="O7215">
            <v>45616</v>
          </cell>
          <cell r="P7215">
            <v>45621</v>
          </cell>
          <cell r="Q7215">
            <v>45625</v>
          </cell>
          <cell r="R7215">
            <v>45628</v>
          </cell>
          <cell r="S7215">
            <v>45628</v>
          </cell>
          <cell r="T7215">
            <v>45628</v>
          </cell>
          <cell r="U7215">
            <v>45629</v>
          </cell>
          <cell r="V7215">
            <v>45632</v>
          </cell>
          <cell r="W7215">
            <v>45632</v>
          </cell>
          <cell r="X7215">
            <v>31102296</v>
          </cell>
        </row>
        <row r="7216">
          <cell r="K7216"/>
          <cell r="L7216">
            <v>45616</v>
          </cell>
          <cell r="M7216">
            <v>45616</v>
          </cell>
          <cell r="N7216">
            <v>45623</v>
          </cell>
          <cell r="O7216">
            <v>45616</v>
          </cell>
          <cell r="P7216">
            <v>45621</v>
          </cell>
          <cell r="Q7216">
            <v>45625</v>
          </cell>
          <cell r="R7216">
            <v>45628</v>
          </cell>
          <cell r="S7216">
            <v>45628</v>
          </cell>
          <cell r="T7216">
            <v>45628</v>
          </cell>
          <cell r="U7216">
            <v>45629</v>
          </cell>
          <cell r="V7216">
            <v>45632</v>
          </cell>
          <cell r="W7216">
            <v>45632</v>
          </cell>
          <cell r="X7216">
            <v>31102303</v>
          </cell>
        </row>
        <row r="7217">
          <cell r="K7217" t="str">
            <v>DBW-3562</v>
          </cell>
          <cell r="L7217">
            <v>45616</v>
          </cell>
          <cell r="M7217">
            <v>45618</v>
          </cell>
          <cell r="N7217">
            <v>45625</v>
          </cell>
          <cell r="O7217">
            <v>45618</v>
          </cell>
          <cell r="P7217">
            <v>45628</v>
          </cell>
          <cell r="Q7217">
            <v>45625</v>
          </cell>
          <cell r="R7217">
            <v>45628</v>
          </cell>
          <cell r="S7217">
            <v>45629</v>
          </cell>
          <cell r="T7217">
            <v>45630</v>
          </cell>
          <cell r="U7217">
            <v>45632</v>
          </cell>
          <cell r="V7217">
            <v>45632</v>
          </cell>
          <cell r="W7217">
            <v>45632</v>
          </cell>
          <cell r="X7217">
            <v>41000587</v>
          </cell>
        </row>
        <row r="7218">
          <cell r="K7218" t="str">
            <v>GBWS-5078</v>
          </cell>
          <cell r="L7218">
            <v>45610</v>
          </cell>
          <cell r="M7218">
            <v>45611</v>
          </cell>
          <cell r="N7218">
            <v>45618</v>
          </cell>
          <cell r="O7218">
            <v>45611</v>
          </cell>
          <cell r="P7218">
            <v>45621</v>
          </cell>
          <cell r="Q7218">
            <v>45618</v>
          </cell>
          <cell r="R7218">
            <v>45621</v>
          </cell>
          <cell r="S7218">
            <v>45622</v>
          </cell>
          <cell r="T7218">
            <v>45623</v>
          </cell>
          <cell r="U7218">
            <v>45624</v>
          </cell>
          <cell r="V7218">
            <v>45625</v>
          </cell>
          <cell r="W7218">
            <v>45625</v>
          </cell>
          <cell r="X7218">
            <v>41000544</v>
          </cell>
        </row>
        <row r="7219">
          <cell r="K7219" t="str">
            <v>GBWS-4923</v>
          </cell>
          <cell r="L7219">
            <v>45559</v>
          </cell>
          <cell r="M7219">
            <v>45560</v>
          </cell>
          <cell r="N7219">
            <v>45567</v>
          </cell>
          <cell r="O7219">
            <v>45560</v>
          </cell>
          <cell r="P7219">
            <v>45572</v>
          </cell>
          <cell r="Q7219">
            <v>45567</v>
          </cell>
          <cell r="R7219">
            <v>45569</v>
          </cell>
          <cell r="S7219">
            <v>45572</v>
          </cell>
          <cell r="T7219">
            <v>45573</v>
          </cell>
          <cell r="U7219">
            <v>45575</v>
          </cell>
          <cell r="V7219">
            <v>45576</v>
          </cell>
          <cell r="W7219">
            <v>45576</v>
          </cell>
          <cell r="X7219">
            <v>41200004</v>
          </cell>
        </row>
        <row r="7220">
          <cell r="K7220" t="str">
            <v>GBWS-5121</v>
          </cell>
          <cell r="L7220">
            <v>45618</v>
          </cell>
          <cell r="M7220">
            <v>45621</v>
          </cell>
          <cell r="N7220">
            <v>45628</v>
          </cell>
          <cell r="O7220">
            <v>45621</v>
          </cell>
          <cell r="P7220">
            <v>45628</v>
          </cell>
          <cell r="Q7220">
            <v>45628</v>
          </cell>
          <cell r="R7220">
            <v>45629</v>
          </cell>
          <cell r="S7220">
            <v>45630</v>
          </cell>
          <cell r="T7220">
            <v>45631</v>
          </cell>
          <cell r="U7220">
            <v>45632</v>
          </cell>
          <cell r="V7220">
            <v>45635</v>
          </cell>
          <cell r="W7220">
            <v>45635</v>
          </cell>
          <cell r="X7220">
            <v>41100372</v>
          </cell>
        </row>
        <row r="7221">
          <cell r="K7221"/>
          <cell r="L7221">
            <v>45588</v>
          </cell>
          <cell r="M7221">
            <v>45588</v>
          </cell>
          <cell r="N7221">
            <v>45596</v>
          </cell>
          <cell r="O7221">
            <v>45588</v>
          </cell>
          <cell r="P7221">
            <v>45600</v>
          </cell>
          <cell r="Q7221">
            <v>45596</v>
          </cell>
          <cell r="R7221">
            <v>45597</v>
          </cell>
          <cell r="S7221">
            <v>45600</v>
          </cell>
          <cell r="T7221">
            <v>45600</v>
          </cell>
          <cell r="U7221">
            <v>45624</v>
          </cell>
          <cell r="V7221">
            <v>45632</v>
          </cell>
          <cell r="W7221">
            <v>45632</v>
          </cell>
          <cell r="X7221">
            <v>31200277</v>
          </cell>
        </row>
        <row r="7222">
          <cell r="K7222"/>
          <cell r="L7222">
            <v>45588</v>
          </cell>
          <cell r="M7222">
            <v>45588</v>
          </cell>
          <cell r="N7222">
            <v>45596</v>
          </cell>
          <cell r="O7222">
            <v>45588</v>
          </cell>
          <cell r="P7222">
            <v>45600</v>
          </cell>
          <cell r="Q7222">
            <v>45597</v>
          </cell>
          <cell r="R7222">
            <v>45600</v>
          </cell>
          <cell r="S7222">
            <v>45600</v>
          </cell>
          <cell r="T7222">
            <v>45600</v>
          </cell>
          <cell r="U7222">
            <v>45624</v>
          </cell>
          <cell r="V7222">
            <v>45632</v>
          </cell>
          <cell r="W7222">
            <v>45632</v>
          </cell>
          <cell r="X7222">
            <v>31200278</v>
          </cell>
        </row>
        <row r="7223">
          <cell r="K7223"/>
          <cell r="L7223">
            <v>45588</v>
          </cell>
          <cell r="M7223">
            <v>45588</v>
          </cell>
          <cell r="N7223">
            <v>45596</v>
          </cell>
          <cell r="O7223">
            <v>45588</v>
          </cell>
          <cell r="P7223">
            <v>45600</v>
          </cell>
          <cell r="Q7223">
            <v>45600</v>
          </cell>
          <cell r="R7223">
            <v>45601</v>
          </cell>
          <cell r="S7223">
            <v>45600</v>
          </cell>
          <cell r="T7223">
            <v>45600</v>
          </cell>
          <cell r="U7223">
            <v>45624</v>
          </cell>
          <cell r="V7223">
            <v>45632</v>
          </cell>
          <cell r="W7223">
            <v>45632</v>
          </cell>
          <cell r="X7223">
            <v>31200278</v>
          </cell>
        </row>
        <row r="7224">
          <cell r="K7224" t="str">
            <v>GBWS-5120</v>
          </cell>
          <cell r="L7224">
            <v>45616</v>
          </cell>
          <cell r="M7224">
            <v>45618</v>
          </cell>
          <cell r="N7224">
            <v>45624</v>
          </cell>
          <cell r="O7224">
            <v>45618</v>
          </cell>
          <cell r="P7224">
            <v>45628</v>
          </cell>
          <cell r="Q7224">
            <v>45625</v>
          </cell>
          <cell r="R7224">
            <v>45628</v>
          </cell>
          <cell r="S7224">
            <v>45629</v>
          </cell>
          <cell r="T7224">
            <v>45630</v>
          </cell>
          <cell r="U7224">
            <v>45631</v>
          </cell>
          <cell r="V7224">
            <v>45632</v>
          </cell>
          <cell r="W7224">
            <v>45632</v>
          </cell>
          <cell r="X7224">
            <v>41200039</v>
          </cell>
        </row>
        <row r="7225">
          <cell r="K7225" t="str">
            <v>DBW-3561</v>
          </cell>
          <cell r="L7225">
            <v>45604</v>
          </cell>
          <cell r="M7225">
            <v>45607</v>
          </cell>
          <cell r="N7225">
            <v>45614</v>
          </cell>
          <cell r="O7225">
            <v>45607</v>
          </cell>
          <cell r="P7225">
            <v>45614</v>
          </cell>
          <cell r="Q7225">
            <v>45614</v>
          </cell>
          <cell r="R7225">
            <v>45615</v>
          </cell>
          <cell r="S7225">
            <v>45621</v>
          </cell>
          <cell r="T7225">
            <v>45622</v>
          </cell>
          <cell r="U7225">
            <v>45623</v>
          </cell>
          <cell r="V7225">
            <v>45625</v>
          </cell>
          <cell r="W7225">
            <v>45625</v>
          </cell>
          <cell r="X7225">
            <v>41100668</v>
          </cell>
        </row>
        <row r="7226">
          <cell r="K7226" t="str">
            <v>GBWS-4659</v>
          </cell>
          <cell r="L7226">
            <v>45464</v>
          </cell>
          <cell r="M7226">
            <v>45467</v>
          </cell>
          <cell r="N7226">
            <v>45474</v>
          </cell>
          <cell r="O7226">
            <v>45467</v>
          </cell>
          <cell r="P7226">
            <v>45476</v>
          </cell>
          <cell r="Q7226">
            <v>45474</v>
          </cell>
          <cell r="R7226">
            <v>45475</v>
          </cell>
          <cell r="S7226">
            <v>45481</v>
          </cell>
          <cell r="T7226">
            <v>45482</v>
          </cell>
          <cell r="U7226">
            <v>45483</v>
          </cell>
          <cell r="V7226">
            <v>45484</v>
          </cell>
          <cell r="W7226">
            <v>45484</v>
          </cell>
          <cell r="X7226">
            <v>41100550</v>
          </cell>
        </row>
        <row r="7227">
          <cell r="K7227" t="str">
            <v>GBWS-4660</v>
          </cell>
          <cell r="L7227">
            <v>45464</v>
          </cell>
          <cell r="M7227">
            <v>45467</v>
          </cell>
          <cell r="N7227">
            <v>45474</v>
          </cell>
          <cell r="O7227">
            <v>45467</v>
          </cell>
          <cell r="P7227">
            <v>45476</v>
          </cell>
          <cell r="Q7227">
            <v>45474</v>
          </cell>
          <cell r="R7227">
            <v>45475</v>
          </cell>
          <cell r="S7227">
            <v>45478</v>
          </cell>
          <cell r="T7227">
            <v>45481</v>
          </cell>
          <cell r="U7227">
            <v>45485</v>
          </cell>
          <cell r="V7227">
            <v>45488</v>
          </cell>
          <cell r="W7227">
            <v>45488</v>
          </cell>
          <cell r="X7227">
            <v>41100550</v>
          </cell>
        </row>
        <row r="7228">
          <cell r="K7228" t="str">
            <v>GBWS-5138</v>
          </cell>
          <cell r="L7228">
            <v>45621</v>
          </cell>
          <cell r="M7228">
            <v>45623</v>
          </cell>
          <cell r="N7228">
            <v>45629</v>
          </cell>
          <cell r="O7228">
            <v>45623</v>
          </cell>
          <cell r="P7228">
            <v>45630</v>
          </cell>
          <cell r="Q7228">
            <v>45629</v>
          </cell>
          <cell r="R7228">
            <v>45630</v>
          </cell>
          <cell r="S7228">
            <v>45631</v>
          </cell>
          <cell r="T7228">
            <v>45632</v>
          </cell>
          <cell r="U7228">
            <v>45635</v>
          </cell>
          <cell r="V7228">
            <v>45636</v>
          </cell>
          <cell r="W7228">
            <v>45636</v>
          </cell>
          <cell r="X7228">
            <v>41100286</v>
          </cell>
        </row>
        <row r="7229">
          <cell r="K7229"/>
          <cell r="L7229">
            <v>45617</v>
          </cell>
          <cell r="M7229" t="str">
            <v>2024-11-21 → 11/25</v>
          </cell>
          <cell r="N7229">
            <v>45631</v>
          </cell>
          <cell r="O7229" t="str">
            <v>2024-11-21 → 11/25</v>
          </cell>
          <cell r="P7229">
            <v>45635</v>
          </cell>
          <cell r="Q7229" t="str">
            <v>2024-11-28 → 12/2</v>
          </cell>
          <cell r="R7229" t="str">
            <v>2024-11-28 → 12/2</v>
          </cell>
          <cell r="S7229">
            <v>45636</v>
          </cell>
          <cell r="T7229">
            <v>45636</v>
          </cell>
          <cell r="U7229">
            <v>45636</v>
          </cell>
          <cell r="V7229">
            <v>45636</v>
          </cell>
          <cell r="W7229">
            <v>45636</v>
          </cell>
          <cell r="X7229">
            <v>31200304</v>
          </cell>
        </row>
        <row r="7230">
          <cell r="K7230"/>
          <cell r="L7230">
            <v>45617</v>
          </cell>
          <cell r="M7230" t="str">
            <v>2024-11-21 → 11/25</v>
          </cell>
          <cell r="N7230">
            <v>45631</v>
          </cell>
          <cell r="O7230" t="str">
            <v>2024-11-21 → 11/25</v>
          </cell>
          <cell r="P7230">
            <v>45635</v>
          </cell>
          <cell r="Q7230" t="str">
            <v>2024-11-28 → 12/2</v>
          </cell>
          <cell r="R7230" t="str">
            <v>2024-11-28 → 12/2</v>
          </cell>
          <cell r="S7230">
            <v>45636</v>
          </cell>
          <cell r="T7230">
            <v>45636</v>
          </cell>
          <cell r="U7230">
            <v>45636</v>
          </cell>
          <cell r="V7230">
            <v>45636</v>
          </cell>
          <cell r="W7230">
            <v>45636</v>
          </cell>
          <cell r="X7230">
            <v>31200346</v>
          </cell>
        </row>
        <row r="7231">
          <cell r="K7231"/>
          <cell r="L7231">
            <v>45624</v>
          </cell>
          <cell r="M7231">
            <v>45624</v>
          </cell>
          <cell r="N7231">
            <v>45631</v>
          </cell>
          <cell r="O7231">
            <v>45624</v>
          </cell>
          <cell r="P7231">
            <v>45635</v>
          </cell>
          <cell r="Q7231">
            <v>45631</v>
          </cell>
          <cell r="R7231">
            <v>45631</v>
          </cell>
          <cell r="S7231">
            <v>45636</v>
          </cell>
          <cell r="T7231">
            <v>45636</v>
          </cell>
          <cell r="U7231">
            <v>45636</v>
          </cell>
          <cell r="V7231">
            <v>45636</v>
          </cell>
          <cell r="W7231">
            <v>45636</v>
          </cell>
          <cell r="X7231">
            <v>31200344</v>
          </cell>
        </row>
        <row r="7232">
          <cell r="K7232"/>
          <cell r="L7232">
            <v>45617</v>
          </cell>
          <cell r="M7232" t="str">
            <v>2024-11-21 → 11/25</v>
          </cell>
          <cell r="N7232">
            <v>45631</v>
          </cell>
          <cell r="O7232" t="str">
            <v>2024-11-21 → 11/25</v>
          </cell>
          <cell r="P7232">
            <v>45635</v>
          </cell>
          <cell r="Q7232" t="str">
            <v>2024-11-28 → 12/2</v>
          </cell>
          <cell r="R7232" t="str">
            <v>2024-11-28 → 12/2</v>
          </cell>
          <cell r="S7232">
            <v>45636</v>
          </cell>
          <cell r="T7232">
            <v>45636</v>
          </cell>
          <cell r="U7232">
            <v>45636</v>
          </cell>
          <cell r="V7232">
            <v>45636</v>
          </cell>
          <cell r="W7232">
            <v>45636</v>
          </cell>
          <cell r="X7232">
            <v>31200342</v>
          </cell>
        </row>
        <row r="7233">
          <cell r="K7233"/>
          <cell r="L7233">
            <v>45624</v>
          </cell>
          <cell r="M7233">
            <v>45624</v>
          </cell>
          <cell r="N7233">
            <v>45631</v>
          </cell>
          <cell r="O7233">
            <v>45624</v>
          </cell>
          <cell r="P7233">
            <v>45635</v>
          </cell>
          <cell r="Q7233">
            <v>45631</v>
          </cell>
          <cell r="R7233">
            <v>45631</v>
          </cell>
          <cell r="S7233">
            <v>45637</v>
          </cell>
          <cell r="T7233">
            <v>45637</v>
          </cell>
          <cell r="U7233">
            <v>45637</v>
          </cell>
          <cell r="V7233">
            <v>45637</v>
          </cell>
          <cell r="W7233">
            <v>45637</v>
          </cell>
          <cell r="X7233">
            <v>31200342</v>
          </cell>
        </row>
        <row r="7234">
          <cell r="K7234" t="str">
            <v>GBWS-5087</v>
          </cell>
          <cell r="L7234">
            <v>45614</v>
          </cell>
          <cell r="M7234">
            <v>45614</v>
          </cell>
          <cell r="N7234">
            <v>45622</v>
          </cell>
          <cell r="O7234">
            <v>45614</v>
          </cell>
          <cell r="P7234">
            <v>45623</v>
          </cell>
          <cell r="Q7234">
            <v>45622</v>
          </cell>
          <cell r="R7234">
            <v>45623</v>
          </cell>
          <cell r="S7234">
            <v>45624</v>
          </cell>
          <cell r="T7234">
            <v>45625</v>
          </cell>
          <cell r="U7234">
            <v>45629</v>
          </cell>
          <cell r="V7234">
            <v>45629</v>
          </cell>
          <cell r="W7234">
            <v>45629</v>
          </cell>
          <cell r="X7234">
            <v>41200080</v>
          </cell>
        </row>
        <row r="7235">
          <cell r="K7235" t="str">
            <v>GBWS-5088</v>
          </cell>
          <cell r="L7235">
            <v>45614</v>
          </cell>
          <cell r="M7235">
            <v>45614</v>
          </cell>
          <cell r="N7235">
            <v>45622</v>
          </cell>
          <cell r="O7235">
            <v>45614</v>
          </cell>
          <cell r="P7235">
            <v>45623</v>
          </cell>
          <cell r="Q7235">
            <v>45622</v>
          </cell>
          <cell r="R7235">
            <v>45623</v>
          </cell>
          <cell r="S7235">
            <v>45624</v>
          </cell>
          <cell r="T7235">
            <v>45625</v>
          </cell>
          <cell r="U7235">
            <v>45629</v>
          </cell>
          <cell r="V7235">
            <v>45629</v>
          </cell>
          <cell r="W7235">
            <v>45629</v>
          </cell>
          <cell r="X7235">
            <v>41200080</v>
          </cell>
        </row>
        <row r="7236">
          <cell r="K7236" t="str">
            <v>DBW-3565</v>
          </cell>
          <cell r="L7236">
            <v>45618</v>
          </cell>
          <cell r="M7236">
            <v>45621</v>
          </cell>
          <cell r="N7236">
            <v>45625</v>
          </cell>
          <cell r="O7236">
            <v>45621</v>
          </cell>
          <cell r="P7236">
            <v>45628</v>
          </cell>
          <cell r="Q7236">
            <v>45628</v>
          </cell>
          <cell r="R7236">
            <v>45629</v>
          </cell>
          <cell r="S7236">
            <v>45630</v>
          </cell>
          <cell r="T7236">
            <v>45631</v>
          </cell>
          <cell r="U7236">
            <v>45632</v>
          </cell>
          <cell r="V7236">
            <v>45635</v>
          </cell>
          <cell r="W7236">
            <v>45635</v>
          </cell>
          <cell r="X7236">
            <v>41000590</v>
          </cell>
        </row>
        <row r="7237">
          <cell r="K7237" t="str">
            <v>DBW-3568</v>
          </cell>
          <cell r="L7237">
            <v>45618</v>
          </cell>
          <cell r="M7237">
            <v>45621</v>
          </cell>
          <cell r="N7237">
            <v>45625</v>
          </cell>
          <cell r="O7237">
            <v>45621</v>
          </cell>
          <cell r="P7237">
            <v>45628</v>
          </cell>
          <cell r="Q7237">
            <v>45628</v>
          </cell>
          <cell r="R7237">
            <v>45629</v>
          </cell>
          <cell r="S7237">
            <v>45630</v>
          </cell>
          <cell r="T7237">
            <v>45631</v>
          </cell>
          <cell r="U7237">
            <v>45632</v>
          </cell>
          <cell r="V7237">
            <v>45635</v>
          </cell>
          <cell r="W7237">
            <v>45635</v>
          </cell>
          <cell r="X7237">
            <v>41000590</v>
          </cell>
        </row>
        <row r="7238">
          <cell r="K7238" t="str">
            <v>GBWS-5096</v>
          </cell>
          <cell r="L7238">
            <v>45616</v>
          </cell>
          <cell r="M7238">
            <v>45616</v>
          </cell>
          <cell r="N7238">
            <v>45622</v>
          </cell>
          <cell r="O7238">
            <v>45616</v>
          </cell>
          <cell r="P7238">
            <v>45624</v>
          </cell>
          <cell r="Q7238">
            <v>45623</v>
          </cell>
          <cell r="R7238">
            <v>45624</v>
          </cell>
          <cell r="S7238">
            <v>45629</v>
          </cell>
          <cell r="T7238">
            <v>45630</v>
          </cell>
          <cell r="U7238">
            <v>45631</v>
          </cell>
          <cell r="V7238">
            <v>45632</v>
          </cell>
          <cell r="W7238">
            <v>45632</v>
          </cell>
          <cell r="X7238">
            <v>41100564</v>
          </cell>
        </row>
        <row r="7239">
          <cell r="K7239" t="str">
            <v>GBWS-5097</v>
          </cell>
          <cell r="L7239">
            <v>45616</v>
          </cell>
          <cell r="M7239">
            <v>45616</v>
          </cell>
          <cell r="N7239">
            <v>45622</v>
          </cell>
          <cell r="O7239">
            <v>45616</v>
          </cell>
          <cell r="P7239">
            <v>45624</v>
          </cell>
          <cell r="Q7239">
            <v>45623</v>
          </cell>
          <cell r="R7239">
            <v>45624</v>
          </cell>
          <cell r="S7239">
            <v>45629</v>
          </cell>
          <cell r="T7239">
            <v>45630</v>
          </cell>
          <cell r="U7239">
            <v>45631</v>
          </cell>
          <cell r="V7239">
            <v>45632</v>
          </cell>
          <cell r="W7239">
            <v>45632</v>
          </cell>
          <cell r="X7239">
            <v>41100564</v>
          </cell>
        </row>
        <row r="7240">
          <cell r="K7240" t="str">
            <v>GBWS-5122</v>
          </cell>
          <cell r="L7240">
            <v>45618</v>
          </cell>
          <cell r="M7240">
            <v>45621</v>
          </cell>
          <cell r="N7240">
            <v>45628</v>
          </cell>
          <cell r="O7240">
            <v>45621</v>
          </cell>
          <cell r="P7240">
            <v>45629</v>
          </cell>
          <cell r="Q7240">
            <v>45628</v>
          </cell>
          <cell r="R7240">
            <v>45629</v>
          </cell>
          <cell r="S7240">
            <v>45630</v>
          </cell>
          <cell r="T7240">
            <v>45631</v>
          </cell>
          <cell r="U7240">
            <v>45632</v>
          </cell>
          <cell r="V7240">
            <v>45635</v>
          </cell>
          <cell r="W7240">
            <v>45635</v>
          </cell>
          <cell r="X7240">
            <v>41100564</v>
          </cell>
        </row>
        <row r="7241">
          <cell r="K7241" t="str">
            <v>GBWS-5123</v>
          </cell>
          <cell r="L7241">
            <v>45618</v>
          </cell>
          <cell r="M7241">
            <v>45621</v>
          </cell>
          <cell r="N7241">
            <v>45628</v>
          </cell>
          <cell r="O7241">
            <v>45621</v>
          </cell>
          <cell r="P7241">
            <v>45629</v>
          </cell>
          <cell r="Q7241">
            <v>45628</v>
          </cell>
          <cell r="R7241">
            <v>45629</v>
          </cell>
          <cell r="S7241">
            <v>45630</v>
          </cell>
          <cell r="T7241">
            <v>45631</v>
          </cell>
          <cell r="U7241">
            <v>45632</v>
          </cell>
          <cell r="V7241">
            <v>45635</v>
          </cell>
          <cell r="W7241">
            <v>45635</v>
          </cell>
          <cell r="X7241">
            <v>41100564</v>
          </cell>
        </row>
        <row r="7242">
          <cell r="K7242" t="str">
            <v>GBWS-5124</v>
          </cell>
          <cell r="L7242">
            <v>45618</v>
          </cell>
          <cell r="M7242">
            <v>45621</v>
          </cell>
          <cell r="N7242">
            <v>45628</v>
          </cell>
          <cell r="O7242">
            <v>45621</v>
          </cell>
          <cell r="P7242">
            <v>45629</v>
          </cell>
          <cell r="Q7242">
            <v>45628</v>
          </cell>
          <cell r="R7242">
            <v>45629</v>
          </cell>
          <cell r="S7242">
            <v>45630</v>
          </cell>
          <cell r="T7242">
            <v>45631</v>
          </cell>
          <cell r="U7242">
            <v>45632</v>
          </cell>
          <cell r="V7242">
            <v>45635</v>
          </cell>
          <cell r="W7242">
            <v>45635</v>
          </cell>
          <cell r="X7242">
            <v>41100564</v>
          </cell>
        </row>
        <row r="7243">
          <cell r="K7243" t="str">
            <v>GBWS-5145</v>
          </cell>
          <cell r="L7243">
            <v>45621</v>
          </cell>
          <cell r="M7243">
            <v>45623</v>
          </cell>
          <cell r="N7243">
            <v>45630</v>
          </cell>
          <cell r="O7243">
            <v>45623</v>
          </cell>
          <cell r="P7243">
            <v>45630</v>
          </cell>
          <cell r="Q7243">
            <v>45630</v>
          </cell>
          <cell r="R7243">
            <v>45631</v>
          </cell>
          <cell r="S7243">
            <v>45632</v>
          </cell>
          <cell r="T7243">
            <v>45635</v>
          </cell>
          <cell r="U7243">
            <v>45636</v>
          </cell>
          <cell r="V7243">
            <v>45637</v>
          </cell>
          <cell r="W7243">
            <v>45637</v>
          </cell>
          <cell r="X7243">
            <v>41200036</v>
          </cell>
        </row>
        <row r="7244">
          <cell r="K7244" t="str">
            <v>GBWS-5141</v>
          </cell>
          <cell r="L7244">
            <v>45621</v>
          </cell>
          <cell r="M7244">
            <v>45623</v>
          </cell>
          <cell r="N7244">
            <v>45630</v>
          </cell>
          <cell r="O7244">
            <v>45623</v>
          </cell>
          <cell r="P7244">
            <v>45631</v>
          </cell>
          <cell r="Q7244">
            <v>45630</v>
          </cell>
          <cell r="R7244">
            <v>45631</v>
          </cell>
          <cell r="S7244">
            <v>45632</v>
          </cell>
          <cell r="T7244">
            <v>45635</v>
          </cell>
          <cell r="U7244">
            <v>45636</v>
          </cell>
          <cell r="V7244">
            <v>45637</v>
          </cell>
          <cell r="W7244">
            <v>45637</v>
          </cell>
          <cell r="X7244">
            <v>41100564</v>
          </cell>
        </row>
        <row r="7245">
          <cell r="K7245" t="str">
            <v>GBWS-5142</v>
          </cell>
          <cell r="L7245">
            <v>45621</v>
          </cell>
          <cell r="M7245">
            <v>45623</v>
          </cell>
          <cell r="N7245">
            <v>45630</v>
          </cell>
          <cell r="O7245">
            <v>45623</v>
          </cell>
          <cell r="P7245">
            <v>45631</v>
          </cell>
          <cell r="Q7245">
            <v>45630</v>
          </cell>
          <cell r="R7245">
            <v>45631</v>
          </cell>
          <cell r="S7245">
            <v>45632</v>
          </cell>
          <cell r="T7245">
            <v>45635</v>
          </cell>
          <cell r="U7245">
            <v>45636</v>
          </cell>
          <cell r="V7245">
            <v>45637</v>
          </cell>
          <cell r="W7245">
            <v>45637</v>
          </cell>
          <cell r="X7245">
            <v>41100564</v>
          </cell>
        </row>
        <row r="7246">
          <cell r="K7246" t="str">
            <v>GBWS-5143</v>
          </cell>
          <cell r="L7246">
            <v>45621</v>
          </cell>
          <cell r="M7246">
            <v>45623</v>
          </cell>
          <cell r="N7246">
            <v>45630</v>
          </cell>
          <cell r="O7246">
            <v>45623</v>
          </cell>
          <cell r="P7246">
            <v>45631</v>
          </cell>
          <cell r="Q7246">
            <v>45630</v>
          </cell>
          <cell r="R7246">
            <v>45631</v>
          </cell>
          <cell r="S7246">
            <v>45632</v>
          </cell>
          <cell r="T7246">
            <v>45635</v>
          </cell>
          <cell r="U7246">
            <v>45636</v>
          </cell>
          <cell r="V7246">
            <v>45637</v>
          </cell>
          <cell r="W7246">
            <v>45637</v>
          </cell>
          <cell r="X7246">
            <v>41100564</v>
          </cell>
        </row>
        <row r="7247">
          <cell r="K7247" t="str">
            <v>GBWS-5137</v>
          </cell>
          <cell r="L7247">
            <v>45621</v>
          </cell>
          <cell r="M7247">
            <v>45622</v>
          </cell>
          <cell r="N7247">
            <v>45630</v>
          </cell>
          <cell r="O7247">
            <v>45622</v>
          </cell>
          <cell r="P7247">
            <v>45631</v>
          </cell>
          <cell r="Q7247">
            <v>45629</v>
          </cell>
          <cell r="R7247">
            <v>45630</v>
          </cell>
          <cell r="S7247">
            <v>45632</v>
          </cell>
          <cell r="T7247">
            <v>45635</v>
          </cell>
          <cell r="U7247">
            <v>45637</v>
          </cell>
          <cell r="V7247">
            <v>45638</v>
          </cell>
          <cell r="W7247">
            <v>45638</v>
          </cell>
          <cell r="X7247">
            <v>41200071</v>
          </cell>
        </row>
        <row r="7248">
          <cell r="K7248" t="str">
            <v>DBW-3553</v>
          </cell>
          <cell r="L7248">
            <v>45596</v>
          </cell>
          <cell r="M7248">
            <v>45597</v>
          </cell>
          <cell r="N7248">
            <v>45604</v>
          </cell>
          <cell r="O7248">
            <v>45597</v>
          </cell>
          <cell r="P7248">
            <v>45607</v>
          </cell>
          <cell r="Q7248">
            <v>45604</v>
          </cell>
          <cell r="R7248">
            <v>45607</v>
          </cell>
          <cell r="S7248">
            <v>45618</v>
          </cell>
          <cell r="T7248">
            <v>45621</v>
          </cell>
          <cell r="U7248">
            <v>45622</v>
          </cell>
          <cell r="V7248">
            <v>45623</v>
          </cell>
          <cell r="W7248">
            <v>45623</v>
          </cell>
          <cell r="X7248">
            <v>41100668</v>
          </cell>
        </row>
        <row r="7249">
          <cell r="K7249" t="str">
            <v>GBWS-5039</v>
          </cell>
          <cell r="L7249">
            <v>45596</v>
          </cell>
          <cell r="M7249">
            <v>45597</v>
          </cell>
          <cell r="N7249">
            <v>45604</v>
          </cell>
          <cell r="O7249">
            <v>45597</v>
          </cell>
          <cell r="P7249">
            <v>45607</v>
          </cell>
          <cell r="Q7249">
            <v>45604</v>
          </cell>
          <cell r="R7249">
            <v>45607</v>
          </cell>
          <cell r="S7249">
            <v>45608</v>
          </cell>
          <cell r="T7249">
            <v>45610</v>
          </cell>
          <cell r="U7249">
            <v>45611</v>
          </cell>
          <cell r="V7249">
            <v>45614</v>
          </cell>
          <cell r="W7249">
            <v>45614</v>
          </cell>
          <cell r="X7249">
            <v>41100227</v>
          </cell>
        </row>
        <row r="7250">
          <cell r="K7250" t="str">
            <v>GBWS-5079</v>
          </cell>
          <cell r="L7250">
            <v>45610</v>
          </cell>
          <cell r="M7250" t="str">
            <v>2024-08-16 → 11/15</v>
          </cell>
          <cell r="N7250">
            <v>45615</v>
          </cell>
          <cell r="O7250" t="str">
            <v>2024-08-16 → 11/15</v>
          </cell>
          <cell r="P7250">
            <v>45615</v>
          </cell>
          <cell r="Q7250" t="str">
            <v>2024-08-26 → 11/22</v>
          </cell>
          <cell r="R7250" t="str">
            <v>2024-08-27 → 11/25</v>
          </cell>
          <cell r="S7250">
            <v>45622</v>
          </cell>
          <cell r="T7250">
            <v>45623</v>
          </cell>
          <cell r="U7250">
            <v>45624</v>
          </cell>
          <cell r="V7250">
            <v>45625</v>
          </cell>
          <cell r="W7250">
            <v>45625</v>
          </cell>
          <cell r="X7250">
            <v>41100372</v>
          </cell>
        </row>
        <row r="7251">
          <cell r="K7251" t="str">
            <v>GBWS-5150</v>
          </cell>
          <cell r="L7251">
            <v>45623</v>
          </cell>
          <cell r="M7251">
            <v>45625</v>
          </cell>
          <cell r="N7251">
            <v>45632</v>
          </cell>
          <cell r="O7251">
            <v>45625</v>
          </cell>
          <cell r="P7251">
            <v>45632</v>
          </cell>
          <cell r="Q7251">
            <v>45631</v>
          </cell>
          <cell r="R7251">
            <v>45632</v>
          </cell>
          <cell r="S7251">
            <v>45635</v>
          </cell>
          <cell r="T7251">
            <v>45636</v>
          </cell>
          <cell r="U7251">
            <v>45637</v>
          </cell>
          <cell r="V7251">
            <v>45638</v>
          </cell>
          <cell r="W7251">
            <v>45638</v>
          </cell>
          <cell r="X7251">
            <v>41100334</v>
          </cell>
        </row>
        <row r="7252">
          <cell r="K7252" t="str">
            <v>GBWS-4974</v>
          </cell>
          <cell r="L7252">
            <v>45580</v>
          </cell>
          <cell r="M7252">
            <v>45581</v>
          </cell>
          <cell r="N7252">
            <v>45588</v>
          </cell>
          <cell r="O7252">
            <v>45581</v>
          </cell>
          <cell r="P7252">
            <v>45589</v>
          </cell>
          <cell r="Q7252">
            <v>45588</v>
          </cell>
          <cell r="R7252">
            <v>45589</v>
          </cell>
          <cell r="S7252">
            <v>45603</v>
          </cell>
          <cell r="T7252">
            <v>45604</v>
          </cell>
          <cell r="U7252">
            <v>45607</v>
          </cell>
          <cell r="V7252">
            <v>45608</v>
          </cell>
          <cell r="W7252">
            <v>45608</v>
          </cell>
          <cell r="X7252">
            <v>41100320</v>
          </cell>
        </row>
        <row r="7253">
          <cell r="K7253" t="str">
            <v>GBWS-5125</v>
          </cell>
          <cell r="L7253">
            <v>45618</v>
          </cell>
          <cell r="M7253">
            <v>45621</v>
          </cell>
          <cell r="N7253">
            <v>45628</v>
          </cell>
          <cell r="O7253">
            <v>45621</v>
          </cell>
          <cell r="P7253">
            <v>45631</v>
          </cell>
          <cell r="Q7253">
            <v>45628</v>
          </cell>
          <cell r="R7253">
            <v>45629</v>
          </cell>
          <cell r="S7253">
            <v>45630</v>
          </cell>
          <cell r="T7253">
            <v>45631</v>
          </cell>
          <cell r="U7253">
            <v>45632</v>
          </cell>
          <cell r="V7253">
            <v>45635</v>
          </cell>
          <cell r="W7253">
            <v>45635</v>
          </cell>
          <cell r="X7253">
            <v>41200076</v>
          </cell>
        </row>
        <row r="7254">
          <cell r="K7254" t="str">
            <v>GBWS-5126</v>
          </cell>
          <cell r="L7254">
            <v>45618</v>
          </cell>
          <cell r="M7254">
            <v>45621</v>
          </cell>
          <cell r="N7254">
            <v>45630</v>
          </cell>
          <cell r="O7254">
            <v>45621</v>
          </cell>
          <cell r="P7254">
            <v>45631</v>
          </cell>
          <cell r="Q7254">
            <v>45630</v>
          </cell>
          <cell r="R7254">
            <v>45631</v>
          </cell>
          <cell r="S7254">
            <v>45635</v>
          </cell>
          <cell r="T7254">
            <v>45636</v>
          </cell>
          <cell r="U7254">
            <v>45637</v>
          </cell>
          <cell r="V7254">
            <v>45638</v>
          </cell>
          <cell r="W7254">
            <v>45638</v>
          </cell>
          <cell r="X7254">
            <v>41200076</v>
          </cell>
        </row>
        <row r="7255">
          <cell r="K7255" t="str">
            <v>GBWS-5127</v>
          </cell>
          <cell r="L7255">
            <v>45618</v>
          </cell>
          <cell r="M7255">
            <v>45621</v>
          </cell>
          <cell r="N7255">
            <v>45630</v>
          </cell>
          <cell r="O7255">
            <v>45621</v>
          </cell>
          <cell r="P7255">
            <v>45631</v>
          </cell>
          <cell r="Q7255">
            <v>45630</v>
          </cell>
          <cell r="R7255">
            <v>45631</v>
          </cell>
          <cell r="S7255">
            <v>45635</v>
          </cell>
          <cell r="T7255">
            <v>45636</v>
          </cell>
          <cell r="U7255">
            <v>45637</v>
          </cell>
          <cell r="V7255">
            <v>45638</v>
          </cell>
          <cell r="W7255">
            <v>45638</v>
          </cell>
          <cell r="X7255">
            <v>41200076</v>
          </cell>
        </row>
        <row r="7256">
          <cell r="K7256" t="str">
            <v>GBWS-5128</v>
          </cell>
          <cell r="L7256">
            <v>45618</v>
          </cell>
          <cell r="M7256">
            <v>45621</v>
          </cell>
          <cell r="N7256">
            <v>45630</v>
          </cell>
          <cell r="O7256">
            <v>45621</v>
          </cell>
          <cell r="P7256">
            <v>45631</v>
          </cell>
          <cell r="Q7256">
            <v>45630</v>
          </cell>
          <cell r="R7256">
            <v>45631</v>
          </cell>
          <cell r="S7256">
            <v>45635</v>
          </cell>
          <cell r="T7256">
            <v>45636</v>
          </cell>
          <cell r="U7256">
            <v>45637</v>
          </cell>
          <cell r="V7256">
            <v>45638</v>
          </cell>
          <cell r="W7256">
            <v>45638</v>
          </cell>
          <cell r="X7256">
            <v>41200076</v>
          </cell>
        </row>
        <row r="7257">
          <cell r="K7257" t="str">
            <v>GBWS-5140</v>
          </cell>
          <cell r="L7257">
            <v>45621</v>
          </cell>
          <cell r="M7257">
            <v>45623</v>
          </cell>
          <cell r="N7257">
            <v>45630</v>
          </cell>
          <cell r="O7257">
            <v>45623</v>
          </cell>
          <cell r="P7257">
            <v>45631</v>
          </cell>
          <cell r="Q7257">
            <v>45630</v>
          </cell>
          <cell r="R7257">
            <v>45631</v>
          </cell>
          <cell r="S7257">
            <v>45632</v>
          </cell>
          <cell r="T7257">
            <v>45635</v>
          </cell>
          <cell r="U7257">
            <v>45636</v>
          </cell>
          <cell r="V7257">
            <v>45637</v>
          </cell>
          <cell r="W7257">
            <v>45637</v>
          </cell>
          <cell r="X7257">
            <v>41100372</v>
          </cell>
        </row>
        <row r="7258">
          <cell r="K7258" t="str">
            <v>GBWS-5151</v>
          </cell>
          <cell r="L7258">
            <v>45623</v>
          </cell>
          <cell r="M7258">
            <v>45625</v>
          </cell>
          <cell r="N7258">
            <v>45632</v>
          </cell>
          <cell r="O7258">
            <v>45625</v>
          </cell>
          <cell r="P7258">
            <v>45635</v>
          </cell>
          <cell r="Q7258">
            <v>45632</v>
          </cell>
          <cell r="R7258">
            <v>45635</v>
          </cell>
          <cell r="S7258">
            <v>45636</v>
          </cell>
          <cell r="T7258">
            <v>45637</v>
          </cell>
          <cell r="U7258">
            <v>45638</v>
          </cell>
          <cell r="V7258">
            <v>45639</v>
          </cell>
          <cell r="W7258">
            <v>45639</v>
          </cell>
          <cell r="X7258">
            <v>41100317</v>
          </cell>
        </row>
        <row r="7259">
          <cell r="K7259"/>
          <cell r="L7259">
            <v>43735</v>
          </cell>
          <cell r="M7259">
            <v>43735</v>
          </cell>
          <cell r="N7259">
            <v>43755</v>
          </cell>
          <cell r="O7259">
            <v>43735</v>
          </cell>
          <cell r="P7259">
            <v>43746</v>
          </cell>
          <cell r="Q7259"/>
          <cell r="R7259"/>
          <cell r="S7259"/>
          <cell r="T7259">
            <v>43742</v>
          </cell>
          <cell r="U7259">
            <v>43755</v>
          </cell>
          <cell r="V7259">
            <v>43755</v>
          </cell>
          <cell r="W7259">
            <v>43755</v>
          </cell>
          <cell r="X7259">
            <v>31100636</v>
          </cell>
        </row>
        <row r="7260">
          <cell r="K7260" t="str">
            <v>MMD-0012~0020</v>
          </cell>
          <cell r="L7260"/>
          <cell r="M7260">
            <v>44222</v>
          </cell>
          <cell r="N7260">
            <v>44224</v>
          </cell>
          <cell r="O7260">
            <v>44222</v>
          </cell>
          <cell r="P7260">
            <v>44224</v>
          </cell>
          <cell r="Q7260"/>
          <cell r="R7260"/>
          <cell r="S7260"/>
          <cell r="T7260" t="str">
            <v xml:space="preserve"> - </v>
          </cell>
          <cell r="U7260" t="str">
            <v xml:space="preserve"> - </v>
          </cell>
          <cell r="V7260">
            <v>44225</v>
          </cell>
          <cell r="W7260">
            <v>44225</v>
          </cell>
          <cell r="X7260">
            <v>31100357</v>
          </cell>
        </row>
        <row r="7261">
          <cell r="K7261" t="str">
            <v>DBW-1202</v>
          </cell>
          <cell r="L7261">
            <v>43143</v>
          </cell>
          <cell r="M7261"/>
          <cell r="N7261"/>
          <cell r="O7261"/>
          <cell r="P7261"/>
          <cell r="Q7261"/>
          <cell r="R7261"/>
          <cell r="S7261"/>
          <cell r="T7261">
            <v>43161</v>
          </cell>
          <cell r="U7261">
            <v>43161</v>
          </cell>
          <cell r="V7261">
            <v>43167</v>
          </cell>
          <cell r="W7261">
            <v>43167</v>
          </cell>
          <cell r="X7261">
            <v>41000483</v>
          </cell>
        </row>
        <row r="7262">
          <cell r="K7262" t="str">
            <v>GPWS-0176</v>
          </cell>
          <cell r="L7262">
            <v>43595</v>
          </cell>
          <cell r="M7262">
            <v>43598</v>
          </cell>
          <cell r="N7262">
            <v>43609</v>
          </cell>
          <cell r="O7262">
            <v>43598</v>
          </cell>
          <cell r="P7262">
            <v>43613</v>
          </cell>
          <cell r="Q7262"/>
          <cell r="R7262"/>
          <cell r="S7262"/>
          <cell r="T7262">
            <v>43615</v>
          </cell>
          <cell r="U7262">
            <v>43615</v>
          </cell>
          <cell r="V7262">
            <v>43616</v>
          </cell>
          <cell r="W7262">
            <v>43616</v>
          </cell>
          <cell r="X7262">
            <v>41100072</v>
          </cell>
        </row>
        <row r="7263">
          <cell r="K7263" t="str">
            <v>DBW-1847</v>
          </cell>
          <cell r="L7263">
            <v>44007</v>
          </cell>
          <cell r="M7263">
            <v>44008</v>
          </cell>
          <cell r="N7263">
            <v>44020</v>
          </cell>
          <cell r="O7263">
            <v>44008</v>
          </cell>
          <cell r="P7263">
            <v>44021</v>
          </cell>
          <cell r="Q7263"/>
          <cell r="R7263"/>
          <cell r="S7263"/>
          <cell r="T7263">
            <v>44085</v>
          </cell>
          <cell r="U7263">
            <v>44089</v>
          </cell>
          <cell r="V7263">
            <v>44089</v>
          </cell>
          <cell r="W7263">
            <v>44089</v>
          </cell>
          <cell r="X7263">
            <v>41100220</v>
          </cell>
        </row>
        <row r="7264">
          <cell r="K7264" t="str">
            <v>GBWS-1647</v>
          </cell>
          <cell r="L7264">
            <v>44469</v>
          </cell>
          <cell r="M7264">
            <v>44469</v>
          </cell>
          <cell r="N7264">
            <v>44482</v>
          </cell>
          <cell r="O7264">
            <v>44469</v>
          </cell>
          <cell r="P7264">
            <v>44481</v>
          </cell>
          <cell r="Q7264" t="str">
            <v>2021-10-12 → 10/13</v>
          </cell>
          <cell r="R7264" t="str">
            <v>2021-10-12 → 10/13</v>
          </cell>
          <cell r="S7264"/>
          <cell r="T7264">
            <v>44483</v>
          </cell>
          <cell r="U7264">
            <v>44487</v>
          </cell>
          <cell r="V7264">
            <v>44489</v>
          </cell>
          <cell r="W7264">
            <v>44489</v>
          </cell>
          <cell r="X7264">
            <v>41100284</v>
          </cell>
        </row>
        <row r="7265">
          <cell r="K7265" t="str">
            <v>GBWS-1648</v>
          </cell>
          <cell r="L7265">
            <v>44469</v>
          </cell>
          <cell r="M7265">
            <v>44469</v>
          </cell>
          <cell r="N7265">
            <v>44482</v>
          </cell>
          <cell r="O7265">
            <v>44469</v>
          </cell>
          <cell r="P7265">
            <v>44481</v>
          </cell>
          <cell r="Q7265" t="str">
            <v>2021-10-12 → 10/13</v>
          </cell>
          <cell r="R7265" t="str">
            <v>2021-10-12 → 10/13</v>
          </cell>
          <cell r="S7265"/>
          <cell r="T7265">
            <v>44483</v>
          </cell>
          <cell r="U7265">
            <v>44487</v>
          </cell>
          <cell r="V7265">
            <v>44489</v>
          </cell>
          <cell r="W7265">
            <v>44489</v>
          </cell>
          <cell r="X7265">
            <v>41100284</v>
          </cell>
        </row>
        <row r="7266">
          <cell r="K7266" t="str">
            <v>GBWS-3248</v>
          </cell>
          <cell r="L7266">
            <v>44998</v>
          </cell>
          <cell r="M7266">
            <v>44999</v>
          </cell>
          <cell r="N7266">
            <v>45008</v>
          </cell>
          <cell r="O7266">
            <v>44999</v>
          </cell>
          <cell r="P7266">
            <v>45008</v>
          </cell>
          <cell r="Q7266" t="str">
            <v>2023-03-23 → 3/24</v>
          </cell>
          <cell r="R7266" t="str">
            <v>2023-03-23 → 3/24</v>
          </cell>
          <cell r="S7266">
            <v>45008</v>
          </cell>
          <cell r="T7266">
            <v>45020</v>
          </cell>
          <cell r="U7266">
            <v>45022</v>
          </cell>
          <cell r="V7266">
            <v>45023</v>
          </cell>
          <cell r="W7266">
            <v>45023</v>
          </cell>
          <cell r="X7266">
            <v>41100511</v>
          </cell>
        </row>
        <row r="7267">
          <cell r="K7267" t="str">
            <v>GBWS-3250</v>
          </cell>
          <cell r="L7267">
            <v>44998</v>
          </cell>
          <cell r="M7267">
            <v>44999</v>
          </cell>
          <cell r="N7267">
            <v>45008</v>
          </cell>
          <cell r="O7267">
            <v>44999</v>
          </cell>
          <cell r="P7267">
            <v>45008</v>
          </cell>
          <cell r="Q7267" t="str">
            <v>2023-03-23 → 3/24</v>
          </cell>
          <cell r="R7267" t="str">
            <v>2023-03-23 → 3/24</v>
          </cell>
          <cell r="S7267">
            <v>45008</v>
          </cell>
          <cell r="T7267">
            <v>45028</v>
          </cell>
          <cell r="U7267">
            <v>45033</v>
          </cell>
          <cell r="V7267">
            <v>45034</v>
          </cell>
          <cell r="W7267">
            <v>45034</v>
          </cell>
          <cell r="X7267">
            <v>41100511</v>
          </cell>
        </row>
        <row r="7268">
          <cell r="K7268" t="str">
            <v>GBWS-3251</v>
          </cell>
          <cell r="L7268">
            <v>44998</v>
          </cell>
          <cell r="M7268">
            <v>44999</v>
          </cell>
          <cell r="N7268">
            <v>45008</v>
          </cell>
          <cell r="O7268">
            <v>44999</v>
          </cell>
          <cell r="P7268">
            <v>45008</v>
          </cell>
          <cell r="Q7268" t="str">
            <v>2023-03-23 → 3/24</v>
          </cell>
          <cell r="R7268" t="str">
            <v>2023-03-23 → 3/24</v>
          </cell>
          <cell r="S7268">
            <v>45008</v>
          </cell>
          <cell r="T7268">
            <v>45020</v>
          </cell>
          <cell r="U7268">
            <v>45023</v>
          </cell>
          <cell r="V7268">
            <v>45023</v>
          </cell>
          <cell r="W7268">
            <v>45023</v>
          </cell>
          <cell r="X7268">
            <v>41100511</v>
          </cell>
        </row>
        <row r="7269">
          <cell r="K7269" t="str">
            <v>GBWS-4097</v>
          </cell>
          <cell r="L7269">
            <v>45321</v>
          </cell>
          <cell r="M7269">
            <v>45322</v>
          </cell>
          <cell r="N7269">
            <v>45329</v>
          </cell>
          <cell r="O7269">
            <v>45322</v>
          </cell>
          <cell r="P7269">
            <v>45328</v>
          </cell>
          <cell r="Q7269">
            <v>45329</v>
          </cell>
          <cell r="R7269">
            <v>45329</v>
          </cell>
          <cell r="S7269">
            <v>45329</v>
          </cell>
          <cell r="T7269">
            <v>45349</v>
          </cell>
          <cell r="U7269">
            <v>45350</v>
          </cell>
          <cell r="V7269">
            <v>45351</v>
          </cell>
          <cell r="W7269">
            <v>45351</v>
          </cell>
          <cell r="X7269">
            <v>41000586</v>
          </cell>
        </row>
        <row r="7270">
          <cell r="K7270" t="str">
            <v>GBWS-4803</v>
          </cell>
          <cell r="L7270">
            <v>45506</v>
          </cell>
          <cell r="M7270">
            <v>45509</v>
          </cell>
          <cell r="N7270">
            <v>45513</v>
          </cell>
          <cell r="O7270">
            <v>45509</v>
          </cell>
          <cell r="P7270">
            <v>45516</v>
          </cell>
          <cell r="Q7270">
            <v>45513</v>
          </cell>
          <cell r="R7270">
            <v>45516</v>
          </cell>
          <cell r="S7270">
            <v>45520</v>
          </cell>
          <cell r="T7270">
            <v>45523</v>
          </cell>
          <cell r="U7270">
            <v>45524</v>
          </cell>
          <cell r="V7270">
            <v>45525</v>
          </cell>
          <cell r="W7270">
            <v>45525</v>
          </cell>
          <cell r="X7270">
            <v>41200007</v>
          </cell>
        </row>
        <row r="7271">
          <cell r="K7271" t="str">
            <v>GBWS-4804</v>
          </cell>
          <cell r="L7271">
            <v>45506</v>
          </cell>
          <cell r="M7271">
            <v>45509</v>
          </cell>
          <cell r="N7271">
            <v>45513</v>
          </cell>
          <cell r="O7271">
            <v>45509</v>
          </cell>
          <cell r="P7271">
            <v>45516</v>
          </cell>
          <cell r="Q7271">
            <v>45513</v>
          </cell>
          <cell r="R7271">
            <v>45516</v>
          </cell>
          <cell r="S7271">
            <v>45520</v>
          </cell>
          <cell r="T7271">
            <v>45524</v>
          </cell>
          <cell r="U7271">
            <v>45525</v>
          </cell>
          <cell r="V7271">
            <v>45525</v>
          </cell>
          <cell r="W7271">
            <v>45525</v>
          </cell>
          <cell r="X7271">
            <v>41200007</v>
          </cell>
        </row>
        <row r="7272">
          <cell r="K7272" t="str">
            <v>GBWS-4010</v>
          </cell>
          <cell r="L7272">
            <v>45302</v>
          </cell>
          <cell r="M7272">
            <v>45303</v>
          </cell>
          <cell r="N7272">
            <v>45310</v>
          </cell>
          <cell r="O7272">
            <v>45303</v>
          </cell>
          <cell r="P7272">
            <v>45314</v>
          </cell>
          <cell r="Q7272">
            <v>45313</v>
          </cell>
          <cell r="R7272">
            <v>45314</v>
          </cell>
          <cell r="S7272">
            <v>45315</v>
          </cell>
          <cell r="T7272">
            <v>45315</v>
          </cell>
          <cell r="U7272">
            <v>45317</v>
          </cell>
          <cell r="V7272">
            <v>45321</v>
          </cell>
          <cell r="W7272">
            <v>45321</v>
          </cell>
          <cell r="X7272">
            <v>41100686</v>
          </cell>
        </row>
        <row r="7273">
          <cell r="K7273" t="str">
            <v>GBWS-4011</v>
          </cell>
          <cell r="L7273">
            <v>45302</v>
          </cell>
          <cell r="M7273">
            <v>45303</v>
          </cell>
          <cell r="N7273">
            <v>45310</v>
          </cell>
          <cell r="O7273">
            <v>45303</v>
          </cell>
          <cell r="P7273">
            <v>45314</v>
          </cell>
          <cell r="Q7273">
            <v>45313</v>
          </cell>
          <cell r="R7273">
            <v>45314</v>
          </cell>
          <cell r="S7273">
            <v>45315</v>
          </cell>
          <cell r="T7273">
            <v>45315</v>
          </cell>
          <cell r="U7273">
            <v>45317</v>
          </cell>
          <cell r="V7273">
            <v>45320</v>
          </cell>
          <cell r="W7273">
            <v>45320</v>
          </cell>
          <cell r="X7273">
            <v>41100686</v>
          </cell>
        </row>
        <row r="7274">
          <cell r="K7274" t="str">
            <v>-</v>
          </cell>
          <cell r="L7274">
            <v>45315</v>
          </cell>
          <cell r="M7274" t="str">
            <v>2024-01-17 → 1/25</v>
          </cell>
          <cell r="N7274">
            <v>45336</v>
          </cell>
          <cell r="O7274" t="str">
            <v>2024-01-17 → 1/25</v>
          </cell>
          <cell r="P7274">
            <v>45336</v>
          </cell>
          <cell r="Q7274" t="str">
            <v>2024-01-23 → 1/30</v>
          </cell>
          <cell r="R7274" t="str">
            <v>2024-01-23 → 1/30</v>
          </cell>
          <cell r="S7274">
            <v>45322</v>
          </cell>
          <cell r="T7274">
            <v>45322</v>
          </cell>
          <cell r="U7274">
            <v>45322</v>
          </cell>
          <cell r="V7274">
            <v>45322</v>
          </cell>
          <cell r="W7274">
            <v>45322</v>
          </cell>
          <cell r="X7274">
            <v>31010857</v>
          </cell>
        </row>
        <row r="7275">
          <cell r="K7275" t="str">
            <v>GWS-0002</v>
          </cell>
          <cell r="L7275">
            <v>44629</v>
          </cell>
          <cell r="M7275">
            <v>44630</v>
          </cell>
          <cell r="N7275">
            <v>44644</v>
          </cell>
          <cell r="O7275">
            <v>44630</v>
          </cell>
          <cell r="P7275">
            <v>44642</v>
          </cell>
          <cell r="Q7275">
            <v>44638</v>
          </cell>
          <cell r="R7275">
            <v>44638</v>
          </cell>
          <cell r="S7275"/>
          <cell r="T7275">
            <v>44655</v>
          </cell>
          <cell r="U7275">
            <v>44662</v>
          </cell>
          <cell r="V7275">
            <v>44679</v>
          </cell>
          <cell r="W7275">
            <v>44679</v>
          </cell>
          <cell r="X7275">
            <v>41100464</v>
          </cell>
        </row>
        <row r="7276">
          <cell r="K7276" t="str">
            <v>GWS-0003</v>
          </cell>
          <cell r="L7276">
            <v>44629</v>
          </cell>
          <cell r="M7276">
            <v>44630</v>
          </cell>
          <cell r="N7276">
            <v>44644</v>
          </cell>
          <cell r="O7276">
            <v>44630</v>
          </cell>
          <cell r="P7276">
            <v>44642</v>
          </cell>
          <cell r="Q7276">
            <v>44638</v>
          </cell>
          <cell r="R7276">
            <v>44638</v>
          </cell>
          <cell r="S7276"/>
          <cell r="T7276">
            <v>44655</v>
          </cell>
          <cell r="U7276">
            <v>44662</v>
          </cell>
          <cell r="V7276">
            <v>44670</v>
          </cell>
          <cell r="W7276">
            <v>44679</v>
          </cell>
          <cell r="X7276">
            <v>41100464</v>
          </cell>
        </row>
        <row r="7277">
          <cell r="K7277" t="str">
            <v>GBWS-2202</v>
          </cell>
          <cell r="L7277">
            <v>44649</v>
          </cell>
          <cell r="M7277">
            <v>44649</v>
          </cell>
          <cell r="N7277">
            <v>44657</v>
          </cell>
          <cell r="O7277">
            <v>44649</v>
          </cell>
          <cell r="P7277">
            <v>44658</v>
          </cell>
          <cell r="Q7277" t="str">
            <v>2022-04-06 →4/7 오후(전장)</v>
          </cell>
          <cell r="R7277" t="str">
            <v>2022-04-06 →4/7 오후(전장)</v>
          </cell>
          <cell r="S7277"/>
          <cell r="T7277">
            <v>44658</v>
          </cell>
          <cell r="U7277">
            <v>44659</v>
          </cell>
          <cell r="V7277">
            <v>44662</v>
          </cell>
          <cell r="W7277">
            <v>44671</v>
          </cell>
          <cell r="X7277">
            <v>41100483</v>
          </cell>
        </row>
        <row r="7278">
          <cell r="K7278" t="str">
            <v>GBWS-3184</v>
          </cell>
          <cell r="L7278">
            <v>44967</v>
          </cell>
          <cell r="M7278">
            <v>44970</v>
          </cell>
          <cell r="N7278">
            <v>44979</v>
          </cell>
          <cell r="O7278">
            <v>44970</v>
          </cell>
          <cell r="P7278">
            <v>44980</v>
          </cell>
          <cell r="Q7278" t="str">
            <v>2023-02-22 → 2/23</v>
          </cell>
          <cell r="R7278" t="str">
            <v>2023-02-22 → 2/23</v>
          </cell>
          <cell r="S7278"/>
          <cell r="T7278">
            <v>44981</v>
          </cell>
          <cell r="U7278">
            <v>44984</v>
          </cell>
          <cell r="V7278">
            <v>44985</v>
          </cell>
          <cell r="W7278">
            <v>44985</v>
          </cell>
          <cell r="X7278">
            <v>41100482</v>
          </cell>
        </row>
        <row r="7279">
          <cell r="K7279" t="str">
            <v>GBWS-3185</v>
          </cell>
          <cell r="L7279">
            <v>44967</v>
          </cell>
          <cell r="M7279">
            <v>44970</v>
          </cell>
          <cell r="N7279">
            <v>44979</v>
          </cell>
          <cell r="O7279">
            <v>44970</v>
          </cell>
          <cell r="P7279">
            <v>44980</v>
          </cell>
          <cell r="Q7279" t="str">
            <v>2023-02-22 → 2/23</v>
          </cell>
          <cell r="R7279" t="str">
            <v>2023-02-22 → 2/23</v>
          </cell>
          <cell r="S7279">
            <v>44983</v>
          </cell>
          <cell r="T7279">
            <v>44984</v>
          </cell>
          <cell r="U7279">
            <v>44987</v>
          </cell>
          <cell r="V7279">
            <v>44988</v>
          </cell>
          <cell r="W7279">
            <v>44988</v>
          </cell>
          <cell r="X7279">
            <v>41100482</v>
          </cell>
        </row>
        <row r="7280">
          <cell r="K7280" t="str">
            <v>GBWS-3416</v>
          </cell>
          <cell r="L7280">
            <v>45065</v>
          </cell>
          <cell r="M7280">
            <v>45068</v>
          </cell>
          <cell r="N7280">
            <v>45077</v>
          </cell>
          <cell r="O7280">
            <v>45068</v>
          </cell>
          <cell r="P7280">
            <v>45077</v>
          </cell>
          <cell r="Q7280">
            <v>45076</v>
          </cell>
          <cell r="R7280">
            <v>45077</v>
          </cell>
          <cell r="S7280">
            <v>45078</v>
          </cell>
          <cell r="T7280">
            <v>45078</v>
          </cell>
          <cell r="U7280">
            <v>45082</v>
          </cell>
          <cell r="V7280">
            <v>45085</v>
          </cell>
          <cell r="W7280">
            <v>45085</v>
          </cell>
          <cell r="X7280">
            <v>41100546</v>
          </cell>
        </row>
        <row r="7281">
          <cell r="K7281" t="str">
            <v>GBWS-3418</v>
          </cell>
          <cell r="L7281">
            <v>45065</v>
          </cell>
          <cell r="M7281">
            <v>45068</v>
          </cell>
          <cell r="N7281">
            <v>45077</v>
          </cell>
          <cell r="O7281">
            <v>45068</v>
          </cell>
          <cell r="P7281">
            <v>45077</v>
          </cell>
          <cell r="Q7281">
            <v>45076</v>
          </cell>
          <cell r="R7281">
            <v>45077</v>
          </cell>
          <cell r="S7281">
            <v>45078</v>
          </cell>
          <cell r="T7281">
            <v>45079</v>
          </cell>
          <cell r="U7281">
            <v>45084</v>
          </cell>
          <cell r="V7281">
            <v>45085</v>
          </cell>
          <cell r="W7281">
            <v>45085</v>
          </cell>
          <cell r="X7281">
            <v>41100546</v>
          </cell>
        </row>
        <row r="7282">
          <cell r="K7282" t="str">
            <v>GBWS-3415</v>
          </cell>
          <cell r="L7282">
            <v>45065</v>
          </cell>
          <cell r="M7282">
            <v>45068</v>
          </cell>
          <cell r="N7282">
            <v>45076</v>
          </cell>
          <cell r="O7282">
            <v>45068</v>
          </cell>
          <cell r="P7282">
            <v>45077</v>
          </cell>
          <cell r="Q7282">
            <v>45076</v>
          </cell>
          <cell r="R7282">
            <v>45077</v>
          </cell>
          <cell r="S7282">
            <v>45078</v>
          </cell>
          <cell r="T7282">
            <v>45078</v>
          </cell>
          <cell r="U7282">
            <v>45085</v>
          </cell>
          <cell r="V7282">
            <v>45086</v>
          </cell>
          <cell r="W7282">
            <v>45086</v>
          </cell>
          <cell r="X7282">
            <v>41100551</v>
          </cell>
        </row>
        <row r="7283">
          <cell r="K7283" t="str">
            <v>GBWS-4868</v>
          </cell>
          <cell r="L7283">
            <v>45530</v>
          </cell>
          <cell r="M7283">
            <v>45531</v>
          </cell>
          <cell r="N7283">
            <v>45541</v>
          </cell>
          <cell r="O7283">
            <v>45531</v>
          </cell>
          <cell r="P7283">
            <v>45544</v>
          </cell>
          <cell r="Q7283">
            <v>45539</v>
          </cell>
          <cell r="R7283">
            <v>45540</v>
          </cell>
          <cell r="S7283">
            <v>45544</v>
          </cell>
          <cell r="T7283">
            <v>45545</v>
          </cell>
          <cell r="U7283">
            <v>45546</v>
          </cell>
          <cell r="V7283">
            <v>45547</v>
          </cell>
          <cell r="W7283">
            <v>45547</v>
          </cell>
          <cell r="X7283">
            <v>41000535</v>
          </cell>
        </row>
        <row r="7284">
          <cell r="K7284" t="str">
            <v>GBWS-4869</v>
          </cell>
          <cell r="L7284">
            <v>45530</v>
          </cell>
          <cell r="M7284">
            <v>45531</v>
          </cell>
          <cell r="N7284">
            <v>45541</v>
          </cell>
          <cell r="O7284">
            <v>45531</v>
          </cell>
          <cell r="P7284">
            <v>45544</v>
          </cell>
          <cell r="Q7284">
            <v>45539</v>
          </cell>
          <cell r="R7284">
            <v>45540</v>
          </cell>
          <cell r="S7284">
            <v>45544</v>
          </cell>
          <cell r="T7284">
            <v>45545</v>
          </cell>
          <cell r="U7284">
            <v>45545</v>
          </cell>
          <cell r="V7284">
            <v>45546</v>
          </cell>
          <cell r="W7284">
            <v>45546</v>
          </cell>
          <cell r="X7284">
            <v>41000535</v>
          </cell>
        </row>
        <row r="7285">
          <cell r="K7285" t="str">
            <v>DBW-2434</v>
          </cell>
          <cell r="L7285">
            <v>44483</v>
          </cell>
          <cell r="M7285">
            <v>44483</v>
          </cell>
          <cell r="N7285">
            <v>44495</v>
          </cell>
          <cell r="O7285">
            <v>44483</v>
          </cell>
          <cell r="P7285">
            <v>44492</v>
          </cell>
          <cell r="Q7285" t="str">
            <v>2021-10-22 → 10/26(오전)</v>
          </cell>
          <cell r="R7285" t="str">
            <v>2021-10-22 → 10/26(오전)</v>
          </cell>
          <cell r="S7285"/>
          <cell r="T7285">
            <v>44496</v>
          </cell>
          <cell r="U7285">
            <v>44497</v>
          </cell>
          <cell r="V7285">
            <v>44497</v>
          </cell>
          <cell r="W7285">
            <v>44497</v>
          </cell>
          <cell r="X7285">
            <v>41100323</v>
          </cell>
        </row>
        <row r="7286">
          <cell r="K7286" t="str">
            <v>DBW-2838</v>
          </cell>
          <cell r="L7286">
            <v>44929</v>
          </cell>
          <cell r="M7286">
            <v>44930</v>
          </cell>
          <cell r="N7286">
            <v>44939</v>
          </cell>
          <cell r="O7286">
            <v>44930</v>
          </cell>
          <cell r="P7286">
            <v>44942</v>
          </cell>
          <cell r="Q7286">
            <v>44942</v>
          </cell>
          <cell r="R7286">
            <v>44942</v>
          </cell>
          <cell r="S7286"/>
          <cell r="T7286">
            <v>44943</v>
          </cell>
          <cell r="U7286">
            <v>44944</v>
          </cell>
          <cell r="V7286">
            <v>44945</v>
          </cell>
          <cell r="W7286">
            <v>44946</v>
          </cell>
          <cell r="X7286">
            <v>41100472</v>
          </cell>
        </row>
        <row r="7287">
          <cell r="K7287" t="str">
            <v>DBW-2839</v>
          </cell>
          <cell r="L7287">
            <v>44929</v>
          </cell>
          <cell r="M7287">
            <v>44930</v>
          </cell>
          <cell r="N7287">
            <v>44939</v>
          </cell>
          <cell r="O7287">
            <v>44930</v>
          </cell>
          <cell r="P7287">
            <v>44942</v>
          </cell>
          <cell r="Q7287">
            <v>44942</v>
          </cell>
          <cell r="R7287">
            <v>44942</v>
          </cell>
          <cell r="S7287"/>
          <cell r="T7287">
            <v>44943</v>
          </cell>
          <cell r="U7287">
            <v>44944</v>
          </cell>
          <cell r="V7287">
            <v>44946</v>
          </cell>
          <cell r="W7287">
            <v>44946</v>
          </cell>
          <cell r="X7287">
            <v>41100472</v>
          </cell>
        </row>
        <row r="7288">
          <cell r="K7288" t="str">
            <v>DBW-2932</v>
          </cell>
          <cell r="L7288">
            <v>45035</v>
          </cell>
          <cell r="M7288">
            <v>45036</v>
          </cell>
          <cell r="N7288">
            <v>45043</v>
          </cell>
          <cell r="O7288">
            <v>45036</v>
          </cell>
          <cell r="P7288">
            <v>45044</v>
          </cell>
          <cell r="Q7288">
            <v>45043</v>
          </cell>
          <cell r="R7288">
            <v>45044</v>
          </cell>
          <cell r="S7288">
            <v>45048</v>
          </cell>
          <cell r="T7288">
            <v>45048</v>
          </cell>
          <cell r="U7288">
            <v>45050</v>
          </cell>
          <cell r="V7288">
            <v>45054</v>
          </cell>
          <cell r="W7288">
            <v>45054</v>
          </cell>
          <cell r="X7288">
            <v>41100465</v>
          </cell>
        </row>
        <row r="7289">
          <cell r="K7289" t="str">
            <v>DBW-3428</v>
          </cell>
          <cell r="L7289">
            <v>45503</v>
          </cell>
          <cell r="M7289">
            <v>45504</v>
          </cell>
          <cell r="N7289">
            <v>45510</v>
          </cell>
          <cell r="O7289">
            <v>45504</v>
          </cell>
          <cell r="P7289">
            <v>45510</v>
          </cell>
          <cell r="Q7289">
            <v>45510</v>
          </cell>
          <cell r="R7289">
            <v>45511</v>
          </cell>
          <cell r="S7289">
            <v>45511</v>
          </cell>
          <cell r="T7289">
            <v>45512</v>
          </cell>
          <cell r="U7289">
            <v>45516</v>
          </cell>
          <cell r="V7289">
            <v>45516</v>
          </cell>
          <cell r="W7289">
            <v>45516</v>
          </cell>
          <cell r="X7289">
            <v>41200053</v>
          </cell>
        </row>
        <row r="7290">
          <cell r="K7290" t="str">
            <v>DBW-3429</v>
          </cell>
          <cell r="L7290">
            <v>45503</v>
          </cell>
          <cell r="M7290">
            <v>45504</v>
          </cell>
          <cell r="N7290">
            <v>45510</v>
          </cell>
          <cell r="O7290">
            <v>45504</v>
          </cell>
          <cell r="P7290">
            <v>45510</v>
          </cell>
          <cell r="Q7290">
            <v>45510</v>
          </cell>
          <cell r="R7290">
            <v>45511</v>
          </cell>
          <cell r="S7290">
            <v>45511</v>
          </cell>
          <cell r="T7290">
            <v>45513</v>
          </cell>
          <cell r="U7290">
            <v>45517</v>
          </cell>
          <cell r="V7290">
            <v>45517</v>
          </cell>
          <cell r="W7290">
            <v>45517</v>
          </cell>
          <cell r="X7290">
            <v>41200053</v>
          </cell>
        </row>
        <row r="7291">
          <cell r="K7291" t="str">
            <v>DBW-3318</v>
          </cell>
          <cell r="L7291">
            <v>45383</v>
          </cell>
          <cell r="M7291">
            <v>45384</v>
          </cell>
          <cell r="N7291">
            <v>45393</v>
          </cell>
          <cell r="O7291">
            <v>45384</v>
          </cell>
          <cell r="P7291">
            <v>45394</v>
          </cell>
          <cell r="Q7291">
            <v>45393</v>
          </cell>
          <cell r="R7291">
            <v>45394</v>
          </cell>
          <cell r="S7291">
            <v>45398</v>
          </cell>
          <cell r="T7291">
            <v>45399</v>
          </cell>
          <cell r="U7291">
            <v>45399</v>
          </cell>
          <cell r="V7291">
            <v>45401</v>
          </cell>
          <cell r="W7291">
            <v>45401</v>
          </cell>
          <cell r="X7291">
            <v>41000588</v>
          </cell>
        </row>
        <row r="7292">
          <cell r="K7292" t="str">
            <v>DBW-3319</v>
          </cell>
          <cell r="L7292">
            <v>45383</v>
          </cell>
          <cell r="M7292">
            <v>45384</v>
          </cell>
          <cell r="N7292">
            <v>45393</v>
          </cell>
          <cell r="O7292">
            <v>45384</v>
          </cell>
          <cell r="P7292">
            <v>45394</v>
          </cell>
          <cell r="Q7292">
            <v>45393</v>
          </cell>
          <cell r="R7292">
            <v>45394</v>
          </cell>
          <cell r="S7292">
            <v>45398</v>
          </cell>
          <cell r="T7292">
            <v>45399</v>
          </cell>
          <cell r="U7292">
            <v>45399</v>
          </cell>
          <cell r="V7292">
            <v>45401</v>
          </cell>
          <cell r="W7292">
            <v>45401</v>
          </cell>
          <cell r="X7292">
            <v>41000588</v>
          </cell>
        </row>
        <row r="7293">
          <cell r="K7293" t="str">
            <v>DBW-3249</v>
          </cell>
          <cell r="L7293">
            <v>45336</v>
          </cell>
          <cell r="M7293">
            <v>45337</v>
          </cell>
          <cell r="N7293">
            <v>45344</v>
          </cell>
          <cell r="O7293">
            <v>45337</v>
          </cell>
          <cell r="P7293">
            <v>45345</v>
          </cell>
          <cell r="Q7293">
            <v>45344</v>
          </cell>
          <cell r="R7293">
            <v>45345</v>
          </cell>
          <cell r="S7293">
            <v>45350</v>
          </cell>
          <cell r="T7293">
            <v>45352</v>
          </cell>
          <cell r="U7293">
            <v>45355</v>
          </cell>
          <cell r="V7293">
            <v>45356</v>
          </cell>
          <cell r="W7293">
            <v>45356</v>
          </cell>
          <cell r="X7293">
            <v>41000514</v>
          </cell>
        </row>
        <row r="7294">
          <cell r="K7294" t="str">
            <v>DBW-2856</v>
          </cell>
          <cell r="L7294">
            <v>44951</v>
          </cell>
          <cell r="M7294">
            <v>44952</v>
          </cell>
          <cell r="N7294">
            <v>44960</v>
          </cell>
          <cell r="O7294">
            <v>44952</v>
          </cell>
          <cell r="P7294">
            <v>44960</v>
          </cell>
          <cell r="Q7294">
            <v>44960</v>
          </cell>
          <cell r="R7294">
            <v>44960</v>
          </cell>
          <cell r="S7294"/>
          <cell r="T7294">
            <v>44963</v>
          </cell>
          <cell r="U7294">
            <v>44970</v>
          </cell>
          <cell r="V7294">
            <v>44971</v>
          </cell>
          <cell r="W7294">
            <v>44971</v>
          </cell>
          <cell r="X7294">
            <v>41100496</v>
          </cell>
        </row>
        <row r="7295">
          <cell r="K7295" t="str">
            <v>DBW-2893</v>
          </cell>
          <cell r="L7295">
            <v>44981</v>
          </cell>
          <cell r="M7295">
            <v>44984</v>
          </cell>
          <cell r="N7295">
            <v>44992</v>
          </cell>
          <cell r="O7295">
            <v>44984</v>
          </cell>
          <cell r="P7295">
            <v>44992</v>
          </cell>
          <cell r="Q7295">
            <v>44993</v>
          </cell>
          <cell r="R7295">
            <v>44993</v>
          </cell>
          <cell r="S7295">
            <v>45008</v>
          </cell>
          <cell r="T7295">
            <v>45008</v>
          </cell>
          <cell r="U7295">
            <v>45013</v>
          </cell>
          <cell r="V7295">
            <v>45013</v>
          </cell>
          <cell r="W7295">
            <v>45014</v>
          </cell>
          <cell r="X7295">
            <v>41100597</v>
          </cell>
        </row>
        <row r="7296">
          <cell r="K7296" t="str">
            <v>DBW-2955</v>
          </cell>
          <cell r="L7296">
            <v>45049</v>
          </cell>
          <cell r="M7296">
            <v>45050</v>
          </cell>
          <cell r="N7296">
            <v>45062</v>
          </cell>
          <cell r="O7296">
            <v>45050</v>
          </cell>
          <cell r="P7296">
            <v>45062</v>
          </cell>
          <cell r="Q7296">
            <v>45061</v>
          </cell>
          <cell r="R7296">
            <v>45062</v>
          </cell>
          <cell r="S7296">
            <v>45063</v>
          </cell>
          <cell r="T7296">
            <v>45065</v>
          </cell>
          <cell r="U7296">
            <v>45070</v>
          </cell>
          <cell r="V7296">
            <v>45072</v>
          </cell>
          <cell r="W7296">
            <v>45076</v>
          </cell>
          <cell r="X7296">
            <v>41100496</v>
          </cell>
        </row>
        <row r="7297">
          <cell r="K7297" t="str">
            <v>DBW-3039</v>
          </cell>
          <cell r="L7297">
            <v>45126</v>
          </cell>
          <cell r="M7297">
            <v>45127</v>
          </cell>
          <cell r="N7297">
            <v>45135</v>
          </cell>
          <cell r="O7297">
            <v>45127</v>
          </cell>
          <cell r="P7297">
            <v>45133</v>
          </cell>
          <cell r="Q7297">
            <v>45135</v>
          </cell>
          <cell r="R7297">
            <v>45138</v>
          </cell>
          <cell r="S7297">
            <v>45138</v>
          </cell>
          <cell r="T7297">
            <v>45140</v>
          </cell>
          <cell r="U7297">
            <v>45145</v>
          </cell>
          <cell r="V7297">
            <v>45147</v>
          </cell>
          <cell r="W7297">
            <v>45147</v>
          </cell>
          <cell r="X7297">
            <v>41100692</v>
          </cell>
        </row>
        <row r="7298">
          <cell r="K7298" t="str">
            <v>DBW-3087</v>
          </cell>
          <cell r="L7298">
            <v>45210</v>
          </cell>
          <cell r="M7298">
            <v>45211</v>
          </cell>
          <cell r="N7298">
            <v>45218</v>
          </cell>
          <cell r="O7298">
            <v>45211</v>
          </cell>
          <cell r="P7298">
            <v>45219</v>
          </cell>
          <cell r="Q7298">
            <v>45219</v>
          </cell>
          <cell r="R7298">
            <v>45219</v>
          </cell>
          <cell r="S7298">
            <v>45222</v>
          </cell>
          <cell r="T7298">
            <v>45222</v>
          </cell>
          <cell r="U7298">
            <v>45225</v>
          </cell>
          <cell r="V7298">
            <v>45225</v>
          </cell>
          <cell r="W7298">
            <v>45225</v>
          </cell>
          <cell r="X7298">
            <v>41000533</v>
          </cell>
        </row>
        <row r="7299">
          <cell r="K7299" t="str">
            <v>DBW-3086</v>
          </cell>
          <cell r="L7299">
            <v>45209</v>
          </cell>
          <cell r="M7299">
            <v>45210</v>
          </cell>
          <cell r="N7299">
            <v>45221</v>
          </cell>
          <cell r="O7299">
            <v>45210</v>
          </cell>
          <cell r="P7299">
            <v>45219</v>
          </cell>
          <cell r="Q7299">
            <v>45219</v>
          </cell>
          <cell r="R7299">
            <v>45219</v>
          </cell>
          <cell r="S7299">
            <v>45222</v>
          </cell>
          <cell r="T7299">
            <v>45222</v>
          </cell>
          <cell r="U7299">
            <v>45225</v>
          </cell>
          <cell r="V7299">
            <v>45225</v>
          </cell>
          <cell r="W7299">
            <v>45225</v>
          </cell>
          <cell r="X7299">
            <v>41000514</v>
          </cell>
        </row>
        <row r="7300">
          <cell r="K7300" t="str">
            <v>SOS-0294</v>
          </cell>
          <cell r="L7300">
            <v>44974</v>
          </cell>
          <cell r="M7300">
            <v>44977</v>
          </cell>
          <cell r="N7300">
            <v>44978</v>
          </cell>
          <cell r="O7300">
            <v>44977</v>
          </cell>
          <cell r="P7300">
            <v>44979</v>
          </cell>
          <cell r="Q7300">
            <v>44979</v>
          </cell>
          <cell r="R7300">
            <v>44979</v>
          </cell>
          <cell r="S7300"/>
          <cell r="T7300">
            <v>44980</v>
          </cell>
          <cell r="U7300">
            <v>44981</v>
          </cell>
          <cell r="V7300">
            <v>44984</v>
          </cell>
          <cell r="W7300">
            <v>44984</v>
          </cell>
          <cell r="X7300">
            <v>41100299</v>
          </cell>
        </row>
        <row r="7301">
          <cell r="K7301" t="str">
            <v>SOS-0298</v>
          </cell>
          <cell r="L7301">
            <v>45036</v>
          </cell>
          <cell r="M7301">
            <v>45037</v>
          </cell>
          <cell r="N7301">
            <v>45040</v>
          </cell>
          <cell r="O7301">
            <v>45037</v>
          </cell>
          <cell r="P7301">
            <v>45040</v>
          </cell>
          <cell r="Q7301">
            <v>45042</v>
          </cell>
          <cell r="R7301" t="str">
            <v>2023-04-26 → 4/27</v>
          </cell>
          <cell r="S7301">
            <v>45040</v>
          </cell>
          <cell r="T7301">
            <v>45040</v>
          </cell>
          <cell r="U7301">
            <v>45054</v>
          </cell>
          <cell r="V7301">
            <v>45055</v>
          </cell>
          <cell r="W7301">
            <v>45055</v>
          </cell>
          <cell r="X7301">
            <v>41100299</v>
          </cell>
        </row>
        <row r="7302">
          <cell r="K7302" t="str">
            <v>SOS-0301</v>
          </cell>
          <cell r="L7302">
            <v>45044</v>
          </cell>
          <cell r="M7302">
            <v>45048</v>
          </cell>
          <cell r="N7302">
            <v>45050</v>
          </cell>
          <cell r="O7302">
            <v>45048</v>
          </cell>
          <cell r="P7302">
            <v>45050</v>
          </cell>
          <cell r="Q7302">
            <v>45049</v>
          </cell>
          <cell r="R7302">
            <v>45050</v>
          </cell>
          <cell r="S7302">
            <v>45054</v>
          </cell>
          <cell r="T7302">
            <v>45054</v>
          </cell>
          <cell r="U7302">
            <v>45056</v>
          </cell>
          <cell r="V7302">
            <v>45057</v>
          </cell>
          <cell r="W7302">
            <v>45057</v>
          </cell>
          <cell r="X7302">
            <v>41100299</v>
          </cell>
        </row>
        <row r="7303">
          <cell r="K7303" t="str">
            <v>SOS-0309</v>
          </cell>
          <cell r="L7303">
            <v>45231</v>
          </cell>
          <cell r="M7303">
            <v>45232</v>
          </cell>
          <cell r="N7303">
            <v>45232</v>
          </cell>
          <cell r="O7303">
            <v>45232</v>
          </cell>
          <cell r="P7303">
            <v>45236</v>
          </cell>
          <cell r="Q7303">
            <v>45237</v>
          </cell>
          <cell r="R7303">
            <v>45237</v>
          </cell>
          <cell r="S7303">
            <v>45238</v>
          </cell>
          <cell r="T7303">
            <v>45238</v>
          </cell>
          <cell r="U7303">
            <v>45240</v>
          </cell>
          <cell r="V7303">
            <v>45240</v>
          </cell>
          <cell r="W7303">
            <v>45240</v>
          </cell>
          <cell r="X7303">
            <v>41100182</v>
          </cell>
        </row>
        <row r="7304">
          <cell r="K7304" t="str">
            <v>-</v>
          </cell>
          <cell r="L7304">
            <v>45413</v>
          </cell>
          <cell r="M7304">
            <v>45414</v>
          </cell>
          <cell r="N7304">
            <v>45419</v>
          </cell>
          <cell r="O7304">
            <v>45414</v>
          </cell>
          <cell r="P7304">
            <v>45419</v>
          </cell>
          <cell r="Q7304">
            <v>45419</v>
          </cell>
          <cell r="R7304">
            <v>45420</v>
          </cell>
          <cell r="S7304">
            <v>45509</v>
          </cell>
          <cell r="T7304">
            <v>45509</v>
          </cell>
          <cell r="U7304">
            <v>45593</v>
          </cell>
          <cell r="V7304">
            <v>45594</v>
          </cell>
          <cell r="W7304">
            <v>45594</v>
          </cell>
          <cell r="X7304">
            <v>31010312</v>
          </cell>
        </row>
        <row r="7305">
          <cell r="K7305" t="str">
            <v>-</v>
          </cell>
          <cell r="L7305">
            <v>45553</v>
          </cell>
          <cell r="M7305">
            <v>45554</v>
          </cell>
          <cell r="N7305">
            <v>45558</v>
          </cell>
          <cell r="O7305">
            <v>45554</v>
          </cell>
          <cell r="P7305">
            <v>45559</v>
          </cell>
          <cell r="Q7305">
            <v>45558</v>
          </cell>
          <cell r="R7305">
            <v>45559</v>
          </cell>
          <cell r="S7305">
            <v>45559</v>
          </cell>
          <cell r="T7305">
            <v>45559</v>
          </cell>
          <cell r="U7305">
            <v>45590</v>
          </cell>
          <cell r="V7305">
            <v>45590</v>
          </cell>
          <cell r="W7305">
            <v>45590</v>
          </cell>
          <cell r="X7305">
            <v>31010312</v>
          </cell>
        </row>
        <row r="7306">
          <cell r="K7306" t="str">
            <v>-</v>
          </cell>
          <cell r="L7306">
            <v>45114</v>
          </cell>
          <cell r="M7306">
            <v>45117</v>
          </cell>
          <cell r="N7306">
            <v>45118</v>
          </cell>
          <cell r="O7306">
            <v>45117</v>
          </cell>
          <cell r="P7306">
            <v>45119</v>
          </cell>
          <cell r="Q7306">
            <v>45119</v>
          </cell>
          <cell r="R7306">
            <v>45119</v>
          </cell>
          <cell r="S7306">
            <v>45121</v>
          </cell>
          <cell r="T7306">
            <v>45121</v>
          </cell>
          <cell r="U7306">
            <v>45125</v>
          </cell>
          <cell r="V7306">
            <v>45126</v>
          </cell>
          <cell r="W7306">
            <v>45126</v>
          </cell>
          <cell r="X7306">
            <v>31010312</v>
          </cell>
        </row>
        <row r="7307">
          <cell r="K7307" t="str">
            <v>-</v>
          </cell>
          <cell r="L7307">
            <v>45230</v>
          </cell>
          <cell r="M7307">
            <v>45231</v>
          </cell>
          <cell r="N7307">
            <v>45232</v>
          </cell>
          <cell r="O7307">
            <v>45231</v>
          </cell>
          <cell r="P7307">
            <v>45236</v>
          </cell>
          <cell r="Q7307">
            <v>45236</v>
          </cell>
          <cell r="R7307">
            <v>45237</v>
          </cell>
          <cell r="S7307">
            <v>45238</v>
          </cell>
          <cell r="T7307">
            <v>45238</v>
          </cell>
          <cell r="U7307">
            <v>45240</v>
          </cell>
          <cell r="V7307">
            <v>45240</v>
          </cell>
          <cell r="W7307">
            <v>45240</v>
          </cell>
          <cell r="X7307">
            <v>31010312</v>
          </cell>
        </row>
        <row r="7308">
          <cell r="K7308" t="str">
            <v>-</v>
          </cell>
          <cell r="L7308">
            <v>45231</v>
          </cell>
          <cell r="M7308">
            <v>45232</v>
          </cell>
          <cell r="N7308">
            <v>45232</v>
          </cell>
          <cell r="O7308">
            <v>45232</v>
          </cell>
          <cell r="P7308">
            <v>45236</v>
          </cell>
          <cell r="Q7308">
            <v>45237</v>
          </cell>
          <cell r="R7308">
            <v>45237</v>
          </cell>
          <cell r="S7308">
            <v>45238</v>
          </cell>
          <cell r="T7308">
            <v>45238</v>
          </cell>
          <cell r="U7308">
            <v>45240</v>
          </cell>
          <cell r="V7308">
            <v>45240</v>
          </cell>
          <cell r="W7308">
            <v>45240</v>
          </cell>
          <cell r="X7308">
            <v>31010312</v>
          </cell>
        </row>
        <row r="7309">
          <cell r="K7309"/>
          <cell r="L7309">
            <v>45139</v>
          </cell>
          <cell r="M7309">
            <v>45139</v>
          </cell>
          <cell r="N7309">
            <v>45147</v>
          </cell>
          <cell r="O7309">
            <v>45139</v>
          </cell>
          <cell r="P7309">
            <v>45152</v>
          </cell>
          <cell r="Q7309">
            <v>45149</v>
          </cell>
          <cell r="R7309">
            <v>45152</v>
          </cell>
          <cell r="S7309">
            <v>45154</v>
          </cell>
          <cell r="T7309">
            <v>45155</v>
          </cell>
          <cell r="U7309">
            <v>45156</v>
          </cell>
          <cell r="V7309">
            <v>45160</v>
          </cell>
          <cell r="W7309">
            <v>45160</v>
          </cell>
          <cell r="X7309">
            <v>31101933</v>
          </cell>
        </row>
        <row r="7310">
          <cell r="K7310"/>
          <cell r="L7310">
            <v>45139</v>
          </cell>
          <cell r="M7310">
            <v>45139</v>
          </cell>
          <cell r="N7310">
            <v>45147</v>
          </cell>
          <cell r="O7310">
            <v>45139</v>
          </cell>
          <cell r="P7310">
            <v>45152</v>
          </cell>
          <cell r="Q7310">
            <v>45149</v>
          </cell>
          <cell r="R7310">
            <v>45152</v>
          </cell>
          <cell r="S7310">
            <v>45154</v>
          </cell>
          <cell r="T7310">
            <v>45155</v>
          </cell>
          <cell r="U7310">
            <v>45156</v>
          </cell>
          <cell r="V7310">
            <v>45160</v>
          </cell>
          <cell r="W7310">
            <v>45160</v>
          </cell>
          <cell r="X7310">
            <v>31102257</v>
          </cell>
        </row>
        <row r="7311">
          <cell r="K7311"/>
          <cell r="L7311">
            <v>45170</v>
          </cell>
          <cell r="M7311">
            <v>45173</v>
          </cell>
          <cell r="N7311">
            <v>45180</v>
          </cell>
          <cell r="O7311">
            <v>45173</v>
          </cell>
          <cell r="P7311">
            <v>45180</v>
          </cell>
          <cell r="Q7311">
            <v>45181</v>
          </cell>
          <cell r="R7311">
            <v>45182</v>
          </cell>
          <cell r="S7311">
            <v>45181</v>
          </cell>
          <cell r="T7311">
            <v>45181</v>
          </cell>
          <cell r="U7311">
            <v>45181</v>
          </cell>
          <cell r="V7311">
            <v>45181</v>
          </cell>
          <cell r="W7311">
            <v>45181</v>
          </cell>
          <cell r="X7311">
            <v>31101694</v>
          </cell>
        </row>
        <row r="7312">
          <cell r="K7312"/>
          <cell r="L7312">
            <v>45170</v>
          </cell>
          <cell r="M7312">
            <v>45173</v>
          </cell>
          <cell r="N7312">
            <v>45180</v>
          </cell>
          <cell r="O7312">
            <v>45173</v>
          </cell>
          <cell r="P7312">
            <v>45180</v>
          </cell>
          <cell r="Q7312">
            <v>45181</v>
          </cell>
          <cell r="R7312">
            <v>45182</v>
          </cell>
          <cell r="S7312">
            <v>45181</v>
          </cell>
          <cell r="T7312">
            <v>45181</v>
          </cell>
          <cell r="U7312">
            <v>45181</v>
          </cell>
          <cell r="V7312">
            <v>45181</v>
          </cell>
          <cell r="W7312">
            <v>45181</v>
          </cell>
          <cell r="X7312">
            <v>31102258</v>
          </cell>
        </row>
        <row r="7313">
          <cell r="K7313"/>
          <cell r="L7313">
            <v>45170</v>
          </cell>
          <cell r="M7313">
            <v>45173</v>
          </cell>
          <cell r="N7313">
            <v>45180</v>
          </cell>
          <cell r="O7313">
            <v>45173</v>
          </cell>
          <cell r="P7313">
            <v>45180</v>
          </cell>
          <cell r="Q7313">
            <v>45181</v>
          </cell>
          <cell r="R7313">
            <v>45182</v>
          </cell>
          <cell r="S7313">
            <v>45181</v>
          </cell>
          <cell r="T7313">
            <v>45181</v>
          </cell>
          <cell r="U7313">
            <v>45181</v>
          </cell>
          <cell r="V7313">
            <v>45181</v>
          </cell>
          <cell r="W7313">
            <v>45181</v>
          </cell>
          <cell r="X7313">
            <v>31102306</v>
          </cell>
        </row>
        <row r="7314">
          <cell r="K7314"/>
          <cell r="L7314">
            <v>45170</v>
          </cell>
          <cell r="M7314">
            <v>45173</v>
          </cell>
          <cell r="N7314">
            <v>45180</v>
          </cell>
          <cell r="O7314">
            <v>45173</v>
          </cell>
          <cell r="P7314">
            <v>45180</v>
          </cell>
          <cell r="Q7314">
            <v>45181</v>
          </cell>
          <cell r="R7314">
            <v>45182</v>
          </cell>
          <cell r="S7314">
            <v>45181</v>
          </cell>
          <cell r="T7314">
            <v>45181</v>
          </cell>
          <cell r="U7314">
            <v>45181</v>
          </cell>
          <cell r="V7314">
            <v>45181</v>
          </cell>
          <cell r="W7314">
            <v>45181</v>
          </cell>
          <cell r="X7314">
            <v>31102834</v>
          </cell>
        </row>
        <row r="7315">
          <cell r="K7315"/>
          <cell r="L7315">
            <v>45170</v>
          </cell>
          <cell r="M7315">
            <v>45173</v>
          </cell>
          <cell r="N7315">
            <v>45180</v>
          </cell>
          <cell r="O7315">
            <v>45173</v>
          </cell>
          <cell r="P7315">
            <v>45180</v>
          </cell>
          <cell r="Q7315">
            <v>45181</v>
          </cell>
          <cell r="R7315">
            <v>45182</v>
          </cell>
          <cell r="S7315">
            <v>45181</v>
          </cell>
          <cell r="T7315">
            <v>45181</v>
          </cell>
          <cell r="U7315">
            <v>45181</v>
          </cell>
          <cell r="V7315">
            <v>45181</v>
          </cell>
          <cell r="W7315">
            <v>45181</v>
          </cell>
          <cell r="X7315">
            <v>31010468</v>
          </cell>
        </row>
        <row r="7316">
          <cell r="K7316"/>
          <cell r="L7316">
            <v>45273</v>
          </cell>
          <cell r="M7316">
            <v>45273</v>
          </cell>
          <cell r="N7316">
            <v>45275</v>
          </cell>
          <cell r="O7316">
            <v>45273</v>
          </cell>
          <cell r="P7316">
            <v>45275</v>
          </cell>
          <cell r="Q7316" t="str">
            <v>2023-12-18 → 12/15</v>
          </cell>
          <cell r="R7316" t="str">
            <v>2023-12-18 → 12/15</v>
          </cell>
          <cell r="S7316">
            <v>45278</v>
          </cell>
          <cell r="T7316">
            <v>45278</v>
          </cell>
          <cell r="U7316">
            <v>45278</v>
          </cell>
          <cell r="V7316">
            <v>45278</v>
          </cell>
          <cell r="W7316">
            <v>45278</v>
          </cell>
          <cell r="X7316">
            <v>31010502</v>
          </cell>
        </row>
        <row r="7317">
          <cell r="K7317"/>
          <cell r="L7317">
            <v>45273</v>
          </cell>
          <cell r="M7317">
            <v>45273</v>
          </cell>
          <cell r="N7317">
            <v>45275</v>
          </cell>
          <cell r="O7317">
            <v>45273</v>
          </cell>
          <cell r="P7317">
            <v>45275</v>
          </cell>
          <cell r="Q7317" t="str">
            <v>2023-12-18 → 12/15</v>
          </cell>
          <cell r="R7317" t="str">
            <v>2023-12-18 → 12/15</v>
          </cell>
          <cell r="S7317">
            <v>45278</v>
          </cell>
          <cell r="T7317">
            <v>45278</v>
          </cell>
          <cell r="U7317">
            <v>45278</v>
          </cell>
          <cell r="V7317">
            <v>45278</v>
          </cell>
          <cell r="W7317">
            <v>45278</v>
          </cell>
          <cell r="X7317">
            <v>31010600</v>
          </cell>
        </row>
        <row r="7318">
          <cell r="K7318"/>
          <cell r="L7318">
            <v>45273</v>
          </cell>
          <cell r="M7318">
            <v>45273</v>
          </cell>
          <cell r="N7318">
            <v>45275</v>
          </cell>
          <cell r="O7318">
            <v>45273</v>
          </cell>
          <cell r="P7318">
            <v>45275</v>
          </cell>
          <cell r="Q7318" t="str">
            <v>2023-12-18 → 12/15</v>
          </cell>
          <cell r="R7318" t="str">
            <v>2023-12-18 → 12/15</v>
          </cell>
          <cell r="S7318">
            <v>45278</v>
          </cell>
          <cell r="T7318">
            <v>45278</v>
          </cell>
          <cell r="U7318">
            <v>45278</v>
          </cell>
          <cell r="V7318">
            <v>45278</v>
          </cell>
          <cell r="W7318">
            <v>45278</v>
          </cell>
          <cell r="X7318">
            <v>31010614</v>
          </cell>
        </row>
        <row r="7319">
          <cell r="K7319"/>
          <cell r="L7319">
            <v>45273</v>
          </cell>
          <cell r="M7319">
            <v>45273</v>
          </cell>
          <cell r="N7319">
            <v>45275</v>
          </cell>
          <cell r="O7319">
            <v>45273</v>
          </cell>
          <cell r="P7319">
            <v>45275</v>
          </cell>
          <cell r="Q7319" t="str">
            <v>2023-12-18 → 12/15</v>
          </cell>
          <cell r="R7319" t="str">
            <v>2023-12-18 → 12/15</v>
          </cell>
          <cell r="S7319">
            <v>45278</v>
          </cell>
          <cell r="T7319">
            <v>45278</v>
          </cell>
          <cell r="U7319">
            <v>45278</v>
          </cell>
          <cell r="V7319">
            <v>45278</v>
          </cell>
          <cell r="W7319">
            <v>45278</v>
          </cell>
          <cell r="X7319">
            <v>31010615</v>
          </cell>
        </row>
        <row r="7320">
          <cell r="K7320"/>
          <cell r="L7320">
            <v>45273</v>
          </cell>
          <cell r="M7320">
            <v>45273</v>
          </cell>
          <cell r="N7320">
            <v>45275</v>
          </cell>
          <cell r="O7320">
            <v>45273</v>
          </cell>
          <cell r="P7320">
            <v>45275</v>
          </cell>
          <cell r="Q7320" t="str">
            <v>2023-12-18 → 12/15</v>
          </cell>
          <cell r="R7320" t="str">
            <v>2023-12-18 → 12/15</v>
          </cell>
          <cell r="S7320">
            <v>45278</v>
          </cell>
          <cell r="T7320">
            <v>45278</v>
          </cell>
          <cell r="U7320">
            <v>45278</v>
          </cell>
          <cell r="V7320">
            <v>45278</v>
          </cell>
          <cell r="W7320">
            <v>45278</v>
          </cell>
          <cell r="X7320">
            <v>31010616</v>
          </cell>
        </row>
        <row r="7321">
          <cell r="K7321"/>
          <cell r="L7321">
            <v>45132</v>
          </cell>
          <cell r="M7321">
            <v>45132</v>
          </cell>
          <cell r="N7321">
            <v>45155</v>
          </cell>
          <cell r="O7321">
            <v>45132</v>
          </cell>
          <cell r="P7321">
            <v>45155</v>
          </cell>
          <cell r="Q7321">
            <v>45145</v>
          </cell>
          <cell r="R7321">
            <v>45145</v>
          </cell>
          <cell r="S7321">
            <v>45155</v>
          </cell>
          <cell r="T7321">
            <v>45155</v>
          </cell>
          <cell r="U7321">
            <v>45155</v>
          </cell>
          <cell r="V7321">
            <v>45155</v>
          </cell>
          <cell r="W7321">
            <v>45155</v>
          </cell>
          <cell r="X7321">
            <v>31102214</v>
          </cell>
        </row>
        <row r="7322">
          <cell r="K7322" t="str">
            <v>-</v>
          </cell>
          <cell r="L7322">
            <v>44838</v>
          </cell>
          <cell r="M7322">
            <v>44839</v>
          </cell>
          <cell r="N7322">
            <v>44845</v>
          </cell>
          <cell r="O7322">
            <v>44839</v>
          </cell>
          <cell r="P7322">
            <v>44847</v>
          </cell>
          <cell r="Q7322">
            <v>44845</v>
          </cell>
          <cell r="R7322">
            <v>44845</v>
          </cell>
          <cell r="S7322"/>
          <cell r="T7322">
            <v>44848</v>
          </cell>
          <cell r="U7322">
            <v>44851</v>
          </cell>
          <cell r="V7322">
            <v>44855</v>
          </cell>
          <cell r="W7322">
            <v>44855</v>
          </cell>
          <cell r="X7322">
            <v>31102426</v>
          </cell>
        </row>
        <row r="7323">
          <cell r="K7323" t="str">
            <v>-</v>
          </cell>
          <cell r="L7323">
            <v>44851</v>
          </cell>
          <cell r="M7323">
            <v>44851</v>
          </cell>
          <cell r="N7323">
            <v>44855</v>
          </cell>
          <cell r="O7323">
            <v>44851</v>
          </cell>
          <cell r="P7323">
            <v>44855</v>
          </cell>
          <cell r="Q7323">
            <v>44854</v>
          </cell>
          <cell r="R7323">
            <v>44854</v>
          </cell>
          <cell r="S7323"/>
          <cell r="T7323">
            <v>44858</v>
          </cell>
          <cell r="U7323">
            <v>44866</v>
          </cell>
          <cell r="V7323">
            <v>44866</v>
          </cell>
          <cell r="W7323">
            <v>44866</v>
          </cell>
          <cell r="X7323">
            <v>31102427</v>
          </cell>
        </row>
        <row r="7324">
          <cell r="K7324" t="str">
            <v>-</v>
          </cell>
          <cell r="L7324">
            <v>44851</v>
          </cell>
          <cell r="M7324">
            <v>44851</v>
          </cell>
          <cell r="N7324">
            <v>44855</v>
          </cell>
          <cell r="O7324">
            <v>44851</v>
          </cell>
          <cell r="P7324">
            <v>44855</v>
          </cell>
          <cell r="Q7324">
            <v>44854</v>
          </cell>
          <cell r="R7324">
            <v>44854</v>
          </cell>
          <cell r="S7324"/>
          <cell r="T7324">
            <v>44858</v>
          </cell>
          <cell r="U7324">
            <v>44862</v>
          </cell>
          <cell r="V7324">
            <v>44866</v>
          </cell>
          <cell r="W7324">
            <v>44866</v>
          </cell>
          <cell r="X7324">
            <v>31102428</v>
          </cell>
        </row>
        <row r="7325">
          <cell r="K7325" t="str">
            <v>-</v>
          </cell>
          <cell r="L7325">
            <v>44851</v>
          </cell>
          <cell r="M7325">
            <v>44851</v>
          </cell>
          <cell r="N7325">
            <v>44855</v>
          </cell>
          <cell r="O7325">
            <v>44851</v>
          </cell>
          <cell r="P7325">
            <v>44855</v>
          </cell>
          <cell r="Q7325">
            <v>44854</v>
          </cell>
          <cell r="R7325">
            <v>44854</v>
          </cell>
          <cell r="S7325"/>
          <cell r="T7325">
            <v>44858</v>
          </cell>
          <cell r="U7325">
            <v>44865</v>
          </cell>
          <cell r="V7325">
            <v>44872</v>
          </cell>
          <cell r="W7325">
            <v>44866</v>
          </cell>
          <cell r="X7325">
            <v>31102430</v>
          </cell>
        </row>
        <row r="7326">
          <cell r="K7326" t="str">
            <v>-</v>
          </cell>
          <cell r="L7326">
            <v>44872</v>
          </cell>
          <cell r="M7326">
            <v>44872</v>
          </cell>
          <cell r="N7326">
            <v>44882</v>
          </cell>
          <cell r="O7326">
            <v>44872</v>
          </cell>
          <cell r="P7326">
            <v>44879</v>
          </cell>
          <cell r="Q7326">
            <v>44875</v>
          </cell>
          <cell r="R7326">
            <v>44875</v>
          </cell>
          <cell r="S7326"/>
          <cell r="T7326">
            <v>44882</v>
          </cell>
          <cell r="U7326">
            <v>44881</v>
          </cell>
          <cell r="V7326">
            <v>44882</v>
          </cell>
          <cell r="W7326">
            <v>44882</v>
          </cell>
          <cell r="X7326" t="str">
            <v>31102291 →  31102293</v>
          </cell>
        </row>
        <row r="7327">
          <cell r="K7327" t="str">
            <v>-</v>
          </cell>
          <cell r="L7327">
            <v>44885</v>
          </cell>
          <cell r="M7327">
            <v>44886</v>
          </cell>
          <cell r="N7327">
            <v>44886</v>
          </cell>
          <cell r="O7327">
            <v>44886</v>
          </cell>
          <cell r="P7327">
            <v>44886</v>
          </cell>
          <cell r="Q7327">
            <v>44889</v>
          </cell>
          <cell r="R7327">
            <v>44889</v>
          </cell>
          <cell r="S7327"/>
          <cell r="T7327">
            <v>44886</v>
          </cell>
          <cell r="U7327">
            <v>44886</v>
          </cell>
          <cell r="V7327">
            <v>44886</v>
          </cell>
          <cell r="W7327">
            <v>44886</v>
          </cell>
          <cell r="X7327">
            <v>31102303</v>
          </cell>
        </row>
        <row r="7328">
          <cell r="K7328" t="str">
            <v>-</v>
          </cell>
          <cell r="L7328">
            <v>44885</v>
          </cell>
          <cell r="M7328">
            <v>44886</v>
          </cell>
          <cell r="N7328">
            <v>44886</v>
          </cell>
          <cell r="O7328">
            <v>44886</v>
          </cell>
          <cell r="P7328">
            <v>44886</v>
          </cell>
          <cell r="Q7328">
            <v>44889</v>
          </cell>
          <cell r="R7328">
            <v>44889</v>
          </cell>
          <cell r="S7328"/>
          <cell r="T7328">
            <v>44886</v>
          </cell>
          <cell r="U7328">
            <v>44887</v>
          </cell>
          <cell r="V7328">
            <v>44887</v>
          </cell>
          <cell r="W7328">
            <v>44887</v>
          </cell>
          <cell r="X7328">
            <v>31102303</v>
          </cell>
        </row>
        <row r="7329">
          <cell r="K7329" t="str">
            <v>DBW-3416</v>
          </cell>
          <cell r="L7329">
            <v>45497</v>
          </cell>
          <cell r="M7329">
            <v>45498</v>
          </cell>
          <cell r="N7329">
            <v>45505</v>
          </cell>
          <cell r="O7329">
            <v>45498</v>
          </cell>
          <cell r="P7329">
            <v>45506</v>
          </cell>
          <cell r="Q7329">
            <v>45505</v>
          </cell>
          <cell r="R7329">
            <v>45506</v>
          </cell>
          <cell r="S7329">
            <v>45505</v>
          </cell>
          <cell r="T7329">
            <v>45506</v>
          </cell>
          <cell r="U7329">
            <v>45509</v>
          </cell>
          <cell r="V7329">
            <v>45510</v>
          </cell>
          <cell r="W7329">
            <v>45510</v>
          </cell>
          <cell r="X7329">
            <v>41000566</v>
          </cell>
        </row>
        <row r="7330">
          <cell r="K7330" t="str">
            <v>DBW-3417</v>
          </cell>
          <cell r="L7330">
            <v>45497</v>
          </cell>
          <cell r="M7330">
            <v>45498</v>
          </cell>
          <cell r="N7330">
            <v>45505</v>
          </cell>
          <cell r="O7330">
            <v>45498</v>
          </cell>
          <cell r="P7330">
            <v>45506</v>
          </cell>
          <cell r="Q7330">
            <v>45505</v>
          </cell>
          <cell r="R7330">
            <v>45506</v>
          </cell>
          <cell r="S7330">
            <v>45505</v>
          </cell>
          <cell r="T7330">
            <v>45506</v>
          </cell>
          <cell r="U7330">
            <v>45509</v>
          </cell>
          <cell r="V7330">
            <v>45510</v>
          </cell>
          <cell r="W7330">
            <v>45510</v>
          </cell>
          <cell r="X7330">
            <v>41000566</v>
          </cell>
        </row>
        <row r="7331">
          <cell r="K7331" t="str">
            <v>DBW-3418</v>
          </cell>
          <cell r="L7331">
            <v>45497</v>
          </cell>
          <cell r="M7331">
            <v>45498</v>
          </cell>
          <cell r="N7331">
            <v>45505</v>
          </cell>
          <cell r="O7331">
            <v>45498</v>
          </cell>
          <cell r="P7331">
            <v>45506</v>
          </cell>
          <cell r="Q7331">
            <v>45505</v>
          </cell>
          <cell r="R7331">
            <v>45506</v>
          </cell>
          <cell r="S7331">
            <v>45505</v>
          </cell>
          <cell r="T7331">
            <v>45506</v>
          </cell>
          <cell r="U7331">
            <v>45509</v>
          </cell>
          <cell r="V7331">
            <v>45510</v>
          </cell>
          <cell r="W7331">
            <v>45510</v>
          </cell>
          <cell r="X7331">
            <v>41000566</v>
          </cell>
        </row>
        <row r="7332">
          <cell r="K7332" t="str">
            <v>DBW-3419</v>
          </cell>
          <cell r="L7332">
            <v>45497</v>
          </cell>
          <cell r="M7332">
            <v>45498</v>
          </cell>
          <cell r="N7332">
            <v>45505</v>
          </cell>
          <cell r="O7332">
            <v>45498</v>
          </cell>
          <cell r="P7332">
            <v>45506</v>
          </cell>
          <cell r="Q7332">
            <v>45505</v>
          </cell>
          <cell r="R7332">
            <v>45506</v>
          </cell>
          <cell r="S7332">
            <v>45505</v>
          </cell>
          <cell r="T7332">
            <v>45506</v>
          </cell>
          <cell r="U7332">
            <v>45509</v>
          </cell>
          <cell r="V7332">
            <v>45510</v>
          </cell>
          <cell r="W7332">
            <v>45510</v>
          </cell>
          <cell r="X7332">
            <v>41000566</v>
          </cell>
        </row>
        <row r="7333">
          <cell r="K7333" t="str">
            <v>DBW-3408</v>
          </cell>
          <cell r="L7333">
            <v>45492</v>
          </cell>
          <cell r="M7333">
            <v>45495</v>
          </cell>
          <cell r="N7333">
            <v>45502</v>
          </cell>
          <cell r="O7333">
            <v>45495</v>
          </cell>
          <cell r="P7333">
            <v>45503</v>
          </cell>
          <cell r="Q7333">
            <v>45502</v>
          </cell>
          <cell r="R7333">
            <v>45503</v>
          </cell>
          <cell r="S7333">
            <v>45504</v>
          </cell>
          <cell r="T7333">
            <v>45504</v>
          </cell>
          <cell r="U7333">
            <v>45506</v>
          </cell>
          <cell r="V7333">
            <v>45509</v>
          </cell>
          <cell r="W7333">
            <v>45509</v>
          </cell>
          <cell r="X7333">
            <v>41000566</v>
          </cell>
        </row>
        <row r="7334">
          <cell r="K7334" t="str">
            <v>DBW-3443</v>
          </cell>
          <cell r="L7334">
            <v>45506</v>
          </cell>
          <cell r="M7334">
            <v>45509</v>
          </cell>
          <cell r="N7334">
            <v>45516</v>
          </cell>
          <cell r="O7334">
            <v>45509</v>
          </cell>
          <cell r="P7334">
            <v>45516</v>
          </cell>
          <cell r="Q7334">
            <v>45516</v>
          </cell>
          <cell r="R7334">
            <v>45517</v>
          </cell>
          <cell r="S7334">
            <v>45520</v>
          </cell>
          <cell r="T7334">
            <v>45523</v>
          </cell>
          <cell r="U7334">
            <v>45524</v>
          </cell>
          <cell r="V7334">
            <v>45525</v>
          </cell>
          <cell r="W7334">
            <v>45525</v>
          </cell>
          <cell r="X7334">
            <v>41000567</v>
          </cell>
        </row>
        <row r="7335">
          <cell r="K7335" t="str">
            <v>DBW-3444</v>
          </cell>
          <cell r="L7335">
            <v>45506</v>
          </cell>
          <cell r="M7335">
            <v>45509</v>
          </cell>
          <cell r="N7335">
            <v>45516</v>
          </cell>
          <cell r="O7335">
            <v>45509</v>
          </cell>
          <cell r="P7335">
            <v>45516</v>
          </cell>
          <cell r="Q7335">
            <v>45516</v>
          </cell>
          <cell r="R7335">
            <v>45517</v>
          </cell>
          <cell r="S7335">
            <v>45520</v>
          </cell>
          <cell r="T7335">
            <v>45523</v>
          </cell>
          <cell r="U7335">
            <v>45524</v>
          </cell>
          <cell r="V7335">
            <v>45525</v>
          </cell>
          <cell r="W7335">
            <v>45525</v>
          </cell>
          <cell r="X7335">
            <v>41000567</v>
          </cell>
        </row>
        <row r="7336">
          <cell r="K7336" t="str">
            <v>DBW-3445</v>
          </cell>
          <cell r="L7336">
            <v>45506</v>
          </cell>
          <cell r="M7336">
            <v>45509</v>
          </cell>
          <cell r="N7336">
            <v>45516</v>
          </cell>
          <cell r="O7336">
            <v>45509</v>
          </cell>
          <cell r="P7336">
            <v>45516</v>
          </cell>
          <cell r="Q7336">
            <v>45516</v>
          </cell>
          <cell r="R7336">
            <v>45517</v>
          </cell>
          <cell r="S7336">
            <v>45520</v>
          </cell>
          <cell r="T7336">
            <v>45523</v>
          </cell>
          <cell r="U7336">
            <v>45524</v>
          </cell>
          <cell r="V7336">
            <v>45525</v>
          </cell>
          <cell r="W7336">
            <v>45525</v>
          </cell>
          <cell r="X7336">
            <v>41000567</v>
          </cell>
        </row>
        <row r="7337">
          <cell r="K7337" t="str">
            <v>DBW-3446</v>
          </cell>
          <cell r="L7337">
            <v>45506</v>
          </cell>
          <cell r="M7337">
            <v>45509</v>
          </cell>
          <cell r="N7337">
            <v>45516</v>
          </cell>
          <cell r="O7337">
            <v>45509</v>
          </cell>
          <cell r="P7337">
            <v>45516</v>
          </cell>
          <cell r="Q7337">
            <v>45516</v>
          </cell>
          <cell r="R7337">
            <v>45517</v>
          </cell>
          <cell r="S7337">
            <v>45520</v>
          </cell>
          <cell r="T7337">
            <v>45523</v>
          </cell>
          <cell r="U7337">
            <v>45524</v>
          </cell>
          <cell r="V7337">
            <v>45525</v>
          </cell>
          <cell r="W7337">
            <v>45525</v>
          </cell>
          <cell r="X7337">
            <v>41000567</v>
          </cell>
        </row>
        <row r="7338">
          <cell r="K7338" t="str">
            <v>DBW-3447</v>
          </cell>
          <cell r="L7338">
            <v>45506</v>
          </cell>
          <cell r="M7338">
            <v>45509</v>
          </cell>
          <cell r="N7338">
            <v>45516</v>
          </cell>
          <cell r="O7338">
            <v>45509</v>
          </cell>
          <cell r="P7338">
            <v>45516</v>
          </cell>
          <cell r="Q7338">
            <v>45516</v>
          </cell>
          <cell r="R7338">
            <v>45517</v>
          </cell>
          <cell r="S7338">
            <v>45520</v>
          </cell>
          <cell r="T7338">
            <v>45523</v>
          </cell>
          <cell r="U7338">
            <v>45524</v>
          </cell>
          <cell r="V7338">
            <v>45525</v>
          </cell>
          <cell r="W7338">
            <v>45525</v>
          </cell>
          <cell r="X7338">
            <v>41000567</v>
          </cell>
        </row>
        <row r="7339">
          <cell r="K7339" t="str">
            <v>DBW-3448</v>
          </cell>
          <cell r="L7339">
            <v>45506</v>
          </cell>
          <cell r="M7339">
            <v>45509</v>
          </cell>
          <cell r="N7339">
            <v>45516</v>
          </cell>
          <cell r="O7339">
            <v>45509</v>
          </cell>
          <cell r="P7339">
            <v>45518</v>
          </cell>
          <cell r="Q7339">
            <v>45517</v>
          </cell>
          <cell r="R7339">
            <v>45518</v>
          </cell>
          <cell r="S7339">
            <v>45523</v>
          </cell>
          <cell r="T7339">
            <v>45524</v>
          </cell>
          <cell r="U7339">
            <v>45525</v>
          </cell>
          <cell r="V7339">
            <v>45526</v>
          </cell>
          <cell r="W7339">
            <v>45526</v>
          </cell>
          <cell r="X7339">
            <v>41000567</v>
          </cell>
        </row>
        <row r="7340">
          <cell r="K7340" t="str">
            <v>DBW-3449</v>
          </cell>
          <cell r="L7340">
            <v>45506</v>
          </cell>
          <cell r="M7340">
            <v>45509</v>
          </cell>
          <cell r="N7340">
            <v>45516</v>
          </cell>
          <cell r="O7340">
            <v>45509</v>
          </cell>
          <cell r="P7340">
            <v>45518</v>
          </cell>
          <cell r="Q7340">
            <v>45517</v>
          </cell>
          <cell r="R7340">
            <v>45518</v>
          </cell>
          <cell r="S7340">
            <v>45523</v>
          </cell>
          <cell r="T7340">
            <v>45524</v>
          </cell>
          <cell r="U7340">
            <v>45525</v>
          </cell>
          <cell r="V7340">
            <v>45526</v>
          </cell>
          <cell r="W7340">
            <v>45526</v>
          </cell>
          <cell r="X7340">
            <v>41000567</v>
          </cell>
        </row>
        <row r="7341">
          <cell r="K7341" t="str">
            <v>DBW-3450</v>
          </cell>
          <cell r="L7341">
            <v>45506</v>
          </cell>
          <cell r="M7341">
            <v>45509</v>
          </cell>
          <cell r="N7341">
            <v>45516</v>
          </cell>
          <cell r="O7341">
            <v>45509</v>
          </cell>
          <cell r="P7341">
            <v>45518</v>
          </cell>
          <cell r="Q7341">
            <v>45517</v>
          </cell>
          <cell r="R7341">
            <v>45518</v>
          </cell>
          <cell r="S7341">
            <v>45523</v>
          </cell>
          <cell r="T7341">
            <v>45524</v>
          </cell>
          <cell r="U7341">
            <v>45525</v>
          </cell>
          <cell r="V7341">
            <v>45526</v>
          </cell>
          <cell r="W7341">
            <v>45526</v>
          </cell>
          <cell r="X7341">
            <v>41000567</v>
          </cell>
        </row>
        <row r="7342">
          <cell r="K7342" t="str">
            <v>DBW-3451</v>
          </cell>
          <cell r="L7342">
            <v>45506</v>
          </cell>
          <cell r="M7342">
            <v>45509</v>
          </cell>
          <cell r="N7342">
            <v>45516</v>
          </cell>
          <cell r="O7342">
            <v>45509</v>
          </cell>
          <cell r="P7342">
            <v>45518</v>
          </cell>
          <cell r="Q7342">
            <v>45517</v>
          </cell>
          <cell r="R7342">
            <v>45518</v>
          </cell>
          <cell r="S7342">
            <v>45523</v>
          </cell>
          <cell r="T7342">
            <v>45524</v>
          </cell>
          <cell r="U7342">
            <v>45526</v>
          </cell>
          <cell r="V7342">
            <v>45526</v>
          </cell>
          <cell r="W7342">
            <v>45526</v>
          </cell>
          <cell r="X7342">
            <v>41000567</v>
          </cell>
        </row>
        <row r="7343">
          <cell r="K7343" t="str">
            <v>DBW-3452</v>
          </cell>
          <cell r="L7343">
            <v>45506</v>
          </cell>
          <cell r="M7343">
            <v>45509</v>
          </cell>
          <cell r="N7343">
            <v>45516</v>
          </cell>
          <cell r="O7343">
            <v>45509</v>
          </cell>
          <cell r="P7343">
            <v>45518</v>
          </cell>
          <cell r="Q7343">
            <v>45517</v>
          </cell>
          <cell r="R7343">
            <v>45518</v>
          </cell>
          <cell r="S7343">
            <v>45523</v>
          </cell>
          <cell r="T7343">
            <v>45524</v>
          </cell>
          <cell r="U7343">
            <v>45526</v>
          </cell>
          <cell r="V7343">
            <v>45526</v>
          </cell>
          <cell r="W7343">
            <v>45526</v>
          </cell>
          <cell r="X7343">
            <v>41000567</v>
          </cell>
        </row>
        <row r="7344">
          <cell r="K7344" t="str">
            <v>DBW-3001</v>
          </cell>
          <cell r="L7344">
            <v>45090</v>
          </cell>
          <cell r="M7344" t="str">
            <v>2023-06-22 → 6/13</v>
          </cell>
          <cell r="N7344">
            <v>45100</v>
          </cell>
          <cell r="O7344" t="str">
            <v>2023-06-22 → 6/13</v>
          </cell>
          <cell r="P7344">
            <v>45103</v>
          </cell>
          <cell r="Q7344" t="str">
            <v>2023-06-30 → 6/21 → 6/23</v>
          </cell>
          <cell r="R7344" t="str">
            <v>2023-07-03 → 6/22 → 6/23</v>
          </cell>
          <cell r="S7344">
            <v>45103</v>
          </cell>
          <cell r="T7344">
            <v>45103</v>
          </cell>
          <cell r="U7344">
            <v>45105</v>
          </cell>
          <cell r="V7344">
            <v>45106</v>
          </cell>
          <cell r="W7344">
            <v>45106</v>
          </cell>
          <cell r="X7344">
            <v>41100683</v>
          </cell>
        </row>
        <row r="7345">
          <cell r="K7345" t="str">
            <v>DBW-3002</v>
          </cell>
          <cell r="L7345">
            <v>45090</v>
          </cell>
          <cell r="M7345" t="str">
            <v>2023-06-22 → 6/13</v>
          </cell>
          <cell r="N7345">
            <v>45100</v>
          </cell>
          <cell r="O7345" t="str">
            <v>2023-06-22 → 6/13</v>
          </cell>
          <cell r="P7345">
            <v>45103</v>
          </cell>
          <cell r="Q7345" t="str">
            <v>2023-06-30 → 6/21 → 6/23</v>
          </cell>
          <cell r="R7345" t="str">
            <v>2023-07-03 → 6/22 → 6/23</v>
          </cell>
          <cell r="S7345">
            <v>45103</v>
          </cell>
          <cell r="T7345">
            <v>45103</v>
          </cell>
          <cell r="U7345">
            <v>45105</v>
          </cell>
          <cell r="V7345">
            <v>45106</v>
          </cell>
          <cell r="W7345">
            <v>45106</v>
          </cell>
          <cell r="X7345">
            <v>41100683</v>
          </cell>
        </row>
        <row r="7346">
          <cell r="K7346" t="str">
            <v>DBW-3003</v>
          </cell>
          <cell r="L7346">
            <v>45090</v>
          </cell>
          <cell r="M7346" t="str">
            <v>2023-06-22 → 6/13</v>
          </cell>
          <cell r="N7346">
            <v>45100</v>
          </cell>
          <cell r="O7346" t="str">
            <v>2023-06-22 → 6/13</v>
          </cell>
          <cell r="P7346">
            <v>45103</v>
          </cell>
          <cell r="Q7346" t="str">
            <v>2023-06-30 → 6/21 → 6/23</v>
          </cell>
          <cell r="R7346" t="str">
            <v>2023-07-03 → 6/22 → 6/23</v>
          </cell>
          <cell r="S7346">
            <v>45103</v>
          </cell>
          <cell r="T7346">
            <v>45103</v>
          </cell>
          <cell r="U7346">
            <v>45107</v>
          </cell>
          <cell r="V7346">
            <v>45107</v>
          </cell>
          <cell r="W7346">
            <v>45107</v>
          </cell>
          <cell r="X7346">
            <v>41100683</v>
          </cell>
        </row>
        <row r="7347">
          <cell r="K7347" t="str">
            <v>DBW-3004</v>
          </cell>
          <cell r="L7347">
            <v>45091</v>
          </cell>
          <cell r="M7347" t="str">
            <v>2023-06-26 → 6/15</v>
          </cell>
          <cell r="N7347">
            <v>45100</v>
          </cell>
          <cell r="O7347" t="str">
            <v>2023-06-26 → 6/15</v>
          </cell>
          <cell r="P7347">
            <v>45103</v>
          </cell>
          <cell r="Q7347" t="str">
            <v>2023-07-04 → 6/22 → 6/23</v>
          </cell>
          <cell r="R7347" t="str">
            <v>2023-07-05 → 6/23</v>
          </cell>
          <cell r="S7347">
            <v>45103</v>
          </cell>
          <cell r="T7347">
            <v>45103</v>
          </cell>
          <cell r="U7347">
            <v>45106</v>
          </cell>
          <cell r="V7347">
            <v>45107</v>
          </cell>
          <cell r="W7347">
            <v>45107</v>
          </cell>
          <cell r="X7347">
            <v>41100681</v>
          </cell>
        </row>
        <row r="7348">
          <cell r="K7348" t="str">
            <v>DBW-3025</v>
          </cell>
          <cell r="L7348">
            <v>45117</v>
          </cell>
          <cell r="M7348">
            <v>45118</v>
          </cell>
          <cell r="N7348">
            <v>45125</v>
          </cell>
          <cell r="O7348">
            <v>45118</v>
          </cell>
          <cell r="P7348">
            <v>45127</v>
          </cell>
          <cell r="Q7348">
            <v>45126</v>
          </cell>
          <cell r="R7348">
            <v>45127</v>
          </cell>
          <cell r="S7348">
            <v>45128</v>
          </cell>
          <cell r="T7348">
            <v>45128</v>
          </cell>
          <cell r="U7348">
            <v>45133</v>
          </cell>
          <cell r="V7348">
            <v>45138</v>
          </cell>
          <cell r="W7348">
            <v>45138</v>
          </cell>
          <cell r="X7348">
            <v>41100681</v>
          </cell>
        </row>
        <row r="7349">
          <cell r="K7349" t="str">
            <v>DBW-3026</v>
          </cell>
          <cell r="L7349">
            <v>45117</v>
          </cell>
          <cell r="M7349">
            <v>45118</v>
          </cell>
          <cell r="N7349">
            <v>45125</v>
          </cell>
          <cell r="O7349">
            <v>45118</v>
          </cell>
          <cell r="P7349">
            <v>45127</v>
          </cell>
          <cell r="Q7349">
            <v>45126</v>
          </cell>
          <cell r="R7349">
            <v>45127</v>
          </cell>
          <cell r="S7349">
            <v>45128</v>
          </cell>
          <cell r="T7349">
            <v>45128</v>
          </cell>
          <cell r="U7349">
            <v>45132</v>
          </cell>
          <cell r="V7349">
            <v>45138</v>
          </cell>
          <cell r="W7349">
            <v>45138</v>
          </cell>
          <cell r="X7349">
            <v>41100681</v>
          </cell>
        </row>
        <row r="7350">
          <cell r="K7350" t="str">
            <v>GBWS-3372</v>
          </cell>
          <cell r="L7350">
            <v>45036</v>
          </cell>
          <cell r="M7350">
            <v>45037</v>
          </cell>
          <cell r="N7350">
            <v>45044</v>
          </cell>
          <cell r="O7350">
            <v>45037</v>
          </cell>
          <cell r="P7350">
            <v>45048</v>
          </cell>
          <cell r="Q7350">
            <v>45047</v>
          </cell>
          <cell r="R7350" t="str">
            <v>2023-05-01 → 5/2</v>
          </cell>
          <cell r="S7350">
            <v>45049</v>
          </cell>
          <cell r="T7350">
            <v>45049</v>
          </cell>
          <cell r="U7350">
            <v>45057</v>
          </cell>
          <cell r="V7350">
            <v>45061</v>
          </cell>
          <cell r="W7350">
            <v>45061</v>
          </cell>
          <cell r="X7350">
            <v>41100646</v>
          </cell>
        </row>
        <row r="7351">
          <cell r="K7351" t="str">
            <v>GBWS-3342</v>
          </cell>
          <cell r="L7351">
            <v>45028</v>
          </cell>
          <cell r="M7351">
            <v>45028</v>
          </cell>
          <cell r="N7351">
            <v>45041</v>
          </cell>
          <cell r="O7351">
            <v>45028</v>
          </cell>
          <cell r="P7351">
            <v>45041</v>
          </cell>
          <cell r="Q7351">
            <v>45041</v>
          </cell>
          <cell r="R7351" t="str">
            <v>2023-04-25 → 4/26</v>
          </cell>
          <cell r="S7351">
            <v>45043</v>
          </cell>
          <cell r="T7351">
            <v>45043</v>
          </cell>
          <cell r="U7351">
            <v>45058</v>
          </cell>
          <cell r="V7351">
            <v>45061</v>
          </cell>
          <cell r="W7351">
            <v>45061</v>
          </cell>
          <cell r="X7351" t="str">
            <v>41100645 → 41100673</v>
          </cell>
        </row>
        <row r="7352">
          <cell r="K7352" t="str">
            <v>DBW-3242</v>
          </cell>
          <cell r="L7352">
            <v>45335</v>
          </cell>
          <cell r="M7352">
            <v>45336</v>
          </cell>
          <cell r="N7352">
            <v>45344</v>
          </cell>
          <cell r="O7352">
            <v>45336</v>
          </cell>
          <cell r="P7352">
            <v>45345</v>
          </cell>
          <cell r="Q7352">
            <v>45344</v>
          </cell>
          <cell r="R7352">
            <v>45345</v>
          </cell>
          <cell r="S7352">
            <v>45348</v>
          </cell>
          <cell r="T7352">
            <v>45348</v>
          </cell>
          <cell r="U7352">
            <v>45350</v>
          </cell>
          <cell r="V7352">
            <v>45350</v>
          </cell>
          <cell r="W7352">
            <v>45350</v>
          </cell>
          <cell r="X7352">
            <v>41100099</v>
          </cell>
        </row>
        <row r="7353">
          <cell r="K7353" t="str">
            <v>GBWS-4281</v>
          </cell>
          <cell r="L7353">
            <v>45363</v>
          </cell>
          <cell r="M7353">
            <v>45364</v>
          </cell>
          <cell r="N7353">
            <v>45370</v>
          </cell>
          <cell r="O7353">
            <v>45364</v>
          </cell>
          <cell r="P7353">
            <v>45371</v>
          </cell>
          <cell r="Q7353">
            <v>45370</v>
          </cell>
          <cell r="R7353">
            <v>45371</v>
          </cell>
          <cell r="S7353">
            <v>45372</v>
          </cell>
          <cell r="T7353">
            <v>45373</v>
          </cell>
          <cell r="U7353">
            <v>45376</v>
          </cell>
          <cell r="V7353">
            <v>45377</v>
          </cell>
          <cell r="W7353">
            <v>45377</v>
          </cell>
          <cell r="X7353">
            <v>41100698</v>
          </cell>
        </row>
        <row r="7354">
          <cell r="K7354" t="str">
            <v>GBWS-3529</v>
          </cell>
          <cell r="L7354">
            <v>45128</v>
          </cell>
          <cell r="M7354" t="str">
            <v>2023-07-12 → 7/24</v>
          </cell>
          <cell r="N7354">
            <v>45138</v>
          </cell>
          <cell r="O7354" t="str">
            <v>2023-07-12 → 7/24</v>
          </cell>
          <cell r="P7354">
            <v>45139</v>
          </cell>
          <cell r="Q7354" t="str">
            <v>2023-07-19 → 7/31</v>
          </cell>
          <cell r="R7354" t="str">
            <v>2023-07-20 → 8/1</v>
          </cell>
          <cell r="S7354">
            <v>45140</v>
          </cell>
          <cell r="T7354">
            <v>45141</v>
          </cell>
          <cell r="U7354">
            <v>45147</v>
          </cell>
          <cell r="V7354">
            <v>45147</v>
          </cell>
          <cell r="W7354">
            <v>45147</v>
          </cell>
          <cell r="X7354">
            <v>41100698</v>
          </cell>
        </row>
        <row r="7355">
          <cell r="K7355" t="str">
            <v>GBWS-3530</v>
          </cell>
          <cell r="L7355">
            <v>45128</v>
          </cell>
          <cell r="M7355" t="str">
            <v>2023-07-12 → 7/24</v>
          </cell>
          <cell r="N7355">
            <v>45138</v>
          </cell>
          <cell r="O7355" t="str">
            <v>2023-07-12 → 7/24</v>
          </cell>
          <cell r="P7355">
            <v>45139</v>
          </cell>
          <cell r="Q7355" t="str">
            <v>2023-07-19 → 7/31</v>
          </cell>
          <cell r="R7355" t="str">
            <v>2023-07-20 → 8/1</v>
          </cell>
          <cell r="S7355">
            <v>45140</v>
          </cell>
          <cell r="T7355">
            <v>45141</v>
          </cell>
          <cell r="U7355">
            <v>45147</v>
          </cell>
          <cell r="V7355">
            <v>45147</v>
          </cell>
          <cell r="W7355">
            <v>45147</v>
          </cell>
          <cell r="X7355">
            <v>41100698</v>
          </cell>
        </row>
        <row r="7356">
          <cell r="K7356" t="str">
            <v>GBWS-4397</v>
          </cell>
          <cell r="L7356">
            <v>45390</v>
          </cell>
          <cell r="M7356">
            <v>45391</v>
          </cell>
          <cell r="N7356">
            <v>45398</v>
          </cell>
          <cell r="O7356">
            <v>45391</v>
          </cell>
          <cell r="P7356">
            <v>45399</v>
          </cell>
          <cell r="Q7356">
            <v>45398</v>
          </cell>
          <cell r="R7356">
            <v>45399</v>
          </cell>
          <cell r="S7356">
            <v>45405</v>
          </cell>
          <cell r="T7356">
            <v>45406</v>
          </cell>
          <cell r="U7356">
            <v>45407</v>
          </cell>
          <cell r="V7356">
            <v>45408</v>
          </cell>
          <cell r="W7356">
            <v>45408</v>
          </cell>
          <cell r="X7356">
            <v>41100698</v>
          </cell>
        </row>
        <row r="7357">
          <cell r="K7357" t="str">
            <v>GBWS-3900</v>
          </cell>
          <cell r="L7357">
            <v>45252</v>
          </cell>
          <cell r="M7357">
            <v>45253</v>
          </cell>
          <cell r="N7357">
            <v>45260</v>
          </cell>
          <cell r="O7357">
            <v>45253</v>
          </cell>
          <cell r="P7357">
            <v>45261</v>
          </cell>
          <cell r="Q7357">
            <v>45261</v>
          </cell>
          <cell r="R7357">
            <v>45261</v>
          </cell>
          <cell r="S7357">
            <v>45264</v>
          </cell>
          <cell r="T7357">
            <v>45264</v>
          </cell>
          <cell r="U7357">
            <v>45268</v>
          </cell>
          <cell r="V7357">
            <v>45268</v>
          </cell>
          <cell r="W7357">
            <v>45268</v>
          </cell>
          <cell r="X7357">
            <v>41000555</v>
          </cell>
        </row>
        <row r="7358">
          <cell r="K7358" t="str">
            <v>GBWS-3901</v>
          </cell>
          <cell r="L7358">
            <v>45252</v>
          </cell>
          <cell r="M7358">
            <v>45253</v>
          </cell>
          <cell r="N7358">
            <v>45260</v>
          </cell>
          <cell r="O7358">
            <v>45253</v>
          </cell>
          <cell r="P7358">
            <v>45261</v>
          </cell>
          <cell r="Q7358">
            <v>45261</v>
          </cell>
          <cell r="R7358">
            <v>45261</v>
          </cell>
          <cell r="S7358">
            <v>45264</v>
          </cell>
          <cell r="T7358">
            <v>45264</v>
          </cell>
          <cell r="U7358">
            <v>45268</v>
          </cell>
          <cell r="V7358">
            <v>45268</v>
          </cell>
          <cell r="W7358">
            <v>45268</v>
          </cell>
          <cell r="X7358">
            <v>41000555</v>
          </cell>
        </row>
        <row r="7359">
          <cell r="K7359" t="str">
            <v>GBWS-3499</v>
          </cell>
          <cell r="L7359">
            <v>45117</v>
          </cell>
          <cell r="M7359">
            <v>45118</v>
          </cell>
          <cell r="N7359">
            <v>45124</v>
          </cell>
          <cell r="O7359">
            <v>45118</v>
          </cell>
          <cell r="P7359">
            <v>45125</v>
          </cell>
          <cell r="Q7359">
            <v>45125</v>
          </cell>
          <cell r="R7359">
            <v>45126</v>
          </cell>
          <cell r="S7359">
            <v>45126</v>
          </cell>
          <cell r="T7359">
            <v>45127</v>
          </cell>
          <cell r="U7359">
            <v>45128</v>
          </cell>
          <cell r="V7359">
            <v>45132</v>
          </cell>
          <cell r="W7359">
            <v>45132</v>
          </cell>
          <cell r="X7359">
            <v>41100564</v>
          </cell>
        </row>
        <row r="7360">
          <cell r="K7360" t="str">
            <v>GBWS-3595</v>
          </cell>
          <cell r="L7360">
            <v>45163</v>
          </cell>
          <cell r="M7360">
            <v>45166</v>
          </cell>
          <cell r="N7360">
            <v>45173</v>
          </cell>
          <cell r="O7360">
            <v>45166</v>
          </cell>
          <cell r="P7360">
            <v>45174</v>
          </cell>
          <cell r="Q7360">
            <v>45173</v>
          </cell>
          <cell r="R7360">
            <v>45174</v>
          </cell>
          <cell r="S7360">
            <v>45175</v>
          </cell>
          <cell r="T7360">
            <v>45175</v>
          </cell>
          <cell r="U7360">
            <v>45180</v>
          </cell>
          <cell r="V7360">
            <v>45182</v>
          </cell>
          <cell r="W7360">
            <v>45182</v>
          </cell>
          <cell r="X7360">
            <v>41100702</v>
          </cell>
        </row>
        <row r="7361">
          <cell r="K7361" t="str">
            <v>GBWS-4137</v>
          </cell>
          <cell r="L7361">
            <v>45335</v>
          </cell>
          <cell r="M7361">
            <v>45336</v>
          </cell>
          <cell r="N7361">
            <v>45342</v>
          </cell>
          <cell r="O7361">
            <v>45336</v>
          </cell>
          <cell r="P7361">
            <v>45343</v>
          </cell>
          <cell r="Q7361">
            <v>45342</v>
          </cell>
          <cell r="R7361">
            <v>45343</v>
          </cell>
          <cell r="S7361">
            <v>45344</v>
          </cell>
          <cell r="T7361">
            <v>45345</v>
          </cell>
          <cell r="U7361">
            <v>45348</v>
          </cell>
          <cell r="V7361">
            <v>45349</v>
          </cell>
          <cell r="W7361">
            <v>45349</v>
          </cell>
          <cell r="X7361">
            <v>41100564</v>
          </cell>
        </row>
        <row r="7362">
          <cell r="K7362" t="str">
            <v>GBWS-4126</v>
          </cell>
          <cell r="L7362">
            <v>45329</v>
          </cell>
          <cell r="M7362">
            <v>45330</v>
          </cell>
          <cell r="N7362">
            <v>45341</v>
          </cell>
          <cell r="O7362">
            <v>45330</v>
          </cell>
          <cell r="P7362">
            <v>45341</v>
          </cell>
          <cell r="Q7362">
            <v>45342</v>
          </cell>
          <cell r="R7362">
            <v>45343</v>
          </cell>
          <cell r="S7362">
            <v>45345</v>
          </cell>
          <cell r="T7362">
            <v>45348</v>
          </cell>
          <cell r="U7362">
            <v>45349</v>
          </cell>
          <cell r="V7362">
            <v>45350</v>
          </cell>
          <cell r="W7362">
            <v>45350</v>
          </cell>
          <cell r="X7362">
            <v>41100564</v>
          </cell>
        </row>
        <row r="7363">
          <cell r="K7363" t="str">
            <v>GBWS-4127</v>
          </cell>
          <cell r="L7363">
            <v>45329</v>
          </cell>
          <cell r="M7363">
            <v>45330</v>
          </cell>
          <cell r="N7363">
            <v>45341</v>
          </cell>
          <cell r="O7363">
            <v>45330</v>
          </cell>
          <cell r="P7363">
            <v>45341</v>
          </cell>
          <cell r="Q7363">
            <v>45342</v>
          </cell>
          <cell r="R7363">
            <v>45343</v>
          </cell>
          <cell r="S7363">
            <v>45345</v>
          </cell>
          <cell r="T7363">
            <v>45348</v>
          </cell>
          <cell r="U7363">
            <v>45349</v>
          </cell>
          <cell r="V7363">
            <v>45350</v>
          </cell>
          <cell r="W7363">
            <v>45350</v>
          </cell>
          <cell r="X7363">
            <v>41100564</v>
          </cell>
        </row>
        <row r="7364">
          <cell r="K7364" t="str">
            <v>GBWS-4128</v>
          </cell>
          <cell r="L7364">
            <v>45329</v>
          </cell>
          <cell r="M7364">
            <v>45330</v>
          </cell>
          <cell r="N7364">
            <v>45341</v>
          </cell>
          <cell r="O7364">
            <v>45330</v>
          </cell>
          <cell r="P7364">
            <v>45341</v>
          </cell>
          <cell r="Q7364">
            <v>45342</v>
          </cell>
          <cell r="R7364">
            <v>45343</v>
          </cell>
          <cell r="S7364">
            <v>45345</v>
          </cell>
          <cell r="T7364">
            <v>45348</v>
          </cell>
          <cell r="U7364">
            <v>45349</v>
          </cell>
          <cell r="V7364">
            <v>45350</v>
          </cell>
          <cell r="W7364">
            <v>45350</v>
          </cell>
          <cell r="X7364">
            <v>41100564</v>
          </cell>
        </row>
        <row r="7365">
          <cell r="K7365" t="str">
            <v>GBWS-4129</v>
          </cell>
          <cell r="L7365">
            <v>45329</v>
          </cell>
          <cell r="M7365">
            <v>45330</v>
          </cell>
          <cell r="N7365">
            <v>45338</v>
          </cell>
          <cell r="O7365">
            <v>45330</v>
          </cell>
          <cell r="P7365">
            <v>45341</v>
          </cell>
          <cell r="Q7365">
            <v>45342</v>
          </cell>
          <cell r="R7365">
            <v>45343</v>
          </cell>
          <cell r="S7365">
            <v>45343</v>
          </cell>
          <cell r="T7365">
            <v>45344</v>
          </cell>
          <cell r="U7365">
            <v>45345</v>
          </cell>
          <cell r="V7365">
            <v>45348</v>
          </cell>
          <cell r="W7365">
            <v>45348</v>
          </cell>
          <cell r="X7365">
            <v>41100564</v>
          </cell>
        </row>
        <row r="7366">
          <cell r="K7366" t="str">
            <v>GBWS-4130</v>
          </cell>
          <cell r="L7366">
            <v>45329</v>
          </cell>
          <cell r="M7366">
            <v>45330</v>
          </cell>
          <cell r="N7366">
            <v>45338</v>
          </cell>
          <cell r="O7366">
            <v>45330</v>
          </cell>
          <cell r="P7366">
            <v>45341</v>
          </cell>
          <cell r="Q7366">
            <v>45342</v>
          </cell>
          <cell r="R7366">
            <v>45343</v>
          </cell>
          <cell r="S7366">
            <v>45344</v>
          </cell>
          <cell r="T7366">
            <v>45348</v>
          </cell>
          <cell r="U7366">
            <v>45349</v>
          </cell>
          <cell r="V7366">
            <v>45350</v>
          </cell>
          <cell r="W7366">
            <v>45350</v>
          </cell>
          <cell r="X7366">
            <v>41100564</v>
          </cell>
        </row>
        <row r="7367">
          <cell r="K7367" t="str">
            <v>GBWS-4131</v>
          </cell>
          <cell r="L7367">
            <v>45329</v>
          </cell>
          <cell r="M7367">
            <v>45330</v>
          </cell>
          <cell r="N7367">
            <v>45338</v>
          </cell>
          <cell r="O7367">
            <v>45330</v>
          </cell>
          <cell r="P7367">
            <v>45341</v>
          </cell>
          <cell r="Q7367">
            <v>45342</v>
          </cell>
          <cell r="R7367">
            <v>45343</v>
          </cell>
          <cell r="S7367">
            <v>45344</v>
          </cell>
          <cell r="T7367">
            <v>45348</v>
          </cell>
          <cell r="U7367">
            <v>45349</v>
          </cell>
          <cell r="V7367">
            <v>45350</v>
          </cell>
          <cell r="W7367">
            <v>45350</v>
          </cell>
          <cell r="X7367">
            <v>41100564</v>
          </cell>
        </row>
        <row r="7368">
          <cell r="K7368" t="str">
            <v>GBWS-4132</v>
          </cell>
          <cell r="L7368">
            <v>45329</v>
          </cell>
          <cell r="M7368">
            <v>45330</v>
          </cell>
          <cell r="N7368">
            <v>45338</v>
          </cell>
          <cell r="O7368">
            <v>45330</v>
          </cell>
          <cell r="P7368">
            <v>45341</v>
          </cell>
          <cell r="Q7368">
            <v>45342</v>
          </cell>
          <cell r="R7368">
            <v>45343</v>
          </cell>
          <cell r="S7368">
            <v>45344</v>
          </cell>
          <cell r="T7368">
            <v>45348</v>
          </cell>
          <cell r="U7368">
            <v>45349</v>
          </cell>
          <cell r="V7368">
            <v>45350</v>
          </cell>
          <cell r="W7368">
            <v>45350</v>
          </cell>
          <cell r="X7368">
            <v>41100564</v>
          </cell>
        </row>
        <row r="7369">
          <cell r="K7369" t="str">
            <v>GBWS-4326</v>
          </cell>
          <cell r="L7369">
            <v>45373</v>
          </cell>
          <cell r="M7369">
            <v>45376</v>
          </cell>
          <cell r="N7369">
            <v>45385</v>
          </cell>
          <cell r="O7369">
            <v>45376</v>
          </cell>
          <cell r="P7369">
            <v>45386</v>
          </cell>
          <cell r="Q7369">
            <v>45385</v>
          </cell>
          <cell r="R7369">
            <v>45386</v>
          </cell>
          <cell r="S7369">
            <v>45391</v>
          </cell>
          <cell r="T7369">
            <v>45393</v>
          </cell>
          <cell r="U7369">
            <v>45393</v>
          </cell>
          <cell r="V7369">
            <v>45399</v>
          </cell>
          <cell r="W7369">
            <v>45399</v>
          </cell>
          <cell r="X7369">
            <v>41100566</v>
          </cell>
        </row>
        <row r="7370">
          <cell r="K7370" t="str">
            <v>GBWS-4327</v>
          </cell>
          <cell r="L7370">
            <v>45373</v>
          </cell>
          <cell r="M7370">
            <v>45376</v>
          </cell>
          <cell r="N7370">
            <v>45385</v>
          </cell>
          <cell r="O7370">
            <v>45376</v>
          </cell>
          <cell r="P7370">
            <v>45386</v>
          </cell>
          <cell r="Q7370">
            <v>45385</v>
          </cell>
          <cell r="R7370">
            <v>45386</v>
          </cell>
          <cell r="S7370">
            <v>45390</v>
          </cell>
          <cell r="T7370">
            <v>45391</v>
          </cell>
          <cell r="U7370">
            <v>45392</v>
          </cell>
          <cell r="V7370">
            <v>45393</v>
          </cell>
          <cell r="W7370">
            <v>45393</v>
          </cell>
          <cell r="X7370">
            <v>41100566</v>
          </cell>
        </row>
        <row r="7371">
          <cell r="K7371" t="str">
            <v>GBWS-4328</v>
          </cell>
          <cell r="L7371">
            <v>45373</v>
          </cell>
          <cell r="M7371">
            <v>45376</v>
          </cell>
          <cell r="N7371">
            <v>45386</v>
          </cell>
          <cell r="O7371">
            <v>45376</v>
          </cell>
          <cell r="P7371">
            <v>45386</v>
          </cell>
          <cell r="Q7371" t="str">
            <v>2024-04-03 → 4/5</v>
          </cell>
          <cell r="R7371" t="str">
            <v>2024-04-04 → 4/5</v>
          </cell>
          <cell r="S7371">
            <v>45390</v>
          </cell>
          <cell r="T7371">
            <v>45393</v>
          </cell>
          <cell r="U7371">
            <v>45399</v>
          </cell>
          <cell r="V7371">
            <v>45399</v>
          </cell>
          <cell r="W7371">
            <v>45399</v>
          </cell>
          <cell r="X7371">
            <v>41100566</v>
          </cell>
        </row>
        <row r="7372">
          <cell r="K7372" t="str">
            <v>GBWS-4329</v>
          </cell>
          <cell r="L7372">
            <v>45373</v>
          </cell>
          <cell r="M7372">
            <v>45376</v>
          </cell>
          <cell r="N7372">
            <v>45387</v>
          </cell>
          <cell r="O7372">
            <v>45376</v>
          </cell>
          <cell r="P7372">
            <v>45387</v>
          </cell>
          <cell r="Q7372" t="str">
            <v>2024-04-03 → 4/5</v>
          </cell>
          <cell r="R7372" t="str">
            <v>2024-04-04 → 4/5</v>
          </cell>
          <cell r="S7372">
            <v>45390</v>
          </cell>
          <cell r="T7372">
            <v>45391</v>
          </cell>
          <cell r="U7372">
            <v>45394</v>
          </cell>
          <cell r="V7372">
            <v>45397</v>
          </cell>
          <cell r="W7372">
            <v>45397</v>
          </cell>
          <cell r="X7372">
            <v>41100566</v>
          </cell>
        </row>
        <row r="7373">
          <cell r="K7373" t="str">
            <v>GBWS-4330</v>
          </cell>
          <cell r="L7373">
            <v>45373</v>
          </cell>
          <cell r="M7373">
            <v>45376</v>
          </cell>
          <cell r="N7373">
            <v>45385</v>
          </cell>
          <cell r="O7373">
            <v>45376</v>
          </cell>
          <cell r="P7373">
            <v>45386</v>
          </cell>
          <cell r="Q7373">
            <v>45385</v>
          </cell>
          <cell r="R7373">
            <v>45386</v>
          </cell>
          <cell r="S7373">
            <v>45390</v>
          </cell>
          <cell r="T7373">
            <v>45393</v>
          </cell>
          <cell r="U7373">
            <v>45394</v>
          </cell>
          <cell r="V7373">
            <v>45397</v>
          </cell>
          <cell r="W7373">
            <v>45397</v>
          </cell>
          <cell r="X7373">
            <v>41100566</v>
          </cell>
        </row>
        <row r="7374">
          <cell r="K7374" t="str">
            <v>GBWS-3735</v>
          </cell>
          <cell r="L7374">
            <v>45195</v>
          </cell>
          <cell r="M7374">
            <v>45196</v>
          </cell>
          <cell r="N7374">
            <v>45212</v>
          </cell>
          <cell r="O7374">
            <v>45196</v>
          </cell>
          <cell r="P7374">
            <v>45212</v>
          </cell>
          <cell r="Q7374" t="str">
            <v>2023-10-12 → 10/13</v>
          </cell>
          <cell r="R7374">
            <v>45212</v>
          </cell>
          <cell r="S7374">
            <v>45216</v>
          </cell>
          <cell r="T7374">
            <v>45216</v>
          </cell>
          <cell r="U7374">
            <v>45224</v>
          </cell>
          <cell r="V7374">
            <v>45225</v>
          </cell>
          <cell r="W7374">
            <v>45225</v>
          </cell>
          <cell r="X7374">
            <v>41100295</v>
          </cell>
        </row>
        <row r="7375">
          <cell r="K7375" t="str">
            <v>GBWS-4650</v>
          </cell>
          <cell r="L7375">
            <v>45463</v>
          </cell>
          <cell r="M7375">
            <v>45464</v>
          </cell>
          <cell r="N7375">
            <v>45470</v>
          </cell>
          <cell r="O7375">
            <v>45464</v>
          </cell>
          <cell r="P7375">
            <v>45471</v>
          </cell>
          <cell r="Q7375">
            <v>45470</v>
          </cell>
          <cell r="R7375">
            <v>45471</v>
          </cell>
          <cell r="S7375">
            <v>45474</v>
          </cell>
          <cell r="T7375">
            <v>45475</v>
          </cell>
          <cell r="U7375">
            <v>45476</v>
          </cell>
          <cell r="V7375">
            <v>45477</v>
          </cell>
          <cell r="W7375">
            <v>45477</v>
          </cell>
          <cell r="X7375">
            <v>41100286</v>
          </cell>
        </row>
        <row r="7376">
          <cell r="K7376" t="str">
            <v>GBWS-4796</v>
          </cell>
          <cell r="L7376">
            <v>45506</v>
          </cell>
          <cell r="M7376">
            <v>45509</v>
          </cell>
          <cell r="N7376">
            <v>45513</v>
          </cell>
          <cell r="O7376">
            <v>45509</v>
          </cell>
          <cell r="P7376">
            <v>45516</v>
          </cell>
          <cell r="Q7376">
            <v>45513</v>
          </cell>
          <cell r="R7376">
            <v>45516</v>
          </cell>
          <cell r="S7376">
            <v>45523</v>
          </cell>
          <cell r="T7376">
            <v>45524</v>
          </cell>
          <cell r="U7376">
            <v>45525</v>
          </cell>
          <cell r="V7376">
            <v>45526</v>
          </cell>
          <cell r="W7376">
            <v>45526</v>
          </cell>
          <cell r="X7376">
            <v>41100286</v>
          </cell>
        </row>
        <row r="7377">
          <cell r="K7377" t="str">
            <v>GBWS-3069</v>
          </cell>
          <cell r="L7377">
            <v>44894</v>
          </cell>
          <cell r="M7377">
            <v>44895</v>
          </cell>
          <cell r="N7377">
            <v>44907</v>
          </cell>
          <cell r="O7377">
            <v>44895</v>
          </cell>
          <cell r="P7377">
            <v>44907</v>
          </cell>
          <cell r="Q7377">
            <v>44904</v>
          </cell>
          <cell r="R7377">
            <v>44904</v>
          </cell>
          <cell r="S7377"/>
          <cell r="T7377">
            <v>44908</v>
          </cell>
          <cell r="U7377">
            <v>44911</v>
          </cell>
          <cell r="V7377">
            <v>44914</v>
          </cell>
          <cell r="W7377">
            <v>44914</v>
          </cell>
          <cell r="X7377">
            <v>41100320</v>
          </cell>
        </row>
        <row r="7378">
          <cell r="K7378" t="str">
            <v>GBWS-4202</v>
          </cell>
          <cell r="L7378">
            <v>45349</v>
          </cell>
          <cell r="M7378">
            <v>45350</v>
          </cell>
          <cell r="N7378">
            <v>45362</v>
          </cell>
          <cell r="O7378">
            <v>45350</v>
          </cell>
          <cell r="P7378">
            <v>45362</v>
          </cell>
          <cell r="Q7378" t="str">
            <v>2024-03-08 → 3/10</v>
          </cell>
          <cell r="R7378">
            <v>45362</v>
          </cell>
          <cell r="S7378">
            <v>45364</v>
          </cell>
          <cell r="T7378">
            <v>45365</v>
          </cell>
          <cell r="U7378">
            <v>45366</v>
          </cell>
          <cell r="V7378">
            <v>45369</v>
          </cell>
          <cell r="W7378">
            <v>45369</v>
          </cell>
          <cell r="X7378">
            <v>41100319</v>
          </cell>
        </row>
        <row r="7379">
          <cell r="K7379" t="str">
            <v>GBWS-4203</v>
          </cell>
          <cell r="L7379">
            <v>45349</v>
          </cell>
          <cell r="M7379">
            <v>45350</v>
          </cell>
          <cell r="N7379">
            <v>45362</v>
          </cell>
          <cell r="O7379">
            <v>45350</v>
          </cell>
          <cell r="P7379">
            <v>45362</v>
          </cell>
          <cell r="Q7379" t="str">
            <v>2024-03-08 → 3/10</v>
          </cell>
          <cell r="R7379">
            <v>45362</v>
          </cell>
          <cell r="S7379">
            <v>45364</v>
          </cell>
          <cell r="T7379">
            <v>45365</v>
          </cell>
          <cell r="U7379">
            <v>45367</v>
          </cell>
          <cell r="V7379">
            <v>45369</v>
          </cell>
          <cell r="W7379">
            <v>45369</v>
          </cell>
          <cell r="X7379">
            <v>41100363</v>
          </cell>
        </row>
        <row r="7380">
          <cell r="K7380" t="str">
            <v>GBWS-4529</v>
          </cell>
          <cell r="L7380">
            <v>45428</v>
          </cell>
          <cell r="M7380">
            <v>45429</v>
          </cell>
          <cell r="N7380">
            <v>45435</v>
          </cell>
          <cell r="O7380">
            <v>45429</v>
          </cell>
          <cell r="P7380">
            <v>45436</v>
          </cell>
          <cell r="Q7380">
            <v>45435</v>
          </cell>
          <cell r="R7380">
            <v>45436</v>
          </cell>
          <cell r="S7380">
            <v>45439</v>
          </cell>
          <cell r="T7380">
            <v>45440</v>
          </cell>
          <cell r="U7380">
            <v>45443</v>
          </cell>
          <cell r="V7380">
            <v>45446</v>
          </cell>
          <cell r="W7380">
            <v>45446</v>
          </cell>
          <cell r="X7380">
            <v>41100374</v>
          </cell>
        </row>
        <row r="7381">
          <cell r="K7381" t="str">
            <v>GBWS-4577</v>
          </cell>
          <cell r="L7381">
            <v>45439</v>
          </cell>
          <cell r="M7381">
            <v>45440</v>
          </cell>
          <cell r="N7381">
            <v>45448</v>
          </cell>
          <cell r="O7381">
            <v>45440</v>
          </cell>
          <cell r="P7381">
            <v>45450</v>
          </cell>
          <cell r="Q7381">
            <v>45448</v>
          </cell>
          <cell r="R7381">
            <v>45450</v>
          </cell>
          <cell r="S7381">
            <v>45453</v>
          </cell>
          <cell r="T7381">
            <v>45454</v>
          </cell>
          <cell r="U7381">
            <v>45455</v>
          </cell>
          <cell r="V7381">
            <v>45456</v>
          </cell>
          <cell r="W7381">
            <v>45456</v>
          </cell>
          <cell r="X7381">
            <v>41100318</v>
          </cell>
        </row>
        <row r="7382">
          <cell r="K7382" t="str">
            <v>GBWS-4640</v>
          </cell>
          <cell r="L7382">
            <v>45461</v>
          </cell>
          <cell r="M7382">
            <v>45462</v>
          </cell>
          <cell r="N7382">
            <v>45470</v>
          </cell>
          <cell r="O7382">
            <v>45462</v>
          </cell>
          <cell r="P7382">
            <v>45471</v>
          </cell>
          <cell r="Q7382">
            <v>45470</v>
          </cell>
          <cell r="R7382">
            <v>45471</v>
          </cell>
          <cell r="S7382">
            <v>45476</v>
          </cell>
          <cell r="T7382">
            <v>45476</v>
          </cell>
          <cell r="U7382">
            <v>45477</v>
          </cell>
          <cell r="V7382">
            <v>45478</v>
          </cell>
          <cell r="W7382">
            <v>45478</v>
          </cell>
          <cell r="X7382">
            <v>41100372</v>
          </cell>
        </row>
        <row r="7383">
          <cell r="K7383" t="str">
            <v>GBWS-4750</v>
          </cell>
          <cell r="L7383">
            <v>45496</v>
          </cell>
          <cell r="M7383">
            <v>45497</v>
          </cell>
          <cell r="N7383">
            <v>45503</v>
          </cell>
          <cell r="O7383">
            <v>45497</v>
          </cell>
          <cell r="P7383">
            <v>45504</v>
          </cell>
          <cell r="Q7383">
            <v>45503</v>
          </cell>
          <cell r="R7383">
            <v>45504</v>
          </cell>
          <cell r="S7383">
            <v>45506</v>
          </cell>
          <cell r="T7383">
            <v>45509</v>
          </cell>
          <cell r="U7383">
            <v>45511</v>
          </cell>
          <cell r="V7383">
            <v>45511</v>
          </cell>
          <cell r="W7383">
            <v>45511</v>
          </cell>
          <cell r="X7383">
            <v>41100334</v>
          </cell>
        </row>
        <row r="7384">
          <cell r="K7384" t="str">
            <v>GBWS-4751</v>
          </cell>
          <cell r="L7384">
            <v>45496</v>
          </cell>
          <cell r="M7384">
            <v>45497</v>
          </cell>
          <cell r="N7384">
            <v>45504</v>
          </cell>
          <cell r="O7384">
            <v>45497</v>
          </cell>
          <cell r="P7384">
            <v>45505</v>
          </cell>
          <cell r="Q7384">
            <v>45504</v>
          </cell>
          <cell r="R7384">
            <v>45505</v>
          </cell>
          <cell r="S7384">
            <v>45506</v>
          </cell>
          <cell r="T7384">
            <v>45509</v>
          </cell>
          <cell r="U7384">
            <v>45511</v>
          </cell>
          <cell r="V7384">
            <v>45511</v>
          </cell>
          <cell r="W7384">
            <v>45511</v>
          </cell>
          <cell r="X7384">
            <v>41100363</v>
          </cell>
        </row>
        <row r="7385">
          <cell r="K7385" t="str">
            <v>GBWS-4753</v>
          </cell>
          <cell r="L7385">
            <v>45496</v>
          </cell>
          <cell r="M7385">
            <v>45497</v>
          </cell>
          <cell r="N7385">
            <v>45503</v>
          </cell>
          <cell r="O7385">
            <v>45497</v>
          </cell>
          <cell r="P7385">
            <v>45504</v>
          </cell>
          <cell r="Q7385">
            <v>45503</v>
          </cell>
          <cell r="R7385">
            <v>45504</v>
          </cell>
          <cell r="S7385">
            <v>45504</v>
          </cell>
          <cell r="T7385">
            <v>45510</v>
          </cell>
          <cell r="U7385">
            <v>45512</v>
          </cell>
          <cell r="V7385">
            <v>45512</v>
          </cell>
          <cell r="W7385">
            <v>45512</v>
          </cell>
          <cell r="X7385">
            <v>41100372</v>
          </cell>
        </row>
        <row r="7386">
          <cell r="K7386" t="str">
            <v>GBWS-4877</v>
          </cell>
          <cell r="L7386">
            <v>45533</v>
          </cell>
          <cell r="M7386">
            <v>45534</v>
          </cell>
          <cell r="N7386">
            <v>45541</v>
          </cell>
          <cell r="O7386">
            <v>45534</v>
          </cell>
          <cell r="P7386">
            <v>45544</v>
          </cell>
          <cell r="Q7386">
            <v>45541</v>
          </cell>
          <cell r="R7386">
            <v>45544</v>
          </cell>
          <cell r="S7386">
            <v>45545</v>
          </cell>
          <cell r="T7386">
            <v>45546</v>
          </cell>
          <cell r="U7386">
            <v>45547</v>
          </cell>
          <cell r="V7386">
            <v>45548</v>
          </cell>
          <cell r="W7386">
            <v>45548</v>
          </cell>
          <cell r="X7386">
            <v>41100318</v>
          </cell>
        </row>
        <row r="7387">
          <cell r="K7387" t="str">
            <v>WS-0073</v>
          </cell>
          <cell r="L7387">
            <v>44909</v>
          </cell>
          <cell r="M7387">
            <v>44910</v>
          </cell>
          <cell r="N7387">
            <v>44922</v>
          </cell>
          <cell r="O7387">
            <v>44910</v>
          </cell>
          <cell r="P7387">
            <v>44918</v>
          </cell>
          <cell r="Q7387">
            <v>44921</v>
          </cell>
          <cell r="R7387">
            <v>44921</v>
          </cell>
          <cell r="S7387"/>
          <cell r="T7387">
            <v>44923</v>
          </cell>
          <cell r="U7387">
            <v>44929</v>
          </cell>
          <cell r="V7387">
            <v>44930</v>
          </cell>
          <cell r="W7387">
            <v>44930</v>
          </cell>
          <cell r="X7387">
            <v>41100615</v>
          </cell>
        </row>
        <row r="7388">
          <cell r="K7388" t="str">
            <v>WS-0076</v>
          </cell>
          <cell r="L7388">
            <v>44921</v>
          </cell>
          <cell r="M7388" t="str">
            <v>2022-12-22 → 12/27</v>
          </cell>
          <cell r="N7388">
            <v>44931</v>
          </cell>
          <cell r="O7388" t="str">
            <v>2022-12-22 → 12/27</v>
          </cell>
          <cell r="P7388">
            <v>44931</v>
          </cell>
          <cell r="Q7388" t="str">
            <v>2023-01-03 → 01/05</v>
          </cell>
          <cell r="R7388" t="str">
            <v>2023-01-03 → 01/05</v>
          </cell>
          <cell r="S7388"/>
          <cell r="T7388">
            <v>44935</v>
          </cell>
          <cell r="U7388">
            <v>44936</v>
          </cell>
          <cell r="V7388">
            <v>44936</v>
          </cell>
          <cell r="W7388">
            <v>44937</v>
          </cell>
          <cell r="X7388">
            <v>41100615</v>
          </cell>
        </row>
        <row r="7389">
          <cell r="K7389" t="str">
            <v>GBWS-3949</v>
          </cell>
          <cell r="L7389">
            <v>45271</v>
          </cell>
          <cell r="M7389">
            <v>45272</v>
          </cell>
          <cell r="N7389">
            <v>45278</v>
          </cell>
          <cell r="O7389">
            <v>45272</v>
          </cell>
          <cell r="P7389">
            <v>45279</v>
          </cell>
          <cell r="Q7389">
            <v>45278</v>
          </cell>
          <cell r="R7389">
            <v>45279</v>
          </cell>
          <cell r="S7389">
            <v>45280</v>
          </cell>
          <cell r="T7389">
            <v>45280</v>
          </cell>
          <cell r="U7389">
            <v>45287</v>
          </cell>
          <cell r="V7389">
            <v>45299</v>
          </cell>
          <cell r="W7389">
            <v>45299</v>
          </cell>
          <cell r="X7389">
            <v>41000560</v>
          </cell>
        </row>
        <row r="7390">
          <cell r="K7390"/>
          <cell r="L7390">
            <v>45328</v>
          </cell>
          <cell r="M7390">
            <v>45328</v>
          </cell>
          <cell r="N7390">
            <v>45336</v>
          </cell>
          <cell r="O7390">
            <v>45328</v>
          </cell>
          <cell r="P7390">
            <v>45337</v>
          </cell>
          <cell r="Q7390">
            <v>45337</v>
          </cell>
          <cell r="R7390">
            <v>45337</v>
          </cell>
          <cell r="S7390">
            <v>45344</v>
          </cell>
          <cell r="T7390">
            <v>45345</v>
          </cell>
          <cell r="U7390">
            <v>45345</v>
          </cell>
          <cell r="V7390">
            <v>45348</v>
          </cell>
          <cell r="W7390">
            <v>45348</v>
          </cell>
          <cell r="X7390">
            <v>41000560</v>
          </cell>
        </row>
        <row r="7391">
          <cell r="K7391" t="str">
            <v>GBWS-3433</v>
          </cell>
          <cell r="L7391">
            <v>45076</v>
          </cell>
          <cell r="M7391" t="str">
            <v>2023-06-12 → 5/31</v>
          </cell>
          <cell r="N7391">
            <v>45082</v>
          </cell>
          <cell r="O7391" t="str">
            <v>2023-06-12 → 5/31</v>
          </cell>
          <cell r="P7391">
            <v>45084</v>
          </cell>
          <cell r="Q7391" t="str">
            <v>2023-06-19 → 6/5</v>
          </cell>
          <cell r="R7391" t="str">
            <v>2023-06-19 → 6/5</v>
          </cell>
          <cell r="S7391">
            <v>45084</v>
          </cell>
          <cell r="T7391">
            <v>45084</v>
          </cell>
          <cell r="U7391">
            <v>45085</v>
          </cell>
          <cell r="V7391">
            <v>45085</v>
          </cell>
          <cell r="W7391">
            <v>45085</v>
          </cell>
          <cell r="X7391">
            <v>41100704</v>
          </cell>
        </row>
        <row r="7392">
          <cell r="K7392" t="str">
            <v>GBWS-4283</v>
          </cell>
          <cell r="L7392">
            <v>45364</v>
          </cell>
          <cell r="M7392">
            <v>45365</v>
          </cell>
          <cell r="N7392">
            <v>45372</v>
          </cell>
          <cell r="O7392">
            <v>45365</v>
          </cell>
          <cell r="P7392">
            <v>45372</v>
          </cell>
          <cell r="Q7392">
            <v>45372</v>
          </cell>
          <cell r="R7392">
            <v>45372</v>
          </cell>
          <cell r="S7392">
            <v>45376</v>
          </cell>
          <cell r="T7392">
            <v>45377</v>
          </cell>
          <cell r="U7392">
            <v>45379</v>
          </cell>
          <cell r="V7392">
            <v>45379</v>
          </cell>
          <cell r="W7392">
            <v>45379</v>
          </cell>
          <cell r="X7392">
            <v>41100704</v>
          </cell>
        </row>
        <row r="7393">
          <cell r="K7393" t="str">
            <v>GBWS-4284</v>
          </cell>
          <cell r="L7393">
            <v>45364</v>
          </cell>
          <cell r="M7393">
            <v>45365</v>
          </cell>
          <cell r="N7393">
            <v>45372</v>
          </cell>
          <cell r="O7393">
            <v>45365</v>
          </cell>
          <cell r="P7393">
            <v>45372</v>
          </cell>
          <cell r="Q7393">
            <v>45372</v>
          </cell>
          <cell r="R7393">
            <v>45372</v>
          </cell>
          <cell r="S7393">
            <v>45376</v>
          </cell>
          <cell r="T7393">
            <v>45377</v>
          </cell>
          <cell r="U7393">
            <v>45379</v>
          </cell>
          <cell r="V7393">
            <v>45379</v>
          </cell>
          <cell r="W7393">
            <v>45379</v>
          </cell>
          <cell r="X7393">
            <v>41100704</v>
          </cell>
        </row>
        <row r="7394">
          <cell r="K7394" t="str">
            <v>GBWS-3267</v>
          </cell>
          <cell r="L7394">
            <v>45005</v>
          </cell>
          <cell r="M7394">
            <v>45006</v>
          </cell>
          <cell r="N7394">
            <v>45014</v>
          </cell>
          <cell r="O7394">
            <v>45006</v>
          </cell>
          <cell r="P7394">
            <v>45013</v>
          </cell>
          <cell r="Q7394">
            <v>45015</v>
          </cell>
          <cell r="R7394">
            <v>45015</v>
          </cell>
          <cell r="S7394">
            <v>45014</v>
          </cell>
          <cell r="T7394">
            <v>45014</v>
          </cell>
          <cell r="U7394">
            <v>45020</v>
          </cell>
          <cell r="V7394">
            <v>45021</v>
          </cell>
          <cell r="W7394">
            <v>45022</v>
          </cell>
          <cell r="X7394">
            <v>41100617</v>
          </cell>
        </row>
        <row r="7395">
          <cell r="K7395" t="str">
            <v>GBWS-4578</v>
          </cell>
          <cell r="L7395">
            <v>45439</v>
          </cell>
          <cell r="M7395">
            <v>45440</v>
          </cell>
          <cell r="N7395">
            <v>45446</v>
          </cell>
          <cell r="O7395">
            <v>45440</v>
          </cell>
          <cell r="P7395">
            <v>45447</v>
          </cell>
          <cell r="Q7395">
            <v>45446</v>
          </cell>
          <cell r="R7395">
            <v>45447</v>
          </cell>
          <cell r="S7395">
            <v>45457</v>
          </cell>
          <cell r="T7395">
            <v>45460</v>
          </cell>
          <cell r="U7395">
            <v>45461</v>
          </cell>
          <cell r="V7395">
            <v>45462</v>
          </cell>
          <cell r="W7395">
            <v>45462</v>
          </cell>
          <cell r="X7395">
            <v>41100509</v>
          </cell>
        </row>
        <row r="7396">
          <cell r="K7396" t="str">
            <v>GBWS-4712</v>
          </cell>
          <cell r="L7396">
            <v>45482</v>
          </cell>
          <cell r="M7396">
            <v>45483</v>
          </cell>
          <cell r="N7396">
            <v>45490</v>
          </cell>
          <cell r="O7396">
            <v>45483</v>
          </cell>
          <cell r="P7396">
            <v>45491</v>
          </cell>
          <cell r="Q7396">
            <v>45490</v>
          </cell>
          <cell r="R7396">
            <v>45491</v>
          </cell>
          <cell r="S7396">
            <v>45496</v>
          </cell>
          <cell r="T7396">
            <v>45497</v>
          </cell>
          <cell r="U7396">
            <v>45499</v>
          </cell>
          <cell r="V7396">
            <v>45499</v>
          </cell>
          <cell r="W7396">
            <v>45499</v>
          </cell>
          <cell r="X7396">
            <v>41100460</v>
          </cell>
        </row>
        <row r="7397">
          <cell r="K7397" t="str">
            <v>GBWS-4759</v>
          </cell>
          <cell r="L7397">
            <v>45498</v>
          </cell>
          <cell r="M7397">
            <v>45499</v>
          </cell>
          <cell r="N7397">
            <v>45506</v>
          </cell>
          <cell r="O7397">
            <v>45499</v>
          </cell>
          <cell r="P7397">
            <v>45509</v>
          </cell>
          <cell r="Q7397">
            <v>45506</v>
          </cell>
          <cell r="R7397">
            <v>45509</v>
          </cell>
          <cell r="S7397">
            <v>45510</v>
          </cell>
          <cell r="T7397">
            <v>45511</v>
          </cell>
          <cell r="U7397">
            <v>45513</v>
          </cell>
          <cell r="V7397">
            <v>45513</v>
          </cell>
          <cell r="W7397">
            <v>45513</v>
          </cell>
          <cell r="X7397">
            <v>41100507</v>
          </cell>
        </row>
        <row r="7398">
          <cell r="K7398" t="str">
            <v>GBWS-4805</v>
          </cell>
          <cell r="L7398">
            <v>45510</v>
          </cell>
          <cell r="M7398">
            <v>45511</v>
          </cell>
          <cell r="N7398">
            <v>45518</v>
          </cell>
          <cell r="O7398">
            <v>45511</v>
          </cell>
          <cell r="P7398">
            <v>45520</v>
          </cell>
          <cell r="Q7398">
            <v>45518</v>
          </cell>
          <cell r="R7398">
            <v>45520</v>
          </cell>
          <cell r="S7398">
            <v>45523</v>
          </cell>
          <cell r="T7398">
            <v>45524</v>
          </cell>
          <cell r="U7398">
            <v>45525</v>
          </cell>
          <cell r="V7398">
            <v>45526</v>
          </cell>
          <cell r="W7398">
            <v>45526</v>
          </cell>
          <cell r="X7398">
            <v>41200003</v>
          </cell>
        </row>
        <row r="7399">
          <cell r="K7399" t="str">
            <v>MMD-0072,0073</v>
          </cell>
          <cell r="L7399">
            <v>45364</v>
          </cell>
          <cell r="M7399">
            <v>45365</v>
          </cell>
          <cell r="N7399">
            <v>45372</v>
          </cell>
          <cell r="O7399">
            <v>45365</v>
          </cell>
          <cell r="P7399">
            <v>45372</v>
          </cell>
          <cell r="Q7399">
            <v>45369</v>
          </cell>
          <cell r="R7399">
            <v>45369</v>
          </cell>
          <cell r="S7399">
            <v>45377</v>
          </cell>
          <cell r="T7399">
            <v>45378</v>
          </cell>
          <cell r="U7399">
            <v>45379</v>
          </cell>
          <cell r="V7399">
            <v>45379</v>
          </cell>
          <cell r="W7399">
            <v>45379</v>
          </cell>
          <cell r="X7399">
            <v>31102402</v>
          </cell>
        </row>
        <row r="7400">
          <cell r="K7400" t="str">
            <v>IVAS-187</v>
          </cell>
          <cell r="L7400">
            <v>44951</v>
          </cell>
          <cell r="M7400" t="str">
            <v>2023-01-11 → 1/26</v>
          </cell>
          <cell r="N7400">
            <v>44965</v>
          </cell>
          <cell r="O7400" t="str">
            <v>2023-01-11 → 1/26</v>
          </cell>
          <cell r="P7400">
            <v>44965</v>
          </cell>
          <cell r="Q7400" t="str">
            <v>2023-01-27 → 23/02/06 → 2/7</v>
          </cell>
          <cell r="R7400" t="str">
            <v>2023-01-27 → 23/02/06 → 2/7</v>
          </cell>
          <cell r="S7400">
            <v>44965</v>
          </cell>
          <cell r="T7400">
            <v>44966</v>
          </cell>
          <cell r="U7400">
            <v>44980</v>
          </cell>
          <cell r="V7400">
            <v>44980</v>
          </cell>
          <cell r="W7400">
            <v>44980</v>
          </cell>
          <cell r="X7400">
            <v>41100383</v>
          </cell>
        </row>
        <row r="7401">
          <cell r="K7401" t="str">
            <v>IVAS-232</v>
          </cell>
          <cell r="L7401">
            <v>45194</v>
          </cell>
          <cell r="M7401">
            <v>45195</v>
          </cell>
          <cell r="N7401">
            <v>45209</v>
          </cell>
          <cell r="O7401">
            <v>45195</v>
          </cell>
          <cell r="P7401">
            <v>45217</v>
          </cell>
          <cell r="Q7401">
            <v>45211</v>
          </cell>
          <cell r="R7401" t="str">
            <v>2023-10-13 → 10/16</v>
          </cell>
          <cell r="S7401">
            <v>45217</v>
          </cell>
          <cell r="T7401">
            <v>45217</v>
          </cell>
          <cell r="U7401">
            <v>45224</v>
          </cell>
          <cell r="V7401">
            <v>45225</v>
          </cell>
          <cell r="W7401">
            <v>45225</v>
          </cell>
          <cell r="X7401">
            <v>41000529</v>
          </cell>
        </row>
        <row r="7402">
          <cell r="K7402" t="str">
            <v>IVAS-249</v>
          </cell>
          <cell r="L7402">
            <v>45450</v>
          </cell>
          <cell r="M7402">
            <v>45453</v>
          </cell>
          <cell r="N7402">
            <v>45461</v>
          </cell>
          <cell r="O7402">
            <v>45453</v>
          </cell>
          <cell r="P7402">
            <v>45462</v>
          </cell>
          <cell r="Q7402">
            <v>45461</v>
          </cell>
          <cell r="R7402">
            <v>45462</v>
          </cell>
          <cell r="S7402">
            <v>45463</v>
          </cell>
          <cell r="T7402">
            <v>45464</v>
          </cell>
          <cell r="U7402">
            <v>45471</v>
          </cell>
          <cell r="V7402">
            <v>45474</v>
          </cell>
          <cell r="W7402">
            <v>45474</v>
          </cell>
          <cell r="X7402">
            <v>41200017</v>
          </cell>
        </row>
        <row r="7403">
          <cell r="K7403" t="str">
            <v>IVAS-256</v>
          </cell>
          <cell r="L7403">
            <v>45492</v>
          </cell>
          <cell r="M7403">
            <v>45495</v>
          </cell>
          <cell r="N7403">
            <v>45502</v>
          </cell>
          <cell r="O7403">
            <v>45495</v>
          </cell>
          <cell r="P7403">
            <v>45503</v>
          </cell>
          <cell r="Q7403" t="str">
            <v>2024-07-31 → 7/29</v>
          </cell>
          <cell r="R7403" t="str">
            <v>2024-08-01 → 7/30</v>
          </cell>
          <cell r="S7403">
            <v>45503</v>
          </cell>
          <cell r="T7403">
            <v>45503</v>
          </cell>
          <cell r="U7403">
            <v>45512</v>
          </cell>
          <cell r="V7403">
            <v>45512</v>
          </cell>
          <cell r="W7403">
            <v>45512</v>
          </cell>
          <cell r="X7403">
            <v>41200026</v>
          </cell>
        </row>
        <row r="7404">
          <cell r="K7404" t="str">
            <v>RT-0021</v>
          </cell>
          <cell r="L7404">
            <v>45103</v>
          </cell>
          <cell r="M7404">
            <v>45104</v>
          </cell>
          <cell r="N7404">
            <v>45149</v>
          </cell>
          <cell r="O7404">
            <v>45104</v>
          </cell>
          <cell r="P7404">
            <v>45149</v>
          </cell>
          <cell r="Q7404">
            <v>45119</v>
          </cell>
          <cell r="R7404">
            <v>45120</v>
          </cell>
          <cell r="S7404">
            <v>45152</v>
          </cell>
          <cell r="T7404">
            <v>45152</v>
          </cell>
          <cell r="U7404">
            <v>45163</v>
          </cell>
          <cell r="V7404">
            <v>45181</v>
          </cell>
          <cell r="W7404">
            <v>45181</v>
          </cell>
          <cell r="X7404">
            <v>31102723</v>
          </cell>
        </row>
        <row r="7405">
          <cell r="K7405" t="str">
            <v>RT-0022,0023</v>
          </cell>
          <cell r="L7405">
            <v>45103</v>
          </cell>
          <cell r="M7405">
            <v>45104</v>
          </cell>
          <cell r="N7405">
            <v>45149</v>
          </cell>
          <cell r="O7405">
            <v>45104</v>
          </cell>
          <cell r="P7405">
            <v>45149</v>
          </cell>
          <cell r="Q7405">
            <v>45119</v>
          </cell>
          <cell r="R7405">
            <v>45120</v>
          </cell>
          <cell r="S7405">
            <v>45152</v>
          </cell>
          <cell r="T7405">
            <v>45152</v>
          </cell>
          <cell r="U7405">
            <v>45163</v>
          </cell>
          <cell r="V7405">
            <v>45181</v>
          </cell>
          <cell r="W7405">
            <v>45181</v>
          </cell>
          <cell r="X7405">
            <v>31102723</v>
          </cell>
        </row>
        <row r="7406">
          <cell r="K7406" t="str">
            <v>-</v>
          </cell>
          <cell r="L7406">
            <v>44973</v>
          </cell>
          <cell r="M7406">
            <v>44974</v>
          </cell>
          <cell r="N7406">
            <v>44978</v>
          </cell>
          <cell r="O7406">
            <v>44974</v>
          </cell>
          <cell r="P7406">
            <v>44978</v>
          </cell>
          <cell r="Q7406">
            <v>44978</v>
          </cell>
          <cell r="R7406">
            <v>44978</v>
          </cell>
          <cell r="S7406"/>
          <cell r="T7406">
            <v>44991</v>
          </cell>
          <cell r="U7406">
            <v>44991</v>
          </cell>
          <cell r="V7406">
            <v>44991</v>
          </cell>
          <cell r="W7406">
            <v>44991</v>
          </cell>
          <cell r="X7406">
            <v>31100994</v>
          </cell>
        </row>
        <row r="7407">
          <cell r="K7407"/>
          <cell r="L7407">
            <v>45174</v>
          </cell>
          <cell r="M7407">
            <v>45175</v>
          </cell>
          <cell r="N7407">
            <v>45176</v>
          </cell>
          <cell r="O7407">
            <v>45175</v>
          </cell>
          <cell r="P7407">
            <v>45176</v>
          </cell>
          <cell r="Q7407">
            <v>45177</v>
          </cell>
          <cell r="R7407">
            <v>45177</v>
          </cell>
          <cell r="S7407">
            <v>45181</v>
          </cell>
          <cell r="T7407">
            <v>45181</v>
          </cell>
          <cell r="U7407">
            <v>45188</v>
          </cell>
          <cell r="V7407">
            <v>45188</v>
          </cell>
          <cell r="W7407">
            <v>45188</v>
          </cell>
          <cell r="X7407">
            <v>31100994</v>
          </cell>
        </row>
        <row r="7408">
          <cell r="K7408" t="str">
            <v>GPWS-0261</v>
          </cell>
          <cell r="L7408">
            <v>45072</v>
          </cell>
          <cell r="M7408">
            <v>45076</v>
          </cell>
          <cell r="N7408">
            <v>45084</v>
          </cell>
          <cell r="O7408">
            <v>45076</v>
          </cell>
          <cell r="P7408">
            <v>45085</v>
          </cell>
          <cell r="Q7408">
            <v>45085</v>
          </cell>
          <cell r="R7408">
            <v>45086</v>
          </cell>
          <cell r="S7408">
            <v>45086</v>
          </cell>
          <cell r="T7408">
            <v>45087</v>
          </cell>
          <cell r="U7408">
            <v>45092</v>
          </cell>
          <cell r="V7408">
            <v>45093</v>
          </cell>
          <cell r="W7408">
            <v>45093</v>
          </cell>
          <cell r="X7408">
            <v>41100678</v>
          </cell>
        </row>
        <row r="7409">
          <cell r="K7409" t="str">
            <v>MMD-0074</v>
          </cell>
          <cell r="L7409">
            <v>45376</v>
          </cell>
          <cell r="M7409">
            <v>45377</v>
          </cell>
          <cell r="N7409">
            <v>45379</v>
          </cell>
          <cell r="O7409">
            <v>45377</v>
          </cell>
          <cell r="P7409">
            <v>45379</v>
          </cell>
          <cell r="Q7409">
            <v>45378</v>
          </cell>
          <cell r="R7409">
            <v>45378</v>
          </cell>
          <cell r="S7409">
            <v>45380</v>
          </cell>
          <cell r="T7409">
            <v>45380</v>
          </cell>
          <cell r="U7409">
            <v>45380</v>
          </cell>
          <cell r="V7409">
            <v>45380</v>
          </cell>
          <cell r="W7409">
            <v>45387</v>
          </cell>
          <cell r="X7409">
            <v>31102402</v>
          </cell>
        </row>
        <row r="7410">
          <cell r="K7410" t="str">
            <v>MMD-0038,0039</v>
          </cell>
          <cell r="L7410">
            <v>44829</v>
          </cell>
          <cell r="M7410">
            <v>44830</v>
          </cell>
          <cell r="N7410">
            <v>44832</v>
          </cell>
          <cell r="O7410">
            <v>44830</v>
          </cell>
          <cell r="P7410">
            <v>44832</v>
          </cell>
          <cell r="Q7410">
            <v>44832</v>
          </cell>
          <cell r="R7410">
            <v>44832</v>
          </cell>
          <cell r="S7410"/>
          <cell r="T7410">
            <v>44839</v>
          </cell>
          <cell r="U7410">
            <v>44845</v>
          </cell>
          <cell r="V7410">
            <v>44862</v>
          </cell>
          <cell r="W7410">
            <v>44862</v>
          </cell>
          <cell r="X7410">
            <v>31102402</v>
          </cell>
        </row>
        <row r="7411">
          <cell r="K7411" t="str">
            <v>MMD-0078~0080</v>
          </cell>
          <cell r="L7411">
            <v>45475</v>
          </cell>
          <cell r="M7411">
            <v>45476</v>
          </cell>
          <cell r="N7411">
            <v>45476</v>
          </cell>
          <cell r="O7411">
            <v>45476</v>
          </cell>
          <cell r="P7411">
            <v>45476</v>
          </cell>
          <cell r="Q7411">
            <v>45478</v>
          </cell>
          <cell r="R7411">
            <v>45478</v>
          </cell>
          <cell r="S7411">
            <v>45477</v>
          </cell>
          <cell r="T7411">
            <v>45477</v>
          </cell>
          <cell r="U7411">
            <v>45488</v>
          </cell>
          <cell r="V7411">
            <v>45488</v>
          </cell>
          <cell r="W7411">
            <v>45488</v>
          </cell>
          <cell r="X7411">
            <v>31102402</v>
          </cell>
        </row>
        <row r="7412">
          <cell r="K7412" t="str">
            <v>2102-049</v>
          </cell>
          <cell r="L7412">
            <v>44971</v>
          </cell>
          <cell r="M7412">
            <v>44971</v>
          </cell>
          <cell r="N7412">
            <v>44971</v>
          </cell>
          <cell r="O7412">
            <v>44971</v>
          </cell>
          <cell r="P7412">
            <v>44971</v>
          </cell>
          <cell r="Q7412">
            <v>44971</v>
          </cell>
          <cell r="R7412">
            <v>44971</v>
          </cell>
          <cell r="S7412"/>
          <cell r="T7412">
            <v>44971</v>
          </cell>
          <cell r="U7412">
            <v>44972</v>
          </cell>
          <cell r="V7412">
            <v>44973</v>
          </cell>
          <cell r="W7412">
            <v>44973</v>
          </cell>
          <cell r="X7412" t="str">
            <v>-</v>
          </cell>
        </row>
        <row r="7413">
          <cell r="K7413" t="str">
            <v>2102-050</v>
          </cell>
          <cell r="L7413">
            <v>44971</v>
          </cell>
          <cell r="M7413">
            <v>44971</v>
          </cell>
          <cell r="N7413">
            <v>44971</v>
          </cell>
          <cell r="O7413">
            <v>44971</v>
          </cell>
          <cell r="P7413">
            <v>44971</v>
          </cell>
          <cell r="Q7413">
            <v>44971</v>
          </cell>
          <cell r="R7413">
            <v>44971</v>
          </cell>
          <cell r="S7413"/>
          <cell r="T7413">
            <v>44971</v>
          </cell>
          <cell r="U7413">
            <v>44972</v>
          </cell>
          <cell r="V7413">
            <v>44983</v>
          </cell>
          <cell r="W7413">
            <v>44973</v>
          </cell>
          <cell r="X7413" t="str">
            <v>-</v>
          </cell>
        </row>
        <row r="7414">
          <cell r="K7414" t="str">
            <v>2102-050</v>
          </cell>
          <cell r="L7414">
            <v>45054</v>
          </cell>
          <cell r="M7414">
            <v>45054</v>
          </cell>
          <cell r="N7414">
            <v>45054</v>
          </cell>
          <cell r="O7414">
            <v>45054</v>
          </cell>
          <cell r="P7414">
            <v>45054</v>
          </cell>
          <cell r="Q7414">
            <v>45054</v>
          </cell>
          <cell r="R7414">
            <v>45054</v>
          </cell>
          <cell r="S7414">
            <v>45054</v>
          </cell>
          <cell r="T7414">
            <v>45054</v>
          </cell>
          <cell r="U7414">
            <v>45078</v>
          </cell>
          <cell r="V7414">
            <v>45078</v>
          </cell>
          <cell r="W7414">
            <v>45078</v>
          </cell>
          <cell r="X7414" t="str">
            <v>-</v>
          </cell>
        </row>
        <row r="7415">
          <cell r="K7415" t="str">
            <v>2102-049</v>
          </cell>
          <cell r="L7415">
            <v>45076</v>
          </cell>
          <cell r="M7415">
            <v>45076</v>
          </cell>
          <cell r="N7415">
            <v>45076</v>
          </cell>
          <cell r="O7415">
            <v>45076</v>
          </cell>
          <cell r="P7415">
            <v>45076</v>
          </cell>
          <cell r="Q7415">
            <v>45076</v>
          </cell>
          <cell r="R7415">
            <v>45076</v>
          </cell>
          <cell r="S7415">
            <v>45076</v>
          </cell>
          <cell r="T7415">
            <v>45076</v>
          </cell>
          <cell r="U7415">
            <v>45078</v>
          </cell>
          <cell r="V7415">
            <v>45078</v>
          </cell>
          <cell r="W7415">
            <v>45078</v>
          </cell>
          <cell r="X7415" t="str">
            <v>-</v>
          </cell>
        </row>
        <row r="7416">
          <cell r="K7416"/>
          <cell r="L7416">
            <v>45071</v>
          </cell>
          <cell r="M7416">
            <v>45071</v>
          </cell>
          <cell r="N7416">
            <v>45078</v>
          </cell>
          <cell r="O7416">
            <v>45071</v>
          </cell>
          <cell r="P7416">
            <v>45078</v>
          </cell>
          <cell r="Q7416">
            <v>45078</v>
          </cell>
          <cell r="R7416">
            <v>45078</v>
          </cell>
          <cell r="S7416"/>
          <cell r="T7416"/>
          <cell r="U7416"/>
          <cell r="V7416"/>
          <cell r="W7416"/>
          <cell r="X7416">
            <v>31102766</v>
          </cell>
        </row>
        <row r="7417">
          <cell r="K7417"/>
          <cell r="L7417">
            <v>45239</v>
          </cell>
          <cell r="M7417" t="str">
            <v>2023-11-07 → 11/10</v>
          </cell>
          <cell r="N7417">
            <v>45252</v>
          </cell>
          <cell r="O7417" t="str">
            <v>2023-11-07 → 11/10</v>
          </cell>
          <cell r="P7417">
            <v>45252</v>
          </cell>
          <cell r="Q7417" t="str">
            <v>2023-11-14 → 11/17</v>
          </cell>
          <cell r="R7417" t="str">
            <v>2023-11-15 → 11/20</v>
          </cell>
          <cell r="S7417">
            <v>45313</v>
          </cell>
          <cell r="T7417">
            <v>45313</v>
          </cell>
          <cell r="U7417">
            <v>45313</v>
          </cell>
          <cell r="V7417">
            <v>45313</v>
          </cell>
          <cell r="W7417">
            <v>45313</v>
          </cell>
          <cell r="X7417">
            <v>31010654</v>
          </cell>
        </row>
        <row r="7418">
          <cell r="K7418"/>
          <cell r="L7418">
            <v>45239</v>
          </cell>
          <cell r="M7418" t="str">
            <v>2023-11-07 → 11/10</v>
          </cell>
          <cell r="N7418">
            <v>45252</v>
          </cell>
          <cell r="O7418" t="str">
            <v>2023-11-07 → 11/10</v>
          </cell>
          <cell r="P7418">
            <v>45252</v>
          </cell>
          <cell r="Q7418" t="str">
            <v>2023-11-14 → 11/17</v>
          </cell>
          <cell r="R7418" t="str">
            <v>2023-11-15 → 11/20</v>
          </cell>
          <cell r="S7418">
            <v>45313</v>
          </cell>
          <cell r="T7418">
            <v>45313</v>
          </cell>
          <cell r="U7418">
            <v>45313</v>
          </cell>
          <cell r="V7418">
            <v>45313</v>
          </cell>
          <cell r="W7418">
            <v>45313</v>
          </cell>
          <cell r="X7418">
            <v>31010655</v>
          </cell>
        </row>
        <row r="7419">
          <cell r="K7419" t="str">
            <v>-</v>
          </cell>
          <cell r="L7419">
            <v>45428</v>
          </cell>
          <cell r="M7419" t="str">
            <v>2024-05-16 → 7/25</v>
          </cell>
          <cell r="N7419">
            <v>45523</v>
          </cell>
          <cell r="O7419" t="str">
            <v>2024-05-16 → 7/25</v>
          </cell>
          <cell r="P7419">
            <v>45517</v>
          </cell>
          <cell r="Q7419" t="str">
            <v>2024-05-22 → 8/2</v>
          </cell>
          <cell r="R7419" t="str">
            <v>2024-05-22 → 8/2</v>
          </cell>
          <cell r="S7419">
            <v>45526</v>
          </cell>
          <cell r="T7419">
            <v>45526</v>
          </cell>
          <cell r="U7419">
            <v>45526</v>
          </cell>
          <cell r="V7419">
            <v>45526</v>
          </cell>
          <cell r="W7419">
            <v>45526</v>
          </cell>
          <cell r="X7419">
            <v>31010652</v>
          </cell>
        </row>
        <row r="7420">
          <cell r="K7420" t="str">
            <v>-</v>
          </cell>
          <cell r="L7420">
            <v>45434</v>
          </cell>
          <cell r="M7420" t="str">
            <v>2024-05-22 → 7/25</v>
          </cell>
          <cell r="N7420">
            <v>45523</v>
          </cell>
          <cell r="O7420" t="str">
            <v>2024-05-22 → 7/25</v>
          </cell>
          <cell r="P7420">
            <v>45517</v>
          </cell>
          <cell r="Q7420" t="str">
            <v>2024-05-28 → 8/2</v>
          </cell>
          <cell r="R7420" t="str">
            <v>2024-05-28 → 8/2</v>
          </cell>
          <cell r="S7420">
            <v>45526</v>
          </cell>
          <cell r="T7420">
            <v>45526</v>
          </cell>
          <cell r="U7420">
            <v>45526</v>
          </cell>
          <cell r="V7420">
            <v>45526</v>
          </cell>
          <cell r="W7420">
            <v>45526</v>
          </cell>
          <cell r="X7420">
            <v>31010653</v>
          </cell>
        </row>
        <row r="7421">
          <cell r="K7421" t="str">
            <v>-</v>
          </cell>
          <cell r="L7421">
            <v>45439</v>
          </cell>
          <cell r="M7421" t="str">
            <v>2024-05-27 → 7/30</v>
          </cell>
          <cell r="N7421">
            <v>45523</v>
          </cell>
          <cell r="O7421" t="str">
            <v>2024-05-27 → 7/30</v>
          </cell>
          <cell r="P7421">
            <v>45517</v>
          </cell>
          <cell r="Q7421" t="str">
            <v>2024-06-04 → 8/8</v>
          </cell>
          <cell r="R7421" t="str">
            <v>2024-06-04 → 8/8</v>
          </cell>
          <cell r="S7421">
            <v>45526</v>
          </cell>
          <cell r="T7421">
            <v>45526</v>
          </cell>
          <cell r="U7421">
            <v>45526</v>
          </cell>
          <cell r="V7421">
            <v>45526</v>
          </cell>
          <cell r="W7421">
            <v>45526</v>
          </cell>
          <cell r="X7421">
            <v>31010651</v>
          </cell>
        </row>
        <row r="7422">
          <cell r="K7422"/>
          <cell r="L7422">
            <v>45141</v>
          </cell>
          <cell r="M7422">
            <v>45141</v>
          </cell>
          <cell r="N7422">
            <v>45147</v>
          </cell>
          <cell r="O7422">
            <v>45141</v>
          </cell>
          <cell r="P7422">
            <v>45147</v>
          </cell>
          <cell r="Q7422">
            <v>45147</v>
          </cell>
          <cell r="R7422">
            <v>45147</v>
          </cell>
          <cell r="S7422">
            <v>45148</v>
          </cell>
          <cell r="T7422">
            <v>45148</v>
          </cell>
          <cell r="U7422">
            <v>45148</v>
          </cell>
          <cell r="V7422">
            <v>45148</v>
          </cell>
          <cell r="W7422">
            <v>45148</v>
          </cell>
          <cell r="X7422">
            <v>31101105</v>
          </cell>
        </row>
        <row r="7423">
          <cell r="K7423" t="str">
            <v>-</v>
          </cell>
          <cell r="L7423">
            <v>44704</v>
          </cell>
          <cell r="M7423">
            <v>44705</v>
          </cell>
          <cell r="N7423">
            <v>44719</v>
          </cell>
          <cell r="O7423">
            <v>44705</v>
          </cell>
          <cell r="P7423">
            <v>44714</v>
          </cell>
          <cell r="Q7423">
            <v>44719</v>
          </cell>
          <cell r="R7423">
            <v>44719</v>
          </cell>
          <cell r="S7423"/>
          <cell r="T7423">
            <v>44721</v>
          </cell>
          <cell r="U7423">
            <v>44736</v>
          </cell>
          <cell r="V7423">
            <v>44736</v>
          </cell>
          <cell r="W7423">
            <v>44736</v>
          </cell>
          <cell r="X7423">
            <v>31100885</v>
          </cell>
        </row>
        <row r="7424">
          <cell r="K7424"/>
          <cell r="L7424">
            <v>45295</v>
          </cell>
          <cell r="M7424">
            <v>45296</v>
          </cell>
          <cell r="N7424">
            <v>45303</v>
          </cell>
          <cell r="O7424">
            <v>45296</v>
          </cell>
          <cell r="P7424">
            <v>45303</v>
          </cell>
          <cell r="Q7424">
            <v>45302</v>
          </cell>
          <cell r="R7424">
            <v>45303</v>
          </cell>
          <cell r="S7424">
            <v>45316</v>
          </cell>
          <cell r="T7424">
            <v>45316</v>
          </cell>
          <cell r="U7424">
            <v>45316</v>
          </cell>
          <cell r="V7424">
            <v>45316</v>
          </cell>
          <cell r="W7424">
            <v>45316</v>
          </cell>
          <cell r="X7424">
            <v>31010822</v>
          </cell>
        </row>
        <row r="7425">
          <cell r="K7425"/>
          <cell r="L7425">
            <v>45295</v>
          </cell>
          <cell r="M7425">
            <v>45296</v>
          </cell>
          <cell r="N7425">
            <v>45303</v>
          </cell>
          <cell r="O7425">
            <v>45296</v>
          </cell>
          <cell r="P7425">
            <v>45303</v>
          </cell>
          <cell r="Q7425">
            <v>45302</v>
          </cell>
          <cell r="R7425">
            <v>45303</v>
          </cell>
          <cell r="S7425">
            <v>45316</v>
          </cell>
          <cell r="T7425">
            <v>45316</v>
          </cell>
          <cell r="U7425">
            <v>45316</v>
          </cell>
          <cell r="V7425">
            <v>45316</v>
          </cell>
          <cell r="W7425">
            <v>45316</v>
          </cell>
          <cell r="X7425">
            <v>31010824</v>
          </cell>
        </row>
        <row r="7426">
          <cell r="K7426"/>
          <cell r="L7426">
            <v>45295</v>
          </cell>
          <cell r="M7426">
            <v>45296</v>
          </cell>
          <cell r="N7426">
            <v>45302</v>
          </cell>
          <cell r="O7426">
            <v>45296</v>
          </cell>
          <cell r="P7426">
            <v>45302</v>
          </cell>
          <cell r="Q7426">
            <v>45302</v>
          </cell>
          <cell r="R7426">
            <v>45303</v>
          </cell>
          <cell r="S7426">
            <v>45316</v>
          </cell>
          <cell r="T7426">
            <v>45316</v>
          </cell>
          <cell r="U7426">
            <v>45316</v>
          </cell>
          <cell r="V7426">
            <v>45316</v>
          </cell>
          <cell r="W7426">
            <v>45316</v>
          </cell>
          <cell r="X7426">
            <v>31010661</v>
          </cell>
        </row>
        <row r="7427">
          <cell r="K7427" t="str">
            <v>-</v>
          </cell>
          <cell r="L7427">
            <v>45204</v>
          </cell>
          <cell r="M7427">
            <v>45205</v>
          </cell>
          <cell r="N7427">
            <v>45210</v>
          </cell>
          <cell r="O7427">
            <v>45205</v>
          </cell>
          <cell r="P7427">
            <v>45210</v>
          </cell>
          <cell r="Q7427">
            <v>45210</v>
          </cell>
          <cell r="R7427">
            <v>45210</v>
          </cell>
          <cell r="S7427">
            <v>45210</v>
          </cell>
          <cell r="T7427">
            <v>45210</v>
          </cell>
          <cell r="U7427">
            <v>45210</v>
          </cell>
          <cell r="V7427">
            <v>45210</v>
          </cell>
          <cell r="W7427">
            <v>45210</v>
          </cell>
          <cell r="X7427">
            <v>31102153</v>
          </cell>
        </row>
        <row r="7428">
          <cell r="K7428" t="str">
            <v>-</v>
          </cell>
          <cell r="L7428">
            <v>45320</v>
          </cell>
          <cell r="M7428">
            <v>45321</v>
          </cell>
          <cell r="N7428">
            <v>45322</v>
          </cell>
          <cell r="O7428">
            <v>45321</v>
          </cell>
          <cell r="P7428">
            <v>45322</v>
          </cell>
          <cell r="Q7428">
            <v>45322</v>
          </cell>
          <cell r="R7428">
            <v>45322</v>
          </cell>
          <cell r="S7428">
            <v>45322</v>
          </cell>
          <cell r="T7428">
            <v>45322</v>
          </cell>
          <cell r="U7428">
            <v>45322</v>
          </cell>
          <cell r="V7428">
            <v>45322</v>
          </cell>
          <cell r="W7428">
            <v>45322</v>
          </cell>
          <cell r="X7428">
            <v>31011010</v>
          </cell>
        </row>
        <row r="7429">
          <cell r="K7429" t="str">
            <v>-</v>
          </cell>
          <cell r="L7429">
            <v>45345</v>
          </cell>
          <cell r="M7429">
            <v>45345</v>
          </cell>
          <cell r="N7429">
            <v>45348</v>
          </cell>
          <cell r="O7429">
            <v>45345</v>
          </cell>
          <cell r="P7429">
            <v>45348</v>
          </cell>
          <cell r="Q7429">
            <v>45348</v>
          </cell>
          <cell r="R7429">
            <v>45348</v>
          </cell>
          <cell r="S7429">
            <v>45349</v>
          </cell>
          <cell r="T7429">
            <v>45349</v>
          </cell>
          <cell r="U7429">
            <v>45349</v>
          </cell>
          <cell r="V7429">
            <v>45349</v>
          </cell>
          <cell r="W7429">
            <v>45349</v>
          </cell>
          <cell r="X7429">
            <v>31100994</v>
          </cell>
        </row>
        <row r="7430">
          <cell r="K7430" t="str">
            <v>MMD-0069</v>
          </cell>
          <cell r="L7430">
            <v>45342</v>
          </cell>
          <cell r="M7430">
            <v>45343</v>
          </cell>
          <cell r="N7430">
            <v>45348</v>
          </cell>
          <cell r="O7430">
            <v>45343</v>
          </cell>
          <cell r="P7430">
            <v>45348</v>
          </cell>
          <cell r="Q7430">
            <v>45348</v>
          </cell>
          <cell r="R7430">
            <v>45348</v>
          </cell>
          <cell r="S7430">
            <v>45349</v>
          </cell>
          <cell r="T7430">
            <v>45349</v>
          </cell>
          <cell r="U7430">
            <v>45349</v>
          </cell>
          <cell r="V7430">
            <v>45349</v>
          </cell>
          <cell r="W7430">
            <v>45349</v>
          </cell>
          <cell r="X7430">
            <v>31102402</v>
          </cell>
        </row>
        <row r="7431">
          <cell r="K7431" t="str">
            <v>MMD-0070</v>
          </cell>
          <cell r="L7431">
            <v>45349</v>
          </cell>
          <cell r="M7431">
            <v>45350</v>
          </cell>
          <cell r="N7431">
            <v>45351</v>
          </cell>
          <cell r="O7431">
            <v>45350</v>
          </cell>
          <cell r="P7431">
            <v>45351</v>
          </cell>
          <cell r="Q7431">
            <v>45351</v>
          </cell>
          <cell r="R7431">
            <v>45351</v>
          </cell>
          <cell r="S7431">
            <v>45355</v>
          </cell>
          <cell r="T7431">
            <v>45355</v>
          </cell>
          <cell r="U7431">
            <v>45355</v>
          </cell>
          <cell r="V7431">
            <v>45355</v>
          </cell>
          <cell r="W7431">
            <v>45355</v>
          </cell>
          <cell r="X7431">
            <v>31102402</v>
          </cell>
        </row>
        <row r="7432">
          <cell r="K7432" t="str">
            <v>MMD-0075</v>
          </cell>
          <cell r="L7432">
            <v>45419</v>
          </cell>
          <cell r="M7432">
            <v>45420</v>
          </cell>
          <cell r="N7432">
            <v>45422</v>
          </cell>
          <cell r="O7432">
            <v>45420</v>
          </cell>
          <cell r="P7432">
            <v>45422</v>
          </cell>
          <cell r="Q7432">
            <v>45422</v>
          </cell>
          <cell r="R7432">
            <v>45422</v>
          </cell>
          <cell r="S7432">
            <v>45440</v>
          </cell>
          <cell r="T7432">
            <v>45440</v>
          </cell>
          <cell r="U7432">
            <v>45441</v>
          </cell>
          <cell r="V7432">
            <v>45441</v>
          </cell>
          <cell r="W7432">
            <v>45441</v>
          </cell>
          <cell r="X7432">
            <v>31102402</v>
          </cell>
        </row>
        <row r="7433">
          <cell r="K7433"/>
          <cell r="L7433">
            <v>45630</v>
          </cell>
          <cell r="M7433">
            <v>45630</v>
          </cell>
          <cell r="N7433">
            <v>45635</v>
          </cell>
          <cell r="O7433">
            <v>45630</v>
          </cell>
          <cell r="P7433">
            <v>45635</v>
          </cell>
          <cell r="Q7433">
            <v>45635</v>
          </cell>
          <cell r="R7433">
            <v>45635</v>
          </cell>
          <cell r="S7433">
            <v>45638</v>
          </cell>
          <cell r="T7433">
            <v>45638</v>
          </cell>
          <cell r="U7433">
            <v>45638</v>
          </cell>
          <cell r="V7433">
            <v>45638</v>
          </cell>
          <cell r="W7433">
            <v>45638</v>
          </cell>
          <cell r="X7433">
            <v>31200338</v>
          </cell>
        </row>
        <row r="7434">
          <cell r="K7434"/>
          <cell r="L7434">
            <v>45630</v>
          </cell>
          <cell r="M7434">
            <v>45630</v>
          </cell>
          <cell r="N7434">
            <v>45635</v>
          </cell>
          <cell r="O7434">
            <v>45630</v>
          </cell>
          <cell r="P7434">
            <v>45635</v>
          </cell>
          <cell r="Q7434">
            <v>45635</v>
          </cell>
          <cell r="R7434">
            <v>45635</v>
          </cell>
          <cell r="S7434">
            <v>45638</v>
          </cell>
          <cell r="T7434">
            <v>45638</v>
          </cell>
          <cell r="U7434">
            <v>45638</v>
          </cell>
          <cell r="V7434">
            <v>45638</v>
          </cell>
          <cell r="W7434">
            <v>45638</v>
          </cell>
          <cell r="X7434">
            <v>31200339</v>
          </cell>
        </row>
        <row r="7435">
          <cell r="K7435"/>
          <cell r="L7435">
            <v>45630</v>
          </cell>
          <cell r="M7435">
            <v>45630</v>
          </cell>
          <cell r="N7435">
            <v>45635</v>
          </cell>
          <cell r="O7435">
            <v>45630</v>
          </cell>
          <cell r="P7435">
            <v>45635</v>
          </cell>
          <cell r="Q7435">
            <v>45635</v>
          </cell>
          <cell r="R7435">
            <v>45635</v>
          </cell>
          <cell r="S7435">
            <v>45638</v>
          </cell>
          <cell r="T7435">
            <v>45638</v>
          </cell>
          <cell r="U7435">
            <v>45638</v>
          </cell>
          <cell r="V7435">
            <v>45638</v>
          </cell>
          <cell r="W7435">
            <v>45638</v>
          </cell>
          <cell r="X7435">
            <v>31010621</v>
          </cell>
        </row>
        <row r="7436">
          <cell r="K7436"/>
          <cell r="L7436">
            <v>45630</v>
          </cell>
          <cell r="M7436">
            <v>45630</v>
          </cell>
          <cell r="N7436">
            <v>45635</v>
          </cell>
          <cell r="O7436">
            <v>45630</v>
          </cell>
          <cell r="P7436">
            <v>45635</v>
          </cell>
          <cell r="Q7436">
            <v>45635</v>
          </cell>
          <cell r="R7436">
            <v>45635</v>
          </cell>
          <cell r="S7436">
            <v>45638</v>
          </cell>
          <cell r="T7436">
            <v>45638</v>
          </cell>
          <cell r="U7436">
            <v>45638</v>
          </cell>
          <cell r="V7436">
            <v>45638</v>
          </cell>
          <cell r="W7436">
            <v>45638</v>
          </cell>
          <cell r="X7436">
            <v>31010688</v>
          </cell>
        </row>
        <row r="7437">
          <cell r="K7437"/>
          <cell r="L7437">
            <v>45630</v>
          </cell>
          <cell r="M7437">
            <v>45630</v>
          </cell>
          <cell r="N7437">
            <v>45635</v>
          </cell>
          <cell r="O7437">
            <v>45630</v>
          </cell>
          <cell r="P7437">
            <v>45635</v>
          </cell>
          <cell r="Q7437">
            <v>45635</v>
          </cell>
          <cell r="R7437">
            <v>45635</v>
          </cell>
          <cell r="S7437">
            <v>45638</v>
          </cell>
          <cell r="T7437">
            <v>45638</v>
          </cell>
          <cell r="U7437">
            <v>45638</v>
          </cell>
          <cell r="V7437">
            <v>45638</v>
          </cell>
          <cell r="W7437">
            <v>45638</v>
          </cell>
          <cell r="X7437">
            <v>31010605</v>
          </cell>
        </row>
        <row r="7438">
          <cell r="K7438"/>
          <cell r="L7438">
            <v>45630</v>
          </cell>
          <cell r="M7438">
            <v>45630</v>
          </cell>
          <cell r="N7438">
            <v>45635</v>
          </cell>
          <cell r="O7438">
            <v>45630</v>
          </cell>
          <cell r="P7438">
            <v>45635</v>
          </cell>
          <cell r="Q7438">
            <v>45635</v>
          </cell>
          <cell r="R7438">
            <v>45635</v>
          </cell>
          <cell r="S7438">
            <v>45638</v>
          </cell>
          <cell r="T7438">
            <v>45638</v>
          </cell>
          <cell r="U7438">
            <v>45638</v>
          </cell>
          <cell r="V7438">
            <v>45638</v>
          </cell>
          <cell r="W7438">
            <v>45638</v>
          </cell>
          <cell r="X7438">
            <v>31010604</v>
          </cell>
        </row>
        <row r="7439">
          <cell r="K7439"/>
          <cell r="L7439">
            <v>45630</v>
          </cell>
          <cell r="M7439">
            <v>45630</v>
          </cell>
          <cell r="N7439">
            <v>45635</v>
          </cell>
          <cell r="O7439">
            <v>45630</v>
          </cell>
          <cell r="P7439">
            <v>45635</v>
          </cell>
          <cell r="Q7439">
            <v>45635</v>
          </cell>
          <cell r="R7439">
            <v>45635</v>
          </cell>
          <cell r="S7439">
            <v>45638</v>
          </cell>
          <cell r="T7439">
            <v>45638</v>
          </cell>
          <cell r="U7439">
            <v>45638</v>
          </cell>
          <cell r="V7439">
            <v>45638</v>
          </cell>
          <cell r="W7439">
            <v>45638</v>
          </cell>
          <cell r="X7439">
            <v>31010603</v>
          </cell>
        </row>
        <row r="7440">
          <cell r="K7440"/>
          <cell r="L7440">
            <v>45630</v>
          </cell>
          <cell r="M7440">
            <v>45630</v>
          </cell>
          <cell r="N7440">
            <v>45635</v>
          </cell>
          <cell r="O7440">
            <v>45630</v>
          </cell>
          <cell r="P7440">
            <v>45635</v>
          </cell>
          <cell r="Q7440">
            <v>45635</v>
          </cell>
          <cell r="R7440">
            <v>45635</v>
          </cell>
          <cell r="S7440">
            <v>45638</v>
          </cell>
          <cell r="T7440">
            <v>45638</v>
          </cell>
          <cell r="U7440">
            <v>45638</v>
          </cell>
          <cell r="V7440">
            <v>45638</v>
          </cell>
          <cell r="W7440">
            <v>45638</v>
          </cell>
          <cell r="X7440">
            <v>31010610</v>
          </cell>
        </row>
        <row r="7441">
          <cell r="K7441"/>
          <cell r="L7441">
            <v>45630</v>
          </cell>
          <cell r="M7441">
            <v>45630</v>
          </cell>
          <cell r="N7441">
            <v>45635</v>
          </cell>
          <cell r="O7441">
            <v>45630</v>
          </cell>
          <cell r="P7441">
            <v>45635</v>
          </cell>
          <cell r="Q7441">
            <v>45635</v>
          </cell>
          <cell r="R7441">
            <v>45635</v>
          </cell>
          <cell r="S7441">
            <v>45638</v>
          </cell>
          <cell r="T7441">
            <v>45638</v>
          </cell>
          <cell r="U7441">
            <v>45638</v>
          </cell>
          <cell r="V7441">
            <v>45638</v>
          </cell>
          <cell r="W7441">
            <v>45638</v>
          </cell>
          <cell r="X7441">
            <v>31010609</v>
          </cell>
        </row>
        <row r="7442">
          <cell r="K7442"/>
          <cell r="L7442">
            <v>45630</v>
          </cell>
          <cell r="M7442">
            <v>45630</v>
          </cell>
          <cell r="N7442">
            <v>45635</v>
          </cell>
          <cell r="O7442">
            <v>45630</v>
          </cell>
          <cell r="P7442">
            <v>45635</v>
          </cell>
          <cell r="Q7442">
            <v>45635</v>
          </cell>
          <cell r="R7442">
            <v>45635</v>
          </cell>
          <cell r="S7442">
            <v>45638</v>
          </cell>
          <cell r="T7442">
            <v>45638</v>
          </cell>
          <cell r="U7442">
            <v>45638</v>
          </cell>
          <cell r="V7442">
            <v>45638</v>
          </cell>
          <cell r="W7442">
            <v>45638</v>
          </cell>
          <cell r="X7442">
            <v>31010608</v>
          </cell>
        </row>
        <row r="7443">
          <cell r="K7443"/>
          <cell r="L7443">
            <v>45630</v>
          </cell>
          <cell r="M7443">
            <v>45630</v>
          </cell>
          <cell r="N7443">
            <v>45635</v>
          </cell>
          <cell r="O7443">
            <v>45630</v>
          </cell>
          <cell r="P7443">
            <v>45635</v>
          </cell>
          <cell r="Q7443">
            <v>45635</v>
          </cell>
          <cell r="R7443">
            <v>45635</v>
          </cell>
          <cell r="S7443">
            <v>45638</v>
          </cell>
          <cell r="T7443">
            <v>45638</v>
          </cell>
          <cell r="U7443">
            <v>45638</v>
          </cell>
          <cell r="V7443">
            <v>45638</v>
          </cell>
          <cell r="W7443">
            <v>45638</v>
          </cell>
          <cell r="X7443">
            <v>31010607</v>
          </cell>
        </row>
        <row r="7444">
          <cell r="K7444"/>
          <cell r="L7444">
            <v>45618</v>
          </cell>
          <cell r="M7444">
            <v>45618</v>
          </cell>
          <cell r="N7444">
            <v>45621</v>
          </cell>
          <cell r="O7444">
            <v>45618</v>
          </cell>
          <cell r="P7444">
            <v>45621</v>
          </cell>
          <cell r="Q7444">
            <v>45625</v>
          </cell>
          <cell r="R7444">
            <v>45625</v>
          </cell>
          <cell r="S7444">
            <v>45638</v>
          </cell>
          <cell r="T7444">
            <v>45638</v>
          </cell>
          <cell r="U7444">
            <v>45638</v>
          </cell>
          <cell r="V7444">
            <v>45638</v>
          </cell>
          <cell r="W7444">
            <v>45638</v>
          </cell>
          <cell r="X7444">
            <v>31102428</v>
          </cell>
        </row>
        <row r="7445">
          <cell r="K7445"/>
          <cell r="L7445">
            <v>45618</v>
          </cell>
          <cell r="M7445">
            <v>45618</v>
          </cell>
          <cell r="N7445">
            <v>45621</v>
          </cell>
          <cell r="O7445">
            <v>45618</v>
          </cell>
          <cell r="P7445">
            <v>45621</v>
          </cell>
          <cell r="Q7445">
            <v>45625</v>
          </cell>
          <cell r="R7445">
            <v>45625</v>
          </cell>
          <cell r="S7445">
            <v>45638</v>
          </cell>
          <cell r="T7445">
            <v>45638</v>
          </cell>
          <cell r="U7445">
            <v>45638</v>
          </cell>
          <cell r="V7445">
            <v>45638</v>
          </cell>
          <cell r="W7445">
            <v>45638</v>
          </cell>
          <cell r="X7445">
            <v>31102429</v>
          </cell>
        </row>
        <row r="7446">
          <cell r="K7446"/>
          <cell r="L7446">
            <v>45618</v>
          </cell>
          <cell r="M7446">
            <v>45618</v>
          </cell>
          <cell r="N7446">
            <v>45621</v>
          </cell>
          <cell r="O7446">
            <v>45618</v>
          </cell>
          <cell r="P7446">
            <v>45621</v>
          </cell>
          <cell r="Q7446">
            <v>45625</v>
          </cell>
          <cell r="R7446">
            <v>45625</v>
          </cell>
          <cell r="S7446">
            <v>45638</v>
          </cell>
          <cell r="T7446">
            <v>45638</v>
          </cell>
          <cell r="U7446">
            <v>45638</v>
          </cell>
          <cell r="V7446">
            <v>45638</v>
          </cell>
          <cell r="W7446">
            <v>45638</v>
          </cell>
          <cell r="X7446">
            <v>31102430</v>
          </cell>
        </row>
        <row r="7447">
          <cell r="K7447"/>
          <cell r="L7447">
            <v>45618</v>
          </cell>
          <cell r="M7447">
            <v>45618</v>
          </cell>
          <cell r="N7447">
            <v>45621</v>
          </cell>
          <cell r="O7447">
            <v>45618</v>
          </cell>
          <cell r="P7447">
            <v>45621</v>
          </cell>
          <cell r="Q7447">
            <v>45625</v>
          </cell>
          <cell r="R7447">
            <v>45625</v>
          </cell>
          <cell r="S7447">
            <v>45638</v>
          </cell>
          <cell r="T7447">
            <v>45638</v>
          </cell>
          <cell r="U7447">
            <v>45638</v>
          </cell>
          <cell r="V7447">
            <v>45638</v>
          </cell>
          <cell r="W7447">
            <v>45638</v>
          </cell>
          <cell r="X7447">
            <v>31102427</v>
          </cell>
        </row>
        <row r="7448">
          <cell r="K7448"/>
          <cell r="L7448">
            <v>45618</v>
          </cell>
          <cell r="M7448">
            <v>45618</v>
          </cell>
          <cell r="N7448">
            <v>45621</v>
          </cell>
          <cell r="O7448">
            <v>45618</v>
          </cell>
          <cell r="P7448">
            <v>45621</v>
          </cell>
          <cell r="Q7448">
            <v>45625</v>
          </cell>
          <cell r="R7448">
            <v>45625</v>
          </cell>
          <cell r="S7448">
            <v>45638</v>
          </cell>
          <cell r="T7448">
            <v>45638</v>
          </cell>
          <cell r="U7448">
            <v>45638</v>
          </cell>
          <cell r="V7448">
            <v>45638</v>
          </cell>
          <cell r="W7448">
            <v>45638</v>
          </cell>
          <cell r="X7448">
            <v>31102433</v>
          </cell>
        </row>
        <row r="7449">
          <cell r="K7449" t="str">
            <v>GBWS-5148</v>
          </cell>
          <cell r="L7449">
            <v>45623</v>
          </cell>
          <cell r="M7449">
            <v>45625</v>
          </cell>
          <cell r="N7449">
            <v>45632</v>
          </cell>
          <cell r="O7449">
            <v>45625</v>
          </cell>
          <cell r="P7449">
            <v>45635</v>
          </cell>
          <cell r="Q7449">
            <v>45632</v>
          </cell>
          <cell r="R7449">
            <v>45635</v>
          </cell>
          <cell r="S7449">
            <v>45636</v>
          </cell>
          <cell r="T7449">
            <v>45637</v>
          </cell>
          <cell r="U7449">
            <v>45638</v>
          </cell>
          <cell r="V7449">
            <v>45639</v>
          </cell>
          <cell r="W7449">
            <v>45639</v>
          </cell>
          <cell r="X7449">
            <v>41100372</v>
          </cell>
        </row>
        <row r="7450">
          <cell r="K7450" t="str">
            <v>SOS-0333</v>
          </cell>
          <cell r="L7450">
            <v>45561</v>
          </cell>
          <cell r="M7450">
            <v>45561</v>
          </cell>
          <cell r="N7450">
            <v>45565</v>
          </cell>
          <cell r="O7450">
            <v>45561</v>
          </cell>
          <cell r="P7450">
            <v>45565</v>
          </cell>
          <cell r="Q7450">
            <v>45566</v>
          </cell>
          <cell r="R7450">
            <v>45567</v>
          </cell>
          <cell r="S7450">
            <v>45586</v>
          </cell>
          <cell r="T7450">
            <v>45586</v>
          </cell>
          <cell r="U7450">
            <v>45586</v>
          </cell>
          <cell r="V7450">
            <v>45642</v>
          </cell>
          <cell r="W7450">
            <v>45642</v>
          </cell>
          <cell r="X7450">
            <v>41000558</v>
          </cell>
        </row>
        <row r="7451">
          <cell r="K7451" t="str">
            <v>-</v>
          </cell>
          <cell r="L7451">
            <v>45561</v>
          </cell>
          <cell r="M7451">
            <v>45561</v>
          </cell>
          <cell r="N7451">
            <v>45565</v>
          </cell>
          <cell r="O7451">
            <v>45561</v>
          </cell>
          <cell r="P7451">
            <v>45565</v>
          </cell>
          <cell r="Q7451">
            <v>45566</v>
          </cell>
          <cell r="R7451">
            <v>45567</v>
          </cell>
          <cell r="S7451">
            <v>45586</v>
          </cell>
          <cell r="T7451">
            <v>45586</v>
          </cell>
          <cell r="U7451">
            <v>45586</v>
          </cell>
          <cell r="V7451">
            <v>45642</v>
          </cell>
          <cell r="W7451">
            <v>45642</v>
          </cell>
          <cell r="X7451">
            <v>31010312</v>
          </cell>
        </row>
        <row r="7452">
          <cell r="K7452" t="str">
            <v>SOS-0334</v>
          </cell>
          <cell r="L7452">
            <v>45561</v>
          </cell>
          <cell r="M7452">
            <v>45561</v>
          </cell>
          <cell r="N7452">
            <v>45565</v>
          </cell>
          <cell r="O7452">
            <v>45561</v>
          </cell>
          <cell r="P7452">
            <v>45565</v>
          </cell>
          <cell r="Q7452">
            <v>45566</v>
          </cell>
          <cell r="R7452">
            <v>45567</v>
          </cell>
          <cell r="S7452">
            <v>45586</v>
          </cell>
          <cell r="T7452">
            <v>45586</v>
          </cell>
          <cell r="U7452">
            <v>45586</v>
          </cell>
          <cell r="V7452">
            <v>45642</v>
          </cell>
          <cell r="W7452">
            <v>45642</v>
          </cell>
          <cell r="X7452">
            <v>41000558</v>
          </cell>
        </row>
        <row r="7453">
          <cell r="K7453" t="str">
            <v>-</v>
          </cell>
          <cell r="L7453">
            <v>45561</v>
          </cell>
          <cell r="M7453">
            <v>45561</v>
          </cell>
          <cell r="N7453">
            <v>45565</v>
          </cell>
          <cell r="O7453">
            <v>45561</v>
          </cell>
          <cell r="P7453">
            <v>45565</v>
          </cell>
          <cell r="Q7453">
            <v>45566</v>
          </cell>
          <cell r="R7453">
            <v>45567</v>
          </cell>
          <cell r="S7453">
            <v>45586</v>
          </cell>
          <cell r="T7453">
            <v>45586</v>
          </cell>
          <cell r="U7453">
            <v>45586</v>
          </cell>
          <cell r="V7453">
            <v>45642</v>
          </cell>
          <cell r="W7453">
            <v>45642</v>
          </cell>
          <cell r="X7453">
            <v>31010312</v>
          </cell>
        </row>
        <row r="7454">
          <cell r="K7454" t="str">
            <v>DBW-3569</v>
          </cell>
          <cell r="L7454">
            <v>45623</v>
          </cell>
          <cell r="M7454">
            <v>45625</v>
          </cell>
          <cell r="N7454">
            <v>45632</v>
          </cell>
          <cell r="O7454">
            <v>45625</v>
          </cell>
          <cell r="P7454">
            <v>45635</v>
          </cell>
          <cell r="Q7454">
            <v>45632</v>
          </cell>
          <cell r="R7454">
            <v>45635</v>
          </cell>
          <cell r="S7454">
            <v>45636</v>
          </cell>
          <cell r="T7454">
            <v>45637</v>
          </cell>
          <cell r="U7454">
            <v>45638</v>
          </cell>
          <cell r="V7454">
            <v>45642</v>
          </cell>
          <cell r="W7454">
            <v>45642</v>
          </cell>
          <cell r="X7454">
            <v>41000514</v>
          </cell>
        </row>
        <row r="7455">
          <cell r="K7455" t="str">
            <v>GBWS-5146</v>
          </cell>
          <cell r="L7455">
            <v>45622</v>
          </cell>
          <cell r="M7455">
            <v>45624</v>
          </cell>
          <cell r="N7455">
            <v>45637</v>
          </cell>
          <cell r="O7455">
            <v>45624</v>
          </cell>
          <cell r="P7455">
            <v>45637</v>
          </cell>
          <cell r="Q7455">
            <v>45631</v>
          </cell>
          <cell r="R7455">
            <v>45632</v>
          </cell>
          <cell r="S7455">
            <v>45638</v>
          </cell>
          <cell r="T7455">
            <v>45638</v>
          </cell>
          <cell r="U7455">
            <v>45639</v>
          </cell>
          <cell r="V7455">
            <v>45642</v>
          </cell>
          <cell r="W7455">
            <v>45642</v>
          </cell>
          <cell r="X7455">
            <v>41100536</v>
          </cell>
        </row>
        <row r="7456">
          <cell r="K7456" t="str">
            <v>GPWS-0439</v>
          </cell>
          <cell r="L7456">
            <v>45625</v>
          </cell>
          <cell r="M7456">
            <v>45628</v>
          </cell>
          <cell r="N7456">
            <v>45632</v>
          </cell>
          <cell r="O7456">
            <v>45628</v>
          </cell>
          <cell r="P7456">
            <v>45635</v>
          </cell>
          <cell r="Q7456">
            <v>45632</v>
          </cell>
          <cell r="R7456">
            <v>45635</v>
          </cell>
          <cell r="S7456">
            <v>45636</v>
          </cell>
          <cell r="T7456">
            <v>45637</v>
          </cell>
          <cell r="U7456">
            <v>45638</v>
          </cell>
          <cell r="V7456">
            <v>45639</v>
          </cell>
          <cell r="W7456">
            <v>45639</v>
          </cell>
          <cell r="X7456">
            <v>41200089</v>
          </cell>
        </row>
        <row r="7457">
          <cell r="K7457" t="str">
            <v>GBWS-5136</v>
          </cell>
          <cell r="L7457">
            <v>45621</v>
          </cell>
          <cell r="M7457">
            <v>45622</v>
          </cell>
          <cell r="N7457">
            <v>45629</v>
          </cell>
          <cell r="O7457">
            <v>45622</v>
          </cell>
          <cell r="P7457">
            <v>45630</v>
          </cell>
          <cell r="Q7457">
            <v>45629</v>
          </cell>
          <cell r="R7457">
            <v>45630</v>
          </cell>
          <cell r="S7457">
            <v>45632</v>
          </cell>
          <cell r="T7457">
            <v>45635</v>
          </cell>
          <cell r="U7457">
            <v>45636</v>
          </cell>
          <cell r="V7457">
            <v>45637</v>
          </cell>
          <cell r="W7457">
            <v>45637</v>
          </cell>
          <cell r="X7457">
            <v>41200034</v>
          </cell>
        </row>
        <row r="7458">
          <cell r="K7458"/>
          <cell r="L7458">
            <v>45623</v>
          </cell>
          <cell r="M7458">
            <v>45623</v>
          </cell>
          <cell r="N7458">
            <v>45635</v>
          </cell>
          <cell r="O7458">
            <v>45623</v>
          </cell>
          <cell r="P7458">
            <v>45635</v>
          </cell>
          <cell r="Q7458">
            <v>45632</v>
          </cell>
          <cell r="R7458">
            <v>45635</v>
          </cell>
          <cell r="S7458">
            <v>45636</v>
          </cell>
          <cell r="T7458">
            <v>45636</v>
          </cell>
          <cell r="U7458">
            <v>45637</v>
          </cell>
          <cell r="V7458">
            <v>45638</v>
          </cell>
          <cell r="W7458">
            <v>45638</v>
          </cell>
          <cell r="X7458">
            <v>31101695</v>
          </cell>
        </row>
        <row r="7459">
          <cell r="K7459"/>
          <cell r="L7459">
            <v>45623</v>
          </cell>
          <cell r="M7459">
            <v>45623</v>
          </cell>
          <cell r="N7459">
            <v>45635</v>
          </cell>
          <cell r="O7459">
            <v>45623</v>
          </cell>
          <cell r="P7459">
            <v>45635</v>
          </cell>
          <cell r="Q7459">
            <v>45631</v>
          </cell>
          <cell r="R7459">
            <v>45632</v>
          </cell>
          <cell r="S7459">
            <v>45636</v>
          </cell>
          <cell r="T7459">
            <v>45636</v>
          </cell>
          <cell r="U7459">
            <v>45637</v>
          </cell>
          <cell r="V7459">
            <v>45638</v>
          </cell>
          <cell r="W7459">
            <v>45638</v>
          </cell>
          <cell r="X7459">
            <v>31102253</v>
          </cell>
        </row>
        <row r="7460">
          <cell r="K7460"/>
          <cell r="L7460">
            <v>45623</v>
          </cell>
          <cell r="M7460">
            <v>45623</v>
          </cell>
          <cell r="N7460">
            <v>45635</v>
          </cell>
          <cell r="O7460">
            <v>45623</v>
          </cell>
          <cell r="P7460">
            <v>45635</v>
          </cell>
          <cell r="Q7460">
            <v>45632</v>
          </cell>
          <cell r="R7460">
            <v>45635</v>
          </cell>
          <cell r="S7460">
            <v>45636</v>
          </cell>
          <cell r="T7460">
            <v>45636</v>
          </cell>
          <cell r="U7460">
            <v>45637</v>
          </cell>
          <cell r="V7460">
            <v>45638</v>
          </cell>
          <cell r="W7460">
            <v>45638</v>
          </cell>
          <cell r="X7460">
            <v>31102257</v>
          </cell>
        </row>
        <row r="7461">
          <cell r="K7461"/>
          <cell r="L7461">
            <v>45623</v>
          </cell>
          <cell r="M7461">
            <v>45623</v>
          </cell>
          <cell r="N7461">
            <v>45635</v>
          </cell>
          <cell r="O7461">
            <v>45623</v>
          </cell>
          <cell r="P7461">
            <v>45635</v>
          </cell>
          <cell r="Q7461">
            <v>45630</v>
          </cell>
          <cell r="R7461">
            <v>45631</v>
          </cell>
          <cell r="S7461">
            <v>45636</v>
          </cell>
          <cell r="T7461">
            <v>45636</v>
          </cell>
          <cell r="U7461">
            <v>45637</v>
          </cell>
          <cell r="V7461">
            <v>45638</v>
          </cell>
          <cell r="W7461">
            <v>45638</v>
          </cell>
          <cell r="X7461">
            <v>31102291</v>
          </cell>
        </row>
        <row r="7462">
          <cell r="K7462"/>
          <cell r="L7462">
            <v>45623</v>
          </cell>
          <cell r="M7462">
            <v>45623</v>
          </cell>
          <cell r="N7462">
            <v>45635</v>
          </cell>
          <cell r="O7462">
            <v>45623</v>
          </cell>
          <cell r="P7462">
            <v>45635</v>
          </cell>
          <cell r="Q7462">
            <v>45630</v>
          </cell>
          <cell r="R7462">
            <v>45631</v>
          </cell>
          <cell r="S7462">
            <v>45636</v>
          </cell>
          <cell r="T7462">
            <v>45636</v>
          </cell>
          <cell r="U7462">
            <v>45638</v>
          </cell>
          <cell r="V7462">
            <v>45638</v>
          </cell>
          <cell r="W7462">
            <v>45638</v>
          </cell>
          <cell r="X7462">
            <v>31102296</v>
          </cell>
        </row>
        <row r="7463">
          <cell r="K7463"/>
          <cell r="L7463">
            <v>45623</v>
          </cell>
          <cell r="M7463">
            <v>45623</v>
          </cell>
          <cell r="N7463">
            <v>45635</v>
          </cell>
          <cell r="O7463">
            <v>45623</v>
          </cell>
          <cell r="P7463">
            <v>45635</v>
          </cell>
          <cell r="Q7463">
            <v>45632</v>
          </cell>
          <cell r="R7463">
            <v>45635</v>
          </cell>
          <cell r="S7463">
            <v>45636</v>
          </cell>
          <cell r="T7463">
            <v>45636</v>
          </cell>
          <cell r="U7463">
            <v>45638</v>
          </cell>
          <cell r="V7463">
            <v>45638</v>
          </cell>
          <cell r="W7463">
            <v>45638</v>
          </cell>
          <cell r="X7463">
            <v>31102304</v>
          </cell>
        </row>
        <row r="7464">
          <cell r="K7464" t="str">
            <v>GBWS-5107</v>
          </cell>
          <cell r="L7464">
            <v>45616</v>
          </cell>
          <cell r="M7464">
            <v>45616</v>
          </cell>
          <cell r="N7464">
            <v>45622</v>
          </cell>
          <cell r="O7464">
            <v>45616</v>
          </cell>
          <cell r="P7464">
            <v>45623</v>
          </cell>
          <cell r="Q7464">
            <v>45622</v>
          </cell>
          <cell r="R7464">
            <v>45623</v>
          </cell>
          <cell r="S7464">
            <v>45625</v>
          </cell>
          <cell r="T7464">
            <v>45628</v>
          </cell>
          <cell r="U7464">
            <v>45630</v>
          </cell>
          <cell r="V7464">
            <v>45631</v>
          </cell>
          <cell r="W7464">
            <v>45631</v>
          </cell>
          <cell r="X7464">
            <v>41200006</v>
          </cell>
        </row>
        <row r="7465">
          <cell r="K7465" t="str">
            <v>GBWS-5108</v>
          </cell>
          <cell r="L7465">
            <v>45616</v>
          </cell>
          <cell r="M7465">
            <v>45616</v>
          </cell>
          <cell r="N7465">
            <v>45622</v>
          </cell>
          <cell r="O7465">
            <v>45616</v>
          </cell>
          <cell r="P7465">
            <v>45623</v>
          </cell>
          <cell r="Q7465">
            <v>45622</v>
          </cell>
          <cell r="R7465">
            <v>45623</v>
          </cell>
          <cell r="S7465">
            <v>45625</v>
          </cell>
          <cell r="T7465">
            <v>45628</v>
          </cell>
          <cell r="U7465">
            <v>45629</v>
          </cell>
          <cell r="V7465">
            <v>45630</v>
          </cell>
          <cell r="W7465">
            <v>45630</v>
          </cell>
          <cell r="X7465">
            <v>41200006</v>
          </cell>
        </row>
        <row r="7466">
          <cell r="K7466" t="str">
            <v>DBW-3563</v>
          </cell>
          <cell r="L7466">
            <v>45618</v>
          </cell>
          <cell r="M7466">
            <v>45621</v>
          </cell>
          <cell r="N7466">
            <v>45625</v>
          </cell>
          <cell r="O7466">
            <v>45621</v>
          </cell>
          <cell r="P7466">
            <v>45628</v>
          </cell>
          <cell r="Q7466">
            <v>45625</v>
          </cell>
          <cell r="R7466">
            <v>45628</v>
          </cell>
          <cell r="S7466">
            <v>45629</v>
          </cell>
          <cell r="T7466">
            <v>45630</v>
          </cell>
          <cell r="U7466">
            <v>45632</v>
          </cell>
          <cell r="V7466">
            <v>45632</v>
          </cell>
          <cell r="W7466">
            <v>45632</v>
          </cell>
          <cell r="X7466">
            <v>41000590</v>
          </cell>
        </row>
        <row r="7467">
          <cell r="K7467" t="str">
            <v>DBW-3564</v>
          </cell>
          <cell r="L7467">
            <v>45618</v>
          </cell>
          <cell r="M7467">
            <v>45621</v>
          </cell>
          <cell r="N7467">
            <v>45625</v>
          </cell>
          <cell r="O7467">
            <v>45621</v>
          </cell>
          <cell r="P7467">
            <v>45628</v>
          </cell>
          <cell r="Q7467">
            <v>45625</v>
          </cell>
          <cell r="R7467">
            <v>45628</v>
          </cell>
          <cell r="S7467">
            <v>45629</v>
          </cell>
          <cell r="T7467">
            <v>45630</v>
          </cell>
          <cell r="U7467">
            <v>45632</v>
          </cell>
          <cell r="V7467">
            <v>45632</v>
          </cell>
          <cell r="W7467">
            <v>45632</v>
          </cell>
          <cell r="X7467">
            <v>41000590</v>
          </cell>
        </row>
        <row r="7468">
          <cell r="K7468" t="str">
            <v>GBWS-5149</v>
          </cell>
          <cell r="L7468">
            <v>45623</v>
          </cell>
          <cell r="M7468">
            <v>45625</v>
          </cell>
          <cell r="N7468">
            <v>45632</v>
          </cell>
          <cell r="O7468">
            <v>45625</v>
          </cell>
          <cell r="P7468">
            <v>45635</v>
          </cell>
          <cell r="Q7468">
            <v>45632</v>
          </cell>
          <cell r="R7468">
            <v>45635</v>
          </cell>
          <cell r="S7468">
            <v>45636</v>
          </cell>
          <cell r="T7468">
            <v>45637</v>
          </cell>
          <cell r="U7468">
            <v>45638</v>
          </cell>
          <cell r="V7468">
            <v>45639</v>
          </cell>
          <cell r="W7468">
            <v>45639</v>
          </cell>
          <cell r="X7468">
            <v>41200048</v>
          </cell>
        </row>
        <row r="7469">
          <cell r="K7469" t="str">
            <v>IVAS-262</v>
          </cell>
          <cell r="L7469">
            <v>45621</v>
          </cell>
          <cell r="M7469">
            <v>45622</v>
          </cell>
          <cell r="N7469">
            <v>45630</v>
          </cell>
          <cell r="O7469">
            <v>45622</v>
          </cell>
          <cell r="P7469">
            <v>45636</v>
          </cell>
          <cell r="Q7469">
            <v>45631</v>
          </cell>
          <cell r="R7469">
            <v>45632</v>
          </cell>
          <cell r="S7469">
            <v>45636</v>
          </cell>
          <cell r="T7469">
            <v>45636</v>
          </cell>
          <cell r="U7469">
            <v>45642</v>
          </cell>
          <cell r="V7469">
            <v>45642</v>
          </cell>
          <cell r="W7469">
            <v>45642</v>
          </cell>
          <cell r="X7469">
            <v>41000541</v>
          </cell>
        </row>
        <row r="7470">
          <cell r="K7470" t="str">
            <v>DBW-3570</v>
          </cell>
          <cell r="L7470">
            <v>45625</v>
          </cell>
          <cell r="M7470">
            <v>45628</v>
          </cell>
          <cell r="N7470">
            <v>45635</v>
          </cell>
          <cell r="O7470">
            <v>45628</v>
          </cell>
          <cell r="P7470">
            <v>45636</v>
          </cell>
          <cell r="Q7470">
            <v>45635</v>
          </cell>
          <cell r="R7470">
            <v>45636</v>
          </cell>
          <cell r="S7470">
            <v>45637</v>
          </cell>
          <cell r="T7470">
            <v>45638</v>
          </cell>
          <cell r="U7470">
            <v>45639</v>
          </cell>
          <cell r="V7470">
            <v>45642</v>
          </cell>
          <cell r="W7470">
            <v>45642</v>
          </cell>
          <cell r="X7470">
            <v>41000514</v>
          </cell>
        </row>
        <row r="7471">
          <cell r="K7471" t="str">
            <v>GBWS-5109</v>
          </cell>
          <cell r="L7471">
            <v>45616</v>
          </cell>
          <cell r="M7471">
            <v>45616</v>
          </cell>
          <cell r="N7471">
            <v>45625</v>
          </cell>
          <cell r="O7471">
            <v>45616</v>
          </cell>
          <cell r="P7471">
            <v>45623</v>
          </cell>
          <cell r="Q7471">
            <v>45624</v>
          </cell>
          <cell r="R7471">
            <v>45624</v>
          </cell>
          <cell r="S7471">
            <v>45625</v>
          </cell>
          <cell r="T7471">
            <v>45628</v>
          </cell>
          <cell r="U7471">
            <v>45629</v>
          </cell>
          <cell r="V7471">
            <v>45630</v>
          </cell>
          <cell r="W7471">
            <v>45630</v>
          </cell>
          <cell r="X7471">
            <v>41200006</v>
          </cell>
        </row>
        <row r="7472">
          <cell r="K7472" t="str">
            <v>GBWS-5110</v>
          </cell>
          <cell r="L7472">
            <v>45616</v>
          </cell>
          <cell r="M7472">
            <v>45616</v>
          </cell>
          <cell r="N7472">
            <v>45625</v>
          </cell>
          <cell r="O7472">
            <v>45616</v>
          </cell>
          <cell r="P7472">
            <v>45623</v>
          </cell>
          <cell r="Q7472">
            <v>45624</v>
          </cell>
          <cell r="R7472">
            <v>45624</v>
          </cell>
          <cell r="S7472">
            <v>45625</v>
          </cell>
          <cell r="T7472">
            <v>45628</v>
          </cell>
          <cell r="U7472">
            <v>45629</v>
          </cell>
          <cell r="V7472">
            <v>45630</v>
          </cell>
          <cell r="W7472">
            <v>45630</v>
          </cell>
          <cell r="X7472">
            <v>41200006</v>
          </cell>
        </row>
        <row r="7473">
          <cell r="K7473" t="str">
            <v>GBWS-5092</v>
          </cell>
          <cell r="L7473">
            <v>45616</v>
          </cell>
          <cell r="M7473">
            <v>45616</v>
          </cell>
          <cell r="N7473">
            <v>45621</v>
          </cell>
          <cell r="O7473">
            <v>45616</v>
          </cell>
          <cell r="P7473">
            <v>45624</v>
          </cell>
          <cell r="Q7473">
            <v>45623</v>
          </cell>
          <cell r="R7473">
            <v>45624</v>
          </cell>
          <cell r="S7473">
            <v>45631</v>
          </cell>
          <cell r="T7473">
            <v>45632</v>
          </cell>
          <cell r="U7473">
            <v>45635</v>
          </cell>
          <cell r="V7473">
            <v>45636</v>
          </cell>
          <cell r="W7473">
            <v>45636</v>
          </cell>
          <cell r="X7473">
            <v>41200006</v>
          </cell>
        </row>
        <row r="7474">
          <cell r="K7474" t="str">
            <v>GBWS-5093</v>
          </cell>
          <cell r="L7474">
            <v>45616</v>
          </cell>
          <cell r="M7474">
            <v>45616</v>
          </cell>
          <cell r="N7474">
            <v>45621</v>
          </cell>
          <cell r="O7474">
            <v>45616</v>
          </cell>
          <cell r="P7474">
            <v>45624</v>
          </cell>
          <cell r="Q7474">
            <v>45623</v>
          </cell>
          <cell r="R7474">
            <v>45624</v>
          </cell>
          <cell r="S7474">
            <v>45631</v>
          </cell>
          <cell r="T7474">
            <v>45632</v>
          </cell>
          <cell r="U7474">
            <v>45635</v>
          </cell>
          <cell r="V7474">
            <v>45636</v>
          </cell>
          <cell r="W7474">
            <v>45636</v>
          </cell>
          <cell r="X7474">
            <v>41200006</v>
          </cell>
        </row>
        <row r="7475">
          <cell r="K7475" t="str">
            <v>GBWS-5094</v>
          </cell>
          <cell r="L7475">
            <v>45616</v>
          </cell>
          <cell r="M7475">
            <v>45616</v>
          </cell>
          <cell r="N7475">
            <v>45621</v>
          </cell>
          <cell r="O7475">
            <v>45616</v>
          </cell>
          <cell r="P7475">
            <v>45624</v>
          </cell>
          <cell r="Q7475">
            <v>45623</v>
          </cell>
          <cell r="R7475">
            <v>45624</v>
          </cell>
          <cell r="S7475">
            <v>45637</v>
          </cell>
          <cell r="T7475">
            <v>45638</v>
          </cell>
          <cell r="U7475">
            <v>45639</v>
          </cell>
          <cell r="V7475">
            <v>45642</v>
          </cell>
          <cell r="W7475">
            <v>45642</v>
          </cell>
          <cell r="X7475">
            <v>41200006</v>
          </cell>
        </row>
        <row r="7476">
          <cell r="K7476" t="str">
            <v>GBWS-5095</v>
          </cell>
          <cell r="L7476">
            <v>45616</v>
          </cell>
          <cell r="M7476">
            <v>45616</v>
          </cell>
          <cell r="N7476">
            <v>45621</v>
          </cell>
          <cell r="O7476">
            <v>45616</v>
          </cell>
          <cell r="P7476">
            <v>45624</v>
          </cell>
          <cell r="Q7476">
            <v>45623</v>
          </cell>
          <cell r="R7476">
            <v>45624</v>
          </cell>
          <cell r="S7476">
            <v>45637</v>
          </cell>
          <cell r="T7476">
            <v>45638</v>
          </cell>
          <cell r="U7476">
            <v>45639</v>
          </cell>
          <cell r="V7476">
            <v>45642</v>
          </cell>
          <cell r="W7476">
            <v>45642</v>
          </cell>
          <cell r="X7476">
            <v>41200006</v>
          </cell>
        </row>
        <row r="7477">
          <cell r="K7477" t="str">
            <v>GBWS-5082</v>
          </cell>
          <cell r="L7477">
            <v>45614</v>
          </cell>
          <cell r="M7477">
            <v>45614</v>
          </cell>
          <cell r="N7477">
            <v>45617</v>
          </cell>
          <cell r="O7477">
            <v>45614</v>
          </cell>
          <cell r="P7477">
            <v>45617</v>
          </cell>
          <cell r="Q7477">
            <v>45621</v>
          </cell>
          <cell r="R7477">
            <v>45622</v>
          </cell>
          <cell r="S7477">
            <v>45623</v>
          </cell>
          <cell r="T7477">
            <v>45625</v>
          </cell>
          <cell r="U7477">
            <v>45625</v>
          </cell>
          <cell r="V7477">
            <v>45628</v>
          </cell>
          <cell r="W7477">
            <v>45628</v>
          </cell>
          <cell r="X7477">
            <v>41100320</v>
          </cell>
        </row>
        <row r="7478">
          <cell r="K7478" t="str">
            <v>GBWS-5153</v>
          </cell>
          <cell r="L7478">
            <v>45625</v>
          </cell>
          <cell r="M7478">
            <v>45628</v>
          </cell>
          <cell r="N7478">
            <v>45636</v>
          </cell>
          <cell r="O7478">
            <v>45628</v>
          </cell>
          <cell r="P7478">
            <v>45637</v>
          </cell>
          <cell r="Q7478">
            <v>45636</v>
          </cell>
          <cell r="R7478">
            <v>45637</v>
          </cell>
          <cell r="S7478">
            <v>45637</v>
          </cell>
          <cell r="T7478">
            <v>45638</v>
          </cell>
          <cell r="U7478">
            <v>45642</v>
          </cell>
          <cell r="V7478">
            <v>45643</v>
          </cell>
          <cell r="W7478">
            <v>45643</v>
          </cell>
          <cell r="X7478">
            <v>41100334</v>
          </cell>
        </row>
        <row r="7479">
          <cell r="K7479" t="str">
            <v>GBWS-5029</v>
          </cell>
          <cell r="L7479">
            <v>45595</v>
          </cell>
          <cell r="M7479">
            <v>45596</v>
          </cell>
          <cell r="N7479">
            <v>45603</v>
          </cell>
          <cell r="O7479">
            <v>45596</v>
          </cell>
          <cell r="P7479">
            <v>45604</v>
          </cell>
          <cell r="Q7479">
            <v>45603</v>
          </cell>
          <cell r="R7479">
            <v>45604</v>
          </cell>
          <cell r="S7479">
            <v>45628</v>
          </cell>
          <cell r="T7479">
            <v>45629</v>
          </cell>
          <cell r="U7479">
            <v>45644</v>
          </cell>
          <cell r="V7479">
            <v>45644</v>
          </cell>
          <cell r="W7479">
            <v>45644</v>
          </cell>
          <cell r="X7479">
            <v>41100334</v>
          </cell>
        </row>
        <row r="7480">
          <cell r="K7480" t="str">
            <v>GBWS-5157</v>
          </cell>
          <cell r="L7480">
            <v>45628</v>
          </cell>
          <cell r="M7480">
            <v>45629</v>
          </cell>
          <cell r="N7480">
            <v>45637</v>
          </cell>
          <cell r="O7480">
            <v>45629</v>
          </cell>
          <cell r="P7480">
            <v>45636</v>
          </cell>
          <cell r="Q7480">
            <v>45637</v>
          </cell>
          <cell r="R7480">
            <v>45638</v>
          </cell>
          <cell r="S7480">
            <v>45642</v>
          </cell>
          <cell r="T7480">
            <v>45643</v>
          </cell>
          <cell r="U7480">
            <v>45644</v>
          </cell>
          <cell r="V7480">
            <v>45645</v>
          </cell>
          <cell r="W7480">
            <v>45645</v>
          </cell>
          <cell r="X7480">
            <v>41100334</v>
          </cell>
        </row>
        <row r="7481">
          <cell r="K7481" t="str">
            <v>GBWS-5159</v>
          </cell>
          <cell r="L7481">
            <v>45629</v>
          </cell>
          <cell r="M7481">
            <v>45630</v>
          </cell>
          <cell r="N7481">
            <v>45636</v>
          </cell>
          <cell r="O7481">
            <v>45630</v>
          </cell>
          <cell r="P7481">
            <v>45638</v>
          </cell>
          <cell r="Q7481" t="str">
            <v>2024-12-12 → 12/11</v>
          </cell>
          <cell r="R7481" t="str">
            <v>2024-12-13 → 12/12</v>
          </cell>
          <cell r="S7481">
            <v>45638</v>
          </cell>
          <cell r="T7481">
            <v>45642</v>
          </cell>
          <cell r="U7481">
            <v>45643</v>
          </cell>
          <cell r="V7481">
            <v>45645</v>
          </cell>
          <cell r="W7481">
            <v>45645</v>
          </cell>
          <cell r="X7481">
            <v>41200076</v>
          </cell>
        </row>
        <row r="7482">
          <cell r="K7482" t="str">
            <v>GPWS-0438</v>
          </cell>
          <cell r="L7482">
            <v>45614</v>
          </cell>
          <cell r="M7482">
            <v>45614</v>
          </cell>
          <cell r="N7482">
            <v>45622</v>
          </cell>
          <cell r="O7482">
            <v>45614</v>
          </cell>
          <cell r="P7482">
            <v>45623</v>
          </cell>
          <cell r="Q7482">
            <v>45621</v>
          </cell>
          <cell r="R7482">
            <v>45622</v>
          </cell>
          <cell r="S7482">
            <v>45624</v>
          </cell>
          <cell r="T7482">
            <v>45625</v>
          </cell>
          <cell r="U7482">
            <v>45629</v>
          </cell>
          <cell r="V7482">
            <v>45629</v>
          </cell>
          <cell r="W7482">
            <v>45629</v>
          </cell>
          <cell r="X7482">
            <v>41200078</v>
          </cell>
        </row>
        <row r="7483">
          <cell r="K7483" t="str">
            <v>GPWS-0437</v>
          </cell>
          <cell r="L7483">
            <v>45614</v>
          </cell>
          <cell r="M7483">
            <v>45614</v>
          </cell>
          <cell r="N7483">
            <v>45621</v>
          </cell>
          <cell r="O7483">
            <v>45614</v>
          </cell>
          <cell r="P7483">
            <v>45623</v>
          </cell>
          <cell r="Q7483">
            <v>45622</v>
          </cell>
          <cell r="R7483">
            <v>45623</v>
          </cell>
          <cell r="S7483">
            <v>45624</v>
          </cell>
          <cell r="T7483">
            <v>45625</v>
          </cell>
          <cell r="U7483">
            <v>45629</v>
          </cell>
          <cell r="V7483">
            <v>45629</v>
          </cell>
          <cell r="W7483">
            <v>45629</v>
          </cell>
          <cell r="X7483" t="str">
            <v>41200070 → 41200061</v>
          </cell>
        </row>
        <row r="7484">
          <cell r="K7484" t="str">
            <v>GBWS-5135</v>
          </cell>
          <cell r="L7484">
            <v>45621</v>
          </cell>
          <cell r="M7484">
            <v>45622</v>
          </cell>
          <cell r="N7484">
            <v>45628</v>
          </cell>
          <cell r="O7484">
            <v>45622</v>
          </cell>
          <cell r="P7484">
            <v>45629</v>
          </cell>
          <cell r="Q7484">
            <v>45629</v>
          </cell>
          <cell r="R7484">
            <v>45630</v>
          </cell>
          <cell r="S7484">
            <v>45638</v>
          </cell>
          <cell r="T7484">
            <v>45639</v>
          </cell>
          <cell r="U7484">
            <v>45643</v>
          </cell>
          <cell r="V7484">
            <v>45643</v>
          </cell>
          <cell r="W7484">
            <v>45643</v>
          </cell>
          <cell r="X7484">
            <v>41200033</v>
          </cell>
        </row>
        <row r="7485">
          <cell r="K7485" t="str">
            <v>GBWS-5158</v>
          </cell>
          <cell r="L7485">
            <v>45628</v>
          </cell>
          <cell r="M7485">
            <v>45629</v>
          </cell>
          <cell r="N7485">
            <v>45636</v>
          </cell>
          <cell r="O7485">
            <v>45629</v>
          </cell>
          <cell r="P7485">
            <v>45638</v>
          </cell>
          <cell r="Q7485">
            <v>45637</v>
          </cell>
          <cell r="R7485">
            <v>45638</v>
          </cell>
          <cell r="S7485">
            <v>45638</v>
          </cell>
          <cell r="T7485">
            <v>45642</v>
          </cell>
          <cell r="U7485">
            <v>45643</v>
          </cell>
          <cell r="V7485">
            <v>45644</v>
          </cell>
          <cell r="W7485">
            <v>45644</v>
          </cell>
          <cell r="X7485">
            <v>41200034</v>
          </cell>
        </row>
        <row r="7486">
          <cell r="K7486" t="str">
            <v>GBWS-5154</v>
          </cell>
          <cell r="L7486">
            <v>45625</v>
          </cell>
          <cell r="M7486">
            <v>45628</v>
          </cell>
          <cell r="N7486">
            <v>45636</v>
          </cell>
          <cell r="O7486">
            <v>45628</v>
          </cell>
          <cell r="P7486">
            <v>45636</v>
          </cell>
          <cell r="Q7486">
            <v>45636</v>
          </cell>
          <cell r="R7486">
            <v>45637</v>
          </cell>
          <cell r="S7486">
            <v>45638</v>
          </cell>
          <cell r="T7486">
            <v>45639</v>
          </cell>
          <cell r="U7486">
            <v>45642</v>
          </cell>
          <cell r="V7486">
            <v>45643</v>
          </cell>
          <cell r="W7486">
            <v>45643</v>
          </cell>
          <cell r="X7486">
            <v>41200036</v>
          </cell>
        </row>
        <row r="7487">
          <cell r="K7487" t="str">
            <v>GBWS-5155</v>
          </cell>
          <cell r="L7487">
            <v>45625</v>
          </cell>
          <cell r="M7487">
            <v>45628</v>
          </cell>
          <cell r="N7487">
            <v>45636</v>
          </cell>
          <cell r="O7487">
            <v>45628</v>
          </cell>
          <cell r="P7487">
            <v>45636</v>
          </cell>
          <cell r="Q7487">
            <v>45636</v>
          </cell>
          <cell r="R7487">
            <v>45637</v>
          </cell>
          <cell r="S7487">
            <v>45638</v>
          </cell>
          <cell r="T7487">
            <v>45639</v>
          </cell>
          <cell r="U7487">
            <v>45642</v>
          </cell>
          <cell r="V7487">
            <v>45643</v>
          </cell>
          <cell r="W7487">
            <v>45643</v>
          </cell>
          <cell r="X7487">
            <v>41200036</v>
          </cell>
        </row>
        <row r="7488">
          <cell r="K7488" t="str">
            <v>GBWS-5156</v>
          </cell>
          <cell r="L7488">
            <v>45625</v>
          </cell>
          <cell r="M7488">
            <v>45628</v>
          </cell>
          <cell r="N7488">
            <v>45636</v>
          </cell>
          <cell r="O7488">
            <v>45628</v>
          </cell>
          <cell r="P7488">
            <v>45636</v>
          </cell>
          <cell r="Q7488">
            <v>45636</v>
          </cell>
          <cell r="R7488">
            <v>45637</v>
          </cell>
          <cell r="S7488">
            <v>45638</v>
          </cell>
          <cell r="T7488">
            <v>45639</v>
          </cell>
          <cell r="U7488">
            <v>45642</v>
          </cell>
          <cell r="V7488">
            <v>45643</v>
          </cell>
          <cell r="W7488">
            <v>45643</v>
          </cell>
          <cell r="X7488">
            <v>41200039</v>
          </cell>
        </row>
        <row r="7489">
          <cell r="K7489" t="str">
            <v>GBWS-5161</v>
          </cell>
          <cell r="L7489">
            <v>45629</v>
          </cell>
          <cell r="M7489">
            <v>45630</v>
          </cell>
          <cell r="N7489">
            <v>45637</v>
          </cell>
          <cell r="O7489">
            <v>45630</v>
          </cell>
          <cell r="P7489">
            <v>45639</v>
          </cell>
          <cell r="Q7489">
            <v>45638</v>
          </cell>
          <cell r="R7489">
            <v>45639</v>
          </cell>
          <cell r="S7489">
            <v>45642</v>
          </cell>
          <cell r="T7489">
            <v>45643</v>
          </cell>
          <cell r="U7489">
            <v>45644</v>
          </cell>
          <cell r="V7489">
            <v>45645</v>
          </cell>
          <cell r="W7489">
            <v>45645</v>
          </cell>
          <cell r="X7489">
            <v>41200039</v>
          </cell>
        </row>
        <row r="7490">
          <cell r="K7490" t="str">
            <v>GBWS-5162</v>
          </cell>
          <cell r="L7490">
            <v>45629</v>
          </cell>
          <cell r="M7490">
            <v>45630</v>
          </cell>
          <cell r="N7490">
            <v>45637</v>
          </cell>
          <cell r="O7490">
            <v>45630</v>
          </cell>
          <cell r="P7490">
            <v>45639</v>
          </cell>
          <cell r="Q7490">
            <v>45638</v>
          </cell>
          <cell r="R7490">
            <v>45639</v>
          </cell>
          <cell r="S7490">
            <v>45642</v>
          </cell>
          <cell r="T7490">
            <v>45643</v>
          </cell>
          <cell r="U7490">
            <v>45644</v>
          </cell>
          <cell r="V7490">
            <v>45645</v>
          </cell>
          <cell r="W7490">
            <v>45645</v>
          </cell>
          <cell r="X7490">
            <v>41200039</v>
          </cell>
        </row>
        <row r="7491">
          <cell r="K7491" t="str">
            <v>GBWS-5163</v>
          </cell>
          <cell r="L7491">
            <v>45629</v>
          </cell>
          <cell r="M7491">
            <v>45630</v>
          </cell>
          <cell r="N7491">
            <v>45637</v>
          </cell>
          <cell r="O7491">
            <v>45630</v>
          </cell>
          <cell r="P7491">
            <v>45639</v>
          </cell>
          <cell r="Q7491">
            <v>45638</v>
          </cell>
          <cell r="R7491">
            <v>45639</v>
          </cell>
          <cell r="S7491">
            <v>45642</v>
          </cell>
          <cell r="T7491">
            <v>45643</v>
          </cell>
          <cell r="U7491">
            <v>45644</v>
          </cell>
          <cell r="V7491">
            <v>45645</v>
          </cell>
          <cell r="W7491">
            <v>45645</v>
          </cell>
          <cell r="X7491">
            <v>41200039</v>
          </cell>
        </row>
        <row r="7492">
          <cell r="K7492" t="str">
            <v>GPWS-0441</v>
          </cell>
          <cell r="L7492">
            <v>45625</v>
          </cell>
          <cell r="M7492" t="str">
            <v>2024-12-04 → 12/2</v>
          </cell>
          <cell r="N7492">
            <v>45637</v>
          </cell>
          <cell r="O7492" t="str">
            <v>2024-12-04 → 12/2</v>
          </cell>
          <cell r="P7492">
            <v>45637</v>
          </cell>
          <cell r="Q7492" t="str">
            <v>2024-12-11 → 12/9</v>
          </cell>
          <cell r="R7492" t="str">
            <v>2024-12-12 → 12/10</v>
          </cell>
          <cell r="S7492">
            <v>45638</v>
          </cell>
          <cell r="T7492">
            <v>45638</v>
          </cell>
          <cell r="U7492">
            <v>45645</v>
          </cell>
          <cell r="V7492">
            <v>45646</v>
          </cell>
          <cell r="W7492">
            <v>45646</v>
          </cell>
          <cell r="X7492" t="str">
            <v>41000562 → 41200094</v>
          </cell>
        </row>
        <row r="7493">
          <cell r="K7493" t="str">
            <v>GPWS-0440</v>
          </cell>
          <cell r="L7493">
            <v>45625</v>
          </cell>
          <cell r="M7493" t="str">
            <v>2024-12-04 → 12/2</v>
          </cell>
          <cell r="N7493">
            <v>45637</v>
          </cell>
          <cell r="O7493" t="str">
            <v>2024-12-04 → 12/2</v>
          </cell>
          <cell r="P7493">
            <v>45637</v>
          </cell>
          <cell r="Q7493" t="str">
            <v>2024-12-11 → 12/9</v>
          </cell>
          <cell r="R7493" t="str">
            <v>2024-12-12 → 12/10</v>
          </cell>
          <cell r="S7493">
            <v>45638</v>
          </cell>
          <cell r="T7493">
            <v>45642</v>
          </cell>
          <cell r="U7493">
            <v>45646</v>
          </cell>
          <cell r="V7493">
            <v>45646</v>
          </cell>
          <cell r="W7493">
            <v>45646</v>
          </cell>
          <cell r="X7493" t="str">
            <v>41000562 → 41200094</v>
          </cell>
        </row>
        <row r="7494">
          <cell r="K7494" t="str">
            <v>GPWS-0442</v>
          </cell>
          <cell r="L7494">
            <v>45625</v>
          </cell>
          <cell r="M7494" t="str">
            <v>2024-12-04 → 12/2</v>
          </cell>
          <cell r="N7494">
            <v>45637</v>
          </cell>
          <cell r="O7494" t="str">
            <v>2024-12-04 → 12/2</v>
          </cell>
          <cell r="P7494">
            <v>45637</v>
          </cell>
          <cell r="Q7494" t="str">
            <v>2024-12-11 → 12/9</v>
          </cell>
          <cell r="R7494" t="str">
            <v>2024-12-12 → 12/10</v>
          </cell>
          <cell r="S7494">
            <v>45638</v>
          </cell>
          <cell r="T7494">
            <v>45642</v>
          </cell>
          <cell r="U7494">
            <v>45646</v>
          </cell>
          <cell r="V7494">
            <v>45646</v>
          </cell>
          <cell r="W7494">
            <v>45646</v>
          </cell>
          <cell r="X7494" t="str">
            <v>41000562 → 41200094</v>
          </cell>
        </row>
        <row r="7495">
          <cell r="K7495" t="str">
            <v>DBW-3571</v>
          </cell>
          <cell r="L7495">
            <v>45628</v>
          </cell>
          <cell r="M7495">
            <v>45629</v>
          </cell>
          <cell r="N7495">
            <v>45636</v>
          </cell>
          <cell r="O7495">
            <v>45629</v>
          </cell>
          <cell r="P7495">
            <v>45638</v>
          </cell>
          <cell r="Q7495">
            <v>45636</v>
          </cell>
          <cell r="R7495">
            <v>45637</v>
          </cell>
          <cell r="S7495">
            <v>45638</v>
          </cell>
          <cell r="T7495">
            <v>45639</v>
          </cell>
          <cell r="U7495">
            <v>45642</v>
          </cell>
          <cell r="V7495">
            <v>45643</v>
          </cell>
          <cell r="W7495">
            <v>45643</v>
          </cell>
          <cell r="X7495">
            <v>41000590</v>
          </cell>
        </row>
        <row r="7496">
          <cell r="K7496" t="str">
            <v>DBW-3572</v>
          </cell>
          <cell r="L7496">
            <v>45628</v>
          </cell>
          <cell r="M7496">
            <v>45629</v>
          </cell>
          <cell r="N7496">
            <v>45636</v>
          </cell>
          <cell r="O7496">
            <v>45629</v>
          </cell>
          <cell r="P7496">
            <v>45638</v>
          </cell>
          <cell r="Q7496">
            <v>45636</v>
          </cell>
          <cell r="R7496">
            <v>45637</v>
          </cell>
          <cell r="S7496">
            <v>45638</v>
          </cell>
          <cell r="T7496">
            <v>45639</v>
          </cell>
          <cell r="U7496">
            <v>45642</v>
          </cell>
          <cell r="V7496">
            <v>45643</v>
          </cell>
          <cell r="W7496">
            <v>45643</v>
          </cell>
          <cell r="X7496">
            <v>41000590</v>
          </cell>
        </row>
        <row r="7497">
          <cell r="K7497" t="str">
            <v>GBWS-5116</v>
          </cell>
          <cell r="L7497">
            <v>45616</v>
          </cell>
          <cell r="M7497">
            <v>45617</v>
          </cell>
          <cell r="N7497">
            <v>45625</v>
          </cell>
          <cell r="O7497">
            <v>45617</v>
          </cell>
          <cell r="P7497">
            <v>45626</v>
          </cell>
          <cell r="Q7497">
            <v>45624</v>
          </cell>
          <cell r="R7497">
            <v>45625</v>
          </cell>
          <cell r="S7497">
            <v>45643</v>
          </cell>
          <cell r="T7497">
            <v>45644</v>
          </cell>
          <cell r="U7497">
            <v>45645</v>
          </cell>
          <cell r="V7497">
            <v>45646</v>
          </cell>
          <cell r="W7497">
            <v>45646</v>
          </cell>
          <cell r="X7497">
            <v>41000574</v>
          </cell>
        </row>
        <row r="7498">
          <cell r="K7498" t="str">
            <v>GBWS-5117</v>
          </cell>
          <cell r="L7498">
            <v>45616</v>
          </cell>
          <cell r="M7498">
            <v>45617</v>
          </cell>
          <cell r="N7498">
            <v>45625</v>
          </cell>
          <cell r="O7498">
            <v>45617</v>
          </cell>
          <cell r="P7498">
            <v>45626</v>
          </cell>
          <cell r="Q7498">
            <v>45624</v>
          </cell>
          <cell r="R7498">
            <v>45625</v>
          </cell>
          <cell r="S7498">
            <v>45643</v>
          </cell>
          <cell r="T7498">
            <v>45644</v>
          </cell>
          <cell r="U7498">
            <v>45645</v>
          </cell>
          <cell r="V7498">
            <v>45646</v>
          </cell>
          <cell r="W7498">
            <v>45646</v>
          </cell>
          <cell r="X7498">
            <v>41000574</v>
          </cell>
        </row>
        <row r="7499">
          <cell r="K7499" t="str">
            <v>GBWS-5118</v>
          </cell>
          <cell r="L7499">
            <v>45616</v>
          </cell>
          <cell r="M7499">
            <v>45617</v>
          </cell>
          <cell r="N7499">
            <v>45625</v>
          </cell>
          <cell r="O7499">
            <v>45617</v>
          </cell>
          <cell r="P7499">
            <v>45626</v>
          </cell>
          <cell r="Q7499">
            <v>45624</v>
          </cell>
          <cell r="R7499">
            <v>45625</v>
          </cell>
          <cell r="S7499">
            <v>45639</v>
          </cell>
          <cell r="T7499">
            <v>45642</v>
          </cell>
          <cell r="U7499">
            <v>45643</v>
          </cell>
          <cell r="V7499">
            <v>45645</v>
          </cell>
          <cell r="W7499">
            <v>45645</v>
          </cell>
          <cell r="X7499">
            <v>41000574</v>
          </cell>
        </row>
        <row r="7500">
          <cell r="K7500" t="str">
            <v>GBWS-5119</v>
          </cell>
          <cell r="L7500">
            <v>45616</v>
          </cell>
          <cell r="M7500">
            <v>45617</v>
          </cell>
          <cell r="N7500">
            <v>45625</v>
          </cell>
          <cell r="O7500">
            <v>45617</v>
          </cell>
          <cell r="P7500">
            <v>45626</v>
          </cell>
          <cell r="Q7500">
            <v>45624</v>
          </cell>
          <cell r="R7500">
            <v>45625</v>
          </cell>
          <cell r="S7500">
            <v>45639</v>
          </cell>
          <cell r="T7500">
            <v>45642</v>
          </cell>
          <cell r="U7500">
            <v>45643</v>
          </cell>
          <cell r="V7500">
            <v>45645</v>
          </cell>
          <cell r="W7500">
            <v>45645</v>
          </cell>
          <cell r="X7500">
            <v>41000574</v>
          </cell>
        </row>
        <row r="7501">
          <cell r="K7501" t="str">
            <v>GBWS-5168</v>
          </cell>
          <cell r="L7501">
            <v>45629</v>
          </cell>
          <cell r="M7501">
            <v>45631</v>
          </cell>
          <cell r="N7501">
            <v>45639</v>
          </cell>
          <cell r="O7501">
            <v>45631</v>
          </cell>
          <cell r="P7501">
            <v>45643</v>
          </cell>
          <cell r="Q7501" t="str">
            <v>2024-12-13 → 12/12</v>
          </cell>
          <cell r="R7501" t="str">
            <v>2024-12-16 → 12/13</v>
          </cell>
          <cell r="S7501">
            <v>45642</v>
          </cell>
          <cell r="T7501">
            <v>45643</v>
          </cell>
          <cell r="U7501">
            <v>45644</v>
          </cell>
          <cell r="V7501">
            <v>45645</v>
          </cell>
          <cell r="W7501">
            <v>45645</v>
          </cell>
          <cell r="X7501">
            <v>41200084</v>
          </cell>
        </row>
        <row r="7502">
          <cell r="K7502" t="str">
            <v>GBWS-5169</v>
          </cell>
          <cell r="L7502">
            <v>45629</v>
          </cell>
          <cell r="M7502">
            <v>45631</v>
          </cell>
          <cell r="N7502">
            <v>45639</v>
          </cell>
          <cell r="O7502">
            <v>45631</v>
          </cell>
          <cell r="P7502">
            <v>45643</v>
          </cell>
          <cell r="Q7502" t="str">
            <v>2024-12-13 → 12/12</v>
          </cell>
          <cell r="R7502" t="str">
            <v>2024-12-16 → 12/13</v>
          </cell>
          <cell r="S7502">
            <v>45642</v>
          </cell>
          <cell r="T7502">
            <v>45643</v>
          </cell>
          <cell r="U7502">
            <v>45644</v>
          </cell>
          <cell r="V7502">
            <v>45645</v>
          </cell>
          <cell r="W7502">
            <v>45645</v>
          </cell>
          <cell r="X7502">
            <v>41200084</v>
          </cell>
        </row>
        <row r="7503">
          <cell r="K7503" t="str">
            <v>GBWS-5170</v>
          </cell>
          <cell r="L7503">
            <v>45629</v>
          </cell>
          <cell r="M7503">
            <v>45631</v>
          </cell>
          <cell r="N7503">
            <v>45639</v>
          </cell>
          <cell r="O7503">
            <v>45631</v>
          </cell>
          <cell r="P7503">
            <v>45643</v>
          </cell>
          <cell r="Q7503" t="str">
            <v>2024-12-13 → 12/12</v>
          </cell>
          <cell r="R7503" t="str">
            <v>2024-12-16 → 12/13</v>
          </cell>
          <cell r="S7503">
            <v>45642</v>
          </cell>
          <cell r="T7503">
            <v>45643</v>
          </cell>
          <cell r="U7503">
            <v>45645</v>
          </cell>
          <cell r="V7503">
            <v>45646</v>
          </cell>
          <cell r="W7503">
            <v>45646</v>
          </cell>
          <cell r="X7503">
            <v>41200084</v>
          </cell>
        </row>
        <row r="7504">
          <cell r="K7504" t="str">
            <v>GBWS-5171</v>
          </cell>
          <cell r="L7504">
            <v>45629</v>
          </cell>
          <cell r="M7504">
            <v>45631</v>
          </cell>
          <cell r="N7504">
            <v>45639</v>
          </cell>
          <cell r="O7504">
            <v>45631</v>
          </cell>
          <cell r="P7504">
            <v>45643</v>
          </cell>
          <cell r="Q7504" t="str">
            <v>2024-12-13 → 12/12</v>
          </cell>
          <cell r="R7504" t="str">
            <v>2024-12-16 → 12/13</v>
          </cell>
          <cell r="S7504">
            <v>45642</v>
          </cell>
          <cell r="T7504">
            <v>45643</v>
          </cell>
          <cell r="U7504">
            <v>45645</v>
          </cell>
          <cell r="V7504">
            <v>45646</v>
          </cell>
          <cell r="W7504">
            <v>45646</v>
          </cell>
          <cell r="X7504">
            <v>41200084</v>
          </cell>
        </row>
        <row r="7505">
          <cell r="K7505" t="str">
            <v>GBWS-5074</v>
          </cell>
          <cell r="L7505">
            <v>45610</v>
          </cell>
          <cell r="M7505">
            <v>45610</v>
          </cell>
          <cell r="N7505">
            <v>45617</v>
          </cell>
          <cell r="O7505">
            <v>45610</v>
          </cell>
          <cell r="P7505">
            <v>45617</v>
          </cell>
          <cell r="Q7505">
            <v>45617</v>
          </cell>
          <cell r="R7505">
            <v>45618</v>
          </cell>
          <cell r="S7505">
            <v>45622</v>
          </cell>
          <cell r="T7505">
            <v>45623</v>
          </cell>
          <cell r="U7505">
            <v>45624</v>
          </cell>
          <cell r="V7505">
            <v>45625</v>
          </cell>
          <cell r="W7505">
            <v>45625</v>
          </cell>
          <cell r="X7505">
            <v>41000516</v>
          </cell>
        </row>
        <row r="7506">
          <cell r="K7506" t="str">
            <v>GBWS-5075</v>
          </cell>
          <cell r="L7506">
            <v>45610</v>
          </cell>
          <cell r="M7506">
            <v>45610</v>
          </cell>
          <cell r="N7506">
            <v>45617</v>
          </cell>
          <cell r="O7506">
            <v>45610</v>
          </cell>
          <cell r="P7506">
            <v>45617</v>
          </cell>
          <cell r="Q7506">
            <v>45617</v>
          </cell>
          <cell r="R7506">
            <v>45618</v>
          </cell>
          <cell r="S7506">
            <v>45622</v>
          </cell>
          <cell r="T7506">
            <v>45623</v>
          </cell>
          <cell r="U7506">
            <v>45624</v>
          </cell>
          <cell r="V7506">
            <v>45625</v>
          </cell>
          <cell r="W7506">
            <v>45625</v>
          </cell>
          <cell r="X7506">
            <v>41000516</v>
          </cell>
        </row>
        <row r="7507">
          <cell r="K7507" t="str">
            <v>GBWS-5160</v>
          </cell>
          <cell r="L7507">
            <v>45629</v>
          </cell>
          <cell r="M7507">
            <v>45630</v>
          </cell>
          <cell r="N7507">
            <v>45637</v>
          </cell>
          <cell r="O7507">
            <v>45630</v>
          </cell>
          <cell r="P7507">
            <v>45639</v>
          </cell>
          <cell r="Q7507">
            <v>45638</v>
          </cell>
          <cell r="R7507">
            <v>45639</v>
          </cell>
          <cell r="S7507">
            <v>45642</v>
          </cell>
          <cell r="T7507">
            <v>45644</v>
          </cell>
          <cell r="U7507">
            <v>45645</v>
          </cell>
          <cell r="V7507">
            <v>45649</v>
          </cell>
          <cell r="W7507">
            <v>45649</v>
          </cell>
          <cell r="X7507">
            <v>41200038</v>
          </cell>
        </row>
        <row r="7508">
          <cell r="K7508" t="str">
            <v>GBWS-5172</v>
          </cell>
          <cell r="L7508">
            <v>45629</v>
          </cell>
          <cell r="M7508">
            <v>45631</v>
          </cell>
          <cell r="N7508">
            <v>45639</v>
          </cell>
          <cell r="O7508">
            <v>45631</v>
          </cell>
          <cell r="P7508">
            <v>45643</v>
          </cell>
          <cell r="Q7508">
            <v>45639</v>
          </cell>
          <cell r="R7508">
            <v>45642</v>
          </cell>
          <cell r="S7508">
            <v>45643</v>
          </cell>
          <cell r="T7508">
            <v>45644</v>
          </cell>
          <cell r="U7508">
            <v>45646</v>
          </cell>
          <cell r="V7508">
            <v>45649</v>
          </cell>
          <cell r="W7508">
            <v>45649</v>
          </cell>
          <cell r="X7508">
            <v>41200046</v>
          </cell>
        </row>
        <row r="7509">
          <cell r="K7509" t="str">
            <v>GBWS-5173</v>
          </cell>
          <cell r="L7509">
            <v>45629</v>
          </cell>
          <cell r="M7509">
            <v>45631</v>
          </cell>
          <cell r="N7509">
            <v>45639</v>
          </cell>
          <cell r="O7509">
            <v>45631</v>
          </cell>
          <cell r="P7509">
            <v>45643</v>
          </cell>
          <cell r="Q7509">
            <v>45639</v>
          </cell>
          <cell r="R7509">
            <v>45642</v>
          </cell>
          <cell r="S7509">
            <v>45643</v>
          </cell>
          <cell r="T7509">
            <v>45644</v>
          </cell>
          <cell r="U7509">
            <v>45645</v>
          </cell>
          <cell r="V7509">
            <v>45646</v>
          </cell>
          <cell r="W7509">
            <v>45646</v>
          </cell>
          <cell r="X7509">
            <v>41200046</v>
          </cell>
        </row>
        <row r="7510">
          <cell r="K7510" t="str">
            <v>GBWS-5174</v>
          </cell>
          <cell r="L7510">
            <v>45629</v>
          </cell>
          <cell r="M7510">
            <v>45631</v>
          </cell>
          <cell r="N7510">
            <v>45639</v>
          </cell>
          <cell r="O7510">
            <v>45631</v>
          </cell>
          <cell r="P7510">
            <v>45643</v>
          </cell>
          <cell r="Q7510">
            <v>45639</v>
          </cell>
          <cell r="R7510">
            <v>45642</v>
          </cell>
          <cell r="S7510">
            <v>45643</v>
          </cell>
          <cell r="T7510">
            <v>45644</v>
          </cell>
          <cell r="U7510">
            <v>45645</v>
          </cell>
          <cell r="V7510">
            <v>45646</v>
          </cell>
          <cell r="W7510">
            <v>45646</v>
          </cell>
          <cell r="X7510">
            <v>41200048</v>
          </cell>
        </row>
        <row r="7511">
          <cell r="K7511" t="str">
            <v>GBWS-5189</v>
          </cell>
          <cell r="L7511">
            <v>45635</v>
          </cell>
          <cell r="M7511">
            <v>45637</v>
          </cell>
          <cell r="N7511">
            <v>45644</v>
          </cell>
          <cell r="O7511">
            <v>45637</v>
          </cell>
          <cell r="P7511">
            <v>45644</v>
          </cell>
          <cell r="Q7511">
            <v>45643</v>
          </cell>
          <cell r="R7511">
            <v>45644</v>
          </cell>
          <cell r="S7511">
            <v>45645</v>
          </cell>
          <cell r="T7511">
            <v>45645</v>
          </cell>
          <cell r="U7511">
            <v>45646</v>
          </cell>
          <cell r="V7511">
            <v>45649</v>
          </cell>
          <cell r="W7511">
            <v>45649</v>
          </cell>
          <cell r="X7511">
            <v>41200042</v>
          </cell>
        </row>
        <row r="7512">
          <cell r="K7512" t="str">
            <v>GBWS-5181</v>
          </cell>
          <cell r="L7512">
            <v>45635</v>
          </cell>
          <cell r="M7512">
            <v>45637</v>
          </cell>
          <cell r="N7512">
            <v>45644</v>
          </cell>
          <cell r="O7512">
            <v>45637</v>
          </cell>
          <cell r="P7512">
            <v>45645</v>
          </cell>
          <cell r="Q7512" t="str">
            <v>2024-12-19 → 12/18</v>
          </cell>
          <cell r="R7512" t="str">
            <v>2024-12-20 → 12/19</v>
          </cell>
          <cell r="S7512">
            <v>45646</v>
          </cell>
          <cell r="T7512">
            <v>45649</v>
          </cell>
          <cell r="U7512">
            <v>45650</v>
          </cell>
          <cell r="V7512">
            <v>45652</v>
          </cell>
          <cell r="W7512">
            <v>45652</v>
          </cell>
          <cell r="X7512">
            <v>41000556</v>
          </cell>
        </row>
        <row r="7513">
          <cell r="K7513" t="str">
            <v>GBWS-5129</v>
          </cell>
          <cell r="L7513">
            <v>45618</v>
          </cell>
          <cell r="M7513">
            <v>45621</v>
          </cell>
          <cell r="N7513">
            <v>45628</v>
          </cell>
          <cell r="O7513">
            <v>45621</v>
          </cell>
          <cell r="P7513">
            <v>45629</v>
          </cell>
          <cell r="Q7513">
            <v>45629</v>
          </cell>
          <cell r="R7513">
            <v>45630</v>
          </cell>
          <cell r="S7513">
            <v>45631</v>
          </cell>
          <cell r="T7513">
            <v>45632</v>
          </cell>
          <cell r="U7513">
            <v>45635</v>
          </cell>
          <cell r="V7513">
            <v>45636</v>
          </cell>
          <cell r="W7513">
            <v>45636</v>
          </cell>
          <cell r="X7513">
            <v>41200006</v>
          </cell>
        </row>
        <row r="7514">
          <cell r="K7514" t="str">
            <v>GBWS-5130</v>
          </cell>
          <cell r="L7514">
            <v>45618</v>
          </cell>
          <cell r="M7514">
            <v>45621</v>
          </cell>
          <cell r="N7514">
            <v>45628</v>
          </cell>
          <cell r="O7514">
            <v>45621</v>
          </cell>
          <cell r="P7514">
            <v>45629</v>
          </cell>
          <cell r="Q7514">
            <v>45629</v>
          </cell>
          <cell r="R7514">
            <v>45630</v>
          </cell>
          <cell r="S7514">
            <v>45631</v>
          </cell>
          <cell r="T7514">
            <v>45632</v>
          </cell>
          <cell r="U7514">
            <v>45635</v>
          </cell>
          <cell r="V7514">
            <v>45636</v>
          </cell>
          <cell r="W7514">
            <v>45636</v>
          </cell>
          <cell r="X7514">
            <v>41200006</v>
          </cell>
        </row>
        <row r="7515">
          <cell r="K7515" t="str">
            <v>GBWS-5131</v>
          </cell>
          <cell r="L7515">
            <v>45618</v>
          </cell>
          <cell r="M7515">
            <v>45621</v>
          </cell>
          <cell r="N7515">
            <v>45628</v>
          </cell>
          <cell r="O7515">
            <v>45621</v>
          </cell>
          <cell r="P7515">
            <v>45629</v>
          </cell>
          <cell r="Q7515">
            <v>45629</v>
          </cell>
          <cell r="R7515">
            <v>45630</v>
          </cell>
          <cell r="S7515">
            <v>45631</v>
          </cell>
          <cell r="T7515">
            <v>45632</v>
          </cell>
          <cell r="U7515">
            <v>45635</v>
          </cell>
          <cell r="V7515">
            <v>45636</v>
          </cell>
          <cell r="W7515">
            <v>45636</v>
          </cell>
          <cell r="X7515">
            <v>41200006</v>
          </cell>
        </row>
        <row r="7516">
          <cell r="K7516" t="str">
            <v>GBWS-5132</v>
          </cell>
          <cell r="L7516">
            <v>45618</v>
          </cell>
          <cell r="M7516">
            <v>45621</v>
          </cell>
          <cell r="N7516">
            <v>45630</v>
          </cell>
          <cell r="O7516">
            <v>45621</v>
          </cell>
          <cell r="P7516">
            <v>45630</v>
          </cell>
          <cell r="Q7516">
            <v>45630</v>
          </cell>
          <cell r="R7516">
            <v>45631</v>
          </cell>
          <cell r="S7516">
            <v>45635</v>
          </cell>
          <cell r="T7516">
            <v>45636</v>
          </cell>
          <cell r="U7516">
            <v>45637</v>
          </cell>
          <cell r="V7516">
            <v>45638</v>
          </cell>
          <cell r="W7516">
            <v>45638</v>
          </cell>
          <cell r="X7516">
            <v>41200006</v>
          </cell>
        </row>
        <row r="7517">
          <cell r="K7517" t="str">
            <v>GBWS-5164</v>
          </cell>
          <cell r="L7517">
            <v>45629</v>
          </cell>
          <cell r="M7517">
            <v>45630</v>
          </cell>
          <cell r="N7517">
            <v>45639</v>
          </cell>
          <cell r="O7517">
            <v>45630</v>
          </cell>
          <cell r="P7517">
            <v>45639</v>
          </cell>
          <cell r="Q7517">
            <v>45638</v>
          </cell>
          <cell r="R7517">
            <v>45639</v>
          </cell>
          <cell r="S7517">
            <v>45643</v>
          </cell>
          <cell r="T7517">
            <v>45644</v>
          </cell>
          <cell r="U7517">
            <v>45646</v>
          </cell>
          <cell r="V7517">
            <v>45649</v>
          </cell>
          <cell r="W7517">
            <v>45649</v>
          </cell>
          <cell r="X7517">
            <v>41200007</v>
          </cell>
        </row>
        <row r="7518">
          <cell r="K7518" t="str">
            <v>GBWS-5165</v>
          </cell>
          <cell r="L7518">
            <v>45629</v>
          </cell>
          <cell r="M7518">
            <v>45630</v>
          </cell>
          <cell r="N7518">
            <v>45639</v>
          </cell>
          <cell r="O7518">
            <v>45630</v>
          </cell>
          <cell r="P7518">
            <v>45639</v>
          </cell>
          <cell r="Q7518">
            <v>45638</v>
          </cell>
          <cell r="R7518">
            <v>45639</v>
          </cell>
          <cell r="S7518">
            <v>45644</v>
          </cell>
          <cell r="T7518">
            <v>45645</v>
          </cell>
          <cell r="U7518">
            <v>45646</v>
          </cell>
          <cell r="V7518">
            <v>45649</v>
          </cell>
          <cell r="W7518">
            <v>45649</v>
          </cell>
          <cell r="X7518">
            <v>41200007</v>
          </cell>
        </row>
        <row r="7519">
          <cell r="K7519" t="str">
            <v>GBWS-5112</v>
          </cell>
          <cell r="L7519">
            <v>45635</v>
          </cell>
          <cell r="M7519" t="str">
            <v>2024-11-21 → 12/11</v>
          </cell>
          <cell r="N7519">
            <v>45645</v>
          </cell>
          <cell r="O7519" t="str">
            <v>2024-11-21 → 12/11</v>
          </cell>
          <cell r="P7519">
            <v>45646</v>
          </cell>
          <cell r="Q7519" t="str">
            <v>2024-11-28 → 12/19</v>
          </cell>
          <cell r="R7519" t="str">
            <v>2024-11-29 → 12/20</v>
          </cell>
          <cell r="S7519">
            <v>45649</v>
          </cell>
          <cell r="T7519">
            <v>45650</v>
          </cell>
          <cell r="U7519">
            <v>45652</v>
          </cell>
          <cell r="V7519">
            <v>45653</v>
          </cell>
          <cell r="W7519">
            <v>45653</v>
          </cell>
          <cell r="X7519">
            <v>41200075</v>
          </cell>
        </row>
        <row r="7520">
          <cell r="K7520" t="str">
            <v>GBWS-5067</v>
          </cell>
          <cell r="L7520">
            <v>45608</v>
          </cell>
          <cell r="M7520">
            <v>45608</v>
          </cell>
          <cell r="N7520">
            <v>45615</v>
          </cell>
          <cell r="O7520">
            <v>45608</v>
          </cell>
          <cell r="P7520">
            <v>45615</v>
          </cell>
          <cell r="Q7520">
            <v>45615</v>
          </cell>
          <cell r="R7520">
            <v>45616</v>
          </cell>
          <cell r="S7520">
            <v>45649</v>
          </cell>
          <cell r="T7520">
            <v>45650</v>
          </cell>
          <cell r="U7520">
            <v>45652</v>
          </cell>
          <cell r="V7520">
            <v>45653</v>
          </cell>
          <cell r="W7520">
            <v>45653</v>
          </cell>
          <cell r="X7520">
            <v>41200076</v>
          </cell>
        </row>
        <row r="7521">
          <cell r="K7521" t="str">
            <v>GBWS-5178</v>
          </cell>
          <cell r="L7521">
            <v>45635</v>
          </cell>
          <cell r="M7521">
            <v>45636</v>
          </cell>
          <cell r="N7521">
            <v>45644</v>
          </cell>
          <cell r="O7521">
            <v>45636</v>
          </cell>
          <cell r="P7521">
            <v>45645</v>
          </cell>
          <cell r="Q7521">
            <v>45644</v>
          </cell>
          <cell r="R7521">
            <v>45645</v>
          </cell>
          <cell r="S7521">
            <v>45649</v>
          </cell>
          <cell r="T7521">
            <v>45650</v>
          </cell>
          <cell r="U7521">
            <v>45652</v>
          </cell>
          <cell r="V7521">
            <v>45653</v>
          </cell>
          <cell r="W7521">
            <v>45653</v>
          </cell>
          <cell r="X7521">
            <v>41100320</v>
          </cell>
        </row>
        <row r="7522">
          <cell r="K7522" t="str">
            <v>GBWS-5180</v>
          </cell>
          <cell r="L7522">
            <v>45635</v>
          </cell>
          <cell r="M7522">
            <v>45637</v>
          </cell>
          <cell r="N7522">
            <v>45645</v>
          </cell>
          <cell r="O7522">
            <v>45637</v>
          </cell>
          <cell r="P7522">
            <v>45645</v>
          </cell>
          <cell r="Q7522">
            <v>45645</v>
          </cell>
          <cell r="R7522">
            <v>45646</v>
          </cell>
          <cell r="S7522">
            <v>45649</v>
          </cell>
          <cell r="T7522">
            <v>45650</v>
          </cell>
          <cell r="U7522">
            <v>45652</v>
          </cell>
          <cell r="V7522">
            <v>45659</v>
          </cell>
          <cell r="W7522">
            <v>45659</v>
          </cell>
          <cell r="X7522">
            <v>41200075</v>
          </cell>
        </row>
        <row r="7523">
          <cell r="K7523" t="str">
            <v>RT-0028</v>
          </cell>
          <cell r="L7523">
            <v>45632</v>
          </cell>
          <cell r="M7523">
            <v>45632</v>
          </cell>
          <cell r="N7523">
            <v>45639</v>
          </cell>
          <cell r="O7523">
            <v>45632</v>
          </cell>
          <cell r="P7523">
            <v>45643</v>
          </cell>
          <cell r="Q7523">
            <v>45642</v>
          </cell>
          <cell r="R7523">
            <v>45643</v>
          </cell>
          <cell r="S7523">
            <v>45644</v>
          </cell>
          <cell r="T7523">
            <v>45645</v>
          </cell>
          <cell r="U7523">
            <v>45652</v>
          </cell>
          <cell r="V7523">
            <v>45659</v>
          </cell>
          <cell r="W7523">
            <v>45659</v>
          </cell>
          <cell r="X7523">
            <v>31101044</v>
          </cell>
        </row>
        <row r="7524">
          <cell r="K7524" t="str">
            <v>GBWS-5175</v>
          </cell>
          <cell r="L7524">
            <v>45630</v>
          </cell>
          <cell r="M7524">
            <v>45632</v>
          </cell>
          <cell r="N7524">
            <v>45643</v>
          </cell>
          <cell r="O7524">
            <v>45632</v>
          </cell>
          <cell r="P7524">
            <v>45642</v>
          </cell>
          <cell r="Q7524">
            <v>45642</v>
          </cell>
          <cell r="R7524">
            <v>45643</v>
          </cell>
          <cell r="S7524">
            <v>45645</v>
          </cell>
          <cell r="T7524">
            <v>45646</v>
          </cell>
          <cell r="U7524">
            <v>45652</v>
          </cell>
          <cell r="V7524">
            <v>45659</v>
          </cell>
          <cell r="W7524">
            <v>45659</v>
          </cell>
          <cell r="X7524">
            <v>41100305</v>
          </cell>
        </row>
        <row r="7525">
          <cell r="K7525" t="str">
            <v>GBWS-5113</v>
          </cell>
          <cell r="L7525">
            <v>45635</v>
          </cell>
          <cell r="M7525" t="str">
            <v>2024-11-21 → 12/11</v>
          </cell>
          <cell r="N7525">
            <v>45645</v>
          </cell>
          <cell r="O7525" t="str">
            <v>2024-11-21 → 12/11</v>
          </cell>
          <cell r="P7525">
            <v>45646</v>
          </cell>
          <cell r="Q7525" t="str">
            <v>2024-11-28 → 12/19</v>
          </cell>
          <cell r="R7525" t="str">
            <v>2024-11-29 → 12/20</v>
          </cell>
          <cell r="S7525">
            <v>45649</v>
          </cell>
          <cell r="T7525">
            <v>45650</v>
          </cell>
          <cell r="U7525">
            <v>45652</v>
          </cell>
          <cell r="V7525">
            <v>45659</v>
          </cell>
          <cell r="W7525">
            <v>45659</v>
          </cell>
          <cell r="X7525">
            <v>41200075</v>
          </cell>
        </row>
        <row r="7526">
          <cell r="K7526" t="str">
            <v>GBWS-5177</v>
          </cell>
          <cell r="L7526">
            <v>45632</v>
          </cell>
          <cell r="M7526">
            <v>45635</v>
          </cell>
          <cell r="N7526">
            <v>45643</v>
          </cell>
          <cell r="O7526">
            <v>45635</v>
          </cell>
          <cell r="P7526">
            <v>45644</v>
          </cell>
          <cell r="Q7526">
            <v>45643</v>
          </cell>
          <cell r="R7526">
            <v>45644</v>
          </cell>
          <cell r="S7526">
            <v>45650</v>
          </cell>
          <cell r="T7526">
            <v>45652</v>
          </cell>
          <cell r="U7526">
            <v>45660</v>
          </cell>
          <cell r="V7526">
            <v>45663</v>
          </cell>
          <cell r="W7526">
            <v>45663</v>
          </cell>
          <cell r="X7526">
            <v>41100286</v>
          </cell>
        </row>
        <row r="7527">
          <cell r="K7527" t="str">
            <v>GBWS-5195</v>
          </cell>
          <cell r="L7527">
            <v>45642</v>
          </cell>
          <cell r="M7527">
            <v>45644</v>
          </cell>
          <cell r="N7527">
            <v>45652</v>
          </cell>
          <cell r="O7527">
            <v>45644</v>
          </cell>
          <cell r="P7527">
            <v>45652</v>
          </cell>
          <cell r="Q7527">
            <v>45652</v>
          </cell>
          <cell r="R7527">
            <v>45653</v>
          </cell>
          <cell r="S7527">
            <v>45659</v>
          </cell>
          <cell r="T7527">
            <v>45660</v>
          </cell>
          <cell r="U7527">
            <v>45663</v>
          </cell>
          <cell r="V7527">
            <v>45664</v>
          </cell>
          <cell r="W7527">
            <v>45664</v>
          </cell>
          <cell r="X7527" t="str">
            <v>41100318 → 41200075</v>
          </cell>
        </row>
        <row r="7528">
          <cell r="K7528" t="str">
            <v>GBWS-5091</v>
          </cell>
          <cell r="L7528">
            <v>45615</v>
          </cell>
          <cell r="M7528">
            <v>45615</v>
          </cell>
          <cell r="N7528">
            <v>45621</v>
          </cell>
          <cell r="O7528">
            <v>45615</v>
          </cell>
          <cell r="P7528">
            <v>45621</v>
          </cell>
          <cell r="Q7528">
            <v>45622</v>
          </cell>
          <cell r="R7528">
            <v>45623</v>
          </cell>
          <cell r="S7528">
            <v>45624</v>
          </cell>
          <cell r="T7528">
            <v>45625</v>
          </cell>
          <cell r="U7528">
            <v>45629</v>
          </cell>
          <cell r="V7528">
            <v>45629</v>
          </cell>
          <cell r="W7528">
            <v>45629</v>
          </cell>
          <cell r="X7528">
            <v>41200076</v>
          </cell>
        </row>
        <row r="7529">
          <cell r="K7529" t="str">
            <v>GBWS-5133</v>
          </cell>
          <cell r="L7529">
            <v>45618</v>
          </cell>
          <cell r="M7529">
            <v>45621</v>
          </cell>
          <cell r="N7529">
            <v>45630</v>
          </cell>
          <cell r="O7529">
            <v>45621</v>
          </cell>
          <cell r="P7529">
            <v>45630</v>
          </cell>
          <cell r="Q7529">
            <v>45630</v>
          </cell>
          <cell r="R7529">
            <v>45631</v>
          </cell>
          <cell r="S7529">
            <v>45637</v>
          </cell>
          <cell r="T7529">
            <v>45638</v>
          </cell>
          <cell r="U7529">
            <v>45639</v>
          </cell>
          <cell r="V7529">
            <v>45642</v>
          </cell>
          <cell r="W7529">
            <v>45642</v>
          </cell>
          <cell r="X7529">
            <v>41200006</v>
          </cell>
        </row>
        <row r="7530">
          <cell r="K7530" t="str">
            <v>GBWS-5134</v>
          </cell>
          <cell r="L7530">
            <v>45618</v>
          </cell>
          <cell r="M7530">
            <v>45621</v>
          </cell>
          <cell r="N7530">
            <v>45630</v>
          </cell>
          <cell r="O7530">
            <v>45621</v>
          </cell>
          <cell r="P7530">
            <v>45630</v>
          </cell>
          <cell r="Q7530">
            <v>45630</v>
          </cell>
          <cell r="R7530">
            <v>45631</v>
          </cell>
          <cell r="S7530">
            <v>45637</v>
          </cell>
          <cell r="T7530">
            <v>45638</v>
          </cell>
          <cell r="U7530">
            <v>45639</v>
          </cell>
          <cell r="V7530">
            <v>45642</v>
          </cell>
          <cell r="W7530">
            <v>45642</v>
          </cell>
          <cell r="X7530">
            <v>41200006</v>
          </cell>
        </row>
        <row r="7531">
          <cell r="K7531" t="str">
            <v>GPWS-0451</v>
          </cell>
          <cell r="L7531">
            <v>45639</v>
          </cell>
          <cell r="M7531">
            <v>45642</v>
          </cell>
          <cell r="N7531">
            <v>45649</v>
          </cell>
          <cell r="O7531">
            <v>45642</v>
          </cell>
          <cell r="P7531">
            <v>45659</v>
          </cell>
          <cell r="Q7531">
            <v>45649</v>
          </cell>
          <cell r="R7531">
            <v>45650</v>
          </cell>
          <cell r="S7531">
            <v>45660</v>
          </cell>
          <cell r="T7531">
            <v>45663</v>
          </cell>
          <cell r="U7531">
            <v>45664</v>
          </cell>
          <cell r="V7531">
            <v>45665</v>
          </cell>
          <cell r="W7531">
            <v>45665</v>
          </cell>
          <cell r="X7531">
            <v>41200085</v>
          </cell>
        </row>
        <row r="7532">
          <cell r="K7532" t="str">
            <v>IVAS-263</v>
          </cell>
          <cell r="L7532">
            <v>45639</v>
          </cell>
          <cell r="M7532">
            <v>45642</v>
          </cell>
          <cell r="N7532">
            <v>45653</v>
          </cell>
          <cell r="O7532">
            <v>45642</v>
          </cell>
          <cell r="P7532">
            <v>45653</v>
          </cell>
          <cell r="Q7532">
            <v>45652</v>
          </cell>
          <cell r="R7532">
            <v>45653</v>
          </cell>
          <cell r="S7532">
            <v>45659</v>
          </cell>
          <cell r="T7532">
            <v>45659</v>
          </cell>
          <cell r="U7532">
            <v>45664</v>
          </cell>
          <cell r="V7532">
            <v>45665</v>
          </cell>
          <cell r="W7532">
            <v>45665</v>
          </cell>
          <cell r="X7532">
            <v>41000539</v>
          </cell>
        </row>
        <row r="7533">
          <cell r="K7533" t="str">
            <v>DBW-3573</v>
          </cell>
          <cell r="L7533">
            <v>45637</v>
          </cell>
          <cell r="M7533">
            <v>45639</v>
          </cell>
          <cell r="N7533">
            <v>45649</v>
          </cell>
          <cell r="O7533">
            <v>45639</v>
          </cell>
          <cell r="P7533">
            <v>45650</v>
          </cell>
          <cell r="Q7533">
            <v>45649</v>
          </cell>
          <cell r="R7533">
            <v>45650</v>
          </cell>
          <cell r="S7533">
            <v>45653</v>
          </cell>
          <cell r="T7533">
            <v>45659</v>
          </cell>
          <cell r="U7533">
            <v>45660</v>
          </cell>
          <cell r="V7533">
            <v>45663</v>
          </cell>
          <cell r="W7533">
            <v>45663</v>
          </cell>
          <cell r="X7533">
            <v>41000514</v>
          </cell>
        </row>
        <row r="7534">
          <cell r="K7534" t="str">
            <v>DBW-3575</v>
          </cell>
          <cell r="L7534">
            <v>45639</v>
          </cell>
          <cell r="M7534">
            <v>45642</v>
          </cell>
          <cell r="N7534">
            <v>45649</v>
          </cell>
          <cell r="O7534">
            <v>45642</v>
          </cell>
          <cell r="P7534">
            <v>45649</v>
          </cell>
          <cell r="Q7534">
            <v>45646</v>
          </cell>
          <cell r="R7534">
            <v>45649</v>
          </cell>
          <cell r="S7534">
            <v>45650</v>
          </cell>
          <cell r="T7534">
            <v>45652</v>
          </cell>
          <cell r="U7534">
            <v>45660</v>
          </cell>
          <cell r="V7534">
            <v>45663</v>
          </cell>
          <cell r="W7534">
            <v>45663</v>
          </cell>
          <cell r="X7534">
            <v>41000587</v>
          </cell>
        </row>
        <row r="7535">
          <cell r="K7535" t="str">
            <v>DBW-3576</v>
          </cell>
          <cell r="L7535">
            <v>45639</v>
          </cell>
          <cell r="M7535">
            <v>45642</v>
          </cell>
          <cell r="N7535">
            <v>45649</v>
          </cell>
          <cell r="O7535">
            <v>45642</v>
          </cell>
          <cell r="P7535">
            <v>45649</v>
          </cell>
          <cell r="Q7535">
            <v>45646</v>
          </cell>
          <cell r="R7535">
            <v>45649</v>
          </cell>
          <cell r="S7535">
            <v>45650</v>
          </cell>
          <cell r="T7535">
            <v>45652</v>
          </cell>
          <cell r="U7535">
            <v>45660</v>
          </cell>
          <cell r="V7535">
            <v>45663</v>
          </cell>
          <cell r="W7535">
            <v>45663</v>
          </cell>
          <cell r="X7535">
            <v>41000587</v>
          </cell>
        </row>
        <row r="7536">
          <cell r="K7536" t="str">
            <v>DBW-3574</v>
          </cell>
          <cell r="L7536">
            <v>45637</v>
          </cell>
          <cell r="M7536">
            <v>45639</v>
          </cell>
          <cell r="N7536">
            <v>45649</v>
          </cell>
          <cell r="O7536">
            <v>45639</v>
          </cell>
          <cell r="P7536">
            <v>45650</v>
          </cell>
          <cell r="Q7536">
            <v>45649</v>
          </cell>
          <cell r="R7536">
            <v>45650</v>
          </cell>
          <cell r="S7536">
            <v>45653</v>
          </cell>
          <cell r="T7536">
            <v>45659</v>
          </cell>
          <cell r="U7536">
            <v>45660</v>
          </cell>
          <cell r="V7536">
            <v>45663</v>
          </cell>
          <cell r="W7536">
            <v>45663</v>
          </cell>
          <cell r="X7536">
            <v>41000514</v>
          </cell>
        </row>
        <row r="7537">
          <cell r="K7537" t="str">
            <v>GBWS-5147</v>
          </cell>
          <cell r="L7537">
            <v>45622</v>
          </cell>
          <cell r="M7537">
            <v>45624</v>
          </cell>
          <cell r="N7537">
            <v>45632</v>
          </cell>
          <cell r="O7537">
            <v>45624</v>
          </cell>
          <cell r="P7537">
            <v>45635</v>
          </cell>
          <cell r="Q7537" t="str">
            <v>2024-12-05 → 12/19</v>
          </cell>
          <cell r="R7537" t="str">
            <v>2024-12-06 → 12/20</v>
          </cell>
          <cell r="S7537">
            <v>45635</v>
          </cell>
          <cell r="T7537">
            <v>45659</v>
          </cell>
          <cell r="U7537">
            <v>45663</v>
          </cell>
          <cell r="V7537">
            <v>45664</v>
          </cell>
          <cell r="W7537">
            <v>45664</v>
          </cell>
          <cell r="X7537">
            <v>41200071</v>
          </cell>
        </row>
        <row r="7538">
          <cell r="K7538" t="str">
            <v>DBW-3578</v>
          </cell>
          <cell r="L7538">
            <v>45644</v>
          </cell>
          <cell r="M7538">
            <v>45645</v>
          </cell>
          <cell r="N7538">
            <v>45659</v>
          </cell>
          <cell r="O7538">
            <v>45645</v>
          </cell>
          <cell r="P7538">
            <v>45660</v>
          </cell>
          <cell r="Q7538">
            <v>45659</v>
          </cell>
          <cell r="R7538">
            <v>45660</v>
          </cell>
          <cell r="S7538">
            <v>45663</v>
          </cell>
          <cell r="T7538">
            <v>45664</v>
          </cell>
          <cell r="U7538">
            <v>45666</v>
          </cell>
          <cell r="V7538">
            <v>45666</v>
          </cell>
          <cell r="W7538">
            <v>45666</v>
          </cell>
          <cell r="X7538">
            <v>41000514</v>
          </cell>
        </row>
        <row r="7539">
          <cell r="K7539" t="str">
            <v>GBWS-5194</v>
          </cell>
          <cell r="L7539">
            <v>45642</v>
          </cell>
          <cell r="M7539">
            <v>45644</v>
          </cell>
          <cell r="N7539">
            <v>45653</v>
          </cell>
          <cell r="O7539">
            <v>45644</v>
          </cell>
          <cell r="P7539">
            <v>45652</v>
          </cell>
          <cell r="Q7539">
            <v>45653</v>
          </cell>
          <cell r="R7539" t="str">
            <v>2025-01-02 → 1/3</v>
          </cell>
          <cell r="S7539">
            <v>45663</v>
          </cell>
          <cell r="T7539">
            <v>45664</v>
          </cell>
          <cell r="U7539">
            <v>45666</v>
          </cell>
          <cell r="V7539">
            <v>45666</v>
          </cell>
          <cell r="W7539">
            <v>45666</v>
          </cell>
          <cell r="X7539">
            <v>41100334</v>
          </cell>
        </row>
        <row r="7540">
          <cell r="K7540" t="str">
            <v>GBWS-5186</v>
          </cell>
          <cell r="L7540">
            <v>45636</v>
          </cell>
          <cell r="M7540">
            <v>45638</v>
          </cell>
          <cell r="N7540">
            <v>45649</v>
          </cell>
          <cell r="O7540">
            <v>45638</v>
          </cell>
          <cell r="P7540">
            <v>45646</v>
          </cell>
          <cell r="Q7540">
            <v>45646</v>
          </cell>
          <cell r="R7540">
            <v>45649</v>
          </cell>
          <cell r="S7540">
            <v>45650</v>
          </cell>
          <cell r="T7540">
            <v>45652</v>
          </cell>
          <cell r="U7540">
            <v>45659</v>
          </cell>
          <cell r="V7540">
            <v>45663</v>
          </cell>
          <cell r="W7540">
            <v>45663</v>
          </cell>
          <cell r="X7540">
            <v>41200076</v>
          </cell>
        </row>
        <row r="7541">
          <cell r="K7541" t="str">
            <v>GBWS-5197</v>
          </cell>
          <cell r="L7541">
            <v>45644</v>
          </cell>
          <cell r="M7541">
            <v>45645</v>
          </cell>
          <cell r="N7541">
            <v>45659</v>
          </cell>
          <cell r="O7541">
            <v>45645</v>
          </cell>
          <cell r="P7541">
            <v>45652</v>
          </cell>
          <cell r="Q7541">
            <v>45659</v>
          </cell>
          <cell r="R7541">
            <v>45660</v>
          </cell>
          <cell r="S7541">
            <v>45663</v>
          </cell>
          <cell r="T7541">
            <v>45664</v>
          </cell>
          <cell r="U7541">
            <v>45666</v>
          </cell>
          <cell r="V7541">
            <v>45666</v>
          </cell>
          <cell r="W7541">
            <v>45666</v>
          </cell>
          <cell r="X7541">
            <v>41200076</v>
          </cell>
        </row>
        <row r="7542">
          <cell r="K7542" t="str">
            <v>GBWS-5198</v>
          </cell>
          <cell r="L7542">
            <v>45644</v>
          </cell>
          <cell r="M7542">
            <v>45645</v>
          </cell>
          <cell r="N7542">
            <v>45659</v>
          </cell>
          <cell r="O7542">
            <v>45645</v>
          </cell>
          <cell r="P7542">
            <v>45663</v>
          </cell>
          <cell r="Q7542">
            <v>45659</v>
          </cell>
          <cell r="R7542">
            <v>45660</v>
          </cell>
          <cell r="S7542">
            <v>45663</v>
          </cell>
          <cell r="T7542">
            <v>45664</v>
          </cell>
          <cell r="U7542">
            <v>45666</v>
          </cell>
          <cell r="V7542">
            <v>45666</v>
          </cell>
          <cell r="W7542">
            <v>45666</v>
          </cell>
          <cell r="X7542">
            <v>41200076</v>
          </cell>
        </row>
        <row r="7543">
          <cell r="K7543" t="str">
            <v>GBWS-5193</v>
          </cell>
          <cell r="L7543">
            <v>45642</v>
          </cell>
          <cell r="M7543">
            <v>45643</v>
          </cell>
          <cell r="N7543">
            <v>45652</v>
          </cell>
          <cell r="O7543">
            <v>45643</v>
          </cell>
          <cell r="P7543">
            <v>45653</v>
          </cell>
          <cell r="Q7543">
            <v>45652</v>
          </cell>
          <cell r="R7543">
            <v>45653</v>
          </cell>
          <cell r="S7543">
            <v>45659</v>
          </cell>
          <cell r="T7543">
            <v>45660</v>
          </cell>
          <cell r="U7543">
            <v>45663</v>
          </cell>
          <cell r="V7543">
            <v>45665</v>
          </cell>
          <cell r="W7543">
            <v>45665</v>
          </cell>
          <cell r="X7543">
            <v>41100374</v>
          </cell>
        </row>
        <row r="7544">
          <cell r="K7544" t="str">
            <v>WS-0099</v>
          </cell>
          <cell r="L7544">
            <v>45642</v>
          </cell>
          <cell r="M7544">
            <v>45643</v>
          </cell>
          <cell r="N7544">
            <v>45652</v>
          </cell>
          <cell r="O7544">
            <v>45643</v>
          </cell>
          <cell r="P7544">
            <v>45653</v>
          </cell>
          <cell r="Q7544">
            <v>45652</v>
          </cell>
          <cell r="R7544">
            <v>45653</v>
          </cell>
          <cell r="S7544">
            <v>45659</v>
          </cell>
          <cell r="T7544">
            <v>45660</v>
          </cell>
          <cell r="U7544">
            <v>45664</v>
          </cell>
          <cell r="V7544">
            <v>45665</v>
          </cell>
          <cell r="W7544">
            <v>45665</v>
          </cell>
          <cell r="X7544">
            <v>41100435</v>
          </cell>
        </row>
        <row r="7545">
          <cell r="K7545" t="str">
            <v>GBWS-5196</v>
          </cell>
          <cell r="L7545">
            <v>45642</v>
          </cell>
          <cell r="M7545">
            <v>45644</v>
          </cell>
          <cell r="N7545">
            <v>45652</v>
          </cell>
          <cell r="O7545">
            <v>45644</v>
          </cell>
          <cell r="P7545">
            <v>45652</v>
          </cell>
          <cell r="Q7545">
            <v>45652</v>
          </cell>
          <cell r="R7545">
            <v>45653</v>
          </cell>
          <cell r="S7545">
            <v>45659</v>
          </cell>
          <cell r="T7545">
            <v>45660</v>
          </cell>
          <cell r="U7545">
            <v>45663</v>
          </cell>
          <cell r="V7545">
            <v>45664</v>
          </cell>
          <cell r="W7545">
            <v>45664</v>
          </cell>
          <cell r="X7545">
            <v>41000556</v>
          </cell>
        </row>
        <row r="7546">
          <cell r="K7546" t="str">
            <v>GBWS-5085</v>
          </cell>
          <cell r="L7546">
            <v>45614</v>
          </cell>
          <cell r="M7546">
            <v>45614</v>
          </cell>
          <cell r="N7546">
            <v>45617</v>
          </cell>
          <cell r="O7546">
            <v>45614</v>
          </cell>
          <cell r="P7546">
            <v>45618</v>
          </cell>
          <cell r="Q7546">
            <v>45618</v>
          </cell>
          <cell r="R7546">
            <v>45621</v>
          </cell>
          <cell r="S7546">
            <v>45622</v>
          </cell>
          <cell r="T7546">
            <v>45623</v>
          </cell>
          <cell r="U7546">
            <v>45624</v>
          </cell>
          <cell r="V7546">
            <v>45625</v>
          </cell>
          <cell r="W7546">
            <v>45625</v>
          </cell>
          <cell r="X7546">
            <v>41200007</v>
          </cell>
        </row>
        <row r="7547">
          <cell r="K7547" t="str">
            <v>GBWS-5086</v>
          </cell>
          <cell r="L7547">
            <v>45614</v>
          </cell>
          <cell r="M7547">
            <v>45614</v>
          </cell>
          <cell r="N7547">
            <v>45617</v>
          </cell>
          <cell r="O7547">
            <v>45614</v>
          </cell>
          <cell r="P7547">
            <v>45618</v>
          </cell>
          <cell r="Q7547">
            <v>45618</v>
          </cell>
          <cell r="R7547">
            <v>45621</v>
          </cell>
          <cell r="S7547">
            <v>45622</v>
          </cell>
          <cell r="T7547">
            <v>45623</v>
          </cell>
          <cell r="U7547">
            <v>45624</v>
          </cell>
          <cell r="V7547">
            <v>45625</v>
          </cell>
          <cell r="W7547">
            <v>45625</v>
          </cell>
          <cell r="X7547">
            <v>41200007</v>
          </cell>
        </row>
        <row r="7548">
          <cell r="K7548" t="str">
            <v>DBW-3577</v>
          </cell>
          <cell r="L7548">
            <v>45639</v>
          </cell>
          <cell r="M7548">
            <v>45642</v>
          </cell>
          <cell r="N7548">
            <v>45649</v>
          </cell>
          <cell r="O7548">
            <v>45642</v>
          </cell>
          <cell r="P7548">
            <v>45649</v>
          </cell>
          <cell r="Q7548">
            <v>45646</v>
          </cell>
          <cell r="R7548">
            <v>45649</v>
          </cell>
          <cell r="S7548">
            <v>45650</v>
          </cell>
          <cell r="T7548">
            <v>45652</v>
          </cell>
          <cell r="U7548">
            <v>45659</v>
          </cell>
          <cell r="V7548">
            <v>45660</v>
          </cell>
          <cell r="W7548">
            <v>45660</v>
          </cell>
          <cell r="X7548">
            <v>41000587</v>
          </cell>
        </row>
        <row r="7549">
          <cell r="K7549" t="str">
            <v>DBW-3579</v>
          </cell>
          <cell r="L7549">
            <v>45644</v>
          </cell>
          <cell r="M7549">
            <v>45645</v>
          </cell>
          <cell r="N7549">
            <v>45659</v>
          </cell>
          <cell r="O7549">
            <v>45645</v>
          </cell>
          <cell r="P7549">
            <v>45660</v>
          </cell>
          <cell r="Q7549">
            <v>45659</v>
          </cell>
          <cell r="R7549">
            <v>45660</v>
          </cell>
          <cell r="S7549">
            <v>45666</v>
          </cell>
          <cell r="T7549">
            <v>45666</v>
          </cell>
          <cell r="U7549">
            <v>45667</v>
          </cell>
          <cell r="V7549">
            <v>45670</v>
          </cell>
          <cell r="W7549">
            <v>45670</v>
          </cell>
          <cell r="X7549">
            <v>41000514</v>
          </cell>
        </row>
        <row r="7550">
          <cell r="K7550" t="str">
            <v>DBW-3580</v>
          </cell>
          <cell r="L7550">
            <v>45644</v>
          </cell>
          <cell r="M7550">
            <v>45645</v>
          </cell>
          <cell r="N7550">
            <v>45659</v>
          </cell>
          <cell r="O7550">
            <v>45645</v>
          </cell>
          <cell r="P7550">
            <v>45660</v>
          </cell>
          <cell r="Q7550">
            <v>45659</v>
          </cell>
          <cell r="R7550">
            <v>45660</v>
          </cell>
          <cell r="S7550">
            <v>45666</v>
          </cell>
          <cell r="T7550">
            <v>45666</v>
          </cell>
          <cell r="U7550">
            <v>45667</v>
          </cell>
          <cell r="V7550">
            <v>45670</v>
          </cell>
          <cell r="W7550">
            <v>45670</v>
          </cell>
          <cell r="X7550">
            <v>41000514</v>
          </cell>
        </row>
        <row r="7551">
          <cell r="K7551" t="str">
            <v>GBWS-5076</v>
          </cell>
          <cell r="L7551">
            <v>45610</v>
          </cell>
          <cell r="M7551">
            <v>45610</v>
          </cell>
          <cell r="N7551">
            <v>45614</v>
          </cell>
          <cell r="O7551">
            <v>45610</v>
          </cell>
          <cell r="P7551">
            <v>45615</v>
          </cell>
          <cell r="Q7551">
            <v>45617</v>
          </cell>
          <cell r="R7551">
            <v>45618</v>
          </cell>
          <cell r="S7551">
            <v>45621</v>
          </cell>
          <cell r="T7551">
            <v>45622</v>
          </cell>
          <cell r="U7551">
            <v>45623</v>
          </cell>
          <cell r="V7551">
            <v>45624</v>
          </cell>
          <cell r="W7551">
            <v>45624</v>
          </cell>
          <cell r="X7551">
            <v>41200007</v>
          </cell>
        </row>
        <row r="7552">
          <cell r="K7552" t="str">
            <v>GBWS-5077</v>
          </cell>
          <cell r="L7552">
            <v>45610</v>
          </cell>
          <cell r="M7552">
            <v>45610</v>
          </cell>
          <cell r="N7552">
            <v>45614</v>
          </cell>
          <cell r="O7552">
            <v>45610</v>
          </cell>
          <cell r="P7552">
            <v>45615</v>
          </cell>
          <cell r="Q7552">
            <v>45617</v>
          </cell>
          <cell r="R7552">
            <v>45618</v>
          </cell>
          <cell r="S7552">
            <v>45621</v>
          </cell>
          <cell r="T7552">
            <v>45622</v>
          </cell>
          <cell r="U7552">
            <v>45623</v>
          </cell>
          <cell r="V7552">
            <v>45624</v>
          </cell>
          <cell r="W7552">
            <v>45624</v>
          </cell>
          <cell r="X7552">
            <v>41200007</v>
          </cell>
        </row>
        <row r="7553">
          <cell r="K7553" t="str">
            <v>GBWS-5190</v>
          </cell>
          <cell r="L7553">
            <v>45639</v>
          </cell>
          <cell r="M7553">
            <v>45642</v>
          </cell>
          <cell r="N7553">
            <v>45649</v>
          </cell>
          <cell r="O7553">
            <v>45642</v>
          </cell>
          <cell r="P7553">
            <v>45650</v>
          </cell>
          <cell r="Q7553">
            <v>45649</v>
          </cell>
          <cell r="R7553">
            <v>45650</v>
          </cell>
          <cell r="S7553">
            <v>45652</v>
          </cell>
          <cell r="T7553">
            <v>45652</v>
          </cell>
          <cell r="U7553">
            <v>45659</v>
          </cell>
          <cell r="V7553">
            <v>45660</v>
          </cell>
          <cell r="W7553">
            <v>45660</v>
          </cell>
          <cell r="X7553">
            <v>41200034</v>
          </cell>
        </row>
        <row r="7554">
          <cell r="K7554" t="str">
            <v>GBWS-5191</v>
          </cell>
          <cell r="L7554">
            <v>45639</v>
          </cell>
          <cell r="M7554">
            <v>45642</v>
          </cell>
          <cell r="N7554">
            <v>45649</v>
          </cell>
          <cell r="O7554">
            <v>45642</v>
          </cell>
          <cell r="P7554">
            <v>45650</v>
          </cell>
          <cell r="Q7554">
            <v>45649</v>
          </cell>
          <cell r="R7554">
            <v>45650</v>
          </cell>
          <cell r="S7554">
            <v>45652</v>
          </cell>
          <cell r="T7554">
            <v>45652</v>
          </cell>
          <cell r="U7554">
            <v>45659</v>
          </cell>
          <cell r="V7554">
            <v>45660</v>
          </cell>
          <cell r="W7554">
            <v>45660</v>
          </cell>
          <cell r="X7554">
            <v>41200034</v>
          </cell>
        </row>
        <row r="7555">
          <cell r="K7555" t="str">
            <v>GBWS-5144</v>
          </cell>
          <cell r="L7555">
            <v>45621</v>
          </cell>
          <cell r="M7555">
            <v>45623</v>
          </cell>
          <cell r="N7555">
            <v>45635</v>
          </cell>
          <cell r="O7555">
            <v>45623</v>
          </cell>
          <cell r="P7555">
            <v>45632</v>
          </cell>
          <cell r="Q7555">
            <v>45631</v>
          </cell>
          <cell r="R7555">
            <v>45632</v>
          </cell>
          <cell r="S7555">
            <v>45636</v>
          </cell>
          <cell r="T7555">
            <v>45637</v>
          </cell>
          <cell r="U7555">
            <v>45646</v>
          </cell>
          <cell r="V7555">
            <v>45650</v>
          </cell>
          <cell r="W7555">
            <v>45650</v>
          </cell>
          <cell r="X7555">
            <v>41200081</v>
          </cell>
        </row>
        <row r="7556">
          <cell r="K7556" t="str">
            <v>GBWS-5199</v>
          </cell>
          <cell r="L7556">
            <v>45645</v>
          </cell>
          <cell r="M7556">
            <v>45646</v>
          </cell>
          <cell r="N7556">
            <v>45660</v>
          </cell>
          <cell r="O7556">
            <v>45646</v>
          </cell>
          <cell r="P7556">
            <v>45659</v>
          </cell>
          <cell r="Q7556">
            <v>45660</v>
          </cell>
          <cell r="R7556" t="str">
            <v>2025-01-06 → 1/7</v>
          </cell>
          <cell r="S7556">
            <v>45664</v>
          </cell>
          <cell r="T7556">
            <v>45665</v>
          </cell>
          <cell r="U7556">
            <v>45666</v>
          </cell>
          <cell r="V7556">
            <v>45667</v>
          </cell>
          <cell r="W7556">
            <v>45667</v>
          </cell>
          <cell r="X7556">
            <v>41100320</v>
          </cell>
        </row>
        <row r="7557">
          <cell r="K7557" t="str">
            <v>GBWS-5200</v>
          </cell>
          <cell r="L7557">
            <v>45645</v>
          </cell>
          <cell r="M7557">
            <v>45646</v>
          </cell>
          <cell r="N7557">
            <v>45660</v>
          </cell>
          <cell r="O7557">
            <v>45646</v>
          </cell>
          <cell r="P7557">
            <v>45659</v>
          </cell>
          <cell r="Q7557">
            <v>45660</v>
          </cell>
          <cell r="R7557" t="str">
            <v>2025-01-06 → 1/7</v>
          </cell>
          <cell r="S7557">
            <v>45664</v>
          </cell>
          <cell r="T7557">
            <v>45665</v>
          </cell>
          <cell r="U7557">
            <v>45666</v>
          </cell>
          <cell r="V7557">
            <v>45667</v>
          </cell>
          <cell r="W7557">
            <v>45667</v>
          </cell>
          <cell r="X7557">
            <v>41100320</v>
          </cell>
        </row>
        <row r="7558">
          <cell r="K7558" t="str">
            <v>GBWS-5179</v>
          </cell>
          <cell r="L7558">
            <v>45635</v>
          </cell>
          <cell r="M7558">
            <v>45636</v>
          </cell>
          <cell r="N7558">
            <v>45644</v>
          </cell>
          <cell r="O7558">
            <v>45636</v>
          </cell>
          <cell r="P7558">
            <v>45645</v>
          </cell>
          <cell r="Q7558">
            <v>45644</v>
          </cell>
          <cell r="R7558">
            <v>45645</v>
          </cell>
          <cell r="S7558">
            <v>45646</v>
          </cell>
          <cell r="T7558">
            <v>45649</v>
          </cell>
          <cell r="U7558">
            <v>45650</v>
          </cell>
          <cell r="V7558">
            <v>45653</v>
          </cell>
          <cell r="W7558">
            <v>45653</v>
          </cell>
          <cell r="X7558">
            <v>41100372</v>
          </cell>
        </row>
        <row r="7559">
          <cell r="K7559" t="str">
            <v>GBWS-5204</v>
          </cell>
          <cell r="L7559">
            <v>45650</v>
          </cell>
          <cell r="M7559">
            <v>45652</v>
          </cell>
          <cell r="N7559">
            <v>45664</v>
          </cell>
          <cell r="O7559">
            <v>45652</v>
          </cell>
          <cell r="P7559">
            <v>45664</v>
          </cell>
          <cell r="Q7559">
            <v>45665</v>
          </cell>
          <cell r="R7559">
            <v>45666</v>
          </cell>
          <cell r="S7559">
            <v>45667</v>
          </cell>
          <cell r="T7559">
            <v>45670</v>
          </cell>
          <cell r="U7559">
            <v>45671</v>
          </cell>
          <cell r="V7559">
            <v>45672</v>
          </cell>
          <cell r="W7559">
            <v>45672</v>
          </cell>
          <cell r="X7559">
            <v>41100317</v>
          </cell>
        </row>
        <row r="7560">
          <cell r="K7560" t="str">
            <v>GPWS-0450</v>
          </cell>
          <cell r="L7560">
            <v>45635</v>
          </cell>
          <cell r="M7560">
            <v>45637</v>
          </cell>
          <cell r="N7560">
            <v>45645</v>
          </cell>
          <cell r="O7560">
            <v>45637</v>
          </cell>
          <cell r="P7560">
            <v>45652</v>
          </cell>
          <cell r="Q7560">
            <v>45645</v>
          </cell>
          <cell r="R7560">
            <v>45646</v>
          </cell>
          <cell r="S7560">
            <v>45653</v>
          </cell>
          <cell r="T7560">
            <v>45659</v>
          </cell>
          <cell r="U7560">
            <v>45660</v>
          </cell>
          <cell r="V7560">
            <v>45663</v>
          </cell>
          <cell r="W7560">
            <v>45663</v>
          </cell>
          <cell r="X7560">
            <v>41200079</v>
          </cell>
        </row>
        <row r="7561">
          <cell r="K7561" t="str">
            <v>GBWS-5187</v>
          </cell>
          <cell r="L7561">
            <v>45637</v>
          </cell>
          <cell r="M7561">
            <v>45639</v>
          </cell>
          <cell r="N7561">
            <v>45650</v>
          </cell>
          <cell r="O7561">
            <v>45639</v>
          </cell>
          <cell r="P7561">
            <v>45650</v>
          </cell>
          <cell r="Q7561">
            <v>45649</v>
          </cell>
          <cell r="R7561">
            <v>45650</v>
          </cell>
          <cell r="S7561">
            <v>45652</v>
          </cell>
          <cell r="T7561">
            <v>45653</v>
          </cell>
          <cell r="U7561">
            <v>45667</v>
          </cell>
          <cell r="V7561">
            <v>45671</v>
          </cell>
          <cell r="W7561">
            <v>45671</v>
          </cell>
          <cell r="X7561">
            <v>41200029</v>
          </cell>
        </row>
        <row r="7562">
          <cell r="K7562" t="str">
            <v>GBWS-5188</v>
          </cell>
          <cell r="L7562">
            <v>45637</v>
          </cell>
          <cell r="M7562">
            <v>45639</v>
          </cell>
          <cell r="N7562">
            <v>45650</v>
          </cell>
          <cell r="O7562">
            <v>45639</v>
          </cell>
          <cell r="P7562">
            <v>45650</v>
          </cell>
          <cell r="Q7562">
            <v>45649</v>
          </cell>
          <cell r="R7562">
            <v>45650</v>
          </cell>
          <cell r="S7562">
            <v>45652</v>
          </cell>
          <cell r="T7562">
            <v>45653</v>
          </cell>
          <cell r="U7562">
            <v>45667</v>
          </cell>
          <cell r="V7562">
            <v>45671</v>
          </cell>
          <cell r="W7562">
            <v>45671</v>
          </cell>
          <cell r="X7562">
            <v>41200029</v>
          </cell>
        </row>
        <row r="7563">
          <cell r="K7563" t="str">
            <v>GPWS-0443</v>
          </cell>
          <cell r="L7563">
            <v>45628</v>
          </cell>
          <cell r="M7563">
            <v>45629</v>
          </cell>
          <cell r="N7563">
            <v>45637</v>
          </cell>
          <cell r="O7563">
            <v>45629</v>
          </cell>
          <cell r="P7563">
            <v>45637</v>
          </cell>
          <cell r="Q7563">
            <v>45637</v>
          </cell>
          <cell r="R7563">
            <v>45638</v>
          </cell>
          <cell r="S7563">
            <v>45646</v>
          </cell>
          <cell r="T7563">
            <v>45649</v>
          </cell>
          <cell r="U7563">
            <v>45652</v>
          </cell>
          <cell r="V7563">
            <v>45653</v>
          </cell>
          <cell r="W7563">
            <v>45653</v>
          </cell>
          <cell r="X7563">
            <v>41200079</v>
          </cell>
        </row>
        <row r="7564">
          <cell r="K7564" t="str">
            <v>GPWS-0444</v>
          </cell>
          <cell r="L7564">
            <v>45628</v>
          </cell>
          <cell r="M7564">
            <v>45629</v>
          </cell>
          <cell r="N7564">
            <v>45637</v>
          </cell>
          <cell r="O7564">
            <v>45629</v>
          </cell>
          <cell r="P7564">
            <v>45637</v>
          </cell>
          <cell r="Q7564">
            <v>45637</v>
          </cell>
          <cell r="R7564">
            <v>45638</v>
          </cell>
          <cell r="S7564">
            <v>45653</v>
          </cell>
          <cell r="T7564">
            <v>45659</v>
          </cell>
          <cell r="U7564">
            <v>45660</v>
          </cell>
          <cell r="V7564">
            <v>45665</v>
          </cell>
          <cell r="W7564">
            <v>45665</v>
          </cell>
          <cell r="X7564">
            <v>41200079</v>
          </cell>
        </row>
        <row r="7565">
          <cell r="K7565" t="str">
            <v>GBWS-5040</v>
          </cell>
          <cell r="L7565">
            <v>45600</v>
          </cell>
          <cell r="M7565">
            <v>45600</v>
          </cell>
          <cell r="N7565">
            <v>45604</v>
          </cell>
          <cell r="O7565">
            <v>45600</v>
          </cell>
          <cell r="P7565">
            <v>45604</v>
          </cell>
          <cell r="Q7565">
            <v>45607</v>
          </cell>
          <cell r="R7565">
            <v>45608</v>
          </cell>
          <cell r="S7565">
            <v>45616</v>
          </cell>
          <cell r="T7565">
            <v>45618</v>
          </cell>
          <cell r="U7565">
            <v>45621</v>
          </cell>
          <cell r="V7565">
            <v>45622</v>
          </cell>
          <cell r="W7565">
            <v>45622</v>
          </cell>
          <cell r="X7565">
            <v>41200005</v>
          </cell>
        </row>
        <row r="7566">
          <cell r="K7566" t="str">
            <v>GBWS-5041</v>
          </cell>
          <cell r="L7566">
            <v>45600</v>
          </cell>
          <cell r="M7566">
            <v>45600</v>
          </cell>
          <cell r="N7566">
            <v>45604</v>
          </cell>
          <cell r="O7566">
            <v>45600</v>
          </cell>
          <cell r="P7566">
            <v>45604</v>
          </cell>
          <cell r="Q7566">
            <v>45607</v>
          </cell>
          <cell r="R7566">
            <v>45608</v>
          </cell>
          <cell r="S7566">
            <v>45616</v>
          </cell>
          <cell r="T7566">
            <v>45618</v>
          </cell>
          <cell r="U7566">
            <v>45621</v>
          </cell>
          <cell r="V7566">
            <v>45622</v>
          </cell>
          <cell r="W7566">
            <v>45622</v>
          </cell>
          <cell r="X7566">
            <v>41200005</v>
          </cell>
        </row>
        <row r="7567">
          <cell r="K7567" t="str">
            <v>DBW-3581</v>
          </cell>
          <cell r="L7567">
            <v>45646</v>
          </cell>
          <cell r="M7567">
            <v>45650</v>
          </cell>
          <cell r="N7567">
            <v>45660</v>
          </cell>
          <cell r="O7567">
            <v>45650</v>
          </cell>
          <cell r="P7567">
            <v>45664</v>
          </cell>
          <cell r="Q7567">
            <v>45663</v>
          </cell>
          <cell r="R7567">
            <v>45664</v>
          </cell>
          <cell r="S7567">
            <v>45666</v>
          </cell>
          <cell r="T7567">
            <v>45667</v>
          </cell>
          <cell r="U7567">
            <v>45670</v>
          </cell>
          <cell r="V7567">
            <v>45671</v>
          </cell>
          <cell r="W7567">
            <v>45671</v>
          </cell>
          <cell r="X7567">
            <v>41000514</v>
          </cell>
        </row>
        <row r="7568">
          <cell r="K7568" t="str">
            <v>GBWS-5215</v>
          </cell>
          <cell r="L7568">
            <v>45652</v>
          </cell>
          <cell r="M7568" t="str">
            <v>2025-01-03 → 1/2</v>
          </cell>
          <cell r="N7568">
            <v>45664</v>
          </cell>
          <cell r="O7568" t="str">
            <v>2025-01-03 → 1/2</v>
          </cell>
          <cell r="P7568">
            <v>45665</v>
          </cell>
          <cell r="Q7568" t="str">
            <v>2025-01-09 → 1/7</v>
          </cell>
          <cell r="R7568" t="str">
            <v>2025-01-10 → 1/8</v>
          </cell>
          <cell r="S7568">
            <v>45665</v>
          </cell>
          <cell r="T7568">
            <v>45666</v>
          </cell>
          <cell r="U7568">
            <v>45667</v>
          </cell>
          <cell r="V7568">
            <v>45670</v>
          </cell>
          <cell r="W7568">
            <v>45670</v>
          </cell>
          <cell r="X7568">
            <v>41200007</v>
          </cell>
        </row>
        <row r="7569">
          <cell r="K7569" t="str">
            <v>GBWS-5216</v>
          </cell>
          <cell r="L7569">
            <v>45652</v>
          </cell>
          <cell r="M7569" t="str">
            <v>2025-01-03 → 1/2</v>
          </cell>
          <cell r="N7569">
            <v>45664</v>
          </cell>
          <cell r="O7569" t="str">
            <v>2025-01-03 → 1/2</v>
          </cell>
          <cell r="P7569">
            <v>45665</v>
          </cell>
          <cell r="Q7569" t="str">
            <v>2025-01-09 → 1/7</v>
          </cell>
          <cell r="R7569" t="str">
            <v>2025-01-10 → 1/8</v>
          </cell>
          <cell r="S7569">
            <v>45665</v>
          </cell>
          <cell r="T7569">
            <v>45666</v>
          </cell>
          <cell r="U7569">
            <v>45667</v>
          </cell>
          <cell r="V7569">
            <v>45670</v>
          </cell>
          <cell r="W7569">
            <v>45670</v>
          </cell>
          <cell r="X7569">
            <v>41200007</v>
          </cell>
        </row>
        <row r="7570">
          <cell r="K7570" t="str">
            <v>DBW-3584</v>
          </cell>
          <cell r="L7570">
            <v>45652</v>
          </cell>
          <cell r="M7570">
            <v>45653</v>
          </cell>
          <cell r="N7570">
            <v>45665</v>
          </cell>
          <cell r="O7570">
            <v>45653</v>
          </cell>
          <cell r="P7570">
            <v>45665</v>
          </cell>
          <cell r="Q7570">
            <v>45665</v>
          </cell>
          <cell r="R7570">
            <v>45666</v>
          </cell>
          <cell r="S7570">
            <v>45667</v>
          </cell>
          <cell r="T7570">
            <v>45670</v>
          </cell>
          <cell r="U7570">
            <v>45671</v>
          </cell>
          <cell r="V7570">
            <v>45672</v>
          </cell>
          <cell r="W7570">
            <v>45672</v>
          </cell>
          <cell r="X7570">
            <v>41000590</v>
          </cell>
        </row>
        <row r="7571">
          <cell r="K7571" t="str">
            <v>DBW-3585</v>
          </cell>
          <cell r="L7571">
            <v>45652</v>
          </cell>
          <cell r="M7571">
            <v>45653</v>
          </cell>
          <cell r="N7571">
            <v>45665</v>
          </cell>
          <cell r="O7571">
            <v>45653</v>
          </cell>
          <cell r="P7571">
            <v>45665</v>
          </cell>
          <cell r="Q7571">
            <v>45665</v>
          </cell>
          <cell r="R7571">
            <v>45666</v>
          </cell>
          <cell r="S7571">
            <v>45667</v>
          </cell>
          <cell r="T7571">
            <v>45670</v>
          </cell>
          <cell r="U7571">
            <v>45671</v>
          </cell>
          <cell r="V7571">
            <v>45672</v>
          </cell>
          <cell r="W7571">
            <v>45672</v>
          </cell>
          <cell r="X7571">
            <v>41000590</v>
          </cell>
        </row>
        <row r="7572">
          <cell r="K7572" t="str">
            <v>GPWS-0452</v>
          </cell>
          <cell r="L7572">
            <v>45644</v>
          </cell>
          <cell r="M7572">
            <v>45645</v>
          </cell>
          <cell r="N7572">
            <v>45663</v>
          </cell>
          <cell r="O7572">
            <v>45645</v>
          </cell>
          <cell r="P7572">
            <v>45664</v>
          </cell>
          <cell r="Q7572" t="str">
            <v>2025-01-02 → 1/6</v>
          </cell>
          <cell r="R7572" t="str">
            <v>2025-01-03 → 1/7</v>
          </cell>
          <cell r="S7572">
            <v>45670</v>
          </cell>
          <cell r="T7572">
            <v>45670</v>
          </cell>
          <cell r="U7572">
            <v>45672</v>
          </cell>
          <cell r="V7572">
            <v>45674</v>
          </cell>
          <cell r="W7572">
            <v>45674</v>
          </cell>
          <cell r="X7572">
            <v>41200100</v>
          </cell>
        </row>
        <row r="7573">
          <cell r="K7573" t="str">
            <v>DBW-3566</v>
          </cell>
          <cell r="L7573">
            <v>45621</v>
          </cell>
          <cell r="M7573">
            <v>45622</v>
          </cell>
          <cell r="N7573">
            <v>45628</v>
          </cell>
          <cell r="O7573">
            <v>45622</v>
          </cell>
          <cell r="P7573">
            <v>45629</v>
          </cell>
          <cell r="Q7573">
            <v>45629</v>
          </cell>
          <cell r="R7573">
            <v>45630</v>
          </cell>
          <cell r="S7573">
            <v>45631</v>
          </cell>
          <cell r="T7573">
            <v>45632</v>
          </cell>
          <cell r="U7573">
            <v>45635</v>
          </cell>
          <cell r="V7573">
            <v>45636</v>
          </cell>
          <cell r="W7573">
            <v>45636</v>
          </cell>
          <cell r="X7573">
            <v>41200057</v>
          </cell>
        </row>
        <row r="7574">
          <cell r="K7574" t="str">
            <v>DBW-3567</v>
          </cell>
          <cell r="L7574">
            <v>45621</v>
          </cell>
          <cell r="M7574">
            <v>45622</v>
          </cell>
          <cell r="N7574">
            <v>45628</v>
          </cell>
          <cell r="O7574">
            <v>45622</v>
          </cell>
          <cell r="P7574">
            <v>45629</v>
          </cell>
          <cell r="Q7574">
            <v>45629</v>
          </cell>
          <cell r="R7574">
            <v>45630</v>
          </cell>
          <cell r="S7574">
            <v>45631</v>
          </cell>
          <cell r="T7574">
            <v>45632</v>
          </cell>
          <cell r="U7574">
            <v>45635</v>
          </cell>
          <cell r="V7574">
            <v>45636</v>
          </cell>
          <cell r="W7574">
            <v>45636</v>
          </cell>
          <cell r="X7574">
            <v>41200057</v>
          </cell>
        </row>
        <row r="7575">
          <cell r="K7575" t="str">
            <v>GBWS-5233</v>
          </cell>
          <cell r="L7575">
            <v>45663</v>
          </cell>
          <cell r="M7575">
            <v>45665</v>
          </cell>
          <cell r="N7575">
            <v>45672</v>
          </cell>
          <cell r="O7575">
            <v>45665</v>
          </cell>
          <cell r="P7575">
            <v>45673</v>
          </cell>
          <cell r="Q7575">
            <v>45672</v>
          </cell>
          <cell r="R7575">
            <v>45673</v>
          </cell>
          <cell r="S7575">
            <v>45674</v>
          </cell>
          <cell r="T7575">
            <v>45677</v>
          </cell>
          <cell r="U7575">
            <v>45678</v>
          </cell>
          <cell r="V7575">
            <v>45679</v>
          </cell>
          <cell r="W7575">
            <v>45679</v>
          </cell>
          <cell r="X7575">
            <v>41200005</v>
          </cell>
        </row>
        <row r="7576">
          <cell r="K7576" t="str">
            <v>GBWS-5234</v>
          </cell>
          <cell r="L7576">
            <v>45663</v>
          </cell>
          <cell r="M7576">
            <v>45665</v>
          </cell>
          <cell r="N7576">
            <v>45672</v>
          </cell>
          <cell r="O7576">
            <v>45665</v>
          </cell>
          <cell r="P7576">
            <v>45673</v>
          </cell>
          <cell r="Q7576">
            <v>45672</v>
          </cell>
          <cell r="R7576">
            <v>45673</v>
          </cell>
          <cell r="S7576">
            <v>45674</v>
          </cell>
          <cell r="T7576">
            <v>45677</v>
          </cell>
          <cell r="U7576">
            <v>45678</v>
          </cell>
          <cell r="V7576">
            <v>45679</v>
          </cell>
          <cell r="W7576">
            <v>45679</v>
          </cell>
          <cell r="X7576">
            <v>41200005</v>
          </cell>
        </row>
        <row r="7577">
          <cell r="K7577" t="str">
            <v>GBWS-5235</v>
          </cell>
          <cell r="L7577">
            <v>45663</v>
          </cell>
          <cell r="M7577">
            <v>45665</v>
          </cell>
          <cell r="N7577">
            <v>45672</v>
          </cell>
          <cell r="O7577">
            <v>45665</v>
          </cell>
          <cell r="P7577">
            <v>45673</v>
          </cell>
          <cell r="Q7577">
            <v>45672</v>
          </cell>
          <cell r="R7577">
            <v>45673</v>
          </cell>
          <cell r="S7577">
            <v>45674</v>
          </cell>
          <cell r="T7577">
            <v>45677</v>
          </cell>
          <cell r="U7577">
            <v>45678</v>
          </cell>
          <cell r="V7577">
            <v>45679</v>
          </cell>
          <cell r="W7577">
            <v>45679</v>
          </cell>
          <cell r="X7577">
            <v>41200005</v>
          </cell>
        </row>
        <row r="7578">
          <cell r="K7578" t="str">
            <v>GBWS-5236</v>
          </cell>
          <cell r="L7578">
            <v>45663</v>
          </cell>
          <cell r="M7578">
            <v>45665</v>
          </cell>
          <cell r="N7578">
            <v>45672</v>
          </cell>
          <cell r="O7578">
            <v>45665</v>
          </cell>
          <cell r="P7578">
            <v>45673</v>
          </cell>
          <cell r="Q7578">
            <v>45672</v>
          </cell>
          <cell r="R7578">
            <v>45673</v>
          </cell>
          <cell r="S7578">
            <v>45674</v>
          </cell>
          <cell r="T7578">
            <v>45677</v>
          </cell>
          <cell r="U7578">
            <v>45678</v>
          </cell>
          <cell r="V7578">
            <v>45679</v>
          </cell>
          <cell r="W7578">
            <v>45679</v>
          </cell>
          <cell r="X7578">
            <v>41200005</v>
          </cell>
        </row>
        <row r="7579">
          <cell r="K7579" t="str">
            <v>GBWS-5208</v>
          </cell>
          <cell r="L7579">
            <v>45659</v>
          </cell>
          <cell r="M7579">
            <v>45660</v>
          </cell>
          <cell r="N7579">
            <v>45665</v>
          </cell>
          <cell r="O7579">
            <v>45660</v>
          </cell>
          <cell r="P7579">
            <v>45666</v>
          </cell>
          <cell r="Q7579">
            <v>45670</v>
          </cell>
          <cell r="R7579">
            <v>45671</v>
          </cell>
          <cell r="S7579">
            <v>45672</v>
          </cell>
          <cell r="T7579">
            <v>45673</v>
          </cell>
          <cell r="U7579">
            <v>45674</v>
          </cell>
          <cell r="V7579">
            <v>45677</v>
          </cell>
          <cell r="W7579">
            <v>45677</v>
          </cell>
          <cell r="X7579">
            <v>41200075</v>
          </cell>
        </row>
        <row r="7580">
          <cell r="K7580" t="str">
            <v>GBWS-5223</v>
          </cell>
          <cell r="L7580">
            <v>45660</v>
          </cell>
          <cell r="M7580">
            <v>45663</v>
          </cell>
          <cell r="N7580">
            <v>45670</v>
          </cell>
          <cell r="O7580">
            <v>45663</v>
          </cell>
          <cell r="P7580">
            <v>45672</v>
          </cell>
          <cell r="Q7580">
            <v>45671</v>
          </cell>
          <cell r="R7580">
            <v>45672</v>
          </cell>
          <cell r="S7580">
            <v>45673</v>
          </cell>
          <cell r="T7580">
            <v>45674</v>
          </cell>
          <cell r="U7580">
            <v>45677</v>
          </cell>
          <cell r="V7580">
            <v>45678</v>
          </cell>
          <cell r="W7580">
            <v>45678</v>
          </cell>
          <cell r="X7580">
            <v>41100320</v>
          </cell>
        </row>
        <row r="7581">
          <cell r="K7581" t="str">
            <v>GBWS-5210</v>
          </cell>
          <cell r="L7581">
            <v>45659</v>
          </cell>
          <cell r="M7581">
            <v>45660</v>
          </cell>
          <cell r="N7581">
            <v>45667</v>
          </cell>
          <cell r="O7581">
            <v>45660</v>
          </cell>
          <cell r="P7581">
            <v>45667</v>
          </cell>
          <cell r="Q7581">
            <v>45670</v>
          </cell>
          <cell r="R7581">
            <v>45671</v>
          </cell>
          <cell r="S7581">
            <v>45672</v>
          </cell>
          <cell r="T7581">
            <v>45673</v>
          </cell>
          <cell r="U7581">
            <v>45674</v>
          </cell>
          <cell r="V7581">
            <v>45677</v>
          </cell>
          <cell r="W7581">
            <v>45677</v>
          </cell>
          <cell r="X7581">
            <v>41200076</v>
          </cell>
        </row>
        <row r="7582">
          <cell r="K7582" t="str">
            <v>GBWS-5211</v>
          </cell>
          <cell r="L7582">
            <v>45659</v>
          </cell>
          <cell r="M7582">
            <v>45660</v>
          </cell>
          <cell r="N7582">
            <v>45667</v>
          </cell>
          <cell r="O7582">
            <v>45660</v>
          </cell>
          <cell r="P7582">
            <v>45667</v>
          </cell>
          <cell r="Q7582">
            <v>45670</v>
          </cell>
          <cell r="R7582">
            <v>45671</v>
          </cell>
          <cell r="S7582">
            <v>45674</v>
          </cell>
          <cell r="T7582">
            <v>45677</v>
          </cell>
          <cell r="U7582">
            <v>45678</v>
          </cell>
          <cell r="V7582">
            <v>45679</v>
          </cell>
          <cell r="W7582">
            <v>45679</v>
          </cell>
          <cell r="X7582">
            <v>41200076</v>
          </cell>
        </row>
        <row r="7583">
          <cell r="K7583" t="str">
            <v>GBWS-5214</v>
          </cell>
          <cell r="L7583">
            <v>45659</v>
          </cell>
          <cell r="M7583">
            <v>45660</v>
          </cell>
          <cell r="N7583">
            <v>45665</v>
          </cell>
          <cell r="O7583">
            <v>45660</v>
          </cell>
          <cell r="P7583">
            <v>45666</v>
          </cell>
          <cell r="Q7583">
            <v>45670</v>
          </cell>
          <cell r="R7583">
            <v>45671</v>
          </cell>
          <cell r="S7583">
            <v>45672</v>
          </cell>
          <cell r="T7583">
            <v>45672</v>
          </cell>
          <cell r="U7583">
            <v>45673</v>
          </cell>
          <cell r="V7583">
            <v>45674</v>
          </cell>
          <cell r="W7583">
            <v>45674</v>
          </cell>
          <cell r="X7583">
            <v>41200075</v>
          </cell>
        </row>
        <row r="7584">
          <cell r="K7584" t="str">
            <v>GBWS-5212</v>
          </cell>
          <cell r="L7584">
            <v>45659</v>
          </cell>
          <cell r="M7584">
            <v>45660</v>
          </cell>
          <cell r="N7584">
            <v>45665</v>
          </cell>
          <cell r="O7584">
            <v>45660</v>
          </cell>
          <cell r="P7584">
            <v>45666</v>
          </cell>
          <cell r="Q7584">
            <v>45670</v>
          </cell>
          <cell r="R7584">
            <v>45671</v>
          </cell>
          <cell r="S7584">
            <v>45672</v>
          </cell>
          <cell r="T7584">
            <v>45673</v>
          </cell>
          <cell r="U7584">
            <v>45674</v>
          </cell>
          <cell r="V7584">
            <v>45659</v>
          </cell>
          <cell r="W7584">
            <v>45677</v>
          </cell>
          <cell r="X7584">
            <v>41200075</v>
          </cell>
        </row>
        <row r="7585">
          <cell r="K7585" t="str">
            <v>GBWS-5213</v>
          </cell>
          <cell r="L7585">
            <v>45659</v>
          </cell>
          <cell r="M7585">
            <v>45660</v>
          </cell>
          <cell r="N7585">
            <v>45665</v>
          </cell>
          <cell r="O7585">
            <v>45660</v>
          </cell>
          <cell r="P7585">
            <v>45666</v>
          </cell>
          <cell r="Q7585">
            <v>45670</v>
          </cell>
          <cell r="R7585">
            <v>45671</v>
          </cell>
          <cell r="S7585">
            <v>45672</v>
          </cell>
          <cell r="T7585">
            <v>45673</v>
          </cell>
          <cell r="U7585">
            <v>45674</v>
          </cell>
          <cell r="V7585">
            <v>45677</v>
          </cell>
          <cell r="W7585">
            <v>45677</v>
          </cell>
          <cell r="X7585">
            <v>41200075</v>
          </cell>
        </row>
        <row r="7586">
          <cell r="K7586" t="str">
            <v>GBWS-5232</v>
          </cell>
          <cell r="L7586">
            <v>45663</v>
          </cell>
          <cell r="M7586">
            <v>45664</v>
          </cell>
          <cell r="N7586">
            <v>45672</v>
          </cell>
          <cell r="O7586">
            <v>45664</v>
          </cell>
          <cell r="P7586">
            <v>45673</v>
          </cell>
          <cell r="Q7586">
            <v>45672</v>
          </cell>
          <cell r="R7586">
            <v>45673</v>
          </cell>
          <cell r="S7586">
            <v>45674</v>
          </cell>
          <cell r="T7586">
            <v>45677</v>
          </cell>
          <cell r="U7586">
            <v>45678</v>
          </cell>
          <cell r="V7586">
            <v>45679</v>
          </cell>
          <cell r="W7586">
            <v>45679</v>
          </cell>
          <cell r="X7586">
            <v>41200038</v>
          </cell>
        </row>
        <row r="7587">
          <cell r="K7587" t="str">
            <v>GBWS-5249</v>
          </cell>
          <cell r="L7587">
            <v>45665</v>
          </cell>
          <cell r="M7587">
            <v>45667</v>
          </cell>
          <cell r="N7587">
            <v>45674</v>
          </cell>
          <cell r="O7587">
            <v>45667</v>
          </cell>
          <cell r="P7587">
            <v>45677</v>
          </cell>
          <cell r="Q7587" t="str">
            <v>2025-01-14 → 1/17</v>
          </cell>
          <cell r="R7587" t="str">
            <v>2025-01-15 → 1/20</v>
          </cell>
          <cell r="S7587">
            <v>45678</v>
          </cell>
          <cell r="T7587">
            <v>45678</v>
          </cell>
          <cell r="U7587">
            <v>45679</v>
          </cell>
          <cell r="V7587">
            <v>45680</v>
          </cell>
          <cell r="W7587">
            <v>45680</v>
          </cell>
          <cell r="X7587">
            <v>41200006</v>
          </cell>
        </row>
        <row r="7588">
          <cell r="K7588" t="str">
            <v>GBWS-5250</v>
          </cell>
          <cell r="L7588">
            <v>45665</v>
          </cell>
          <cell r="M7588">
            <v>45667</v>
          </cell>
          <cell r="N7588">
            <v>45674</v>
          </cell>
          <cell r="O7588">
            <v>45667</v>
          </cell>
          <cell r="P7588">
            <v>45677</v>
          </cell>
          <cell r="Q7588" t="str">
            <v>2025-01-14 → 1/17</v>
          </cell>
          <cell r="R7588" t="str">
            <v>2025-01-15 → 1/20</v>
          </cell>
          <cell r="S7588">
            <v>45677</v>
          </cell>
          <cell r="T7588">
            <v>45678</v>
          </cell>
          <cell r="U7588">
            <v>45679</v>
          </cell>
          <cell r="V7588">
            <v>45680</v>
          </cell>
          <cell r="W7588">
            <v>45680</v>
          </cell>
          <cell r="X7588">
            <v>41200006</v>
          </cell>
        </row>
        <row r="7589">
          <cell r="K7589" t="str">
            <v>DBW-3582</v>
          </cell>
          <cell r="L7589">
            <v>45652</v>
          </cell>
          <cell r="M7589">
            <v>45653</v>
          </cell>
          <cell r="N7589">
            <v>45664</v>
          </cell>
          <cell r="O7589">
            <v>45653</v>
          </cell>
          <cell r="P7589">
            <v>45666</v>
          </cell>
          <cell r="Q7589">
            <v>45665</v>
          </cell>
          <cell r="R7589">
            <v>45666</v>
          </cell>
          <cell r="S7589">
            <v>45667</v>
          </cell>
          <cell r="T7589">
            <v>45670</v>
          </cell>
          <cell r="U7589">
            <v>45671</v>
          </cell>
          <cell r="V7589">
            <v>45672</v>
          </cell>
          <cell r="W7589">
            <v>45672</v>
          </cell>
          <cell r="X7589">
            <v>41000590</v>
          </cell>
        </row>
        <row r="7590">
          <cell r="K7590" t="str">
            <v>DBW-3583</v>
          </cell>
          <cell r="L7590">
            <v>45652</v>
          </cell>
          <cell r="M7590">
            <v>45653</v>
          </cell>
          <cell r="N7590">
            <v>45664</v>
          </cell>
          <cell r="O7590">
            <v>45653</v>
          </cell>
          <cell r="P7590">
            <v>45666</v>
          </cell>
          <cell r="Q7590">
            <v>45665</v>
          </cell>
          <cell r="R7590">
            <v>45666</v>
          </cell>
          <cell r="S7590">
            <v>45667</v>
          </cell>
          <cell r="T7590">
            <v>45670</v>
          </cell>
          <cell r="U7590">
            <v>45671</v>
          </cell>
          <cell r="V7590">
            <v>45672</v>
          </cell>
          <cell r="W7590">
            <v>45672</v>
          </cell>
          <cell r="X7590">
            <v>41000590</v>
          </cell>
        </row>
        <row r="7591">
          <cell r="K7591" t="str">
            <v>GBWS-5237</v>
          </cell>
          <cell r="L7591">
            <v>45663</v>
          </cell>
          <cell r="M7591">
            <v>45665</v>
          </cell>
          <cell r="N7591">
            <v>45673</v>
          </cell>
          <cell r="O7591">
            <v>45665</v>
          </cell>
          <cell r="P7591">
            <v>45677</v>
          </cell>
          <cell r="Q7591">
            <v>45673</v>
          </cell>
          <cell r="R7591">
            <v>45674</v>
          </cell>
          <cell r="S7591">
            <v>45677</v>
          </cell>
          <cell r="T7591">
            <v>45678</v>
          </cell>
          <cell r="U7591">
            <v>45679</v>
          </cell>
          <cell r="V7591">
            <v>45680</v>
          </cell>
          <cell r="W7591">
            <v>45680</v>
          </cell>
          <cell r="X7591">
            <v>41100448</v>
          </cell>
        </row>
        <row r="7592">
          <cell r="K7592" t="str">
            <v>GBWS-5238</v>
          </cell>
          <cell r="L7592">
            <v>45663</v>
          </cell>
          <cell r="M7592">
            <v>45665</v>
          </cell>
          <cell r="N7592">
            <v>45673</v>
          </cell>
          <cell r="O7592">
            <v>45665</v>
          </cell>
          <cell r="P7592">
            <v>45677</v>
          </cell>
          <cell r="Q7592">
            <v>45673</v>
          </cell>
          <cell r="R7592">
            <v>45674</v>
          </cell>
          <cell r="S7592">
            <v>45677</v>
          </cell>
          <cell r="T7592">
            <v>45678</v>
          </cell>
          <cell r="U7592">
            <v>45679</v>
          </cell>
          <cell r="V7592">
            <v>45680</v>
          </cell>
          <cell r="W7592">
            <v>45680</v>
          </cell>
          <cell r="X7592">
            <v>41100448</v>
          </cell>
        </row>
        <row r="7593">
          <cell r="K7593" t="str">
            <v>GBWS-5225</v>
          </cell>
          <cell r="L7593">
            <v>45660</v>
          </cell>
          <cell r="M7593">
            <v>45663</v>
          </cell>
          <cell r="N7593">
            <v>45670</v>
          </cell>
          <cell r="O7593">
            <v>45663</v>
          </cell>
          <cell r="P7593">
            <v>45670</v>
          </cell>
          <cell r="Q7593">
            <v>45671</v>
          </cell>
          <cell r="R7593" t="str">
            <v>2025-01-15 → 1/17</v>
          </cell>
          <cell r="S7593">
            <v>45677</v>
          </cell>
          <cell r="T7593">
            <v>45678</v>
          </cell>
          <cell r="U7593">
            <v>45679</v>
          </cell>
          <cell r="V7593">
            <v>45680</v>
          </cell>
          <cell r="W7593">
            <v>45680</v>
          </cell>
          <cell r="X7593">
            <v>41100374</v>
          </cell>
        </row>
        <row r="7594">
          <cell r="K7594" t="str">
            <v>GBWS-5226</v>
          </cell>
          <cell r="L7594">
            <v>45663</v>
          </cell>
          <cell r="M7594">
            <v>45664</v>
          </cell>
          <cell r="N7594">
            <v>45672</v>
          </cell>
          <cell r="O7594">
            <v>45664</v>
          </cell>
          <cell r="P7594">
            <v>45673</v>
          </cell>
          <cell r="Q7594">
            <v>45672</v>
          </cell>
          <cell r="R7594">
            <v>45673</v>
          </cell>
          <cell r="S7594">
            <v>45674</v>
          </cell>
          <cell r="T7594">
            <v>45677</v>
          </cell>
          <cell r="U7594">
            <v>45678</v>
          </cell>
          <cell r="V7594">
            <v>45679</v>
          </cell>
          <cell r="W7594">
            <v>45679</v>
          </cell>
          <cell r="X7594">
            <v>41200076</v>
          </cell>
        </row>
        <row r="7595">
          <cell r="K7595" t="str">
            <v>GBWS-5209</v>
          </cell>
          <cell r="L7595">
            <v>45659</v>
          </cell>
          <cell r="M7595">
            <v>45660</v>
          </cell>
          <cell r="N7595">
            <v>45667</v>
          </cell>
          <cell r="O7595">
            <v>45660</v>
          </cell>
          <cell r="P7595">
            <v>45667</v>
          </cell>
          <cell r="Q7595">
            <v>45670</v>
          </cell>
          <cell r="R7595">
            <v>45671</v>
          </cell>
          <cell r="S7595">
            <v>45674</v>
          </cell>
          <cell r="T7595">
            <v>45677</v>
          </cell>
          <cell r="U7595">
            <v>45678</v>
          </cell>
          <cell r="V7595">
            <v>45679</v>
          </cell>
          <cell r="W7595">
            <v>45679</v>
          </cell>
          <cell r="X7595">
            <v>41100334</v>
          </cell>
        </row>
        <row r="7596">
          <cell r="K7596" t="str">
            <v>GBWS-5239</v>
          </cell>
          <cell r="L7596">
            <v>45663</v>
          </cell>
          <cell r="M7596">
            <v>45665</v>
          </cell>
          <cell r="N7596">
            <v>45673</v>
          </cell>
          <cell r="O7596">
            <v>45665</v>
          </cell>
          <cell r="P7596">
            <v>45672</v>
          </cell>
          <cell r="Q7596">
            <v>45673</v>
          </cell>
          <cell r="R7596">
            <v>45674</v>
          </cell>
          <cell r="S7596">
            <v>45677</v>
          </cell>
          <cell r="T7596">
            <v>45678</v>
          </cell>
          <cell r="U7596">
            <v>45681</v>
          </cell>
          <cell r="V7596">
            <v>45681</v>
          </cell>
          <cell r="W7596">
            <v>45681</v>
          </cell>
          <cell r="X7596">
            <v>41200007</v>
          </cell>
        </row>
        <row r="7597">
          <cell r="K7597" t="str">
            <v>GBWS-5240</v>
          </cell>
          <cell r="L7597">
            <v>45663</v>
          </cell>
          <cell r="M7597">
            <v>45665</v>
          </cell>
          <cell r="N7597">
            <v>45673</v>
          </cell>
          <cell r="O7597">
            <v>45665</v>
          </cell>
          <cell r="P7597">
            <v>45672</v>
          </cell>
          <cell r="Q7597">
            <v>45673</v>
          </cell>
          <cell r="R7597">
            <v>45674</v>
          </cell>
          <cell r="S7597">
            <v>45677</v>
          </cell>
          <cell r="T7597">
            <v>45678</v>
          </cell>
          <cell r="U7597">
            <v>45681</v>
          </cell>
          <cell r="V7597">
            <v>45681</v>
          </cell>
          <cell r="W7597">
            <v>45681</v>
          </cell>
          <cell r="X7597">
            <v>41200007</v>
          </cell>
        </row>
        <row r="7598">
          <cell r="K7598" t="str">
            <v>GBWS-5217</v>
          </cell>
          <cell r="L7598">
            <v>45659</v>
          </cell>
          <cell r="M7598">
            <v>45660</v>
          </cell>
          <cell r="N7598">
            <v>45666</v>
          </cell>
          <cell r="O7598">
            <v>45660</v>
          </cell>
          <cell r="P7598">
            <v>45665</v>
          </cell>
          <cell r="Q7598">
            <v>45666</v>
          </cell>
          <cell r="R7598">
            <v>45667</v>
          </cell>
          <cell r="S7598">
            <v>45670</v>
          </cell>
          <cell r="T7598">
            <v>45671</v>
          </cell>
          <cell r="U7598">
            <v>45673</v>
          </cell>
          <cell r="V7598">
            <v>45674</v>
          </cell>
          <cell r="W7598">
            <v>45674</v>
          </cell>
          <cell r="X7598">
            <v>41200007</v>
          </cell>
        </row>
        <row r="7599">
          <cell r="K7599" t="str">
            <v>GBWS-5219</v>
          </cell>
          <cell r="L7599">
            <v>45659</v>
          </cell>
          <cell r="M7599">
            <v>45660</v>
          </cell>
          <cell r="N7599">
            <v>45665</v>
          </cell>
          <cell r="O7599">
            <v>45660</v>
          </cell>
          <cell r="P7599">
            <v>45665</v>
          </cell>
          <cell r="Q7599">
            <v>45666</v>
          </cell>
          <cell r="R7599">
            <v>45667</v>
          </cell>
          <cell r="S7599">
            <v>45670</v>
          </cell>
          <cell r="T7599">
            <v>45671</v>
          </cell>
          <cell r="U7599">
            <v>45673</v>
          </cell>
          <cell r="V7599">
            <v>45674</v>
          </cell>
          <cell r="W7599">
            <v>45674</v>
          </cell>
          <cell r="X7599">
            <v>41200007</v>
          </cell>
        </row>
        <row r="7600">
          <cell r="K7600" t="str">
            <v>GBWS-5220</v>
          </cell>
          <cell r="L7600">
            <v>45659</v>
          </cell>
          <cell r="M7600">
            <v>45660</v>
          </cell>
          <cell r="N7600">
            <v>45665</v>
          </cell>
          <cell r="O7600">
            <v>45660</v>
          </cell>
          <cell r="P7600">
            <v>45665</v>
          </cell>
          <cell r="Q7600">
            <v>45666</v>
          </cell>
          <cell r="R7600">
            <v>45667</v>
          </cell>
          <cell r="S7600">
            <v>45670</v>
          </cell>
          <cell r="T7600">
            <v>45671</v>
          </cell>
          <cell r="U7600">
            <v>45672</v>
          </cell>
          <cell r="V7600">
            <v>45673</v>
          </cell>
          <cell r="W7600">
            <v>45673</v>
          </cell>
          <cell r="X7600">
            <v>41200007</v>
          </cell>
        </row>
        <row r="7601">
          <cell r="K7601" t="str">
            <v>GBWS-5241</v>
          </cell>
          <cell r="L7601">
            <v>45663</v>
          </cell>
          <cell r="M7601">
            <v>45665</v>
          </cell>
          <cell r="N7601">
            <v>45673</v>
          </cell>
          <cell r="O7601">
            <v>45665</v>
          </cell>
          <cell r="P7601">
            <v>45672</v>
          </cell>
          <cell r="Q7601">
            <v>45673</v>
          </cell>
          <cell r="R7601">
            <v>45674</v>
          </cell>
          <cell r="S7601">
            <v>45677</v>
          </cell>
          <cell r="T7601">
            <v>45678</v>
          </cell>
          <cell r="U7601">
            <v>45681</v>
          </cell>
          <cell r="V7601">
            <v>45681</v>
          </cell>
          <cell r="W7601">
            <v>45681</v>
          </cell>
          <cell r="X7601">
            <v>41200007</v>
          </cell>
        </row>
        <row r="7602">
          <cell r="K7602" t="str">
            <v>GBWS-5242</v>
          </cell>
          <cell r="L7602">
            <v>45663</v>
          </cell>
          <cell r="M7602">
            <v>45665</v>
          </cell>
          <cell r="N7602">
            <v>45673</v>
          </cell>
          <cell r="O7602">
            <v>45665</v>
          </cell>
          <cell r="P7602">
            <v>45672</v>
          </cell>
          <cell r="Q7602">
            <v>45673</v>
          </cell>
          <cell r="R7602">
            <v>45674</v>
          </cell>
          <cell r="S7602">
            <v>45677</v>
          </cell>
          <cell r="T7602">
            <v>45678</v>
          </cell>
          <cell r="U7602">
            <v>45681</v>
          </cell>
          <cell r="V7602">
            <v>45681</v>
          </cell>
          <cell r="W7602">
            <v>45681</v>
          </cell>
          <cell r="X7602">
            <v>41200007</v>
          </cell>
        </row>
        <row r="7603">
          <cell r="K7603" t="str">
            <v>GBWS-5227</v>
          </cell>
          <cell r="L7603">
            <v>45663</v>
          </cell>
          <cell r="M7603">
            <v>45664</v>
          </cell>
          <cell r="N7603">
            <v>45672</v>
          </cell>
          <cell r="O7603">
            <v>45664</v>
          </cell>
          <cell r="P7603">
            <v>45673</v>
          </cell>
          <cell r="Q7603">
            <v>45672</v>
          </cell>
          <cell r="R7603">
            <v>45673</v>
          </cell>
          <cell r="S7603">
            <v>45678</v>
          </cell>
          <cell r="T7603">
            <v>45679</v>
          </cell>
          <cell r="U7603">
            <v>45680</v>
          </cell>
          <cell r="V7603">
            <v>45681</v>
          </cell>
          <cell r="W7603">
            <v>45681</v>
          </cell>
          <cell r="X7603">
            <v>41200076</v>
          </cell>
        </row>
        <row r="7604">
          <cell r="K7604" t="str">
            <v>GBWS-5228</v>
          </cell>
          <cell r="L7604">
            <v>45663</v>
          </cell>
          <cell r="M7604">
            <v>45664</v>
          </cell>
          <cell r="N7604">
            <v>45672</v>
          </cell>
          <cell r="O7604">
            <v>45664</v>
          </cell>
          <cell r="P7604">
            <v>45673</v>
          </cell>
          <cell r="Q7604">
            <v>45672</v>
          </cell>
          <cell r="R7604">
            <v>45673</v>
          </cell>
          <cell r="S7604">
            <v>45678</v>
          </cell>
          <cell r="T7604">
            <v>45679</v>
          </cell>
          <cell r="U7604">
            <v>45680</v>
          </cell>
          <cell r="V7604">
            <v>45681</v>
          </cell>
          <cell r="W7604">
            <v>45681</v>
          </cell>
          <cell r="X7604">
            <v>41200076</v>
          </cell>
        </row>
        <row r="7605">
          <cell r="K7605" t="str">
            <v>GBWS-5218</v>
          </cell>
          <cell r="L7605">
            <v>45659</v>
          </cell>
          <cell r="M7605">
            <v>45660</v>
          </cell>
          <cell r="N7605">
            <v>45666</v>
          </cell>
          <cell r="O7605">
            <v>45660</v>
          </cell>
          <cell r="P7605">
            <v>45665</v>
          </cell>
          <cell r="Q7605">
            <v>45666</v>
          </cell>
          <cell r="R7605">
            <v>45667</v>
          </cell>
          <cell r="S7605">
            <v>45670</v>
          </cell>
          <cell r="T7605">
            <v>45671</v>
          </cell>
          <cell r="U7605">
            <v>45673</v>
          </cell>
          <cell r="V7605">
            <v>45674</v>
          </cell>
          <cell r="W7605">
            <v>45674</v>
          </cell>
          <cell r="X7605">
            <v>41200007</v>
          </cell>
        </row>
        <row r="7606">
          <cell r="K7606" t="str">
            <v>DBW-3586</v>
          </cell>
          <cell r="L7606">
            <v>45659</v>
          </cell>
          <cell r="M7606">
            <v>45660</v>
          </cell>
          <cell r="N7606">
            <v>45667</v>
          </cell>
          <cell r="O7606">
            <v>45660</v>
          </cell>
          <cell r="P7606">
            <v>45672</v>
          </cell>
          <cell r="Q7606" t="str">
            <v>2025-01-13 → 1/16</v>
          </cell>
          <cell r="R7606" t="str">
            <v>2025-01-14 → 1/17</v>
          </cell>
          <cell r="S7606">
            <v>45678</v>
          </cell>
          <cell r="T7606">
            <v>45679</v>
          </cell>
          <cell r="U7606">
            <v>45680</v>
          </cell>
          <cell r="V7606">
            <v>45681</v>
          </cell>
          <cell r="W7606">
            <v>45681</v>
          </cell>
          <cell r="X7606">
            <v>41000514</v>
          </cell>
        </row>
        <row r="7607">
          <cell r="K7607" t="str">
            <v>GBWS-5251</v>
          </cell>
          <cell r="L7607">
            <v>45667</v>
          </cell>
          <cell r="M7607">
            <v>45670</v>
          </cell>
          <cell r="N7607">
            <v>45677</v>
          </cell>
          <cell r="O7607">
            <v>45670</v>
          </cell>
          <cell r="P7607">
            <v>45678</v>
          </cell>
          <cell r="Q7607">
            <v>45678</v>
          </cell>
          <cell r="R7607">
            <v>45679</v>
          </cell>
          <cell r="S7607">
            <v>45680</v>
          </cell>
          <cell r="T7607">
            <v>45681</v>
          </cell>
          <cell r="U7607">
            <v>45691</v>
          </cell>
          <cell r="V7607">
            <v>45692</v>
          </cell>
          <cell r="W7607">
            <v>45692</v>
          </cell>
          <cell r="X7607">
            <v>41200075</v>
          </cell>
        </row>
        <row r="7608">
          <cell r="K7608" t="str">
            <v>GBWS-5247</v>
          </cell>
          <cell r="L7608">
            <v>45665</v>
          </cell>
          <cell r="M7608">
            <v>45667</v>
          </cell>
          <cell r="N7608">
            <v>45677</v>
          </cell>
          <cell r="O7608">
            <v>45667</v>
          </cell>
          <cell r="P7608">
            <v>45677</v>
          </cell>
          <cell r="Q7608">
            <v>45677</v>
          </cell>
          <cell r="R7608">
            <v>45678</v>
          </cell>
          <cell r="S7608">
            <v>45679</v>
          </cell>
          <cell r="T7608">
            <v>45680</v>
          </cell>
          <cell r="U7608">
            <v>45681</v>
          </cell>
          <cell r="V7608">
            <v>45691</v>
          </cell>
          <cell r="W7608">
            <v>45691</v>
          </cell>
          <cell r="X7608">
            <v>41100320</v>
          </cell>
        </row>
        <row r="7609">
          <cell r="K7609" t="str">
            <v>GBWS-5248</v>
          </cell>
          <cell r="L7609">
            <v>45665</v>
          </cell>
          <cell r="M7609">
            <v>45667</v>
          </cell>
          <cell r="N7609">
            <v>45677</v>
          </cell>
          <cell r="O7609">
            <v>45667</v>
          </cell>
          <cell r="P7609">
            <v>45677</v>
          </cell>
          <cell r="Q7609">
            <v>45677</v>
          </cell>
          <cell r="R7609">
            <v>45678</v>
          </cell>
          <cell r="S7609">
            <v>45679</v>
          </cell>
          <cell r="T7609">
            <v>45680</v>
          </cell>
          <cell r="U7609">
            <v>45681</v>
          </cell>
          <cell r="V7609">
            <v>45691</v>
          </cell>
          <cell r="W7609">
            <v>45691</v>
          </cell>
          <cell r="X7609">
            <v>41100320</v>
          </cell>
        </row>
        <row r="7610">
          <cell r="K7610" t="str">
            <v>GBWS-5261</v>
          </cell>
          <cell r="L7610">
            <v>45670</v>
          </cell>
          <cell r="M7610">
            <v>45671</v>
          </cell>
          <cell r="N7610">
            <v>45678</v>
          </cell>
          <cell r="O7610">
            <v>45671</v>
          </cell>
          <cell r="P7610">
            <v>45679</v>
          </cell>
          <cell r="Q7610" t="str">
            <v>2025-01-22 → 1/21</v>
          </cell>
          <cell r="R7610" t="str">
            <v>2025-01-23 → 1/22</v>
          </cell>
          <cell r="S7610">
            <v>45680</v>
          </cell>
          <cell r="T7610">
            <v>45681</v>
          </cell>
          <cell r="U7610">
            <v>45691</v>
          </cell>
          <cell r="V7610">
            <v>45692</v>
          </cell>
          <cell r="W7610">
            <v>45692</v>
          </cell>
          <cell r="X7610">
            <v>41200076</v>
          </cell>
        </row>
        <row r="7611">
          <cell r="K7611" t="str">
            <v>GBWS-5252</v>
          </cell>
          <cell r="L7611">
            <v>45667</v>
          </cell>
          <cell r="M7611">
            <v>45670</v>
          </cell>
          <cell r="N7611">
            <v>45674</v>
          </cell>
          <cell r="O7611">
            <v>45670</v>
          </cell>
          <cell r="P7611">
            <v>45679</v>
          </cell>
          <cell r="Q7611">
            <v>45678</v>
          </cell>
          <cell r="R7611">
            <v>45679</v>
          </cell>
          <cell r="S7611">
            <v>45680</v>
          </cell>
          <cell r="T7611">
            <v>45681</v>
          </cell>
          <cell r="U7611">
            <v>45691</v>
          </cell>
          <cell r="V7611">
            <v>45692</v>
          </cell>
          <cell r="W7611">
            <v>45692</v>
          </cell>
          <cell r="X7611" t="str">
            <v>41000531 → 41200104</v>
          </cell>
        </row>
        <row r="7612">
          <cell r="K7612" t="str">
            <v>GPWS-0445</v>
          </cell>
          <cell r="L7612">
            <v>45629</v>
          </cell>
          <cell r="M7612">
            <v>45630</v>
          </cell>
          <cell r="N7612">
            <v>45638</v>
          </cell>
          <cell r="O7612">
            <v>45630</v>
          </cell>
          <cell r="P7612">
            <v>45639</v>
          </cell>
          <cell r="Q7612">
            <v>45637</v>
          </cell>
          <cell r="R7612">
            <v>45638</v>
          </cell>
          <cell r="S7612">
            <v>45639</v>
          </cell>
          <cell r="T7612">
            <v>45642</v>
          </cell>
          <cell r="U7612">
            <v>45643</v>
          </cell>
          <cell r="V7612">
            <v>45644</v>
          </cell>
          <cell r="W7612">
            <v>45644</v>
          </cell>
          <cell r="X7612">
            <v>41200061</v>
          </cell>
        </row>
        <row r="7613">
          <cell r="K7613" t="str">
            <v>GBWS-5265</v>
          </cell>
          <cell r="L7613">
            <v>45670</v>
          </cell>
          <cell r="M7613">
            <v>45672</v>
          </cell>
          <cell r="N7613">
            <v>45679</v>
          </cell>
          <cell r="O7613">
            <v>45672</v>
          </cell>
          <cell r="P7613">
            <v>45681</v>
          </cell>
          <cell r="Q7613">
            <v>45680</v>
          </cell>
          <cell r="R7613">
            <v>45681</v>
          </cell>
          <cell r="S7613">
            <v>45681</v>
          </cell>
          <cell r="T7613">
            <v>45691</v>
          </cell>
          <cell r="U7613">
            <v>45692</v>
          </cell>
          <cell r="V7613">
            <v>45693</v>
          </cell>
          <cell r="W7613">
            <v>45693</v>
          </cell>
          <cell r="X7613">
            <v>41200087</v>
          </cell>
        </row>
        <row r="7614">
          <cell r="K7614" t="str">
            <v>DS-0452~0457</v>
          </cell>
          <cell r="L7614">
            <v>45680</v>
          </cell>
          <cell r="M7614">
            <v>45691</v>
          </cell>
          <cell r="N7614">
            <v>45692</v>
          </cell>
          <cell r="O7614">
            <v>45691</v>
          </cell>
          <cell r="P7614">
            <v>45692</v>
          </cell>
          <cell r="Q7614">
            <v>45692</v>
          </cell>
          <cell r="R7614">
            <v>45692</v>
          </cell>
          <cell r="S7614">
            <v>45693</v>
          </cell>
          <cell r="T7614">
            <v>45693</v>
          </cell>
          <cell r="U7614">
            <v>45693</v>
          </cell>
          <cell r="V7614">
            <v>45693</v>
          </cell>
          <cell r="W7614">
            <v>45693</v>
          </cell>
          <cell r="X7614">
            <v>31010314</v>
          </cell>
        </row>
        <row r="7615">
          <cell r="K7615" t="str">
            <v>SWC-0003</v>
          </cell>
          <cell r="L7615">
            <v>45663</v>
          </cell>
          <cell r="M7615">
            <v>45665</v>
          </cell>
          <cell r="N7615">
            <v>45673</v>
          </cell>
          <cell r="O7615">
            <v>45665</v>
          </cell>
          <cell r="P7615">
            <v>45677</v>
          </cell>
          <cell r="Q7615" t="str">
            <v>2025-01-17 → 1/16</v>
          </cell>
          <cell r="R7615" t="str">
            <v>2025-01-20 → 1/17</v>
          </cell>
          <cell r="S7615">
            <v>45677</v>
          </cell>
          <cell r="T7615">
            <v>45678</v>
          </cell>
          <cell r="U7615">
            <v>45679</v>
          </cell>
          <cell r="V7615">
            <v>45695</v>
          </cell>
          <cell r="W7615">
            <v>45695</v>
          </cell>
          <cell r="X7615">
            <v>41200102</v>
          </cell>
        </row>
        <row r="7616">
          <cell r="K7616" t="str">
            <v>GPWS-0449</v>
          </cell>
          <cell r="L7616">
            <v>45635</v>
          </cell>
          <cell r="M7616">
            <v>45636</v>
          </cell>
          <cell r="N7616">
            <v>45644</v>
          </cell>
          <cell r="O7616">
            <v>45636</v>
          </cell>
          <cell r="P7616">
            <v>45646</v>
          </cell>
          <cell r="Q7616">
            <v>45644</v>
          </cell>
          <cell r="R7616">
            <v>45645</v>
          </cell>
          <cell r="S7616">
            <v>45646</v>
          </cell>
          <cell r="T7616">
            <v>45649</v>
          </cell>
          <cell r="U7616">
            <v>45650</v>
          </cell>
          <cell r="V7616">
            <v>45652</v>
          </cell>
          <cell r="W7616">
            <v>45652</v>
          </cell>
          <cell r="X7616">
            <v>41200061</v>
          </cell>
        </row>
        <row r="7617">
          <cell r="K7617" t="str">
            <v>GBWS-5243</v>
          </cell>
          <cell r="L7617">
            <v>45663</v>
          </cell>
          <cell r="M7617">
            <v>45665</v>
          </cell>
          <cell r="N7617">
            <v>45673</v>
          </cell>
          <cell r="O7617">
            <v>45665</v>
          </cell>
          <cell r="P7617">
            <v>45672</v>
          </cell>
          <cell r="Q7617">
            <v>45674</v>
          </cell>
          <cell r="R7617">
            <v>45677</v>
          </cell>
          <cell r="S7617">
            <v>45679</v>
          </cell>
          <cell r="T7617">
            <v>45681</v>
          </cell>
          <cell r="U7617">
            <v>45681</v>
          </cell>
          <cell r="V7617">
            <v>45691</v>
          </cell>
          <cell r="W7617">
            <v>45691</v>
          </cell>
          <cell r="X7617">
            <v>41200007</v>
          </cell>
        </row>
        <row r="7618">
          <cell r="K7618" t="str">
            <v>GBWS-5244</v>
          </cell>
          <cell r="L7618">
            <v>45663</v>
          </cell>
          <cell r="M7618">
            <v>45665</v>
          </cell>
          <cell r="N7618">
            <v>45673</v>
          </cell>
          <cell r="O7618">
            <v>45665</v>
          </cell>
          <cell r="P7618">
            <v>45672</v>
          </cell>
          <cell r="Q7618">
            <v>45674</v>
          </cell>
          <cell r="R7618">
            <v>45677</v>
          </cell>
          <cell r="S7618">
            <v>45679</v>
          </cell>
          <cell r="T7618">
            <v>45681</v>
          </cell>
          <cell r="U7618">
            <v>45681</v>
          </cell>
          <cell r="V7618">
            <v>45691</v>
          </cell>
          <cell r="W7618">
            <v>45691</v>
          </cell>
          <cell r="X7618">
            <v>41200007</v>
          </cell>
        </row>
        <row r="7619">
          <cell r="K7619" t="str">
            <v>GBWS-4713</v>
          </cell>
          <cell r="L7619">
            <v>45482</v>
          </cell>
          <cell r="M7619">
            <v>45483</v>
          </cell>
          <cell r="N7619">
            <v>45490</v>
          </cell>
          <cell r="O7619">
            <v>45483</v>
          </cell>
          <cell r="P7619">
            <v>45491</v>
          </cell>
          <cell r="Q7619">
            <v>45490</v>
          </cell>
          <cell r="R7619">
            <v>45491</v>
          </cell>
          <cell r="S7619">
            <v>45492</v>
          </cell>
          <cell r="T7619">
            <v>45496</v>
          </cell>
          <cell r="U7619">
            <v>45498</v>
          </cell>
          <cell r="V7619">
            <v>45498</v>
          </cell>
          <cell r="W7619">
            <v>45498</v>
          </cell>
          <cell r="X7619">
            <v>41100461</v>
          </cell>
        </row>
        <row r="7620">
          <cell r="K7620" t="str">
            <v>GBWS-4714</v>
          </cell>
          <cell r="L7620">
            <v>45482</v>
          </cell>
          <cell r="M7620">
            <v>45483</v>
          </cell>
          <cell r="N7620">
            <v>45490</v>
          </cell>
          <cell r="O7620">
            <v>45483</v>
          </cell>
          <cell r="P7620">
            <v>45491</v>
          </cell>
          <cell r="Q7620">
            <v>45490</v>
          </cell>
          <cell r="R7620">
            <v>45491</v>
          </cell>
          <cell r="S7620">
            <v>45492</v>
          </cell>
          <cell r="T7620">
            <v>45496</v>
          </cell>
          <cell r="U7620">
            <v>45498</v>
          </cell>
          <cell r="V7620">
            <v>45498</v>
          </cell>
          <cell r="W7620">
            <v>45498</v>
          </cell>
          <cell r="X7620">
            <v>41100461</v>
          </cell>
        </row>
        <row r="7621">
          <cell r="K7621" t="str">
            <v>GBWS-5266</v>
          </cell>
          <cell r="L7621">
            <v>45671</v>
          </cell>
          <cell r="M7621">
            <v>45673</v>
          </cell>
          <cell r="N7621">
            <v>45680</v>
          </cell>
          <cell r="O7621">
            <v>45673</v>
          </cell>
          <cell r="P7621">
            <v>45691</v>
          </cell>
          <cell r="Q7621">
            <v>45681</v>
          </cell>
          <cell r="R7621">
            <v>45684</v>
          </cell>
          <cell r="S7621">
            <v>45691</v>
          </cell>
          <cell r="T7621">
            <v>45692</v>
          </cell>
          <cell r="U7621">
            <v>45693</v>
          </cell>
          <cell r="V7621">
            <v>45694</v>
          </cell>
          <cell r="W7621">
            <v>45694</v>
          </cell>
          <cell r="X7621">
            <v>41200034</v>
          </cell>
        </row>
        <row r="7622">
          <cell r="K7622" t="str">
            <v>GPWS-0446</v>
          </cell>
          <cell r="L7622">
            <v>45629</v>
          </cell>
          <cell r="M7622">
            <v>45630</v>
          </cell>
          <cell r="N7622">
            <v>45638</v>
          </cell>
          <cell r="O7622">
            <v>45630</v>
          </cell>
          <cell r="P7622">
            <v>45639</v>
          </cell>
          <cell r="Q7622">
            <v>45637</v>
          </cell>
          <cell r="R7622">
            <v>45638</v>
          </cell>
          <cell r="S7622">
            <v>45639</v>
          </cell>
          <cell r="T7622">
            <v>45642</v>
          </cell>
          <cell r="U7622">
            <v>45643</v>
          </cell>
          <cell r="V7622">
            <v>45644</v>
          </cell>
          <cell r="W7622">
            <v>45644</v>
          </cell>
          <cell r="X7622">
            <v>41200061</v>
          </cell>
        </row>
        <row r="7623">
          <cell r="K7623" t="str">
            <v>GPWS-0447</v>
          </cell>
          <cell r="L7623">
            <v>45630</v>
          </cell>
          <cell r="M7623">
            <v>45632</v>
          </cell>
          <cell r="N7623">
            <v>45643</v>
          </cell>
          <cell r="O7623">
            <v>45632</v>
          </cell>
          <cell r="P7623">
            <v>45643</v>
          </cell>
          <cell r="Q7623">
            <v>45639</v>
          </cell>
          <cell r="R7623">
            <v>45642</v>
          </cell>
          <cell r="S7623">
            <v>45644</v>
          </cell>
          <cell r="T7623">
            <v>45645</v>
          </cell>
          <cell r="U7623">
            <v>45646</v>
          </cell>
          <cell r="V7623">
            <v>45649</v>
          </cell>
          <cell r="W7623">
            <v>45649</v>
          </cell>
          <cell r="X7623">
            <v>41200061</v>
          </cell>
        </row>
        <row r="7624">
          <cell r="K7624" t="str">
            <v>GBWS-5264</v>
          </cell>
          <cell r="L7624">
            <v>45670</v>
          </cell>
          <cell r="M7624">
            <v>45672</v>
          </cell>
          <cell r="N7624">
            <v>45678</v>
          </cell>
          <cell r="O7624">
            <v>45672</v>
          </cell>
          <cell r="P7624">
            <v>45678</v>
          </cell>
          <cell r="Q7624">
            <v>45680</v>
          </cell>
          <cell r="R7624">
            <v>45681</v>
          </cell>
          <cell r="S7624">
            <v>45681</v>
          </cell>
          <cell r="T7624">
            <v>45691</v>
          </cell>
          <cell r="U7624">
            <v>45692</v>
          </cell>
          <cell r="V7624">
            <v>45693</v>
          </cell>
          <cell r="W7624">
            <v>45693</v>
          </cell>
          <cell r="X7624">
            <v>41000556</v>
          </cell>
        </row>
        <row r="7625">
          <cell r="K7625" t="str">
            <v>GBWS-5268</v>
          </cell>
          <cell r="L7625">
            <v>45671</v>
          </cell>
          <cell r="M7625">
            <v>45673</v>
          </cell>
          <cell r="N7625">
            <v>45691</v>
          </cell>
          <cell r="O7625">
            <v>45674</v>
          </cell>
          <cell r="P7625">
            <v>45691</v>
          </cell>
          <cell r="Q7625">
            <v>45681</v>
          </cell>
          <cell r="R7625">
            <v>45684</v>
          </cell>
          <cell r="S7625">
            <v>45691</v>
          </cell>
          <cell r="T7625">
            <v>45692</v>
          </cell>
          <cell r="U7625">
            <v>45693</v>
          </cell>
          <cell r="V7625">
            <v>45694</v>
          </cell>
          <cell r="W7625">
            <v>45694</v>
          </cell>
          <cell r="X7625">
            <v>41100334</v>
          </cell>
        </row>
        <row r="7626">
          <cell r="K7626" t="str">
            <v>GBWS-5272</v>
          </cell>
          <cell r="L7626">
            <v>45671</v>
          </cell>
          <cell r="M7626">
            <v>45673</v>
          </cell>
          <cell r="N7626">
            <v>45691</v>
          </cell>
          <cell r="O7626">
            <v>45673</v>
          </cell>
          <cell r="P7626">
            <v>45691</v>
          </cell>
          <cell r="Q7626">
            <v>45688</v>
          </cell>
          <cell r="R7626">
            <v>45691</v>
          </cell>
          <cell r="S7626">
            <v>45692</v>
          </cell>
          <cell r="T7626">
            <v>45693</v>
          </cell>
          <cell r="U7626">
            <v>45694</v>
          </cell>
          <cell r="V7626">
            <v>45695</v>
          </cell>
          <cell r="W7626">
            <v>45695</v>
          </cell>
          <cell r="X7626">
            <v>41200076</v>
          </cell>
        </row>
        <row r="7627">
          <cell r="K7627" t="str">
            <v>GBWS-5273</v>
          </cell>
          <cell r="L7627">
            <v>45671</v>
          </cell>
          <cell r="M7627">
            <v>45673</v>
          </cell>
          <cell r="N7627">
            <v>45691</v>
          </cell>
          <cell r="O7627">
            <v>45673</v>
          </cell>
          <cell r="P7627">
            <v>45691</v>
          </cell>
          <cell r="Q7627">
            <v>45688</v>
          </cell>
          <cell r="R7627">
            <v>45691</v>
          </cell>
          <cell r="S7627">
            <v>45692</v>
          </cell>
          <cell r="T7627">
            <v>45693</v>
          </cell>
          <cell r="U7627">
            <v>45694</v>
          </cell>
          <cell r="V7627">
            <v>45695</v>
          </cell>
          <cell r="W7627">
            <v>45695</v>
          </cell>
          <cell r="X7627">
            <v>41200076</v>
          </cell>
        </row>
        <row r="7628">
          <cell r="K7628" t="str">
            <v>GBWS-5284</v>
          </cell>
          <cell r="L7628">
            <v>45674</v>
          </cell>
          <cell r="M7628">
            <v>45678</v>
          </cell>
          <cell r="N7628">
            <v>45692</v>
          </cell>
          <cell r="O7628">
            <v>45678</v>
          </cell>
          <cell r="P7628">
            <v>45693</v>
          </cell>
          <cell r="Q7628" t="str">
            <v>2025-02-03 → 2/4</v>
          </cell>
          <cell r="R7628" t="str">
            <v>2025-02-04 → 2/5</v>
          </cell>
          <cell r="S7628">
            <v>45694</v>
          </cell>
          <cell r="T7628">
            <v>45695</v>
          </cell>
          <cell r="U7628">
            <v>45698</v>
          </cell>
          <cell r="V7628">
            <v>45699</v>
          </cell>
          <cell r="W7628">
            <v>45699</v>
          </cell>
          <cell r="X7628">
            <v>41100372</v>
          </cell>
        </row>
        <row r="7629">
          <cell r="K7629" t="str">
            <v>GBWS-5275</v>
          </cell>
          <cell r="L7629">
            <v>45671</v>
          </cell>
          <cell r="M7629">
            <v>45673</v>
          </cell>
          <cell r="N7629">
            <v>45680</v>
          </cell>
          <cell r="O7629">
            <v>45674</v>
          </cell>
          <cell r="P7629">
            <v>45681</v>
          </cell>
          <cell r="Q7629">
            <v>45681</v>
          </cell>
          <cell r="R7629">
            <v>45684</v>
          </cell>
          <cell r="S7629">
            <v>45691</v>
          </cell>
          <cell r="T7629">
            <v>45692</v>
          </cell>
          <cell r="U7629">
            <v>45693</v>
          </cell>
          <cell r="V7629">
            <v>45694</v>
          </cell>
          <cell r="W7629">
            <v>45694</v>
          </cell>
          <cell r="X7629">
            <v>41100374</v>
          </cell>
        </row>
        <row r="7630">
          <cell r="K7630" t="str">
            <v>DBW-3595</v>
          </cell>
          <cell r="L7630">
            <v>45670</v>
          </cell>
          <cell r="M7630">
            <v>45672</v>
          </cell>
          <cell r="N7630">
            <v>45681</v>
          </cell>
          <cell r="O7630">
            <v>45672</v>
          </cell>
          <cell r="P7630">
            <v>45680</v>
          </cell>
          <cell r="Q7630">
            <v>45680</v>
          </cell>
          <cell r="R7630">
            <v>45681</v>
          </cell>
          <cell r="S7630">
            <v>45681</v>
          </cell>
          <cell r="T7630">
            <v>45691</v>
          </cell>
          <cell r="U7630">
            <v>45693</v>
          </cell>
          <cell r="V7630">
            <v>45694</v>
          </cell>
          <cell r="W7630">
            <v>45694</v>
          </cell>
          <cell r="X7630">
            <v>41200008</v>
          </cell>
        </row>
        <row r="7631">
          <cell r="K7631" t="str">
            <v>DBW-3596</v>
          </cell>
          <cell r="L7631">
            <v>45670</v>
          </cell>
          <cell r="M7631">
            <v>45672</v>
          </cell>
          <cell r="N7631">
            <v>45681</v>
          </cell>
          <cell r="O7631">
            <v>45672</v>
          </cell>
          <cell r="P7631">
            <v>45680</v>
          </cell>
          <cell r="Q7631">
            <v>45680</v>
          </cell>
          <cell r="R7631">
            <v>45681</v>
          </cell>
          <cell r="S7631">
            <v>45681</v>
          </cell>
          <cell r="T7631">
            <v>45691</v>
          </cell>
          <cell r="U7631">
            <v>45693</v>
          </cell>
          <cell r="V7631">
            <v>45694</v>
          </cell>
          <cell r="W7631">
            <v>45694</v>
          </cell>
          <cell r="X7631">
            <v>41200008</v>
          </cell>
        </row>
        <row r="7632">
          <cell r="K7632" t="str">
            <v>DBW-3593</v>
          </cell>
          <cell r="L7632">
            <v>45670</v>
          </cell>
          <cell r="M7632">
            <v>45672</v>
          </cell>
          <cell r="N7632">
            <v>45679</v>
          </cell>
          <cell r="O7632">
            <v>45672</v>
          </cell>
          <cell r="P7632">
            <v>45691</v>
          </cell>
          <cell r="Q7632">
            <v>45680</v>
          </cell>
          <cell r="R7632">
            <v>45681</v>
          </cell>
          <cell r="S7632">
            <v>45681</v>
          </cell>
          <cell r="T7632">
            <v>45691</v>
          </cell>
          <cell r="U7632">
            <v>45692</v>
          </cell>
          <cell r="V7632">
            <v>45693</v>
          </cell>
          <cell r="W7632">
            <v>45693</v>
          </cell>
          <cell r="X7632">
            <v>41200008</v>
          </cell>
        </row>
        <row r="7633">
          <cell r="K7633" t="str">
            <v>DBW-3594</v>
          </cell>
          <cell r="L7633">
            <v>45670</v>
          </cell>
          <cell r="M7633">
            <v>45672</v>
          </cell>
          <cell r="N7633">
            <v>45679</v>
          </cell>
          <cell r="O7633">
            <v>45672</v>
          </cell>
          <cell r="P7633">
            <v>45691</v>
          </cell>
          <cell r="Q7633">
            <v>45680</v>
          </cell>
          <cell r="R7633">
            <v>45681</v>
          </cell>
          <cell r="S7633">
            <v>45681</v>
          </cell>
          <cell r="T7633">
            <v>45691</v>
          </cell>
          <cell r="U7633">
            <v>45692</v>
          </cell>
          <cell r="V7633">
            <v>45693</v>
          </cell>
          <cell r="W7633">
            <v>45693</v>
          </cell>
          <cell r="X7633">
            <v>41200008</v>
          </cell>
        </row>
        <row r="7634">
          <cell r="K7634" t="str">
            <v>DBW-3589</v>
          </cell>
          <cell r="L7634">
            <v>45660</v>
          </cell>
          <cell r="M7634">
            <v>45663</v>
          </cell>
          <cell r="N7634">
            <v>45674</v>
          </cell>
          <cell r="O7634">
            <v>45663</v>
          </cell>
          <cell r="P7634">
            <v>45674</v>
          </cell>
          <cell r="Q7634" t="str">
            <v>2025-01-14 → 1/17</v>
          </cell>
          <cell r="R7634" t="str">
            <v>2025-01-15 → 1/20</v>
          </cell>
          <cell r="S7634">
            <v>45678</v>
          </cell>
          <cell r="T7634">
            <v>45679</v>
          </cell>
          <cell r="U7634">
            <v>45680</v>
          </cell>
          <cell r="V7634">
            <v>45681</v>
          </cell>
          <cell r="W7634">
            <v>45681</v>
          </cell>
          <cell r="X7634">
            <v>41200103</v>
          </cell>
        </row>
        <row r="7635">
          <cell r="K7635" t="str">
            <v>DBW-3590</v>
          </cell>
          <cell r="L7635">
            <v>45660</v>
          </cell>
          <cell r="M7635">
            <v>45663</v>
          </cell>
          <cell r="N7635">
            <v>45674</v>
          </cell>
          <cell r="O7635">
            <v>45663</v>
          </cell>
          <cell r="P7635">
            <v>45674</v>
          </cell>
          <cell r="Q7635" t="str">
            <v>2025-01-14 → 1/17</v>
          </cell>
          <cell r="R7635" t="str">
            <v>2025-01-15 → 1/20</v>
          </cell>
          <cell r="S7635">
            <v>45678</v>
          </cell>
          <cell r="T7635">
            <v>45679</v>
          </cell>
          <cell r="U7635">
            <v>45680</v>
          </cell>
          <cell r="V7635">
            <v>45681</v>
          </cell>
          <cell r="W7635">
            <v>45681</v>
          </cell>
          <cell r="X7635">
            <v>41200103</v>
          </cell>
        </row>
        <row r="7636">
          <cell r="K7636" t="str">
            <v>DBW-3597</v>
          </cell>
          <cell r="L7636">
            <v>45678</v>
          </cell>
          <cell r="M7636">
            <v>45680</v>
          </cell>
          <cell r="N7636">
            <v>45692</v>
          </cell>
          <cell r="O7636">
            <v>45680</v>
          </cell>
          <cell r="P7636">
            <v>45693</v>
          </cell>
          <cell r="Q7636" t="str">
            <v>2025-02-05 → 2/4</v>
          </cell>
          <cell r="R7636" t="str">
            <v>2025-02-06 → 2/5</v>
          </cell>
          <cell r="S7636">
            <v>45693</v>
          </cell>
          <cell r="T7636">
            <v>45694</v>
          </cell>
          <cell r="U7636">
            <v>45695</v>
          </cell>
          <cell r="V7636">
            <v>45698</v>
          </cell>
          <cell r="W7636">
            <v>45698</v>
          </cell>
          <cell r="X7636">
            <v>41000590</v>
          </cell>
        </row>
        <row r="7637">
          <cell r="K7637" t="str">
            <v>DBW-3598</v>
          </cell>
          <cell r="L7637">
            <v>45678</v>
          </cell>
          <cell r="M7637">
            <v>45680</v>
          </cell>
          <cell r="N7637">
            <v>45692</v>
          </cell>
          <cell r="O7637">
            <v>45680</v>
          </cell>
          <cell r="P7637">
            <v>45693</v>
          </cell>
          <cell r="Q7637" t="str">
            <v>2025-02-05 → 2/4</v>
          </cell>
          <cell r="R7637" t="str">
            <v>2025-02-06 → 2/5</v>
          </cell>
          <cell r="S7637">
            <v>45693</v>
          </cell>
          <cell r="T7637">
            <v>45694</v>
          </cell>
          <cell r="U7637">
            <v>45695</v>
          </cell>
          <cell r="V7637">
            <v>45698</v>
          </cell>
          <cell r="W7637">
            <v>45698</v>
          </cell>
          <cell r="X7637">
            <v>41000590</v>
          </cell>
        </row>
        <row r="7638">
          <cell r="K7638" t="str">
            <v>GBWS-5245</v>
          </cell>
          <cell r="L7638">
            <v>45663</v>
          </cell>
          <cell r="M7638">
            <v>45665</v>
          </cell>
          <cell r="N7638">
            <v>45673</v>
          </cell>
          <cell r="O7638">
            <v>45665</v>
          </cell>
          <cell r="P7638">
            <v>45672</v>
          </cell>
          <cell r="Q7638">
            <v>45674</v>
          </cell>
          <cell r="R7638">
            <v>45677</v>
          </cell>
          <cell r="S7638">
            <v>45679</v>
          </cell>
          <cell r="T7638">
            <v>45691</v>
          </cell>
          <cell r="U7638">
            <v>45692</v>
          </cell>
          <cell r="V7638">
            <v>45693</v>
          </cell>
          <cell r="W7638">
            <v>45693</v>
          </cell>
          <cell r="X7638">
            <v>41200007</v>
          </cell>
        </row>
        <row r="7639">
          <cell r="K7639" t="str">
            <v>GBWS-5246</v>
          </cell>
          <cell r="L7639">
            <v>45663</v>
          </cell>
          <cell r="M7639">
            <v>45665</v>
          </cell>
          <cell r="N7639">
            <v>45673</v>
          </cell>
          <cell r="O7639">
            <v>45665</v>
          </cell>
          <cell r="P7639">
            <v>45672</v>
          </cell>
          <cell r="Q7639">
            <v>45674</v>
          </cell>
          <cell r="R7639">
            <v>45677</v>
          </cell>
          <cell r="S7639">
            <v>45679</v>
          </cell>
          <cell r="T7639">
            <v>45691</v>
          </cell>
          <cell r="U7639">
            <v>45692</v>
          </cell>
          <cell r="V7639">
            <v>45693</v>
          </cell>
          <cell r="W7639">
            <v>45693</v>
          </cell>
          <cell r="X7639">
            <v>41200007</v>
          </cell>
        </row>
        <row r="7640">
          <cell r="K7640" t="str">
            <v>GBWS-5294</v>
          </cell>
          <cell r="L7640">
            <v>45680</v>
          </cell>
          <cell r="M7640" t="str">
            <v>2025-01-27 → 1/24</v>
          </cell>
          <cell r="N7640">
            <v>45693</v>
          </cell>
          <cell r="O7640" t="str">
            <v>2025-01-27 → 1/24</v>
          </cell>
          <cell r="P7640">
            <v>45695</v>
          </cell>
          <cell r="Q7640">
            <v>45694</v>
          </cell>
          <cell r="R7640">
            <v>45695</v>
          </cell>
          <cell r="S7640">
            <v>45698</v>
          </cell>
          <cell r="T7640">
            <v>45699</v>
          </cell>
          <cell r="U7640">
            <v>45700</v>
          </cell>
          <cell r="V7640">
            <v>45701</v>
          </cell>
          <cell r="W7640">
            <v>45701</v>
          </cell>
          <cell r="X7640">
            <v>41100375</v>
          </cell>
        </row>
        <row r="7641">
          <cell r="K7641" t="str">
            <v>GBWS-5295</v>
          </cell>
          <cell r="L7641">
            <v>45680</v>
          </cell>
          <cell r="M7641" t="str">
            <v>2025-01-27 → 1/24</v>
          </cell>
          <cell r="N7641">
            <v>45693</v>
          </cell>
          <cell r="O7641" t="str">
            <v>2025-01-27 → 1/24</v>
          </cell>
          <cell r="P7641">
            <v>45695</v>
          </cell>
          <cell r="Q7641">
            <v>45694</v>
          </cell>
          <cell r="R7641">
            <v>45695</v>
          </cell>
          <cell r="S7641">
            <v>45698</v>
          </cell>
          <cell r="T7641">
            <v>45699</v>
          </cell>
          <cell r="U7641">
            <v>45700</v>
          </cell>
          <cell r="V7641">
            <v>45701</v>
          </cell>
          <cell r="W7641">
            <v>45701</v>
          </cell>
          <cell r="X7641">
            <v>41100375</v>
          </cell>
        </row>
        <row r="7642">
          <cell r="K7642" t="str">
            <v>GBWS-5269</v>
          </cell>
          <cell r="L7642">
            <v>45671</v>
          </cell>
          <cell r="M7642">
            <v>45673</v>
          </cell>
          <cell r="N7642">
            <v>45691</v>
          </cell>
          <cell r="O7642">
            <v>45673</v>
          </cell>
          <cell r="P7642">
            <v>45691</v>
          </cell>
          <cell r="Q7642">
            <v>45684</v>
          </cell>
          <cell r="R7642">
            <v>45688</v>
          </cell>
          <cell r="S7642">
            <v>45691</v>
          </cell>
          <cell r="T7642">
            <v>45692</v>
          </cell>
          <cell r="U7642">
            <v>45694</v>
          </cell>
          <cell r="V7642">
            <v>45695</v>
          </cell>
          <cell r="W7642">
            <v>45695</v>
          </cell>
          <cell r="X7642">
            <v>41200076</v>
          </cell>
        </row>
        <row r="7643">
          <cell r="K7643" t="str">
            <v>GBWS-5270</v>
          </cell>
          <cell r="L7643">
            <v>45671</v>
          </cell>
          <cell r="M7643">
            <v>45673</v>
          </cell>
          <cell r="N7643">
            <v>45691</v>
          </cell>
          <cell r="O7643">
            <v>45673</v>
          </cell>
          <cell r="P7643">
            <v>45691</v>
          </cell>
          <cell r="Q7643">
            <v>45684</v>
          </cell>
          <cell r="R7643">
            <v>45688</v>
          </cell>
          <cell r="S7643">
            <v>45691</v>
          </cell>
          <cell r="T7643">
            <v>45692</v>
          </cell>
          <cell r="U7643">
            <v>45693</v>
          </cell>
          <cell r="V7643">
            <v>45694</v>
          </cell>
          <cell r="W7643">
            <v>45694</v>
          </cell>
          <cell r="X7643">
            <v>41200076</v>
          </cell>
        </row>
        <row r="7644">
          <cell r="K7644" t="str">
            <v>GBWS-5271</v>
          </cell>
          <cell r="L7644">
            <v>45671</v>
          </cell>
          <cell r="M7644">
            <v>45673</v>
          </cell>
          <cell r="N7644">
            <v>45691</v>
          </cell>
          <cell r="O7644">
            <v>45673</v>
          </cell>
          <cell r="P7644">
            <v>45691</v>
          </cell>
          <cell r="Q7644">
            <v>45684</v>
          </cell>
          <cell r="R7644">
            <v>45688</v>
          </cell>
          <cell r="S7644">
            <v>45691</v>
          </cell>
          <cell r="T7644">
            <v>45692</v>
          </cell>
          <cell r="U7644">
            <v>45693</v>
          </cell>
          <cell r="V7644">
            <v>45694</v>
          </cell>
          <cell r="W7644">
            <v>45694</v>
          </cell>
          <cell r="X7644">
            <v>41200076</v>
          </cell>
        </row>
        <row r="7645">
          <cell r="K7645" t="str">
            <v>GBWS-5282</v>
          </cell>
          <cell r="L7645">
            <v>45674</v>
          </cell>
          <cell r="M7645">
            <v>45677</v>
          </cell>
          <cell r="N7645">
            <v>45692</v>
          </cell>
          <cell r="O7645">
            <v>45677</v>
          </cell>
          <cell r="P7645">
            <v>45692</v>
          </cell>
          <cell r="Q7645" t="str">
            <v>2025-01-31 → 2/4</v>
          </cell>
          <cell r="R7645" t="str">
            <v>2025-02-03 → 2/5</v>
          </cell>
          <cell r="S7645">
            <v>45694</v>
          </cell>
          <cell r="T7645">
            <v>45695</v>
          </cell>
          <cell r="U7645">
            <v>45698</v>
          </cell>
          <cell r="V7645">
            <v>45699</v>
          </cell>
          <cell r="W7645">
            <v>45699</v>
          </cell>
          <cell r="X7645">
            <v>41200076</v>
          </cell>
        </row>
        <row r="7646">
          <cell r="K7646" t="str">
            <v>GPWS-0456</v>
          </cell>
          <cell r="L7646">
            <v>45674</v>
          </cell>
          <cell r="M7646">
            <v>45677</v>
          </cell>
          <cell r="N7646">
            <v>45692</v>
          </cell>
          <cell r="O7646">
            <v>45677</v>
          </cell>
          <cell r="P7646">
            <v>45693</v>
          </cell>
          <cell r="Q7646">
            <v>45688</v>
          </cell>
          <cell r="R7646">
            <v>45691</v>
          </cell>
          <cell r="S7646">
            <v>45695</v>
          </cell>
          <cell r="T7646">
            <v>45698</v>
          </cell>
          <cell r="U7646">
            <v>45699</v>
          </cell>
          <cell r="V7646">
            <v>45700</v>
          </cell>
          <cell r="W7646">
            <v>45700</v>
          </cell>
          <cell r="X7646">
            <v>41200061</v>
          </cell>
        </row>
        <row r="7647">
          <cell r="K7647" t="str">
            <v>GPWS-0457</v>
          </cell>
          <cell r="L7647">
            <v>45674</v>
          </cell>
          <cell r="M7647">
            <v>45677</v>
          </cell>
          <cell r="N7647">
            <v>45692</v>
          </cell>
          <cell r="O7647">
            <v>45677</v>
          </cell>
          <cell r="P7647">
            <v>45693</v>
          </cell>
          <cell r="Q7647">
            <v>45688</v>
          </cell>
          <cell r="R7647">
            <v>45691</v>
          </cell>
          <cell r="S7647">
            <v>45695</v>
          </cell>
          <cell r="T7647">
            <v>45698</v>
          </cell>
          <cell r="U7647">
            <v>45699</v>
          </cell>
          <cell r="V7647">
            <v>45700</v>
          </cell>
          <cell r="W7647">
            <v>45700</v>
          </cell>
          <cell r="X7647">
            <v>41200061</v>
          </cell>
        </row>
        <row r="7648">
          <cell r="K7648" t="str">
            <v>GBWS-5287</v>
          </cell>
          <cell r="L7648">
            <v>45674</v>
          </cell>
          <cell r="M7648">
            <v>45678</v>
          </cell>
          <cell r="N7648">
            <v>45693</v>
          </cell>
          <cell r="O7648">
            <v>45678</v>
          </cell>
          <cell r="P7648">
            <v>45693</v>
          </cell>
          <cell r="Q7648" t="str">
            <v>2025-02-04 → 2/6</v>
          </cell>
          <cell r="R7648" t="str">
            <v>2025-02-05 → 2/7</v>
          </cell>
          <cell r="S7648">
            <v>45698</v>
          </cell>
          <cell r="T7648">
            <v>45699</v>
          </cell>
          <cell r="U7648">
            <v>45700</v>
          </cell>
          <cell r="V7648">
            <v>45701</v>
          </cell>
          <cell r="W7648">
            <v>45701</v>
          </cell>
          <cell r="X7648">
            <v>41100320</v>
          </cell>
        </row>
        <row r="7649">
          <cell r="K7649" t="str">
            <v>GBWS-5288</v>
          </cell>
          <cell r="L7649">
            <v>45674</v>
          </cell>
          <cell r="M7649">
            <v>45678</v>
          </cell>
          <cell r="N7649">
            <v>45693</v>
          </cell>
          <cell r="O7649">
            <v>45678</v>
          </cell>
          <cell r="P7649">
            <v>45693</v>
          </cell>
          <cell r="Q7649" t="str">
            <v>2025-02-04 → 2/6</v>
          </cell>
          <cell r="R7649" t="str">
            <v>2025-02-05 → 2/7</v>
          </cell>
          <cell r="S7649">
            <v>45698</v>
          </cell>
          <cell r="T7649">
            <v>45699</v>
          </cell>
          <cell r="U7649">
            <v>45700</v>
          </cell>
          <cell r="V7649">
            <v>45701</v>
          </cell>
          <cell r="W7649">
            <v>45701</v>
          </cell>
          <cell r="X7649">
            <v>41100320</v>
          </cell>
        </row>
        <row r="7650">
          <cell r="K7650" t="str">
            <v>GBWS-5289</v>
          </cell>
          <cell r="L7650">
            <v>45674</v>
          </cell>
          <cell r="M7650">
            <v>45678</v>
          </cell>
          <cell r="N7650">
            <v>45693</v>
          </cell>
          <cell r="O7650">
            <v>45678</v>
          </cell>
          <cell r="P7650">
            <v>45693</v>
          </cell>
          <cell r="Q7650" t="str">
            <v>2025-02-04 → 2/6</v>
          </cell>
          <cell r="R7650" t="str">
            <v>2025-02-05 → 2/7</v>
          </cell>
          <cell r="S7650">
            <v>45698</v>
          </cell>
          <cell r="T7650">
            <v>45699</v>
          </cell>
          <cell r="U7650">
            <v>45700</v>
          </cell>
          <cell r="V7650">
            <v>45701</v>
          </cell>
          <cell r="W7650">
            <v>45701</v>
          </cell>
          <cell r="X7650">
            <v>41100320</v>
          </cell>
        </row>
        <row r="7651">
          <cell r="K7651" t="str">
            <v>GBWS-5279</v>
          </cell>
          <cell r="L7651">
            <v>45672</v>
          </cell>
          <cell r="M7651">
            <v>45674</v>
          </cell>
          <cell r="N7651">
            <v>45691</v>
          </cell>
          <cell r="O7651">
            <v>45674</v>
          </cell>
          <cell r="P7651">
            <v>45692</v>
          </cell>
          <cell r="Q7651">
            <v>45684</v>
          </cell>
          <cell r="R7651">
            <v>45688</v>
          </cell>
          <cell r="S7651">
            <v>45695</v>
          </cell>
          <cell r="T7651">
            <v>45698</v>
          </cell>
          <cell r="U7651">
            <v>45699</v>
          </cell>
          <cell r="V7651">
            <v>45700</v>
          </cell>
          <cell r="W7651">
            <v>45700</v>
          </cell>
          <cell r="X7651" t="str">
            <v>41000531 → 41200104</v>
          </cell>
        </row>
        <row r="7652">
          <cell r="K7652" t="str">
            <v>GBWS-5291</v>
          </cell>
          <cell r="L7652">
            <v>45678</v>
          </cell>
          <cell r="M7652">
            <v>45680</v>
          </cell>
          <cell r="N7652">
            <v>45693</v>
          </cell>
          <cell r="O7652">
            <v>45680</v>
          </cell>
          <cell r="P7652">
            <v>45694</v>
          </cell>
          <cell r="Q7652" t="str">
            <v>2025-02-05 → 2/6</v>
          </cell>
          <cell r="R7652" t="str">
            <v>2025-02-06 → 2/7</v>
          </cell>
          <cell r="S7652">
            <v>45698</v>
          </cell>
          <cell r="T7652">
            <v>45699</v>
          </cell>
          <cell r="U7652">
            <v>45700</v>
          </cell>
          <cell r="V7652">
            <v>45701</v>
          </cell>
          <cell r="W7652">
            <v>45701</v>
          </cell>
          <cell r="X7652">
            <v>41200075</v>
          </cell>
        </row>
        <row r="7653">
          <cell r="K7653" t="str">
            <v>GPWS-0458</v>
          </cell>
          <cell r="L7653">
            <v>45674</v>
          </cell>
          <cell r="M7653">
            <v>45678</v>
          </cell>
          <cell r="N7653">
            <v>45692</v>
          </cell>
          <cell r="O7653">
            <v>45678</v>
          </cell>
          <cell r="P7653">
            <v>45693</v>
          </cell>
          <cell r="Q7653">
            <v>45692</v>
          </cell>
          <cell r="R7653">
            <v>45693</v>
          </cell>
          <cell r="S7653">
            <v>45695</v>
          </cell>
          <cell r="T7653">
            <v>45698</v>
          </cell>
          <cell r="U7653">
            <v>45700</v>
          </cell>
          <cell r="V7653">
            <v>45701</v>
          </cell>
          <cell r="W7653">
            <v>45701</v>
          </cell>
          <cell r="X7653" t="str">
            <v>41000562 → 41200115</v>
          </cell>
        </row>
        <row r="7654">
          <cell r="K7654" t="str">
            <v>GPWS-0459</v>
          </cell>
          <cell r="L7654">
            <v>45674</v>
          </cell>
          <cell r="M7654">
            <v>45678</v>
          </cell>
          <cell r="N7654">
            <v>45692</v>
          </cell>
          <cell r="O7654">
            <v>45678</v>
          </cell>
          <cell r="P7654">
            <v>45693</v>
          </cell>
          <cell r="Q7654">
            <v>45692</v>
          </cell>
          <cell r="R7654">
            <v>45693</v>
          </cell>
          <cell r="S7654">
            <v>45695</v>
          </cell>
          <cell r="T7654">
            <v>45698</v>
          </cell>
          <cell r="U7654">
            <v>45700</v>
          </cell>
          <cell r="V7654">
            <v>45701</v>
          </cell>
          <cell r="W7654">
            <v>45701</v>
          </cell>
          <cell r="X7654" t="str">
            <v>41000562 → 41200115</v>
          </cell>
        </row>
        <row r="7655">
          <cell r="K7655" t="str">
            <v>GPWS-0460</v>
          </cell>
          <cell r="L7655">
            <v>45674</v>
          </cell>
          <cell r="M7655">
            <v>45678</v>
          </cell>
          <cell r="N7655">
            <v>45692</v>
          </cell>
          <cell r="O7655">
            <v>45678</v>
          </cell>
          <cell r="P7655">
            <v>45693</v>
          </cell>
          <cell r="Q7655">
            <v>45692</v>
          </cell>
          <cell r="R7655">
            <v>45693</v>
          </cell>
          <cell r="S7655">
            <v>45695</v>
          </cell>
          <cell r="T7655">
            <v>45698</v>
          </cell>
          <cell r="U7655">
            <v>45700</v>
          </cell>
          <cell r="V7655">
            <v>45701</v>
          </cell>
          <cell r="W7655">
            <v>45701</v>
          </cell>
          <cell r="X7655" t="str">
            <v>41000562 → 41200115</v>
          </cell>
        </row>
        <row r="7656">
          <cell r="K7656" t="str">
            <v>GBWS-5253</v>
          </cell>
          <cell r="L7656">
            <v>45667</v>
          </cell>
          <cell r="M7656">
            <v>45670</v>
          </cell>
          <cell r="N7656">
            <v>45677</v>
          </cell>
          <cell r="O7656">
            <v>45670</v>
          </cell>
          <cell r="P7656">
            <v>45678</v>
          </cell>
          <cell r="Q7656" t="str">
            <v>2025-01-21 → 1/23</v>
          </cell>
          <cell r="R7656" t="str">
            <v>2025-01-22 → 1/24</v>
          </cell>
          <cell r="S7656">
            <v>45691</v>
          </cell>
          <cell r="T7656">
            <v>45692</v>
          </cell>
          <cell r="U7656">
            <v>45693</v>
          </cell>
          <cell r="V7656">
            <v>45694</v>
          </cell>
          <cell r="W7656">
            <v>45694</v>
          </cell>
          <cell r="X7656">
            <v>41200007</v>
          </cell>
        </row>
        <row r="7657">
          <cell r="K7657" t="str">
            <v>GBWS-5254</v>
          </cell>
          <cell r="L7657">
            <v>45667</v>
          </cell>
          <cell r="M7657">
            <v>45670</v>
          </cell>
          <cell r="N7657">
            <v>45677</v>
          </cell>
          <cell r="O7657">
            <v>45670</v>
          </cell>
          <cell r="P7657">
            <v>45678</v>
          </cell>
          <cell r="Q7657" t="str">
            <v>2025-01-21 → 1/23</v>
          </cell>
          <cell r="R7657" t="str">
            <v>2025-01-22 → 1/24</v>
          </cell>
          <cell r="S7657">
            <v>45691</v>
          </cell>
          <cell r="T7657">
            <v>45692</v>
          </cell>
          <cell r="U7657">
            <v>45694</v>
          </cell>
          <cell r="V7657">
            <v>45695</v>
          </cell>
          <cell r="W7657">
            <v>45695</v>
          </cell>
          <cell r="X7657">
            <v>41200007</v>
          </cell>
        </row>
        <row r="7658">
          <cell r="K7658" t="str">
            <v>GBWS-5166</v>
          </cell>
          <cell r="L7658">
            <v>45629</v>
          </cell>
          <cell r="M7658">
            <v>45630</v>
          </cell>
          <cell r="N7658">
            <v>45639</v>
          </cell>
          <cell r="O7658">
            <v>45630</v>
          </cell>
          <cell r="P7658">
            <v>45639</v>
          </cell>
          <cell r="Q7658">
            <v>45638</v>
          </cell>
          <cell r="R7658">
            <v>45639</v>
          </cell>
          <cell r="S7658">
            <v>45644</v>
          </cell>
          <cell r="T7658">
            <v>45645</v>
          </cell>
          <cell r="U7658">
            <v>45649</v>
          </cell>
          <cell r="V7658">
            <v>45650</v>
          </cell>
          <cell r="W7658">
            <v>45650</v>
          </cell>
          <cell r="X7658">
            <v>41200007</v>
          </cell>
        </row>
        <row r="7659">
          <cell r="K7659" t="str">
            <v>GBWS-5167</v>
          </cell>
          <cell r="L7659">
            <v>45629</v>
          </cell>
          <cell r="M7659">
            <v>45630</v>
          </cell>
          <cell r="N7659">
            <v>45639</v>
          </cell>
          <cell r="O7659">
            <v>45630</v>
          </cell>
          <cell r="P7659">
            <v>45639</v>
          </cell>
          <cell r="Q7659">
            <v>45638</v>
          </cell>
          <cell r="R7659">
            <v>45639</v>
          </cell>
          <cell r="S7659">
            <v>45644</v>
          </cell>
          <cell r="T7659">
            <v>45645</v>
          </cell>
          <cell r="U7659">
            <v>45649</v>
          </cell>
          <cell r="V7659">
            <v>45650</v>
          </cell>
          <cell r="W7659">
            <v>45650</v>
          </cell>
          <cell r="X7659">
            <v>41200007</v>
          </cell>
        </row>
        <row r="7660">
          <cell r="K7660" t="str">
            <v>GBWS-5221</v>
          </cell>
          <cell r="L7660">
            <v>45659</v>
          </cell>
          <cell r="M7660">
            <v>45660</v>
          </cell>
          <cell r="N7660">
            <v>45665</v>
          </cell>
          <cell r="O7660">
            <v>45660</v>
          </cell>
          <cell r="P7660">
            <v>45665</v>
          </cell>
          <cell r="Q7660">
            <v>45666</v>
          </cell>
          <cell r="R7660">
            <v>45667</v>
          </cell>
          <cell r="S7660">
            <v>45670</v>
          </cell>
          <cell r="T7660">
            <v>45671</v>
          </cell>
          <cell r="U7660">
            <v>45673</v>
          </cell>
          <cell r="V7660">
            <v>45674</v>
          </cell>
          <cell r="W7660">
            <v>45674</v>
          </cell>
          <cell r="X7660">
            <v>41200007</v>
          </cell>
        </row>
        <row r="7661">
          <cell r="K7661" t="str">
            <v>GBWS-5222</v>
          </cell>
          <cell r="L7661">
            <v>45659</v>
          </cell>
          <cell r="M7661">
            <v>45660</v>
          </cell>
          <cell r="N7661">
            <v>45665</v>
          </cell>
          <cell r="O7661">
            <v>45660</v>
          </cell>
          <cell r="P7661">
            <v>45665</v>
          </cell>
          <cell r="Q7661">
            <v>45666</v>
          </cell>
          <cell r="R7661">
            <v>45667</v>
          </cell>
          <cell r="S7661">
            <v>45670</v>
          </cell>
          <cell r="T7661">
            <v>45671</v>
          </cell>
          <cell r="U7661">
            <v>45672</v>
          </cell>
          <cell r="V7661">
            <v>45673</v>
          </cell>
          <cell r="W7661">
            <v>45673</v>
          </cell>
          <cell r="X7661">
            <v>41200007</v>
          </cell>
        </row>
        <row r="7662">
          <cell r="K7662" t="str">
            <v>GBWS-5257</v>
          </cell>
          <cell r="L7662">
            <v>45667</v>
          </cell>
          <cell r="M7662">
            <v>45670</v>
          </cell>
          <cell r="N7662">
            <v>45678</v>
          </cell>
          <cell r="O7662">
            <v>45670</v>
          </cell>
          <cell r="P7662">
            <v>45678</v>
          </cell>
          <cell r="Q7662" t="str">
            <v>2025-01-22 → 1/24</v>
          </cell>
          <cell r="R7662" t="str">
            <v>2025-01-23 → 2/3</v>
          </cell>
          <cell r="S7662">
            <v>45694</v>
          </cell>
          <cell r="T7662">
            <v>45695</v>
          </cell>
          <cell r="U7662">
            <v>45698</v>
          </cell>
          <cell r="V7662">
            <v>45705</v>
          </cell>
          <cell r="W7662">
            <v>45705</v>
          </cell>
          <cell r="X7662">
            <v>41200007</v>
          </cell>
        </row>
        <row r="7663">
          <cell r="K7663" t="str">
            <v>GBWS-5259</v>
          </cell>
          <cell r="L7663">
            <v>45667</v>
          </cell>
          <cell r="M7663">
            <v>45670</v>
          </cell>
          <cell r="N7663">
            <v>45678</v>
          </cell>
          <cell r="O7663">
            <v>45670</v>
          </cell>
          <cell r="P7663">
            <v>45678</v>
          </cell>
          <cell r="Q7663" t="str">
            <v>2025-01-22 → 1/24</v>
          </cell>
          <cell r="R7663" t="str">
            <v>2025-01-23 → 2/3</v>
          </cell>
          <cell r="S7663">
            <v>45694</v>
          </cell>
          <cell r="T7663">
            <v>45695</v>
          </cell>
          <cell r="U7663">
            <v>45698</v>
          </cell>
          <cell r="V7663">
            <v>45698</v>
          </cell>
          <cell r="W7663">
            <v>45698</v>
          </cell>
          <cell r="X7663">
            <v>41200007</v>
          </cell>
        </row>
        <row r="7664">
          <cell r="K7664" t="str">
            <v>GBWS-5300</v>
          </cell>
          <cell r="L7664">
            <v>45680</v>
          </cell>
          <cell r="M7664">
            <v>45688</v>
          </cell>
          <cell r="N7664">
            <v>45698</v>
          </cell>
          <cell r="O7664">
            <v>45688</v>
          </cell>
          <cell r="P7664">
            <v>45698</v>
          </cell>
          <cell r="Q7664">
            <v>45695</v>
          </cell>
          <cell r="R7664">
            <v>45698</v>
          </cell>
          <cell r="S7664">
            <v>45699</v>
          </cell>
          <cell r="T7664">
            <v>45700</v>
          </cell>
          <cell r="U7664">
            <v>45702</v>
          </cell>
          <cell r="V7664">
            <v>45702</v>
          </cell>
          <cell r="W7664">
            <v>45702</v>
          </cell>
          <cell r="X7664">
            <v>41200006</v>
          </cell>
        </row>
        <row r="7665">
          <cell r="K7665" t="str">
            <v>GBWS-5301</v>
          </cell>
          <cell r="L7665">
            <v>45680</v>
          </cell>
          <cell r="M7665">
            <v>45688</v>
          </cell>
          <cell r="N7665">
            <v>45698</v>
          </cell>
          <cell r="O7665">
            <v>45688</v>
          </cell>
          <cell r="P7665">
            <v>45698</v>
          </cell>
          <cell r="Q7665">
            <v>45695</v>
          </cell>
          <cell r="R7665">
            <v>45698</v>
          </cell>
          <cell r="S7665">
            <v>45699</v>
          </cell>
          <cell r="T7665">
            <v>45700</v>
          </cell>
          <cell r="U7665">
            <v>45701</v>
          </cell>
          <cell r="V7665">
            <v>45702</v>
          </cell>
          <cell r="W7665">
            <v>45702</v>
          </cell>
          <cell r="X7665">
            <v>41200006</v>
          </cell>
        </row>
        <row r="7666">
          <cell r="K7666" t="str">
            <v>GBWS-5277</v>
          </cell>
          <cell r="L7666">
            <v>45671</v>
          </cell>
          <cell r="M7666">
            <v>45673</v>
          </cell>
          <cell r="N7666">
            <v>45681</v>
          </cell>
          <cell r="O7666">
            <v>45673</v>
          </cell>
          <cell r="P7666">
            <v>45681</v>
          </cell>
          <cell r="Q7666">
            <v>45680</v>
          </cell>
          <cell r="R7666">
            <v>45681</v>
          </cell>
          <cell r="S7666">
            <v>45692</v>
          </cell>
          <cell r="T7666">
            <v>45693</v>
          </cell>
          <cell r="U7666">
            <v>45695</v>
          </cell>
          <cell r="V7666">
            <v>45698</v>
          </cell>
          <cell r="W7666">
            <v>45698</v>
          </cell>
          <cell r="X7666">
            <v>41200005</v>
          </cell>
        </row>
        <row r="7667">
          <cell r="K7667" t="str">
            <v>GBWS-5278</v>
          </cell>
          <cell r="L7667">
            <v>45671</v>
          </cell>
          <cell r="M7667">
            <v>45673</v>
          </cell>
          <cell r="N7667">
            <v>45681</v>
          </cell>
          <cell r="O7667">
            <v>45673</v>
          </cell>
          <cell r="P7667">
            <v>45681</v>
          </cell>
          <cell r="Q7667">
            <v>45680</v>
          </cell>
          <cell r="R7667">
            <v>45681</v>
          </cell>
          <cell r="S7667">
            <v>45692</v>
          </cell>
          <cell r="T7667">
            <v>45693</v>
          </cell>
          <cell r="U7667">
            <v>45695</v>
          </cell>
          <cell r="V7667">
            <v>45698</v>
          </cell>
          <cell r="W7667">
            <v>45698</v>
          </cell>
          <cell r="X7667">
            <v>41200005</v>
          </cell>
        </row>
        <row r="7668">
          <cell r="K7668" t="str">
            <v>GBWS-5258</v>
          </cell>
          <cell r="L7668">
            <v>45667</v>
          </cell>
          <cell r="M7668">
            <v>45670</v>
          </cell>
          <cell r="N7668">
            <v>45678</v>
          </cell>
          <cell r="O7668">
            <v>45670</v>
          </cell>
          <cell r="P7668">
            <v>45678</v>
          </cell>
          <cell r="Q7668" t="str">
            <v>2025-01-22 → 1/24</v>
          </cell>
          <cell r="R7668" t="str">
            <v>2025-01-23 → 2/3</v>
          </cell>
          <cell r="S7668">
            <v>45694</v>
          </cell>
          <cell r="T7668">
            <v>45695</v>
          </cell>
          <cell r="U7668">
            <v>45698</v>
          </cell>
          <cell r="V7668">
            <v>45705</v>
          </cell>
          <cell r="W7668">
            <v>45705</v>
          </cell>
          <cell r="X7668">
            <v>41200007</v>
          </cell>
        </row>
        <row r="7669">
          <cell r="K7669" t="str">
            <v>GBWS-5260</v>
          </cell>
          <cell r="L7669">
            <v>45667</v>
          </cell>
          <cell r="M7669">
            <v>45670</v>
          </cell>
          <cell r="N7669">
            <v>45678</v>
          </cell>
          <cell r="O7669">
            <v>45670</v>
          </cell>
          <cell r="P7669">
            <v>45678</v>
          </cell>
          <cell r="Q7669" t="str">
            <v>2025-01-22 → 1/24</v>
          </cell>
          <cell r="R7669" t="str">
            <v>2025-01-23 → 2/3</v>
          </cell>
          <cell r="S7669">
            <v>45694</v>
          </cell>
          <cell r="T7669">
            <v>45695</v>
          </cell>
          <cell r="U7669">
            <v>45698</v>
          </cell>
          <cell r="V7669">
            <v>45705</v>
          </cell>
          <cell r="W7669">
            <v>45705</v>
          </cell>
          <cell r="X7669">
            <v>41200007</v>
          </cell>
        </row>
        <row r="7670">
          <cell r="K7670" t="str">
            <v>GBWS-5308</v>
          </cell>
          <cell r="L7670">
            <v>45691</v>
          </cell>
          <cell r="M7670">
            <v>45692</v>
          </cell>
          <cell r="N7670">
            <v>45699</v>
          </cell>
          <cell r="O7670">
            <v>45692</v>
          </cell>
          <cell r="P7670">
            <v>45699</v>
          </cell>
          <cell r="Q7670">
            <v>45699</v>
          </cell>
          <cell r="R7670">
            <v>45700</v>
          </cell>
          <cell r="S7670">
            <v>45701</v>
          </cell>
          <cell r="T7670">
            <v>45702</v>
          </cell>
          <cell r="U7670">
            <v>45705</v>
          </cell>
          <cell r="V7670">
            <v>45706</v>
          </cell>
          <cell r="W7670">
            <v>45706</v>
          </cell>
          <cell r="X7670">
            <v>41200005</v>
          </cell>
        </row>
        <row r="7671">
          <cell r="K7671" t="str">
            <v>GBWS-5309</v>
          </cell>
          <cell r="L7671">
            <v>45691</v>
          </cell>
          <cell r="M7671">
            <v>45692</v>
          </cell>
          <cell r="N7671">
            <v>45699</v>
          </cell>
          <cell r="O7671">
            <v>45692</v>
          </cell>
          <cell r="P7671">
            <v>45699</v>
          </cell>
          <cell r="Q7671">
            <v>45699</v>
          </cell>
          <cell r="R7671">
            <v>45700</v>
          </cell>
          <cell r="S7671">
            <v>45701</v>
          </cell>
          <cell r="T7671">
            <v>45702</v>
          </cell>
          <cell r="U7671">
            <v>45695</v>
          </cell>
          <cell r="V7671">
            <v>45706</v>
          </cell>
          <cell r="W7671">
            <v>45706</v>
          </cell>
          <cell r="X7671">
            <v>41200005</v>
          </cell>
        </row>
        <row r="7672">
          <cell r="K7672" t="str">
            <v>DBW-3592</v>
          </cell>
          <cell r="L7672">
            <v>45667</v>
          </cell>
          <cell r="M7672">
            <v>45670</v>
          </cell>
          <cell r="N7672">
            <v>45674</v>
          </cell>
          <cell r="O7672">
            <v>45670</v>
          </cell>
          <cell r="P7672">
            <v>45674</v>
          </cell>
          <cell r="Q7672" t="str">
            <v>2025-01-20 → 1/17</v>
          </cell>
          <cell r="R7672" t="str">
            <v>2025-01-21 → 1/20</v>
          </cell>
          <cell r="S7672">
            <v>45678</v>
          </cell>
          <cell r="T7672">
            <v>45679</v>
          </cell>
          <cell r="U7672">
            <v>45680</v>
          </cell>
          <cell r="V7672">
            <v>45681</v>
          </cell>
          <cell r="W7672">
            <v>45681</v>
          </cell>
          <cell r="X7672">
            <v>41000588</v>
          </cell>
        </row>
        <row r="7673">
          <cell r="K7673" t="str">
            <v>DBW-3587</v>
          </cell>
          <cell r="L7673">
            <v>45660</v>
          </cell>
          <cell r="M7673">
            <v>45663</v>
          </cell>
          <cell r="N7673">
            <v>45667</v>
          </cell>
          <cell r="O7673">
            <v>45663</v>
          </cell>
          <cell r="P7673">
            <v>45672</v>
          </cell>
          <cell r="Q7673">
            <v>45671</v>
          </cell>
          <cell r="R7673">
            <v>45672</v>
          </cell>
          <cell r="S7673">
            <v>45673</v>
          </cell>
          <cell r="T7673">
            <v>45674</v>
          </cell>
          <cell r="U7673">
            <v>45677</v>
          </cell>
          <cell r="V7673">
            <v>45678</v>
          </cell>
          <cell r="W7673">
            <v>45678</v>
          </cell>
          <cell r="X7673">
            <v>41000514</v>
          </cell>
        </row>
        <row r="7674">
          <cell r="K7674" t="str">
            <v>DBW-3588</v>
          </cell>
          <cell r="L7674">
            <v>45660</v>
          </cell>
          <cell r="M7674">
            <v>45663</v>
          </cell>
          <cell r="N7674">
            <v>45667</v>
          </cell>
          <cell r="O7674">
            <v>45663</v>
          </cell>
          <cell r="P7674">
            <v>45672</v>
          </cell>
          <cell r="Q7674">
            <v>45671</v>
          </cell>
          <cell r="R7674">
            <v>45672</v>
          </cell>
          <cell r="S7674">
            <v>45673</v>
          </cell>
          <cell r="T7674">
            <v>45674</v>
          </cell>
          <cell r="U7674">
            <v>45677</v>
          </cell>
          <cell r="V7674">
            <v>45678</v>
          </cell>
          <cell r="W7674">
            <v>45678</v>
          </cell>
          <cell r="X7674">
            <v>41000514</v>
          </cell>
        </row>
        <row r="7675">
          <cell r="K7675" t="str">
            <v>GBWS-5299</v>
          </cell>
          <cell r="L7675">
            <v>45680</v>
          </cell>
          <cell r="M7675">
            <v>45688</v>
          </cell>
          <cell r="N7675">
            <v>45698</v>
          </cell>
          <cell r="O7675">
            <v>45688</v>
          </cell>
          <cell r="P7675">
            <v>45698</v>
          </cell>
          <cell r="Q7675">
            <v>45698</v>
          </cell>
          <cell r="R7675">
            <v>45699</v>
          </cell>
          <cell r="S7675">
            <v>45700</v>
          </cell>
          <cell r="T7675">
            <v>45701</v>
          </cell>
          <cell r="U7675">
            <v>45702</v>
          </cell>
          <cell r="V7675">
            <v>45705</v>
          </cell>
          <cell r="W7675">
            <v>45705</v>
          </cell>
          <cell r="X7675">
            <v>41200076</v>
          </cell>
        </row>
        <row r="7676">
          <cell r="K7676" t="str">
            <v>GBWS-5305</v>
          </cell>
          <cell r="L7676">
            <v>45691</v>
          </cell>
          <cell r="M7676">
            <v>45692</v>
          </cell>
          <cell r="N7676">
            <v>45700</v>
          </cell>
          <cell r="O7676">
            <v>45692</v>
          </cell>
          <cell r="P7676">
            <v>45701</v>
          </cell>
          <cell r="Q7676">
            <v>45700</v>
          </cell>
          <cell r="R7676">
            <v>45701</v>
          </cell>
          <cell r="S7676">
            <v>45702</v>
          </cell>
          <cell r="T7676">
            <v>45705</v>
          </cell>
          <cell r="U7676">
            <v>45706</v>
          </cell>
          <cell r="V7676">
            <v>45707</v>
          </cell>
          <cell r="W7676">
            <v>45707</v>
          </cell>
          <cell r="X7676">
            <v>41200075</v>
          </cell>
        </row>
        <row r="7677">
          <cell r="K7677" t="str">
            <v>GBWS-5255</v>
          </cell>
          <cell r="L7677">
            <v>45667</v>
          </cell>
          <cell r="M7677">
            <v>45670</v>
          </cell>
          <cell r="N7677">
            <v>45677</v>
          </cell>
          <cell r="O7677">
            <v>45670</v>
          </cell>
          <cell r="P7677">
            <v>45678</v>
          </cell>
          <cell r="Q7677" t="str">
            <v>2025-01-21 → 1/23</v>
          </cell>
          <cell r="R7677" t="str">
            <v>2025-01-22 → 1/24</v>
          </cell>
          <cell r="S7677">
            <v>45692</v>
          </cell>
          <cell r="T7677">
            <v>45693</v>
          </cell>
          <cell r="U7677">
            <v>45695</v>
          </cell>
          <cell r="V7677">
            <v>45698</v>
          </cell>
          <cell r="W7677">
            <v>45698</v>
          </cell>
          <cell r="X7677">
            <v>41200007</v>
          </cell>
        </row>
        <row r="7678">
          <cell r="K7678" t="str">
            <v>GBWS-5256</v>
          </cell>
          <cell r="L7678">
            <v>45667</v>
          </cell>
          <cell r="M7678">
            <v>45670</v>
          </cell>
          <cell r="N7678">
            <v>45677</v>
          </cell>
          <cell r="O7678">
            <v>45670</v>
          </cell>
          <cell r="P7678">
            <v>45678</v>
          </cell>
          <cell r="Q7678" t="str">
            <v>2025-01-21 → 1/23</v>
          </cell>
          <cell r="R7678" t="str">
            <v>2025-01-22 → 1/24</v>
          </cell>
          <cell r="S7678">
            <v>45692</v>
          </cell>
          <cell r="T7678">
            <v>45693</v>
          </cell>
          <cell r="U7678">
            <v>45695</v>
          </cell>
          <cell r="V7678">
            <v>45698</v>
          </cell>
          <cell r="W7678">
            <v>45698</v>
          </cell>
          <cell r="X7678">
            <v>41200007</v>
          </cell>
        </row>
        <row r="7679">
          <cell r="K7679" t="str">
            <v>GBWS-5322</v>
          </cell>
          <cell r="L7679">
            <v>45691</v>
          </cell>
          <cell r="M7679">
            <v>45693</v>
          </cell>
          <cell r="N7679">
            <v>45700</v>
          </cell>
          <cell r="O7679">
            <v>45693</v>
          </cell>
          <cell r="P7679">
            <v>45701</v>
          </cell>
          <cell r="Q7679">
            <v>45700</v>
          </cell>
          <cell r="R7679">
            <v>45701</v>
          </cell>
          <cell r="S7679">
            <v>45702</v>
          </cell>
          <cell r="T7679">
            <v>45705</v>
          </cell>
          <cell r="U7679">
            <v>45706</v>
          </cell>
          <cell r="V7679">
            <v>45707</v>
          </cell>
          <cell r="W7679">
            <v>45707</v>
          </cell>
          <cell r="X7679">
            <v>41200006</v>
          </cell>
        </row>
        <row r="7680">
          <cell r="K7680" t="str">
            <v>GBWS-5323</v>
          </cell>
          <cell r="L7680">
            <v>45691</v>
          </cell>
          <cell r="M7680">
            <v>45693</v>
          </cell>
          <cell r="N7680">
            <v>45700</v>
          </cell>
          <cell r="O7680">
            <v>45693</v>
          </cell>
          <cell r="P7680">
            <v>45701</v>
          </cell>
          <cell r="Q7680">
            <v>45700</v>
          </cell>
          <cell r="R7680">
            <v>45701</v>
          </cell>
          <cell r="S7680">
            <v>45702</v>
          </cell>
          <cell r="T7680">
            <v>45705</v>
          </cell>
          <cell r="U7680">
            <v>45706</v>
          </cell>
          <cell r="V7680">
            <v>45707</v>
          </cell>
          <cell r="W7680">
            <v>45707</v>
          </cell>
          <cell r="X7680">
            <v>41200006</v>
          </cell>
        </row>
        <row r="7681">
          <cell r="K7681" t="str">
            <v>GBWS-5324</v>
          </cell>
          <cell r="L7681">
            <v>45691</v>
          </cell>
          <cell r="M7681">
            <v>45693</v>
          </cell>
          <cell r="N7681">
            <v>45700</v>
          </cell>
          <cell r="O7681">
            <v>45693</v>
          </cell>
          <cell r="P7681">
            <v>45701</v>
          </cell>
          <cell r="Q7681">
            <v>45700</v>
          </cell>
          <cell r="R7681">
            <v>45701</v>
          </cell>
          <cell r="S7681">
            <v>45702</v>
          </cell>
          <cell r="T7681">
            <v>45705</v>
          </cell>
          <cell r="U7681">
            <v>45706</v>
          </cell>
          <cell r="V7681">
            <v>45707</v>
          </cell>
          <cell r="W7681">
            <v>45707</v>
          </cell>
          <cell r="X7681">
            <v>41200006</v>
          </cell>
        </row>
        <row r="7682">
          <cell r="K7682" t="str">
            <v>GBWS-5325</v>
          </cell>
          <cell r="L7682">
            <v>45691</v>
          </cell>
          <cell r="M7682">
            <v>45693</v>
          </cell>
          <cell r="N7682">
            <v>45700</v>
          </cell>
          <cell r="O7682">
            <v>45693</v>
          </cell>
          <cell r="P7682">
            <v>45701</v>
          </cell>
          <cell r="Q7682">
            <v>45700</v>
          </cell>
          <cell r="R7682">
            <v>45701</v>
          </cell>
          <cell r="S7682">
            <v>45702</v>
          </cell>
          <cell r="T7682">
            <v>45705</v>
          </cell>
          <cell r="U7682">
            <v>45706</v>
          </cell>
          <cell r="V7682">
            <v>45707</v>
          </cell>
          <cell r="W7682">
            <v>45707</v>
          </cell>
          <cell r="X7682">
            <v>41200006</v>
          </cell>
        </row>
        <row r="7683">
          <cell r="K7683" t="str">
            <v>GBWS-5286</v>
          </cell>
          <cell r="L7683">
            <v>45674</v>
          </cell>
          <cell r="M7683">
            <v>45678</v>
          </cell>
          <cell r="N7683">
            <v>45692</v>
          </cell>
          <cell r="O7683">
            <v>45678</v>
          </cell>
          <cell r="P7683">
            <v>45693</v>
          </cell>
          <cell r="Q7683" t="str">
            <v>2025-02-03 → 2/5</v>
          </cell>
          <cell r="R7683" t="str">
            <v>2025-02-04 → 2/6</v>
          </cell>
          <cell r="S7683">
            <v>45695</v>
          </cell>
          <cell r="T7683">
            <v>45698</v>
          </cell>
          <cell r="U7683">
            <v>45699</v>
          </cell>
          <cell r="V7683">
            <v>45705</v>
          </cell>
          <cell r="W7683">
            <v>45705</v>
          </cell>
          <cell r="X7683">
            <v>41100317</v>
          </cell>
        </row>
        <row r="7684">
          <cell r="K7684" t="str">
            <v>GBWS-5276</v>
          </cell>
          <cell r="L7684">
            <v>45671</v>
          </cell>
          <cell r="M7684">
            <v>45673</v>
          </cell>
          <cell r="N7684">
            <v>45691</v>
          </cell>
          <cell r="O7684">
            <v>45673</v>
          </cell>
          <cell r="P7684">
            <v>45691</v>
          </cell>
          <cell r="Q7684">
            <v>45681</v>
          </cell>
          <cell r="R7684">
            <v>45684</v>
          </cell>
          <cell r="S7684">
            <v>45693</v>
          </cell>
          <cell r="T7684">
            <v>45694</v>
          </cell>
          <cell r="U7684">
            <v>45695</v>
          </cell>
          <cell r="V7684">
            <v>45698</v>
          </cell>
          <cell r="W7684">
            <v>45698</v>
          </cell>
          <cell r="X7684">
            <v>41100320</v>
          </cell>
        </row>
        <row r="7685">
          <cell r="K7685" t="str">
            <v>GBWS-5304</v>
          </cell>
          <cell r="L7685">
            <v>45680</v>
          </cell>
          <cell r="M7685">
            <v>45691</v>
          </cell>
          <cell r="N7685">
            <v>45698</v>
          </cell>
          <cell r="O7685">
            <v>45691</v>
          </cell>
          <cell r="P7685">
            <v>45698</v>
          </cell>
          <cell r="Q7685">
            <v>45699</v>
          </cell>
          <cell r="R7685">
            <v>45700</v>
          </cell>
          <cell r="S7685">
            <v>45705</v>
          </cell>
          <cell r="T7685">
            <v>45706</v>
          </cell>
          <cell r="U7685">
            <v>45707</v>
          </cell>
          <cell r="V7685">
            <v>45708</v>
          </cell>
          <cell r="W7685">
            <v>45708</v>
          </cell>
          <cell r="X7685">
            <v>41100334</v>
          </cell>
        </row>
        <row r="7686">
          <cell r="K7686" t="str">
            <v>GBWS-5296</v>
          </cell>
          <cell r="L7686">
            <v>45680</v>
          </cell>
          <cell r="M7686">
            <v>45688</v>
          </cell>
          <cell r="N7686">
            <v>45698</v>
          </cell>
          <cell r="O7686">
            <v>45688</v>
          </cell>
          <cell r="P7686">
            <v>45698</v>
          </cell>
          <cell r="Q7686">
            <v>45698</v>
          </cell>
          <cell r="R7686">
            <v>45699</v>
          </cell>
          <cell r="S7686">
            <v>45700</v>
          </cell>
          <cell r="T7686">
            <v>45701</v>
          </cell>
          <cell r="U7686">
            <v>45702</v>
          </cell>
          <cell r="V7686">
            <v>45705</v>
          </cell>
          <cell r="W7686">
            <v>45705</v>
          </cell>
          <cell r="X7686">
            <v>41100372</v>
          </cell>
        </row>
        <row r="7687">
          <cell r="K7687" t="str">
            <v>GBWS-5302</v>
          </cell>
          <cell r="L7687">
            <v>45680</v>
          </cell>
          <cell r="M7687">
            <v>45688</v>
          </cell>
          <cell r="N7687">
            <v>45698</v>
          </cell>
          <cell r="O7687">
            <v>45688</v>
          </cell>
          <cell r="P7687">
            <v>45698</v>
          </cell>
          <cell r="Q7687">
            <v>45695</v>
          </cell>
          <cell r="R7687">
            <v>45698</v>
          </cell>
          <cell r="S7687">
            <v>45699</v>
          </cell>
          <cell r="T7687">
            <v>45700</v>
          </cell>
          <cell r="U7687">
            <v>45701</v>
          </cell>
          <cell r="V7687">
            <v>45705</v>
          </cell>
          <cell r="W7687">
            <v>45705</v>
          </cell>
          <cell r="X7687">
            <v>41200006</v>
          </cell>
        </row>
        <row r="7688">
          <cell r="K7688" t="str">
            <v>GBWS-5303</v>
          </cell>
          <cell r="L7688">
            <v>45680</v>
          </cell>
          <cell r="M7688">
            <v>45688</v>
          </cell>
          <cell r="N7688">
            <v>45698</v>
          </cell>
          <cell r="O7688">
            <v>45688</v>
          </cell>
          <cell r="P7688">
            <v>45698</v>
          </cell>
          <cell r="Q7688">
            <v>45695</v>
          </cell>
          <cell r="R7688">
            <v>45698</v>
          </cell>
          <cell r="S7688">
            <v>45699</v>
          </cell>
          <cell r="T7688">
            <v>45700</v>
          </cell>
          <cell r="U7688">
            <v>45701</v>
          </cell>
          <cell r="V7688">
            <v>45702</v>
          </cell>
          <cell r="W7688">
            <v>45702</v>
          </cell>
          <cell r="X7688">
            <v>41200006</v>
          </cell>
        </row>
        <row r="7689">
          <cell r="K7689" t="str">
            <v>GBWS-5326</v>
          </cell>
          <cell r="L7689">
            <v>45691</v>
          </cell>
          <cell r="M7689">
            <v>45693</v>
          </cell>
          <cell r="N7689">
            <v>45702</v>
          </cell>
          <cell r="O7689">
            <v>45693</v>
          </cell>
          <cell r="P7689">
            <v>45706</v>
          </cell>
          <cell r="Q7689">
            <v>45702</v>
          </cell>
          <cell r="R7689">
            <v>45705</v>
          </cell>
          <cell r="S7689">
            <v>45706</v>
          </cell>
          <cell r="T7689">
            <v>45707</v>
          </cell>
          <cell r="U7689">
            <v>45708</v>
          </cell>
          <cell r="V7689">
            <v>45709</v>
          </cell>
          <cell r="W7689">
            <v>45709</v>
          </cell>
          <cell r="X7689">
            <v>41200006</v>
          </cell>
        </row>
        <row r="7690">
          <cell r="K7690" t="str">
            <v>GBWS-5327</v>
          </cell>
          <cell r="L7690">
            <v>45691</v>
          </cell>
          <cell r="M7690">
            <v>45693</v>
          </cell>
          <cell r="N7690">
            <v>45702</v>
          </cell>
          <cell r="O7690">
            <v>45693</v>
          </cell>
          <cell r="P7690">
            <v>45706</v>
          </cell>
          <cell r="Q7690">
            <v>45702</v>
          </cell>
          <cell r="R7690">
            <v>45705</v>
          </cell>
          <cell r="S7690">
            <v>45706</v>
          </cell>
          <cell r="T7690">
            <v>45707</v>
          </cell>
          <cell r="U7690">
            <v>45708</v>
          </cell>
          <cell r="V7690">
            <v>45709</v>
          </cell>
          <cell r="W7690">
            <v>45709</v>
          </cell>
          <cell r="X7690">
            <v>41200006</v>
          </cell>
        </row>
        <row r="7691">
          <cell r="K7691" t="str">
            <v>GBWS-5310</v>
          </cell>
          <cell r="L7691">
            <v>45691</v>
          </cell>
          <cell r="M7691">
            <v>45692</v>
          </cell>
          <cell r="N7691">
            <v>45699</v>
          </cell>
          <cell r="O7691">
            <v>45692</v>
          </cell>
          <cell r="P7691">
            <v>45699</v>
          </cell>
          <cell r="Q7691">
            <v>45699</v>
          </cell>
          <cell r="R7691">
            <v>45700</v>
          </cell>
          <cell r="S7691">
            <v>45701</v>
          </cell>
          <cell r="T7691">
            <v>45705</v>
          </cell>
          <cell r="U7691">
            <v>45706</v>
          </cell>
          <cell r="V7691">
            <v>45707</v>
          </cell>
          <cell r="W7691">
            <v>45707</v>
          </cell>
          <cell r="X7691">
            <v>41200005</v>
          </cell>
        </row>
        <row r="7692">
          <cell r="K7692" t="str">
            <v>GBWS-5311</v>
          </cell>
          <cell r="L7692">
            <v>45691</v>
          </cell>
          <cell r="M7692">
            <v>45692</v>
          </cell>
          <cell r="N7692">
            <v>45699</v>
          </cell>
          <cell r="O7692">
            <v>45692</v>
          </cell>
          <cell r="P7692">
            <v>45699</v>
          </cell>
          <cell r="Q7692">
            <v>45699</v>
          </cell>
          <cell r="R7692">
            <v>45700</v>
          </cell>
          <cell r="S7692">
            <v>45701</v>
          </cell>
          <cell r="T7692">
            <v>45705</v>
          </cell>
          <cell r="U7692">
            <v>45706</v>
          </cell>
          <cell r="V7692">
            <v>45707</v>
          </cell>
          <cell r="W7692">
            <v>45707</v>
          </cell>
          <cell r="X7692">
            <v>41200005</v>
          </cell>
        </row>
        <row r="7693">
          <cell r="K7693" t="str">
            <v>GBWS-5312</v>
          </cell>
          <cell r="L7693">
            <v>45691</v>
          </cell>
          <cell r="M7693">
            <v>45692</v>
          </cell>
          <cell r="N7693">
            <v>45700</v>
          </cell>
          <cell r="O7693">
            <v>45692</v>
          </cell>
          <cell r="P7693">
            <v>45701</v>
          </cell>
          <cell r="Q7693">
            <v>45701</v>
          </cell>
          <cell r="R7693">
            <v>45702</v>
          </cell>
          <cell r="S7693">
            <v>45705</v>
          </cell>
          <cell r="T7693">
            <v>45706</v>
          </cell>
          <cell r="U7693">
            <v>45707</v>
          </cell>
          <cell r="V7693">
            <v>45708</v>
          </cell>
          <cell r="W7693">
            <v>45708</v>
          </cell>
          <cell r="X7693">
            <v>41200005</v>
          </cell>
        </row>
        <row r="7694">
          <cell r="K7694" t="str">
            <v>GBWS-5313</v>
          </cell>
          <cell r="L7694">
            <v>45691</v>
          </cell>
          <cell r="M7694">
            <v>45692</v>
          </cell>
          <cell r="N7694">
            <v>45700</v>
          </cell>
          <cell r="O7694">
            <v>45692</v>
          </cell>
          <cell r="P7694">
            <v>45701</v>
          </cell>
          <cell r="Q7694">
            <v>45701</v>
          </cell>
          <cell r="R7694">
            <v>45702</v>
          </cell>
          <cell r="S7694">
            <v>45705</v>
          </cell>
          <cell r="T7694">
            <v>45706</v>
          </cell>
          <cell r="U7694">
            <v>45707</v>
          </cell>
          <cell r="V7694">
            <v>45708</v>
          </cell>
          <cell r="W7694">
            <v>45708</v>
          </cell>
          <cell r="X7694">
            <v>41200005</v>
          </cell>
        </row>
        <row r="7695">
          <cell r="K7695" t="str">
            <v>GBWS-5314</v>
          </cell>
          <cell r="L7695">
            <v>45691</v>
          </cell>
          <cell r="M7695">
            <v>45692</v>
          </cell>
          <cell r="N7695">
            <v>45700</v>
          </cell>
          <cell r="O7695">
            <v>45692</v>
          </cell>
          <cell r="P7695">
            <v>45701</v>
          </cell>
          <cell r="Q7695">
            <v>45701</v>
          </cell>
          <cell r="R7695">
            <v>45702</v>
          </cell>
          <cell r="S7695">
            <v>45705</v>
          </cell>
          <cell r="T7695">
            <v>45706</v>
          </cell>
          <cell r="U7695">
            <v>45707</v>
          </cell>
          <cell r="V7695">
            <v>45708</v>
          </cell>
          <cell r="W7695">
            <v>45708</v>
          </cell>
          <cell r="X7695">
            <v>41200005</v>
          </cell>
        </row>
        <row r="7696">
          <cell r="K7696" t="str">
            <v>GBWS-5315</v>
          </cell>
          <cell r="L7696">
            <v>45691</v>
          </cell>
          <cell r="M7696">
            <v>45692</v>
          </cell>
          <cell r="N7696">
            <v>45700</v>
          </cell>
          <cell r="O7696">
            <v>45692</v>
          </cell>
          <cell r="P7696">
            <v>45701</v>
          </cell>
          <cell r="Q7696">
            <v>45701</v>
          </cell>
          <cell r="R7696">
            <v>45702</v>
          </cell>
          <cell r="S7696">
            <v>45705</v>
          </cell>
          <cell r="T7696">
            <v>45706</v>
          </cell>
          <cell r="U7696">
            <v>45707</v>
          </cell>
          <cell r="V7696">
            <v>45708</v>
          </cell>
          <cell r="W7696">
            <v>45708</v>
          </cell>
          <cell r="X7696">
            <v>41200005</v>
          </cell>
        </row>
        <row r="7697">
          <cell r="K7697" t="str">
            <v>DBW-3599</v>
          </cell>
          <cell r="L7697">
            <v>45680</v>
          </cell>
          <cell r="M7697" t="str">
            <v>2025-01-27 → 1/24</v>
          </cell>
          <cell r="N7697">
            <v>45694</v>
          </cell>
          <cell r="O7697" t="str">
            <v>2025-01-27 → 1/24</v>
          </cell>
          <cell r="P7697">
            <v>45694</v>
          </cell>
          <cell r="Q7697">
            <v>45694</v>
          </cell>
          <cell r="R7697">
            <v>45695</v>
          </cell>
          <cell r="S7697">
            <v>45698</v>
          </cell>
          <cell r="T7697">
            <v>45699</v>
          </cell>
          <cell r="U7697">
            <v>45701</v>
          </cell>
          <cell r="V7697">
            <v>45702</v>
          </cell>
          <cell r="W7697">
            <v>45702</v>
          </cell>
          <cell r="X7697">
            <v>41000584</v>
          </cell>
        </row>
        <row r="7698">
          <cell r="K7698" t="str">
            <v>GBWS-5328</v>
          </cell>
          <cell r="L7698">
            <v>45691</v>
          </cell>
          <cell r="M7698">
            <v>45693</v>
          </cell>
          <cell r="N7698">
            <v>45702</v>
          </cell>
          <cell r="O7698">
            <v>45693</v>
          </cell>
          <cell r="P7698">
            <v>45706</v>
          </cell>
          <cell r="Q7698">
            <v>45702</v>
          </cell>
          <cell r="R7698">
            <v>45705</v>
          </cell>
          <cell r="S7698">
            <v>45706</v>
          </cell>
          <cell r="T7698">
            <v>45707</v>
          </cell>
          <cell r="U7698">
            <v>45708</v>
          </cell>
          <cell r="V7698">
            <v>45709</v>
          </cell>
          <cell r="W7698">
            <v>45709</v>
          </cell>
          <cell r="X7698">
            <v>41200006</v>
          </cell>
        </row>
        <row r="7699">
          <cell r="K7699" t="str">
            <v>GBWS-5329</v>
          </cell>
          <cell r="L7699">
            <v>45691</v>
          </cell>
          <cell r="M7699">
            <v>45693</v>
          </cell>
          <cell r="N7699">
            <v>45702</v>
          </cell>
          <cell r="O7699">
            <v>45693</v>
          </cell>
          <cell r="P7699">
            <v>45706</v>
          </cell>
          <cell r="Q7699">
            <v>45702</v>
          </cell>
          <cell r="R7699">
            <v>45705</v>
          </cell>
          <cell r="S7699">
            <v>45706</v>
          </cell>
          <cell r="T7699">
            <v>45707</v>
          </cell>
          <cell r="U7699">
            <v>45708</v>
          </cell>
          <cell r="V7699">
            <v>45709</v>
          </cell>
          <cell r="W7699">
            <v>45709</v>
          </cell>
          <cell r="X7699">
            <v>41200006</v>
          </cell>
        </row>
        <row r="7700">
          <cell r="K7700" t="str">
            <v>GBWS-5176</v>
          </cell>
          <cell r="L7700">
            <v>45630</v>
          </cell>
          <cell r="M7700">
            <v>45632</v>
          </cell>
          <cell r="N7700">
            <v>45642</v>
          </cell>
          <cell r="O7700">
            <v>45632</v>
          </cell>
          <cell r="P7700">
            <v>45643</v>
          </cell>
          <cell r="Q7700">
            <v>45642</v>
          </cell>
          <cell r="R7700">
            <v>45643</v>
          </cell>
          <cell r="S7700">
            <v>45644</v>
          </cell>
          <cell r="T7700">
            <v>45645</v>
          </cell>
          <cell r="U7700">
            <v>45649</v>
          </cell>
          <cell r="V7700">
            <v>45652</v>
          </cell>
          <cell r="W7700">
            <v>45652</v>
          </cell>
          <cell r="X7700">
            <v>41200090</v>
          </cell>
        </row>
        <row r="7701">
          <cell r="K7701" t="str">
            <v>GBWS-5267</v>
          </cell>
          <cell r="L7701">
            <v>45671</v>
          </cell>
          <cell r="M7701">
            <v>45673</v>
          </cell>
          <cell r="N7701">
            <v>45680</v>
          </cell>
          <cell r="O7701">
            <v>45673</v>
          </cell>
          <cell r="P7701">
            <v>45691</v>
          </cell>
          <cell r="Q7701">
            <v>45681</v>
          </cell>
          <cell r="R7701">
            <v>45684</v>
          </cell>
          <cell r="S7701">
            <v>45691</v>
          </cell>
          <cell r="T7701">
            <v>45692</v>
          </cell>
          <cell r="U7701">
            <v>45694</v>
          </cell>
          <cell r="V7701">
            <v>45695</v>
          </cell>
          <cell r="W7701">
            <v>45695</v>
          </cell>
          <cell r="X7701">
            <v>41200034</v>
          </cell>
        </row>
        <row r="7702">
          <cell r="K7702" t="str">
            <v>GBWS-5330</v>
          </cell>
          <cell r="L7702">
            <v>45692</v>
          </cell>
          <cell r="M7702">
            <v>45694</v>
          </cell>
          <cell r="N7702">
            <v>45701</v>
          </cell>
          <cell r="O7702">
            <v>45694</v>
          </cell>
          <cell r="P7702">
            <v>45701</v>
          </cell>
          <cell r="Q7702">
            <v>45702</v>
          </cell>
          <cell r="R7702">
            <v>45705</v>
          </cell>
          <cell r="S7702">
            <v>45706</v>
          </cell>
          <cell r="T7702">
            <v>45707</v>
          </cell>
          <cell r="U7702">
            <v>45708</v>
          </cell>
          <cell r="V7702">
            <v>45709</v>
          </cell>
          <cell r="W7702">
            <v>45709</v>
          </cell>
          <cell r="X7702">
            <v>41200047</v>
          </cell>
        </row>
        <row r="7703">
          <cell r="K7703" t="str">
            <v>DBW-3602</v>
          </cell>
          <cell r="L7703">
            <v>45693</v>
          </cell>
          <cell r="M7703">
            <v>45695</v>
          </cell>
          <cell r="N7703">
            <v>45705</v>
          </cell>
          <cell r="O7703">
            <v>45695</v>
          </cell>
          <cell r="P7703">
            <v>45706</v>
          </cell>
          <cell r="Q7703">
            <v>45705</v>
          </cell>
          <cell r="R7703">
            <v>45706</v>
          </cell>
          <cell r="S7703">
            <v>45707</v>
          </cell>
          <cell r="T7703">
            <v>45708</v>
          </cell>
          <cell r="U7703">
            <v>45709</v>
          </cell>
          <cell r="V7703">
            <v>45712</v>
          </cell>
          <cell r="W7703">
            <v>45712</v>
          </cell>
          <cell r="X7703">
            <v>41000587</v>
          </cell>
        </row>
        <row r="7704">
          <cell r="K7704" t="str">
            <v>GBWS-5290</v>
          </cell>
          <cell r="L7704">
            <v>45674</v>
          </cell>
          <cell r="M7704">
            <v>45678</v>
          </cell>
          <cell r="N7704">
            <v>45693</v>
          </cell>
          <cell r="O7704">
            <v>45678</v>
          </cell>
          <cell r="P7704">
            <v>45693</v>
          </cell>
          <cell r="Q7704" t="str">
            <v>2025-02-04 → 2/7</v>
          </cell>
          <cell r="R7704" t="str">
            <v>2025-02-05 → 2/10</v>
          </cell>
          <cell r="S7704">
            <v>45699</v>
          </cell>
          <cell r="T7704">
            <v>45701</v>
          </cell>
          <cell r="U7704">
            <v>45705</v>
          </cell>
          <cell r="V7704">
            <v>45706</v>
          </cell>
          <cell r="W7704">
            <v>45706</v>
          </cell>
          <cell r="X7704">
            <v>41100320</v>
          </cell>
        </row>
        <row r="7705">
          <cell r="K7705" t="str">
            <v>GBWS-5333</v>
          </cell>
          <cell r="L7705">
            <v>45693</v>
          </cell>
          <cell r="M7705">
            <v>45695</v>
          </cell>
          <cell r="N7705">
            <v>45701</v>
          </cell>
          <cell r="O7705">
            <v>45695</v>
          </cell>
          <cell r="P7705">
            <v>45706</v>
          </cell>
          <cell r="Q7705">
            <v>45705</v>
          </cell>
          <cell r="R7705">
            <v>45706</v>
          </cell>
          <cell r="S7705">
            <v>45707</v>
          </cell>
          <cell r="T7705">
            <v>45708</v>
          </cell>
          <cell r="U7705">
            <v>45709</v>
          </cell>
          <cell r="V7705">
            <v>45712</v>
          </cell>
          <cell r="W7705">
            <v>45712</v>
          </cell>
          <cell r="X7705">
            <v>41200075</v>
          </cell>
        </row>
        <row r="7706">
          <cell r="K7706" t="str">
            <v>GBWS-5306</v>
          </cell>
          <cell r="L7706">
            <v>45691</v>
          </cell>
          <cell r="M7706">
            <v>45692</v>
          </cell>
          <cell r="N7706">
            <v>45700</v>
          </cell>
          <cell r="O7706">
            <v>45692</v>
          </cell>
          <cell r="P7706">
            <v>45701</v>
          </cell>
          <cell r="Q7706">
            <v>45700</v>
          </cell>
          <cell r="R7706">
            <v>45701</v>
          </cell>
          <cell r="S7706">
            <v>45701</v>
          </cell>
          <cell r="T7706">
            <v>45706</v>
          </cell>
          <cell r="U7706">
            <v>45707</v>
          </cell>
          <cell r="V7706">
            <v>45708</v>
          </cell>
          <cell r="W7706">
            <v>45708</v>
          </cell>
          <cell r="X7706">
            <v>41200076</v>
          </cell>
        </row>
        <row r="7707">
          <cell r="K7707" t="str">
            <v>GBWS-5281</v>
          </cell>
          <cell r="L7707">
            <v>45672</v>
          </cell>
          <cell r="M7707">
            <v>45674</v>
          </cell>
          <cell r="N7707">
            <v>45680</v>
          </cell>
          <cell r="O7707">
            <v>45674</v>
          </cell>
          <cell r="P7707">
            <v>45691</v>
          </cell>
          <cell r="Q7707">
            <v>45684</v>
          </cell>
          <cell r="R7707">
            <v>45688</v>
          </cell>
          <cell r="S7707">
            <v>45692</v>
          </cell>
          <cell r="T7707">
            <v>45693</v>
          </cell>
          <cell r="U7707">
            <v>45694</v>
          </cell>
          <cell r="V7707">
            <v>45695</v>
          </cell>
          <cell r="W7707">
            <v>45695</v>
          </cell>
          <cell r="X7707">
            <v>41000556</v>
          </cell>
        </row>
        <row r="7708">
          <cell r="K7708" t="str">
            <v>GBWS-5331</v>
          </cell>
          <cell r="L7708">
            <v>45692</v>
          </cell>
          <cell r="M7708">
            <v>45694</v>
          </cell>
          <cell r="N7708">
            <v>45701</v>
          </cell>
          <cell r="O7708">
            <v>45694</v>
          </cell>
          <cell r="P7708">
            <v>45706</v>
          </cell>
          <cell r="Q7708">
            <v>45702</v>
          </cell>
          <cell r="R7708">
            <v>45705</v>
          </cell>
          <cell r="S7708">
            <v>45707</v>
          </cell>
          <cell r="T7708">
            <v>45708</v>
          </cell>
          <cell r="U7708">
            <v>45709</v>
          </cell>
          <cell r="V7708">
            <v>45712</v>
          </cell>
          <cell r="W7708">
            <v>45712</v>
          </cell>
          <cell r="X7708">
            <v>41200076</v>
          </cell>
        </row>
        <row r="7709">
          <cell r="K7709" t="str">
            <v>GBWS-5339</v>
          </cell>
          <cell r="L7709">
            <v>45695</v>
          </cell>
          <cell r="M7709">
            <v>45698</v>
          </cell>
          <cell r="N7709">
            <v>45705</v>
          </cell>
          <cell r="O7709">
            <v>45698</v>
          </cell>
          <cell r="P7709">
            <v>45706</v>
          </cell>
          <cell r="Q7709">
            <v>45705</v>
          </cell>
          <cell r="R7709">
            <v>45706</v>
          </cell>
          <cell r="S7709">
            <v>45707</v>
          </cell>
          <cell r="T7709">
            <v>45708</v>
          </cell>
          <cell r="U7709">
            <v>45708</v>
          </cell>
          <cell r="V7709">
            <v>45712</v>
          </cell>
          <cell r="W7709">
            <v>45712</v>
          </cell>
          <cell r="X7709">
            <v>41200118</v>
          </cell>
        </row>
        <row r="7710">
          <cell r="K7710" t="str">
            <v>GBWS-5340</v>
          </cell>
          <cell r="L7710">
            <v>45695</v>
          </cell>
          <cell r="M7710">
            <v>45698</v>
          </cell>
          <cell r="N7710">
            <v>45705</v>
          </cell>
          <cell r="O7710">
            <v>45698</v>
          </cell>
          <cell r="P7710">
            <v>45706</v>
          </cell>
          <cell r="Q7710">
            <v>45705</v>
          </cell>
          <cell r="R7710">
            <v>45706</v>
          </cell>
          <cell r="S7710">
            <v>45707</v>
          </cell>
          <cell r="T7710">
            <v>45708</v>
          </cell>
          <cell r="U7710">
            <v>45709</v>
          </cell>
          <cell r="V7710">
            <v>45712</v>
          </cell>
          <cell r="W7710">
            <v>45712</v>
          </cell>
          <cell r="X7710">
            <v>41200118</v>
          </cell>
        </row>
        <row r="7711">
          <cell r="K7711" t="str">
            <v>GBWS-5341</v>
          </cell>
          <cell r="L7711">
            <v>45695</v>
          </cell>
          <cell r="M7711">
            <v>45698</v>
          </cell>
          <cell r="N7711">
            <v>45705</v>
          </cell>
          <cell r="O7711">
            <v>45698</v>
          </cell>
          <cell r="P7711">
            <v>45706</v>
          </cell>
          <cell r="Q7711">
            <v>45705</v>
          </cell>
          <cell r="R7711">
            <v>45706</v>
          </cell>
          <cell r="S7711">
            <v>45707</v>
          </cell>
          <cell r="T7711">
            <v>45708</v>
          </cell>
          <cell r="U7711">
            <v>45709</v>
          </cell>
          <cell r="V7711">
            <v>45712</v>
          </cell>
          <cell r="W7711">
            <v>45712</v>
          </cell>
          <cell r="X7711">
            <v>41200118</v>
          </cell>
        </row>
        <row r="7712">
          <cell r="K7712" t="str">
            <v>GBWS-5342</v>
          </cell>
          <cell r="L7712">
            <v>45695</v>
          </cell>
          <cell r="M7712">
            <v>45698</v>
          </cell>
          <cell r="N7712">
            <v>45705</v>
          </cell>
          <cell r="O7712">
            <v>45698</v>
          </cell>
          <cell r="P7712">
            <v>45706</v>
          </cell>
          <cell r="Q7712">
            <v>45706</v>
          </cell>
          <cell r="R7712">
            <v>45707</v>
          </cell>
          <cell r="S7712">
            <v>45708</v>
          </cell>
          <cell r="T7712">
            <v>45708</v>
          </cell>
          <cell r="U7712">
            <v>45709</v>
          </cell>
          <cell r="V7712">
            <v>45712</v>
          </cell>
          <cell r="W7712">
            <v>45712</v>
          </cell>
          <cell r="X7712">
            <v>41200118</v>
          </cell>
        </row>
        <row r="7713">
          <cell r="K7713" t="str">
            <v>GBWS-5343</v>
          </cell>
          <cell r="L7713">
            <v>45695</v>
          </cell>
          <cell r="M7713">
            <v>45698</v>
          </cell>
          <cell r="N7713">
            <v>45705</v>
          </cell>
          <cell r="O7713">
            <v>45698</v>
          </cell>
          <cell r="P7713">
            <v>45706</v>
          </cell>
          <cell r="Q7713">
            <v>45706</v>
          </cell>
          <cell r="R7713">
            <v>45707</v>
          </cell>
          <cell r="S7713">
            <v>45708</v>
          </cell>
          <cell r="T7713">
            <v>45708</v>
          </cell>
          <cell r="U7713">
            <v>45709</v>
          </cell>
          <cell r="V7713">
            <v>45712</v>
          </cell>
          <cell r="W7713">
            <v>45712</v>
          </cell>
          <cell r="X7713">
            <v>41200118</v>
          </cell>
        </row>
        <row r="7714">
          <cell r="K7714" t="str">
            <v>GBWS-5344</v>
          </cell>
          <cell r="L7714">
            <v>45695</v>
          </cell>
          <cell r="M7714">
            <v>45698</v>
          </cell>
          <cell r="N7714">
            <v>45705</v>
          </cell>
          <cell r="O7714">
            <v>45698</v>
          </cell>
          <cell r="P7714">
            <v>45706</v>
          </cell>
          <cell r="Q7714">
            <v>45706</v>
          </cell>
          <cell r="R7714">
            <v>45707</v>
          </cell>
          <cell r="S7714">
            <v>45708</v>
          </cell>
          <cell r="T7714">
            <v>45708</v>
          </cell>
          <cell r="U7714">
            <v>45709</v>
          </cell>
          <cell r="V7714">
            <v>45709</v>
          </cell>
          <cell r="W7714">
            <v>45709</v>
          </cell>
          <cell r="X7714">
            <v>41200118</v>
          </cell>
        </row>
        <row r="7715">
          <cell r="K7715" t="str">
            <v>GBWS-5318</v>
          </cell>
          <cell r="L7715">
            <v>45691</v>
          </cell>
          <cell r="M7715">
            <v>45693</v>
          </cell>
          <cell r="N7715">
            <v>45701</v>
          </cell>
          <cell r="O7715">
            <v>45693</v>
          </cell>
          <cell r="P7715">
            <v>45702</v>
          </cell>
          <cell r="Q7715">
            <v>45701</v>
          </cell>
          <cell r="R7715">
            <v>45702</v>
          </cell>
          <cell r="S7715">
            <v>45706</v>
          </cell>
          <cell r="T7715">
            <v>45707</v>
          </cell>
          <cell r="U7715">
            <v>45708</v>
          </cell>
          <cell r="V7715">
            <v>45714</v>
          </cell>
          <cell r="W7715">
            <v>45714</v>
          </cell>
          <cell r="X7715">
            <v>41200006</v>
          </cell>
        </row>
        <row r="7716">
          <cell r="K7716" t="str">
            <v>GBWS-5319</v>
          </cell>
          <cell r="L7716">
            <v>45691</v>
          </cell>
          <cell r="M7716">
            <v>45693</v>
          </cell>
          <cell r="N7716">
            <v>45701</v>
          </cell>
          <cell r="O7716">
            <v>45693</v>
          </cell>
          <cell r="P7716">
            <v>45702</v>
          </cell>
          <cell r="Q7716">
            <v>45701</v>
          </cell>
          <cell r="R7716">
            <v>45702</v>
          </cell>
          <cell r="S7716">
            <v>45706</v>
          </cell>
          <cell r="T7716">
            <v>45707</v>
          </cell>
          <cell r="U7716">
            <v>45708</v>
          </cell>
          <cell r="V7716">
            <v>45714</v>
          </cell>
          <cell r="W7716">
            <v>45714</v>
          </cell>
          <cell r="X7716">
            <v>41200006</v>
          </cell>
        </row>
        <row r="7717">
          <cell r="K7717" t="str">
            <v>GBWS-5336</v>
          </cell>
          <cell r="L7717">
            <v>45695</v>
          </cell>
          <cell r="M7717">
            <v>45698</v>
          </cell>
          <cell r="N7717">
            <v>45706</v>
          </cell>
          <cell r="O7717">
            <v>45698</v>
          </cell>
          <cell r="P7717">
            <v>45707</v>
          </cell>
          <cell r="Q7717">
            <v>45706</v>
          </cell>
          <cell r="R7717">
            <v>45707</v>
          </cell>
          <cell r="S7717">
            <v>45708</v>
          </cell>
          <cell r="T7717">
            <v>45709</v>
          </cell>
          <cell r="U7717">
            <v>45712</v>
          </cell>
          <cell r="V7717">
            <v>45713</v>
          </cell>
          <cell r="W7717">
            <v>45713</v>
          </cell>
          <cell r="X7717">
            <v>41100320</v>
          </cell>
        </row>
        <row r="7718">
          <cell r="K7718" t="str">
            <v>GBWS-5337</v>
          </cell>
          <cell r="L7718">
            <v>45695</v>
          </cell>
          <cell r="M7718">
            <v>45698</v>
          </cell>
          <cell r="N7718">
            <v>45706</v>
          </cell>
          <cell r="O7718">
            <v>45698</v>
          </cell>
          <cell r="P7718">
            <v>45707</v>
          </cell>
          <cell r="Q7718">
            <v>45706</v>
          </cell>
          <cell r="R7718">
            <v>45707</v>
          </cell>
          <cell r="S7718">
            <v>45708</v>
          </cell>
          <cell r="T7718">
            <v>45709</v>
          </cell>
          <cell r="U7718">
            <v>45712</v>
          </cell>
          <cell r="V7718">
            <v>45713</v>
          </cell>
          <cell r="W7718">
            <v>45713</v>
          </cell>
          <cell r="X7718">
            <v>41100320</v>
          </cell>
        </row>
        <row r="7719">
          <cell r="K7719" t="str">
            <v>GPWS-0461</v>
          </cell>
          <cell r="L7719">
            <v>45678</v>
          </cell>
          <cell r="M7719">
            <v>45680</v>
          </cell>
          <cell r="N7719">
            <v>45694</v>
          </cell>
          <cell r="O7719">
            <v>45680</v>
          </cell>
          <cell r="P7719">
            <v>45694</v>
          </cell>
          <cell r="Q7719">
            <v>45693</v>
          </cell>
          <cell r="R7719">
            <v>45694</v>
          </cell>
          <cell r="S7719">
            <v>45700</v>
          </cell>
          <cell r="T7719">
            <v>45702</v>
          </cell>
          <cell r="U7719">
            <v>45705</v>
          </cell>
          <cell r="V7719">
            <v>45706</v>
          </cell>
          <cell r="W7719">
            <v>45706</v>
          </cell>
          <cell r="X7719">
            <v>41200108</v>
          </cell>
        </row>
        <row r="7720">
          <cell r="K7720" t="str">
            <v>GPWS-0462</v>
          </cell>
          <cell r="L7720">
            <v>45678</v>
          </cell>
          <cell r="M7720">
            <v>45680</v>
          </cell>
          <cell r="N7720">
            <v>45694</v>
          </cell>
          <cell r="O7720">
            <v>45680</v>
          </cell>
          <cell r="P7720">
            <v>45694</v>
          </cell>
          <cell r="Q7720">
            <v>45693</v>
          </cell>
          <cell r="R7720">
            <v>45694</v>
          </cell>
          <cell r="S7720">
            <v>45700</v>
          </cell>
          <cell r="T7720">
            <v>45702</v>
          </cell>
          <cell r="U7720">
            <v>45705</v>
          </cell>
          <cell r="V7720">
            <v>45706</v>
          </cell>
          <cell r="W7720">
            <v>45706</v>
          </cell>
          <cell r="X7720">
            <v>41200108</v>
          </cell>
        </row>
        <row r="7721">
          <cell r="K7721" t="str">
            <v>GPWS-0463</v>
          </cell>
          <cell r="L7721">
            <v>45678</v>
          </cell>
          <cell r="M7721">
            <v>45680</v>
          </cell>
          <cell r="N7721">
            <v>45694</v>
          </cell>
          <cell r="O7721">
            <v>45680</v>
          </cell>
          <cell r="P7721">
            <v>45694</v>
          </cell>
          <cell r="Q7721">
            <v>45693</v>
          </cell>
          <cell r="R7721">
            <v>45694</v>
          </cell>
          <cell r="S7721">
            <v>45700</v>
          </cell>
          <cell r="T7721">
            <v>45702</v>
          </cell>
          <cell r="U7721">
            <v>45705</v>
          </cell>
          <cell r="V7721">
            <v>45706</v>
          </cell>
          <cell r="W7721">
            <v>45706</v>
          </cell>
          <cell r="X7721">
            <v>41200108</v>
          </cell>
        </row>
        <row r="7722">
          <cell r="K7722" t="str">
            <v>GPWS-0464</v>
          </cell>
          <cell r="L7722">
            <v>45680</v>
          </cell>
          <cell r="M7722">
            <v>45688</v>
          </cell>
          <cell r="N7722">
            <v>45698</v>
          </cell>
          <cell r="O7722">
            <v>45688</v>
          </cell>
          <cell r="P7722">
            <v>45699</v>
          </cell>
          <cell r="Q7722">
            <v>45698</v>
          </cell>
          <cell r="R7722">
            <v>45699</v>
          </cell>
          <cell r="S7722">
            <v>45701</v>
          </cell>
          <cell r="T7722">
            <v>45702</v>
          </cell>
          <cell r="U7722">
            <v>45705</v>
          </cell>
          <cell r="V7722">
            <v>45706</v>
          </cell>
          <cell r="W7722">
            <v>45706</v>
          </cell>
          <cell r="X7722" t="str">
            <v>41200108 → 41200116</v>
          </cell>
        </row>
        <row r="7723">
          <cell r="K7723" t="str">
            <v>GPWS-0465</v>
          </cell>
          <cell r="L7723">
            <v>45680</v>
          </cell>
          <cell r="M7723">
            <v>45688</v>
          </cell>
          <cell r="N7723">
            <v>45698</v>
          </cell>
          <cell r="O7723">
            <v>45688</v>
          </cell>
          <cell r="P7723">
            <v>45699</v>
          </cell>
          <cell r="Q7723">
            <v>45698</v>
          </cell>
          <cell r="R7723">
            <v>45699</v>
          </cell>
          <cell r="S7723">
            <v>45701</v>
          </cell>
          <cell r="T7723">
            <v>45702</v>
          </cell>
          <cell r="U7723">
            <v>45705</v>
          </cell>
          <cell r="V7723">
            <v>45706</v>
          </cell>
          <cell r="W7723">
            <v>45706</v>
          </cell>
          <cell r="X7723" t="str">
            <v>41200108 → 41200116</v>
          </cell>
        </row>
        <row r="7724">
          <cell r="K7724" t="str">
            <v>GPWS-0466</v>
          </cell>
          <cell r="L7724">
            <v>45680</v>
          </cell>
          <cell r="M7724">
            <v>45688</v>
          </cell>
          <cell r="N7724">
            <v>45698</v>
          </cell>
          <cell r="O7724">
            <v>45688</v>
          </cell>
          <cell r="P7724">
            <v>45699</v>
          </cell>
          <cell r="Q7724">
            <v>45698</v>
          </cell>
          <cell r="R7724">
            <v>45699</v>
          </cell>
          <cell r="S7724">
            <v>45701</v>
          </cell>
          <cell r="T7724">
            <v>45702</v>
          </cell>
          <cell r="U7724">
            <v>45705</v>
          </cell>
          <cell r="V7724">
            <v>45706</v>
          </cell>
          <cell r="W7724">
            <v>45706</v>
          </cell>
          <cell r="X7724" t="str">
            <v>41200108 → 41200116</v>
          </cell>
        </row>
        <row r="7725">
          <cell r="K7725" t="str">
            <v>SOS-0340</v>
          </cell>
          <cell r="L7725">
            <v>45702</v>
          </cell>
          <cell r="M7725">
            <v>45705</v>
          </cell>
          <cell r="N7725">
            <v>45709</v>
          </cell>
          <cell r="O7725">
            <v>45705</v>
          </cell>
          <cell r="P7725">
            <v>45712</v>
          </cell>
          <cell r="Q7725">
            <v>45709</v>
          </cell>
          <cell r="R7725">
            <v>45712</v>
          </cell>
          <cell r="S7725">
            <v>45713</v>
          </cell>
          <cell r="T7725">
            <v>45713</v>
          </cell>
          <cell r="U7725">
            <v>45714</v>
          </cell>
          <cell r="V7725">
            <v>45714</v>
          </cell>
          <cell r="W7725">
            <v>45714</v>
          </cell>
          <cell r="X7725">
            <v>41000559</v>
          </cell>
        </row>
        <row r="7726">
          <cell r="K7726" t="str">
            <v>-</v>
          </cell>
          <cell r="L7726">
            <v>45702</v>
          </cell>
          <cell r="M7726">
            <v>45705</v>
          </cell>
          <cell r="N7726">
            <v>45709</v>
          </cell>
          <cell r="O7726">
            <v>45705</v>
          </cell>
          <cell r="P7726">
            <v>45712</v>
          </cell>
          <cell r="Q7726">
            <v>45709</v>
          </cell>
          <cell r="R7726">
            <v>45712</v>
          </cell>
          <cell r="S7726">
            <v>45713</v>
          </cell>
          <cell r="T7726">
            <v>45713</v>
          </cell>
          <cell r="U7726">
            <v>45714</v>
          </cell>
          <cell r="V7726">
            <v>45714</v>
          </cell>
          <cell r="W7726">
            <v>45714</v>
          </cell>
          <cell r="X7726">
            <v>31010312</v>
          </cell>
        </row>
        <row r="7727">
          <cell r="K7727" t="str">
            <v>SOS-0341</v>
          </cell>
          <cell r="L7727">
            <v>45702</v>
          </cell>
          <cell r="M7727">
            <v>45705</v>
          </cell>
          <cell r="N7727">
            <v>45709</v>
          </cell>
          <cell r="O7727">
            <v>45705</v>
          </cell>
          <cell r="P7727">
            <v>45712</v>
          </cell>
          <cell r="Q7727">
            <v>45709</v>
          </cell>
          <cell r="R7727">
            <v>45712</v>
          </cell>
          <cell r="S7727">
            <v>45713</v>
          </cell>
          <cell r="T7727">
            <v>45713</v>
          </cell>
          <cell r="U7727">
            <v>45714</v>
          </cell>
          <cell r="V7727">
            <v>45714</v>
          </cell>
          <cell r="W7727">
            <v>45714</v>
          </cell>
          <cell r="X7727">
            <v>41000559</v>
          </cell>
        </row>
        <row r="7728">
          <cell r="K7728" t="str">
            <v>-</v>
          </cell>
          <cell r="L7728">
            <v>45702</v>
          </cell>
          <cell r="M7728">
            <v>45705</v>
          </cell>
          <cell r="N7728">
            <v>45709</v>
          </cell>
          <cell r="O7728">
            <v>45705</v>
          </cell>
          <cell r="P7728">
            <v>45712</v>
          </cell>
          <cell r="Q7728">
            <v>45709</v>
          </cell>
          <cell r="R7728">
            <v>45712</v>
          </cell>
          <cell r="S7728">
            <v>45713</v>
          </cell>
          <cell r="T7728">
            <v>45713</v>
          </cell>
          <cell r="U7728">
            <v>45714</v>
          </cell>
          <cell r="V7728">
            <v>45714</v>
          </cell>
          <cell r="W7728">
            <v>45714</v>
          </cell>
          <cell r="X7728">
            <v>31010312</v>
          </cell>
        </row>
        <row r="7729">
          <cell r="K7729" t="str">
            <v>SOS-0342</v>
          </cell>
          <cell r="L7729">
            <v>45702</v>
          </cell>
          <cell r="M7729">
            <v>45705</v>
          </cell>
          <cell r="N7729">
            <v>45709</v>
          </cell>
          <cell r="O7729">
            <v>45705</v>
          </cell>
          <cell r="P7729">
            <v>45712</v>
          </cell>
          <cell r="Q7729">
            <v>45709</v>
          </cell>
          <cell r="R7729">
            <v>45712</v>
          </cell>
          <cell r="S7729">
            <v>45713</v>
          </cell>
          <cell r="T7729">
            <v>45713</v>
          </cell>
          <cell r="U7729">
            <v>45714</v>
          </cell>
          <cell r="V7729">
            <v>45714</v>
          </cell>
          <cell r="W7729">
            <v>45714</v>
          </cell>
          <cell r="X7729">
            <v>41000559</v>
          </cell>
        </row>
        <row r="7730">
          <cell r="K7730" t="str">
            <v>-</v>
          </cell>
          <cell r="L7730">
            <v>45702</v>
          </cell>
          <cell r="M7730">
            <v>45705</v>
          </cell>
          <cell r="N7730">
            <v>45709</v>
          </cell>
          <cell r="O7730">
            <v>45705</v>
          </cell>
          <cell r="P7730">
            <v>45712</v>
          </cell>
          <cell r="Q7730">
            <v>45709</v>
          </cell>
          <cell r="R7730">
            <v>45712</v>
          </cell>
          <cell r="S7730">
            <v>45713</v>
          </cell>
          <cell r="T7730">
            <v>45713</v>
          </cell>
          <cell r="U7730">
            <v>45714</v>
          </cell>
          <cell r="V7730">
            <v>45714</v>
          </cell>
          <cell r="W7730">
            <v>45714</v>
          </cell>
          <cell r="X7730">
            <v>31010312</v>
          </cell>
        </row>
        <row r="7731">
          <cell r="K7731" t="str">
            <v>SOS-0343</v>
          </cell>
          <cell r="L7731">
            <v>45702</v>
          </cell>
          <cell r="M7731">
            <v>45705</v>
          </cell>
          <cell r="N7731">
            <v>45709</v>
          </cell>
          <cell r="O7731">
            <v>45705</v>
          </cell>
          <cell r="P7731">
            <v>45712</v>
          </cell>
          <cell r="Q7731">
            <v>45709</v>
          </cell>
          <cell r="R7731">
            <v>45712</v>
          </cell>
          <cell r="S7731">
            <v>45713</v>
          </cell>
          <cell r="T7731">
            <v>45713</v>
          </cell>
          <cell r="U7731">
            <v>45714</v>
          </cell>
          <cell r="V7731">
            <v>45714</v>
          </cell>
          <cell r="W7731">
            <v>45714</v>
          </cell>
          <cell r="X7731">
            <v>41000559</v>
          </cell>
        </row>
        <row r="7732">
          <cell r="K7732" t="str">
            <v>-</v>
          </cell>
          <cell r="L7732">
            <v>45702</v>
          </cell>
          <cell r="M7732">
            <v>45705</v>
          </cell>
          <cell r="N7732">
            <v>45709</v>
          </cell>
          <cell r="O7732">
            <v>45705</v>
          </cell>
          <cell r="P7732">
            <v>45712</v>
          </cell>
          <cell r="Q7732">
            <v>45709</v>
          </cell>
          <cell r="R7732">
            <v>45712</v>
          </cell>
          <cell r="S7732">
            <v>45713</v>
          </cell>
          <cell r="T7732">
            <v>45713</v>
          </cell>
          <cell r="U7732">
            <v>45714</v>
          </cell>
          <cell r="V7732">
            <v>45714</v>
          </cell>
          <cell r="W7732">
            <v>45714</v>
          </cell>
          <cell r="X7732">
            <v>31010312</v>
          </cell>
        </row>
        <row r="7733">
          <cell r="K7733" t="str">
            <v>WS-0100</v>
          </cell>
          <cell r="L7733">
            <v>45695</v>
          </cell>
          <cell r="M7733">
            <v>45698</v>
          </cell>
          <cell r="N7733">
            <v>45707</v>
          </cell>
          <cell r="O7733">
            <v>45698</v>
          </cell>
          <cell r="P7733">
            <v>45706</v>
          </cell>
          <cell r="Q7733">
            <v>45706</v>
          </cell>
          <cell r="R7733">
            <v>45707</v>
          </cell>
          <cell r="S7733">
            <v>45708</v>
          </cell>
          <cell r="T7733">
            <v>45709</v>
          </cell>
          <cell r="U7733">
            <v>45712</v>
          </cell>
          <cell r="V7733">
            <v>45713</v>
          </cell>
          <cell r="W7733">
            <v>45713</v>
          </cell>
          <cell r="X7733">
            <v>41100435</v>
          </cell>
        </row>
        <row r="7734">
          <cell r="K7734" t="str">
            <v>GBWS-5089</v>
          </cell>
          <cell r="L7734">
            <v>45614</v>
          </cell>
          <cell r="M7734">
            <v>45614</v>
          </cell>
          <cell r="N7734">
            <v>45622</v>
          </cell>
          <cell r="O7734">
            <v>45614</v>
          </cell>
          <cell r="P7734">
            <v>45623</v>
          </cell>
          <cell r="Q7734">
            <v>45622</v>
          </cell>
          <cell r="R7734">
            <v>45623</v>
          </cell>
          <cell r="S7734">
            <v>45625</v>
          </cell>
          <cell r="T7734">
            <v>45628</v>
          </cell>
          <cell r="U7734">
            <v>45629</v>
          </cell>
          <cell r="V7734">
            <v>45630</v>
          </cell>
          <cell r="W7734">
            <v>45630</v>
          </cell>
          <cell r="X7734" t="str">
            <v>41200080 → 41200126</v>
          </cell>
        </row>
        <row r="7735">
          <cell r="K7735"/>
          <cell r="L7735"/>
          <cell r="M7735">
            <v>45702</v>
          </cell>
          <cell r="N7735">
            <v>45708</v>
          </cell>
          <cell r="O7735">
            <v>45702</v>
          </cell>
          <cell r="P7735">
            <v>45708</v>
          </cell>
          <cell r="Q7735">
            <v>45708</v>
          </cell>
          <cell r="R7735">
            <v>45708</v>
          </cell>
          <cell r="S7735">
            <v>45709</v>
          </cell>
          <cell r="T7735">
            <v>45712</v>
          </cell>
          <cell r="U7735">
            <v>45713</v>
          </cell>
          <cell r="V7735">
            <v>45714</v>
          </cell>
          <cell r="W7735">
            <v>45714</v>
          </cell>
          <cell r="X7735">
            <v>41200126</v>
          </cell>
        </row>
        <row r="7736">
          <cell r="K7736" t="str">
            <v>GBWS-5090</v>
          </cell>
          <cell r="L7736">
            <v>45614</v>
          </cell>
          <cell r="M7736">
            <v>45614</v>
          </cell>
          <cell r="N7736">
            <v>45622</v>
          </cell>
          <cell r="O7736">
            <v>45614</v>
          </cell>
          <cell r="P7736">
            <v>45623</v>
          </cell>
          <cell r="Q7736">
            <v>45622</v>
          </cell>
          <cell r="R7736">
            <v>45623</v>
          </cell>
          <cell r="S7736">
            <v>45625</v>
          </cell>
          <cell r="T7736">
            <v>45629</v>
          </cell>
          <cell r="U7736">
            <v>45630</v>
          </cell>
          <cell r="V7736">
            <v>45631</v>
          </cell>
          <cell r="W7736">
            <v>45631</v>
          </cell>
          <cell r="X7736" t="str">
            <v>41200080 → 41200126</v>
          </cell>
        </row>
        <row r="7737">
          <cell r="K7737"/>
          <cell r="L7737"/>
          <cell r="M7737">
            <v>45702</v>
          </cell>
          <cell r="N7737">
            <v>45708</v>
          </cell>
          <cell r="O7737">
            <v>45702</v>
          </cell>
          <cell r="P7737">
            <v>45708</v>
          </cell>
          <cell r="Q7737">
            <v>45708</v>
          </cell>
          <cell r="R7737">
            <v>45708</v>
          </cell>
          <cell r="S7737">
            <v>45709</v>
          </cell>
          <cell r="T7737">
            <v>45712</v>
          </cell>
          <cell r="U7737">
            <v>45713</v>
          </cell>
          <cell r="V7737">
            <v>45714</v>
          </cell>
          <cell r="W7737">
            <v>45714</v>
          </cell>
          <cell r="X7737">
            <v>41200126</v>
          </cell>
        </row>
        <row r="7738">
          <cell r="K7738" t="str">
            <v>GBWS-5353</v>
          </cell>
          <cell r="L7738">
            <v>45698</v>
          </cell>
          <cell r="M7738">
            <v>45699</v>
          </cell>
          <cell r="N7738">
            <v>45707</v>
          </cell>
          <cell r="O7738">
            <v>45699</v>
          </cell>
          <cell r="P7738">
            <v>45708</v>
          </cell>
          <cell r="Q7738">
            <v>45707</v>
          </cell>
          <cell r="R7738">
            <v>45708</v>
          </cell>
          <cell r="S7738">
            <v>45708</v>
          </cell>
          <cell r="T7738">
            <v>45712</v>
          </cell>
          <cell r="U7738">
            <v>45713</v>
          </cell>
          <cell r="V7738">
            <v>45714</v>
          </cell>
          <cell r="W7738">
            <v>45714</v>
          </cell>
          <cell r="X7738">
            <v>41200007</v>
          </cell>
        </row>
        <row r="7739">
          <cell r="K7739" t="str">
            <v>GBWS-5354</v>
          </cell>
          <cell r="L7739">
            <v>45698</v>
          </cell>
          <cell r="M7739">
            <v>45699</v>
          </cell>
          <cell r="N7739">
            <v>45707</v>
          </cell>
          <cell r="O7739">
            <v>45699</v>
          </cell>
          <cell r="P7739">
            <v>45708</v>
          </cell>
          <cell r="Q7739">
            <v>45707</v>
          </cell>
          <cell r="R7739">
            <v>45708</v>
          </cell>
          <cell r="S7739">
            <v>45708</v>
          </cell>
          <cell r="T7739">
            <v>45712</v>
          </cell>
          <cell r="U7739">
            <v>45713</v>
          </cell>
          <cell r="V7739">
            <v>45714</v>
          </cell>
          <cell r="W7739">
            <v>45714</v>
          </cell>
          <cell r="X7739">
            <v>41200007</v>
          </cell>
        </row>
        <row r="7740">
          <cell r="K7740" t="str">
            <v>GBWS-5316</v>
          </cell>
          <cell r="L7740">
            <v>45691</v>
          </cell>
          <cell r="M7740">
            <v>45692</v>
          </cell>
          <cell r="N7740">
            <v>45699</v>
          </cell>
          <cell r="O7740">
            <v>45692</v>
          </cell>
          <cell r="P7740">
            <v>45700</v>
          </cell>
          <cell r="Q7740">
            <v>45699</v>
          </cell>
          <cell r="R7740">
            <v>45700</v>
          </cell>
          <cell r="S7740">
            <v>45701</v>
          </cell>
          <cell r="T7740">
            <v>45702</v>
          </cell>
          <cell r="U7740">
            <v>45705</v>
          </cell>
          <cell r="V7740">
            <v>45706</v>
          </cell>
          <cell r="W7740">
            <v>45706</v>
          </cell>
          <cell r="X7740">
            <v>41200007</v>
          </cell>
        </row>
        <row r="7741">
          <cell r="K7741" t="str">
            <v>GBWS-5317</v>
          </cell>
          <cell r="L7741">
            <v>45691</v>
          </cell>
          <cell r="M7741">
            <v>45692</v>
          </cell>
          <cell r="N7741">
            <v>45699</v>
          </cell>
          <cell r="O7741">
            <v>45692</v>
          </cell>
          <cell r="P7741">
            <v>45700</v>
          </cell>
          <cell r="Q7741">
            <v>45699</v>
          </cell>
          <cell r="R7741">
            <v>45700</v>
          </cell>
          <cell r="S7741">
            <v>45701</v>
          </cell>
          <cell r="T7741">
            <v>45702</v>
          </cell>
          <cell r="U7741">
            <v>45705</v>
          </cell>
          <cell r="V7741">
            <v>45706</v>
          </cell>
          <cell r="W7741">
            <v>45706</v>
          </cell>
          <cell r="X7741">
            <v>41200007</v>
          </cell>
        </row>
        <row r="7742">
          <cell r="K7742" t="str">
            <v>GBWS-5345</v>
          </cell>
          <cell r="L7742">
            <v>45695</v>
          </cell>
          <cell r="M7742">
            <v>45698</v>
          </cell>
          <cell r="N7742">
            <v>45707</v>
          </cell>
          <cell r="O7742">
            <v>45698</v>
          </cell>
          <cell r="P7742">
            <v>45707</v>
          </cell>
          <cell r="Q7742">
            <v>45706</v>
          </cell>
          <cell r="R7742">
            <v>45707</v>
          </cell>
          <cell r="S7742">
            <v>45708</v>
          </cell>
          <cell r="T7742">
            <v>45709</v>
          </cell>
          <cell r="U7742">
            <v>45712</v>
          </cell>
          <cell r="V7742">
            <v>45713</v>
          </cell>
          <cell r="W7742">
            <v>45713</v>
          </cell>
          <cell r="X7742">
            <v>41200006</v>
          </cell>
        </row>
        <row r="7743">
          <cell r="K7743" t="str">
            <v>GBWS-5346</v>
          </cell>
          <cell r="L7743">
            <v>45695</v>
          </cell>
          <cell r="M7743">
            <v>45698</v>
          </cell>
          <cell r="N7743">
            <v>45707</v>
          </cell>
          <cell r="O7743">
            <v>45698</v>
          </cell>
          <cell r="P7743">
            <v>45707</v>
          </cell>
          <cell r="Q7743">
            <v>45706</v>
          </cell>
          <cell r="R7743">
            <v>45707</v>
          </cell>
          <cell r="S7743">
            <v>45708</v>
          </cell>
          <cell r="T7743">
            <v>45709</v>
          </cell>
          <cell r="U7743">
            <v>45712</v>
          </cell>
          <cell r="V7743">
            <v>45713</v>
          </cell>
          <cell r="W7743">
            <v>45713</v>
          </cell>
          <cell r="X7743">
            <v>41200006</v>
          </cell>
        </row>
        <row r="7744">
          <cell r="K7744" t="str">
            <v>GBWS-5347</v>
          </cell>
          <cell r="L7744">
            <v>45695</v>
          </cell>
          <cell r="M7744">
            <v>45698</v>
          </cell>
          <cell r="N7744">
            <v>45707</v>
          </cell>
          <cell r="O7744">
            <v>45698</v>
          </cell>
          <cell r="P7744">
            <v>45707</v>
          </cell>
          <cell r="Q7744">
            <v>45706</v>
          </cell>
          <cell r="R7744">
            <v>45707</v>
          </cell>
          <cell r="S7744">
            <v>45708</v>
          </cell>
          <cell r="T7744">
            <v>45709</v>
          </cell>
          <cell r="U7744">
            <v>45712</v>
          </cell>
          <cell r="V7744">
            <v>45713</v>
          </cell>
          <cell r="W7744">
            <v>45713</v>
          </cell>
          <cell r="X7744">
            <v>41200006</v>
          </cell>
        </row>
        <row r="7745">
          <cell r="K7745" t="str">
            <v>GBWS-4995</v>
          </cell>
          <cell r="L7745">
            <v>45586</v>
          </cell>
          <cell r="M7745">
            <v>45587</v>
          </cell>
          <cell r="N7745">
            <v>45594</v>
          </cell>
          <cell r="O7745">
            <v>45587</v>
          </cell>
          <cell r="P7745">
            <v>45595</v>
          </cell>
          <cell r="Q7745">
            <v>45594</v>
          </cell>
          <cell r="R7745">
            <v>45595</v>
          </cell>
          <cell r="S7745">
            <v>45601</v>
          </cell>
          <cell r="T7745">
            <v>45602</v>
          </cell>
          <cell r="U7745">
            <v>45603</v>
          </cell>
          <cell r="V7745">
            <v>45604</v>
          </cell>
          <cell r="W7745">
            <v>45604</v>
          </cell>
          <cell r="X7745" t="str">
            <v>41200065 → 41200097</v>
          </cell>
        </row>
        <row r="7746">
          <cell r="K7746"/>
          <cell r="L7746"/>
          <cell r="M7746">
            <v>45706</v>
          </cell>
          <cell r="N7746">
            <v>45709</v>
          </cell>
          <cell r="O7746">
            <v>45706</v>
          </cell>
          <cell r="P7746">
            <v>45709</v>
          </cell>
          <cell r="Q7746">
            <v>45709</v>
          </cell>
          <cell r="R7746">
            <v>45709</v>
          </cell>
          <cell r="S7746">
            <v>45712</v>
          </cell>
          <cell r="T7746">
            <v>45712</v>
          </cell>
          <cell r="U7746">
            <v>45713</v>
          </cell>
          <cell r="V7746">
            <v>45714</v>
          </cell>
          <cell r="W7746">
            <v>45714</v>
          </cell>
          <cell r="X7746">
            <v>41200097</v>
          </cell>
        </row>
        <row r="7747">
          <cell r="K7747" t="str">
            <v>GBWS-5398</v>
          </cell>
          <cell r="L7747">
            <v>45702</v>
          </cell>
          <cell r="M7747">
            <v>45705</v>
          </cell>
          <cell r="N7747">
            <v>45712</v>
          </cell>
          <cell r="O7747">
            <v>45705</v>
          </cell>
          <cell r="P7747">
            <v>45712</v>
          </cell>
          <cell r="Q7747">
            <v>45709</v>
          </cell>
          <cell r="R7747">
            <v>45712</v>
          </cell>
          <cell r="S7747">
            <v>45712</v>
          </cell>
          <cell r="T7747">
            <v>45713</v>
          </cell>
          <cell r="U7747">
            <v>45714</v>
          </cell>
          <cell r="V7747">
            <v>45715</v>
          </cell>
          <cell r="W7747">
            <v>45715</v>
          </cell>
          <cell r="X7747">
            <v>41200087</v>
          </cell>
        </row>
        <row r="7748">
          <cell r="K7748" t="str">
            <v>GBWS-5366</v>
          </cell>
          <cell r="L7748">
            <v>45698</v>
          </cell>
          <cell r="M7748">
            <v>45700</v>
          </cell>
          <cell r="N7748">
            <v>45708</v>
          </cell>
          <cell r="O7748">
            <v>45700</v>
          </cell>
          <cell r="P7748">
            <v>45708</v>
          </cell>
          <cell r="Q7748">
            <v>45708</v>
          </cell>
          <cell r="R7748">
            <v>45709</v>
          </cell>
          <cell r="S7748">
            <v>45712</v>
          </cell>
          <cell r="T7748">
            <v>45713</v>
          </cell>
          <cell r="U7748">
            <v>45714</v>
          </cell>
          <cell r="V7748">
            <v>45715</v>
          </cell>
          <cell r="W7748">
            <v>45715</v>
          </cell>
          <cell r="X7748">
            <v>41200035</v>
          </cell>
        </row>
        <row r="7749">
          <cell r="K7749" t="str">
            <v>GBWS-5367</v>
          </cell>
          <cell r="L7749">
            <v>45698</v>
          </cell>
          <cell r="M7749">
            <v>45700</v>
          </cell>
          <cell r="N7749">
            <v>45708</v>
          </cell>
          <cell r="O7749">
            <v>45700</v>
          </cell>
          <cell r="P7749">
            <v>45708</v>
          </cell>
          <cell r="Q7749">
            <v>45708</v>
          </cell>
          <cell r="R7749">
            <v>45709</v>
          </cell>
          <cell r="S7749">
            <v>45712</v>
          </cell>
          <cell r="T7749">
            <v>45713</v>
          </cell>
          <cell r="U7749">
            <v>45714</v>
          </cell>
          <cell r="V7749">
            <v>45715</v>
          </cell>
          <cell r="W7749">
            <v>45715</v>
          </cell>
          <cell r="X7749">
            <v>41200033</v>
          </cell>
        </row>
        <row r="7750">
          <cell r="K7750" t="str">
            <v>GBWS-5348</v>
          </cell>
          <cell r="L7750">
            <v>45695</v>
          </cell>
          <cell r="M7750">
            <v>45698</v>
          </cell>
          <cell r="N7750">
            <v>45707</v>
          </cell>
          <cell r="O7750">
            <v>45698</v>
          </cell>
          <cell r="P7750">
            <v>45707</v>
          </cell>
          <cell r="Q7750">
            <v>45707</v>
          </cell>
          <cell r="R7750">
            <v>45708</v>
          </cell>
          <cell r="S7750">
            <v>45708</v>
          </cell>
          <cell r="T7750">
            <v>45709</v>
          </cell>
          <cell r="U7750">
            <v>45712</v>
          </cell>
          <cell r="V7750">
            <v>45713</v>
          </cell>
          <cell r="W7750">
            <v>45713</v>
          </cell>
          <cell r="X7750">
            <v>41200006</v>
          </cell>
        </row>
        <row r="7751">
          <cell r="K7751" t="str">
            <v>IVAS-264</v>
          </cell>
          <cell r="L7751">
            <v>45693</v>
          </cell>
          <cell r="M7751">
            <v>45695</v>
          </cell>
          <cell r="N7751">
            <v>45708</v>
          </cell>
          <cell r="O7751">
            <v>45695</v>
          </cell>
          <cell r="P7751">
            <v>45707</v>
          </cell>
          <cell r="Q7751">
            <v>45707</v>
          </cell>
          <cell r="R7751">
            <v>45708</v>
          </cell>
          <cell r="S7751">
            <v>45709</v>
          </cell>
          <cell r="T7751">
            <v>45709</v>
          </cell>
          <cell r="U7751">
            <v>45715</v>
          </cell>
          <cell r="V7751">
            <v>45716</v>
          </cell>
          <cell r="W7751">
            <v>45716</v>
          </cell>
          <cell r="X7751">
            <v>41200107</v>
          </cell>
        </row>
        <row r="7752">
          <cell r="K7752" t="str">
            <v>GBWS-5378</v>
          </cell>
          <cell r="L7752">
            <v>45700</v>
          </cell>
          <cell r="M7752">
            <v>45702</v>
          </cell>
          <cell r="N7752">
            <v>45709</v>
          </cell>
          <cell r="O7752">
            <v>45702</v>
          </cell>
          <cell r="P7752">
            <v>45709</v>
          </cell>
          <cell r="Q7752">
            <v>45709</v>
          </cell>
          <cell r="R7752">
            <v>45712</v>
          </cell>
          <cell r="S7752">
            <v>45713</v>
          </cell>
          <cell r="T7752">
            <v>45714</v>
          </cell>
          <cell r="U7752">
            <v>45715</v>
          </cell>
          <cell r="V7752">
            <v>45716</v>
          </cell>
          <cell r="W7752">
            <v>45716</v>
          </cell>
          <cell r="X7752">
            <v>41200007</v>
          </cell>
        </row>
        <row r="7753">
          <cell r="K7753" t="str">
            <v>GBWS-5379</v>
          </cell>
          <cell r="L7753">
            <v>45700</v>
          </cell>
          <cell r="M7753">
            <v>45702</v>
          </cell>
          <cell r="N7753">
            <v>45709</v>
          </cell>
          <cell r="O7753">
            <v>45702</v>
          </cell>
          <cell r="P7753">
            <v>45709</v>
          </cell>
          <cell r="Q7753">
            <v>45709</v>
          </cell>
          <cell r="R7753">
            <v>45712</v>
          </cell>
          <cell r="S7753">
            <v>45713</v>
          </cell>
          <cell r="T7753">
            <v>45714</v>
          </cell>
          <cell r="U7753">
            <v>45715</v>
          </cell>
          <cell r="V7753">
            <v>45716</v>
          </cell>
          <cell r="W7753">
            <v>45716</v>
          </cell>
          <cell r="X7753">
            <v>41200007</v>
          </cell>
        </row>
        <row r="7754">
          <cell r="K7754" t="str">
            <v>GBWS-5355</v>
          </cell>
          <cell r="L7754">
            <v>45698</v>
          </cell>
          <cell r="M7754">
            <v>45699</v>
          </cell>
          <cell r="N7754">
            <v>45707</v>
          </cell>
          <cell r="O7754">
            <v>45699</v>
          </cell>
          <cell r="P7754">
            <v>45708</v>
          </cell>
          <cell r="Q7754">
            <v>45707</v>
          </cell>
          <cell r="R7754">
            <v>45708</v>
          </cell>
          <cell r="S7754">
            <v>45708</v>
          </cell>
          <cell r="T7754">
            <v>45712</v>
          </cell>
          <cell r="U7754">
            <v>45713</v>
          </cell>
          <cell r="V7754">
            <v>45714</v>
          </cell>
          <cell r="W7754">
            <v>45714</v>
          </cell>
          <cell r="X7754">
            <v>41200007</v>
          </cell>
        </row>
        <row r="7755">
          <cell r="K7755" t="str">
            <v>GBWS-5356</v>
          </cell>
          <cell r="L7755">
            <v>45698</v>
          </cell>
          <cell r="M7755">
            <v>45699</v>
          </cell>
          <cell r="N7755">
            <v>45707</v>
          </cell>
          <cell r="O7755">
            <v>45699</v>
          </cell>
          <cell r="P7755">
            <v>45708</v>
          </cell>
          <cell r="Q7755">
            <v>45707</v>
          </cell>
          <cell r="R7755">
            <v>45708</v>
          </cell>
          <cell r="S7755">
            <v>45708</v>
          </cell>
          <cell r="T7755">
            <v>45712</v>
          </cell>
          <cell r="U7755">
            <v>45713</v>
          </cell>
          <cell r="V7755">
            <v>45714</v>
          </cell>
          <cell r="W7755">
            <v>45714</v>
          </cell>
          <cell r="X7755">
            <v>41200007</v>
          </cell>
        </row>
        <row r="7756">
          <cell r="K7756" t="str">
            <v>GBWS-5351</v>
          </cell>
          <cell r="L7756">
            <v>45698</v>
          </cell>
          <cell r="M7756">
            <v>45699</v>
          </cell>
          <cell r="N7756">
            <v>45708</v>
          </cell>
          <cell r="O7756">
            <v>45699</v>
          </cell>
          <cell r="P7756">
            <v>45708</v>
          </cell>
          <cell r="Q7756">
            <v>45707</v>
          </cell>
          <cell r="R7756">
            <v>45708</v>
          </cell>
          <cell r="S7756">
            <v>45709</v>
          </cell>
          <cell r="T7756">
            <v>45709</v>
          </cell>
          <cell r="U7756">
            <v>45712</v>
          </cell>
          <cell r="V7756">
            <v>45713</v>
          </cell>
          <cell r="W7756">
            <v>45713</v>
          </cell>
          <cell r="X7756">
            <v>41200087</v>
          </cell>
        </row>
        <row r="7757">
          <cell r="K7757" t="str">
            <v>GBWS-5352</v>
          </cell>
          <cell r="L7757">
            <v>45698</v>
          </cell>
          <cell r="M7757">
            <v>45699</v>
          </cell>
          <cell r="N7757">
            <v>45708</v>
          </cell>
          <cell r="O7757">
            <v>45699</v>
          </cell>
          <cell r="P7757">
            <v>45708</v>
          </cell>
          <cell r="Q7757">
            <v>45707</v>
          </cell>
          <cell r="R7757">
            <v>45708</v>
          </cell>
          <cell r="S7757">
            <v>45709</v>
          </cell>
          <cell r="T7757">
            <v>45709</v>
          </cell>
          <cell r="U7757">
            <v>45712</v>
          </cell>
          <cell r="V7757">
            <v>45713</v>
          </cell>
          <cell r="W7757">
            <v>45713</v>
          </cell>
          <cell r="X7757">
            <v>41200087</v>
          </cell>
        </row>
        <row r="7758">
          <cell r="K7758" t="str">
            <v>GBWS-5224</v>
          </cell>
          <cell r="L7758">
            <v>45660</v>
          </cell>
          <cell r="M7758">
            <v>45663</v>
          </cell>
          <cell r="N7758">
            <v>45670</v>
          </cell>
          <cell r="O7758">
            <v>45663</v>
          </cell>
          <cell r="P7758">
            <v>45672</v>
          </cell>
          <cell r="Q7758">
            <v>45671</v>
          </cell>
          <cell r="R7758">
            <v>45672</v>
          </cell>
          <cell r="S7758">
            <v>45693</v>
          </cell>
          <cell r="T7758">
            <v>45694</v>
          </cell>
          <cell r="U7758">
            <v>45695</v>
          </cell>
          <cell r="V7758">
            <v>45698</v>
          </cell>
          <cell r="W7758">
            <v>45698</v>
          </cell>
          <cell r="X7758">
            <v>41100320</v>
          </cell>
        </row>
        <row r="7759">
          <cell r="K7759" t="str">
            <v>GBWS-5293</v>
          </cell>
          <cell r="L7759">
            <v>45680</v>
          </cell>
          <cell r="M7759" t="str">
            <v>2025-01-27 → 1/24</v>
          </cell>
          <cell r="N7759">
            <v>45693</v>
          </cell>
          <cell r="O7759" t="str">
            <v>2025-01-27 → 1/24</v>
          </cell>
          <cell r="P7759">
            <v>45695</v>
          </cell>
          <cell r="Q7759">
            <v>45695</v>
          </cell>
          <cell r="R7759">
            <v>45698</v>
          </cell>
          <cell r="S7759">
            <v>45699</v>
          </cell>
          <cell r="T7759">
            <v>45700</v>
          </cell>
          <cell r="U7759">
            <v>45702</v>
          </cell>
          <cell r="V7759">
            <v>45705</v>
          </cell>
          <cell r="W7759">
            <v>45705</v>
          </cell>
          <cell r="X7759">
            <v>41000556</v>
          </cell>
        </row>
        <row r="7760">
          <cell r="K7760" t="str">
            <v>GBWS-5359</v>
          </cell>
          <cell r="L7760">
            <v>45698</v>
          </cell>
          <cell r="M7760">
            <v>45700</v>
          </cell>
          <cell r="N7760">
            <v>45708</v>
          </cell>
          <cell r="O7760">
            <v>45700</v>
          </cell>
          <cell r="P7760">
            <v>45708</v>
          </cell>
          <cell r="Q7760">
            <v>45708</v>
          </cell>
          <cell r="R7760">
            <v>45709</v>
          </cell>
          <cell r="S7760">
            <v>45712</v>
          </cell>
          <cell r="T7760">
            <v>45713</v>
          </cell>
          <cell r="U7760">
            <v>45714</v>
          </cell>
          <cell r="V7760">
            <v>45715</v>
          </cell>
          <cell r="W7760">
            <v>45715</v>
          </cell>
          <cell r="X7760">
            <v>41100334</v>
          </cell>
        </row>
        <row r="7761">
          <cell r="K7761" t="str">
            <v>GBWS-5332</v>
          </cell>
          <cell r="L7761">
            <v>45692</v>
          </cell>
          <cell r="M7761">
            <v>45694</v>
          </cell>
          <cell r="N7761">
            <v>45701</v>
          </cell>
          <cell r="O7761">
            <v>45694</v>
          </cell>
          <cell r="P7761">
            <v>45706</v>
          </cell>
          <cell r="Q7761">
            <v>45702</v>
          </cell>
          <cell r="R7761">
            <v>45705</v>
          </cell>
          <cell r="S7761">
            <v>45707</v>
          </cell>
          <cell r="T7761">
            <v>45708</v>
          </cell>
          <cell r="U7761">
            <v>45709</v>
          </cell>
          <cell r="V7761">
            <v>45712</v>
          </cell>
          <cell r="W7761">
            <v>45712</v>
          </cell>
          <cell r="X7761">
            <v>41200076</v>
          </cell>
        </row>
        <row r="7762">
          <cell r="K7762" t="str">
            <v>GBWS-5368</v>
          </cell>
          <cell r="L7762">
            <v>45699</v>
          </cell>
          <cell r="M7762">
            <v>45701</v>
          </cell>
          <cell r="N7762">
            <v>45709</v>
          </cell>
          <cell r="O7762">
            <v>45701</v>
          </cell>
          <cell r="P7762">
            <v>45712</v>
          </cell>
          <cell r="Q7762">
            <v>45709</v>
          </cell>
          <cell r="R7762">
            <v>45712</v>
          </cell>
          <cell r="S7762">
            <v>45713</v>
          </cell>
          <cell r="T7762">
            <v>45714</v>
          </cell>
          <cell r="U7762">
            <v>45715</v>
          </cell>
          <cell r="V7762">
            <v>45716</v>
          </cell>
          <cell r="W7762">
            <v>45716</v>
          </cell>
          <cell r="X7762">
            <v>41100374</v>
          </cell>
        </row>
        <row r="7763">
          <cell r="K7763" t="str">
            <v>DS-0458~0463</v>
          </cell>
          <cell r="L7763">
            <v>45714</v>
          </cell>
          <cell r="M7763">
            <v>45714</v>
          </cell>
          <cell r="N7763">
            <v>45714</v>
          </cell>
          <cell r="O7763"/>
          <cell r="P7763"/>
          <cell r="Q7763">
            <v>45714</v>
          </cell>
          <cell r="R7763"/>
          <cell r="S7763">
            <v>45714</v>
          </cell>
          <cell r="T7763">
            <v>45714</v>
          </cell>
          <cell r="U7763">
            <v>45714</v>
          </cell>
          <cell r="V7763">
            <v>45720</v>
          </cell>
          <cell r="W7763">
            <v>45720</v>
          </cell>
          <cell r="X7763">
            <v>31010315</v>
          </cell>
        </row>
        <row r="7764">
          <cell r="K7764" t="str">
            <v>GBWS-5384</v>
          </cell>
          <cell r="L7764">
            <v>45702</v>
          </cell>
          <cell r="M7764" t="str">
            <v>2025-02-13 → 2/17</v>
          </cell>
          <cell r="N7764">
            <v>45712</v>
          </cell>
          <cell r="O7764" t="str">
            <v>2025-02-13 → 2/17</v>
          </cell>
          <cell r="P7764">
            <v>45712</v>
          </cell>
          <cell r="Q7764" t="str">
            <v>2025-02-21 → 2/24</v>
          </cell>
          <cell r="R7764" t="str">
            <v>2025-02-24 → 2/25</v>
          </cell>
          <cell r="S7764">
            <v>45714</v>
          </cell>
          <cell r="T7764">
            <v>45715</v>
          </cell>
          <cell r="U7764">
            <v>45716</v>
          </cell>
          <cell r="V7764">
            <v>45720</v>
          </cell>
          <cell r="W7764">
            <v>45720</v>
          </cell>
          <cell r="X7764">
            <v>41200101</v>
          </cell>
        </row>
        <row r="7765">
          <cell r="K7765" t="str">
            <v>GBWS-5390</v>
          </cell>
          <cell r="L7765">
            <v>45702</v>
          </cell>
          <cell r="M7765">
            <v>45705</v>
          </cell>
          <cell r="N7765">
            <v>45712</v>
          </cell>
          <cell r="O7765">
            <v>45705</v>
          </cell>
          <cell r="P7765">
            <v>45713</v>
          </cell>
          <cell r="Q7765">
            <v>45712</v>
          </cell>
          <cell r="R7765">
            <v>45713</v>
          </cell>
          <cell r="S7765">
            <v>45714</v>
          </cell>
          <cell r="T7765">
            <v>45715</v>
          </cell>
          <cell r="U7765">
            <v>45716</v>
          </cell>
          <cell r="V7765">
            <v>45720</v>
          </cell>
          <cell r="W7765">
            <v>45720</v>
          </cell>
          <cell r="X7765">
            <v>41100446</v>
          </cell>
        </row>
        <row r="7766">
          <cell r="K7766" t="str">
            <v>GBWS-5374</v>
          </cell>
          <cell r="L7766">
            <v>45700</v>
          </cell>
          <cell r="M7766">
            <v>45702</v>
          </cell>
          <cell r="N7766">
            <v>45713</v>
          </cell>
          <cell r="O7766">
            <v>45702</v>
          </cell>
          <cell r="P7766">
            <v>45713</v>
          </cell>
          <cell r="Q7766">
            <v>45713</v>
          </cell>
          <cell r="R7766">
            <v>45714</v>
          </cell>
          <cell r="S7766">
            <v>45715</v>
          </cell>
          <cell r="T7766">
            <v>45716</v>
          </cell>
          <cell r="U7766">
            <v>45720</v>
          </cell>
          <cell r="V7766">
            <v>45721</v>
          </cell>
          <cell r="W7766">
            <v>45721</v>
          </cell>
          <cell r="X7766">
            <v>41200076</v>
          </cell>
        </row>
        <row r="7767">
          <cell r="K7767" t="str">
            <v>DBW-3609</v>
          </cell>
          <cell r="L7767">
            <v>45706</v>
          </cell>
          <cell r="M7767">
            <v>45707</v>
          </cell>
          <cell r="N7767">
            <v>45713</v>
          </cell>
          <cell r="O7767">
            <v>45707</v>
          </cell>
          <cell r="P7767">
            <v>45715</v>
          </cell>
          <cell r="Q7767">
            <v>45714</v>
          </cell>
          <cell r="R7767">
            <v>45715</v>
          </cell>
          <cell r="S7767">
            <v>45715</v>
          </cell>
          <cell r="T7767">
            <v>45716</v>
          </cell>
          <cell r="U7767">
            <v>45720</v>
          </cell>
          <cell r="V7767">
            <v>45721</v>
          </cell>
          <cell r="W7767">
            <v>45721</v>
          </cell>
          <cell r="X7767">
            <v>41000514</v>
          </cell>
        </row>
        <row r="7768">
          <cell r="K7768" t="str">
            <v>IVAS-265</v>
          </cell>
          <cell r="L7768">
            <v>45691</v>
          </cell>
          <cell r="M7768" t="str">
            <v>2025-01-20 → 2/5</v>
          </cell>
          <cell r="N7768">
            <v>45709</v>
          </cell>
          <cell r="O7768" t="str">
            <v>2025-01-20 → 2/5</v>
          </cell>
          <cell r="P7768">
            <v>45713</v>
          </cell>
          <cell r="Q7768" t="str">
            <v>2025-02-07 → 2/24</v>
          </cell>
          <cell r="R7768" t="str">
            <v>2025-02-10 → 2/25</v>
          </cell>
          <cell r="S7768">
            <v>45712</v>
          </cell>
          <cell r="T7768">
            <v>45712</v>
          </cell>
          <cell r="U7768">
            <v>45722</v>
          </cell>
          <cell r="V7768">
            <v>45722</v>
          </cell>
          <cell r="W7768">
            <v>45722</v>
          </cell>
          <cell r="X7768">
            <v>41200072</v>
          </cell>
        </row>
        <row r="7769">
          <cell r="K7769" t="str">
            <v>GBWS-5362</v>
          </cell>
          <cell r="L7769">
            <v>45698</v>
          </cell>
          <cell r="M7769">
            <v>45700</v>
          </cell>
          <cell r="N7769">
            <v>45707</v>
          </cell>
          <cell r="O7769">
            <v>45700</v>
          </cell>
          <cell r="P7769">
            <v>45712</v>
          </cell>
          <cell r="Q7769">
            <v>45707</v>
          </cell>
          <cell r="R7769">
            <v>45708</v>
          </cell>
          <cell r="S7769">
            <v>45712</v>
          </cell>
          <cell r="T7769">
            <v>45714</v>
          </cell>
          <cell r="U7769">
            <v>45715</v>
          </cell>
          <cell r="V7769">
            <v>45716</v>
          </cell>
          <cell r="W7769">
            <v>45716</v>
          </cell>
          <cell r="X7769">
            <v>41200118</v>
          </cell>
        </row>
        <row r="7770">
          <cell r="K7770" t="str">
            <v>GBWS-5360</v>
          </cell>
          <cell r="L7770">
            <v>45698</v>
          </cell>
          <cell r="M7770">
            <v>45700</v>
          </cell>
          <cell r="N7770">
            <v>45707</v>
          </cell>
          <cell r="O7770">
            <v>45700</v>
          </cell>
          <cell r="P7770">
            <v>45712</v>
          </cell>
          <cell r="Q7770">
            <v>45707</v>
          </cell>
          <cell r="R7770">
            <v>45708</v>
          </cell>
          <cell r="S7770">
            <v>45712</v>
          </cell>
          <cell r="T7770">
            <v>45716</v>
          </cell>
          <cell r="U7770">
            <v>45720</v>
          </cell>
          <cell r="V7770">
            <v>45721</v>
          </cell>
          <cell r="W7770">
            <v>45721</v>
          </cell>
          <cell r="X7770">
            <v>41200118</v>
          </cell>
        </row>
        <row r="7771">
          <cell r="K7771" t="str">
            <v>GBWS-5361</v>
          </cell>
          <cell r="L7771">
            <v>45698</v>
          </cell>
          <cell r="M7771">
            <v>45700</v>
          </cell>
          <cell r="N7771">
            <v>45707</v>
          </cell>
          <cell r="O7771">
            <v>45700</v>
          </cell>
          <cell r="P7771">
            <v>45712</v>
          </cell>
          <cell r="Q7771">
            <v>45707</v>
          </cell>
          <cell r="R7771">
            <v>45708</v>
          </cell>
          <cell r="S7771">
            <v>45712</v>
          </cell>
          <cell r="T7771">
            <v>45716</v>
          </cell>
          <cell r="U7771">
            <v>45720</v>
          </cell>
          <cell r="V7771">
            <v>45721</v>
          </cell>
          <cell r="W7771">
            <v>45721</v>
          </cell>
          <cell r="X7771">
            <v>41200118</v>
          </cell>
        </row>
        <row r="7772">
          <cell r="K7772" t="str">
            <v>GBWS-5363</v>
          </cell>
          <cell r="L7772">
            <v>45698</v>
          </cell>
          <cell r="M7772">
            <v>45700</v>
          </cell>
          <cell r="N7772">
            <v>45707</v>
          </cell>
          <cell r="O7772">
            <v>45700</v>
          </cell>
          <cell r="P7772">
            <v>45712</v>
          </cell>
          <cell r="Q7772">
            <v>45707</v>
          </cell>
          <cell r="R7772">
            <v>45708</v>
          </cell>
          <cell r="S7772">
            <v>45712</v>
          </cell>
          <cell r="T7772">
            <v>45716</v>
          </cell>
          <cell r="U7772">
            <v>45720</v>
          </cell>
          <cell r="V7772">
            <v>45721</v>
          </cell>
          <cell r="W7772">
            <v>45721</v>
          </cell>
          <cell r="X7772">
            <v>41200118</v>
          </cell>
        </row>
        <row r="7773">
          <cell r="K7773" t="str">
            <v>GPWS-0468</v>
          </cell>
          <cell r="L7773">
            <v>45699</v>
          </cell>
          <cell r="M7773">
            <v>45701</v>
          </cell>
          <cell r="N7773">
            <v>45709</v>
          </cell>
          <cell r="O7773">
            <v>45701</v>
          </cell>
          <cell r="P7773">
            <v>45712</v>
          </cell>
          <cell r="Q7773" t="str">
            <v>2025-02-26 → 2/21</v>
          </cell>
          <cell r="R7773" t="str">
            <v>2025-02-26 → 2/24</v>
          </cell>
          <cell r="S7773">
            <v>45714</v>
          </cell>
          <cell r="T7773">
            <v>45715</v>
          </cell>
          <cell r="U7773">
            <v>45721</v>
          </cell>
          <cell r="V7773">
            <v>45722</v>
          </cell>
          <cell r="W7773">
            <v>45722</v>
          </cell>
          <cell r="X7773">
            <v>41200108</v>
          </cell>
        </row>
        <row r="7774">
          <cell r="K7774" t="str">
            <v>GPWS-0469</v>
          </cell>
          <cell r="L7774">
            <v>45699</v>
          </cell>
          <cell r="M7774">
            <v>45701</v>
          </cell>
          <cell r="N7774">
            <v>45709</v>
          </cell>
          <cell r="O7774">
            <v>45701</v>
          </cell>
          <cell r="P7774">
            <v>45712</v>
          </cell>
          <cell r="Q7774" t="str">
            <v>2025-02-26 → 2/21</v>
          </cell>
          <cell r="R7774" t="str">
            <v>2025-02-26 → 2/24</v>
          </cell>
          <cell r="S7774">
            <v>45714</v>
          </cell>
          <cell r="T7774">
            <v>45715</v>
          </cell>
          <cell r="U7774">
            <v>45716</v>
          </cell>
          <cell r="V7774">
            <v>45720</v>
          </cell>
          <cell r="W7774">
            <v>45720</v>
          </cell>
          <cell r="X7774">
            <v>41200108</v>
          </cell>
        </row>
        <row r="7775">
          <cell r="K7775" t="str">
            <v>GPWS-0470</v>
          </cell>
          <cell r="L7775">
            <v>45699</v>
          </cell>
          <cell r="M7775">
            <v>45701</v>
          </cell>
          <cell r="N7775">
            <v>45709</v>
          </cell>
          <cell r="O7775">
            <v>45701</v>
          </cell>
          <cell r="P7775">
            <v>45712</v>
          </cell>
          <cell r="Q7775" t="str">
            <v>2025-02-26 → 2/21</v>
          </cell>
          <cell r="R7775" t="str">
            <v>2025-02-26 → 2/24</v>
          </cell>
          <cell r="S7775">
            <v>45714</v>
          </cell>
          <cell r="T7775">
            <v>45715</v>
          </cell>
          <cell r="U7775">
            <v>45716</v>
          </cell>
          <cell r="V7775">
            <v>45720</v>
          </cell>
          <cell r="W7775">
            <v>45720</v>
          </cell>
          <cell r="X7775">
            <v>41200108</v>
          </cell>
        </row>
        <row r="7776">
          <cell r="K7776" t="str">
            <v>GBWS-5386</v>
          </cell>
          <cell r="L7776">
            <v>45702</v>
          </cell>
          <cell r="M7776">
            <v>45705</v>
          </cell>
          <cell r="N7776">
            <v>45713</v>
          </cell>
          <cell r="O7776">
            <v>45705</v>
          </cell>
          <cell r="P7776">
            <v>45714</v>
          </cell>
          <cell r="Q7776">
            <v>45712</v>
          </cell>
          <cell r="R7776">
            <v>45713</v>
          </cell>
          <cell r="S7776">
            <v>45715</v>
          </cell>
          <cell r="T7776">
            <v>45716</v>
          </cell>
          <cell r="U7776">
            <v>45720</v>
          </cell>
          <cell r="V7776">
            <v>45721</v>
          </cell>
          <cell r="W7776">
            <v>45721</v>
          </cell>
          <cell r="X7776">
            <v>41200118</v>
          </cell>
        </row>
        <row r="7777">
          <cell r="K7777" t="str">
            <v>GBWS-5387</v>
          </cell>
          <cell r="L7777">
            <v>45702</v>
          </cell>
          <cell r="M7777">
            <v>45705</v>
          </cell>
          <cell r="N7777">
            <v>45713</v>
          </cell>
          <cell r="O7777">
            <v>45705</v>
          </cell>
          <cell r="P7777">
            <v>45714</v>
          </cell>
          <cell r="Q7777">
            <v>45712</v>
          </cell>
          <cell r="R7777">
            <v>45713</v>
          </cell>
          <cell r="S7777">
            <v>45715</v>
          </cell>
          <cell r="T7777">
            <v>45716</v>
          </cell>
          <cell r="U7777">
            <v>45720</v>
          </cell>
          <cell r="V7777">
            <v>45721</v>
          </cell>
          <cell r="W7777">
            <v>45721</v>
          </cell>
          <cell r="X7777">
            <v>41200118</v>
          </cell>
        </row>
        <row r="7778">
          <cell r="K7778" t="str">
            <v>GBWS-5388</v>
          </cell>
          <cell r="L7778">
            <v>45702</v>
          </cell>
          <cell r="M7778">
            <v>45705</v>
          </cell>
          <cell r="N7778">
            <v>45713</v>
          </cell>
          <cell r="O7778">
            <v>45705</v>
          </cell>
          <cell r="P7778">
            <v>45714</v>
          </cell>
          <cell r="Q7778">
            <v>45712</v>
          </cell>
          <cell r="R7778">
            <v>45713</v>
          </cell>
          <cell r="S7778">
            <v>45715</v>
          </cell>
          <cell r="T7778">
            <v>45720</v>
          </cell>
          <cell r="U7778">
            <v>45721</v>
          </cell>
          <cell r="V7778">
            <v>45722</v>
          </cell>
          <cell r="W7778">
            <v>45722</v>
          </cell>
          <cell r="X7778">
            <v>41200118</v>
          </cell>
        </row>
        <row r="7779">
          <cell r="K7779" t="str">
            <v>GBWS-5389</v>
          </cell>
          <cell r="L7779">
            <v>45702</v>
          </cell>
          <cell r="M7779">
            <v>45705</v>
          </cell>
          <cell r="N7779">
            <v>45713</v>
          </cell>
          <cell r="O7779">
            <v>45705</v>
          </cell>
          <cell r="P7779">
            <v>45714</v>
          </cell>
          <cell r="Q7779">
            <v>45712</v>
          </cell>
          <cell r="R7779">
            <v>45713</v>
          </cell>
          <cell r="S7779">
            <v>45715</v>
          </cell>
          <cell r="T7779">
            <v>45720</v>
          </cell>
          <cell r="U7779">
            <v>45721</v>
          </cell>
          <cell r="V7779">
            <v>45722</v>
          </cell>
          <cell r="W7779">
            <v>45722</v>
          </cell>
          <cell r="X7779">
            <v>41200118</v>
          </cell>
        </row>
        <row r="7780">
          <cell r="K7780" t="str">
            <v>GPWS-0473</v>
          </cell>
          <cell r="L7780">
            <v>45705</v>
          </cell>
          <cell r="M7780">
            <v>45706</v>
          </cell>
          <cell r="N7780">
            <v>45715</v>
          </cell>
          <cell r="O7780">
            <v>45706</v>
          </cell>
          <cell r="P7780">
            <v>45715</v>
          </cell>
          <cell r="Q7780">
            <v>45714</v>
          </cell>
          <cell r="R7780">
            <v>45715</v>
          </cell>
          <cell r="S7780">
            <v>45716</v>
          </cell>
          <cell r="T7780">
            <v>45720</v>
          </cell>
          <cell r="U7780">
            <v>45721</v>
          </cell>
          <cell r="V7780">
            <v>45722</v>
          </cell>
          <cell r="W7780">
            <v>45722</v>
          </cell>
          <cell r="X7780">
            <v>41200108</v>
          </cell>
        </row>
        <row r="7781">
          <cell r="K7781" t="str">
            <v>GPWS-0474</v>
          </cell>
          <cell r="L7781">
            <v>45705</v>
          </cell>
          <cell r="M7781">
            <v>45706</v>
          </cell>
          <cell r="N7781">
            <v>45715</v>
          </cell>
          <cell r="O7781">
            <v>45706</v>
          </cell>
          <cell r="P7781">
            <v>45715</v>
          </cell>
          <cell r="Q7781">
            <v>45714</v>
          </cell>
          <cell r="R7781">
            <v>45715</v>
          </cell>
          <cell r="S7781">
            <v>45716</v>
          </cell>
          <cell r="T7781">
            <v>45720</v>
          </cell>
          <cell r="U7781">
            <v>45721</v>
          </cell>
          <cell r="V7781">
            <v>45722</v>
          </cell>
          <cell r="W7781">
            <v>45722</v>
          </cell>
          <cell r="X7781">
            <v>41200108</v>
          </cell>
        </row>
        <row r="7782">
          <cell r="K7782" t="str">
            <v>GBWS-5357</v>
          </cell>
          <cell r="L7782">
            <v>45698</v>
          </cell>
          <cell r="M7782">
            <v>45699</v>
          </cell>
          <cell r="N7782">
            <v>45707</v>
          </cell>
          <cell r="O7782">
            <v>45699</v>
          </cell>
          <cell r="P7782">
            <v>45707</v>
          </cell>
          <cell r="Q7782">
            <v>45706</v>
          </cell>
          <cell r="R7782">
            <v>45707</v>
          </cell>
          <cell r="S7782">
            <v>45712</v>
          </cell>
          <cell r="T7782">
            <v>45713</v>
          </cell>
          <cell r="U7782">
            <v>45716</v>
          </cell>
          <cell r="V7782">
            <v>45720</v>
          </cell>
          <cell r="W7782">
            <v>45720</v>
          </cell>
          <cell r="X7782">
            <v>41200084</v>
          </cell>
        </row>
        <row r="7783">
          <cell r="K7783" t="str">
            <v>GBWS-5358</v>
          </cell>
          <cell r="L7783">
            <v>45698</v>
          </cell>
          <cell r="M7783">
            <v>45699</v>
          </cell>
          <cell r="N7783">
            <v>45707</v>
          </cell>
          <cell r="O7783">
            <v>45699</v>
          </cell>
          <cell r="P7783">
            <v>45707</v>
          </cell>
          <cell r="Q7783">
            <v>45706</v>
          </cell>
          <cell r="R7783">
            <v>45707</v>
          </cell>
          <cell r="S7783">
            <v>45712</v>
          </cell>
          <cell r="T7783">
            <v>45713</v>
          </cell>
          <cell r="U7783">
            <v>45721</v>
          </cell>
          <cell r="V7783">
            <v>45722</v>
          </cell>
          <cell r="W7783">
            <v>45722</v>
          </cell>
          <cell r="X7783">
            <v>41200084</v>
          </cell>
        </row>
        <row r="7784">
          <cell r="K7784" t="str">
            <v>GBWS-5394</v>
          </cell>
          <cell r="L7784">
            <v>45705</v>
          </cell>
          <cell r="M7784">
            <v>45706</v>
          </cell>
          <cell r="N7784">
            <v>45714</v>
          </cell>
          <cell r="O7784">
            <v>45706</v>
          </cell>
          <cell r="P7784">
            <v>45714</v>
          </cell>
          <cell r="Q7784">
            <v>45714</v>
          </cell>
          <cell r="R7784">
            <v>45714</v>
          </cell>
          <cell r="S7784">
            <v>45716</v>
          </cell>
          <cell r="T7784">
            <v>45720</v>
          </cell>
          <cell r="U7784">
            <v>45721</v>
          </cell>
          <cell r="V7784">
            <v>45722</v>
          </cell>
          <cell r="W7784">
            <v>45722</v>
          </cell>
          <cell r="X7784">
            <v>41200084</v>
          </cell>
        </row>
        <row r="7785">
          <cell r="K7785" t="str">
            <v>GBWS-5395</v>
          </cell>
          <cell r="L7785">
            <v>45705</v>
          </cell>
          <cell r="M7785">
            <v>45706</v>
          </cell>
          <cell r="N7785">
            <v>45714</v>
          </cell>
          <cell r="O7785">
            <v>45706</v>
          </cell>
          <cell r="P7785">
            <v>45714</v>
          </cell>
          <cell r="Q7785">
            <v>45714</v>
          </cell>
          <cell r="R7785">
            <v>45714</v>
          </cell>
          <cell r="S7785">
            <v>45716</v>
          </cell>
          <cell r="T7785">
            <v>45720</v>
          </cell>
          <cell r="U7785">
            <v>45721</v>
          </cell>
          <cell r="V7785">
            <v>45722</v>
          </cell>
          <cell r="W7785">
            <v>45722</v>
          </cell>
          <cell r="X7785">
            <v>41200084</v>
          </cell>
        </row>
        <row r="7786">
          <cell r="K7786" t="str">
            <v>GBWS-5396</v>
          </cell>
          <cell r="L7786">
            <v>45705</v>
          </cell>
          <cell r="M7786">
            <v>45706</v>
          </cell>
          <cell r="N7786">
            <v>45714</v>
          </cell>
          <cell r="O7786">
            <v>45706</v>
          </cell>
          <cell r="P7786">
            <v>45714</v>
          </cell>
          <cell r="Q7786">
            <v>45714</v>
          </cell>
          <cell r="R7786">
            <v>45714</v>
          </cell>
          <cell r="S7786">
            <v>45716</v>
          </cell>
          <cell r="T7786">
            <v>45720</v>
          </cell>
          <cell r="U7786">
            <v>45721</v>
          </cell>
          <cell r="V7786">
            <v>45722</v>
          </cell>
          <cell r="W7786">
            <v>45722</v>
          </cell>
          <cell r="X7786">
            <v>41200084</v>
          </cell>
        </row>
        <row r="7787">
          <cell r="K7787" t="str">
            <v>GBWS-5397</v>
          </cell>
          <cell r="L7787">
            <v>45705</v>
          </cell>
          <cell r="M7787">
            <v>45706</v>
          </cell>
          <cell r="N7787">
            <v>45714</v>
          </cell>
          <cell r="O7787">
            <v>45706</v>
          </cell>
          <cell r="P7787">
            <v>45714</v>
          </cell>
          <cell r="Q7787">
            <v>45714</v>
          </cell>
          <cell r="R7787">
            <v>45714</v>
          </cell>
          <cell r="S7787">
            <v>45716</v>
          </cell>
          <cell r="T7787">
            <v>45720</v>
          </cell>
          <cell r="U7787">
            <v>45721</v>
          </cell>
          <cell r="V7787">
            <v>45722</v>
          </cell>
          <cell r="W7787">
            <v>45722</v>
          </cell>
          <cell r="X7787">
            <v>41200084</v>
          </cell>
        </row>
        <row r="7788">
          <cell r="K7788" t="str">
            <v>GBWS-5230</v>
          </cell>
          <cell r="L7788">
            <v>45663</v>
          </cell>
          <cell r="M7788">
            <v>45664</v>
          </cell>
          <cell r="N7788">
            <v>45671</v>
          </cell>
          <cell r="O7788">
            <v>45664</v>
          </cell>
          <cell r="P7788">
            <v>45671</v>
          </cell>
          <cell r="Q7788">
            <v>45671</v>
          </cell>
          <cell r="R7788">
            <v>45672</v>
          </cell>
          <cell r="S7788">
            <v>45673</v>
          </cell>
          <cell r="T7788">
            <v>45674</v>
          </cell>
          <cell r="U7788">
            <v>45677</v>
          </cell>
          <cell r="V7788">
            <v>45678</v>
          </cell>
          <cell r="W7788">
            <v>45678</v>
          </cell>
          <cell r="X7788">
            <v>41200095</v>
          </cell>
        </row>
        <row r="7789">
          <cell r="K7789" t="str">
            <v>GBWS-5231</v>
          </cell>
          <cell r="L7789">
            <v>45663</v>
          </cell>
          <cell r="M7789">
            <v>45664</v>
          </cell>
          <cell r="N7789">
            <v>45671</v>
          </cell>
          <cell r="O7789">
            <v>45664</v>
          </cell>
          <cell r="P7789">
            <v>45671</v>
          </cell>
          <cell r="Q7789">
            <v>45671</v>
          </cell>
          <cell r="R7789">
            <v>45672</v>
          </cell>
          <cell r="S7789">
            <v>45673</v>
          </cell>
          <cell r="T7789">
            <v>45674</v>
          </cell>
          <cell r="U7789">
            <v>45677</v>
          </cell>
          <cell r="V7789">
            <v>45678</v>
          </cell>
          <cell r="W7789">
            <v>45678</v>
          </cell>
          <cell r="X7789">
            <v>41200095</v>
          </cell>
        </row>
        <row r="7790">
          <cell r="K7790" t="str">
            <v>GBWS-5399</v>
          </cell>
          <cell r="L7790">
            <v>45707</v>
          </cell>
          <cell r="M7790">
            <v>45709</v>
          </cell>
          <cell r="N7790">
            <v>45716</v>
          </cell>
          <cell r="O7790">
            <v>45709</v>
          </cell>
          <cell r="P7790">
            <v>45720</v>
          </cell>
          <cell r="Q7790">
            <v>45716</v>
          </cell>
          <cell r="R7790">
            <v>45719</v>
          </cell>
          <cell r="S7790">
            <v>45720</v>
          </cell>
          <cell r="T7790">
            <v>45721</v>
          </cell>
          <cell r="U7790">
            <v>45722</v>
          </cell>
          <cell r="V7790">
            <v>45726</v>
          </cell>
          <cell r="W7790">
            <v>45726</v>
          </cell>
          <cell r="X7790">
            <v>41200074</v>
          </cell>
        </row>
        <row r="7791">
          <cell r="K7791" t="str">
            <v>GBWS-5400</v>
          </cell>
          <cell r="L7791">
            <v>45707</v>
          </cell>
          <cell r="M7791">
            <v>45709</v>
          </cell>
          <cell r="N7791">
            <v>45716</v>
          </cell>
          <cell r="O7791">
            <v>45709</v>
          </cell>
          <cell r="P7791">
            <v>45720</v>
          </cell>
          <cell r="Q7791">
            <v>45716</v>
          </cell>
          <cell r="R7791">
            <v>45719</v>
          </cell>
          <cell r="S7791">
            <v>45720</v>
          </cell>
          <cell r="T7791">
            <v>45721</v>
          </cell>
          <cell r="U7791">
            <v>45722</v>
          </cell>
          <cell r="V7791">
            <v>45723</v>
          </cell>
          <cell r="W7791">
            <v>45723</v>
          </cell>
          <cell r="X7791">
            <v>41200074</v>
          </cell>
        </row>
        <row r="7792">
          <cell r="K7792" t="str">
            <v>SOS-0338</v>
          </cell>
          <cell r="L7792">
            <v>45677</v>
          </cell>
          <cell r="M7792">
            <v>45677</v>
          </cell>
          <cell r="N7792">
            <v>45678</v>
          </cell>
          <cell r="O7792">
            <v>45677</v>
          </cell>
          <cell r="P7792">
            <v>45679</v>
          </cell>
          <cell r="Q7792">
            <v>45679</v>
          </cell>
          <cell r="R7792">
            <v>45680</v>
          </cell>
          <cell r="S7792">
            <v>45692</v>
          </cell>
          <cell r="T7792">
            <v>45692</v>
          </cell>
          <cell r="U7792">
            <v>45707</v>
          </cell>
          <cell r="V7792">
            <v>45708</v>
          </cell>
          <cell r="W7792">
            <v>45708</v>
          </cell>
          <cell r="X7792">
            <v>41000558</v>
          </cell>
        </row>
        <row r="7793">
          <cell r="K7793" t="str">
            <v>-</v>
          </cell>
          <cell r="L7793">
            <v>45677</v>
          </cell>
          <cell r="M7793">
            <v>45677</v>
          </cell>
          <cell r="N7793">
            <v>45678</v>
          </cell>
          <cell r="O7793">
            <v>45677</v>
          </cell>
          <cell r="P7793">
            <v>45679</v>
          </cell>
          <cell r="Q7793">
            <v>45679</v>
          </cell>
          <cell r="R7793">
            <v>45680</v>
          </cell>
          <cell r="S7793">
            <v>45692</v>
          </cell>
          <cell r="T7793">
            <v>45692</v>
          </cell>
          <cell r="U7793">
            <v>45707</v>
          </cell>
          <cell r="V7793">
            <v>45708</v>
          </cell>
          <cell r="W7793">
            <v>45708</v>
          </cell>
          <cell r="X7793">
            <v>31010312</v>
          </cell>
        </row>
        <row r="7794">
          <cell r="K7794" t="str">
            <v>SOS-0339</v>
          </cell>
          <cell r="L7794">
            <v>45677</v>
          </cell>
          <cell r="M7794">
            <v>45677</v>
          </cell>
          <cell r="N7794">
            <v>45678</v>
          </cell>
          <cell r="O7794">
            <v>45677</v>
          </cell>
          <cell r="P7794">
            <v>45679</v>
          </cell>
          <cell r="Q7794">
            <v>45679</v>
          </cell>
          <cell r="R7794">
            <v>45680</v>
          </cell>
          <cell r="S7794">
            <v>45692</v>
          </cell>
          <cell r="T7794">
            <v>45692</v>
          </cell>
          <cell r="U7794">
            <v>45707</v>
          </cell>
          <cell r="V7794">
            <v>45708</v>
          </cell>
          <cell r="W7794">
            <v>45708</v>
          </cell>
          <cell r="X7794">
            <v>41000558</v>
          </cell>
        </row>
        <row r="7795">
          <cell r="K7795" t="str">
            <v>-</v>
          </cell>
          <cell r="L7795">
            <v>45677</v>
          </cell>
          <cell r="M7795">
            <v>45677</v>
          </cell>
          <cell r="N7795">
            <v>45678</v>
          </cell>
          <cell r="O7795">
            <v>45677</v>
          </cell>
          <cell r="P7795">
            <v>45679</v>
          </cell>
          <cell r="Q7795">
            <v>45679</v>
          </cell>
          <cell r="R7795">
            <v>45680</v>
          </cell>
          <cell r="S7795">
            <v>45692</v>
          </cell>
          <cell r="T7795">
            <v>45692</v>
          </cell>
          <cell r="U7795">
            <v>45707</v>
          </cell>
          <cell r="V7795">
            <v>45708</v>
          </cell>
          <cell r="W7795">
            <v>45708</v>
          </cell>
          <cell r="X7795">
            <v>31010312</v>
          </cell>
        </row>
        <row r="7796">
          <cell r="K7796" t="str">
            <v>SOS-0336</v>
          </cell>
          <cell r="L7796">
            <v>45643</v>
          </cell>
          <cell r="M7796">
            <v>45645</v>
          </cell>
          <cell r="N7796">
            <v>45650</v>
          </cell>
          <cell r="O7796">
            <v>45645</v>
          </cell>
          <cell r="P7796">
            <v>45652</v>
          </cell>
          <cell r="Q7796">
            <v>45650</v>
          </cell>
          <cell r="R7796">
            <v>45652</v>
          </cell>
          <cell r="S7796">
            <v>45653</v>
          </cell>
          <cell r="T7796">
            <v>45653</v>
          </cell>
          <cell r="U7796">
            <v>45663</v>
          </cell>
          <cell r="V7796">
            <v>45681</v>
          </cell>
          <cell r="W7796">
            <v>45681</v>
          </cell>
          <cell r="X7796">
            <v>41000558</v>
          </cell>
        </row>
        <row r="7797">
          <cell r="K7797" t="str">
            <v>-</v>
          </cell>
          <cell r="L7797">
            <v>45643</v>
          </cell>
          <cell r="M7797">
            <v>45645</v>
          </cell>
          <cell r="N7797">
            <v>45650</v>
          </cell>
          <cell r="O7797">
            <v>45645</v>
          </cell>
          <cell r="P7797">
            <v>45652</v>
          </cell>
          <cell r="Q7797">
            <v>45650</v>
          </cell>
          <cell r="R7797">
            <v>45652</v>
          </cell>
          <cell r="S7797">
            <v>45653</v>
          </cell>
          <cell r="T7797">
            <v>45653</v>
          </cell>
          <cell r="U7797">
            <v>45663</v>
          </cell>
          <cell r="V7797">
            <v>45681</v>
          </cell>
          <cell r="W7797">
            <v>45681</v>
          </cell>
          <cell r="X7797">
            <v>31010312</v>
          </cell>
        </row>
        <row r="7798">
          <cell r="K7798" t="str">
            <v>SOS-0337</v>
          </cell>
          <cell r="L7798">
            <v>45643</v>
          </cell>
          <cell r="M7798">
            <v>45645</v>
          </cell>
          <cell r="N7798">
            <v>45650</v>
          </cell>
          <cell r="O7798">
            <v>45645</v>
          </cell>
          <cell r="P7798">
            <v>45652</v>
          </cell>
          <cell r="Q7798">
            <v>45650</v>
          </cell>
          <cell r="R7798">
            <v>45652</v>
          </cell>
          <cell r="S7798">
            <v>45653</v>
          </cell>
          <cell r="T7798">
            <v>45653</v>
          </cell>
          <cell r="U7798">
            <v>45663</v>
          </cell>
          <cell r="V7798">
            <v>45681</v>
          </cell>
          <cell r="W7798">
            <v>45681</v>
          </cell>
          <cell r="X7798">
            <v>41000558</v>
          </cell>
        </row>
        <row r="7799">
          <cell r="K7799" t="str">
            <v>-</v>
          </cell>
          <cell r="L7799">
            <v>45643</v>
          </cell>
          <cell r="M7799">
            <v>45645</v>
          </cell>
          <cell r="N7799">
            <v>45650</v>
          </cell>
          <cell r="O7799">
            <v>45645</v>
          </cell>
          <cell r="P7799">
            <v>45652</v>
          </cell>
          <cell r="Q7799">
            <v>45650</v>
          </cell>
          <cell r="R7799">
            <v>45652</v>
          </cell>
          <cell r="S7799">
            <v>45653</v>
          </cell>
          <cell r="T7799">
            <v>45653</v>
          </cell>
          <cell r="U7799">
            <v>45663</v>
          </cell>
          <cell r="V7799">
            <v>45681</v>
          </cell>
          <cell r="W7799">
            <v>45681</v>
          </cell>
          <cell r="X7799">
            <v>31010312</v>
          </cell>
        </row>
        <row r="7800">
          <cell r="K7800" t="str">
            <v>GBWS-5292</v>
          </cell>
          <cell r="L7800">
            <v>45680</v>
          </cell>
          <cell r="M7800">
            <v>45681</v>
          </cell>
          <cell r="N7800">
            <v>45693</v>
          </cell>
          <cell r="O7800">
            <v>45681</v>
          </cell>
          <cell r="P7800">
            <v>45698</v>
          </cell>
          <cell r="Q7800">
            <v>45694</v>
          </cell>
          <cell r="R7800">
            <v>45695</v>
          </cell>
          <cell r="S7800">
            <v>45698</v>
          </cell>
          <cell r="T7800">
            <v>45699</v>
          </cell>
          <cell r="U7800">
            <v>45701</v>
          </cell>
          <cell r="V7800">
            <v>45702</v>
          </cell>
          <cell r="W7800">
            <v>45702</v>
          </cell>
          <cell r="X7800">
            <v>41100317</v>
          </cell>
        </row>
        <row r="7801">
          <cell r="K7801" t="str">
            <v>GBWS-5334</v>
          </cell>
          <cell r="L7801">
            <v>45693</v>
          </cell>
          <cell r="M7801">
            <v>45695</v>
          </cell>
          <cell r="N7801">
            <v>45701</v>
          </cell>
          <cell r="O7801">
            <v>45695</v>
          </cell>
          <cell r="P7801">
            <v>45706</v>
          </cell>
          <cell r="Q7801">
            <v>45705</v>
          </cell>
          <cell r="R7801">
            <v>45706</v>
          </cell>
          <cell r="S7801">
            <v>45707</v>
          </cell>
          <cell r="T7801">
            <v>45708</v>
          </cell>
          <cell r="U7801">
            <v>45709</v>
          </cell>
          <cell r="V7801">
            <v>45712</v>
          </cell>
          <cell r="W7801">
            <v>45712</v>
          </cell>
          <cell r="X7801">
            <v>41200075</v>
          </cell>
        </row>
        <row r="7802">
          <cell r="K7802" t="str">
            <v>GBWS-5335</v>
          </cell>
          <cell r="L7802">
            <v>45693</v>
          </cell>
          <cell r="M7802">
            <v>45695</v>
          </cell>
          <cell r="N7802">
            <v>45701</v>
          </cell>
          <cell r="O7802">
            <v>45695</v>
          </cell>
          <cell r="P7802">
            <v>45706</v>
          </cell>
          <cell r="Q7802">
            <v>45705</v>
          </cell>
          <cell r="R7802">
            <v>45706</v>
          </cell>
          <cell r="S7802">
            <v>45707</v>
          </cell>
          <cell r="T7802">
            <v>45708</v>
          </cell>
          <cell r="U7802">
            <v>45709</v>
          </cell>
          <cell r="V7802">
            <v>45712</v>
          </cell>
          <cell r="W7802">
            <v>45712</v>
          </cell>
          <cell r="X7802">
            <v>41200075</v>
          </cell>
        </row>
        <row r="7803">
          <cell r="K7803" t="str">
            <v>GBWS-5391</v>
          </cell>
          <cell r="L7803">
            <v>45705</v>
          </cell>
          <cell r="M7803">
            <v>45706</v>
          </cell>
          <cell r="N7803">
            <v>45714</v>
          </cell>
          <cell r="O7803">
            <v>45706</v>
          </cell>
          <cell r="P7803">
            <v>45715</v>
          </cell>
          <cell r="Q7803">
            <v>45714</v>
          </cell>
          <cell r="R7803">
            <v>45715</v>
          </cell>
          <cell r="S7803">
            <v>45721</v>
          </cell>
          <cell r="T7803">
            <v>45722</v>
          </cell>
          <cell r="U7803">
            <v>45723</v>
          </cell>
          <cell r="V7803">
            <v>45726</v>
          </cell>
          <cell r="W7803">
            <v>45726</v>
          </cell>
          <cell r="X7803">
            <v>41100320</v>
          </cell>
        </row>
        <row r="7804">
          <cell r="K7804" t="str">
            <v>GBWS-5307</v>
          </cell>
          <cell r="L7804">
            <v>45691</v>
          </cell>
          <cell r="M7804">
            <v>45692</v>
          </cell>
          <cell r="N7804">
            <v>45700</v>
          </cell>
          <cell r="O7804">
            <v>45692</v>
          </cell>
          <cell r="P7804">
            <v>45701</v>
          </cell>
          <cell r="Q7804">
            <v>45700</v>
          </cell>
          <cell r="R7804">
            <v>45701</v>
          </cell>
          <cell r="S7804">
            <v>45715</v>
          </cell>
          <cell r="T7804">
            <v>45716</v>
          </cell>
          <cell r="U7804">
            <v>45721</v>
          </cell>
          <cell r="V7804">
            <v>45722</v>
          </cell>
          <cell r="W7804">
            <v>45722</v>
          </cell>
          <cell r="X7804">
            <v>41100317</v>
          </cell>
        </row>
        <row r="7805">
          <cell r="K7805" t="str">
            <v>DBW-3606</v>
          </cell>
          <cell r="L7805">
            <v>45705</v>
          </cell>
          <cell r="M7805">
            <v>45706</v>
          </cell>
          <cell r="N7805">
            <v>45713</v>
          </cell>
          <cell r="O7805">
            <v>45706</v>
          </cell>
          <cell r="P7805">
            <v>45714</v>
          </cell>
          <cell r="Q7805">
            <v>45714</v>
          </cell>
          <cell r="R7805">
            <v>45715</v>
          </cell>
          <cell r="S7805">
            <v>45720</v>
          </cell>
          <cell r="T7805">
            <v>45721</v>
          </cell>
          <cell r="U7805">
            <v>45723</v>
          </cell>
          <cell r="V7805">
            <v>45726</v>
          </cell>
          <cell r="W7805">
            <v>45726</v>
          </cell>
          <cell r="X7805">
            <v>41000590</v>
          </cell>
        </row>
        <row r="7806">
          <cell r="K7806" t="str">
            <v>DBW-3607</v>
          </cell>
          <cell r="L7806">
            <v>45705</v>
          </cell>
          <cell r="M7806">
            <v>45706</v>
          </cell>
          <cell r="N7806">
            <v>45713</v>
          </cell>
          <cell r="O7806">
            <v>45706</v>
          </cell>
          <cell r="P7806">
            <v>45714</v>
          </cell>
          <cell r="Q7806">
            <v>45714</v>
          </cell>
          <cell r="R7806">
            <v>45715</v>
          </cell>
          <cell r="S7806">
            <v>45720</v>
          </cell>
          <cell r="T7806">
            <v>45721</v>
          </cell>
          <cell r="U7806">
            <v>45723</v>
          </cell>
          <cell r="V7806">
            <v>45726</v>
          </cell>
          <cell r="W7806">
            <v>45726</v>
          </cell>
          <cell r="X7806">
            <v>41000590</v>
          </cell>
        </row>
        <row r="7807">
          <cell r="K7807" t="str">
            <v>GPWS-0489</v>
          </cell>
          <cell r="L7807">
            <v>45709</v>
          </cell>
          <cell r="M7807">
            <v>45712</v>
          </cell>
          <cell r="N7807">
            <v>45720</v>
          </cell>
          <cell r="O7807">
            <v>45712</v>
          </cell>
          <cell r="P7807">
            <v>45721</v>
          </cell>
          <cell r="Q7807">
            <v>45720</v>
          </cell>
          <cell r="R7807">
            <v>45721</v>
          </cell>
          <cell r="S7807">
            <v>45722</v>
          </cell>
          <cell r="T7807">
            <v>45723</v>
          </cell>
          <cell r="U7807">
            <v>45726</v>
          </cell>
          <cell r="V7807">
            <v>45727</v>
          </cell>
          <cell r="W7807">
            <v>45727</v>
          </cell>
          <cell r="X7807">
            <v>41200108</v>
          </cell>
        </row>
        <row r="7808">
          <cell r="K7808" t="str">
            <v>GPWS-0490</v>
          </cell>
          <cell r="L7808">
            <v>45709</v>
          </cell>
          <cell r="M7808">
            <v>45712</v>
          </cell>
          <cell r="N7808">
            <v>45720</v>
          </cell>
          <cell r="O7808">
            <v>45712</v>
          </cell>
          <cell r="P7808">
            <v>45721</v>
          </cell>
          <cell r="Q7808">
            <v>45720</v>
          </cell>
          <cell r="R7808">
            <v>45721</v>
          </cell>
          <cell r="S7808">
            <v>45722</v>
          </cell>
          <cell r="T7808">
            <v>45723</v>
          </cell>
          <cell r="U7808">
            <v>45726</v>
          </cell>
          <cell r="V7808">
            <v>45727</v>
          </cell>
          <cell r="W7808">
            <v>45727</v>
          </cell>
          <cell r="X7808">
            <v>41200108</v>
          </cell>
        </row>
        <row r="7809">
          <cell r="K7809" t="str">
            <v>GPWS-0491</v>
          </cell>
          <cell r="L7809">
            <v>45709</v>
          </cell>
          <cell r="M7809">
            <v>45712</v>
          </cell>
          <cell r="N7809">
            <v>45720</v>
          </cell>
          <cell r="O7809">
            <v>45712</v>
          </cell>
          <cell r="P7809">
            <v>45721</v>
          </cell>
          <cell r="Q7809">
            <v>45720</v>
          </cell>
          <cell r="R7809">
            <v>45721</v>
          </cell>
          <cell r="S7809">
            <v>45722</v>
          </cell>
          <cell r="T7809">
            <v>45723</v>
          </cell>
          <cell r="U7809">
            <v>45726</v>
          </cell>
          <cell r="V7809">
            <v>45717</v>
          </cell>
          <cell r="W7809">
            <v>45727</v>
          </cell>
          <cell r="X7809">
            <v>41200108</v>
          </cell>
        </row>
        <row r="7810">
          <cell r="K7810" t="str">
            <v>GPWS-0475</v>
          </cell>
          <cell r="L7810">
            <v>45705</v>
          </cell>
          <cell r="M7810">
            <v>45706</v>
          </cell>
          <cell r="N7810">
            <v>45715</v>
          </cell>
          <cell r="O7810">
            <v>45706</v>
          </cell>
          <cell r="P7810">
            <v>45715</v>
          </cell>
          <cell r="Q7810">
            <v>45714</v>
          </cell>
          <cell r="R7810">
            <v>45715</v>
          </cell>
          <cell r="S7810">
            <v>45716</v>
          </cell>
          <cell r="T7810">
            <v>45720</v>
          </cell>
          <cell r="U7810">
            <v>45722</v>
          </cell>
          <cell r="V7810">
            <v>45723</v>
          </cell>
          <cell r="W7810">
            <v>45723</v>
          </cell>
          <cell r="X7810">
            <v>41000598</v>
          </cell>
        </row>
        <row r="7811">
          <cell r="K7811" t="str">
            <v>GPWS-0453</v>
          </cell>
          <cell r="L7811">
            <v>45667</v>
          </cell>
          <cell r="M7811">
            <v>45670</v>
          </cell>
          <cell r="N7811">
            <v>45678</v>
          </cell>
          <cell r="O7811">
            <v>45670</v>
          </cell>
          <cell r="P7811">
            <v>45678</v>
          </cell>
          <cell r="Q7811">
            <v>45678</v>
          </cell>
          <cell r="R7811">
            <v>45679</v>
          </cell>
          <cell r="S7811">
            <v>45680</v>
          </cell>
          <cell r="T7811">
            <v>45681</v>
          </cell>
          <cell r="U7811">
            <v>45691</v>
          </cell>
          <cell r="V7811">
            <v>45692</v>
          </cell>
          <cell r="W7811">
            <v>45692</v>
          </cell>
          <cell r="X7811">
            <v>41000598</v>
          </cell>
        </row>
        <row r="7812">
          <cell r="K7812" t="str">
            <v>GPWS-0454</v>
          </cell>
          <cell r="L7812">
            <v>45667</v>
          </cell>
          <cell r="M7812">
            <v>45670</v>
          </cell>
          <cell r="N7812">
            <v>45678</v>
          </cell>
          <cell r="O7812">
            <v>45670</v>
          </cell>
          <cell r="P7812">
            <v>45678</v>
          </cell>
          <cell r="Q7812">
            <v>45678</v>
          </cell>
          <cell r="R7812">
            <v>45679</v>
          </cell>
          <cell r="S7812">
            <v>45680</v>
          </cell>
          <cell r="T7812">
            <v>45681</v>
          </cell>
          <cell r="U7812">
            <v>45691</v>
          </cell>
          <cell r="V7812">
            <v>45692</v>
          </cell>
          <cell r="W7812">
            <v>45692</v>
          </cell>
          <cell r="X7812">
            <v>41000598</v>
          </cell>
        </row>
        <row r="7813">
          <cell r="K7813" t="str">
            <v>DBW-3591</v>
          </cell>
          <cell r="L7813">
            <v>45664</v>
          </cell>
          <cell r="M7813">
            <v>45666</v>
          </cell>
          <cell r="N7813">
            <v>45673</v>
          </cell>
          <cell r="O7813">
            <v>45666</v>
          </cell>
          <cell r="P7813">
            <v>45673</v>
          </cell>
          <cell r="Q7813">
            <v>45673</v>
          </cell>
          <cell r="R7813">
            <v>45674</v>
          </cell>
          <cell r="S7813">
            <v>45677</v>
          </cell>
          <cell r="T7813">
            <v>45678</v>
          </cell>
          <cell r="U7813">
            <v>45679</v>
          </cell>
          <cell r="V7813">
            <v>45680</v>
          </cell>
          <cell r="W7813">
            <v>45680</v>
          </cell>
          <cell r="X7813">
            <v>41000584</v>
          </cell>
        </row>
        <row r="7814">
          <cell r="K7814" t="str">
            <v>SOS-0346</v>
          </cell>
          <cell r="L7814">
            <v>45714</v>
          </cell>
          <cell r="M7814">
            <v>45714</v>
          </cell>
          <cell r="N7814">
            <v>45715</v>
          </cell>
          <cell r="O7814">
            <v>45714</v>
          </cell>
          <cell r="P7814">
            <v>45716</v>
          </cell>
          <cell r="Q7814">
            <v>45715</v>
          </cell>
          <cell r="R7814">
            <v>45716</v>
          </cell>
          <cell r="S7814">
            <v>45720</v>
          </cell>
          <cell r="T7814">
            <v>45720</v>
          </cell>
          <cell r="U7814">
            <v>45721</v>
          </cell>
          <cell r="V7814">
            <v>45726</v>
          </cell>
          <cell r="W7814">
            <v>45726</v>
          </cell>
          <cell r="X7814">
            <v>41000558</v>
          </cell>
        </row>
        <row r="7815">
          <cell r="K7815" t="str">
            <v>-</v>
          </cell>
          <cell r="L7815">
            <v>45714</v>
          </cell>
          <cell r="M7815">
            <v>45714</v>
          </cell>
          <cell r="N7815">
            <v>45715</v>
          </cell>
          <cell r="O7815">
            <v>45714</v>
          </cell>
          <cell r="P7815">
            <v>45716</v>
          </cell>
          <cell r="Q7815">
            <v>45715</v>
          </cell>
          <cell r="R7815">
            <v>45716</v>
          </cell>
          <cell r="S7815">
            <v>45720</v>
          </cell>
          <cell r="T7815">
            <v>45720</v>
          </cell>
          <cell r="U7815">
            <v>45721</v>
          </cell>
          <cell r="V7815">
            <v>45726</v>
          </cell>
          <cell r="W7815">
            <v>45726</v>
          </cell>
          <cell r="X7815">
            <v>31010312</v>
          </cell>
        </row>
        <row r="7816">
          <cell r="K7816" t="str">
            <v>GPWS-0492</v>
          </cell>
          <cell r="L7816">
            <v>45709</v>
          </cell>
          <cell r="M7816">
            <v>45712</v>
          </cell>
          <cell r="N7816">
            <v>45723</v>
          </cell>
          <cell r="O7816">
            <v>45712</v>
          </cell>
          <cell r="P7816">
            <v>45723</v>
          </cell>
          <cell r="Q7816">
            <v>45720</v>
          </cell>
          <cell r="R7816">
            <v>45721</v>
          </cell>
          <cell r="S7816">
            <v>45723</v>
          </cell>
          <cell r="T7816">
            <v>45726</v>
          </cell>
          <cell r="U7816">
            <v>45727</v>
          </cell>
          <cell r="V7816">
            <v>45728</v>
          </cell>
          <cell r="W7816">
            <v>45728</v>
          </cell>
          <cell r="X7816">
            <v>41200108</v>
          </cell>
        </row>
        <row r="7817">
          <cell r="K7817" t="str">
            <v>SOS-0344</v>
          </cell>
          <cell r="L7817">
            <v>45705</v>
          </cell>
          <cell r="M7817">
            <v>45706</v>
          </cell>
          <cell r="N7817">
            <v>45708</v>
          </cell>
          <cell r="O7817">
            <v>45706</v>
          </cell>
          <cell r="P7817">
            <v>45712</v>
          </cell>
          <cell r="Q7817">
            <v>45708</v>
          </cell>
          <cell r="R7817">
            <v>45709</v>
          </cell>
          <cell r="S7817">
            <v>45728</v>
          </cell>
          <cell r="T7817">
            <v>45728</v>
          </cell>
          <cell r="U7817">
            <v>45728</v>
          </cell>
          <cell r="V7817">
            <v>45729</v>
          </cell>
          <cell r="W7817">
            <v>45729</v>
          </cell>
          <cell r="X7817">
            <v>41000558</v>
          </cell>
        </row>
        <row r="7818">
          <cell r="K7818" t="str">
            <v>-</v>
          </cell>
          <cell r="L7818">
            <v>45705</v>
          </cell>
          <cell r="M7818">
            <v>45706</v>
          </cell>
          <cell r="N7818">
            <v>45708</v>
          </cell>
          <cell r="O7818">
            <v>45706</v>
          </cell>
          <cell r="P7818">
            <v>45712</v>
          </cell>
          <cell r="Q7818">
            <v>45708</v>
          </cell>
          <cell r="R7818">
            <v>45709</v>
          </cell>
          <cell r="S7818">
            <v>45728</v>
          </cell>
          <cell r="T7818">
            <v>45728</v>
          </cell>
          <cell r="U7818">
            <v>45728</v>
          </cell>
          <cell r="V7818">
            <v>45729</v>
          </cell>
          <cell r="W7818">
            <v>45729</v>
          </cell>
          <cell r="X7818">
            <v>31010312</v>
          </cell>
        </row>
        <row r="7819">
          <cell r="K7819" t="str">
            <v>SOS-0345</v>
          </cell>
          <cell r="L7819">
            <v>45705</v>
          </cell>
          <cell r="M7819">
            <v>45706</v>
          </cell>
          <cell r="N7819">
            <v>45708</v>
          </cell>
          <cell r="O7819">
            <v>45706</v>
          </cell>
          <cell r="P7819">
            <v>45712</v>
          </cell>
          <cell r="Q7819">
            <v>45708</v>
          </cell>
          <cell r="R7819">
            <v>45709</v>
          </cell>
          <cell r="S7819">
            <v>45728</v>
          </cell>
          <cell r="T7819">
            <v>45728</v>
          </cell>
          <cell r="U7819">
            <v>45728</v>
          </cell>
          <cell r="V7819">
            <v>45729</v>
          </cell>
          <cell r="W7819">
            <v>45729</v>
          </cell>
          <cell r="X7819">
            <v>41000558</v>
          </cell>
        </row>
        <row r="7820">
          <cell r="K7820" t="str">
            <v>-</v>
          </cell>
          <cell r="L7820">
            <v>45705</v>
          </cell>
          <cell r="M7820">
            <v>45706</v>
          </cell>
          <cell r="N7820">
            <v>45708</v>
          </cell>
          <cell r="O7820">
            <v>45706</v>
          </cell>
          <cell r="P7820">
            <v>45712</v>
          </cell>
          <cell r="Q7820">
            <v>45708</v>
          </cell>
          <cell r="R7820">
            <v>45709</v>
          </cell>
          <cell r="S7820">
            <v>45728</v>
          </cell>
          <cell r="T7820">
            <v>45728</v>
          </cell>
          <cell r="U7820">
            <v>45728</v>
          </cell>
          <cell r="V7820">
            <v>45729</v>
          </cell>
          <cell r="W7820">
            <v>45729</v>
          </cell>
          <cell r="X7820">
            <v>31010312</v>
          </cell>
        </row>
        <row r="7821">
          <cell r="K7821" t="str">
            <v>DBW-3605</v>
          </cell>
          <cell r="L7821">
            <v>45702</v>
          </cell>
          <cell r="M7821" t="str">
            <v>2024-11-18 → 2/17</v>
          </cell>
          <cell r="N7821">
            <v>45712</v>
          </cell>
          <cell r="O7821" t="str">
            <v>2024-11-18 → 2/17</v>
          </cell>
          <cell r="P7821">
            <v>45713</v>
          </cell>
          <cell r="Q7821" t="str">
            <v>2024-11-25 → 2/24</v>
          </cell>
          <cell r="R7821" t="str">
            <v>2024-11-26 → 2/25</v>
          </cell>
          <cell r="S7821">
            <v>45715</v>
          </cell>
          <cell r="T7821">
            <v>45716</v>
          </cell>
          <cell r="U7821">
            <v>45720</v>
          </cell>
          <cell r="V7821">
            <v>45721</v>
          </cell>
          <cell r="W7821">
            <v>45721</v>
          </cell>
          <cell r="X7821">
            <v>41100668</v>
          </cell>
        </row>
        <row r="7822">
          <cell r="K7822" t="str">
            <v>GBWS-5421</v>
          </cell>
          <cell r="L7822">
            <v>45715</v>
          </cell>
          <cell r="M7822">
            <v>45716</v>
          </cell>
          <cell r="N7822">
            <v>45723</v>
          </cell>
          <cell r="O7822">
            <v>45716</v>
          </cell>
          <cell r="P7822">
            <v>45726</v>
          </cell>
          <cell r="Q7822">
            <v>45723</v>
          </cell>
          <cell r="R7822">
            <v>45726</v>
          </cell>
          <cell r="S7822">
            <v>45727</v>
          </cell>
          <cell r="T7822">
            <v>45728</v>
          </cell>
          <cell r="U7822">
            <v>45729</v>
          </cell>
          <cell r="V7822">
            <v>45730</v>
          </cell>
          <cell r="W7822">
            <v>45730</v>
          </cell>
          <cell r="X7822">
            <v>41200047</v>
          </cell>
        </row>
        <row r="7823">
          <cell r="K7823" t="str">
            <v>GBWS-5422</v>
          </cell>
          <cell r="L7823">
            <v>45715</v>
          </cell>
          <cell r="M7823">
            <v>45716</v>
          </cell>
          <cell r="N7823">
            <v>45723</v>
          </cell>
          <cell r="O7823">
            <v>45716</v>
          </cell>
          <cell r="P7823">
            <v>45726</v>
          </cell>
          <cell r="Q7823">
            <v>45723</v>
          </cell>
          <cell r="R7823">
            <v>45726</v>
          </cell>
          <cell r="S7823">
            <v>45727</v>
          </cell>
          <cell r="T7823">
            <v>45728</v>
          </cell>
          <cell r="U7823">
            <v>45729</v>
          </cell>
          <cell r="V7823">
            <v>45730</v>
          </cell>
          <cell r="W7823">
            <v>45730</v>
          </cell>
          <cell r="X7823">
            <v>41200047</v>
          </cell>
        </row>
        <row r="7824">
          <cell r="K7824" t="str">
            <v>DBW-3603</v>
          </cell>
          <cell r="L7824">
            <v>45700</v>
          </cell>
          <cell r="M7824">
            <v>45702</v>
          </cell>
          <cell r="N7824">
            <v>45712</v>
          </cell>
          <cell r="O7824">
            <v>45702</v>
          </cell>
          <cell r="P7824">
            <v>45712</v>
          </cell>
          <cell r="Q7824">
            <v>45709</v>
          </cell>
          <cell r="R7824">
            <v>45712</v>
          </cell>
          <cell r="S7824">
            <v>45720</v>
          </cell>
          <cell r="T7824">
            <v>45721</v>
          </cell>
          <cell r="U7824">
            <v>45723</v>
          </cell>
          <cell r="V7824">
            <v>45726</v>
          </cell>
          <cell r="W7824">
            <v>45726</v>
          </cell>
          <cell r="X7824">
            <v>41000590</v>
          </cell>
        </row>
        <row r="7825">
          <cell r="K7825" t="str">
            <v>DBW-3604</v>
          </cell>
          <cell r="L7825">
            <v>45700</v>
          </cell>
          <cell r="M7825">
            <v>45702</v>
          </cell>
          <cell r="N7825">
            <v>45712</v>
          </cell>
          <cell r="O7825">
            <v>45702</v>
          </cell>
          <cell r="P7825">
            <v>45712</v>
          </cell>
          <cell r="Q7825">
            <v>45709</v>
          </cell>
          <cell r="R7825">
            <v>45712</v>
          </cell>
          <cell r="S7825">
            <v>45720</v>
          </cell>
          <cell r="T7825">
            <v>45721</v>
          </cell>
          <cell r="U7825">
            <v>45723</v>
          </cell>
          <cell r="V7825">
            <v>45726</v>
          </cell>
          <cell r="W7825">
            <v>45726</v>
          </cell>
          <cell r="X7825">
            <v>41000590</v>
          </cell>
        </row>
        <row r="7826">
          <cell r="K7826" t="str">
            <v>GBWS-5385</v>
          </cell>
          <cell r="L7826">
            <v>45702</v>
          </cell>
          <cell r="M7826" t="str">
            <v>2025-02-13 → 2/17</v>
          </cell>
          <cell r="N7826">
            <v>45712</v>
          </cell>
          <cell r="O7826" t="str">
            <v>2025-02-13 → 2/17</v>
          </cell>
          <cell r="P7826">
            <v>45712</v>
          </cell>
          <cell r="Q7826" t="str">
            <v>2025-02-21 → 2/24</v>
          </cell>
          <cell r="R7826" t="str">
            <v>2025-02-24 → 2/25</v>
          </cell>
          <cell r="S7826">
            <v>45721</v>
          </cell>
          <cell r="T7826">
            <v>45722</v>
          </cell>
          <cell r="U7826">
            <v>45723</v>
          </cell>
          <cell r="V7826">
            <v>45727</v>
          </cell>
          <cell r="W7826">
            <v>45727</v>
          </cell>
          <cell r="X7826">
            <v>41200101</v>
          </cell>
        </row>
        <row r="7827">
          <cell r="K7827" t="str">
            <v>GBWS-5423</v>
          </cell>
          <cell r="L7827">
            <v>45715</v>
          </cell>
          <cell r="M7827">
            <v>45716</v>
          </cell>
          <cell r="N7827">
            <v>45726</v>
          </cell>
          <cell r="O7827">
            <v>45716</v>
          </cell>
          <cell r="P7827">
            <v>45726</v>
          </cell>
          <cell r="Q7827">
            <v>45723</v>
          </cell>
          <cell r="R7827">
            <v>45726</v>
          </cell>
          <cell r="S7827">
            <v>45727</v>
          </cell>
          <cell r="T7827">
            <v>45728</v>
          </cell>
          <cell r="U7827">
            <v>45729</v>
          </cell>
          <cell r="V7827">
            <v>45730</v>
          </cell>
          <cell r="W7827">
            <v>45730</v>
          </cell>
          <cell r="X7827">
            <v>41200047</v>
          </cell>
        </row>
        <row r="7828">
          <cell r="K7828" t="str">
            <v>DBW-3610</v>
          </cell>
          <cell r="L7828">
            <v>45712</v>
          </cell>
          <cell r="M7828">
            <v>45714</v>
          </cell>
          <cell r="N7828">
            <v>45721</v>
          </cell>
          <cell r="O7828">
            <v>45714</v>
          </cell>
          <cell r="P7828">
            <v>45722</v>
          </cell>
          <cell r="Q7828">
            <v>45723</v>
          </cell>
          <cell r="R7828">
            <v>45726</v>
          </cell>
          <cell r="S7828">
            <v>45729</v>
          </cell>
          <cell r="T7828">
            <v>45733</v>
          </cell>
          <cell r="U7828">
            <v>45734</v>
          </cell>
          <cell r="V7828">
            <v>45735</v>
          </cell>
          <cell r="W7828">
            <v>45735</v>
          </cell>
          <cell r="X7828">
            <v>41000584</v>
          </cell>
        </row>
        <row r="7829">
          <cell r="K7829" t="str">
            <v>GBWS-5420</v>
          </cell>
          <cell r="L7829">
            <v>45715</v>
          </cell>
          <cell r="M7829">
            <v>45716</v>
          </cell>
          <cell r="N7829">
            <v>45726</v>
          </cell>
          <cell r="O7829">
            <v>45716</v>
          </cell>
          <cell r="P7829">
            <v>45727</v>
          </cell>
          <cell r="Q7829">
            <v>45726</v>
          </cell>
          <cell r="R7829">
            <v>45727</v>
          </cell>
          <cell r="S7829">
            <v>45728</v>
          </cell>
          <cell r="T7829">
            <v>45729</v>
          </cell>
          <cell r="U7829">
            <v>45734</v>
          </cell>
          <cell r="V7829">
            <v>45735</v>
          </cell>
          <cell r="W7829">
            <v>45735</v>
          </cell>
          <cell r="X7829">
            <v>41200119</v>
          </cell>
        </row>
        <row r="7830">
          <cell r="K7830" t="str">
            <v>GBWS-5280</v>
          </cell>
          <cell r="L7830">
            <v>45672</v>
          </cell>
          <cell r="M7830">
            <v>45674</v>
          </cell>
          <cell r="N7830">
            <v>45691</v>
          </cell>
          <cell r="O7830">
            <v>45674</v>
          </cell>
          <cell r="P7830">
            <v>45692</v>
          </cell>
          <cell r="Q7830">
            <v>45684</v>
          </cell>
          <cell r="R7830">
            <v>45688</v>
          </cell>
          <cell r="S7830">
            <v>45699</v>
          </cell>
          <cell r="T7830">
            <v>45700</v>
          </cell>
          <cell r="U7830">
            <v>45701</v>
          </cell>
          <cell r="V7830">
            <v>45702</v>
          </cell>
          <cell r="W7830">
            <v>45702</v>
          </cell>
          <cell r="X7830" t="str">
            <v>41000531 → 41200104</v>
          </cell>
        </row>
        <row r="7831">
          <cell r="K7831" t="str">
            <v>GBWS-5182</v>
          </cell>
          <cell r="L7831">
            <v>45635</v>
          </cell>
          <cell r="M7831">
            <v>45637</v>
          </cell>
          <cell r="N7831">
            <v>45644</v>
          </cell>
          <cell r="O7831">
            <v>45637</v>
          </cell>
          <cell r="P7831">
            <v>45645</v>
          </cell>
          <cell r="Q7831">
            <v>45644</v>
          </cell>
          <cell r="R7831">
            <v>45645</v>
          </cell>
          <cell r="S7831">
            <v>45660</v>
          </cell>
          <cell r="T7831">
            <v>45663</v>
          </cell>
          <cell r="U7831">
            <v>45664</v>
          </cell>
          <cell r="V7831">
            <v>45665</v>
          </cell>
          <cell r="W7831">
            <v>45665</v>
          </cell>
          <cell r="X7831">
            <v>41200027</v>
          </cell>
        </row>
        <row r="7832">
          <cell r="K7832" t="str">
            <v>GBWS-5183</v>
          </cell>
          <cell r="L7832">
            <v>45635</v>
          </cell>
          <cell r="M7832">
            <v>45637</v>
          </cell>
          <cell r="N7832">
            <v>45644</v>
          </cell>
          <cell r="O7832">
            <v>45637</v>
          </cell>
          <cell r="P7832">
            <v>45645</v>
          </cell>
          <cell r="Q7832">
            <v>45644</v>
          </cell>
          <cell r="R7832">
            <v>45645</v>
          </cell>
          <cell r="S7832">
            <v>45660</v>
          </cell>
          <cell r="T7832">
            <v>45663</v>
          </cell>
          <cell r="U7832">
            <v>45664</v>
          </cell>
          <cell r="V7832">
            <v>45665</v>
          </cell>
          <cell r="W7832">
            <v>45665</v>
          </cell>
          <cell r="X7832">
            <v>41200027</v>
          </cell>
        </row>
        <row r="7833">
          <cell r="K7833" t="str">
            <v>GBWS-5184</v>
          </cell>
          <cell r="L7833">
            <v>45635</v>
          </cell>
          <cell r="M7833">
            <v>45637</v>
          </cell>
          <cell r="N7833">
            <v>45644</v>
          </cell>
          <cell r="O7833">
            <v>45637</v>
          </cell>
          <cell r="P7833">
            <v>45645</v>
          </cell>
          <cell r="Q7833">
            <v>45644</v>
          </cell>
          <cell r="R7833">
            <v>45645</v>
          </cell>
          <cell r="S7833">
            <v>45660</v>
          </cell>
          <cell r="T7833">
            <v>45663</v>
          </cell>
          <cell r="U7833">
            <v>45664</v>
          </cell>
          <cell r="V7833">
            <v>45665</v>
          </cell>
          <cell r="W7833">
            <v>45665</v>
          </cell>
          <cell r="X7833">
            <v>41200027</v>
          </cell>
        </row>
        <row r="7834">
          <cell r="K7834" t="str">
            <v>GBWS-5185</v>
          </cell>
          <cell r="L7834">
            <v>45635</v>
          </cell>
          <cell r="M7834">
            <v>45637</v>
          </cell>
          <cell r="N7834">
            <v>45644</v>
          </cell>
          <cell r="O7834">
            <v>45637</v>
          </cell>
          <cell r="P7834">
            <v>45645</v>
          </cell>
          <cell r="Q7834">
            <v>45644</v>
          </cell>
          <cell r="R7834">
            <v>45645</v>
          </cell>
          <cell r="S7834">
            <v>45660</v>
          </cell>
          <cell r="T7834">
            <v>45663</v>
          </cell>
          <cell r="U7834">
            <v>45664</v>
          </cell>
          <cell r="V7834">
            <v>45665</v>
          </cell>
          <cell r="W7834">
            <v>45665</v>
          </cell>
          <cell r="X7834">
            <v>41200027</v>
          </cell>
        </row>
        <row r="7835">
          <cell r="K7835" t="str">
            <v>GBWS-5431</v>
          </cell>
          <cell r="L7835">
            <v>45720</v>
          </cell>
          <cell r="M7835">
            <v>45721</v>
          </cell>
          <cell r="N7835">
            <v>45729</v>
          </cell>
          <cell r="O7835">
            <v>45712</v>
          </cell>
          <cell r="P7835">
            <v>45730</v>
          </cell>
          <cell r="Q7835">
            <v>45729</v>
          </cell>
          <cell r="R7835">
            <v>45730</v>
          </cell>
          <cell r="S7835">
            <v>45733</v>
          </cell>
          <cell r="T7835">
            <v>45734</v>
          </cell>
          <cell r="U7835">
            <v>45735</v>
          </cell>
          <cell r="V7835">
            <v>45736</v>
          </cell>
          <cell r="W7835">
            <v>45736</v>
          </cell>
          <cell r="X7835">
            <v>41200087</v>
          </cell>
        </row>
        <row r="7836">
          <cell r="K7836" t="str">
            <v>GBWS-5432</v>
          </cell>
          <cell r="L7836">
            <v>45720</v>
          </cell>
          <cell r="M7836">
            <v>45721</v>
          </cell>
          <cell r="N7836">
            <v>45728</v>
          </cell>
          <cell r="O7836">
            <v>45712</v>
          </cell>
          <cell r="P7836">
            <v>45728</v>
          </cell>
          <cell r="Q7836">
            <v>45728</v>
          </cell>
          <cell r="R7836">
            <v>45729</v>
          </cell>
          <cell r="S7836">
            <v>45730</v>
          </cell>
          <cell r="T7836">
            <v>45733</v>
          </cell>
          <cell r="U7836">
            <v>45734</v>
          </cell>
          <cell r="V7836">
            <v>45735</v>
          </cell>
          <cell r="W7836">
            <v>45735</v>
          </cell>
          <cell r="X7836">
            <v>41200036</v>
          </cell>
        </row>
        <row r="7837">
          <cell r="K7837" t="str">
            <v>GBWS-5433</v>
          </cell>
          <cell r="L7837">
            <v>45720</v>
          </cell>
          <cell r="M7837">
            <v>45721</v>
          </cell>
          <cell r="N7837">
            <v>45728</v>
          </cell>
          <cell r="O7837">
            <v>45712</v>
          </cell>
          <cell r="P7837">
            <v>45728</v>
          </cell>
          <cell r="Q7837">
            <v>45728</v>
          </cell>
          <cell r="R7837">
            <v>45729</v>
          </cell>
          <cell r="S7837">
            <v>45730</v>
          </cell>
          <cell r="T7837">
            <v>45733</v>
          </cell>
          <cell r="U7837">
            <v>45734</v>
          </cell>
          <cell r="V7837">
            <v>45735</v>
          </cell>
          <cell r="W7837">
            <v>45735</v>
          </cell>
          <cell r="X7837">
            <v>41200036</v>
          </cell>
        </row>
        <row r="7838">
          <cell r="K7838" t="str">
            <v>GBWS-5434</v>
          </cell>
          <cell r="L7838">
            <v>45720</v>
          </cell>
          <cell r="M7838">
            <v>45721</v>
          </cell>
          <cell r="N7838">
            <v>45728</v>
          </cell>
          <cell r="O7838">
            <v>45712</v>
          </cell>
          <cell r="P7838">
            <v>45728</v>
          </cell>
          <cell r="Q7838">
            <v>45728</v>
          </cell>
          <cell r="R7838">
            <v>45729</v>
          </cell>
          <cell r="S7838">
            <v>45730</v>
          </cell>
          <cell r="T7838">
            <v>45733</v>
          </cell>
          <cell r="U7838">
            <v>45734</v>
          </cell>
          <cell r="V7838">
            <v>45735</v>
          </cell>
          <cell r="W7838">
            <v>45735</v>
          </cell>
          <cell r="X7838">
            <v>41200036</v>
          </cell>
        </row>
        <row r="7839">
          <cell r="K7839" t="str">
            <v>GBWS-5437</v>
          </cell>
          <cell r="L7839">
            <v>45720</v>
          </cell>
          <cell r="M7839">
            <v>45722</v>
          </cell>
          <cell r="N7839">
            <v>45733</v>
          </cell>
          <cell r="O7839">
            <v>45712</v>
          </cell>
          <cell r="P7839">
            <v>45733</v>
          </cell>
          <cell r="Q7839">
            <v>45730</v>
          </cell>
          <cell r="R7839">
            <v>45733</v>
          </cell>
          <cell r="S7839">
            <v>45734</v>
          </cell>
          <cell r="T7839">
            <v>45735</v>
          </cell>
          <cell r="U7839">
            <v>45736</v>
          </cell>
          <cell r="V7839">
            <v>45737</v>
          </cell>
          <cell r="W7839">
            <v>45737</v>
          </cell>
          <cell r="X7839">
            <v>41200046</v>
          </cell>
        </row>
        <row r="7840">
          <cell r="K7840" t="str">
            <v>GBWS-5438</v>
          </cell>
          <cell r="L7840">
            <v>45720</v>
          </cell>
          <cell r="M7840">
            <v>45722</v>
          </cell>
          <cell r="N7840">
            <v>45733</v>
          </cell>
          <cell r="O7840">
            <v>45712</v>
          </cell>
          <cell r="P7840">
            <v>45733</v>
          </cell>
          <cell r="Q7840">
            <v>45730</v>
          </cell>
          <cell r="R7840">
            <v>45733</v>
          </cell>
          <cell r="S7840">
            <v>45734</v>
          </cell>
          <cell r="T7840">
            <v>45735</v>
          </cell>
          <cell r="U7840">
            <v>45736</v>
          </cell>
          <cell r="V7840">
            <v>45737</v>
          </cell>
          <cell r="W7840">
            <v>45737</v>
          </cell>
          <cell r="X7840">
            <v>41200046</v>
          </cell>
        </row>
        <row r="7841">
          <cell r="K7841" t="str">
            <v>GBWS-5439</v>
          </cell>
          <cell r="L7841">
            <v>45720</v>
          </cell>
          <cell r="M7841">
            <v>45722</v>
          </cell>
          <cell r="N7841">
            <v>45733</v>
          </cell>
          <cell r="O7841">
            <v>45712</v>
          </cell>
          <cell r="P7841">
            <v>45733</v>
          </cell>
          <cell r="Q7841">
            <v>45730</v>
          </cell>
          <cell r="R7841">
            <v>45733</v>
          </cell>
          <cell r="S7841">
            <v>45734</v>
          </cell>
          <cell r="T7841">
            <v>45735</v>
          </cell>
          <cell r="U7841">
            <v>45736</v>
          </cell>
          <cell r="V7841">
            <v>45737</v>
          </cell>
          <cell r="W7841">
            <v>45737</v>
          </cell>
          <cell r="X7841">
            <v>41200046</v>
          </cell>
        </row>
        <row r="7842">
          <cell r="K7842" t="str">
            <v>GBWS-5440</v>
          </cell>
          <cell r="L7842">
            <v>45720</v>
          </cell>
          <cell r="M7842">
            <v>45722</v>
          </cell>
          <cell r="N7842">
            <v>45733</v>
          </cell>
          <cell r="O7842">
            <v>45712</v>
          </cell>
          <cell r="P7842">
            <v>45733</v>
          </cell>
          <cell r="Q7842">
            <v>45730</v>
          </cell>
          <cell r="R7842">
            <v>45733</v>
          </cell>
          <cell r="S7842">
            <v>45734</v>
          </cell>
          <cell r="T7842">
            <v>45735</v>
          </cell>
          <cell r="U7842">
            <v>45736</v>
          </cell>
          <cell r="V7842">
            <v>45737</v>
          </cell>
          <cell r="W7842">
            <v>45737</v>
          </cell>
          <cell r="X7842">
            <v>41200046</v>
          </cell>
        </row>
        <row r="7843">
          <cell r="K7843" t="str">
            <v>GBWS-5441</v>
          </cell>
          <cell r="L7843">
            <v>45720</v>
          </cell>
          <cell r="M7843">
            <v>45722</v>
          </cell>
          <cell r="N7843">
            <v>45729</v>
          </cell>
          <cell r="O7843">
            <v>45712</v>
          </cell>
          <cell r="P7843">
            <v>45729</v>
          </cell>
          <cell r="Q7843">
            <v>45729</v>
          </cell>
          <cell r="R7843">
            <v>45730</v>
          </cell>
          <cell r="S7843">
            <v>45733</v>
          </cell>
          <cell r="T7843">
            <v>45734</v>
          </cell>
          <cell r="U7843">
            <v>45735</v>
          </cell>
          <cell r="V7843">
            <v>45736</v>
          </cell>
          <cell r="W7843">
            <v>45736</v>
          </cell>
          <cell r="X7843">
            <v>41100502</v>
          </cell>
        </row>
        <row r="7844">
          <cell r="K7844" t="str">
            <v>GBWS-5442</v>
          </cell>
          <cell r="L7844">
            <v>45720</v>
          </cell>
          <cell r="M7844">
            <v>45722</v>
          </cell>
          <cell r="N7844">
            <v>45730</v>
          </cell>
          <cell r="O7844">
            <v>45712</v>
          </cell>
          <cell r="P7844">
            <v>45730</v>
          </cell>
          <cell r="Q7844">
            <v>45729</v>
          </cell>
          <cell r="R7844">
            <v>45730</v>
          </cell>
          <cell r="S7844">
            <v>45733</v>
          </cell>
          <cell r="T7844">
            <v>45734</v>
          </cell>
          <cell r="U7844">
            <v>45735</v>
          </cell>
          <cell r="V7844">
            <v>45736</v>
          </cell>
          <cell r="W7844">
            <v>45736</v>
          </cell>
          <cell r="X7844">
            <v>41100502</v>
          </cell>
        </row>
        <row r="7845">
          <cell r="K7845" t="str">
            <v>DBW-3616</v>
          </cell>
          <cell r="L7845">
            <v>45726</v>
          </cell>
          <cell r="M7845">
            <v>45728</v>
          </cell>
          <cell r="N7845">
            <v>45734</v>
          </cell>
          <cell r="O7845">
            <v>45720</v>
          </cell>
          <cell r="P7845">
            <v>45735</v>
          </cell>
          <cell r="Q7845">
            <v>45734</v>
          </cell>
          <cell r="R7845">
            <v>45735</v>
          </cell>
          <cell r="S7845">
            <v>45740</v>
          </cell>
          <cell r="T7845">
            <v>45741</v>
          </cell>
          <cell r="U7845">
            <v>45741</v>
          </cell>
          <cell r="V7845">
            <v>45742</v>
          </cell>
          <cell r="W7845">
            <v>45742</v>
          </cell>
          <cell r="X7845">
            <v>41000590</v>
          </cell>
        </row>
        <row r="7846">
          <cell r="K7846" t="str">
            <v>DBW-3617</v>
          </cell>
          <cell r="L7846">
            <v>45726</v>
          </cell>
          <cell r="M7846">
            <v>45728</v>
          </cell>
          <cell r="N7846">
            <v>45734</v>
          </cell>
          <cell r="O7846">
            <v>45720</v>
          </cell>
          <cell r="P7846">
            <v>45735</v>
          </cell>
          <cell r="Q7846">
            <v>45734</v>
          </cell>
          <cell r="R7846">
            <v>45735</v>
          </cell>
          <cell r="S7846">
            <v>45740</v>
          </cell>
          <cell r="T7846">
            <v>45741</v>
          </cell>
          <cell r="U7846">
            <v>45741</v>
          </cell>
          <cell r="V7846">
            <v>45742</v>
          </cell>
          <cell r="W7846">
            <v>45742</v>
          </cell>
          <cell r="X7846">
            <v>41000590</v>
          </cell>
        </row>
        <row r="7847">
          <cell r="K7847" t="str">
            <v>GBWS-5201</v>
          </cell>
          <cell r="L7847">
            <v>45645</v>
          </cell>
          <cell r="M7847">
            <v>45646</v>
          </cell>
          <cell r="N7847">
            <v>45660</v>
          </cell>
          <cell r="O7847">
            <v>45646</v>
          </cell>
          <cell r="P7847">
            <v>45646</v>
          </cell>
          <cell r="Q7847">
            <v>45660</v>
          </cell>
          <cell r="R7847">
            <v>45663</v>
          </cell>
          <cell r="S7847">
            <v>45664</v>
          </cell>
          <cell r="T7847">
            <v>45665</v>
          </cell>
          <cell r="U7847">
            <v>45666</v>
          </cell>
          <cell r="V7847">
            <v>45667</v>
          </cell>
          <cell r="W7847">
            <v>45667</v>
          </cell>
          <cell r="X7847">
            <v>41200034</v>
          </cell>
        </row>
        <row r="7848">
          <cell r="K7848" t="str">
            <v>WS-0103</v>
          </cell>
          <cell r="L7848">
            <v>45721</v>
          </cell>
          <cell r="M7848">
            <v>45723</v>
          </cell>
          <cell r="N7848">
            <v>45733</v>
          </cell>
          <cell r="O7848">
            <v>45712</v>
          </cell>
          <cell r="P7848">
            <v>45730</v>
          </cell>
          <cell r="Q7848">
            <v>45733</v>
          </cell>
          <cell r="R7848">
            <v>45734</v>
          </cell>
          <cell r="S7848">
            <v>45735</v>
          </cell>
          <cell r="T7848">
            <v>45736</v>
          </cell>
          <cell r="U7848">
            <v>45737</v>
          </cell>
          <cell r="V7848">
            <v>45740</v>
          </cell>
          <cell r="W7848">
            <v>45740</v>
          </cell>
          <cell r="X7848">
            <v>41100435</v>
          </cell>
        </row>
        <row r="7849">
          <cell r="K7849" t="str">
            <v>WS-0104</v>
          </cell>
          <cell r="L7849">
            <v>45721</v>
          </cell>
          <cell r="M7849">
            <v>45723</v>
          </cell>
          <cell r="N7849">
            <v>45733</v>
          </cell>
          <cell r="O7849">
            <v>45712</v>
          </cell>
          <cell r="P7849">
            <v>45730</v>
          </cell>
          <cell r="Q7849">
            <v>45733</v>
          </cell>
          <cell r="R7849">
            <v>45734</v>
          </cell>
          <cell r="S7849">
            <v>45735</v>
          </cell>
          <cell r="T7849">
            <v>45736</v>
          </cell>
          <cell r="U7849">
            <v>45737</v>
          </cell>
          <cell r="V7849">
            <v>45740</v>
          </cell>
          <cell r="W7849">
            <v>45740</v>
          </cell>
          <cell r="X7849">
            <v>41100435</v>
          </cell>
        </row>
        <row r="7850">
          <cell r="K7850" t="str">
            <v>GBWS-5452</v>
          </cell>
          <cell r="L7850">
            <v>45723</v>
          </cell>
          <cell r="M7850">
            <v>45727</v>
          </cell>
          <cell r="N7850">
            <v>45735</v>
          </cell>
          <cell r="O7850">
            <v>45712</v>
          </cell>
          <cell r="P7850">
            <v>45736</v>
          </cell>
          <cell r="Q7850">
            <v>45735</v>
          </cell>
          <cell r="R7850">
            <v>45736</v>
          </cell>
          <cell r="S7850">
            <v>45737</v>
          </cell>
          <cell r="T7850">
            <v>45740</v>
          </cell>
          <cell r="U7850">
            <v>45741</v>
          </cell>
          <cell r="V7850">
            <v>45742</v>
          </cell>
          <cell r="W7850">
            <v>45742</v>
          </cell>
          <cell r="X7850">
            <v>41200046</v>
          </cell>
        </row>
        <row r="7851">
          <cell r="K7851" t="str">
            <v>GBWS-5453</v>
          </cell>
          <cell r="L7851">
            <v>45723</v>
          </cell>
          <cell r="M7851">
            <v>45727</v>
          </cell>
          <cell r="N7851">
            <v>45735</v>
          </cell>
          <cell r="O7851">
            <v>45712</v>
          </cell>
          <cell r="P7851">
            <v>45736</v>
          </cell>
          <cell r="Q7851">
            <v>45735</v>
          </cell>
          <cell r="R7851">
            <v>45736</v>
          </cell>
          <cell r="S7851">
            <v>45737</v>
          </cell>
          <cell r="T7851">
            <v>45740</v>
          </cell>
          <cell r="U7851">
            <v>45741</v>
          </cell>
          <cell r="V7851">
            <v>45742</v>
          </cell>
          <cell r="W7851">
            <v>45742</v>
          </cell>
          <cell r="X7851">
            <v>41200046</v>
          </cell>
        </row>
        <row r="7852">
          <cell r="K7852" t="str">
            <v>GBWS-5454</v>
          </cell>
          <cell r="L7852">
            <v>45723</v>
          </cell>
          <cell r="M7852">
            <v>45727</v>
          </cell>
          <cell r="N7852">
            <v>45735</v>
          </cell>
          <cell r="O7852">
            <v>45712</v>
          </cell>
          <cell r="P7852">
            <v>45736</v>
          </cell>
          <cell r="Q7852">
            <v>45735</v>
          </cell>
          <cell r="R7852">
            <v>45736</v>
          </cell>
          <cell r="S7852">
            <v>45737</v>
          </cell>
          <cell r="T7852">
            <v>45740</v>
          </cell>
          <cell r="U7852">
            <v>45741</v>
          </cell>
          <cell r="V7852">
            <v>45742</v>
          </cell>
          <cell r="W7852">
            <v>45742</v>
          </cell>
          <cell r="X7852">
            <v>41200046</v>
          </cell>
        </row>
        <row r="7853">
          <cell r="K7853" t="str">
            <v>GBWS-5455</v>
          </cell>
          <cell r="L7853">
            <v>45723</v>
          </cell>
          <cell r="M7853">
            <v>45727</v>
          </cell>
          <cell r="N7853">
            <v>45735</v>
          </cell>
          <cell r="O7853">
            <v>45712</v>
          </cell>
          <cell r="P7853">
            <v>45736</v>
          </cell>
          <cell r="Q7853">
            <v>45735</v>
          </cell>
          <cell r="R7853">
            <v>45736</v>
          </cell>
          <cell r="S7853">
            <v>45737</v>
          </cell>
          <cell r="T7853">
            <v>45740</v>
          </cell>
          <cell r="U7853">
            <v>45742</v>
          </cell>
          <cell r="V7853">
            <v>45742</v>
          </cell>
          <cell r="W7853">
            <v>45742</v>
          </cell>
          <cell r="X7853">
            <v>41200046</v>
          </cell>
        </row>
        <row r="7854">
          <cell r="K7854" t="str">
            <v>GBWS-5458</v>
          </cell>
          <cell r="L7854">
            <v>45726</v>
          </cell>
          <cell r="M7854">
            <v>45728</v>
          </cell>
          <cell r="N7854">
            <v>45736</v>
          </cell>
          <cell r="O7854">
            <v>45720</v>
          </cell>
          <cell r="P7854">
            <v>45737</v>
          </cell>
          <cell r="Q7854">
            <v>45736</v>
          </cell>
          <cell r="R7854">
            <v>45737</v>
          </cell>
          <cell r="S7854">
            <v>45740</v>
          </cell>
          <cell r="T7854">
            <v>45741</v>
          </cell>
          <cell r="U7854">
            <v>45742</v>
          </cell>
          <cell r="V7854">
            <v>45743</v>
          </cell>
          <cell r="W7854">
            <v>45743</v>
          </cell>
          <cell r="X7854">
            <v>41200080</v>
          </cell>
        </row>
        <row r="7855">
          <cell r="K7855" t="str">
            <v>GBWS-5426</v>
          </cell>
          <cell r="L7855">
            <v>45720</v>
          </cell>
          <cell r="M7855">
            <v>45720</v>
          </cell>
          <cell r="N7855">
            <v>45733</v>
          </cell>
          <cell r="O7855">
            <v>45705</v>
          </cell>
          <cell r="P7855">
            <v>45736</v>
          </cell>
          <cell r="Q7855" t="str">
            <v>2025-03-12 → 3/19</v>
          </cell>
          <cell r="R7855" t="str">
            <v>2025-03-13 → 3/20</v>
          </cell>
          <cell r="S7855">
            <v>45737</v>
          </cell>
          <cell r="T7855">
            <v>45740</v>
          </cell>
          <cell r="U7855">
            <v>45742</v>
          </cell>
          <cell r="V7855">
            <v>45743</v>
          </cell>
          <cell r="W7855">
            <v>45743</v>
          </cell>
          <cell r="X7855">
            <v>41100566</v>
          </cell>
        </row>
        <row r="7856">
          <cell r="K7856" t="str">
            <v>GPWS-0528</v>
          </cell>
          <cell r="L7856">
            <v>45723</v>
          </cell>
          <cell r="M7856">
            <v>45727</v>
          </cell>
          <cell r="N7856">
            <v>45735</v>
          </cell>
          <cell r="O7856">
            <v>45712</v>
          </cell>
          <cell r="P7856">
            <v>45735</v>
          </cell>
          <cell r="Q7856">
            <v>45734</v>
          </cell>
          <cell r="R7856">
            <v>45735</v>
          </cell>
          <cell r="S7856">
            <v>45740</v>
          </cell>
          <cell r="T7856">
            <v>45740</v>
          </cell>
          <cell r="U7856">
            <v>45743</v>
          </cell>
          <cell r="V7856">
            <v>45744</v>
          </cell>
          <cell r="W7856">
            <v>45744</v>
          </cell>
          <cell r="X7856">
            <v>41200120</v>
          </cell>
        </row>
        <row r="7857">
          <cell r="K7857" t="str">
            <v>RT-0029</v>
          </cell>
          <cell r="L7857">
            <v>45720</v>
          </cell>
          <cell r="M7857">
            <v>45722</v>
          </cell>
          <cell r="N7857">
            <v>45736</v>
          </cell>
          <cell r="O7857">
            <v>45712</v>
          </cell>
          <cell r="P7857">
            <v>45735</v>
          </cell>
          <cell r="Q7857">
            <v>45728</v>
          </cell>
          <cell r="R7857">
            <v>45729</v>
          </cell>
          <cell r="S7857">
            <v>45740</v>
          </cell>
          <cell r="T7857">
            <v>45740</v>
          </cell>
          <cell r="U7857">
            <v>45743</v>
          </cell>
          <cell r="V7857">
            <v>45744</v>
          </cell>
          <cell r="W7857">
            <v>45744</v>
          </cell>
          <cell r="X7857">
            <v>31102723</v>
          </cell>
        </row>
        <row r="7858">
          <cell r="K7858" t="str">
            <v>DBW-3611</v>
          </cell>
          <cell r="L7858">
            <v>45720</v>
          </cell>
          <cell r="M7858">
            <v>45720</v>
          </cell>
          <cell r="N7858">
            <v>45728</v>
          </cell>
          <cell r="O7858">
            <v>45705</v>
          </cell>
          <cell r="P7858">
            <v>45730</v>
          </cell>
          <cell r="Q7858">
            <v>45728</v>
          </cell>
          <cell r="R7858">
            <v>45729</v>
          </cell>
          <cell r="S7858">
            <v>45737</v>
          </cell>
          <cell r="T7858">
            <v>45740</v>
          </cell>
          <cell r="U7858">
            <v>45742</v>
          </cell>
          <cell r="V7858">
            <v>45743</v>
          </cell>
          <cell r="W7858">
            <v>45743</v>
          </cell>
          <cell r="X7858">
            <v>41000587</v>
          </cell>
        </row>
        <row r="7859">
          <cell r="K7859" t="str">
            <v>GBWS-4385</v>
          </cell>
          <cell r="L7859">
            <v>45387</v>
          </cell>
          <cell r="M7859">
            <v>45390</v>
          </cell>
          <cell r="N7859">
            <v>45399</v>
          </cell>
          <cell r="O7859">
            <v>45390</v>
          </cell>
          <cell r="P7859">
            <v>45400</v>
          </cell>
          <cell r="Q7859">
            <v>45399</v>
          </cell>
          <cell r="R7859">
            <v>45400</v>
          </cell>
          <cell r="S7859">
            <v>45435</v>
          </cell>
          <cell r="T7859">
            <v>45436</v>
          </cell>
          <cell r="U7859">
            <v>45439</v>
          </cell>
          <cell r="V7859">
            <v>45440</v>
          </cell>
          <cell r="W7859">
            <v>45440</v>
          </cell>
          <cell r="X7859">
            <v>41100564</v>
          </cell>
        </row>
        <row r="7860">
          <cell r="K7860" t="str">
            <v>GBWS-5425</v>
          </cell>
          <cell r="L7860">
            <v>45720</v>
          </cell>
          <cell r="M7860">
            <v>45720</v>
          </cell>
          <cell r="N7860">
            <v>45737</v>
          </cell>
          <cell r="O7860">
            <v>45705</v>
          </cell>
          <cell r="P7860">
            <v>45740</v>
          </cell>
          <cell r="Q7860" t="str">
            <v>2025-03-12 → 3/21</v>
          </cell>
          <cell r="R7860" t="str">
            <v>2025-03-13 → 3/24</v>
          </cell>
          <cell r="S7860">
            <v>45741</v>
          </cell>
          <cell r="T7860">
            <v>45742</v>
          </cell>
          <cell r="U7860">
            <v>45743</v>
          </cell>
          <cell r="V7860">
            <v>45744</v>
          </cell>
          <cell r="W7860">
            <v>45744</v>
          </cell>
          <cell r="X7860">
            <v>41100564</v>
          </cell>
        </row>
        <row r="7861">
          <cell r="K7861" t="str">
            <v>GBWS-4717</v>
          </cell>
          <cell r="L7861">
            <v>45482</v>
          </cell>
          <cell r="M7861">
            <v>45483</v>
          </cell>
          <cell r="N7861">
            <v>45489</v>
          </cell>
          <cell r="O7861">
            <v>45483</v>
          </cell>
          <cell r="P7861">
            <v>45490</v>
          </cell>
          <cell r="Q7861">
            <v>45489</v>
          </cell>
          <cell r="R7861">
            <v>45490</v>
          </cell>
          <cell r="S7861">
            <v>45491</v>
          </cell>
          <cell r="T7861">
            <v>45492</v>
          </cell>
          <cell r="U7861">
            <v>45497</v>
          </cell>
          <cell r="V7861">
            <v>45497</v>
          </cell>
          <cell r="W7861">
            <v>45497</v>
          </cell>
          <cell r="X7861">
            <v>41100550</v>
          </cell>
        </row>
        <row r="7862">
          <cell r="K7862" t="str">
            <v>GBWS-4718</v>
          </cell>
          <cell r="L7862">
            <v>45482</v>
          </cell>
          <cell r="M7862">
            <v>45483</v>
          </cell>
          <cell r="N7862">
            <v>45489</v>
          </cell>
          <cell r="O7862">
            <v>45483</v>
          </cell>
          <cell r="P7862">
            <v>45490</v>
          </cell>
          <cell r="Q7862">
            <v>45489</v>
          </cell>
          <cell r="R7862">
            <v>45490</v>
          </cell>
          <cell r="S7862">
            <v>45491</v>
          </cell>
          <cell r="T7862">
            <v>45492</v>
          </cell>
          <cell r="U7862">
            <v>45496</v>
          </cell>
          <cell r="V7862">
            <v>45496</v>
          </cell>
          <cell r="W7862">
            <v>45496</v>
          </cell>
          <cell r="X7862">
            <v>41100550</v>
          </cell>
        </row>
        <row r="7863">
          <cell r="K7863" t="str">
            <v>GBWS-5320</v>
          </cell>
          <cell r="L7863">
            <v>45691</v>
          </cell>
          <cell r="M7863">
            <v>45693</v>
          </cell>
          <cell r="N7863">
            <v>45701</v>
          </cell>
          <cell r="O7863">
            <v>45693</v>
          </cell>
          <cell r="P7863">
            <v>45702</v>
          </cell>
          <cell r="Q7863">
            <v>45701</v>
          </cell>
          <cell r="R7863">
            <v>45702</v>
          </cell>
          <cell r="S7863">
            <v>45706</v>
          </cell>
          <cell r="T7863">
            <v>45707</v>
          </cell>
          <cell r="U7863">
            <v>45708</v>
          </cell>
          <cell r="V7863">
            <v>45709</v>
          </cell>
          <cell r="W7863">
            <v>45709</v>
          </cell>
          <cell r="X7863">
            <v>41200006</v>
          </cell>
        </row>
        <row r="7864">
          <cell r="K7864" t="str">
            <v>GBWS-5321</v>
          </cell>
          <cell r="L7864">
            <v>45691</v>
          </cell>
          <cell r="M7864">
            <v>45693</v>
          </cell>
          <cell r="N7864">
            <v>45701</v>
          </cell>
          <cell r="O7864">
            <v>45693</v>
          </cell>
          <cell r="P7864">
            <v>45702</v>
          </cell>
          <cell r="Q7864">
            <v>45701</v>
          </cell>
          <cell r="R7864">
            <v>45702</v>
          </cell>
          <cell r="S7864">
            <v>45706</v>
          </cell>
          <cell r="T7864">
            <v>45707</v>
          </cell>
          <cell r="U7864">
            <v>45708</v>
          </cell>
          <cell r="V7864">
            <v>45709</v>
          </cell>
          <cell r="W7864">
            <v>45709</v>
          </cell>
          <cell r="X7864">
            <v>41200006</v>
          </cell>
        </row>
        <row r="7865">
          <cell r="K7865" t="str">
            <v>GBWS-5435</v>
          </cell>
          <cell r="L7865">
            <v>45720</v>
          </cell>
          <cell r="M7865">
            <v>45722</v>
          </cell>
          <cell r="N7865">
            <v>45730</v>
          </cell>
          <cell r="O7865">
            <v>45712</v>
          </cell>
          <cell r="P7865">
            <v>45733</v>
          </cell>
          <cell r="Q7865">
            <v>45730</v>
          </cell>
          <cell r="R7865">
            <v>45733</v>
          </cell>
          <cell r="S7865">
            <v>45734</v>
          </cell>
          <cell r="T7865">
            <v>45735</v>
          </cell>
          <cell r="U7865">
            <v>45736</v>
          </cell>
          <cell r="V7865">
            <v>45737</v>
          </cell>
          <cell r="W7865">
            <v>45737</v>
          </cell>
          <cell r="X7865">
            <v>41200007</v>
          </cell>
        </row>
        <row r="7866">
          <cell r="K7866" t="str">
            <v>GBWS-5436</v>
          </cell>
          <cell r="L7866">
            <v>45720</v>
          </cell>
          <cell r="M7866">
            <v>45722</v>
          </cell>
          <cell r="N7866">
            <v>45730</v>
          </cell>
          <cell r="O7866">
            <v>45712</v>
          </cell>
          <cell r="P7866">
            <v>45733</v>
          </cell>
          <cell r="Q7866">
            <v>45730</v>
          </cell>
          <cell r="R7866">
            <v>45733</v>
          </cell>
          <cell r="S7866">
            <v>45734</v>
          </cell>
          <cell r="T7866">
            <v>45735</v>
          </cell>
          <cell r="U7866">
            <v>45736</v>
          </cell>
          <cell r="V7866">
            <v>45737</v>
          </cell>
          <cell r="W7866">
            <v>45737</v>
          </cell>
          <cell r="X7866">
            <v>41200007</v>
          </cell>
        </row>
        <row r="7867">
          <cell r="K7867" t="str">
            <v>GPWS-0477</v>
          </cell>
          <cell r="L7867">
            <v>45706</v>
          </cell>
          <cell r="M7867">
            <v>45707</v>
          </cell>
          <cell r="N7867">
            <v>45716</v>
          </cell>
          <cell r="O7867">
            <v>45707</v>
          </cell>
          <cell r="P7867">
            <v>45720</v>
          </cell>
          <cell r="Q7867">
            <v>45716</v>
          </cell>
          <cell r="R7867">
            <v>45720</v>
          </cell>
          <cell r="S7867">
            <v>45721</v>
          </cell>
          <cell r="T7867">
            <v>45722</v>
          </cell>
          <cell r="U7867">
            <v>45723</v>
          </cell>
          <cell r="V7867">
            <v>45726</v>
          </cell>
          <cell r="W7867">
            <v>45726</v>
          </cell>
          <cell r="X7867">
            <v>41000598</v>
          </cell>
        </row>
        <row r="7868">
          <cell r="K7868" t="str">
            <v>GPWS-0478</v>
          </cell>
          <cell r="L7868">
            <v>45706</v>
          </cell>
          <cell r="M7868">
            <v>45707</v>
          </cell>
          <cell r="N7868">
            <v>45716</v>
          </cell>
          <cell r="O7868">
            <v>45707</v>
          </cell>
          <cell r="P7868">
            <v>45720</v>
          </cell>
          <cell r="Q7868">
            <v>45716</v>
          </cell>
          <cell r="R7868">
            <v>45720</v>
          </cell>
          <cell r="S7868">
            <v>45721</v>
          </cell>
          <cell r="T7868">
            <v>45722</v>
          </cell>
          <cell r="U7868">
            <v>45723</v>
          </cell>
          <cell r="V7868">
            <v>45726</v>
          </cell>
          <cell r="W7868">
            <v>45726</v>
          </cell>
          <cell r="X7868">
            <v>41000598</v>
          </cell>
        </row>
        <row r="7869">
          <cell r="K7869" t="str">
            <v>GBWS-5283</v>
          </cell>
          <cell r="L7869">
            <v>45674</v>
          </cell>
          <cell r="M7869">
            <v>45677</v>
          </cell>
          <cell r="N7869">
            <v>45692</v>
          </cell>
          <cell r="O7869">
            <v>45677</v>
          </cell>
          <cell r="P7869">
            <v>45692</v>
          </cell>
          <cell r="Q7869" t="str">
            <v>2025-01-31 → 2/4</v>
          </cell>
          <cell r="R7869" t="str">
            <v>2025-02-03 → 2/5</v>
          </cell>
          <cell r="S7869">
            <v>45694</v>
          </cell>
          <cell r="T7869">
            <v>45695</v>
          </cell>
          <cell r="U7869">
            <v>45698</v>
          </cell>
          <cell r="V7869">
            <v>45699</v>
          </cell>
          <cell r="W7869">
            <v>45699</v>
          </cell>
          <cell r="X7869">
            <v>41200076</v>
          </cell>
        </row>
        <row r="7870">
          <cell r="K7870" t="str">
            <v>GBWS-5404</v>
          </cell>
          <cell r="L7870">
            <v>45712</v>
          </cell>
          <cell r="M7870">
            <v>45713</v>
          </cell>
          <cell r="N7870">
            <v>45722</v>
          </cell>
          <cell r="O7870">
            <v>45713</v>
          </cell>
          <cell r="P7870">
            <v>45722</v>
          </cell>
          <cell r="Q7870">
            <v>45722</v>
          </cell>
          <cell r="R7870">
            <v>45723</v>
          </cell>
          <cell r="S7870">
            <v>45726</v>
          </cell>
          <cell r="T7870">
            <v>45727</v>
          </cell>
          <cell r="U7870">
            <v>45728</v>
          </cell>
          <cell r="V7870">
            <v>45729</v>
          </cell>
          <cell r="W7870">
            <v>45729</v>
          </cell>
          <cell r="X7870">
            <v>41200101</v>
          </cell>
        </row>
        <row r="7871">
          <cell r="K7871" t="str">
            <v>GBWS-5418</v>
          </cell>
          <cell r="L7871">
            <v>45715</v>
          </cell>
          <cell r="M7871">
            <v>45716</v>
          </cell>
          <cell r="N7871">
            <v>45726</v>
          </cell>
          <cell r="O7871">
            <v>45716</v>
          </cell>
          <cell r="P7871">
            <v>45726</v>
          </cell>
          <cell r="Q7871">
            <v>45727</v>
          </cell>
          <cell r="R7871">
            <v>45728</v>
          </cell>
          <cell r="S7871">
            <v>45741</v>
          </cell>
          <cell r="T7871">
            <v>45742</v>
          </cell>
          <cell r="U7871">
            <v>45743</v>
          </cell>
          <cell r="V7871">
            <v>45744</v>
          </cell>
          <cell r="W7871">
            <v>45744</v>
          </cell>
          <cell r="X7871">
            <v>41200101</v>
          </cell>
        </row>
        <row r="7872">
          <cell r="K7872" t="str">
            <v>GBWS-5419</v>
          </cell>
          <cell r="L7872">
            <v>45715</v>
          </cell>
          <cell r="M7872">
            <v>45716</v>
          </cell>
          <cell r="N7872">
            <v>45726</v>
          </cell>
          <cell r="O7872">
            <v>45716</v>
          </cell>
          <cell r="P7872">
            <v>45726</v>
          </cell>
          <cell r="Q7872">
            <v>45727</v>
          </cell>
          <cell r="R7872">
            <v>45728</v>
          </cell>
          <cell r="S7872">
            <v>45741</v>
          </cell>
          <cell r="T7872">
            <v>45742</v>
          </cell>
          <cell r="U7872">
            <v>45743</v>
          </cell>
          <cell r="V7872">
            <v>45744</v>
          </cell>
          <cell r="W7872">
            <v>45744</v>
          </cell>
          <cell r="X7872">
            <v>41200101</v>
          </cell>
        </row>
        <row r="7873">
          <cell r="K7873" t="str">
            <v>GBWS-5430</v>
          </cell>
          <cell r="L7873">
            <v>45720</v>
          </cell>
          <cell r="M7873">
            <v>45721</v>
          </cell>
          <cell r="N7873">
            <v>45728</v>
          </cell>
          <cell r="O7873">
            <v>45712</v>
          </cell>
          <cell r="P7873">
            <v>45729</v>
          </cell>
          <cell r="Q7873">
            <v>45728</v>
          </cell>
          <cell r="R7873">
            <v>45729</v>
          </cell>
          <cell r="S7873">
            <v>45730</v>
          </cell>
          <cell r="T7873">
            <v>45733</v>
          </cell>
          <cell r="U7873">
            <v>45734</v>
          </cell>
          <cell r="V7873">
            <v>45735</v>
          </cell>
          <cell r="W7873">
            <v>45735</v>
          </cell>
          <cell r="X7873">
            <v>41200113</v>
          </cell>
        </row>
        <row r="7874">
          <cell r="K7874" t="str">
            <v>GBWS-5392</v>
          </cell>
          <cell r="L7874">
            <v>45705</v>
          </cell>
          <cell r="M7874">
            <v>45706</v>
          </cell>
          <cell r="N7874">
            <v>45714</v>
          </cell>
          <cell r="O7874">
            <v>45706</v>
          </cell>
          <cell r="P7874">
            <v>45715</v>
          </cell>
          <cell r="Q7874">
            <v>45714</v>
          </cell>
          <cell r="R7874">
            <v>45715</v>
          </cell>
          <cell r="S7874">
            <v>45723</v>
          </cell>
          <cell r="T7874">
            <v>45726</v>
          </cell>
          <cell r="U7874">
            <v>45727</v>
          </cell>
          <cell r="V7874">
            <v>45728</v>
          </cell>
          <cell r="W7874">
            <v>45728</v>
          </cell>
          <cell r="X7874">
            <v>41100320</v>
          </cell>
        </row>
        <row r="7875">
          <cell r="K7875" t="str">
            <v>GBWS-5262</v>
          </cell>
          <cell r="L7875">
            <v>45670</v>
          </cell>
          <cell r="M7875">
            <v>45671</v>
          </cell>
          <cell r="N7875">
            <v>45678</v>
          </cell>
          <cell r="O7875">
            <v>45671</v>
          </cell>
          <cell r="P7875">
            <v>45679</v>
          </cell>
          <cell r="Q7875" t="str">
            <v>2025-01-22 → 1/21</v>
          </cell>
          <cell r="R7875" t="str">
            <v>2025-01-23 → 1/22</v>
          </cell>
          <cell r="S7875">
            <v>45705</v>
          </cell>
          <cell r="T7875">
            <v>45706</v>
          </cell>
          <cell r="U7875">
            <v>45707</v>
          </cell>
          <cell r="V7875">
            <v>45708</v>
          </cell>
          <cell r="W7875">
            <v>45708</v>
          </cell>
          <cell r="X7875">
            <v>41200076</v>
          </cell>
        </row>
        <row r="7876">
          <cell r="K7876" t="str">
            <v>GBWS-5263</v>
          </cell>
          <cell r="L7876">
            <v>45670</v>
          </cell>
          <cell r="M7876">
            <v>45671</v>
          </cell>
          <cell r="N7876">
            <v>45678</v>
          </cell>
          <cell r="O7876">
            <v>45671</v>
          </cell>
          <cell r="P7876">
            <v>45679</v>
          </cell>
          <cell r="Q7876" t="str">
            <v>2025-01-22 → 1/21</v>
          </cell>
          <cell r="R7876" t="str">
            <v>2025-01-23 → 1/22</v>
          </cell>
          <cell r="S7876">
            <v>45705</v>
          </cell>
          <cell r="T7876">
            <v>45706</v>
          </cell>
          <cell r="U7876">
            <v>45707</v>
          </cell>
          <cell r="V7876">
            <v>45708</v>
          </cell>
          <cell r="W7876">
            <v>45708</v>
          </cell>
          <cell r="X7876">
            <v>41200076</v>
          </cell>
        </row>
        <row r="7877">
          <cell r="K7877" t="str">
            <v>GBWS-5412</v>
          </cell>
          <cell r="L7877">
            <v>45714</v>
          </cell>
          <cell r="M7877">
            <v>45715</v>
          </cell>
          <cell r="N7877">
            <v>45726</v>
          </cell>
          <cell r="O7877">
            <v>45715</v>
          </cell>
          <cell r="P7877">
            <v>45727</v>
          </cell>
          <cell r="Q7877">
            <v>45726</v>
          </cell>
          <cell r="R7877">
            <v>45727</v>
          </cell>
          <cell r="S7877">
            <v>45728</v>
          </cell>
          <cell r="T7877">
            <v>45729</v>
          </cell>
          <cell r="U7877">
            <v>45730</v>
          </cell>
          <cell r="V7877">
            <v>45733</v>
          </cell>
          <cell r="W7877">
            <v>45733</v>
          </cell>
          <cell r="X7877">
            <v>41200076</v>
          </cell>
        </row>
        <row r="7878">
          <cell r="K7878" t="str">
            <v>GBWS-5413</v>
          </cell>
          <cell r="L7878">
            <v>45714</v>
          </cell>
          <cell r="M7878">
            <v>45715</v>
          </cell>
          <cell r="N7878">
            <v>45726</v>
          </cell>
          <cell r="O7878">
            <v>45715</v>
          </cell>
          <cell r="P7878">
            <v>45727</v>
          </cell>
          <cell r="Q7878">
            <v>45726</v>
          </cell>
          <cell r="R7878">
            <v>45727</v>
          </cell>
          <cell r="S7878">
            <v>45728</v>
          </cell>
          <cell r="T7878">
            <v>45729</v>
          </cell>
          <cell r="U7878">
            <v>45730</v>
          </cell>
          <cell r="V7878">
            <v>45733</v>
          </cell>
          <cell r="W7878">
            <v>45733</v>
          </cell>
          <cell r="X7878">
            <v>41200076</v>
          </cell>
        </row>
        <row r="7879">
          <cell r="K7879" t="str">
            <v>GBWS-5414</v>
          </cell>
          <cell r="L7879">
            <v>45714</v>
          </cell>
          <cell r="M7879">
            <v>45715</v>
          </cell>
          <cell r="N7879">
            <v>45726</v>
          </cell>
          <cell r="O7879">
            <v>45715</v>
          </cell>
          <cell r="P7879">
            <v>45727</v>
          </cell>
          <cell r="Q7879">
            <v>45727</v>
          </cell>
          <cell r="R7879">
            <v>45728</v>
          </cell>
          <cell r="S7879">
            <v>45728</v>
          </cell>
          <cell r="T7879">
            <v>45730</v>
          </cell>
          <cell r="U7879">
            <v>45733</v>
          </cell>
          <cell r="V7879">
            <v>45734</v>
          </cell>
          <cell r="W7879">
            <v>45734</v>
          </cell>
          <cell r="X7879">
            <v>41200076</v>
          </cell>
        </row>
        <row r="7880">
          <cell r="K7880" t="str">
            <v>GBWS-5415</v>
          </cell>
          <cell r="L7880">
            <v>45714</v>
          </cell>
          <cell r="M7880">
            <v>45715</v>
          </cell>
          <cell r="N7880">
            <v>45726</v>
          </cell>
          <cell r="O7880">
            <v>45715</v>
          </cell>
          <cell r="P7880">
            <v>45727</v>
          </cell>
          <cell r="Q7880">
            <v>45727</v>
          </cell>
          <cell r="R7880">
            <v>45728</v>
          </cell>
          <cell r="S7880">
            <v>45728</v>
          </cell>
          <cell r="T7880">
            <v>45730</v>
          </cell>
          <cell r="U7880">
            <v>45733</v>
          </cell>
          <cell r="V7880">
            <v>45734</v>
          </cell>
          <cell r="W7880">
            <v>45734</v>
          </cell>
          <cell r="X7880">
            <v>41200076</v>
          </cell>
        </row>
        <row r="7881">
          <cell r="K7881" t="str">
            <v>GBWS-5405</v>
          </cell>
          <cell r="L7881">
            <v>45712</v>
          </cell>
          <cell r="M7881">
            <v>45713</v>
          </cell>
          <cell r="N7881">
            <v>45722</v>
          </cell>
          <cell r="O7881">
            <v>45713</v>
          </cell>
          <cell r="P7881">
            <v>45722</v>
          </cell>
          <cell r="Q7881">
            <v>45722</v>
          </cell>
          <cell r="R7881">
            <v>45723</v>
          </cell>
          <cell r="S7881">
            <v>45726</v>
          </cell>
          <cell r="T7881">
            <v>45727</v>
          </cell>
          <cell r="U7881">
            <v>45728</v>
          </cell>
          <cell r="V7881">
            <v>45729</v>
          </cell>
          <cell r="W7881">
            <v>45729</v>
          </cell>
          <cell r="X7881">
            <v>41200101</v>
          </cell>
        </row>
        <row r="7882">
          <cell r="K7882" t="str">
            <v>GBWS-5401</v>
          </cell>
          <cell r="L7882">
            <v>45709</v>
          </cell>
          <cell r="M7882">
            <v>45712</v>
          </cell>
          <cell r="N7882">
            <v>45721</v>
          </cell>
          <cell r="O7882">
            <v>45712</v>
          </cell>
          <cell r="P7882">
            <v>45720</v>
          </cell>
          <cell r="Q7882">
            <v>45721</v>
          </cell>
          <cell r="R7882">
            <v>45722</v>
          </cell>
          <cell r="S7882">
            <v>45723</v>
          </cell>
          <cell r="T7882">
            <v>45726</v>
          </cell>
          <cell r="U7882">
            <v>45727</v>
          </cell>
          <cell r="V7882">
            <v>45728</v>
          </cell>
          <cell r="W7882">
            <v>45728</v>
          </cell>
          <cell r="X7882">
            <v>41100334</v>
          </cell>
        </row>
        <row r="7883">
          <cell r="K7883" t="str">
            <v>GBWS-5406</v>
          </cell>
          <cell r="L7883">
            <v>45712</v>
          </cell>
          <cell r="M7883" t="str">
            <v>2025-02-26 → 3/14</v>
          </cell>
          <cell r="N7883">
            <v>45735</v>
          </cell>
          <cell r="O7883" t="str">
            <v>2025-02-26 → 3/14</v>
          </cell>
          <cell r="P7883">
            <v>45736</v>
          </cell>
          <cell r="Q7883" t="str">
            <v>2025-03-07 → 3/21</v>
          </cell>
          <cell r="R7883" t="str">
            <v>2025-03-10 → 3/21</v>
          </cell>
          <cell r="S7883">
            <v>45740</v>
          </cell>
          <cell r="T7883">
            <v>45741</v>
          </cell>
          <cell r="U7883">
            <v>45742</v>
          </cell>
          <cell r="V7883">
            <v>45743</v>
          </cell>
          <cell r="W7883">
            <v>45743</v>
          </cell>
          <cell r="X7883" t="str">
            <v>41100334 → 41200124</v>
          </cell>
        </row>
        <row r="7884">
          <cell r="K7884" t="str">
            <v>GBWS-5402</v>
          </cell>
          <cell r="L7884">
            <v>45709</v>
          </cell>
          <cell r="M7884">
            <v>45712</v>
          </cell>
          <cell r="N7884">
            <v>45721</v>
          </cell>
          <cell r="O7884">
            <v>45712</v>
          </cell>
          <cell r="P7884">
            <v>45720</v>
          </cell>
          <cell r="Q7884">
            <v>45721</v>
          </cell>
          <cell r="R7884">
            <v>45722</v>
          </cell>
          <cell r="S7884">
            <v>45735</v>
          </cell>
          <cell r="T7884">
            <v>45736</v>
          </cell>
          <cell r="U7884">
            <v>45737</v>
          </cell>
          <cell r="V7884">
            <v>45740</v>
          </cell>
          <cell r="W7884">
            <v>45740</v>
          </cell>
          <cell r="X7884" t="str">
            <v>41100334 → 41200124</v>
          </cell>
        </row>
        <row r="7885">
          <cell r="K7885"/>
          <cell r="L7885"/>
          <cell r="M7885">
            <v>45730</v>
          </cell>
          <cell r="N7885">
            <v>45733</v>
          </cell>
          <cell r="O7885">
            <v>45730</v>
          </cell>
          <cell r="P7885">
            <v>45734</v>
          </cell>
          <cell r="Q7885">
            <v>45737</v>
          </cell>
          <cell r="R7885">
            <v>45737</v>
          </cell>
          <cell r="S7885"/>
          <cell r="T7885"/>
          <cell r="U7885"/>
          <cell r="V7885"/>
          <cell r="W7885"/>
          <cell r="X7885"/>
        </row>
        <row r="7886">
          <cell r="K7886" t="str">
            <v>GBWS-5443</v>
          </cell>
          <cell r="L7886">
            <v>45721</v>
          </cell>
          <cell r="M7886">
            <v>45723</v>
          </cell>
          <cell r="N7886">
            <v>45734</v>
          </cell>
          <cell r="O7886">
            <v>45712</v>
          </cell>
          <cell r="P7886">
            <v>45735</v>
          </cell>
          <cell r="Q7886">
            <v>45734</v>
          </cell>
          <cell r="R7886">
            <v>45735</v>
          </cell>
          <cell r="S7886">
            <v>45734</v>
          </cell>
          <cell r="T7886">
            <v>45737</v>
          </cell>
          <cell r="U7886">
            <v>45740</v>
          </cell>
          <cell r="V7886">
            <v>45741</v>
          </cell>
          <cell r="W7886">
            <v>45741</v>
          </cell>
          <cell r="X7886">
            <v>41200076</v>
          </cell>
        </row>
        <row r="7887">
          <cell r="K7887" t="str">
            <v>GBWS-5456</v>
          </cell>
          <cell r="L7887">
            <v>45726</v>
          </cell>
          <cell r="M7887">
            <v>45728</v>
          </cell>
          <cell r="N7887">
            <v>45735</v>
          </cell>
          <cell r="O7887">
            <v>45720</v>
          </cell>
          <cell r="P7887">
            <v>45735</v>
          </cell>
          <cell r="Q7887">
            <v>45736</v>
          </cell>
          <cell r="R7887">
            <v>45737</v>
          </cell>
          <cell r="S7887">
            <v>45742</v>
          </cell>
          <cell r="T7887">
            <v>45743</v>
          </cell>
          <cell r="U7887">
            <v>45744</v>
          </cell>
          <cell r="V7887">
            <v>45747</v>
          </cell>
          <cell r="W7887">
            <v>45747</v>
          </cell>
          <cell r="X7887">
            <v>41200076</v>
          </cell>
        </row>
        <row r="7888">
          <cell r="K7888" t="str">
            <v>WS-0101</v>
          </cell>
          <cell r="L7888">
            <v>45695</v>
          </cell>
          <cell r="M7888">
            <v>45698</v>
          </cell>
          <cell r="N7888">
            <v>45707</v>
          </cell>
          <cell r="O7888">
            <v>45698</v>
          </cell>
          <cell r="P7888">
            <v>45706</v>
          </cell>
          <cell r="Q7888">
            <v>45706</v>
          </cell>
          <cell r="R7888">
            <v>45707</v>
          </cell>
          <cell r="S7888">
            <v>45708</v>
          </cell>
          <cell r="T7888">
            <v>45714</v>
          </cell>
          <cell r="U7888">
            <v>45715</v>
          </cell>
          <cell r="V7888">
            <v>45715</v>
          </cell>
          <cell r="W7888">
            <v>45715</v>
          </cell>
          <cell r="X7888">
            <v>41100435</v>
          </cell>
        </row>
        <row r="7889">
          <cell r="K7889" t="str">
            <v>WS-0102</v>
          </cell>
          <cell r="L7889">
            <v>45720</v>
          </cell>
          <cell r="M7889">
            <v>45720</v>
          </cell>
          <cell r="N7889">
            <v>45727</v>
          </cell>
          <cell r="O7889">
            <v>45705</v>
          </cell>
          <cell r="P7889">
            <v>45728</v>
          </cell>
          <cell r="Q7889">
            <v>45728</v>
          </cell>
          <cell r="R7889">
            <v>45729</v>
          </cell>
          <cell r="S7889">
            <v>45733</v>
          </cell>
          <cell r="T7889">
            <v>45734</v>
          </cell>
          <cell r="U7889">
            <v>45735</v>
          </cell>
          <cell r="V7889">
            <v>45736</v>
          </cell>
          <cell r="W7889">
            <v>45736</v>
          </cell>
          <cell r="X7889">
            <v>41100435</v>
          </cell>
        </row>
        <row r="7890">
          <cell r="K7890" t="str">
            <v>WS-0105</v>
          </cell>
          <cell r="L7890">
            <v>45728</v>
          </cell>
          <cell r="M7890">
            <v>45730</v>
          </cell>
          <cell r="N7890">
            <v>45737</v>
          </cell>
          <cell r="O7890">
            <v>45720</v>
          </cell>
          <cell r="P7890">
            <v>45740</v>
          </cell>
          <cell r="Q7890">
            <v>45737</v>
          </cell>
          <cell r="R7890">
            <v>45740</v>
          </cell>
          <cell r="S7890">
            <v>45741</v>
          </cell>
          <cell r="T7890">
            <v>45742</v>
          </cell>
          <cell r="U7890">
            <v>45747</v>
          </cell>
          <cell r="V7890">
            <v>45748</v>
          </cell>
          <cell r="W7890">
            <v>45748</v>
          </cell>
          <cell r="X7890">
            <v>41100435</v>
          </cell>
        </row>
        <row r="7891">
          <cell r="K7891" t="str">
            <v>GBWS-5467</v>
          </cell>
          <cell r="L7891">
            <v>45730</v>
          </cell>
          <cell r="M7891">
            <v>45734</v>
          </cell>
          <cell r="N7891">
            <v>45741</v>
          </cell>
          <cell r="O7891">
            <v>45720</v>
          </cell>
          <cell r="P7891">
            <v>45742</v>
          </cell>
          <cell r="Q7891">
            <v>45741</v>
          </cell>
          <cell r="R7891">
            <v>45742</v>
          </cell>
          <cell r="S7891">
            <v>45743</v>
          </cell>
          <cell r="T7891">
            <v>45744</v>
          </cell>
          <cell r="U7891">
            <v>45748</v>
          </cell>
          <cell r="V7891">
            <v>45748</v>
          </cell>
          <cell r="W7891">
            <v>45748</v>
          </cell>
          <cell r="X7891">
            <v>41200122</v>
          </cell>
        </row>
        <row r="7892">
          <cell r="K7892" t="str">
            <v>GBWS-5468</v>
          </cell>
          <cell r="L7892">
            <v>45730</v>
          </cell>
          <cell r="M7892">
            <v>45734</v>
          </cell>
          <cell r="N7892">
            <v>45741</v>
          </cell>
          <cell r="O7892">
            <v>45720</v>
          </cell>
          <cell r="P7892">
            <v>45742</v>
          </cell>
          <cell r="Q7892">
            <v>45741</v>
          </cell>
          <cell r="R7892">
            <v>45742</v>
          </cell>
          <cell r="S7892">
            <v>45743</v>
          </cell>
          <cell r="T7892">
            <v>45744</v>
          </cell>
          <cell r="U7892">
            <v>45747</v>
          </cell>
          <cell r="V7892">
            <v>45748</v>
          </cell>
          <cell r="W7892">
            <v>45748</v>
          </cell>
          <cell r="X7892">
            <v>41200122</v>
          </cell>
        </row>
        <row r="7893">
          <cell r="K7893" t="str">
            <v>GBWS-5373</v>
          </cell>
          <cell r="L7893">
            <v>45700</v>
          </cell>
          <cell r="M7893">
            <v>45702</v>
          </cell>
          <cell r="N7893">
            <v>45712</v>
          </cell>
          <cell r="O7893">
            <v>45702</v>
          </cell>
          <cell r="P7893">
            <v>45712</v>
          </cell>
          <cell r="Q7893">
            <v>45712</v>
          </cell>
          <cell r="R7893">
            <v>45713</v>
          </cell>
          <cell r="S7893">
            <v>45747</v>
          </cell>
          <cell r="T7893">
            <v>45748</v>
          </cell>
          <cell r="U7893">
            <v>45750</v>
          </cell>
          <cell r="V7893">
            <v>45750</v>
          </cell>
          <cell r="W7893">
            <v>45750</v>
          </cell>
          <cell r="X7893">
            <v>41100317</v>
          </cell>
        </row>
        <row r="7894">
          <cell r="K7894" t="str">
            <v>GPWS-0479</v>
          </cell>
          <cell r="L7894">
            <v>45706</v>
          </cell>
          <cell r="M7894">
            <v>45707</v>
          </cell>
          <cell r="N7894">
            <v>45716</v>
          </cell>
          <cell r="O7894">
            <v>45707</v>
          </cell>
          <cell r="P7894">
            <v>45720</v>
          </cell>
          <cell r="Q7894">
            <v>45716</v>
          </cell>
          <cell r="R7894">
            <v>45720</v>
          </cell>
          <cell r="S7894">
            <v>45721</v>
          </cell>
          <cell r="T7894">
            <v>45722</v>
          </cell>
          <cell r="U7894">
            <v>45723</v>
          </cell>
          <cell r="V7894">
            <v>45726</v>
          </cell>
          <cell r="W7894">
            <v>45726</v>
          </cell>
          <cell r="X7894">
            <v>41000598</v>
          </cell>
        </row>
        <row r="7895">
          <cell r="K7895" t="str">
            <v>GPWS-0480</v>
          </cell>
          <cell r="L7895">
            <v>45706</v>
          </cell>
          <cell r="M7895">
            <v>45707</v>
          </cell>
          <cell r="N7895">
            <v>45716</v>
          </cell>
          <cell r="O7895">
            <v>45707</v>
          </cell>
          <cell r="P7895">
            <v>45720</v>
          </cell>
          <cell r="Q7895">
            <v>45716</v>
          </cell>
          <cell r="R7895">
            <v>45720</v>
          </cell>
          <cell r="S7895">
            <v>45721</v>
          </cell>
          <cell r="T7895">
            <v>45722</v>
          </cell>
          <cell r="U7895">
            <v>45723</v>
          </cell>
          <cell r="V7895">
            <v>45726</v>
          </cell>
          <cell r="W7895">
            <v>45726</v>
          </cell>
          <cell r="X7895">
            <v>41000598</v>
          </cell>
        </row>
        <row r="7896">
          <cell r="K7896" t="str">
            <v>GPWS-0539</v>
          </cell>
          <cell r="L7896">
            <v>45729</v>
          </cell>
          <cell r="M7896">
            <v>45733</v>
          </cell>
          <cell r="N7896">
            <v>45741</v>
          </cell>
          <cell r="O7896">
            <v>45720</v>
          </cell>
          <cell r="P7896">
            <v>45741</v>
          </cell>
          <cell r="Q7896">
            <v>45741</v>
          </cell>
          <cell r="R7896">
            <v>45742</v>
          </cell>
          <cell r="S7896">
            <v>45744</v>
          </cell>
          <cell r="T7896">
            <v>45747</v>
          </cell>
          <cell r="U7896">
            <v>45748</v>
          </cell>
          <cell r="V7896">
            <v>45749</v>
          </cell>
          <cell r="W7896">
            <v>45749</v>
          </cell>
          <cell r="X7896">
            <v>41000598</v>
          </cell>
        </row>
        <row r="7897">
          <cell r="K7897" t="str">
            <v>GPWS-0540</v>
          </cell>
          <cell r="L7897">
            <v>45729</v>
          </cell>
          <cell r="M7897">
            <v>45733</v>
          </cell>
          <cell r="N7897">
            <v>45741</v>
          </cell>
          <cell r="O7897">
            <v>45720</v>
          </cell>
          <cell r="P7897">
            <v>45741</v>
          </cell>
          <cell r="Q7897">
            <v>45741</v>
          </cell>
          <cell r="R7897">
            <v>45742</v>
          </cell>
          <cell r="S7897">
            <v>45744</v>
          </cell>
          <cell r="T7897">
            <v>45747</v>
          </cell>
          <cell r="U7897">
            <v>45748</v>
          </cell>
          <cell r="V7897">
            <v>45749</v>
          </cell>
          <cell r="W7897">
            <v>45749</v>
          </cell>
          <cell r="X7897">
            <v>41000598</v>
          </cell>
        </row>
        <row r="7898">
          <cell r="K7898" t="str">
            <v>GBWS-5382</v>
          </cell>
          <cell r="L7898">
            <v>45700</v>
          </cell>
          <cell r="M7898">
            <v>45702</v>
          </cell>
          <cell r="N7898">
            <v>45709</v>
          </cell>
          <cell r="O7898">
            <v>45702</v>
          </cell>
          <cell r="P7898">
            <v>45713</v>
          </cell>
          <cell r="Q7898">
            <v>45712</v>
          </cell>
          <cell r="R7898">
            <v>45713</v>
          </cell>
          <cell r="S7898">
            <v>45714</v>
          </cell>
          <cell r="T7898">
            <v>45715</v>
          </cell>
          <cell r="U7898">
            <v>45716</v>
          </cell>
          <cell r="V7898">
            <v>45720</v>
          </cell>
          <cell r="W7898">
            <v>45720</v>
          </cell>
          <cell r="X7898">
            <v>41200007</v>
          </cell>
        </row>
        <row r="7899">
          <cell r="K7899" t="str">
            <v>GBWS-5383</v>
          </cell>
          <cell r="L7899">
            <v>45700</v>
          </cell>
          <cell r="M7899">
            <v>45702</v>
          </cell>
          <cell r="N7899">
            <v>45709</v>
          </cell>
          <cell r="O7899">
            <v>45702</v>
          </cell>
          <cell r="P7899">
            <v>45713</v>
          </cell>
          <cell r="Q7899">
            <v>45712</v>
          </cell>
          <cell r="R7899">
            <v>45713</v>
          </cell>
          <cell r="S7899">
            <v>45714</v>
          </cell>
          <cell r="T7899">
            <v>45715</v>
          </cell>
          <cell r="U7899">
            <v>45716</v>
          </cell>
          <cell r="V7899">
            <v>45720</v>
          </cell>
          <cell r="W7899">
            <v>45720</v>
          </cell>
          <cell r="X7899">
            <v>41200007</v>
          </cell>
        </row>
        <row r="7900">
          <cell r="K7900" t="str">
            <v>GBWS-5466</v>
          </cell>
          <cell r="L7900">
            <v>45729</v>
          </cell>
          <cell r="M7900">
            <v>45733</v>
          </cell>
          <cell r="N7900">
            <v>45740</v>
          </cell>
          <cell r="O7900">
            <v>45720</v>
          </cell>
          <cell r="P7900">
            <v>45740</v>
          </cell>
          <cell r="Q7900">
            <v>45741</v>
          </cell>
          <cell r="R7900">
            <v>45742</v>
          </cell>
          <cell r="S7900">
            <v>45743</v>
          </cell>
          <cell r="T7900">
            <v>45744</v>
          </cell>
          <cell r="U7900">
            <v>45747</v>
          </cell>
          <cell r="V7900">
            <v>45748</v>
          </cell>
          <cell r="W7900">
            <v>45748</v>
          </cell>
          <cell r="X7900">
            <v>41200042</v>
          </cell>
        </row>
        <row r="7901">
          <cell r="K7901" t="str">
            <v>GBWS-5461</v>
          </cell>
          <cell r="L7901">
            <v>45729</v>
          </cell>
          <cell r="M7901">
            <v>45733</v>
          </cell>
          <cell r="N7901">
            <v>45741</v>
          </cell>
          <cell r="O7901">
            <v>45720</v>
          </cell>
          <cell r="P7901">
            <v>45740</v>
          </cell>
          <cell r="Q7901">
            <v>45742</v>
          </cell>
          <cell r="R7901">
            <v>45743</v>
          </cell>
          <cell r="S7901">
            <v>45744</v>
          </cell>
          <cell r="T7901">
            <v>45744</v>
          </cell>
          <cell r="U7901">
            <v>45747</v>
          </cell>
          <cell r="V7901">
            <v>45749</v>
          </cell>
          <cell r="W7901">
            <v>45749</v>
          </cell>
          <cell r="X7901">
            <v>41200046</v>
          </cell>
        </row>
        <row r="7902">
          <cell r="K7902" t="str">
            <v>GBWS-5462</v>
          </cell>
          <cell r="L7902">
            <v>45729</v>
          </cell>
          <cell r="M7902">
            <v>45733</v>
          </cell>
          <cell r="N7902">
            <v>45741</v>
          </cell>
          <cell r="O7902">
            <v>45720</v>
          </cell>
          <cell r="P7902">
            <v>45740</v>
          </cell>
          <cell r="Q7902">
            <v>45742</v>
          </cell>
          <cell r="R7902">
            <v>45743</v>
          </cell>
          <cell r="S7902">
            <v>45744</v>
          </cell>
          <cell r="T7902">
            <v>45747</v>
          </cell>
          <cell r="U7902">
            <v>45748</v>
          </cell>
          <cell r="V7902">
            <v>45749</v>
          </cell>
          <cell r="W7902">
            <v>45749</v>
          </cell>
          <cell r="X7902">
            <v>41200046</v>
          </cell>
        </row>
        <row r="7903">
          <cell r="K7903" t="str">
            <v>GBWS-5463</v>
          </cell>
          <cell r="L7903">
            <v>45729</v>
          </cell>
          <cell r="M7903">
            <v>45733</v>
          </cell>
          <cell r="N7903">
            <v>45741</v>
          </cell>
          <cell r="O7903">
            <v>45720</v>
          </cell>
          <cell r="P7903">
            <v>45740</v>
          </cell>
          <cell r="Q7903">
            <v>45742</v>
          </cell>
          <cell r="R7903">
            <v>45743</v>
          </cell>
          <cell r="S7903">
            <v>45744</v>
          </cell>
          <cell r="T7903">
            <v>45747</v>
          </cell>
          <cell r="U7903">
            <v>45748</v>
          </cell>
          <cell r="V7903">
            <v>45748</v>
          </cell>
          <cell r="W7903">
            <v>45748</v>
          </cell>
          <cell r="X7903">
            <v>41200046</v>
          </cell>
        </row>
        <row r="7904">
          <cell r="K7904" t="str">
            <v>GBWS-5464</v>
          </cell>
          <cell r="L7904">
            <v>45729</v>
          </cell>
          <cell r="M7904">
            <v>45733</v>
          </cell>
          <cell r="N7904">
            <v>45741</v>
          </cell>
          <cell r="O7904">
            <v>45720</v>
          </cell>
          <cell r="P7904">
            <v>45740</v>
          </cell>
          <cell r="Q7904">
            <v>45742</v>
          </cell>
          <cell r="R7904">
            <v>45743</v>
          </cell>
          <cell r="S7904">
            <v>45744</v>
          </cell>
          <cell r="T7904">
            <v>45747</v>
          </cell>
          <cell r="U7904">
            <v>45748</v>
          </cell>
          <cell r="V7904">
            <v>45749</v>
          </cell>
          <cell r="W7904">
            <v>45749</v>
          </cell>
          <cell r="X7904">
            <v>41200046</v>
          </cell>
        </row>
        <row r="7905">
          <cell r="K7905" t="str">
            <v>GBWS-5465</v>
          </cell>
          <cell r="L7905">
            <v>45729</v>
          </cell>
          <cell r="M7905">
            <v>45733</v>
          </cell>
          <cell r="N7905">
            <v>45741</v>
          </cell>
          <cell r="O7905">
            <v>45720</v>
          </cell>
          <cell r="P7905">
            <v>45740</v>
          </cell>
          <cell r="Q7905">
            <v>45741</v>
          </cell>
          <cell r="R7905">
            <v>45742</v>
          </cell>
          <cell r="S7905">
            <v>45743</v>
          </cell>
          <cell r="T7905">
            <v>45744</v>
          </cell>
          <cell r="U7905">
            <v>45747</v>
          </cell>
          <cell r="V7905">
            <v>45748</v>
          </cell>
          <cell r="W7905">
            <v>45748</v>
          </cell>
          <cell r="X7905">
            <v>41200038</v>
          </cell>
        </row>
        <row r="7906">
          <cell r="K7906" t="str">
            <v>GBWS-5459</v>
          </cell>
          <cell r="L7906">
            <v>45729</v>
          </cell>
          <cell r="M7906">
            <v>45733</v>
          </cell>
          <cell r="N7906">
            <v>45741</v>
          </cell>
          <cell r="O7906">
            <v>45720</v>
          </cell>
          <cell r="P7906">
            <v>45741</v>
          </cell>
          <cell r="Q7906">
            <v>45741</v>
          </cell>
          <cell r="R7906">
            <v>45742</v>
          </cell>
          <cell r="S7906">
            <v>45743</v>
          </cell>
          <cell r="T7906">
            <v>45744</v>
          </cell>
          <cell r="U7906">
            <v>45747</v>
          </cell>
          <cell r="V7906">
            <v>45748</v>
          </cell>
          <cell r="W7906">
            <v>45748</v>
          </cell>
          <cell r="X7906">
            <v>41200080</v>
          </cell>
        </row>
        <row r="7907">
          <cell r="K7907" t="str">
            <v>GBWS-5460</v>
          </cell>
          <cell r="L7907">
            <v>45729</v>
          </cell>
          <cell r="M7907">
            <v>45733</v>
          </cell>
          <cell r="N7907">
            <v>45741</v>
          </cell>
          <cell r="O7907">
            <v>45720</v>
          </cell>
          <cell r="P7907">
            <v>45741</v>
          </cell>
          <cell r="Q7907">
            <v>45741</v>
          </cell>
          <cell r="R7907">
            <v>45742</v>
          </cell>
          <cell r="S7907">
            <v>45743</v>
          </cell>
          <cell r="T7907">
            <v>45744</v>
          </cell>
          <cell r="U7907">
            <v>45748</v>
          </cell>
          <cell r="V7907">
            <v>45748</v>
          </cell>
          <cell r="W7907">
            <v>45748</v>
          </cell>
          <cell r="X7907">
            <v>41200080</v>
          </cell>
        </row>
        <row r="7908">
          <cell r="K7908" t="str">
            <v>GBWS-5349</v>
          </cell>
          <cell r="L7908">
            <v>45695</v>
          </cell>
          <cell r="M7908">
            <v>45698</v>
          </cell>
          <cell r="N7908">
            <v>45707</v>
          </cell>
          <cell r="O7908">
            <v>45698</v>
          </cell>
          <cell r="P7908">
            <v>45707</v>
          </cell>
          <cell r="Q7908">
            <v>45707</v>
          </cell>
          <cell r="R7908">
            <v>45708</v>
          </cell>
          <cell r="S7908">
            <v>45708</v>
          </cell>
          <cell r="T7908">
            <v>45715</v>
          </cell>
          <cell r="U7908">
            <v>45716</v>
          </cell>
          <cell r="V7908">
            <v>45720</v>
          </cell>
          <cell r="W7908">
            <v>45720</v>
          </cell>
          <cell r="X7908">
            <v>41200006</v>
          </cell>
        </row>
        <row r="7909">
          <cell r="K7909" t="str">
            <v>GBWS-5350</v>
          </cell>
          <cell r="L7909">
            <v>45695</v>
          </cell>
          <cell r="M7909">
            <v>45698</v>
          </cell>
          <cell r="N7909">
            <v>45707</v>
          </cell>
          <cell r="O7909">
            <v>45698</v>
          </cell>
          <cell r="P7909">
            <v>45707</v>
          </cell>
          <cell r="Q7909">
            <v>45707</v>
          </cell>
          <cell r="R7909">
            <v>45708</v>
          </cell>
          <cell r="S7909">
            <v>45708</v>
          </cell>
          <cell r="T7909">
            <v>45715</v>
          </cell>
          <cell r="U7909">
            <v>45716</v>
          </cell>
          <cell r="V7909">
            <v>45720</v>
          </cell>
          <cell r="W7909">
            <v>45720</v>
          </cell>
          <cell r="X7909">
            <v>41200006</v>
          </cell>
        </row>
        <row r="7910">
          <cell r="K7910" t="str">
            <v>GBWS-5427</v>
          </cell>
          <cell r="L7910">
            <v>45720</v>
          </cell>
          <cell r="M7910">
            <v>45721</v>
          </cell>
          <cell r="N7910">
            <v>45729</v>
          </cell>
          <cell r="O7910">
            <v>45712</v>
          </cell>
          <cell r="P7910">
            <v>45730</v>
          </cell>
          <cell r="Q7910">
            <v>45729</v>
          </cell>
          <cell r="R7910">
            <v>45730</v>
          </cell>
          <cell r="S7910">
            <v>45733</v>
          </cell>
          <cell r="T7910">
            <v>45734</v>
          </cell>
          <cell r="U7910">
            <v>45735</v>
          </cell>
          <cell r="V7910">
            <v>45736</v>
          </cell>
          <cell r="W7910">
            <v>45736</v>
          </cell>
          <cell r="X7910">
            <v>41200101</v>
          </cell>
        </row>
        <row r="7911">
          <cell r="K7911" t="str">
            <v>GPWS-0546</v>
          </cell>
          <cell r="L7911">
            <v>45733</v>
          </cell>
          <cell r="M7911">
            <v>45735</v>
          </cell>
          <cell r="N7911">
            <v>45743</v>
          </cell>
          <cell r="O7911">
            <v>45726</v>
          </cell>
          <cell r="P7911">
            <v>45744</v>
          </cell>
          <cell r="Q7911">
            <v>45743</v>
          </cell>
          <cell r="R7911">
            <v>45744</v>
          </cell>
          <cell r="S7911">
            <v>45748</v>
          </cell>
          <cell r="T7911">
            <v>45749</v>
          </cell>
          <cell r="U7911">
            <v>45750</v>
          </cell>
          <cell r="V7911">
            <v>45751</v>
          </cell>
          <cell r="W7911">
            <v>45751</v>
          </cell>
          <cell r="X7911">
            <v>41000598</v>
          </cell>
        </row>
        <row r="7912">
          <cell r="K7912" t="str">
            <v>GBWS-5202</v>
          </cell>
          <cell r="L7912">
            <v>45645</v>
          </cell>
          <cell r="M7912">
            <v>45646</v>
          </cell>
          <cell r="N7912">
            <v>45660</v>
          </cell>
          <cell r="O7912">
            <v>45646</v>
          </cell>
          <cell r="P7912">
            <v>45646</v>
          </cell>
          <cell r="Q7912">
            <v>45660</v>
          </cell>
          <cell r="R7912">
            <v>45663</v>
          </cell>
          <cell r="S7912">
            <v>45664</v>
          </cell>
          <cell r="T7912">
            <v>45665</v>
          </cell>
          <cell r="U7912">
            <v>45666</v>
          </cell>
          <cell r="V7912">
            <v>45667</v>
          </cell>
          <cell r="W7912">
            <v>45667</v>
          </cell>
          <cell r="X7912">
            <v>41200034</v>
          </cell>
        </row>
        <row r="7913">
          <cell r="K7913" t="str">
            <v>GBWS-5203</v>
          </cell>
          <cell r="L7913">
            <v>45645</v>
          </cell>
          <cell r="M7913">
            <v>45646</v>
          </cell>
          <cell r="N7913">
            <v>45660</v>
          </cell>
          <cell r="O7913">
            <v>45646</v>
          </cell>
          <cell r="P7913">
            <v>45646</v>
          </cell>
          <cell r="Q7913">
            <v>45660</v>
          </cell>
          <cell r="R7913">
            <v>45663</v>
          </cell>
          <cell r="S7913">
            <v>45664</v>
          </cell>
          <cell r="T7913">
            <v>45665</v>
          </cell>
          <cell r="U7913">
            <v>45666</v>
          </cell>
          <cell r="V7913">
            <v>45667</v>
          </cell>
          <cell r="W7913">
            <v>45667</v>
          </cell>
          <cell r="X7913">
            <v>41200034</v>
          </cell>
        </row>
        <row r="7914">
          <cell r="K7914" t="str">
            <v>GBWS-5475</v>
          </cell>
          <cell r="L7914">
            <v>45736</v>
          </cell>
          <cell r="M7914">
            <v>45740</v>
          </cell>
          <cell r="N7914">
            <v>45748</v>
          </cell>
          <cell r="O7914">
            <v>45726</v>
          </cell>
          <cell r="P7914">
            <v>45749</v>
          </cell>
          <cell r="Q7914">
            <v>45748</v>
          </cell>
          <cell r="R7914">
            <v>45749</v>
          </cell>
          <cell r="S7914">
            <v>45750</v>
          </cell>
          <cell r="T7914">
            <v>45751</v>
          </cell>
          <cell r="U7914">
            <v>45754</v>
          </cell>
          <cell r="V7914">
            <v>45755</v>
          </cell>
          <cell r="W7914">
            <v>45755</v>
          </cell>
          <cell r="X7914">
            <v>41200046</v>
          </cell>
        </row>
        <row r="7915">
          <cell r="K7915" t="str">
            <v>GBWS-5476</v>
          </cell>
          <cell r="L7915">
            <v>45736</v>
          </cell>
          <cell r="M7915">
            <v>45740</v>
          </cell>
          <cell r="N7915">
            <v>45748</v>
          </cell>
          <cell r="O7915">
            <v>45726</v>
          </cell>
          <cell r="P7915">
            <v>45749</v>
          </cell>
          <cell r="Q7915">
            <v>45748</v>
          </cell>
          <cell r="R7915">
            <v>45749</v>
          </cell>
          <cell r="S7915">
            <v>45750</v>
          </cell>
          <cell r="T7915">
            <v>45751</v>
          </cell>
          <cell r="U7915">
            <v>45754</v>
          </cell>
          <cell r="V7915">
            <v>45755</v>
          </cell>
          <cell r="W7915">
            <v>45755</v>
          </cell>
          <cell r="X7915">
            <v>41200046</v>
          </cell>
        </row>
        <row r="7916">
          <cell r="K7916" t="str">
            <v>GBWS-5483</v>
          </cell>
          <cell r="L7916">
            <v>45737</v>
          </cell>
          <cell r="M7916">
            <v>45741</v>
          </cell>
          <cell r="N7916">
            <v>45749</v>
          </cell>
          <cell r="O7916">
            <v>45726</v>
          </cell>
          <cell r="P7916">
            <v>45750</v>
          </cell>
          <cell r="Q7916">
            <v>45749</v>
          </cell>
          <cell r="R7916">
            <v>45750</v>
          </cell>
          <cell r="S7916">
            <v>45751</v>
          </cell>
          <cell r="T7916">
            <v>45754</v>
          </cell>
          <cell r="U7916">
            <v>45755</v>
          </cell>
          <cell r="V7916">
            <v>45756</v>
          </cell>
          <cell r="W7916">
            <v>45756</v>
          </cell>
          <cell r="X7916">
            <v>41200039</v>
          </cell>
        </row>
        <row r="7917">
          <cell r="K7917" t="str">
            <v>GBWS-5484</v>
          </cell>
          <cell r="L7917">
            <v>45737</v>
          </cell>
          <cell r="M7917">
            <v>45741</v>
          </cell>
          <cell r="N7917">
            <v>45749</v>
          </cell>
          <cell r="O7917">
            <v>45726</v>
          </cell>
          <cell r="P7917">
            <v>45750</v>
          </cell>
          <cell r="Q7917">
            <v>45749</v>
          </cell>
          <cell r="R7917">
            <v>45750</v>
          </cell>
          <cell r="S7917">
            <v>45751</v>
          </cell>
          <cell r="T7917">
            <v>45754</v>
          </cell>
          <cell r="U7917">
            <v>45755</v>
          </cell>
          <cell r="V7917">
            <v>45756</v>
          </cell>
          <cell r="W7917">
            <v>45756</v>
          </cell>
          <cell r="X7917">
            <v>41200039</v>
          </cell>
        </row>
        <row r="7918">
          <cell r="K7918" t="str">
            <v>GBWS-5491</v>
          </cell>
          <cell r="L7918">
            <v>45740</v>
          </cell>
          <cell r="M7918">
            <v>45742</v>
          </cell>
          <cell r="N7918">
            <v>45749</v>
          </cell>
          <cell r="O7918">
            <v>45733</v>
          </cell>
          <cell r="P7918">
            <v>45750</v>
          </cell>
          <cell r="Q7918">
            <v>45749</v>
          </cell>
          <cell r="R7918">
            <v>45750</v>
          </cell>
          <cell r="S7918">
            <v>45751</v>
          </cell>
          <cell r="T7918">
            <v>45754</v>
          </cell>
          <cell r="U7918">
            <v>45755</v>
          </cell>
          <cell r="V7918">
            <v>45756</v>
          </cell>
          <cell r="W7918">
            <v>45756</v>
          </cell>
          <cell r="X7918">
            <v>41100564</v>
          </cell>
        </row>
        <row r="7919">
          <cell r="K7919" t="str">
            <v>GBWS-5492</v>
          </cell>
          <cell r="L7919">
            <v>45740</v>
          </cell>
          <cell r="M7919">
            <v>45742</v>
          </cell>
          <cell r="N7919">
            <v>45749</v>
          </cell>
          <cell r="O7919">
            <v>45733</v>
          </cell>
          <cell r="P7919">
            <v>45750</v>
          </cell>
          <cell r="Q7919">
            <v>45749</v>
          </cell>
          <cell r="R7919">
            <v>45750</v>
          </cell>
          <cell r="S7919">
            <v>45751</v>
          </cell>
          <cell r="T7919">
            <v>45754</v>
          </cell>
          <cell r="U7919">
            <v>45755</v>
          </cell>
          <cell r="V7919">
            <v>45756</v>
          </cell>
          <cell r="W7919">
            <v>45756</v>
          </cell>
          <cell r="X7919">
            <v>41100564</v>
          </cell>
        </row>
        <row r="7920">
          <cell r="K7920" t="str">
            <v>GPWS-0511</v>
          </cell>
          <cell r="L7920">
            <v>45720</v>
          </cell>
          <cell r="M7920">
            <v>45722</v>
          </cell>
          <cell r="N7920">
            <v>45730</v>
          </cell>
          <cell r="O7920">
            <v>45712</v>
          </cell>
          <cell r="P7920">
            <v>45733</v>
          </cell>
          <cell r="Q7920">
            <v>45730</v>
          </cell>
          <cell r="R7920">
            <v>45733</v>
          </cell>
          <cell r="S7920">
            <v>45735</v>
          </cell>
          <cell r="T7920">
            <v>45736</v>
          </cell>
          <cell r="U7920">
            <v>45737</v>
          </cell>
          <cell r="V7920">
            <v>45740</v>
          </cell>
          <cell r="W7920">
            <v>45740</v>
          </cell>
          <cell r="X7920">
            <v>41200108</v>
          </cell>
        </row>
        <row r="7921">
          <cell r="K7921" t="str">
            <v>GPWS-0512</v>
          </cell>
          <cell r="L7921">
            <v>45720</v>
          </cell>
          <cell r="M7921">
            <v>45722</v>
          </cell>
          <cell r="N7921">
            <v>45730</v>
          </cell>
          <cell r="O7921">
            <v>45712</v>
          </cell>
          <cell r="P7921">
            <v>45733</v>
          </cell>
          <cell r="Q7921">
            <v>45730</v>
          </cell>
          <cell r="R7921">
            <v>45733</v>
          </cell>
          <cell r="S7921">
            <v>45735</v>
          </cell>
          <cell r="T7921">
            <v>45736</v>
          </cell>
          <cell r="U7921">
            <v>45737</v>
          </cell>
          <cell r="V7921">
            <v>45740</v>
          </cell>
          <cell r="W7921">
            <v>45740</v>
          </cell>
          <cell r="X7921">
            <v>41200108</v>
          </cell>
        </row>
        <row r="7922">
          <cell r="K7922" t="str">
            <v>GPWS-0513</v>
          </cell>
          <cell r="L7922">
            <v>45720</v>
          </cell>
          <cell r="M7922">
            <v>45722</v>
          </cell>
          <cell r="N7922">
            <v>45730</v>
          </cell>
          <cell r="O7922">
            <v>45712</v>
          </cell>
          <cell r="P7922">
            <v>45733</v>
          </cell>
          <cell r="Q7922">
            <v>45730</v>
          </cell>
          <cell r="R7922">
            <v>45733</v>
          </cell>
          <cell r="S7922">
            <v>45735</v>
          </cell>
          <cell r="T7922">
            <v>45736</v>
          </cell>
          <cell r="U7922">
            <v>45737</v>
          </cell>
          <cell r="V7922">
            <v>45740</v>
          </cell>
          <cell r="W7922">
            <v>45740</v>
          </cell>
          <cell r="X7922">
            <v>41200108</v>
          </cell>
        </row>
        <row r="7923">
          <cell r="K7923" t="str">
            <v>GPWS-0493</v>
          </cell>
          <cell r="L7923">
            <v>45709</v>
          </cell>
          <cell r="M7923">
            <v>45712</v>
          </cell>
          <cell r="N7923">
            <v>45723</v>
          </cell>
          <cell r="O7923">
            <v>45712</v>
          </cell>
          <cell r="P7923">
            <v>45723</v>
          </cell>
          <cell r="Q7923">
            <v>45720</v>
          </cell>
          <cell r="R7923">
            <v>45721</v>
          </cell>
          <cell r="S7923">
            <v>45723</v>
          </cell>
          <cell r="T7923">
            <v>45726</v>
          </cell>
          <cell r="U7923">
            <v>45727</v>
          </cell>
          <cell r="V7923">
            <v>45728</v>
          </cell>
          <cell r="W7923">
            <v>45728</v>
          </cell>
          <cell r="X7923">
            <v>41200108</v>
          </cell>
        </row>
        <row r="7924">
          <cell r="K7924" t="str">
            <v>GPWS-0502</v>
          </cell>
          <cell r="L7924">
            <v>45714</v>
          </cell>
          <cell r="M7924">
            <v>45715</v>
          </cell>
          <cell r="N7924">
            <v>45723</v>
          </cell>
          <cell r="O7924">
            <v>45715</v>
          </cell>
          <cell r="P7924">
            <v>45726</v>
          </cell>
          <cell r="Q7924">
            <v>45723</v>
          </cell>
          <cell r="R7924">
            <v>45726</v>
          </cell>
          <cell r="S7924">
            <v>45727</v>
          </cell>
          <cell r="T7924">
            <v>45728</v>
          </cell>
          <cell r="U7924">
            <v>45729</v>
          </cell>
          <cell r="V7924">
            <v>45730</v>
          </cell>
          <cell r="W7924">
            <v>45730</v>
          </cell>
          <cell r="X7924">
            <v>41200108</v>
          </cell>
        </row>
        <row r="7925">
          <cell r="K7925" t="str">
            <v>GPWS-0509</v>
          </cell>
          <cell r="L7925">
            <v>45720</v>
          </cell>
          <cell r="M7925">
            <v>45720</v>
          </cell>
          <cell r="N7925">
            <v>45727</v>
          </cell>
          <cell r="O7925">
            <v>45705</v>
          </cell>
          <cell r="P7925">
            <v>45728</v>
          </cell>
          <cell r="Q7925">
            <v>45727</v>
          </cell>
          <cell r="R7925">
            <v>45728</v>
          </cell>
          <cell r="S7925">
            <v>45751</v>
          </cell>
          <cell r="T7925">
            <v>45754</v>
          </cell>
          <cell r="U7925">
            <v>45755</v>
          </cell>
          <cell r="V7925">
            <v>45756</v>
          </cell>
          <cell r="W7925">
            <v>45756</v>
          </cell>
          <cell r="X7925" t="str">
            <v>41200108 → 41200144</v>
          </cell>
        </row>
        <row r="7926">
          <cell r="K7926"/>
          <cell r="L7926"/>
          <cell r="M7926">
            <v>45743</v>
          </cell>
          <cell r="N7926">
            <v>45749</v>
          </cell>
          <cell r="O7926">
            <v>45743</v>
          </cell>
          <cell r="P7926">
            <v>45749</v>
          </cell>
          <cell r="Q7926">
            <v>45750</v>
          </cell>
          <cell r="R7926">
            <v>45750</v>
          </cell>
          <cell r="S7926"/>
          <cell r="T7926"/>
          <cell r="U7926"/>
          <cell r="V7926"/>
          <cell r="W7926"/>
          <cell r="X7926">
            <v>41200144</v>
          </cell>
        </row>
        <row r="7927">
          <cell r="K7927" t="str">
            <v>GPWS-0510</v>
          </cell>
          <cell r="L7927">
            <v>45720</v>
          </cell>
          <cell r="M7927">
            <v>45720</v>
          </cell>
          <cell r="N7927">
            <v>45727</v>
          </cell>
          <cell r="O7927">
            <v>45705</v>
          </cell>
          <cell r="P7927">
            <v>45728</v>
          </cell>
          <cell r="Q7927">
            <v>45727</v>
          </cell>
          <cell r="R7927">
            <v>45728</v>
          </cell>
          <cell r="S7927">
            <v>45751</v>
          </cell>
          <cell r="T7927">
            <v>45754</v>
          </cell>
          <cell r="U7927">
            <v>45755</v>
          </cell>
          <cell r="V7927">
            <v>45756</v>
          </cell>
          <cell r="W7927">
            <v>45756</v>
          </cell>
          <cell r="X7927" t="str">
            <v>41200108 → 41200144</v>
          </cell>
        </row>
        <row r="7928">
          <cell r="K7928"/>
          <cell r="L7928"/>
          <cell r="M7928">
            <v>45743</v>
          </cell>
          <cell r="N7928">
            <v>45749</v>
          </cell>
          <cell r="O7928">
            <v>45743</v>
          </cell>
          <cell r="P7928">
            <v>45749</v>
          </cell>
          <cell r="Q7928">
            <v>45750</v>
          </cell>
          <cell r="R7928">
            <v>45750</v>
          </cell>
          <cell r="S7928"/>
          <cell r="T7928"/>
          <cell r="U7928"/>
          <cell r="V7928"/>
          <cell r="W7928"/>
          <cell r="X7928">
            <v>41200144</v>
          </cell>
        </row>
        <row r="7929">
          <cell r="K7929" t="str">
            <v>GPWS-0506</v>
          </cell>
          <cell r="L7929">
            <v>45720</v>
          </cell>
          <cell r="M7929">
            <v>45720</v>
          </cell>
          <cell r="N7929">
            <v>45727</v>
          </cell>
          <cell r="O7929">
            <v>45705</v>
          </cell>
          <cell r="P7929">
            <v>45728</v>
          </cell>
          <cell r="Q7929">
            <v>45727</v>
          </cell>
          <cell r="R7929">
            <v>45728</v>
          </cell>
          <cell r="S7929">
            <v>45750</v>
          </cell>
          <cell r="T7929">
            <v>45751</v>
          </cell>
          <cell r="U7929">
            <v>45754</v>
          </cell>
          <cell r="V7929">
            <v>45755</v>
          </cell>
          <cell r="W7929">
            <v>45755</v>
          </cell>
          <cell r="X7929" t="str">
            <v>41200108 → 41200144</v>
          </cell>
        </row>
        <row r="7930">
          <cell r="K7930"/>
          <cell r="L7930"/>
          <cell r="M7930">
            <v>45742</v>
          </cell>
          <cell r="N7930">
            <v>45749</v>
          </cell>
          <cell r="O7930">
            <v>45742</v>
          </cell>
          <cell r="P7930">
            <v>45749</v>
          </cell>
          <cell r="Q7930">
            <v>45749</v>
          </cell>
          <cell r="R7930">
            <v>45749</v>
          </cell>
          <cell r="S7930"/>
          <cell r="T7930"/>
          <cell r="U7930"/>
          <cell r="V7930"/>
          <cell r="W7930"/>
          <cell r="X7930">
            <v>41200144</v>
          </cell>
        </row>
        <row r="7931">
          <cell r="K7931" t="str">
            <v>GPWS-0507</v>
          </cell>
          <cell r="L7931">
            <v>45720</v>
          </cell>
          <cell r="M7931">
            <v>45720</v>
          </cell>
          <cell r="N7931">
            <v>45727</v>
          </cell>
          <cell r="O7931">
            <v>45705</v>
          </cell>
          <cell r="P7931">
            <v>45728</v>
          </cell>
          <cell r="Q7931">
            <v>45727</v>
          </cell>
          <cell r="R7931">
            <v>45728</v>
          </cell>
          <cell r="S7931">
            <v>45750</v>
          </cell>
          <cell r="T7931">
            <v>45751</v>
          </cell>
          <cell r="U7931">
            <v>45754</v>
          </cell>
          <cell r="V7931">
            <v>45755</v>
          </cell>
          <cell r="W7931">
            <v>45755</v>
          </cell>
          <cell r="X7931" t="str">
            <v>41200108 → 41200144</v>
          </cell>
        </row>
        <row r="7932">
          <cell r="K7932"/>
          <cell r="L7932"/>
          <cell r="M7932">
            <v>45742</v>
          </cell>
          <cell r="N7932">
            <v>45749</v>
          </cell>
          <cell r="O7932">
            <v>45742</v>
          </cell>
          <cell r="P7932">
            <v>45749</v>
          </cell>
          <cell r="Q7932">
            <v>45749</v>
          </cell>
          <cell r="R7932">
            <v>45749</v>
          </cell>
          <cell r="S7932"/>
          <cell r="T7932"/>
          <cell r="U7932"/>
          <cell r="V7932"/>
          <cell r="W7932"/>
          <cell r="X7932">
            <v>41200144</v>
          </cell>
        </row>
        <row r="7933">
          <cell r="K7933" t="str">
            <v>GPWS-0508</v>
          </cell>
          <cell r="L7933">
            <v>45720</v>
          </cell>
          <cell r="M7933">
            <v>45720</v>
          </cell>
          <cell r="N7933">
            <v>45727</v>
          </cell>
          <cell r="O7933">
            <v>45705</v>
          </cell>
          <cell r="P7933">
            <v>45728</v>
          </cell>
          <cell r="Q7933">
            <v>45727</v>
          </cell>
          <cell r="R7933">
            <v>45728</v>
          </cell>
          <cell r="S7933">
            <v>45750</v>
          </cell>
          <cell r="T7933">
            <v>45751</v>
          </cell>
          <cell r="U7933">
            <v>45754</v>
          </cell>
          <cell r="V7933">
            <v>45755</v>
          </cell>
          <cell r="W7933">
            <v>45755</v>
          </cell>
          <cell r="X7933" t="str">
            <v>41200108 → 41200144</v>
          </cell>
        </row>
        <row r="7934">
          <cell r="K7934"/>
          <cell r="L7934"/>
          <cell r="M7934">
            <v>45742</v>
          </cell>
          <cell r="N7934">
            <v>45749</v>
          </cell>
          <cell r="O7934">
            <v>45742</v>
          </cell>
          <cell r="P7934">
            <v>45749</v>
          </cell>
          <cell r="Q7934">
            <v>45749</v>
          </cell>
          <cell r="R7934">
            <v>45749</v>
          </cell>
          <cell r="S7934"/>
          <cell r="T7934"/>
          <cell r="U7934"/>
          <cell r="V7934"/>
          <cell r="W7934"/>
          <cell r="X7934">
            <v>41200144</v>
          </cell>
        </row>
        <row r="7935">
          <cell r="K7935" t="str">
            <v>DBW-3626</v>
          </cell>
          <cell r="L7935">
            <v>45740</v>
          </cell>
          <cell r="M7935">
            <v>45742</v>
          </cell>
          <cell r="N7935">
            <v>45748</v>
          </cell>
          <cell r="O7935">
            <v>45733</v>
          </cell>
          <cell r="P7935">
            <v>45748</v>
          </cell>
          <cell r="Q7935">
            <v>45748</v>
          </cell>
          <cell r="R7935">
            <v>45748</v>
          </cell>
          <cell r="S7935">
            <v>45749</v>
          </cell>
          <cell r="T7935">
            <v>45750</v>
          </cell>
          <cell r="U7935">
            <v>45751</v>
          </cell>
          <cell r="V7935">
            <v>45754</v>
          </cell>
          <cell r="W7935">
            <v>45754</v>
          </cell>
          <cell r="X7935">
            <v>41000590</v>
          </cell>
        </row>
        <row r="7936">
          <cell r="K7936" t="str">
            <v>DBW-3627</v>
          </cell>
          <cell r="L7936">
            <v>45740</v>
          </cell>
          <cell r="M7936">
            <v>45742</v>
          </cell>
          <cell r="N7936">
            <v>45748</v>
          </cell>
          <cell r="O7936">
            <v>45733</v>
          </cell>
          <cell r="P7936">
            <v>45748</v>
          </cell>
          <cell r="Q7936">
            <v>45748</v>
          </cell>
          <cell r="R7936">
            <v>45748</v>
          </cell>
          <cell r="S7936">
            <v>45749</v>
          </cell>
          <cell r="T7936">
            <v>45750</v>
          </cell>
          <cell r="U7936">
            <v>45751</v>
          </cell>
          <cell r="V7936">
            <v>45754</v>
          </cell>
          <cell r="W7936">
            <v>45754</v>
          </cell>
          <cell r="X7936">
            <v>41000590</v>
          </cell>
        </row>
        <row r="7937">
          <cell r="K7937" t="str">
            <v>GBWS-5477</v>
          </cell>
          <cell r="L7937">
            <v>45736</v>
          </cell>
          <cell r="M7937">
            <v>45740</v>
          </cell>
          <cell r="N7937">
            <v>45748</v>
          </cell>
          <cell r="O7937">
            <v>45726</v>
          </cell>
          <cell r="P7937">
            <v>45749</v>
          </cell>
          <cell r="Q7937">
            <v>45748</v>
          </cell>
          <cell r="R7937">
            <v>45749</v>
          </cell>
          <cell r="S7937">
            <v>45755</v>
          </cell>
          <cell r="T7937">
            <v>45756</v>
          </cell>
          <cell r="U7937">
            <v>45757</v>
          </cell>
          <cell r="V7937">
            <v>45758</v>
          </cell>
          <cell r="W7937">
            <v>45758</v>
          </cell>
          <cell r="X7937">
            <v>41200038</v>
          </cell>
        </row>
        <row r="7938">
          <cell r="K7938" t="str">
            <v>GBWS-5480</v>
          </cell>
          <cell r="L7938">
            <v>45737</v>
          </cell>
          <cell r="M7938">
            <v>45741</v>
          </cell>
          <cell r="N7938">
            <v>45749</v>
          </cell>
          <cell r="O7938">
            <v>45726</v>
          </cell>
          <cell r="P7938">
            <v>45750</v>
          </cell>
          <cell r="Q7938">
            <v>45749</v>
          </cell>
          <cell r="R7938">
            <v>45750</v>
          </cell>
          <cell r="S7938">
            <v>45754</v>
          </cell>
          <cell r="T7938">
            <v>45755</v>
          </cell>
          <cell r="U7938">
            <v>45756</v>
          </cell>
          <cell r="V7938">
            <v>45757</v>
          </cell>
          <cell r="W7938">
            <v>45757</v>
          </cell>
          <cell r="X7938">
            <v>41200036</v>
          </cell>
        </row>
        <row r="7939">
          <cell r="K7939" t="str">
            <v>GBWS-5481</v>
          </cell>
          <cell r="L7939">
            <v>45737</v>
          </cell>
          <cell r="M7939">
            <v>45741</v>
          </cell>
          <cell r="N7939">
            <v>45749</v>
          </cell>
          <cell r="O7939">
            <v>45726</v>
          </cell>
          <cell r="P7939">
            <v>45750</v>
          </cell>
          <cell r="Q7939">
            <v>45749</v>
          </cell>
          <cell r="R7939">
            <v>45750</v>
          </cell>
          <cell r="S7939">
            <v>45754</v>
          </cell>
          <cell r="T7939">
            <v>45755</v>
          </cell>
          <cell r="U7939">
            <v>45756</v>
          </cell>
          <cell r="V7939">
            <v>45757</v>
          </cell>
          <cell r="W7939">
            <v>45757</v>
          </cell>
          <cell r="X7939">
            <v>41200036</v>
          </cell>
        </row>
        <row r="7940">
          <cell r="K7940" t="str">
            <v>GBWS-5478</v>
          </cell>
          <cell r="L7940">
            <v>45736</v>
          </cell>
          <cell r="M7940">
            <v>45740</v>
          </cell>
          <cell r="N7940">
            <v>45748</v>
          </cell>
          <cell r="O7940">
            <v>45726</v>
          </cell>
          <cell r="P7940">
            <v>45749</v>
          </cell>
          <cell r="Q7940">
            <v>45748</v>
          </cell>
          <cell r="R7940">
            <v>45749</v>
          </cell>
          <cell r="S7940">
            <v>45755</v>
          </cell>
          <cell r="T7940">
            <v>45756</v>
          </cell>
          <cell r="U7940">
            <v>45758</v>
          </cell>
          <cell r="V7940">
            <v>45761</v>
          </cell>
          <cell r="W7940">
            <v>45761</v>
          </cell>
          <cell r="X7940">
            <v>41200048</v>
          </cell>
        </row>
        <row r="7941">
          <cell r="K7941" t="str">
            <v>GBWS-5482</v>
          </cell>
          <cell r="L7941">
            <v>45737</v>
          </cell>
          <cell r="M7941">
            <v>45741</v>
          </cell>
          <cell r="N7941">
            <v>45749</v>
          </cell>
          <cell r="O7941">
            <v>45726</v>
          </cell>
          <cell r="P7941">
            <v>45750</v>
          </cell>
          <cell r="Q7941">
            <v>45749</v>
          </cell>
          <cell r="R7941">
            <v>45750</v>
          </cell>
          <cell r="S7941">
            <v>45754</v>
          </cell>
          <cell r="T7941">
            <v>45755</v>
          </cell>
          <cell r="U7941">
            <v>45758</v>
          </cell>
          <cell r="V7941">
            <v>45761</v>
          </cell>
          <cell r="W7941">
            <v>45761</v>
          </cell>
          <cell r="X7941">
            <v>41200036</v>
          </cell>
        </row>
        <row r="7942">
          <cell r="K7942" t="str">
            <v>GBWS-5493</v>
          </cell>
          <cell r="L7942">
            <v>45740</v>
          </cell>
          <cell r="M7942">
            <v>45742</v>
          </cell>
          <cell r="N7942">
            <v>45749</v>
          </cell>
          <cell r="O7942">
            <v>45733</v>
          </cell>
          <cell r="P7942">
            <v>45750</v>
          </cell>
          <cell r="Q7942">
            <v>45749</v>
          </cell>
          <cell r="R7942">
            <v>45750</v>
          </cell>
          <cell r="S7942">
            <v>45751</v>
          </cell>
          <cell r="T7942">
            <v>45754</v>
          </cell>
          <cell r="U7942">
            <v>45757</v>
          </cell>
          <cell r="V7942">
            <v>45758</v>
          </cell>
          <cell r="W7942">
            <v>45758</v>
          </cell>
          <cell r="X7942">
            <v>41200087</v>
          </cell>
        </row>
        <row r="7943">
          <cell r="K7943" t="str">
            <v>GPWS-0541</v>
          </cell>
          <cell r="L7943">
            <v>45729</v>
          </cell>
          <cell r="M7943">
            <v>45733</v>
          </cell>
          <cell r="N7943">
            <v>45741</v>
          </cell>
          <cell r="O7943">
            <v>45720</v>
          </cell>
          <cell r="P7943">
            <v>45741</v>
          </cell>
          <cell r="Q7943">
            <v>45741</v>
          </cell>
          <cell r="R7943">
            <v>45742</v>
          </cell>
          <cell r="S7943">
            <v>45748</v>
          </cell>
          <cell r="T7943">
            <v>45749</v>
          </cell>
          <cell r="U7943">
            <v>45754</v>
          </cell>
          <cell r="V7943">
            <v>45755</v>
          </cell>
          <cell r="W7943">
            <v>45755</v>
          </cell>
          <cell r="X7943">
            <v>41000598</v>
          </cell>
        </row>
        <row r="7944">
          <cell r="K7944" t="str">
            <v>GBWS-5409</v>
          </cell>
          <cell r="L7944">
            <v>45712</v>
          </cell>
          <cell r="M7944">
            <v>45714</v>
          </cell>
          <cell r="N7944">
            <v>45723</v>
          </cell>
          <cell r="O7944">
            <v>45714</v>
          </cell>
          <cell r="P7944">
            <v>45723</v>
          </cell>
          <cell r="Q7944">
            <v>45723</v>
          </cell>
          <cell r="R7944">
            <v>45726</v>
          </cell>
          <cell r="S7944">
            <v>45728</v>
          </cell>
          <cell r="T7944">
            <v>45729</v>
          </cell>
          <cell r="U7944">
            <v>45730</v>
          </cell>
          <cell r="V7944">
            <v>45733</v>
          </cell>
          <cell r="W7944">
            <v>45733</v>
          </cell>
          <cell r="X7944">
            <v>41200027</v>
          </cell>
        </row>
        <row r="7945">
          <cell r="K7945" t="str">
            <v>GBWS-5410</v>
          </cell>
          <cell r="L7945">
            <v>45712</v>
          </cell>
          <cell r="M7945">
            <v>45714</v>
          </cell>
          <cell r="N7945">
            <v>45723</v>
          </cell>
          <cell r="O7945">
            <v>45714</v>
          </cell>
          <cell r="P7945">
            <v>45723</v>
          </cell>
          <cell r="Q7945">
            <v>45723</v>
          </cell>
          <cell r="R7945">
            <v>45726</v>
          </cell>
          <cell r="S7945">
            <v>45728</v>
          </cell>
          <cell r="T7945">
            <v>45729</v>
          </cell>
          <cell r="U7945">
            <v>45730</v>
          </cell>
          <cell r="V7945">
            <v>45733</v>
          </cell>
          <cell r="W7945">
            <v>45733</v>
          </cell>
          <cell r="X7945">
            <v>41200027</v>
          </cell>
        </row>
        <row r="7946">
          <cell r="K7946" t="str">
            <v>GBWS-5407</v>
          </cell>
          <cell r="L7946">
            <v>45712</v>
          </cell>
          <cell r="M7946">
            <v>45714</v>
          </cell>
          <cell r="N7946">
            <v>45726</v>
          </cell>
          <cell r="O7946">
            <v>45714</v>
          </cell>
          <cell r="P7946">
            <v>45726</v>
          </cell>
          <cell r="Q7946">
            <v>45723</v>
          </cell>
          <cell r="R7946">
            <v>45726</v>
          </cell>
          <cell r="S7946">
            <v>45727</v>
          </cell>
          <cell r="T7946">
            <v>45728</v>
          </cell>
          <cell r="U7946">
            <v>45730</v>
          </cell>
          <cell r="V7946">
            <v>45734</v>
          </cell>
          <cell r="W7946">
            <v>45734</v>
          </cell>
          <cell r="X7946">
            <v>41200080</v>
          </cell>
        </row>
        <row r="7947">
          <cell r="K7947" t="str">
            <v>GBWS-5408</v>
          </cell>
          <cell r="L7947">
            <v>45712</v>
          </cell>
          <cell r="M7947">
            <v>45714</v>
          </cell>
          <cell r="N7947">
            <v>45726</v>
          </cell>
          <cell r="O7947">
            <v>45714</v>
          </cell>
          <cell r="P7947">
            <v>45726</v>
          </cell>
          <cell r="Q7947">
            <v>45723</v>
          </cell>
          <cell r="R7947">
            <v>45726</v>
          </cell>
          <cell r="S7947">
            <v>45727</v>
          </cell>
          <cell r="T7947">
            <v>45728</v>
          </cell>
          <cell r="U7947">
            <v>45729</v>
          </cell>
          <cell r="V7947">
            <v>45730</v>
          </cell>
          <cell r="W7947">
            <v>45730</v>
          </cell>
          <cell r="X7947">
            <v>41200080</v>
          </cell>
        </row>
        <row r="7948">
          <cell r="K7948" t="str">
            <v>DBW-3618</v>
          </cell>
          <cell r="L7948">
            <v>45733</v>
          </cell>
          <cell r="M7948">
            <v>45735</v>
          </cell>
          <cell r="N7948">
            <v>45742</v>
          </cell>
          <cell r="O7948">
            <v>45726</v>
          </cell>
          <cell r="P7948">
            <v>45743</v>
          </cell>
          <cell r="Q7948">
            <v>45742</v>
          </cell>
          <cell r="R7948">
            <v>45743</v>
          </cell>
          <cell r="S7948">
            <v>45744</v>
          </cell>
          <cell r="T7948">
            <v>45747</v>
          </cell>
          <cell r="U7948">
            <v>45748</v>
          </cell>
          <cell r="V7948">
            <v>45749</v>
          </cell>
          <cell r="W7948">
            <v>45749</v>
          </cell>
          <cell r="X7948">
            <v>41000584</v>
          </cell>
        </row>
        <row r="7949">
          <cell r="K7949" t="str">
            <v>GBWS-5428</v>
          </cell>
          <cell r="L7949">
            <v>45720</v>
          </cell>
          <cell r="M7949">
            <v>45721</v>
          </cell>
          <cell r="N7949">
            <v>45729</v>
          </cell>
          <cell r="O7949">
            <v>45712</v>
          </cell>
          <cell r="P7949">
            <v>45730</v>
          </cell>
          <cell r="Q7949">
            <v>45729</v>
          </cell>
          <cell r="R7949">
            <v>45730</v>
          </cell>
          <cell r="S7949">
            <v>45742</v>
          </cell>
          <cell r="T7949">
            <v>45743</v>
          </cell>
          <cell r="U7949">
            <v>45744</v>
          </cell>
          <cell r="V7949">
            <v>45747</v>
          </cell>
          <cell r="W7949">
            <v>45747</v>
          </cell>
          <cell r="X7949">
            <v>41200101</v>
          </cell>
        </row>
        <row r="7950">
          <cell r="K7950" t="str">
            <v>GBWS-5429</v>
          </cell>
          <cell r="L7950">
            <v>45720</v>
          </cell>
          <cell r="M7950">
            <v>45721</v>
          </cell>
          <cell r="N7950">
            <v>45729</v>
          </cell>
          <cell r="O7950">
            <v>45712</v>
          </cell>
          <cell r="P7950">
            <v>45730</v>
          </cell>
          <cell r="Q7950">
            <v>45729</v>
          </cell>
          <cell r="R7950">
            <v>45730</v>
          </cell>
          <cell r="S7950">
            <v>45742</v>
          </cell>
          <cell r="T7950">
            <v>45743</v>
          </cell>
          <cell r="U7950">
            <v>45744</v>
          </cell>
          <cell r="V7950">
            <v>45747</v>
          </cell>
          <cell r="W7950">
            <v>45747</v>
          </cell>
          <cell r="X7950">
            <v>41200101</v>
          </cell>
        </row>
        <row r="7951">
          <cell r="K7951" t="str">
            <v>GBWS-5448</v>
          </cell>
          <cell r="L7951">
            <v>45723</v>
          </cell>
          <cell r="M7951">
            <v>45727</v>
          </cell>
          <cell r="N7951">
            <v>45736</v>
          </cell>
          <cell r="O7951">
            <v>45712</v>
          </cell>
          <cell r="P7951">
            <v>45737</v>
          </cell>
          <cell r="Q7951" t="str">
            <v>2025-03-19 → 3/20</v>
          </cell>
          <cell r="R7951" t="str">
            <v>2025-03-20 → 3/21</v>
          </cell>
          <cell r="S7951">
            <v>45742</v>
          </cell>
          <cell r="T7951">
            <v>45743</v>
          </cell>
          <cell r="U7951">
            <v>45744</v>
          </cell>
          <cell r="V7951">
            <v>45747</v>
          </cell>
          <cell r="W7951">
            <v>45747</v>
          </cell>
          <cell r="X7951">
            <v>41200101</v>
          </cell>
        </row>
        <row r="7952">
          <cell r="K7952" t="str">
            <v>GBWS-5449</v>
          </cell>
          <cell r="L7952">
            <v>45723</v>
          </cell>
          <cell r="M7952">
            <v>45727</v>
          </cell>
          <cell r="N7952">
            <v>45736</v>
          </cell>
          <cell r="O7952">
            <v>45712</v>
          </cell>
          <cell r="P7952">
            <v>45737</v>
          </cell>
          <cell r="Q7952" t="str">
            <v>2025-03-19 → 3/20</v>
          </cell>
          <cell r="R7952" t="str">
            <v>2025-03-20 → 3/21</v>
          </cell>
          <cell r="S7952">
            <v>45742</v>
          </cell>
          <cell r="T7952">
            <v>45743</v>
          </cell>
          <cell r="U7952">
            <v>45744</v>
          </cell>
          <cell r="V7952">
            <v>45747</v>
          </cell>
          <cell r="W7952">
            <v>45747</v>
          </cell>
          <cell r="X7952">
            <v>41200101</v>
          </cell>
        </row>
        <row r="7953">
          <cell r="K7953" t="str">
            <v>GBWS-5450</v>
          </cell>
          <cell r="L7953">
            <v>45723</v>
          </cell>
          <cell r="M7953">
            <v>45727</v>
          </cell>
          <cell r="N7953">
            <v>45736</v>
          </cell>
          <cell r="O7953">
            <v>45712</v>
          </cell>
          <cell r="P7953">
            <v>45737</v>
          </cell>
          <cell r="Q7953" t="str">
            <v>2025-03-19 → 3/20</v>
          </cell>
          <cell r="R7953" t="str">
            <v>2025-03-20 → 3/21</v>
          </cell>
          <cell r="S7953">
            <v>45742</v>
          </cell>
          <cell r="T7953">
            <v>45743</v>
          </cell>
          <cell r="U7953">
            <v>45744</v>
          </cell>
          <cell r="V7953">
            <v>45747</v>
          </cell>
          <cell r="W7953">
            <v>45747</v>
          </cell>
          <cell r="X7953">
            <v>41200101</v>
          </cell>
        </row>
        <row r="7954">
          <cell r="K7954" t="str">
            <v>GBWS-5192</v>
          </cell>
          <cell r="L7954">
            <v>45642</v>
          </cell>
          <cell r="M7954">
            <v>45643</v>
          </cell>
          <cell r="N7954">
            <v>45652</v>
          </cell>
          <cell r="O7954">
            <v>45643</v>
          </cell>
          <cell r="P7954">
            <v>45653</v>
          </cell>
          <cell r="Q7954">
            <v>45652</v>
          </cell>
          <cell r="R7954">
            <v>45653</v>
          </cell>
          <cell r="S7954">
            <v>45664</v>
          </cell>
          <cell r="T7954">
            <v>45665</v>
          </cell>
          <cell r="U7954">
            <v>45666</v>
          </cell>
          <cell r="V7954">
            <v>45667</v>
          </cell>
          <cell r="W7954">
            <v>45667</v>
          </cell>
          <cell r="X7954" t="str">
            <v>41100372 → 41200125</v>
          </cell>
        </row>
        <row r="7955">
          <cell r="K7955"/>
          <cell r="L7955"/>
          <cell r="M7955">
            <v>45740</v>
          </cell>
          <cell r="N7955">
            <v>45744</v>
          </cell>
          <cell r="O7955">
            <v>45740</v>
          </cell>
          <cell r="P7955">
            <v>45744</v>
          </cell>
          <cell r="Q7955">
            <v>45744</v>
          </cell>
          <cell r="R7955">
            <v>45744</v>
          </cell>
          <cell r="S7955">
            <v>45747</v>
          </cell>
          <cell r="T7955">
            <v>45748</v>
          </cell>
          <cell r="U7955">
            <v>45749</v>
          </cell>
          <cell r="V7955">
            <v>45751</v>
          </cell>
          <cell r="W7955">
            <v>45751</v>
          </cell>
          <cell r="X7955">
            <v>41200125</v>
          </cell>
        </row>
        <row r="7956">
          <cell r="K7956" t="str">
            <v>GBWS-5338</v>
          </cell>
          <cell r="L7956">
            <v>45695</v>
          </cell>
          <cell r="M7956">
            <v>45698</v>
          </cell>
          <cell r="N7956">
            <v>45706</v>
          </cell>
          <cell r="O7956">
            <v>45698</v>
          </cell>
          <cell r="P7956">
            <v>45707</v>
          </cell>
          <cell r="Q7956">
            <v>45706</v>
          </cell>
          <cell r="R7956">
            <v>45707</v>
          </cell>
          <cell r="S7956">
            <v>45708</v>
          </cell>
          <cell r="T7956">
            <v>45709</v>
          </cell>
          <cell r="U7956">
            <v>45713</v>
          </cell>
          <cell r="V7956">
            <v>45714</v>
          </cell>
          <cell r="W7956">
            <v>45714</v>
          </cell>
          <cell r="X7956">
            <v>41100320</v>
          </cell>
        </row>
        <row r="7957">
          <cell r="K7957" t="str">
            <v>GBWS-5205</v>
          </cell>
          <cell r="L7957">
            <v>45650</v>
          </cell>
          <cell r="M7957">
            <v>45652</v>
          </cell>
          <cell r="N7957">
            <v>45664</v>
          </cell>
          <cell r="O7957">
            <v>45652</v>
          </cell>
          <cell r="P7957">
            <v>45663</v>
          </cell>
          <cell r="Q7957">
            <v>45665</v>
          </cell>
          <cell r="R7957">
            <v>45666</v>
          </cell>
          <cell r="S7957">
            <v>45671</v>
          </cell>
          <cell r="T7957">
            <v>45672</v>
          </cell>
          <cell r="U7957">
            <v>45673</v>
          </cell>
          <cell r="V7957">
            <v>45674</v>
          </cell>
          <cell r="W7957">
            <v>45674</v>
          </cell>
          <cell r="X7957" t="str">
            <v>41100372 → 41200125</v>
          </cell>
        </row>
        <row r="7958">
          <cell r="K7958"/>
          <cell r="L7958"/>
          <cell r="M7958">
            <v>45740</v>
          </cell>
          <cell r="N7958">
            <v>45744</v>
          </cell>
          <cell r="O7958">
            <v>45740</v>
          </cell>
          <cell r="P7958">
            <v>45744</v>
          </cell>
          <cell r="Q7958">
            <v>45744</v>
          </cell>
          <cell r="R7958">
            <v>45744</v>
          </cell>
          <cell r="S7958">
            <v>45747</v>
          </cell>
          <cell r="T7958">
            <v>45748</v>
          </cell>
          <cell r="U7958">
            <v>45749</v>
          </cell>
          <cell r="V7958">
            <v>45749</v>
          </cell>
          <cell r="W7958">
            <v>45749</v>
          </cell>
          <cell r="X7958">
            <v>41200125</v>
          </cell>
        </row>
        <row r="7959">
          <cell r="K7959" t="str">
            <v>GBWS-5274</v>
          </cell>
          <cell r="L7959">
            <v>45671</v>
          </cell>
          <cell r="M7959">
            <v>45673</v>
          </cell>
          <cell r="N7959">
            <v>45691</v>
          </cell>
          <cell r="O7959">
            <v>45673</v>
          </cell>
          <cell r="P7959">
            <v>45691</v>
          </cell>
          <cell r="Q7959">
            <v>45688</v>
          </cell>
          <cell r="R7959">
            <v>45691</v>
          </cell>
          <cell r="S7959">
            <v>45692</v>
          </cell>
          <cell r="T7959">
            <v>45693</v>
          </cell>
          <cell r="U7959">
            <v>45694</v>
          </cell>
          <cell r="V7959">
            <v>45695</v>
          </cell>
          <cell r="W7959">
            <v>45695</v>
          </cell>
          <cell r="X7959">
            <v>41200076</v>
          </cell>
        </row>
        <row r="7960">
          <cell r="K7960" t="str">
            <v>GBWS-5502</v>
          </cell>
          <cell r="L7960">
            <v>45744</v>
          </cell>
          <cell r="M7960">
            <v>45748</v>
          </cell>
          <cell r="N7960">
            <v>45757</v>
          </cell>
          <cell r="O7960">
            <v>45733</v>
          </cell>
          <cell r="P7960">
            <v>45757</v>
          </cell>
          <cell r="Q7960">
            <v>45756</v>
          </cell>
          <cell r="R7960">
            <v>45757</v>
          </cell>
          <cell r="S7960">
            <v>45758</v>
          </cell>
          <cell r="T7960">
            <v>45761</v>
          </cell>
          <cell r="U7960">
            <v>45762</v>
          </cell>
          <cell r="V7960">
            <v>45763</v>
          </cell>
          <cell r="W7960">
            <v>45763</v>
          </cell>
          <cell r="X7960">
            <v>41200075</v>
          </cell>
        </row>
        <row r="7961">
          <cell r="K7961" t="str">
            <v>GBWS-5503</v>
          </cell>
          <cell r="L7961">
            <v>45744</v>
          </cell>
          <cell r="M7961">
            <v>45748</v>
          </cell>
          <cell r="N7961">
            <v>45757</v>
          </cell>
          <cell r="O7961">
            <v>45733</v>
          </cell>
          <cell r="P7961">
            <v>45757</v>
          </cell>
          <cell r="Q7961">
            <v>45756</v>
          </cell>
          <cell r="R7961">
            <v>45757</v>
          </cell>
          <cell r="S7961">
            <v>45758</v>
          </cell>
          <cell r="T7961">
            <v>45761</v>
          </cell>
          <cell r="U7961">
            <v>45762</v>
          </cell>
          <cell r="V7961">
            <v>45763</v>
          </cell>
          <cell r="W7961">
            <v>45763</v>
          </cell>
          <cell r="X7961">
            <v>41200075</v>
          </cell>
        </row>
        <row r="7962">
          <cell r="K7962" t="str">
            <v>GBWS-5516</v>
          </cell>
          <cell r="L7962">
            <v>45747</v>
          </cell>
          <cell r="M7962">
            <v>45749</v>
          </cell>
          <cell r="N7962">
            <v>45755</v>
          </cell>
          <cell r="O7962">
            <v>45740</v>
          </cell>
          <cell r="P7962">
            <v>45756</v>
          </cell>
          <cell r="Q7962">
            <v>45755</v>
          </cell>
          <cell r="R7962">
            <v>45756</v>
          </cell>
          <cell r="S7962">
            <v>45757</v>
          </cell>
          <cell r="T7962">
            <v>45758</v>
          </cell>
          <cell r="U7962">
            <v>45761</v>
          </cell>
          <cell r="V7962">
            <v>45762</v>
          </cell>
          <cell r="W7962">
            <v>45762</v>
          </cell>
          <cell r="X7962">
            <v>41200101</v>
          </cell>
        </row>
        <row r="7963">
          <cell r="K7963" t="str">
            <v>GBWS-5403</v>
          </cell>
          <cell r="L7963">
            <v>45712</v>
          </cell>
          <cell r="M7963">
            <v>45713</v>
          </cell>
          <cell r="N7963">
            <v>45722</v>
          </cell>
          <cell r="O7963">
            <v>45713</v>
          </cell>
          <cell r="P7963">
            <v>45722</v>
          </cell>
          <cell r="Q7963">
            <v>45722</v>
          </cell>
          <cell r="R7963">
            <v>45723</v>
          </cell>
          <cell r="S7963">
            <v>45726</v>
          </cell>
          <cell r="T7963">
            <v>45727</v>
          </cell>
          <cell r="U7963">
            <v>45728</v>
          </cell>
          <cell r="V7963">
            <v>45729</v>
          </cell>
          <cell r="W7963">
            <v>45729</v>
          </cell>
          <cell r="X7963">
            <v>41200101</v>
          </cell>
        </row>
        <row r="7964">
          <cell r="K7964" t="str">
            <v>GBWS-5507</v>
          </cell>
          <cell r="L7964">
            <v>45747</v>
          </cell>
          <cell r="M7964">
            <v>45749</v>
          </cell>
          <cell r="N7964">
            <v>45755</v>
          </cell>
          <cell r="O7964">
            <v>45740</v>
          </cell>
          <cell r="P7964">
            <v>45756</v>
          </cell>
          <cell r="Q7964">
            <v>45755</v>
          </cell>
          <cell r="R7964">
            <v>45756</v>
          </cell>
          <cell r="S7964">
            <v>45757</v>
          </cell>
          <cell r="T7964">
            <v>45758</v>
          </cell>
          <cell r="U7964">
            <v>45761</v>
          </cell>
          <cell r="V7964">
            <v>45763</v>
          </cell>
          <cell r="W7964">
            <v>45763</v>
          </cell>
          <cell r="X7964">
            <v>41200110</v>
          </cell>
        </row>
        <row r="7965">
          <cell r="K7965" t="str">
            <v>GBWS-5375</v>
          </cell>
          <cell r="L7965">
            <v>45700</v>
          </cell>
          <cell r="M7965">
            <v>45702</v>
          </cell>
          <cell r="N7965">
            <v>45713</v>
          </cell>
          <cell r="O7965">
            <v>45702</v>
          </cell>
          <cell r="P7965">
            <v>45714</v>
          </cell>
          <cell r="Q7965">
            <v>45713</v>
          </cell>
          <cell r="R7965">
            <v>45714</v>
          </cell>
          <cell r="S7965">
            <v>45756</v>
          </cell>
          <cell r="T7965">
            <v>45757</v>
          </cell>
          <cell r="U7965">
            <v>45761</v>
          </cell>
          <cell r="V7965">
            <v>45762</v>
          </cell>
          <cell r="W7965">
            <v>45762</v>
          </cell>
          <cell r="X7965">
            <v>41200076</v>
          </cell>
        </row>
        <row r="7966">
          <cell r="K7966" t="str">
            <v>GBWS-5501</v>
          </cell>
          <cell r="L7966">
            <v>45744</v>
          </cell>
          <cell r="M7966">
            <v>45748</v>
          </cell>
          <cell r="N7966">
            <v>45756</v>
          </cell>
          <cell r="O7966">
            <v>45733</v>
          </cell>
          <cell r="P7966">
            <v>45757</v>
          </cell>
          <cell r="Q7966">
            <v>45756</v>
          </cell>
          <cell r="R7966">
            <v>45757</v>
          </cell>
          <cell r="S7966">
            <v>45758</v>
          </cell>
          <cell r="T7966">
            <v>45761</v>
          </cell>
          <cell r="U7966">
            <v>45762</v>
          </cell>
          <cell r="V7966">
            <v>45763</v>
          </cell>
          <cell r="W7966">
            <v>45763</v>
          </cell>
          <cell r="X7966">
            <v>41200039</v>
          </cell>
        </row>
        <row r="7967">
          <cell r="K7967"/>
          <cell r="L7967"/>
          <cell r="M7967"/>
          <cell r="N7967"/>
          <cell r="O7967"/>
          <cell r="P7967"/>
          <cell r="Q7967"/>
          <cell r="R7967"/>
          <cell r="S7967"/>
          <cell r="T7967"/>
          <cell r="U7967"/>
          <cell r="V7967"/>
          <cell r="W7967"/>
          <cell r="X7967"/>
        </row>
        <row r="7968">
          <cell r="K7968"/>
          <cell r="L7968"/>
          <cell r="M7968"/>
          <cell r="N7968"/>
          <cell r="O7968"/>
          <cell r="P7968"/>
          <cell r="Q7968"/>
          <cell r="R7968"/>
          <cell r="S7968"/>
          <cell r="T7968"/>
          <cell r="U7968"/>
          <cell r="V7968"/>
          <cell r="W7968"/>
          <cell r="X7968"/>
        </row>
        <row r="7969">
          <cell r="K7969" t="str">
            <v>DBW-1218</v>
          </cell>
          <cell r="L7969">
            <v>43168</v>
          </cell>
          <cell r="M7969"/>
          <cell r="N7969"/>
          <cell r="O7969"/>
          <cell r="P7969"/>
          <cell r="Q7969"/>
          <cell r="R7969"/>
          <cell r="S7969"/>
          <cell r="T7969">
            <v>43182</v>
          </cell>
          <cell r="U7969">
            <v>43182</v>
          </cell>
          <cell r="V7969">
            <v>43230</v>
          </cell>
          <cell r="W7969">
            <v>43230</v>
          </cell>
          <cell r="X7969">
            <v>41000423</v>
          </cell>
        </row>
        <row r="7970">
          <cell r="K7970" t="str">
            <v>DBW-1219</v>
          </cell>
          <cell r="L7970">
            <v>43168</v>
          </cell>
          <cell r="M7970"/>
          <cell r="N7970"/>
          <cell r="O7970"/>
          <cell r="P7970"/>
          <cell r="Q7970"/>
          <cell r="R7970"/>
          <cell r="S7970"/>
          <cell r="T7970">
            <v>43182</v>
          </cell>
          <cell r="U7970">
            <v>43182</v>
          </cell>
          <cell r="V7970">
            <v>43230</v>
          </cell>
          <cell r="W7970">
            <v>43230</v>
          </cell>
          <cell r="X7970">
            <v>41000423</v>
          </cell>
        </row>
        <row r="7971">
          <cell r="K7971" t="str">
            <v>GPWS-0174</v>
          </cell>
          <cell r="L7971">
            <v>43595</v>
          </cell>
          <cell r="M7971">
            <v>43598</v>
          </cell>
          <cell r="N7971">
            <v>43609</v>
          </cell>
          <cell r="O7971">
            <v>43598</v>
          </cell>
          <cell r="P7971">
            <v>43613</v>
          </cell>
          <cell r="Q7971"/>
          <cell r="R7971"/>
          <cell r="S7971"/>
          <cell r="T7971">
            <v>43615</v>
          </cell>
          <cell r="U7971">
            <v>43615</v>
          </cell>
          <cell r="V7971">
            <v>43616</v>
          </cell>
          <cell r="W7971">
            <v>43616</v>
          </cell>
          <cell r="X7971">
            <v>41100072</v>
          </cell>
        </row>
        <row r="7972">
          <cell r="K7972" t="str">
            <v>DBW-1279</v>
          </cell>
          <cell r="L7972">
            <v>43452</v>
          </cell>
          <cell r="M7972"/>
          <cell r="N7972"/>
          <cell r="O7972"/>
          <cell r="P7972"/>
          <cell r="Q7972"/>
          <cell r="R7972"/>
          <cell r="S7972"/>
          <cell r="T7972">
            <v>43508</v>
          </cell>
          <cell r="U7972">
            <v>43521</v>
          </cell>
          <cell r="V7972">
            <v>43509</v>
          </cell>
          <cell r="W7972">
            <v>43522</v>
          </cell>
          <cell r="X7972">
            <v>41000505</v>
          </cell>
        </row>
        <row r="7973">
          <cell r="K7973" t="str">
            <v>DBW-1280</v>
          </cell>
          <cell r="L7973">
            <v>43452</v>
          </cell>
          <cell r="M7973"/>
          <cell r="N7973"/>
          <cell r="O7973"/>
          <cell r="P7973"/>
          <cell r="Q7973"/>
          <cell r="R7973"/>
          <cell r="S7973"/>
          <cell r="T7973">
            <v>43508</v>
          </cell>
          <cell r="U7973">
            <v>43521</v>
          </cell>
          <cell r="V7973">
            <v>43509</v>
          </cell>
          <cell r="W7973">
            <v>43522</v>
          </cell>
          <cell r="X7973">
            <v>41000505</v>
          </cell>
        </row>
        <row r="7974">
          <cell r="K7974" t="str">
            <v>DBW-1281</v>
          </cell>
          <cell r="L7974">
            <v>43452</v>
          </cell>
          <cell r="M7974"/>
          <cell r="N7974"/>
          <cell r="O7974"/>
          <cell r="P7974"/>
          <cell r="Q7974"/>
          <cell r="R7974"/>
          <cell r="S7974"/>
          <cell r="T7974">
            <v>43508</v>
          </cell>
          <cell r="U7974">
            <v>43521</v>
          </cell>
          <cell r="V7974">
            <v>43509</v>
          </cell>
          <cell r="W7974">
            <v>43522</v>
          </cell>
          <cell r="X7974">
            <v>41000505</v>
          </cell>
        </row>
        <row r="7975">
          <cell r="K7975" t="str">
            <v>DBW-1282</v>
          </cell>
          <cell r="L7975">
            <v>43452</v>
          </cell>
          <cell r="M7975"/>
          <cell r="N7975"/>
          <cell r="O7975"/>
          <cell r="P7975"/>
          <cell r="Q7975"/>
          <cell r="R7975"/>
          <cell r="S7975"/>
          <cell r="T7975">
            <v>43508</v>
          </cell>
          <cell r="U7975">
            <v>43521</v>
          </cell>
          <cell r="V7975">
            <v>43509</v>
          </cell>
          <cell r="W7975">
            <v>43522</v>
          </cell>
          <cell r="X7975">
            <v>41000505</v>
          </cell>
        </row>
        <row r="7976">
          <cell r="K7976" t="str">
            <v>GBWS-5364</v>
          </cell>
          <cell r="L7976">
            <v>45698</v>
          </cell>
          <cell r="M7976">
            <v>45700</v>
          </cell>
          <cell r="N7976">
            <v>45708</v>
          </cell>
          <cell r="O7976">
            <v>45700</v>
          </cell>
          <cell r="P7976">
            <v>45708</v>
          </cell>
          <cell r="Q7976">
            <v>45708</v>
          </cell>
          <cell r="R7976">
            <v>45709</v>
          </cell>
          <cell r="S7976">
            <v>45712</v>
          </cell>
          <cell r="T7976">
            <v>45713</v>
          </cell>
          <cell r="U7976">
            <v>45715</v>
          </cell>
          <cell r="V7976">
            <v>45716</v>
          </cell>
          <cell r="W7976">
            <v>45716</v>
          </cell>
          <cell r="X7976">
            <v>41200005</v>
          </cell>
        </row>
        <row r="7977">
          <cell r="K7977" t="str">
            <v>GBWS-5365</v>
          </cell>
          <cell r="L7977">
            <v>45698</v>
          </cell>
          <cell r="M7977">
            <v>45700</v>
          </cell>
          <cell r="N7977">
            <v>45708</v>
          </cell>
          <cell r="O7977">
            <v>45700</v>
          </cell>
          <cell r="P7977">
            <v>45708</v>
          </cell>
          <cell r="Q7977">
            <v>45708</v>
          </cell>
          <cell r="R7977">
            <v>45709</v>
          </cell>
          <cell r="S7977">
            <v>45712</v>
          </cell>
          <cell r="T7977">
            <v>45713</v>
          </cell>
          <cell r="U7977">
            <v>45714</v>
          </cell>
          <cell r="V7977">
            <v>45715</v>
          </cell>
          <cell r="W7977">
            <v>45715</v>
          </cell>
          <cell r="X7977">
            <v>41200005</v>
          </cell>
        </row>
        <row r="7978">
          <cell r="K7978" t="str">
            <v>GBWS-5380</v>
          </cell>
          <cell r="L7978">
            <v>45700</v>
          </cell>
          <cell r="M7978">
            <v>45702</v>
          </cell>
          <cell r="N7978">
            <v>45709</v>
          </cell>
          <cell r="O7978">
            <v>45702</v>
          </cell>
          <cell r="P7978">
            <v>45709</v>
          </cell>
          <cell r="Q7978">
            <v>45709</v>
          </cell>
          <cell r="R7978">
            <v>45712</v>
          </cell>
          <cell r="S7978">
            <v>45713</v>
          </cell>
          <cell r="T7978">
            <v>45714</v>
          </cell>
          <cell r="U7978">
            <v>45715</v>
          </cell>
          <cell r="V7978">
            <v>45716</v>
          </cell>
          <cell r="W7978">
            <v>45716</v>
          </cell>
          <cell r="X7978">
            <v>41200007</v>
          </cell>
        </row>
        <row r="7979">
          <cell r="K7979" t="str">
            <v>GBWS-5381</v>
          </cell>
          <cell r="L7979">
            <v>45700</v>
          </cell>
          <cell r="M7979">
            <v>45702</v>
          </cell>
          <cell r="N7979">
            <v>45709</v>
          </cell>
          <cell r="O7979">
            <v>45702</v>
          </cell>
          <cell r="P7979">
            <v>45713</v>
          </cell>
          <cell r="Q7979">
            <v>45712</v>
          </cell>
          <cell r="R7979">
            <v>45713</v>
          </cell>
          <cell r="S7979">
            <v>45714</v>
          </cell>
          <cell r="T7979">
            <v>45715</v>
          </cell>
          <cell r="U7979">
            <v>45716</v>
          </cell>
          <cell r="V7979">
            <v>45720</v>
          </cell>
          <cell r="W7979">
            <v>45720</v>
          </cell>
          <cell r="X7979">
            <v>41200007</v>
          </cell>
        </row>
        <row r="7980">
          <cell r="K7980" t="str">
            <v>GBWS-5444</v>
          </cell>
          <cell r="L7980">
            <v>45722</v>
          </cell>
          <cell r="M7980">
            <v>45726</v>
          </cell>
          <cell r="N7980">
            <v>45733</v>
          </cell>
          <cell r="O7980">
            <v>45712</v>
          </cell>
          <cell r="P7980">
            <v>45734</v>
          </cell>
          <cell r="Q7980">
            <v>45733</v>
          </cell>
          <cell r="R7980">
            <v>45734</v>
          </cell>
          <cell r="S7980">
            <v>45735</v>
          </cell>
          <cell r="T7980">
            <v>45736</v>
          </cell>
          <cell r="U7980">
            <v>45740</v>
          </cell>
          <cell r="V7980">
            <v>45741</v>
          </cell>
          <cell r="W7980">
            <v>45741</v>
          </cell>
          <cell r="X7980">
            <v>41200007</v>
          </cell>
        </row>
        <row r="7981">
          <cell r="K7981" t="str">
            <v>GBWS-5445</v>
          </cell>
          <cell r="L7981">
            <v>45722</v>
          </cell>
          <cell r="M7981">
            <v>45726</v>
          </cell>
          <cell r="N7981">
            <v>45733</v>
          </cell>
          <cell r="O7981">
            <v>45712</v>
          </cell>
          <cell r="P7981">
            <v>45734</v>
          </cell>
          <cell r="Q7981">
            <v>45733</v>
          </cell>
          <cell r="R7981">
            <v>45734</v>
          </cell>
          <cell r="S7981">
            <v>45735</v>
          </cell>
          <cell r="T7981">
            <v>45736</v>
          </cell>
          <cell r="U7981">
            <v>45737</v>
          </cell>
          <cell r="V7981">
            <v>45741</v>
          </cell>
          <cell r="W7981">
            <v>45741</v>
          </cell>
          <cell r="X7981">
            <v>41200007</v>
          </cell>
        </row>
        <row r="7982">
          <cell r="K7982" t="str">
            <v>GBWS-5446</v>
          </cell>
          <cell r="L7982">
            <v>45722</v>
          </cell>
          <cell r="M7982">
            <v>45726</v>
          </cell>
          <cell r="N7982">
            <v>45734</v>
          </cell>
          <cell r="O7982">
            <v>45712</v>
          </cell>
          <cell r="P7982">
            <v>45735</v>
          </cell>
          <cell r="Q7982">
            <v>45734</v>
          </cell>
          <cell r="R7982">
            <v>45735</v>
          </cell>
          <cell r="S7982">
            <v>45736</v>
          </cell>
          <cell r="T7982">
            <v>45737</v>
          </cell>
          <cell r="U7982">
            <v>45740</v>
          </cell>
          <cell r="V7982">
            <v>45741</v>
          </cell>
          <cell r="W7982">
            <v>45741</v>
          </cell>
          <cell r="X7982">
            <v>41200007</v>
          </cell>
        </row>
        <row r="7983">
          <cell r="K7983" t="str">
            <v>GBWS-5447</v>
          </cell>
          <cell r="L7983">
            <v>45722</v>
          </cell>
          <cell r="M7983">
            <v>45726</v>
          </cell>
          <cell r="N7983">
            <v>45734</v>
          </cell>
          <cell r="O7983">
            <v>45712</v>
          </cell>
          <cell r="P7983">
            <v>45735</v>
          </cell>
          <cell r="Q7983">
            <v>45734</v>
          </cell>
          <cell r="R7983">
            <v>45735</v>
          </cell>
          <cell r="S7983">
            <v>45736</v>
          </cell>
          <cell r="T7983">
            <v>45737</v>
          </cell>
          <cell r="U7983">
            <v>45740</v>
          </cell>
          <cell r="V7983">
            <v>45741</v>
          </cell>
          <cell r="W7983">
            <v>45741</v>
          </cell>
          <cell r="X7983">
            <v>41200007</v>
          </cell>
        </row>
        <row r="7984">
          <cell r="K7984" t="str">
            <v>GBWS-5485</v>
          </cell>
          <cell r="L7984">
            <v>45740</v>
          </cell>
          <cell r="M7984">
            <v>45742</v>
          </cell>
          <cell r="N7984">
            <v>45750</v>
          </cell>
          <cell r="O7984">
            <v>45733</v>
          </cell>
          <cell r="P7984">
            <v>45751</v>
          </cell>
          <cell r="Q7984">
            <v>45750</v>
          </cell>
          <cell r="R7984">
            <v>45751</v>
          </cell>
          <cell r="S7984">
            <v>45754</v>
          </cell>
          <cell r="T7984">
            <v>45755</v>
          </cell>
          <cell r="U7984">
            <v>45757</v>
          </cell>
          <cell r="V7984">
            <v>45758</v>
          </cell>
          <cell r="W7984">
            <v>45758</v>
          </cell>
          <cell r="X7984">
            <v>41200007</v>
          </cell>
        </row>
        <row r="7985">
          <cell r="K7985" t="str">
            <v>GBWS-5486</v>
          </cell>
          <cell r="L7985">
            <v>45740</v>
          </cell>
          <cell r="M7985">
            <v>45742</v>
          </cell>
          <cell r="N7985">
            <v>45750</v>
          </cell>
          <cell r="O7985">
            <v>45733</v>
          </cell>
          <cell r="P7985">
            <v>45751</v>
          </cell>
          <cell r="Q7985">
            <v>45750</v>
          </cell>
          <cell r="R7985">
            <v>45751</v>
          </cell>
          <cell r="S7985">
            <v>45754</v>
          </cell>
          <cell r="T7985">
            <v>45755</v>
          </cell>
          <cell r="U7985">
            <v>45757</v>
          </cell>
          <cell r="V7985">
            <v>45758</v>
          </cell>
          <cell r="W7985">
            <v>45758</v>
          </cell>
          <cell r="X7985">
            <v>41200007</v>
          </cell>
        </row>
        <row r="7986">
          <cell r="K7986" t="str">
            <v>GBWS-5487</v>
          </cell>
          <cell r="L7986">
            <v>45740</v>
          </cell>
          <cell r="M7986">
            <v>45742</v>
          </cell>
          <cell r="N7986">
            <v>45750</v>
          </cell>
          <cell r="O7986">
            <v>45733</v>
          </cell>
          <cell r="P7986">
            <v>45751</v>
          </cell>
          <cell r="Q7986">
            <v>45750</v>
          </cell>
          <cell r="R7986">
            <v>45751</v>
          </cell>
          <cell r="S7986">
            <v>45754</v>
          </cell>
          <cell r="T7986">
            <v>45755</v>
          </cell>
          <cell r="U7986">
            <v>45756</v>
          </cell>
          <cell r="V7986">
            <v>45757</v>
          </cell>
          <cell r="W7986">
            <v>45757</v>
          </cell>
          <cell r="X7986">
            <v>41200007</v>
          </cell>
        </row>
        <row r="7987">
          <cell r="K7987" t="str">
            <v>GBWS-5488</v>
          </cell>
          <cell r="L7987">
            <v>45740</v>
          </cell>
          <cell r="M7987">
            <v>45742</v>
          </cell>
          <cell r="N7987">
            <v>45750</v>
          </cell>
          <cell r="O7987">
            <v>45733</v>
          </cell>
          <cell r="P7987">
            <v>45751</v>
          </cell>
          <cell r="Q7987">
            <v>45750</v>
          </cell>
          <cell r="R7987">
            <v>45751</v>
          </cell>
          <cell r="S7987">
            <v>45754</v>
          </cell>
          <cell r="T7987">
            <v>45755</v>
          </cell>
          <cell r="U7987">
            <v>45756</v>
          </cell>
          <cell r="V7987">
            <v>45757</v>
          </cell>
          <cell r="W7987">
            <v>45757</v>
          </cell>
          <cell r="X7987">
            <v>41200007</v>
          </cell>
        </row>
        <row r="7988">
          <cell r="K7988" t="str">
            <v>GBWS-5369</v>
          </cell>
          <cell r="L7988">
            <v>45699</v>
          </cell>
          <cell r="M7988">
            <v>45701</v>
          </cell>
          <cell r="N7988">
            <v>45709</v>
          </cell>
          <cell r="O7988">
            <v>45701</v>
          </cell>
          <cell r="P7988">
            <v>45712</v>
          </cell>
          <cell r="Q7988">
            <v>45709</v>
          </cell>
          <cell r="R7988">
            <v>45712</v>
          </cell>
          <cell r="S7988">
            <v>45713</v>
          </cell>
          <cell r="T7988">
            <v>45714</v>
          </cell>
          <cell r="U7988">
            <v>45715</v>
          </cell>
          <cell r="V7988">
            <v>45716</v>
          </cell>
          <cell r="W7988">
            <v>45716</v>
          </cell>
          <cell r="X7988">
            <v>41200006</v>
          </cell>
        </row>
        <row r="7989">
          <cell r="K7989" t="str">
            <v>GBWS-5370</v>
          </cell>
          <cell r="L7989">
            <v>45699</v>
          </cell>
          <cell r="M7989">
            <v>45701</v>
          </cell>
          <cell r="N7989">
            <v>45709</v>
          </cell>
          <cell r="O7989">
            <v>45701</v>
          </cell>
          <cell r="P7989">
            <v>45712</v>
          </cell>
          <cell r="Q7989">
            <v>45709</v>
          </cell>
          <cell r="R7989">
            <v>45712</v>
          </cell>
          <cell r="S7989">
            <v>45713</v>
          </cell>
          <cell r="T7989">
            <v>45714</v>
          </cell>
          <cell r="U7989">
            <v>45715</v>
          </cell>
          <cell r="V7989">
            <v>45716</v>
          </cell>
          <cell r="W7989">
            <v>45716</v>
          </cell>
          <cell r="X7989">
            <v>41200006</v>
          </cell>
        </row>
        <row r="7990">
          <cell r="K7990" t="str">
            <v>GBWS-5371</v>
          </cell>
          <cell r="L7990">
            <v>45699</v>
          </cell>
          <cell r="M7990">
            <v>45701</v>
          </cell>
          <cell r="N7990">
            <v>45709</v>
          </cell>
          <cell r="O7990">
            <v>45701</v>
          </cell>
          <cell r="P7990">
            <v>45712</v>
          </cell>
          <cell r="Q7990">
            <v>45709</v>
          </cell>
          <cell r="R7990">
            <v>45712</v>
          </cell>
          <cell r="S7990">
            <v>45713</v>
          </cell>
          <cell r="T7990">
            <v>45714</v>
          </cell>
          <cell r="U7990">
            <v>45715</v>
          </cell>
          <cell r="V7990">
            <v>45716</v>
          </cell>
          <cell r="W7990">
            <v>45716</v>
          </cell>
          <cell r="X7990">
            <v>41200006</v>
          </cell>
        </row>
        <row r="7991">
          <cell r="K7991" t="str">
            <v>GBWS-5372</v>
          </cell>
          <cell r="L7991">
            <v>45699</v>
          </cell>
          <cell r="M7991">
            <v>45701</v>
          </cell>
          <cell r="N7991">
            <v>45709</v>
          </cell>
          <cell r="O7991">
            <v>45701</v>
          </cell>
          <cell r="P7991">
            <v>45712</v>
          </cell>
          <cell r="Q7991">
            <v>45709</v>
          </cell>
          <cell r="R7991">
            <v>45712</v>
          </cell>
          <cell r="S7991">
            <v>45713</v>
          </cell>
          <cell r="T7991">
            <v>45714</v>
          </cell>
          <cell r="U7991">
            <v>45715</v>
          </cell>
          <cell r="V7991">
            <v>45716</v>
          </cell>
          <cell r="W7991">
            <v>45716</v>
          </cell>
          <cell r="X7991">
            <v>41200006</v>
          </cell>
        </row>
        <row r="7992">
          <cell r="K7992" t="str">
            <v>GBWS-4731</v>
          </cell>
          <cell r="L7992">
            <v>45489</v>
          </cell>
          <cell r="M7992">
            <v>45490</v>
          </cell>
          <cell r="N7992">
            <v>45498</v>
          </cell>
          <cell r="O7992">
            <v>45490</v>
          </cell>
          <cell r="P7992">
            <v>45498</v>
          </cell>
          <cell r="Q7992">
            <v>45498</v>
          </cell>
          <cell r="R7992">
            <v>45499</v>
          </cell>
          <cell r="S7992">
            <v>45502</v>
          </cell>
          <cell r="T7992">
            <v>45503</v>
          </cell>
          <cell r="U7992">
            <v>45506</v>
          </cell>
          <cell r="V7992">
            <v>45506</v>
          </cell>
          <cell r="W7992">
            <v>45506</v>
          </cell>
          <cell r="X7992">
            <v>41100550</v>
          </cell>
        </row>
        <row r="7993">
          <cell r="K7993" t="str">
            <v>GBWS-4732</v>
          </cell>
          <cell r="L7993">
            <v>45489</v>
          </cell>
          <cell r="M7993">
            <v>45490</v>
          </cell>
          <cell r="N7993">
            <v>45498</v>
          </cell>
          <cell r="O7993">
            <v>45490</v>
          </cell>
          <cell r="P7993">
            <v>45498</v>
          </cell>
          <cell r="Q7993">
            <v>45498</v>
          </cell>
          <cell r="R7993">
            <v>45499</v>
          </cell>
          <cell r="S7993">
            <v>45502</v>
          </cell>
          <cell r="T7993">
            <v>45503</v>
          </cell>
          <cell r="U7993">
            <v>45506</v>
          </cell>
          <cell r="V7993">
            <v>45506</v>
          </cell>
          <cell r="W7993">
            <v>45506</v>
          </cell>
          <cell r="X7993">
            <v>41100550</v>
          </cell>
        </row>
        <row r="7994">
          <cell r="K7994" t="str">
            <v>GPWS-0448</v>
          </cell>
          <cell r="L7994">
            <v>45635</v>
          </cell>
          <cell r="M7994" t="str">
            <v>2024-12-06 → 12/11</v>
          </cell>
          <cell r="N7994">
            <v>45644</v>
          </cell>
          <cell r="O7994" t="str">
            <v>2024-12-06 → 12/11</v>
          </cell>
          <cell r="P7994">
            <v>45646</v>
          </cell>
          <cell r="Q7994" t="str">
            <v>2024-12-13 → 12/19</v>
          </cell>
          <cell r="R7994" t="str">
            <v>2024-12-16 → 12/20</v>
          </cell>
          <cell r="S7994">
            <v>45649</v>
          </cell>
          <cell r="T7994">
            <v>45650</v>
          </cell>
          <cell r="U7994">
            <v>45652</v>
          </cell>
          <cell r="V7994">
            <v>45653</v>
          </cell>
          <cell r="W7994">
            <v>45653</v>
          </cell>
          <cell r="X7994">
            <v>41200061</v>
          </cell>
        </row>
        <row r="7995">
          <cell r="K7995" t="str">
            <v>GPWS-0455</v>
          </cell>
          <cell r="L7995">
            <v>45667</v>
          </cell>
          <cell r="M7995">
            <v>45670</v>
          </cell>
          <cell r="N7995">
            <v>45678</v>
          </cell>
          <cell r="O7995">
            <v>45670</v>
          </cell>
          <cell r="P7995">
            <v>45691</v>
          </cell>
          <cell r="Q7995">
            <v>45679</v>
          </cell>
          <cell r="R7995">
            <v>45680</v>
          </cell>
          <cell r="S7995">
            <v>45681</v>
          </cell>
          <cell r="T7995">
            <v>45691</v>
          </cell>
          <cell r="U7995">
            <v>45692</v>
          </cell>
          <cell r="V7995">
            <v>45693</v>
          </cell>
          <cell r="W7995">
            <v>45693</v>
          </cell>
          <cell r="X7995">
            <v>41000598</v>
          </cell>
        </row>
        <row r="7996">
          <cell r="K7996" t="str">
            <v>GPWS-0476</v>
          </cell>
          <cell r="L7996">
            <v>45705</v>
          </cell>
          <cell r="M7996">
            <v>45706</v>
          </cell>
          <cell r="N7996">
            <v>45715</v>
          </cell>
          <cell r="O7996">
            <v>45706</v>
          </cell>
          <cell r="P7996">
            <v>45715</v>
          </cell>
          <cell r="Q7996">
            <v>45714</v>
          </cell>
          <cell r="R7996">
            <v>45715</v>
          </cell>
          <cell r="S7996">
            <v>45716</v>
          </cell>
          <cell r="T7996">
            <v>45720</v>
          </cell>
          <cell r="U7996">
            <v>45722</v>
          </cell>
          <cell r="V7996">
            <v>45723</v>
          </cell>
          <cell r="W7996">
            <v>45723</v>
          </cell>
          <cell r="X7996">
            <v>41000598</v>
          </cell>
        </row>
        <row r="7997">
          <cell r="K7997" t="str">
            <v>GBWS-5424</v>
          </cell>
          <cell r="L7997">
            <v>45720</v>
          </cell>
          <cell r="M7997">
            <v>45720</v>
          </cell>
          <cell r="N7997">
            <v>45727</v>
          </cell>
          <cell r="O7997">
            <v>45705</v>
          </cell>
          <cell r="P7997">
            <v>45728</v>
          </cell>
          <cell r="Q7997">
            <v>45727</v>
          </cell>
          <cell r="R7997">
            <v>45728</v>
          </cell>
          <cell r="S7997">
            <v>45729</v>
          </cell>
          <cell r="T7997">
            <v>45730</v>
          </cell>
          <cell r="U7997">
            <v>45733</v>
          </cell>
          <cell r="V7997">
            <v>45734</v>
          </cell>
          <cell r="W7997">
            <v>45734</v>
          </cell>
          <cell r="X7997">
            <v>41200074</v>
          </cell>
        </row>
        <row r="7998">
          <cell r="K7998" t="str">
            <v>DBW-3614</v>
          </cell>
          <cell r="L7998">
            <v>45721</v>
          </cell>
          <cell r="M7998">
            <v>45723</v>
          </cell>
          <cell r="N7998">
            <v>45734</v>
          </cell>
          <cell r="O7998">
            <v>45712</v>
          </cell>
          <cell r="P7998">
            <v>45735</v>
          </cell>
          <cell r="Q7998">
            <v>45733</v>
          </cell>
          <cell r="R7998">
            <v>45734</v>
          </cell>
          <cell r="S7998">
            <v>45736</v>
          </cell>
          <cell r="T7998">
            <v>45737</v>
          </cell>
          <cell r="U7998">
            <v>45740</v>
          </cell>
          <cell r="V7998">
            <v>45741</v>
          </cell>
          <cell r="W7998">
            <v>45741</v>
          </cell>
          <cell r="X7998">
            <v>41200025</v>
          </cell>
        </row>
        <row r="7999">
          <cell r="K7999" t="str">
            <v>DBW-3615</v>
          </cell>
          <cell r="L7999">
            <v>45721</v>
          </cell>
          <cell r="M7999">
            <v>45723</v>
          </cell>
          <cell r="N7999">
            <v>45734</v>
          </cell>
          <cell r="O7999">
            <v>45712</v>
          </cell>
          <cell r="P7999">
            <v>45735</v>
          </cell>
          <cell r="Q7999">
            <v>45733</v>
          </cell>
          <cell r="R7999">
            <v>45734</v>
          </cell>
          <cell r="S7999">
            <v>45736</v>
          </cell>
          <cell r="T7999">
            <v>45737</v>
          </cell>
          <cell r="U7999">
            <v>45740</v>
          </cell>
          <cell r="V7999">
            <v>45741</v>
          </cell>
          <cell r="W7999">
            <v>45741</v>
          </cell>
          <cell r="X7999">
            <v>41200025</v>
          </cell>
        </row>
        <row r="8000">
          <cell r="K8000" t="str">
            <v>DBW-3620</v>
          </cell>
          <cell r="L8000">
            <v>45736</v>
          </cell>
          <cell r="M8000">
            <v>45740</v>
          </cell>
          <cell r="N8000">
            <v>45748</v>
          </cell>
          <cell r="O8000">
            <v>45726</v>
          </cell>
          <cell r="P8000">
            <v>45748</v>
          </cell>
          <cell r="Q8000">
            <v>45748</v>
          </cell>
          <cell r="R8000">
            <v>45749</v>
          </cell>
          <cell r="S8000">
            <v>45750</v>
          </cell>
          <cell r="T8000">
            <v>45751</v>
          </cell>
          <cell r="U8000">
            <v>45754</v>
          </cell>
          <cell r="V8000">
            <v>45755</v>
          </cell>
          <cell r="W8000">
            <v>45755</v>
          </cell>
          <cell r="X8000">
            <v>41000589</v>
          </cell>
        </row>
        <row r="8001">
          <cell r="K8001" t="str">
            <v>DBW-3621</v>
          </cell>
          <cell r="L8001">
            <v>45736</v>
          </cell>
          <cell r="M8001">
            <v>45740</v>
          </cell>
          <cell r="N8001">
            <v>45748</v>
          </cell>
          <cell r="O8001">
            <v>45726</v>
          </cell>
          <cell r="P8001">
            <v>45748</v>
          </cell>
          <cell r="Q8001">
            <v>45748</v>
          </cell>
          <cell r="R8001">
            <v>45749</v>
          </cell>
          <cell r="S8001">
            <v>45750</v>
          </cell>
          <cell r="T8001">
            <v>45751</v>
          </cell>
          <cell r="U8001">
            <v>45754</v>
          </cell>
          <cell r="V8001">
            <v>45755</v>
          </cell>
          <cell r="W8001">
            <v>45755</v>
          </cell>
          <cell r="X8001">
            <v>41000589</v>
          </cell>
        </row>
        <row r="8002">
          <cell r="K8002" t="str">
            <v>DBW-3622</v>
          </cell>
          <cell r="L8002">
            <v>45736</v>
          </cell>
          <cell r="M8002">
            <v>45740</v>
          </cell>
          <cell r="N8002">
            <v>45748</v>
          </cell>
          <cell r="O8002">
            <v>45726</v>
          </cell>
          <cell r="P8002">
            <v>45748</v>
          </cell>
          <cell r="Q8002">
            <v>45748</v>
          </cell>
          <cell r="R8002">
            <v>45749</v>
          </cell>
          <cell r="S8002">
            <v>45750</v>
          </cell>
          <cell r="T8002">
            <v>45751</v>
          </cell>
          <cell r="U8002">
            <v>45754</v>
          </cell>
          <cell r="V8002">
            <v>45755</v>
          </cell>
          <cell r="W8002">
            <v>45755</v>
          </cell>
          <cell r="X8002">
            <v>41000589</v>
          </cell>
        </row>
        <row r="8003">
          <cell r="K8003" t="str">
            <v>DBW-3623</v>
          </cell>
          <cell r="L8003">
            <v>45736</v>
          </cell>
          <cell r="M8003">
            <v>45740</v>
          </cell>
          <cell r="N8003">
            <v>45748</v>
          </cell>
          <cell r="O8003">
            <v>45726</v>
          </cell>
          <cell r="P8003">
            <v>45748</v>
          </cell>
          <cell r="Q8003">
            <v>45748</v>
          </cell>
          <cell r="R8003">
            <v>45749</v>
          </cell>
          <cell r="S8003">
            <v>45750</v>
          </cell>
          <cell r="T8003">
            <v>45751</v>
          </cell>
          <cell r="U8003">
            <v>45754</v>
          </cell>
          <cell r="V8003">
            <v>45755</v>
          </cell>
          <cell r="W8003">
            <v>45755</v>
          </cell>
          <cell r="X8003">
            <v>41000589</v>
          </cell>
        </row>
        <row r="8004">
          <cell r="K8004" t="str">
            <v>DBW-3600</v>
          </cell>
          <cell r="L8004">
            <v>45680</v>
          </cell>
          <cell r="M8004">
            <v>45691</v>
          </cell>
          <cell r="N8004">
            <v>45699</v>
          </cell>
          <cell r="O8004">
            <v>45691</v>
          </cell>
          <cell r="P8004">
            <v>45698</v>
          </cell>
          <cell r="Q8004">
            <v>45699</v>
          </cell>
          <cell r="R8004">
            <v>45700</v>
          </cell>
          <cell r="S8004">
            <v>45702</v>
          </cell>
          <cell r="T8004">
            <v>45705</v>
          </cell>
          <cell r="U8004">
            <v>45706</v>
          </cell>
          <cell r="V8004">
            <v>45707</v>
          </cell>
          <cell r="W8004">
            <v>45707</v>
          </cell>
          <cell r="X8004">
            <v>41000587</v>
          </cell>
        </row>
        <row r="8005">
          <cell r="K8005" t="str">
            <v>DBW-3601</v>
          </cell>
          <cell r="L8005">
            <v>45680</v>
          </cell>
          <cell r="M8005">
            <v>45691</v>
          </cell>
          <cell r="N8005">
            <v>45699</v>
          </cell>
          <cell r="O8005">
            <v>45691</v>
          </cell>
          <cell r="P8005">
            <v>45698</v>
          </cell>
          <cell r="Q8005">
            <v>45699</v>
          </cell>
          <cell r="R8005">
            <v>45700</v>
          </cell>
          <cell r="S8005">
            <v>45702</v>
          </cell>
          <cell r="T8005">
            <v>45705</v>
          </cell>
          <cell r="U8005">
            <v>45706</v>
          </cell>
          <cell r="V8005">
            <v>45707</v>
          </cell>
          <cell r="W8005">
            <v>45707</v>
          </cell>
          <cell r="X8005">
            <v>41000587</v>
          </cell>
        </row>
        <row r="8006">
          <cell r="K8006" t="str">
            <v>DBW-3608</v>
          </cell>
          <cell r="L8006">
            <v>45706</v>
          </cell>
          <cell r="M8006">
            <v>45707</v>
          </cell>
          <cell r="N8006">
            <v>45715</v>
          </cell>
          <cell r="O8006">
            <v>45707</v>
          </cell>
          <cell r="P8006">
            <v>45716</v>
          </cell>
          <cell r="Q8006">
            <v>45715</v>
          </cell>
          <cell r="R8006">
            <v>45716</v>
          </cell>
          <cell r="S8006">
            <v>45720</v>
          </cell>
          <cell r="T8006">
            <v>45722</v>
          </cell>
          <cell r="U8006">
            <v>45723</v>
          </cell>
          <cell r="V8006">
            <v>45723</v>
          </cell>
          <cell r="W8006">
            <v>45723</v>
          </cell>
          <cell r="X8006">
            <v>41000588</v>
          </cell>
        </row>
        <row r="8007">
          <cell r="K8007" t="str">
            <v>DBW-3619</v>
          </cell>
          <cell r="L8007">
            <v>45734</v>
          </cell>
          <cell r="M8007">
            <v>45736</v>
          </cell>
          <cell r="N8007">
            <v>45743</v>
          </cell>
          <cell r="O8007">
            <v>45726</v>
          </cell>
          <cell r="P8007">
            <v>45744</v>
          </cell>
          <cell r="Q8007">
            <v>45743</v>
          </cell>
          <cell r="R8007">
            <v>45744</v>
          </cell>
          <cell r="S8007">
            <v>45748</v>
          </cell>
          <cell r="T8007">
            <v>45749</v>
          </cell>
          <cell r="U8007">
            <v>45750</v>
          </cell>
          <cell r="V8007">
            <v>45751</v>
          </cell>
          <cell r="W8007">
            <v>45751</v>
          </cell>
          <cell r="X8007">
            <v>41000588</v>
          </cell>
        </row>
        <row r="8008">
          <cell r="K8008" t="str">
            <v>DBW-3624</v>
          </cell>
          <cell r="L8008">
            <v>45740</v>
          </cell>
          <cell r="M8008">
            <v>45742</v>
          </cell>
          <cell r="N8008">
            <v>45748</v>
          </cell>
          <cell r="O8008">
            <v>45733</v>
          </cell>
          <cell r="P8008">
            <v>45750</v>
          </cell>
          <cell r="Q8008">
            <v>45749</v>
          </cell>
          <cell r="R8008">
            <v>45750</v>
          </cell>
          <cell r="S8008">
            <v>45751</v>
          </cell>
          <cell r="T8008">
            <v>45754</v>
          </cell>
          <cell r="U8008">
            <v>45755</v>
          </cell>
          <cell r="V8008">
            <v>45756</v>
          </cell>
          <cell r="W8008">
            <v>45756</v>
          </cell>
          <cell r="X8008">
            <v>41200137</v>
          </cell>
        </row>
        <row r="8009">
          <cell r="K8009" t="str">
            <v>DBW-3625</v>
          </cell>
          <cell r="L8009">
            <v>45740</v>
          </cell>
          <cell r="M8009">
            <v>45742</v>
          </cell>
          <cell r="N8009">
            <v>45748</v>
          </cell>
          <cell r="O8009">
            <v>45733</v>
          </cell>
          <cell r="P8009">
            <v>45750</v>
          </cell>
          <cell r="Q8009">
            <v>45749</v>
          </cell>
          <cell r="R8009">
            <v>45750</v>
          </cell>
          <cell r="S8009">
            <v>45751</v>
          </cell>
          <cell r="T8009">
            <v>45754</v>
          </cell>
          <cell r="U8009">
            <v>45755</v>
          </cell>
          <cell r="V8009">
            <v>45756</v>
          </cell>
          <cell r="W8009">
            <v>45756</v>
          </cell>
          <cell r="X8009">
            <v>41000584</v>
          </cell>
        </row>
        <row r="8010">
          <cell r="K8010" t="str">
            <v>-</v>
          </cell>
          <cell r="L8010" t="str">
            <v>-</v>
          </cell>
          <cell r="M8010">
            <v>45635</v>
          </cell>
          <cell r="N8010">
            <v>45638</v>
          </cell>
          <cell r="O8010">
            <v>45628</v>
          </cell>
          <cell r="P8010">
            <v>45639</v>
          </cell>
          <cell r="Q8010">
            <v>45636</v>
          </cell>
          <cell r="R8010">
            <v>45636</v>
          </cell>
          <cell r="S8010">
            <v>45639</v>
          </cell>
          <cell r="T8010">
            <v>45639</v>
          </cell>
          <cell r="U8010">
            <v>45639</v>
          </cell>
          <cell r="V8010">
            <v>45687</v>
          </cell>
          <cell r="W8010">
            <v>45687</v>
          </cell>
          <cell r="X8010">
            <v>31200384</v>
          </cell>
        </row>
        <row r="8011">
          <cell r="K8011" t="str">
            <v>GPWS-0306</v>
          </cell>
          <cell r="L8011">
            <v>45268</v>
          </cell>
          <cell r="M8011" t="str">
            <v>2023-12-08 → 12/11</v>
          </cell>
          <cell r="N8011">
            <v>45309</v>
          </cell>
          <cell r="O8011" t="str">
            <v>2023-12-08 → 12/11</v>
          </cell>
          <cell r="P8011">
            <v>45310</v>
          </cell>
          <cell r="Q8011" t="str">
            <v>2023-12-15 → 12/18</v>
          </cell>
          <cell r="R8011" t="str">
            <v>2023-12-18 → 12/19</v>
          </cell>
          <cell r="S8011">
            <v>45310</v>
          </cell>
          <cell r="T8011">
            <v>45310</v>
          </cell>
          <cell r="U8011">
            <v>45328</v>
          </cell>
          <cell r="V8011">
            <v>45407</v>
          </cell>
          <cell r="W8011">
            <v>45407</v>
          </cell>
          <cell r="X8011">
            <v>41000548</v>
          </cell>
        </row>
        <row r="8012">
          <cell r="K8012" t="str">
            <v>GPWS-0471</v>
          </cell>
          <cell r="L8012">
            <v>45702</v>
          </cell>
          <cell r="M8012">
            <v>45705</v>
          </cell>
          <cell r="N8012">
            <v>45714</v>
          </cell>
          <cell r="O8012">
            <v>45705</v>
          </cell>
          <cell r="P8012">
            <v>45714</v>
          </cell>
          <cell r="Q8012">
            <v>45713</v>
          </cell>
          <cell r="R8012">
            <v>45714</v>
          </cell>
          <cell r="S8012">
            <v>45722</v>
          </cell>
          <cell r="T8012">
            <v>45723</v>
          </cell>
          <cell r="U8012">
            <v>45726</v>
          </cell>
          <cell r="V8012">
            <v>45727</v>
          </cell>
          <cell r="W8012">
            <v>45727</v>
          </cell>
          <cell r="X8012">
            <v>41200117</v>
          </cell>
        </row>
        <row r="8013">
          <cell r="K8013" t="str">
            <v>GPWS-0472</v>
          </cell>
          <cell r="L8013">
            <v>45702</v>
          </cell>
          <cell r="M8013">
            <v>45705</v>
          </cell>
          <cell r="N8013">
            <v>45714</v>
          </cell>
          <cell r="O8013">
            <v>45705</v>
          </cell>
          <cell r="P8013">
            <v>45714</v>
          </cell>
          <cell r="Q8013">
            <v>45713</v>
          </cell>
          <cell r="R8013">
            <v>45714</v>
          </cell>
          <cell r="S8013">
            <v>45722</v>
          </cell>
          <cell r="T8013">
            <v>45723</v>
          </cell>
          <cell r="U8013">
            <v>45726</v>
          </cell>
          <cell r="V8013">
            <v>45727</v>
          </cell>
          <cell r="W8013">
            <v>45727</v>
          </cell>
          <cell r="X8013">
            <v>41200117</v>
          </cell>
        </row>
        <row r="8014">
          <cell r="K8014" t="str">
            <v>DBW-3328</v>
          </cell>
          <cell r="L8014">
            <v>45397</v>
          </cell>
          <cell r="M8014">
            <v>45398</v>
          </cell>
          <cell r="N8014">
            <v>45405</v>
          </cell>
          <cell r="O8014">
            <v>45398</v>
          </cell>
          <cell r="P8014">
            <v>45406</v>
          </cell>
          <cell r="Q8014">
            <v>45405</v>
          </cell>
          <cell r="R8014">
            <v>45406</v>
          </cell>
          <cell r="S8014">
            <v>45411</v>
          </cell>
          <cell r="T8014">
            <v>45412</v>
          </cell>
          <cell r="U8014">
            <v>45414</v>
          </cell>
          <cell r="V8014">
            <v>45415</v>
          </cell>
          <cell r="W8014">
            <v>45415</v>
          </cell>
          <cell r="X8014">
            <v>41100099</v>
          </cell>
        </row>
        <row r="8015">
          <cell r="K8015" t="str">
            <v>GBWS-4163</v>
          </cell>
          <cell r="L8015">
            <v>45342</v>
          </cell>
          <cell r="M8015">
            <v>45343</v>
          </cell>
          <cell r="N8015">
            <v>45350</v>
          </cell>
          <cell r="O8015">
            <v>45343</v>
          </cell>
          <cell r="P8015">
            <v>45351</v>
          </cell>
          <cell r="Q8015">
            <v>45350</v>
          </cell>
          <cell r="R8015">
            <v>45351</v>
          </cell>
          <cell r="S8015">
            <v>45355</v>
          </cell>
          <cell r="T8015">
            <v>45356</v>
          </cell>
          <cell r="U8015">
            <v>45357</v>
          </cell>
          <cell r="V8015">
            <v>45358</v>
          </cell>
          <cell r="W8015">
            <v>45358</v>
          </cell>
          <cell r="X8015">
            <v>41000569</v>
          </cell>
        </row>
        <row r="8016">
          <cell r="K8016" t="str">
            <v>GBWS-4164</v>
          </cell>
          <cell r="L8016">
            <v>45342</v>
          </cell>
          <cell r="M8016">
            <v>45343</v>
          </cell>
          <cell r="N8016">
            <v>45350</v>
          </cell>
          <cell r="O8016">
            <v>45343</v>
          </cell>
          <cell r="P8016">
            <v>45351</v>
          </cell>
          <cell r="Q8016">
            <v>45350</v>
          </cell>
          <cell r="R8016">
            <v>45351</v>
          </cell>
          <cell r="S8016">
            <v>45355</v>
          </cell>
          <cell r="T8016">
            <v>45356</v>
          </cell>
          <cell r="U8016">
            <v>45357</v>
          </cell>
          <cell r="V8016">
            <v>45358</v>
          </cell>
          <cell r="W8016">
            <v>45358</v>
          </cell>
          <cell r="X8016">
            <v>41000569</v>
          </cell>
        </row>
        <row r="8017">
          <cell r="K8017" t="str">
            <v>GBWS-5065</v>
          </cell>
          <cell r="L8017">
            <v>45608</v>
          </cell>
          <cell r="M8017">
            <v>45608</v>
          </cell>
          <cell r="N8017">
            <v>45615</v>
          </cell>
          <cell r="O8017">
            <v>45608</v>
          </cell>
          <cell r="P8017">
            <v>45616</v>
          </cell>
          <cell r="Q8017">
            <v>45615</v>
          </cell>
          <cell r="R8017">
            <v>45616</v>
          </cell>
          <cell r="S8017">
            <v>45665</v>
          </cell>
          <cell r="T8017">
            <v>45666</v>
          </cell>
          <cell r="U8017">
            <v>45672</v>
          </cell>
          <cell r="V8017">
            <v>45673</v>
          </cell>
          <cell r="W8017">
            <v>45673</v>
          </cell>
          <cell r="X8017">
            <v>41200054</v>
          </cell>
        </row>
        <row r="8018">
          <cell r="K8018" t="str">
            <v>GBWS-5152</v>
          </cell>
          <cell r="L8018">
            <v>45625</v>
          </cell>
          <cell r="M8018">
            <v>45628</v>
          </cell>
          <cell r="N8018">
            <v>45642</v>
          </cell>
          <cell r="O8018">
            <v>45628</v>
          </cell>
          <cell r="P8018">
            <v>45645</v>
          </cell>
          <cell r="Q8018" t="str">
            <v>2024-12-09 → 12/24</v>
          </cell>
          <cell r="R8018" t="str">
            <v>2024-12-10 → 12/26</v>
          </cell>
          <cell r="S8018">
            <v>45666</v>
          </cell>
          <cell r="T8018">
            <v>45667</v>
          </cell>
          <cell r="U8018">
            <v>45670</v>
          </cell>
          <cell r="V8018">
            <v>45671</v>
          </cell>
          <cell r="W8018">
            <v>45671</v>
          </cell>
          <cell r="X8018">
            <v>41200060</v>
          </cell>
        </row>
        <row r="8019">
          <cell r="K8019" t="str">
            <v>GBWS-3787</v>
          </cell>
          <cell r="L8019">
            <v>45216</v>
          </cell>
          <cell r="M8019">
            <v>45217</v>
          </cell>
          <cell r="N8019">
            <v>45227</v>
          </cell>
          <cell r="O8019">
            <v>45217</v>
          </cell>
          <cell r="P8019">
            <v>45226</v>
          </cell>
          <cell r="Q8019" t="str">
            <v>2023-10-26 → 10/27</v>
          </cell>
          <cell r="R8019">
            <v>45226</v>
          </cell>
          <cell r="S8019">
            <v>45229</v>
          </cell>
          <cell r="T8019">
            <v>45229</v>
          </cell>
          <cell r="U8019">
            <v>45245</v>
          </cell>
          <cell r="V8019">
            <v>45246</v>
          </cell>
          <cell r="W8019">
            <v>45246</v>
          </cell>
          <cell r="X8019">
            <v>41100481</v>
          </cell>
        </row>
        <row r="8020">
          <cell r="K8020" t="str">
            <v>GBWS-5411</v>
          </cell>
          <cell r="L8020">
            <v>45714</v>
          </cell>
          <cell r="M8020">
            <v>45715</v>
          </cell>
          <cell r="N8020">
            <v>45728</v>
          </cell>
          <cell r="O8020">
            <v>45715</v>
          </cell>
          <cell r="P8020">
            <v>45736</v>
          </cell>
          <cell r="Q8020" t="str">
            <v>2025-03-10 → 3/20</v>
          </cell>
          <cell r="R8020" t="str">
            <v>2025-03-11 → 3/21</v>
          </cell>
          <cell r="S8020">
            <v>45740</v>
          </cell>
          <cell r="T8020">
            <v>45742</v>
          </cell>
          <cell r="U8020">
            <v>45743</v>
          </cell>
          <cell r="V8020">
            <v>45744</v>
          </cell>
          <cell r="W8020">
            <v>45744</v>
          </cell>
          <cell r="X8020">
            <v>41100320</v>
          </cell>
        </row>
        <row r="8021">
          <cell r="K8021" t="str">
            <v>GBWS-5479</v>
          </cell>
          <cell r="L8021">
            <v>45736</v>
          </cell>
          <cell r="M8021">
            <v>45740</v>
          </cell>
          <cell r="N8021">
            <v>45747</v>
          </cell>
          <cell r="O8021">
            <v>45726</v>
          </cell>
          <cell r="P8021">
            <v>45748</v>
          </cell>
          <cell r="Q8021">
            <v>45747</v>
          </cell>
          <cell r="R8021">
            <v>45748</v>
          </cell>
          <cell r="S8021">
            <v>45749</v>
          </cell>
          <cell r="T8021">
            <v>45750</v>
          </cell>
          <cell r="U8021">
            <v>45751</v>
          </cell>
          <cell r="V8021">
            <v>45754</v>
          </cell>
          <cell r="W8021">
            <v>45754</v>
          </cell>
          <cell r="X8021">
            <v>41200075</v>
          </cell>
        </row>
        <row r="8022">
          <cell r="K8022" t="str">
            <v>GBWS-5489</v>
          </cell>
          <cell r="L8022">
            <v>45740</v>
          </cell>
          <cell r="M8022">
            <v>45742</v>
          </cell>
          <cell r="N8022">
            <v>45750</v>
          </cell>
          <cell r="O8022">
            <v>45733</v>
          </cell>
          <cell r="P8022">
            <v>45751</v>
          </cell>
          <cell r="Q8022">
            <v>45750</v>
          </cell>
          <cell r="R8022">
            <v>45751</v>
          </cell>
          <cell r="S8022">
            <v>45754</v>
          </cell>
          <cell r="T8022">
            <v>45755</v>
          </cell>
          <cell r="U8022">
            <v>45756</v>
          </cell>
          <cell r="V8022">
            <v>45757</v>
          </cell>
          <cell r="W8022">
            <v>45757</v>
          </cell>
          <cell r="X8022">
            <v>41200101</v>
          </cell>
        </row>
        <row r="8023">
          <cell r="K8023" t="str">
            <v>GBWS-5490</v>
          </cell>
          <cell r="L8023">
            <v>45740</v>
          </cell>
          <cell r="M8023">
            <v>45742</v>
          </cell>
          <cell r="N8023">
            <v>45750</v>
          </cell>
          <cell r="O8023">
            <v>45733</v>
          </cell>
          <cell r="P8023">
            <v>45751</v>
          </cell>
          <cell r="Q8023">
            <v>45750</v>
          </cell>
          <cell r="R8023">
            <v>45751</v>
          </cell>
          <cell r="S8023">
            <v>45754</v>
          </cell>
          <cell r="T8023">
            <v>45755</v>
          </cell>
          <cell r="U8023">
            <v>45756</v>
          </cell>
          <cell r="V8023">
            <v>45757</v>
          </cell>
          <cell r="W8023">
            <v>45757</v>
          </cell>
          <cell r="X8023">
            <v>41200101</v>
          </cell>
        </row>
        <row r="8024">
          <cell r="K8024" t="str">
            <v>GBWS-5494</v>
          </cell>
          <cell r="L8024">
            <v>45741</v>
          </cell>
          <cell r="M8024">
            <v>45743</v>
          </cell>
          <cell r="N8024">
            <v>45751</v>
          </cell>
          <cell r="O8024">
            <v>45733</v>
          </cell>
          <cell r="P8024">
            <v>45754</v>
          </cell>
          <cell r="Q8024">
            <v>45751</v>
          </cell>
          <cell r="R8024">
            <v>45754</v>
          </cell>
          <cell r="S8024">
            <v>45755</v>
          </cell>
          <cell r="T8024">
            <v>45756</v>
          </cell>
          <cell r="U8024">
            <v>45757</v>
          </cell>
          <cell r="V8024">
            <v>45758</v>
          </cell>
          <cell r="W8024">
            <v>45758</v>
          </cell>
          <cell r="X8024">
            <v>41200124</v>
          </cell>
        </row>
        <row r="8025">
          <cell r="K8025" t="str">
            <v>GBWS-5499</v>
          </cell>
          <cell r="L8025">
            <v>45743</v>
          </cell>
          <cell r="M8025">
            <v>45747</v>
          </cell>
          <cell r="N8025">
            <v>45755</v>
          </cell>
          <cell r="O8025">
            <v>45733</v>
          </cell>
          <cell r="P8025">
            <v>45755</v>
          </cell>
          <cell r="Q8025">
            <v>45755</v>
          </cell>
          <cell r="R8025">
            <v>45756</v>
          </cell>
          <cell r="S8025">
            <v>45758</v>
          </cell>
          <cell r="T8025">
            <v>45761</v>
          </cell>
          <cell r="U8025">
            <v>45762</v>
          </cell>
          <cell r="V8025">
            <v>45763</v>
          </cell>
          <cell r="W8025">
            <v>45763</v>
          </cell>
          <cell r="X8025">
            <v>41200101</v>
          </cell>
        </row>
        <row r="8026">
          <cell r="K8026" t="str">
            <v>GBWS-5285</v>
          </cell>
          <cell r="L8026">
            <v>45674</v>
          </cell>
          <cell r="M8026">
            <v>45678</v>
          </cell>
          <cell r="N8026">
            <v>45692</v>
          </cell>
          <cell r="O8026">
            <v>45678</v>
          </cell>
          <cell r="P8026">
            <v>45693</v>
          </cell>
          <cell r="Q8026" t="str">
            <v>2025-02-03 → 2/4</v>
          </cell>
          <cell r="R8026" t="str">
            <v>2025-02-04 → 2/5</v>
          </cell>
          <cell r="S8026">
            <v>45705</v>
          </cell>
          <cell r="T8026">
            <v>45706</v>
          </cell>
          <cell r="U8026">
            <v>45707</v>
          </cell>
          <cell r="V8026">
            <v>45708</v>
          </cell>
          <cell r="W8026">
            <v>45708</v>
          </cell>
          <cell r="X8026" t="str">
            <v>41100372 → 41200125</v>
          </cell>
        </row>
        <row r="8027">
          <cell r="K8027"/>
          <cell r="L8027"/>
          <cell r="M8027">
            <v>45740</v>
          </cell>
          <cell r="N8027">
            <v>45744</v>
          </cell>
          <cell r="O8027">
            <v>45740</v>
          </cell>
          <cell r="P8027">
            <v>45744</v>
          </cell>
          <cell r="Q8027">
            <v>45744</v>
          </cell>
          <cell r="R8027">
            <v>45744</v>
          </cell>
          <cell r="S8027">
            <v>45747</v>
          </cell>
          <cell r="T8027">
            <v>45748</v>
          </cell>
          <cell r="U8027">
            <v>45749</v>
          </cell>
          <cell r="V8027">
            <v>45750</v>
          </cell>
          <cell r="W8027">
            <v>45750</v>
          </cell>
          <cell r="X8027">
            <v>41200125</v>
          </cell>
        </row>
        <row r="8028">
          <cell r="K8028" t="str">
            <v>GBWS-5297</v>
          </cell>
          <cell r="L8028">
            <v>45680</v>
          </cell>
          <cell r="M8028">
            <v>45688</v>
          </cell>
          <cell r="N8028">
            <v>45698</v>
          </cell>
          <cell r="O8028">
            <v>45688</v>
          </cell>
          <cell r="P8028">
            <v>45698</v>
          </cell>
          <cell r="Q8028">
            <v>45698</v>
          </cell>
          <cell r="R8028">
            <v>45699</v>
          </cell>
          <cell r="S8028">
            <v>45700</v>
          </cell>
          <cell r="T8028">
            <v>45701</v>
          </cell>
          <cell r="U8028">
            <v>45702</v>
          </cell>
          <cell r="V8028">
            <v>45705</v>
          </cell>
          <cell r="W8028">
            <v>45705</v>
          </cell>
          <cell r="X8028" t="str">
            <v>41100372 → 41200125</v>
          </cell>
        </row>
        <row r="8029">
          <cell r="K8029"/>
          <cell r="L8029"/>
          <cell r="M8029">
            <v>45742</v>
          </cell>
          <cell r="N8029">
            <v>45748</v>
          </cell>
          <cell r="O8029">
            <v>45742</v>
          </cell>
          <cell r="P8029">
            <v>45748</v>
          </cell>
          <cell r="Q8029">
            <v>45748</v>
          </cell>
          <cell r="R8029">
            <v>45748</v>
          </cell>
          <cell r="S8029">
            <v>45749</v>
          </cell>
          <cell r="T8029">
            <v>45750</v>
          </cell>
          <cell r="U8029">
            <v>45751</v>
          </cell>
          <cell r="V8029">
            <v>45754</v>
          </cell>
          <cell r="W8029">
            <v>45754</v>
          </cell>
          <cell r="X8029">
            <v>41200125</v>
          </cell>
        </row>
        <row r="8030">
          <cell r="K8030" t="str">
            <v>GBWS-5298</v>
          </cell>
          <cell r="L8030">
            <v>45680</v>
          </cell>
          <cell r="M8030">
            <v>45688</v>
          </cell>
          <cell r="N8030">
            <v>45698</v>
          </cell>
          <cell r="O8030">
            <v>45688</v>
          </cell>
          <cell r="P8030">
            <v>45698</v>
          </cell>
          <cell r="Q8030">
            <v>45698</v>
          </cell>
          <cell r="R8030">
            <v>45699</v>
          </cell>
          <cell r="S8030">
            <v>45700</v>
          </cell>
          <cell r="T8030">
            <v>45701</v>
          </cell>
          <cell r="U8030">
            <v>45706</v>
          </cell>
          <cell r="V8030">
            <v>45707</v>
          </cell>
          <cell r="W8030">
            <v>45707</v>
          </cell>
          <cell r="X8030" t="str">
            <v>41100372 → 41200125</v>
          </cell>
        </row>
        <row r="8031">
          <cell r="K8031"/>
          <cell r="L8031"/>
          <cell r="M8031">
            <v>45742</v>
          </cell>
          <cell r="N8031">
            <v>45748</v>
          </cell>
          <cell r="O8031">
            <v>45742</v>
          </cell>
          <cell r="P8031">
            <v>45748</v>
          </cell>
          <cell r="Q8031">
            <v>45748</v>
          </cell>
          <cell r="R8031">
            <v>45748</v>
          </cell>
          <cell r="S8031">
            <v>45749</v>
          </cell>
          <cell r="T8031">
            <v>45750</v>
          </cell>
          <cell r="U8031">
            <v>45751</v>
          </cell>
          <cell r="V8031">
            <v>45754</v>
          </cell>
          <cell r="W8031">
            <v>45754</v>
          </cell>
          <cell r="X8031">
            <v>41200125</v>
          </cell>
        </row>
        <row r="8032">
          <cell r="K8032" t="str">
            <v>GBWS-4878</v>
          </cell>
          <cell r="L8032">
            <v>45533</v>
          </cell>
          <cell r="M8032">
            <v>45534</v>
          </cell>
          <cell r="N8032">
            <v>45541</v>
          </cell>
          <cell r="O8032">
            <v>45534</v>
          </cell>
          <cell r="P8032">
            <v>45544</v>
          </cell>
          <cell r="Q8032">
            <v>45541</v>
          </cell>
          <cell r="R8032">
            <v>45544</v>
          </cell>
          <cell r="S8032">
            <v>45545</v>
          </cell>
          <cell r="T8032">
            <v>45546</v>
          </cell>
          <cell r="U8032">
            <v>45547</v>
          </cell>
          <cell r="V8032">
            <v>45548</v>
          </cell>
          <cell r="W8032">
            <v>45548</v>
          </cell>
          <cell r="X8032" t="str">
            <v>41100538 → 41200071</v>
          </cell>
        </row>
        <row r="8033">
          <cell r="K8033" t="str">
            <v>GBWS-5495</v>
          </cell>
          <cell r="L8033">
            <v>45741</v>
          </cell>
          <cell r="M8033">
            <v>45743</v>
          </cell>
          <cell r="N8033">
            <v>45751</v>
          </cell>
          <cell r="O8033">
            <v>45733</v>
          </cell>
          <cell r="P8033">
            <v>45754</v>
          </cell>
          <cell r="Q8033">
            <v>45751</v>
          </cell>
          <cell r="R8033">
            <v>45754</v>
          </cell>
          <cell r="S8033">
            <v>45755</v>
          </cell>
          <cell r="T8033">
            <v>45756</v>
          </cell>
          <cell r="U8033">
            <v>45758</v>
          </cell>
          <cell r="V8033">
            <v>45761</v>
          </cell>
          <cell r="W8033">
            <v>45761</v>
          </cell>
          <cell r="X8033">
            <v>41200125</v>
          </cell>
        </row>
        <row r="8034">
          <cell r="K8034" t="str">
            <v>GBWS-5496</v>
          </cell>
          <cell r="L8034">
            <v>45741</v>
          </cell>
          <cell r="M8034">
            <v>45743</v>
          </cell>
          <cell r="N8034">
            <v>45751</v>
          </cell>
          <cell r="O8034">
            <v>45733</v>
          </cell>
          <cell r="P8034">
            <v>45754</v>
          </cell>
          <cell r="Q8034">
            <v>45751</v>
          </cell>
          <cell r="R8034">
            <v>45754</v>
          </cell>
          <cell r="S8034">
            <v>45756</v>
          </cell>
          <cell r="T8034">
            <v>45757</v>
          </cell>
          <cell r="U8034">
            <v>45761</v>
          </cell>
          <cell r="V8034">
            <v>45762</v>
          </cell>
          <cell r="W8034">
            <v>45762</v>
          </cell>
          <cell r="X8034">
            <v>41200125</v>
          </cell>
        </row>
        <row r="8035">
          <cell r="K8035" t="str">
            <v>GBWS-5497</v>
          </cell>
          <cell r="L8035">
            <v>45741</v>
          </cell>
          <cell r="M8035">
            <v>45743</v>
          </cell>
          <cell r="N8035">
            <v>45751</v>
          </cell>
          <cell r="O8035">
            <v>45733</v>
          </cell>
          <cell r="P8035">
            <v>45754</v>
          </cell>
          <cell r="Q8035">
            <v>45751</v>
          </cell>
          <cell r="R8035">
            <v>45754</v>
          </cell>
          <cell r="S8035">
            <v>45756</v>
          </cell>
          <cell r="T8035">
            <v>45757</v>
          </cell>
          <cell r="U8035">
            <v>45761</v>
          </cell>
          <cell r="V8035">
            <v>45762</v>
          </cell>
          <cell r="W8035">
            <v>45762</v>
          </cell>
          <cell r="X8035">
            <v>41200125</v>
          </cell>
        </row>
        <row r="8036">
          <cell r="K8036" t="str">
            <v>GBWS-5498</v>
          </cell>
          <cell r="L8036">
            <v>45741</v>
          </cell>
          <cell r="M8036">
            <v>45743</v>
          </cell>
          <cell r="N8036">
            <v>45751</v>
          </cell>
          <cell r="O8036">
            <v>45733</v>
          </cell>
          <cell r="P8036">
            <v>45754</v>
          </cell>
          <cell r="Q8036">
            <v>45751</v>
          </cell>
          <cell r="R8036">
            <v>45754</v>
          </cell>
          <cell r="S8036">
            <v>45755</v>
          </cell>
          <cell r="T8036">
            <v>45756</v>
          </cell>
          <cell r="U8036">
            <v>45757</v>
          </cell>
          <cell r="V8036">
            <v>45758</v>
          </cell>
          <cell r="W8036">
            <v>45758</v>
          </cell>
          <cell r="X8036">
            <v>41200125</v>
          </cell>
        </row>
        <row r="8037">
          <cell r="K8037" t="str">
            <v>GBWS-5376</v>
          </cell>
          <cell r="L8037">
            <v>45700</v>
          </cell>
          <cell r="M8037">
            <v>45702</v>
          </cell>
          <cell r="N8037">
            <v>45713</v>
          </cell>
          <cell r="O8037">
            <v>45702</v>
          </cell>
          <cell r="P8037">
            <v>45714</v>
          </cell>
          <cell r="Q8037">
            <v>45713</v>
          </cell>
          <cell r="R8037">
            <v>45714</v>
          </cell>
          <cell r="S8037">
            <v>45758</v>
          </cell>
          <cell r="T8037">
            <v>45761</v>
          </cell>
          <cell r="U8037">
            <v>45763</v>
          </cell>
          <cell r="V8037">
            <v>45764</v>
          </cell>
          <cell r="W8037">
            <v>45764</v>
          </cell>
          <cell r="X8037">
            <v>41200076</v>
          </cell>
        </row>
        <row r="8038">
          <cell r="K8038" t="str">
            <v>GBWS-5139</v>
          </cell>
          <cell r="L8038">
            <v>45621</v>
          </cell>
          <cell r="M8038">
            <v>45623</v>
          </cell>
          <cell r="N8038">
            <v>45635</v>
          </cell>
          <cell r="O8038">
            <v>45623</v>
          </cell>
          <cell r="P8038">
            <v>45631</v>
          </cell>
          <cell r="Q8038" t="str">
            <v>2024-12-04 → 12/23</v>
          </cell>
          <cell r="R8038" t="str">
            <v>2024-12-05 → 12/24</v>
          </cell>
          <cell r="S8038">
            <v>45659</v>
          </cell>
          <cell r="T8038">
            <v>45660</v>
          </cell>
          <cell r="U8038">
            <v>45666</v>
          </cell>
          <cell r="V8038">
            <v>45667</v>
          </cell>
          <cell r="W8038">
            <v>45667</v>
          </cell>
          <cell r="X8038">
            <v>41100227</v>
          </cell>
        </row>
        <row r="8039">
          <cell r="K8039" t="str">
            <v>GBWS-5206</v>
          </cell>
          <cell r="L8039">
            <v>45649</v>
          </cell>
          <cell r="M8039">
            <v>45652</v>
          </cell>
          <cell r="N8039">
            <v>45665</v>
          </cell>
          <cell r="O8039">
            <v>45652</v>
          </cell>
          <cell r="P8039">
            <v>45666</v>
          </cell>
          <cell r="Q8039">
            <v>45665</v>
          </cell>
          <cell r="R8039">
            <v>45666</v>
          </cell>
          <cell r="S8039">
            <v>45670</v>
          </cell>
          <cell r="T8039">
            <v>45671</v>
          </cell>
          <cell r="U8039">
            <v>45677</v>
          </cell>
          <cell r="V8039">
            <v>45679</v>
          </cell>
          <cell r="W8039">
            <v>45679</v>
          </cell>
          <cell r="X8039">
            <v>41200088</v>
          </cell>
        </row>
        <row r="8040">
          <cell r="K8040" t="str">
            <v>MMD-0082</v>
          </cell>
          <cell r="L8040">
            <v>45649</v>
          </cell>
          <cell r="M8040">
            <v>45652</v>
          </cell>
          <cell r="N8040">
            <v>45665</v>
          </cell>
          <cell r="O8040">
            <v>45652</v>
          </cell>
          <cell r="P8040">
            <v>45666</v>
          </cell>
          <cell r="Q8040">
            <v>45659</v>
          </cell>
          <cell r="R8040">
            <v>45659</v>
          </cell>
          <cell r="S8040">
            <v>45670</v>
          </cell>
          <cell r="T8040">
            <v>45671</v>
          </cell>
          <cell r="U8040">
            <v>45677</v>
          </cell>
          <cell r="V8040">
            <v>45679</v>
          </cell>
          <cell r="W8040">
            <v>45679</v>
          </cell>
          <cell r="X8040">
            <v>31102402</v>
          </cell>
        </row>
        <row r="8041">
          <cell r="K8041" t="str">
            <v>GBWS-5207</v>
          </cell>
          <cell r="L8041">
            <v>45649</v>
          </cell>
          <cell r="M8041">
            <v>45652</v>
          </cell>
          <cell r="N8041">
            <v>45665</v>
          </cell>
          <cell r="O8041">
            <v>45652</v>
          </cell>
          <cell r="P8041">
            <v>45666</v>
          </cell>
          <cell r="Q8041">
            <v>45665</v>
          </cell>
          <cell r="R8041">
            <v>45666</v>
          </cell>
          <cell r="S8041">
            <v>45694</v>
          </cell>
          <cell r="T8041">
            <v>45695</v>
          </cell>
          <cell r="U8041">
            <v>45699</v>
          </cell>
          <cell r="V8041">
            <v>45700</v>
          </cell>
          <cell r="W8041">
            <v>45700</v>
          </cell>
          <cell r="X8041">
            <v>41200088</v>
          </cell>
        </row>
        <row r="8042">
          <cell r="K8042" t="str">
            <v>MMD-0083</v>
          </cell>
          <cell r="L8042">
            <v>45649</v>
          </cell>
          <cell r="M8042">
            <v>45652</v>
          </cell>
          <cell r="N8042">
            <v>45665</v>
          </cell>
          <cell r="O8042">
            <v>45652</v>
          </cell>
          <cell r="P8042">
            <v>45666</v>
          </cell>
          <cell r="Q8042">
            <v>45659</v>
          </cell>
          <cell r="R8042">
            <v>45659</v>
          </cell>
          <cell r="S8042">
            <v>45694</v>
          </cell>
          <cell r="T8042">
            <v>45695</v>
          </cell>
          <cell r="U8042">
            <v>45699</v>
          </cell>
          <cell r="V8042">
            <v>45700</v>
          </cell>
          <cell r="W8042">
            <v>45700</v>
          </cell>
          <cell r="X8042">
            <v>31102402</v>
          </cell>
        </row>
        <row r="8043">
          <cell r="K8043" t="str">
            <v>GBWS-5470</v>
          </cell>
          <cell r="L8043">
            <v>45735</v>
          </cell>
          <cell r="M8043">
            <v>45737</v>
          </cell>
          <cell r="N8043">
            <v>45744</v>
          </cell>
          <cell r="O8043">
            <v>45726</v>
          </cell>
          <cell r="P8043">
            <v>45747</v>
          </cell>
          <cell r="Q8043">
            <v>45744</v>
          </cell>
          <cell r="R8043">
            <v>45747</v>
          </cell>
          <cell r="S8043">
            <v>45748</v>
          </cell>
          <cell r="T8043">
            <v>45749</v>
          </cell>
          <cell r="U8043">
            <v>45750</v>
          </cell>
          <cell r="V8043">
            <v>45751</v>
          </cell>
          <cell r="W8043">
            <v>45751</v>
          </cell>
          <cell r="X8043">
            <v>41100697</v>
          </cell>
        </row>
        <row r="8044">
          <cell r="K8044" t="str">
            <v>GBWS-5471</v>
          </cell>
          <cell r="L8044">
            <v>45735</v>
          </cell>
          <cell r="M8044">
            <v>45737</v>
          </cell>
          <cell r="N8044">
            <v>45744</v>
          </cell>
          <cell r="O8044">
            <v>45726</v>
          </cell>
          <cell r="P8044">
            <v>45747</v>
          </cell>
          <cell r="Q8044">
            <v>45744</v>
          </cell>
          <cell r="R8044">
            <v>45747</v>
          </cell>
          <cell r="S8044">
            <v>45748</v>
          </cell>
          <cell r="T8044">
            <v>45749</v>
          </cell>
          <cell r="U8044">
            <v>45750</v>
          </cell>
          <cell r="V8044">
            <v>45751</v>
          </cell>
          <cell r="W8044">
            <v>45751</v>
          </cell>
          <cell r="X8044">
            <v>41100697</v>
          </cell>
        </row>
        <row r="8045">
          <cell r="K8045" t="str">
            <v>GBWS-5472</v>
          </cell>
          <cell r="L8045">
            <v>45735</v>
          </cell>
          <cell r="M8045">
            <v>45737</v>
          </cell>
          <cell r="N8045">
            <v>45747</v>
          </cell>
          <cell r="O8045">
            <v>45726</v>
          </cell>
          <cell r="P8045">
            <v>45748</v>
          </cell>
          <cell r="Q8045">
            <v>45747</v>
          </cell>
          <cell r="R8045">
            <v>45748</v>
          </cell>
          <cell r="S8045">
            <v>45749</v>
          </cell>
          <cell r="T8045">
            <v>45750</v>
          </cell>
          <cell r="U8045">
            <v>45751</v>
          </cell>
          <cell r="V8045">
            <v>45754</v>
          </cell>
          <cell r="W8045">
            <v>45754</v>
          </cell>
          <cell r="X8045">
            <v>41100697</v>
          </cell>
        </row>
        <row r="8046">
          <cell r="K8046" t="str">
            <v>GBWS-5473</v>
          </cell>
          <cell r="L8046">
            <v>45735</v>
          </cell>
          <cell r="M8046">
            <v>45737</v>
          </cell>
          <cell r="N8046">
            <v>45747</v>
          </cell>
          <cell r="O8046">
            <v>45726</v>
          </cell>
          <cell r="P8046">
            <v>45748</v>
          </cell>
          <cell r="Q8046">
            <v>45747</v>
          </cell>
          <cell r="R8046">
            <v>45748</v>
          </cell>
          <cell r="S8046">
            <v>45749</v>
          </cell>
          <cell r="T8046">
            <v>45750</v>
          </cell>
          <cell r="U8046">
            <v>45751</v>
          </cell>
          <cell r="V8046">
            <v>45754</v>
          </cell>
          <cell r="W8046">
            <v>45754</v>
          </cell>
          <cell r="X8046">
            <v>41100697</v>
          </cell>
        </row>
        <row r="8047">
          <cell r="K8047" t="str">
            <v>GBWS-5474</v>
          </cell>
          <cell r="L8047">
            <v>45735</v>
          </cell>
          <cell r="M8047">
            <v>45737</v>
          </cell>
          <cell r="N8047">
            <v>45747</v>
          </cell>
          <cell r="O8047">
            <v>45726</v>
          </cell>
          <cell r="P8047">
            <v>45748</v>
          </cell>
          <cell r="Q8047">
            <v>45747</v>
          </cell>
          <cell r="R8047">
            <v>45748</v>
          </cell>
          <cell r="S8047">
            <v>45749</v>
          </cell>
          <cell r="T8047">
            <v>45750</v>
          </cell>
          <cell r="U8047">
            <v>45751</v>
          </cell>
          <cell r="V8047">
            <v>45754</v>
          </cell>
          <cell r="W8047">
            <v>45754</v>
          </cell>
          <cell r="X8047">
            <v>41100697</v>
          </cell>
        </row>
        <row r="8048">
          <cell r="K8048" t="str">
            <v>GPWS-0485</v>
          </cell>
          <cell r="L8048">
            <v>45709</v>
          </cell>
          <cell r="M8048">
            <v>45712</v>
          </cell>
          <cell r="N8048">
            <v>45721</v>
          </cell>
          <cell r="O8048">
            <v>45712</v>
          </cell>
          <cell r="P8048">
            <v>45722</v>
          </cell>
          <cell r="Q8048">
            <v>45721</v>
          </cell>
          <cell r="R8048">
            <v>45722</v>
          </cell>
          <cell r="S8048">
            <v>45722</v>
          </cell>
          <cell r="T8048">
            <v>45726</v>
          </cell>
          <cell r="U8048">
            <v>45727</v>
          </cell>
          <cell r="V8048">
            <v>45728</v>
          </cell>
          <cell r="W8048">
            <v>45728</v>
          </cell>
          <cell r="X8048">
            <v>41200096</v>
          </cell>
        </row>
        <row r="8049">
          <cell r="K8049" t="str">
            <v>GPWS-0486</v>
          </cell>
          <cell r="L8049">
            <v>45709</v>
          </cell>
          <cell r="M8049">
            <v>45712</v>
          </cell>
          <cell r="N8049">
            <v>45721</v>
          </cell>
          <cell r="O8049">
            <v>45712</v>
          </cell>
          <cell r="P8049">
            <v>45722</v>
          </cell>
          <cell r="Q8049">
            <v>45721</v>
          </cell>
          <cell r="R8049">
            <v>45722</v>
          </cell>
          <cell r="S8049">
            <v>45722</v>
          </cell>
          <cell r="T8049">
            <v>45726</v>
          </cell>
          <cell r="U8049">
            <v>45727</v>
          </cell>
          <cell r="V8049">
            <v>45728</v>
          </cell>
          <cell r="W8049">
            <v>45728</v>
          </cell>
          <cell r="X8049">
            <v>41200096</v>
          </cell>
        </row>
        <row r="8050">
          <cell r="K8050" t="str">
            <v>GPWS-0487</v>
          </cell>
          <cell r="L8050">
            <v>45709</v>
          </cell>
          <cell r="M8050">
            <v>45712</v>
          </cell>
          <cell r="N8050">
            <v>45721</v>
          </cell>
          <cell r="O8050">
            <v>45712</v>
          </cell>
          <cell r="P8050">
            <v>45722</v>
          </cell>
          <cell r="Q8050">
            <v>45721</v>
          </cell>
          <cell r="R8050">
            <v>45722</v>
          </cell>
          <cell r="S8050">
            <v>45722</v>
          </cell>
          <cell r="T8050">
            <v>45726</v>
          </cell>
          <cell r="U8050">
            <v>45727</v>
          </cell>
          <cell r="V8050">
            <v>45728</v>
          </cell>
          <cell r="W8050">
            <v>45728</v>
          </cell>
          <cell r="X8050">
            <v>41200096</v>
          </cell>
        </row>
        <row r="8051">
          <cell r="K8051" t="str">
            <v>GPWS-0488</v>
          </cell>
          <cell r="L8051">
            <v>45709</v>
          </cell>
          <cell r="M8051">
            <v>45712</v>
          </cell>
          <cell r="N8051">
            <v>45721</v>
          </cell>
          <cell r="O8051">
            <v>45712</v>
          </cell>
          <cell r="P8051">
            <v>45722</v>
          </cell>
          <cell r="Q8051">
            <v>45721</v>
          </cell>
          <cell r="R8051">
            <v>45722</v>
          </cell>
          <cell r="S8051">
            <v>45722</v>
          </cell>
          <cell r="T8051">
            <v>45726</v>
          </cell>
          <cell r="U8051">
            <v>45727</v>
          </cell>
          <cell r="V8051">
            <v>45728</v>
          </cell>
          <cell r="W8051">
            <v>45728</v>
          </cell>
          <cell r="X8051">
            <v>41200096</v>
          </cell>
        </row>
        <row r="8052">
          <cell r="K8052" t="str">
            <v>GPWS-0498</v>
          </cell>
          <cell r="L8052">
            <v>45712</v>
          </cell>
          <cell r="M8052">
            <v>45714</v>
          </cell>
          <cell r="N8052">
            <v>45723</v>
          </cell>
          <cell r="O8052">
            <v>45714</v>
          </cell>
          <cell r="P8052">
            <v>45726</v>
          </cell>
          <cell r="Q8052">
            <v>45723</v>
          </cell>
          <cell r="R8052">
            <v>45726</v>
          </cell>
          <cell r="S8052">
            <v>45733</v>
          </cell>
          <cell r="T8052">
            <v>45734</v>
          </cell>
          <cell r="U8052">
            <v>45736</v>
          </cell>
          <cell r="V8052">
            <v>45737</v>
          </cell>
          <cell r="W8052">
            <v>45737</v>
          </cell>
          <cell r="X8052">
            <v>41200096</v>
          </cell>
        </row>
        <row r="8053">
          <cell r="K8053" t="str">
            <v>GPWS-0499</v>
          </cell>
          <cell r="L8053">
            <v>45712</v>
          </cell>
          <cell r="M8053">
            <v>45714</v>
          </cell>
          <cell r="N8053">
            <v>45723</v>
          </cell>
          <cell r="O8053">
            <v>45714</v>
          </cell>
          <cell r="P8053">
            <v>45726</v>
          </cell>
          <cell r="Q8053">
            <v>45723</v>
          </cell>
          <cell r="R8053">
            <v>45726</v>
          </cell>
          <cell r="S8053">
            <v>45733</v>
          </cell>
          <cell r="T8053">
            <v>45734</v>
          </cell>
          <cell r="U8053">
            <v>45736</v>
          </cell>
          <cell r="V8053">
            <v>45737</v>
          </cell>
          <cell r="W8053">
            <v>45737</v>
          </cell>
          <cell r="X8053">
            <v>41200096</v>
          </cell>
        </row>
        <row r="8054">
          <cell r="K8054" t="str">
            <v>GPWS-0496</v>
          </cell>
          <cell r="L8054">
            <v>45712</v>
          </cell>
          <cell r="M8054">
            <v>45714</v>
          </cell>
          <cell r="N8054">
            <v>45722</v>
          </cell>
          <cell r="O8054">
            <v>45714</v>
          </cell>
          <cell r="P8054">
            <v>45723</v>
          </cell>
          <cell r="Q8054">
            <v>45722</v>
          </cell>
          <cell r="R8054">
            <v>45723</v>
          </cell>
          <cell r="S8054">
            <v>45729</v>
          </cell>
          <cell r="T8054">
            <v>45730</v>
          </cell>
          <cell r="U8054">
            <v>45733</v>
          </cell>
          <cell r="V8054">
            <v>45734</v>
          </cell>
          <cell r="W8054">
            <v>45734</v>
          </cell>
          <cell r="X8054">
            <v>41200096</v>
          </cell>
        </row>
        <row r="8055">
          <cell r="K8055" t="str">
            <v>GPWS-0497</v>
          </cell>
          <cell r="L8055">
            <v>45712</v>
          </cell>
          <cell r="M8055">
            <v>45714</v>
          </cell>
          <cell r="N8055">
            <v>45722</v>
          </cell>
          <cell r="O8055">
            <v>45714</v>
          </cell>
          <cell r="P8055">
            <v>45723</v>
          </cell>
          <cell r="Q8055">
            <v>45722</v>
          </cell>
          <cell r="R8055">
            <v>45723</v>
          </cell>
          <cell r="S8055">
            <v>45729</v>
          </cell>
          <cell r="T8055">
            <v>45730</v>
          </cell>
          <cell r="U8055">
            <v>45733</v>
          </cell>
          <cell r="V8055">
            <v>45734</v>
          </cell>
          <cell r="W8055">
            <v>45734</v>
          </cell>
          <cell r="X8055">
            <v>41200096</v>
          </cell>
        </row>
        <row r="8056">
          <cell r="K8056" t="str">
            <v>GPWS-0503</v>
          </cell>
          <cell r="L8056">
            <v>45714</v>
          </cell>
          <cell r="M8056">
            <v>45715</v>
          </cell>
          <cell r="N8056">
            <v>45723</v>
          </cell>
          <cell r="O8056">
            <v>45715</v>
          </cell>
          <cell r="P8056">
            <v>45726</v>
          </cell>
          <cell r="Q8056">
            <v>45723</v>
          </cell>
          <cell r="R8056">
            <v>45726</v>
          </cell>
          <cell r="S8056">
            <v>45727</v>
          </cell>
          <cell r="T8056">
            <v>45728</v>
          </cell>
          <cell r="U8056">
            <v>45740</v>
          </cell>
          <cell r="V8056">
            <v>45741</v>
          </cell>
          <cell r="W8056">
            <v>45741</v>
          </cell>
          <cell r="X8056">
            <v>41200108</v>
          </cell>
        </row>
        <row r="8057">
          <cell r="K8057" t="str">
            <v>GPWS-0504</v>
          </cell>
          <cell r="L8057">
            <v>45714</v>
          </cell>
          <cell r="M8057">
            <v>45715</v>
          </cell>
          <cell r="N8057">
            <v>45723</v>
          </cell>
          <cell r="O8057">
            <v>45715</v>
          </cell>
          <cell r="P8057">
            <v>45726</v>
          </cell>
          <cell r="Q8057">
            <v>45723</v>
          </cell>
          <cell r="R8057">
            <v>45726</v>
          </cell>
          <cell r="S8057">
            <v>45727</v>
          </cell>
          <cell r="T8057">
            <v>45728</v>
          </cell>
          <cell r="U8057">
            <v>45729</v>
          </cell>
          <cell r="V8057">
            <v>45730</v>
          </cell>
          <cell r="W8057">
            <v>45730</v>
          </cell>
          <cell r="X8057">
            <v>41200108</v>
          </cell>
        </row>
        <row r="8058">
          <cell r="K8058" t="str">
            <v>GPWS-0505</v>
          </cell>
          <cell r="L8058">
            <v>45714</v>
          </cell>
          <cell r="M8058">
            <v>45715</v>
          </cell>
          <cell r="N8058">
            <v>45723</v>
          </cell>
          <cell r="O8058">
            <v>45715</v>
          </cell>
          <cell r="P8058">
            <v>45726</v>
          </cell>
          <cell r="Q8058">
            <v>45723</v>
          </cell>
          <cell r="R8058">
            <v>45726</v>
          </cell>
          <cell r="S8058">
            <v>45727</v>
          </cell>
          <cell r="T8058">
            <v>45728</v>
          </cell>
          <cell r="U8058">
            <v>45729</v>
          </cell>
          <cell r="V8058">
            <v>45730</v>
          </cell>
          <cell r="W8058">
            <v>45730</v>
          </cell>
          <cell r="X8058">
            <v>41200108</v>
          </cell>
        </row>
        <row r="8059">
          <cell r="K8059" t="str">
            <v>GPWS-0514</v>
          </cell>
          <cell r="L8059">
            <v>45720</v>
          </cell>
          <cell r="M8059">
            <v>45722</v>
          </cell>
          <cell r="N8059">
            <v>45730</v>
          </cell>
          <cell r="O8059">
            <v>45712</v>
          </cell>
          <cell r="P8059">
            <v>45733</v>
          </cell>
          <cell r="Q8059">
            <v>45730</v>
          </cell>
          <cell r="R8059">
            <v>45733</v>
          </cell>
          <cell r="S8059">
            <v>45736</v>
          </cell>
          <cell r="T8059">
            <v>45737</v>
          </cell>
          <cell r="U8059">
            <v>45740</v>
          </cell>
          <cell r="V8059">
            <v>45741</v>
          </cell>
          <cell r="W8059">
            <v>45741</v>
          </cell>
          <cell r="X8059">
            <v>41200108</v>
          </cell>
        </row>
        <row r="8060">
          <cell r="K8060" t="str">
            <v>GPWS-0523</v>
          </cell>
          <cell r="L8060">
            <v>45723</v>
          </cell>
          <cell r="M8060">
            <v>45727</v>
          </cell>
          <cell r="N8060">
            <v>45736</v>
          </cell>
          <cell r="O8060">
            <v>45712</v>
          </cell>
          <cell r="P8060">
            <v>45736</v>
          </cell>
          <cell r="Q8060">
            <v>45735</v>
          </cell>
          <cell r="R8060">
            <v>45736</v>
          </cell>
          <cell r="S8060">
            <v>45740</v>
          </cell>
          <cell r="T8060">
            <v>45741</v>
          </cell>
          <cell r="U8060">
            <v>45743</v>
          </cell>
          <cell r="V8060">
            <v>45744</v>
          </cell>
          <cell r="W8060">
            <v>45744</v>
          </cell>
          <cell r="X8060">
            <v>41200108</v>
          </cell>
        </row>
        <row r="8061">
          <cell r="K8061" t="str">
            <v>GPWS-0526</v>
          </cell>
          <cell r="L8061">
            <v>45723</v>
          </cell>
          <cell r="M8061">
            <v>45727</v>
          </cell>
          <cell r="N8061">
            <v>45736</v>
          </cell>
          <cell r="O8061">
            <v>45712</v>
          </cell>
          <cell r="P8061">
            <v>45736</v>
          </cell>
          <cell r="Q8061">
            <v>45735</v>
          </cell>
          <cell r="R8061">
            <v>45736</v>
          </cell>
          <cell r="S8061">
            <v>45740</v>
          </cell>
          <cell r="T8061">
            <v>45741</v>
          </cell>
          <cell r="U8061">
            <v>45743</v>
          </cell>
          <cell r="V8061">
            <v>45744</v>
          </cell>
          <cell r="W8061">
            <v>45744</v>
          </cell>
          <cell r="X8061">
            <v>41200108</v>
          </cell>
        </row>
        <row r="8062">
          <cell r="K8062" t="str">
            <v>GPWS-0529</v>
          </cell>
          <cell r="L8062">
            <v>45727</v>
          </cell>
          <cell r="M8062">
            <v>45729</v>
          </cell>
          <cell r="N8062">
            <v>45737</v>
          </cell>
          <cell r="O8062">
            <v>45720</v>
          </cell>
          <cell r="P8062">
            <v>45740</v>
          </cell>
          <cell r="Q8062">
            <v>45737</v>
          </cell>
          <cell r="R8062">
            <v>45740</v>
          </cell>
          <cell r="S8062">
            <v>45742</v>
          </cell>
          <cell r="T8062">
            <v>45743</v>
          </cell>
          <cell r="U8062">
            <v>45744</v>
          </cell>
          <cell r="V8062">
            <v>45747</v>
          </cell>
          <cell r="W8062">
            <v>45747</v>
          </cell>
          <cell r="X8062">
            <v>41200108</v>
          </cell>
        </row>
        <row r="8063">
          <cell r="K8063" t="str">
            <v>GPWS-0515</v>
          </cell>
          <cell r="L8063">
            <v>45720</v>
          </cell>
          <cell r="M8063">
            <v>45722</v>
          </cell>
          <cell r="N8063">
            <v>45730</v>
          </cell>
          <cell r="O8063">
            <v>45712</v>
          </cell>
          <cell r="P8063">
            <v>45733</v>
          </cell>
          <cell r="Q8063">
            <v>45730</v>
          </cell>
          <cell r="R8063">
            <v>45733</v>
          </cell>
          <cell r="S8063">
            <v>45737</v>
          </cell>
          <cell r="T8063">
            <v>45740</v>
          </cell>
          <cell r="U8063">
            <v>45744</v>
          </cell>
          <cell r="V8063">
            <v>45747</v>
          </cell>
          <cell r="W8063">
            <v>45747</v>
          </cell>
          <cell r="X8063">
            <v>41200108</v>
          </cell>
        </row>
        <row r="8064">
          <cell r="K8064" t="str">
            <v>GPWS-0518</v>
          </cell>
          <cell r="L8064">
            <v>45721</v>
          </cell>
          <cell r="M8064">
            <v>45723</v>
          </cell>
          <cell r="N8064">
            <v>45730</v>
          </cell>
          <cell r="O8064">
            <v>45712</v>
          </cell>
          <cell r="P8064">
            <v>45733</v>
          </cell>
          <cell r="Q8064">
            <v>45730</v>
          </cell>
          <cell r="R8064">
            <v>45733</v>
          </cell>
          <cell r="S8064">
            <v>45748</v>
          </cell>
          <cell r="T8064">
            <v>45749</v>
          </cell>
          <cell r="U8064">
            <v>45750</v>
          </cell>
          <cell r="V8064">
            <v>45751</v>
          </cell>
          <cell r="W8064">
            <v>45751</v>
          </cell>
          <cell r="X8064">
            <v>41200108</v>
          </cell>
        </row>
        <row r="8065">
          <cell r="K8065" t="str">
            <v>GPWS-0519</v>
          </cell>
          <cell r="L8065">
            <v>45721</v>
          </cell>
          <cell r="M8065">
            <v>45723</v>
          </cell>
          <cell r="N8065">
            <v>45730</v>
          </cell>
          <cell r="O8065">
            <v>45712</v>
          </cell>
          <cell r="P8065">
            <v>45733</v>
          </cell>
          <cell r="Q8065">
            <v>45730</v>
          </cell>
          <cell r="R8065">
            <v>45733</v>
          </cell>
          <cell r="S8065">
            <v>45748</v>
          </cell>
          <cell r="T8065">
            <v>45749</v>
          </cell>
          <cell r="U8065">
            <v>45750</v>
          </cell>
          <cell r="V8065">
            <v>45751</v>
          </cell>
          <cell r="W8065">
            <v>45751</v>
          </cell>
          <cell r="X8065">
            <v>41200108</v>
          </cell>
        </row>
        <row r="8066">
          <cell r="K8066" t="str">
            <v>GPWS-0524</v>
          </cell>
          <cell r="L8066">
            <v>45723</v>
          </cell>
          <cell r="M8066">
            <v>45727</v>
          </cell>
          <cell r="N8066">
            <v>45736</v>
          </cell>
          <cell r="O8066">
            <v>45712</v>
          </cell>
          <cell r="P8066">
            <v>45736</v>
          </cell>
          <cell r="Q8066">
            <v>45735</v>
          </cell>
          <cell r="R8066">
            <v>45736</v>
          </cell>
          <cell r="S8066">
            <v>45737</v>
          </cell>
          <cell r="T8066">
            <v>45740</v>
          </cell>
          <cell r="U8066">
            <v>45750</v>
          </cell>
          <cell r="V8066">
            <v>45751</v>
          </cell>
          <cell r="W8066">
            <v>45751</v>
          </cell>
          <cell r="X8066">
            <v>41200108</v>
          </cell>
        </row>
        <row r="8067">
          <cell r="K8067" t="str">
            <v>GPWS-0525</v>
          </cell>
          <cell r="L8067">
            <v>45723</v>
          </cell>
          <cell r="M8067">
            <v>45727</v>
          </cell>
          <cell r="N8067">
            <v>45736</v>
          </cell>
          <cell r="O8067">
            <v>45712</v>
          </cell>
          <cell r="P8067">
            <v>45736</v>
          </cell>
          <cell r="Q8067" t="str">
            <v>2025-03-19 → 3/20</v>
          </cell>
          <cell r="R8067" t="str">
            <v>2025-03-20 → 3/21</v>
          </cell>
          <cell r="S8067">
            <v>45747</v>
          </cell>
          <cell r="T8067">
            <v>45748</v>
          </cell>
          <cell r="U8067">
            <v>45750</v>
          </cell>
          <cell r="V8067">
            <v>45750</v>
          </cell>
          <cell r="W8067">
            <v>45750</v>
          </cell>
          <cell r="X8067">
            <v>41200108</v>
          </cell>
        </row>
        <row r="8068">
          <cell r="K8068" t="str">
            <v>GPWS-0501</v>
          </cell>
          <cell r="L8068">
            <v>45714</v>
          </cell>
          <cell r="M8068">
            <v>45715</v>
          </cell>
          <cell r="N8068">
            <v>45723</v>
          </cell>
          <cell r="O8068">
            <v>45715</v>
          </cell>
          <cell r="P8068">
            <v>45726</v>
          </cell>
          <cell r="Q8068">
            <v>45723</v>
          </cell>
          <cell r="R8068">
            <v>45726</v>
          </cell>
          <cell r="S8068">
            <v>45747</v>
          </cell>
          <cell r="T8068">
            <v>45748</v>
          </cell>
          <cell r="U8068">
            <v>45750</v>
          </cell>
          <cell r="V8068">
            <v>45750</v>
          </cell>
          <cell r="W8068">
            <v>45750</v>
          </cell>
          <cell r="X8068">
            <v>41200108</v>
          </cell>
        </row>
        <row r="8069">
          <cell r="K8069" t="str">
            <v>GPWS-0520</v>
          </cell>
          <cell r="L8069">
            <v>45721</v>
          </cell>
          <cell r="M8069">
            <v>45723</v>
          </cell>
          <cell r="N8069">
            <v>45730</v>
          </cell>
          <cell r="O8069">
            <v>45712</v>
          </cell>
          <cell r="P8069">
            <v>45733</v>
          </cell>
          <cell r="Q8069" t="str">
            <v>2025-03-14 → 3/18</v>
          </cell>
          <cell r="R8069" t="str">
            <v>2025-03-17 → 3/19</v>
          </cell>
          <cell r="S8069">
            <v>45756</v>
          </cell>
          <cell r="T8069">
            <v>45757</v>
          </cell>
          <cell r="U8069">
            <v>45758</v>
          </cell>
          <cell r="V8069">
            <v>45761</v>
          </cell>
          <cell r="W8069">
            <v>45761</v>
          </cell>
          <cell r="X8069">
            <v>41200108</v>
          </cell>
        </row>
        <row r="8070">
          <cell r="K8070" t="str">
            <v>GPWS-0521</v>
          </cell>
          <cell r="L8070">
            <v>45721</v>
          </cell>
          <cell r="M8070">
            <v>45723</v>
          </cell>
          <cell r="N8070">
            <v>45730</v>
          </cell>
          <cell r="O8070">
            <v>45712</v>
          </cell>
          <cell r="P8070">
            <v>45733</v>
          </cell>
          <cell r="Q8070" t="str">
            <v>2025-03-14 → 3/18</v>
          </cell>
          <cell r="R8070" t="str">
            <v>2025-03-17 → 3/19</v>
          </cell>
          <cell r="S8070">
            <v>45756</v>
          </cell>
          <cell r="T8070">
            <v>45757</v>
          </cell>
          <cell r="U8070">
            <v>45758</v>
          </cell>
          <cell r="V8070">
            <v>45761</v>
          </cell>
          <cell r="W8070">
            <v>45761</v>
          </cell>
          <cell r="X8070">
            <v>41200108</v>
          </cell>
        </row>
        <row r="8071">
          <cell r="K8071" t="str">
            <v>GPWS-0522</v>
          </cell>
          <cell r="L8071">
            <v>45721</v>
          </cell>
          <cell r="M8071">
            <v>45723</v>
          </cell>
          <cell r="N8071">
            <v>45730</v>
          </cell>
          <cell r="O8071">
            <v>45712</v>
          </cell>
          <cell r="P8071">
            <v>45733</v>
          </cell>
          <cell r="Q8071" t="str">
            <v>2025-03-14 → 3/18</v>
          </cell>
          <cell r="R8071" t="str">
            <v>2025-03-17 → 3/19</v>
          </cell>
          <cell r="S8071">
            <v>45756</v>
          </cell>
          <cell r="T8071">
            <v>45757</v>
          </cell>
          <cell r="U8071">
            <v>45758</v>
          </cell>
          <cell r="V8071">
            <v>45761</v>
          </cell>
          <cell r="W8071">
            <v>45761</v>
          </cell>
          <cell r="X8071">
            <v>41200108</v>
          </cell>
        </row>
        <row r="8072">
          <cell r="K8072" t="str">
            <v>GPWS-0500</v>
          </cell>
          <cell r="L8072">
            <v>45712</v>
          </cell>
          <cell r="M8072">
            <v>45714</v>
          </cell>
          <cell r="N8072">
            <v>45723</v>
          </cell>
          <cell r="O8072">
            <v>45714</v>
          </cell>
          <cell r="P8072">
            <v>45726</v>
          </cell>
          <cell r="Q8072">
            <v>45723</v>
          </cell>
          <cell r="R8072">
            <v>45726</v>
          </cell>
          <cell r="S8072">
            <v>45734</v>
          </cell>
          <cell r="T8072">
            <v>45735</v>
          </cell>
          <cell r="U8072">
            <v>45757</v>
          </cell>
          <cell r="V8072">
            <v>45758</v>
          </cell>
          <cell r="W8072">
            <v>45758</v>
          </cell>
          <cell r="X8072">
            <v>41200096</v>
          </cell>
        </row>
        <row r="8073">
          <cell r="K8073" t="str">
            <v>GPWS-0527</v>
          </cell>
          <cell r="L8073">
            <v>45723</v>
          </cell>
          <cell r="M8073">
            <v>45727</v>
          </cell>
          <cell r="N8073">
            <v>45736</v>
          </cell>
          <cell r="O8073">
            <v>45712</v>
          </cell>
          <cell r="P8073">
            <v>45736</v>
          </cell>
          <cell r="Q8073">
            <v>45735</v>
          </cell>
          <cell r="R8073">
            <v>45736</v>
          </cell>
          <cell r="S8073">
            <v>45740</v>
          </cell>
          <cell r="T8073">
            <v>45741</v>
          </cell>
          <cell r="U8073">
            <v>45758</v>
          </cell>
          <cell r="V8073">
            <v>45761</v>
          </cell>
          <cell r="W8073">
            <v>45761</v>
          </cell>
          <cell r="X8073">
            <v>41200108</v>
          </cell>
        </row>
        <row r="8074">
          <cell r="K8074" t="str">
            <v>DBW-3612</v>
          </cell>
          <cell r="L8074">
            <v>45721</v>
          </cell>
          <cell r="M8074">
            <v>45721</v>
          </cell>
          <cell r="N8074">
            <v>45730</v>
          </cell>
          <cell r="O8074">
            <v>45712</v>
          </cell>
          <cell r="P8074">
            <v>45734</v>
          </cell>
          <cell r="Q8074">
            <v>45729</v>
          </cell>
          <cell r="R8074">
            <v>45730</v>
          </cell>
          <cell r="S8074">
            <v>45733</v>
          </cell>
          <cell r="T8074">
            <v>45734</v>
          </cell>
          <cell r="U8074">
            <v>45735</v>
          </cell>
          <cell r="V8074">
            <v>45736</v>
          </cell>
          <cell r="W8074">
            <v>45736</v>
          </cell>
          <cell r="X8074">
            <v>41100696</v>
          </cell>
        </row>
        <row r="8075">
          <cell r="K8075" t="str">
            <v>DBW-3613</v>
          </cell>
          <cell r="L8075">
            <v>45721</v>
          </cell>
          <cell r="M8075">
            <v>45721</v>
          </cell>
          <cell r="N8075">
            <v>45730</v>
          </cell>
          <cell r="O8075">
            <v>45712</v>
          </cell>
          <cell r="P8075">
            <v>45734</v>
          </cell>
          <cell r="Q8075">
            <v>45729</v>
          </cell>
          <cell r="R8075">
            <v>45730</v>
          </cell>
          <cell r="S8075">
            <v>45733</v>
          </cell>
          <cell r="T8075">
            <v>45734</v>
          </cell>
          <cell r="U8075">
            <v>45736</v>
          </cell>
          <cell r="V8075">
            <v>45737</v>
          </cell>
          <cell r="W8075">
            <v>45737</v>
          </cell>
          <cell r="X8075">
            <v>41100696</v>
          </cell>
        </row>
        <row r="8076">
          <cell r="K8076"/>
          <cell r="L8076"/>
          <cell r="M8076"/>
          <cell r="N8076"/>
          <cell r="O8076"/>
          <cell r="P8076"/>
          <cell r="Q8076"/>
          <cell r="R8076"/>
          <cell r="S8076"/>
          <cell r="T8076"/>
          <cell r="U8076"/>
          <cell r="V8076"/>
          <cell r="W8076"/>
          <cell r="X8076"/>
        </row>
        <row r="8077">
          <cell r="K8077" t="str">
            <v>제품S/N</v>
          </cell>
          <cell r="L8077" t="str">
            <v>공정진행현황</v>
          </cell>
          <cell r="M8077"/>
          <cell r="N8077"/>
          <cell r="O8077"/>
          <cell r="P8077"/>
          <cell r="Q8077"/>
          <cell r="R8077"/>
          <cell r="S8077"/>
          <cell r="T8077"/>
          <cell r="U8077"/>
          <cell r="V8077"/>
          <cell r="W8077"/>
          <cell r="X8077" t="str">
            <v>품번</v>
          </cell>
        </row>
        <row r="8078">
          <cell r="K8078"/>
          <cell r="L8078" t="str">
            <v>CABINET입고</v>
          </cell>
          <cell r="M8078" t="str">
            <v>기구 작업 SAP 실적</v>
          </cell>
          <cell r="N8078"/>
          <cell r="O8078" t="str">
            <v>전장 작업 SAP 실적</v>
          </cell>
          <cell r="P8078"/>
          <cell r="Q8078" t="str">
            <v>기구 완료 계획</v>
          </cell>
          <cell r="R8078" t="str">
            <v>전장 완료 계획</v>
          </cell>
          <cell r="S8078" t="str">
            <v>가압 &amp; 가동 &amp; 공정 검사</v>
          </cell>
          <cell r="T8078"/>
          <cell r="U8078"/>
          <cell r="V8078" t="str">
            <v>마무리</v>
          </cell>
          <cell r="W8078"/>
          <cell r="X8078"/>
        </row>
        <row r="8079">
          <cell r="K8079"/>
          <cell r="L8079"/>
          <cell r="M8079"/>
          <cell r="N8079"/>
          <cell r="O8079"/>
          <cell r="P8079"/>
          <cell r="Q8079"/>
          <cell r="R8079"/>
          <cell r="S8079"/>
          <cell r="T8079"/>
          <cell r="U8079"/>
          <cell r="V8079"/>
          <cell r="W8079"/>
          <cell r="X8079"/>
        </row>
        <row r="8080">
          <cell r="K8080"/>
          <cell r="L8080"/>
          <cell r="M8080" t="str">
            <v>시작일자</v>
          </cell>
          <cell r="N8080" t="str">
            <v>종료일자</v>
          </cell>
          <cell r="O8080" t="str">
            <v>시작일자</v>
          </cell>
          <cell r="P8080" t="str">
            <v>종료일자</v>
          </cell>
          <cell r="Q8080"/>
          <cell r="R8080"/>
          <cell r="S8080" t="str">
            <v>시작일자</v>
          </cell>
          <cell r="T8080" t="str">
            <v>시작일자</v>
          </cell>
          <cell r="U8080" t="str">
            <v>종료일자</v>
          </cell>
          <cell r="V8080" t="str">
            <v>시작일자</v>
          </cell>
          <cell r="W8080" t="str">
            <v>종료일자</v>
          </cell>
          <cell r="X8080"/>
        </row>
        <row r="8081">
          <cell r="K8081">
            <v>0</v>
          </cell>
          <cell r="L8081"/>
          <cell r="M8081"/>
          <cell r="N8081"/>
          <cell r="O8081"/>
          <cell r="P8081"/>
          <cell r="Q8081"/>
          <cell r="R8081"/>
          <cell r="S8081"/>
          <cell r="T8081"/>
          <cell r="U8081"/>
          <cell r="V8081"/>
          <cell r="W8081"/>
          <cell r="X8081"/>
        </row>
        <row r="8082">
          <cell r="K8082" t="str">
            <v>GBWS-7777</v>
          </cell>
          <cell r="L8082">
            <v>45614</v>
          </cell>
          <cell r="M8082">
            <v>45616</v>
          </cell>
          <cell r="N8082">
            <v>45656</v>
          </cell>
          <cell r="O8082">
            <v>45616</v>
          </cell>
          <cell r="P8082">
            <v>45657</v>
          </cell>
          <cell r="Q8082">
            <v>45656</v>
          </cell>
          <cell r="R8082">
            <v>45657</v>
          </cell>
          <cell r="S8082">
            <v>45678</v>
          </cell>
          <cell r="T8082">
            <v>45679</v>
          </cell>
          <cell r="U8082">
            <v>45691</v>
          </cell>
          <cell r="V8082"/>
          <cell r="W8082"/>
          <cell r="X8082">
            <v>41100558</v>
          </cell>
        </row>
        <row r="8083">
          <cell r="K8083" t="str">
            <v>SOS-0347</v>
          </cell>
          <cell r="L8083">
            <v>45754</v>
          </cell>
          <cell r="M8083">
            <v>45756</v>
          </cell>
          <cell r="N8083">
            <v>45758</v>
          </cell>
          <cell r="O8083">
            <v>45747</v>
          </cell>
          <cell r="P8083">
            <v>45761</v>
          </cell>
          <cell r="Q8083">
            <v>45758</v>
          </cell>
          <cell r="R8083">
            <v>45761</v>
          </cell>
          <cell r="S8083">
            <v>45762</v>
          </cell>
          <cell r="T8083">
            <v>45762</v>
          </cell>
          <cell r="U8083"/>
          <cell r="V8083"/>
          <cell r="W8083"/>
          <cell r="X8083">
            <v>41000558</v>
          </cell>
        </row>
        <row r="8084">
          <cell r="K8084" t="str">
            <v>-</v>
          </cell>
          <cell r="L8084">
            <v>45754</v>
          </cell>
          <cell r="M8084">
            <v>45756</v>
          </cell>
          <cell r="N8084">
            <v>45758</v>
          </cell>
          <cell r="O8084">
            <v>45747</v>
          </cell>
          <cell r="P8084">
            <v>45761</v>
          </cell>
          <cell r="Q8084">
            <v>45758</v>
          </cell>
          <cell r="R8084">
            <v>45761</v>
          </cell>
          <cell r="S8084">
            <v>45762</v>
          </cell>
          <cell r="T8084">
            <v>45762</v>
          </cell>
          <cell r="U8084"/>
          <cell r="V8084"/>
          <cell r="W8084"/>
          <cell r="X8084">
            <v>31010312</v>
          </cell>
        </row>
        <row r="8085">
          <cell r="K8085" t="str">
            <v>SOS-0348</v>
          </cell>
          <cell r="L8085">
            <v>45754</v>
          </cell>
          <cell r="M8085">
            <v>45756</v>
          </cell>
          <cell r="N8085">
            <v>45758</v>
          </cell>
          <cell r="O8085">
            <v>45747</v>
          </cell>
          <cell r="P8085">
            <v>45761</v>
          </cell>
          <cell r="Q8085">
            <v>45758</v>
          </cell>
          <cell r="R8085">
            <v>45761</v>
          </cell>
          <cell r="S8085">
            <v>45762</v>
          </cell>
          <cell r="T8085">
            <v>45762</v>
          </cell>
          <cell r="U8085"/>
          <cell r="V8085"/>
          <cell r="W8085"/>
          <cell r="X8085">
            <v>41000558</v>
          </cell>
        </row>
        <row r="8086">
          <cell r="K8086" t="str">
            <v>-</v>
          </cell>
          <cell r="L8086">
            <v>45754</v>
          </cell>
          <cell r="M8086">
            <v>45756</v>
          </cell>
          <cell r="N8086">
            <v>45758</v>
          </cell>
          <cell r="O8086">
            <v>45747</v>
          </cell>
          <cell r="P8086">
            <v>45761</v>
          </cell>
          <cell r="Q8086">
            <v>45758</v>
          </cell>
          <cell r="R8086">
            <v>45761</v>
          </cell>
          <cell r="S8086">
            <v>45762</v>
          </cell>
          <cell r="T8086">
            <v>45762</v>
          </cell>
          <cell r="U8086"/>
          <cell r="V8086"/>
          <cell r="W8086"/>
          <cell r="X8086">
            <v>31010312</v>
          </cell>
        </row>
        <row r="8087">
          <cell r="K8087" t="str">
            <v>-</v>
          </cell>
          <cell r="L8087">
            <v>45757</v>
          </cell>
          <cell r="M8087">
            <v>45761</v>
          </cell>
          <cell r="N8087">
            <v>0</v>
          </cell>
          <cell r="O8087"/>
          <cell r="P8087"/>
          <cell r="Q8087">
            <v>45763</v>
          </cell>
          <cell r="R8087"/>
          <cell r="S8087"/>
          <cell r="T8087"/>
          <cell r="U8087"/>
          <cell r="V8087"/>
          <cell r="W8087"/>
          <cell r="X8087">
            <v>31010315</v>
          </cell>
        </row>
        <row r="8088">
          <cell r="K8088" t="str">
            <v>-</v>
          </cell>
          <cell r="L8088">
            <v>45757</v>
          </cell>
          <cell r="M8088">
            <v>45761</v>
          </cell>
          <cell r="N8088">
            <v>0</v>
          </cell>
          <cell r="O8088"/>
          <cell r="P8088"/>
          <cell r="Q8088">
            <v>45763</v>
          </cell>
          <cell r="R8088"/>
          <cell r="S8088"/>
          <cell r="T8088"/>
          <cell r="U8088"/>
          <cell r="V8088"/>
          <cell r="W8088"/>
          <cell r="X8088">
            <v>31010314</v>
          </cell>
        </row>
        <row r="8089">
          <cell r="K8089">
            <v>29</v>
          </cell>
          <cell r="L8089"/>
          <cell r="M8089"/>
          <cell r="N8089"/>
          <cell r="O8089"/>
          <cell r="P8089"/>
          <cell r="Q8089"/>
          <cell r="R8089"/>
          <cell r="S8089"/>
          <cell r="T8089"/>
          <cell r="U8089"/>
          <cell r="V8089"/>
          <cell r="W8089"/>
          <cell r="X8089"/>
        </row>
        <row r="8090">
          <cell r="K8090" t="str">
            <v>GPWS-0467</v>
          </cell>
          <cell r="L8090">
            <v>45698</v>
          </cell>
          <cell r="M8090" t="str">
            <v>2025-02-13 → 2/11</v>
          </cell>
          <cell r="N8090">
            <v>45706</v>
          </cell>
          <cell r="O8090">
            <v>45699</v>
          </cell>
          <cell r="P8090">
            <v>45709</v>
          </cell>
          <cell r="Q8090" t="str">
            <v>2025-02-18 → 2/20</v>
          </cell>
          <cell r="R8090" t="str">
            <v>2025-02-19 → 2/21</v>
          </cell>
          <cell r="S8090">
            <v>45712</v>
          </cell>
          <cell r="T8090">
            <v>45713</v>
          </cell>
          <cell r="U8090">
            <v>45715</v>
          </cell>
          <cell r="V8090"/>
          <cell r="W8090"/>
          <cell r="X8090">
            <v>41200096</v>
          </cell>
        </row>
        <row r="8091">
          <cell r="K8091" t="str">
            <v>GBWS-5377</v>
          </cell>
          <cell r="L8091">
            <v>45700</v>
          </cell>
          <cell r="M8091">
            <v>45702</v>
          </cell>
          <cell r="N8091">
            <v>45712</v>
          </cell>
          <cell r="O8091">
            <v>45702</v>
          </cell>
          <cell r="P8091">
            <v>45713</v>
          </cell>
          <cell r="Q8091" t="str">
            <v>2025-02-24 → 2/25</v>
          </cell>
          <cell r="R8091" t="str">
            <v>2025-02-25 → 2/26</v>
          </cell>
          <cell r="S8091"/>
          <cell r="T8091"/>
          <cell r="U8091"/>
          <cell r="V8091"/>
          <cell r="W8091"/>
          <cell r="X8091">
            <v>41100372</v>
          </cell>
        </row>
        <row r="8092">
          <cell r="K8092" t="str">
            <v>GBWS-5393</v>
          </cell>
          <cell r="L8092">
            <v>45705</v>
          </cell>
          <cell r="M8092">
            <v>45706</v>
          </cell>
          <cell r="N8092">
            <v>45714</v>
          </cell>
          <cell r="O8092">
            <v>45706</v>
          </cell>
          <cell r="P8092">
            <v>45715</v>
          </cell>
          <cell r="Q8092">
            <v>45714</v>
          </cell>
          <cell r="R8092">
            <v>45715</v>
          </cell>
          <cell r="S8092"/>
          <cell r="T8092"/>
          <cell r="U8092"/>
          <cell r="V8092"/>
          <cell r="W8092"/>
          <cell r="X8092">
            <v>41100320</v>
          </cell>
        </row>
        <row r="8093">
          <cell r="K8093" t="str">
            <v>GPWS-0494</v>
          </cell>
          <cell r="L8093">
            <v>45712</v>
          </cell>
          <cell r="M8093">
            <v>45714</v>
          </cell>
          <cell r="N8093">
            <v>45722</v>
          </cell>
          <cell r="O8093">
            <v>45714</v>
          </cell>
          <cell r="P8093">
            <v>45723</v>
          </cell>
          <cell r="Q8093">
            <v>45722</v>
          </cell>
          <cell r="R8093">
            <v>45723</v>
          </cell>
          <cell r="S8093">
            <v>45728</v>
          </cell>
          <cell r="T8093">
            <v>45729</v>
          </cell>
          <cell r="U8093"/>
          <cell r="V8093"/>
          <cell r="W8093"/>
          <cell r="X8093">
            <v>41200096</v>
          </cell>
        </row>
        <row r="8094">
          <cell r="K8094" t="str">
            <v>GBWS-5416,5417</v>
          </cell>
          <cell r="L8094">
            <v>45714</v>
          </cell>
          <cell r="M8094">
            <v>45715</v>
          </cell>
          <cell r="N8094">
            <v>45726</v>
          </cell>
          <cell r="O8094">
            <v>45715</v>
          </cell>
          <cell r="P8094">
            <v>45726</v>
          </cell>
          <cell r="Q8094">
            <v>45726</v>
          </cell>
          <cell r="R8094">
            <v>45727</v>
          </cell>
          <cell r="S8094"/>
          <cell r="T8094"/>
          <cell r="U8094"/>
          <cell r="V8094"/>
          <cell r="W8094"/>
          <cell r="X8094">
            <v>41100372</v>
          </cell>
        </row>
        <row r="8095">
          <cell r="K8095" t="str">
            <v>GPWS-0517</v>
          </cell>
          <cell r="L8095">
            <v>45721</v>
          </cell>
          <cell r="M8095">
            <v>45723</v>
          </cell>
          <cell r="N8095">
            <v>45730</v>
          </cell>
          <cell r="O8095">
            <v>45712</v>
          </cell>
          <cell r="P8095">
            <v>45733</v>
          </cell>
          <cell r="Q8095">
            <v>45730</v>
          </cell>
          <cell r="R8095">
            <v>45733</v>
          </cell>
          <cell r="S8095">
            <v>45744</v>
          </cell>
          <cell r="T8095">
            <v>45747</v>
          </cell>
          <cell r="U8095"/>
          <cell r="V8095"/>
          <cell r="W8095"/>
          <cell r="X8095">
            <v>41200121</v>
          </cell>
        </row>
        <row r="8096">
          <cell r="K8096" t="str">
            <v>GBWS-5451</v>
          </cell>
          <cell r="L8096">
            <v>45723</v>
          </cell>
          <cell r="M8096">
            <v>45727</v>
          </cell>
          <cell r="N8096">
            <v>45735</v>
          </cell>
          <cell r="O8096">
            <v>45712</v>
          </cell>
          <cell r="P8096">
            <v>45736</v>
          </cell>
          <cell r="Q8096">
            <v>45735</v>
          </cell>
          <cell r="R8096">
            <v>45736</v>
          </cell>
          <cell r="S8096"/>
          <cell r="T8096"/>
          <cell r="U8096"/>
          <cell r="V8096"/>
          <cell r="W8096"/>
          <cell r="X8096">
            <v>41200004</v>
          </cell>
        </row>
        <row r="8097">
          <cell r="K8097" t="str">
            <v>GPWS-0516</v>
          </cell>
          <cell r="L8097">
            <v>45721</v>
          </cell>
          <cell r="M8097">
            <v>45723</v>
          </cell>
          <cell r="N8097">
            <v>45736</v>
          </cell>
          <cell r="O8097">
            <v>45712</v>
          </cell>
          <cell r="P8097">
            <v>45740</v>
          </cell>
          <cell r="Q8097" t="str">
            <v>2025-03-12 → 3/20</v>
          </cell>
          <cell r="R8097" t="str">
            <v>2025-03-13 → 3/21</v>
          </cell>
          <cell r="S8097">
            <v>45742</v>
          </cell>
          <cell r="T8097"/>
          <cell r="U8097"/>
          <cell r="V8097"/>
          <cell r="W8097"/>
          <cell r="X8097">
            <v>41200086</v>
          </cell>
        </row>
        <row r="8098">
          <cell r="K8098" t="str">
            <v>GPWS-0530</v>
          </cell>
          <cell r="L8098">
            <v>45727</v>
          </cell>
          <cell r="M8098">
            <v>45729</v>
          </cell>
          <cell r="N8098">
            <v>45737</v>
          </cell>
          <cell r="O8098">
            <v>45720</v>
          </cell>
          <cell r="P8098">
            <v>45740</v>
          </cell>
          <cell r="Q8098">
            <v>45737</v>
          </cell>
          <cell r="R8098">
            <v>45740</v>
          </cell>
          <cell r="S8098">
            <v>45742</v>
          </cell>
          <cell r="T8098">
            <v>45743</v>
          </cell>
          <cell r="U8098">
            <v>45758</v>
          </cell>
          <cell r="V8098">
            <v>45761</v>
          </cell>
          <cell r="W8098">
            <v>45761</v>
          </cell>
          <cell r="X8098">
            <v>41200108</v>
          </cell>
        </row>
        <row r="8099">
          <cell r="K8099" t="str">
            <v>GPWS-0531</v>
          </cell>
          <cell r="L8099">
            <v>45727</v>
          </cell>
          <cell r="M8099">
            <v>45729</v>
          </cell>
          <cell r="N8099">
            <v>45737</v>
          </cell>
          <cell r="O8099">
            <v>45720</v>
          </cell>
          <cell r="P8099">
            <v>45740</v>
          </cell>
          <cell r="Q8099">
            <v>45737</v>
          </cell>
          <cell r="R8099">
            <v>45740</v>
          </cell>
          <cell r="S8099">
            <v>45743</v>
          </cell>
          <cell r="T8099">
            <v>45749</v>
          </cell>
          <cell r="U8099">
            <v>45750</v>
          </cell>
          <cell r="V8099"/>
          <cell r="W8099"/>
          <cell r="X8099">
            <v>41200108</v>
          </cell>
        </row>
        <row r="8100">
          <cell r="K8100" t="str">
            <v>GPWS-0532</v>
          </cell>
          <cell r="L8100">
            <v>45727</v>
          </cell>
          <cell r="M8100">
            <v>45729</v>
          </cell>
          <cell r="N8100">
            <v>45737</v>
          </cell>
          <cell r="O8100">
            <v>45720</v>
          </cell>
          <cell r="P8100">
            <v>45740</v>
          </cell>
          <cell r="Q8100">
            <v>45737</v>
          </cell>
          <cell r="R8100">
            <v>45740</v>
          </cell>
          <cell r="S8100">
            <v>45743</v>
          </cell>
          <cell r="T8100">
            <v>45761</v>
          </cell>
          <cell r="U8100">
            <v>45763</v>
          </cell>
          <cell r="V8100">
            <v>45764</v>
          </cell>
          <cell r="W8100">
            <v>45764</v>
          </cell>
          <cell r="X8100">
            <v>41200108</v>
          </cell>
        </row>
        <row r="8101">
          <cell r="K8101" t="str">
            <v>GPWS-0533</v>
          </cell>
          <cell r="L8101">
            <v>45727</v>
          </cell>
          <cell r="M8101">
            <v>45729</v>
          </cell>
          <cell r="N8101">
            <v>45737</v>
          </cell>
          <cell r="O8101">
            <v>45720</v>
          </cell>
          <cell r="P8101">
            <v>45740</v>
          </cell>
          <cell r="Q8101">
            <v>45737</v>
          </cell>
          <cell r="R8101">
            <v>45740</v>
          </cell>
          <cell r="S8101">
            <v>45743</v>
          </cell>
          <cell r="T8101">
            <v>45762</v>
          </cell>
          <cell r="U8101">
            <v>45763</v>
          </cell>
          <cell r="V8101">
            <v>45764</v>
          </cell>
          <cell r="W8101">
            <v>45764</v>
          </cell>
          <cell r="X8101">
            <v>41200108</v>
          </cell>
        </row>
        <row r="8102">
          <cell r="K8102" t="str">
            <v>GPWS-0547</v>
          </cell>
          <cell r="L8102">
            <v>45735</v>
          </cell>
          <cell r="M8102">
            <v>45737</v>
          </cell>
          <cell r="N8102">
            <v>45747</v>
          </cell>
          <cell r="O8102">
            <v>45726</v>
          </cell>
          <cell r="P8102">
            <v>45748</v>
          </cell>
          <cell r="Q8102">
            <v>45747</v>
          </cell>
          <cell r="R8102">
            <v>45748</v>
          </cell>
          <cell r="S8102">
            <v>45756</v>
          </cell>
          <cell r="T8102">
            <v>45757</v>
          </cell>
          <cell r="U8102">
            <v>45758</v>
          </cell>
          <cell r="V8102">
            <v>45761</v>
          </cell>
          <cell r="W8102">
            <v>45761</v>
          </cell>
          <cell r="X8102">
            <v>41200121</v>
          </cell>
        </row>
        <row r="8103">
          <cell r="K8103" t="str">
            <v>GPWS-0548</v>
          </cell>
          <cell r="L8103">
            <v>45735</v>
          </cell>
          <cell r="M8103">
            <v>45737</v>
          </cell>
          <cell r="N8103">
            <v>45747</v>
          </cell>
          <cell r="O8103">
            <v>45726</v>
          </cell>
          <cell r="P8103">
            <v>45748</v>
          </cell>
          <cell r="Q8103">
            <v>45747</v>
          </cell>
          <cell r="R8103">
            <v>45748</v>
          </cell>
          <cell r="S8103">
            <v>45756</v>
          </cell>
          <cell r="T8103">
            <v>45757</v>
          </cell>
          <cell r="U8103">
            <v>45758</v>
          </cell>
          <cell r="V8103">
            <v>45761</v>
          </cell>
          <cell r="W8103">
            <v>45761</v>
          </cell>
          <cell r="X8103">
            <v>41200121</v>
          </cell>
        </row>
        <row r="8104">
          <cell r="K8104" t="str">
            <v>GPWS-0549</v>
          </cell>
          <cell r="L8104">
            <v>45735</v>
          </cell>
          <cell r="M8104">
            <v>45737</v>
          </cell>
          <cell r="N8104">
            <v>45747</v>
          </cell>
          <cell r="O8104">
            <v>45726</v>
          </cell>
          <cell r="P8104">
            <v>45748</v>
          </cell>
          <cell r="Q8104">
            <v>45747</v>
          </cell>
          <cell r="R8104">
            <v>45748</v>
          </cell>
          <cell r="S8104">
            <v>45756</v>
          </cell>
          <cell r="T8104">
            <v>45757</v>
          </cell>
          <cell r="U8104"/>
          <cell r="V8104"/>
          <cell r="W8104"/>
          <cell r="X8104">
            <v>41200121</v>
          </cell>
        </row>
        <row r="8105">
          <cell r="K8105" t="str">
            <v>GPWS-0550</v>
          </cell>
          <cell r="L8105">
            <v>45735</v>
          </cell>
          <cell r="M8105">
            <v>45737</v>
          </cell>
          <cell r="N8105">
            <v>45747</v>
          </cell>
          <cell r="O8105">
            <v>45726</v>
          </cell>
          <cell r="P8105">
            <v>45748</v>
          </cell>
          <cell r="Q8105">
            <v>45747</v>
          </cell>
          <cell r="R8105">
            <v>45748</v>
          </cell>
          <cell r="S8105">
            <v>45763</v>
          </cell>
          <cell r="T8105">
            <v>45764</v>
          </cell>
          <cell r="U8105"/>
          <cell r="V8105"/>
          <cell r="W8105"/>
          <cell r="X8105">
            <v>41200121</v>
          </cell>
        </row>
        <row r="8106">
          <cell r="K8106" t="str">
            <v>GPWS-0551</v>
          </cell>
          <cell r="L8106">
            <v>45735</v>
          </cell>
          <cell r="M8106">
            <v>45737</v>
          </cell>
          <cell r="N8106">
            <v>45747</v>
          </cell>
          <cell r="O8106">
            <v>45726</v>
          </cell>
          <cell r="P8106">
            <v>45748</v>
          </cell>
          <cell r="Q8106">
            <v>45747</v>
          </cell>
          <cell r="R8106">
            <v>45748</v>
          </cell>
          <cell r="S8106">
            <v>45763</v>
          </cell>
          <cell r="T8106">
            <v>45764</v>
          </cell>
          <cell r="U8106"/>
          <cell r="V8106"/>
          <cell r="W8106"/>
          <cell r="X8106">
            <v>41200121</v>
          </cell>
        </row>
        <row r="8107">
          <cell r="K8107" t="str">
            <v>GPWS-0552</v>
          </cell>
          <cell r="L8107">
            <v>45742</v>
          </cell>
          <cell r="M8107">
            <v>45744</v>
          </cell>
          <cell r="N8107">
            <v>45754</v>
          </cell>
          <cell r="O8107">
            <v>45733</v>
          </cell>
          <cell r="P8107">
            <v>45751</v>
          </cell>
          <cell r="Q8107">
            <v>45754</v>
          </cell>
          <cell r="R8107">
            <v>45755</v>
          </cell>
          <cell r="S8107">
            <v>45757</v>
          </cell>
          <cell r="T8107">
            <v>45758</v>
          </cell>
          <cell r="U8107"/>
          <cell r="V8107"/>
          <cell r="W8107"/>
          <cell r="X8107">
            <v>41200121</v>
          </cell>
        </row>
        <row r="8108">
          <cell r="K8108" t="str">
            <v>GPWS-0553</v>
          </cell>
          <cell r="L8108">
            <v>45742</v>
          </cell>
          <cell r="M8108">
            <v>45744</v>
          </cell>
          <cell r="N8108">
            <v>45754</v>
          </cell>
          <cell r="O8108">
            <v>45733</v>
          </cell>
          <cell r="P8108">
            <v>45751</v>
          </cell>
          <cell r="Q8108">
            <v>45754</v>
          </cell>
          <cell r="R8108">
            <v>45755</v>
          </cell>
          <cell r="S8108">
            <v>45757</v>
          </cell>
          <cell r="T8108">
            <v>45758</v>
          </cell>
          <cell r="U8108">
            <v>45763</v>
          </cell>
          <cell r="V8108"/>
          <cell r="W8108"/>
          <cell r="X8108">
            <v>41200121</v>
          </cell>
        </row>
        <row r="8109">
          <cell r="K8109" t="str">
            <v>GPWS-0554</v>
          </cell>
          <cell r="L8109">
            <v>45742</v>
          </cell>
          <cell r="M8109">
            <v>45744</v>
          </cell>
          <cell r="N8109">
            <v>45754</v>
          </cell>
          <cell r="O8109">
            <v>45733</v>
          </cell>
          <cell r="P8109">
            <v>45751</v>
          </cell>
          <cell r="Q8109">
            <v>45754</v>
          </cell>
          <cell r="R8109">
            <v>45755</v>
          </cell>
          <cell r="S8109">
            <v>45757</v>
          </cell>
          <cell r="T8109">
            <v>45758</v>
          </cell>
          <cell r="U8109">
            <v>45763</v>
          </cell>
          <cell r="V8109"/>
          <cell r="W8109"/>
          <cell r="X8109">
            <v>41200121</v>
          </cell>
        </row>
        <row r="8110">
          <cell r="K8110" t="str">
            <v>GPWS-0555</v>
          </cell>
          <cell r="L8110">
            <v>45742</v>
          </cell>
          <cell r="M8110">
            <v>45744</v>
          </cell>
          <cell r="N8110">
            <v>45754</v>
          </cell>
          <cell r="O8110">
            <v>45733</v>
          </cell>
          <cell r="P8110">
            <v>45751</v>
          </cell>
          <cell r="Q8110">
            <v>45754</v>
          </cell>
          <cell r="R8110">
            <v>45755</v>
          </cell>
          <cell r="S8110">
            <v>45762</v>
          </cell>
          <cell r="T8110">
            <v>45763</v>
          </cell>
          <cell r="U8110"/>
          <cell r="V8110"/>
          <cell r="W8110"/>
          <cell r="X8110">
            <v>41200121</v>
          </cell>
        </row>
        <row r="8111">
          <cell r="K8111" t="str">
            <v>GPWS-0556</v>
          </cell>
          <cell r="L8111">
            <v>45742</v>
          </cell>
          <cell r="M8111">
            <v>45744</v>
          </cell>
          <cell r="N8111">
            <v>45754</v>
          </cell>
          <cell r="O8111">
            <v>45733</v>
          </cell>
          <cell r="P8111">
            <v>45751</v>
          </cell>
          <cell r="Q8111">
            <v>45754</v>
          </cell>
          <cell r="R8111">
            <v>45755</v>
          </cell>
          <cell r="S8111">
            <v>45762</v>
          </cell>
          <cell r="T8111">
            <v>45763</v>
          </cell>
          <cell r="U8111"/>
          <cell r="V8111"/>
          <cell r="W8111"/>
          <cell r="X8111">
            <v>41200121</v>
          </cell>
        </row>
        <row r="8112">
          <cell r="K8112" t="str">
            <v>GBWS-5508</v>
          </cell>
          <cell r="L8112">
            <v>45747</v>
          </cell>
          <cell r="M8112">
            <v>45749</v>
          </cell>
          <cell r="N8112">
            <v>45758</v>
          </cell>
          <cell r="O8112">
            <v>45740</v>
          </cell>
          <cell r="P8112">
            <v>45761</v>
          </cell>
          <cell r="Q8112">
            <v>45758</v>
          </cell>
          <cell r="R8112">
            <v>45761</v>
          </cell>
          <cell r="S8112">
            <v>45762</v>
          </cell>
          <cell r="T8112">
            <v>45763</v>
          </cell>
          <cell r="U8112"/>
          <cell r="V8112"/>
          <cell r="W8112"/>
          <cell r="X8112">
            <v>41200046</v>
          </cell>
        </row>
        <row r="8113">
          <cell r="K8113" t="str">
            <v>GBWS-5509</v>
          </cell>
          <cell r="L8113">
            <v>45747</v>
          </cell>
          <cell r="M8113">
            <v>45749</v>
          </cell>
          <cell r="N8113">
            <v>45758</v>
          </cell>
          <cell r="O8113">
            <v>45740</v>
          </cell>
          <cell r="P8113">
            <v>45761</v>
          </cell>
          <cell r="Q8113">
            <v>45758</v>
          </cell>
          <cell r="R8113">
            <v>45761</v>
          </cell>
          <cell r="S8113">
            <v>45762</v>
          </cell>
          <cell r="T8113">
            <v>45763</v>
          </cell>
          <cell r="U8113"/>
          <cell r="V8113"/>
          <cell r="W8113"/>
          <cell r="X8113">
            <v>41200046</v>
          </cell>
        </row>
        <row r="8114">
          <cell r="K8114" t="str">
            <v>GBWS-5510</v>
          </cell>
          <cell r="L8114">
            <v>45747</v>
          </cell>
          <cell r="M8114">
            <v>45749</v>
          </cell>
          <cell r="N8114">
            <v>45758</v>
          </cell>
          <cell r="O8114">
            <v>45740</v>
          </cell>
          <cell r="P8114">
            <v>45761</v>
          </cell>
          <cell r="Q8114">
            <v>45758</v>
          </cell>
          <cell r="R8114">
            <v>45761</v>
          </cell>
          <cell r="S8114">
            <v>45763</v>
          </cell>
          <cell r="T8114">
            <v>45764</v>
          </cell>
          <cell r="U8114"/>
          <cell r="V8114"/>
          <cell r="W8114"/>
          <cell r="X8114">
            <v>41200046</v>
          </cell>
        </row>
        <row r="8115">
          <cell r="K8115" t="str">
            <v>GBWS-5511</v>
          </cell>
          <cell r="L8115">
            <v>45747</v>
          </cell>
          <cell r="M8115">
            <v>45749</v>
          </cell>
          <cell r="N8115">
            <v>45758</v>
          </cell>
          <cell r="O8115">
            <v>45740</v>
          </cell>
          <cell r="P8115">
            <v>45761</v>
          </cell>
          <cell r="Q8115">
            <v>45758</v>
          </cell>
          <cell r="R8115">
            <v>45761</v>
          </cell>
          <cell r="S8115">
            <v>45763</v>
          </cell>
          <cell r="T8115">
            <v>45764</v>
          </cell>
          <cell r="U8115"/>
          <cell r="V8115"/>
          <cell r="W8115"/>
          <cell r="X8115">
            <v>41200046</v>
          </cell>
        </row>
        <row r="8116">
          <cell r="K8116" t="str">
            <v>GBWS-5517</v>
          </cell>
          <cell r="L8116">
            <v>45749</v>
          </cell>
          <cell r="M8116">
            <v>45751</v>
          </cell>
          <cell r="N8116">
            <v>45761</v>
          </cell>
          <cell r="O8116">
            <v>45740</v>
          </cell>
          <cell r="P8116">
            <v>45757</v>
          </cell>
          <cell r="Q8116">
            <v>45761</v>
          </cell>
          <cell r="R8116">
            <v>45762</v>
          </cell>
          <cell r="S8116">
            <v>45763</v>
          </cell>
          <cell r="T8116">
            <v>45764</v>
          </cell>
          <cell r="U8116"/>
          <cell r="V8116"/>
          <cell r="W8116"/>
          <cell r="X8116">
            <v>41100320</v>
          </cell>
        </row>
        <row r="8117">
          <cell r="K8117" t="str">
            <v>GBWS-5512</v>
          </cell>
          <cell r="L8117">
            <v>45747</v>
          </cell>
          <cell r="M8117">
            <v>45749</v>
          </cell>
          <cell r="N8117">
            <v>45762</v>
          </cell>
          <cell r="O8117">
            <v>45740</v>
          </cell>
          <cell r="P8117">
            <v>45756</v>
          </cell>
          <cell r="Q8117">
            <v>45762</v>
          </cell>
          <cell r="R8117">
            <v>45763</v>
          </cell>
          <cell r="S8117">
            <v>45764</v>
          </cell>
          <cell r="T8117"/>
          <cell r="U8117"/>
          <cell r="V8117"/>
          <cell r="W8117"/>
          <cell r="X8117">
            <v>41200046</v>
          </cell>
        </row>
        <row r="8118">
          <cell r="K8118" t="str">
            <v>GBWS-5513</v>
          </cell>
          <cell r="L8118">
            <v>45747</v>
          </cell>
          <cell r="M8118">
            <v>45749</v>
          </cell>
          <cell r="N8118">
            <v>45762</v>
          </cell>
          <cell r="O8118">
            <v>45740</v>
          </cell>
          <cell r="P8118">
            <v>45756</v>
          </cell>
          <cell r="Q8118">
            <v>45762</v>
          </cell>
          <cell r="R8118">
            <v>45763</v>
          </cell>
          <cell r="S8118">
            <v>45764</v>
          </cell>
          <cell r="T8118"/>
          <cell r="U8118"/>
          <cell r="V8118"/>
          <cell r="W8118"/>
          <cell r="X8118">
            <v>41200046</v>
          </cell>
        </row>
        <row r="8119">
          <cell r="K8119" t="str">
            <v>GBWS-5514</v>
          </cell>
          <cell r="L8119">
            <v>45747</v>
          </cell>
          <cell r="M8119">
            <v>45749</v>
          </cell>
          <cell r="N8119">
            <v>45762</v>
          </cell>
          <cell r="O8119">
            <v>45740</v>
          </cell>
          <cell r="P8119">
            <v>45756</v>
          </cell>
          <cell r="Q8119">
            <v>45762</v>
          </cell>
          <cell r="R8119">
            <v>45763</v>
          </cell>
          <cell r="S8119">
            <v>45764</v>
          </cell>
          <cell r="T8119"/>
          <cell r="U8119"/>
          <cell r="V8119"/>
          <cell r="W8119"/>
          <cell r="X8119">
            <v>41200046</v>
          </cell>
        </row>
        <row r="8120">
          <cell r="K8120" t="str">
            <v>GBWS-5515</v>
          </cell>
          <cell r="L8120">
            <v>45747</v>
          </cell>
          <cell r="M8120">
            <v>45749</v>
          </cell>
          <cell r="N8120">
            <v>45762</v>
          </cell>
          <cell r="O8120">
            <v>45740</v>
          </cell>
          <cell r="P8120">
            <v>45756</v>
          </cell>
          <cell r="Q8120">
            <v>45762</v>
          </cell>
          <cell r="R8120">
            <v>45763</v>
          </cell>
          <cell r="S8120"/>
          <cell r="T8120"/>
          <cell r="U8120"/>
          <cell r="V8120"/>
          <cell r="W8120"/>
          <cell r="X8120">
            <v>41200046</v>
          </cell>
        </row>
        <row r="8121">
          <cell r="K8121" t="str">
            <v>GBWS-5520,5521</v>
          </cell>
          <cell r="L8121">
            <v>45751</v>
          </cell>
          <cell r="M8121">
            <v>45755</v>
          </cell>
          <cell r="N8121">
            <v>45763</v>
          </cell>
          <cell r="O8121">
            <v>45740</v>
          </cell>
          <cell r="P8121">
            <v>45764</v>
          </cell>
          <cell r="Q8121">
            <v>45763</v>
          </cell>
          <cell r="R8121">
            <v>45764</v>
          </cell>
          <cell r="S8121"/>
          <cell r="T8121"/>
          <cell r="U8121"/>
          <cell r="V8121"/>
          <cell r="W8121"/>
          <cell r="X8121">
            <v>41200006</v>
          </cell>
        </row>
        <row r="8122">
          <cell r="K8122" t="str">
            <v>GBWS-5525</v>
          </cell>
          <cell r="L8122">
            <v>45754</v>
          </cell>
          <cell r="M8122">
            <v>45756</v>
          </cell>
          <cell r="N8122">
            <v>45764</v>
          </cell>
          <cell r="O8122">
            <v>45747</v>
          </cell>
          <cell r="P8122">
            <v>45761</v>
          </cell>
          <cell r="Q8122">
            <v>45764</v>
          </cell>
          <cell r="R8122">
            <v>45765</v>
          </cell>
          <cell r="S8122"/>
          <cell r="T8122"/>
          <cell r="U8122"/>
          <cell r="V8122"/>
          <cell r="W8122"/>
          <cell r="X8122">
            <v>41200034</v>
          </cell>
        </row>
        <row r="8123">
          <cell r="K8123" t="str">
            <v>GBWS-5527,5528</v>
          </cell>
          <cell r="L8123">
            <v>45754</v>
          </cell>
          <cell r="M8123">
            <v>45756</v>
          </cell>
          <cell r="N8123">
            <v>45764</v>
          </cell>
          <cell r="O8123">
            <v>45747</v>
          </cell>
          <cell r="P8123">
            <v>45761</v>
          </cell>
          <cell r="Q8123">
            <v>45764</v>
          </cell>
          <cell r="R8123">
            <v>45765</v>
          </cell>
          <cell r="S8123"/>
          <cell r="T8123"/>
          <cell r="U8123"/>
          <cell r="V8123"/>
          <cell r="W8123"/>
          <cell r="X8123">
            <v>41200005</v>
          </cell>
        </row>
        <row r="8124">
          <cell r="K8124" t="str">
            <v>GBWS-5529,5530</v>
          </cell>
          <cell r="L8124">
            <v>45754</v>
          </cell>
          <cell r="M8124">
            <v>45756</v>
          </cell>
          <cell r="N8124">
            <v>45764</v>
          </cell>
          <cell r="O8124">
            <v>45747</v>
          </cell>
          <cell r="P8124">
            <v>45762</v>
          </cell>
          <cell r="Q8124">
            <v>45764</v>
          </cell>
          <cell r="R8124">
            <v>45765</v>
          </cell>
          <cell r="S8124"/>
          <cell r="T8124"/>
          <cell r="U8124"/>
          <cell r="V8124"/>
          <cell r="W8124"/>
          <cell r="X8124">
            <v>41200006</v>
          </cell>
        </row>
        <row r="8125">
          <cell r="K8125" t="str">
            <v>GBWS-5533,5534</v>
          </cell>
          <cell r="L8125">
            <v>45755</v>
          </cell>
          <cell r="M8125">
            <v>45757</v>
          </cell>
          <cell r="N8125">
            <v>0.8</v>
          </cell>
          <cell r="O8125">
            <v>45747</v>
          </cell>
          <cell r="P8125">
            <v>0.3</v>
          </cell>
          <cell r="Q8125">
            <v>45765</v>
          </cell>
          <cell r="R8125">
            <v>45768</v>
          </cell>
          <cell r="S8125"/>
          <cell r="T8125"/>
          <cell r="U8125"/>
          <cell r="V8125"/>
          <cell r="W8125"/>
          <cell r="X8125">
            <v>41200038</v>
          </cell>
        </row>
        <row r="8126">
          <cell r="K8126" t="str">
            <v>GBWS-5537</v>
          </cell>
          <cell r="L8126">
            <v>45755</v>
          </cell>
          <cell r="M8126">
            <v>45757</v>
          </cell>
          <cell r="N8126">
            <v>0.6</v>
          </cell>
          <cell r="O8126">
            <v>45747</v>
          </cell>
          <cell r="P8126">
            <v>0.3</v>
          </cell>
          <cell r="Q8126">
            <v>45764</v>
          </cell>
          <cell r="R8126">
            <v>45765</v>
          </cell>
          <cell r="S8126"/>
          <cell r="T8126"/>
          <cell r="U8126"/>
          <cell r="V8126"/>
          <cell r="W8126"/>
          <cell r="X8126">
            <v>41100697</v>
          </cell>
        </row>
        <row r="8127">
          <cell r="K8127" t="str">
            <v>GPWS-0558</v>
          </cell>
          <cell r="L8127">
            <v>45756</v>
          </cell>
          <cell r="M8127">
            <v>45758</v>
          </cell>
          <cell r="N8127">
            <v>0.5</v>
          </cell>
          <cell r="O8127">
            <v>45747</v>
          </cell>
          <cell r="P8127">
            <v>0.1</v>
          </cell>
          <cell r="Q8127">
            <v>45769</v>
          </cell>
          <cell r="R8127">
            <v>45770</v>
          </cell>
          <cell r="S8127"/>
          <cell r="T8127"/>
          <cell r="U8127"/>
          <cell r="V8127"/>
          <cell r="W8127"/>
          <cell r="X8127">
            <v>41200061</v>
          </cell>
        </row>
        <row r="8128">
          <cell r="K8128" t="str">
            <v>GBWS-5538,5539</v>
          </cell>
          <cell r="L8128">
            <v>45756</v>
          </cell>
          <cell r="M8128">
            <v>45758</v>
          </cell>
          <cell r="N8128">
            <v>0.6</v>
          </cell>
          <cell r="O8128">
            <v>45747</v>
          </cell>
          <cell r="P8128">
            <v>0.5</v>
          </cell>
          <cell r="Q8128">
            <v>45768</v>
          </cell>
          <cell r="R8128">
            <v>45769</v>
          </cell>
          <cell r="S8128"/>
          <cell r="T8128"/>
          <cell r="U8128"/>
          <cell r="V8128"/>
          <cell r="W8128"/>
          <cell r="X8128">
            <v>41100697</v>
          </cell>
        </row>
        <row r="8129">
          <cell r="K8129" t="str">
            <v>GBWS-5540~5542</v>
          </cell>
          <cell r="L8129">
            <v>45756</v>
          </cell>
          <cell r="M8129">
            <v>45758</v>
          </cell>
          <cell r="N8129">
            <v>0.5</v>
          </cell>
          <cell r="O8129">
            <v>45747</v>
          </cell>
          <cell r="P8129">
            <v>0.5</v>
          </cell>
          <cell r="Q8129">
            <v>45769</v>
          </cell>
          <cell r="R8129">
            <v>45770</v>
          </cell>
          <cell r="S8129"/>
          <cell r="T8129"/>
          <cell r="U8129"/>
          <cell r="V8129"/>
          <cell r="W8129"/>
          <cell r="X8129">
            <v>41100697</v>
          </cell>
        </row>
        <row r="8130">
          <cell r="K8130" t="str">
            <v>GBWS-5545,5546</v>
          </cell>
          <cell r="L8130">
            <v>45756</v>
          </cell>
          <cell r="M8130">
            <v>45758</v>
          </cell>
          <cell r="N8130">
            <v>0.8</v>
          </cell>
          <cell r="O8130">
            <v>45747</v>
          </cell>
          <cell r="P8130">
            <v>0.8</v>
          </cell>
          <cell r="Q8130">
            <v>45765</v>
          </cell>
          <cell r="R8130">
            <v>45768</v>
          </cell>
          <cell r="S8130"/>
          <cell r="T8130"/>
          <cell r="U8130"/>
          <cell r="V8130"/>
          <cell r="W8130"/>
          <cell r="X8130">
            <v>41200039</v>
          </cell>
        </row>
        <row r="8131">
          <cell r="K8131" t="str">
            <v>GBWS-5547~5549</v>
          </cell>
          <cell r="L8131">
            <v>45756</v>
          </cell>
          <cell r="M8131">
            <v>45758</v>
          </cell>
          <cell r="N8131">
            <v>0.8</v>
          </cell>
          <cell r="O8131">
            <v>45747</v>
          </cell>
          <cell r="P8131">
            <v>0.2</v>
          </cell>
          <cell r="Q8131">
            <v>45768</v>
          </cell>
          <cell r="R8131">
            <v>45769</v>
          </cell>
          <cell r="S8131"/>
          <cell r="T8131"/>
          <cell r="U8131"/>
          <cell r="V8131"/>
          <cell r="W8131"/>
          <cell r="X8131">
            <v>41200039</v>
          </cell>
        </row>
        <row r="8132">
          <cell r="K8132" t="str">
            <v>GBWS-5552</v>
          </cell>
          <cell r="L8132">
            <v>45757</v>
          </cell>
          <cell r="M8132">
            <v>45761</v>
          </cell>
          <cell r="N8132">
            <v>0.5</v>
          </cell>
          <cell r="O8132">
            <v>45747</v>
          </cell>
          <cell r="P8132">
            <v>0.1</v>
          </cell>
          <cell r="Q8132">
            <v>45769</v>
          </cell>
          <cell r="R8132">
            <v>45770</v>
          </cell>
          <cell r="S8132"/>
          <cell r="T8132"/>
          <cell r="U8132"/>
          <cell r="V8132"/>
          <cell r="W8132"/>
          <cell r="X8132">
            <v>41200036</v>
          </cell>
        </row>
        <row r="8133">
          <cell r="K8133" t="str">
            <v>GBWS-5553~5555</v>
          </cell>
          <cell r="L8133">
            <v>45757</v>
          </cell>
          <cell r="M8133">
            <v>45761</v>
          </cell>
          <cell r="N8133">
            <v>0.5</v>
          </cell>
          <cell r="O8133">
            <v>45747</v>
          </cell>
          <cell r="P8133">
            <v>0.1</v>
          </cell>
          <cell r="Q8133">
            <v>45769</v>
          </cell>
          <cell r="R8133">
            <v>45770</v>
          </cell>
          <cell r="S8133"/>
          <cell r="T8133"/>
          <cell r="U8133"/>
          <cell r="V8133"/>
          <cell r="W8133"/>
          <cell r="X8133">
            <v>41200047</v>
          </cell>
        </row>
        <row r="8134">
          <cell r="K8134" t="str">
            <v>GBWS-5556</v>
          </cell>
          <cell r="L8134">
            <v>45758</v>
          </cell>
          <cell r="M8134">
            <v>45762</v>
          </cell>
          <cell r="N8134">
            <v>0.4</v>
          </cell>
          <cell r="O8134">
            <v>45747</v>
          </cell>
          <cell r="P8134">
            <v>0.1</v>
          </cell>
          <cell r="Q8134">
            <v>45770</v>
          </cell>
          <cell r="R8134">
            <v>45771</v>
          </cell>
          <cell r="S8134"/>
          <cell r="T8134"/>
          <cell r="U8134"/>
          <cell r="V8134"/>
          <cell r="W8134"/>
          <cell r="X8134">
            <v>41200122</v>
          </cell>
        </row>
        <row r="8135">
          <cell r="K8135" t="str">
            <v>GBWS-5557</v>
          </cell>
          <cell r="L8135">
            <v>45758</v>
          </cell>
          <cell r="M8135">
            <v>45762</v>
          </cell>
          <cell r="N8135">
            <v>0.4</v>
          </cell>
          <cell r="O8135">
            <v>45747</v>
          </cell>
          <cell r="P8135">
            <v>0.1</v>
          </cell>
          <cell r="Q8135">
            <v>45770</v>
          </cell>
          <cell r="R8135">
            <v>45771</v>
          </cell>
          <cell r="S8135"/>
          <cell r="T8135"/>
          <cell r="U8135"/>
          <cell r="V8135"/>
          <cell r="W8135"/>
          <cell r="X8135">
            <v>41200125</v>
          </cell>
        </row>
        <row r="8136">
          <cell r="K8136" t="str">
            <v>GBWS-5563</v>
          </cell>
          <cell r="L8136"/>
          <cell r="M8136"/>
          <cell r="N8136"/>
          <cell r="O8136"/>
          <cell r="P8136"/>
          <cell r="Q8136"/>
          <cell r="R8136"/>
          <cell r="S8136"/>
          <cell r="T8136"/>
          <cell r="U8136"/>
          <cell r="V8136"/>
          <cell r="W8136"/>
          <cell r="X8136">
            <v>41200034</v>
          </cell>
        </row>
        <row r="8137">
          <cell r="K8137" t="str">
            <v>GBWS-5564</v>
          </cell>
          <cell r="L8137"/>
          <cell r="M8137"/>
          <cell r="N8137"/>
          <cell r="O8137"/>
          <cell r="P8137"/>
          <cell r="Q8137"/>
          <cell r="R8137"/>
          <cell r="S8137"/>
          <cell r="T8137"/>
          <cell r="U8137"/>
          <cell r="V8137"/>
          <cell r="W8137"/>
          <cell r="X8137">
            <v>41200034</v>
          </cell>
        </row>
        <row r="8138">
          <cell r="K8138" t="str">
            <v>GBWS-5565</v>
          </cell>
          <cell r="L8138">
            <v>45761</v>
          </cell>
          <cell r="M8138">
            <v>45763</v>
          </cell>
          <cell r="N8138">
            <v>0.2</v>
          </cell>
          <cell r="O8138">
            <v>45754</v>
          </cell>
          <cell r="P8138">
            <v>0.1</v>
          </cell>
          <cell r="Q8138" t="str">
            <v>2025-04-24 → 4/25</v>
          </cell>
          <cell r="R8138" t="str">
            <v>2025-04-25 → 4/28</v>
          </cell>
          <cell r="S8138"/>
          <cell r="T8138"/>
          <cell r="U8138"/>
          <cell r="V8138"/>
          <cell r="W8138"/>
          <cell r="X8138">
            <v>41200034</v>
          </cell>
        </row>
        <row r="8139">
          <cell r="K8139" t="str">
            <v>GBWS-5566~5569</v>
          </cell>
          <cell r="L8139">
            <v>45761</v>
          </cell>
          <cell r="M8139">
            <v>45763</v>
          </cell>
          <cell r="N8139">
            <v>0.2</v>
          </cell>
          <cell r="O8139">
            <v>45754</v>
          </cell>
          <cell r="P8139">
            <v>0.1</v>
          </cell>
          <cell r="Q8139" t="str">
            <v>2025-04-25 → 4/28</v>
          </cell>
          <cell r="R8139" t="str">
            <v>2025-04-28 → 4/29</v>
          </cell>
          <cell r="S8139"/>
          <cell r="T8139"/>
          <cell r="U8139"/>
          <cell r="V8139"/>
          <cell r="W8139"/>
          <cell r="X8139">
            <v>41200046</v>
          </cell>
        </row>
        <row r="8140">
          <cell r="K8140" t="str">
            <v>GBWS-5570</v>
          </cell>
          <cell r="L8140">
            <v>45761</v>
          </cell>
          <cell r="M8140">
            <v>45763</v>
          </cell>
          <cell r="N8140">
            <v>0.5</v>
          </cell>
          <cell r="O8140">
            <v>45754</v>
          </cell>
          <cell r="P8140">
            <v>0.1</v>
          </cell>
          <cell r="Q8140">
            <v>45769</v>
          </cell>
          <cell r="R8140">
            <v>45770</v>
          </cell>
          <cell r="S8140"/>
          <cell r="T8140"/>
          <cell r="U8140"/>
          <cell r="V8140"/>
          <cell r="W8140"/>
          <cell r="X8140">
            <v>41200142</v>
          </cell>
        </row>
        <row r="8141">
          <cell r="K8141" t="str">
            <v>GBWS-5574,5575</v>
          </cell>
          <cell r="L8141">
            <v>45762</v>
          </cell>
          <cell r="M8141">
            <v>45764</v>
          </cell>
          <cell r="N8141">
            <v>0.1</v>
          </cell>
          <cell r="O8141">
            <v>45754</v>
          </cell>
          <cell r="P8141">
            <v>0</v>
          </cell>
          <cell r="Q8141">
            <v>45772</v>
          </cell>
          <cell r="R8141">
            <v>45775</v>
          </cell>
          <cell r="S8141"/>
          <cell r="T8141"/>
          <cell r="U8141"/>
          <cell r="V8141"/>
          <cell r="W8141"/>
          <cell r="X8141">
            <v>41100550</v>
          </cell>
        </row>
        <row r="8142">
          <cell r="K8142">
            <v>8</v>
          </cell>
          <cell r="L8142"/>
          <cell r="M8142"/>
          <cell r="N8142"/>
          <cell r="O8142"/>
          <cell r="P8142"/>
          <cell r="Q8142"/>
          <cell r="R8142"/>
          <cell r="S8142"/>
          <cell r="T8142"/>
          <cell r="U8142"/>
          <cell r="V8142"/>
          <cell r="W8142"/>
          <cell r="X8142"/>
        </row>
        <row r="8143">
          <cell r="K8143"/>
          <cell r="L8143">
            <v>45090</v>
          </cell>
          <cell r="M8143">
            <v>45090</v>
          </cell>
          <cell r="N8143">
            <v>0.2</v>
          </cell>
          <cell r="O8143">
            <v>45090</v>
          </cell>
          <cell r="P8143">
            <v>0.2</v>
          </cell>
          <cell r="Q8143">
            <v>45098</v>
          </cell>
          <cell r="R8143">
            <v>45098</v>
          </cell>
          <cell r="S8143"/>
          <cell r="T8143"/>
          <cell r="U8143" t="str">
            <v>넥셀 Module 작업</v>
          </cell>
          <cell r="V8143"/>
          <cell r="W8143"/>
          <cell r="X8143">
            <v>41100461</v>
          </cell>
        </row>
        <row r="8144">
          <cell r="K8144"/>
          <cell r="L8144">
            <v>45126</v>
          </cell>
          <cell r="M8144" t="str">
            <v>2023-07-19 → 7/27</v>
          </cell>
          <cell r="N8144">
            <v>45146</v>
          </cell>
          <cell r="O8144" t="str">
            <v>2023-07-19 → 7/27</v>
          </cell>
          <cell r="P8144">
            <v>45146</v>
          </cell>
          <cell r="Q8144" t="str">
            <v>2023-07-24 → 8/7</v>
          </cell>
          <cell r="R8144" t="str">
            <v>2023-07-24 → 8/7</v>
          </cell>
          <cell r="S8144"/>
          <cell r="T8144"/>
          <cell r="U8144" t="str">
            <v>BAT Module 작업</v>
          </cell>
          <cell r="V8144"/>
          <cell r="W8144"/>
          <cell r="X8144">
            <v>41100705</v>
          </cell>
        </row>
        <row r="8145">
          <cell r="K8145"/>
          <cell r="L8145">
            <v>45252</v>
          </cell>
          <cell r="M8145" t="str">
            <v>2023-11-22 → 11/15</v>
          </cell>
          <cell r="N8145">
            <v>0.2</v>
          </cell>
          <cell r="O8145" t="str">
            <v>2023-11-22 → 11/15</v>
          </cell>
          <cell r="P8145">
            <v>0.2</v>
          </cell>
          <cell r="Q8145" t="str">
            <v>2023-11-28 → 11/21</v>
          </cell>
          <cell r="R8145" t="str">
            <v>2023-11-28 → 11/21</v>
          </cell>
          <cell r="S8145"/>
          <cell r="T8145"/>
          <cell r="U8145" t="str">
            <v>넥셀 Module 작업</v>
          </cell>
          <cell r="V8145"/>
          <cell r="W8145"/>
          <cell r="X8145">
            <v>41000541</v>
          </cell>
        </row>
        <row r="8146">
          <cell r="K8146"/>
          <cell r="L8146">
            <v>45512</v>
          </cell>
          <cell r="M8146">
            <v>45512</v>
          </cell>
          <cell r="N8146">
            <v>0.1</v>
          </cell>
          <cell r="O8146">
            <v>45512</v>
          </cell>
          <cell r="P8146">
            <v>0.1</v>
          </cell>
          <cell r="Q8146">
            <v>45518</v>
          </cell>
          <cell r="R8146">
            <v>45518</v>
          </cell>
          <cell r="S8146"/>
          <cell r="T8146"/>
          <cell r="U8146" t="str">
            <v>TMS 기구 Module 작업</v>
          </cell>
          <cell r="V8146"/>
          <cell r="W8146"/>
          <cell r="X8146">
            <v>41100363</v>
          </cell>
        </row>
        <row r="8147">
          <cell r="K8147"/>
          <cell r="L8147">
            <v>45510</v>
          </cell>
          <cell r="M8147">
            <v>45510</v>
          </cell>
          <cell r="N8147">
            <v>0.3</v>
          </cell>
          <cell r="O8147">
            <v>45510</v>
          </cell>
          <cell r="P8147">
            <v>0.3</v>
          </cell>
          <cell r="Q8147">
            <v>45517</v>
          </cell>
          <cell r="R8147">
            <v>45517</v>
          </cell>
          <cell r="S8147"/>
          <cell r="T8147"/>
          <cell r="U8147" t="str">
            <v>TMS 기구 Module 작업</v>
          </cell>
          <cell r="V8147"/>
          <cell r="W8147"/>
          <cell r="X8147">
            <v>41000541</v>
          </cell>
        </row>
        <row r="8148">
          <cell r="K8148"/>
          <cell r="L8148">
            <v>45525</v>
          </cell>
          <cell r="M8148">
            <v>45525</v>
          </cell>
          <cell r="N8148">
            <v>45533</v>
          </cell>
          <cell r="O8148">
            <v>45525</v>
          </cell>
          <cell r="P8148">
            <v>45533</v>
          </cell>
          <cell r="Q8148">
            <v>45532</v>
          </cell>
          <cell r="R8148">
            <v>45532</v>
          </cell>
          <cell r="S8148"/>
          <cell r="T8148"/>
          <cell r="U8148" t="str">
            <v>TMS 기구 Module 작업</v>
          </cell>
          <cell r="V8148"/>
          <cell r="W8148"/>
          <cell r="X8148">
            <v>41100363</v>
          </cell>
        </row>
        <row r="8149">
          <cell r="K8149"/>
          <cell r="L8149">
            <v>45525</v>
          </cell>
          <cell r="M8149">
            <v>45525</v>
          </cell>
          <cell r="N8149">
            <v>45533</v>
          </cell>
          <cell r="O8149">
            <v>45525</v>
          </cell>
          <cell r="P8149">
            <v>45533</v>
          </cell>
          <cell r="Q8149">
            <v>45531</v>
          </cell>
          <cell r="R8149">
            <v>45531</v>
          </cell>
          <cell r="S8149"/>
          <cell r="T8149"/>
          <cell r="U8149" t="str">
            <v>TMS 기구 Module 작업</v>
          </cell>
          <cell r="V8149"/>
          <cell r="W8149"/>
          <cell r="X8149">
            <v>41200005</v>
          </cell>
        </row>
        <row r="8150">
          <cell r="K8150"/>
          <cell r="L8150">
            <v>45525</v>
          </cell>
          <cell r="M8150">
            <v>45525</v>
          </cell>
          <cell r="N8150">
            <v>45533</v>
          </cell>
          <cell r="O8150">
            <v>45525</v>
          </cell>
          <cell r="P8150">
            <v>45533</v>
          </cell>
          <cell r="Q8150">
            <v>45531</v>
          </cell>
          <cell r="R8150">
            <v>45531</v>
          </cell>
          <cell r="S8150"/>
          <cell r="T8150"/>
          <cell r="U8150" t="str">
            <v>TMS 기구 Module 작업</v>
          </cell>
          <cell r="V8150"/>
          <cell r="W8150"/>
          <cell r="X8150">
            <v>41100320</v>
          </cell>
        </row>
        <row r="8151">
          <cell r="K8151"/>
          <cell r="L8151">
            <v>45525</v>
          </cell>
          <cell r="M8151">
            <v>45525</v>
          </cell>
          <cell r="N8151">
            <v>45533</v>
          </cell>
          <cell r="O8151">
            <v>45525</v>
          </cell>
          <cell r="P8151">
            <v>45533</v>
          </cell>
          <cell r="Q8151">
            <v>45531</v>
          </cell>
          <cell r="R8151">
            <v>45531</v>
          </cell>
          <cell r="S8151"/>
          <cell r="T8151"/>
          <cell r="U8151" t="str">
            <v>TMS 기구 Module 작업</v>
          </cell>
          <cell r="V8151"/>
          <cell r="W8151"/>
          <cell r="X8151">
            <v>41000535</v>
          </cell>
        </row>
        <row r="8152">
          <cell r="K8152"/>
          <cell r="L8152">
            <v>45526</v>
          </cell>
          <cell r="M8152">
            <v>45526</v>
          </cell>
          <cell r="N8152">
            <v>45533</v>
          </cell>
          <cell r="O8152">
            <v>45526</v>
          </cell>
          <cell r="P8152">
            <v>45533</v>
          </cell>
          <cell r="Q8152">
            <v>45532</v>
          </cell>
          <cell r="R8152">
            <v>45532</v>
          </cell>
          <cell r="S8152"/>
          <cell r="T8152"/>
          <cell r="U8152" t="str">
            <v>TMS 기구 Module 작업</v>
          </cell>
          <cell r="V8152"/>
          <cell r="W8152"/>
          <cell r="X8152">
            <v>41100697</v>
          </cell>
        </row>
        <row r="8153">
          <cell r="K8153"/>
          <cell r="L8153">
            <v>45526</v>
          </cell>
          <cell r="M8153">
            <v>45526</v>
          </cell>
          <cell r="N8153">
            <v>45533</v>
          </cell>
          <cell r="O8153">
            <v>45526</v>
          </cell>
          <cell r="P8153">
            <v>45533</v>
          </cell>
          <cell r="Q8153">
            <v>45532</v>
          </cell>
          <cell r="R8153">
            <v>45532</v>
          </cell>
          <cell r="S8153"/>
          <cell r="T8153"/>
          <cell r="U8153" t="str">
            <v>TMS 기구 Module 작업</v>
          </cell>
          <cell r="V8153"/>
          <cell r="W8153"/>
          <cell r="X8153">
            <v>41200007</v>
          </cell>
        </row>
        <row r="8154">
          <cell r="K8154"/>
          <cell r="L8154">
            <v>45526</v>
          </cell>
          <cell r="M8154">
            <v>45526</v>
          </cell>
          <cell r="N8154">
            <v>45533</v>
          </cell>
          <cell r="O8154">
            <v>45526</v>
          </cell>
          <cell r="P8154">
            <v>45533</v>
          </cell>
          <cell r="Q8154">
            <v>45532</v>
          </cell>
          <cell r="R8154">
            <v>45532</v>
          </cell>
          <cell r="S8154"/>
          <cell r="T8154"/>
          <cell r="U8154" t="str">
            <v>TMS 기구 Module 작업</v>
          </cell>
          <cell r="V8154"/>
          <cell r="W8154"/>
          <cell r="X8154">
            <v>41200054</v>
          </cell>
        </row>
        <row r="8155">
          <cell r="K8155"/>
          <cell r="L8155">
            <v>45530</v>
          </cell>
          <cell r="M8155">
            <v>45530</v>
          </cell>
          <cell r="N8155">
            <v>45533</v>
          </cell>
          <cell r="O8155">
            <v>45530</v>
          </cell>
          <cell r="P8155">
            <v>45533</v>
          </cell>
          <cell r="Q8155">
            <v>45534</v>
          </cell>
          <cell r="R8155">
            <v>45534</v>
          </cell>
          <cell r="S8155"/>
          <cell r="T8155"/>
          <cell r="U8155" t="str">
            <v>TMS 기구 Module 작업</v>
          </cell>
          <cell r="V8155"/>
          <cell r="W8155"/>
          <cell r="X8155">
            <v>41100318</v>
          </cell>
        </row>
        <row r="8156">
          <cell r="K8156"/>
          <cell r="L8156">
            <v>45530</v>
          </cell>
          <cell r="M8156">
            <v>45530</v>
          </cell>
          <cell r="N8156">
            <v>45533</v>
          </cell>
          <cell r="O8156">
            <v>45530</v>
          </cell>
          <cell r="P8156">
            <v>45533</v>
          </cell>
          <cell r="Q8156">
            <v>45534</v>
          </cell>
          <cell r="R8156">
            <v>45534</v>
          </cell>
          <cell r="S8156"/>
          <cell r="T8156"/>
          <cell r="U8156" t="str">
            <v>TMS 기구 Module 작업</v>
          </cell>
          <cell r="V8156"/>
          <cell r="W8156"/>
          <cell r="X8156">
            <v>41100538</v>
          </cell>
        </row>
        <row r="8157">
          <cell r="K8157"/>
          <cell r="L8157">
            <v>45531</v>
          </cell>
          <cell r="M8157">
            <v>45531</v>
          </cell>
          <cell r="N8157">
            <v>45538</v>
          </cell>
          <cell r="O8157">
            <v>45531</v>
          </cell>
          <cell r="P8157">
            <v>45538</v>
          </cell>
          <cell r="Q8157">
            <v>45537</v>
          </cell>
          <cell r="R8157">
            <v>45537</v>
          </cell>
          <cell r="S8157"/>
          <cell r="T8157"/>
          <cell r="U8157" t="str">
            <v>TMS 기구 Module 작업</v>
          </cell>
          <cell r="V8157"/>
          <cell r="W8157"/>
          <cell r="X8157">
            <v>41100334</v>
          </cell>
        </row>
        <row r="8158">
          <cell r="K8158"/>
          <cell r="L8158">
            <v>45531</v>
          </cell>
          <cell r="M8158">
            <v>45531</v>
          </cell>
          <cell r="N8158">
            <v>45538</v>
          </cell>
          <cell r="O8158">
            <v>45531</v>
          </cell>
          <cell r="P8158">
            <v>45538</v>
          </cell>
          <cell r="Q8158">
            <v>45537</v>
          </cell>
          <cell r="R8158">
            <v>45537</v>
          </cell>
          <cell r="S8158"/>
          <cell r="T8158"/>
          <cell r="U8158" t="str">
            <v>TMS 기구 Module 작업</v>
          </cell>
          <cell r="V8158"/>
          <cell r="W8158"/>
          <cell r="X8158">
            <v>41100372</v>
          </cell>
        </row>
        <row r="8159">
          <cell r="K8159"/>
          <cell r="L8159">
            <v>45531</v>
          </cell>
          <cell r="M8159">
            <v>45531</v>
          </cell>
          <cell r="N8159">
            <v>45538</v>
          </cell>
          <cell r="O8159">
            <v>45531</v>
          </cell>
          <cell r="P8159">
            <v>45538</v>
          </cell>
          <cell r="Q8159">
            <v>45537</v>
          </cell>
          <cell r="R8159">
            <v>45537</v>
          </cell>
          <cell r="S8159"/>
          <cell r="T8159"/>
          <cell r="U8159" t="str">
            <v>TMS 기구 Module 작업</v>
          </cell>
          <cell r="V8159"/>
          <cell r="W8159"/>
          <cell r="X8159">
            <v>41100374</v>
          </cell>
        </row>
        <row r="8160">
          <cell r="K8160"/>
          <cell r="L8160">
            <v>45531</v>
          </cell>
          <cell r="M8160">
            <v>45531</v>
          </cell>
          <cell r="N8160">
            <v>45538</v>
          </cell>
          <cell r="O8160">
            <v>45531</v>
          </cell>
          <cell r="P8160">
            <v>45538</v>
          </cell>
          <cell r="Q8160">
            <v>45537</v>
          </cell>
          <cell r="R8160">
            <v>45537</v>
          </cell>
          <cell r="S8160"/>
          <cell r="T8160"/>
          <cell r="U8160" t="str">
            <v>TMS 기구 Module 작업</v>
          </cell>
          <cell r="V8160"/>
          <cell r="W8160"/>
          <cell r="X8160">
            <v>41100320</v>
          </cell>
        </row>
        <row r="8161">
          <cell r="K8161"/>
          <cell r="L8161">
            <v>45531</v>
          </cell>
          <cell r="M8161">
            <v>45531</v>
          </cell>
          <cell r="N8161">
            <v>45538</v>
          </cell>
          <cell r="O8161">
            <v>45531</v>
          </cell>
          <cell r="P8161">
            <v>45538</v>
          </cell>
          <cell r="Q8161">
            <v>45537</v>
          </cell>
          <cell r="R8161">
            <v>45537</v>
          </cell>
          <cell r="S8161"/>
          <cell r="T8161"/>
          <cell r="U8161" t="str">
            <v>TMS 기구 Module 작업</v>
          </cell>
          <cell r="V8161"/>
          <cell r="W8161"/>
          <cell r="X8161">
            <v>41200006</v>
          </cell>
        </row>
        <row r="8162">
          <cell r="K8162"/>
          <cell r="L8162">
            <v>45531</v>
          </cell>
          <cell r="M8162">
            <v>45531</v>
          </cell>
          <cell r="N8162">
            <v>45538</v>
          </cell>
          <cell r="O8162">
            <v>45531</v>
          </cell>
          <cell r="P8162">
            <v>45538</v>
          </cell>
          <cell r="Q8162">
            <v>45537</v>
          </cell>
          <cell r="R8162">
            <v>45537</v>
          </cell>
          <cell r="S8162"/>
          <cell r="T8162"/>
          <cell r="U8162" t="str">
            <v>TMS 기구 Module 작업</v>
          </cell>
          <cell r="V8162"/>
          <cell r="W8162"/>
          <cell r="X8162">
            <v>41100336</v>
          </cell>
        </row>
        <row r="8163">
          <cell r="K8163"/>
          <cell r="L8163">
            <v>45532</v>
          </cell>
          <cell r="M8163">
            <v>45532</v>
          </cell>
          <cell r="N8163">
            <v>45538</v>
          </cell>
          <cell r="O8163">
            <v>45532</v>
          </cell>
          <cell r="P8163">
            <v>45538</v>
          </cell>
          <cell r="Q8163">
            <v>45539</v>
          </cell>
          <cell r="R8163">
            <v>45539</v>
          </cell>
          <cell r="S8163"/>
          <cell r="T8163"/>
          <cell r="U8163" t="str">
            <v>TMS 기구 Module 작업</v>
          </cell>
          <cell r="V8163"/>
          <cell r="W8163"/>
          <cell r="X8163">
            <v>41100697</v>
          </cell>
        </row>
        <row r="8164">
          <cell r="K8164"/>
          <cell r="L8164">
            <v>45537</v>
          </cell>
          <cell r="M8164">
            <v>45537</v>
          </cell>
          <cell r="N8164">
            <v>45540</v>
          </cell>
          <cell r="O8164">
            <v>45537</v>
          </cell>
          <cell r="P8164">
            <v>45540</v>
          </cell>
          <cell r="Q8164">
            <v>45539</v>
          </cell>
          <cell r="R8164">
            <v>45539</v>
          </cell>
          <cell r="S8164"/>
          <cell r="T8164"/>
          <cell r="U8164" t="str">
            <v>TMS 기구 Module 작업</v>
          </cell>
          <cell r="V8164"/>
          <cell r="W8164"/>
          <cell r="X8164">
            <v>41200039</v>
          </cell>
        </row>
        <row r="8165">
          <cell r="K8165"/>
          <cell r="L8165">
            <v>45537</v>
          </cell>
          <cell r="M8165">
            <v>45537</v>
          </cell>
          <cell r="N8165">
            <v>45540</v>
          </cell>
          <cell r="O8165">
            <v>45537</v>
          </cell>
          <cell r="P8165">
            <v>45540</v>
          </cell>
          <cell r="Q8165">
            <v>45540</v>
          </cell>
          <cell r="R8165">
            <v>45540</v>
          </cell>
          <cell r="S8165"/>
          <cell r="T8165"/>
          <cell r="U8165" t="str">
            <v>TMS 기구 Module 작업</v>
          </cell>
          <cell r="V8165"/>
          <cell r="W8165"/>
          <cell r="X8165">
            <v>41200039</v>
          </cell>
        </row>
        <row r="8166">
          <cell r="K8166"/>
          <cell r="L8166">
            <v>45537</v>
          </cell>
          <cell r="M8166">
            <v>45537</v>
          </cell>
          <cell r="N8166">
            <v>45540</v>
          </cell>
          <cell r="O8166">
            <v>45537</v>
          </cell>
          <cell r="P8166">
            <v>45540</v>
          </cell>
          <cell r="Q8166">
            <v>45541</v>
          </cell>
          <cell r="R8166">
            <v>45541</v>
          </cell>
          <cell r="S8166"/>
          <cell r="T8166"/>
          <cell r="U8166" t="str">
            <v>TMS 기구 Module 작업</v>
          </cell>
          <cell r="V8166"/>
          <cell r="W8166"/>
          <cell r="X8166">
            <v>41200033</v>
          </cell>
        </row>
        <row r="8167">
          <cell r="K8167"/>
          <cell r="L8167">
            <v>45537</v>
          </cell>
          <cell r="M8167">
            <v>45537</v>
          </cell>
          <cell r="N8167">
            <v>45540</v>
          </cell>
          <cell r="O8167">
            <v>45537</v>
          </cell>
          <cell r="P8167">
            <v>45540</v>
          </cell>
          <cell r="Q8167">
            <v>45541</v>
          </cell>
          <cell r="R8167">
            <v>45541</v>
          </cell>
          <cell r="S8167"/>
          <cell r="T8167"/>
          <cell r="U8167" t="str">
            <v>TMS 기구 Module 작업</v>
          </cell>
          <cell r="V8167"/>
          <cell r="W8167"/>
          <cell r="X8167">
            <v>41200036</v>
          </cell>
        </row>
        <row r="8168">
          <cell r="K8168"/>
          <cell r="L8168">
            <v>45537</v>
          </cell>
          <cell r="M8168">
            <v>45537</v>
          </cell>
          <cell r="N8168">
            <v>45540</v>
          </cell>
          <cell r="O8168">
            <v>45537</v>
          </cell>
          <cell r="P8168">
            <v>45540</v>
          </cell>
          <cell r="Q8168">
            <v>45541</v>
          </cell>
          <cell r="R8168">
            <v>45541</v>
          </cell>
          <cell r="S8168"/>
          <cell r="T8168"/>
          <cell r="U8168" t="str">
            <v>TMS 기구 Module 작업</v>
          </cell>
          <cell r="V8168"/>
          <cell r="W8168"/>
          <cell r="X8168">
            <v>41200036</v>
          </cell>
        </row>
        <row r="8169">
          <cell r="K8169"/>
          <cell r="L8169">
            <v>45538</v>
          </cell>
          <cell r="M8169">
            <v>45538</v>
          </cell>
          <cell r="N8169">
            <v>45540</v>
          </cell>
          <cell r="O8169">
            <v>45538</v>
          </cell>
          <cell r="P8169">
            <v>45540</v>
          </cell>
          <cell r="Q8169">
            <v>45544</v>
          </cell>
          <cell r="R8169">
            <v>45544</v>
          </cell>
          <cell r="S8169"/>
          <cell r="T8169"/>
          <cell r="U8169" t="str">
            <v>TMS 기구 Module 작업</v>
          </cell>
          <cell r="V8169"/>
          <cell r="W8169"/>
          <cell r="X8169">
            <v>41100286</v>
          </cell>
        </row>
        <row r="8170">
          <cell r="K8170"/>
          <cell r="L8170">
            <v>45538</v>
          </cell>
          <cell r="M8170">
            <v>45538</v>
          </cell>
          <cell r="N8170">
            <v>45540</v>
          </cell>
          <cell r="O8170">
            <v>45538</v>
          </cell>
          <cell r="P8170">
            <v>45540</v>
          </cell>
          <cell r="Q8170">
            <v>45544</v>
          </cell>
          <cell r="R8170">
            <v>45544</v>
          </cell>
          <cell r="S8170"/>
          <cell r="T8170"/>
          <cell r="U8170" t="str">
            <v>TMS 기구 Module 작업</v>
          </cell>
          <cell r="V8170"/>
          <cell r="W8170"/>
          <cell r="X8170">
            <v>41100320</v>
          </cell>
        </row>
        <row r="8171">
          <cell r="K8171"/>
          <cell r="L8171">
            <v>45538</v>
          </cell>
          <cell r="M8171">
            <v>45538</v>
          </cell>
          <cell r="N8171">
            <v>45540</v>
          </cell>
          <cell r="O8171">
            <v>45538</v>
          </cell>
          <cell r="P8171">
            <v>45540</v>
          </cell>
          <cell r="Q8171">
            <v>45544</v>
          </cell>
          <cell r="R8171">
            <v>45544</v>
          </cell>
          <cell r="S8171"/>
          <cell r="T8171"/>
          <cell r="U8171" t="str">
            <v>TMS 기구 Module 작업</v>
          </cell>
          <cell r="V8171"/>
          <cell r="W8171"/>
          <cell r="X8171">
            <v>41100363</v>
          </cell>
        </row>
        <row r="8172">
          <cell r="K8172"/>
          <cell r="L8172">
            <v>45538</v>
          </cell>
          <cell r="M8172">
            <v>45538</v>
          </cell>
          <cell r="N8172">
            <v>45540</v>
          </cell>
          <cell r="O8172">
            <v>45538</v>
          </cell>
          <cell r="P8172">
            <v>45540</v>
          </cell>
          <cell r="Q8172">
            <v>45544</v>
          </cell>
          <cell r="R8172">
            <v>45544</v>
          </cell>
          <cell r="S8172"/>
          <cell r="T8172"/>
          <cell r="U8172" t="str">
            <v>TMS 기구 Module 작업</v>
          </cell>
          <cell r="V8172"/>
          <cell r="W8172"/>
          <cell r="X8172">
            <v>41100372</v>
          </cell>
        </row>
        <row r="8173">
          <cell r="K8173"/>
          <cell r="L8173">
            <v>45539</v>
          </cell>
          <cell r="M8173">
            <v>45539</v>
          </cell>
          <cell r="N8173">
            <v>45544</v>
          </cell>
          <cell r="O8173">
            <v>45539</v>
          </cell>
          <cell r="P8173">
            <v>45544</v>
          </cell>
          <cell r="Q8173">
            <v>45545</v>
          </cell>
          <cell r="R8173">
            <v>45545</v>
          </cell>
          <cell r="S8173"/>
          <cell r="T8173"/>
          <cell r="U8173" t="str">
            <v>TMS 기구 Module 작업</v>
          </cell>
          <cell r="V8173"/>
          <cell r="W8173"/>
          <cell r="X8173">
            <v>41200068</v>
          </cell>
        </row>
        <row r="8174">
          <cell r="K8174"/>
          <cell r="L8174">
            <v>45539</v>
          </cell>
          <cell r="M8174">
            <v>45539</v>
          </cell>
          <cell r="N8174">
            <v>45544</v>
          </cell>
          <cell r="O8174">
            <v>45539</v>
          </cell>
          <cell r="P8174">
            <v>45544</v>
          </cell>
          <cell r="Q8174">
            <v>45545</v>
          </cell>
          <cell r="R8174">
            <v>45545</v>
          </cell>
          <cell r="S8174"/>
          <cell r="T8174"/>
          <cell r="U8174" t="str">
            <v>TMS 기구 Module 작업</v>
          </cell>
          <cell r="V8174"/>
          <cell r="W8174"/>
          <cell r="X8174">
            <v>41200006</v>
          </cell>
        </row>
        <row r="8175">
          <cell r="K8175"/>
          <cell r="L8175">
            <v>45540</v>
          </cell>
          <cell r="M8175">
            <v>45540</v>
          </cell>
          <cell r="N8175">
            <v>45544</v>
          </cell>
          <cell r="O8175">
            <v>45540</v>
          </cell>
          <cell r="P8175">
            <v>45544</v>
          </cell>
          <cell r="Q8175">
            <v>45546</v>
          </cell>
          <cell r="R8175">
            <v>45546</v>
          </cell>
          <cell r="S8175"/>
          <cell r="T8175"/>
          <cell r="U8175" t="str">
            <v>TMS 기구 Module 작업</v>
          </cell>
          <cell r="V8175"/>
          <cell r="W8175"/>
          <cell r="X8175">
            <v>41200007</v>
          </cell>
        </row>
        <row r="8176">
          <cell r="K8176"/>
          <cell r="L8176">
            <v>45540</v>
          </cell>
          <cell r="M8176">
            <v>45540</v>
          </cell>
          <cell r="N8176">
            <v>45544</v>
          </cell>
          <cell r="O8176">
            <v>45540</v>
          </cell>
          <cell r="P8176">
            <v>45544</v>
          </cell>
          <cell r="Q8176">
            <v>45546</v>
          </cell>
          <cell r="R8176">
            <v>45546</v>
          </cell>
          <cell r="S8176"/>
          <cell r="T8176"/>
          <cell r="U8176" t="str">
            <v>TMS 기구 Module 작업</v>
          </cell>
          <cell r="V8176"/>
          <cell r="W8176"/>
          <cell r="X8176">
            <v>41200011</v>
          </cell>
        </row>
        <row r="8177">
          <cell r="K8177"/>
          <cell r="L8177">
            <v>45541</v>
          </cell>
          <cell r="M8177">
            <v>45541</v>
          </cell>
          <cell r="N8177">
            <v>45544</v>
          </cell>
          <cell r="O8177">
            <v>45541</v>
          </cell>
          <cell r="P8177">
            <v>45544</v>
          </cell>
          <cell r="Q8177">
            <v>45547</v>
          </cell>
          <cell r="R8177">
            <v>45547</v>
          </cell>
          <cell r="S8177"/>
          <cell r="T8177"/>
          <cell r="U8177" t="str">
            <v>TMS 기구 Module 작업</v>
          </cell>
          <cell r="V8177"/>
          <cell r="W8177"/>
          <cell r="X8177">
            <v>41200059</v>
          </cell>
        </row>
        <row r="8178">
          <cell r="K8178"/>
          <cell r="L8178">
            <v>45544</v>
          </cell>
          <cell r="M8178">
            <v>45544</v>
          </cell>
          <cell r="N8178">
            <v>45544</v>
          </cell>
          <cell r="O8178">
            <v>45544</v>
          </cell>
          <cell r="P8178">
            <v>45544</v>
          </cell>
          <cell r="Q8178">
            <v>45548</v>
          </cell>
          <cell r="R8178">
            <v>45548</v>
          </cell>
          <cell r="S8178"/>
          <cell r="T8178"/>
          <cell r="U8178" t="str">
            <v>TMS 기구 Module 작업</v>
          </cell>
          <cell r="V8178"/>
          <cell r="W8178"/>
          <cell r="X8178">
            <v>41100374</v>
          </cell>
        </row>
        <row r="8179">
          <cell r="K8179"/>
          <cell r="L8179">
            <v>45544</v>
          </cell>
          <cell r="M8179">
            <v>45544</v>
          </cell>
          <cell r="N8179">
            <v>45544</v>
          </cell>
          <cell r="O8179">
            <v>45544</v>
          </cell>
          <cell r="P8179">
            <v>45544</v>
          </cell>
          <cell r="Q8179">
            <v>45548</v>
          </cell>
          <cell r="R8179">
            <v>45548</v>
          </cell>
          <cell r="S8179"/>
          <cell r="T8179"/>
          <cell r="U8179" t="str">
            <v>TMS 기구 Module 작업</v>
          </cell>
          <cell r="V8179"/>
          <cell r="W8179"/>
          <cell r="X8179">
            <v>41200004</v>
          </cell>
        </row>
        <row r="8180">
          <cell r="K8180"/>
          <cell r="L8180">
            <v>45544</v>
          </cell>
          <cell r="M8180">
            <v>45544</v>
          </cell>
          <cell r="N8180">
            <v>45544</v>
          </cell>
          <cell r="O8180">
            <v>45544</v>
          </cell>
          <cell r="P8180">
            <v>45544</v>
          </cell>
          <cell r="Q8180">
            <v>45548</v>
          </cell>
          <cell r="R8180">
            <v>45548</v>
          </cell>
          <cell r="S8180"/>
          <cell r="T8180"/>
          <cell r="U8180" t="str">
            <v>TMS 기구 Module 작업</v>
          </cell>
          <cell r="V8180"/>
          <cell r="W8180"/>
          <cell r="X8180">
            <v>41100443</v>
          </cell>
        </row>
        <row r="8181">
          <cell r="K8181"/>
          <cell r="L8181">
            <v>45554</v>
          </cell>
          <cell r="M8181">
            <v>45554</v>
          </cell>
          <cell r="N8181">
            <v>45561</v>
          </cell>
          <cell r="O8181">
            <v>45554</v>
          </cell>
          <cell r="P8181">
            <v>45561</v>
          </cell>
          <cell r="Q8181">
            <v>45560</v>
          </cell>
          <cell r="R8181">
            <v>45560</v>
          </cell>
          <cell r="S8181"/>
          <cell r="T8181"/>
          <cell r="U8181" t="str">
            <v>TMS 기구 Module 작업</v>
          </cell>
          <cell r="V8181"/>
          <cell r="W8181"/>
          <cell r="X8181">
            <v>41200004</v>
          </cell>
        </row>
        <row r="8182">
          <cell r="K8182"/>
          <cell r="L8182">
            <v>45555</v>
          </cell>
          <cell r="M8182">
            <v>45555</v>
          </cell>
          <cell r="N8182">
            <v>45561</v>
          </cell>
          <cell r="O8182">
            <v>45555</v>
          </cell>
          <cell r="P8182">
            <v>45561</v>
          </cell>
          <cell r="Q8182">
            <v>45562</v>
          </cell>
          <cell r="R8182">
            <v>45562</v>
          </cell>
          <cell r="S8182"/>
          <cell r="T8182"/>
          <cell r="U8182" t="str">
            <v>TMS 기구 Module 작업</v>
          </cell>
          <cell r="V8182"/>
          <cell r="W8182"/>
          <cell r="X8182">
            <v>41200036</v>
          </cell>
        </row>
        <row r="8183">
          <cell r="K8183"/>
          <cell r="L8183">
            <v>45555</v>
          </cell>
          <cell r="M8183">
            <v>45555</v>
          </cell>
          <cell r="N8183">
            <v>45561</v>
          </cell>
          <cell r="O8183">
            <v>45555</v>
          </cell>
          <cell r="P8183">
            <v>45561</v>
          </cell>
          <cell r="Q8183">
            <v>45561</v>
          </cell>
          <cell r="R8183">
            <v>45561</v>
          </cell>
          <cell r="S8183"/>
          <cell r="T8183"/>
          <cell r="U8183" t="str">
            <v>TMS 기구 Module 작업</v>
          </cell>
          <cell r="V8183"/>
          <cell r="W8183"/>
          <cell r="X8183">
            <v>41100363</v>
          </cell>
        </row>
        <row r="8184">
          <cell r="K8184"/>
          <cell r="L8184">
            <v>45558</v>
          </cell>
          <cell r="M8184">
            <v>45558</v>
          </cell>
          <cell r="N8184">
            <v>45561</v>
          </cell>
          <cell r="O8184">
            <v>45558</v>
          </cell>
          <cell r="P8184">
            <v>45561</v>
          </cell>
          <cell r="Q8184">
            <v>45562</v>
          </cell>
          <cell r="R8184">
            <v>45562</v>
          </cell>
          <cell r="S8184"/>
          <cell r="T8184"/>
          <cell r="U8184" t="str">
            <v>TMS 기구 Module 작업</v>
          </cell>
          <cell r="V8184"/>
          <cell r="W8184"/>
          <cell r="X8184">
            <v>41200005</v>
          </cell>
        </row>
        <row r="8185">
          <cell r="K8185"/>
          <cell r="L8185">
            <v>45558</v>
          </cell>
          <cell r="M8185">
            <v>45558</v>
          </cell>
          <cell r="N8185">
            <v>45561</v>
          </cell>
          <cell r="O8185">
            <v>45558</v>
          </cell>
          <cell r="P8185">
            <v>45561</v>
          </cell>
          <cell r="Q8185">
            <v>45562</v>
          </cell>
          <cell r="R8185">
            <v>45562</v>
          </cell>
          <cell r="S8185"/>
          <cell r="T8185"/>
          <cell r="U8185" t="str">
            <v>TMS 기구 Module 작업</v>
          </cell>
          <cell r="V8185"/>
          <cell r="W8185"/>
          <cell r="X8185">
            <v>41100564</v>
          </cell>
        </row>
        <row r="8186">
          <cell r="K8186"/>
          <cell r="L8186">
            <v>45558</v>
          </cell>
          <cell r="M8186">
            <v>45558</v>
          </cell>
          <cell r="N8186">
            <v>45561</v>
          </cell>
          <cell r="O8186">
            <v>45558</v>
          </cell>
          <cell r="P8186">
            <v>45561</v>
          </cell>
          <cell r="Q8186">
            <v>45562</v>
          </cell>
          <cell r="R8186">
            <v>45562</v>
          </cell>
          <cell r="S8186"/>
          <cell r="T8186"/>
          <cell r="U8186" t="str">
            <v>TMS 기구 Module 작업</v>
          </cell>
          <cell r="V8186"/>
          <cell r="W8186"/>
          <cell r="X8186">
            <v>41100697</v>
          </cell>
        </row>
        <row r="8187">
          <cell r="K8187"/>
          <cell r="L8187">
            <v>45559</v>
          </cell>
          <cell r="M8187">
            <v>45559</v>
          </cell>
          <cell r="N8187">
            <v>45567</v>
          </cell>
          <cell r="O8187">
            <v>45559</v>
          </cell>
          <cell r="P8187">
            <v>45567</v>
          </cell>
          <cell r="Q8187">
            <v>45565</v>
          </cell>
          <cell r="R8187">
            <v>45565</v>
          </cell>
          <cell r="S8187"/>
          <cell r="T8187"/>
          <cell r="U8187" t="str">
            <v>TMS 기구 Module 작업</v>
          </cell>
          <cell r="V8187"/>
          <cell r="W8187"/>
          <cell r="X8187">
            <v>41100363</v>
          </cell>
        </row>
        <row r="8188">
          <cell r="K8188"/>
          <cell r="L8188">
            <v>45559</v>
          </cell>
          <cell r="M8188">
            <v>45559</v>
          </cell>
          <cell r="N8188">
            <v>45567</v>
          </cell>
          <cell r="O8188">
            <v>45559</v>
          </cell>
          <cell r="P8188">
            <v>45567</v>
          </cell>
          <cell r="Q8188">
            <v>45565</v>
          </cell>
          <cell r="R8188">
            <v>45565</v>
          </cell>
          <cell r="S8188"/>
          <cell r="T8188"/>
          <cell r="U8188" t="str">
            <v>TMS 기구 Module 작업</v>
          </cell>
          <cell r="V8188"/>
          <cell r="W8188"/>
          <cell r="X8188">
            <v>41200037</v>
          </cell>
        </row>
        <row r="8189">
          <cell r="K8189"/>
          <cell r="L8189">
            <v>45560</v>
          </cell>
          <cell r="M8189">
            <v>45560</v>
          </cell>
          <cell r="N8189">
            <v>45567</v>
          </cell>
          <cell r="O8189">
            <v>45560</v>
          </cell>
          <cell r="P8189">
            <v>45567</v>
          </cell>
          <cell r="Q8189">
            <v>45565</v>
          </cell>
          <cell r="R8189">
            <v>45565</v>
          </cell>
          <cell r="S8189"/>
          <cell r="T8189"/>
          <cell r="U8189" t="str">
            <v>TMS 기구 Module 작업</v>
          </cell>
          <cell r="V8189"/>
          <cell r="W8189"/>
          <cell r="X8189">
            <v>41200007</v>
          </cell>
        </row>
        <row r="8190">
          <cell r="K8190"/>
          <cell r="L8190">
            <v>45560</v>
          </cell>
          <cell r="M8190">
            <v>45560</v>
          </cell>
          <cell r="N8190">
            <v>45567</v>
          </cell>
          <cell r="O8190">
            <v>45560</v>
          </cell>
          <cell r="P8190">
            <v>45567</v>
          </cell>
          <cell r="Q8190">
            <v>45572</v>
          </cell>
          <cell r="R8190">
            <v>45572</v>
          </cell>
          <cell r="S8190"/>
          <cell r="T8190"/>
          <cell r="U8190" t="str">
            <v>TMS 기구 Module 작업</v>
          </cell>
          <cell r="V8190"/>
          <cell r="W8190"/>
          <cell r="X8190">
            <v>41100564</v>
          </cell>
        </row>
        <row r="8191">
          <cell r="K8191"/>
          <cell r="L8191">
            <v>45561</v>
          </cell>
          <cell r="M8191">
            <v>45561</v>
          </cell>
          <cell r="N8191">
            <v>45567</v>
          </cell>
          <cell r="O8191">
            <v>45561</v>
          </cell>
          <cell r="P8191">
            <v>45567</v>
          </cell>
          <cell r="Q8191">
            <v>45567</v>
          </cell>
          <cell r="R8191">
            <v>45567</v>
          </cell>
          <cell r="S8191"/>
          <cell r="T8191"/>
          <cell r="U8191" t="str">
            <v>TMS 기구 Module 작업</v>
          </cell>
          <cell r="V8191"/>
          <cell r="W8191"/>
          <cell r="X8191">
            <v>41100320</v>
          </cell>
        </row>
        <row r="8192">
          <cell r="K8192"/>
          <cell r="L8192">
            <v>45561</v>
          </cell>
          <cell r="M8192">
            <v>45561</v>
          </cell>
          <cell r="N8192">
            <v>45567</v>
          </cell>
          <cell r="O8192">
            <v>45561</v>
          </cell>
          <cell r="P8192">
            <v>45567</v>
          </cell>
          <cell r="Q8192">
            <v>45567</v>
          </cell>
          <cell r="R8192">
            <v>45567</v>
          </cell>
          <cell r="S8192"/>
          <cell r="T8192"/>
          <cell r="U8192" t="str">
            <v>TMS 기구 Module 작업</v>
          </cell>
          <cell r="V8192"/>
          <cell r="W8192"/>
          <cell r="X8192">
            <v>41200033</v>
          </cell>
        </row>
        <row r="8193">
          <cell r="K8193"/>
          <cell r="L8193">
            <v>45561</v>
          </cell>
          <cell r="M8193">
            <v>45561</v>
          </cell>
          <cell r="N8193">
            <v>45567</v>
          </cell>
          <cell r="O8193">
            <v>45561</v>
          </cell>
          <cell r="P8193">
            <v>45567</v>
          </cell>
          <cell r="Q8193">
            <v>45567</v>
          </cell>
          <cell r="R8193">
            <v>45567</v>
          </cell>
          <cell r="S8193"/>
          <cell r="T8193"/>
          <cell r="U8193" t="str">
            <v>TMS 기구 Module 작업</v>
          </cell>
          <cell r="V8193"/>
          <cell r="W8193"/>
          <cell r="X8193">
            <v>41200036</v>
          </cell>
        </row>
        <row r="8194">
          <cell r="K8194"/>
          <cell r="L8194">
            <v>45561</v>
          </cell>
          <cell r="M8194">
            <v>45561</v>
          </cell>
          <cell r="N8194">
            <v>45567</v>
          </cell>
          <cell r="O8194">
            <v>45561</v>
          </cell>
          <cell r="P8194">
            <v>45567</v>
          </cell>
          <cell r="Q8194">
            <v>45567</v>
          </cell>
          <cell r="R8194">
            <v>45567</v>
          </cell>
          <cell r="S8194"/>
          <cell r="T8194"/>
          <cell r="U8194" t="str">
            <v>TMS 기구 Module 작업</v>
          </cell>
          <cell r="V8194"/>
          <cell r="W8194"/>
          <cell r="X8194">
            <v>41200036</v>
          </cell>
        </row>
        <row r="8195">
          <cell r="K8195"/>
          <cell r="L8195">
            <v>45561</v>
          </cell>
          <cell r="M8195">
            <v>45561</v>
          </cell>
          <cell r="N8195">
            <v>45567</v>
          </cell>
          <cell r="O8195">
            <v>45561</v>
          </cell>
          <cell r="P8195">
            <v>45567</v>
          </cell>
          <cell r="Q8195">
            <v>45567</v>
          </cell>
          <cell r="R8195">
            <v>45567</v>
          </cell>
          <cell r="S8195"/>
          <cell r="T8195"/>
          <cell r="U8195" t="str">
            <v>TMS 기구 Module 작업</v>
          </cell>
          <cell r="V8195"/>
          <cell r="W8195"/>
          <cell r="X8195">
            <v>41100318</v>
          </cell>
        </row>
        <row r="8196">
          <cell r="K8196"/>
          <cell r="L8196">
            <v>45561</v>
          </cell>
          <cell r="M8196">
            <v>45561</v>
          </cell>
          <cell r="N8196">
            <v>45567</v>
          </cell>
          <cell r="O8196">
            <v>45561</v>
          </cell>
          <cell r="P8196">
            <v>45567</v>
          </cell>
          <cell r="Q8196">
            <v>45569</v>
          </cell>
          <cell r="R8196">
            <v>45569</v>
          </cell>
          <cell r="S8196"/>
          <cell r="T8196"/>
          <cell r="U8196" t="str">
            <v>TMS 기구 Module 작업</v>
          </cell>
          <cell r="V8196"/>
          <cell r="W8196"/>
          <cell r="X8196">
            <v>41100564</v>
          </cell>
        </row>
        <row r="8197">
          <cell r="K8197"/>
          <cell r="L8197">
            <v>45561</v>
          </cell>
          <cell r="M8197">
            <v>45561</v>
          </cell>
          <cell r="N8197">
            <v>45572</v>
          </cell>
          <cell r="O8197">
            <v>45561</v>
          </cell>
          <cell r="P8197">
            <v>45572</v>
          </cell>
          <cell r="Q8197">
            <v>45572</v>
          </cell>
          <cell r="R8197">
            <v>45572</v>
          </cell>
          <cell r="S8197"/>
          <cell r="T8197"/>
          <cell r="U8197" t="str">
            <v>TMS 기구 Module 작업</v>
          </cell>
          <cell r="V8197"/>
          <cell r="W8197"/>
          <cell r="X8197">
            <v>41100564</v>
          </cell>
        </row>
        <row r="8198">
          <cell r="K8198"/>
          <cell r="L8198">
            <v>45562</v>
          </cell>
          <cell r="M8198">
            <v>45562</v>
          </cell>
          <cell r="N8198">
            <v>45572</v>
          </cell>
          <cell r="O8198">
            <v>45562</v>
          </cell>
          <cell r="P8198">
            <v>45572</v>
          </cell>
          <cell r="Q8198">
            <v>45572</v>
          </cell>
          <cell r="R8198">
            <v>45572</v>
          </cell>
          <cell r="S8198"/>
          <cell r="T8198"/>
          <cell r="U8198" t="str">
            <v>TMS 기구 Module 작업</v>
          </cell>
          <cell r="V8198"/>
          <cell r="W8198"/>
          <cell r="X8198">
            <v>41200062</v>
          </cell>
        </row>
        <row r="8199">
          <cell r="K8199"/>
          <cell r="L8199">
            <v>45565</v>
          </cell>
          <cell r="M8199">
            <v>45565</v>
          </cell>
          <cell r="N8199">
            <v>45572</v>
          </cell>
          <cell r="O8199">
            <v>45565</v>
          </cell>
          <cell r="P8199">
            <v>45572</v>
          </cell>
          <cell r="Q8199">
            <v>45572</v>
          </cell>
          <cell r="R8199">
            <v>45572</v>
          </cell>
          <cell r="S8199"/>
          <cell r="T8199"/>
          <cell r="U8199" t="str">
            <v>TMS 기구 Module 작업</v>
          </cell>
          <cell r="V8199"/>
          <cell r="W8199"/>
          <cell r="X8199">
            <v>41100227</v>
          </cell>
        </row>
        <row r="8200">
          <cell r="K8200"/>
          <cell r="L8200">
            <v>45565</v>
          </cell>
          <cell r="M8200">
            <v>45565</v>
          </cell>
          <cell r="N8200">
            <v>45572</v>
          </cell>
          <cell r="O8200">
            <v>45565</v>
          </cell>
          <cell r="P8200">
            <v>45572</v>
          </cell>
          <cell r="Q8200">
            <v>45572</v>
          </cell>
          <cell r="R8200">
            <v>45572</v>
          </cell>
          <cell r="S8200"/>
          <cell r="T8200"/>
          <cell r="U8200" t="str">
            <v>TMS 기구 Module 작업</v>
          </cell>
          <cell r="V8200"/>
          <cell r="W8200"/>
          <cell r="X8200">
            <v>41100662</v>
          </cell>
        </row>
        <row r="8201">
          <cell r="K8201"/>
          <cell r="L8201">
            <v>45565</v>
          </cell>
          <cell r="M8201">
            <v>45565</v>
          </cell>
          <cell r="N8201">
            <v>45572</v>
          </cell>
          <cell r="O8201">
            <v>45565</v>
          </cell>
          <cell r="P8201">
            <v>45572</v>
          </cell>
          <cell r="Q8201">
            <v>45572</v>
          </cell>
          <cell r="R8201">
            <v>45572</v>
          </cell>
          <cell r="S8201"/>
          <cell r="T8201"/>
          <cell r="U8201" t="str">
            <v>TMS 기구 Module 작업</v>
          </cell>
          <cell r="V8201"/>
          <cell r="W8201"/>
          <cell r="X8201">
            <v>41100662</v>
          </cell>
        </row>
        <row r="8202">
          <cell r="K8202"/>
          <cell r="L8202">
            <v>45567</v>
          </cell>
          <cell r="M8202">
            <v>45567</v>
          </cell>
          <cell r="N8202">
            <v>45573</v>
          </cell>
          <cell r="O8202">
            <v>45567</v>
          </cell>
          <cell r="P8202">
            <v>45573</v>
          </cell>
          <cell r="Q8202">
            <v>45579</v>
          </cell>
          <cell r="R8202">
            <v>45579</v>
          </cell>
          <cell r="S8202"/>
          <cell r="T8202"/>
          <cell r="U8202" t="str">
            <v>TMS 기구 Module 작업</v>
          </cell>
          <cell r="V8202"/>
          <cell r="W8202"/>
          <cell r="X8202">
            <v>41100550</v>
          </cell>
        </row>
        <row r="8203">
          <cell r="K8203"/>
          <cell r="L8203">
            <v>45567</v>
          </cell>
          <cell r="M8203">
            <v>45567</v>
          </cell>
          <cell r="N8203">
            <v>45573</v>
          </cell>
          <cell r="O8203">
            <v>45567</v>
          </cell>
          <cell r="P8203">
            <v>45573</v>
          </cell>
          <cell r="Q8203">
            <v>45573</v>
          </cell>
          <cell r="R8203">
            <v>45573</v>
          </cell>
          <cell r="S8203"/>
          <cell r="T8203"/>
          <cell r="U8203" t="str">
            <v>TMS 기구 Module 작업</v>
          </cell>
          <cell r="V8203"/>
          <cell r="W8203"/>
          <cell r="X8203">
            <v>41000598</v>
          </cell>
        </row>
        <row r="8204">
          <cell r="K8204"/>
          <cell r="L8204">
            <v>45572</v>
          </cell>
          <cell r="M8204">
            <v>45572</v>
          </cell>
          <cell r="N8204">
            <v>45573</v>
          </cell>
          <cell r="O8204">
            <v>45572</v>
          </cell>
          <cell r="P8204">
            <v>45573</v>
          </cell>
          <cell r="Q8204">
            <v>45579</v>
          </cell>
          <cell r="R8204">
            <v>45579</v>
          </cell>
          <cell r="S8204"/>
          <cell r="T8204"/>
          <cell r="U8204" t="str">
            <v>TMS 기구 Module 작업</v>
          </cell>
          <cell r="V8204"/>
          <cell r="W8204"/>
          <cell r="X8204">
            <v>41200006</v>
          </cell>
        </row>
        <row r="8205">
          <cell r="K8205"/>
          <cell r="L8205">
            <v>45567</v>
          </cell>
          <cell r="M8205">
            <v>45567</v>
          </cell>
          <cell r="N8205">
            <v>45572</v>
          </cell>
          <cell r="O8205">
            <v>45567</v>
          </cell>
          <cell r="P8205">
            <v>45572</v>
          </cell>
          <cell r="Q8205">
            <v>45573</v>
          </cell>
          <cell r="R8205">
            <v>45573</v>
          </cell>
          <cell r="S8205"/>
          <cell r="T8205"/>
          <cell r="U8205" t="str">
            <v>TMS 기구 Module 작업</v>
          </cell>
          <cell r="V8205"/>
          <cell r="W8205"/>
          <cell r="X8205">
            <v>41100350</v>
          </cell>
        </row>
        <row r="8206">
          <cell r="K8206"/>
          <cell r="L8206">
            <v>45575</v>
          </cell>
          <cell r="M8206">
            <v>45575</v>
          </cell>
          <cell r="N8206">
            <v>45575</v>
          </cell>
          <cell r="O8206">
            <v>45575</v>
          </cell>
          <cell r="P8206">
            <v>45575</v>
          </cell>
          <cell r="Q8206">
            <v>45580</v>
          </cell>
          <cell r="R8206">
            <v>45580</v>
          </cell>
          <cell r="S8206"/>
          <cell r="T8206"/>
          <cell r="U8206" t="str">
            <v>TMS 기구 Module 작업</v>
          </cell>
          <cell r="V8206"/>
          <cell r="W8206"/>
          <cell r="X8206">
            <v>41100443</v>
          </cell>
        </row>
        <row r="8207">
          <cell r="K8207"/>
          <cell r="L8207">
            <v>45575</v>
          </cell>
          <cell r="M8207">
            <v>45575</v>
          </cell>
          <cell r="N8207">
            <v>45576</v>
          </cell>
          <cell r="O8207">
            <v>45575</v>
          </cell>
          <cell r="P8207">
            <v>45576</v>
          </cell>
          <cell r="Q8207">
            <v>45581</v>
          </cell>
          <cell r="R8207">
            <v>45581</v>
          </cell>
          <cell r="S8207"/>
          <cell r="T8207"/>
          <cell r="U8207" t="str">
            <v>TMS 기구 Module 작업</v>
          </cell>
          <cell r="V8207"/>
          <cell r="W8207"/>
          <cell r="X8207">
            <v>41200006</v>
          </cell>
        </row>
        <row r="8208">
          <cell r="K8208"/>
          <cell r="L8208">
            <v>45575</v>
          </cell>
          <cell r="M8208">
            <v>45575</v>
          </cell>
          <cell r="N8208">
            <v>45576</v>
          </cell>
          <cell r="O8208">
            <v>45575</v>
          </cell>
          <cell r="P8208">
            <v>45576</v>
          </cell>
          <cell r="Q8208">
            <v>45581</v>
          </cell>
          <cell r="R8208">
            <v>45581</v>
          </cell>
          <cell r="S8208"/>
          <cell r="T8208"/>
          <cell r="U8208" t="str">
            <v>TMS 기구 Module 작업</v>
          </cell>
          <cell r="V8208"/>
          <cell r="W8208"/>
          <cell r="X8208">
            <v>41100320</v>
          </cell>
        </row>
        <row r="8209">
          <cell r="K8209"/>
          <cell r="L8209">
            <v>45576</v>
          </cell>
          <cell r="M8209">
            <v>45576</v>
          </cell>
          <cell r="N8209">
            <v>45576</v>
          </cell>
          <cell r="O8209">
            <v>45576</v>
          </cell>
          <cell r="P8209">
            <v>45576</v>
          </cell>
          <cell r="Q8209">
            <v>45582</v>
          </cell>
          <cell r="R8209">
            <v>45582</v>
          </cell>
          <cell r="S8209"/>
          <cell r="T8209"/>
          <cell r="U8209" t="str">
            <v>TMS 기구 Module 작업</v>
          </cell>
          <cell r="V8209"/>
          <cell r="W8209"/>
          <cell r="X8209">
            <v>41200038</v>
          </cell>
        </row>
        <row r="8210">
          <cell r="K8210"/>
          <cell r="L8210">
            <v>45575</v>
          </cell>
          <cell r="M8210">
            <v>45575</v>
          </cell>
          <cell r="N8210">
            <v>45580</v>
          </cell>
          <cell r="O8210">
            <v>45575</v>
          </cell>
          <cell r="P8210">
            <v>45580</v>
          </cell>
          <cell r="Q8210">
            <v>45581</v>
          </cell>
          <cell r="R8210">
            <v>45581</v>
          </cell>
          <cell r="S8210"/>
          <cell r="T8210"/>
          <cell r="U8210" t="str">
            <v>TMS 기구 Module 작업</v>
          </cell>
          <cell r="V8210"/>
          <cell r="W8210"/>
          <cell r="X8210">
            <v>41200007</v>
          </cell>
        </row>
        <row r="8211">
          <cell r="K8211"/>
          <cell r="L8211">
            <v>45575</v>
          </cell>
          <cell r="M8211">
            <v>45575</v>
          </cell>
          <cell r="N8211">
            <v>45580</v>
          </cell>
          <cell r="O8211">
            <v>45575</v>
          </cell>
          <cell r="P8211">
            <v>45580</v>
          </cell>
          <cell r="Q8211">
            <v>45581</v>
          </cell>
          <cell r="R8211">
            <v>45581</v>
          </cell>
          <cell r="S8211"/>
          <cell r="T8211"/>
          <cell r="U8211" t="str">
            <v>TMS 기구 Module 작업</v>
          </cell>
          <cell r="V8211"/>
          <cell r="W8211"/>
          <cell r="X8211">
            <v>41200005</v>
          </cell>
        </row>
        <row r="8212">
          <cell r="K8212"/>
          <cell r="L8212">
            <v>45575</v>
          </cell>
          <cell r="M8212">
            <v>45575</v>
          </cell>
          <cell r="N8212">
            <v>45580</v>
          </cell>
          <cell r="O8212">
            <v>45575</v>
          </cell>
          <cell r="P8212">
            <v>45580</v>
          </cell>
          <cell r="Q8212">
            <v>45581</v>
          </cell>
          <cell r="R8212">
            <v>45581</v>
          </cell>
          <cell r="S8212"/>
          <cell r="T8212"/>
          <cell r="U8212" t="str">
            <v>TMS 기구 Module 작업</v>
          </cell>
          <cell r="V8212"/>
          <cell r="W8212"/>
          <cell r="X8212">
            <v>41200007</v>
          </cell>
        </row>
        <row r="8213">
          <cell r="K8213"/>
          <cell r="L8213">
            <v>45579</v>
          </cell>
          <cell r="M8213">
            <v>45579</v>
          </cell>
          <cell r="N8213">
            <v>45582</v>
          </cell>
          <cell r="O8213">
            <v>45579</v>
          </cell>
          <cell r="P8213">
            <v>45582</v>
          </cell>
          <cell r="Q8213">
            <v>45583</v>
          </cell>
          <cell r="R8213">
            <v>45583</v>
          </cell>
          <cell r="S8213"/>
          <cell r="T8213"/>
          <cell r="U8213" t="str">
            <v>TMS 기구 Module 작업</v>
          </cell>
          <cell r="V8213"/>
          <cell r="W8213"/>
          <cell r="X8213">
            <v>41100363</v>
          </cell>
        </row>
        <row r="8214">
          <cell r="K8214"/>
          <cell r="L8214">
            <v>45579</v>
          </cell>
          <cell r="M8214">
            <v>45579</v>
          </cell>
          <cell r="N8214">
            <v>45582</v>
          </cell>
          <cell r="O8214">
            <v>45579</v>
          </cell>
          <cell r="P8214">
            <v>45582</v>
          </cell>
          <cell r="Q8214">
            <v>45582</v>
          </cell>
          <cell r="R8214">
            <v>45582</v>
          </cell>
          <cell r="S8214"/>
          <cell r="T8214"/>
          <cell r="U8214" t="str">
            <v>TMS 기구 Module 작업</v>
          </cell>
          <cell r="V8214"/>
          <cell r="W8214"/>
          <cell r="X8214">
            <v>41100363</v>
          </cell>
        </row>
        <row r="8215">
          <cell r="K8215"/>
          <cell r="L8215">
            <v>45579</v>
          </cell>
          <cell r="M8215">
            <v>45579</v>
          </cell>
          <cell r="N8215">
            <v>45582</v>
          </cell>
          <cell r="O8215">
            <v>45579</v>
          </cell>
          <cell r="P8215">
            <v>45582</v>
          </cell>
          <cell r="Q8215">
            <v>45583</v>
          </cell>
          <cell r="R8215">
            <v>45583</v>
          </cell>
          <cell r="S8215"/>
          <cell r="T8215"/>
          <cell r="U8215" t="str">
            <v>TMS 기구 Module 작업</v>
          </cell>
          <cell r="V8215"/>
          <cell r="W8215"/>
          <cell r="X8215">
            <v>41200036</v>
          </cell>
        </row>
        <row r="8216">
          <cell r="K8216"/>
          <cell r="L8216">
            <v>45579</v>
          </cell>
          <cell r="M8216">
            <v>45579</v>
          </cell>
          <cell r="N8216">
            <v>45582</v>
          </cell>
          <cell r="O8216">
            <v>45579</v>
          </cell>
          <cell r="P8216">
            <v>45582</v>
          </cell>
          <cell r="Q8216">
            <v>45583</v>
          </cell>
          <cell r="R8216">
            <v>45583</v>
          </cell>
          <cell r="S8216"/>
          <cell r="T8216"/>
          <cell r="U8216" t="str">
            <v>TMS 기구 Module 작업</v>
          </cell>
          <cell r="V8216"/>
          <cell r="W8216"/>
          <cell r="X8216">
            <v>41200039</v>
          </cell>
        </row>
        <row r="8217">
          <cell r="K8217"/>
          <cell r="L8217">
            <v>45580</v>
          </cell>
          <cell r="M8217">
            <v>45580</v>
          </cell>
          <cell r="N8217">
            <v>45582</v>
          </cell>
          <cell r="O8217">
            <v>45580</v>
          </cell>
          <cell r="P8217">
            <v>45582</v>
          </cell>
          <cell r="Q8217">
            <v>45586</v>
          </cell>
          <cell r="R8217">
            <v>45586</v>
          </cell>
          <cell r="S8217"/>
          <cell r="T8217"/>
          <cell r="U8217" t="str">
            <v>TMS 기구 Module 작업</v>
          </cell>
          <cell r="V8217"/>
          <cell r="W8217"/>
          <cell r="X8217">
            <v>41100320</v>
          </cell>
        </row>
        <row r="8218">
          <cell r="K8218"/>
          <cell r="L8218">
            <v>45580</v>
          </cell>
          <cell r="M8218">
            <v>45580</v>
          </cell>
          <cell r="N8218">
            <v>45582</v>
          </cell>
          <cell r="O8218">
            <v>45580</v>
          </cell>
          <cell r="P8218">
            <v>45582</v>
          </cell>
          <cell r="Q8218">
            <v>45586</v>
          </cell>
          <cell r="R8218">
            <v>45586</v>
          </cell>
          <cell r="S8218"/>
          <cell r="T8218"/>
          <cell r="U8218" t="str">
            <v>TMS 기구 Module 작업</v>
          </cell>
          <cell r="V8218"/>
          <cell r="W8218"/>
          <cell r="X8218">
            <v>41100320</v>
          </cell>
        </row>
        <row r="8219">
          <cell r="K8219"/>
          <cell r="L8219">
            <v>45580</v>
          </cell>
          <cell r="M8219">
            <v>45580</v>
          </cell>
          <cell r="N8219">
            <v>45582</v>
          </cell>
          <cell r="O8219">
            <v>45580</v>
          </cell>
          <cell r="P8219">
            <v>45582</v>
          </cell>
          <cell r="Q8219">
            <v>45586</v>
          </cell>
          <cell r="R8219">
            <v>45586</v>
          </cell>
          <cell r="S8219"/>
          <cell r="T8219"/>
          <cell r="U8219" t="str">
            <v>TMS 기구 Module 작업</v>
          </cell>
          <cell r="V8219"/>
          <cell r="W8219"/>
          <cell r="X8219">
            <v>41100334</v>
          </cell>
        </row>
        <row r="8220">
          <cell r="K8220"/>
          <cell r="L8220">
            <v>45580</v>
          </cell>
          <cell r="M8220">
            <v>45580</v>
          </cell>
          <cell r="N8220">
            <v>45582</v>
          </cell>
          <cell r="O8220">
            <v>45580</v>
          </cell>
          <cell r="P8220">
            <v>45582</v>
          </cell>
          <cell r="Q8220">
            <v>45586</v>
          </cell>
          <cell r="R8220">
            <v>45586</v>
          </cell>
          <cell r="S8220"/>
          <cell r="T8220"/>
          <cell r="U8220" t="str">
            <v>TMS 기구 Module 작업</v>
          </cell>
          <cell r="V8220"/>
          <cell r="W8220"/>
          <cell r="X8220">
            <v>41100564</v>
          </cell>
        </row>
        <row r="8221">
          <cell r="K8221"/>
          <cell r="L8221">
            <v>45580</v>
          </cell>
          <cell r="M8221">
            <v>45580</v>
          </cell>
          <cell r="N8221">
            <v>45582</v>
          </cell>
          <cell r="O8221">
            <v>45580</v>
          </cell>
          <cell r="P8221">
            <v>45582</v>
          </cell>
          <cell r="Q8221">
            <v>45588</v>
          </cell>
          <cell r="R8221">
            <v>45588</v>
          </cell>
          <cell r="S8221"/>
          <cell r="T8221"/>
          <cell r="U8221" t="str">
            <v>TMS 기구 Module 작업</v>
          </cell>
          <cell r="V8221"/>
          <cell r="W8221"/>
          <cell r="X8221">
            <v>41100564</v>
          </cell>
        </row>
        <row r="8222">
          <cell r="K8222"/>
          <cell r="L8222">
            <v>45580</v>
          </cell>
          <cell r="M8222">
            <v>45580</v>
          </cell>
          <cell r="N8222">
            <v>45582</v>
          </cell>
          <cell r="O8222">
            <v>45580</v>
          </cell>
          <cell r="P8222">
            <v>45582</v>
          </cell>
          <cell r="Q8222">
            <v>45588</v>
          </cell>
          <cell r="R8222">
            <v>45588</v>
          </cell>
          <cell r="S8222"/>
          <cell r="T8222"/>
          <cell r="U8222" t="str">
            <v>TMS 기구 Module 작업</v>
          </cell>
          <cell r="V8222"/>
          <cell r="W8222"/>
          <cell r="X8222">
            <v>41100662</v>
          </cell>
        </row>
        <row r="8223">
          <cell r="K8223"/>
          <cell r="L8223">
            <v>45575</v>
          </cell>
          <cell r="M8223">
            <v>45575</v>
          </cell>
          <cell r="N8223">
            <v>45586</v>
          </cell>
          <cell r="O8223">
            <v>45575</v>
          </cell>
          <cell r="P8223">
            <v>45586</v>
          </cell>
          <cell r="Q8223" t="str">
            <v>2024-10-15 → 10/22</v>
          </cell>
          <cell r="R8223" t="str">
            <v>2024-10-15 → 10/22</v>
          </cell>
          <cell r="S8223"/>
          <cell r="T8223"/>
          <cell r="U8223" t="str">
            <v>TMS 기구 Module 작업</v>
          </cell>
          <cell r="V8223"/>
          <cell r="W8223"/>
          <cell r="X8223">
            <v>41200046</v>
          </cell>
        </row>
        <row r="8224">
          <cell r="K8224"/>
          <cell r="L8224">
            <v>45575</v>
          </cell>
          <cell r="M8224">
            <v>45575</v>
          </cell>
          <cell r="N8224">
            <v>45586</v>
          </cell>
          <cell r="O8224">
            <v>45575</v>
          </cell>
          <cell r="P8224">
            <v>45586</v>
          </cell>
          <cell r="Q8224" t="str">
            <v>2024-10-15 → 10/22</v>
          </cell>
          <cell r="R8224" t="str">
            <v>2024-10-15 → 10/22</v>
          </cell>
          <cell r="S8224"/>
          <cell r="T8224"/>
          <cell r="U8224" t="str">
            <v>TMS 기구 Module 작업</v>
          </cell>
          <cell r="V8224"/>
          <cell r="W8224"/>
          <cell r="X8224">
            <v>41200046</v>
          </cell>
        </row>
        <row r="8225">
          <cell r="K8225"/>
          <cell r="L8225">
            <v>45575</v>
          </cell>
          <cell r="M8225">
            <v>45575</v>
          </cell>
          <cell r="N8225">
            <v>45586</v>
          </cell>
          <cell r="O8225">
            <v>45575</v>
          </cell>
          <cell r="P8225">
            <v>45586</v>
          </cell>
          <cell r="Q8225" t="str">
            <v>2024-10-15 → 10/22</v>
          </cell>
          <cell r="R8225" t="str">
            <v>2024-10-15 → 10/22</v>
          </cell>
          <cell r="S8225"/>
          <cell r="T8225"/>
          <cell r="U8225" t="str">
            <v>TMS 기구 Module 작업</v>
          </cell>
          <cell r="V8225"/>
          <cell r="W8225"/>
          <cell r="X8225">
            <v>41200048</v>
          </cell>
        </row>
        <row r="8226">
          <cell r="K8226"/>
          <cell r="L8226">
            <v>45575</v>
          </cell>
          <cell r="M8226">
            <v>45575</v>
          </cell>
          <cell r="N8226">
            <v>45586</v>
          </cell>
          <cell r="O8226">
            <v>45575</v>
          </cell>
          <cell r="P8226">
            <v>45586</v>
          </cell>
          <cell r="Q8226" t="str">
            <v>2024-10-16 → 10/22</v>
          </cell>
          <cell r="R8226" t="str">
            <v>2024-10-16 → 10/22</v>
          </cell>
          <cell r="S8226"/>
          <cell r="T8226"/>
          <cell r="U8226" t="str">
            <v>TMS 기구 Module 작업</v>
          </cell>
          <cell r="V8226"/>
          <cell r="W8226"/>
          <cell r="X8226">
            <v>41200047</v>
          </cell>
        </row>
        <row r="8227">
          <cell r="K8227"/>
          <cell r="L8227">
            <v>45575</v>
          </cell>
          <cell r="M8227">
            <v>45575</v>
          </cell>
          <cell r="N8227">
            <v>45586</v>
          </cell>
          <cell r="O8227">
            <v>45575</v>
          </cell>
          <cell r="P8227">
            <v>45586</v>
          </cell>
          <cell r="Q8227" t="str">
            <v>2024-10-17 → 10/24</v>
          </cell>
          <cell r="R8227" t="str">
            <v>2024-10-17 → 10/24</v>
          </cell>
          <cell r="S8227"/>
          <cell r="T8227"/>
          <cell r="U8227" t="str">
            <v>TMS 기구 Module 작업</v>
          </cell>
          <cell r="V8227"/>
          <cell r="W8227"/>
          <cell r="X8227">
            <v>41200046</v>
          </cell>
        </row>
        <row r="8228">
          <cell r="K8228"/>
          <cell r="L8228">
            <v>45581</v>
          </cell>
          <cell r="M8228">
            <v>45581</v>
          </cell>
          <cell r="N8228">
            <v>45586</v>
          </cell>
          <cell r="O8228">
            <v>45581</v>
          </cell>
          <cell r="P8228">
            <v>45586</v>
          </cell>
          <cell r="Q8228">
            <v>45586</v>
          </cell>
          <cell r="R8228">
            <v>45586</v>
          </cell>
          <cell r="S8228"/>
          <cell r="T8228"/>
          <cell r="U8228" t="str">
            <v>TMS 기구 Module 작업</v>
          </cell>
          <cell r="V8228"/>
          <cell r="W8228"/>
          <cell r="X8228">
            <v>41100363</v>
          </cell>
        </row>
        <row r="8229">
          <cell r="K8229"/>
          <cell r="L8229">
            <v>45581</v>
          </cell>
          <cell r="M8229">
            <v>45581</v>
          </cell>
          <cell r="N8229">
            <v>45586</v>
          </cell>
          <cell r="O8229">
            <v>45581</v>
          </cell>
          <cell r="P8229">
            <v>45586</v>
          </cell>
          <cell r="Q8229">
            <v>45587</v>
          </cell>
          <cell r="R8229">
            <v>45587</v>
          </cell>
          <cell r="S8229"/>
          <cell r="T8229"/>
          <cell r="U8229" t="str">
            <v>TMS 기구 Module 작업</v>
          </cell>
          <cell r="V8229"/>
          <cell r="W8229"/>
          <cell r="X8229">
            <v>41200065</v>
          </cell>
        </row>
        <row r="8230">
          <cell r="K8230"/>
          <cell r="L8230">
            <v>45581</v>
          </cell>
          <cell r="M8230">
            <v>45581</v>
          </cell>
          <cell r="N8230">
            <v>45586</v>
          </cell>
          <cell r="O8230">
            <v>45581</v>
          </cell>
          <cell r="P8230">
            <v>45586</v>
          </cell>
          <cell r="Q8230">
            <v>45587</v>
          </cell>
          <cell r="R8230">
            <v>45587</v>
          </cell>
          <cell r="S8230"/>
          <cell r="T8230"/>
          <cell r="U8230" t="str">
            <v>TMS 기구 Module 작업</v>
          </cell>
          <cell r="V8230"/>
          <cell r="W8230"/>
          <cell r="X8230">
            <v>41200047</v>
          </cell>
        </row>
        <row r="8231">
          <cell r="K8231"/>
          <cell r="L8231">
            <v>45581</v>
          </cell>
          <cell r="M8231">
            <v>45581</v>
          </cell>
          <cell r="N8231">
            <v>45586</v>
          </cell>
          <cell r="O8231">
            <v>45581</v>
          </cell>
          <cell r="P8231">
            <v>45586</v>
          </cell>
          <cell r="Q8231">
            <v>45587</v>
          </cell>
          <cell r="R8231">
            <v>45587</v>
          </cell>
          <cell r="S8231"/>
          <cell r="T8231"/>
          <cell r="U8231" t="str">
            <v>TMS 기구 Module 작업</v>
          </cell>
          <cell r="V8231"/>
          <cell r="W8231"/>
          <cell r="X8231">
            <v>41100363</v>
          </cell>
        </row>
        <row r="8232">
          <cell r="K8232"/>
          <cell r="L8232">
            <v>45581</v>
          </cell>
          <cell r="M8232">
            <v>45581</v>
          </cell>
          <cell r="N8232">
            <v>45586</v>
          </cell>
          <cell r="O8232">
            <v>45581</v>
          </cell>
          <cell r="P8232">
            <v>45586</v>
          </cell>
          <cell r="Q8232">
            <v>45587</v>
          </cell>
          <cell r="R8232">
            <v>45587</v>
          </cell>
          <cell r="S8232"/>
          <cell r="T8232"/>
          <cell r="U8232" t="str">
            <v>TMS 기구 Module 작업</v>
          </cell>
          <cell r="V8232"/>
          <cell r="W8232"/>
          <cell r="X8232">
            <v>41100319</v>
          </cell>
        </row>
        <row r="8233">
          <cell r="K8233"/>
          <cell r="L8233">
            <v>45582</v>
          </cell>
          <cell r="M8233">
            <v>45582</v>
          </cell>
          <cell r="N8233">
            <v>45586</v>
          </cell>
          <cell r="O8233">
            <v>45582</v>
          </cell>
          <cell r="P8233">
            <v>45586</v>
          </cell>
          <cell r="Q8233">
            <v>45588</v>
          </cell>
          <cell r="R8233">
            <v>45588</v>
          </cell>
          <cell r="S8233"/>
          <cell r="T8233"/>
          <cell r="U8233" t="str">
            <v>TMS 기구 Module 작업</v>
          </cell>
          <cell r="V8233"/>
          <cell r="W8233"/>
          <cell r="X8233">
            <v>41000556</v>
          </cell>
        </row>
        <row r="8234">
          <cell r="K8234"/>
          <cell r="L8234">
            <v>45583</v>
          </cell>
          <cell r="M8234">
            <v>45583</v>
          </cell>
          <cell r="N8234">
            <v>45586</v>
          </cell>
          <cell r="O8234">
            <v>45583</v>
          </cell>
          <cell r="P8234">
            <v>45586</v>
          </cell>
          <cell r="Q8234">
            <v>45589</v>
          </cell>
          <cell r="R8234">
            <v>45589</v>
          </cell>
          <cell r="S8234"/>
          <cell r="T8234"/>
          <cell r="U8234" t="str">
            <v>TMS 기구 Module 작업</v>
          </cell>
          <cell r="V8234"/>
          <cell r="W8234"/>
          <cell r="X8234">
            <v>41100363</v>
          </cell>
        </row>
        <row r="8235">
          <cell r="K8235"/>
          <cell r="L8235">
            <v>45583</v>
          </cell>
          <cell r="M8235">
            <v>45583</v>
          </cell>
          <cell r="N8235">
            <v>45586</v>
          </cell>
          <cell r="O8235">
            <v>45583</v>
          </cell>
          <cell r="P8235">
            <v>45586</v>
          </cell>
          <cell r="Q8235">
            <v>45589</v>
          </cell>
          <cell r="R8235">
            <v>45589</v>
          </cell>
          <cell r="S8235"/>
          <cell r="T8235"/>
          <cell r="U8235" t="str">
            <v>TMS 기구 Module 작업</v>
          </cell>
          <cell r="V8235"/>
          <cell r="W8235"/>
          <cell r="X8235">
            <v>41100363</v>
          </cell>
        </row>
        <row r="8236">
          <cell r="K8236"/>
          <cell r="L8236">
            <v>45583</v>
          </cell>
          <cell r="M8236">
            <v>45583</v>
          </cell>
          <cell r="N8236">
            <v>45586</v>
          </cell>
          <cell r="O8236">
            <v>45583</v>
          </cell>
          <cell r="P8236">
            <v>45586</v>
          </cell>
          <cell r="Q8236">
            <v>45589</v>
          </cell>
          <cell r="R8236">
            <v>45589</v>
          </cell>
          <cell r="S8236"/>
          <cell r="T8236"/>
          <cell r="U8236" t="str">
            <v>TMS 기구 Module 작업</v>
          </cell>
          <cell r="V8236"/>
          <cell r="W8236"/>
          <cell r="X8236">
            <v>41200033</v>
          </cell>
        </row>
        <row r="8237">
          <cell r="K8237"/>
          <cell r="L8237">
            <v>45586</v>
          </cell>
          <cell r="M8237">
            <v>45586</v>
          </cell>
          <cell r="N8237">
            <v>45593</v>
          </cell>
          <cell r="O8237">
            <v>45586</v>
          </cell>
          <cell r="P8237">
            <v>45593</v>
          </cell>
          <cell r="Q8237">
            <v>45590</v>
          </cell>
          <cell r="R8237">
            <v>45590</v>
          </cell>
          <cell r="S8237"/>
          <cell r="T8237"/>
          <cell r="U8237" t="str">
            <v>TMS 기구 Module 작업</v>
          </cell>
          <cell r="V8237"/>
          <cell r="W8237"/>
          <cell r="X8237">
            <v>41200047</v>
          </cell>
        </row>
        <row r="8238">
          <cell r="K8238"/>
          <cell r="L8238">
            <v>45586</v>
          </cell>
          <cell r="M8238">
            <v>45586</v>
          </cell>
          <cell r="N8238">
            <v>45593</v>
          </cell>
          <cell r="O8238">
            <v>45586</v>
          </cell>
          <cell r="P8238">
            <v>45593</v>
          </cell>
          <cell r="Q8238">
            <v>45590</v>
          </cell>
          <cell r="R8238">
            <v>45590</v>
          </cell>
          <cell r="S8238"/>
          <cell r="T8238"/>
          <cell r="U8238" t="str">
            <v>TMS 기구 Module 작업</v>
          </cell>
          <cell r="V8238"/>
          <cell r="W8238"/>
          <cell r="X8238">
            <v>41200048</v>
          </cell>
        </row>
        <row r="8239">
          <cell r="K8239"/>
          <cell r="L8239">
            <v>45586</v>
          </cell>
          <cell r="M8239">
            <v>45586</v>
          </cell>
          <cell r="N8239">
            <v>45593</v>
          </cell>
          <cell r="O8239">
            <v>45586</v>
          </cell>
          <cell r="P8239">
            <v>45593</v>
          </cell>
          <cell r="Q8239">
            <v>45590</v>
          </cell>
          <cell r="R8239">
            <v>45590</v>
          </cell>
          <cell r="S8239"/>
          <cell r="T8239"/>
          <cell r="U8239" t="str">
            <v>TMS 기구 Module 작업</v>
          </cell>
          <cell r="V8239"/>
          <cell r="W8239"/>
          <cell r="X8239">
            <v>41200006</v>
          </cell>
        </row>
        <row r="8240">
          <cell r="K8240"/>
          <cell r="L8240">
            <v>45587</v>
          </cell>
          <cell r="M8240">
            <v>45587</v>
          </cell>
          <cell r="N8240">
            <v>45593</v>
          </cell>
          <cell r="O8240">
            <v>45587</v>
          </cell>
          <cell r="P8240">
            <v>45593</v>
          </cell>
          <cell r="Q8240">
            <v>45593</v>
          </cell>
          <cell r="R8240">
            <v>45593</v>
          </cell>
          <cell r="S8240"/>
          <cell r="T8240"/>
          <cell r="U8240" t="str">
            <v>TMS 기구 Module 작업</v>
          </cell>
          <cell r="V8240"/>
          <cell r="W8240"/>
          <cell r="X8240">
            <v>41200076</v>
          </cell>
        </row>
        <row r="8241">
          <cell r="K8241"/>
          <cell r="L8241">
            <v>45587</v>
          </cell>
          <cell r="M8241">
            <v>45587</v>
          </cell>
          <cell r="N8241">
            <v>45593</v>
          </cell>
          <cell r="O8241">
            <v>45587</v>
          </cell>
          <cell r="P8241">
            <v>45593</v>
          </cell>
          <cell r="Q8241">
            <v>45593</v>
          </cell>
          <cell r="R8241">
            <v>45593</v>
          </cell>
          <cell r="S8241"/>
          <cell r="T8241"/>
          <cell r="U8241" t="str">
            <v>TMS 기구 Module 작업</v>
          </cell>
          <cell r="V8241"/>
          <cell r="W8241"/>
          <cell r="X8241">
            <v>41100350</v>
          </cell>
        </row>
        <row r="8242">
          <cell r="K8242"/>
          <cell r="L8242">
            <v>45588</v>
          </cell>
          <cell r="M8242">
            <v>45588</v>
          </cell>
          <cell r="N8242">
            <v>45593</v>
          </cell>
          <cell r="O8242">
            <v>45588</v>
          </cell>
          <cell r="P8242">
            <v>45593</v>
          </cell>
          <cell r="Q8242">
            <v>45594</v>
          </cell>
          <cell r="R8242">
            <v>45594</v>
          </cell>
          <cell r="S8242"/>
          <cell r="T8242"/>
          <cell r="U8242" t="str">
            <v>TMS 기구 Module 작업</v>
          </cell>
          <cell r="V8242"/>
          <cell r="W8242"/>
          <cell r="X8242">
            <v>41000544</v>
          </cell>
        </row>
        <row r="8243">
          <cell r="K8243"/>
          <cell r="L8243">
            <v>45589</v>
          </cell>
          <cell r="M8243">
            <v>45589</v>
          </cell>
          <cell r="N8243">
            <v>45593</v>
          </cell>
          <cell r="O8243">
            <v>45589</v>
          </cell>
          <cell r="P8243">
            <v>45593</v>
          </cell>
          <cell r="Q8243">
            <v>45595</v>
          </cell>
          <cell r="R8243">
            <v>45595</v>
          </cell>
          <cell r="S8243"/>
          <cell r="T8243"/>
          <cell r="U8243" t="str">
            <v>TMS 기구 Module 작업</v>
          </cell>
          <cell r="V8243"/>
          <cell r="W8243"/>
          <cell r="X8243">
            <v>41100320</v>
          </cell>
        </row>
        <row r="8244">
          <cell r="K8244"/>
          <cell r="L8244">
            <v>45590</v>
          </cell>
          <cell r="M8244">
            <v>45590</v>
          </cell>
          <cell r="N8244">
            <v>45593</v>
          </cell>
          <cell r="O8244">
            <v>45590</v>
          </cell>
          <cell r="P8244">
            <v>45593</v>
          </cell>
          <cell r="Q8244">
            <v>45596</v>
          </cell>
          <cell r="R8244">
            <v>45596</v>
          </cell>
          <cell r="S8244"/>
          <cell r="T8244"/>
          <cell r="U8244" t="str">
            <v>TMS 기구 Module 작업</v>
          </cell>
          <cell r="V8244"/>
          <cell r="W8244"/>
          <cell r="X8244">
            <v>41100334</v>
          </cell>
        </row>
        <row r="8245">
          <cell r="K8245"/>
          <cell r="L8245">
            <v>45590</v>
          </cell>
          <cell r="M8245">
            <v>45590</v>
          </cell>
          <cell r="N8245">
            <v>45593</v>
          </cell>
          <cell r="O8245">
            <v>45590</v>
          </cell>
          <cell r="P8245">
            <v>45593</v>
          </cell>
          <cell r="Q8245">
            <v>45596</v>
          </cell>
          <cell r="R8245">
            <v>45596</v>
          </cell>
          <cell r="S8245"/>
          <cell r="T8245"/>
          <cell r="U8245" t="str">
            <v>TMS 기구 Module 작업</v>
          </cell>
          <cell r="V8245"/>
          <cell r="W8245"/>
          <cell r="X8245">
            <v>41100350</v>
          </cell>
        </row>
        <row r="8246">
          <cell r="K8246"/>
          <cell r="L8246">
            <v>45593</v>
          </cell>
          <cell r="M8246">
            <v>45593</v>
          </cell>
          <cell r="N8246">
            <v>45600</v>
          </cell>
          <cell r="O8246">
            <v>45593</v>
          </cell>
          <cell r="P8246">
            <v>45600</v>
          </cell>
          <cell r="Q8246">
            <v>45597</v>
          </cell>
          <cell r="R8246">
            <v>45597</v>
          </cell>
          <cell r="S8246"/>
          <cell r="T8246"/>
          <cell r="U8246" t="str">
            <v>TMS 기구 Module 작업</v>
          </cell>
          <cell r="V8246"/>
          <cell r="W8246"/>
          <cell r="X8246">
            <v>41200033</v>
          </cell>
        </row>
        <row r="8247">
          <cell r="K8247"/>
          <cell r="L8247">
            <v>45593</v>
          </cell>
          <cell r="M8247">
            <v>45593</v>
          </cell>
          <cell r="N8247">
            <v>45600</v>
          </cell>
          <cell r="O8247">
            <v>45593</v>
          </cell>
          <cell r="P8247">
            <v>45600</v>
          </cell>
          <cell r="Q8247">
            <v>45597</v>
          </cell>
          <cell r="R8247">
            <v>45597</v>
          </cell>
          <cell r="S8247"/>
          <cell r="T8247"/>
          <cell r="U8247" t="str">
            <v>TMS 기구 Module 작업</v>
          </cell>
          <cell r="V8247"/>
          <cell r="W8247"/>
          <cell r="X8247">
            <v>41200034</v>
          </cell>
        </row>
        <row r="8248">
          <cell r="K8248"/>
          <cell r="L8248">
            <v>45593</v>
          </cell>
          <cell r="M8248">
            <v>45593</v>
          </cell>
          <cell r="N8248">
            <v>45600</v>
          </cell>
          <cell r="O8248">
            <v>45593</v>
          </cell>
          <cell r="P8248">
            <v>45600</v>
          </cell>
          <cell r="Q8248">
            <v>45597</v>
          </cell>
          <cell r="R8248">
            <v>45597</v>
          </cell>
          <cell r="S8248"/>
          <cell r="T8248"/>
          <cell r="U8248" t="str">
            <v>TMS 기구 Module 작업</v>
          </cell>
          <cell r="V8248"/>
          <cell r="W8248"/>
          <cell r="X8248">
            <v>41200036</v>
          </cell>
        </row>
        <row r="8249">
          <cell r="K8249"/>
          <cell r="L8249">
            <v>45593</v>
          </cell>
          <cell r="M8249">
            <v>45593</v>
          </cell>
          <cell r="N8249">
            <v>45600</v>
          </cell>
          <cell r="O8249">
            <v>45593</v>
          </cell>
          <cell r="P8249">
            <v>45600</v>
          </cell>
          <cell r="Q8249">
            <v>45597</v>
          </cell>
          <cell r="R8249">
            <v>45597</v>
          </cell>
          <cell r="S8249"/>
          <cell r="T8249"/>
          <cell r="U8249" t="str">
            <v>TMS 기구 Module 작업</v>
          </cell>
          <cell r="V8249"/>
          <cell r="W8249"/>
          <cell r="X8249">
            <v>41100227</v>
          </cell>
        </row>
        <row r="8250">
          <cell r="K8250"/>
          <cell r="L8250">
            <v>45594</v>
          </cell>
          <cell r="M8250">
            <v>45594</v>
          </cell>
          <cell r="N8250">
            <v>45600</v>
          </cell>
          <cell r="O8250">
            <v>45594</v>
          </cell>
          <cell r="P8250">
            <v>45600</v>
          </cell>
          <cell r="Q8250">
            <v>45600</v>
          </cell>
          <cell r="R8250">
            <v>45600</v>
          </cell>
          <cell r="S8250"/>
          <cell r="T8250"/>
          <cell r="U8250" t="str">
            <v>TMS 기구 Module 작업</v>
          </cell>
          <cell r="V8250"/>
          <cell r="W8250"/>
          <cell r="X8250">
            <v>41200005</v>
          </cell>
        </row>
        <row r="8251">
          <cell r="K8251"/>
          <cell r="L8251">
            <v>45595</v>
          </cell>
          <cell r="M8251">
            <v>45595</v>
          </cell>
          <cell r="N8251">
            <v>45600</v>
          </cell>
          <cell r="O8251">
            <v>45595</v>
          </cell>
          <cell r="P8251">
            <v>45600</v>
          </cell>
          <cell r="Q8251">
            <v>45597</v>
          </cell>
          <cell r="R8251">
            <v>45597</v>
          </cell>
          <cell r="S8251"/>
          <cell r="T8251"/>
          <cell r="U8251" t="str">
            <v>TMS 기구 Module 작업</v>
          </cell>
          <cell r="V8251"/>
          <cell r="W8251"/>
          <cell r="X8251">
            <v>41200077</v>
          </cell>
        </row>
        <row r="8252">
          <cell r="K8252"/>
          <cell r="L8252">
            <v>45595</v>
          </cell>
          <cell r="M8252">
            <v>45595</v>
          </cell>
          <cell r="N8252">
            <v>45600</v>
          </cell>
          <cell r="O8252">
            <v>45595</v>
          </cell>
          <cell r="P8252">
            <v>45600</v>
          </cell>
          <cell r="Q8252">
            <v>45601</v>
          </cell>
          <cell r="R8252">
            <v>45601</v>
          </cell>
          <cell r="S8252"/>
          <cell r="T8252"/>
          <cell r="U8252" t="str">
            <v>TMS 기구 Module 작업</v>
          </cell>
          <cell r="V8252"/>
          <cell r="W8252"/>
          <cell r="X8252">
            <v>41200036</v>
          </cell>
        </row>
        <row r="8253">
          <cell r="K8253"/>
          <cell r="L8253">
            <v>45595</v>
          </cell>
          <cell r="M8253">
            <v>45595</v>
          </cell>
          <cell r="N8253">
            <v>45600</v>
          </cell>
          <cell r="O8253">
            <v>45595</v>
          </cell>
          <cell r="P8253">
            <v>45600</v>
          </cell>
          <cell r="Q8253">
            <v>45601</v>
          </cell>
          <cell r="R8253">
            <v>45601</v>
          </cell>
          <cell r="S8253"/>
          <cell r="T8253"/>
          <cell r="U8253" t="str">
            <v>TMS 기구 Module 작업</v>
          </cell>
          <cell r="V8253"/>
          <cell r="W8253"/>
          <cell r="X8253">
            <v>41200076</v>
          </cell>
        </row>
        <row r="8254">
          <cell r="K8254"/>
          <cell r="L8254">
            <v>45595</v>
          </cell>
          <cell r="M8254">
            <v>45595</v>
          </cell>
          <cell r="N8254">
            <v>45600</v>
          </cell>
          <cell r="O8254">
            <v>45595</v>
          </cell>
          <cell r="P8254">
            <v>45600</v>
          </cell>
          <cell r="Q8254">
            <v>45601</v>
          </cell>
          <cell r="R8254">
            <v>45601</v>
          </cell>
          <cell r="S8254"/>
          <cell r="T8254"/>
          <cell r="U8254" t="str">
            <v>TMS 기구 Module 작업</v>
          </cell>
          <cell r="V8254"/>
          <cell r="W8254"/>
          <cell r="X8254">
            <v>41200047</v>
          </cell>
        </row>
        <row r="8255">
          <cell r="K8255"/>
          <cell r="L8255">
            <v>45595</v>
          </cell>
          <cell r="M8255">
            <v>45595</v>
          </cell>
          <cell r="N8255">
            <v>45603</v>
          </cell>
          <cell r="O8255">
            <v>45595</v>
          </cell>
          <cell r="P8255">
            <v>45603</v>
          </cell>
          <cell r="Q8255">
            <v>45601</v>
          </cell>
          <cell r="R8255">
            <v>45601</v>
          </cell>
          <cell r="S8255"/>
          <cell r="T8255"/>
          <cell r="U8255" t="str">
            <v>TMS 기구 Module 작업</v>
          </cell>
          <cell r="V8255"/>
          <cell r="W8255"/>
          <cell r="X8255">
            <v>41200074</v>
          </cell>
        </row>
        <row r="8256">
          <cell r="K8256"/>
          <cell r="L8256">
            <v>45595</v>
          </cell>
          <cell r="M8256" t="str">
            <v>2024-11-12 → 10/31</v>
          </cell>
          <cell r="N8256">
            <v>45603</v>
          </cell>
          <cell r="O8256" t="str">
            <v>2024-11-12 → 10/31</v>
          </cell>
          <cell r="P8256">
            <v>45603</v>
          </cell>
          <cell r="Q8256">
            <v>45614</v>
          </cell>
          <cell r="R8256">
            <v>45614</v>
          </cell>
          <cell r="S8256"/>
          <cell r="T8256"/>
          <cell r="U8256" t="str">
            <v>TMS 기구 Module 작업</v>
          </cell>
          <cell r="V8256"/>
          <cell r="W8256"/>
          <cell r="X8256" t="str">
            <v>41200070 → 41200061</v>
          </cell>
        </row>
        <row r="8257">
          <cell r="K8257"/>
          <cell r="L8257">
            <v>45596</v>
          </cell>
          <cell r="M8257">
            <v>45596</v>
          </cell>
          <cell r="N8257">
            <v>45603</v>
          </cell>
          <cell r="O8257">
            <v>45596</v>
          </cell>
          <cell r="P8257">
            <v>45603</v>
          </cell>
          <cell r="Q8257">
            <v>45602</v>
          </cell>
          <cell r="R8257">
            <v>45602</v>
          </cell>
          <cell r="S8257"/>
          <cell r="T8257"/>
          <cell r="U8257" t="str">
            <v>TMS 기구 Module 작업</v>
          </cell>
          <cell r="V8257"/>
          <cell r="W8257"/>
          <cell r="X8257">
            <v>41100286</v>
          </cell>
        </row>
        <row r="8258">
          <cell r="K8258"/>
          <cell r="L8258">
            <v>45596</v>
          </cell>
          <cell r="M8258">
            <v>45596</v>
          </cell>
          <cell r="N8258">
            <v>45603</v>
          </cell>
          <cell r="O8258">
            <v>45596</v>
          </cell>
          <cell r="P8258">
            <v>45603</v>
          </cell>
          <cell r="Q8258">
            <v>45602</v>
          </cell>
          <cell r="R8258">
            <v>45602</v>
          </cell>
          <cell r="S8258"/>
          <cell r="T8258"/>
          <cell r="U8258" t="str">
            <v>TMS 기구 Module 작업</v>
          </cell>
          <cell r="V8258"/>
          <cell r="W8258"/>
          <cell r="X8258">
            <v>41100350</v>
          </cell>
        </row>
        <row r="8259">
          <cell r="K8259"/>
          <cell r="L8259">
            <v>45596</v>
          </cell>
          <cell r="M8259">
            <v>45596</v>
          </cell>
          <cell r="N8259">
            <v>45603</v>
          </cell>
          <cell r="O8259">
            <v>45596</v>
          </cell>
          <cell r="P8259">
            <v>45603</v>
          </cell>
          <cell r="Q8259">
            <v>45602</v>
          </cell>
          <cell r="R8259">
            <v>45602</v>
          </cell>
          <cell r="S8259"/>
          <cell r="T8259"/>
          <cell r="U8259" t="str">
            <v>TMS 기구 Module 작업</v>
          </cell>
          <cell r="V8259"/>
          <cell r="W8259"/>
          <cell r="X8259" t="str">
            <v>41200070 → 41200061</v>
          </cell>
        </row>
        <row r="8260">
          <cell r="K8260"/>
          <cell r="L8260">
            <v>45596</v>
          </cell>
          <cell r="M8260">
            <v>45596</v>
          </cell>
          <cell r="N8260">
            <v>45603</v>
          </cell>
          <cell r="O8260">
            <v>45596</v>
          </cell>
          <cell r="P8260">
            <v>45603</v>
          </cell>
          <cell r="Q8260">
            <v>45602</v>
          </cell>
          <cell r="R8260">
            <v>45602</v>
          </cell>
          <cell r="S8260"/>
          <cell r="T8260"/>
          <cell r="U8260" t="str">
            <v>TMS 기구 Module 작업</v>
          </cell>
          <cell r="V8260"/>
          <cell r="W8260"/>
          <cell r="X8260">
            <v>41200075</v>
          </cell>
        </row>
        <row r="8261">
          <cell r="K8261"/>
          <cell r="L8261">
            <v>45596</v>
          </cell>
          <cell r="M8261">
            <v>45596</v>
          </cell>
          <cell r="N8261">
            <v>45603</v>
          </cell>
          <cell r="O8261">
            <v>45596</v>
          </cell>
          <cell r="P8261">
            <v>45603</v>
          </cell>
          <cell r="Q8261">
            <v>45602</v>
          </cell>
          <cell r="R8261">
            <v>45602</v>
          </cell>
          <cell r="S8261"/>
          <cell r="T8261"/>
          <cell r="U8261" t="str">
            <v>TMS 기구 Module 작업</v>
          </cell>
          <cell r="V8261"/>
          <cell r="W8261"/>
          <cell r="X8261">
            <v>41200046</v>
          </cell>
        </row>
        <row r="8262">
          <cell r="K8262"/>
          <cell r="L8262">
            <v>45597</v>
          </cell>
          <cell r="M8262">
            <v>45597</v>
          </cell>
          <cell r="N8262">
            <v>45603</v>
          </cell>
          <cell r="O8262">
            <v>45597</v>
          </cell>
          <cell r="P8262">
            <v>45603</v>
          </cell>
          <cell r="Q8262">
            <v>45603</v>
          </cell>
          <cell r="R8262">
            <v>45603</v>
          </cell>
          <cell r="S8262"/>
          <cell r="T8262"/>
          <cell r="U8262" t="str">
            <v>TMS 기구 Module 작업</v>
          </cell>
          <cell r="V8262"/>
          <cell r="W8262"/>
          <cell r="X8262">
            <v>41200048</v>
          </cell>
        </row>
        <row r="8263">
          <cell r="K8263"/>
          <cell r="L8263">
            <v>45597</v>
          </cell>
          <cell r="M8263">
            <v>45597</v>
          </cell>
          <cell r="N8263">
            <v>45603</v>
          </cell>
          <cell r="O8263">
            <v>45597</v>
          </cell>
          <cell r="P8263">
            <v>45603</v>
          </cell>
          <cell r="Q8263">
            <v>45603</v>
          </cell>
          <cell r="R8263">
            <v>45603</v>
          </cell>
          <cell r="S8263"/>
          <cell r="T8263"/>
          <cell r="U8263" t="str">
            <v>TMS 기구 Module 작업</v>
          </cell>
          <cell r="V8263"/>
          <cell r="W8263"/>
          <cell r="X8263">
            <v>41100372</v>
          </cell>
        </row>
        <row r="8264">
          <cell r="K8264"/>
          <cell r="L8264">
            <v>45597</v>
          </cell>
          <cell r="M8264">
            <v>45597</v>
          </cell>
          <cell r="N8264">
            <v>45603</v>
          </cell>
          <cell r="O8264">
            <v>45597</v>
          </cell>
          <cell r="P8264">
            <v>45603</v>
          </cell>
          <cell r="Q8264" t="str">
            <v>2024-11-08 → 11/05</v>
          </cell>
          <cell r="R8264" t="str">
            <v>2024-11-08 → 11/05</v>
          </cell>
          <cell r="S8264"/>
          <cell r="T8264"/>
          <cell r="U8264" t="str">
            <v>TMS 기구 Module 작업</v>
          </cell>
          <cell r="V8264"/>
          <cell r="W8264"/>
          <cell r="X8264">
            <v>41100673</v>
          </cell>
        </row>
        <row r="8265">
          <cell r="K8265"/>
          <cell r="L8265">
            <v>45597</v>
          </cell>
          <cell r="M8265">
            <v>45597</v>
          </cell>
          <cell r="N8265">
            <v>45603</v>
          </cell>
          <cell r="O8265">
            <v>45597</v>
          </cell>
          <cell r="P8265">
            <v>45603</v>
          </cell>
          <cell r="Q8265">
            <v>45604</v>
          </cell>
          <cell r="R8265">
            <v>45604</v>
          </cell>
          <cell r="S8265"/>
          <cell r="T8265"/>
          <cell r="U8265" t="str">
            <v>TMS 기구 Module 작업</v>
          </cell>
          <cell r="V8265"/>
          <cell r="W8265"/>
          <cell r="X8265">
            <v>41100673</v>
          </cell>
        </row>
        <row r="8266">
          <cell r="K8266"/>
          <cell r="L8266">
            <v>45600</v>
          </cell>
          <cell r="M8266">
            <v>45600</v>
          </cell>
          <cell r="N8266">
            <v>45603</v>
          </cell>
          <cell r="O8266">
            <v>45600</v>
          </cell>
          <cell r="P8266">
            <v>45603</v>
          </cell>
          <cell r="Q8266">
            <v>45604</v>
          </cell>
          <cell r="R8266">
            <v>45604</v>
          </cell>
          <cell r="S8266"/>
          <cell r="T8266"/>
          <cell r="U8266" t="str">
            <v>TMS 기구 Module 작업</v>
          </cell>
          <cell r="V8266"/>
          <cell r="W8266"/>
          <cell r="X8266">
            <v>41100646</v>
          </cell>
        </row>
        <row r="8267">
          <cell r="K8267"/>
          <cell r="L8267">
            <v>45600</v>
          </cell>
          <cell r="M8267">
            <v>45600</v>
          </cell>
          <cell r="N8267">
            <v>45603</v>
          </cell>
          <cell r="O8267">
            <v>45600</v>
          </cell>
          <cell r="P8267">
            <v>45603</v>
          </cell>
          <cell r="Q8267">
            <v>45603</v>
          </cell>
          <cell r="R8267">
            <v>45603</v>
          </cell>
          <cell r="S8267"/>
          <cell r="T8267"/>
          <cell r="U8267" t="str">
            <v>TMS 기구 Module 작업</v>
          </cell>
          <cell r="V8267"/>
          <cell r="W8267"/>
          <cell r="X8267">
            <v>41000553</v>
          </cell>
        </row>
        <row r="8268">
          <cell r="K8268"/>
          <cell r="L8268">
            <v>45600</v>
          </cell>
          <cell r="M8268">
            <v>45600</v>
          </cell>
          <cell r="N8268">
            <v>45603</v>
          </cell>
          <cell r="O8268">
            <v>45600</v>
          </cell>
          <cell r="P8268">
            <v>45603</v>
          </cell>
          <cell r="Q8268">
            <v>45604</v>
          </cell>
          <cell r="R8268">
            <v>45604</v>
          </cell>
          <cell r="S8268"/>
          <cell r="T8268"/>
          <cell r="U8268" t="str">
            <v>TMS 기구 Module 작업</v>
          </cell>
          <cell r="V8268"/>
          <cell r="W8268"/>
          <cell r="X8268">
            <v>41000555</v>
          </cell>
        </row>
        <row r="8269">
          <cell r="K8269"/>
          <cell r="L8269">
            <v>45602</v>
          </cell>
          <cell r="M8269">
            <v>45602</v>
          </cell>
          <cell r="N8269">
            <v>45607</v>
          </cell>
          <cell r="O8269">
            <v>45602</v>
          </cell>
          <cell r="P8269">
            <v>45607</v>
          </cell>
          <cell r="Q8269">
            <v>45608</v>
          </cell>
          <cell r="R8269">
            <v>45608</v>
          </cell>
          <cell r="S8269"/>
          <cell r="T8269"/>
          <cell r="U8269" t="str">
            <v>TMS 기구 Module 작업</v>
          </cell>
          <cell r="V8269"/>
          <cell r="W8269"/>
          <cell r="X8269">
            <v>41200054</v>
          </cell>
        </row>
        <row r="8270">
          <cell r="K8270"/>
          <cell r="L8270">
            <v>45602</v>
          </cell>
          <cell r="M8270">
            <v>45602</v>
          </cell>
          <cell r="N8270">
            <v>45607</v>
          </cell>
          <cell r="O8270">
            <v>45602</v>
          </cell>
          <cell r="P8270">
            <v>45607</v>
          </cell>
          <cell r="Q8270">
            <v>45608</v>
          </cell>
          <cell r="R8270">
            <v>45608</v>
          </cell>
          <cell r="S8270"/>
          <cell r="T8270"/>
          <cell r="U8270" t="str">
            <v>TMS 기구 Module 작업</v>
          </cell>
          <cell r="V8270"/>
          <cell r="W8270"/>
          <cell r="X8270">
            <v>41200076</v>
          </cell>
        </row>
        <row r="8271">
          <cell r="K8271"/>
          <cell r="L8271">
            <v>45603</v>
          </cell>
          <cell r="M8271">
            <v>45603</v>
          </cell>
          <cell r="N8271">
            <v>45607</v>
          </cell>
          <cell r="O8271">
            <v>45603</v>
          </cell>
          <cell r="P8271">
            <v>45607</v>
          </cell>
          <cell r="Q8271">
            <v>45609</v>
          </cell>
          <cell r="R8271">
            <v>45609</v>
          </cell>
          <cell r="S8271"/>
          <cell r="T8271"/>
          <cell r="U8271" t="str">
            <v>TMS 기구 Module 작업</v>
          </cell>
          <cell r="V8271"/>
          <cell r="W8271"/>
          <cell r="X8271">
            <v>41200007</v>
          </cell>
        </row>
        <row r="8272">
          <cell r="K8272"/>
          <cell r="L8272">
            <v>45603</v>
          </cell>
          <cell r="M8272">
            <v>45603</v>
          </cell>
          <cell r="N8272">
            <v>45607</v>
          </cell>
          <cell r="O8272">
            <v>45603</v>
          </cell>
          <cell r="P8272">
            <v>45607</v>
          </cell>
          <cell r="Q8272">
            <v>45609</v>
          </cell>
          <cell r="R8272">
            <v>45609</v>
          </cell>
          <cell r="S8272"/>
          <cell r="T8272"/>
          <cell r="U8272" t="str">
            <v>TMS 기구 Module 작업</v>
          </cell>
          <cell r="V8272"/>
          <cell r="W8272"/>
          <cell r="X8272">
            <v>41100673</v>
          </cell>
        </row>
        <row r="8273">
          <cell r="K8273"/>
          <cell r="L8273">
            <v>45603</v>
          </cell>
          <cell r="M8273">
            <v>45603</v>
          </cell>
          <cell r="N8273">
            <v>45607</v>
          </cell>
          <cell r="O8273">
            <v>45603</v>
          </cell>
          <cell r="P8273">
            <v>45607</v>
          </cell>
          <cell r="Q8273">
            <v>45609</v>
          </cell>
          <cell r="R8273">
            <v>45609</v>
          </cell>
          <cell r="S8273"/>
          <cell r="T8273"/>
          <cell r="U8273" t="str">
            <v>TMS 기구 Module 작업</v>
          </cell>
          <cell r="V8273"/>
          <cell r="W8273"/>
          <cell r="X8273">
            <v>41100611</v>
          </cell>
        </row>
        <row r="8274">
          <cell r="K8274"/>
          <cell r="L8274">
            <v>45604</v>
          </cell>
          <cell r="M8274">
            <v>45604</v>
          </cell>
          <cell r="N8274">
            <v>45607</v>
          </cell>
          <cell r="O8274">
            <v>45604</v>
          </cell>
          <cell r="P8274">
            <v>45607</v>
          </cell>
          <cell r="Q8274">
            <v>45610</v>
          </cell>
          <cell r="R8274">
            <v>45610</v>
          </cell>
          <cell r="S8274"/>
          <cell r="T8274"/>
          <cell r="U8274" t="str">
            <v>TMS 기구 Module 작업</v>
          </cell>
          <cell r="V8274"/>
          <cell r="W8274"/>
          <cell r="X8274">
            <v>41200007</v>
          </cell>
        </row>
        <row r="8275">
          <cell r="K8275"/>
          <cell r="L8275">
            <v>45604</v>
          </cell>
          <cell r="M8275">
            <v>45604</v>
          </cell>
          <cell r="N8275">
            <v>45608</v>
          </cell>
          <cell r="O8275">
            <v>45604</v>
          </cell>
          <cell r="P8275">
            <v>45608</v>
          </cell>
          <cell r="Q8275">
            <v>45610</v>
          </cell>
          <cell r="R8275">
            <v>45610</v>
          </cell>
          <cell r="S8275"/>
          <cell r="T8275"/>
          <cell r="U8275" t="str">
            <v>TMS 기구 Module 작업</v>
          </cell>
          <cell r="V8275"/>
          <cell r="W8275"/>
          <cell r="X8275">
            <v>41000516</v>
          </cell>
        </row>
        <row r="8276">
          <cell r="K8276"/>
          <cell r="L8276">
            <v>45607</v>
          </cell>
          <cell r="M8276">
            <v>45607</v>
          </cell>
          <cell r="N8276">
            <v>45610</v>
          </cell>
          <cell r="O8276">
            <v>45607</v>
          </cell>
          <cell r="P8276">
            <v>45610</v>
          </cell>
          <cell r="Q8276">
            <v>45611</v>
          </cell>
          <cell r="R8276">
            <v>45611</v>
          </cell>
          <cell r="S8276"/>
          <cell r="T8276"/>
          <cell r="U8276" t="str">
            <v>TMS 기구 Module 작업</v>
          </cell>
          <cell r="V8276"/>
          <cell r="W8276"/>
          <cell r="X8276">
            <v>41000544</v>
          </cell>
        </row>
        <row r="8277">
          <cell r="K8277"/>
          <cell r="L8277">
            <v>45607</v>
          </cell>
          <cell r="M8277" t="str">
            <v>2024-08-13 → 11/11</v>
          </cell>
          <cell r="N8277">
            <v>45610</v>
          </cell>
          <cell r="O8277" t="str">
            <v>2024-08-13 → 11/11</v>
          </cell>
          <cell r="P8277">
            <v>45610</v>
          </cell>
          <cell r="Q8277" t="str">
            <v>2024-08-19 → 11/15</v>
          </cell>
          <cell r="R8277" t="str">
            <v>2024-08-19 → 11/15</v>
          </cell>
          <cell r="S8277"/>
          <cell r="T8277"/>
          <cell r="U8277" t="str">
            <v>TMS 기구 Module 작업</v>
          </cell>
          <cell r="V8277"/>
          <cell r="W8277"/>
          <cell r="X8277">
            <v>41100372</v>
          </cell>
        </row>
        <row r="8278">
          <cell r="K8278"/>
          <cell r="L8278">
            <v>45607</v>
          </cell>
          <cell r="M8278">
            <v>45607</v>
          </cell>
          <cell r="N8278">
            <v>45610</v>
          </cell>
          <cell r="O8278">
            <v>45607</v>
          </cell>
          <cell r="P8278">
            <v>45610</v>
          </cell>
          <cell r="Q8278">
            <v>45611</v>
          </cell>
          <cell r="R8278">
            <v>45611</v>
          </cell>
          <cell r="S8278"/>
          <cell r="T8278"/>
          <cell r="U8278" t="str">
            <v>TMS 기구 Module 작업</v>
          </cell>
          <cell r="V8278"/>
          <cell r="W8278"/>
          <cell r="X8278">
            <v>41200006</v>
          </cell>
        </row>
        <row r="8279">
          <cell r="K8279"/>
          <cell r="L8279">
            <v>45608</v>
          </cell>
          <cell r="M8279">
            <v>45608</v>
          </cell>
          <cell r="N8279">
            <v>45610</v>
          </cell>
          <cell r="O8279">
            <v>45608</v>
          </cell>
          <cell r="P8279">
            <v>45610</v>
          </cell>
          <cell r="Q8279">
            <v>45614</v>
          </cell>
          <cell r="R8279">
            <v>45614</v>
          </cell>
          <cell r="S8279"/>
          <cell r="T8279"/>
          <cell r="U8279" t="str">
            <v>TMS 기구 Module 작업</v>
          </cell>
          <cell r="V8279"/>
          <cell r="W8279"/>
          <cell r="X8279">
            <v>41200078</v>
          </cell>
        </row>
        <row r="8280">
          <cell r="K8280"/>
          <cell r="L8280">
            <v>45608</v>
          </cell>
          <cell r="M8280">
            <v>45608</v>
          </cell>
          <cell r="N8280">
            <v>45610</v>
          </cell>
          <cell r="O8280">
            <v>45608</v>
          </cell>
          <cell r="P8280">
            <v>45610</v>
          </cell>
          <cell r="Q8280">
            <v>45614</v>
          </cell>
          <cell r="R8280">
            <v>45614</v>
          </cell>
          <cell r="S8280"/>
          <cell r="T8280"/>
          <cell r="U8280" t="str">
            <v>TMS 기구 Module 작업</v>
          </cell>
          <cell r="V8280"/>
          <cell r="W8280"/>
          <cell r="X8280">
            <v>41100320</v>
          </cell>
        </row>
        <row r="8281">
          <cell r="K8281"/>
          <cell r="L8281">
            <v>45608</v>
          </cell>
          <cell r="M8281">
            <v>45608</v>
          </cell>
          <cell r="N8281">
            <v>45610</v>
          </cell>
          <cell r="O8281">
            <v>45608</v>
          </cell>
          <cell r="P8281">
            <v>45610</v>
          </cell>
          <cell r="Q8281" t="str">
            <v>2024-11-18 → 11/15</v>
          </cell>
          <cell r="R8281" t="str">
            <v>2024-11-18 → 11/15</v>
          </cell>
          <cell r="S8281"/>
          <cell r="T8281"/>
          <cell r="U8281" t="str">
            <v>TMS 기구 Module 작업</v>
          </cell>
          <cell r="V8281"/>
          <cell r="W8281"/>
          <cell r="X8281">
            <v>41100334</v>
          </cell>
        </row>
        <row r="8282">
          <cell r="K8282"/>
          <cell r="L8282">
            <v>45608</v>
          </cell>
          <cell r="M8282">
            <v>45608</v>
          </cell>
          <cell r="N8282">
            <v>45610</v>
          </cell>
          <cell r="O8282">
            <v>45608</v>
          </cell>
          <cell r="P8282">
            <v>45610</v>
          </cell>
          <cell r="Q8282">
            <v>45614</v>
          </cell>
          <cell r="R8282">
            <v>45614</v>
          </cell>
          <cell r="S8282"/>
          <cell r="T8282"/>
          <cell r="U8282" t="str">
            <v>TMS 기구 Module 작업</v>
          </cell>
          <cell r="V8282"/>
          <cell r="W8282"/>
          <cell r="X8282">
            <v>41200007</v>
          </cell>
        </row>
        <row r="8283">
          <cell r="K8283"/>
          <cell r="L8283">
            <v>45609</v>
          </cell>
          <cell r="M8283" t="str">
            <v>2024-11-11 → 11/13</v>
          </cell>
          <cell r="N8283">
            <v>45610</v>
          </cell>
          <cell r="O8283" t="str">
            <v>2024-11-11 → 11/13</v>
          </cell>
          <cell r="P8283">
            <v>45610</v>
          </cell>
          <cell r="Q8283" t="str">
            <v>2024-11-18 → 11/19</v>
          </cell>
          <cell r="R8283" t="str">
            <v>2024-11-18 → 11/19</v>
          </cell>
          <cell r="S8283"/>
          <cell r="T8283"/>
          <cell r="U8283" t="str">
            <v>TMS 기구 Module 작업</v>
          </cell>
          <cell r="V8283"/>
          <cell r="W8283"/>
          <cell r="X8283">
            <v>41200080</v>
          </cell>
        </row>
        <row r="8284">
          <cell r="K8284"/>
          <cell r="L8284">
            <v>45609</v>
          </cell>
          <cell r="M8284">
            <v>45609</v>
          </cell>
          <cell r="N8284">
            <v>45610</v>
          </cell>
          <cell r="O8284">
            <v>45609</v>
          </cell>
          <cell r="P8284">
            <v>45610</v>
          </cell>
          <cell r="Q8284">
            <v>45615</v>
          </cell>
          <cell r="R8284">
            <v>45615</v>
          </cell>
          <cell r="S8284"/>
          <cell r="T8284"/>
          <cell r="U8284" t="str">
            <v>TMS 기구 Module 작업</v>
          </cell>
          <cell r="V8284"/>
          <cell r="W8284"/>
          <cell r="X8284">
            <v>41200076</v>
          </cell>
        </row>
        <row r="8285">
          <cell r="K8285"/>
          <cell r="L8285">
            <v>45610</v>
          </cell>
          <cell r="M8285">
            <v>45610</v>
          </cell>
          <cell r="N8285">
            <v>45615</v>
          </cell>
          <cell r="O8285">
            <v>45610</v>
          </cell>
          <cell r="P8285">
            <v>45615</v>
          </cell>
          <cell r="Q8285">
            <v>45616</v>
          </cell>
          <cell r="R8285">
            <v>45616</v>
          </cell>
          <cell r="S8285"/>
          <cell r="T8285"/>
          <cell r="U8285" t="str">
            <v>TMS 기구 Module 작업</v>
          </cell>
          <cell r="V8285"/>
          <cell r="W8285"/>
          <cell r="X8285">
            <v>41200006</v>
          </cell>
        </row>
        <row r="8286">
          <cell r="K8286"/>
          <cell r="L8286">
            <v>45610</v>
          </cell>
          <cell r="M8286">
            <v>45610</v>
          </cell>
          <cell r="N8286">
            <v>45615</v>
          </cell>
          <cell r="O8286">
            <v>45610</v>
          </cell>
          <cell r="P8286">
            <v>45615</v>
          </cell>
          <cell r="Q8286">
            <v>45616</v>
          </cell>
          <cell r="R8286">
            <v>45616</v>
          </cell>
          <cell r="S8286"/>
          <cell r="T8286"/>
          <cell r="U8286" t="str">
            <v>TMS 기구 Module 작업</v>
          </cell>
          <cell r="V8286"/>
          <cell r="W8286"/>
          <cell r="X8286">
            <v>41200006</v>
          </cell>
        </row>
        <row r="8287">
          <cell r="K8287"/>
          <cell r="L8287">
            <v>45610</v>
          </cell>
          <cell r="M8287">
            <v>45610</v>
          </cell>
          <cell r="N8287">
            <v>45615</v>
          </cell>
          <cell r="O8287">
            <v>45610</v>
          </cell>
          <cell r="P8287">
            <v>45615</v>
          </cell>
          <cell r="Q8287">
            <v>45616</v>
          </cell>
          <cell r="R8287">
            <v>45616</v>
          </cell>
          <cell r="S8287"/>
          <cell r="T8287"/>
          <cell r="U8287" t="str">
            <v>TMS 기구 Module 작업</v>
          </cell>
          <cell r="V8287"/>
          <cell r="W8287"/>
          <cell r="X8287">
            <v>41100564</v>
          </cell>
        </row>
        <row r="8288">
          <cell r="K8288"/>
          <cell r="L8288">
            <v>45610</v>
          </cell>
          <cell r="M8288">
            <v>45610</v>
          </cell>
          <cell r="N8288">
            <v>45615</v>
          </cell>
          <cell r="O8288">
            <v>45610</v>
          </cell>
          <cell r="P8288">
            <v>45615</v>
          </cell>
          <cell r="Q8288">
            <v>45615</v>
          </cell>
          <cell r="R8288">
            <v>45615</v>
          </cell>
          <cell r="S8288"/>
          <cell r="T8288"/>
          <cell r="U8288" t="str">
            <v>TMS 기구 Module 작업</v>
          </cell>
          <cell r="V8288"/>
          <cell r="W8288"/>
          <cell r="X8288">
            <v>41200043</v>
          </cell>
        </row>
        <row r="8289">
          <cell r="K8289"/>
          <cell r="L8289">
            <v>45610</v>
          </cell>
          <cell r="M8289">
            <v>45610</v>
          </cell>
          <cell r="N8289">
            <v>45615</v>
          </cell>
          <cell r="O8289">
            <v>45610</v>
          </cell>
          <cell r="P8289">
            <v>45615</v>
          </cell>
          <cell r="Q8289">
            <v>45616</v>
          </cell>
          <cell r="R8289">
            <v>45616</v>
          </cell>
          <cell r="S8289"/>
          <cell r="T8289"/>
          <cell r="U8289" t="str">
            <v>TMS 기구 Module 작업</v>
          </cell>
          <cell r="V8289"/>
          <cell r="W8289"/>
          <cell r="X8289">
            <v>41200006</v>
          </cell>
        </row>
        <row r="8290">
          <cell r="K8290"/>
          <cell r="L8290">
            <v>45610</v>
          </cell>
          <cell r="M8290">
            <v>45610</v>
          </cell>
          <cell r="N8290">
            <v>45615</v>
          </cell>
          <cell r="O8290">
            <v>45610</v>
          </cell>
          <cell r="P8290">
            <v>45615</v>
          </cell>
          <cell r="Q8290">
            <v>45616</v>
          </cell>
          <cell r="R8290">
            <v>45616</v>
          </cell>
          <cell r="S8290"/>
          <cell r="T8290"/>
          <cell r="U8290" t="str">
            <v>TMS 기구 Module 작업</v>
          </cell>
          <cell r="V8290"/>
          <cell r="W8290"/>
          <cell r="X8290">
            <v>41200006</v>
          </cell>
        </row>
        <row r="8291">
          <cell r="K8291"/>
          <cell r="L8291">
            <v>45611</v>
          </cell>
          <cell r="M8291">
            <v>45611</v>
          </cell>
          <cell r="N8291">
            <v>45615</v>
          </cell>
          <cell r="O8291">
            <v>45611</v>
          </cell>
          <cell r="P8291">
            <v>45615</v>
          </cell>
          <cell r="Q8291">
            <v>45617</v>
          </cell>
          <cell r="R8291">
            <v>45617</v>
          </cell>
          <cell r="S8291"/>
          <cell r="T8291"/>
          <cell r="U8291" t="str">
            <v>TMS 기구 Module 작업</v>
          </cell>
          <cell r="V8291"/>
          <cell r="W8291"/>
          <cell r="X8291">
            <v>41000574</v>
          </cell>
        </row>
        <row r="8292">
          <cell r="K8292"/>
          <cell r="L8292">
            <v>45611</v>
          </cell>
          <cell r="M8292">
            <v>45611</v>
          </cell>
          <cell r="N8292">
            <v>45615</v>
          </cell>
          <cell r="O8292">
            <v>45611</v>
          </cell>
          <cell r="P8292">
            <v>45615</v>
          </cell>
          <cell r="Q8292">
            <v>45616</v>
          </cell>
          <cell r="R8292">
            <v>45616</v>
          </cell>
          <cell r="S8292"/>
          <cell r="T8292"/>
          <cell r="U8292" t="str">
            <v>TMS 기구 Module 작업</v>
          </cell>
          <cell r="V8292"/>
          <cell r="W8292"/>
          <cell r="X8292">
            <v>41200087</v>
          </cell>
        </row>
        <row r="8293">
          <cell r="K8293"/>
          <cell r="L8293">
            <v>45611</v>
          </cell>
          <cell r="M8293">
            <v>45611</v>
          </cell>
          <cell r="N8293">
            <v>45615</v>
          </cell>
          <cell r="O8293">
            <v>45611</v>
          </cell>
          <cell r="P8293">
            <v>45615</v>
          </cell>
          <cell r="Q8293">
            <v>45616</v>
          </cell>
          <cell r="R8293">
            <v>45616</v>
          </cell>
          <cell r="S8293"/>
          <cell r="T8293"/>
          <cell r="U8293" t="str">
            <v>TMS 기구 Module 작업</v>
          </cell>
          <cell r="V8293"/>
          <cell r="W8293"/>
          <cell r="X8293">
            <v>41200087</v>
          </cell>
        </row>
        <row r="8294">
          <cell r="K8294"/>
          <cell r="L8294">
            <v>45611</v>
          </cell>
          <cell r="M8294">
            <v>45611</v>
          </cell>
          <cell r="N8294">
            <v>45615</v>
          </cell>
          <cell r="O8294">
            <v>45611</v>
          </cell>
          <cell r="P8294">
            <v>45615</v>
          </cell>
          <cell r="Q8294">
            <v>45616</v>
          </cell>
          <cell r="R8294">
            <v>45616</v>
          </cell>
          <cell r="S8294"/>
          <cell r="T8294"/>
          <cell r="U8294" t="str">
            <v>TMS 기구 Module 작업</v>
          </cell>
          <cell r="V8294"/>
          <cell r="W8294"/>
          <cell r="X8294">
            <v>41200087</v>
          </cell>
        </row>
        <row r="8295">
          <cell r="K8295"/>
          <cell r="L8295">
            <v>45611</v>
          </cell>
          <cell r="M8295">
            <v>45611</v>
          </cell>
          <cell r="N8295">
            <v>45615</v>
          </cell>
          <cell r="O8295">
            <v>45611</v>
          </cell>
          <cell r="P8295">
            <v>45615</v>
          </cell>
          <cell r="Q8295">
            <v>45617</v>
          </cell>
          <cell r="R8295">
            <v>45617</v>
          </cell>
          <cell r="S8295"/>
          <cell r="T8295"/>
          <cell r="U8295" t="str">
            <v>TMS 기구 Module 작업</v>
          </cell>
          <cell r="V8295"/>
          <cell r="W8295"/>
          <cell r="X8295">
            <v>41200075</v>
          </cell>
        </row>
        <row r="8296">
          <cell r="K8296"/>
          <cell r="L8296">
            <v>45611</v>
          </cell>
          <cell r="M8296">
            <v>45611</v>
          </cell>
          <cell r="N8296">
            <v>45615</v>
          </cell>
          <cell r="O8296">
            <v>45611</v>
          </cell>
          <cell r="P8296">
            <v>45615</v>
          </cell>
          <cell r="Q8296" t="str">
            <v>2024-11-21 → 11/26</v>
          </cell>
          <cell r="R8296" t="str">
            <v>2024-11-21 → 11/26</v>
          </cell>
          <cell r="S8296"/>
          <cell r="T8296"/>
          <cell r="U8296" t="str">
            <v>TMS 기구 Module 작업</v>
          </cell>
          <cell r="V8296"/>
          <cell r="W8296"/>
          <cell r="X8296">
            <v>41200075</v>
          </cell>
        </row>
        <row r="8297">
          <cell r="K8297"/>
          <cell r="L8297">
            <v>45611</v>
          </cell>
          <cell r="M8297">
            <v>45611</v>
          </cell>
          <cell r="N8297">
            <v>45615</v>
          </cell>
          <cell r="O8297">
            <v>45611</v>
          </cell>
          <cell r="P8297">
            <v>45615</v>
          </cell>
          <cell r="Q8297">
            <v>45617</v>
          </cell>
          <cell r="R8297">
            <v>45617</v>
          </cell>
          <cell r="S8297"/>
          <cell r="T8297"/>
          <cell r="U8297" t="str">
            <v>TMS 기구 Module 작업</v>
          </cell>
          <cell r="V8297"/>
          <cell r="W8297"/>
          <cell r="X8297">
            <v>41200080</v>
          </cell>
        </row>
        <row r="8298">
          <cell r="K8298"/>
          <cell r="L8298">
            <v>45610</v>
          </cell>
          <cell r="M8298">
            <v>45610</v>
          </cell>
          <cell r="N8298">
            <v>45618</v>
          </cell>
          <cell r="O8298">
            <v>45610</v>
          </cell>
          <cell r="P8298">
            <v>45618</v>
          </cell>
          <cell r="Q8298">
            <v>45621</v>
          </cell>
          <cell r="R8298">
            <v>45621</v>
          </cell>
          <cell r="S8298"/>
          <cell r="T8298"/>
          <cell r="U8298" t="str">
            <v>TMS 기구 Module 작업</v>
          </cell>
          <cell r="V8298"/>
          <cell r="W8298"/>
          <cell r="X8298">
            <v>41100564</v>
          </cell>
        </row>
        <row r="8299">
          <cell r="K8299"/>
          <cell r="L8299">
            <v>45610</v>
          </cell>
          <cell r="M8299">
            <v>45610</v>
          </cell>
          <cell r="N8299">
            <v>45618</v>
          </cell>
          <cell r="O8299">
            <v>45610</v>
          </cell>
          <cell r="P8299">
            <v>45618</v>
          </cell>
          <cell r="Q8299">
            <v>45623</v>
          </cell>
          <cell r="R8299">
            <v>45623</v>
          </cell>
          <cell r="S8299"/>
          <cell r="T8299"/>
          <cell r="U8299" t="str">
            <v>TMS 기구 Module 작업</v>
          </cell>
          <cell r="V8299"/>
          <cell r="W8299"/>
          <cell r="X8299">
            <v>41100564</v>
          </cell>
        </row>
        <row r="8300">
          <cell r="K8300"/>
          <cell r="L8300">
            <v>45615</v>
          </cell>
          <cell r="M8300">
            <v>45615</v>
          </cell>
          <cell r="N8300">
            <v>45618</v>
          </cell>
          <cell r="O8300">
            <v>45615</v>
          </cell>
          <cell r="P8300">
            <v>45618</v>
          </cell>
          <cell r="Q8300">
            <v>45621</v>
          </cell>
          <cell r="R8300">
            <v>45621</v>
          </cell>
          <cell r="S8300"/>
          <cell r="T8300"/>
          <cell r="U8300" t="str">
            <v>TMS 기구 Module 작업</v>
          </cell>
          <cell r="V8300"/>
          <cell r="W8300"/>
          <cell r="X8300">
            <v>41100372</v>
          </cell>
        </row>
        <row r="8301">
          <cell r="K8301"/>
          <cell r="L8301">
            <v>45615</v>
          </cell>
          <cell r="M8301">
            <v>45615</v>
          </cell>
          <cell r="N8301">
            <v>45618</v>
          </cell>
          <cell r="O8301">
            <v>45615</v>
          </cell>
          <cell r="P8301">
            <v>45618</v>
          </cell>
          <cell r="Q8301">
            <v>45621</v>
          </cell>
          <cell r="R8301">
            <v>45621</v>
          </cell>
          <cell r="S8301"/>
          <cell r="T8301"/>
          <cell r="U8301" t="str">
            <v>TMS 기구 Module 작업</v>
          </cell>
          <cell r="V8301"/>
          <cell r="W8301"/>
          <cell r="X8301">
            <v>41200076</v>
          </cell>
        </row>
        <row r="8302">
          <cell r="K8302"/>
          <cell r="L8302">
            <v>45615</v>
          </cell>
          <cell r="M8302">
            <v>45615</v>
          </cell>
          <cell r="N8302">
            <v>45618</v>
          </cell>
          <cell r="O8302">
            <v>45615</v>
          </cell>
          <cell r="P8302">
            <v>45618</v>
          </cell>
          <cell r="Q8302">
            <v>45621</v>
          </cell>
          <cell r="R8302">
            <v>45621</v>
          </cell>
          <cell r="S8302"/>
          <cell r="T8302"/>
          <cell r="U8302" t="str">
            <v>TMS 기구 Module 작업</v>
          </cell>
          <cell r="V8302"/>
          <cell r="W8302"/>
          <cell r="X8302">
            <v>41200076</v>
          </cell>
        </row>
        <row r="8303">
          <cell r="K8303"/>
          <cell r="L8303">
            <v>45616</v>
          </cell>
          <cell r="M8303">
            <v>45616</v>
          </cell>
          <cell r="N8303">
            <v>45618</v>
          </cell>
          <cell r="O8303">
            <v>45616</v>
          </cell>
          <cell r="P8303">
            <v>45618</v>
          </cell>
          <cell r="Q8303">
            <v>45622</v>
          </cell>
          <cell r="R8303">
            <v>45622</v>
          </cell>
          <cell r="S8303"/>
          <cell r="T8303"/>
          <cell r="U8303" t="str">
            <v>TMS 기구 Module 작업</v>
          </cell>
          <cell r="V8303"/>
          <cell r="W8303"/>
          <cell r="X8303">
            <v>41000541</v>
          </cell>
        </row>
        <row r="8304">
          <cell r="K8304"/>
          <cell r="L8304">
            <v>45616</v>
          </cell>
          <cell r="M8304">
            <v>45616</v>
          </cell>
          <cell r="N8304">
            <v>45618</v>
          </cell>
          <cell r="O8304">
            <v>45616</v>
          </cell>
          <cell r="P8304">
            <v>45618</v>
          </cell>
          <cell r="Q8304">
            <v>45621</v>
          </cell>
          <cell r="R8304">
            <v>45621</v>
          </cell>
          <cell r="S8304"/>
          <cell r="T8304"/>
          <cell r="U8304" t="str">
            <v>TMS 기구 Module 작업</v>
          </cell>
          <cell r="V8304"/>
          <cell r="W8304"/>
          <cell r="X8304">
            <v>41200039</v>
          </cell>
        </row>
        <row r="8305">
          <cell r="K8305"/>
          <cell r="L8305">
            <v>45616</v>
          </cell>
          <cell r="M8305">
            <v>45616</v>
          </cell>
          <cell r="N8305">
            <v>45618</v>
          </cell>
          <cell r="O8305">
            <v>45616</v>
          </cell>
          <cell r="P8305">
            <v>45618</v>
          </cell>
          <cell r="Q8305">
            <v>45622</v>
          </cell>
          <cell r="R8305">
            <v>45622</v>
          </cell>
          <cell r="S8305"/>
          <cell r="T8305"/>
          <cell r="U8305" t="str">
            <v>TMS 기구 Module 작업</v>
          </cell>
          <cell r="V8305"/>
          <cell r="W8305"/>
          <cell r="X8305">
            <v>41200006</v>
          </cell>
        </row>
        <row r="8306">
          <cell r="K8306"/>
          <cell r="L8306">
            <v>45616</v>
          </cell>
          <cell r="M8306">
            <v>45616</v>
          </cell>
          <cell r="N8306">
            <v>45618</v>
          </cell>
          <cell r="O8306">
            <v>45616</v>
          </cell>
          <cell r="P8306">
            <v>45618</v>
          </cell>
          <cell r="Q8306">
            <v>45622</v>
          </cell>
          <cell r="R8306">
            <v>45622</v>
          </cell>
          <cell r="S8306"/>
          <cell r="T8306"/>
          <cell r="U8306" t="str">
            <v>TMS 기구 Module 작업</v>
          </cell>
          <cell r="V8306"/>
          <cell r="W8306"/>
          <cell r="X8306">
            <v>41200006</v>
          </cell>
        </row>
        <row r="8307">
          <cell r="K8307"/>
          <cell r="L8307">
            <v>45616</v>
          </cell>
          <cell r="M8307">
            <v>45616</v>
          </cell>
          <cell r="N8307">
            <v>45618</v>
          </cell>
          <cell r="O8307">
            <v>45616</v>
          </cell>
          <cell r="P8307">
            <v>45618</v>
          </cell>
          <cell r="Q8307">
            <v>45622</v>
          </cell>
          <cell r="R8307">
            <v>45622</v>
          </cell>
          <cell r="S8307"/>
          <cell r="T8307"/>
          <cell r="U8307" t="str">
            <v>TMS 기구 Module 작업</v>
          </cell>
          <cell r="V8307"/>
          <cell r="W8307"/>
          <cell r="X8307">
            <v>41200033</v>
          </cell>
        </row>
        <row r="8308">
          <cell r="K8308"/>
          <cell r="L8308">
            <v>45616</v>
          </cell>
          <cell r="M8308">
            <v>45616</v>
          </cell>
          <cell r="N8308">
            <v>45618</v>
          </cell>
          <cell r="O8308">
            <v>45616</v>
          </cell>
          <cell r="P8308">
            <v>45618</v>
          </cell>
          <cell r="Q8308">
            <v>45622</v>
          </cell>
          <cell r="R8308">
            <v>45622</v>
          </cell>
          <cell r="S8308"/>
          <cell r="T8308"/>
          <cell r="U8308" t="str">
            <v>TMS 기구 Module 작업</v>
          </cell>
          <cell r="V8308"/>
          <cell r="W8308"/>
          <cell r="X8308">
            <v>41200034</v>
          </cell>
        </row>
        <row r="8309">
          <cell r="K8309"/>
          <cell r="L8309">
            <v>45617</v>
          </cell>
          <cell r="M8309">
            <v>45617</v>
          </cell>
          <cell r="N8309">
            <v>45624</v>
          </cell>
          <cell r="O8309">
            <v>45617</v>
          </cell>
          <cell r="P8309">
            <v>45624</v>
          </cell>
          <cell r="Q8309">
            <v>45623</v>
          </cell>
          <cell r="R8309">
            <v>45623</v>
          </cell>
          <cell r="S8309"/>
          <cell r="T8309"/>
          <cell r="U8309" t="str">
            <v>TMS 기구 Module 작업</v>
          </cell>
          <cell r="V8309"/>
          <cell r="W8309"/>
          <cell r="X8309">
            <v>41100372</v>
          </cell>
        </row>
        <row r="8310">
          <cell r="K8310"/>
          <cell r="L8310">
            <v>45617</v>
          </cell>
          <cell r="M8310">
            <v>45617</v>
          </cell>
          <cell r="N8310">
            <v>45624</v>
          </cell>
          <cell r="O8310">
            <v>45617</v>
          </cell>
          <cell r="P8310">
            <v>45624</v>
          </cell>
          <cell r="Q8310">
            <v>45623</v>
          </cell>
          <cell r="R8310">
            <v>45623</v>
          </cell>
          <cell r="S8310"/>
          <cell r="T8310"/>
          <cell r="U8310" t="str">
            <v>TMS 기구 Module 작업</v>
          </cell>
          <cell r="V8310"/>
          <cell r="W8310"/>
          <cell r="X8310">
            <v>41200081</v>
          </cell>
        </row>
        <row r="8311">
          <cell r="K8311"/>
          <cell r="L8311">
            <v>45618</v>
          </cell>
          <cell r="M8311">
            <v>45618</v>
          </cell>
          <cell r="N8311">
            <v>45624</v>
          </cell>
          <cell r="O8311">
            <v>45618</v>
          </cell>
          <cell r="P8311">
            <v>45624</v>
          </cell>
          <cell r="Q8311">
            <v>45624</v>
          </cell>
          <cell r="R8311">
            <v>45624</v>
          </cell>
          <cell r="S8311"/>
          <cell r="T8311"/>
          <cell r="U8311" t="str">
            <v>TMS 기구 Module 작업</v>
          </cell>
          <cell r="V8311"/>
          <cell r="W8311"/>
          <cell r="X8311">
            <v>41100536</v>
          </cell>
        </row>
        <row r="8312">
          <cell r="K8312"/>
          <cell r="L8312">
            <v>45621</v>
          </cell>
          <cell r="M8312">
            <v>45621</v>
          </cell>
          <cell r="N8312">
            <v>45624</v>
          </cell>
          <cell r="O8312">
            <v>45621</v>
          </cell>
          <cell r="P8312">
            <v>45624</v>
          </cell>
          <cell r="Q8312">
            <v>45625</v>
          </cell>
          <cell r="R8312">
            <v>45625</v>
          </cell>
          <cell r="S8312"/>
          <cell r="T8312"/>
          <cell r="U8312" t="str">
            <v>TMS 기구 Module 작업</v>
          </cell>
          <cell r="V8312"/>
          <cell r="W8312"/>
          <cell r="X8312">
            <v>41100372</v>
          </cell>
        </row>
        <row r="8313">
          <cell r="K8313"/>
          <cell r="L8313">
            <v>45621</v>
          </cell>
          <cell r="M8313">
            <v>45621</v>
          </cell>
          <cell r="N8313">
            <v>45624</v>
          </cell>
          <cell r="O8313">
            <v>45621</v>
          </cell>
          <cell r="P8313">
            <v>45624</v>
          </cell>
          <cell r="Q8313">
            <v>45625</v>
          </cell>
          <cell r="R8313">
            <v>45625</v>
          </cell>
          <cell r="S8313"/>
          <cell r="T8313"/>
          <cell r="U8313" t="str">
            <v>TMS 기구 Module 작업</v>
          </cell>
          <cell r="V8313"/>
          <cell r="W8313"/>
          <cell r="X8313">
            <v>41200048</v>
          </cell>
        </row>
        <row r="8314">
          <cell r="K8314"/>
          <cell r="L8314">
            <v>45622</v>
          </cell>
          <cell r="M8314">
            <v>45622</v>
          </cell>
          <cell r="N8314">
            <v>45624</v>
          </cell>
          <cell r="O8314">
            <v>45622</v>
          </cell>
          <cell r="P8314">
            <v>45624</v>
          </cell>
          <cell r="Q8314">
            <v>45628</v>
          </cell>
          <cell r="R8314">
            <v>45628</v>
          </cell>
          <cell r="S8314"/>
          <cell r="T8314"/>
          <cell r="U8314" t="str">
            <v>TMS 기구 Module 작업</v>
          </cell>
          <cell r="V8314"/>
          <cell r="W8314"/>
          <cell r="X8314">
            <v>41200036</v>
          </cell>
        </row>
        <row r="8315">
          <cell r="K8315"/>
          <cell r="L8315">
            <v>45623</v>
          </cell>
          <cell r="M8315">
            <v>45623</v>
          </cell>
          <cell r="N8315">
            <v>45624</v>
          </cell>
          <cell r="O8315">
            <v>45623</v>
          </cell>
          <cell r="P8315">
            <v>45624</v>
          </cell>
          <cell r="Q8315">
            <v>45629</v>
          </cell>
          <cell r="R8315">
            <v>45629</v>
          </cell>
          <cell r="S8315"/>
          <cell r="T8315"/>
          <cell r="U8315" t="str">
            <v>TMS 기구 Module 작업</v>
          </cell>
          <cell r="V8315"/>
          <cell r="W8315"/>
          <cell r="X8315">
            <v>41100334</v>
          </cell>
        </row>
        <row r="8316">
          <cell r="K8316"/>
          <cell r="L8316">
            <v>45623</v>
          </cell>
          <cell r="M8316">
            <v>45623</v>
          </cell>
          <cell r="N8316">
            <v>45625</v>
          </cell>
          <cell r="O8316">
            <v>45623</v>
          </cell>
          <cell r="P8316">
            <v>45625</v>
          </cell>
          <cell r="Q8316">
            <v>45629</v>
          </cell>
          <cell r="R8316">
            <v>45629</v>
          </cell>
          <cell r="S8316"/>
          <cell r="T8316"/>
          <cell r="U8316" t="str">
            <v>TMS 기구 Module 작업</v>
          </cell>
          <cell r="V8316"/>
          <cell r="W8316"/>
          <cell r="X8316">
            <v>41100334</v>
          </cell>
        </row>
        <row r="8317">
          <cell r="K8317"/>
          <cell r="L8317">
            <v>45617</v>
          </cell>
          <cell r="M8317">
            <v>45617</v>
          </cell>
          <cell r="N8317">
            <v>45628</v>
          </cell>
          <cell r="O8317">
            <v>45617</v>
          </cell>
          <cell r="P8317">
            <v>45628</v>
          </cell>
          <cell r="Q8317">
            <v>45623</v>
          </cell>
          <cell r="R8317">
            <v>45623</v>
          </cell>
          <cell r="S8317"/>
          <cell r="T8317"/>
          <cell r="U8317" t="str">
            <v>TMS 기구 Module 작업</v>
          </cell>
          <cell r="V8317"/>
          <cell r="W8317"/>
          <cell r="X8317">
            <v>41200036</v>
          </cell>
        </row>
        <row r="8318">
          <cell r="K8318"/>
          <cell r="L8318">
            <v>45623</v>
          </cell>
          <cell r="M8318">
            <v>45623</v>
          </cell>
          <cell r="N8318">
            <v>45628</v>
          </cell>
          <cell r="O8318">
            <v>45623</v>
          </cell>
          <cell r="P8318">
            <v>45628</v>
          </cell>
          <cell r="Q8318">
            <v>45629</v>
          </cell>
          <cell r="R8318">
            <v>45629</v>
          </cell>
          <cell r="S8318"/>
          <cell r="T8318"/>
          <cell r="U8318" t="str">
            <v>TMS 기구 Module 작업</v>
          </cell>
          <cell r="V8318"/>
          <cell r="W8318"/>
          <cell r="X8318">
            <v>41200039</v>
          </cell>
        </row>
        <row r="8319">
          <cell r="K8319"/>
          <cell r="L8319">
            <v>45623</v>
          </cell>
          <cell r="M8319">
            <v>45623</v>
          </cell>
          <cell r="N8319">
            <v>45628</v>
          </cell>
          <cell r="O8319">
            <v>45623</v>
          </cell>
          <cell r="P8319">
            <v>45628</v>
          </cell>
          <cell r="Q8319">
            <v>45629</v>
          </cell>
          <cell r="R8319">
            <v>45629</v>
          </cell>
          <cell r="S8319"/>
          <cell r="T8319"/>
          <cell r="U8319" t="str">
            <v>TMS 기구 Module 작업</v>
          </cell>
          <cell r="V8319"/>
          <cell r="W8319"/>
          <cell r="X8319">
            <v>41200034</v>
          </cell>
        </row>
        <row r="8320">
          <cell r="K8320"/>
          <cell r="L8320">
            <v>45618</v>
          </cell>
          <cell r="M8320">
            <v>45618</v>
          </cell>
          <cell r="N8320">
            <v>45629</v>
          </cell>
          <cell r="O8320">
            <v>45618</v>
          </cell>
          <cell r="P8320">
            <v>45629</v>
          </cell>
          <cell r="Q8320">
            <v>45623</v>
          </cell>
          <cell r="R8320">
            <v>45623</v>
          </cell>
          <cell r="S8320"/>
          <cell r="T8320"/>
          <cell r="U8320" t="str">
            <v>TMS 기구 Module 작업</v>
          </cell>
          <cell r="V8320"/>
          <cell r="W8320"/>
          <cell r="X8320">
            <v>41100286</v>
          </cell>
        </row>
        <row r="8321">
          <cell r="K8321"/>
          <cell r="L8321">
            <v>45622</v>
          </cell>
          <cell r="M8321">
            <v>45622</v>
          </cell>
          <cell r="N8321">
            <v>45629</v>
          </cell>
          <cell r="O8321">
            <v>45622</v>
          </cell>
          <cell r="P8321">
            <v>45629</v>
          </cell>
          <cell r="Q8321">
            <v>45624</v>
          </cell>
          <cell r="R8321">
            <v>45624</v>
          </cell>
          <cell r="S8321"/>
          <cell r="T8321"/>
          <cell r="U8321" t="str">
            <v>TMS 기구 Module 작업</v>
          </cell>
          <cell r="V8321"/>
          <cell r="W8321"/>
          <cell r="X8321">
            <v>41200071</v>
          </cell>
        </row>
        <row r="8322">
          <cell r="K8322"/>
          <cell r="L8322">
            <v>45623</v>
          </cell>
          <cell r="M8322">
            <v>45623</v>
          </cell>
          <cell r="N8322">
            <v>45629</v>
          </cell>
          <cell r="O8322">
            <v>45623</v>
          </cell>
          <cell r="P8322">
            <v>45629</v>
          </cell>
          <cell r="Q8322">
            <v>45628</v>
          </cell>
          <cell r="R8322">
            <v>45628</v>
          </cell>
          <cell r="S8322"/>
          <cell r="T8322"/>
          <cell r="U8322" t="str">
            <v>TMS 기구 Module 작업</v>
          </cell>
          <cell r="V8322"/>
          <cell r="W8322"/>
          <cell r="X8322">
            <v>41200089</v>
          </cell>
        </row>
        <row r="8323">
          <cell r="K8323"/>
          <cell r="L8323">
            <v>45623</v>
          </cell>
          <cell r="M8323">
            <v>45623</v>
          </cell>
          <cell r="N8323">
            <v>45629</v>
          </cell>
          <cell r="O8323">
            <v>45623</v>
          </cell>
          <cell r="P8323">
            <v>45629</v>
          </cell>
          <cell r="Q8323">
            <v>45629</v>
          </cell>
          <cell r="R8323">
            <v>45629</v>
          </cell>
          <cell r="S8323"/>
          <cell r="T8323"/>
          <cell r="U8323" t="str">
            <v>TMS 기구 Module 작업</v>
          </cell>
          <cell r="V8323"/>
          <cell r="W8323"/>
          <cell r="X8323">
            <v>41200079</v>
          </cell>
        </row>
        <row r="8324">
          <cell r="K8324"/>
          <cell r="L8324">
            <v>45624</v>
          </cell>
          <cell r="M8324">
            <v>45624</v>
          </cell>
          <cell r="N8324">
            <v>45629</v>
          </cell>
          <cell r="O8324">
            <v>45624</v>
          </cell>
          <cell r="P8324">
            <v>45629</v>
          </cell>
          <cell r="Q8324">
            <v>45630</v>
          </cell>
          <cell r="R8324">
            <v>45630</v>
          </cell>
          <cell r="S8324"/>
          <cell r="T8324"/>
          <cell r="U8324" t="str">
            <v>TMS 기구 Module 작업</v>
          </cell>
          <cell r="V8324"/>
          <cell r="W8324"/>
          <cell r="X8324">
            <v>41200076</v>
          </cell>
        </row>
        <row r="8325">
          <cell r="K8325"/>
          <cell r="L8325">
            <v>45624</v>
          </cell>
          <cell r="M8325">
            <v>45624</v>
          </cell>
          <cell r="N8325">
            <v>45629</v>
          </cell>
          <cell r="O8325">
            <v>45624</v>
          </cell>
          <cell r="P8325">
            <v>45629</v>
          </cell>
          <cell r="Q8325">
            <v>45630</v>
          </cell>
          <cell r="R8325">
            <v>45630</v>
          </cell>
          <cell r="S8325"/>
          <cell r="T8325"/>
          <cell r="U8325" t="str">
            <v>TMS 기구 Module 작업</v>
          </cell>
          <cell r="V8325"/>
          <cell r="W8325"/>
          <cell r="X8325">
            <v>41200038</v>
          </cell>
        </row>
        <row r="8326">
          <cell r="K8326"/>
          <cell r="L8326">
            <v>45624</v>
          </cell>
          <cell r="M8326">
            <v>45624</v>
          </cell>
          <cell r="N8326">
            <v>45629</v>
          </cell>
          <cell r="O8326">
            <v>45624</v>
          </cell>
          <cell r="P8326">
            <v>45629</v>
          </cell>
          <cell r="Q8326">
            <v>45630</v>
          </cell>
          <cell r="R8326">
            <v>45630</v>
          </cell>
          <cell r="S8326"/>
          <cell r="T8326"/>
          <cell r="U8326" t="str">
            <v>TMS 기구 Module 작업</v>
          </cell>
          <cell r="V8326"/>
          <cell r="W8326"/>
          <cell r="X8326">
            <v>41200039</v>
          </cell>
        </row>
        <row r="8327">
          <cell r="K8327"/>
          <cell r="L8327">
            <v>45624</v>
          </cell>
          <cell r="M8327">
            <v>45624</v>
          </cell>
          <cell r="N8327">
            <v>45629</v>
          </cell>
          <cell r="O8327">
            <v>45624</v>
          </cell>
          <cell r="P8327">
            <v>45629</v>
          </cell>
          <cell r="Q8327">
            <v>45630</v>
          </cell>
          <cell r="R8327">
            <v>45630</v>
          </cell>
          <cell r="S8327"/>
          <cell r="T8327"/>
          <cell r="U8327" t="str">
            <v>TMS 기구 Module 작업</v>
          </cell>
          <cell r="V8327"/>
          <cell r="W8327"/>
          <cell r="X8327">
            <v>41200061</v>
          </cell>
        </row>
        <row r="8328">
          <cell r="K8328"/>
          <cell r="L8328">
            <v>45624</v>
          </cell>
          <cell r="M8328">
            <v>45624</v>
          </cell>
          <cell r="N8328">
            <v>45629</v>
          </cell>
          <cell r="O8328">
            <v>45624</v>
          </cell>
          <cell r="P8328">
            <v>45629</v>
          </cell>
          <cell r="Q8328">
            <v>45628</v>
          </cell>
          <cell r="R8328">
            <v>45628</v>
          </cell>
          <cell r="S8328"/>
          <cell r="T8328"/>
          <cell r="U8328" t="str">
            <v>TMS 기구 Module 작업</v>
          </cell>
          <cell r="V8328"/>
          <cell r="W8328"/>
          <cell r="X8328">
            <v>41100334</v>
          </cell>
        </row>
        <row r="8329">
          <cell r="K8329"/>
          <cell r="L8329">
            <v>45624</v>
          </cell>
          <cell r="M8329">
            <v>45624</v>
          </cell>
          <cell r="N8329">
            <v>45629</v>
          </cell>
          <cell r="O8329">
            <v>45624</v>
          </cell>
          <cell r="P8329">
            <v>45629</v>
          </cell>
          <cell r="Q8329">
            <v>45629</v>
          </cell>
          <cell r="R8329">
            <v>45629</v>
          </cell>
          <cell r="S8329"/>
          <cell r="T8329"/>
          <cell r="U8329" t="str">
            <v>TMS 기구 Module 작업</v>
          </cell>
          <cell r="V8329"/>
          <cell r="W8329"/>
          <cell r="X8329">
            <v>41100317</v>
          </cell>
        </row>
        <row r="8330">
          <cell r="K8330"/>
          <cell r="L8330">
            <v>45624</v>
          </cell>
          <cell r="M8330">
            <v>45624</v>
          </cell>
          <cell r="N8330">
            <v>45629</v>
          </cell>
          <cell r="O8330">
            <v>45624</v>
          </cell>
          <cell r="P8330">
            <v>45629</v>
          </cell>
          <cell r="Q8330">
            <v>45630</v>
          </cell>
          <cell r="R8330">
            <v>45630</v>
          </cell>
          <cell r="S8330"/>
          <cell r="T8330"/>
          <cell r="U8330" t="str">
            <v>TMS 기구 Module 작업</v>
          </cell>
          <cell r="V8330"/>
          <cell r="W8330"/>
          <cell r="X8330">
            <v>41200007</v>
          </cell>
        </row>
        <row r="8331">
          <cell r="K8331"/>
          <cell r="L8331">
            <v>45625</v>
          </cell>
          <cell r="M8331">
            <v>45625</v>
          </cell>
          <cell r="N8331">
            <v>45629</v>
          </cell>
          <cell r="O8331">
            <v>45625</v>
          </cell>
          <cell r="P8331">
            <v>45629</v>
          </cell>
          <cell r="Q8331">
            <v>45631</v>
          </cell>
          <cell r="R8331">
            <v>45631</v>
          </cell>
          <cell r="S8331"/>
          <cell r="T8331"/>
          <cell r="U8331" t="str">
            <v>TMS 기구 Module 작업</v>
          </cell>
          <cell r="V8331"/>
          <cell r="W8331"/>
          <cell r="X8331">
            <v>41200084</v>
          </cell>
        </row>
        <row r="8332">
          <cell r="K8332"/>
          <cell r="L8332">
            <v>45625</v>
          </cell>
          <cell r="M8332">
            <v>45625</v>
          </cell>
          <cell r="N8332">
            <v>45629</v>
          </cell>
          <cell r="O8332">
            <v>45625</v>
          </cell>
          <cell r="P8332">
            <v>45629</v>
          </cell>
          <cell r="Q8332">
            <v>45631</v>
          </cell>
          <cell r="R8332">
            <v>45631</v>
          </cell>
          <cell r="S8332"/>
          <cell r="T8332"/>
          <cell r="U8332" t="str">
            <v>TMS 기구 Module 작업</v>
          </cell>
          <cell r="V8332"/>
          <cell r="W8332"/>
          <cell r="X8332">
            <v>41200046</v>
          </cell>
        </row>
        <row r="8333">
          <cell r="K8333"/>
          <cell r="L8333">
            <v>45625</v>
          </cell>
          <cell r="M8333">
            <v>45625</v>
          </cell>
          <cell r="N8333">
            <v>45629</v>
          </cell>
          <cell r="O8333">
            <v>45625</v>
          </cell>
          <cell r="P8333">
            <v>45629</v>
          </cell>
          <cell r="Q8333">
            <v>45631</v>
          </cell>
          <cell r="R8333">
            <v>45631</v>
          </cell>
          <cell r="S8333"/>
          <cell r="T8333"/>
          <cell r="U8333" t="str">
            <v>TMS 기구 Module 작업</v>
          </cell>
          <cell r="V8333"/>
          <cell r="W8333"/>
          <cell r="X8333">
            <v>41200048</v>
          </cell>
        </row>
        <row r="8334">
          <cell r="K8334"/>
          <cell r="L8334">
            <v>45617</v>
          </cell>
          <cell r="M8334">
            <v>45617</v>
          </cell>
          <cell r="N8334">
            <v>45630</v>
          </cell>
          <cell r="O8334">
            <v>45617</v>
          </cell>
          <cell r="P8334">
            <v>45630</v>
          </cell>
          <cell r="Q8334" t="str">
            <v>2024-11-27 → 12/11</v>
          </cell>
          <cell r="R8334" t="str">
            <v>2024-11-27 → 12/11</v>
          </cell>
          <cell r="S8334"/>
          <cell r="T8334"/>
          <cell r="U8334" t="str">
            <v>TMS 기구 Module 작업</v>
          </cell>
          <cell r="V8334"/>
          <cell r="W8334"/>
          <cell r="X8334">
            <v>41100227</v>
          </cell>
        </row>
        <row r="8335">
          <cell r="K8335"/>
          <cell r="L8335">
            <v>45618</v>
          </cell>
          <cell r="M8335">
            <v>45618</v>
          </cell>
          <cell r="N8335">
            <v>45630</v>
          </cell>
          <cell r="O8335">
            <v>45618</v>
          </cell>
          <cell r="P8335">
            <v>45630</v>
          </cell>
          <cell r="Q8335" t="str">
            <v>2024-11-28 → 12/11</v>
          </cell>
          <cell r="R8335" t="str">
            <v>2024-11-28 → 12/11</v>
          </cell>
          <cell r="S8335"/>
          <cell r="T8335"/>
          <cell r="U8335" t="str">
            <v>TMS 기구 Module 작업</v>
          </cell>
          <cell r="V8335"/>
          <cell r="W8335"/>
          <cell r="X8335">
            <v>41200071</v>
          </cell>
        </row>
        <row r="8336">
          <cell r="K8336"/>
          <cell r="L8336">
            <v>45622</v>
          </cell>
          <cell r="M8336">
            <v>45622</v>
          </cell>
          <cell r="N8336">
            <v>45631</v>
          </cell>
          <cell r="O8336">
            <v>45622</v>
          </cell>
          <cell r="P8336">
            <v>45631</v>
          </cell>
          <cell r="Q8336" t="str">
            <v>2024-12-02 → 12/13</v>
          </cell>
          <cell r="R8336" t="str">
            <v>2024-12-02 → 12/13</v>
          </cell>
          <cell r="S8336"/>
          <cell r="T8336"/>
          <cell r="U8336" t="str">
            <v>TMS 기구 Module 작업</v>
          </cell>
          <cell r="V8336"/>
          <cell r="W8336"/>
          <cell r="X8336">
            <v>41200060</v>
          </cell>
        </row>
        <row r="8337">
          <cell r="K8337"/>
          <cell r="L8337">
            <v>45628</v>
          </cell>
          <cell r="M8337">
            <v>45628</v>
          </cell>
          <cell r="N8337">
            <v>45635</v>
          </cell>
          <cell r="O8337">
            <v>45628</v>
          </cell>
          <cell r="P8337">
            <v>45635</v>
          </cell>
          <cell r="Q8337">
            <v>45632</v>
          </cell>
          <cell r="R8337">
            <v>45632</v>
          </cell>
          <cell r="S8337"/>
          <cell r="T8337"/>
          <cell r="U8337" t="str">
            <v>TMS 기구 Module 작업</v>
          </cell>
          <cell r="V8337"/>
          <cell r="W8337"/>
          <cell r="X8337">
            <v>41100305</v>
          </cell>
        </row>
        <row r="8338">
          <cell r="K8338"/>
          <cell r="L8338">
            <v>45625</v>
          </cell>
          <cell r="M8338">
            <v>45625</v>
          </cell>
          <cell r="N8338">
            <v>45635</v>
          </cell>
          <cell r="O8338">
            <v>45625</v>
          </cell>
          <cell r="P8338">
            <v>45635</v>
          </cell>
          <cell r="Q8338">
            <v>45630</v>
          </cell>
          <cell r="R8338">
            <v>45630</v>
          </cell>
          <cell r="S8338"/>
          <cell r="T8338"/>
          <cell r="U8338" t="str">
            <v>TMS 기구 Module 작업</v>
          </cell>
          <cell r="V8338"/>
          <cell r="W8338"/>
          <cell r="X8338">
            <v>41200094</v>
          </cell>
        </row>
        <row r="8339">
          <cell r="K8339"/>
          <cell r="L8339">
            <v>45629</v>
          </cell>
          <cell r="M8339">
            <v>45629</v>
          </cell>
          <cell r="N8339">
            <v>45636</v>
          </cell>
          <cell r="O8339">
            <v>45629</v>
          </cell>
          <cell r="P8339">
            <v>45636</v>
          </cell>
          <cell r="Q8339">
            <v>45635</v>
          </cell>
          <cell r="R8339">
            <v>45635</v>
          </cell>
          <cell r="S8339"/>
          <cell r="T8339"/>
          <cell r="U8339" t="str">
            <v>TMS 기구 Module 작업</v>
          </cell>
          <cell r="V8339"/>
          <cell r="W8339"/>
          <cell r="X8339">
            <v>41100286</v>
          </cell>
        </row>
        <row r="8340">
          <cell r="K8340"/>
          <cell r="L8340">
            <v>45630</v>
          </cell>
          <cell r="M8340">
            <v>45630</v>
          </cell>
          <cell r="N8340">
            <v>45636</v>
          </cell>
          <cell r="O8340">
            <v>45630</v>
          </cell>
          <cell r="P8340">
            <v>45636</v>
          </cell>
          <cell r="Q8340">
            <v>45636</v>
          </cell>
          <cell r="R8340">
            <v>45636</v>
          </cell>
          <cell r="S8340"/>
          <cell r="T8340"/>
          <cell r="U8340" t="str">
            <v>TMS 기구 Module 작업</v>
          </cell>
          <cell r="V8340"/>
          <cell r="W8340"/>
          <cell r="X8340">
            <v>41100320</v>
          </cell>
        </row>
        <row r="8341">
          <cell r="K8341"/>
          <cell r="L8341">
            <v>45630</v>
          </cell>
          <cell r="M8341">
            <v>45630</v>
          </cell>
          <cell r="N8341">
            <v>45636</v>
          </cell>
          <cell r="O8341">
            <v>45630</v>
          </cell>
          <cell r="P8341">
            <v>45636</v>
          </cell>
          <cell r="Q8341">
            <v>45636</v>
          </cell>
          <cell r="R8341">
            <v>45636</v>
          </cell>
          <cell r="S8341"/>
          <cell r="T8341"/>
          <cell r="U8341" t="str">
            <v>TMS 기구 Module 작업</v>
          </cell>
          <cell r="V8341"/>
          <cell r="W8341"/>
          <cell r="X8341">
            <v>41100372</v>
          </cell>
        </row>
        <row r="8342">
          <cell r="K8342"/>
          <cell r="L8342">
            <v>45630</v>
          </cell>
          <cell r="M8342">
            <v>45630</v>
          </cell>
          <cell r="N8342">
            <v>45636</v>
          </cell>
          <cell r="O8342">
            <v>45630</v>
          </cell>
          <cell r="P8342">
            <v>45636</v>
          </cell>
          <cell r="Q8342">
            <v>45635</v>
          </cell>
          <cell r="R8342">
            <v>45635</v>
          </cell>
          <cell r="S8342"/>
          <cell r="T8342"/>
          <cell r="U8342" t="str">
            <v>TMS 기구 Module 작업</v>
          </cell>
          <cell r="V8342"/>
          <cell r="W8342"/>
          <cell r="X8342">
            <v>41200090</v>
          </cell>
        </row>
        <row r="8343">
          <cell r="K8343"/>
          <cell r="L8343">
            <v>45630</v>
          </cell>
          <cell r="M8343">
            <v>45630</v>
          </cell>
          <cell r="N8343">
            <v>45636</v>
          </cell>
          <cell r="O8343">
            <v>45630</v>
          </cell>
          <cell r="P8343">
            <v>45636</v>
          </cell>
          <cell r="Q8343">
            <v>45636</v>
          </cell>
          <cell r="R8343">
            <v>45636</v>
          </cell>
          <cell r="S8343"/>
          <cell r="T8343"/>
          <cell r="U8343" t="str">
            <v>TMS 기구 Module 작업</v>
          </cell>
          <cell r="V8343"/>
          <cell r="W8343"/>
          <cell r="X8343">
            <v>41200061</v>
          </cell>
        </row>
        <row r="8344">
          <cell r="K8344"/>
          <cell r="L8344">
            <v>45630</v>
          </cell>
          <cell r="M8344">
            <v>45630</v>
          </cell>
          <cell r="N8344">
            <v>45636</v>
          </cell>
          <cell r="O8344">
            <v>45630</v>
          </cell>
          <cell r="P8344">
            <v>45636</v>
          </cell>
          <cell r="Q8344">
            <v>45635</v>
          </cell>
          <cell r="R8344">
            <v>45635</v>
          </cell>
          <cell r="S8344"/>
          <cell r="T8344"/>
          <cell r="U8344" t="str">
            <v>TMS 기구 Module 작업</v>
          </cell>
          <cell r="V8344"/>
          <cell r="W8344"/>
          <cell r="X8344">
            <v>41200061</v>
          </cell>
        </row>
        <row r="8345">
          <cell r="K8345"/>
          <cell r="L8345">
            <v>45630</v>
          </cell>
          <cell r="M8345" t="str">
            <v>2024-12-04 → 12/11</v>
          </cell>
          <cell r="N8345">
            <v>45636</v>
          </cell>
          <cell r="O8345" t="str">
            <v>2024-12-04 → 12/11</v>
          </cell>
          <cell r="P8345">
            <v>45636</v>
          </cell>
          <cell r="Q8345" t="str">
            <v>2024-12-09 → 12/17</v>
          </cell>
          <cell r="R8345" t="str">
            <v>2024-12-09 → 12/17</v>
          </cell>
          <cell r="S8345"/>
          <cell r="T8345"/>
          <cell r="U8345" t="str">
            <v>TMS 기구 Module 작업</v>
          </cell>
          <cell r="V8345"/>
          <cell r="W8345"/>
          <cell r="X8345">
            <v>41200061</v>
          </cell>
        </row>
        <row r="8346">
          <cell r="K8346"/>
          <cell r="L8346">
            <v>45631</v>
          </cell>
          <cell r="M8346">
            <v>45631</v>
          </cell>
          <cell r="N8346">
            <v>45636</v>
          </cell>
          <cell r="O8346">
            <v>45631</v>
          </cell>
          <cell r="P8346">
            <v>45636</v>
          </cell>
          <cell r="Q8346">
            <v>45637</v>
          </cell>
          <cell r="R8346">
            <v>45637</v>
          </cell>
          <cell r="S8346"/>
          <cell r="T8346"/>
          <cell r="U8346" t="str">
            <v>TMS 기구 Module 작업</v>
          </cell>
          <cell r="V8346"/>
          <cell r="W8346"/>
          <cell r="X8346">
            <v>41200027</v>
          </cell>
        </row>
        <row r="8347">
          <cell r="K8347"/>
          <cell r="L8347">
            <v>45631</v>
          </cell>
          <cell r="M8347">
            <v>45631</v>
          </cell>
          <cell r="N8347">
            <v>45636</v>
          </cell>
          <cell r="O8347">
            <v>45631</v>
          </cell>
          <cell r="P8347">
            <v>45636</v>
          </cell>
          <cell r="Q8347">
            <v>45637</v>
          </cell>
          <cell r="R8347">
            <v>45637</v>
          </cell>
          <cell r="S8347"/>
          <cell r="T8347"/>
          <cell r="U8347" t="str">
            <v>TMS 기구 Module 작업</v>
          </cell>
          <cell r="V8347"/>
          <cell r="W8347"/>
          <cell r="X8347">
            <v>41200075</v>
          </cell>
        </row>
        <row r="8348">
          <cell r="K8348"/>
          <cell r="L8348">
            <v>45631</v>
          </cell>
          <cell r="M8348">
            <v>45631</v>
          </cell>
          <cell r="N8348">
            <v>45636</v>
          </cell>
          <cell r="O8348">
            <v>45631</v>
          </cell>
          <cell r="P8348">
            <v>45636</v>
          </cell>
          <cell r="Q8348">
            <v>45637</v>
          </cell>
          <cell r="R8348">
            <v>45637</v>
          </cell>
          <cell r="S8348"/>
          <cell r="T8348"/>
          <cell r="U8348" t="str">
            <v>TMS 기구 Module 작업</v>
          </cell>
          <cell r="V8348"/>
          <cell r="W8348"/>
          <cell r="X8348">
            <v>41200079</v>
          </cell>
        </row>
        <row r="8349">
          <cell r="K8349"/>
          <cell r="L8349">
            <v>45631</v>
          </cell>
          <cell r="M8349">
            <v>45631</v>
          </cell>
          <cell r="N8349">
            <v>45636</v>
          </cell>
          <cell r="O8349">
            <v>45631</v>
          </cell>
          <cell r="P8349">
            <v>45636</v>
          </cell>
          <cell r="Q8349">
            <v>45637</v>
          </cell>
          <cell r="R8349">
            <v>45637</v>
          </cell>
          <cell r="S8349"/>
          <cell r="T8349"/>
          <cell r="U8349" t="str">
            <v>TMS 기구 Module 작업</v>
          </cell>
          <cell r="V8349"/>
          <cell r="W8349"/>
          <cell r="X8349">
            <v>41000556</v>
          </cell>
        </row>
        <row r="8350">
          <cell r="K8350"/>
          <cell r="L8350">
            <v>45632</v>
          </cell>
          <cell r="M8350">
            <v>45632</v>
          </cell>
          <cell r="N8350">
            <v>45637</v>
          </cell>
          <cell r="O8350">
            <v>45632</v>
          </cell>
          <cell r="P8350">
            <v>45637</v>
          </cell>
          <cell r="Q8350">
            <v>45638</v>
          </cell>
          <cell r="R8350">
            <v>45638</v>
          </cell>
          <cell r="S8350"/>
          <cell r="T8350"/>
          <cell r="U8350" t="str">
            <v>TMS 기구 Module 작업</v>
          </cell>
          <cell r="V8350"/>
          <cell r="W8350"/>
          <cell r="X8350">
            <v>41200076</v>
          </cell>
        </row>
        <row r="8351">
          <cell r="K8351"/>
          <cell r="L8351">
            <v>45635</v>
          </cell>
          <cell r="M8351">
            <v>45635</v>
          </cell>
          <cell r="N8351">
            <v>45639</v>
          </cell>
          <cell r="O8351">
            <v>45635</v>
          </cell>
          <cell r="P8351">
            <v>45639</v>
          </cell>
          <cell r="Q8351">
            <v>45639</v>
          </cell>
          <cell r="R8351">
            <v>45639</v>
          </cell>
          <cell r="S8351"/>
          <cell r="T8351"/>
          <cell r="U8351" t="str">
            <v>TMS 기구 Module 작업</v>
          </cell>
          <cell r="V8351"/>
          <cell r="W8351"/>
          <cell r="X8351">
            <v>41200029</v>
          </cell>
        </row>
        <row r="8352">
          <cell r="K8352"/>
          <cell r="L8352">
            <v>45637</v>
          </cell>
          <cell r="M8352">
            <v>45637</v>
          </cell>
          <cell r="N8352">
            <v>45639</v>
          </cell>
          <cell r="O8352">
            <v>45637</v>
          </cell>
          <cell r="P8352">
            <v>45639</v>
          </cell>
          <cell r="Q8352">
            <v>45639</v>
          </cell>
          <cell r="R8352">
            <v>45639</v>
          </cell>
          <cell r="S8352"/>
          <cell r="T8352"/>
          <cell r="U8352" t="str">
            <v>TMS 기구 Module 작업</v>
          </cell>
          <cell r="V8352"/>
          <cell r="W8352"/>
          <cell r="X8352">
            <v>41200042</v>
          </cell>
        </row>
        <row r="8353">
          <cell r="K8353"/>
          <cell r="L8353">
            <v>45636</v>
          </cell>
          <cell r="M8353">
            <v>45636</v>
          </cell>
          <cell r="N8353">
            <v>45642</v>
          </cell>
          <cell r="O8353">
            <v>45636</v>
          </cell>
          <cell r="P8353">
            <v>45642</v>
          </cell>
          <cell r="Q8353">
            <v>45642</v>
          </cell>
          <cell r="R8353">
            <v>45642</v>
          </cell>
          <cell r="S8353"/>
          <cell r="T8353"/>
          <cell r="U8353" t="str">
            <v>TMS 기구 Module 작업</v>
          </cell>
          <cell r="V8353"/>
          <cell r="W8353"/>
          <cell r="X8353">
            <v>41000539</v>
          </cell>
        </row>
        <row r="8354">
          <cell r="K8354"/>
          <cell r="L8354">
            <v>45637</v>
          </cell>
          <cell r="M8354">
            <v>45637</v>
          </cell>
          <cell r="N8354">
            <v>45642</v>
          </cell>
          <cell r="O8354">
            <v>45637</v>
          </cell>
          <cell r="P8354">
            <v>45642</v>
          </cell>
          <cell r="Q8354">
            <v>45642</v>
          </cell>
          <cell r="R8354">
            <v>45642</v>
          </cell>
          <cell r="S8354"/>
          <cell r="T8354"/>
          <cell r="U8354" t="str">
            <v>TMS 기구 Module 작업</v>
          </cell>
          <cell r="V8354"/>
          <cell r="W8354"/>
          <cell r="X8354">
            <v>41200085</v>
          </cell>
        </row>
        <row r="8355">
          <cell r="K8355"/>
          <cell r="L8355">
            <v>45637</v>
          </cell>
          <cell r="M8355">
            <v>45637</v>
          </cell>
          <cell r="N8355">
            <v>45642</v>
          </cell>
          <cell r="O8355">
            <v>45637</v>
          </cell>
          <cell r="P8355">
            <v>45642</v>
          </cell>
          <cell r="Q8355">
            <v>45643</v>
          </cell>
          <cell r="R8355">
            <v>45643</v>
          </cell>
          <cell r="S8355"/>
          <cell r="T8355"/>
          <cell r="U8355" t="str">
            <v>TMS 기구 Module 작업</v>
          </cell>
          <cell r="V8355"/>
          <cell r="W8355"/>
          <cell r="X8355">
            <v>41100372</v>
          </cell>
        </row>
        <row r="8356">
          <cell r="K8356"/>
          <cell r="L8356">
            <v>45637</v>
          </cell>
          <cell r="M8356">
            <v>45637</v>
          </cell>
          <cell r="N8356">
            <v>45642</v>
          </cell>
          <cell r="O8356">
            <v>45637</v>
          </cell>
          <cell r="P8356">
            <v>45642</v>
          </cell>
          <cell r="Q8356">
            <v>45643</v>
          </cell>
          <cell r="R8356">
            <v>45643</v>
          </cell>
          <cell r="S8356"/>
          <cell r="T8356"/>
          <cell r="U8356" t="str">
            <v>TMS 기구 Module 작업</v>
          </cell>
          <cell r="V8356"/>
          <cell r="W8356"/>
          <cell r="X8356">
            <v>41100374</v>
          </cell>
        </row>
        <row r="8357">
          <cell r="K8357"/>
          <cell r="L8357">
            <v>45638</v>
          </cell>
          <cell r="M8357">
            <v>45638</v>
          </cell>
          <cell r="N8357">
            <v>45642</v>
          </cell>
          <cell r="O8357">
            <v>45638</v>
          </cell>
          <cell r="P8357">
            <v>45642</v>
          </cell>
          <cell r="Q8357">
            <v>45643</v>
          </cell>
          <cell r="R8357">
            <v>45643</v>
          </cell>
          <cell r="S8357"/>
          <cell r="T8357"/>
          <cell r="U8357" t="str">
            <v>TMS 기구 Module 작업</v>
          </cell>
          <cell r="V8357"/>
          <cell r="W8357"/>
          <cell r="X8357">
            <v>41200034</v>
          </cell>
        </row>
        <row r="8358">
          <cell r="K8358"/>
          <cell r="L8358">
            <v>45638</v>
          </cell>
          <cell r="M8358">
            <v>45638</v>
          </cell>
          <cell r="N8358">
            <v>45642</v>
          </cell>
          <cell r="O8358">
            <v>45638</v>
          </cell>
          <cell r="P8358">
            <v>45642</v>
          </cell>
          <cell r="Q8358">
            <v>45644</v>
          </cell>
          <cell r="R8358">
            <v>45644</v>
          </cell>
          <cell r="S8358"/>
          <cell r="T8358"/>
          <cell r="U8358" t="str">
            <v>TMS 기구 Module 작업</v>
          </cell>
          <cell r="V8358"/>
          <cell r="W8358"/>
          <cell r="X8358">
            <v>41100334</v>
          </cell>
        </row>
        <row r="8359">
          <cell r="K8359"/>
          <cell r="L8359">
            <v>45639</v>
          </cell>
          <cell r="M8359">
            <v>45639</v>
          </cell>
          <cell r="N8359">
            <v>45642</v>
          </cell>
          <cell r="O8359">
            <v>45639</v>
          </cell>
          <cell r="P8359">
            <v>45642</v>
          </cell>
          <cell r="Q8359">
            <v>45645</v>
          </cell>
          <cell r="R8359">
            <v>45645</v>
          </cell>
          <cell r="S8359"/>
          <cell r="T8359"/>
          <cell r="U8359" t="str">
            <v>TMS 기구 Module 작업</v>
          </cell>
          <cell r="V8359"/>
          <cell r="W8359"/>
          <cell r="X8359">
            <v>41200076</v>
          </cell>
        </row>
        <row r="8360">
          <cell r="K8360"/>
          <cell r="L8360">
            <v>45639</v>
          </cell>
          <cell r="M8360">
            <v>45639</v>
          </cell>
          <cell r="N8360">
            <v>45642</v>
          </cell>
          <cell r="O8360">
            <v>45639</v>
          </cell>
          <cell r="P8360">
            <v>45642</v>
          </cell>
          <cell r="Q8360">
            <v>45645</v>
          </cell>
          <cell r="R8360">
            <v>45645</v>
          </cell>
          <cell r="S8360"/>
          <cell r="T8360"/>
          <cell r="U8360" t="str">
            <v>TMS 기구 Module 작업</v>
          </cell>
          <cell r="V8360"/>
          <cell r="W8360"/>
          <cell r="X8360">
            <v>41200076</v>
          </cell>
        </row>
        <row r="8361">
          <cell r="K8361"/>
          <cell r="L8361">
            <v>45642</v>
          </cell>
          <cell r="M8361">
            <v>45642</v>
          </cell>
          <cell r="N8361">
            <v>45644</v>
          </cell>
          <cell r="O8361">
            <v>45642</v>
          </cell>
          <cell r="P8361">
            <v>45644</v>
          </cell>
          <cell r="Q8361">
            <v>45646</v>
          </cell>
          <cell r="R8361">
            <v>45646</v>
          </cell>
          <cell r="S8361"/>
          <cell r="T8361"/>
          <cell r="U8361" t="str">
            <v>TMS 기구 Module 작업</v>
          </cell>
          <cell r="V8361"/>
          <cell r="W8361"/>
          <cell r="X8361">
            <v>41100320</v>
          </cell>
        </row>
        <row r="8362">
          <cell r="K8362"/>
          <cell r="L8362">
            <v>45642</v>
          </cell>
          <cell r="M8362">
            <v>45642</v>
          </cell>
          <cell r="N8362">
            <v>45644</v>
          </cell>
          <cell r="O8362">
            <v>45642</v>
          </cell>
          <cell r="P8362">
            <v>45644</v>
          </cell>
          <cell r="Q8362">
            <v>45646</v>
          </cell>
          <cell r="R8362">
            <v>45646</v>
          </cell>
          <cell r="S8362"/>
          <cell r="T8362"/>
          <cell r="U8362" t="str">
            <v>TMS 기구 Module 작업</v>
          </cell>
          <cell r="V8362"/>
          <cell r="W8362"/>
          <cell r="X8362">
            <v>41100320</v>
          </cell>
        </row>
        <row r="8363">
          <cell r="K8363"/>
          <cell r="L8363">
            <v>45642</v>
          </cell>
          <cell r="M8363">
            <v>45642</v>
          </cell>
          <cell r="N8363">
            <v>45644</v>
          </cell>
          <cell r="O8363">
            <v>45642</v>
          </cell>
          <cell r="P8363">
            <v>45644</v>
          </cell>
          <cell r="Q8363">
            <v>45646</v>
          </cell>
          <cell r="R8363">
            <v>45646</v>
          </cell>
          <cell r="S8363"/>
          <cell r="T8363"/>
          <cell r="U8363" t="str">
            <v>TMS 기구 Module 작업</v>
          </cell>
          <cell r="V8363"/>
          <cell r="W8363"/>
          <cell r="X8363">
            <v>41200034</v>
          </cell>
        </row>
        <row r="8364">
          <cell r="K8364"/>
          <cell r="L8364">
            <v>45644</v>
          </cell>
          <cell r="M8364">
            <v>45644</v>
          </cell>
          <cell r="N8364">
            <v>45644</v>
          </cell>
          <cell r="O8364">
            <v>45644</v>
          </cell>
          <cell r="P8364">
            <v>45644</v>
          </cell>
          <cell r="Q8364">
            <v>45646</v>
          </cell>
          <cell r="R8364">
            <v>45646</v>
          </cell>
          <cell r="S8364"/>
          <cell r="T8364"/>
          <cell r="U8364" t="str">
            <v>TMS 기구 Module 작업</v>
          </cell>
          <cell r="V8364"/>
          <cell r="W8364"/>
          <cell r="X8364">
            <v>41100318</v>
          </cell>
        </row>
        <row r="8365">
          <cell r="K8365"/>
          <cell r="L8365">
            <v>45644</v>
          </cell>
          <cell r="M8365">
            <v>45644</v>
          </cell>
          <cell r="N8365">
            <v>45644</v>
          </cell>
          <cell r="O8365">
            <v>45644</v>
          </cell>
          <cell r="P8365">
            <v>45644</v>
          </cell>
          <cell r="Q8365">
            <v>45646</v>
          </cell>
          <cell r="R8365">
            <v>45646</v>
          </cell>
          <cell r="S8365"/>
          <cell r="T8365"/>
          <cell r="U8365" t="str">
            <v>TMS 기구 Module 작업</v>
          </cell>
          <cell r="V8365"/>
          <cell r="W8365"/>
          <cell r="X8365">
            <v>41000556</v>
          </cell>
        </row>
        <row r="8366">
          <cell r="K8366"/>
          <cell r="L8366">
            <v>45645</v>
          </cell>
          <cell r="M8366">
            <v>45645</v>
          </cell>
          <cell r="N8366">
            <v>45645</v>
          </cell>
          <cell r="O8366">
            <v>45645</v>
          </cell>
          <cell r="P8366">
            <v>45645</v>
          </cell>
          <cell r="Q8366">
            <v>45652</v>
          </cell>
          <cell r="R8366">
            <v>45652</v>
          </cell>
          <cell r="S8366"/>
          <cell r="T8366"/>
          <cell r="U8366" t="str">
            <v>TMS 기구 Module 작업</v>
          </cell>
          <cell r="V8366"/>
          <cell r="W8366"/>
          <cell r="X8366">
            <v>41100317</v>
          </cell>
        </row>
        <row r="8367">
          <cell r="K8367"/>
          <cell r="L8367">
            <v>45645</v>
          </cell>
          <cell r="M8367">
            <v>45645</v>
          </cell>
          <cell r="N8367">
            <v>45645</v>
          </cell>
          <cell r="O8367">
            <v>45645</v>
          </cell>
          <cell r="P8367">
            <v>45645</v>
          </cell>
          <cell r="Q8367">
            <v>45652</v>
          </cell>
          <cell r="R8367">
            <v>45652</v>
          </cell>
          <cell r="S8367"/>
          <cell r="T8367"/>
          <cell r="U8367" t="str">
            <v>TMS 기구 Module 작업</v>
          </cell>
          <cell r="V8367"/>
          <cell r="W8367"/>
          <cell r="X8367">
            <v>41100372</v>
          </cell>
        </row>
        <row r="8368">
          <cell r="K8368"/>
          <cell r="L8368">
            <v>45645</v>
          </cell>
          <cell r="M8368">
            <v>45645</v>
          </cell>
          <cell r="N8368">
            <v>45645</v>
          </cell>
          <cell r="O8368">
            <v>45645</v>
          </cell>
          <cell r="P8368">
            <v>45645</v>
          </cell>
          <cell r="Q8368">
            <v>45652</v>
          </cell>
          <cell r="R8368">
            <v>45652</v>
          </cell>
          <cell r="S8368"/>
          <cell r="T8368"/>
          <cell r="U8368" t="str">
            <v>TMS 기구 Module 작업</v>
          </cell>
          <cell r="V8368"/>
          <cell r="W8368"/>
          <cell r="X8368">
            <v>41200088</v>
          </cell>
        </row>
        <row r="8369">
          <cell r="K8369"/>
          <cell r="L8369">
            <v>45645</v>
          </cell>
          <cell r="M8369">
            <v>45645</v>
          </cell>
          <cell r="N8369">
            <v>45645</v>
          </cell>
          <cell r="O8369">
            <v>45645</v>
          </cell>
          <cell r="P8369">
            <v>45645</v>
          </cell>
          <cell r="Q8369">
            <v>45652</v>
          </cell>
          <cell r="R8369">
            <v>45652</v>
          </cell>
          <cell r="S8369"/>
          <cell r="T8369"/>
          <cell r="U8369" t="str">
            <v>TMS 기구 Module 작업</v>
          </cell>
          <cell r="V8369"/>
          <cell r="W8369"/>
          <cell r="X8369">
            <v>41200088</v>
          </cell>
        </row>
        <row r="8370">
          <cell r="K8370"/>
          <cell r="L8370">
            <v>45649</v>
          </cell>
          <cell r="M8370">
            <v>45649</v>
          </cell>
          <cell r="N8370">
            <v>45649</v>
          </cell>
          <cell r="O8370">
            <v>45649</v>
          </cell>
          <cell r="P8370">
            <v>45649</v>
          </cell>
          <cell r="Q8370">
            <v>45659</v>
          </cell>
          <cell r="R8370">
            <v>45659</v>
          </cell>
          <cell r="S8370"/>
          <cell r="T8370"/>
          <cell r="U8370" t="str">
            <v>TMS 기구 Module 작업</v>
          </cell>
          <cell r="V8370"/>
          <cell r="W8370"/>
          <cell r="X8370">
            <v>41200076</v>
          </cell>
        </row>
        <row r="8371">
          <cell r="K8371"/>
          <cell r="L8371">
            <v>45644</v>
          </cell>
          <cell r="M8371">
            <v>45644</v>
          </cell>
          <cell r="N8371">
            <v>45653</v>
          </cell>
          <cell r="O8371">
            <v>45644</v>
          </cell>
          <cell r="P8371">
            <v>45653</v>
          </cell>
          <cell r="Q8371">
            <v>45649</v>
          </cell>
          <cell r="R8371">
            <v>45649</v>
          </cell>
          <cell r="S8371"/>
          <cell r="T8371"/>
          <cell r="U8371" t="str">
            <v>TMS 기구 Module 작업</v>
          </cell>
          <cell r="V8371"/>
          <cell r="W8371"/>
          <cell r="X8371">
            <v>41200100</v>
          </cell>
        </row>
        <row r="8372">
          <cell r="K8372"/>
          <cell r="L8372">
            <v>45650</v>
          </cell>
          <cell r="M8372">
            <v>45650</v>
          </cell>
          <cell r="N8372">
            <v>45650</v>
          </cell>
          <cell r="O8372">
            <v>45650</v>
          </cell>
          <cell r="P8372">
            <v>45650</v>
          </cell>
          <cell r="Q8372">
            <v>45659</v>
          </cell>
          <cell r="R8372">
            <v>45659</v>
          </cell>
          <cell r="S8372"/>
          <cell r="T8372"/>
          <cell r="U8372" t="str">
            <v>TMS 기구 Module 작업</v>
          </cell>
          <cell r="V8372"/>
          <cell r="W8372"/>
          <cell r="X8372">
            <v>41200075</v>
          </cell>
        </row>
        <row r="8373">
          <cell r="K8373"/>
          <cell r="L8373">
            <v>45650</v>
          </cell>
          <cell r="M8373">
            <v>45650</v>
          </cell>
          <cell r="N8373">
            <v>45650</v>
          </cell>
          <cell r="O8373">
            <v>45650</v>
          </cell>
          <cell r="P8373">
            <v>45650</v>
          </cell>
          <cell r="Q8373">
            <v>45660</v>
          </cell>
          <cell r="R8373">
            <v>45660</v>
          </cell>
          <cell r="S8373"/>
          <cell r="T8373"/>
          <cell r="U8373" t="str">
            <v>TMS 기구 Module 작업</v>
          </cell>
          <cell r="V8373"/>
          <cell r="W8373"/>
          <cell r="X8373">
            <v>41100334</v>
          </cell>
        </row>
        <row r="8374">
          <cell r="K8374"/>
          <cell r="L8374">
            <v>45650</v>
          </cell>
          <cell r="M8374">
            <v>45650</v>
          </cell>
          <cell r="N8374">
            <v>45650</v>
          </cell>
          <cell r="O8374">
            <v>45650</v>
          </cell>
          <cell r="P8374">
            <v>45650</v>
          </cell>
          <cell r="Q8374">
            <v>45660</v>
          </cell>
          <cell r="R8374">
            <v>45660</v>
          </cell>
          <cell r="S8374"/>
          <cell r="T8374"/>
          <cell r="U8374" t="str">
            <v>TMS 기구 Module 작업</v>
          </cell>
          <cell r="V8374"/>
          <cell r="W8374"/>
          <cell r="X8374">
            <v>41200075</v>
          </cell>
        </row>
        <row r="8375">
          <cell r="K8375"/>
          <cell r="L8375">
            <v>45650</v>
          </cell>
          <cell r="M8375">
            <v>45650</v>
          </cell>
          <cell r="N8375">
            <v>45650</v>
          </cell>
          <cell r="O8375">
            <v>45650</v>
          </cell>
          <cell r="P8375">
            <v>45650</v>
          </cell>
          <cell r="Q8375">
            <v>45660</v>
          </cell>
          <cell r="R8375">
            <v>45660</v>
          </cell>
          <cell r="S8375"/>
          <cell r="T8375"/>
          <cell r="U8375" t="str">
            <v>TMS 기구 Module 작업</v>
          </cell>
          <cell r="V8375"/>
          <cell r="W8375"/>
          <cell r="X8375">
            <v>41100374</v>
          </cell>
        </row>
        <row r="8376">
          <cell r="K8376"/>
          <cell r="L8376">
            <v>45652</v>
          </cell>
          <cell r="M8376">
            <v>45652</v>
          </cell>
          <cell r="N8376">
            <v>45652</v>
          </cell>
          <cell r="O8376">
            <v>45652</v>
          </cell>
          <cell r="P8376">
            <v>45652</v>
          </cell>
          <cell r="Q8376">
            <v>45663</v>
          </cell>
          <cell r="R8376">
            <v>45663</v>
          </cell>
          <cell r="S8376"/>
          <cell r="T8376"/>
          <cell r="U8376" t="str">
            <v>TMS 기구 Module 작업</v>
          </cell>
          <cell r="V8376"/>
          <cell r="W8376"/>
          <cell r="X8376">
            <v>41100320</v>
          </cell>
        </row>
        <row r="8377">
          <cell r="K8377"/>
          <cell r="L8377">
            <v>45653</v>
          </cell>
          <cell r="M8377">
            <v>45653</v>
          </cell>
          <cell r="N8377">
            <v>45653</v>
          </cell>
          <cell r="O8377">
            <v>45653</v>
          </cell>
          <cell r="P8377">
            <v>45653</v>
          </cell>
          <cell r="Q8377">
            <v>45663</v>
          </cell>
          <cell r="R8377">
            <v>45663</v>
          </cell>
          <cell r="S8377"/>
          <cell r="T8377"/>
          <cell r="U8377" t="str">
            <v>TMS 기구 Module 작업</v>
          </cell>
          <cell r="V8377"/>
          <cell r="W8377"/>
          <cell r="X8377">
            <v>41200075</v>
          </cell>
        </row>
        <row r="8378">
          <cell r="K8378"/>
          <cell r="L8378">
            <v>45653</v>
          </cell>
          <cell r="M8378">
            <v>45653</v>
          </cell>
          <cell r="N8378">
            <v>45653</v>
          </cell>
          <cell r="O8378">
            <v>45653</v>
          </cell>
          <cell r="P8378">
            <v>45653</v>
          </cell>
          <cell r="Q8378">
            <v>45664</v>
          </cell>
          <cell r="R8378">
            <v>45664</v>
          </cell>
          <cell r="S8378"/>
          <cell r="T8378"/>
          <cell r="U8378" t="str">
            <v>TMS 기구 Module 작업</v>
          </cell>
          <cell r="V8378"/>
          <cell r="W8378"/>
          <cell r="X8378">
            <v>41200076</v>
          </cell>
        </row>
        <row r="8379">
          <cell r="K8379"/>
          <cell r="L8379">
            <v>45653</v>
          </cell>
          <cell r="M8379">
            <v>45653</v>
          </cell>
          <cell r="N8379">
            <v>45653</v>
          </cell>
          <cell r="O8379">
            <v>45653</v>
          </cell>
          <cell r="P8379">
            <v>45653</v>
          </cell>
          <cell r="Q8379">
            <v>45664</v>
          </cell>
          <cell r="R8379">
            <v>45664</v>
          </cell>
          <cell r="S8379"/>
          <cell r="T8379"/>
          <cell r="U8379" t="str">
            <v>TMS 기구 Module 작업</v>
          </cell>
          <cell r="V8379"/>
          <cell r="W8379"/>
          <cell r="X8379">
            <v>41200088</v>
          </cell>
        </row>
        <row r="8380">
          <cell r="K8380"/>
          <cell r="L8380">
            <v>45653</v>
          </cell>
          <cell r="M8380">
            <v>45653</v>
          </cell>
          <cell r="N8380">
            <v>45653</v>
          </cell>
          <cell r="O8380">
            <v>45653</v>
          </cell>
          <cell r="P8380">
            <v>45653</v>
          </cell>
          <cell r="Q8380">
            <v>45664</v>
          </cell>
          <cell r="R8380">
            <v>45664</v>
          </cell>
          <cell r="S8380"/>
          <cell r="T8380"/>
          <cell r="U8380" t="str">
            <v>TMS 기구 Module 작업</v>
          </cell>
          <cell r="V8380"/>
          <cell r="W8380"/>
          <cell r="X8380">
            <v>41200095</v>
          </cell>
        </row>
        <row r="8381">
          <cell r="K8381"/>
          <cell r="L8381">
            <v>45653</v>
          </cell>
          <cell r="M8381">
            <v>45653</v>
          </cell>
          <cell r="N8381">
            <v>45653</v>
          </cell>
          <cell r="O8381">
            <v>45653</v>
          </cell>
          <cell r="P8381">
            <v>45653</v>
          </cell>
          <cell r="Q8381">
            <v>45664</v>
          </cell>
          <cell r="R8381">
            <v>45664</v>
          </cell>
          <cell r="S8381"/>
          <cell r="T8381"/>
          <cell r="U8381" t="str">
            <v>TMS 기구 Module 작업</v>
          </cell>
          <cell r="V8381"/>
          <cell r="W8381"/>
          <cell r="X8381">
            <v>41200038</v>
          </cell>
        </row>
        <row r="8382">
          <cell r="K8382"/>
          <cell r="L8382">
            <v>45652</v>
          </cell>
          <cell r="M8382">
            <v>45652</v>
          </cell>
          <cell r="N8382">
            <v>45660</v>
          </cell>
          <cell r="O8382">
            <v>45652</v>
          </cell>
          <cell r="P8382">
            <v>45660</v>
          </cell>
          <cell r="Q8382" t="str">
            <v>2025-01-06 → 1/3</v>
          </cell>
          <cell r="R8382" t="str">
            <v>2025-01-06 → 1/3</v>
          </cell>
          <cell r="S8382"/>
          <cell r="T8382"/>
          <cell r="U8382" t="str">
            <v>TMS 기구 Module 작업</v>
          </cell>
          <cell r="V8382"/>
          <cell r="W8382"/>
          <cell r="X8382">
            <v>41200007</v>
          </cell>
        </row>
        <row r="8383">
          <cell r="K8383"/>
          <cell r="L8383">
            <v>45652</v>
          </cell>
          <cell r="M8383">
            <v>45652</v>
          </cell>
          <cell r="N8383">
            <v>45660</v>
          </cell>
          <cell r="O8383">
            <v>45652</v>
          </cell>
          <cell r="P8383">
            <v>45660</v>
          </cell>
          <cell r="Q8383">
            <v>45663</v>
          </cell>
          <cell r="R8383">
            <v>45663</v>
          </cell>
          <cell r="S8383"/>
          <cell r="T8383"/>
          <cell r="U8383" t="str">
            <v>TMS 기구 Module 작업</v>
          </cell>
          <cell r="V8383"/>
          <cell r="W8383"/>
          <cell r="X8383">
            <v>41200007</v>
          </cell>
        </row>
        <row r="8384">
          <cell r="K8384"/>
          <cell r="L8384">
            <v>45652</v>
          </cell>
          <cell r="M8384">
            <v>45652</v>
          </cell>
          <cell r="N8384">
            <v>45660</v>
          </cell>
          <cell r="O8384">
            <v>45652</v>
          </cell>
          <cell r="P8384">
            <v>45660</v>
          </cell>
          <cell r="Q8384">
            <v>45663</v>
          </cell>
          <cell r="R8384">
            <v>45663</v>
          </cell>
          <cell r="S8384"/>
          <cell r="T8384"/>
          <cell r="U8384" t="str">
            <v>TMS 기구 Module 작업</v>
          </cell>
          <cell r="V8384"/>
          <cell r="W8384"/>
          <cell r="X8384">
            <v>41200007</v>
          </cell>
        </row>
        <row r="8385">
          <cell r="K8385"/>
          <cell r="L8385">
            <v>45663</v>
          </cell>
          <cell r="M8385">
            <v>45663</v>
          </cell>
          <cell r="N8385">
            <v>45665</v>
          </cell>
          <cell r="O8385">
            <v>45663</v>
          </cell>
          <cell r="P8385">
            <v>45665</v>
          </cell>
          <cell r="Q8385">
            <v>45667</v>
          </cell>
          <cell r="R8385">
            <v>45667</v>
          </cell>
          <cell r="S8385"/>
          <cell r="T8385"/>
          <cell r="U8385" t="str">
            <v>TMS 기구 Module 작업</v>
          </cell>
          <cell r="V8385"/>
          <cell r="W8385"/>
          <cell r="X8385">
            <v>41100320</v>
          </cell>
        </row>
        <row r="8386">
          <cell r="K8386"/>
          <cell r="L8386">
            <v>45663</v>
          </cell>
          <cell r="M8386">
            <v>45663</v>
          </cell>
          <cell r="N8386">
            <v>45665</v>
          </cell>
          <cell r="O8386">
            <v>45663</v>
          </cell>
          <cell r="P8386">
            <v>45665</v>
          </cell>
          <cell r="Q8386">
            <v>45666</v>
          </cell>
          <cell r="R8386">
            <v>45666</v>
          </cell>
          <cell r="S8386"/>
          <cell r="T8386"/>
          <cell r="U8386" t="str">
            <v>TMS 기구 Module 작업</v>
          </cell>
          <cell r="V8386"/>
          <cell r="W8386"/>
          <cell r="X8386">
            <v>41200005</v>
          </cell>
        </row>
        <row r="8387">
          <cell r="K8387"/>
          <cell r="L8387">
            <v>45663</v>
          </cell>
          <cell r="M8387">
            <v>45663</v>
          </cell>
          <cell r="N8387">
            <v>45665</v>
          </cell>
          <cell r="O8387">
            <v>45663</v>
          </cell>
          <cell r="P8387">
            <v>45665</v>
          </cell>
          <cell r="Q8387">
            <v>45666</v>
          </cell>
          <cell r="R8387">
            <v>45666</v>
          </cell>
          <cell r="S8387"/>
          <cell r="T8387"/>
          <cell r="U8387" t="str">
            <v>TMS 기구 Module 작업</v>
          </cell>
          <cell r="V8387"/>
          <cell r="W8387"/>
          <cell r="X8387">
            <v>41100448</v>
          </cell>
        </row>
        <row r="8388">
          <cell r="K8388"/>
          <cell r="L8388">
            <v>45663</v>
          </cell>
          <cell r="M8388">
            <v>45663</v>
          </cell>
          <cell r="N8388">
            <v>45665</v>
          </cell>
          <cell r="O8388">
            <v>45663</v>
          </cell>
          <cell r="P8388">
            <v>45665</v>
          </cell>
          <cell r="Q8388">
            <v>45666</v>
          </cell>
          <cell r="R8388">
            <v>45666</v>
          </cell>
          <cell r="S8388"/>
          <cell r="T8388"/>
          <cell r="U8388" t="str">
            <v>TMS 기구 Module 작업</v>
          </cell>
          <cell r="V8388"/>
          <cell r="W8388"/>
          <cell r="X8388">
            <v>41200007</v>
          </cell>
        </row>
        <row r="8389">
          <cell r="K8389"/>
          <cell r="L8389">
            <v>45663</v>
          </cell>
          <cell r="M8389">
            <v>45663</v>
          </cell>
          <cell r="N8389">
            <v>45665</v>
          </cell>
          <cell r="O8389">
            <v>45663</v>
          </cell>
          <cell r="P8389">
            <v>45665</v>
          </cell>
          <cell r="Q8389">
            <v>45667</v>
          </cell>
          <cell r="R8389">
            <v>45667</v>
          </cell>
          <cell r="S8389"/>
          <cell r="T8389"/>
          <cell r="U8389" t="str">
            <v>TMS 기구 Module 작업</v>
          </cell>
          <cell r="V8389"/>
          <cell r="W8389"/>
          <cell r="X8389">
            <v>41200007</v>
          </cell>
        </row>
        <row r="8390">
          <cell r="K8390"/>
          <cell r="L8390">
            <v>45663</v>
          </cell>
          <cell r="M8390">
            <v>45663</v>
          </cell>
          <cell r="N8390">
            <v>45665</v>
          </cell>
          <cell r="O8390">
            <v>45663</v>
          </cell>
          <cell r="P8390">
            <v>45665</v>
          </cell>
          <cell r="Q8390">
            <v>45667</v>
          </cell>
          <cell r="R8390">
            <v>45667</v>
          </cell>
          <cell r="S8390"/>
          <cell r="T8390"/>
          <cell r="U8390" t="str">
            <v>TMS 기구 Module 작업</v>
          </cell>
          <cell r="V8390"/>
          <cell r="W8390"/>
          <cell r="X8390">
            <v>41200006</v>
          </cell>
        </row>
        <row r="8391">
          <cell r="K8391"/>
          <cell r="L8391">
            <v>45663</v>
          </cell>
          <cell r="M8391">
            <v>45663</v>
          </cell>
          <cell r="N8391">
            <v>45665</v>
          </cell>
          <cell r="O8391">
            <v>45663</v>
          </cell>
          <cell r="P8391">
            <v>45665</v>
          </cell>
          <cell r="Q8391">
            <v>45670</v>
          </cell>
          <cell r="R8391">
            <v>45670</v>
          </cell>
          <cell r="S8391"/>
          <cell r="T8391"/>
          <cell r="U8391" t="str">
            <v>TMS 기구 Module 작업</v>
          </cell>
          <cell r="V8391"/>
          <cell r="W8391"/>
          <cell r="X8391">
            <v>41200007</v>
          </cell>
        </row>
        <row r="8392">
          <cell r="K8392"/>
          <cell r="L8392">
            <v>45663</v>
          </cell>
          <cell r="M8392">
            <v>45663</v>
          </cell>
          <cell r="N8392">
            <v>45665</v>
          </cell>
          <cell r="O8392">
            <v>45663</v>
          </cell>
          <cell r="P8392">
            <v>45665</v>
          </cell>
          <cell r="Q8392">
            <v>45671</v>
          </cell>
          <cell r="R8392">
            <v>45671</v>
          </cell>
          <cell r="S8392"/>
          <cell r="T8392"/>
          <cell r="U8392" t="str">
            <v>TMS 기구 Module 작업</v>
          </cell>
          <cell r="V8392"/>
          <cell r="W8392"/>
          <cell r="X8392">
            <v>41200007</v>
          </cell>
        </row>
        <row r="8393">
          <cell r="K8393"/>
          <cell r="L8393">
            <v>45664</v>
          </cell>
          <cell r="M8393">
            <v>45664</v>
          </cell>
          <cell r="N8393">
            <v>45665</v>
          </cell>
          <cell r="O8393">
            <v>45664</v>
          </cell>
          <cell r="P8393">
            <v>45665</v>
          </cell>
          <cell r="Q8393">
            <v>45670</v>
          </cell>
          <cell r="R8393">
            <v>45670</v>
          </cell>
          <cell r="S8393"/>
          <cell r="T8393"/>
          <cell r="U8393" t="str">
            <v>TMS 기구 Module 작업</v>
          </cell>
          <cell r="V8393"/>
          <cell r="W8393"/>
          <cell r="X8393">
            <v>41200075</v>
          </cell>
        </row>
        <row r="8394">
          <cell r="K8394"/>
          <cell r="L8394">
            <v>45664</v>
          </cell>
          <cell r="M8394">
            <v>45664</v>
          </cell>
          <cell r="N8394">
            <v>45665</v>
          </cell>
          <cell r="O8394">
            <v>45664</v>
          </cell>
          <cell r="P8394">
            <v>45665</v>
          </cell>
          <cell r="Q8394">
            <v>45670</v>
          </cell>
          <cell r="R8394">
            <v>45670</v>
          </cell>
          <cell r="S8394"/>
          <cell r="T8394"/>
          <cell r="U8394" t="str">
            <v>TMS 기구 Module 작업</v>
          </cell>
          <cell r="V8394"/>
          <cell r="W8394"/>
          <cell r="X8394">
            <v>41200104</v>
          </cell>
        </row>
        <row r="8395">
          <cell r="K8395"/>
          <cell r="L8395">
            <v>45665</v>
          </cell>
          <cell r="M8395">
            <v>45665</v>
          </cell>
          <cell r="N8395">
            <v>45670</v>
          </cell>
          <cell r="O8395">
            <v>45665</v>
          </cell>
          <cell r="P8395">
            <v>45670</v>
          </cell>
          <cell r="Q8395">
            <v>45671</v>
          </cell>
          <cell r="R8395">
            <v>45671</v>
          </cell>
          <cell r="S8395"/>
          <cell r="T8395"/>
          <cell r="U8395" t="str">
            <v>TMS 기구 Module 작업</v>
          </cell>
          <cell r="V8395"/>
          <cell r="W8395"/>
          <cell r="X8395">
            <v>41200076</v>
          </cell>
        </row>
        <row r="8396">
          <cell r="K8396"/>
          <cell r="L8396">
            <v>45666</v>
          </cell>
          <cell r="M8396">
            <v>45666</v>
          </cell>
          <cell r="N8396">
            <v>45670</v>
          </cell>
          <cell r="O8396">
            <v>45666</v>
          </cell>
          <cell r="P8396">
            <v>45670</v>
          </cell>
          <cell r="Q8396">
            <v>45672</v>
          </cell>
          <cell r="R8396">
            <v>45672</v>
          </cell>
          <cell r="S8396"/>
          <cell r="T8396"/>
          <cell r="U8396" t="str">
            <v>TMS 기구 Module 작업</v>
          </cell>
          <cell r="V8396"/>
          <cell r="W8396"/>
          <cell r="X8396">
            <v>41000556</v>
          </cell>
        </row>
        <row r="8397">
          <cell r="K8397"/>
          <cell r="L8397">
            <v>45666</v>
          </cell>
          <cell r="M8397">
            <v>45666</v>
          </cell>
          <cell r="N8397">
            <v>45670</v>
          </cell>
          <cell r="O8397">
            <v>45666</v>
          </cell>
          <cell r="P8397">
            <v>45670</v>
          </cell>
          <cell r="Q8397">
            <v>45673</v>
          </cell>
          <cell r="R8397">
            <v>45673</v>
          </cell>
          <cell r="S8397"/>
          <cell r="T8397"/>
          <cell r="U8397" t="str">
            <v>TMS 기구 Module 작업</v>
          </cell>
          <cell r="V8397"/>
          <cell r="W8397"/>
          <cell r="X8397">
            <v>41200076</v>
          </cell>
        </row>
        <row r="8398">
          <cell r="K8398"/>
          <cell r="L8398">
            <v>45666</v>
          </cell>
          <cell r="M8398">
            <v>45666</v>
          </cell>
          <cell r="N8398">
            <v>45670</v>
          </cell>
          <cell r="O8398">
            <v>45666</v>
          </cell>
          <cell r="P8398">
            <v>45670</v>
          </cell>
          <cell r="Q8398">
            <v>45673</v>
          </cell>
          <cell r="R8398">
            <v>45673</v>
          </cell>
          <cell r="S8398"/>
          <cell r="T8398"/>
          <cell r="U8398" t="str">
            <v>TMS 기구 Module 작업</v>
          </cell>
          <cell r="V8398"/>
          <cell r="W8398"/>
          <cell r="X8398">
            <v>41200076</v>
          </cell>
        </row>
        <row r="8399">
          <cell r="K8399"/>
          <cell r="L8399">
            <v>45666</v>
          </cell>
          <cell r="M8399">
            <v>45666</v>
          </cell>
          <cell r="N8399">
            <v>45670</v>
          </cell>
          <cell r="O8399">
            <v>45666</v>
          </cell>
          <cell r="P8399">
            <v>45670</v>
          </cell>
          <cell r="Q8399">
            <v>45672</v>
          </cell>
          <cell r="R8399">
            <v>45672</v>
          </cell>
          <cell r="S8399"/>
          <cell r="T8399"/>
          <cell r="U8399" t="str">
            <v>TMS 기구 Module 작업</v>
          </cell>
          <cell r="V8399"/>
          <cell r="W8399"/>
          <cell r="X8399">
            <v>41200087</v>
          </cell>
        </row>
        <row r="8400">
          <cell r="K8400"/>
          <cell r="L8400">
            <v>45667</v>
          </cell>
          <cell r="M8400">
            <v>45667</v>
          </cell>
          <cell r="N8400">
            <v>45670</v>
          </cell>
          <cell r="O8400">
            <v>45667</v>
          </cell>
          <cell r="P8400">
            <v>45670</v>
          </cell>
          <cell r="Q8400">
            <v>45673</v>
          </cell>
          <cell r="R8400">
            <v>45673</v>
          </cell>
          <cell r="S8400"/>
          <cell r="T8400"/>
          <cell r="U8400" t="str">
            <v>TMS 기구 Module 작업</v>
          </cell>
          <cell r="V8400"/>
          <cell r="W8400"/>
          <cell r="X8400">
            <v>41200034</v>
          </cell>
        </row>
        <row r="8401">
          <cell r="K8401"/>
          <cell r="L8401">
            <v>45667</v>
          </cell>
          <cell r="M8401">
            <v>45667</v>
          </cell>
          <cell r="N8401">
            <v>45670</v>
          </cell>
          <cell r="O8401">
            <v>45667</v>
          </cell>
          <cell r="P8401">
            <v>45670</v>
          </cell>
          <cell r="Q8401">
            <v>45673</v>
          </cell>
          <cell r="R8401">
            <v>45673</v>
          </cell>
          <cell r="S8401"/>
          <cell r="T8401"/>
          <cell r="U8401" t="str">
            <v>TMS 기구 Module 작업</v>
          </cell>
          <cell r="V8401"/>
          <cell r="W8401"/>
          <cell r="X8401">
            <v>41100334</v>
          </cell>
        </row>
        <row r="8402">
          <cell r="K8402"/>
          <cell r="L8402">
            <v>45667</v>
          </cell>
          <cell r="M8402">
            <v>45667</v>
          </cell>
          <cell r="N8402">
            <v>45670</v>
          </cell>
          <cell r="O8402">
            <v>45667</v>
          </cell>
          <cell r="P8402">
            <v>45670</v>
          </cell>
          <cell r="Q8402">
            <v>45673</v>
          </cell>
          <cell r="R8402">
            <v>45673</v>
          </cell>
          <cell r="S8402"/>
          <cell r="T8402"/>
          <cell r="U8402" t="str">
            <v>TMS 기구 Module 작업</v>
          </cell>
          <cell r="V8402"/>
          <cell r="W8402"/>
          <cell r="X8402">
            <v>41100374</v>
          </cell>
        </row>
        <row r="8403">
          <cell r="K8403"/>
          <cell r="L8403">
            <v>45667</v>
          </cell>
          <cell r="M8403">
            <v>45667</v>
          </cell>
          <cell r="N8403">
            <v>45670</v>
          </cell>
          <cell r="O8403">
            <v>45667</v>
          </cell>
          <cell r="P8403">
            <v>45670</v>
          </cell>
          <cell r="Q8403">
            <v>45673</v>
          </cell>
          <cell r="R8403">
            <v>45673</v>
          </cell>
          <cell r="S8403"/>
          <cell r="T8403"/>
          <cell r="U8403" t="str">
            <v>TMS 기구 Module 작업</v>
          </cell>
          <cell r="V8403"/>
          <cell r="W8403"/>
          <cell r="X8403">
            <v>41100320</v>
          </cell>
        </row>
        <row r="8404">
          <cell r="K8404"/>
          <cell r="L8404">
            <v>45664</v>
          </cell>
          <cell r="M8404">
            <v>45664</v>
          </cell>
          <cell r="N8404">
            <v>45672</v>
          </cell>
          <cell r="O8404">
            <v>45664</v>
          </cell>
          <cell r="P8404">
            <v>45672</v>
          </cell>
          <cell r="Q8404">
            <v>45670</v>
          </cell>
          <cell r="R8404">
            <v>45670</v>
          </cell>
          <cell r="S8404"/>
          <cell r="T8404"/>
          <cell r="U8404" t="str">
            <v>TMS 기구 Module 작업</v>
          </cell>
          <cell r="V8404"/>
          <cell r="W8404"/>
          <cell r="X8404">
            <v>41000598</v>
          </cell>
        </row>
        <row r="8405">
          <cell r="K8405"/>
          <cell r="L8405">
            <v>45664</v>
          </cell>
          <cell r="M8405">
            <v>45664</v>
          </cell>
          <cell r="N8405">
            <v>45672</v>
          </cell>
          <cell r="O8405">
            <v>45664</v>
          </cell>
          <cell r="P8405">
            <v>45672</v>
          </cell>
          <cell r="Q8405">
            <v>45670</v>
          </cell>
          <cell r="R8405">
            <v>45670</v>
          </cell>
          <cell r="S8405"/>
          <cell r="T8405"/>
          <cell r="U8405" t="str">
            <v>TMS 기구 Module 작업</v>
          </cell>
          <cell r="V8405"/>
          <cell r="W8405"/>
          <cell r="X8405">
            <v>41000598</v>
          </cell>
        </row>
        <row r="8406">
          <cell r="K8406"/>
          <cell r="L8406">
            <v>45670</v>
          </cell>
          <cell r="M8406">
            <v>45670</v>
          </cell>
          <cell r="N8406">
            <v>45673</v>
          </cell>
          <cell r="O8406">
            <v>45670</v>
          </cell>
          <cell r="P8406">
            <v>45673</v>
          </cell>
          <cell r="Q8406">
            <v>45673</v>
          </cell>
          <cell r="R8406">
            <v>45673</v>
          </cell>
          <cell r="S8406"/>
          <cell r="T8406"/>
          <cell r="U8406" t="str">
            <v>TMS 기구 Module 작업</v>
          </cell>
          <cell r="V8406"/>
          <cell r="W8406"/>
          <cell r="X8406">
            <v>41200005</v>
          </cell>
        </row>
        <row r="8407">
          <cell r="K8407"/>
          <cell r="L8407">
            <v>45670</v>
          </cell>
          <cell r="M8407">
            <v>45670</v>
          </cell>
          <cell r="N8407">
            <v>45674</v>
          </cell>
          <cell r="O8407">
            <v>45670</v>
          </cell>
          <cell r="P8407">
            <v>45674</v>
          </cell>
          <cell r="Q8407">
            <v>45674</v>
          </cell>
          <cell r="R8407">
            <v>45674</v>
          </cell>
          <cell r="S8407"/>
          <cell r="T8407"/>
          <cell r="U8407" t="str">
            <v>TMS 기구 Module 작업</v>
          </cell>
          <cell r="V8407"/>
          <cell r="W8407"/>
          <cell r="X8407">
            <v>41200104</v>
          </cell>
        </row>
        <row r="8408">
          <cell r="K8408"/>
          <cell r="L8408">
            <v>45670</v>
          </cell>
          <cell r="M8408">
            <v>45670</v>
          </cell>
          <cell r="N8408">
            <v>45674</v>
          </cell>
          <cell r="O8408">
            <v>45670</v>
          </cell>
          <cell r="P8408">
            <v>45674</v>
          </cell>
          <cell r="Q8408">
            <v>45674</v>
          </cell>
          <cell r="R8408">
            <v>45674</v>
          </cell>
          <cell r="S8408"/>
          <cell r="T8408"/>
          <cell r="U8408" t="str">
            <v>TMS 기구 Module 작업</v>
          </cell>
          <cell r="V8408"/>
          <cell r="W8408"/>
          <cell r="X8408">
            <v>41200104</v>
          </cell>
        </row>
        <row r="8409">
          <cell r="K8409"/>
          <cell r="L8409">
            <v>45670</v>
          </cell>
          <cell r="M8409">
            <v>45670</v>
          </cell>
          <cell r="N8409">
            <v>45674</v>
          </cell>
          <cell r="O8409">
            <v>45670</v>
          </cell>
          <cell r="P8409">
            <v>45674</v>
          </cell>
          <cell r="Q8409">
            <v>45674</v>
          </cell>
          <cell r="R8409">
            <v>45674</v>
          </cell>
          <cell r="S8409"/>
          <cell r="T8409"/>
          <cell r="U8409" t="str">
            <v>TMS 기구 Module 작업</v>
          </cell>
          <cell r="V8409"/>
          <cell r="W8409"/>
          <cell r="X8409">
            <v>41000556</v>
          </cell>
        </row>
        <row r="8410">
          <cell r="K8410"/>
          <cell r="L8410">
            <v>45671</v>
          </cell>
          <cell r="M8410">
            <v>45671</v>
          </cell>
          <cell r="N8410">
            <v>45674</v>
          </cell>
          <cell r="O8410">
            <v>45671</v>
          </cell>
          <cell r="P8410">
            <v>45674</v>
          </cell>
          <cell r="Q8410">
            <v>45677</v>
          </cell>
          <cell r="R8410">
            <v>45677</v>
          </cell>
          <cell r="S8410"/>
          <cell r="T8410"/>
          <cell r="U8410" t="str">
            <v>TMS 기구 Module 작업</v>
          </cell>
          <cell r="V8410"/>
          <cell r="W8410"/>
          <cell r="X8410">
            <v>41200061</v>
          </cell>
        </row>
        <row r="8411">
          <cell r="K8411"/>
          <cell r="L8411">
            <v>45671</v>
          </cell>
          <cell r="M8411">
            <v>45671</v>
          </cell>
          <cell r="N8411">
            <v>45674</v>
          </cell>
          <cell r="O8411">
            <v>45671</v>
          </cell>
          <cell r="P8411">
            <v>45674</v>
          </cell>
          <cell r="Q8411">
            <v>45678</v>
          </cell>
          <cell r="R8411">
            <v>45678</v>
          </cell>
          <cell r="S8411"/>
          <cell r="T8411"/>
          <cell r="U8411" t="str">
            <v>TMS 기구 Module 작업</v>
          </cell>
          <cell r="V8411"/>
          <cell r="W8411"/>
          <cell r="X8411">
            <v>41100320</v>
          </cell>
        </row>
        <row r="8412">
          <cell r="K8412"/>
          <cell r="L8412">
            <v>45672</v>
          </cell>
          <cell r="M8412">
            <v>45672</v>
          </cell>
          <cell r="N8412">
            <v>45674</v>
          </cell>
          <cell r="O8412">
            <v>45672</v>
          </cell>
          <cell r="P8412">
            <v>45674</v>
          </cell>
          <cell r="Q8412">
            <v>45678</v>
          </cell>
          <cell r="R8412">
            <v>45678</v>
          </cell>
          <cell r="S8412"/>
          <cell r="T8412"/>
          <cell r="U8412" t="str">
            <v>TMS 기구 Module 작업</v>
          </cell>
          <cell r="V8412"/>
          <cell r="W8412"/>
          <cell r="X8412">
            <v>41100317</v>
          </cell>
        </row>
        <row r="8413">
          <cell r="K8413"/>
          <cell r="L8413">
            <v>45672</v>
          </cell>
          <cell r="M8413">
            <v>45672</v>
          </cell>
          <cell r="N8413">
            <v>45674</v>
          </cell>
          <cell r="O8413">
            <v>45672</v>
          </cell>
          <cell r="P8413">
            <v>45674</v>
          </cell>
          <cell r="Q8413">
            <v>45678</v>
          </cell>
          <cell r="R8413">
            <v>45678</v>
          </cell>
          <cell r="S8413"/>
          <cell r="T8413"/>
          <cell r="U8413" t="str">
            <v>TMS 기구 Module 작업</v>
          </cell>
          <cell r="V8413"/>
          <cell r="W8413"/>
          <cell r="X8413">
            <v>41200076</v>
          </cell>
        </row>
        <row r="8414">
          <cell r="K8414"/>
          <cell r="L8414">
            <v>45672</v>
          </cell>
          <cell r="M8414">
            <v>45672</v>
          </cell>
          <cell r="N8414">
            <v>45674</v>
          </cell>
          <cell r="O8414">
            <v>45672</v>
          </cell>
          <cell r="P8414">
            <v>45674</v>
          </cell>
          <cell r="Q8414">
            <v>45678</v>
          </cell>
          <cell r="R8414">
            <v>45678</v>
          </cell>
          <cell r="S8414"/>
          <cell r="T8414"/>
          <cell r="U8414" t="str">
            <v>TMS 기구 Module 작업</v>
          </cell>
          <cell r="V8414"/>
          <cell r="W8414"/>
          <cell r="X8414">
            <v>41100372</v>
          </cell>
        </row>
        <row r="8415">
          <cell r="K8415"/>
          <cell r="L8415">
            <v>45674</v>
          </cell>
          <cell r="M8415">
            <v>45674</v>
          </cell>
          <cell r="N8415">
            <v>45674</v>
          </cell>
          <cell r="O8415">
            <v>45674</v>
          </cell>
          <cell r="P8415">
            <v>45674</v>
          </cell>
          <cell r="Q8415">
            <v>45680</v>
          </cell>
          <cell r="R8415">
            <v>45680</v>
          </cell>
          <cell r="S8415"/>
          <cell r="T8415"/>
          <cell r="U8415" t="str">
            <v>TMS 기구 Module 작업</v>
          </cell>
          <cell r="V8415"/>
          <cell r="W8415"/>
          <cell r="X8415">
            <v>41200075</v>
          </cell>
        </row>
        <row r="8416">
          <cell r="K8416"/>
          <cell r="L8416">
            <v>45672</v>
          </cell>
          <cell r="M8416">
            <v>45672</v>
          </cell>
          <cell r="N8416">
            <v>45678</v>
          </cell>
          <cell r="O8416">
            <v>45672</v>
          </cell>
          <cell r="P8416">
            <v>45678</v>
          </cell>
          <cell r="Q8416">
            <v>45678</v>
          </cell>
          <cell r="R8416">
            <v>45678</v>
          </cell>
          <cell r="S8416"/>
          <cell r="T8416"/>
          <cell r="U8416" t="str">
            <v>TMS 기구 Module 작업</v>
          </cell>
          <cell r="V8416"/>
          <cell r="W8416"/>
          <cell r="X8416" t="str">
            <v>41000562 → 41200115</v>
          </cell>
        </row>
        <row r="8417">
          <cell r="K8417"/>
          <cell r="L8417">
            <v>45677</v>
          </cell>
          <cell r="M8417">
            <v>45677</v>
          </cell>
          <cell r="N8417">
            <v>45680</v>
          </cell>
          <cell r="O8417">
            <v>45677</v>
          </cell>
          <cell r="P8417">
            <v>45680</v>
          </cell>
          <cell r="Q8417">
            <v>45681</v>
          </cell>
          <cell r="R8417">
            <v>45681</v>
          </cell>
          <cell r="S8417"/>
          <cell r="T8417"/>
          <cell r="U8417" t="str">
            <v>TMS 기구 Module 작업</v>
          </cell>
          <cell r="V8417"/>
          <cell r="W8417"/>
          <cell r="X8417">
            <v>41100317</v>
          </cell>
        </row>
        <row r="8418">
          <cell r="K8418"/>
          <cell r="L8418">
            <v>45678</v>
          </cell>
          <cell r="M8418">
            <v>45678</v>
          </cell>
          <cell r="N8418">
            <v>45680</v>
          </cell>
          <cell r="O8418">
            <v>45678</v>
          </cell>
          <cell r="P8418">
            <v>45680</v>
          </cell>
          <cell r="Q8418">
            <v>45684</v>
          </cell>
          <cell r="R8418">
            <v>45684</v>
          </cell>
          <cell r="S8418"/>
          <cell r="T8418"/>
          <cell r="U8418" t="str">
            <v>TMS 기구 Module 작업</v>
          </cell>
          <cell r="V8418"/>
          <cell r="W8418"/>
          <cell r="X8418">
            <v>41000556</v>
          </cell>
        </row>
        <row r="8419">
          <cell r="K8419"/>
          <cell r="L8419">
            <v>45679</v>
          </cell>
          <cell r="M8419">
            <v>45679</v>
          </cell>
          <cell r="N8419">
            <v>45680</v>
          </cell>
          <cell r="O8419">
            <v>45679</v>
          </cell>
          <cell r="P8419">
            <v>45680</v>
          </cell>
          <cell r="Q8419">
            <v>45684</v>
          </cell>
          <cell r="R8419">
            <v>45684</v>
          </cell>
          <cell r="S8419"/>
          <cell r="T8419"/>
          <cell r="U8419" t="str">
            <v>TMS 기구 Module 작업</v>
          </cell>
          <cell r="V8419"/>
          <cell r="W8419"/>
          <cell r="X8419">
            <v>41100375</v>
          </cell>
        </row>
        <row r="8420">
          <cell r="K8420"/>
          <cell r="L8420">
            <v>45679</v>
          </cell>
          <cell r="M8420">
            <v>45679</v>
          </cell>
          <cell r="N8420">
            <v>45680</v>
          </cell>
          <cell r="O8420">
            <v>45679</v>
          </cell>
          <cell r="P8420">
            <v>45680</v>
          </cell>
          <cell r="Q8420">
            <v>45688</v>
          </cell>
          <cell r="R8420">
            <v>45688</v>
          </cell>
          <cell r="S8420"/>
          <cell r="T8420"/>
          <cell r="U8420" t="str">
            <v>TMS 기구 Module 작업</v>
          </cell>
          <cell r="V8420"/>
          <cell r="W8420"/>
          <cell r="X8420">
            <v>41100372</v>
          </cell>
        </row>
        <row r="8421">
          <cell r="K8421"/>
          <cell r="L8421">
            <v>45679</v>
          </cell>
          <cell r="M8421">
            <v>45679</v>
          </cell>
          <cell r="N8421">
            <v>45680</v>
          </cell>
          <cell r="O8421">
            <v>45679</v>
          </cell>
          <cell r="P8421">
            <v>45680</v>
          </cell>
          <cell r="Q8421">
            <v>45688</v>
          </cell>
          <cell r="R8421">
            <v>45688</v>
          </cell>
          <cell r="S8421"/>
          <cell r="T8421"/>
          <cell r="U8421" t="str">
            <v>TMS 기구 Module 작업</v>
          </cell>
          <cell r="V8421"/>
          <cell r="W8421"/>
          <cell r="X8421">
            <v>41200076</v>
          </cell>
        </row>
        <row r="8422">
          <cell r="K8422"/>
          <cell r="L8422">
            <v>45679</v>
          </cell>
          <cell r="M8422">
            <v>45679</v>
          </cell>
          <cell r="N8422">
            <v>45680</v>
          </cell>
          <cell r="O8422">
            <v>45679</v>
          </cell>
          <cell r="P8422">
            <v>45680</v>
          </cell>
          <cell r="Q8422">
            <v>45688</v>
          </cell>
          <cell r="R8422">
            <v>45688</v>
          </cell>
          <cell r="S8422"/>
          <cell r="T8422"/>
          <cell r="U8422" t="str">
            <v>TMS 기구 Module 작업</v>
          </cell>
          <cell r="V8422"/>
          <cell r="W8422"/>
          <cell r="X8422">
            <v>41200006</v>
          </cell>
        </row>
        <row r="8423">
          <cell r="K8423"/>
          <cell r="L8423">
            <v>45680</v>
          </cell>
          <cell r="M8423">
            <v>45680</v>
          </cell>
          <cell r="N8423">
            <v>45680</v>
          </cell>
          <cell r="O8423">
            <v>45680</v>
          </cell>
          <cell r="P8423">
            <v>45680</v>
          </cell>
          <cell r="Q8423">
            <v>45691</v>
          </cell>
          <cell r="R8423">
            <v>45691</v>
          </cell>
          <cell r="S8423"/>
          <cell r="T8423"/>
          <cell r="U8423" t="str">
            <v>TMS 기구 Module 작업</v>
          </cell>
          <cell r="V8423"/>
          <cell r="W8423"/>
          <cell r="X8423">
            <v>41100334</v>
          </cell>
        </row>
        <row r="8424">
          <cell r="K8424"/>
          <cell r="L8424">
            <v>45679</v>
          </cell>
          <cell r="M8424" t="str">
            <v>2025-01-20 → 1/22</v>
          </cell>
          <cell r="N8424">
            <v>45691</v>
          </cell>
          <cell r="O8424" t="str">
            <v>2025-01-20 → 1/22</v>
          </cell>
          <cell r="P8424">
            <v>45691</v>
          </cell>
          <cell r="Q8424" t="str">
            <v>2025-01-24 → 1/27</v>
          </cell>
          <cell r="R8424" t="str">
            <v>2025-01-24 → 1/27</v>
          </cell>
          <cell r="S8424"/>
          <cell r="T8424"/>
          <cell r="U8424" t="str">
            <v>TMS 기구 Module 작업</v>
          </cell>
          <cell r="V8424"/>
          <cell r="W8424"/>
          <cell r="X8424">
            <v>41200108</v>
          </cell>
        </row>
        <row r="8425">
          <cell r="K8425"/>
          <cell r="L8425">
            <v>45681</v>
          </cell>
          <cell r="M8425">
            <v>45681</v>
          </cell>
          <cell r="N8425">
            <v>45691</v>
          </cell>
          <cell r="O8425">
            <v>45681</v>
          </cell>
          <cell r="P8425">
            <v>45691</v>
          </cell>
          <cell r="Q8425">
            <v>45692</v>
          </cell>
          <cell r="R8425">
            <v>45692</v>
          </cell>
          <cell r="S8425"/>
          <cell r="T8425"/>
          <cell r="U8425" t="str">
            <v>TMS 기구 Module 작업</v>
          </cell>
          <cell r="V8425"/>
          <cell r="W8425"/>
          <cell r="X8425">
            <v>41200075</v>
          </cell>
        </row>
        <row r="8426">
          <cell r="K8426"/>
          <cell r="L8426">
            <v>45681</v>
          </cell>
          <cell r="M8426">
            <v>45681</v>
          </cell>
          <cell r="N8426">
            <v>45691</v>
          </cell>
          <cell r="O8426">
            <v>45681</v>
          </cell>
          <cell r="P8426">
            <v>45691</v>
          </cell>
          <cell r="Q8426">
            <v>45692</v>
          </cell>
          <cell r="R8426">
            <v>45692</v>
          </cell>
          <cell r="S8426"/>
          <cell r="T8426"/>
          <cell r="U8426" t="str">
            <v>TMS 기구 Module 작업</v>
          </cell>
          <cell r="V8426"/>
          <cell r="W8426"/>
          <cell r="X8426">
            <v>41200076</v>
          </cell>
        </row>
        <row r="8427">
          <cell r="K8427"/>
          <cell r="L8427">
            <v>45681</v>
          </cell>
          <cell r="M8427">
            <v>45681</v>
          </cell>
          <cell r="N8427">
            <v>45691</v>
          </cell>
          <cell r="O8427">
            <v>45681</v>
          </cell>
          <cell r="P8427">
            <v>45691</v>
          </cell>
          <cell r="Q8427">
            <v>45692</v>
          </cell>
          <cell r="R8427">
            <v>45692</v>
          </cell>
          <cell r="S8427"/>
          <cell r="T8427"/>
          <cell r="U8427" t="str">
            <v>TMS 기구 Module 작업</v>
          </cell>
          <cell r="V8427"/>
          <cell r="W8427"/>
          <cell r="X8427">
            <v>41100317</v>
          </cell>
        </row>
        <row r="8428">
          <cell r="K8428"/>
          <cell r="L8428">
            <v>45681</v>
          </cell>
          <cell r="M8428">
            <v>45681</v>
          </cell>
          <cell r="N8428">
            <v>45691</v>
          </cell>
          <cell r="O8428">
            <v>45681</v>
          </cell>
          <cell r="P8428">
            <v>45691</v>
          </cell>
          <cell r="Q8428">
            <v>45693</v>
          </cell>
          <cell r="R8428">
            <v>45693</v>
          </cell>
          <cell r="S8428"/>
          <cell r="T8428"/>
          <cell r="U8428" t="str">
            <v>TMS 기구 Module 작업</v>
          </cell>
          <cell r="V8428"/>
          <cell r="W8428"/>
          <cell r="X8428">
            <v>41200006</v>
          </cell>
        </row>
        <row r="8429">
          <cell r="K8429"/>
          <cell r="L8429">
            <v>45680</v>
          </cell>
          <cell r="M8429">
            <v>45680</v>
          </cell>
          <cell r="N8429">
            <v>45692</v>
          </cell>
          <cell r="O8429">
            <v>45680</v>
          </cell>
          <cell r="P8429">
            <v>45692</v>
          </cell>
          <cell r="Q8429">
            <v>45691</v>
          </cell>
          <cell r="R8429">
            <v>45691</v>
          </cell>
          <cell r="S8429"/>
          <cell r="T8429"/>
          <cell r="U8429" t="str">
            <v>TMS 기구 Module 작업</v>
          </cell>
          <cell r="V8429"/>
          <cell r="W8429"/>
          <cell r="X8429" t="str">
            <v>41200108 → 41200116</v>
          </cell>
        </row>
        <row r="8430">
          <cell r="K8430"/>
          <cell r="L8430">
            <v>45688</v>
          </cell>
          <cell r="M8430">
            <v>45688</v>
          </cell>
          <cell r="N8430">
            <v>45693</v>
          </cell>
          <cell r="O8430">
            <v>45688</v>
          </cell>
          <cell r="P8430">
            <v>45693</v>
          </cell>
          <cell r="Q8430">
            <v>45693</v>
          </cell>
          <cell r="R8430">
            <v>45693</v>
          </cell>
          <cell r="S8430"/>
          <cell r="T8430"/>
          <cell r="U8430" t="str">
            <v>TMS 기구 Module 작업</v>
          </cell>
          <cell r="V8430"/>
          <cell r="W8430"/>
          <cell r="X8430">
            <v>41200005</v>
          </cell>
        </row>
        <row r="8431">
          <cell r="K8431"/>
          <cell r="L8431">
            <v>45688</v>
          </cell>
          <cell r="M8431">
            <v>45688</v>
          </cell>
          <cell r="N8431">
            <v>45693</v>
          </cell>
          <cell r="O8431">
            <v>45688</v>
          </cell>
          <cell r="P8431">
            <v>45693</v>
          </cell>
          <cell r="Q8431">
            <v>45694</v>
          </cell>
          <cell r="R8431">
            <v>45694</v>
          </cell>
          <cell r="S8431"/>
          <cell r="T8431"/>
          <cell r="U8431" t="str">
            <v>TMS 기구 Module 작업</v>
          </cell>
          <cell r="V8431"/>
          <cell r="W8431"/>
          <cell r="X8431">
            <v>41200047</v>
          </cell>
        </row>
        <row r="8432">
          <cell r="K8432"/>
          <cell r="L8432">
            <v>45688</v>
          </cell>
          <cell r="M8432">
            <v>45688</v>
          </cell>
          <cell r="N8432">
            <v>45693</v>
          </cell>
          <cell r="O8432">
            <v>45688</v>
          </cell>
          <cell r="P8432">
            <v>45693</v>
          </cell>
          <cell r="Q8432">
            <v>45694</v>
          </cell>
          <cell r="R8432">
            <v>45694</v>
          </cell>
          <cell r="S8432"/>
          <cell r="T8432"/>
          <cell r="U8432" t="str">
            <v>TMS 기구 Module 작업</v>
          </cell>
          <cell r="V8432"/>
          <cell r="W8432"/>
          <cell r="X8432">
            <v>41200076</v>
          </cell>
        </row>
        <row r="8433">
          <cell r="K8433"/>
          <cell r="L8433">
            <v>45688</v>
          </cell>
          <cell r="M8433">
            <v>45688</v>
          </cell>
          <cell r="N8433">
            <v>45693</v>
          </cell>
          <cell r="O8433">
            <v>45688</v>
          </cell>
          <cell r="P8433">
            <v>45693</v>
          </cell>
          <cell r="Q8433">
            <v>45693</v>
          </cell>
          <cell r="R8433">
            <v>45693</v>
          </cell>
          <cell r="S8433"/>
          <cell r="T8433"/>
          <cell r="U8433" t="str">
            <v>TMS 기구 Module 작업</v>
          </cell>
          <cell r="V8433"/>
          <cell r="W8433"/>
          <cell r="X8433">
            <v>41200005</v>
          </cell>
        </row>
        <row r="8434">
          <cell r="K8434"/>
          <cell r="L8434">
            <v>45688</v>
          </cell>
          <cell r="M8434">
            <v>45688</v>
          </cell>
          <cell r="N8434">
            <v>45693</v>
          </cell>
          <cell r="O8434">
            <v>45688</v>
          </cell>
          <cell r="P8434">
            <v>45693</v>
          </cell>
          <cell r="Q8434">
            <v>45693</v>
          </cell>
          <cell r="R8434">
            <v>45693</v>
          </cell>
          <cell r="S8434"/>
          <cell r="T8434"/>
          <cell r="U8434" t="str">
            <v>TMS 기구 Module 작업</v>
          </cell>
          <cell r="V8434"/>
          <cell r="W8434"/>
          <cell r="X8434">
            <v>41200007</v>
          </cell>
        </row>
        <row r="8435">
          <cell r="K8435"/>
          <cell r="L8435">
            <v>45691</v>
          </cell>
          <cell r="M8435">
            <v>45691</v>
          </cell>
          <cell r="N8435">
            <v>45693</v>
          </cell>
          <cell r="O8435">
            <v>45691</v>
          </cell>
          <cell r="P8435">
            <v>45693</v>
          </cell>
          <cell r="Q8435">
            <v>45695</v>
          </cell>
          <cell r="R8435">
            <v>45695</v>
          </cell>
          <cell r="S8435"/>
          <cell r="T8435"/>
          <cell r="U8435" t="str">
            <v>TMS 기구 Module 작업</v>
          </cell>
          <cell r="V8435"/>
          <cell r="W8435"/>
          <cell r="X8435">
            <v>41200075</v>
          </cell>
        </row>
        <row r="8436">
          <cell r="K8436"/>
          <cell r="L8436">
            <v>45691</v>
          </cell>
          <cell r="M8436">
            <v>45691</v>
          </cell>
          <cell r="N8436">
            <v>45693</v>
          </cell>
          <cell r="O8436">
            <v>45691</v>
          </cell>
          <cell r="P8436">
            <v>45693</v>
          </cell>
          <cell r="Q8436">
            <v>45695</v>
          </cell>
          <cell r="R8436">
            <v>45695</v>
          </cell>
          <cell r="S8436"/>
          <cell r="T8436"/>
          <cell r="U8436" t="str">
            <v>TMS 기구 Module 작업</v>
          </cell>
          <cell r="V8436"/>
          <cell r="W8436"/>
          <cell r="X8436">
            <v>41200107</v>
          </cell>
        </row>
        <row r="8437">
          <cell r="K8437"/>
          <cell r="L8437">
            <v>45688</v>
          </cell>
          <cell r="M8437">
            <v>45688</v>
          </cell>
          <cell r="N8437">
            <v>45695</v>
          </cell>
          <cell r="O8437">
            <v>45688</v>
          </cell>
          <cell r="P8437">
            <v>45695</v>
          </cell>
          <cell r="Q8437">
            <v>45694</v>
          </cell>
          <cell r="R8437">
            <v>45694</v>
          </cell>
          <cell r="S8437"/>
          <cell r="T8437"/>
          <cell r="U8437" t="str">
            <v>TMS 기구 Module 작업</v>
          </cell>
          <cell r="V8437"/>
          <cell r="W8437"/>
          <cell r="X8437">
            <v>41200006</v>
          </cell>
        </row>
        <row r="8438">
          <cell r="K8438"/>
          <cell r="L8438">
            <v>45688</v>
          </cell>
          <cell r="M8438">
            <v>45688</v>
          </cell>
          <cell r="N8438">
            <v>45695</v>
          </cell>
          <cell r="O8438">
            <v>45688</v>
          </cell>
          <cell r="P8438">
            <v>45695</v>
          </cell>
          <cell r="Q8438">
            <v>45695</v>
          </cell>
          <cell r="R8438">
            <v>45695</v>
          </cell>
          <cell r="S8438"/>
          <cell r="T8438"/>
          <cell r="U8438" t="str">
            <v>TMS 기구 Module 작업</v>
          </cell>
          <cell r="V8438"/>
          <cell r="W8438"/>
          <cell r="X8438">
            <v>41200006</v>
          </cell>
        </row>
        <row r="8439">
          <cell r="K8439"/>
          <cell r="L8439">
            <v>45691</v>
          </cell>
          <cell r="M8439">
            <v>45691</v>
          </cell>
          <cell r="N8439">
            <v>45695</v>
          </cell>
          <cell r="O8439">
            <v>45691</v>
          </cell>
          <cell r="P8439">
            <v>45695</v>
          </cell>
          <cell r="Q8439">
            <v>45698</v>
          </cell>
          <cell r="R8439">
            <v>45698</v>
          </cell>
          <cell r="S8439"/>
          <cell r="T8439"/>
          <cell r="U8439" t="str">
            <v>TMS 기구 Module 작업</v>
          </cell>
          <cell r="V8439"/>
          <cell r="W8439"/>
          <cell r="X8439">
            <v>41200006</v>
          </cell>
        </row>
        <row r="8440">
          <cell r="K8440"/>
          <cell r="L8440">
            <v>45691</v>
          </cell>
          <cell r="M8440">
            <v>45691</v>
          </cell>
          <cell r="N8440">
            <v>45695</v>
          </cell>
          <cell r="O8440">
            <v>45691</v>
          </cell>
          <cell r="P8440">
            <v>45695</v>
          </cell>
          <cell r="Q8440">
            <v>45698</v>
          </cell>
          <cell r="R8440">
            <v>45698</v>
          </cell>
          <cell r="S8440"/>
          <cell r="T8440"/>
          <cell r="U8440" t="str">
            <v>TMS 기구 Module 작업</v>
          </cell>
          <cell r="V8440"/>
          <cell r="W8440"/>
          <cell r="X8440">
            <v>41200006</v>
          </cell>
        </row>
        <row r="8441">
          <cell r="K8441"/>
          <cell r="L8441">
            <v>45692</v>
          </cell>
          <cell r="M8441">
            <v>45692</v>
          </cell>
          <cell r="N8441">
            <v>45695</v>
          </cell>
          <cell r="O8441">
            <v>45692</v>
          </cell>
          <cell r="P8441">
            <v>45695</v>
          </cell>
          <cell r="Q8441">
            <v>45698</v>
          </cell>
          <cell r="R8441">
            <v>45698</v>
          </cell>
          <cell r="S8441"/>
          <cell r="T8441"/>
          <cell r="U8441" t="str">
            <v>TMS 기구 Module 작업</v>
          </cell>
          <cell r="V8441"/>
          <cell r="W8441"/>
          <cell r="X8441">
            <v>41100320</v>
          </cell>
        </row>
        <row r="8442">
          <cell r="K8442"/>
          <cell r="L8442">
            <v>45692</v>
          </cell>
          <cell r="M8442">
            <v>45692</v>
          </cell>
          <cell r="N8442">
            <v>45695</v>
          </cell>
          <cell r="O8442">
            <v>45692</v>
          </cell>
          <cell r="P8442">
            <v>45695</v>
          </cell>
          <cell r="Q8442">
            <v>45698</v>
          </cell>
          <cell r="R8442">
            <v>45698</v>
          </cell>
          <cell r="S8442"/>
          <cell r="T8442"/>
          <cell r="U8442" t="str">
            <v>TMS 기구 Module 작업</v>
          </cell>
          <cell r="V8442"/>
          <cell r="W8442"/>
          <cell r="X8442">
            <v>41100320</v>
          </cell>
        </row>
        <row r="8443">
          <cell r="K8443"/>
          <cell r="L8443">
            <v>45692</v>
          </cell>
          <cell r="M8443">
            <v>45692</v>
          </cell>
          <cell r="N8443">
            <v>45695</v>
          </cell>
          <cell r="O8443">
            <v>45692</v>
          </cell>
          <cell r="P8443">
            <v>45695</v>
          </cell>
          <cell r="Q8443">
            <v>45698</v>
          </cell>
          <cell r="R8443">
            <v>45698</v>
          </cell>
          <cell r="S8443"/>
          <cell r="T8443"/>
          <cell r="U8443" t="str">
            <v>TMS 기구 Module 작업</v>
          </cell>
          <cell r="V8443"/>
          <cell r="W8443"/>
          <cell r="X8443">
            <v>41200118</v>
          </cell>
        </row>
        <row r="8444">
          <cell r="K8444"/>
          <cell r="L8444">
            <v>45692</v>
          </cell>
          <cell r="M8444">
            <v>45692</v>
          </cell>
          <cell r="N8444">
            <v>45695</v>
          </cell>
          <cell r="O8444">
            <v>45692</v>
          </cell>
          <cell r="P8444">
            <v>45695</v>
          </cell>
          <cell r="Q8444">
            <v>45698</v>
          </cell>
          <cell r="R8444">
            <v>45698</v>
          </cell>
          <cell r="S8444"/>
          <cell r="T8444"/>
          <cell r="U8444" t="str">
            <v>TMS 기구 Module 작업</v>
          </cell>
          <cell r="V8444"/>
          <cell r="W8444"/>
          <cell r="X8444">
            <v>41200118</v>
          </cell>
        </row>
        <row r="8445">
          <cell r="K8445"/>
          <cell r="L8445">
            <v>45692</v>
          </cell>
          <cell r="M8445">
            <v>45692</v>
          </cell>
          <cell r="N8445">
            <v>45695</v>
          </cell>
          <cell r="O8445">
            <v>45692</v>
          </cell>
          <cell r="P8445">
            <v>45695</v>
          </cell>
          <cell r="Q8445">
            <v>45700</v>
          </cell>
          <cell r="R8445">
            <v>45700</v>
          </cell>
          <cell r="S8445"/>
          <cell r="T8445"/>
          <cell r="U8445" t="str">
            <v>TMS 기구 Module 작업</v>
          </cell>
          <cell r="V8445"/>
          <cell r="W8445"/>
          <cell r="X8445">
            <v>41200118</v>
          </cell>
        </row>
        <row r="8446">
          <cell r="K8446"/>
          <cell r="L8446">
            <v>45693</v>
          </cell>
          <cell r="M8446">
            <v>45693</v>
          </cell>
          <cell r="N8446">
            <v>45700</v>
          </cell>
          <cell r="O8446">
            <v>45693</v>
          </cell>
          <cell r="P8446">
            <v>45700</v>
          </cell>
          <cell r="Q8446">
            <v>45699</v>
          </cell>
          <cell r="R8446">
            <v>45699</v>
          </cell>
          <cell r="S8446"/>
          <cell r="T8446"/>
          <cell r="U8446" t="str">
            <v>TMS 기구 Module 작업</v>
          </cell>
          <cell r="V8446"/>
          <cell r="W8446"/>
          <cell r="X8446">
            <v>41200087</v>
          </cell>
        </row>
        <row r="8447">
          <cell r="K8447"/>
          <cell r="L8447">
            <v>45693</v>
          </cell>
          <cell r="M8447">
            <v>45693</v>
          </cell>
          <cell r="N8447">
            <v>45700</v>
          </cell>
          <cell r="O8447">
            <v>45693</v>
          </cell>
          <cell r="P8447">
            <v>45700</v>
          </cell>
          <cell r="Q8447">
            <v>45699</v>
          </cell>
          <cell r="R8447">
            <v>45699</v>
          </cell>
          <cell r="S8447"/>
          <cell r="T8447"/>
          <cell r="U8447" t="str">
            <v>TMS 기구 Module 작업</v>
          </cell>
          <cell r="V8447"/>
          <cell r="W8447"/>
          <cell r="X8447">
            <v>41200007</v>
          </cell>
        </row>
        <row r="8448">
          <cell r="K8448"/>
          <cell r="L8448">
            <v>45693</v>
          </cell>
          <cell r="M8448">
            <v>45693</v>
          </cell>
          <cell r="N8448">
            <v>45700</v>
          </cell>
          <cell r="O8448">
            <v>45693</v>
          </cell>
          <cell r="P8448">
            <v>45700</v>
          </cell>
          <cell r="Q8448">
            <v>45699</v>
          </cell>
          <cell r="R8448">
            <v>45699</v>
          </cell>
          <cell r="S8448"/>
          <cell r="T8448"/>
          <cell r="U8448" t="str">
            <v>TMS 기구 Module 작업</v>
          </cell>
          <cell r="V8448"/>
          <cell r="W8448"/>
          <cell r="X8448">
            <v>41200084</v>
          </cell>
        </row>
        <row r="8449">
          <cell r="K8449"/>
          <cell r="L8449">
            <v>45694</v>
          </cell>
          <cell r="M8449">
            <v>45694</v>
          </cell>
          <cell r="N8449">
            <v>45700</v>
          </cell>
          <cell r="O8449">
            <v>45694</v>
          </cell>
          <cell r="P8449">
            <v>45700</v>
          </cell>
          <cell r="Q8449">
            <v>45700</v>
          </cell>
          <cell r="R8449">
            <v>45700</v>
          </cell>
          <cell r="S8449"/>
          <cell r="T8449"/>
          <cell r="U8449" t="str">
            <v>TMS 기구 Module 작업</v>
          </cell>
          <cell r="V8449"/>
          <cell r="W8449"/>
          <cell r="X8449">
            <v>41100334</v>
          </cell>
        </row>
        <row r="8450">
          <cell r="K8450"/>
          <cell r="L8450">
            <v>45694</v>
          </cell>
          <cell r="M8450">
            <v>45694</v>
          </cell>
          <cell r="N8450">
            <v>45700</v>
          </cell>
          <cell r="O8450">
            <v>45694</v>
          </cell>
          <cell r="P8450">
            <v>45700</v>
          </cell>
          <cell r="Q8450">
            <v>45700</v>
          </cell>
          <cell r="R8450">
            <v>45700</v>
          </cell>
          <cell r="S8450"/>
          <cell r="T8450"/>
          <cell r="U8450" t="str">
            <v>TMS 기구 Module 작업</v>
          </cell>
          <cell r="V8450"/>
          <cell r="W8450"/>
          <cell r="X8450">
            <v>41200005</v>
          </cell>
        </row>
        <row r="8451">
          <cell r="K8451"/>
          <cell r="L8451">
            <v>45694</v>
          </cell>
          <cell r="M8451">
            <v>45694</v>
          </cell>
          <cell r="N8451">
            <v>45700</v>
          </cell>
          <cell r="O8451">
            <v>45694</v>
          </cell>
          <cell r="P8451">
            <v>45700</v>
          </cell>
          <cell r="Q8451">
            <v>45700</v>
          </cell>
          <cell r="R8451">
            <v>45700</v>
          </cell>
          <cell r="S8451"/>
          <cell r="T8451"/>
          <cell r="U8451" t="str">
            <v>TMS 기구 Module 작업</v>
          </cell>
          <cell r="V8451"/>
          <cell r="W8451"/>
          <cell r="X8451">
            <v>41200035</v>
          </cell>
        </row>
        <row r="8452">
          <cell r="K8452"/>
          <cell r="L8452">
            <v>45694</v>
          </cell>
          <cell r="M8452">
            <v>45694</v>
          </cell>
          <cell r="N8452">
            <v>45700</v>
          </cell>
          <cell r="O8452">
            <v>45694</v>
          </cell>
          <cell r="P8452">
            <v>45700</v>
          </cell>
          <cell r="Q8452">
            <v>45700</v>
          </cell>
          <cell r="R8452">
            <v>45700</v>
          </cell>
          <cell r="S8452"/>
          <cell r="T8452"/>
          <cell r="U8452" t="str">
            <v>TMS 기구 Module 작업</v>
          </cell>
          <cell r="V8452"/>
          <cell r="W8452"/>
          <cell r="X8452">
            <v>41200033</v>
          </cell>
        </row>
        <row r="8453">
          <cell r="K8453"/>
          <cell r="L8453">
            <v>45695</v>
          </cell>
          <cell r="M8453">
            <v>45695</v>
          </cell>
          <cell r="N8453">
            <v>45700</v>
          </cell>
          <cell r="O8453">
            <v>45695</v>
          </cell>
          <cell r="P8453">
            <v>45700</v>
          </cell>
          <cell r="Q8453">
            <v>45701</v>
          </cell>
          <cell r="R8453">
            <v>45701</v>
          </cell>
          <cell r="S8453"/>
          <cell r="T8453"/>
          <cell r="U8453" t="str">
            <v>TMS 기구 Module 작업</v>
          </cell>
          <cell r="V8453"/>
          <cell r="W8453"/>
          <cell r="X8453">
            <v>41100374</v>
          </cell>
        </row>
        <row r="8454">
          <cell r="K8454"/>
          <cell r="L8454">
            <v>45695</v>
          </cell>
          <cell r="M8454">
            <v>45695</v>
          </cell>
          <cell r="N8454">
            <v>45700</v>
          </cell>
          <cell r="O8454">
            <v>45695</v>
          </cell>
          <cell r="P8454">
            <v>45700</v>
          </cell>
          <cell r="Q8454">
            <v>45701</v>
          </cell>
          <cell r="R8454">
            <v>45701</v>
          </cell>
          <cell r="S8454"/>
          <cell r="T8454"/>
          <cell r="U8454" t="str">
            <v>TMS 기구 Module 작업</v>
          </cell>
          <cell r="V8454"/>
          <cell r="W8454"/>
          <cell r="X8454">
            <v>41200006</v>
          </cell>
        </row>
        <row r="8455">
          <cell r="K8455"/>
          <cell r="L8455">
            <v>45698</v>
          </cell>
          <cell r="M8455">
            <v>45698</v>
          </cell>
          <cell r="N8455">
            <v>45700</v>
          </cell>
          <cell r="O8455">
            <v>45698</v>
          </cell>
          <cell r="P8455">
            <v>45700</v>
          </cell>
          <cell r="Q8455">
            <v>45702</v>
          </cell>
          <cell r="R8455">
            <v>45702</v>
          </cell>
          <cell r="S8455"/>
          <cell r="T8455"/>
          <cell r="U8455" t="str">
            <v>TMS 기구 Module 작업</v>
          </cell>
          <cell r="V8455"/>
          <cell r="W8455"/>
          <cell r="X8455">
            <v>41100317</v>
          </cell>
        </row>
        <row r="8456">
          <cell r="K8456"/>
          <cell r="L8456">
            <v>45698</v>
          </cell>
          <cell r="M8456">
            <v>45698</v>
          </cell>
          <cell r="N8456">
            <v>45700</v>
          </cell>
          <cell r="O8456">
            <v>45698</v>
          </cell>
          <cell r="P8456">
            <v>45700</v>
          </cell>
          <cell r="Q8456">
            <v>45702</v>
          </cell>
          <cell r="R8456">
            <v>45702</v>
          </cell>
          <cell r="S8456"/>
          <cell r="T8456"/>
          <cell r="U8456" t="str">
            <v>TMS 기구 Module 작업</v>
          </cell>
          <cell r="V8456"/>
          <cell r="W8456"/>
          <cell r="X8456">
            <v>41200076</v>
          </cell>
        </row>
        <row r="8457">
          <cell r="K8457"/>
          <cell r="L8457">
            <v>45698</v>
          </cell>
          <cell r="M8457">
            <v>45698</v>
          </cell>
          <cell r="N8457">
            <v>45700</v>
          </cell>
          <cell r="O8457">
            <v>45698</v>
          </cell>
          <cell r="P8457">
            <v>45700</v>
          </cell>
          <cell r="Q8457">
            <v>45702</v>
          </cell>
          <cell r="R8457">
            <v>45702</v>
          </cell>
          <cell r="S8457"/>
          <cell r="T8457"/>
          <cell r="U8457" t="str">
            <v>TMS 기구 Module 작업</v>
          </cell>
          <cell r="V8457"/>
          <cell r="W8457"/>
          <cell r="X8457">
            <v>41100372</v>
          </cell>
        </row>
        <row r="8458">
          <cell r="K8458"/>
          <cell r="L8458">
            <v>45698</v>
          </cell>
          <cell r="M8458">
            <v>45698</v>
          </cell>
          <cell r="N8458">
            <v>45700</v>
          </cell>
          <cell r="O8458">
            <v>45698</v>
          </cell>
          <cell r="P8458">
            <v>45700</v>
          </cell>
          <cell r="Q8458">
            <v>45702</v>
          </cell>
          <cell r="R8458">
            <v>45702</v>
          </cell>
          <cell r="S8458"/>
          <cell r="T8458"/>
          <cell r="U8458" t="str">
            <v>TMS 기구 Module 작업</v>
          </cell>
          <cell r="V8458"/>
          <cell r="W8458"/>
          <cell r="X8458">
            <v>41200007</v>
          </cell>
        </row>
        <row r="8459">
          <cell r="K8459"/>
          <cell r="L8459">
            <v>45698</v>
          </cell>
          <cell r="M8459">
            <v>45698</v>
          </cell>
          <cell r="N8459">
            <v>45700</v>
          </cell>
          <cell r="O8459">
            <v>45698</v>
          </cell>
          <cell r="P8459">
            <v>45700</v>
          </cell>
          <cell r="Q8459">
            <v>45702</v>
          </cell>
          <cell r="R8459">
            <v>45702</v>
          </cell>
          <cell r="S8459"/>
          <cell r="T8459"/>
          <cell r="U8459" t="str">
            <v>TMS 기구 Module 작업</v>
          </cell>
          <cell r="V8459"/>
          <cell r="W8459"/>
          <cell r="X8459">
            <v>41200007</v>
          </cell>
        </row>
        <row r="8460">
          <cell r="K8460"/>
          <cell r="L8460">
            <v>45698</v>
          </cell>
          <cell r="M8460">
            <v>45698</v>
          </cell>
          <cell r="N8460">
            <v>45702</v>
          </cell>
          <cell r="O8460">
            <v>45698</v>
          </cell>
          <cell r="P8460">
            <v>45702</v>
          </cell>
          <cell r="Q8460">
            <v>45702</v>
          </cell>
          <cell r="R8460">
            <v>45702</v>
          </cell>
          <cell r="S8460"/>
          <cell r="T8460"/>
          <cell r="U8460" t="str">
            <v>TMS 기구 Module 작업</v>
          </cell>
          <cell r="V8460"/>
          <cell r="W8460"/>
          <cell r="X8460">
            <v>41200096</v>
          </cell>
        </row>
        <row r="8461">
          <cell r="K8461"/>
          <cell r="L8461">
            <v>45699</v>
          </cell>
          <cell r="M8461">
            <v>45699</v>
          </cell>
          <cell r="N8461">
            <v>45702</v>
          </cell>
          <cell r="O8461">
            <v>45699</v>
          </cell>
          <cell r="P8461">
            <v>45702</v>
          </cell>
          <cell r="Q8461" t="str">
            <v>2025-02-18 → 2/14</v>
          </cell>
          <cell r="R8461" t="str">
            <v>2025-02-18 → 2/14</v>
          </cell>
          <cell r="S8461"/>
          <cell r="T8461"/>
          <cell r="U8461" t="str">
            <v>TMS 기구 Module 작업</v>
          </cell>
          <cell r="V8461"/>
          <cell r="W8461"/>
          <cell r="X8461">
            <v>41200108</v>
          </cell>
        </row>
        <row r="8462">
          <cell r="K8462"/>
          <cell r="L8462">
            <v>45699</v>
          </cell>
          <cell r="M8462">
            <v>45699</v>
          </cell>
          <cell r="N8462">
            <v>45702</v>
          </cell>
          <cell r="O8462">
            <v>45699</v>
          </cell>
          <cell r="P8462">
            <v>45702</v>
          </cell>
          <cell r="Q8462">
            <v>45706</v>
          </cell>
          <cell r="R8462">
            <v>45706</v>
          </cell>
          <cell r="S8462"/>
          <cell r="T8462"/>
          <cell r="U8462" t="str">
            <v>TMS 기구 Module 작업</v>
          </cell>
          <cell r="V8462"/>
          <cell r="W8462"/>
          <cell r="X8462">
            <v>41200108</v>
          </cell>
        </row>
        <row r="8463">
          <cell r="K8463"/>
          <cell r="L8463">
            <v>45699</v>
          </cell>
          <cell r="M8463">
            <v>45699</v>
          </cell>
          <cell r="N8463">
            <v>45705</v>
          </cell>
          <cell r="O8463">
            <v>45699</v>
          </cell>
          <cell r="P8463">
            <v>45705</v>
          </cell>
          <cell r="Q8463">
            <v>45705</v>
          </cell>
          <cell r="R8463">
            <v>45705</v>
          </cell>
          <cell r="S8463"/>
          <cell r="T8463"/>
          <cell r="U8463" t="str">
            <v>TMS 기구 Module 작업</v>
          </cell>
          <cell r="V8463"/>
          <cell r="W8463"/>
          <cell r="X8463">
            <v>41200118</v>
          </cell>
        </row>
        <row r="8464">
          <cell r="K8464"/>
          <cell r="L8464">
            <v>45700</v>
          </cell>
          <cell r="M8464" t="str">
            <v>2025-02-07 → 2/12</v>
          </cell>
          <cell r="N8464">
            <v>45705</v>
          </cell>
          <cell r="O8464" t="str">
            <v>2025-02-07 → 2/12</v>
          </cell>
          <cell r="P8464">
            <v>45705</v>
          </cell>
          <cell r="Q8464" t="str">
            <v>2025-02-13 → 2/17</v>
          </cell>
          <cell r="R8464" t="str">
            <v>2025-02-13 → 2/17</v>
          </cell>
          <cell r="S8464"/>
          <cell r="T8464"/>
          <cell r="U8464" t="str">
            <v>TMS 기구 Module 작업</v>
          </cell>
          <cell r="V8464"/>
          <cell r="W8464"/>
          <cell r="X8464">
            <v>41200101</v>
          </cell>
        </row>
        <row r="8465">
          <cell r="K8465"/>
          <cell r="L8465">
            <v>45700</v>
          </cell>
          <cell r="M8465" t="str">
            <v>2025-02-11 → 2/12</v>
          </cell>
          <cell r="N8465">
            <v>45705</v>
          </cell>
          <cell r="O8465" t="str">
            <v>2025-02-11 → 2/12</v>
          </cell>
          <cell r="P8465">
            <v>45705</v>
          </cell>
          <cell r="Q8465" t="str">
            <v>2025-02-17 → 2/18</v>
          </cell>
          <cell r="R8465" t="str">
            <v>2025-02-17 → 2/18</v>
          </cell>
          <cell r="S8465"/>
          <cell r="T8465"/>
          <cell r="U8465" t="str">
            <v>TMS 기구 Module 작업</v>
          </cell>
          <cell r="V8465"/>
          <cell r="W8465"/>
          <cell r="X8465">
            <v>41200117</v>
          </cell>
        </row>
        <row r="8466">
          <cell r="K8466"/>
          <cell r="L8466">
            <v>45700</v>
          </cell>
          <cell r="M8466">
            <v>45700</v>
          </cell>
          <cell r="N8466">
            <v>45705</v>
          </cell>
          <cell r="O8466">
            <v>45700</v>
          </cell>
          <cell r="P8466">
            <v>45705</v>
          </cell>
          <cell r="Q8466">
            <v>45706</v>
          </cell>
          <cell r="R8466">
            <v>45706</v>
          </cell>
          <cell r="S8466"/>
          <cell r="T8466"/>
          <cell r="U8466" t="str">
            <v>TMS 기구 Module 작업</v>
          </cell>
          <cell r="V8466"/>
          <cell r="W8466"/>
          <cell r="X8466">
            <v>41100320</v>
          </cell>
        </row>
        <row r="8467">
          <cell r="K8467"/>
          <cell r="L8467">
            <v>45700</v>
          </cell>
          <cell r="M8467">
            <v>45700</v>
          </cell>
          <cell r="N8467">
            <v>45705</v>
          </cell>
          <cell r="O8467">
            <v>45700</v>
          </cell>
          <cell r="P8467">
            <v>45705</v>
          </cell>
          <cell r="Q8467">
            <v>45706</v>
          </cell>
          <cell r="R8467">
            <v>45706</v>
          </cell>
          <cell r="S8467"/>
          <cell r="T8467"/>
          <cell r="U8467" t="str">
            <v>TMS 기구 Module 작업</v>
          </cell>
          <cell r="V8467"/>
          <cell r="W8467"/>
          <cell r="X8467">
            <v>41200084</v>
          </cell>
        </row>
        <row r="8468">
          <cell r="K8468"/>
          <cell r="L8468">
            <v>45700</v>
          </cell>
          <cell r="M8468">
            <v>45700</v>
          </cell>
          <cell r="N8468">
            <v>45705</v>
          </cell>
          <cell r="O8468">
            <v>45700</v>
          </cell>
          <cell r="P8468">
            <v>45705</v>
          </cell>
          <cell r="Q8468">
            <v>45706</v>
          </cell>
          <cell r="R8468">
            <v>45706</v>
          </cell>
          <cell r="S8468"/>
          <cell r="T8468"/>
          <cell r="U8468" t="str">
            <v>TMS 기구 Module 작업</v>
          </cell>
          <cell r="V8468"/>
          <cell r="W8468"/>
          <cell r="X8468">
            <v>41000598</v>
          </cell>
        </row>
        <row r="8469">
          <cell r="K8469"/>
          <cell r="L8469">
            <v>45701</v>
          </cell>
          <cell r="M8469">
            <v>45701</v>
          </cell>
          <cell r="N8469">
            <v>45705</v>
          </cell>
          <cell r="O8469">
            <v>45701</v>
          </cell>
          <cell r="P8469">
            <v>45705</v>
          </cell>
          <cell r="Q8469">
            <v>45707</v>
          </cell>
          <cell r="R8469">
            <v>45707</v>
          </cell>
          <cell r="S8469"/>
          <cell r="T8469"/>
          <cell r="U8469" t="str">
            <v>TMS 기구 Module 작업</v>
          </cell>
          <cell r="V8469"/>
          <cell r="W8469"/>
          <cell r="X8469">
            <v>41000598</v>
          </cell>
        </row>
        <row r="8470">
          <cell r="K8470"/>
          <cell r="L8470">
            <v>45701</v>
          </cell>
          <cell r="M8470">
            <v>45701</v>
          </cell>
          <cell r="N8470">
            <v>45705</v>
          </cell>
          <cell r="O8470">
            <v>45701</v>
          </cell>
          <cell r="P8470">
            <v>45705</v>
          </cell>
          <cell r="Q8470">
            <v>45706</v>
          </cell>
          <cell r="R8470">
            <v>45706</v>
          </cell>
          <cell r="S8470"/>
          <cell r="T8470"/>
          <cell r="U8470" t="str">
            <v>TMS 기구 Module 작업</v>
          </cell>
          <cell r="V8470"/>
          <cell r="W8470"/>
          <cell r="X8470">
            <v>41100446</v>
          </cell>
        </row>
        <row r="8471">
          <cell r="K8471"/>
          <cell r="L8471">
            <v>45702</v>
          </cell>
          <cell r="M8471">
            <v>45702</v>
          </cell>
          <cell r="N8471">
            <v>45705</v>
          </cell>
          <cell r="O8471">
            <v>45702</v>
          </cell>
          <cell r="P8471">
            <v>45705</v>
          </cell>
          <cell r="Q8471">
            <v>45706</v>
          </cell>
          <cell r="R8471">
            <v>45706</v>
          </cell>
          <cell r="S8471"/>
          <cell r="T8471"/>
          <cell r="U8471" t="str">
            <v>TMS 기구 Module 작업</v>
          </cell>
          <cell r="V8471"/>
          <cell r="W8471"/>
          <cell r="X8471">
            <v>41200087</v>
          </cell>
        </row>
        <row r="8472">
          <cell r="K8472"/>
          <cell r="L8472">
            <v>45706</v>
          </cell>
          <cell r="M8472">
            <v>45706</v>
          </cell>
          <cell r="N8472">
            <v>45709</v>
          </cell>
          <cell r="O8472">
            <v>45706</v>
          </cell>
          <cell r="P8472">
            <v>45709</v>
          </cell>
          <cell r="Q8472">
            <v>45712</v>
          </cell>
          <cell r="R8472">
            <v>45712</v>
          </cell>
          <cell r="S8472"/>
          <cell r="T8472"/>
          <cell r="U8472" t="str">
            <v>TMS 기구 Module 작업</v>
          </cell>
          <cell r="V8472"/>
          <cell r="W8472"/>
          <cell r="X8472">
            <v>41100334</v>
          </cell>
        </row>
        <row r="8473">
          <cell r="K8473"/>
          <cell r="L8473">
            <v>45706</v>
          </cell>
          <cell r="M8473">
            <v>45706</v>
          </cell>
          <cell r="N8473">
            <v>45709</v>
          </cell>
          <cell r="O8473">
            <v>45706</v>
          </cell>
          <cell r="P8473">
            <v>45709</v>
          </cell>
          <cell r="Q8473">
            <v>45714</v>
          </cell>
          <cell r="R8473">
            <v>45714</v>
          </cell>
          <cell r="S8473"/>
          <cell r="T8473"/>
          <cell r="U8473" t="str">
            <v>TMS 기구 Module 작업</v>
          </cell>
          <cell r="V8473"/>
          <cell r="W8473"/>
          <cell r="X8473">
            <v>41100334</v>
          </cell>
        </row>
        <row r="8474">
          <cell r="K8474"/>
          <cell r="L8474">
            <v>45706</v>
          </cell>
          <cell r="M8474">
            <v>45706</v>
          </cell>
          <cell r="N8474">
            <v>45709</v>
          </cell>
          <cell r="O8474">
            <v>45706</v>
          </cell>
          <cell r="P8474">
            <v>45709</v>
          </cell>
          <cell r="Q8474">
            <v>45712</v>
          </cell>
          <cell r="R8474">
            <v>45712</v>
          </cell>
          <cell r="S8474"/>
          <cell r="T8474"/>
          <cell r="U8474" t="str">
            <v>TMS 기구 Module 작업</v>
          </cell>
          <cell r="V8474"/>
          <cell r="W8474"/>
          <cell r="X8474">
            <v>41200096</v>
          </cell>
        </row>
        <row r="8475">
          <cell r="K8475"/>
          <cell r="L8475">
            <v>45706</v>
          </cell>
          <cell r="M8475">
            <v>45706</v>
          </cell>
          <cell r="N8475">
            <v>45709</v>
          </cell>
          <cell r="O8475">
            <v>45706</v>
          </cell>
          <cell r="P8475">
            <v>45709</v>
          </cell>
          <cell r="Q8475">
            <v>45713</v>
          </cell>
          <cell r="R8475">
            <v>45713</v>
          </cell>
          <cell r="S8475"/>
          <cell r="T8475"/>
          <cell r="U8475" t="str">
            <v>TMS 기구 Module 작업</v>
          </cell>
          <cell r="V8475"/>
          <cell r="W8475"/>
          <cell r="X8475">
            <v>41200096</v>
          </cell>
        </row>
        <row r="8476">
          <cell r="K8476"/>
          <cell r="L8476">
            <v>45707</v>
          </cell>
          <cell r="M8476">
            <v>45707</v>
          </cell>
          <cell r="N8476">
            <v>45709</v>
          </cell>
          <cell r="O8476">
            <v>45707</v>
          </cell>
          <cell r="P8476">
            <v>45709</v>
          </cell>
          <cell r="Q8476">
            <v>45713</v>
          </cell>
          <cell r="R8476">
            <v>45713</v>
          </cell>
          <cell r="S8476"/>
          <cell r="T8476"/>
          <cell r="U8476" t="str">
            <v>TMS 기구 Module 작업</v>
          </cell>
          <cell r="V8476"/>
          <cell r="W8476"/>
          <cell r="X8476">
            <v>41200101</v>
          </cell>
        </row>
        <row r="8477">
          <cell r="K8477"/>
          <cell r="L8477">
            <v>45707</v>
          </cell>
          <cell r="M8477">
            <v>45707</v>
          </cell>
          <cell r="N8477">
            <v>45709</v>
          </cell>
          <cell r="O8477">
            <v>45707</v>
          </cell>
          <cell r="P8477">
            <v>45709</v>
          </cell>
          <cell r="Q8477">
            <v>45714</v>
          </cell>
          <cell r="R8477">
            <v>45714</v>
          </cell>
          <cell r="S8477"/>
          <cell r="T8477"/>
          <cell r="U8477" t="str">
            <v>TMS 기구 Module 작업</v>
          </cell>
          <cell r="V8477"/>
          <cell r="W8477"/>
          <cell r="X8477">
            <v>41200096</v>
          </cell>
        </row>
        <row r="8478">
          <cell r="K8478"/>
          <cell r="L8478">
            <v>45707</v>
          </cell>
          <cell r="M8478">
            <v>45707</v>
          </cell>
          <cell r="N8478">
            <v>45709</v>
          </cell>
          <cell r="O8478">
            <v>45707</v>
          </cell>
          <cell r="P8478">
            <v>45709</v>
          </cell>
          <cell r="Q8478">
            <v>45714</v>
          </cell>
          <cell r="R8478">
            <v>45714</v>
          </cell>
          <cell r="S8478"/>
          <cell r="T8478"/>
          <cell r="U8478" t="str">
            <v>TMS 기구 Module 작업</v>
          </cell>
          <cell r="V8478"/>
          <cell r="W8478"/>
          <cell r="X8478">
            <v>41200096</v>
          </cell>
        </row>
        <row r="8479">
          <cell r="K8479"/>
          <cell r="L8479">
            <v>45707</v>
          </cell>
          <cell r="M8479">
            <v>45707</v>
          </cell>
          <cell r="N8479">
            <v>45709</v>
          </cell>
          <cell r="O8479">
            <v>45707</v>
          </cell>
          <cell r="P8479">
            <v>45709</v>
          </cell>
          <cell r="Q8479">
            <v>45712</v>
          </cell>
          <cell r="R8479">
            <v>45712</v>
          </cell>
          <cell r="S8479"/>
          <cell r="T8479"/>
          <cell r="U8479" t="str">
            <v>TMS 기구 Module 작업</v>
          </cell>
          <cell r="V8479"/>
          <cell r="W8479"/>
          <cell r="X8479">
            <v>41200074</v>
          </cell>
        </row>
        <row r="8480">
          <cell r="K8480"/>
          <cell r="L8480">
            <v>45708</v>
          </cell>
          <cell r="M8480">
            <v>45708</v>
          </cell>
          <cell r="N8480">
            <v>45713</v>
          </cell>
          <cell r="O8480">
            <v>45708</v>
          </cell>
          <cell r="P8480">
            <v>45713</v>
          </cell>
          <cell r="Q8480">
            <v>45715</v>
          </cell>
          <cell r="R8480">
            <v>45715</v>
          </cell>
          <cell r="S8480"/>
          <cell r="T8480"/>
          <cell r="U8480" t="str">
            <v>TMS 기구 Module 작업</v>
          </cell>
          <cell r="V8480"/>
          <cell r="W8480"/>
          <cell r="X8480">
            <v>41200076</v>
          </cell>
        </row>
        <row r="8481">
          <cell r="K8481"/>
          <cell r="L8481">
            <v>45708</v>
          </cell>
          <cell r="M8481">
            <v>45708</v>
          </cell>
          <cell r="N8481">
            <v>45713</v>
          </cell>
          <cell r="O8481">
            <v>45708</v>
          </cell>
          <cell r="P8481">
            <v>45713</v>
          </cell>
          <cell r="Q8481">
            <v>45715</v>
          </cell>
          <cell r="R8481">
            <v>45715</v>
          </cell>
          <cell r="S8481"/>
          <cell r="T8481"/>
          <cell r="U8481" t="str">
            <v>TMS 기구 Module 작업</v>
          </cell>
          <cell r="V8481"/>
          <cell r="W8481"/>
          <cell r="X8481">
            <v>41200076</v>
          </cell>
        </row>
        <row r="8482">
          <cell r="K8482"/>
          <cell r="L8482">
            <v>45708</v>
          </cell>
          <cell r="M8482">
            <v>45708</v>
          </cell>
          <cell r="N8482">
            <v>45713</v>
          </cell>
          <cell r="O8482">
            <v>45708</v>
          </cell>
          <cell r="P8482">
            <v>45713</v>
          </cell>
          <cell r="Q8482">
            <v>45714</v>
          </cell>
          <cell r="R8482">
            <v>45714</v>
          </cell>
          <cell r="S8482"/>
          <cell r="T8482"/>
          <cell r="U8482" t="str">
            <v>TMS 기구 Module 작업</v>
          </cell>
          <cell r="V8482"/>
          <cell r="W8482"/>
          <cell r="X8482">
            <v>41200080</v>
          </cell>
        </row>
        <row r="8483">
          <cell r="K8483"/>
          <cell r="L8483">
            <v>45708</v>
          </cell>
          <cell r="M8483">
            <v>45708</v>
          </cell>
          <cell r="N8483">
            <v>45713</v>
          </cell>
          <cell r="O8483">
            <v>45708</v>
          </cell>
          <cell r="P8483">
            <v>45713</v>
          </cell>
          <cell r="Q8483">
            <v>45714</v>
          </cell>
          <cell r="R8483">
            <v>45714</v>
          </cell>
          <cell r="S8483"/>
          <cell r="T8483"/>
          <cell r="U8483" t="str">
            <v>TMS 기구 Module 작업</v>
          </cell>
          <cell r="V8483"/>
          <cell r="W8483"/>
          <cell r="X8483">
            <v>41200027</v>
          </cell>
        </row>
        <row r="8484">
          <cell r="K8484"/>
          <cell r="L8484">
            <v>45708</v>
          </cell>
          <cell r="M8484">
            <v>45708</v>
          </cell>
          <cell r="N8484">
            <v>45713</v>
          </cell>
          <cell r="O8484">
            <v>45708</v>
          </cell>
          <cell r="P8484">
            <v>45713</v>
          </cell>
          <cell r="Q8484">
            <v>45713</v>
          </cell>
          <cell r="R8484">
            <v>45713</v>
          </cell>
          <cell r="S8484"/>
          <cell r="T8484"/>
          <cell r="U8484" t="str">
            <v>TMS 기구 Module 작업</v>
          </cell>
          <cell r="V8484"/>
          <cell r="W8484"/>
          <cell r="X8484">
            <v>41200108</v>
          </cell>
        </row>
        <row r="8485">
          <cell r="K8485"/>
          <cell r="L8485">
            <v>45708</v>
          </cell>
          <cell r="M8485">
            <v>45708</v>
          </cell>
          <cell r="N8485">
            <v>45713</v>
          </cell>
          <cell r="O8485">
            <v>45708</v>
          </cell>
          <cell r="P8485">
            <v>45713</v>
          </cell>
          <cell r="Q8485">
            <v>45713</v>
          </cell>
          <cell r="R8485">
            <v>45713</v>
          </cell>
          <cell r="S8485"/>
          <cell r="T8485"/>
          <cell r="U8485" t="str">
            <v>TMS 기구 Module 작업</v>
          </cell>
          <cell r="V8485"/>
          <cell r="W8485"/>
          <cell r="X8485">
            <v>41200108</v>
          </cell>
        </row>
        <row r="8486">
          <cell r="K8486"/>
          <cell r="L8486">
            <v>45709</v>
          </cell>
          <cell r="M8486">
            <v>45709</v>
          </cell>
          <cell r="N8486">
            <v>45713</v>
          </cell>
          <cell r="O8486">
            <v>45709</v>
          </cell>
          <cell r="P8486">
            <v>45713</v>
          </cell>
          <cell r="Q8486">
            <v>45715</v>
          </cell>
          <cell r="R8486">
            <v>45715</v>
          </cell>
          <cell r="S8486"/>
          <cell r="T8486"/>
          <cell r="U8486" t="str">
            <v>TMS 기구 Module 작업</v>
          </cell>
          <cell r="V8486"/>
          <cell r="W8486"/>
          <cell r="X8486">
            <v>41100320</v>
          </cell>
        </row>
        <row r="8487">
          <cell r="K8487"/>
          <cell r="L8487">
            <v>45709</v>
          </cell>
          <cell r="M8487">
            <v>45709</v>
          </cell>
          <cell r="N8487">
            <v>45713</v>
          </cell>
          <cell r="O8487">
            <v>45709</v>
          </cell>
          <cell r="P8487">
            <v>45713</v>
          </cell>
          <cell r="Q8487">
            <v>45715</v>
          </cell>
          <cell r="R8487">
            <v>45715</v>
          </cell>
          <cell r="S8487"/>
          <cell r="T8487"/>
          <cell r="U8487" t="str">
            <v>TMS 기구 Module 작업</v>
          </cell>
          <cell r="V8487"/>
          <cell r="W8487"/>
          <cell r="X8487">
            <v>41100372</v>
          </cell>
        </row>
        <row r="8488">
          <cell r="K8488"/>
          <cell r="L8488">
            <v>45712</v>
          </cell>
          <cell r="M8488">
            <v>45712</v>
          </cell>
          <cell r="N8488">
            <v>45720</v>
          </cell>
          <cell r="O8488">
            <v>45712</v>
          </cell>
          <cell r="P8488">
            <v>45720</v>
          </cell>
          <cell r="Q8488">
            <v>45716</v>
          </cell>
          <cell r="R8488">
            <v>45716</v>
          </cell>
          <cell r="S8488"/>
          <cell r="T8488"/>
          <cell r="U8488" t="str">
            <v>TMS 기구 Module 작업</v>
          </cell>
          <cell r="V8488"/>
          <cell r="W8488"/>
          <cell r="X8488">
            <v>41200101</v>
          </cell>
        </row>
        <row r="8489">
          <cell r="K8489"/>
          <cell r="L8489">
            <v>45712</v>
          </cell>
          <cell r="M8489">
            <v>45712</v>
          </cell>
          <cell r="N8489">
            <v>45720</v>
          </cell>
          <cell r="O8489">
            <v>45712</v>
          </cell>
          <cell r="P8489">
            <v>45720</v>
          </cell>
          <cell r="Q8489">
            <v>45716</v>
          </cell>
          <cell r="R8489">
            <v>45716</v>
          </cell>
          <cell r="S8489"/>
          <cell r="T8489"/>
          <cell r="U8489" t="str">
            <v>TMS 기구 Module 작업</v>
          </cell>
          <cell r="V8489"/>
          <cell r="W8489"/>
          <cell r="X8489">
            <v>41200119</v>
          </cell>
        </row>
        <row r="8490">
          <cell r="K8490"/>
          <cell r="L8490">
            <v>45712</v>
          </cell>
          <cell r="M8490">
            <v>45712</v>
          </cell>
          <cell r="N8490">
            <v>45720</v>
          </cell>
          <cell r="O8490">
            <v>45712</v>
          </cell>
          <cell r="P8490">
            <v>45720</v>
          </cell>
          <cell r="Q8490">
            <v>45716</v>
          </cell>
          <cell r="R8490">
            <v>45716</v>
          </cell>
          <cell r="S8490"/>
          <cell r="T8490"/>
          <cell r="U8490" t="str">
            <v>TMS 기구 Module 작업</v>
          </cell>
          <cell r="V8490"/>
          <cell r="W8490"/>
          <cell r="X8490">
            <v>41200108</v>
          </cell>
        </row>
        <row r="8491">
          <cell r="K8491"/>
          <cell r="L8491">
            <v>45713</v>
          </cell>
          <cell r="M8491">
            <v>45713</v>
          </cell>
          <cell r="N8491">
            <v>45720</v>
          </cell>
          <cell r="O8491">
            <v>45713</v>
          </cell>
          <cell r="P8491">
            <v>45720</v>
          </cell>
          <cell r="Q8491">
            <v>45720</v>
          </cell>
          <cell r="R8491">
            <v>45720</v>
          </cell>
          <cell r="S8491"/>
          <cell r="T8491"/>
          <cell r="U8491" t="str">
            <v>TMS 기구 Module 작업</v>
          </cell>
          <cell r="V8491"/>
          <cell r="W8491"/>
          <cell r="X8491">
            <v>41100564</v>
          </cell>
        </row>
        <row r="8492">
          <cell r="K8492"/>
          <cell r="L8492">
            <v>45713</v>
          </cell>
          <cell r="M8492">
            <v>45713</v>
          </cell>
          <cell r="N8492">
            <v>45720</v>
          </cell>
          <cell r="O8492">
            <v>45713</v>
          </cell>
          <cell r="P8492">
            <v>45720</v>
          </cell>
          <cell r="Q8492">
            <v>45720</v>
          </cell>
          <cell r="R8492">
            <v>45720</v>
          </cell>
          <cell r="S8492"/>
          <cell r="T8492"/>
          <cell r="U8492" t="str">
            <v>TMS 기구 Module 작업</v>
          </cell>
          <cell r="V8492"/>
          <cell r="W8492"/>
          <cell r="X8492">
            <v>41100566</v>
          </cell>
        </row>
        <row r="8493">
          <cell r="K8493"/>
          <cell r="L8493">
            <v>45714</v>
          </cell>
          <cell r="M8493">
            <v>45714</v>
          </cell>
          <cell r="N8493">
            <v>45720</v>
          </cell>
          <cell r="O8493">
            <v>45714</v>
          </cell>
          <cell r="P8493">
            <v>45720</v>
          </cell>
          <cell r="Q8493">
            <v>45721</v>
          </cell>
          <cell r="R8493">
            <v>45721</v>
          </cell>
          <cell r="S8493"/>
          <cell r="T8493"/>
          <cell r="U8493" t="str">
            <v>TMS 기구 Module 작업</v>
          </cell>
          <cell r="V8493"/>
          <cell r="W8493"/>
          <cell r="X8493">
            <v>41200101</v>
          </cell>
        </row>
        <row r="8494">
          <cell r="K8494"/>
          <cell r="L8494">
            <v>45714</v>
          </cell>
          <cell r="M8494">
            <v>45714</v>
          </cell>
          <cell r="N8494">
            <v>45720</v>
          </cell>
          <cell r="O8494">
            <v>45714</v>
          </cell>
          <cell r="P8494">
            <v>45720</v>
          </cell>
          <cell r="Q8494">
            <v>45721</v>
          </cell>
          <cell r="R8494">
            <v>45721</v>
          </cell>
          <cell r="S8494"/>
          <cell r="T8494"/>
          <cell r="U8494" t="str">
            <v>TMS 기구 Module 작업</v>
          </cell>
          <cell r="V8494"/>
          <cell r="W8494"/>
          <cell r="X8494">
            <v>41200047</v>
          </cell>
        </row>
        <row r="8495">
          <cell r="K8495"/>
          <cell r="L8495">
            <v>45714</v>
          </cell>
          <cell r="M8495">
            <v>45714</v>
          </cell>
          <cell r="N8495">
            <v>45720</v>
          </cell>
          <cell r="O8495">
            <v>45714</v>
          </cell>
          <cell r="P8495">
            <v>45720</v>
          </cell>
          <cell r="Q8495">
            <v>45721</v>
          </cell>
          <cell r="R8495">
            <v>45721</v>
          </cell>
          <cell r="S8495"/>
          <cell r="T8495"/>
          <cell r="U8495" t="str">
            <v>TMS 기구 Module 작업</v>
          </cell>
          <cell r="V8495"/>
          <cell r="W8495"/>
          <cell r="X8495">
            <v>41200047</v>
          </cell>
        </row>
        <row r="8496">
          <cell r="K8496"/>
          <cell r="L8496">
            <v>45714</v>
          </cell>
          <cell r="M8496">
            <v>45714</v>
          </cell>
          <cell r="N8496">
            <v>45720</v>
          </cell>
          <cell r="O8496">
            <v>45714</v>
          </cell>
          <cell r="P8496">
            <v>45720</v>
          </cell>
          <cell r="Q8496">
            <v>45721</v>
          </cell>
          <cell r="R8496">
            <v>45721</v>
          </cell>
          <cell r="S8496"/>
          <cell r="T8496"/>
          <cell r="U8496" t="str">
            <v>TMS 기구 Module 작업</v>
          </cell>
          <cell r="V8496"/>
          <cell r="W8496"/>
          <cell r="X8496">
            <v>41200074</v>
          </cell>
        </row>
        <row r="8497">
          <cell r="K8497"/>
          <cell r="L8497">
            <v>45714</v>
          </cell>
          <cell r="M8497">
            <v>45714</v>
          </cell>
          <cell r="N8497">
            <v>45720</v>
          </cell>
          <cell r="O8497">
            <v>45714</v>
          </cell>
          <cell r="P8497">
            <v>45720</v>
          </cell>
          <cell r="Q8497">
            <v>45721</v>
          </cell>
          <cell r="R8497">
            <v>45721</v>
          </cell>
          <cell r="S8497"/>
          <cell r="T8497"/>
          <cell r="U8497" t="str">
            <v>TMS 기구 Module 작업</v>
          </cell>
          <cell r="V8497"/>
          <cell r="W8497"/>
          <cell r="X8497">
            <v>41200087</v>
          </cell>
        </row>
        <row r="8498">
          <cell r="K8498"/>
          <cell r="L8498">
            <v>45715</v>
          </cell>
          <cell r="M8498">
            <v>45715</v>
          </cell>
          <cell r="N8498">
            <v>45720</v>
          </cell>
          <cell r="O8498">
            <v>45715</v>
          </cell>
          <cell r="P8498">
            <v>45720</v>
          </cell>
          <cell r="Q8498">
            <v>45722</v>
          </cell>
          <cell r="R8498">
            <v>45722</v>
          </cell>
          <cell r="S8498"/>
          <cell r="T8498"/>
          <cell r="U8498" t="str">
            <v>TMS 기구 Module 작업</v>
          </cell>
          <cell r="V8498"/>
          <cell r="W8498"/>
          <cell r="X8498">
            <v>41200113</v>
          </cell>
        </row>
        <row r="8499">
          <cell r="K8499"/>
          <cell r="L8499">
            <v>45715</v>
          </cell>
          <cell r="M8499">
            <v>45715</v>
          </cell>
          <cell r="N8499">
            <v>45720</v>
          </cell>
          <cell r="O8499">
            <v>45715</v>
          </cell>
          <cell r="P8499">
            <v>45720</v>
          </cell>
          <cell r="Q8499">
            <v>45722</v>
          </cell>
          <cell r="R8499">
            <v>45722</v>
          </cell>
          <cell r="S8499"/>
          <cell r="T8499"/>
          <cell r="U8499" t="str">
            <v>TMS 기구 Module 작업</v>
          </cell>
          <cell r="V8499"/>
          <cell r="W8499"/>
          <cell r="X8499">
            <v>41200007</v>
          </cell>
        </row>
        <row r="8500">
          <cell r="K8500"/>
          <cell r="L8500">
            <v>45716</v>
          </cell>
          <cell r="M8500">
            <v>45716</v>
          </cell>
          <cell r="N8500">
            <v>45720</v>
          </cell>
          <cell r="O8500">
            <v>45716</v>
          </cell>
          <cell r="P8500">
            <v>45720</v>
          </cell>
          <cell r="Q8500">
            <v>45723</v>
          </cell>
          <cell r="R8500">
            <v>45723</v>
          </cell>
          <cell r="S8500"/>
          <cell r="T8500"/>
          <cell r="U8500" t="str">
            <v>TMS 기구 Module 작업</v>
          </cell>
          <cell r="V8500"/>
          <cell r="W8500"/>
          <cell r="X8500">
            <v>41200076</v>
          </cell>
        </row>
        <row r="8501">
          <cell r="K8501"/>
          <cell r="L8501">
            <v>45714</v>
          </cell>
          <cell r="M8501">
            <v>45714</v>
          </cell>
          <cell r="N8501">
            <v>45722</v>
          </cell>
          <cell r="O8501">
            <v>45714</v>
          </cell>
          <cell r="P8501">
            <v>45722</v>
          </cell>
          <cell r="Q8501">
            <v>45721</v>
          </cell>
          <cell r="R8501">
            <v>45721</v>
          </cell>
          <cell r="S8501"/>
          <cell r="T8501"/>
          <cell r="U8501" t="str">
            <v>TMS 기구 Module 작업</v>
          </cell>
          <cell r="V8501"/>
          <cell r="W8501"/>
          <cell r="X8501">
            <v>41200108</v>
          </cell>
        </row>
        <row r="8502">
          <cell r="K8502"/>
          <cell r="L8502">
            <v>45714</v>
          </cell>
          <cell r="M8502">
            <v>45714</v>
          </cell>
          <cell r="N8502">
            <v>45722</v>
          </cell>
          <cell r="O8502">
            <v>45714</v>
          </cell>
          <cell r="P8502">
            <v>45722</v>
          </cell>
          <cell r="Q8502">
            <v>45722</v>
          </cell>
          <cell r="R8502">
            <v>45722</v>
          </cell>
          <cell r="S8502"/>
          <cell r="T8502"/>
          <cell r="U8502" t="str">
            <v>TMS 기구 Module 작업</v>
          </cell>
          <cell r="V8502"/>
          <cell r="W8502"/>
          <cell r="X8502">
            <v>41200108</v>
          </cell>
        </row>
        <row r="8503">
          <cell r="K8503"/>
          <cell r="L8503">
            <v>45716</v>
          </cell>
          <cell r="M8503">
            <v>45716</v>
          </cell>
          <cell r="N8503">
            <v>45722</v>
          </cell>
          <cell r="O8503">
            <v>45716</v>
          </cell>
          <cell r="P8503">
            <v>45722</v>
          </cell>
          <cell r="Q8503">
            <v>45723</v>
          </cell>
          <cell r="R8503">
            <v>45723</v>
          </cell>
          <cell r="S8503"/>
          <cell r="T8503"/>
          <cell r="U8503" t="str">
            <v>TMS 기구 Module 작업</v>
          </cell>
          <cell r="V8503"/>
          <cell r="W8503"/>
          <cell r="X8503">
            <v>41200108</v>
          </cell>
        </row>
        <row r="8504">
          <cell r="K8504"/>
          <cell r="L8504">
            <v>45720</v>
          </cell>
          <cell r="M8504">
            <v>45720</v>
          </cell>
          <cell r="N8504">
            <v>45722</v>
          </cell>
          <cell r="O8504">
            <v>45720</v>
          </cell>
          <cell r="P8504">
            <v>45722</v>
          </cell>
          <cell r="Q8504">
            <v>45723</v>
          </cell>
          <cell r="R8504">
            <v>45723</v>
          </cell>
          <cell r="S8504"/>
          <cell r="T8504"/>
          <cell r="U8504" t="str">
            <v>TMS 기구 Module 작업</v>
          </cell>
          <cell r="V8504"/>
          <cell r="W8504"/>
          <cell r="X8504">
            <v>41200036</v>
          </cell>
        </row>
        <row r="8505">
          <cell r="K8505"/>
          <cell r="L8505">
            <v>45720</v>
          </cell>
          <cell r="M8505">
            <v>45720</v>
          </cell>
          <cell r="N8505">
            <v>45722</v>
          </cell>
          <cell r="O8505">
            <v>45720</v>
          </cell>
          <cell r="P8505">
            <v>45722</v>
          </cell>
          <cell r="Q8505">
            <v>45723</v>
          </cell>
          <cell r="R8505">
            <v>45723</v>
          </cell>
          <cell r="S8505"/>
          <cell r="T8505"/>
          <cell r="U8505" t="str">
            <v>TMS 기구 Module 작업</v>
          </cell>
          <cell r="V8505"/>
          <cell r="W8505"/>
          <cell r="X8505">
            <v>41100502</v>
          </cell>
        </row>
        <row r="8506">
          <cell r="K8506"/>
          <cell r="L8506">
            <v>45709</v>
          </cell>
          <cell r="M8506" t="str">
            <v>2025-02-21 → 3/5</v>
          </cell>
          <cell r="N8506">
            <v>45723</v>
          </cell>
          <cell r="O8506" t="str">
            <v>2025-02-21 → 3/5</v>
          </cell>
          <cell r="P8506">
            <v>45723</v>
          </cell>
          <cell r="Q8506" t="str">
            <v>2025-02-26 → 3/7</v>
          </cell>
          <cell r="R8506" t="str">
            <v>2025-02-26 → 3/7</v>
          </cell>
          <cell r="S8506"/>
          <cell r="T8506"/>
          <cell r="U8506" t="str">
            <v>TMS 기구 Module 작업</v>
          </cell>
          <cell r="V8506"/>
          <cell r="W8506"/>
          <cell r="X8506">
            <v>41200086</v>
          </cell>
        </row>
        <row r="8507">
          <cell r="K8507"/>
          <cell r="L8507">
            <v>45721</v>
          </cell>
          <cell r="M8507">
            <v>45721</v>
          </cell>
          <cell r="N8507">
            <v>45728</v>
          </cell>
          <cell r="O8507">
            <v>45721</v>
          </cell>
          <cell r="P8507">
            <v>45728</v>
          </cell>
          <cell r="Q8507">
            <v>45726</v>
          </cell>
          <cell r="R8507">
            <v>45726</v>
          </cell>
          <cell r="S8507"/>
          <cell r="T8507"/>
          <cell r="U8507" t="str">
            <v>TMS 기구 Module 작업</v>
          </cell>
          <cell r="V8507"/>
          <cell r="W8507"/>
          <cell r="X8507">
            <v>41200046</v>
          </cell>
        </row>
        <row r="8508">
          <cell r="K8508"/>
          <cell r="L8508">
            <v>45721</v>
          </cell>
          <cell r="M8508">
            <v>45721</v>
          </cell>
          <cell r="N8508">
            <v>45728</v>
          </cell>
          <cell r="O8508">
            <v>45721</v>
          </cell>
          <cell r="P8508">
            <v>45728</v>
          </cell>
          <cell r="Q8508">
            <v>45726</v>
          </cell>
          <cell r="R8508">
            <v>45726</v>
          </cell>
          <cell r="S8508"/>
          <cell r="T8508"/>
          <cell r="U8508" t="str">
            <v>TMS 기구 Module 작업</v>
          </cell>
          <cell r="V8508"/>
          <cell r="W8508"/>
          <cell r="X8508">
            <v>41200121</v>
          </cell>
        </row>
        <row r="8509">
          <cell r="K8509"/>
          <cell r="L8509">
            <v>45721</v>
          </cell>
          <cell r="M8509">
            <v>45721</v>
          </cell>
          <cell r="N8509">
            <v>45728</v>
          </cell>
          <cell r="O8509">
            <v>45721</v>
          </cell>
          <cell r="P8509">
            <v>45728</v>
          </cell>
          <cell r="Q8509">
            <v>45727</v>
          </cell>
          <cell r="R8509">
            <v>45727</v>
          </cell>
          <cell r="S8509"/>
          <cell r="T8509"/>
          <cell r="U8509" t="str">
            <v>TMS 기구 Module 작업</v>
          </cell>
          <cell r="V8509"/>
          <cell r="W8509"/>
          <cell r="X8509">
            <v>41200108</v>
          </cell>
        </row>
        <row r="8510">
          <cell r="K8510"/>
          <cell r="L8510">
            <v>45721</v>
          </cell>
          <cell r="M8510">
            <v>45721</v>
          </cell>
          <cell r="N8510">
            <v>45728</v>
          </cell>
          <cell r="O8510">
            <v>45721</v>
          </cell>
          <cell r="P8510">
            <v>45728</v>
          </cell>
          <cell r="Q8510">
            <v>45729</v>
          </cell>
          <cell r="R8510">
            <v>45729</v>
          </cell>
          <cell r="S8510"/>
          <cell r="T8510"/>
          <cell r="U8510" t="str">
            <v>TMS 기구 Module 작업</v>
          </cell>
          <cell r="V8510"/>
          <cell r="W8510"/>
          <cell r="X8510">
            <v>41200108</v>
          </cell>
        </row>
        <row r="8511">
          <cell r="K8511"/>
          <cell r="L8511">
            <v>45721</v>
          </cell>
          <cell r="M8511">
            <v>45721</v>
          </cell>
          <cell r="N8511">
            <v>45729</v>
          </cell>
          <cell r="O8511">
            <v>45721</v>
          </cell>
          <cell r="P8511">
            <v>45729</v>
          </cell>
          <cell r="Q8511">
            <v>45727</v>
          </cell>
          <cell r="R8511">
            <v>45727</v>
          </cell>
          <cell r="S8511"/>
          <cell r="T8511"/>
          <cell r="U8511" t="str">
            <v>TMS 기구 Module 작업</v>
          </cell>
          <cell r="V8511"/>
          <cell r="W8511"/>
          <cell r="X8511">
            <v>41200007</v>
          </cell>
        </row>
        <row r="8512">
          <cell r="K8512"/>
          <cell r="L8512">
            <v>45721</v>
          </cell>
          <cell r="M8512">
            <v>45721</v>
          </cell>
          <cell r="N8512">
            <v>45729</v>
          </cell>
          <cell r="O8512">
            <v>45721</v>
          </cell>
          <cell r="P8512">
            <v>45729</v>
          </cell>
          <cell r="Q8512">
            <v>45727</v>
          </cell>
          <cell r="R8512">
            <v>45727</v>
          </cell>
          <cell r="S8512"/>
          <cell r="T8512"/>
          <cell r="U8512" t="str">
            <v>TMS 기구 Module 작업</v>
          </cell>
          <cell r="V8512"/>
          <cell r="W8512"/>
          <cell r="X8512">
            <v>41200007</v>
          </cell>
        </row>
        <row r="8513">
          <cell r="K8513"/>
          <cell r="L8513">
            <v>45721</v>
          </cell>
          <cell r="M8513">
            <v>45721</v>
          </cell>
          <cell r="N8513">
            <v>45729</v>
          </cell>
          <cell r="O8513">
            <v>45721</v>
          </cell>
          <cell r="P8513">
            <v>45729</v>
          </cell>
          <cell r="Q8513">
            <v>45727</v>
          </cell>
          <cell r="R8513">
            <v>45727</v>
          </cell>
          <cell r="S8513"/>
          <cell r="T8513"/>
          <cell r="U8513" t="str">
            <v>TMS 기구 Module 작업</v>
          </cell>
          <cell r="V8513"/>
          <cell r="W8513"/>
          <cell r="X8513">
            <v>41200120</v>
          </cell>
        </row>
        <row r="8514">
          <cell r="K8514"/>
          <cell r="L8514">
            <v>45721</v>
          </cell>
          <cell r="M8514">
            <v>45721</v>
          </cell>
          <cell r="N8514">
            <v>45729</v>
          </cell>
          <cell r="O8514">
            <v>45721</v>
          </cell>
          <cell r="P8514">
            <v>45729</v>
          </cell>
          <cell r="Q8514">
            <v>45727</v>
          </cell>
          <cell r="R8514">
            <v>45727</v>
          </cell>
          <cell r="S8514"/>
          <cell r="T8514"/>
          <cell r="U8514" t="str">
            <v>TMS 기구 Module 작업</v>
          </cell>
          <cell r="V8514"/>
          <cell r="W8514"/>
          <cell r="X8514">
            <v>41200046</v>
          </cell>
        </row>
        <row r="8515">
          <cell r="K8515"/>
          <cell r="L8515">
            <v>45721</v>
          </cell>
          <cell r="M8515">
            <v>45721</v>
          </cell>
          <cell r="N8515">
            <v>45729</v>
          </cell>
          <cell r="O8515">
            <v>45721</v>
          </cell>
          <cell r="P8515">
            <v>45729</v>
          </cell>
          <cell r="Q8515">
            <v>45727</v>
          </cell>
          <cell r="R8515">
            <v>45727</v>
          </cell>
          <cell r="S8515"/>
          <cell r="T8515"/>
          <cell r="U8515" t="str">
            <v>TMS 기구 Module 작업</v>
          </cell>
          <cell r="V8515"/>
          <cell r="W8515"/>
          <cell r="X8515">
            <v>41200101</v>
          </cell>
        </row>
        <row r="8516">
          <cell r="K8516"/>
          <cell r="L8516">
            <v>45721</v>
          </cell>
          <cell r="M8516">
            <v>45721</v>
          </cell>
          <cell r="N8516">
            <v>45729</v>
          </cell>
          <cell r="O8516">
            <v>45721</v>
          </cell>
          <cell r="P8516">
            <v>45729</v>
          </cell>
          <cell r="Q8516">
            <v>45727</v>
          </cell>
          <cell r="R8516">
            <v>45727</v>
          </cell>
          <cell r="S8516"/>
          <cell r="T8516"/>
          <cell r="U8516" t="str">
            <v>TMS 기구 Module 작업</v>
          </cell>
          <cell r="V8516"/>
          <cell r="W8516"/>
          <cell r="X8516">
            <v>41200004</v>
          </cell>
        </row>
        <row r="8517">
          <cell r="K8517"/>
          <cell r="L8517">
            <v>45722</v>
          </cell>
          <cell r="M8517">
            <v>45722</v>
          </cell>
          <cell r="N8517">
            <v>45729</v>
          </cell>
          <cell r="O8517">
            <v>45722</v>
          </cell>
          <cell r="P8517">
            <v>45729</v>
          </cell>
          <cell r="Q8517">
            <v>45729</v>
          </cell>
          <cell r="R8517">
            <v>45729</v>
          </cell>
          <cell r="S8517"/>
          <cell r="T8517"/>
          <cell r="U8517" t="str">
            <v>TMS 기구 Module 작업</v>
          </cell>
          <cell r="V8517"/>
          <cell r="W8517"/>
          <cell r="X8517">
            <v>41200108</v>
          </cell>
        </row>
        <row r="8518">
          <cell r="K8518"/>
          <cell r="L8518">
            <v>45722</v>
          </cell>
          <cell r="M8518">
            <v>45722</v>
          </cell>
          <cell r="N8518">
            <v>45729</v>
          </cell>
          <cell r="O8518">
            <v>45722</v>
          </cell>
          <cell r="P8518">
            <v>45729</v>
          </cell>
          <cell r="Q8518">
            <v>45728</v>
          </cell>
          <cell r="R8518">
            <v>45728</v>
          </cell>
          <cell r="S8518"/>
          <cell r="T8518"/>
          <cell r="U8518" t="str">
            <v>TMS 기구 Module 작업</v>
          </cell>
          <cell r="V8518"/>
          <cell r="W8518"/>
          <cell r="X8518">
            <v>41200076</v>
          </cell>
        </row>
        <row r="8519">
          <cell r="K8519"/>
          <cell r="L8519">
            <v>45722</v>
          </cell>
          <cell r="M8519">
            <v>45722</v>
          </cell>
          <cell r="N8519">
            <v>45729</v>
          </cell>
          <cell r="O8519">
            <v>45722</v>
          </cell>
          <cell r="P8519">
            <v>45729</v>
          </cell>
          <cell r="Q8519">
            <v>45728</v>
          </cell>
          <cell r="R8519">
            <v>45728</v>
          </cell>
          <cell r="S8519"/>
          <cell r="T8519"/>
          <cell r="U8519" t="str">
            <v>TMS 기구 Module 작업</v>
          </cell>
          <cell r="V8519"/>
          <cell r="W8519"/>
          <cell r="X8519">
            <v>41200020</v>
          </cell>
        </row>
        <row r="8520">
          <cell r="K8520"/>
          <cell r="L8520">
            <v>45722</v>
          </cell>
          <cell r="M8520">
            <v>45722</v>
          </cell>
          <cell r="N8520">
            <v>45729</v>
          </cell>
          <cell r="O8520">
            <v>45722</v>
          </cell>
          <cell r="P8520">
            <v>45729</v>
          </cell>
          <cell r="Q8520">
            <v>45728</v>
          </cell>
          <cell r="R8520">
            <v>45728</v>
          </cell>
          <cell r="S8520"/>
          <cell r="T8520"/>
          <cell r="U8520" t="str">
            <v>TMS 기구 Module 작업</v>
          </cell>
          <cell r="V8520"/>
          <cell r="W8520"/>
          <cell r="X8520">
            <v>41200080</v>
          </cell>
        </row>
        <row r="8521">
          <cell r="K8521"/>
          <cell r="L8521">
            <v>45727</v>
          </cell>
          <cell r="M8521">
            <v>45727</v>
          </cell>
          <cell r="N8521">
            <v>45735</v>
          </cell>
          <cell r="O8521">
            <v>45727</v>
          </cell>
          <cell r="P8521">
            <v>45735</v>
          </cell>
          <cell r="Q8521">
            <v>45733</v>
          </cell>
          <cell r="R8521">
            <v>45733</v>
          </cell>
          <cell r="S8521"/>
          <cell r="T8521"/>
          <cell r="U8521" t="str">
            <v>TMS 기구 Module 작업</v>
          </cell>
          <cell r="V8521"/>
          <cell r="W8521"/>
          <cell r="X8521">
            <v>41000598</v>
          </cell>
        </row>
        <row r="8522">
          <cell r="K8522"/>
          <cell r="L8522">
            <v>45727</v>
          </cell>
          <cell r="M8522">
            <v>45727</v>
          </cell>
          <cell r="N8522">
            <v>45735</v>
          </cell>
          <cell r="O8522">
            <v>45727</v>
          </cell>
          <cell r="P8522">
            <v>45735</v>
          </cell>
          <cell r="Q8522">
            <v>45733</v>
          </cell>
          <cell r="R8522">
            <v>45733</v>
          </cell>
          <cell r="S8522"/>
          <cell r="T8522"/>
          <cell r="U8522" t="str">
            <v>TMS 기구 Module 작업</v>
          </cell>
          <cell r="V8522"/>
          <cell r="W8522"/>
          <cell r="X8522">
            <v>41200080</v>
          </cell>
        </row>
        <row r="8523">
          <cell r="K8523"/>
          <cell r="L8523">
            <v>45727</v>
          </cell>
          <cell r="M8523">
            <v>45727</v>
          </cell>
          <cell r="N8523">
            <v>45735</v>
          </cell>
          <cell r="O8523">
            <v>45727</v>
          </cell>
          <cell r="P8523">
            <v>45735</v>
          </cell>
          <cell r="Q8523">
            <v>45733</v>
          </cell>
          <cell r="R8523">
            <v>45733</v>
          </cell>
          <cell r="S8523"/>
          <cell r="T8523"/>
          <cell r="U8523" t="str">
            <v>TMS 기구 Module 작업</v>
          </cell>
          <cell r="V8523"/>
          <cell r="W8523"/>
          <cell r="X8523">
            <v>41200046</v>
          </cell>
        </row>
        <row r="8524">
          <cell r="K8524"/>
          <cell r="L8524">
            <v>45727</v>
          </cell>
          <cell r="M8524">
            <v>45727</v>
          </cell>
          <cell r="N8524">
            <v>45735</v>
          </cell>
          <cell r="O8524">
            <v>45727</v>
          </cell>
          <cell r="P8524">
            <v>45735</v>
          </cell>
          <cell r="Q8524">
            <v>45733</v>
          </cell>
          <cell r="R8524">
            <v>45733</v>
          </cell>
          <cell r="S8524"/>
          <cell r="T8524"/>
          <cell r="U8524" t="str">
            <v>TMS 기구 Module 작업</v>
          </cell>
          <cell r="V8524"/>
          <cell r="W8524"/>
          <cell r="X8524">
            <v>41200038</v>
          </cell>
        </row>
        <row r="8525">
          <cell r="K8525"/>
          <cell r="L8525">
            <v>45727</v>
          </cell>
          <cell r="M8525">
            <v>45727</v>
          </cell>
          <cell r="N8525">
            <v>45735</v>
          </cell>
          <cell r="O8525">
            <v>45727</v>
          </cell>
          <cell r="P8525">
            <v>45735</v>
          </cell>
          <cell r="Q8525">
            <v>45733</v>
          </cell>
          <cell r="R8525">
            <v>45733</v>
          </cell>
          <cell r="S8525"/>
          <cell r="T8525"/>
          <cell r="U8525" t="str">
            <v>TMS 기구 Module 작업</v>
          </cell>
          <cell r="V8525"/>
          <cell r="W8525"/>
          <cell r="X8525">
            <v>41200042</v>
          </cell>
        </row>
        <row r="8526">
          <cell r="K8526"/>
          <cell r="L8526">
            <v>45728</v>
          </cell>
          <cell r="M8526">
            <v>45728</v>
          </cell>
          <cell r="N8526">
            <v>45735</v>
          </cell>
          <cell r="O8526">
            <v>45728</v>
          </cell>
          <cell r="P8526">
            <v>45735</v>
          </cell>
          <cell r="Q8526">
            <v>45734</v>
          </cell>
          <cell r="R8526">
            <v>45734</v>
          </cell>
          <cell r="S8526"/>
          <cell r="T8526"/>
          <cell r="U8526" t="str">
            <v>TMS 기구 Module 작업</v>
          </cell>
          <cell r="V8526"/>
          <cell r="W8526"/>
          <cell r="X8526">
            <v>41200121</v>
          </cell>
        </row>
        <row r="8527">
          <cell r="K8527"/>
          <cell r="L8527">
            <v>45728</v>
          </cell>
          <cell r="M8527">
            <v>45728</v>
          </cell>
          <cell r="N8527">
            <v>45735</v>
          </cell>
          <cell r="O8527">
            <v>45728</v>
          </cell>
          <cell r="P8527">
            <v>45735</v>
          </cell>
          <cell r="Q8527">
            <v>45734</v>
          </cell>
          <cell r="R8527">
            <v>45734</v>
          </cell>
          <cell r="S8527"/>
          <cell r="T8527"/>
          <cell r="U8527" t="str">
            <v>TMS 기구 Module 작업</v>
          </cell>
          <cell r="V8527"/>
          <cell r="W8527"/>
          <cell r="X8527">
            <v>41200122</v>
          </cell>
        </row>
        <row r="8528">
          <cell r="K8528"/>
          <cell r="L8528">
            <v>45729</v>
          </cell>
          <cell r="M8528">
            <v>45729</v>
          </cell>
          <cell r="N8528">
            <v>45735</v>
          </cell>
          <cell r="O8528">
            <v>45729</v>
          </cell>
          <cell r="P8528">
            <v>45735</v>
          </cell>
          <cell r="Q8528">
            <v>45735</v>
          </cell>
          <cell r="R8528">
            <v>45735</v>
          </cell>
          <cell r="S8528"/>
          <cell r="T8528"/>
          <cell r="U8528" t="str">
            <v>TMS 기구 Module 작업</v>
          </cell>
          <cell r="V8528"/>
          <cell r="W8528"/>
          <cell r="X8528">
            <v>41000598</v>
          </cell>
        </row>
        <row r="8529">
          <cell r="K8529"/>
          <cell r="L8529">
            <v>45733</v>
          </cell>
          <cell r="M8529">
            <v>45733</v>
          </cell>
          <cell r="N8529">
            <v>45740</v>
          </cell>
          <cell r="O8529">
            <v>45733</v>
          </cell>
          <cell r="P8529">
            <v>45740</v>
          </cell>
          <cell r="Q8529">
            <v>45737</v>
          </cell>
          <cell r="R8529">
            <v>45737</v>
          </cell>
          <cell r="S8529"/>
          <cell r="T8529"/>
          <cell r="U8529" t="str">
            <v>TMS 기구 Module 작업</v>
          </cell>
          <cell r="V8529"/>
          <cell r="W8529"/>
          <cell r="X8529">
            <v>41200121</v>
          </cell>
        </row>
        <row r="8530">
          <cell r="K8530"/>
          <cell r="L8530">
            <v>45734</v>
          </cell>
          <cell r="M8530">
            <v>45734</v>
          </cell>
          <cell r="N8530">
            <v>45740</v>
          </cell>
          <cell r="O8530">
            <v>45734</v>
          </cell>
          <cell r="P8530">
            <v>45740</v>
          </cell>
          <cell r="Q8530">
            <v>45740</v>
          </cell>
          <cell r="R8530">
            <v>45740</v>
          </cell>
          <cell r="S8530"/>
          <cell r="T8530"/>
          <cell r="U8530" t="str">
            <v>TMS 기구 Module 작업</v>
          </cell>
          <cell r="V8530"/>
          <cell r="W8530"/>
          <cell r="X8530">
            <v>41200046</v>
          </cell>
        </row>
        <row r="8531">
          <cell r="K8531"/>
          <cell r="L8531">
            <v>45734</v>
          </cell>
          <cell r="M8531">
            <v>45734</v>
          </cell>
          <cell r="N8531">
            <v>45740</v>
          </cell>
          <cell r="O8531">
            <v>45734</v>
          </cell>
          <cell r="P8531">
            <v>45740</v>
          </cell>
          <cell r="Q8531">
            <v>45740</v>
          </cell>
          <cell r="R8531">
            <v>45740</v>
          </cell>
          <cell r="S8531"/>
          <cell r="T8531"/>
          <cell r="U8531" t="str">
            <v>TMS 기구 Module 작업</v>
          </cell>
          <cell r="V8531"/>
          <cell r="W8531"/>
          <cell r="X8531">
            <v>41200038</v>
          </cell>
        </row>
        <row r="8532">
          <cell r="K8532"/>
          <cell r="L8532">
            <v>45734</v>
          </cell>
          <cell r="M8532">
            <v>45734</v>
          </cell>
          <cell r="N8532">
            <v>45740</v>
          </cell>
          <cell r="O8532">
            <v>45734</v>
          </cell>
          <cell r="P8532">
            <v>45740</v>
          </cell>
          <cell r="Q8532">
            <v>45740</v>
          </cell>
          <cell r="R8532">
            <v>45740</v>
          </cell>
          <cell r="S8532"/>
          <cell r="T8532"/>
          <cell r="U8532" t="str">
            <v>TMS 기구 Module 작업</v>
          </cell>
          <cell r="V8532"/>
          <cell r="W8532"/>
          <cell r="X8532">
            <v>41200048</v>
          </cell>
        </row>
        <row r="8533">
          <cell r="K8533"/>
          <cell r="L8533">
            <v>45734</v>
          </cell>
          <cell r="M8533">
            <v>45734</v>
          </cell>
          <cell r="N8533">
            <v>45740</v>
          </cell>
          <cell r="O8533">
            <v>45734</v>
          </cell>
          <cell r="P8533">
            <v>45740</v>
          </cell>
          <cell r="Q8533">
            <v>45740</v>
          </cell>
          <cell r="R8533">
            <v>45740</v>
          </cell>
          <cell r="S8533"/>
          <cell r="T8533"/>
          <cell r="U8533" t="str">
            <v>TMS 기구 Module 작업</v>
          </cell>
          <cell r="V8533"/>
          <cell r="W8533"/>
          <cell r="X8533">
            <v>41200075</v>
          </cell>
        </row>
        <row r="8534">
          <cell r="K8534"/>
          <cell r="L8534">
            <v>45735</v>
          </cell>
          <cell r="M8534">
            <v>45735</v>
          </cell>
          <cell r="N8534">
            <v>45740</v>
          </cell>
          <cell r="O8534">
            <v>45735</v>
          </cell>
          <cell r="P8534">
            <v>45740</v>
          </cell>
          <cell r="Q8534">
            <v>45741</v>
          </cell>
          <cell r="R8534">
            <v>45741</v>
          </cell>
          <cell r="S8534"/>
          <cell r="T8534"/>
          <cell r="U8534" t="str">
            <v>TMS 기구 Module 작업</v>
          </cell>
          <cell r="V8534"/>
          <cell r="W8534"/>
          <cell r="X8534">
            <v>41200036</v>
          </cell>
        </row>
        <row r="8535">
          <cell r="K8535"/>
          <cell r="L8535">
            <v>45735</v>
          </cell>
          <cell r="M8535">
            <v>45735</v>
          </cell>
          <cell r="N8535">
            <v>45740</v>
          </cell>
          <cell r="O8535">
            <v>45735</v>
          </cell>
          <cell r="P8535">
            <v>45740</v>
          </cell>
          <cell r="Q8535">
            <v>45741</v>
          </cell>
          <cell r="R8535">
            <v>45741</v>
          </cell>
          <cell r="S8535"/>
          <cell r="T8535"/>
          <cell r="U8535" t="str">
            <v>TMS 기구 Module 작업</v>
          </cell>
          <cell r="V8535"/>
          <cell r="W8535"/>
          <cell r="X8535">
            <v>41200036</v>
          </cell>
        </row>
        <row r="8536">
          <cell r="K8536"/>
          <cell r="L8536">
            <v>45735</v>
          </cell>
          <cell r="M8536">
            <v>45735</v>
          </cell>
          <cell r="N8536">
            <v>45740</v>
          </cell>
          <cell r="O8536">
            <v>45735</v>
          </cell>
          <cell r="P8536">
            <v>45740</v>
          </cell>
          <cell r="Q8536">
            <v>45741</v>
          </cell>
          <cell r="R8536">
            <v>45741</v>
          </cell>
          <cell r="S8536"/>
          <cell r="T8536"/>
          <cell r="U8536" t="str">
            <v>TMS 기구 Module 작업</v>
          </cell>
          <cell r="V8536"/>
          <cell r="W8536"/>
          <cell r="X8536">
            <v>41200039</v>
          </cell>
        </row>
        <row r="8537">
          <cell r="K8537"/>
          <cell r="L8537">
            <v>45735</v>
          </cell>
          <cell r="M8537">
            <v>45735</v>
          </cell>
          <cell r="N8537">
            <v>45740</v>
          </cell>
          <cell r="O8537">
            <v>45735</v>
          </cell>
          <cell r="P8537">
            <v>45740</v>
          </cell>
          <cell r="Q8537">
            <v>45737</v>
          </cell>
          <cell r="R8537">
            <v>45737</v>
          </cell>
          <cell r="S8537"/>
          <cell r="T8537"/>
          <cell r="U8537" t="str">
            <v>TMS 기구 Module 작업</v>
          </cell>
          <cell r="V8537"/>
          <cell r="W8537"/>
          <cell r="X8537">
            <v>41100697</v>
          </cell>
        </row>
        <row r="8538">
          <cell r="K8538"/>
          <cell r="L8538">
            <v>45735</v>
          </cell>
          <cell r="M8538">
            <v>45735</v>
          </cell>
          <cell r="N8538">
            <v>45740</v>
          </cell>
          <cell r="O8538">
            <v>45735</v>
          </cell>
          <cell r="P8538">
            <v>45740</v>
          </cell>
          <cell r="Q8538">
            <v>45740</v>
          </cell>
          <cell r="R8538">
            <v>45740</v>
          </cell>
          <cell r="S8538"/>
          <cell r="T8538"/>
          <cell r="U8538" t="str">
            <v>TMS 기구 Module 작업</v>
          </cell>
          <cell r="V8538"/>
          <cell r="W8538"/>
          <cell r="X8538">
            <v>41100697</v>
          </cell>
        </row>
        <row r="8539">
          <cell r="K8539"/>
          <cell r="L8539">
            <v>45736</v>
          </cell>
          <cell r="M8539">
            <v>45736</v>
          </cell>
          <cell r="N8539">
            <v>45742</v>
          </cell>
          <cell r="O8539">
            <v>45736</v>
          </cell>
          <cell r="P8539">
            <v>45742</v>
          </cell>
          <cell r="Q8539">
            <v>45742</v>
          </cell>
          <cell r="R8539">
            <v>45742</v>
          </cell>
          <cell r="S8539"/>
          <cell r="T8539"/>
          <cell r="U8539" t="str">
            <v>TMS 기구 Module 작업</v>
          </cell>
          <cell r="V8539"/>
          <cell r="W8539"/>
          <cell r="X8539">
            <v>41200007</v>
          </cell>
        </row>
        <row r="8540">
          <cell r="K8540"/>
          <cell r="L8540">
            <v>45736</v>
          </cell>
          <cell r="M8540">
            <v>45736</v>
          </cell>
          <cell r="N8540">
            <v>45742</v>
          </cell>
          <cell r="O8540">
            <v>45736</v>
          </cell>
          <cell r="P8540">
            <v>45742</v>
          </cell>
          <cell r="Q8540">
            <v>45742</v>
          </cell>
          <cell r="R8540">
            <v>45742</v>
          </cell>
          <cell r="S8540"/>
          <cell r="T8540"/>
          <cell r="U8540" t="str">
            <v>TMS 기구 Module 작업</v>
          </cell>
          <cell r="V8540"/>
          <cell r="W8540"/>
          <cell r="X8540">
            <v>41200007</v>
          </cell>
        </row>
        <row r="8541">
          <cell r="K8541"/>
          <cell r="L8541">
            <v>45736</v>
          </cell>
          <cell r="M8541">
            <v>45736</v>
          </cell>
          <cell r="N8541">
            <v>45742</v>
          </cell>
          <cell r="O8541">
            <v>45736</v>
          </cell>
          <cell r="P8541">
            <v>45742</v>
          </cell>
          <cell r="Q8541">
            <v>45742</v>
          </cell>
          <cell r="R8541">
            <v>45742</v>
          </cell>
          <cell r="S8541"/>
          <cell r="T8541"/>
          <cell r="U8541" t="str">
            <v>TMS 기구 Module 작업</v>
          </cell>
          <cell r="V8541"/>
          <cell r="W8541"/>
          <cell r="X8541">
            <v>41200101</v>
          </cell>
        </row>
        <row r="8542">
          <cell r="K8542"/>
          <cell r="L8542">
            <v>45737</v>
          </cell>
          <cell r="M8542">
            <v>45737</v>
          </cell>
          <cell r="N8542">
            <v>45742</v>
          </cell>
          <cell r="O8542">
            <v>45737</v>
          </cell>
          <cell r="P8542">
            <v>45742</v>
          </cell>
          <cell r="Q8542">
            <v>45743</v>
          </cell>
          <cell r="R8542">
            <v>45743</v>
          </cell>
          <cell r="S8542"/>
          <cell r="T8542"/>
          <cell r="U8542" t="str">
            <v>TMS 기구 Module 작업</v>
          </cell>
          <cell r="V8542"/>
          <cell r="W8542"/>
          <cell r="X8542">
            <v>41200124</v>
          </cell>
        </row>
        <row r="8543">
          <cell r="K8543"/>
          <cell r="L8543">
            <v>45737</v>
          </cell>
          <cell r="M8543">
            <v>45737</v>
          </cell>
          <cell r="N8543">
            <v>45742</v>
          </cell>
          <cell r="O8543">
            <v>45737</v>
          </cell>
          <cell r="P8543">
            <v>45742</v>
          </cell>
          <cell r="Q8543">
            <v>45743</v>
          </cell>
          <cell r="R8543">
            <v>45743</v>
          </cell>
          <cell r="S8543"/>
          <cell r="T8543"/>
          <cell r="U8543" t="str">
            <v>TMS 기구 Module 작업</v>
          </cell>
          <cell r="V8543"/>
          <cell r="W8543"/>
          <cell r="X8543">
            <v>41200125</v>
          </cell>
        </row>
        <row r="8544">
          <cell r="K8544"/>
          <cell r="L8544">
            <v>45737</v>
          </cell>
          <cell r="M8544">
            <v>45737</v>
          </cell>
          <cell r="N8544">
            <v>45742</v>
          </cell>
          <cell r="O8544">
            <v>45737</v>
          </cell>
          <cell r="P8544">
            <v>45742</v>
          </cell>
          <cell r="Q8544">
            <v>45743</v>
          </cell>
          <cell r="R8544">
            <v>45743</v>
          </cell>
          <cell r="S8544"/>
          <cell r="T8544"/>
          <cell r="U8544" t="str">
            <v>TMS 기구 Module 작업</v>
          </cell>
          <cell r="V8544"/>
          <cell r="W8544"/>
          <cell r="X8544">
            <v>41200125</v>
          </cell>
        </row>
        <row r="8545">
          <cell r="K8545"/>
          <cell r="L8545">
            <v>45737</v>
          </cell>
          <cell r="M8545">
            <v>45737</v>
          </cell>
          <cell r="N8545">
            <v>45742</v>
          </cell>
          <cell r="O8545">
            <v>45737</v>
          </cell>
          <cell r="P8545">
            <v>45742</v>
          </cell>
          <cell r="Q8545">
            <v>45743</v>
          </cell>
          <cell r="R8545">
            <v>45743</v>
          </cell>
          <cell r="S8545"/>
          <cell r="T8545"/>
          <cell r="U8545" t="str">
            <v>TMS 기구 Module 작업</v>
          </cell>
          <cell r="V8545"/>
          <cell r="W8545"/>
          <cell r="X8545">
            <v>41100564</v>
          </cell>
        </row>
        <row r="8546">
          <cell r="K8546"/>
          <cell r="L8546">
            <v>45737</v>
          </cell>
          <cell r="M8546">
            <v>45737</v>
          </cell>
          <cell r="N8546">
            <v>45742</v>
          </cell>
          <cell r="O8546">
            <v>45737</v>
          </cell>
          <cell r="P8546">
            <v>45742</v>
          </cell>
          <cell r="Q8546">
            <v>45743</v>
          </cell>
          <cell r="R8546">
            <v>45743</v>
          </cell>
          <cell r="S8546"/>
          <cell r="T8546"/>
          <cell r="U8546" t="str">
            <v>TMS 기구 Module 작업</v>
          </cell>
          <cell r="V8546"/>
          <cell r="W8546"/>
          <cell r="X8546">
            <v>41200087</v>
          </cell>
        </row>
        <row r="8547">
          <cell r="K8547"/>
          <cell r="L8547">
            <v>45740</v>
          </cell>
          <cell r="M8547">
            <v>45740</v>
          </cell>
          <cell r="N8547">
            <v>45747</v>
          </cell>
          <cell r="O8547">
            <v>45740</v>
          </cell>
          <cell r="P8547">
            <v>45747</v>
          </cell>
          <cell r="Q8547">
            <v>45744</v>
          </cell>
          <cell r="R8547">
            <v>45744</v>
          </cell>
          <cell r="S8547"/>
          <cell r="T8547"/>
          <cell r="U8547" t="str">
            <v>TMS 기구 Module 작업</v>
          </cell>
          <cell r="V8547"/>
          <cell r="W8547"/>
          <cell r="X8547">
            <v>41200121</v>
          </cell>
        </row>
        <row r="8548">
          <cell r="K8548"/>
          <cell r="L8548">
            <v>45742</v>
          </cell>
          <cell r="M8548">
            <v>45742</v>
          </cell>
          <cell r="N8548">
            <v>45747</v>
          </cell>
          <cell r="O8548">
            <v>45742</v>
          </cell>
          <cell r="P8548">
            <v>45747</v>
          </cell>
          <cell r="Q8548">
            <v>45748</v>
          </cell>
          <cell r="R8548">
            <v>45748</v>
          </cell>
          <cell r="S8548"/>
          <cell r="T8548"/>
          <cell r="U8548" t="str">
            <v>TMS 기구 Module 작업</v>
          </cell>
          <cell r="V8548"/>
          <cell r="W8548"/>
          <cell r="X8548">
            <v>41200101</v>
          </cell>
        </row>
        <row r="8549">
          <cell r="K8549"/>
          <cell r="L8549">
            <v>45742</v>
          </cell>
          <cell r="M8549">
            <v>45742</v>
          </cell>
          <cell r="N8549">
            <v>45747</v>
          </cell>
          <cell r="O8549">
            <v>45742</v>
          </cell>
          <cell r="P8549">
            <v>45747</v>
          </cell>
          <cell r="Q8549">
            <v>45748</v>
          </cell>
          <cell r="R8549">
            <v>45748</v>
          </cell>
          <cell r="S8549"/>
          <cell r="T8549"/>
          <cell r="U8549" t="str">
            <v>TMS 기구 Module 작업</v>
          </cell>
          <cell r="V8549"/>
          <cell r="W8549"/>
          <cell r="X8549">
            <v>41100317</v>
          </cell>
        </row>
        <row r="8550">
          <cell r="K8550"/>
          <cell r="L8550">
            <v>45742</v>
          </cell>
          <cell r="M8550">
            <v>45742</v>
          </cell>
          <cell r="N8550">
            <v>45747</v>
          </cell>
          <cell r="O8550">
            <v>45742</v>
          </cell>
          <cell r="P8550">
            <v>45747</v>
          </cell>
          <cell r="Q8550">
            <v>45748</v>
          </cell>
          <cell r="R8550">
            <v>45748</v>
          </cell>
          <cell r="S8550"/>
          <cell r="T8550"/>
          <cell r="U8550" t="str">
            <v>TMS 기구 Module 작업</v>
          </cell>
          <cell r="V8550"/>
          <cell r="W8550"/>
          <cell r="X8550">
            <v>41200039</v>
          </cell>
        </row>
        <row r="8551">
          <cell r="K8551"/>
          <cell r="L8551">
            <v>45742</v>
          </cell>
          <cell r="M8551">
            <v>45742</v>
          </cell>
          <cell r="N8551">
            <v>45747</v>
          </cell>
          <cell r="O8551">
            <v>45742</v>
          </cell>
          <cell r="P8551">
            <v>45747</v>
          </cell>
          <cell r="Q8551">
            <v>45748</v>
          </cell>
          <cell r="R8551">
            <v>45748</v>
          </cell>
          <cell r="S8551"/>
          <cell r="T8551"/>
          <cell r="U8551" t="str">
            <v>TMS 기구 Module 작업</v>
          </cell>
          <cell r="V8551"/>
          <cell r="W8551"/>
          <cell r="X8551">
            <v>41200075</v>
          </cell>
        </row>
        <row r="8552">
          <cell r="K8552"/>
          <cell r="L8552">
            <v>45742</v>
          </cell>
          <cell r="M8552">
            <v>45742</v>
          </cell>
          <cell r="N8552">
            <v>45747</v>
          </cell>
          <cell r="O8552">
            <v>45742</v>
          </cell>
          <cell r="P8552">
            <v>45747</v>
          </cell>
          <cell r="Q8552">
            <v>45749</v>
          </cell>
          <cell r="R8552">
            <v>45749</v>
          </cell>
          <cell r="S8552"/>
          <cell r="T8552"/>
          <cell r="U8552" t="str">
            <v>TMS 기구 Module 작업</v>
          </cell>
          <cell r="V8552"/>
          <cell r="W8552"/>
          <cell r="X8552">
            <v>41100374</v>
          </cell>
        </row>
        <row r="8553">
          <cell r="K8553"/>
          <cell r="L8553">
            <v>45742</v>
          </cell>
          <cell r="M8553">
            <v>45742</v>
          </cell>
          <cell r="N8553">
            <v>45747</v>
          </cell>
          <cell r="O8553">
            <v>45742</v>
          </cell>
          <cell r="P8553">
            <v>45747</v>
          </cell>
          <cell r="Q8553">
            <v>45749</v>
          </cell>
          <cell r="R8553">
            <v>45749</v>
          </cell>
          <cell r="S8553"/>
          <cell r="T8553"/>
          <cell r="U8553" t="str">
            <v>TMS 기구 Module 작업</v>
          </cell>
          <cell r="V8553"/>
          <cell r="W8553"/>
          <cell r="X8553">
            <v>41200123</v>
          </cell>
        </row>
        <row r="8554">
          <cell r="K8554"/>
          <cell r="L8554">
            <v>45742</v>
          </cell>
          <cell r="M8554">
            <v>45742</v>
          </cell>
          <cell r="N8554">
            <v>45747</v>
          </cell>
          <cell r="O8554">
            <v>45742</v>
          </cell>
          <cell r="P8554">
            <v>45747</v>
          </cell>
          <cell r="Q8554">
            <v>45749</v>
          </cell>
          <cell r="R8554">
            <v>45749</v>
          </cell>
          <cell r="S8554"/>
          <cell r="T8554"/>
          <cell r="U8554" t="str">
            <v>TMS 기구 Module 작업</v>
          </cell>
          <cell r="V8554"/>
          <cell r="W8554"/>
          <cell r="X8554">
            <v>41200046</v>
          </cell>
        </row>
        <row r="8555">
          <cell r="K8555"/>
          <cell r="L8555">
            <v>45742</v>
          </cell>
          <cell r="M8555">
            <v>45742</v>
          </cell>
          <cell r="N8555">
            <v>45747</v>
          </cell>
          <cell r="O8555">
            <v>45742</v>
          </cell>
          <cell r="P8555">
            <v>45747</v>
          </cell>
          <cell r="Q8555">
            <v>45749</v>
          </cell>
          <cell r="R8555">
            <v>45749</v>
          </cell>
          <cell r="S8555"/>
          <cell r="T8555"/>
          <cell r="U8555" t="str">
            <v>TMS 기구 Module 작업</v>
          </cell>
          <cell r="V8555"/>
          <cell r="W8555"/>
          <cell r="X8555">
            <v>41200046</v>
          </cell>
        </row>
        <row r="8556">
          <cell r="K8556"/>
          <cell r="L8556">
            <v>45743</v>
          </cell>
          <cell r="M8556">
            <v>45743</v>
          </cell>
          <cell r="N8556">
            <v>45747</v>
          </cell>
          <cell r="O8556">
            <v>45743</v>
          </cell>
          <cell r="P8556">
            <v>45747</v>
          </cell>
          <cell r="Q8556">
            <v>45749</v>
          </cell>
          <cell r="R8556">
            <v>45749</v>
          </cell>
          <cell r="S8556"/>
          <cell r="T8556"/>
          <cell r="U8556" t="str">
            <v>TMS 기구 Module 작업</v>
          </cell>
          <cell r="V8556"/>
          <cell r="W8556"/>
          <cell r="X8556">
            <v>41200122</v>
          </cell>
        </row>
        <row r="8557">
          <cell r="K8557"/>
          <cell r="L8557">
            <v>45743</v>
          </cell>
          <cell r="M8557">
            <v>45743</v>
          </cell>
          <cell r="N8557">
            <v>45747</v>
          </cell>
          <cell r="O8557">
            <v>45743</v>
          </cell>
          <cell r="P8557">
            <v>45747</v>
          </cell>
          <cell r="Q8557">
            <v>45749</v>
          </cell>
          <cell r="R8557">
            <v>45749</v>
          </cell>
          <cell r="S8557"/>
          <cell r="T8557"/>
          <cell r="U8557" t="str">
            <v>TMS 기구 Module 작업</v>
          </cell>
          <cell r="V8557"/>
          <cell r="W8557"/>
          <cell r="X8557">
            <v>41200110</v>
          </cell>
        </row>
        <row r="8558">
          <cell r="K8558"/>
          <cell r="L8558">
            <v>45743</v>
          </cell>
          <cell r="M8558">
            <v>45743</v>
          </cell>
          <cell r="N8558">
            <v>45747</v>
          </cell>
          <cell r="O8558">
            <v>45743</v>
          </cell>
          <cell r="P8558">
            <v>45747</v>
          </cell>
          <cell r="Q8558">
            <v>45749</v>
          </cell>
          <cell r="R8558">
            <v>45749</v>
          </cell>
          <cell r="S8558"/>
          <cell r="T8558"/>
          <cell r="U8558" t="str">
            <v>TMS 기구 Module 작업</v>
          </cell>
          <cell r="V8558"/>
          <cell r="W8558"/>
          <cell r="X8558">
            <v>41200101</v>
          </cell>
        </row>
        <row r="8559">
          <cell r="K8559"/>
          <cell r="L8559">
            <v>45747</v>
          </cell>
          <cell r="M8559">
            <v>45747</v>
          </cell>
          <cell r="N8559">
            <v>45750</v>
          </cell>
          <cell r="O8559">
            <v>45747</v>
          </cell>
          <cell r="P8559">
            <v>45750</v>
          </cell>
          <cell r="Q8559">
            <v>45751</v>
          </cell>
          <cell r="R8559">
            <v>45751</v>
          </cell>
          <cell r="S8559"/>
          <cell r="T8559"/>
          <cell r="U8559" t="str">
            <v>TMS 기구 Module 작업</v>
          </cell>
          <cell r="V8559"/>
          <cell r="W8559"/>
          <cell r="X8559">
            <v>41100320</v>
          </cell>
        </row>
        <row r="8560">
          <cell r="K8560"/>
          <cell r="L8560">
            <v>45748</v>
          </cell>
          <cell r="M8560">
            <v>45748</v>
          </cell>
          <cell r="N8560">
            <v>45750</v>
          </cell>
          <cell r="O8560">
            <v>45748</v>
          </cell>
          <cell r="P8560">
            <v>45750</v>
          </cell>
          <cell r="Q8560">
            <v>45754</v>
          </cell>
          <cell r="R8560">
            <v>45754</v>
          </cell>
          <cell r="S8560"/>
          <cell r="T8560"/>
          <cell r="U8560" t="str">
            <v>TMS 기구 Module 작업</v>
          </cell>
          <cell r="V8560"/>
          <cell r="W8560"/>
          <cell r="X8560">
            <v>41100317</v>
          </cell>
        </row>
        <row r="8561">
          <cell r="K8561"/>
          <cell r="L8561">
            <v>45749</v>
          </cell>
          <cell r="M8561">
            <v>45749</v>
          </cell>
          <cell r="N8561">
            <v>45750</v>
          </cell>
          <cell r="O8561">
            <v>45749</v>
          </cell>
          <cell r="P8561">
            <v>45750</v>
          </cell>
          <cell r="Q8561">
            <v>45755</v>
          </cell>
          <cell r="R8561">
            <v>45755</v>
          </cell>
          <cell r="S8561"/>
          <cell r="T8561"/>
          <cell r="U8561" t="str">
            <v>TMS 기구 Module 작업</v>
          </cell>
          <cell r="V8561"/>
          <cell r="W8561"/>
          <cell r="X8561">
            <v>41200101</v>
          </cell>
        </row>
        <row r="8562">
          <cell r="K8562"/>
          <cell r="L8562">
            <v>45749</v>
          </cell>
          <cell r="M8562">
            <v>45749</v>
          </cell>
          <cell r="N8562">
            <v>45750</v>
          </cell>
          <cell r="O8562">
            <v>45749</v>
          </cell>
          <cell r="P8562">
            <v>45750</v>
          </cell>
          <cell r="Q8562">
            <v>45755</v>
          </cell>
          <cell r="R8562">
            <v>45755</v>
          </cell>
          <cell r="S8562"/>
          <cell r="T8562"/>
          <cell r="U8562" t="str">
            <v>TMS 기구 Module 작업</v>
          </cell>
          <cell r="V8562"/>
          <cell r="W8562"/>
          <cell r="X8562">
            <v>41200047</v>
          </cell>
        </row>
        <row r="8563">
          <cell r="K8563"/>
          <cell r="L8563">
            <v>45750</v>
          </cell>
          <cell r="M8563">
            <v>45750</v>
          </cell>
          <cell r="N8563">
            <v>45750</v>
          </cell>
          <cell r="O8563">
            <v>45750</v>
          </cell>
          <cell r="P8563">
            <v>45750</v>
          </cell>
          <cell r="Q8563">
            <v>45756</v>
          </cell>
          <cell r="R8563">
            <v>45756</v>
          </cell>
          <cell r="S8563"/>
          <cell r="T8563"/>
          <cell r="U8563" t="str">
            <v>TMS 기구 Module 작업</v>
          </cell>
          <cell r="V8563"/>
          <cell r="W8563"/>
          <cell r="X8563">
            <v>41200006</v>
          </cell>
        </row>
        <row r="8564">
          <cell r="K8564"/>
          <cell r="L8564">
            <v>45750</v>
          </cell>
          <cell r="M8564">
            <v>45750</v>
          </cell>
          <cell r="N8564">
            <v>45750</v>
          </cell>
          <cell r="O8564">
            <v>45750</v>
          </cell>
          <cell r="P8564">
            <v>45750</v>
          </cell>
          <cell r="Q8564">
            <v>45756</v>
          </cell>
          <cell r="R8564">
            <v>45756</v>
          </cell>
          <cell r="S8564"/>
          <cell r="T8564"/>
          <cell r="U8564" t="str">
            <v>TMS 기구 Module 작업</v>
          </cell>
          <cell r="V8564"/>
          <cell r="W8564"/>
          <cell r="X8564">
            <v>41200005</v>
          </cell>
        </row>
        <row r="8565">
          <cell r="K8565"/>
          <cell r="L8565">
            <v>45750</v>
          </cell>
          <cell r="M8565">
            <v>45750</v>
          </cell>
          <cell r="N8565">
            <v>45750</v>
          </cell>
          <cell r="O8565">
            <v>45750</v>
          </cell>
          <cell r="P8565">
            <v>45750</v>
          </cell>
          <cell r="Q8565">
            <v>45756</v>
          </cell>
          <cell r="R8565">
            <v>45756</v>
          </cell>
          <cell r="S8565"/>
          <cell r="T8565"/>
          <cell r="U8565" t="str">
            <v>TMS 기구 Module 작업</v>
          </cell>
          <cell r="V8565"/>
          <cell r="W8565"/>
          <cell r="X8565">
            <v>41200006</v>
          </cell>
        </row>
        <row r="8566">
          <cell r="K8566"/>
          <cell r="L8566">
            <v>45750</v>
          </cell>
          <cell r="M8566">
            <v>45750</v>
          </cell>
          <cell r="N8566">
            <v>45750</v>
          </cell>
          <cell r="O8566">
            <v>45750</v>
          </cell>
          <cell r="P8566">
            <v>45750</v>
          </cell>
          <cell r="Q8566">
            <v>45756</v>
          </cell>
          <cell r="R8566">
            <v>45756</v>
          </cell>
          <cell r="S8566"/>
          <cell r="T8566"/>
          <cell r="U8566" t="str">
            <v>TMS 기구 Module 작업</v>
          </cell>
          <cell r="V8566"/>
          <cell r="W8566"/>
          <cell r="X8566">
            <v>41200034</v>
          </cell>
        </row>
        <row r="8567">
          <cell r="K8567"/>
          <cell r="L8567">
            <v>45750</v>
          </cell>
          <cell r="M8567">
            <v>45750</v>
          </cell>
          <cell r="N8567">
            <v>45750</v>
          </cell>
          <cell r="O8567">
            <v>45750</v>
          </cell>
          <cell r="P8567">
            <v>45750</v>
          </cell>
          <cell r="Q8567">
            <v>45756</v>
          </cell>
          <cell r="R8567">
            <v>45756</v>
          </cell>
          <cell r="S8567"/>
          <cell r="T8567"/>
          <cell r="U8567" t="str">
            <v>TMS 기구 Module 작업</v>
          </cell>
          <cell r="V8567"/>
          <cell r="W8567"/>
          <cell r="X8567">
            <v>41200048</v>
          </cell>
        </row>
        <row r="8568">
          <cell r="K8568"/>
          <cell r="L8568">
            <v>45750</v>
          </cell>
          <cell r="M8568">
            <v>45750</v>
          </cell>
          <cell r="N8568">
            <v>45751</v>
          </cell>
          <cell r="O8568">
            <v>45750</v>
          </cell>
          <cell r="P8568">
            <v>45751</v>
          </cell>
          <cell r="Q8568">
            <v>45756</v>
          </cell>
          <cell r="R8568">
            <v>45756</v>
          </cell>
          <cell r="S8568"/>
          <cell r="T8568"/>
          <cell r="U8568" t="str">
            <v>TMS 기구 Module 작업</v>
          </cell>
          <cell r="V8568"/>
          <cell r="W8568"/>
          <cell r="X8568">
            <v>41200117</v>
          </cell>
        </row>
        <row r="8569">
          <cell r="K8569" t="str">
            <v>DBW-3628</v>
          </cell>
          <cell r="L8569">
            <v>45744</v>
          </cell>
          <cell r="M8569">
            <v>45748</v>
          </cell>
          <cell r="N8569">
            <v>45755</v>
          </cell>
          <cell r="O8569">
            <v>45733</v>
          </cell>
          <cell r="P8569">
            <v>45756</v>
          </cell>
          <cell r="Q8569">
            <v>45755</v>
          </cell>
          <cell r="R8569">
            <v>45756</v>
          </cell>
          <cell r="S8569">
            <v>45757</v>
          </cell>
          <cell r="T8569">
            <v>45758</v>
          </cell>
          <cell r="U8569">
            <v>45762</v>
          </cell>
          <cell r="V8569">
            <v>45763</v>
          </cell>
          <cell r="W8569">
            <v>45763</v>
          </cell>
          <cell r="X8569">
            <v>41000584</v>
          </cell>
        </row>
        <row r="8570">
          <cell r="K8570" t="str">
            <v>DBW-3629</v>
          </cell>
          <cell r="L8570">
            <v>45744</v>
          </cell>
          <cell r="M8570">
            <v>45748</v>
          </cell>
          <cell r="N8570">
            <v>45755</v>
          </cell>
          <cell r="O8570">
            <v>45733</v>
          </cell>
          <cell r="P8570">
            <v>45756</v>
          </cell>
          <cell r="Q8570">
            <v>45755</v>
          </cell>
          <cell r="R8570">
            <v>45756</v>
          </cell>
          <cell r="S8570">
            <v>45757</v>
          </cell>
          <cell r="T8570">
            <v>45758</v>
          </cell>
          <cell r="U8570">
            <v>45762</v>
          </cell>
          <cell r="V8570">
            <v>45763</v>
          </cell>
          <cell r="W8570">
            <v>45763</v>
          </cell>
          <cell r="X8570">
            <v>41000584</v>
          </cell>
        </row>
        <row r="8571">
          <cell r="K8571"/>
          <cell r="L8571">
            <v>45751</v>
          </cell>
          <cell r="M8571">
            <v>45751</v>
          </cell>
          <cell r="N8571">
            <v>45755</v>
          </cell>
          <cell r="O8571">
            <v>45751</v>
          </cell>
          <cell r="P8571">
            <v>45755</v>
          </cell>
          <cell r="Q8571">
            <v>45757</v>
          </cell>
          <cell r="R8571">
            <v>45757</v>
          </cell>
          <cell r="S8571"/>
          <cell r="T8571"/>
          <cell r="U8571" t="str">
            <v>TMS 기구 Module 작업</v>
          </cell>
          <cell r="V8571"/>
          <cell r="W8571"/>
          <cell r="X8571">
            <v>41200138</v>
          </cell>
        </row>
        <row r="8572">
          <cell r="K8572"/>
          <cell r="L8572">
            <v>45751</v>
          </cell>
          <cell r="M8572">
            <v>45751</v>
          </cell>
          <cell r="N8572">
            <v>45755</v>
          </cell>
          <cell r="O8572">
            <v>45751</v>
          </cell>
          <cell r="P8572">
            <v>45755</v>
          </cell>
          <cell r="Q8572">
            <v>45757</v>
          </cell>
          <cell r="R8572">
            <v>45757</v>
          </cell>
          <cell r="S8572"/>
          <cell r="T8572"/>
          <cell r="U8572" t="str">
            <v>TMS 기구 Module 작업</v>
          </cell>
          <cell r="V8572"/>
          <cell r="W8572"/>
          <cell r="X8572">
            <v>41200038</v>
          </cell>
        </row>
        <row r="8573">
          <cell r="K8573"/>
          <cell r="L8573">
            <v>45751</v>
          </cell>
          <cell r="M8573">
            <v>45751</v>
          </cell>
          <cell r="N8573">
            <v>45755</v>
          </cell>
          <cell r="O8573">
            <v>45751</v>
          </cell>
          <cell r="P8573">
            <v>45755</v>
          </cell>
          <cell r="Q8573">
            <v>45757</v>
          </cell>
          <cell r="R8573">
            <v>45757</v>
          </cell>
          <cell r="S8573"/>
          <cell r="T8573"/>
          <cell r="U8573" t="str">
            <v>TMS 기구 Module 작업</v>
          </cell>
          <cell r="V8573"/>
          <cell r="W8573"/>
          <cell r="X8573">
            <v>41200046</v>
          </cell>
        </row>
        <row r="8574">
          <cell r="K8574"/>
          <cell r="L8574">
            <v>45751</v>
          </cell>
          <cell r="M8574">
            <v>45751</v>
          </cell>
          <cell r="N8574">
            <v>45755</v>
          </cell>
          <cell r="O8574">
            <v>45751</v>
          </cell>
          <cell r="P8574">
            <v>45755</v>
          </cell>
          <cell r="Q8574">
            <v>45758</v>
          </cell>
          <cell r="R8574">
            <v>45758</v>
          </cell>
          <cell r="S8574"/>
          <cell r="T8574"/>
          <cell r="U8574" t="str">
            <v>TMS 기구 Module 작업</v>
          </cell>
          <cell r="V8574"/>
          <cell r="W8574"/>
          <cell r="X8574">
            <v>41100564</v>
          </cell>
        </row>
        <row r="8575">
          <cell r="K8575"/>
          <cell r="L8575">
            <v>45751</v>
          </cell>
          <cell r="M8575">
            <v>45751</v>
          </cell>
          <cell r="N8575">
            <v>45755</v>
          </cell>
          <cell r="O8575">
            <v>45751</v>
          </cell>
          <cell r="P8575">
            <v>45755</v>
          </cell>
          <cell r="Q8575">
            <v>45758</v>
          </cell>
          <cell r="R8575">
            <v>45758</v>
          </cell>
          <cell r="S8575"/>
          <cell r="T8575"/>
          <cell r="U8575" t="str">
            <v>TMS 기구 Module 작업</v>
          </cell>
          <cell r="V8575"/>
          <cell r="W8575"/>
          <cell r="X8575">
            <v>41200039</v>
          </cell>
        </row>
        <row r="8576">
          <cell r="K8576"/>
          <cell r="L8576">
            <v>45751</v>
          </cell>
          <cell r="M8576">
            <v>45751</v>
          </cell>
          <cell r="N8576">
            <v>45755</v>
          </cell>
          <cell r="O8576">
            <v>45751</v>
          </cell>
          <cell r="P8576">
            <v>45755</v>
          </cell>
          <cell r="Q8576">
            <v>45758</v>
          </cell>
          <cell r="R8576">
            <v>45758</v>
          </cell>
          <cell r="S8576"/>
          <cell r="T8576"/>
          <cell r="U8576" t="str">
            <v>TMS 기구 Module 작업</v>
          </cell>
          <cell r="V8576"/>
          <cell r="W8576"/>
          <cell r="X8576">
            <v>41200039</v>
          </cell>
        </row>
        <row r="8577">
          <cell r="K8577"/>
          <cell r="L8577">
            <v>45755</v>
          </cell>
          <cell r="M8577">
            <v>45755</v>
          </cell>
          <cell r="N8577">
            <v>45758</v>
          </cell>
          <cell r="O8577">
            <v>45755</v>
          </cell>
          <cell r="P8577">
            <v>45758</v>
          </cell>
          <cell r="Q8577">
            <v>45761</v>
          </cell>
          <cell r="R8577">
            <v>45761</v>
          </cell>
          <cell r="S8577"/>
          <cell r="T8577"/>
          <cell r="U8577" t="str">
            <v>TMS 기구 Module 작업</v>
          </cell>
          <cell r="V8577"/>
          <cell r="W8577"/>
          <cell r="X8577">
            <v>41200036</v>
          </cell>
        </row>
        <row r="8578">
          <cell r="K8578"/>
          <cell r="L8578">
            <v>45755</v>
          </cell>
          <cell r="M8578">
            <v>45755</v>
          </cell>
          <cell r="N8578">
            <v>45758</v>
          </cell>
          <cell r="O8578">
            <v>45755</v>
          </cell>
          <cell r="P8578">
            <v>45758</v>
          </cell>
          <cell r="Q8578">
            <v>45761</v>
          </cell>
          <cell r="R8578">
            <v>45761</v>
          </cell>
          <cell r="S8578"/>
          <cell r="T8578"/>
          <cell r="U8578" t="str">
            <v>TMS 기구 Module 작업</v>
          </cell>
          <cell r="V8578"/>
          <cell r="W8578"/>
          <cell r="X8578">
            <v>41200047</v>
          </cell>
        </row>
        <row r="8579">
          <cell r="K8579"/>
          <cell r="L8579">
            <v>45755</v>
          </cell>
          <cell r="M8579">
            <v>45755</v>
          </cell>
          <cell r="N8579">
            <v>45758</v>
          </cell>
          <cell r="O8579">
            <v>45755</v>
          </cell>
          <cell r="P8579">
            <v>45758</v>
          </cell>
          <cell r="Q8579">
            <v>45758</v>
          </cell>
          <cell r="R8579">
            <v>45758</v>
          </cell>
          <cell r="S8579"/>
          <cell r="T8579"/>
          <cell r="U8579" t="str">
            <v>TMS 기구 Module 작업</v>
          </cell>
          <cell r="V8579"/>
          <cell r="W8579"/>
          <cell r="X8579">
            <v>41100697</v>
          </cell>
        </row>
        <row r="8580">
          <cell r="K8580"/>
          <cell r="L8580">
            <v>45756</v>
          </cell>
          <cell r="M8580">
            <v>45756</v>
          </cell>
          <cell r="N8580">
            <v>45758</v>
          </cell>
          <cell r="O8580">
            <v>45756</v>
          </cell>
          <cell r="P8580">
            <v>45758</v>
          </cell>
          <cell r="Q8580">
            <v>45761</v>
          </cell>
          <cell r="R8580">
            <v>45761</v>
          </cell>
          <cell r="S8580"/>
          <cell r="T8580"/>
          <cell r="U8580" t="str">
            <v>TMS 기구 Module 작업</v>
          </cell>
          <cell r="V8580"/>
          <cell r="W8580"/>
          <cell r="X8580">
            <v>41200061</v>
          </cell>
        </row>
        <row r="8581">
          <cell r="K8581"/>
          <cell r="L8581">
            <v>45756</v>
          </cell>
          <cell r="M8581">
            <v>45756</v>
          </cell>
          <cell r="N8581">
            <v>45758</v>
          </cell>
          <cell r="O8581">
            <v>45756</v>
          </cell>
          <cell r="P8581">
            <v>45758</v>
          </cell>
          <cell r="Q8581">
            <v>45762</v>
          </cell>
          <cell r="R8581">
            <v>45762</v>
          </cell>
          <cell r="S8581"/>
          <cell r="T8581"/>
          <cell r="U8581" t="str">
            <v>TMS 기구 Module 작업</v>
          </cell>
          <cell r="V8581"/>
          <cell r="W8581"/>
          <cell r="X8581">
            <v>41200122</v>
          </cell>
        </row>
        <row r="8582">
          <cell r="K8582"/>
          <cell r="L8582">
            <v>45756</v>
          </cell>
          <cell r="M8582">
            <v>45756</v>
          </cell>
          <cell r="N8582">
            <v>45758</v>
          </cell>
          <cell r="O8582">
            <v>45756</v>
          </cell>
          <cell r="P8582">
            <v>45758</v>
          </cell>
          <cell r="Q8582">
            <v>45762</v>
          </cell>
          <cell r="R8582">
            <v>45762</v>
          </cell>
          <cell r="S8582"/>
          <cell r="T8582"/>
          <cell r="U8582" t="str">
            <v>TMS 기구 Module 작업</v>
          </cell>
          <cell r="V8582"/>
          <cell r="W8582"/>
          <cell r="X8582">
            <v>41200125</v>
          </cell>
        </row>
        <row r="8583">
          <cell r="K8583"/>
          <cell r="L8583">
            <v>45756</v>
          </cell>
          <cell r="M8583">
            <v>45756</v>
          </cell>
          <cell r="N8583">
            <v>45758</v>
          </cell>
          <cell r="O8583">
            <v>45756</v>
          </cell>
          <cell r="P8583">
            <v>45758</v>
          </cell>
          <cell r="Q8583">
            <v>45762</v>
          </cell>
          <cell r="R8583">
            <v>45762</v>
          </cell>
          <cell r="S8583"/>
          <cell r="T8583"/>
          <cell r="U8583" t="str">
            <v>TMS 기구 Module 작업</v>
          </cell>
          <cell r="V8583"/>
          <cell r="W8583"/>
          <cell r="X8583">
            <v>41200038</v>
          </cell>
        </row>
        <row r="8584">
          <cell r="K8584"/>
          <cell r="L8584">
            <v>45756</v>
          </cell>
          <cell r="M8584">
            <v>45756</v>
          </cell>
          <cell r="N8584">
            <v>45758</v>
          </cell>
          <cell r="O8584">
            <v>45756</v>
          </cell>
          <cell r="P8584">
            <v>45758</v>
          </cell>
          <cell r="Q8584">
            <v>45763</v>
          </cell>
          <cell r="R8584">
            <v>45763</v>
          </cell>
          <cell r="S8584"/>
          <cell r="T8584"/>
          <cell r="U8584" t="str">
            <v>TMS 기구 Module 작업</v>
          </cell>
          <cell r="V8584"/>
          <cell r="W8584"/>
          <cell r="X8584">
            <v>41200046</v>
          </cell>
        </row>
        <row r="8585">
          <cell r="K8585"/>
          <cell r="L8585">
            <v>45756</v>
          </cell>
          <cell r="M8585">
            <v>45756</v>
          </cell>
          <cell r="N8585">
            <v>45758</v>
          </cell>
          <cell r="O8585">
            <v>45756</v>
          </cell>
          <cell r="P8585">
            <v>45758</v>
          </cell>
          <cell r="Q8585" t="str">
            <v>2025-04-15 → 4/14</v>
          </cell>
          <cell r="R8585" t="str">
            <v>2025-04-15 → 4/14</v>
          </cell>
          <cell r="S8585"/>
          <cell r="T8585"/>
          <cell r="U8585" t="str">
            <v>TMS 기구 Module 작업</v>
          </cell>
          <cell r="V8585"/>
          <cell r="W8585"/>
          <cell r="X8585">
            <v>41100550</v>
          </cell>
        </row>
        <row r="8586">
          <cell r="K8586" t="str">
            <v>DBW-3630</v>
          </cell>
          <cell r="L8586">
            <v>45751</v>
          </cell>
          <cell r="M8586">
            <v>45755</v>
          </cell>
          <cell r="N8586">
            <v>45762</v>
          </cell>
          <cell r="O8586">
            <v>45740</v>
          </cell>
          <cell r="P8586">
            <v>45763</v>
          </cell>
          <cell r="Q8586">
            <v>45762</v>
          </cell>
          <cell r="R8586">
            <v>45763</v>
          </cell>
          <cell r="S8586">
            <v>45764</v>
          </cell>
          <cell r="T8586"/>
          <cell r="U8586"/>
          <cell r="V8586"/>
          <cell r="W8586"/>
          <cell r="X8586">
            <v>41100695</v>
          </cell>
        </row>
        <row r="8587">
          <cell r="K8587" t="str">
            <v>DBW-3631</v>
          </cell>
          <cell r="L8587">
            <v>45751</v>
          </cell>
          <cell r="M8587">
            <v>45755</v>
          </cell>
          <cell r="N8587">
            <v>45762</v>
          </cell>
          <cell r="O8587">
            <v>45740</v>
          </cell>
          <cell r="P8587">
            <v>45763</v>
          </cell>
          <cell r="Q8587">
            <v>45762</v>
          </cell>
          <cell r="R8587">
            <v>45763</v>
          </cell>
          <cell r="S8587">
            <v>45764</v>
          </cell>
          <cell r="T8587"/>
          <cell r="U8587"/>
          <cell r="V8587"/>
          <cell r="W8587"/>
          <cell r="X8587">
            <v>41100695</v>
          </cell>
        </row>
        <row r="8588">
          <cell r="K8588"/>
          <cell r="L8588">
            <v>45756</v>
          </cell>
          <cell r="M8588">
            <v>45756</v>
          </cell>
          <cell r="N8588">
            <v>45762</v>
          </cell>
          <cell r="O8588">
            <v>45756</v>
          </cell>
          <cell r="P8588">
            <v>45762</v>
          </cell>
          <cell r="Q8588">
            <v>45762</v>
          </cell>
          <cell r="R8588">
            <v>45762</v>
          </cell>
          <cell r="S8588"/>
          <cell r="T8588"/>
          <cell r="U8588" t="str">
            <v>TMS 기구 Module 작업</v>
          </cell>
          <cell r="V8588"/>
          <cell r="W8588"/>
          <cell r="X8588">
            <v>41100697</v>
          </cell>
        </row>
        <row r="8589">
          <cell r="K8589"/>
          <cell r="L8589">
            <v>45756</v>
          </cell>
          <cell r="M8589">
            <v>45756</v>
          </cell>
          <cell r="N8589">
            <v>45762</v>
          </cell>
          <cell r="O8589">
            <v>45756</v>
          </cell>
          <cell r="P8589">
            <v>45762</v>
          </cell>
          <cell r="Q8589">
            <v>45762</v>
          </cell>
          <cell r="R8589">
            <v>45762</v>
          </cell>
          <cell r="S8589"/>
          <cell r="T8589"/>
          <cell r="U8589" t="str">
            <v>TMS 기구 Module 작업</v>
          </cell>
          <cell r="V8589"/>
          <cell r="W8589"/>
          <cell r="X8589">
            <v>41100697</v>
          </cell>
        </row>
        <row r="8590">
          <cell r="K8590" t="str">
            <v>DBW-3632,3633</v>
          </cell>
          <cell r="L8590">
            <v>45751</v>
          </cell>
          <cell r="M8590">
            <v>45755</v>
          </cell>
          <cell r="N8590">
            <v>45763</v>
          </cell>
          <cell r="O8590">
            <v>45740</v>
          </cell>
          <cell r="P8590">
            <v>45764</v>
          </cell>
          <cell r="Q8590">
            <v>45763</v>
          </cell>
          <cell r="R8590">
            <v>45764</v>
          </cell>
          <cell r="S8590"/>
          <cell r="T8590"/>
          <cell r="U8590"/>
          <cell r="V8590"/>
          <cell r="W8590"/>
          <cell r="X8590">
            <v>41100695</v>
          </cell>
        </row>
        <row r="8591">
          <cell r="K8591"/>
          <cell r="L8591">
            <v>45757</v>
          </cell>
          <cell r="M8591">
            <v>45757</v>
          </cell>
          <cell r="N8591">
            <v>45763</v>
          </cell>
          <cell r="O8591">
            <v>45757</v>
          </cell>
          <cell r="P8591">
            <v>45763</v>
          </cell>
          <cell r="Q8591">
            <v>45763</v>
          </cell>
          <cell r="R8591">
            <v>45763</v>
          </cell>
          <cell r="S8591"/>
          <cell r="T8591"/>
          <cell r="U8591" t="str">
            <v>TMS 기구 Module 작업</v>
          </cell>
          <cell r="V8591"/>
          <cell r="W8591"/>
          <cell r="X8591">
            <v>41200101</v>
          </cell>
        </row>
        <row r="8592">
          <cell r="K8592"/>
          <cell r="L8592">
            <v>45757</v>
          </cell>
          <cell r="M8592">
            <v>45757</v>
          </cell>
          <cell r="N8592">
            <v>45763</v>
          </cell>
          <cell r="O8592">
            <v>45757</v>
          </cell>
          <cell r="P8592">
            <v>45763</v>
          </cell>
          <cell r="Q8592">
            <v>45763</v>
          </cell>
          <cell r="R8592">
            <v>45763</v>
          </cell>
          <cell r="S8592"/>
          <cell r="T8592"/>
          <cell r="U8592" t="str">
            <v>TMS 기구 Module 작업</v>
          </cell>
          <cell r="V8592"/>
          <cell r="W8592"/>
          <cell r="X8592">
            <v>41200034</v>
          </cell>
        </row>
        <row r="8593">
          <cell r="K8593"/>
          <cell r="L8593">
            <v>45758</v>
          </cell>
          <cell r="M8593">
            <v>45758</v>
          </cell>
          <cell r="N8593">
            <v>45763</v>
          </cell>
          <cell r="O8593">
            <v>45758</v>
          </cell>
          <cell r="P8593">
            <v>45763</v>
          </cell>
          <cell r="Q8593">
            <v>45764</v>
          </cell>
          <cell r="R8593">
            <v>45764</v>
          </cell>
          <cell r="S8593"/>
          <cell r="T8593"/>
          <cell r="U8593" t="str">
            <v>TMS 기구 Module 작업</v>
          </cell>
          <cell r="V8593"/>
          <cell r="W8593"/>
          <cell r="X8593">
            <v>41100264</v>
          </cell>
        </row>
        <row r="8594">
          <cell r="K8594" t="str">
            <v>DBW-3634,3635</v>
          </cell>
          <cell r="L8594">
            <v>45754</v>
          </cell>
          <cell r="M8594">
            <v>45756</v>
          </cell>
          <cell r="N8594">
            <v>45764</v>
          </cell>
          <cell r="O8594">
            <v>45747</v>
          </cell>
          <cell r="P8594">
            <v>0.7</v>
          </cell>
          <cell r="Q8594">
            <v>45764</v>
          </cell>
          <cell r="R8594">
            <v>45765</v>
          </cell>
          <cell r="S8594"/>
          <cell r="T8594"/>
          <cell r="U8594"/>
          <cell r="V8594"/>
          <cell r="W8594"/>
          <cell r="X8594">
            <v>41100696</v>
          </cell>
        </row>
        <row r="8595">
          <cell r="K8595"/>
          <cell r="L8595">
            <v>45757</v>
          </cell>
          <cell r="M8595">
            <v>45757</v>
          </cell>
          <cell r="N8595">
            <v>45764</v>
          </cell>
          <cell r="O8595">
            <v>45757</v>
          </cell>
          <cell r="P8595">
            <v>45764</v>
          </cell>
          <cell r="Q8595">
            <v>45763</v>
          </cell>
          <cell r="R8595">
            <v>45763</v>
          </cell>
          <cell r="S8595"/>
          <cell r="T8595"/>
          <cell r="U8595" t="str">
            <v>TMS 기구 Module 작업</v>
          </cell>
          <cell r="V8595"/>
          <cell r="W8595"/>
          <cell r="X8595">
            <v>41200080</v>
          </cell>
        </row>
        <row r="8596">
          <cell r="K8596"/>
          <cell r="L8596">
            <v>45757</v>
          </cell>
          <cell r="M8596">
            <v>45757</v>
          </cell>
          <cell r="N8596">
            <v>45764</v>
          </cell>
          <cell r="O8596">
            <v>45757</v>
          </cell>
          <cell r="P8596">
            <v>45764</v>
          </cell>
          <cell r="Q8596">
            <v>45763</v>
          </cell>
          <cell r="R8596">
            <v>45763</v>
          </cell>
          <cell r="S8596"/>
          <cell r="T8596"/>
          <cell r="U8596" t="str">
            <v>TMS 기구 Module 작업</v>
          </cell>
          <cell r="V8596"/>
          <cell r="W8596"/>
          <cell r="X8596">
            <v>41200142</v>
          </cell>
        </row>
        <row r="8597">
          <cell r="K8597"/>
          <cell r="L8597">
            <v>45758</v>
          </cell>
          <cell r="M8597">
            <v>45758</v>
          </cell>
          <cell r="N8597">
            <v>45764</v>
          </cell>
          <cell r="O8597">
            <v>45758</v>
          </cell>
          <cell r="P8597">
            <v>45764</v>
          </cell>
          <cell r="Q8597">
            <v>45764</v>
          </cell>
          <cell r="R8597">
            <v>45764</v>
          </cell>
          <cell r="S8597"/>
          <cell r="T8597"/>
          <cell r="U8597" t="str">
            <v>TMS 기구 Module 작업</v>
          </cell>
          <cell r="V8597"/>
          <cell r="W8597"/>
          <cell r="X8597">
            <v>41100550</v>
          </cell>
        </row>
        <row r="8598">
          <cell r="K8598" t="str">
            <v>DBW-3636,3637</v>
          </cell>
          <cell r="L8598">
            <v>45755</v>
          </cell>
          <cell r="M8598">
            <v>45757</v>
          </cell>
          <cell r="N8598">
            <v>0.7</v>
          </cell>
          <cell r="O8598">
            <v>45747</v>
          </cell>
          <cell r="P8598">
            <v>0.5</v>
          </cell>
          <cell r="Q8598">
            <v>45765</v>
          </cell>
          <cell r="R8598">
            <v>45768</v>
          </cell>
          <cell r="S8598"/>
          <cell r="T8598"/>
          <cell r="U8598"/>
          <cell r="V8598"/>
          <cell r="W8598"/>
          <cell r="X8598">
            <v>41000584</v>
          </cell>
        </row>
        <row r="8599">
          <cell r="K8599"/>
          <cell r="L8599">
            <v>45761</v>
          </cell>
          <cell r="M8599">
            <v>45761</v>
          </cell>
          <cell r="N8599">
            <v>0.1</v>
          </cell>
          <cell r="O8599">
            <v>45761</v>
          </cell>
          <cell r="P8599">
            <v>0.1</v>
          </cell>
          <cell r="Q8599">
            <v>45764</v>
          </cell>
          <cell r="R8599">
            <v>45764</v>
          </cell>
          <cell r="S8599"/>
          <cell r="T8599"/>
          <cell r="U8599" t="str">
            <v>TMS 기구 Module 작업</v>
          </cell>
          <cell r="V8599"/>
          <cell r="W8599"/>
          <cell r="X8599">
            <v>41200076</v>
          </cell>
        </row>
        <row r="8600">
          <cell r="K8600"/>
          <cell r="L8600">
            <v>45761</v>
          </cell>
          <cell r="M8600">
            <v>45761</v>
          </cell>
          <cell r="N8600">
            <v>0.1</v>
          </cell>
          <cell r="O8600">
            <v>45761</v>
          </cell>
          <cell r="P8600">
            <v>0.1</v>
          </cell>
          <cell r="Q8600">
            <v>45765</v>
          </cell>
          <cell r="R8600">
            <v>45765</v>
          </cell>
          <cell r="S8600"/>
          <cell r="T8600"/>
          <cell r="U8600" t="str">
            <v>TMS 기구 Module 작업</v>
          </cell>
          <cell r="V8600"/>
          <cell r="W8600"/>
          <cell r="X8600">
            <v>41100338</v>
          </cell>
        </row>
        <row r="8601">
          <cell r="K8601"/>
          <cell r="L8601">
            <v>45761</v>
          </cell>
          <cell r="M8601">
            <v>45761</v>
          </cell>
          <cell r="N8601">
            <v>0.1</v>
          </cell>
          <cell r="O8601">
            <v>45761</v>
          </cell>
          <cell r="P8601">
            <v>0.1</v>
          </cell>
          <cell r="Q8601">
            <v>45765</v>
          </cell>
          <cell r="R8601">
            <v>45765</v>
          </cell>
          <cell r="S8601"/>
          <cell r="T8601"/>
          <cell r="U8601" t="str">
            <v>TMS 기구 Module 작업</v>
          </cell>
          <cell r="V8601"/>
          <cell r="W8601"/>
          <cell r="X8601">
            <v>41200036</v>
          </cell>
        </row>
        <row r="8602">
          <cell r="K8602"/>
          <cell r="L8602">
            <v>45761</v>
          </cell>
          <cell r="M8602">
            <v>45761</v>
          </cell>
          <cell r="N8602">
            <v>0.1</v>
          </cell>
          <cell r="O8602">
            <v>45761</v>
          </cell>
          <cell r="P8602">
            <v>0.1</v>
          </cell>
          <cell r="Q8602">
            <v>45765</v>
          </cell>
          <cell r="R8602">
            <v>45765</v>
          </cell>
          <cell r="S8602"/>
          <cell r="T8602"/>
          <cell r="U8602" t="str">
            <v>TMS 기구 Module 작업</v>
          </cell>
          <cell r="V8602"/>
          <cell r="W8602"/>
          <cell r="X8602">
            <v>41200034</v>
          </cell>
        </row>
        <row r="8603">
          <cell r="K8603"/>
          <cell r="L8603">
            <v>45761</v>
          </cell>
          <cell r="M8603">
            <v>45761</v>
          </cell>
          <cell r="N8603">
            <v>0.1</v>
          </cell>
          <cell r="O8603">
            <v>45761</v>
          </cell>
          <cell r="P8603">
            <v>0.1</v>
          </cell>
          <cell r="Q8603">
            <v>45765</v>
          </cell>
          <cell r="R8603">
            <v>45765</v>
          </cell>
          <cell r="S8603"/>
          <cell r="T8603"/>
          <cell r="U8603" t="str">
            <v>TMS 기구 Module 작업</v>
          </cell>
          <cell r="V8603"/>
          <cell r="W8603"/>
          <cell r="X8603">
            <v>41200087</v>
          </cell>
        </row>
        <row r="8604">
          <cell r="K8604"/>
          <cell r="L8604">
            <v>45764</v>
          </cell>
          <cell r="M8604">
            <v>45764</v>
          </cell>
          <cell r="N8604">
            <v>0.1</v>
          </cell>
          <cell r="O8604">
            <v>45764</v>
          </cell>
          <cell r="P8604">
            <v>0.1</v>
          </cell>
          <cell r="Q8604">
            <v>45770</v>
          </cell>
          <cell r="R8604">
            <v>45770</v>
          </cell>
          <cell r="S8604"/>
          <cell r="T8604"/>
          <cell r="U8604" t="str">
            <v>TMS 기구 Module 작업</v>
          </cell>
          <cell r="V8604"/>
          <cell r="W8604"/>
          <cell r="X8604">
            <v>41200006</v>
          </cell>
        </row>
        <row r="8605">
          <cell r="K8605">
            <v>13</v>
          </cell>
          <cell r="L8605"/>
          <cell r="M8605"/>
          <cell r="O8605"/>
          <cell r="P8605"/>
          <cell r="Q8605"/>
          <cell r="R8605"/>
          <cell r="S8605"/>
          <cell r="T8605"/>
          <cell r="U8605"/>
          <cell r="V8605"/>
          <cell r="W8605"/>
          <cell r="X8605"/>
        </row>
        <row r="8606">
          <cell r="K8606" t="str">
            <v>GBWS-3537</v>
          </cell>
          <cell r="L8606">
            <v>45138</v>
          </cell>
          <cell r="M8606" t="str">
            <v>2023-07-24 → 8/1</v>
          </cell>
          <cell r="N8606">
            <v>45188</v>
          </cell>
          <cell r="O8606" t="str">
            <v>2023-07-24 → 8/1</v>
          </cell>
          <cell r="P8606">
            <v>45173</v>
          </cell>
          <cell r="Q8606" t="str">
            <v>2023-08-03 → 8/23</v>
          </cell>
          <cell r="R8606" t="str">
            <v>2023-08-04 → 8/24</v>
          </cell>
          <cell r="S8606">
            <v>45257</v>
          </cell>
          <cell r="T8606">
            <v>45257</v>
          </cell>
          <cell r="U8606"/>
          <cell r="V8606"/>
          <cell r="W8606"/>
          <cell r="X8606">
            <v>41100705</v>
          </cell>
        </row>
        <row r="8607">
          <cell r="K8607" t="str">
            <v>GBWS-3538</v>
          </cell>
          <cell r="L8607">
            <v>45138</v>
          </cell>
          <cell r="M8607" t="str">
            <v>2023-07-24 → 8/1</v>
          </cell>
          <cell r="N8607">
            <v>45188</v>
          </cell>
          <cell r="O8607" t="str">
            <v>2023-07-24 → 8/1</v>
          </cell>
          <cell r="P8607">
            <v>45173</v>
          </cell>
          <cell r="Q8607" t="str">
            <v>2023-08-03 → 8/23</v>
          </cell>
          <cell r="R8607" t="str">
            <v>2023-08-04 → 8/24</v>
          </cell>
          <cell r="S8607">
            <v>45278</v>
          </cell>
          <cell r="T8607">
            <v>45278</v>
          </cell>
          <cell r="U8607"/>
          <cell r="V8607"/>
          <cell r="W8607"/>
          <cell r="X8607">
            <v>41100705</v>
          </cell>
        </row>
        <row r="8608">
          <cell r="K8608" t="str">
            <v>-</v>
          </cell>
          <cell r="L8608">
            <v>45132</v>
          </cell>
          <cell r="M8608" t="str">
            <v>2023-07-19 → 7/27</v>
          </cell>
          <cell r="N8608">
            <v>45188</v>
          </cell>
          <cell r="O8608" t="str">
            <v>2023-07-19 → 7/27</v>
          </cell>
          <cell r="P8608">
            <v>45173</v>
          </cell>
          <cell r="Q8608" t="str">
            <v>2023-07-24 → 8/11</v>
          </cell>
          <cell r="R8608" t="str">
            <v>2023-07-25 → 8/14</v>
          </cell>
          <cell r="S8608">
            <v>45257</v>
          </cell>
          <cell r="T8608">
            <v>45257</v>
          </cell>
          <cell r="U8608"/>
          <cell r="V8608"/>
          <cell r="W8608"/>
          <cell r="X8608">
            <v>31102844</v>
          </cell>
        </row>
        <row r="8609">
          <cell r="K8609" t="str">
            <v>IVAS-239</v>
          </cell>
          <cell r="L8609">
            <v>45230</v>
          </cell>
          <cell r="M8609">
            <v>45231</v>
          </cell>
          <cell r="N8609">
            <v>45245</v>
          </cell>
          <cell r="O8609">
            <v>45231</v>
          </cell>
          <cell r="P8609">
            <v>45246</v>
          </cell>
          <cell r="Q8609" t="str">
            <v>2023-11-10 → 11/15</v>
          </cell>
          <cell r="R8609" t="str">
            <v>2023-11-13 → 11/16</v>
          </cell>
          <cell r="S8609">
            <v>45250</v>
          </cell>
          <cell r="T8609">
            <v>45250</v>
          </cell>
          <cell r="U8609">
            <v>45323</v>
          </cell>
          <cell r="V8609"/>
          <cell r="W8609"/>
          <cell r="X8609">
            <v>41000538</v>
          </cell>
        </row>
        <row r="8610">
          <cell r="K8610" t="str">
            <v>GBWS-5229</v>
          </cell>
          <cell r="L8610">
            <v>45663</v>
          </cell>
          <cell r="M8610">
            <v>45664</v>
          </cell>
          <cell r="N8610">
            <v>45670</v>
          </cell>
          <cell r="O8610">
            <v>45664</v>
          </cell>
          <cell r="P8610">
            <v>45670</v>
          </cell>
          <cell r="Q8610">
            <v>45672</v>
          </cell>
          <cell r="R8610">
            <v>45673</v>
          </cell>
          <cell r="S8610"/>
          <cell r="T8610"/>
          <cell r="U8610"/>
          <cell r="V8610"/>
          <cell r="W8610"/>
          <cell r="X8610">
            <v>41200088</v>
          </cell>
        </row>
        <row r="8611">
          <cell r="K8611" t="str">
            <v>MMD-0084</v>
          </cell>
          <cell r="L8611">
            <v>45663</v>
          </cell>
          <cell r="M8611">
            <v>45664</v>
          </cell>
          <cell r="N8611">
            <v>45665</v>
          </cell>
          <cell r="O8611">
            <v>45664</v>
          </cell>
          <cell r="P8611">
            <v>45670</v>
          </cell>
          <cell r="Q8611">
            <v>45667</v>
          </cell>
          <cell r="R8611">
            <v>45667</v>
          </cell>
          <cell r="S8611"/>
          <cell r="T8611"/>
          <cell r="U8611"/>
          <cell r="V8611"/>
          <cell r="W8611"/>
          <cell r="X8611">
            <v>31102402</v>
          </cell>
        </row>
        <row r="8612">
          <cell r="K8612" t="str">
            <v>GPWS-0534</v>
          </cell>
          <cell r="L8612">
            <v>45727</v>
          </cell>
          <cell r="M8612">
            <v>45729</v>
          </cell>
          <cell r="N8612">
            <v>45737</v>
          </cell>
          <cell r="O8612">
            <v>45720</v>
          </cell>
          <cell r="P8612">
            <v>45737</v>
          </cell>
          <cell r="Q8612" t="str">
            <v>2025-03-21 → 3/25</v>
          </cell>
          <cell r="R8612" t="str">
            <v>2025-03-24 → 3/26</v>
          </cell>
          <cell r="S8612">
            <v>45747</v>
          </cell>
          <cell r="T8612">
            <v>45748</v>
          </cell>
          <cell r="U8612">
            <v>45750</v>
          </cell>
          <cell r="V8612">
            <v>45750</v>
          </cell>
          <cell r="W8612">
            <v>45750</v>
          </cell>
          <cell r="X8612">
            <v>41200108</v>
          </cell>
        </row>
        <row r="8613">
          <cell r="K8613" t="str">
            <v>GPWS-0535</v>
          </cell>
          <cell r="L8613">
            <v>45727</v>
          </cell>
          <cell r="M8613">
            <v>45729</v>
          </cell>
          <cell r="N8613">
            <v>45737</v>
          </cell>
          <cell r="O8613">
            <v>45720</v>
          </cell>
          <cell r="P8613">
            <v>45737</v>
          </cell>
          <cell r="Q8613" t="str">
            <v>2025-03-21 → 3/25</v>
          </cell>
          <cell r="R8613" t="str">
            <v>2025-03-24 → 3/26</v>
          </cell>
          <cell r="S8613">
            <v>45747</v>
          </cell>
          <cell r="T8613">
            <v>45748</v>
          </cell>
          <cell r="U8613">
            <v>45750</v>
          </cell>
          <cell r="V8613">
            <v>45758</v>
          </cell>
          <cell r="W8613">
            <v>45758</v>
          </cell>
          <cell r="X8613">
            <v>41200108</v>
          </cell>
        </row>
        <row r="8614">
          <cell r="K8614" t="str">
            <v>GPWS-0536</v>
          </cell>
          <cell r="L8614">
            <v>45727</v>
          </cell>
          <cell r="M8614">
            <v>45729</v>
          </cell>
          <cell r="N8614">
            <v>45737</v>
          </cell>
          <cell r="O8614">
            <v>45720</v>
          </cell>
          <cell r="P8614">
            <v>45737</v>
          </cell>
          <cell r="Q8614" t="str">
            <v>2025-03-21 → 3/25</v>
          </cell>
          <cell r="R8614" t="str">
            <v>2025-03-24 → 3/26</v>
          </cell>
          <cell r="S8614">
            <v>45764</v>
          </cell>
          <cell r="T8614"/>
          <cell r="U8614"/>
          <cell r="V8614"/>
          <cell r="W8614"/>
          <cell r="X8614">
            <v>41200108</v>
          </cell>
        </row>
        <row r="8615">
          <cell r="K8615" t="str">
            <v>GPWS-0537</v>
          </cell>
          <cell r="L8615">
            <v>45727</v>
          </cell>
          <cell r="M8615">
            <v>45729</v>
          </cell>
          <cell r="N8615">
            <v>45737</v>
          </cell>
          <cell r="O8615">
            <v>45720</v>
          </cell>
          <cell r="P8615">
            <v>45737</v>
          </cell>
          <cell r="Q8615" t="str">
            <v>2025-03-21 → 3/25</v>
          </cell>
          <cell r="R8615" t="str">
            <v>2025-03-24 → 3/26</v>
          </cell>
          <cell r="S8615"/>
          <cell r="T8615"/>
          <cell r="U8615"/>
          <cell r="V8615"/>
          <cell r="W8615"/>
          <cell r="X8615">
            <v>41200108</v>
          </cell>
        </row>
        <row r="8616">
          <cell r="K8616" t="str">
            <v>GPWS-0538</v>
          </cell>
          <cell r="L8616">
            <v>45727</v>
          </cell>
          <cell r="M8616">
            <v>45729</v>
          </cell>
          <cell r="N8616">
            <v>45737</v>
          </cell>
          <cell r="O8616">
            <v>45720</v>
          </cell>
          <cell r="P8616">
            <v>45737</v>
          </cell>
          <cell r="Q8616" t="str">
            <v>2025-03-21 → 3/25</v>
          </cell>
          <cell r="R8616" t="str">
            <v>2025-03-24 → 3/26</v>
          </cell>
          <cell r="S8616">
            <v>45750</v>
          </cell>
          <cell r="T8616">
            <v>45751</v>
          </cell>
          <cell r="U8616">
            <v>45758</v>
          </cell>
          <cell r="V8616">
            <v>45762</v>
          </cell>
          <cell r="W8616">
            <v>45762</v>
          </cell>
          <cell r="X8616">
            <v>41200108</v>
          </cell>
        </row>
        <row r="8617">
          <cell r="K8617" t="str">
            <v>GPWS-0542</v>
          </cell>
          <cell r="L8617">
            <v>45730</v>
          </cell>
          <cell r="M8617">
            <v>45734</v>
          </cell>
          <cell r="N8617">
            <v>45742</v>
          </cell>
          <cell r="O8617">
            <v>45720</v>
          </cell>
          <cell r="P8617">
            <v>45744</v>
          </cell>
          <cell r="Q8617">
            <v>45742</v>
          </cell>
          <cell r="R8617">
            <v>45743</v>
          </cell>
          <cell r="S8617">
            <v>45763</v>
          </cell>
          <cell r="T8617">
            <v>45764</v>
          </cell>
          <cell r="U8617"/>
          <cell r="V8617"/>
          <cell r="W8617"/>
          <cell r="X8617">
            <v>41200121</v>
          </cell>
        </row>
        <row r="8618">
          <cell r="K8618" t="str">
            <v>GPWS-0543</v>
          </cell>
          <cell r="L8618">
            <v>45730</v>
          </cell>
          <cell r="M8618">
            <v>45734</v>
          </cell>
          <cell r="N8618">
            <v>45742</v>
          </cell>
          <cell r="O8618">
            <v>45720</v>
          </cell>
          <cell r="P8618">
            <v>45744</v>
          </cell>
          <cell r="Q8618">
            <v>45742</v>
          </cell>
          <cell r="R8618">
            <v>45743</v>
          </cell>
          <cell r="S8618">
            <v>45763</v>
          </cell>
          <cell r="T8618">
            <v>45764</v>
          </cell>
          <cell r="U8618"/>
          <cell r="V8618"/>
          <cell r="W8618"/>
          <cell r="X8618">
            <v>41200121</v>
          </cell>
        </row>
        <row r="8619">
          <cell r="K8619" t="str">
            <v>GPWS-0544</v>
          </cell>
          <cell r="L8619">
            <v>45730</v>
          </cell>
          <cell r="M8619">
            <v>45734</v>
          </cell>
          <cell r="N8619">
            <v>45742</v>
          </cell>
          <cell r="O8619">
            <v>45720</v>
          </cell>
          <cell r="P8619">
            <v>45744</v>
          </cell>
          <cell r="Q8619">
            <v>45742</v>
          </cell>
          <cell r="R8619">
            <v>45743</v>
          </cell>
          <cell r="S8619">
            <v>45758</v>
          </cell>
          <cell r="T8619">
            <v>45761</v>
          </cell>
          <cell r="U8619"/>
          <cell r="V8619"/>
          <cell r="W8619"/>
          <cell r="X8619">
            <v>41200121</v>
          </cell>
        </row>
        <row r="8620">
          <cell r="K8620" t="str">
            <v>GPWS-0545</v>
          </cell>
          <cell r="L8620">
            <v>45730</v>
          </cell>
          <cell r="M8620">
            <v>45734</v>
          </cell>
          <cell r="N8620">
            <v>45742</v>
          </cell>
          <cell r="O8620">
            <v>45720</v>
          </cell>
          <cell r="P8620">
            <v>45744</v>
          </cell>
          <cell r="Q8620">
            <v>45742</v>
          </cell>
          <cell r="R8620">
            <v>45743</v>
          </cell>
          <cell r="S8620">
            <v>45761</v>
          </cell>
          <cell r="T8620">
            <v>45762</v>
          </cell>
          <cell r="U8620"/>
          <cell r="V8620"/>
          <cell r="W8620"/>
          <cell r="X8620">
            <v>41200121</v>
          </cell>
        </row>
        <row r="8621">
          <cell r="K8621" t="str">
            <v>HNM-0038~0040</v>
          </cell>
          <cell r="L8621">
            <v>45726</v>
          </cell>
          <cell r="M8621">
            <v>45728</v>
          </cell>
          <cell r="N8621">
            <v>45750</v>
          </cell>
          <cell r="O8621">
            <v>45720</v>
          </cell>
          <cell r="P8621">
            <v>45750</v>
          </cell>
          <cell r="Q8621" t="str">
            <v>2025-03-19 → 3/31</v>
          </cell>
          <cell r="R8621" t="str">
            <v>2025-03-20 → 4/1</v>
          </cell>
          <cell r="S8621"/>
          <cell r="T8621"/>
          <cell r="U8621"/>
          <cell r="V8621"/>
          <cell r="W8621"/>
          <cell r="X8621">
            <v>31102573</v>
          </cell>
        </row>
        <row r="8622">
          <cell r="K8622" t="str">
            <v>GBWS-5500</v>
          </cell>
          <cell r="L8622">
            <v>45744</v>
          </cell>
          <cell r="M8622">
            <v>45748</v>
          </cell>
          <cell r="N8622">
            <v>45757</v>
          </cell>
          <cell r="O8622">
            <v>45733</v>
          </cell>
          <cell r="P8622">
            <v>45757</v>
          </cell>
          <cell r="Q8622">
            <v>45756</v>
          </cell>
          <cell r="R8622">
            <v>45757</v>
          </cell>
          <cell r="S8622">
            <v>45758</v>
          </cell>
          <cell r="T8622">
            <v>45761</v>
          </cell>
          <cell r="U8622">
            <v>45762</v>
          </cell>
          <cell r="V8622">
            <v>45764</v>
          </cell>
          <cell r="W8622">
            <v>45764</v>
          </cell>
          <cell r="X8622">
            <v>41100317</v>
          </cell>
        </row>
        <row r="8623">
          <cell r="K8623" t="str">
            <v>GBWS-5504</v>
          </cell>
          <cell r="L8623">
            <v>45747</v>
          </cell>
          <cell r="M8623">
            <v>45749</v>
          </cell>
          <cell r="N8623">
            <v>45758</v>
          </cell>
          <cell r="O8623">
            <v>45740</v>
          </cell>
          <cell r="P8623">
            <v>45758</v>
          </cell>
          <cell r="Q8623">
            <v>45757</v>
          </cell>
          <cell r="R8623">
            <v>45758</v>
          </cell>
          <cell r="S8623">
            <v>45761</v>
          </cell>
          <cell r="T8623">
            <v>45762</v>
          </cell>
          <cell r="U8623">
            <v>45763</v>
          </cell>
          <cell r="V8623">
            <v>45764</v>
          </cell>
          <cell r="W8623">
            <v>45764</v>
          </cell>
          <cell r="X8623">
            <v>41100374</v>
          </cell>
        </row>
        <row r="8624">
          <cell r="K8624" t="str">
            <v>GBWS-5505</v>
          </cell>
          <cell r="L8624">
            <v>45747</v>
          </cell>
          <cell r="M8624">
            <v>45749</v>
          </cell>
          <cell r="N8624">
            <v>45757</v>
          </cell>
          <cell r="O8624">
            <v>45740</v>
          </cell>
          <cell r="P8624">
            <v>45758</v>
          </cell>
          <cell r="Q8624" t="str">
            <v>2025-04-10 → 4/9</v>
          </cell>
          <cell r="R8624" t="str">
            <v>2025-04-11 → 4/10</v>
          </cell>
          <cell r="S8624">
            <v>45761</v>
          </cell>
          <cell r="T8624">
            <v>45762</v>
          </cell>
          <cell r="U8624"/>
          <cell r="V8624"/>
          <cell r="W8624"/>
          <cell r="X8624">
            <v>41200122</v>
          </cell>
        </row>
        <row r="8625">
          <cell r="K8625" t="str">
            <v>GBWS-5506</v>
          </cell>
          <cell r="L8625">
            <v>45747</v>
          </cell>
          <cell r="M8625">
            <v>45749</v>
          </cell>
          <cell r="N8625">
            <v>45758</v>
          </cell>
          <cell r="O8625">
            <v>45740</v>
          </cell>
          <cell r="P8625">
            <v>45758</v>
          </cell>
          <cell r="Q8625">
            <v>45757</v>
          </cell>
          <cell r="R8625">
            <v>45758</v>
          </cell>
          <cell r="S8625">
            <v>45762</v>
          </cell>
          <cell r="T8625">
            <v>45763</v>
          </cell>
          <cell r="U8625"/>
          <cell r="V8625"/>
          <cell r="W8625"/>
          <cell r="X8625">
            <v>41200123</v>
          </cell>
        </row>
        <row r="8626">
          <cell r="K8626" t="str">
            <v>GBWS-5518</v>
          </cell>
          <cell r="L8626">
            <v>45750</v>
          </cell>
          <cell r="M8626">
            <v>45754</v>
          </cell>
          <cell r="N8626">
            <v>45761</v>
          </cell>
          <cell r="O8626">
            <v>45740</v>
          </cell>
          <cell r="P8626">
            <v>45762</v>
          </cell>
          <cell r="Q8626">
            <v>45762</v>
          </cell>
          <cell r="R8626">
            <v>45763</v>
          </cell>
          <cell r="S8626">
            <v>45764</v>
          </cell>
          <cell r="T8626"/>
          <cell r="U8626"/>
          <cell r="V8626"/>
          <cell r="W8626"/>
          <cell r="X8626">
            <v>41100317</v>
          </cell>
        </row>
        <row r="8627">
          <cell r="K8627" t="str">
            <v>GBWS-5519</v>
          </cell>
          <cell r="L8627">
            <v>45751</v>
          </cell>
          <cell r="M8627">
            <v>45755</v>
          </cell>
          <cell r="N8627">
            <v>45761</v>
          </cell>
          <cell r="O8627">
            <v>45740</v>
          </cell>
          <cell r="P8627">
            <v>45758</v>
          </cell>
          <cell r="Q8627">
            <v>45763</v>
          </cell>
          <cell r="R8627">
            <v>45764</v>
          </cell>
          <cell r="S8627"/>
          <cell r="T8627"/>
          <cell r="U8627"/>
          <cell r="V8627"/>
          <cell r="W8627"/>
          <cell r="X8627">
            <v>41200101</v>
          </cell>
        </row>
        <row r="8628">
          <cell r="K8628" t="str">
            <v>GBWS-5522~5524</v>
          </cell>
          <cell r="L8628">
            <v>45751</v>
          </cell>
          <cell r="M8628">
            <v>45755</v>
          </cell>
          <cell r="N8628">
            <v>45763</v>
          </cell>
          <cell r="O8628">
            <v>45740</v>
          </cell>
          <cell r="P8628">
            <v>45764</v>
          </cell>
          <cell r="Q8628">
            <v>45763</v>
          </cell>
          <cell r="R8628">
            <v>45764</v>
          </cell>
          <cell r="S8628"/>
          <cell r="T8628"/>
          <cell r="U8628"/>
          <cell r="V8628"/>
          <cell r="W8628"/>
          <cell r="X8628">
            <v>41200047</v>
          </cell>
        </row>
        <row r="8629">
          <cell r="K8629" t="str">
            <v>GBWS-5526</v>
          </cell>
          <cell r="L8629">
            <v>45754</v>
          </cell>
          <cell r="M8629">
            <v>45756</v>
          </cell>
          <cell r="N8629">
            <v>45763</v>
          </cell>
          <cell r="O8629">
            <v>45747</v>
          </cell>
          <cell r="P8629">
            <v>0.8</v>
          </cell>
          <cell r="Q8629">
            <v>45764</v>
          </cell>
          <cell r="R8629">
            <v>45765</v>
          </cell>
          <cell r="S8629"/>
          <cell r="T8629"/>
          <cell r="U8629"/>
          <cell r="V8629"/>
          <cell r="W8629"/>
          <cell r="X8629">
            <v>41200048</v>
          </cell>
        </row>
        <row r="8630">
          <cell r="K8630" t="str">
            <v>GPWS-0557</v>
          </cell>
          <cell r="L8630">
            <v>45754</v>
          </cell>
          <cell r="M8630">
            <v>45756</v>
          </cell>
          <cell r="N8630">
            <v>45764</v>
          </cell>
          <cell r="O8630">
            <v>45747</v>
          </cell>
          <cell r="P8630">
            <v>0.8</v>
          </cell>
          <cell r="Q8630">
            <v>45764</v>
          </cell>
          <cell r="R8630">
            <v>45765</v>
          </cell>
          <cell r="S8630"/>
          <cell r="T8630"/>
          <cell r="U8630"/>
          <cell r="V8630"/>
          <cell r="W8630"/>
          <cell r="X8630">
            <v>41200117</v>
          </cell>
        </row>
        <row r="8631">
          <cell r="K8631" t="str">
            <v>GBWS-5550,5551</v>
          </cell>
          <cell r="L8631">
            <v>45756</v>
          </cell>
          <cell r="M8631" t="str">
            <v>2025-04-14 → 4/11</v>
          </cell>
          <cell r="N8631">
            <v>45764</v>
          </cell>
          <cell r="O8631">
            <v>45747</v>
          </cell>
          <cell r="P8631">
            <v>0.1</v>
          </cell>
          <cell r="Q8631" t="str">
            <v>2025-04-21 → 4/17</v>
          </cell>
          <cell r="R8631" t="str">
            <v>2025-04-22 → 4/18</v>
          </cell>
          <cell r="S8631"/>
          <cell r="T8631"/>
          <cell r="U8631"/>
          <cell r="V8631"/>
          <cell r="W8631"/>
          <cell r="X8631">
            <v>41100550</v>
          </cell>
        </row>
        <row r="8632">
          <cell r="K8632" t="str">
            <v>GBWS-5531,5532</v>
          </cell>
          <cell r="L8632">
            <v>45755</v>
          </cell>
          <cell r="M8632">
            <v>45757</v>
          </cell>
          <cell r="N8632">
            <v>0.9</v>
          </cell>
          <cell r="O8632">
            <v>45747</v>
          </cell>
          <cell r="P8632">
            <v>0.5</v>
          </cell>
          <cell r="Q8632" t="str">
            <v>2025-04-17 → 4/18</v>
          </cell>
          <cell r="R8632" t="str">
            <v>2025-04-18 → 4/21</v>
          </cell>
          <cell r="S8632"/>
          <cell r="T8632"/>
          <cell r="U8632"/>
          <cell r="V8632"/>
          <cell r="W8632"/>
          <cell r="X8632">
            <v>41200138</v>
          </cell>
        </row>
        <row r="8633">
          <cell r="K8633" t="str">
            <v>GBWS-5535,5536</v>
          </cell>
          <cell r="L8633">
            <v>45755</v>
          </cell>
          <cell r="M8633">
            <v>45757</v>
          </cell>
          <cell r="N8633">
            <v>0.8</v>
          </cell>
          <cell r="O8633">
            <v>45747</v>
          </cell>
          <cell r="P8633">
            <v>0.8</v>
          </cell>
          <cell r="Q8633">
            <v>45765</v>
          </cell>
          <cell r="R8633">
            <v>45768</v>
          </cell>
          <cell r="S8633"/>
          <cell r="T8633"/>
          <cell r="U8633"/>
          <cell r="V8633"/>
          <cell r="W8633"/>
          <cell r="X8633">
            <v>41200046</v>
          </cell>
        </row>
        <row r="8634">
          <cell r="K8634" t="str">
            <v>GBWS-5543,5544</v>
          </cell>
          <cell r="L8634">
            <v>45756</v>
          </cell>
          <cell r="M8634">
            <v>45758</v>
          </cell>
          <cell r="N8634">
            <v>0.5</v>
          </cell>
          <cell r="O8634">
            <v>45747</v>
          </cell>
          <cell r="P8634">
            <v>0.5</v>
          </cell>
          <cell r="Q8634">
            <v>45768</v>
          </cell>
          <cell r="R8634">
            <v>45769</v>
          </cell>
          <cell r="S8634"/>
          <cell r="T8634"/>
          <cell r="U8634"/>
          <cell r="V8634"/>
          <cell r="W8634"/>
          <cell r="X8634">
            <v>41100564</v>
          </cell>
        </row>
        <row r="8635">
          <cell r="K8635" t="str">
            <v>WS-0106</v>
          </cell>
          <cell r="L8635">
            <v>45758</v>
          </cell>
          <cell r="M8635">
            <v>45762</v>
          </cell>
          <cell r="N8635">
            <v>0.2</v>
          </cell>
          <cell r="O8635">
            <v>45747</v>
          </cell>
          <cell r="P8635">
            <v>0.1</v>
          </cell>
          <cell r="Q8635" t="str">
            <v>2025-04-22 → 4/23</v>
          </cell>
          <cell r="R8635" t="str">
            <v>2025-04-23 → 4/24</v>
          </cell>
          <cell r="S8635"/>
          <cell r="T8635"/>
          <cell r="U8635"/>
          <cell r="V8635"/>
          <cell r="W8635"/>
          <cell r="X8635">
            <v>41100435</v>
          </cell>
        </row>
        <row r="8636">
          <cell r="K8636" t="str">
            <v>GBWS-5558,5559</v>
          </cell>
          <cell r="L8636">
            <v>45758</v>
          </cell>
          <cell r="M8636">
            <v>45762</v>
          </cell>
          <cell r="N8636">
            <v>0.2</v>
          </cell>
          <cell r="O8636">
            <v>45747</v>
          </cell>
          <cell r="P8636">
            <v>0.1</v>
          </cell>
          <cell r="Q8636">
            <v>45770</v>
          </cell>
          <cell r="R8636">
            <v>45771</v>
          </cell>
          <cell r="S8636"/>
          <cell r="T8636"/>
          <cell r="U8636"/>
          <cell r="V8636"/>
          <cell r="W8636"/>
          <cell r="X8636">
            <v>41200038</v>
          </cell>
        </row>
        <row r="8637">
          <cell r="K8637" t="str">
            <v>GBWS-5560,5561</v>
          </cell>
          <cell r="L8637">
            <v>45761</v>
          </cell>
          <cell r="M8637">
            <v>45763</v>
          </cell>
          <cell r="N8637">
            <v>0.2</v>
          </cell>
          <cell r="O8637">
            <v>45754</v>
          </cell>
          <cell r="P8637">
            <v>0.1</v>
          </cell>
          <cell r="Q8637">
            <v>45771</v>
          </cell>
          <cell r="R8637">
            <v>45772</v>
          </cell>
          <cell r="S8637"/>
          <cell r="T8637"/>
          <cell r="U8637"/>
          <cell r="V8637"/>
          <cell r="W8637"/>
          <cell r="X8637">
            <v>41200080</v>
          </cell>
        </row>
        <row r="8638">
          <cell r="K8638" t="str">
            <v>GBWS-5562</v>
          </cell>
          <cell r="L8638">
            <v>45761</v>
          </cell>
          <cell r="M8638">
            <v>45763</v>
          </cell>
          <cell r="N8638">
            <v>0.2</v>
          </cell>
          <cell r="O8638">
            <v>45754</v>
          </cell>
          <cell r="P8638">
            <v>0.1</v>
          </cell>
          <cell r="Q8638">
            <v>45771</v>
          </cell>
          <cell r="R8638">
            <v>45772</v>
          </cell>
          <cell r="S8638"/>
          <cell r="T8638"/>
          <cell r="U8638"/>
          <cell r="V8638"/>
          <cell r="W8638"/>
          <cell r="X8638">
            <v>41200101</v>
          </cell>
        </row>
        <row r="8639">
          <cell r="K8639" t="str">
            <v>GBWS-5571,5572</v>
          </cell>
          <cell r="L8639">
            <v>45762</v>
          </cell>
          <cell r="M8639">
            <v>45764</v>
          </cell>
          <cell r="N8639">
            <v>0.1</v>
          </cell>
          <cell r="O8639">
            <v>45754</v>
          </cell>
          <cell r="P8639">
            <v>0</v>
          </cell>
          <cell r="Q8639">
            <v>45771</v>
          </cell>
          <cell r="R8639">
            <v>45772</v>
          </cell>
          <cell r="S8639"/>
          <cell r="T8639"/>
          <cell r="U8639"/>
          <cell r="V8639"/>
          <cell r="W8639"/>
          <cell r="X8639">
            <v>41100264</v>
          </cell>
        </row>
        <row r="8640">
          <cell r="K8640" t="str">
            <v>GBWS-5573</v>
          </cell>
          <cell r="L8640">
            <v>45762</v>
          </cell>
          <cell r="M8640">
            <v>45764</v>
          </cell>
          <cell r="N8640">
            <v>0.1</v>
          </cell>
          <cell r="O8640">
            <v>45754</v>
          </cell>
          <cell r="P8640">
            <v>0</v>
          </cell>
          <cell r="Q8640">
            <v>45772</v>
          </cell>
          <cell r="R8640">
            <v>45775</v>
          </cell>
          <cell r="S8640"/>
          <cell r="T8640"/>
          <cell r="U8640"/>
          <cell r="V8640"/>
          <cell r="W8640"/>
          <cell r="X8640">
            <v>41200076</v>
          </cell>
        </row>
        <row r="8641">
          <cell r="K8641" t="str">
            <v>제품S/N</v>
          </cell>
          <cell r="L8641" t="str">
            <v>공정진행현황</v>
          </cell>
          <cell r="M8641"/>
          <cell r="N8641"/>
          <cell r="O8641"/>
          <cell r="P8641"/>
          <cell r="Q8641"/>
          <cell r="R8641"/>
          <cell r="S8641"/>
          <cell r="T8641"/>
          <cell r="U8641"/>
          <cell r="V8641"/>
          <cell r="W8641"/>
          <cell r="X8641" t="str">
            <v>제품 번호</v>
          </cell>
        </row>
        <row r="8642">
          <cell r="K8642"/>
          <cell r="L8642" t="str">
            <v>CABINET입고</v>
          </cell>
          <cell r="M8642" t="str">
            <v>기구 작업 SAP 실적</v>
          </cell>
          <cell r="N8642"/>
          <cell r="O8642" t="str">
            <v>전장 작업 SAP 실적</v>
          </cell>
          <cell r="P8642"/>
          <cell r="Q8642" t="str">
            <v>기구 완료 계획</v>
          </cell>
          <cell r="R8642" t="str">
            <v>전장 완료 계획</v>
          </cell>
          <cell r="S8642" t="str">
            <v>가압 &amp; 가동 &amp; 공정 검사</v>
          </cell>
          <cell r="T8642"/>
          <cell r="U8642"/>
          <cell r="V8642" t="str">
            <v>마무리</v>
          </cell>
          <cell r="W8642"/>
          <cell r="X8642"/>
        </row>
        <row r="8643">
          <cell r="K8643"/>
          <cell r="L8643"/>
          <cell r="M8643"/>
          <cell r="N8643"/>
          <cell r="O8643"/>
          <cell r="P8643"/>
          <cell r="Q8643"/>
          <cell r="R8643"/>
          <cell r="S8643"/>
          <cell r="T8643"/>
          <cell r="U8643"/>
          <cell r="V8643"/>
          <cell r="W8643"/>
          <cell r="X8643"/>
        </row>
        <row r="8644">
          <cell r="K8644"/>
          <cell r="L8644"/>
          <cell r="M8644" t="str">
            <v>시작일자</v>
          </cell>
          <cell r="N8644" t="str">
            <v>종료일자</v>
          </cell>
          <cell r="O8644" t="str">
            <v>시작일자</v>
          </cell>
          <cell r="P8644" t="str">
            <v>종료일자</v>
          </cell>
          <cell r="Q8644"/>
          <cell r="R8644"/>
          <cell r="S8644" t="str">
            <v>시작일자</v>
          </cell>
          <cell r="T8644" t="str">
            <v>시작일자</v>
          </cell>
          <cell r="U8644" t="str">
            <v>종료일자</v>
          </cell>
          <cell r="V8644" t="str">
            <v>시작일자</v>
          </cell>
          <cell r="W8644" t="str">
            <v>종료일자</v>
          </cell>
          <cell r="X8644"/>
        </row>
        <row r="8645">
          <cell r="K8645" t="str">
            <v>GBWS-5576,5577</v>
          </cell>
          <cell r="L8645"/>
          <cell r="M8645">
            <v>45765</v>
          </cell>
          <cell r="N8645"/>
          <cell r="O8645">
            <v>45754</v>
          </cell>
          <cell r="P8645"/>
          <cell r="Q8645">
            <v>45772</v>
          </cell>
          <cell r="R8645">
            <v>45775</v>
          </cell>
          <cell r="S8645"/>
          <cell r="T8645"/>
          <cell r="U8645"/>
          <cell r="V8645"/>
          <cell r="W8645"/>
          <cell r="X8645">
            <v>41100338</v>
          </cell>
        </row>
        <row r="8646">
          <cell r="K8646" t="str">
            <v>GBWS-5578</v>
          </cell>
          <cell r="L8646"/>
          <cell r="M8646">
            <v>45765</v>
          </cell>
          <cell r="N8646"/>
          <cell r="O8646">
            <v>45754</v>
          </cell>
          <cell r="P8646"/>
          <cell r="Q8646">
            <v>45775</v>
          </cell>
          <cell r="R8646">
            <v>45776</v>
          </cell>
          <cell r="S8646"/>
          <cell r="T8646"/>
          <cell r="U8646"/>
          <cell r="V8646"/>
          <cell r="W8646"/>
          <cell r="X8646">
            <v>41200036</v>
          </cell>
        </row>
        <row r="8647">
          <cell r="K8647" t="str">
            <v>GBWS-5579~5581</v>
          </cell>
          <cell r="L8647"/>
          <cell r="M8647">
            <v>45765</v>
          </cell>
          <cell r="N8647"/>
          <cell r="O8647">
            <v>45754</v>
          </cell>
          <cell r="P8647"/>
          <cell r="Q8647">
            <v>45775</v>
          </cell>
          <cell r="R8647">
            <v>45776</v>
          </cell>
          <cell r="S8647"/>
          <cell r="T8647"/>
          <cell r="U8647"/>
          <cell r="V8647"/>
          <cell r="W8647"/>
          <cell r="X8647">
            <v>41200034</v>
          </cell>
        </row>
        <row r="8648">
          <cell r="K8648" t="str">
            <v>DBW-3638</v>
          </cell>
          <cell r="L8648"/>
          <cell r="M8648">
            <v>45765</v>
          </cell>
          <cell r="N8648"/>
          <cell r="O8648">
            <v>45754</v>
          </cell>
          <cell r="P8648"/>
          <cell r="Q8648">
            <v>45772</v>
          </cell>
          <cell r="R8648">
            <v>45775</v>
          </cell>
          <cell r="S8648"/>
          <cell r="T8648"/>
          <cell r="U8648"/>
          <cell r="V8648"/>
          <cell r="W8648"/>
          <cell r="X8648">
            <v>41000588</v>
          </cell>
        </row>
        <row r="8649">
          <cell r="K8649" t="str">
            <v>GBWS-5582</v>
          </cell>
          <cell r="L8649"/>
          <cell r="M8649">
            <v>45765</v>
          </cell>
          <cell r="N8649"/>
          <cell r="O8649">
            <v>45754</v>
          </cell>
          <cell r="P8649"/>
          <cell r="Q8649">
            <v>45775</v>
          </cell>
          <cell r="R8649">
            <v>45776</v>
          </cell>
          <cell r="S8649"/>
          <cell r="T8649"/>
          <cell r="U8649"/>
          <cell r="V8649"/>
          <cell r="W8649"/>
          <cell r="X8649">
            <v>41200087</v>
          </cell>
        </row>
        <row r="8650">
          <cell r="K8650" t="str">
            <v>GPWS-0481</v>
          </cell>
          <cell r="L8650">
            <v>45709</v>
          </cell>
          <cell r="M8650">
            <v>45712</v>
          </cell>
          <cell r="N8650">
            <v>45720</v>
          </cell>
          <cell r="O8650">
            <v>45712</v>
          </cell>
          <cell r="P8650">
            <v>45721</v>
          </cell>
          <cell r="Q8650">
            <v>45720</v>
          </cell>
          <cell r="R8650">
            <v>45721</v>
          </cell>
          <cell r="S8650">
            <v>45726</v>
          </cell>
          <cell r="T8650">
            <v>45727</v>
          </cell>
          <cell r="U8650">
            <v>45730</v>
          </cell>
          <cell r="V8650">
            <v>45733</v>
          </cell>
          <cell r="W8650">
            <v>45733</v>
          </cell>
          <cell r="X8650" t="str">
            <v>41200096 → 41200145</v>
          </cell>
        </row>
        <row r="8651">
          <cell r="K8651"/>
          <cell r="L8651"/>
          <cell r="M8651">
            <v>45765</v>
          </cell>
          <cell r="N8651"/>
          <cell r="O8651">
            <v>45765</v>
          </cell>
          <cell r="P8651"/>
          <cell r="Q8651">
            <v>45770</v>
          </cell>
          <cell r="R8651">
            <v>45771</v>
          </cell>
          <cell r="S8651"/>
          <cell r="T8651"/>
          <cell r="U8651"/>
          <cell r="V8651"/>
          <cell r="W8651"/>
          <cell r="X8651"/>
        </row>
        <row r="8652">
          <cell r="K8652" t="str">
            <v>GPWS-0482</v>
          </cell>
          <cell r="L8652">
            <v>45709</v>
          </cell>
          <cell r="M8652">
            <v>45712</v>
          </cell>
          <cell r="N8652">
            <v>45720</v>
          </cell>
          <cell r="O8652">
            <v>45712</v>
          </cell>
          <cell r="P8652">
            <v>45721</v>
          </cell>
          <cell r="Q8652">
            <v>45720</v>
          </cell>
          <cell r="R8652">
            <v>45721</v>
          </cell>
          <cell r="S8652">
            <v>45726</v>
          </cell>
          <cell r="T8652">
            <v>45727</v>
          </cell>
          <cell r="U8652">
            <v>45728</v>
          </cell>
          <cell r="V8652">
            <v>45729</v>
          </cell>
          <cell r="W8652">
            <v>45729</v>
          </cell>
          <cell r="X8652" t="str">
            <v>41200096 → 41200145</v>
          </cell>
        </row>
        <row r="8653">
          <cell r="K8653"/>
          <cell r="L8653"/>
          <cell r="M8653">
            <v>45765</v>
          </cell>
          <cell r="N8653"/>
          <cell r="O8653">
            <v>45765</v>
          </cell>
          <cell r="P8653"/>
          <cell r="Q8653">
            <v>45770</v>
          </cell>
          <cell r="R8653">
            <v>45771</v>
          </cell>
          <cell r="S8653"/>
          <cell r="T8653"/>
          <cell r="U8653"/>
          <cell r="V8653"/>
          <cell r="W8653"/>
          <cell r="X8653"/>
        </row>
        <row r="8654">
          <cell r="K8654" t="str">
            <v>DBW-3639</v>
          </cell>
          <cell r="L8654"/>
          <cell r="M8654">
            <v>45768</v>
          </cell>
          <cell r="N8654"/>
          <cell r="O8654">
            <v>45768</v>
          </cell>
          <cell r="P8654"/>
          <cell r="Q8654">
            <v>45775</v>
          </cell>
          <cell r="R8654">
            <v>45776</v>
          </cell>
          <cell r="S8654"/>
          <cell r="T8654"/>
          <cell r="U8654"/>
          <cell r="V8654"/>
          <cell r="W8654"/>
          <cell r="X8654">
            <v>41000588</v>
          </cell>
        </row>
        <row r="8655">
          <cell r="K8655" t="str">
            <v>GBWS-5583,5584</v>
          </cell>
          <cell r="L8655"/>
          <cell r="M8655">
            <v>45770</v>
          </cell>
          <cell r="N8655"/>
          <cell r="O8655">
            <v>45761</v>
          </cell>
          <cell r="P8655"/>
          <cell r="Q8655">
            <v>45784</v>
          </cell>
          <cell r="R8655">
            <v>45785</v>
          </cell>
          <cell r="S8655"/>
          <cell r="T8655"/>
          <cell r="U8655"/>
          <cell r="V8655"/>
          <cell r="W8655"/>
          <cell r="X8655">
            <v>41200006</v>
          </cell>
        </row>
        <row r="8656">
          <cell r="K8656" t="str">
            <v>DBW-3640,3641</v>
          </cell>
          <cell r="L8656"/>
          <cell r="M8656">
            <v>45770</v>
          </cell>
          <cell r="N8656"/>
          <cell r="O8656">
            <v>45761</v>
          </cell>
          <cell r="P8656"/>
          <cell r="Q8656">
            <v>45777</v>
          </cell>
          <cell r="R8656">
            <v>45779</v>
          </cell>
          <cell r="S8656"/>
          <cell r="T8656"/>
          <cell r="U8656"/>
          <cell r="V8656"/>
          <cell r="W8656"/>
          <cell r="X8656">
            <v>41100695</v>
          </cell>
        </row>
        <row r="8657">
          <cell r="K8657" t="str">
            <v>-</v>
          </cell>
          <cell r="L8657"/>
          <cell r="M8657">
            <v>45770</v>
          </cell>
          <cell r="N8657"/>
          <cell r="O8657">
            <v>45770</v>
          </cell>
          <cell r="P8657"/>
          <cell r="Q8657">
            <v>45776</v>
          </cell>
          <cell r="R8657">
            <v>45777</v>
          </cell>
          <cell r="S8657"/>
          <cell r="T8657"/>
          <cell r="U8657"/>
          <cell r="V8657"/>
          <cell r="W8657"/>
          <cell r="X8657">
            <v>31200526</v>
          </cell>
        </row>
        <row r="8658">
          <cell r="K8658" t="str">
            <v>WS-0107</v>
          </cell>
          <cell r="L8658"/>
          <cell r="M8658">
            <v>45770</v>
          </cell>
          <cell r="N8658"/>
          <cell r="O8658">
            <v>45770</v>
          </cell>
          <cell r="P8658"/>
          <cell r="Q8658">
            <v>45777</v>
          </cell>
          <cell r="R8658">
            <v>45779</v>
          </cell>
          <cell r="S8658"/>
          <cell r="T8658"/>
          <cell r="U8658"/>
          <cell r="V8658"/>
          <cell r="W8658"/>
          <cell r="X8658">
            <v>41100435</v>
          </cell>
        </row>
        <row r="8659">
          <cell r="K8659" t="str">
            <v>GBWS-5585</v>
          </cell>
          <cell r="L8659"/>
          <cell r="M8659">
            <v>45770</v>
          </cell>
          <cell r="N8659"/>
          <cell r="O8659">
            <v>45761</v>
          </cell>
          <cell r="P8659"/>
          <cell r="Q8659">
            <v>45779</v>
          </cell>
          <cell r="R8659">
            <v>45784</v>
          </cell>
          <cell r="S8659"/>
          <cell r="T8659"/>
          <cell r="U8659"/>
          <cell r="V8659"/>
          <cell r="W8659"/>
          <cell r="X8659">
            <v>41200076</v>
          </cell>
        </row>
        <row r="8660">
          <cell r="K8660" t="str">
            <v>GBWS-5586</v>
          </cell>
          <cell r="L8660"/>
          <cell r="M8660">
            <v>45770</v>
          </cell>
          <cell r="N8660"/>
          <cell r="O8660">
            <v>45761</v>
          </cell>
          <cell r="P8660"/>
          <cell r="Q8660">
            <v>45777</v>
          </cell>
          <cell r="R8660">
            <v>45779</v>
          </cell>
          <cell r="S8660"/>
          <cell r="T8660"/>
          <cell r="U8660"/>
          <cell r="V8660"/>
          <cell r="W8660"/>
          <cell r="X8660">
            <v>41200122</v>
          </cell>
        </row>
        <row r="8661">
          <cell r="K8661" t="str">
            <v>DBW-3642~3644</v>
          </cell>
          <cell r="L8661"/>
          <cell r="M8661">
            <v>45771</v>
          </cell>
          <cell r="N8661"/>
          <cell r="O8661">
            <v>45761</v>
          </cell>
          <cell r="P8661"/>
          <cell r="Q8661">
            <v>45784</v>
          </cell>
          <cell r="R8661">
            <v>45785</v>
          </cell>
          <cell r="S8661"/>
          <cell r="T8661"/>
          <cell r="U8661"/>
          <cell r="V8661"/>
          <cell r="W8661"/>
          <cell r="X8661">
            <v>41100696</v>
          </cell>
        </row>
        <row r="8662">
          <cell r="K8662" t="str">
            <v>GPWS-0483</v>
          </cell>
          <cell r="L8662">
            <v>45709</v>
          </cell>
          <cell r="M8662">
            <v>45712</v>
          </cell>
          <cell r="N8662">
            <v>45720</v>
          </cell>
          <cell r="O8662">
            <v>45712</v>
          </cell>
          <cell r="P8662">
            <v>45721</v>
          </cell>
          <cell r="Q8662">
            <v>45720</v>
          </cell>
          <cell r="R8662">
            <v>45721</v>
          </cell>
          <cell r="S8662">
            <v>45726</v>
          </cell>
          <cell r="T8662">
            <v>45727</v>
          </cell>
          <cell r="U8662">
            <v>45728</v>
          </cell>
          <cell r="V8662">
            <v>45729</v>
          </cell>
          <cell r="W8662">
            <v>45729</v>
          </cell>
          <cell r="X8662" t="str">
            <v>41200096 → 41200146</v>
          </cell>
        </row>
        <row r="8663">
          <cell r="K8663"/>
          <cell r="L8663"/>
          <cell r="M8663">
            <v>45771</v>
          </cell>
          <cell r="N8663"/>
          <cell r="O8663">
            <v>45771</v>
          </cell>
          <cell r="P8663"/>
          <cell r="Q8663">
            <v>45777</v>
          </cell>
          <cell r="R8663">
            <v>45779</v>
          </cell>
          <cell r="S8663"/>
          <cell r="T8663"/>
          <cell r="U8663"/>
          <cell r="V8663"/>
          <cell r="W8663"/>
          <cell r="X8663"/>
        </row>
        <row r="8664">
          <cell r="K8664" t="str">
            <v>GPWS-0484</v>
          </cell>
          <cell r="L8664">
            <v>45709</v>
          </cell>
          <cell r="M8664">
            <v>45712</v>
          </cell>
          <cell r="N8664">
            <v>45720</v>
          </cell>
          <cell r="O8664">
            <v>45712</v>
          </cell>
          <cell r="P8664">
            <v>45721</v>
          </cell>
          <cell r="Q8664">
            <v>45720</v>
          </cell>
          <cell r="R8664">
            <v>45721</v>
          </cell>
          <cell r="S8664">
            <v>45726</v>
          </cell>
          <cell r="T8664">
            <v>45727</v>
          </cell>
          <cell r="U8664">
            <v>45728</v>
          </cell>
          <cell r="V8664">
            <v>45729</v>
          </cell>
          <cell r="W8664">
            <v>45729</v>
          </cell>
          <cell r="X8664" t="str">
            <v>41200096 → 41200146</v>
          </cell>
        </row>
        <row r="8665">
          <cell r="K8665"/>
          <cell r="L8665"/>
          <cell r="M8665">
            <v>45771</v>
          </cell>
          <cell r="N8665"/>
          <cell r="O8665">
            <v>45771</v>
          </cell>
          <cell r="P8665"/>
          <cell r="Q8665">
            <v>45777</v>
          </cell>
          <cell r="R8665">
            <v>45779</v>
          </cell>
          <cell r="S8665"/>
          <cell r="T8665"/>
          <cell r="U8665"/>
          <cell r="V8665"/>
          <cell r="W8665"/>
          <cell r="X8665"/>
        </row>
        <row r="8666">
          <cell r="K8666" t="str">
            <v>GPWS-0495</v>
          </cell>
          <cell r="L8666">
            <v>45712</v>
          </cell>
          <cell r="M8666">
            <v>45714</v>
          </cell>
          <cell r="N8666">
            <v>45722</v>
          </cell>
          <cell r="O8666">
            <v>45714</v>
          </cell>
          <cell r="P8666">
            <v>45723</v>
          </cell>
          <cell r="Q8666">
            <v>45722</v>
          </cell>
          <cell r="R8666">
            <v>45723</v>
          </cell>
          <cell r="S8666">
            <v>45728</v>
          </cell>
          <cell r="T8666">
            <v>45729</v>
          </cell>
          <cell r="U8666">
            <v>45730</v>
          </cell>
          <cell r="V8666">
            <v>45733</v>
          </cell>
          <cell r="W8666">
            <v>45733</v>
          </cell>
          <cell r="X8666" t="str">
            <v>41200096 → 41200146</v>
          </cell>
        </row>
        <row r="8667">
          <cell r="K8667"/>
          <cell r="L8667"/>
          <cell r="M8667">
            <v>45771</v>
          </cell>
          <cell r="N8667"/>
          <cell r="O8667">
            <v>45771</v>
          </cell>
          <cell r="P8667"/>
          <cell r="Q8667">
            <v>45777</v>
          </cell>
          <cell r="R8667">
            <v>45779</v>
          </cell>
          <cell r="S8667"/>
          <cell r="T8667"/>
          <cell r="U8667"/>
          <cell r="V8667"/>
          <cell r="W8667"/>
          <cell r="X8667"/>
        </row>
        <row r="8668">
          <cell r="K8668" t="str">
            <v>GBWS-5587</v>
          </cell>
          <cell r="L8668"/>
          <cell r="M8668">
            <v>45772</v>
          </cell>
          <cell r="N8668"/>
          <cell r="O8668">
            <v>45761</v>
          </cell>
          <cell r="P8668"/>
          <cell r="Q8668">
            <v>45786</v>
          </cell>
          <cell r="R8668">
            <v>45789</v>
          </cell>
          <cell r="S8668"/>
          <cell r="T8668"/>
          <cell r="U8668"/>
          <cell r="V8668"/>
          <cell r="W8668"/>
          <cell r="X8668">
            <v>41100374</v>
          </cell>
        </row>
        <row r="8669">
          <cell r="K8669" t="str">
            <v>DBW-3645,3646</v>
          </cell>
          <cell r="L8669"/>
          <cell r="M8669">
            <v>45772</v>
          </cell>
          <cell r="N8669"/>
          <cell r="O8669">
            <v>45761</v>
          </cell>
          <cell r="P8669"/>
          <cell r="Q8669">
            <v>45785</v>
          </cell>
          <cell r="R8669">
            <v>45786</v>
          </cell>
          <cell r="S8669"/>
          <cell r="T8669"/>
          <cell r="U8669"/>
          <cell r="V8669"/>
          <cell r="W8669"/>
          <cell r="X8669">
            <v>41000588</v>
          </cell>
        </row>
        <row r="8670">
          <cell r="K8670" t="str">
            <v>DBW-3647,3648</v>
          </cell>
          <cell r="L8670"/>
          <cell r="M8670">
            <v>45772</v>
          </cell>
          <cell r="N8670"/>
          <cell r="O8670">
            <v>45761</v>
          </cell>
          <cell r="P8670"/>
          <cell r="Q8670">
            <v>45789</v>
          </cell>
          <cell r="R8670">
            <v>45790</v>
          </cell>
          <cell r="S8670"/>
          <cell r="T8670"/>
          <cell r="U8670"/>
          <cell r="V8670"/>
          <cell r="W8670"/>
          <cell r="X8670">
            <v>41000588</v>
          </cell>
        </row>
        <row r="8671">
          <cell r="K8671" t="str">
            <v>DBW-3649</v>
          </cell>
          <cell r="L8671"/>
          <cell r="M8671">
            <v>45772</v>
          </cell>
          <cell r="N8671"/>
          <cell r="O8671">
            <v>45761</v>
          </cell>
          <cell r="P8671"/>
          <cell r="Q8671">
            <v>45785</v>
          </cell>
          <cell r="R8671">
            <v>45786</v>
          </cell>
          <cell r="S8671"/>
          <cell r="T8671"/>
          <cell r="U8671"/>
          <cell r="V8671"/>
          <cell r="W8671"/>
          <cell r="X8671">
            <v>41000584</v>
          </cell>
        </row>
        <row r="8672">
          <cell r="K8672" t="str">
            <v>DBW-3650</v>
          </cell>
          <cell r="L8672"/>
          <cell r="M8672">
            <v>45772</v>
          </cell>
          <cell r="N8672"/>
          <cell r="O8672">
            <v>45761</v>
          </cell>
          <cell r="P8672"/>
          <cell r="Q8672">
            <v>45786</v>
          </cell>
          <cell r="R8672">
            <v>45789</v>
          </cell>
          <cell r="S8672"/>
          <cell r="T8672"/>
          <cell r="U8672"/>
          <cell r="V8672"/>
          <cell r="W8672"/>
          <cell r="X8672">
            <v>41000584</v>
          </cell>
        </row>
        <row r="8673">
          <cell r="K8673" t="str">
            <v>GBWS-5602</v>
          </cell>
          <cell r="L8673"/>
          <cell r="M8673">
            <v>45772</v>
          </cell>
          <cell r="N8673"/>
          <cell r="O8673">
            <v>45761</v>
          </cell>
          <cell r="P8673"/>
          <cell r="Q8673">
            <v>45784</v>
          </cell>
          <cell r="R8673">
            <v>45785</v>
          </cell>
          <cell r="S8673"/>
          <cell r="T8673"/>
          <cell r="U8673"/>
          <cell r="V8673"/>
          <cell r="W8673"/>
          <cell r="X8673">
            <v>41200075</v>
          </cell>
        </row>
        <row r="8674">
          <cell r="K8674" t="str">
            <v>GBWS-5588</v>
          </cell>
          <cell r="L8674"/>
          <cell r="M8674">
            <v>45775</v>
          </cell>
          <cell r="N8674"/>
          <cell r="O8674">
            <v>45761</v>
          </cell>
          <cell r="P8674"/>
          <cell r="Q8674">
            <v>45789</v>
          </cell>
          <cell r="R8674">
            <v>45790</v>
          </cell>
          <cell r="S8674"/>
          <cell r="T8674"/>
          <cell r="U8674"/>
          <cell r="V8674"/>
          <cell r="W8674"/>
          <cell r="X8674">
            <v>41200076</v>
          </cell>
        </row>
        <row r="8675">
          <cell r="K8675" t="str">
            <v>GBWS-5589</v>
          </cell>
          <cell r="L8675"/>
          <cell r="M8675">
            <v>45775</v>
          </cell>
          <cell r="N8675"/>
          <cell r="O8675">
            <v>45761</v>
          </cell>
          <cell r="P8675"/>
          <cell r="Q8675">
            <v>45786</v>
          </cell>
          <cell r="R8675">
            <v>45789</v>
          </cell>
          <cell r="S8675"/>
          <cell r="T8675"/>
          <cell r="U8675"/>
          <cell r="V8675"/>
          <cell r="W8675"/>
          <cell r="X8675">
            <v>41200036</v>
          </cell>
        </row>
        <row r="8676">
          <cell r="K8676" t="str">
            <v>DBW-3651,3652</v>
          </cell>
          <cell r="L8676"/>
          <cell r="M8676">
            <v>45775</v>
          </cell>
          <cell r="N8676"/>
          <cell r="O8676">
            <v>45761</v>
          </cell>
          <cell r="P8676"/>
          <cell r="Q8676">
            <v>45785</v>
          </cell>
          <cell r="R8676">
            <v>45786</v>
          </cell>
          <cell r="S8676"/>
          <cell r="T8676"/>
          <cell r="U8676"/>
          <cell r="V8676"/>
          <cell r="W8676"/>
          <cell r="X8676">
            <v>41000514</v>
          </cell>
        </row>
        <row r="8677">
          <cell r="K8677" t="str">
            <v>GPWS-0559</v>
          </cell>
          <cell r="L8677"/>
          <cell r="M8677">
            <v>45775</v>
          </cell>
          <cell r="N8677"/>
          <cell r="O8677">
            <v>45761</v>
          </cell>
          <cell r="P8677"/>
          <cell r="Q8677">
            <v>45785</v>
          </cell>
          <cell r="R8677">
            <v>45786</v>
          </cell>
          <cell r="S8677"/>
          <cell r="T8677"/>
          <cell r="U8677"/>
          <cell r="V8677"/>
          <cell r="W8677"/>
          <cell r="X8677">
            <v>41200155</v>
          </cell>
        </row>
        <row r="8678">
          <cell r="K8678" t="str">
            <v>GPWS-0560,0561</v>
          </cell>
          <cell r="L8678"/>
          <cell r="M8678">
            <v>45775</v>
          </cell>
          <cell r="N8678"/>
          <cell r="O8678">
            <v>45761</v>
          </cell>
          <cell r="P8678"/>
          <cell r="Q8678">
            <v>45786</v>
          </cell>
          <cell r="R8678">
            <v>45789</v>
          </cell>
          <cell r="S8678"/>
          <cell r="T8678"/>
          <cell r="U8678"/>
          <cell r="V8678"/>
          <cell r="W8678"/>
          <cell r="X8678">
            <v>41000598</v>
          </cell>
        </row>
        <row r="8679">
          <cell r="K8679" t="str">
            <v>GBWS-5591,5592</v>
          </cell>
          <cell r="L8679"/>
          <cell r="M8679">
            <v>45776</v>
          </cell>
          <cell r="N8679"/>
          <cell r="O8679">
            <v>45761</v>
          </cell>
          <cell r="P8679"/>
          <cell r="Q8679">
            <v>45789</v>
          </cell>
          <cell r="R8679">
            <v>45790</v>
          </cell>
          <cell r="S8679"/>
          <cell r="T8679"/>
          <cell r="U8679"/>
          <cell r="V8679"/>
          <cell r="W8679"/>
          <cell r="X8679">
            <v>41200147</v>
          </cell>
        </row>
        <row r="8680">
          <cell r="K8680" t="str">
            <v>GBWS-5593~5595</v>
          </cell>
          <cell r="L8680"/>
          <cell r="M8680">
            <v>45776</v>
          </cell>
          <cell r="N8680"/>
          <cell r="O8680">
            <v>45776</v>
          </cell>
          <cell r="P8680"/>
          <cell r="Q8680">
            <v>45789</v>
          </cell>
          <cell r="R8680">
            <v>45790</v>
          </cell>
          <cell r="S8680"/>
          <cell r="T8680"/>
          <cell r="U8680"/>
          <cell r="V8680"/>
          <cell r="W8680"/>
          <cell r="X8680">
            <v>41200034</v>
          </cell>
        </row>
        <row r="8681">
          <cell r="K8681" t="str">
            <v>GBWS-5603</v>
          </cell>
          <cell r="L8681"/>
          <cell r="M8681">
            <v>45776</v>
          </cell>
          <cell r="N8681"/>
          <cell r="O8681">
            <v>45763</v>
          </cell>
          <cell r="P8681"/>
          <cell r="Q8681">
            <v>45789</v>
          </cell>
          <cell r="R8681">
            <v>45790</v>
          </cell>
          <cell r="S8681"/>
          <cell r="T8681"/>
          <cell r="U8681"/>
          <cell r="V8681"/>
          <cell r="W8681"/>
          <cell r="X8681">
            <v>41200087</v>
          </cell>
        </row>
        <row r="8682">
          <cell r="K8682" t="str">
            <v>SOS-0349</v>
          </cell>
          <cell r="L8682"/>
          <cell r="M8682">
            <v>45777</v>
          </cell>
          <cell r="N8682"/>
          <cell r="O8682">
            <v>45768</v>
          </cell>
          <cell r="P8682"/>
          <cell r="Q8682">
            <v>45784</v>
          </cell>
          <cell r="R8682">
            <v>45785</v>
          </cell>
          <cell r="S8682"/>
          <cell r="T8682"/>
          <cell r="U8682"/>
          <cell r="V8682"/>
          <cell r="W8682"/>
          <cell r="X8682">
            <v>41000558</v>
          </cell>
        </row>
        <row r="8683">
          <cell r="K8683" t="str">
            <v>-</v>
          </cell>
          <cell r="L8683"/>
          <cell r="M8683">
            <v>45777</v>
          </cell>
          <cell r="N8683"/>
          <cell r="O8683">
            <v>45768</v>
          </cell>
          <cell r="P8683"/>
          <cell r="Q8683">
            <v>45784</v>
          </cell>
          <cell r="R8683">
            <v>45785</v>
          </cell>
          <cell r="S8683"/>
          <cell r="T8683"/>
          <cell r="U8683"/>
          <cell r="V8683"/>
          <cell r="W8683"/>
          <cell r="X8683">
            <v>31010312</v>
          </cell>
        </row>
        <row r="8684">
          <cell r="K8684" t="str">
            <v>SOS-0350</v>
          </cell>
          <cell r="L8684"/>
          <cell r="M8684">
            <v>45777</v>
          </cell>
          <cell r="N8684"/>
          <cell r="O8684">
            <v>45768</v>
          </cell>
          <cell r="P8684"/>
          <cell r="Q8684">
            <v>45784</v>
          </cell>
          <cell r="R8684">
            <v>45785</v>
          </cell>
          <cell r="S8684"/>
          <cell r="T8684"/>
          <cell r="U8684"/>
          <cell r="V8684"/>
          <cell r="W8684"/>
          <cell r="X8684">
            <v>41000558</v>
          </cell>
        </row>
        <row r="8685">
          <cell r="K8685" t="str">
            <v>-</v>
          </cell>
          <cell r="L8685"/>
          <cell r="M8685">
            <v>45777</v>
          </cell>
          <cell r="N8685"/>
          <cell r="O8685">
            <v>45768</v>
          </cell>
          <cell r="P8685"/>
          <cell r="Q8685">
            <v>45784</v>
          </cell>
          <cell r="R8685">
            <v>45785</v>
          </cell>
          <cell r="S8685"/>
          <cell r="T8685"/>
          <cell r="U8685"/>
          <cell r="V8685"/>
          <cell r="W8685"/>
          <cell r="X8685">
            <v>31010312</v>
          </cell>
        </row>
        <row r="8686">
          <cell r="K8686" t="str">
            <v>DBW-3653</v>
          </cell>
          <cell r="L8686"/>
          <cell r="M8686">
            <v>45775</v>
          </cell>
          <cell r="N8686"/>
          <cell r="O8686">
            <v>45761</v>
          </cell>
          <cell r="P8686"/>
          <cell r="Q8686">
            <v>45786</v>
          </cell>
          <cell r="R8686">
            <v>45789</v>
          </cell>
          <cell r="S8686"/>
          <cell r="T8686"/>
          <cell r="U8686"/>
          <cell r="V8686"/>
          <cell r="W8686"/>
          <cell r="X8686">
            <v>41000584</v>
          </cell>
        </row>
        <row r="8687">
          <cell r="K8687" t="str">
            <v>GBWS-5596,5597</v>
          </cell>
          <cell r="L8687"/>
          <cell r="M8687">
            <v>45777</v>
          </cell>
          <cell r="N8687"/>
          <cell r="O8687">
            <v>45768</v>
          </cell>
          <cell r="P8687"/>
          <cell r="Q8687">
            <v>45791</v>
          </cell>
          <cell r="R8687">
            <v>45792</v>
          </cell>
          <cell r="S8687"/>
          <cell r="T8687"/>
          <cell r="U8687"/>
          <cell r="V8687"/>
          <cell r="W8687"/>
          <cell r="X8687">
            <v>41200036</v>
          </cell>
        </row>
        <row r="8688">
          <cell r="K8688" t="str">
            <v>GBWS-5598~5601</v>
          </cell>
          <cell r="L8688"/>
          <cell r="M8688">
            <v>45777</v>
          </cell>
          <cell r="N8688"/>
          <cell r="O8688">
            <v>45768</v>
          </cell>
          <cell r="P8688"/>
          <cell r="Q8688">
            <v>45792</v>
          </cell>
          <cell r="R8688">
            <v>45793</v>
          </cell>
          <cell r="S8688"/>
          <cell r="T8688"/>
          <cell r="U8688"/>
          <cell r="V8688"/>
          <cell r="W8688"/>
          <cell r="X8688">
            <v>41200046</v>
          </cell>
        </row>
        <row r="8689">
          <cell r="K8689" t="str">
            <v>GPWS-0562</v>
          </cell>
          <cell r="L8689"/>
          <cell r="M8689">
            <v>45777</v>
          </cell>
          <cell r="N8689"/>
          <cell r="O8689">
            <v>45768</v>
          </cell>
          <cell r="P8689"/>
          <cell r="Q8689">
            <v>45790</v>
          </cell>
          <cell r="R8689">
            <v>45791</v>
          </cell>
          <cell r="S8689"/>
          <cell r="T8689"/>
          <cell r="U8689"/>
          <cell r="V8689"/>
          <cell r="W8689"/>
          <cell r="X8689">
            <v>41200061</v>
          </cell>
        </row>
        <row r="8690">
          <cell r="K8690" t="str">
            <v>GBWS-5590</v>
          </cell>
          <cell r="L8690"/>
          <cell r="M8690" t="str">
            <v>2025-04-30 → 5/2</v>
          </cell>
          <cell r="N8690"/>
          <cell r="O8690" t="str">
            <v>2025-04-14 → 4/21</v>
          </cell>
          <cell r="P8690"/>
          <cell r="Q8690" t="str">
            <v>2025-05-12 → 5/16</v>
          </cell>
          <cell r="R8690" t="str">
            <v>2025-05-13 → 5/19</v>
          </cell>
          <cell r="S8690"/>
          <cell r="T8690"/>
          <cell r="U8690"/>
          <cell r="V8690"/>
          <cell r="W8690"/>
          <cell r="X8690">
            <v>41200055</v>
          </cell>
        </row>
        <row r="8691">
          <cell r="K8691" t="str">
            <v>GBWS-5604</v>
          </cell>
          <cell r="L8691"/>
          <cell r="M8691">
            <v>45784</v>
          </cell>
          <cell r="N8691"/>
          <cell r="O8691">
            <v>45768</v>
          </cell>
          <cell r="P8691"/>
          <cell r="Q8691">
            <v>45792</v>
          </cell>
          <cell r="R8691">
            <v>45793</v>
          </cell>
          <cell r="S8691"/>
          <cell r="T8691"/>
          <cell r="U8691"/>
          <cell r="V8691"/>
          <cell r="W8691"/>
          <cell r="X8691">
            <v>41200038</v>
          </cell>
        </row>
        <row r="8692">
          <cell r="K8692" t="str">
            <v>GBWS-5605~5607</v>
          </cell>
          <cell r="L8692"/>
          <cell r="M8692">
            <v>45784</v>
          </cell>
          <cell r="N8692"/>
          <cell r="O8692">
            <v>45768</v>
          </cell>
          <cell r="P8692"/>
          <cell r="Q8692">
            <v>45791</v>
          </cell>
          <cell r="R8692">
            <v>45792</v>
          </cell>
          <cell r="S8692"/>
          <cell r="T8692"/>
          <cell r="U8692"/>
          <cell r="V8692"/>
          <cell r="W8692"/>
          <cell r="X8692">
            <v>41200128</v>
          </cell>
        </row>
        <row r="8693">
          <cell r="K8693" t="str">
            <v>DBW-3654</v>
          </cell>
          <cell r="L8693"/>
          <cell r="M8693">
            <v>45784</v>
          </cell>
          <cell r="N8693"/>
          <cell r="O8693">
            <v>45768</v>
          </cell>
          <cell r="P8693"/>
          <cell r="Q8693">
            <v>45790</v>
          </cell>
          <cell r="R8693">
            <v>45791</v>
          </cell>
          <cell r="S8693"/>
          <cell r="T8693"/>
          <cell r="U8693"/>
          <cell r="V8693"/>
          <cell r="W8693"/>
          <cell r="X8693">
            <v>41100695</v>
          </cell>
        </row>
        <row r="8694">
          <cell r="K8694" t="str">
            <v>GBWS-5457</v>
          </cell>
          <cell r="L8694">
            <v>45726</v>
          </cell>
          <cell r="M8694">
            <v>45728</v>
          </cell>
          <cell r="N8694">
            <v>45735</v>
          </cell>
          <cell r="O8694">
            <v>45720</v>
          </cell>
          <cell r="P8694">
            <v>45737</v>
          </cell>
          <cell r="Q8694">
            <v>45736</v>
          </cell>
          <cell r="R8694">
            <v>45737</v>
          </cell>
          <cell r="S8694"/>
          <cell r="T8694"/>
          <cell r="U8694"/>
          <cell r="V8694"/>
          <cell r="W8694"/>
          <cell r="X8694" t="str">
            <v xml:space="preserve"> 41200020 → 41200113</v>
          </cell>
        </row>
        <row r="8695">
          <cell r="K8695"/>
          <cell r="L8695"/>
          <cell r="M8695">
            <v>45784</v>
          </cell>
          <cell r="N8695"/>
          <cell r="O8695">
            <v>45784</v>
          </cell>
          <cell r="P8695"/>
          <cell r="Q8695">
            <v>45790</v>
          </cell>
          <cell r="R8695">
            <v>45791</v>
          </cell>
          <cell r="S8695"/>
          <cell r="T8695"/>
          <cell r="U8695"/>
          <cell r="V8695"/>
          <cell r="W8695"/>
          <cell r="X8695"/>
        </row>
        <row r="8696">
          <cell r="K8696" t="str">
            <v>GBWS-5608</v>
          </cell>
          <cell r="L8696"/>
          <cell r="M8696">
            <v>45785</v>
          </cell>
          <cell r="N8696"/>
          <cell r="O8696">
            <v>45768</v>
          </cell>
          <cell r="P8696"/>
          <cell r="Q8696">
            <v>45793</v>
          </cell>
          <cell r="R8696">
            <v>45796</v>
          </cell>
          <cell r="S8696"/>
          <cell r="T8696"/>
          <cell r="U8696"/>
          <cell r="V8696"/>
          <cell r="W8696"/>
          <cell r="X8696">
            <v>41200076</v>
          </cell>
        </row>
        <row r="8697">
          <cell r="K8697" t="str">
            <v>GBWS-5609</v>
          </cell>
          <cell r="L8697"/>
          <cell r="M8697">
            <v>45785</v>
          </cell>
          <cell r="N8697"/>
          <cell r="O8697">
            <v>45768</v>
          </cell>
          <cell r="P8697"/>
          <cell r="Q8697">
            <v>45793</v>
          </cell>
          <cell r="R8697">
            <v>45796</v>
          </cell>
          <cell r="S8697"/>
          <cell r="T8697"/>
          <cell r="U8697"/>
          <cell r="V8697"/>
          <cell r="W8697"/>
          <cell r="X8697">
            <v>41200101</v>
          </cell>
        </row>
        <row r="8698">
          <cell r="K8698" t="str">
            <v>GBWS-5610</v>
          </cell>
          <cell r="L8698"/>
          <cell r="M8698">
            <v>45785</v>
          </cell>
          <cell r="N8698"/>
          <cell r="O8698">
            <v>45768</v>
          </cell>
          <cell r="P8698"/>
          <cell r="Q8698">
            <v>45792</v>
          </cell>
          <cell r="R8698">
            <v>45793</v>
          </cell>
          <cell r="S8698"/>
          <cell r="T8698"/>
          <cell r="U8698"/>
          <cell r="V8698"/>
          <cell r="W8698"/>
          <cell r="X8698">
            <v>41200153</v>
          </cell>
        </row>
        <row r="8699">
          <cell r="K8699" t="str">
            <v>GBWS-5611</v>
          </cell>
          <cell r="L8699"/>
          <cell r="M8699">
            <v>45786</v>
          </cell>
          <cell r="N8699"/>
          <cell r="O8699">
            <v>45771</v>
          </cell>
          <cell r="P8699"/>
          <cell r="Q8699">
            <v>45796</v>
          </cell>
          <cell r="R8699">
            <v>45797</v>
          </cell>
          <cell r="S8699"/>
          <cell r="T8699"/>
          <cell r="U8699"/>
          <cell r="V8699"/>
          <cell r="W8699"/>
          <cell r="X8699">
            <v>41200149</v>
          </cell>
        </row>
        <row r="8700">
          <cell r="K8700" t="str">
            <v>DBW-3655</v>
          </cell>
          <cell r="L8700"/>
          <cell r="M8700">
            <v>45789</v>
          </cell>
          <cell r="N8700"/>
          <cell r="O8700">
            <v>45771</v>
          </cell>
          <cell r="P8700"/>
          <cell r="Q8700">
            <v>45796</v>
          </cell>
          <cell r="R8700">
            <v>45797</v>
          </cell>
          <cell r="S8700"/>
          <cell r="T8700"/>
          <cell r="U8700"/>
          <cell r="V8700"/>
          <cell r="W8700"/>
          <cell r="X8700">
            <v>41100696</v>
          </cell>
        </row>
        <row r="8701">
          <cell r="K8701" t="str">
            <v>GBWS-5612</v>
          </cell>
          <cell r="L8701"/>
          <cell r="M8701" t="str">
            <v>2025-05-14 → 5/13</v>
          </cell>
          <cell r="N8701"/>
          <cell r="O8701">
            <v>45777</v>
          </cell>
          <cell r="P8701"/>
          <cell r="Q8701" t="str">
            <v>2025-05-22 → 5/20</v>
          </cell>
          <cell r="R8701" t="str">
            <v>2025-05-23 → 5/21</v>
          </cell>
          <cell r="S8701"/>
          <cell r="T8701"/>
          <cell r="U8701"/>
          <cell r="V8701"/>
          <cell r="W8701"/>
          <cell r="X8701">
            <v>41000585</v>
          </cell>
        </row>
        <row r="8702">
          <cell r="K8702" t="str">
            <v>GBWS-5613</v>
          </cell>
          <cell r="L8702"/>
          <cell r="M8702">
            <v>45790</v>
          </cell>
          <cell r="N8702"/>
          <cell r="O8702">
            <v>45771</v>
          </cell>
          <cell r="P8702"/>
          <cell r="Q8702">
            <v>45798</v>
          </cell>
          <cell r="R8702">
            <v>45799</v>
          </cell>
          <cell r="S8702"/>
          <cell r="T8702"/>
          <cell r="U8702"/>
          <cell r="V8702"/>
          <cell r="W8702"/>
          <cell r="X8702">
            <v>41200039</v>
          </cell>
        </row>
        <row r="8703">
          <cell r="K8703" t="str">
            <v>GBWS-5614,5615</v>
          </cell>
          <cell r="L8703"/>
          <cell r="M8703">
            <v>45790</v>
          </cell>
          <cell r="N8703"/>
          <cell r="O8703">
            <v>45771</v>
          </cell>
          <cell r="P8703"/>
          <cell r="Q8703">
            <v>45798</v>
          </cell>
          <cell r="R8703">
            <v>45799</v>
          </cell>
          <cell r="S8703"/>
          <cell r="T8703"/>
          <cell r="U8703"/>
          <cell r="V8703"/>
          <cell r="W8703"/>
          <cell r="X8703">
            <v>41200034</v>
          </cell>
        </row>
        <row r="8704">
          <cell r="K8704" t="str">
            <v>GBWS-5616</v>
          </cell>
          <cell r="L8704"/>
          <cell r="M8704">
            <v>45790</v>
          </cell>
          <cell r="N8704"/>
          <cell r="O8704">
            <v>45777</v>
          </cell>
          <cell r="P8704"/>
          <cell r="Q8704">
            <v>45798</v>
          </cell>
          <cell r="R8704">
            <v>45799</v>
          </cell>
          <cell r="S8704"/>
          <cell r="T8704"/>
          <cell r="U8704"/>
          <cell r="V8704"/>
          <cell r="W8704"/>
          <cell r="X8704">
            <v>41000516</v>
          </cell>
        </row>
        <row r="8705">
          <cell r="K8705" t="str">
            <v>GBWS-5617~5619</v>
          </cell>
          <cell r="L8705"/>
          <cell r="M8705">
            <v>45791</v>
          </cell>
          <cell r="N8705"/>
          <cell r="O8705">
            <v>45777</v>
          </cell>
          <cell r="P8705"/>
          <cell r="Q8705">
            <v>45799</v>
          </cell>
          <cell r="R8705">
            <v>45800</v>
          </cell>
          <cell r="S8705"/>
          <cell r="T8705"/>
          <cell r="U8705"/>
          <cell r="V8705"/>
          <cell r="W8705"/>
          <cell r="X8705">
            <v>41200047</v>
          </cell>
        </row>
        <row r="8706">
          <cell r="K8706" t="str">
            <v>GBWS-5620~5622</v>
          </cell>
          <cell r="L8706"/>
          <cell r="M8706">
            <v>45791</v>
          </cell>
          <cell r="N8706"/>
          <cell r="O8706">
            <v>45777</v>
          </cell>
          <cell r="P8706"/>
          <cell r="Q8706">
            <v>45800</v>
          </cell>
          <cell r="R8706">
            <v>45803</v>
          </cell>
          <cell r="S8706"/>
          <cell r="T8706"/>
          <cell r="U8706"/>
          <cell r="V8706"/>
          <cell r="W8706"/>
          <cell r="X8706">
            <v>41200047</v>
          </cell>
        </row>
        <row r="8707">
          <cell r="K8707" t="str">
            <v>GBWS-5623,5624</v>
          </cell>
          <cell r="L8707"/>
          <cell r="M8707">
            <v>45791</v>
          </cell>
          <cell r="N8707"/>
          <cell r="O8707">
            <v>45777</v>
          </cell>
          <cell r="P8707"/>
          <cell r="Q8707">
            <v>45799</v>
          </cell>
          <cell r="R8707">
            <v>45800</v>
          </cell>
          <cell r="S8707"/>
          <cell r="T8707"/>
          <cell r="U8707"/>
          <cell r="V8707"/>
          <cell r="W8707"/>
          <cell r="X8707">
            <v>41200101</v>
          </cell>
        </row>
        <row r="8708">
          <cell r="K8708" t="str">
            <v>GBWS-5625</v>
          </cell>
          <cell r="L8708"/>
          <cell r="M8708">
            <v>45791</v>
          </cell>
          <cell r="N8708"/>
          <cell r="O8708">
            <v>45777</v>
          </cell>
          <cell r="P8708"/>
          <cell r="Q8708">
            <v>45799</v>
          </cell>
          <cell r="R8708">
            <v>45800</v>
          </cell>
          <cell r="S8708"/>
          <cell r="T8708"/>
          <cell r="U8708"/>
          <cell r="V8708"/>
          <cell r="W8708"/>
          <cell r="X8708">
            <v>41200101</v>
          </cell>
        </row>
        <row r="8709">
          <cell r="K8709" t="str">
            <v>GBWS-5626</v>
          </cell>
          <cell r="L8709"/>
          <cell r="M8709">
            <v>45791</v>
          </cell>
          <cell r="N8709"/>
          <cell r="O8709">
            <v>45777</v>
          </cell>
          <cell r="P8709"/>
          <cell r="Q8709">
            <v>45798</v>
          </cell>
          <cell r="R8709">
            <v>45799</v>
          </cell>
          <cell r="S8709"/>
          <cell r="T8709"/>
          <cell r="U8709"/>
          <cell r="V8709"/>
          <cell r="W8709"/>
          <cell r="X8709">
            <v>41200075</v>
          </cell>
        </row>
        <row r="8710">
          <cell r="K8710" t="str">
            <v>GBWS-5627</v>
          </cell>
          <cell r="L8710"/>
          <cell r="M8710">
            <v>45792</v>
          </cell>
          <cell r="N8710"/>
          <cell r="O8710">
            <v>45777</v>
          </cell>
          <cell r="P8710"/>
          <cell r="Q8710">
            <v>45800</v>
          </cell>
          <cell r="R8710">
            <v>45803</v>
          </cell>
          <cell r="S8710"/>
          <cell r="T8710"/>
          <cell r="U8710"/>
          <cell r="V8710"/>
          <cell r="W8710"/>
          <cell r="X8710">
            <v>41100564</v>
          </cell>
        </row>
        <row r="8711">
          <cell r="K8711" t="str">
            <v>GBWS-5628,5629</v>
          </cell>
          <cell r="L8711"/>
          <cell r="M8711">
            <v>45792</v>
          </cell>
          <cell r="N8711"/>
          <cell r="O8711">
            <v>45777</v>
          </cell>
          <cell r="P8711"/>
          <cell r="Q8711">
            <v>45805</v>
          </cell>
          <cell r="R8711">
            <v>45806</v>
          </cell>
          <cell r="S8711"/>
          <cell r="T8711"/>
          <cell r="U8711"/>
          <cell r="V8711"/>
          <cell r="W8711"/>
          <cell r="X8711">
            <v>41200034</v>
          </cell>
        </row>
        <row r="8712">
          <cell r="K8712"/>
          <cell r="L8712"/>
          <cell r="M8712">
            <v>45793</v>
          </cell>
          <cell r="N8712"/>
          <cell r="O8712">
            <v>45777</v>
          </cell>
          <cell r="P8712"/>
          <cell r="Q8712">
            <v>45803</v>
          </cell>
          <cell r="R8712">
            <v>45804</v>
          </cell>
          <cell r="S8712"/>
          <cell r="T8712"/>
          <cell r="U8712"/>
          <cell r="V8712"/>
          <cell r="W8712"/>
          <cell r="X8712">
            <v>41200076</v>
          </cell>
        </row>
        <row r="8713">
          <cell r="K8713"/>
          <cell r="L8713"/>
          <cell r="M8713">
            <v>45793</v>
          </cell>
          <cell r="N8713"/>
          <cell r="O8713">
            <v>45777</v>
          </cell>
          <cell r="P8713"/>
          <cell r="Q8713">
            <v>45800</v>
          </cell>
          <cell r="R8713">
            <v>45803</v>
          </cell>
          <cell r="S8713"/>
          <cell r="T8713"/>
          <cell r="U8713"/>
          <cell r="V8713"/>
          <cell r="W8713"/>
          <cell r="X8713">
            <v>41100264</v>
          </cell>
        </row>
        <row r="8714">
          <cell r="K8714"/>
          <cell r="L8714"/>
          <cell r="M8714">
            <v>45793</v>
          </cell>
          <cell r="N8714"/>
          <cell r="O8714">
            <v>45777</v>
          </cell>
          <cell r="P8714"/>
          <cell r="Q8714">
            <v>45803</v>
          </cell>
          <cell r="R8714">
            <v>45804</v>
          </cell>
          <cell r="S8714"/>
          <cell r="T8714"/>
          <cell r="U8714"/>
          <cell r="V8714"/>
          <cell r="W8714"/>
          <cell r="X8714">
            <v>41200038</v>
          </cell>
        </row>
        <row r="8715">
          <cell r="K8715"/>
          <cell r="L8715"/>
          <cell r="M8715">
            <v>45793</v>
          </cell>
          <cell r="N8715"/>
          <cell r="O8715">
            <v>45777</v>
          </cell>
          <cell r="P8715"/>
          <cell r="Q8715">
            <v>45803</v>
          </cell>
          <cell r="R8715">
            <v>45804</v>
          </cell>
          <cell r="S8715"/>
          <cell r="T8715"/>
          <cell r="U8715"/>
          <cell r="V8715"/>
          <cell r="W8715"/>
          <cell r="X8715">
            <v>41200039</v>
          </cell>
        </row>
        <row r="8716">
          <cell r="K8716"/>
          <cell r="L8716"/>
          <cell r="M8716">
            <v>45793</v>
          </cell>
          <cell r="N8716"/>
          <cell r="O8716">
            <v>45777</v>
          </cell>
          <cell r="P8716"/>
          <cell r="Q8716">
            <v>45803</v>
          </cell>
          <cell r="R8716">
            <v>45804</v>
          </cell>
          <cell r="S8716"/>
          <cell r="T8716"/>
          <cell r="U8716"/>
          <cell r="V8716"/>
          <cell r="W8716"/>
          <cell r="X8716">
            <v>41200075</v>
          </cell>
        </row>
        <row r="8717">
          <cell r="K8717"/>
          <cell r="L8717"/>
          <cell r="M8717">
            <v>45796</v>
          </cell>
          <cell r="N8717"/>
          <cell r="O8717">
            <v>45777</v>
          </cell>
          <cell r="P8717"/>
          <cell r="Q8717">
            <v>45804</v>
          </cell>
          <cell r="R8717">
            <v>45805</v>
          </cell>
          <cell r="S8717"/>
          <cell r="T8717"/>
          <cell r="U8717"/>
          <cell r="V8717"/>
          <cell r="W8717"/>
          <cell r="X8717">
            <v>41200148</v>
          </cell>
        </row>
        <row r="8718">
          <cell r="K8718"/>
          <cell r="L8718"/>
          <cell r="M8718">
            <v>45796</v>
          </cell>
          <cell r="N8718"/>
          <cell r="O8718">
            <v>45777</v>
          </cell>
          <cell r="P8718"/>
          <cell r="Q8718">
            <v>45804</v>
          </cell>
          <cell r="R8718">
            <v>45805</v>
          </cell>
          <cell r="S8718"/>
          <cell r="T8718"/>
          <cell r="U8718"/>
          <cell r="V8718"/>
          <cell r="W8718"/>
          <cell r="X8718">
            <v>41200036</v>
          </cell>
        </row>
        <row r="8719">
          <cell r="K8719"/>
          <cell r="L8719"/>
          <cell r="M8719">
            <v>45796</v>
          </cell>
          <cell r="N8719"/>
          <cell r="O8719">
            <v>45777</v>
          </cell>
          <cell r="P8719"/>
          <cell r="Q8719">
            <v>45804</v>
          </cell>
          <cell r="R8719">
            <v>45805</v>
          </cell>
          <cell r="S8719"/>
          <cell r="T8719"/>
          <cell r="U8719"/>
          <cell r="V8719"/>
          <cell r="W8719"/>
          <cell r="X8719">
            <v>41200048</v>
          </cell>
        </row>
        <row r="8720">
          <cell r="K8720"/>
          <cell r="L8720"/>
          <cell r="M8720">
            <v>45797</v>
          </cell>
          <cell r="N8720"/>
          <cell r="O8720">
            <v>45777</v>
          </cell>
          <cell r="P8720"/>
          <cell r="Q8720">
            <v>45805</v>
          </cell>
          <cell r="R8720">
            <v>45806</v>
          </cell>
          <cell r="S8720"/>
          <cell r="T8720"/>
          <cell r="U8720"/>
          <cell r="V8720"/>
          <cell r="W8720"/>
          <cell r="X8720">
            <v>41200036</v>
          </cell>
        </row>
        <row r="8721">
          <cell r="K8721"/>
          <cell r="L8721"/>
          <cell r="M8721">
            <v>45798</v>
          </cell>
          <cell r="N8721"/>
          <cell r="O8721">
            <v>45789</v>
          </cell>
          <cell r="P8721"/>
          <cell r="Q8721">
            <v>45806</v>
          </cell>
          <cell r="R8721">
            <v>45807</v>
          </cell>
          <cell r="S8721"/>
          <cell r="T8721"/>
          <cell r="U8721"/>
          <cell r="V8721"/>
          <cell r="W8721"/>
          <cell r="X8721">
            <v>41100374</v>
          </cell>
        </row>
        <row r="8722">
          <cell r="K8722"/>
          <cell r="L8722"/>
          <cell r="M8722">
            <v>45798</v>
          </cell>
          <cell r="N8722"/>
          <cell r="O8722">
            <v>45789</v>
          </cell>
          <cell r="P8722"/>
          <cell r="Q8722">
            <v>45806</v>
          </cell>
          <cell r="R8722">
            <v>45807</v>
          </cell>
          <cell r="S8722"/>
          <cell r="T8722"/>
          <cell r="U8722"/>
          <cell r="V8722"/>
          <cell r="W8722"/>
          <cell r="X8722">
            <v>41200081</v>
          </cell>
        </row>
        <row r="8723">
          <cell r="K8723"/>
          <cell r="L8723"/>
          <cell r="M8723">
            <v>45798</v>
          </cell>
          <cell r="N8723"/>
          <cell r="O8723">
            <v>45789</v>
          </cell>
          <cell r="P8723"/>
          <cell r="Q8723">
            <v>45805</v>
          </cell>
          <cell r="R8723">
            <v>45806</v>
          </cell>
          <cell r="S8723"/>
          <cell r="T8723"/>
          <cell r="U8723"/>
          <cell r="V8723"/>
          <cell r="W8723"/>
          <cell r="X8723">
            <v>41200131</v>
          </cell>
        </row>
        <row r="8724">
          <cell r="K8724"/>
          <cell r="L8724"/>
          <cell r="M8724">
            <v>45798</v>
          </cell>
          <cell r="N8724"/>
          <cell r="O8724">
            <v>45789</v>
          </cell>
          <cell r="P8724"/>
          <cell r="Q8724">
            <v>45805</v>
          </cell>
          <cell r="R8724">
            <v>45806</v>
          </cell>
          <cell r="S8724"/>
          <cell r="T8724"/>
          <cell r="U8724"/>
          <cell r="V8724"/>
          <cell r="W8724"/>
          <cell r="X8724">
            <v>41200129</v>
          </cell>
        </row>
        <row r="8725">
          <cell r="K8725"/>
          <cell r="L8725"/>
          <cell r="M8725">
            <v>45799</v>
          </cell>
          <cell r="N8725"/>
          <cell r="O8725">
            <v>45789</v>
          </cell>
          <cell r="P8725"/>
          <cell r="Q8725">
            <v>45807</v>
          </cell>
          <cell r="R8725">
            <v>45810</v>
          </cell>
          <cell r="S8725"/>
          <cell r="T8725"/>
          <cell r="U8725"/>
          <cell r="V8725"/>
          <cell r="W8725"/>
          <cell r="X8725">
            <v>41200075</v>
          </cell>
        </row>
        <row r="8726">
          <cell r="K8726"/>
          <cell r="L8726"/>
          <cell r="M8726">
            <v>45799</v>
          </cell>
          <cell r="N8726"/>
          <cell r="O8726">
            <v>45789</v>
          </cell>
          <cell r="P8726"/>
          <cell r="Q8726">
            <v>45807</v>
          </cell>
          <cell r="R8726">
            <v>45810</v>
          </cell>
          <cell r="S8726"/>
          <cell r="T8726"/>
          <cell r="U8726"/>
          <cell r="V8726"/>
          <cell r="W8726"/>
          <cell r="X8726">
            <v>41200076</v>
          </cell>
        </row>
        <row r="8727">
          <cell r="K8727"/>
          <cell r="L8727"/>
          <cell r="M8727">
            <v>45799</v>
          </cell>
          <cell r="N8727"/>
          <cell r="O8727">
            <v>45789</v>
          </cell>
          <cell r="P8727"/>
          <cell r="Q8727">
            <v>45807</v>
          </cell>
          <cell r="R8727">
            <v>45810</v>
          </cell>
          <cell r="S8727"/>
          <cell r="T8727"/>
          <cell r="U8727"/>
          <cell r="V8727"/>
          <cell r="W8727"/>
          <cell r="X8727">
            <v>41000587</v>
          </cell>
        </row>
        <row r="8728">
          <cell r="K8728"/>
          <cell r="L8728"/>
          <cell r="M8728">
            <v>45800</v>
          </cell>
          <cell r="N8728"/>
          <cell r="O8728">
            <v>45789</v>
          </cell>
          <cell r="P8728"/>
          <cell r="Q8728">
            <v>45810</v>
          </cell>
          <cell r="R8728">
            <v>45812</v>
          </cell>
          <cell r="S8728"/>
          <cell r="T8728"/>
          <cell r="U8728"/>
          <cell r="V8728"/>
          <cell r="W8728"/>
          <cell r="X8728">
            <v>41100550</v>
          </cell>
        </row>
        <row r="8729">
          <cell r="K8729"/>
          <cell r="L8729"/>
          <cell r="M8729">
            <v>45800</v>
          </cell>
          <cell r="N8729"/>
          <cell r="O8729">
            <v>45789</v>
          </cell>
          <cell r="P8729"/>
          <cell r="Q8729">
            <v>45810</v>
          </cell>
          <cell r="R8729">
            <v>45812</v>
          </cell>
          <cell r="S8729"/>
          <cell r="T8729"/>
          <cell r="U8729"/>
          <cell r="V8729"/>
          <cell r="W8729"/>
          <cell r="X8729">
            <v>41200034</v>
          </cell>
        </row>
        <row r="8730">
          <cell r="K8730"/>
          <cell r="L8730"/>
          <cell r="M8730">
            <v>45803</v>
          </cell>
          <cell r="N8730"/>
          <cell r="O8730">
            <v>45789</v>
          </cell>
          <cell r="P8730"/>
          <cell r="Q8730">
            <v>45812</v>
          </cell>
          <cell r="R8730">
            <v>45813</v>
          </cell>
          <cell r="S8730"/>
          <cell r="T8730"/>
          <cell r="U8730"/>
          <cell r="V8730"/>
          <cell r="W8730"/>
          <cell r="X8730">
            <v>41200147</v>
          </cell>
        </row>
        <row r="8731">
          <cell r="K8731"/>
          <cell r="L8731"/>
          <cell r="M8731">
            <v>45803</v>
          </cell>
          <cell r="N8731"/>
          <cell r="O8731">
            <v>45789</v>
          </cell>
          <cell r="P8731"/>
          <cell r="Q8731">
            <v>45812</v>
          </cell>
          <cell r="R8731">
            <v>45813</v>
          </cell>
          <cell r="S8731"/>
          <cell r="T8731"/>
          <cell r="U8731"/>
          <cell r="V8731"/>
          <cell r="W8731"/>
          <cell r="X8731">
            <v>41200047</v>
          </cell>
        </row>
        <row r="8732">
          <cell r="K8732"/>
          <cell r="L8732"/>
          <cell r="M8732">
            <v>45804</v>
          </cell>
          <cell r="N8732"/>
          <cell r="O8732">
            <v>45789</v>
          </cell>
          <cell r="P8732"/>
          <cell r="Q8732">
            <v>45812</v>
          </cell>
          <cell r="R8732">
            <v>45813</v>
          </cell>
          <cell r="S8732"/>
          <cell r="T8732"/>
          <cell r="U8732"/>
          <cell r="V8732"/>
          <cell r="W8732"/>
          <cell r="X8732">
            <v>41200036</v>
          </cell>
        </row>
        <row r="8733">
          <cell r="K8733"/>
          <cell r="L8733"/>
          <cell r="M8733">
            <v>45805</v>
          </cell>
          <cell r="N8733"/>
          <cell r="O8733">
            <v>45796</v>
          </cell>
          <cell r="P8733"/>
          <cell r="Q8733">
            <v>45813</v>
          </cell>
          <cell r="R8733">
            <v>45817</v>
          </cell>
          <cell r="S8733"/>
          <cell r="T8733"/>
          <cell r="U8733"/>
          <cell r="V8733"/>
          <cell r="W8733"/>
          <cell r="X8733">
            <v>41200122</v>
          </cell>
        </row>
        <row r="8734">
          <cell r="K8734"/>
          <cell r="L8734"/>
          <cell r="M8734">
            <v>45805</v>
          </cell>
          <cell r="N8734"/>
          <cell r="O8734">
            <v>45796</v>
          </cell>
          <cell r="P8734"/>
          <cell r="Q8734">
            <v>45813</v>
          </cell>
          <cell r="R8734">
            <v>45817</v>
          </cell>
          <cell r="S8734"/>
          <cell r="T8734"/>
          <cell r="U8734"/>
          <cell r="V8734"/>
          <cell r="W8734"/>
          <cell r="X8734">
            <v>41100435</v>
          </cell>
        </row>
        <row r="8735">
          <cell r="K8735"/>
          <cell r="L8735"/>
          <cell r="M8735">
            <v>45805</v>
          </cell>
          <cell r="N8735"/>
          <cell r="O8735">
            <v>45796</v>
          </cell>
          <cell r="P8735"/>
          <cell r="Q8735">
            <v>45813</v>
          </cell>
          <cell r="R8735">
            <v>45817</v>
          </cell>
          <cell r="S8735"/>
          <cell r="T8735"/>
          <cell r="U8735"/>
          <cell r="V8735"/>
          <cell r="W8735"/>
          <cell r="X8735">
            <v>41200034</v>
          </cell>
        </row>
        <row r="8736">
          <cell r="K8736"/>
          <cell r="L8736"/>
          <cell r="M8736">
            <v>45805</v>
          </cell>
          <cell r="N8736"/>
          <cell r="O8736">
            <v>45796</v>
          </cell>
          <cell r="P8736"/>
          <cell r="Q8736">
            <v>45813</v>
          </cell>
          <cell r="R8736">
            <v>45817</v>
          </cell>
          <cell r="S8736"/>
          <cell r="T8736"/>
          <cell r="U8736"/>
          <cell r="V8736"/>
          <cell r="W8736"/>
          <cell r="X8736">
            <v>41200047</v>
          </cell>
        </row>
        <row r="8737">
          <cell r="K8737"/>
          <cell r="L8737"/>
          <cell r="M8737">
            <v>45805</v>
          </cell>
          <cell r="N8737"/>
          <cell r="O8737">
            <v>45796</v>
          </cell>
          <cell r="P8737"/>
          <cell r="Q8737">
            <v>45813</v>
          </cell>
          <cell r="R8737">
            <v>45817</v>
          </cell>
          <cell r="S8737"/>
          <cell r="T8737"/>
          <cell r="U8737"/>
          <cell r="V8737"/>
          <cell r="W8737"/>
          <cell r="X8737">
            <v>41200127</v>
          </cell>
        </row>
        <row r="8738">
          <cell r="K8738"/>
          <cell r="L8738"/>
          <cell r="M8738">
            <v>45806</v>
          </cell>
          <cell r="N8738"/>
          <cell r="O8738">
            <v>45796</v>
          </cell>
          <cell r="P8738"/>
          <cell r="Q8738">
            <v>45817</v>
          </cell>
          <cell r="R8738">
            <v>45818</v>
          </cell>
          <cell r="S8738"/>
          <cell r="T8738"/>
          <cell r="U8738"/>
          <cell r="V8738"/>
          <cell r="W8738"/>
          <cell r="X8738">
            <v>41200076</v>
          </cell>
        </row>
        <row r="8739">
          <cell r="K8739"/>
          <cell r="L8739"/>
          <cell r="M8739">
            <v>45807</v>
          </cell>
          <cell r="N8739"/>
          <cell r="O8739">
            <v>45796</v>
          </cell>
          <cell r="P8739"/>
          <cell r="Q8739">
            <v>45818</v>
          </cell>
          <cell r="R8739">
            <v>45819</v>
          </cell>
          <cell r="S8739"/>
          <cell r="T8739"/>
          <cell r="U8739"/>
          <cell r="V8739"/>
          <cell r="W8739"/>
          <cell r="X8739">
            <v>41200109</v>
          </cell>
        </row>
        <row r="8740">
          <cell r="K8740"/>
          <cell r="L8740"/>
          <cell r="M8740" t="str">
            <v>2025-02-27 → 10/24</v>
          </cell>
          <cell r="N8740"/>
          <cell r="O8740" t="str">
            <v>2025-02-27 → 10/24</v>
          </cell>
          <cell r="P8740"/>
          <cell r="Q8740" t="str">
            <v>2025-03-10 → 11/3</v>
          </cell>
          <cell r="R8740" t="str">
            <v>2025-03-11 → 11/4</v>
          </cell>
          <cell r="S8740"/>
          <cell r="T8740"/>
          <cell r="U8740"/>
          <cell r="V8740"/>
          <cell r="W8740"/>
          <cell r="X8740">
            <v>41100320</v>
          </cell>
        </row>
        <row r="8741">
          <cell r="K8741"/>
          <cell r="L8741"/>
          <cell r="M8741" t="str">
            <v>2025-04-16 → 5/8</v>
          </cell>
          <cell r="N8741"/>
          <cell r="O8741" t="str">
            <v>2025-04-30 → 4/24</v>
          </cell>
          <cell r="P8741"/>
          <cell r="Q8741" t="str">
            <v>2025-04-23 → 5/16</v>
          </cell>
          <cell r="R8741" t="str">
            <v>2025-04-24 → 5/19</v>
          </cell>
          <cell r="S8741"/>
          <cell r="T8741"/>
          <cell r="U8741"/>
          <cell r="V8741"/>
          <cell r="W8741"/>
          <cell r="X8741">
            <v>41200146</v>
          </cell>
        </row>
        <row r="8742">
          <cell r="K8742"/>
          <cell r="L8742"/>
          <cell r="M8742">
            <v>45763</v>
          </cell>
          <cell r="N8742"/>
          <cell r="O8742">
            <v>45754</v>
          </cell>
          <cell r="P8742"/>
          <cell r="Q8742">
            <v>45770</v>
          </cell>
          <cell r="R8742">
            <v>45771</v>
          </cell>
          <cell r="S8742"/>
          <cell r="T8742"/>
          <cell r="U8742"/>
          <cell r="V8742"/>
          <cell r="W8742"/>
          <cell r="X8742">
            <v>41200145</v>
          </cell>
        </row>
        <row r="8743">
          <cell r="K8743"/>
          <cell r="L8743"/>
          <cell r="M8743" t="str">
            <v>2025-02-27 → 10/2</v>
          </cell>
          <cell r="N8743"/>
          <cell r="O8743" t="str">
            <v>2025-02-27 → 10/2</v>
          </cell>
          <cell r="P8743"/>
          <cell r="Q8743" t="str">
            <v>2025-03-11 → 10/17</v>
          </cell>
          <cell r="R8743" t="str">
            <v>2025-03-12 → 10/20</v>
          </cell>
          <cell r="S8743"/>
          <cell r="T8743"/>
          <cell r="U8743"/>
          <cell r="V8743"/>
          <cell r="W8743"/>
          <cell r="X8743">
            <v>41200076</v>
          </cell>
        </row>
        <row r="8744">
          <cell r="K8744" t="str">
            <v>GBWS-5469</v>
          </cell>
          <cell r="L8744"/>
          <cell r="M8744" t="str">
            <v>2025-02-28 → 3/19</v>
          </cell>
          <cell r="N8744"/>
          <cell r="O8744">
            <v>45726</v>
          </cell>
          <cell r="P8744"/>
          <cell r="Q8744" t="str">
            <v>2025-03-11 → 3/27</v>
          </cell>
          <cell r="R8744" t="str">
            <v>2025-03-12 → 3/28</v>
          </cell>
          <cell r="S8744"/>
          <cell r="T8744"/>
          <cell r="U8744"/>
          <cell r="V8744"/>
          <cell r="W8744"/>
          <cell r="X8744">
            <v>41200101</v>
          </cell>
        </row>
        <row r="8745">
          <cell r="K8745" t="str">
            <v>GBWS-4211</v>
          </cell>
          <cell r="L8745"/>
          <cell r="M8745" t="str">
            <v>2024-05-14 → 5/27</v>
          </cell>
          <cell r="N8745"/>
          <cell r="O8745"/>
          <cell r="P8745"/>
          <cell r="Q8745"/>
          <cell r="R8745"/>
          <cell r="S8745"/>
          <cell r="T8745"/>
          <cell r="U8745"/>
          <cell r="V8745"/>
          <cell r="W8745"/>
          <cell r="X8745">
            <v>41000597</v>
          </cell>
        </row>
        <row r="8746">
          <cell r="K8746"/>
          <cell r="L8746"/>
          <cell r="M8746">
            <v>45160</v>
          </cell>
          <cell r="N8746"/>
          <cell r="O8746"/>
          <cell r="P8746"/>
          <cell r="Q8746"/>
          <cell r="R8746"/>
          <cell r="S8746"/>
          <cell r="T8746"/>
          <cell r="U8746"/>
          <cell r="V8746"/>
          <cell r="W8746"/>
          <cell r="X8746">
            <v>41100612</v>
          </cell>
        </row>
        <row r="8747">
          <cell r="K8747"/>
          <cell r="L8747"/>
          <cell r="M8747">
            <v>45349</v>
          </cell>
          <cell r="N8747"/>
          <cell r="O8747"/>
          <cell r="P8747"/>
          <cell r="Q8747"/>
          <cell r="R8747"/>
          <cell r="S8747"/>
          <cell r="T8747"/>
          <cell r="U8747"/>
          <cell r="V8747"/>
          <cell r="W8747"/>
          <cell r="X8747">
            <v>41100558</v>
          </cell>
        </row>
        <row r="8748">
          <cell r="K8748"/>
          <cell r="L8748"/>
          <cell r="M8748">
            <v>45259</v>
          </cell>
          <cell r="N8748"/>
          <cell r="O8748"/>
          <cell r="P8748"/>
          <cell r="Q8748"/>
          <cell r="R8748"/>
          <cell r="S8748"/>
          <cell r="T8748"/>
          <cell r="U8748"/>
          <cell r="V8748"/>
          <cell r="W8748"/>
          <cell r="X8748">
            <v>41100548</v>
          </cell>
        </row>
        <row r="8749">
          <cell r="K8749"/>
          <cell r="L8749"/>
          <cell r="M8749">
            <v>45258</v>
          </cell>
          <cell r="N8749"/>
          <cell r="O8749"/>
          <cell r="P8749"/>
          <cell r="Q8749"/>
          <cell r="R8749"/>
          <cell r="S8749"/>
          <cell r="T8749"/>
          <cell r="U8749"/>
          <cell r="V8749"/>
          <cell r="W8749"/>
          <cell r="X8749">
            <v>41000541</v>
          </cell>
        </row>
        <row r="8750">
          <cell r="K8750"/>
          <cell r="L8750"/>
          <cell r="M8750">
            <v>45076</v>
          </cell>
          <cell r="N8750"/>
          <cell r="O8750"/>
          <cell r="P8750"/>
          <cell r="Q8750"/>
          <cell r="R8750"/>
          <cell r="S8750"/>
          <cell r="T8750"/>
          <cell r="U8750"/>
          <cell r="V8750"/>
          <cell r="W8750"/>
          <cell r="X8750">
            <v>41100393</v>
          </cell>
        </row>
        <row r="8751">
          <cell r="K8751"/>
          <cell r="L8751"/>
          <cell r="M8751">
            <v>45124</v>
          </cell>
          <cell r="N8751"/>
          <cell r="O8751"/>
          <cell r="P8751"/>
          <cell r="Q8751"/>
          <cell r="R8751"/>
          <cell r="S8751"/>
          <cell r="T8751"/>
          <cell r="U8751"/>
          <cell r="V8751"/>
          <cell r="W8751"/>
          <cell r="X8751" t="str">
            <v>확인예정</v>
          </cell>
        </row>
        <row r="8752">
          <cell r="K8752"/>
          <cell r="L8752"/>
          <cell r="M8752">
            <v>45404</v>
          </cell>
          <cell r="N8752"/>
          <cell r="O8752"/>
          <cell r="P8752"/>
          <cell r="Q8752"/>
          <cell r="R8752"/>
          <cell r="S8752"/>
          <cell r="T8752"/>
          <cell r="U8752"/>
          <cell r="V8752"/>
          <cell r="W8752"/>
          <cell r="X8752">
            <v>41100383</v>
          </cell>
        </row>
        <row r="8753">
          <cell r="K8753"/>
          <cell r="L8753"/>
          <cell r="M8753">
            <v>45516</v>
          </cell>
          <cell r="N8753"/>
          <cell r="O8753"/>
          <cell r="P8753"/>
          <cell r="Q8753"/>
          <cell r="R8753"/>
          <cell r="S8753"/>
          <cell r="T8753"/>
          <cell r="U8753"/>
          <cell r="V8753"/>
          <cell r="W8753"/>
          <cell r="X8753">
            <v>31102454</v>
          </cell>
        </row>
        <row r="8754">
          <cell r="K8754"/>
          <cell r="L8754"/>
          <cell r="M8754">
            <v>45516</v>
          </cell>
          <cell r="N8754"/>
          <cell r="O8754"/>
          <cell r="P8754"/>
          <cell r="Q8754"/>
          <cell r="R8754"/>
          <cell r="S8754"/>
          <cell r="T8754"/>
          <cell r="U8754"/>
          <cell r="V8754"/>
          <cell r="W8754"/>
          <cell r="X8754">
            <v>31200150</v>
          </cell>
        </row>
        <row r="8755">
          <cell r="K8755"/>
          <cell r="L8755"/>
          <cell r="M8755">
            <v>45516</v>
          </cell>
          <cell r="N8755"/>
          <cell r="O8755"/>
          <cell r="P8755"/>
          <cell r="Q8755"/>
          <cell r="R8755"/>
          <cell r="S8755"/>
          <cell r="T8755"/>
          <cell r="U8755"/>
          <cell r="V8755"/>
          <cell r="W8755"/>
          <cell r="X8755">
            <v>31200151</v>
          </cell>
        </row>
        <row r="8756">
          <cell r="K8756"/>
          <cell r="L8756"/>
          <cell r="M8756">
            <v>45516</v>
          </cell>
          <cell r="N8756"/>
          <cell r="O8756"/>
          <cell r="P8756"/>
          <cell r="Q8756"/>
          <cell r="R8756"/>
          <cell r="S8756"/>
          <cell r="T8756"/>
          <cell r="U8756"/>
          <cell r="V8756"/>
          <cell r="W8756"/>
          <cell r="X8756">
            <v>31200152</v>
          </cell>
        </row>
        <row r="8757">
          <cell r="K8757"/>
          <cell r="L8757"/>
          <cell r="M8757">
            <v>45516</v>
          </cell>
          <cell r="N8757"/>
          <cell r="O8757"/>
          <cell r="P8757"/>
          <cell r="Q8757"/>
          <cell r="R8757"/>
          <cell r="S8757"/>
          <cell r="T8757"/>
          <cell r="U8757"/>
          <cell r="V8757"/>
          <cell r="W8757"/>
          <cell r="X8757">
            <v>31200153</v>
          </cell>
        </row>
        <row r="8758">
          <cell r="K8758"/>
          <cell r="L8758"/>
          <cell r="M8758">
            <v>45518</v>
          </cell>
          <cell r="N8758"/>
          <cell r="O8758"/>
          <cell r="P8758"/>
          <cell r="Q8758"/>
          <cell r="R8758"/>
          <cell r="S8758"/>
          <cell r="T8758"/>
          <cell r="U8758"/>
          <cell r="V8758"/>
          <cell r="W8758"/>
          <cell r="X8758">
            <v>41100363</v>
          </cell>
        </row>
        <row r="8759">
          <cell r="K8759"/>
          <cell r="L8759"/>
          <cell r="M8759">
            <v>45525</v>
          </cell>
          <cell r="N8759"/>
          <cell r="O8759"/>
          <cell r="P8759"/>
          <cell r="Q8759"/>
          <cell r="R8759"/>
          <cell r="S8759"/>
          <cell r="T8759"/>
          <cell r="U8759"/>
          <cell r="V8759"/>
          <cell r="W8759"/>
          <cell r="X8759">
            <v>31102454</v>
          </cell>
        </row>
        <row r="8760">
          <cell r="K8760"/>
          <cell r="L8760"/>
          <cell r="M8760">
            <v>45525</v>
          </cell>
          <cell r="N8760"/>
          <cell r="O8760"/>
          <cell r="P8760"/>
          <cell r="Q8760"/>
          <cell r="R8760"/>
          <cell r="S8760"/>
          <cell r="T8760"/>
          <cell r="U8760"/>
          <cell r="V8760"/>
          <cell r="W8760"/>
          <cell r="X8760">
            <v>31102454</v>
          </cell>
        </row>
        <row r="8761">
          <cell r="K8761"/>
          <cell r="L8761"/>
          <cell r="M8761">
            <v>45517</v>
          </cell>
          <cell r="N8761"/>
          <cell r="O8761"/>
          <cell r="P8761"/>
          <cell r="Q8761"/>
          <cell r="R8761"/>
          <cell r="S8761"/>
          <cell r="T8761"/>
          <cell r="U8761"/>
          <cell r="V8761"/>
          <cell r="W8761"/>
          <cell r="X8761">
            <v>41000541</v>
          </cell>
        </row>
        <row r="8762">
          <cell r="K8762" t="str">
            <v>GBWS-4151</v>
          </cell>
          <cell r="L8762">
            <v>45337</v>
          </cell>
          <cell r="M8762">
            <v>45338</v>
          </cell>
          <cell r="N8762">
            <v>45345</v>
          </cell>
          <cell r="O8762">
            <v>45338</v>
          </cell>
          <cell r="P8762">
            <v>45348</v>
          </cell>
          <cell r="Q8762">
            <v>45345</v>
          </cell>
          <cell r="R8762">
            <v>45348</v>
          </cell>
          <cell r="S8762">
            <v>45349</v>
          </cell>
          <cell r="T8762">
            <v>45351</v>
          </cell>
          <cell r="U8762">
            <v>45352</v>
          </cell>
          <cell r="V8762">
            <v>45355</v>
          </cell>
          <cell r="W8762">
            <v>45355</v>
          </cell>
          <cell r="X8762">
            <v>41100701</v>
          </cell>
        </row>
        <row r="8763">
          <cell r="K8763" t="str">
            <v>-</v>
          </cell>
          <cell r="L8763">
            <v>45390</v>
          </cell>
          <cell r="M8763">
            <v>45391</v>
          </cell>
          <cell r="N8763">
            <v>45397</v>
          </cell>
          <cell r="O8763"/>
          <cell r="P8763"/>
          <cell r="Q8763">
            <v>45397</v>
          </cell>
          <cell r="R8763">
            <v>45397</v>
          </cell>
          <cell r="S8763"/>
          <cell r="T8763"/>
          <cell r="U8763"/>
          <cell r="V8763"/>
          <cell r="W8763"/>
          <cell r="X8763">
            <v>31200009</v>
          </cell>
        </row>
        <row r="8764">
          <cell r="K8764"/>
          <cell r="L8764"/>
          <cell r="M8764"/>
          <cell r="N8764"/>
          <cell r="O8764"/>
          <cell r="P8764"/>
          <cell r="Q8764"/>
          <cell r="R8764"/>
          <cell r="S8764"/>
          <cell r="T8764"/>
          <cell r="U8764"/>
          <cell r="V8764"/>
          <cell r="W8764"/>
          <cell r="X8764"/>
        </row>
        <row r="8765">
          <cell r="K8765"/>
          <cell r="L8765">
            <v>45765</v>
          </cell>
          <cell r="M8765">
            <v>45765</v>
          </cell>
          <cell r="N8765"/>
          <cell r="O8765">
            <v>45765</v>
          </cell>
          <cell r="P8765"/>
          <cell r="Q8765">
            <v>45771</v>
          </cell>
          <cell r="R8765">
            <v>45771</v>
          </cell>
          <cell r="S8765"/>
          <cell r="T8765"/>
          <cell r="U8765" t="str">
            <v>TMS 기구 Module 작업</v>
          </cell>
          <cell r="V8765"/>
          <cell r="W8765"/>
          <cell r="X8765">
            <v>41200076</v>
          </cell>
        </row>
        <row r="8766">
          <cell r="K8766"/>
          <cell r="L8766">
            <v>45765</v>
          </cell>
          <cell r="M8766">
            <v>45765</v>
          </cell>
          <cell r="N8766"/>
          <cell r="O8766">
            <v>45765</v>
          </cell>
          <cell r="P8766"/>
          <cell r="Q8766">
            <v>45771</v>
          </cell>
          <cell r="R8766">
            <v>45771</v>
          </cell>
          <cell r="S8766"/>
          <cell r="T8766"/>
          <cell r="U8766" t="str">
            <v>TMS 기구 Module 작업</v>
          </cell>
          <cell r="V8766"/>
          <cell r="W8766"/>
          <cell r="X8766">
            <v>41200122</v>
          </cell>
        </row>
        <row r="8767">
          <cell r="K8767"/>
          <cell r="L8767">
            <v>45768</v>
          </cell>
          <cell r="M8767">
            <v>45768</v>
          </cell>
          <cell r="N8767"/>
          <cell r="O8767">
            <v>45768</v>
          </cell>
          <cell r="P8767"/>
          <cell r="Q8767">
            <v>45772</v>
          </cell>
          <cell r="R8767">
            <v>45772</v>
          </cell>
          <cell r="S8767"/>
          <cell r="T8767"/>
          <cell r="U8767" t="str">
            <v>TMS 기구 Module 작업</v>
          </cell>
          <cell r="V8767"/>
          <cell r="W8767"/>
          <cell r="X8767">
            <v>41100374</v>
          </cell>
        </row>
        <row r="8768">
          <cell r="K8768"/>
          <cell r="L8768">
            <v>45769</v>
          </cell>
          <cell r="M8768">
            <v>45769</v>
          </cell>
          <cell r="N8768"/>
          <cell r="O8768">
            <v>45769</v>
          </cell>
          <cell r="P8768"/>
          <cell r="Q8768">
            <v>45775</v>
          </cell>
          <cell r="R8768">
            <v>45775</v>
          </cell>
          <cell r="S8768"/>
          <cell r="T8768"/>
          <cell r="U8768" t="str">
            <v>TMS 기구 Module 작업</v>
          </cell>
          <cell r="V8768"/>
          <cell r="W8768"/>
          <cell r="X8768">
            <v>41200076</v>
          </cell>
        </row>
        <row r="8769">
          <cell r="K8769"/>
          <cell r="L8769">
            <v>45769</v>
          </cell>
          <cell r="M8769">
            <v>45769</v>
          </cell>
          <cell r="N8769"/>
          <cell r="O8769">
            <v>45769</v>
          </cell>
          <cell r="P8769"/>
          <cell r="Q8769">
            <v>45775</v>
          </cell>
          <cell r="R8769">
            <v>45775</v>
          </cell>
          <cell r="S8769"/>
          <cell r="T8769"/>
          <cell r="U8769" t="str">
            <v>TMS 기구 Module 작업</v>
          </cell>
          <cell r="V8769"/>
          <cell r="W8769"/>
          <cell r="X8769">
            <v>41200036</v>
          </cell>
        </row>
        <row r="8770">
          <cell r="K8770"/>
          <cell r="L8770">
            <v>45770</v>
          </cell>
          <cell r="M8770">
            <v>45770</v>
          </cell>
          <cell r="N8770"/>
          <cell r="O8770">
            <v>45770</v>
          </cell>
          <cell r="P8770"/>
          <cell r="Q8770">
            <v>45776</v>
          </cell>
          <cell r="R8770">
            <v>45776</v>
          </cell>
          <cell r="S8770"/>
          <cell r="T8770"/>
          <cell r="U8770" t="str">
            <v>TMS 기구 Module 작업</v>
          </cell>
          <cell r="V8770"/>
          <cell r="W8770"/>
          <cell r="X8770">
            <v>41200147</v>
          </cell>
        </row>
        <row r="8771">
          <cell r="K8771"/>
          <cell r="L8771">
            <v>45770</v>
          </cell>
          <cell r="M8771">
            <v>45770</v>
          </cell>
          <cell r="N8771"/>
          <cell r="O8771">
            <v>45770</v>
          </cell>
          <cell r="P8771"/>
          <cell r="Q8771">
            <v>45776</v>
          </cell>
          <cell r="R8771">
            <v>45776</v>
          </cell>
          <cell r="S8771"/>
          <cell r="T8771"/>
          <cell r="U8771" t="str">
            <v>TMS 기구 Module 작업</v>
          </cell>
          <cell r="V8771"/>
          <cell r="W8771"/>
          <cell r="X8771">
            <v>41200155</v>
          </cell>
        </row>
        <row r="8772">
          <cell r="K8772"/>
          <cell r="L8772">
            <v>45770</v>
          </cell>
          <cell r="M8772">
            <v>45770</v>
          </cell>
          <cell r="N8772"/>
          <cell r="O8772">
            <v>45770</v>
          </cell>
          <cell r="P8772"/>
          <cell r="Q8772">
            <v>45776</v>
          </cell>
          <cell r="R8772">
            <v>45776</v>
          </cell>
          <cell r="S8772"/>
          <cell r="T8772"/>
          <cell r="U8772" t="str">
            <v>TMS 기구 Module 작업</v>
          </cell>
          <cell r="V8772"/>
          <cell r="W8772"/>
          <cell r="X8772">
            <v>41000598</v>
          </cell>
        </row>
        <row r="8773">
          <cell r="K8773"/>
          <cell r="L8773">
            <v>45770</v>
          </cell>
          <cell r="M8773">
            <v>45770</v>
          </cell>
          <cell r="N8773"/>
          <cell r="O8773">
            <v>45770</v>
          </cell>
          <cell r="P8773"/>
          <cell r="Q8773">
            <v>45776</v>
          </cell>
          <cell r="R8773">
            <v>45776</v>
          </cell>
          <cell r="S8773"/>
          <cell r="T8773"/>
          <cell r="U8773" t="str">
            <v>TMS 기구 Module 작업</v>
          </cell>
          <cell r="V8773"/>
          <cell r="W8773"/>
          <cell r="X8773">
            <v>41200034</v>
          </cell>
        </row>
        <row r="8774">
          <cell r="K8774"/>
          <cell r="L8774">
            <v>45771</v>
          </cell>
          <cell r="M8774">
            <v>45771</v>
          </cell>
          <cell r="N8774"/>
          <cell r="O8774">
            <v>45771</v>
          </cell>
          <cell r="P8774"/>
          <cell r="Q8774">
            <v>45777</v>
          </cell>
          <cell r="R8774">
            <v>45777</v>
          </cell>
          <cell r="S8774"/>
          <cell r="T8774"/>
          <cell r="U8774" t="str">
            <v>TMS 기구 Module 작업</v>
          </cell>
          <cell r="V8774"/>
          <cell r="W8774"/>
          <cell r="X8774">
            <v>41200036</v>
          </cell>
        </row>
        <row r="8775">
          <cell r="K8775"/>
          <cell r="L8775">
            <v>45771</v>
          </cell>
          <cell r="M8775">
            <v>45771</v>
          </cell>
          <cell r="N8775"/>
          <cell r="O8775">
            <v>45771</v>
          </cell>
          <cell r="P8775"/>
          <cell r="Q8775">
            <v>45777</v>
          </cell>
          <cell r="R8775">
            <v>45777</v>
          </cell>
          <cell r="S8775"/>
          <cell r="T8775"/>
          <cell r="U8775" t="str">
            <v>TMS 기구 Module 작업</v>
          </cell>
          <cell r="V8775"/>
          <cell r="W8775"/>
          <cell r="X8775">
            <v>41200046</v>
          </cell>
        </row>
        <row r="8776">
          <cell r="K8776"/>
          <cell r="L8776">
            <v>45771</v>
          </cell>
          <cell r="M8776">
            <v>45771</v>
          </cell>
          <cell r="N8776"/>
          <cell r="O8776">
            <v>45771</v>
          </cell>
          <cell r="P8776"/>
          <cell r="Q8776">
            <v>45777</v>
          </cell>
          <cell r="R8776">
            <v>45777</v>
          </cell>
          <cell r="S8776"/>
          <cell r="T8776"/>
          <cell r="U8776" t="str">
            <v>TMS 기구 Module 작업</v>
          </cell>
          <cell r="V8776"/>
          <cell r="W8776"/>
          <cell r="X8776">
            <v>41200061</v>
          </cell>
        </row>
        <row r="8777">
          <cell r="K8777"/>
          <cell r="L8777">
            <v>45770</v>
          </cell>
          <cell r="M8777">
            <v>45770</v>
          </cell>
          <cell r="N8777"/>
          <cell r="O8777">
            <v>45770</v>
          </cell>
          <cell r="P8777"/>
          <cell r="Q8777">
            <v>45776</v>
          </cell>
          <cell r="R8777">
            <v>45776</v>
          </cell>
          <cell r="S8777"/>
          <cell r="T8777"/>
          <cell r="U8777" t="str">
            <v>TMS 기구 Module 작업</v>
          </cell>
          <cell r="V8777"/>
          <cell r="W8777"/>
          <cell r="X8777">
            <v>41200075</v>
          </cell>
        </row>
        <row r="8778">
          <cell r="K8778"/>
          <cell r="L8778">
            <v>45772</v>
          </cell>
          <cell r="M8778">
            <v>45772</v>
          </cell>
          <cell r="N8778"/>
          <cell r="O8778">
            <v>45772</v>
          </cell>
          <cell r="P8778"/>
          <cell r="Q8778">
            <v>45777</v>
          </cell>
          <cell r="R8778">
            <v>45777</v>
          </cell>
          <cell r="S8778"/>
          <cell r="T8778"/>
          <cell r="U8778" t="str">
            <v>TMS 기구 Module 작업</v>
          </cell>
          <cell r="V8778"/>
          <cell r="W8778"/>
          <cell r="X8778">
            <v>41200087</v>
          </cell>
        </row>
        <row r="8779">
          <cell r="K8779"/>
          <cell r="L8779">
            <v>45775</v>
          </cell>
          <cell r="M8779">
            <v>45775</v>
          </cell>
          <cell r="N8779"/>
          <cell r="O8779">
            <v>45775</v>
          </cell>
          <cell r="P8779"/>
          <cell r="Q8779">
            <v>45784</v>
          </cell>
          <cell r="R8779">
            <v>45784</v>
          </cell>
          <cell r="S8779"/>
          <cell r="T8779"/>
          <cell r="U8779" t="str">
            <v>TMS 기구 Module 작업</v>
          </cell>
          <cell r="V8779"/>
          <cell r="W8779"/>
          <cell r="X8779">
            <v>41200038</v>
          </cell>
        </row>
        <row r="8780">
          <cell r="K8780"/>
          <cell r="L8780">
            <v>45775</v>
          </cell>
          <cell r="M8780">
            <v>45775</v>
          </cell>
          <cell r="N8780"/>
          <cell r="O8780">
            <v>45775</v>
          </cell>
          <cell r="P8780"/>
          <cell r="Q8780">
            <v>45779</v>
          </cell>
          <cell r="R8780">
            <v>45779</v>
          </cell>
          <cell r="S8780"/>
          <cell r="T8780"/>
          <cell r="U8780"/>
          <cell r="V8780"/>
          <cell r="W8780"/>
          <cell r="X8780">
            <v>31010651</v>
          </cell>
        </row>
        <row r="8781">
          <cell r="K8781"/>
          <cell r="L8781">
            <v>45775</v>
          </cell>
          <cell r="M8781">
            <v>45775</v>
          </cell>
          <cell r="N8781"/>
          <cell r="O8781">
            <v>45775</v>
          </cell>
          <cell r="P8781"/>
          <cell r="Q8781">
            <v>45785</v>
          </cell>
          <cell r="R8781">
            <v>45785</v>
          </cell>
          <cell r="S8781"/>
          <cell r="T8781"/>
          <cell r="U8781" t="str">
            <v>TMS 기구 Module 작업</v>
          </cell>
          <cell r="V8781"/>
          <cell r="W8781"/>
          <cell r="X8781">
            <v>41200101</v>
          </cell>
        </row>
        <row r="8782">
          <cell r="K8782"/>
          <cell r="L8782">
            <v>45775</v>
          </cell>
          <cell r="M8782">
            <v>45775</v>
          </cell>
          <cell r="N8782"/>
          <cell r="O8782">
            <v>45775</v>
          </cell>
          <cell r="P8782"/>
          <cell r="Q8782">
            <v>45785</v>
          </cell>
          <cell r="R8782">
            <v>45785</v>
          </cell>
          <cell r="S8782"/>
          <cell r="T8782"/>
          <cell r="U8782" t="str">
            <v>TMS 기구 Module 작업</v>
          </cell>
          <cell r="V8782"/>
          <cell r="W8782"/>
          <cell r="X8782">
            <v>41200153</v>
          </cell>
        </row>
        <row r="8783">
          <cell r="K8783"/>
          <cell r="L8783">
            <v>45776</v>
          </cell>
          <cell r="M8783">
            <v>45776</v>
          </cell>
          <cell r="N8783"/>
          <cell r="O8783">
            <v>45776</v>
          </cell>
          <cell r="P8783"/>
          <cell r="Q8783">
            <v>45785</v>
          </cell>
          <cell r="R8783">
            <v>45785</v>
          </cell>
          <cell r="S8783"/>
          <cell r="T8783"/>
          <cell r="U8783" t="str">
            <v>TMS 기구 Module 작업</v>
          </cell>
          <cell r="V8783"/>
          <cell r="W8783"/>
          <cell r="X8783">
            <v>41200076</v>
          </cell>
        </row>
        <row r="8784">
          <cell r="K8784"/>
          <cell r="L8784">
            <v>45777</v>
          </cell>
          <cell r="M8784">
            <v>45777</v>
          </cell>
          <cell r="N8784"/>
          <cell r="O8784">
            <v>45777</v>
          </cell>
          <cell r="P8784"/>
          <cell r="Q8784">
            <v>45786</v>
          </cell>
          <cell r="R8784">
            <v>45786</v>
          </cell>
          <cell r="S8784"/>
          <cell r="T8784"/>
          <cell r="U8784" t="str">
            <v>TMS 기구 Module 작업</v>
          </cell>
          <cell r="V8784"/>
          <cell r="W8784"/>
          <cell r="X8784">
            <v>41200128</v>
          </cell>
        </row>
        <row r="8785">
          <cell r="K8785"/>
          <cell r="L8785">
            <v>45777</v>
          </cell>
          <cell r="M8785">
            <v>45777</v>
          </cell>
          <cell r="N8785"/>
          <cell r="O8785">
            <v>45777</v>
          </cell>
          <cell r="P8785"/>
          <cell r="Q8785">
            <v>45786</v>
          </cell>
          <cell r="R8785">
            <v>45786</v>
          </cell>
          <cell r="S8785"/>
          <cell r="T8785"/>
          <cell r="U8785" t="str">
            <v>TMS 기구 Module 작업</v>
          </cell>
          <cell r="V8785"/>
          <cell r="W8785"/>
          <cell r="X8785">
            <v>41200149</v>
          </cell>
        </row>
        <row r="8786">
          <cell r="K8786"/>
          <cell r="L8786">
            <v>45770</v>
          </cell>
          <cell r="M8786" t="str">
            <v>2025-04-28 → 5/2</v>
          </cell>
          <cell r="N8786"/>
          <cell r="O8786" t="str">
            <v>2025-04-28 → 5/2</v>
          </cell>
          <cell r="P8786"/>
          <cell r="Q8786" t="str">
            <v>2025-05-02 → 5/9</v>
          </cell>
          <cell r="R8786" t="str">
            <v>2025-05-02 → 5/9</v>
          </cell>
          <cell r="S8786"/>
          <cell r="T8786"/>
          <cell r="U8786" t="str">
            <v>TMS 기구 Module 작업</v>
          </cell>
          <cell r="V8786"/>
          <cell r="W8786"/>
          <cell r="X8786">
            <v>41200055</v>
          </cell>
        </row>
        <row r="8787">
          <cell r="K8787"/>
          <cell r="L8787">
            <v>45784</v>
          </cell>
          <cell r="M8787">
            <v>45784</v>
          </cell>
          <cell r="N8787"/>
          <cell r="O8787">
            <v>45784</v>
          </cell>
          <cell r="P8787"/>
          <cell r="Q8787">
            <v>45790</v>
          </cell>
          <cell r="R8787">
            <v>45790</v>
          </cell>
          <cell r="S8787"/>
          <cell r="T8787"/>
          <cell r="U8787" t="str">
            <v>TMS 기구 Module 작업</v>
          </cell>
          <cell r="V8787"/>
          <cell r="W8787"/>
          <cell r="X8787">
            <v>41200039</v>
          </cell>
        </row>
        <row r="8788">
          <cell r="K8788"/>
          <cell r="L8788">
            <v>45784</v>
          </cell>
          <cell r="M8788">
            <v>45784</v>
          </cell>
          <cell r="N8788"/>
          <cell r="O8788">
            <v>45784</v>
          </cell>
          <cell r="P8788"/>
          <cell r="Q8788">
            <v>45790</v>
          </cell>
          <cell r="R8788">
            <v>45790</v>
          </cell>
          <cell r="S8788"/>
          <cell r="T8788"/>
          <cell r="U8788" t="str">
            <v>TMS 기구 Module 작업</v>
          </cell>
          <cell r="V8788"/>
          <cell r="W8788"/>
          <cell r="X8788">
            <v>41200034</v>
          </cell>
        </row>
        <row r="8789">
          <cell r="K8789"/>
          <cell r="L8789">
            <v>45784</v>
          </cell>
          <cell r="M8789">
            <v>45784</v>
          </cell>
          <cell r="N8789"/>
          <cell r="O8789">
            <v>45784</v>
          </cell>
          <cell r="P8789"/>
          <cell r="Q8789">
            <v>45790</v>
          </cell>
          <cell r="R8789">
            <v>45790</v>
          </cell>
          <cell r="S8789"/>
          <cell r="T8789"/>
          <cell r="U8789" t="str">
            <v>TMS 기구 Module 작업</v>
          </cell>
          <cell r="V8789"/>
          <cell r="W8789"/>
          <cell r="X8789">
            <v>41000516</v>
          </cell>
        </row>
        <row r="8790">
          <cell r="K8790"/>
          <cell r="L8790">
            <v>45785</v>
          </cell>
          <cell r="M8790">
            <v>45785</v>
          </cell>
          <cell r="N8790"/>
          <cell r="O8790">
            <v>45785</v>
          </cell>
          <cell r="P8790"/>
          <cell r="Q8790">
            <v>45792</v>
          </cell>
          <cell r="R8790">
            <v>45792</v>
          </cell>
          <cell r="S8790"/>
          <cell r="T8790"/>
          <cell r="U8790" t="str">
            <v>TMS 기구 Module 작업</v>
          </cell>
          <cell r="V8790"/>
          <cell r="W8790"/>
          <cell r="X8790">
            <v>41200047</v>
          </cell>
        </row>
        <row r="8791">
          <cell r="K8791"/>
          <cell r="L8791">
            <v>45785</v>
          </cell>
          <cell r="M8791">
            <v>45785</v>
          </cell>
          <cell r="N8791"/>
          <cell r="O8791">
            <v>45785</v>
          </cell>
          <cell r="P8791"/>
          <cell r="Q8791">
            <v>45792</v>
          </cell>
          <cell r="R8791">
            <v>45792</v>
          </cell>
          <cell r="S8791"/>
          <cell r="T8791"/>
          <cell r="U8791" t="str">
            <v>TMS 기구 Module 작업</v>
          </cell>
          <cell r="V8791"/>
          <cell r="W8791"/>
          <cell r="X8791">
            <v>41200047</v>
          </cell>
        </row>
        <row r="8792">
          <cell r="K8792"/>
          <cell r="L8792">
            <v>45786</v>
          </cell>
          <cell r="M8792">
            <v>45786</v>
          </cell>
          <cell r="N8792"/>
          <cell r="O8792">
            <v>45786</v>
          </cell>
          <cell r="P8792"/>
          <cell r="Q8792">
            <v>45792</v>
          </cell>
          <cell r="R8792">
            <v>45792</v>
          </cell>
          <cell r="S8792"/>
          <cell r="T8792"/>
          <cell r="U8792" t="str">
            <v>TMS 기구 Module 작업</v>
          </cell>
          <cell r="V8792"/>
          <cell r="W8792"/>
          <cell r="X8792">
            <v>41000585</v>
          </cell>
        </row>
        <row r="8793">
          <cell r="K8793"/>
          <cell r="L8793">
            <v>45786</v>
          </cell>
          <cell r="M8793">
            <v>45786</v>
          </cell>
          <cell r="N8793"/>
          <cell r="O8793">
            <v>45786</v>
          </cell>
          <cell r="P8793"/>
          <cell r="Q8793">
            <v>45793</v>
          </cell>
          <cell r="R8793">
            <v>45793</v>
          </cell>
          <cell r="S8793"/>
          <cell r="T8793"/>
          <cell r="U8793" t="str">
            <v>TMS 기구 Module 작업</v>
          </cell>
          <cell r="V8793"/>
          <cell r="W8793"/>
          <cell r="X8793">
            <v>41200034</v>
          </cell>
        </row>
        <row r="8794">
          <cell r="K8794"/>
          <cell r="L8794">
            <v>45786</v>
          </cell>
          <cell r="M8794">
            <v>45786</v>
          </cell>
          <cell r="N8794"/>
          <cell r="O8794">
            <v>45786</v>
          </cell>
          <cell r="P8794"/>
          <cell r="Q8794">
            <v>45792</v>
          </cell>
          <cell r="R8794">
            <v>45792</v>
          </cell>
          <cell r="S8794"/>
          <cell r="T8794"/>
          <cell r="U8794" t="str">
            <v>TMS 기구 Module 작업</v>
          </cell>
          <cell r="V8794"/>
          <cell r="W8794"/>
          <cell r="X8794">
            <v>41200101</v>
          </cell>
        </row>
        <row r="8795">
          <cell r="K8795"/>
          <cell r="L8795">
            <v>45786</v>
          </cell>
          <cell r="M8795">
            <v>45786</v>
          </cell>
          <cell r="N8795"/>
          <cell r="O8795">
            <v>45786</v>
          </cell>
          <cell r="P8795"/>
          <cell r="Q8795">
            <v>45792</v>
          </cell>
          <cell r="R8795">
            <v>45792</v>
          </cell>
          <cell r="S8795"/>
          <cell r="T8795"/>
          <cell r="U8795" t="str">
            <v>TMS 기구 Module 작업</v>
          </cell>
          <cell r="V8795"/>
          <cell r="W8795"/>
          <cell r="X8795">
            <v>41200101</v>
          </cell>
        </row>
        <row r="8796">
          <cell r="K8796"/>
          <cell r="L8796">
            <v>45786</v>
          </cell>
          <cell r="M8796">
            <v>45786</v>
          </cell>
          <cell r="N8796"/>
          <cell r="O8796">
            <v>45786</v>
          </cell>
          <cell r="P8796"/>
          <cell r="Q8796">
            <v>45792</v>
          </cell>
          <cell r="R8796">
            <v>45792</v>
          </cell>
          <cell r="S8796"/>
          <cell r="T8796"/>
          <cell r="U8796" t="str">
            <v>TMS 기구 Module 작업</v>
          </cell>
          <cell r="V8796"/>
          <cell r="W8796"/>
          <cell r="X8796">
            <v>41200075</v>
          </cell>
        </row>
        <row r="8797">
          <cell r="K8797"/>
          <cell r="L8797">
            <v>45789</v>
          </cell>
          <cell r="M8797">
            <v>45789</v>
          </cell>
          <cell r="N8797"/>
          <cell r="O8797">
            <v>45789</v>
          </cell>
          <cell r="P8797"/>
          <cell r="Q8797">
            <v>45793</v>
          </cell>
          <cell r="R8797">
            <v>45793</v>
          </cell>
          <cell r="S8797"/>
          <cell r="T8797"/>
          <cell r="U8797" t="str">
            <v>TMS 기구 Module 작업</v>
          </cell>
          <cell r="V8797"/>
          <cell r="W8797"/>
          <cell r="X8797">
            <v>41200076</v>
          </cell>
        </row>
        <row r="8798">
          <cell r="K8798"/>
          <cell r="L8798">
            <v>45789</v>
          </cell>
          <cell r="M8798">
            <v>45789</v>
          </cell>
          <cell r="N8798"/>
          <cell r="O8798">
            <v>45789</v>
          </cell>
          <cell r="P8798"/>
          <cell r="Q8798">
            <v>45793</v>
          </cell>
          <cell r="R8798">
            <v>45793</v>
          </cell>
          <cell r="S8798"/>
          <cell r="T8798"/>
          <cell r="U8798" t="str">
            <v>TMS 기구 Module 작업</v>
          </cell>
          <cell r="V8798"/>
          <cell r="W8798"/>
          <cell r="X8798">
            <v>41100264</v>
          </cell>
        </row>
        <row r="8799">
          <cell r="K8799"/>
          <cell r="L8799">
            <v>45789</v>
          </cell>
          <cell r="M8799">
            <v>45789</v>
          </cell>
          <cell r="N8799"/>
          <cell r="O8799">
            <v>45789</v>
          </cell>
          <cell r="P8799"/>
          <cell r="Q8799">
            <v>45793</v>
          </cell>
          <cell r="R8799">
            <v>45793</v>
          </cell>
          <cell r="S8799"/>
          <cell r="T8799"/>
          <cell r="U8799" t="str">
            <v>TMS 기구 Module 작업</v>
          </cell>
          <cell r="V8799"/>
          <cell r="W8799"/>
          <cell r="X8799">
            <v>41200038</v>
          </cell>
        </row>
        <row r="8800">
          <cell r="K8800"/>
          <cell r="L8800">
            <v>45789</v>
          </cell>
          <cell r="M8800">
            <v>45789</v>
          </cell>
          <cell r="N8800"/>
          <cell r="O8800">
            <v>45789</v>
          </cell>
          <cell r="P8800"/>
          <cell r="Q8800">
            <v>45793</v>
          </cell>
          <cell r="R8800">
            <v>45793</v>
          </cell>
          <cell r="S8800"/>
          <cell r="T8800"/>
          <cell r="U8800" t="str">
            <v>TMS 기구 Module 작업</v>
          </cell>
          <cell r="V8800"/>
          <cell r="W8800"/>
          <cell r="X8800">
            <v>41200039</v>
          </cell>
        </row>
        <row r="8801">
          <cell r="K8801"/>
          <cell r="L8801">
            <v>45789</v>
          </cell>
          <cell r="M8801">
            <v>45789</v>
          </cell>
          <cell r="N8801"/>
          <cell r="O8801">
            <v>45789</v>
          </cell>
          <cell r="P8801"/>
          <cell r="Q8801">
            <v>45793</v>
          </cell>
          <cell r="R8801">
            <v>45793</v>
          </cell>
          <cell r="S8801"/>
          <cell r="T8801"/>
          <cell r="U8801" t="str">
            <v>TMS 기구 Module 작업</v>
          </cell>
          <cell r="V8801"/>
          <cell r="W8801"/>
          <cell r="X8801">
            <v>41100564</v>
          </cell>
        </row>
        <row r="8802">
          <cell r="K8802"/>
          <cell r="L8802">
            <v>45790</v>
          </cell>
          <cell r="M8802">
            <v>45790</v>
          </cell>
          <cell r="N8802"/>
          <cell r="O8802">
            <v>45790</v>
          </cell>
          <cell r="P8802"/>
          <cell r="Q8802">
            <v>45796</v>
          </cell>
          <cell r="R8802">
            <v>45796</v>
          </cell>
          <cell r="S8802"/>
          <cell r="T8802"/>
          <cell r="U8802" t="str">
            <v>TMS 기구 Module 작업</v>
          </cell>
          <cell r="V8802"/>
          <cell r="W8802"/>
          <cell r="X8802">
            <v>41200148</v>
          </cell>
        </row>
        <row r="8803">
          <cell r="K8803"/>
          <cell r="L8803">
            <v>45790</v>
          </cell>
          <cell r="M8803">
            <v>45790</v>
          </cell>
          <cell r="N8803"/>
          <cell r="O8803">
            <v>45790</v>
          </cell>
          <cell r="P8803"/>
          <cell r="Q8803">
            <v>45796</v>
          </cell>
          <cell r="R8803">
            <v>45796</v>
          </cell>
          <cell r="S8803"/>
          <cell r="T8803"/>
          <cell r="U8803" t="str">
            <v>TMS 기구 Module 작업</v>
          </cell>
          <cell r="V8803"/>
          <cell r="W8803"/>
          <cell r="X8803">
            <v>41200036</v>
          </cell>
        </row>
        <row r="8804">
          <cell r="K8804"/>
          <cell r="L8804">
            <v>45790</v>
          </cell>
          <cell r="M8804">
            <v>45790</v>
          </cell>
          <cell r="N8804"/>
          <cell r="O8804">
            <v>45790</v>
          </cell>
          <cell r="P8804"/>
          <cell r="Q8804">
            <v>45796</v>
          </cell>
          <cell r="R8804">
            <v>45796</v>
          </cell>
          <cell r="S8804"/>
          <cell r="T8804"/>
          <cell r="U8804" t="str">
            <v>TMS 기구 Module 작업</v>
          </cell>
          <cell r="V8804"/>
          <cell r="W8804"/>
          <cell r="X8804">
            <v>41200048</v>
          </cell>
        </row>
        <row r="8805">
          <cell r="K8805"/>
          <cell r="L8805">
            <v>45791</v>
          </cell>
          <cell r="M8805">
            <v>45791</v>
          </cell>
          <cell r="N8805"/>
          <cell r="O8805">
            <v>45791</v>
          </cell>
          <cell r="P8805"/>
          <cell r="Q8805">
            <v>45797</v>
          </cell>
          <cell r="R8805">
            <v>45797</v>
          </cell>
          <cell r="S8805"/>
          <cell r="T8805"/>
          <cell r="U8805" t="str">
            <v>TMS 기구 Module 작업</v>
          </cell>
          <cell r="V8805"/>
          <cell r="W8805"/>
          <cell r="X8805">
            <v>41200036</v>
          </cell>
        </row>
        <row r="8806">
          <cell r="K8806"/>
          <cell r="L8806">
            <v>45791</v>
          </cell>
          <cell r="M8806">
            <v>45791</v>
          </cell>
          <cell r="N8806"/>
          <cell r="O8806">
            <v>45791</v>
          </cell>
          <cell r="P8806"/>
          <cell r="Q8806">
            <v>45796</v>
          </cell>
          <cell r="R8806">
            <v>45796</v>
          </cell>
          <cell r="S8806"/>
          <cell r="T8806"/>
          <cell r="U8806" t="str">
            <v>TMS 기구 Module 작업</v>
          </cell>
          <cell r="V8806"/>
          <cell r="W8806"/>
          <cell r="X8806">
            <v>41200075</v>
          </cell>
        </row>
        <row r="8807">
          <cell r="K8807"/>
          <cell r="L8807">
            <v>45792</v>
          </cell>
          <cell r="M8807">
            <v>45792</v>
          </cell>
          <cell r="N8807"/>
          <cell r="O8807">
            <v>45792</v>
          </cell>
          <cell r="P8807"/>
          <cell r="Q8807">
            <v>45798</v>
          </cell>
          <cell r="R8807">
            <v>45798</v>
          </cell>
          <cell r="S8807"/>
          <cell r="T8807"/>
          <cell r="U8807" t="str">
            <v>TMS 기구 Module 작업</v>
          </cell>
          <cell r="V8807"/>
          <cell r="W8807"/>
          <cell r="X8807">
            <v>41100374</v>
          </cell>
        </row>
        <row r="8808">
          <cell r="K8808"/>
          <cell r="L8808">
            <v>45792</v>
          </cell>
          <cell r="M8808">
            <v>45792</v>
          </cell>
          <cell r="N8808"/>
          <cell r="O8808">
            <v>45792</v>
          </cell>
          <cell r="P8808"/>
          <cell r="Q8808">
            <v>45798</v>
          </cell>
          <cell r="R8808">
            <v>45798</v>
          </cell>
          <cell r="S8808"/>
          <cell r="T8808"/>
          <cell r="U8808" t="str">
            <v>TMS 기구 Module 작업</v>
          </cell>
          <cell r="V8808"/>
          <cell r="W8808"/>
          <cell r="X8808">
            <v>41200081</v>
          </cell>
        </row>
        <row r="8809">
          <cell r="K8809"/>
          <cell r="L8809">
            <v>45784</v>
          </cell>
          <cell r="M8809" t="str">
            <v>2025-05-07 → 5/15</v>
          </cell>
          <cell r="N8809"/>
          <cell r="O8809">
            <v>45768</v>
          </cell>
          <cell r="P8809"/>
          <cell r="Q8809" t="str">
            <v>2025-05-16 → 5/26</v>
          </cell>
          <cell r="R8809" t="str">
            <v>2025-05-19 → 5/26</v>
          </cell>
          <cell r="S8809"/>
          <cell r="T8809"/>
          <cell r="U8809"/>
          <cell r="V8809"/>
          <cell r="W8809"/>
          <cell r="X8809">
            <v>31011019</v>
          </cell>
        </row>
        <row r="8810">
          <cell r="K8810"/>
          <cell r="L8810">
            <v>45784</v>
          </cell>
          <cell r="M8810" t="str">
            <v>2025-05-07 → 5/15</v>
          </cell>
          <cell r="N8810"/>
          <cell r="O8810">
            <v>45768</v>
          </cell>
          <cell r="P8810"/>
          <cell r="Q8810" t="str">
            <v>2025-05-15 → 5/23</v>
          </cell>
          <cell r="R8810" t="str">
            <v>2025-05-16 → 5/23</v>
          </cell>
          <cell r="S8810"/>
          <cell r="T8810"/>
          <cell r="U8810"/>
          <cell r="V8810"/>
          <cell r="W8810"/>
          <cell r="X8810">
            <v>31102555</v>
          </cell>
        </row>
        <row r="8811">
          <cell r="K8811"/>
          <cell r="L8811">
            <v>45792</v>
          </cell>
          <cell r="M8811">
            <v>45792</v>
          </cell>
          <cell r="N8811"/>
          <cell r="O8811">
            <v>45792</v>
          </cell>
          <cell r="P8811"/>
          <cell r="Q8811">
            <v>45798</v>
          </cell>
          <cell r="R8811">
            <v>45798</v>
          </cell>
          <cell r="S8811"/>
          <cell r="T8811"/>
          <cell r="U8811" t="str">
            <v>TMS 기구 Module 작업</v>
          </cell>
          <cell r="V8811"/>
          <cell r="W8811"/>
          <cell r="X8811">
            <v>41200131</v>
          </cell>
        </row>
        <row r="8812">
          <cell r="K8812"/>
          <cell r="L8812">
            <v>45793</v>
          </cell>
          <cell r="M8812">
            <v>45793</v>
          </cell>
          <cell r="N8812"/>
          <cell r="O8812">
            <v>45793</v>
          </cell>
          <cell r="P8812"/>
          <cell r="Q8812">
            <v>45799</v>
          </cell>
          <cell r="R8812">
            <v>45799</v>
          </cell>
          <cell r="S8812"/>
          <cell r="T8812"/>
          <cell r="U8812" t="str">
            <v>TMS 기구 Module 작업</v>
          </cell>
          <cell r="V8812"/>
          <cell r="W8812"/>
          <cell r="X8812">
            <v>41200076</v>
          </cell>
        </row>
        <row r="8813">
          <cell r="K8813"/>
          <cell r="L8813">
            <v>45793</v>
          </cell>
          <cell r="M8813">
            <v>45793</v>
          </cell>
          <cell r="N8813"/>
          <cell r="O8813">
            <v>45793</v>
          </cell>
          <cell r="P8813"/>
          <cell r="Q8813">
            <v>45799</v>
          </cell>
          <cell r="R8813">
            <v>45799</v>
          </cell>
          <cell r="S8813"/>
          <cell r="T8813"/>
          <cell r="U8813" t="str">
            <v>TMS 기구 Module 작업</v>
          </cell>
          <cell r="V8813"/>
          <cell r="W8813"/>
          <cell r="X8813">
            <v>41200129</v>
          </cell>
        </row>
        <row r="8814">
          <cell r="K8814"/>
          <cell r="L8814">
            <v>45793</v>
          </cell>
          <cell r="M8814">
            <v>45793</v>
          </cell>
          <cell r="N8814"/>
          <cell r="O8814">
            <v>45793</v>
          </cell>
          <cell r="P8814"/>
          <cell r="Q8814">
            <v>45799</v>
          </cell>
          <cell r="R8814">
            <v>45799</v>
          </cell>
          <cell r="S8814"/>
          <cell r="T8814"/>
          <cell r="U8814" t="str">
            <v>TMS 기구 Module 작업</v>
          </cell>
          <cell r="V8814"/>
          <cell r="W8814"/>
          <cell r="X8814">
            <v>41200075</v>
          </cell>
        </row>
        <row r="8815">
          <cell r="K8815"/>
          <cell r="L8815">
            <v>45796</v>
          </cell>
          <cell r="M8815">
            <v>45796</v>
          </cell>
          <cell r="N8815"/>
          <cell r="O8815">
            <v>45796</v>
          </cell>
          <cell r="P8815"/>
          <cell r="Q8815">
            <v>45800</v>
          </cell>
          <cell r="R8815">
            <v>45800</v>
          </cell>
          <cell r="S8815"/>
          <cell r="T8815"/>
          <cell r="U8815" t="str">
            <v>TMS 기구 Module 작업</v>
          </cell>
          <cell r="V8815"/>
          <cell r="W8815"/>
          <cell r="X8815">
            <v>41100550</v>
          </cell>
        </row>
        <row r="8816">
          <cell r="K8816"/>
          <cell r="L8816">
            <v>45796</v>
          </cell>
          <cell r="M8816">
            <v>45796</v>
          </cell>
          <cell r="N8816"/>
          <cell r="O8816">
            <v>45796</v>
          </cell>
          <cell r="P8816"/>
          <cell r="Q8816">
            <v>45800</v>
          </cell>
          <cell r="R8816">
            <v>45800</v>
          </cell>
          <cell r="S8816"/>
          <cell r="T8816"/>
          <cell r="U8816" t="str">
            <v>TMS 기구 Module 작업</v>
          </cell>
          <cell r="V8816"/>
          <cell r="W8816"/>
          <cell r="X8816">
            <v>41200034</v>
          </cell>
        </row>
        <row r="8817">
          <cell r="K8817"/>
          <cell r="L8817">
            <v>45797</v>
          </cell>
          <cell r="M8817">
            <v>45797</v>
          </cell>
          <cell r="N8817"/>
          <cell r="O8817">
            <v>45797</v>
          </cell>
          <cell r="P8817"/>
          <cell r="Q8817">
            <v>45803</v>
          </cell>
          <cell r="R8817">
            <v>45803</v>
          </cell>
          <cell r="S8817"/>
          <cell r="T8817"/>
          <cell r="U8817" t="str">
            <v>TMS 기구 Module 작업</v>
          </cell>
          <cell r="V8817"/>
          <cell r="W8817"/>
          <cell r="X8817">
            <v>41200147</v>
          </cell>
        </row>
        <row r="8818">
          <cell r="K8818"/>
          <cell r="L8818">
            <v>45797</v>
          </cell>
          <cell r="M8818">
            <v>45797</v>
          </cell>
          <cell r="N8818"/>
          <cell r="O8818">
            <v>45797</v>
          </cell>
          <cell r="P8818"/>
          <cell r="Q8818">
            <v>45803</v>
          </cell>
          <cell r="R8818">
            <v>45803</v>
          </cell>
          <cell r="S8818"/>
          <cell r="T8818"/>
          <cell r="U8818" t="str">
            <v>TMS 기구 Module 작업</v>
          </cell>
          <cell r="V8818"/>
          <cell r="W8818"/>
          <cell r="X8818">
            <v>41200047</v>
          </cell>
        </row>
        <row r="8819">
          <cell r="K8819"/>
          <cell r="L8819">
            <v>45798</v>
          </cell>
          <cell r="M8819">
            <v>45798</v>
          </cell>
          <cell r="N8819"/>
          <cell r="O8819">
            <v>45798</v>
          </cell>
          <cell r="P8819"/>
          <cell r="Q8819">
            <v>45804</v>
          </cell>
          <cell r="R8819">
            <v>45804</v>
          </cell>
          <cell r="S8819"/>
          <cell r="T8819"/>
          <cell r="U8819" t="str">
            <v>TMS 기구 Module 작업</v>
          </cell>
          <cell r="V8819"/>
          <cell r="W8819"/>
          <cell r="X8819">
            <v>41200036</v>
          </cell>
        </row>
        <row r="8820">
          <cell r="K8820"/>
          <cell r="L8820">
            <v>45799</v>
          </cell>
          <cell r="M8820">
            <v>45799</v>
          </cell>
          <cell r="N8820"/>
          <cell r="O8820">
            <v>45799</v>
          </cell>
          <cell r="P8820"/>
          <cell r="Q8820">
            <v>45805</v>
          </cell>
          <cell r="R8820">
            <v>45805</v>
          </cell>
          <cell r="S8820"/>
          <cell r="T8820"/>
          <cell r="U8820" t="str">
            <v>TMS 기구 Module 작업</v>
          </cell>
          <cell r="V8820"/>
          <cell r="W8820"/>
          <cell r="X8820">
            <v>41200122</v>
          </cell>
        </row>
        <row r="8821">
          <cell r="K8821"/>
          <cell r="L8821">
            <v>45799</v>
          </cell>
          <cell r="M8821">
            <v>45799</v>
          </cell>
          <cell r="N8821"/>
          <cell r="O8821">
            <v>45799</v>
          </cell>
          <cell r="P8821"/>
          <cell r="Q8821">
            <v>45805</v>
          </cell>
          <cell r="R8821">
            <v>45805</v>
          </cell>
          <cell r="S8821"/>
          <cell r="T8821"/>
          <cell r="U8821" t="str">
            <v>TMS 기구 Module 작업</v>
          </cell>
          <cell r="V8821"/>
          <cell r="W8821"/>
          <cell r="X8821">
            <v>41200034</v>
          </cell>
        </row>
        <row r="8822">
          <cell r="K8822"/>
          <cell r="L8822">
            <v>45799</v>
          </cell>
          <cell r="M8822">
            <v>45799</v>
          </cell>
          <cell r="N8822"/>
          <cell r="O8822">
            <v>45799</v>
          </cell>
          <cell r="P8822"/>
          <cell r="Q8822">
            <v>45805</v>
          </cell>
          <cell r="R8822">
            <v>45805</v>
          </cell>
          <cell r="S8822"/>
          <cell r="T8822"/>
          <cell r="U8822" t="str">
            <v>TMS 기구 Module 작업</v>
          </cell>
          <cell r="V8822"/>
          <cell r="W8822"/>
          <cell r="X8822">
            <v>41200047</v>
          </cell>
        </row>
        <row r="8823">
          <cell r="K8823"/>
          <cell r="L8823">
            <v>45800</v>
          </cell>
          <cell r="M8823">
            <v>45800</v>
          </cell>
          <cell r="N8823"/>
          <cell r="O8823">
            <v>45800</v>
          </cell>
          <cell r="P8823"/>
          <cell r="Q8823">
            <v>45806</v>
          </cell>
          <cell r="R8823">
            <v>45806</v>
          </cell>
          <cell r="S8823"/>
          <cell r="T8823"/>
          <cell r="U8823" t="str">
            <v>TMS 기구 Module 작업</v>
          </cell>
          <cell r="V8823"/>
          <cell r="W8823"/>
          <cell r="X8823">
            <v>41200076</v>
          </cell>
        </row>
        <row r="8824">
          <cell r="K8824"/>
          <cell r="L8824">
            <v>45800</v>
          </cell>
          <cell r="M8824">
            <v>45800</v>
          </cell>
          <cell r="N8824"/>
          <cell r="O8824">
            <v>45800</v>
          </cell>
          <cell r="P8824"/>
          <cell r="Q8824">
            <v>45806</v>
          </cell>
          <cell r="R8824">
            <v>45806</v>
          </cell>
          <cell r="S8824"/>
          <cell r="T8824"/>
          <cell r="U8824" t="str">
            <v>TMS 기구 Module 작업</v>
          </cell>
          <cell r="V8824"/>
          <cell r="W8824"/>
          <cell r="X8824">
            <v>41200127</v>
          </cell>
        </row>
        <row r="8825">
          <cell r="K8825"/>
          <cell r="L8825">
            <v>45803</v>
          </cell>
          <cell r="M8825">
            <v>45803</v>
          </cell>
          <cell r="N8825"/>
          <cell r="O8825">
            <v>45803</v>
          </cell>
          <cell r="P8825"/>
          <cell r="Q8825">
            <v>45807</v>
          </cell>
          <cell r="R8825">
            <v>45807</v>
          </cell>
          <cell r="S8825"/>
          <cell r="T8825"/>
          <cell r="U8825" t="str">
            <v>TMS 기구 Module 작업</v>
          </cell>
          <cell r="V8825"/>
          <cell r="W8825"/>
          <cell r="X8825">
            <v>41200109</v>
          </cell>
        </row>
        <row r="8826">
          <cell r="K8826"/>
          <cell r="L8826">
            <v>45709</v>
          </cell>
          <cell r="M8826" t="str">
            <v>2025-02-21 → 10/20</v>
          </cell>
          <cell r="N8826"/>
          <cell r="O8826" t="str">
            <v>2025-02-21 → 10/20</v>
          </cell>
          <cell r="P8826"/>
          <cell r="Q8826" t="str">
            <v>2025-02-27 → 10/24</v>
          </cell>
          <cell r="R8826" t="str">
            <v>2025-02-27 → 10/24</v>
          </cell>
          <cell r="S8826"/>
          <cell r="T8826"/>
          <cell r="U8826" t="str">
            <v>TMS 기구 Module 작업</v>
          </cell>
          <cell r="V8826"/>
          <cell r="W8826"/>
          <cell r="X8826">
            <v>41100320</v>
          </cell>
        </row>
        <row r="8827">
          <cell r="K8827"/>
          <cell r="L8827">
            <v>45757</v>
          </cell>
          <cell r="M8827" t="str">
            <v>2025-04-10 → 4/29</v>
          </cell>
          <cell r="N8827"/>
          <cell r="O8827" t="str">
            <v>2025-04-10 → 4/29</v>
          </cell>
          <cell r="P8827"/>
          <cell r="Q8827" t="str">
            <v>2025-04-16 → 5/8</v>
          </cell>
          <cell r="R8827" t="str">
            <v>2025-04-16 → 5/8</v>
          </cell>
          <cell r="S8827"/>
          <cell r="T8827"/>
          <cell r="U8827" t="str">
            <v>TMS 기구 Module 작업</v>
          </cell>
          <cell r="V8827"/>
          <cell r="W8827"/>
          <cell r="X8827">
            <v>41200146</v>
          </cell>
        </row>
        <row r="8828">
          <cell r="K8828"/>
          <cell r="L8828">
            <v>45757</v>
          </cell>
          <cell r="M8828">
            <v>45757</v>
          </cell>
          <cell r="N8828"/>
          <cell r="O8828">
            <v>45757</v>
          </cell>
          <cell r="P8828"/>
          <cell r="Q8828">
            <v>45763</v>
          </cell>
          <cell r="R8828">
            <v>45763</v>
          </cell>
          <cell r="S8828"/>
          <cell r="T8828"/>
          <cell r="U8828" t="str">
            <v>TMS 기구 Module 작업</v>
          </cell>
          <cell r="V8828"/>
          <cell r="W8828"/>
          <cell r="X8828">
            <v>41200145</v>
          </cell>
        </row>
        <row r="8829">
          <cell r="K8829"/>
          <cell r="L8829">
            <v>45708</v>
          </cell>
          <cell r="M8829" t="str">
            <v>2025-02-20 → 9/26</v>
          </cell>
          <cell r="N8829"/>
          <cell r="O8829" t="str">
            <v>2025-02-20 → 9/26</v>
          </cell>
          <cell r="P8829"/>
          <cell r="Q8829" t="str">
            <v>2025-02-27 → 10/2</v>
          </cell>
          <cell r="R8829" t="str">
            <v>2025-02-27 → 10/2</v>
          </cell>
          <cell r="S8829"/>
          <cell r="T8829"/>
          <cell r="U8829" t="str">
            <v>TMS 기구 Module 작업</v>
          </cell>
          <cell r="V8829"/>
          <cell r="W8829"/>
          <cell r="X8829">
            <v>41200076</v>
          </cell>
        </row>
        <row r="8830">
          <cell r="K8830"/>
          <cell r="L8830">
            <v>45712</v>
          </cell>
          <cell r="M8830" t="str">
            <v>2025-02-24 → 3/13</v>
          </cell>
          <cell r="N8830"/>
          <cell r="O8830" t="str">
            <v>2025-02-24 → 3/13</v>
          </cell>
          <cell r="P8830"/>
          <cell r="Q8830" t="str">
            <v>2025-02-28 → 3/19</v>
          </cell>
          <cell r="R8830" t="str">
            <v>2025-02-28 → 3/19</v>
          </cell>
          <cell r="S8830"/>
          <cell r="T8830"/>
          <cell r="U8830" t="str">
            <v>TMS 기구 Module 작업</v>
          </cell>
          <cell r="V8830"/>
          <cell r="W8830"/>
          <cell r="X8830">
            <v>41200101</v>
          </cell>
        </row>
        <row r="8831">
          <cell r="K8831"/>
          <cell r="L8831">
            <v>45421</v>
          </cell>
          <cell r="M8831" t="str">
            <v>2024-05-09 → 5/22</v>
          </cell>
          <cell r="N8831">
            <v>0</v>
          </cell>
          <cell r="O8831" t="str">
            <v>2024-05-09 → 5/22</v>
          </cell>
          <cell r="P8831">
            <v>0</v>
          </cell>
          <cell r="Q8831"/>
          <cell r="R8831"/>
          <cell r="S8831"/>
          <cell r="T8831"/>
          <cell r="U8831" t="str">
            <v>TMS 기구 Module 작업</v>
          </cell>
          <cell r="V8831"/>
          <cell r="W8831"/>
          <cell r="X8831">
            <v>41000597</v>
          </cell>
        </row>
        <row r="8832">
          <cell r="K8832"/>
          <cell r="L8832">
            <v>45148</v>
          </cell>
          <cell r="M8832" t="str">
            <v>2023-08-10 → 24/02/15</v>
          </cell>
          <cell r="N8832">
            <v>0</v>
          </cell>
          <cell r="O8832" t="str">
            <v>2023-08-10 → 24/02/15</v>
          </cell>
          <cell r="P8832">
            <v>0</v>
          </cell>
          <cell r="Q8832"/>
          <cell r="R8832"/>
          <cell r="S8832"/>
          <cell r="T8832"/>
          <cell r="U8832" t="str">
            <v>TMS 기구 Module 작업</v>
          </cell>
          <cell r="V8832"/>
          <cell r="W8832"/>
          <cell r="X8832">
            <v>41100612</v>
          </cell>
        </row>
        <row r="8833">
          <cell r="K8833"/>
          <cell r="L8833">
            <v>45343</v>
          </cell>
          <cell r="M8833">
            <v>45343</v>
          </cell>
          <cell r="N8833">
            <v>0</v>
          </cell>
          <cell r="O8833">
            <v>45343</v>
          </cell>
          <cell r="P8833">
            <v>0</v>
          </cell>
          <cell r="Q8833"/>
          <cell r="R8833"/>
          <cell r="S8833"/>
          <cell r="T8833"/>
          <cell r="U8833" t="str">
            <v>TMS 기구 Module 작업</v>
          </cell>
          <cell r="V8833"/>
          <cell r="W8833"/>
          <cell r="X8833">
            <v>41100558</v>
          </cell>
        </row>
        <row r="8834">
          <cell r="K8834"/>
          <cell r="L8834">
            <v>45251</v>
          </cell>
          <cell r="M8834" t="str">
            <v>2023-11-21 → 24/02/05</v>
          </cell>
          <cell r="N8834">
            <v>0</v>
          </cell>
          <cell r="O8834" t="str">
            <v>2023-11-21 → 24/02/05</v>
          </cell>
          <cell r="P8834">
            <v>0</v>
          </cell>
          <cell r="Q8834"/>
          <cell r="R8834"/>
          <cell r="S8834"/>
          <cell r="T8834"/>
          <cell r="U8834" t="str">
            <v>TMS 기구 Module 작업</v>
          </cell>
          <cell r="V8834"/>
          <cell r="W8834"/>
          <cell r="X8834">
            <v>41100548</v>
          </cell>
        </row>
        <row r="8835">
          <cell r="K8835"/>
          <cell r="L8835">
            <v>45398</v>
          </cell>
          <cell r="M8835">
            <v>45398</v>
          </cell>
          <cell r="N8835">
            <v>0</v>
          </cell>
          <cell r="O8835">
            <v>45398</v>
          </cell>
          <cell r="P8835">
            <v>0</v>
          </cell>
          <cell r="Q8835">
            <v>45404</v>
          </cell>
          <cell r="R8835">
            <v>45404</v>
          </cell>
          <cell r="S8835"/>
          <cell r="T8835"/>
          <cell r="U8835" t="str">
            <v>TMS 기구 Module 작업</v>
          </cell>
          <cell r="V8835"/>
          <cell r="W8835"/>
          <cell r="X8835">
            <v>41100383</v>
          </cell>
        </row>
        <row r="8836">
          <cell r="K8836">
            <v>2</v>
          </cell>
          <cell r="L8836"/>
          <cell r="M8836"/>
          <cell r="N8836"/>
          <cell r="O8836"/>
          <cell r="P8836"/>
          <cell r="Q8836"/>
          <cell r="R8836"/>
          <cell r="S8836"/>
          <cell r="T8836"/>
          <cell r="U8836"/>
          <cell r="V8836"/>
          <cell r="W8836"/>
          <cell r="X8836"/>
        </row>
        <row r="8837">
          <cell r="K8837"/>
          <cell r="L8837">
            <v>45041</v>
          </cell>
          <cell r="M8837">
            <v>45041</v>
          </cell>
          <cell r="N8837">
            <v>0</v>
          </cell>
          <cell r="O8837">
            <v>45041</v>
          </cell>
          <cell r="P8837">
            <v>0</v>
          </cell>
          <cell r="Q8837">
            <v>45050</v>
          </cell>
          <cell r="R8837">
            <v>45050</v>
          </cell>
          <cell r="S8837"/>
          <cell r="T8837"/>
          <cell r="U8837" t="str">
            <v>넥셀 Module 작업</v>
          </cell>
          <cell r="V8837"/>
          <cell r="W8837"/>
          <cell r="X8837">
            <v>41100642</v>
          </cell>
        </row>
        <row r="8838">
          <cell r="K8838" t="str">
            <v>GBWS-0142</v>
          </cell>
          <cell r="L8838">
            <v>43346</v>
          </cell>
          <cell r="M8838"/>
          <cell r="N8838"/>
          <cell r="O8838"/>
          <cell r="P8838"/>
          <cell r="Q8838"/>
          <cell r="R8838"/>
          <cell r="S8838"/>
          <cell r="T8838"/>
          <cell r="U8838"/>
          <cell r="V8838"/>
          <cell r="W8838"/>
          <cell r="X8838"/>
        </row>
        <row r="8839">
          <cell r="K8839" t="str">
            <v>AWS-0002</v>
          </cell>
          <cell r="L8839">
            <v>43809</v>
          </cell>
          <cell r="M8839">
            <v>43809</v>
          </cell>
          <cell r="N8839">
            <v>43840</v>
          </cell>
          <cell r="O8839">
            <v>43809</v>
          </cell>
          <cell r="P8839">
            <v>43840</v>
          </cell>
          <cell r="Q8839"/>
          <cell r="R8839"/>
          <cell r="S8839"/>
          <cell r="T8839">
            <v>43841</v>
          </cell>
          <cell r="U8839">
            <v>43868</v>
          </cell>
          <cell r="V8839"/>
          <cell r="W8839"/>
          <cell r="X8839"/>
        </row>
        <row r="8840">
          <cell r="K8840"/>
          <cell r="L8840"/>
          <cell r="M8840">
            <v>44378</v>
          </cell>
          <cell r="N8840"/>
          <cell r="O8840">
            <v>44378</v>
          </cell>
          <cell r="P8840"/>
          <cell r="Q8840">
            <v>44391</v>
          </cell>
          <cell r="R8840">
            <v>44391</v>
          </cell>
          <cell r="S8840"/>
          <cell r="T8840"/>
          <cell r="U8840"/>
          <cell r="V8840"/>
          <cell r="W8840"/>
          <cell r="X8840">
            <v>41100350</v>
          </cell>
        </row>
        <row r="8841">
          <cell r="K8841" t="str">
            <v>GHCW-0003</v>
          </cell>
          <cell r="L8841">
            <v>44649</v>
          </cell>
          <cell r="M8841">
            <v>44649</v>
          </cell>
          <cell r="N8841">
            <v>44663</v>
          </cell>
          <cell r="O8841">
            <v>44649</v>
          </cell>
          <cell r="P8841">
            <v>44663</v>
          </cell>
          <cell r="Q8841">
            <v>44658</v>
          </cell>
          <cell r="R8841">
            <v>44658</v>
          </cell>
          <cell r="S8841"/>
          <cell r="T8841" t="str">
            <v>가압불가</v>
          </cell>
          <cell r="U8841">
            <v>44666</v>
          </cell>
          <cell r="V8841"/>
          <cell r="W8841"/>
          <cell r="X8841">
            <v>41100476</v>
          </cell>
        </row>
        <row r="8842">
          <cell r="K8842" t="str">
            <v>NPWS-0001</v>
          </cell>
          <cell r="L8842">
            <v>44657</v>
          </cell>
          <cell r="M8842">
            <v>44662</v>
          </cell>
          <cell r="N8842">
            <v>44674</v>
          </cell>
          <cell r="O8842">
            <v>44662</v>
          </cell>
          <cell r="P8842">
            <v>44677</v>
          </cell>
          <cell r="Q8842">
            <v>44673</v>
          </cell>
          <cell r="R8842">
            <v>44673</v>
          </cell>
          <cell r="S8842"/>
          <cell r="T8842" t="str">
            <v>-</v>
          </cell>
          <cell r="U8842"/>
          <cell r="V8842"/>
          <cell r="W8842"/>
          <cell r="X8842" t="str">
            <v>연구개발</v>
          </cell>
        </row>
        <row r="8843">
          <cell r="K8843" t="str">
            <v>-</v>
          </cell>
          <cell r="L8843">
            <v>44700</v>
          </cell>
          <cell r="M8843">
            <v>44700</v>
          </cell>
          <cell r="N8843">
            <v>44732</v>
          </cell>
          <cell r="O8843">
            <v>44700</v>
          </cell>
          <cell r="P8843">
            <v>44761</v>
          </cell>
          <cell r="Q8843">
            <v>44705</v>
          </cell>
          <cell r="R8843">
            <v>44705</v>
          </cell>
          <cell r="S8843"/>
          <cell r="T8843"/>
          <cell r="U8843"/>
          <cell r="V8843"/>
          <cell r="W8843"/>
          <cell r="X8843"/>
        </row>
        <row r="8844">
          <cell r="K8844"/>
          <cell r="L8844">
            <v>44768</v>
          </cell>
          <cell r="M8844">
            <v>44769</v>
          </cell>
          <cell r="N8844">
            <v>44817</v>
          </cell>
          <cell r="O8844">
            <v>44769</v>
          </cell>
          <cell r="P8844">
            <v>44817</v>
          </cell>
          <cell r="Q8844">
            <v>44778</v>
          </cell>
          <cell r="R8844">
            <v>44778</v>
          </cell>
          <cell r="S8844"/>
          <cell r="T8844"/>
          <cell r="U8844"/>
          <cell r="V8844"/>
          <cell r="W8844"/>
          <cell r="X8844"/>
        </row>
        <row r="8845">
          <cell r="K8845"/>
          <cell r="L8845">
            <v>44768</v>
          </cell>
          <cell r="M8845">
            <v>44769</v>
          </cell>
          <cell r="N8845">
            <v>44817</v>
          </cell>
          <cell r="O8845">
            <v>44769</v>
          </cell>
          <cell r="P8845">
            <v>44817</v>
          </cell>
          <cell r="Q8845">
            <v>44778</v>
          </cell>
          <cell r="R8845">
            <v>44778</v>
          </cell>
          <cell r="S8845"/>
          <cell r="T8845"/>
          <cell r="U8845"/>
          <cell r="V8845"/>
          <cell r="W8845"/>
          <cell r="X8845"/>
        </row>
        <row r="8846">
          <cell r="K8846"/>
          <cell r="L8846"/>
          <cell r="M8846">
            <v>44183</v>
          </cell>
          <cell r="N8846"/>
          <cell r="O8846">
            <v>44183</v>
          </cell>
          <cell r="P8846"/>
          <cell r="Q8846"/>
          <cell r="R8846"/>
          <cell r="S8846"/>
          <cell r="T8846"/>
          <cell r="U8846"/>
          <cell r="V8846"/>
          <cell r="W8846"/>
          <cell r="X8846" t="str">
            <v>31101118 → 31101262</v>
          </cell>
        </row>
        <row r="8847">
          <cell r="K8847" t="str">
            <v>GBW-0251,0252</v>
          </cell>
          <cell r="L8847">
            <v>42744</v>
          </cell>
          <cell r="M8847" t="str">
            <v>-</v>
          </cell>
          <cell r="N8847" t="str">
            <v>-</v>
          </cell>
          <cell r="O8847"/>
          <cell r="P8847"/>
          <cell r="Q8847"/>
          <cell r="R8847"/>
          <cell r="S8847"/>
          <cell r="T8847"/>
          <cell r="U8847"/>
          <cell r="V8847"/>
          <cell r="W8847"/>
          <cell r="X8847">
            <v>41000401</v>
          </cell>
        </row>
        <row r="8848">
          <cell r="K8848"/>
          <cell r="L8848"/>
          <cell r="M8848">
            <v>44146</v>
          </cell>
          <cell r="N8848"/>
          <cell r="O8848">
            <v>44146</v>
          </cell>
          <cell r="P8848"/>
          <cell r="Q8848"/>
          <cell r="R8848"/>
          <cell r="S8848"/>
          <cell r="T8848"/>
          <cell r="U8848"/>
          <cell r="V8848"/>
          <cell r="W8848"/>
          <cell r="X8848">
            <v>41100174</v>
          </cell>
        </row>
        <row r="8849">
          <cell r="K8849"/>
          <cell r="L8849"/>
          <cell r="M8849">
            <v>44153</v>
          </cell>
          <cell r="N8849"/>
          <cell r="O8849">
            <v>44153</v>
          </cell>
          <cell r="P8849"/>
          <cell r="Q8849"/>
          <cell r="R8849"/>
          <cell r="S8849"/>
          <cell r="T8849"/>
          <cell r="U8849"/>
          <cell r="V8849"/>
          <cell r="W8849"/>
          <cell r="X8849">
            <v>41100174</v>
          </cell>
        </row>
        <row r="8850">
          <cell r="K8850"/>
          <cell r="L8850"/>
          <cell r="M8850">
            <v>44161</v>
          </cell>
          <cell r="N8850"/>
          <cell r="O8850">
            <v>44161</v>
          </cell>
          <cell r="P8850"/>
          <cell r="Q8850"/>
          <cell r="R8850"/>
          <cell r="S8850"/>
          <cell r="T8850"/>
          <cell r="U8850"/>
          <cell r="V8850"/>
          <cell r="W8850"/>
          <cell r="X8850">
            <v>41100173</v>
          </cell>
        </row>
        <row r="8851">
          <cell r="K8851"/>
          <cell r="L8851"/>
          <cell r="M8851"/>
          <cell r="N8851"/>
          <cell r="O8851"/>
          <cell r="P8851"/>
          <cell r="Q8851"/>
          <cell r="R8851"/>
          <cell r="S8851"/>
          <cell r="T8851"/>
          <cell r="U8851"/>
          <cell r="V8851"/>
          <cell r="W8851"/>
          <cell r="X8851"/>
        </row>
        <row r="8852">
          <cell r="K8852"/>
          <cell r="L8852"/>
          <cell r="M8852"/>
          <cell r="N8852"/>
          <cell r="O8852"/>
          <cell r="P8852"/>
          <cell r="Q8852"/>
          <cell r="R8852"/>
          <cell r="S8852"/>
          <cell r="T8852"/>
          <cell r="U8852"/>
          <cell r="V8852"/>
          <cell r="W8852"/>
          <cell r="X8852"/>
        </row>
        <row r="8853">
          <cell r="K8853"/>
          <cell r="L8853"/>
          <cell r="M8853"/>
          <cell r="N8853"/>
          <cell r="O8853"/>
          <cell r="P8853"/>
          <cell r="Q8853"/>
          <cell r="R8853"/>
          <cell r="S8853"/>
          <cell r="T8853"/>
          <cell r="U8853"/>
          <cell r="V8853"/>
          <cell r="W8853"/>
          <cell r="X8853"/>
        </row>
        <row r="8854">
          <cell r="K8854"/>
          <cell r="L8854"/>
          <cell r="M8854"/>
          <cell r="N8854"/>
          <cell r="O8854"/>
          <cell r="P8854"/>
          <cell r="Q8854"/>
          <cell r="R8854"/>
          <cell r="S8854"/>
          <cell r="T8854"/>
          <cell r="U8854"/>
          <cell r="V8854"/>
          <cell r="W8854"/>
          <cell r="X8854"/>
        </row>
        <row r="8855">
          <cell r="K8855" t="str">
            <v>GBWS-2201</v>
          </cell>
          <cell r="L8855"/>
          <cell r="M8855"/>
          <cell r="N8855"/>
          <cell r="O8855"/>
          <cell r="P8855"/>
          <cell r="Q8855"/>
          <cell r="R8855"/>
          <cell r="S8855"/>
          <cell r="T8855"/>
          <cell r="U8855"/>
          <cell r="V8855"/>
          <cell r="W8855"/>
          <cell r="X8855"/>
        </row>
        <row r="8856">
          <cell r="K8856" t="str">
            <v>GBWS-2202</v>
          </cell>
        </row>
        <row r="8857">
          <cell r="K8857"/>
        </row>
        <row r="8858">
          <cell r="K8858" t="str">
            <v>GBWS-2844</v>
          </cell>
        </row>
        <row r="8859">
          <cell r="K8859" t="str">
            <v>GBWS-2845</v>
          </cell>
        </row>
        <row r="8860">
          <cell r="K8860" t="str">
            <v>GBWS-2846</v>
          </cell>
        </row>
        <row r="8861">
          <cell r="K8861" t="str">
            <v>GBWS-3094</v>
          </cell>
        </row>
        <row r="8862">
          <cell r="K8862"/>
        </row>
        <row r="8863">
          <cell r="K8863" t="str">
            <v>GBWS-3128</v>
          </cell>
        </row>
        <row r="8864">
          <cell r="K8864" t="str">
            <v>GBWS-3129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 tint="-0.249977111117893"/>
    <pageSetUpPr fitToPage="1"/>
  </sheetPr>
  <dimension ref="A1:S48"/>
  <sheetViews>
    <sheetView zoomScaleNormal="100" zoomScaleSheetLayoutView="100" workbookViewId="0">
      <selection activeCell="C28" sqref="C28"/>
    </sheetView>
  </sheetViews>
  <sheetFormatPr defaultColWidth="0" defaultRowHeight="12" customHeight="1" zeroHeight="1"/>
  <cols>
    <col min="1" max="1" width="4.7109375" customWidth="1"/>
    <col min="2" max="2" width="9.28515625" bestFit="1" customWidth="1"/>
    <col min="3" max="3" width="16.42578125" bestFit="1" customWidth="1"/>
    <col min="4" max="7" width="15.7109375" customWidth="1"/>
    <col min="8" max="8" width="3" customWidth="1"/>
    <col min="9" max="9" width="9.28515625" customWidth="1"/>
    <col min="10" max="10" width="13.7109375" customWidth="1"/>
    <col min="11" max="14" width="15.7109375" customWidth="1"/>
    <col min="15" max="15" width="3" customWidth="1"/>
    <col min="16" max="16" width="9.140625" hidden="1" customWidth="1"/>
    <col min="17" max="19" width="0" hidden="1" customWidth="1"/>
    <col min="20" max="16384" width="9.140625" hidden="1"/>
  </cols>
  <sheetData>
    <row r="1" spans="2:14" ht="12" customHeight="1"/>
    <row r="2" spans="2:14" ht="30" customHeight="1">
      <c r="B2" s="684" t="s">
        <v>0</v>
      </c>
      <c r="C2" s="685"/>
      <c r="D2" s="685"/>
      <c r="E2" s="685"/>
      <c r="F2" s="685"/>
      <c r="G2" s="686"/>
      <c r="H2" s="675"/>
      <c r="I2" s="694" t="s">
        <v>1</v>
      </c>
      <c r="J2" s="685"/>
      <c r="K2" s="685"/>
      <c r="L2" s="685"/>
      <c r="M2" s="685"/>
      <c r="N2" s="686"/>
    </row>
    <row r="3" spans="2:14" ht="15" customHeight="1">
      <c r="B3" s="695" t="s">
        <v>2</v>
      </c>
      <c r="C3" s="678" t="s">
        <v>3</v>
      </c>
      <c r="D3" s="679"/>
      <c r="E3" s="679"/>
      <c r="F3" s="679"/>
      <c r="G3" s="680"/>
      <c r="H3" s="676"/>
      <c r="I3" s="696" t="s">
        <v>2</v>
      </c>
      <c r="J3" s="678" t="s">
        <v>4</v>
      </c>
      <c r="K3" s="679"/>
      <c r="L3" s="679"/>
      <c r="M3" s="679"/>
      <c r="N3" s="680"/>
    </row>
    <row r="4" spans="2:14" ht="15" customHeight="1">
      <c r="B4" s="673"/>
      <c r="C4" s="681"/>
      <c r="D4" s="682"/>
      <c r="E4" s="682"/>
      <c r="F4" s="682"/>
      <c r="G4" s="683"/>
      <c r="H4" s="676"/>
      <c r="I4" s="673"/>
      <c r="J4" s="681"/>
      <c r="K4" s="682"/>
      <c r="L4" s="682"/>
      <c r="M4" s="682"/>
      <c r="N4" s="683"/>
    </row>
    <row r="5" spans="2:14" ht="15" customHeight="1">
      <c r="B5" s="673" t="s">
        <v>5</v>
      </c>
      <c r="C5" s="687" t="s">
        <v>6</v>
      </c>
      <c r="D5" s="688"/>
      <c r="E5" s="688"/>
      <c r="F5" s="688"/>
      <c r="G5" s="689"/>
      <c r="H5" s="676"/>
      <c r="I5" s="673" t="s">
        <v>5</v>
      </c>
      <c r="J5" s="690" t="s">
        <v>7</v>
      </c>
      <c r="K5" s="691"/>
      <c r="L5" s="691"/>
      <c r="M5" s="691"/>
      <c r="N5" s="692"/>
    </row>
    <row r="6" spans="2:14" ht="15" customHeight="1">
      <c r="B6" s="673"/>
      <c r="C6" s="687"/>
      <c r="D6" s="688"/>
      <c r="E6" s="688"/>
      <c r="F6" s="688"/>
      <c r="G6" s="689"/>
      <c r="H6" s="676"/>
      <c r="I6" s="673"/>
      <c r="J6" s="690"/>
      <c r="K6" s="691"/>
      <c r="L6" s="691"/>
      <c r="M6" s="691"/>
      <c r="N6" s="692"/>
    </row>
    <row r="7" spans="2:14" ht="15" customHeight="1">
      <c r="B7" s="673"/>
      <c r="C7" s="687"/>
      <c r="D7" s="688"/>
      <c r="E7" s="688"/>
      <c r="F7" s="688"/>
      <c r="G7" s="689"/>
      <c r="H7" s="676"/>
      <c r="I7" s="673"/>
      <c r="J7" s="690"/>
      <c r="K7" s="691"/>
      <c r="L7" s="691"/>
      <c r="M7" s="691"/>
      <c r="N7" s="692"/>
    </row>
    <row r="8" spans="2:14" ht="15" customHeight="1">
      <c r="B8" s="673" t="s">
        <v>8</v>
      </c>
      <c r="C8" s="667" t="s">
        <v>9</v>
      </c>
      <c r="D8" s="668"/>
      <c r="E8" s="668"/>
      <c r="F8" s="668"/>
      <c r="G8" s="669"/>
      <c r="H8" s="676"/>
      <c r="I8" s="673" t="s">
        <v>8</v>
      </c>
      <c r="J8" s="667" t="s">
        <v>10</v>
      </c>
      <c r="K8" s="668"/>
      <c r="L8" s="668"/>
      <c r="M8" s="668"/>
      <c r="N8" s="669"/>
    </row>
    <row r="9" spans="2:14" ht="15" customHeight="1">
      <c r="B9" s="673"/>
      <c r="C9" s="667"/>
      <c r="D9" s="668"/>
      <c r="E9" s="668"/>
      <c r="F9" s="668"/>
      <c r="G9" s="669"/>
      <c r="H9" s="676"/>
      <c r="I9" s="673"/>
      <c r="J9" s="700" t="s">
        <v>11</v>
      </c>
      <c r="K9" s="701"/>
      <c r="L9" s="701"/>
      <c r="M9" s="701"/>
      <c r="N9" s="702"/>
    </row>
    <row r="10" spans="2:14" ht="15" customHeight="1">
      <c r="B10" s="673"/>
      <c r="C10" s="667" t="s">
        <v>12</v>
      </c>
      <c r="D10" s="668"/>
      <c r="E10" s="668"/>
      <c r="F10" s="668"/>
      <c r="G10" s="669"/>
      <c r="H10" s="676"/>
      <c r="I10" s="673"/>
      <c r="J10" s="667" t="s">
        <v>13</v>
      </c>
      <c r="K10" s="668"/>
      <c r="L10" s="668"/>
      <c r="M10" s="668"/>
      <c r="N10" s="669"/>
    </row>
    <row r="11" spans="2:14" ht="15" customHeight="1">
      <c r="B11" s="673"/>
      <c r="C11" s="667"/>
      <c r="D11" s="668"/>
      <c r="E11" s="668"/>
      <c r="F11" s="668"/>
      <c r="G11" s="669"/>
      <c r="H11" s="676"/>
      <c r="I11" s="673"/>
      <c r="J11" s="667" t="s">
        <v>14</v>
      </c>
      <c r="K11" s="668"/>
      <c r="L11" s="668"/>
      <c r="M11" s="668"/>
      <c r="N11" s="669"/>
    </row>
    <row r="12" spans="2:14" ht="15" customHeight="1">
      <c r="B12" s="673"/>
      <c r="C12" s="667" t="s">
        <v>15</v>
      </c>
      <c r="D12" s="668"/>
      <c r="E12" s="668"/>
      <c r="F12" s="668"/>
      <c r="G12" s="669"/>
      <c r="H12" s="676"/>
      <c r="I12" s="673"/>
      <c r="J12" s="667" t="s">
        <v>16</v>
      </c>
      <c r="K12" s="668"/>
      <c r="L12" s="668"/>
      <c r="M12" s="668"/>
      <c r="N12" s="669"/>
    </row>
    <row r="13" spans="2:14" ht="15" customHeight="1">
      <c r="B13" s="673"/>
      <c r="C13" s="667"/>
      <c r="D13" s="668"/>
      <c r="E13" s="668"/>
      <c r="F13" s="668"/>
      <c r="G13" s="669"/>
      <c r="H13" s="676"/>
      <c r="I13" s="673"/>
      <c r="J13" s="667" t="s">
        <v>17</v>
      </c>
      <c r="K13" s="668"/>
      <c r="L13" s="668"/>
      <c r="M13" s="668"/>
      <c r="N13" s="669"/>
    </row>
    <row r="14" spans="2:14" ht="15" customHeight="1">
      <c r="B14" s="673"/>
      <c r="C14" s="667" t="s">
        <v>18</v>
      </c>
      <c r="D14" s="668"/>
      <c r="E14" s="668"/>
      <c r="F14" s="668"/>
      <c r="G14" s="669"/>
      <c r="H14" s="676"/>
      <c r="I14" s="673"/>
      <c r="J14" s="667" t="s">
        <v>19</v>
      </c>
      <c r="K14" s="668"/>
      <c r="L14" s="668"/>
      <c r="M14" s="668"/>
      <c r="N14" s="669"/>
    </row>
    <row r="15" spans="2:14" ht="15" customHeight="1">
      <c r="B15" s="674"/>
      <c r="C15" s="670"/>
      <c r="D15" s="671"/>
      <c r="E15" s="671"/>
      <c r="F15" s="671"/>
      <c r="G15" s="672"/>
      <c r="H15" s="677"/>
      <c r="I15" s="674"/>
      <c r="J15" s="670" t="s">
        <v>20</v>
      </c>
      <c r="K15" s="671"/>
      <c r="L15" s="671"/>
      <c r="M15" s="671"/>
      <c r="N15" s="672"/>
    </row>
    <row r="16" spans="2:14"/>
    <row r="17" spans="2:18" ht="24.95" customHeight="1">
      <c r="B17" s="627" t="s">
        <v>21</v>
      </c>
      <c r="C17" s="628"/>
      <c r="D17" s="628"/>
      <c r="E17" s="628"/>
      <c r="F17" s="628"/>
      <c r="G17" s="629"/>
      <c r="I17" s="697" t="s">
        <v>22</v>
      </c>
      <c r="J17" s="698"/>
      <c r="K17" s="698"/>
      <c r="L17" s="698"/>
      <c r="M17" s="698"/>
      <c r="N17" s="699"/>
    </row>
    <row r="18" spans="2:18" ht="54.95" customHeight="1">
      <c r="B18" s="49" t="s">
        <v>23</v>
      </c>
      <c r="C18" s="50" t="s">
        <v>24</v>
      </c>
      <c r="D18" s="633" t="s">
        <v>25</v>
      </c>
      <c r="E18" s="634"/>
      <c r="F18" s="634"/>
      <c r="G18" s="635"/>
      <c r="I18" s="152" t="s">
        <v>23</v>
      </c>
      <c r="J18" s="153" t="s">
        <v>26</v>
      </c>
      <c r="K18" s="664" t="s">
        <v>27</v>
      </c>
      <c r="L18" s="665"/>
      <c r="M18" s="665"/>
      <c r="N18" s="666"/>
      <c r="R18" s="45"/>
    </row>
    <row r="19" spans="2:18" ht="12" customHeight="1">
      <c r="B19" s="645" t="s">
        <v>28</v>
      </c>
      <c r="C19" s="646"/>
      <c r="D19" s="646"/>
      <c r="E19" s="646"/>
      <c r="F19" s="646"/>
      <c r="G19" s="647"/>
      <c r="I19" s="654"/>
      <c r="J19" s="655"/>
      <c r="K19" s="655"/>
      <c r="L19" s="655"/>
      <c r="M19" s="655"/>
      <c r="N19" s="656"/>
      <c r="R19" s="45"/>
    </row>
    <row r="20" spans="2:18" ht="54.95" customHeight="1">
      <c r="B20" s="51" t="s">
        <v>29</v>
      </c>
      <c r="C20" s="46" t="s">
        <v>30</v>
      </c>
      <c r="D20" s="636" t="s">
        <v>31</v>
      </c>
      <c r="E20" s="637"/>
      <c r="F20" s="637"/>
      <c r="G20" s="638"/>
      <c r="I20" s="147" t="s">
        <v>29</v>
      </c>
      <c r="J20" s="144" t="s">
        <v>30</v>
      </c>
      <c r="K20" s="703" t="s">
        <v>32</v>
      </c>
      <c r="L20" s="704"/>
      <c r="M20" s="704"/>
      <c r="N20" s="705"/>
    </row>
    <row r="21" spans="2:18" ht="12" customHeight="1">
      <c r="B21" s="645" t="s">
        <v>28</v>
      </c>
      <c r="C21" s="646"/>
      <c r="D21" s="646"/>
      <c r="E21" s="646"/>
      <c r="F21" s="646"/>
      <c r="G21" s="647"/>
      <c r="I21" s="654"/>
      <c r="J21" s="655"/>
      <c r="K21" s="655"/>
      <c r="L21" s="655"/>
      <c r="M21" s="655"/>
      <c r="N21" s="656"/>
    </row>
    <row r="22" spans="2:18" ht="54.95" customHeight="1">
      <c r="B22" s="52" t="s">
        <v>33</v>
      </c>
      <c r="C22" s="47" t="s">
        <v>34</v>
      </c>
      <c r="D22" s="639" t="s">
        <v>35</v>
      </c>
      <c r="E22" s="640"/>
      <c r="F22" s="640"/>
      <c r="G22" s="641"/>
      <c r="I22" s="148" t="s">
        <v>33</v>
      </c>
      <c r="J22" s="145" t="s">
        <v>36</v>
      </c>
      <c r="K22" s="648" t="s">
        <v>37</v>
      </c>
      <c r="L22" s="649"/>
      <c r="M22" s="649"/>
      <c r="N22" s="650"/>
    </row>
    <row r="23" spans="2:18" ht="54.95" customHeight="1">
      <c r="B23" s="53" t="s">
        <v>38</v>
      </c>
      <c r="C23" s="48" t="s">
        <v>39</v>
      </c>
      <c r="D23" s="642" t="s">
        <v>40</v>
      </c>
      <c r="E23" s="643"/>
      <c r="F23" s="643"/>
      <c r="G23" s="644"/>
      <c r="I23" s="149" t="s">
        <v>38</v>
      </c>
      <c r="J23" s="146" t="s">
        <v>39</v>
      </c>
      <c r="K23" s="642" t="s">
        <v>40</v>
      </c>
      <c r="L23" s="643"/>
      <c r="M23" s="643"/>
      <c r="N23" s="644"/>
    </row>
    <row r="24" spans="2:18" ht="54.95" customHeight="1">
      <c r="B24" s="54" t="s">
        <v>41</v>
      </c>
      <c r="C24" s="55" t="s">
        <v>42</v>
      </c>
      <c r="D24" s="657" t="s">
        <v>43</v>
      </c>
      <c r="E24" s="658"/>
      <c r="F24" s="658"/>
      <c r="G24" s="659"/>
      <c r="I24" s="150" t="s">
        <v>44</v>
      </c>
      <c r="J24" s="151" t="s">
        <v>45</v>
      </c>
      <c r="K24" s="651" t="s">
        <v>46</v>
      </c>
      <c r="L24" s="652"/>
      <c r="M24" s="652"/>
      <c r="N24" s="653"/>
    </row>
    <row r="25" spans="2:18" ht="15" customHeight="1"/>
    <row r="26" spans="2:18" ht="39.75" customHeight="1">
      <c r="B26" s="660" t="s">
        <v>47</v>
      </c>
      <c r="C26" s="661"/>
      <c r="D26" s="662"/>
      <c r="E26" s="662"/>
      <c r="F26" s="662"/>
      <c r="G26" s="663"/>
      <c r="I26" s="627" t="s">
        <v>48</v>
      </c>
      <c r="J26" s="628"/>
      <c r="K26" s="628"/>
      <c r="L26" s="628"/>
      <c r="M26" s="628"/>
      <c r="N26" s="629"/>
    </row>
    <row r="27" spans="2:18" ht="39.75" customHeight="1">
      <c r="B27" s="169" t="s">
        <v>23</v>
      </c>
      <c r="C27" s="165" t="s">
        <v>49</v>
      </c>
      <c r="D27" s="172" t="s">
        <v>50</v>
      </c>
      <c r="E27" s="621" t="s">
        <v>51</v>
      </c>
      <c r="F27" s="621"/>
      <c r="G27" s="622"/>
      <c r="I27" s="630" t="s">
        <v>52</v>
      </c>
      <c r="J27" s="631"/>
      <c r="K27" s="631"/>
      <c r="L27" s="632"/>
      <c r="M27" s="630" t="s">
        <v>53</v>
      </c>
      <c r="N27" s="632"/>
    </row>
    <row r="28" spans="2:18" ht="39.75" customHeight="1">
      <c r="B28" s="170" t="s">
        <v>29</v>
      </c>
      <c r="C28" s="166" t="s">
        <v>54</v>
      </c>
      <c r="D28" s="173" t="s">
        <v>55</v>
      </c>
      <c r="E28" s="623" t="s">
        <v>56</v>
      </c>
      <c r="F28" s="623"/>
      <c r="G28" s="624"/>
    </row>
    <row r="29" spans="2:18" ht="39.75" customHeight="1">
      <c r="B29" s="170" t="s">
        <v>33</v>
      </c>
      <c r="C29" s="167" t="s">
        <v>57</v>
      </c>
      <c r="D29" s="174" t="s">
        <v>55</v>
      </c>
      <c r="E29" s="625" t="s">
        <v>58</v>
      </c>
      <c r="F29" s="625"/>
      <c r="G29" s="626"/>
    </row>
    <row r="30" spans="2:18" ht="39.75" customHeight="1">
      <c r="B30" s="170" t="s">
        <v>38</v>
      </c>
      <c r="C30" s="167" t="s">
        <v>59</v>
      </c>
      <c r="D30" s="397" t="s">
        <v>55</v>
      </c>
      <c r="E30" s="625" t="s">
        <v>60</v>
      </c>
      <c r="F30" s="625"/>
      <c r="G30" s="626"/>
    </row>
    <row r="31" spans="2:18" ht="39.75" customHeight="1">
      <c r="B31" s="171" t="s">
        <v>41</v>
      </c>
      <c r="C31" s="168" t="s">
        <v>61</v>
      </c>
      <c r="D31" s="398" t="s">
        <v>62</v>
      </c>
      <c r="E31" s="618" t="s">
        <v>63</v>
      </c>
      <c r="F31" s="619"/>
      <c r="G31" s="620"/>
    </row>
    <row r="32" spans="2:18" ht="15" customHeight="1"/>
    <row r="33" spans="2:6" ht="222" customHeight="1">
      <c r="B33" s="693"/>
      <c r="C33" s="693"/>
      <c r="D33" s="693"/>
      <c r="E33" s="693"/>
      <c r="F33" s="693"/>
    </row>
    <row r="34" spans="2:6" ht="15" hidden="1" customHeight="1"/>
    <row r="35" spans="2:6" ht="15" hidden="1" customHeight="1"/>
    <row r="36" spans="2:6" ht="15" hidden="1" customHeight="1"/>
    <row r="37" spans="2:6" ht="15" hidden="1" customHeight="1"/>
    <row r="38" spans="2:6" ht="15" hidden="1" customHeight="1"/>
    <row r="39" spans="2:6" ht="15" hidden="1" customHeight="1"/>
    <row r="40" spans="2:6" ht="15" hidden="1" customHeight="1"/>
    <row r="41" spans="2:6" ht="15" hidden="1" customHeight="1"/>
    <row r="42" spans="2:6" ht="15" hidden="1" customHeight="1"/>
    <row r="43" spans="2:6" ht="15" hidden="1" customHeight="1"/>
    <row r="44" spans="2:6" ht="15" hidden="1" customHeight="1"/>
    <row r="45" spans="2:6" ht="15" hidden="1" customHeight="1"/>
    <row r="46" spans="2:6" ht="7.5" hidden="1" customHeight="1"/>
    <row r="47" spans="2:6" ht="12" customHeight="1"/>
    <row r="48" spans="2:6" ht="12" customHeight="1"/>
  </sheetData>
  <mergeCells count="51">
    <mergeCell ref="B33:F33"/>
    <mergeCell ref="I2:N2"/>
    <mergeCell ref="B3:B4"/>
    <mergeCell ref="I3:I4"/>
    <mergeCell ref="I17:N17"/>
    <mergeCell ref="J3:N4"/>
    <mergeCell ref="J8:N8"/>
    <mergeCell ref="J9:N9"/>
    <mergeCell ref="J10:N10"/>
    <mergeCell ref="J11:N11"/>
    <mergeCell ref="J12:N12"/>
    <mergeCell ref="C8:G9"/>
    <mergeCell ref="C10:G11"/>
    <mergeCell ref="C12:G13"/>
    <mergeCell ref="I19:N19"/>
    <mergeCell ref="K20:N20"/>
    <mergeCell ref="B17:G17"/>
    <mergeCell ref="J13:N13"/>
    <mergeCell ref="J14:N14"/>
    <mergeCell ref="J15:N15"/>
    <mergeCell ref="I8:I15"/>
    <mergeCell ref="B8:B15"/>
    <mergeCell ref="H2:H15"/>
    <mergeCell ref="C3:G4"/>
    <mergeCell ref="B2:G2"/>
    <mergeCell ref="B5:B7"/>
    <mergeCell ref="C5:G7"/>
    <mergeCell ref="J5:N7"/>
    <mergeCell ref="I5:I7"/>
    <mergeCell ref="C14:G15"/>
    <mergeCell ref="I26:N26"/>
    <mergeCell ref="I27:L27"/>
    <mergeCell ref="M27:N27"/>
    <mergeCell ref="D18:G18"/>
    <mergeCell ref="D20:G20"/>
    <mergeCell ref="D22:G22"/>
    <mergeCell ref="D23:G23"/>
    <mergeCell ref="B19:G19"/>
    <mergeCell ref="B21:G21"/>
    <mergeCell ref="K22:N22"/>
    <mergeCell ref="K23:N23"/>
    <mergeCell ref="K24:N24"/>
    <mergeCell ref="I21:N21"/>
    <mergeCell ref="D24:G24"/>
    <mergeCell ref="B26:G26"/>
    <mergeCell ref="K18:N18"/>
    <mergeCell ref="E31:G31"/>
    <mergeCell ref="E27:G27"/>
    <mergeCell ref="E28:G28"/>
    <mergeCell ref="E29:G29"/>
    <mergeCell ref="E30:G30"/>
  </mergeCells>
  <phoneticPr fontId="7" type="noConversion"/>
  <pageMargins left="0.7" right="0.7" top="0.75" bottom="0.75" header="0.3" footer="0.3"/>
  <pageSetup paperSize="9" scale="9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EDDBA-45BA-4578-ABC4-7C0252CE75D9}">
  <sheetPr>
    <tabColor rgb="FFFFFF00"/>
  </sheetPr>
  <dimension ref="B1:E1675"/>
  <sheetViews>
    <sheetView workbookViewId="0">
      <pane ySplit="2" topLeftCell="A780" activePane="bottomLeft" state="frozen"/>
      <selection pane="bottomLeft" activeCell="D653" sqref="D653"/>
    </sheetView>
  </sheetViews>
  <sheetFormatPr defaultColWidth="0" defaultRowHeight="12"/>
  <cols>
    <col min="1" max="1" width="3.7109375" customWidth="1"/>
    <col min="2" max="2" width="12.42578125" customWidth="1"/>
    <col min="3" max="3" width="31.7109375" bestFit="1" customWidth="1"/>
    <col min="4" max="4" width="73.42578125" customWidth="1"/>
    <col min="5" max="5" width="41" customWidth="1"/>
    <col min="6" max="6" width="2.5703125" customWidth="1"/>
  </cols>
  <sheetData>
    <row r="1" spans="2:5" ht="37.5">
      <c r="B1" s="706" t="s">
        <v>64</v>
      </c>
      <c r="C1" s="706"/>
      <c r="D1" s="706"/>
      <c r="E1" s="706"/>
    </row>
    <row r="2" spans="2:5" ht="33">
      <c r="B2" s="559" t="s">
        <v>65</v>
      </c>
      <c r="C2" s="560" t="s">
        <v>66</v>
      </c>
      <c r="D2" s="561" t="s">
        <v>67</v>
      </c>
      <c r="E2" s="561" t="s">
        <v>68</v>
      </c>
    </row>
    <row r="3" spans="2:5" ht="16.5">
      <c r="B3" s="410">
        <v>11002335</v>
      </c>
      <c r="C3" s="562" t="s">
        <v>69</v>
      </c>
      <c r="D3" s="557" t="s">
        <v>70</v>
      </c>
      <c r="E3" s="556" t="s">
        <v>71</v>
      </c>
    </row>
    <row r="4" spans="2:5" ht="16.5">
      <c r="B4" s="410">
        <v>11002335</v>
      </c>
      <c r="C4" s="562" t="s">
        <v>69</v>
      </c>
      <c r="D4" s="557" t="s">
        <v>72</v>
      </c>
      <c r="E4" s="556" t="s">
        <v>71</v>
      </c>
    </row>
    <row r="5" spans="2:5" ht="16.5">
      <c r="B5" s="410">
        <v>11002335</v>
      </c>
      <c r="C5" s="562" t="s">
        <v>69</v>
      </c>
      <c r="D5" s="557" t="s">
        <v>73</v>
      </c>
      <c r="E5" s="556" t="s">
        <v>71</v>
      </c>
    </row>
    <row r="6" spans="2:5" ht="16.5">
      <c r="B6" s="410">
        <v>11002335</v>
      </c>
      <c r="C6" s="562" t="s">
        <v>69</v>
      </c>
      <c r="D6" s="557" t="s">
        <v>74</v>
      </c>
      <c r="E6" s="556" t="s">
        <v>71</v>
      </c>
    </row>
    <row r="7" spans="2:5" ht="16.5">
      <c r="B7" s="410">
        <v>11002335</v>
      </c>
      <c r="C7" s="562" t="s">
        <v>69</v>
      </c>
      <c r="D7" s="557" t="s">
        <v>75</v>
      </c>
      <c r="E7" s="556" t="s">
        <v>71</v>
      </c>
    </row>
    <row r="8" spans="2:5" ht="16.5">
      <c r="B8" s="410">
        <v>11002335</v>
      </c>
      <c r="C8" s="562" t="s">
        <v>69</v>
      </c>
      <c r="D8" s="557" t="s">
        <v>76</v>
      </c>
      <c r="E8" s="556" t="s">
        <v>71</v>
      </c>
    </row>
    <row r="9" spans="2:5" ht="16.5">
      <c r="B9" s="410">
        <v>11002335</v>
      </c>
      <c r="C9" s="562" t="s">
        <v>69</v>
      </c>
      <c r="D9" s="557" t="s">
        <v>77</v>
      </c>
      <c r="E9" s="556" t="s">
        <v>71</v>
      </c>
    </row>
    <row r="10" spans="2:5" ht="16.5">
      <c r="B10" s="410">
        <v>11002335</v>
      </c>
      <c r="C10" s="562" t="s">
        <v>69</v>
      </c>
      <c r="D10" s="557" t="s">
        <v>78</v>
      </c>
      <c r="E10" s="556" t="s">
        <v>71</v>
      </c>
    </row>
    <row r="11" spans="2:5" ht="16.5">
      <c r="B11" s="410">
        <v>11006165</v>
      </c>
      <c r="C11" s="562" t="s">
        <v>69</v>
      </c>
      <c r="D11" s="557" t="s">
        <v>79</v>
      </c>
      <c r="E11" s="556" t="s">
        <v>71</v>
      </c>
    </row>
    <row r="12" spans="2:5" ht="16.5">
      <c r="B12" s="410">
        <v>11006165</v>
      </c>
      <c r="C12" s="562" t="s">
        <v>69</v>
      </c>
      <c r="D12" s="557" t="s">
        <v>80</v>
      </c>
      <c r="E12" s="556" t="s">
        <v>71</v>
      </c>
    </row>
    <row r="13" spans="2:5" ht="16.5">
      <c r="B13" s="410">
        <v>11006165</v>
      </c>
      <c r="C13" s="562" t="s">
        <v>69</v>
      </c>
      <c r="D13" s="557" t="s">
        <v>81</v>
      </c>
      <c r="E13" s="556" t="s">
        <v>71</v>
      </c>
    </row>
    <row r="14" spans="2:5" ht="16.5">
      <c r="B14" s="410">
        <v>11006165</v>
      </c>
      <c r="C14" s="562" t="s">
        <v>69</v>
      </c>
      <c r="D14" s="557" t="s">
        <v>82</v>
      </c>
      <c r="E14" s="556" t="s">
        <v>71</v>
      </c>
    </row>
    <row r="15" spans="2:5" ht="16.5">
      <c r="B15" s="410">
        <v>11006165</v>
      </c>
      <c r="C15" s="562" t="s">
        <v>69</v>
      </c>
      <c r="D15" s="557" t="s">
        <v>83</v>
      </c>
      <c r="E15" s="556" t="s">
        <v>71</v>
      </c>
    </row>
    <row r="16" spans="2:5" ht="16.5">
      <c r="B16" s="410">
        <v>11006165</v>
      </c>
      <c r="C16" s="562" t="s">
        <v>69</v>
      </c>
      <c r="D16" s="557" t="s">
        <v>84</v>
      </c>
      <c r="E16" s="556" t="s">
        <v>71</v>
      </c>
    </row>
    <row r="17" spans="2:5" ht="16.5">
      <c r="B17" s="410">
        <v>11006165</v>
      </c>
      <c r="C17" s="562" t="s">
        <v>69</v>
      </c>
      <c r="D17" s="557" t="s">
        <v>85</v>
      </c>
      <c r="E17" s="556" t="s">
        <v>71</v>
      </c>
    </row>
    <row r="18" spans="2:5" ht="16.5">
      <c r="B18" s="410">
        <v>11006165</v>
      </c>
      <c r="C18" s="562" t="s">
        <v>69</v>
      </c>
      <c r="D18" s="557" t="s">
        <v>86</v>
      </c>
      <c r="E18" s="556" t="s">
        <v>71</v>
      </c>
    </row>
    <row r="19" spans="2:5" ht="16.5">
      <c r="B19" s="410">
        <v>11100776</v>
      </c>
      <c r="C19" s="562" t="s">
        <v>69</v>
      </c>
      <c r="D19" s="557" t="s">
        <v>87</v>
      </c>
      <c r="E19" s="556" t="s">
        <v>71</v>
      </c>
    </row>
    <row r="20" spans="2:5" ht="16.5">
      <c r="B20" s="410">
        <v>11100776</v>
      </c>
      <c r="C20" s="562" t="s">
        <v>69</v>
      </c>
      <c r="D20" s="557" t="s">
        <v>88</v>
      </c>
      <c r="E20" s="556" t="s">
        <v>71</v>
      </c>
    </row>
    <row r="21" spans="2:5" ht="16.5">
      <c r="B21" s="410">
        <v>11100776</v>
      </c>
      <c r="C21" s="562" t="s">
        <v>69</v>
      </c>
      <c r="D21" s="557" t="s">
        <v>89</v>
      </c>
      <c r="E21" s="556" t="s">
        <v>71</v>
      </c>
    </row>
    <row r="22" spans="2:5" ht="16.5">
      <c r="B22" s="410">
        <v>11100776</v>
      </c>
      <c r="C22" s="562" t="s">
        <v>69</v>
      </c>
      <c r="D22" s="557" t="s">
        <v>90</v>
      </c>
      <c r="E22" s="556" t="s">
        <v>71</v>
      </c>
    </row>
    <row r="23" spans="2:5" ht="16.5">
      <c r="B23" s="410">
        <v>11100776</v>
      </c>
      <c r="C23" s="562" t="s">
        <v>69</v>
      </c>
      <c r="D23" s="557" t="s">
        <v>91</v>
      </c>
      <c r="E23" s="556" t="s">
        <v>71</v>
      </c>
    </row>
    <row r="24" spans="2:5" ht="16.5">
      <c r="B24" s="410">
        <v>11100776</v>
      </c>
      <c r="C24" s="562" t="s">
        <v>69</v>
      </c>
      <c r="D24" s="557" t="s">
        <v>92</v>
      </c>
      <c r="E24" s="556" t="s">
        <v>71</v>
      </c>
    </row>
    <row r="25" spans="2:5" ht="16.5">
      <c r="B25" s="410">
        <v>11100776</v>
      </c>
      <c r="C25" s="562" t="s">
        <v>69</v>
      </c>
      <c r="D25" s="557" t="s">
        <v>93</v>
      </c>
      <c r="E25" s="556" t="s">
        <v>71</v>
      </c>
    </row>
    <row r="26" spans="2:5" ht="16.5">
      <c r="B26" s="410">
        <v>11100776</v>
      </c>
      <c r="C26" s="562" t="s">
        <v>69</v>
      </c>
      <c r="D26" s="557" t="s">
        <v>94</v>
      </c>
      <c r="E26" s="556" t="s">
        <v>71</v>
      </c>
    </row>
    <row r="27" spans="2:5" ht="16.5">
      <c r="B27" s="410">
        <v>11100477</v>
      </c>
      <c r="C27" s="562" t="s">
        <v>69</v>
      </c>
      <c r="D27" s="557" t="s">
        <v>95</v>
      </c>
      <c r="E27" s="556" t="s">
        <v>71</v>
      </c>
    </row>
    <row r="28" spans="2:5" ht="16.5">
      <c r="B28" s="410">
        <v>11100477</v>
      </c>
      <c r="C28" s="562" t="s">
        <v>69</v>
      </c>
      <c r="D28" s="557" t="s">
        <v>96</v>
      </c>
      <c r="E28" s="556" t="s">
        <v>71</v>
      </c>
    </row>
    <row r="29" spans="2:5" ht="16.5">
      <c r="B29" s="410">
        <v>11100477</v>
      </c>
      <c r="C29" s="562" t="s">
        <v>69</v>
      </c>
      <c r="D29" s="557" t="s">
        <v>97</v>
      </c>
      <c r="E29" s="556" t="s">
        <v>71</v>
      </c>
    </row>
    <row r="30" spans="2:5" ht="16.5">
      <c r="B30" s="410">
        <v>11100477</v>
      </c>
      <c r="C30" s="562" t="s">
        <v>69</v>
      </c>
      <c r="D30" s="557" t="s">
        <v>98</v>
      </c>
      <c r="E30" s="556" t="s">
        <v>71</v>
      </c>
    </row>
    <row r="31" spans="2:5" ht="16.5">
      <c r="B31" s="410">
        <v>11100477</v>
      </c>
      <c r="C31" s="562" t="s">
        <v>69</v>
      </c>
      <c r="D31" s="557" t="s">
        <v>99</v>
      </c>
      <c r="E31" s="556" t="s">
        <v>71</v>
      </c>
    </row>
    <row r="32" spans="2:5" ht="16.5">
      <c r="B32" s="410">
        <v>11100477</v>
      </c>
      <c r="C32" s="562" t="s">
        <v>69</v>
      </c>
      <c r="D32" s="557" t="s">
        <v>100</v>
      </c>
      <c r="E32" s="556" t="s">
        <v>71</v>
      </c>
    </row>
    <row r="33" spans="2:5" ht="16.5">
      <c r="B33" s="410">
        <v>11100477</v>
      </c>
      <c r="C33" s="562" t="s">
        <v>69</v>
      </c>
      <c r="D33" s="557" t="s">
        <v>101</v>
      </c>
      <c r="E33" s="556" t="s">
        <v>71</v>
      </c>
    </row>
    <row r="34" spans="2:5" ht="16.5">
      <c r="B34" s="410">
        <v>11100477</v>
      </c>
      <c r="C34" s="562" t="s">
        <v>69</v>
      </c>
      <c r="D34" s="557" t="s">
        <v>102</v>
      </c>
      <c r="E34" s="556" t="s">
        <v>71</v>
      </c>
    </row>
    <row r="35" spans="2:5" ht="16.5">
      <c r="B35" s="410">
        <v>11003822</v>
      </c>
      <c r="C35" s="562" t="s">
        <v>103</v>
      </c>
      <c r="D35" s="558" t="s">
        <v>104</v>
      </c>
      <c r="E35" s="556" t="s">
        <v>71</v>
      </c>
    </row>
    <row r="36" spans="2:5" ht="16.5">
      <c r="B36" s="410">
        <v>11003822</v>
      </c>
      <c r="C36" s="562" t="s">
        <v>103</v>
      </c>
      <c r="D36" s="558" t="s">
        <v>105</v>
      </c>
      <c r="E36" s="556" t="s">
        <v>71</v>
      </c>
    </row>
    <row r="37" spans="2:5" ht="16.5">
      <c r="B37" s="410">
        <v>11003822</v>
      </c>
      <c r="C37" s="562" t="s">
        <v>103</v>
      </c>
      <c r="D37" s="558" t="s">
        <v>106</v>
      </c>
      <c r="E37" s="556" t="s">
        <v>71</v>
      </c>
    </row>
    <row r="38" spans="2:5" ht="16.5">
      <c r="B38" s="410">
        <v>11003822</v>
      </c>
      <c r="C38" s="562" t="s">
        <v>103</v>
      </c>
      <c r="D38" s="558" t="s">
        <v>107</v>
      </c>
      <c r="E38" s="556" t="s">
        <v>71</v>
      </c>
    </row>
    <row r="39" spans="2:5" ht="16.5">
      <c r="B39" s="410">
        <v>11003822</v>
      </c>
      <c r="C39" s="562" t="s">
        <v>103</v>
      </c>
      <c r="D39" s="558" t="s">
        <v>108</v>
      </c>
      <c r="E39" s="556" t="s">
        <v>71</v>
      </c>
    </row>
    <row r="40" spans="2:5" ht="16.5">
      <c r="B40" s="410">
        <v>11003822</v>
      </c>
      <c r="C40" s="562" t="s">
        <v>103</v>
      </c>
      <c r="D40" s="558" t="s">
        <v>109</v>
      </c>
      <c r="E40" s="556" t="s">
        <v>71</v>
      </c>
    </row>
    <row r="41" spans="2:5" ht="16.5">
      <c r="B41" s="410">
        <v>11003822</v>
      </c>
      <c r="C41" s="562" t="s">
        <v>103</v>
      </c>
      <c r="D41" s="558" t="s">
        <v>110</v>
      </c>
      <c r="E41" s="556" t="s">
        <v>71</v>
      </c>
    </row>
    <row r="42" spans="2:5" ht="16.5">
      <c r="B42" s="410">
        <v>11003822</v>
      </c>
      <c r="C42" s="562" t="s">
        <v>103</v>
      </c>
      <c r="D42" s="558" t="s">
        <v>111</v>
      </c>
      <c r="E42" s="556" t="s">
        <v>71</v>
      </c>
    </row>
    <row r="43" spans="2:5" ht="16.5">
      <c r="B43" s="410">
        <v>11003822</v>
      </c>
      <c r="C43" s="562" t="s">
        <v>103</v>
      </c>
      <c r="D43" s="558" t="s">
        <v>112</v>
      </c>
      <c r="E43" s="556" t="s">
        <v>71</v>
      </c>
    </row>
    <row r="44" spans="2:5" ht="16.5">
      <c r="B44" s="410">
        <v>11003822</v>
      </c>
      <c r="C44" s="562" t="s">
        <v>103</v>
      </c>
      <c r="D44" s="558" t="s">
        <v>113</v>
      </c>
      <c r="E44" s="556" t="s">
        <v>71</v>
      </c>
    </row>
    <row r="45" spans="2:5" ht="16.5">
      <c r="B45" s="410">
        <v>11003822</v>
      </c>
      <c r="C45" s="562" t="s">
        <v>103</v>
      </c>
      <c r="D45" s="558" t="s">
        <v>114</v>
      </c>
      <c r="E45" s="556" t="s">
        <v>71</v>
      </c>
    </row>
    <row r="46" spans="2:5" ht="16.5">
      <c r="B46" s="410">
        <v>11003822</v>
      </c>
      <c r="C46" s="562" t="s">
        <v>103</v>
      </c>
      <c r="D46" s="558" t="s">
        <v>115</v>
      </c>
      <c r="E46" s="556" t="s">
        <v>71</v>
      </c>
    </row>
    <row r="47" spans="2:5" ht="16.5">
      <c r="B47" s="410">
        <v>11003822</v>
      </c>
      <c r="C47" s="562" t="s">
        <v>103</v>
      </c>
      <c r="D47" s="558" t="s">
        <v>116</v>
      </c>
      <c r="E47" s="556" t="s">
        <v>71</v>
      </c>
    </row>
    <row r="48" spans="2:5" ht="16.5">
      <c r="B48" s="410">
        <v>11003794</v>
      </c>
      <c r="C48" s="562" t="s">
        <v>103</v>
      </c>
      <c r="D48" s="558" t="s">
        <v>117</v>
      </c>
      <c r="E48" s="556" t="s">
        <v>71</v>
      </c>
    </row>
    <row r="49" spans="2:5" ht="16.5">
      <c r="B49" s="410">
        <v>11003794</v>
      </c>
      <c r="C49" s="562" t="s">
        <v>103</v>
      </c>
      <c r="D49" s="558" t="s">
        <v>118</v>
      </c>
      <c r="E49" s="556" t="s">
        <v>71</v>
      </c>
    </row>
    <row r="50" spans="2:5" ht="16.5">
      <c r="B50" s="410">
        <v>11003794</v>
      </c>
      <c r="C50" s="562" t="s">
        <v>103</v>
      </c>
      <c r="D50" s="558" t="s">
        <v>119</v>
      </c>
      <c r="E50" s="556" t="s">
        <v>71</v>
      </c>
    </row>
    <row r="51" spans="2:5" ht="16.5">
      <c r="B51" s="410">
        <v>11003794</v>
      </c>
      <c r="C51" s="562" t="s">
        <v>103</v>
      </c>
      <c r="D51" s="558" t="s">
        <v>120</v>
      </c>
      <c r="E51" s="556" t="s">
        <v>71</v>
      </c>
    </row>
    <row r="52" spans="2:5" ht="16.5">
      <c r="B52" s="410">
        <v>11003794</v>
      </c>
      <c r="C52" s="562" t="s">
        <v>103</v>
      </c>
      <c r="D52" s="558" t="s">
        <v>121</v>
      </c>
      <c r="E52" s="556" t="s">
        <v>71</v>
      </c>
    </row>
    <row r="53" spans="2:5" ht="16.5">
      <c r="B53" s="410">
        <v>11003794</v>
      </c>
      <c r="C53" s="562" t="s">
        <v>103</v>
      </c>
      <c r="D53" s="558" t="s">
        <v>122</v>
      </c>
      <c r="E53" s="556" t="s">
        <v>71</v>
      </c>
    </row>
    <row r="54" spans="2:5" ht="16.5">
      <c r="B54" s="410">
        <v>11003794</v>
      </c>
      <c r="C54" s="562" t="s">
        <v>103</v>
      </c>
      <c r="D54" s="558" t="s">
        <v>123</v>
      </c>
      <c r="E54" s="556" t="s">
        <v>71</v>
      </c>
    </row>
    <row r="55" spans="2:5" ht="16.5">
      <c r="B55" s="410">
        <v>11003794</v>
      </c>
      <c r="C55" s="562" t="s">
        <v>103</v>
      </c>
      <c r="D55" s="558" t="s">
        <v>124</v>
      </c>
      <c r="E55" s="556" t="s">
        <v>71</v>
      </c>
    </row>
    <row r="56" spans="2:5" ht="16.5">
      <c r="B56" s="410">
        <v>11003794</v>
      </c>
      <c r="C56" s="562" t="s">
        <v>103</v>
      </c>
      <c r="D56" s="558" t="s">
        <v>125</v>
      </c>
      <c r="E56" s="556" t="s">
        <v>71</v>
      </c>
    </row>
    <row r="57" spans="2:5" ht="16.5">
      <c r="B57" s="410">
        <v>11003794</v>
      </c>
      <c r="C57" s="562" t="s">
        <v>103</v>
      </c>
      <c r="D57" s="558" t="s">
        <v>126</v>
      </c>
      <c r="E57" s="556" t="s">
        <v>71</v>
      </c>
    </row>
    <row r="58" spans="2:5" ht="16.5">
      <c r="B58" s="410">
        <v>11003794</v>
      </c>
      <c r="C58" s="562" t="s">
        <v>103</v>
      </c>
      <c r="D58" s="558" t="s">
        <v>127</v>
      </c>
      <c r="E58" s="556" t="s">
        <v>71</v>
      </c>
    </row>
    <row r="59" spans="2:5" ht="16.5">
      <c r="B59" s="410">
        <v>11003794</v>
      </c>
      <c r="C59" s="562" t="s">
        <v>103</v>
      </c>
      <c r="D59" s="558" t="s">
        <v>128</v>
      </c>
      <c r="E59" s="556" t="s">
        <v>71</v>
      </c>
    </row>
    <row r="60" spans="2:5" ht="16.5">
      <c r="B60" s="410">
        <v>11003794</v>
      </c>
      <c r="C60" s="562" t="s">
        <v>103</v>
      </c>
      <c r="D60" s="558" t="s">
        <v>129</v>
      </c>
      <c r="E60" s="556" t="s">
        <v>71</v>
      </c>
    </row>
    <row r="61" spans="2:5" ht="16.5">
      <c r="B61" s="410">
        <v>11003763</v>
      </c>
      <c r="C61" s="562" t="s">
        <v>103</v>
      </c>
      <c r="D61" s="558" t="s">
        <v>130</v>
      </c>
      <c r="E61" s="556" t="s">
        <v>71</v>
      </c>
    </row>
    <row r="62" spans="2:5" ht="16.5">
      <c r="B62" s="410">
        <v>11003763</v>
      </c>
      <c r="C62" s="562" t="s">
        <v>103</v>
      </c>
      <c r="D62" s="558" t="s">
        <v>131</v>
      </c>
      <c r="E62" s="556" t="s">
        <v>71</v>
      </c>
    </row>
    <row r="63" spans="2:5" ht="16.5">
      <c r="B63" s="410">
        <v>11003763</v>
      </c>
      <c r="C63" s="562" t="s">
        <v>103</v>
      </c>
      <c r="D63" s="558" t="s">
        <v>132</v>
      </c>
      <c r="E63" s="556" t="s">
        <v>71</v>
      </c>
    </row>
    <row r="64" spans="2:5" ht="16.5">
      <c r="B64" s="410">
        <v>11003763</v>
      </c>
      <c r="C64" s="562" t="s">
        <v>103</v>
      </c>
      <c r="D64" s="558" t="s">
        <v>133</v>
      </c>
      <c r="E64" s="556" t="s">
        <v>71</v>
      </c>
    </row>
    <row r="65" spans="2:5" ht="16.5">
      <c r="B65" s="410">
        <v>11003763</v>
      </c>
      <c r="C65" s="562" t="s">
        <v>103</v>
      </c>
      <c r="D65" s="558" t="s">
        <v>134</v>
      </c>
      <c r="E65" s="556" t="s">
        <v>71</v>
      </c>
    </row>
    <row r="66" spans="2:5" ht="16.5">
      <c r="B66" s="410">
        <v>11003763</v>
      </c>
      <c r="C66" s="562" t="s">
        <v>103</v>
      </c>
      <c r="D66" s="558" t="s">
        <v>135</v>
      </c>
      <c r="E66" s="556" t="s">
        <v>71</v>
      </c>
    </row>
    <row r="67" spans="2:5" ht="16.5">
      <c r="B67" s="410">
        <v>11003763</v>
      </c>
      <c r="C67" s="562" t="s">
        <v>103</v>
      </c>
      <c r="D67" s="558" t="s">
        <v>136</v>
      </c>
      <c r="E67" s="556" t="s">
        <v>71</v>
      </c>
    </row>
    <row r="68" spans="2:5" ht="16.5">
      <c r="B68" s="410">
        <v>11003763</v>
      </c>
      <c r="C68" s="562" t="s">
        <v>103</v>
      </c>
      <c r="D68" s="558" t="s">
        <v>137</v>
      </c>
      <c r="E68" s="556" t="s">
        <v>71</v>
      </c>
    </row>
    <row r="69" spans="2:5" ht="16.5">
      <c r="B69" s="410">
        <v>11003763</v>
      </c>
      <c r="C69" s="562" t="s">
        <v>103</v>
      </c>
      <c r="D69" s="558" t="s">
        <v>138</v>
      </c>
      <c r="E69" s="556" t="s">
        <v>71</v>
      </c>
    </row>
    <row r="70" spans="2:5" ht="16.5">
      <c r="B70" s="410">
        <v>11003763</v>
      </c>
      <c r="C70" s="562" t="s">
        <v>103</v>
      </c>
      <c r="D70" s="558" t="s">
        <v>139</v>
      </c>
      <c r="E70" s="556" t="s">
        <v>71</v>
      </c>
    </row>
    <row r="71" spans="2:5" ht="16.5">
      <c r="B71" s="410">
        <v>11003763</v>
      </c>
      <c r="C71" s="562" t="s">
        <v>103</v>
      </c>
      <c r="D71" s="558" t="s">
        <v>140</v>
      </c>
      <c r="E71" s="556" t="s">
        <v>71</v>
      </c>
    </row>
    <row r="72" spans="2:5" ht="16.5">
      <c r="B72" s="410">
        <v>11003763</v>
      </c>
      <c r="C72" s="562" t="s">
        <v>103</v>
      </c>
      <c r="D72" s="558" t="s">
        <v>141</v>
      </c>
      <c r="E72" s="556" t="s">
        <v>71</v>
      </c>
    </row>
    <row r="73" spans="2:5" ht="16.5">
      <c r="B73" s="410">
        <v>11003763</v>
      </c>
      <c r="C73" s="562" t="s">
        <v>103</v>
      </c>
      <c r="D73" s="558" t="s">
        <v>142</v>
      </c>
      <c r="E73" s="556" t="s">
        <v>71</v>
      </c>
    </row>
    <row r="74" spans="2:5" ht="16.5">
      <c r="B74" s="410">
        <v>11004840</v>
      </c>
      <c r="C74" s="562" t="s">
        <v>103</v>
      </c>
      <c r="D74" s="558" t="s">
        <v>130</v>
      </c>
      <c r="E74" s="556" t="s">
        <v>71</v>
      </c>
    </row>
    <row r="75" spans="2:5" ht="16.5">
      <c r="B75" s="410">
        <v>11004840</v>
      </c>
      <c r="C75" s="562" t="s">
        <v>103</v>
      </c>
      <c r="D75" s="558" t="s">
        <v>131</v>
      </c>
      <c r="E75" s="556" t="s">
        <v>71</v>
      </c>
    </row>
    <row r="76" spans="2:5" ht="16.5">
      <c r="B76" s="410">
        <v>11004840</v>
      </c>
      <c r="C76" s="562" t="s">
        <v>103</v>
      </c>
      <c r="D76" s="558" t="s">
        <v>132</v>
      </c>
      <c r="E76" s="556" t="s">
        <v>71</v>
      </c>
    </row>
    <row r="77" spans="2:5" ht="16.5">
      <c r="B77" s="410">
        <v>11004840</v>
      </c>
      <c r="C77" s="562" t="s">
        <v>103</v>
      </c>
      <c r="D77" s="558" t="s">
        <v>133</v>
      </c>
      <c r="E77" s="556" t="s">
        <v>71</v>
      </c>
    </row>
    <row r="78" spans="2:5" ht="16.5">
      <c r="B78" s="410">
        <v>11004840</v>
      </c>
      <c r="C78" s="562" t="s">
        <v>103</v>
      </c>
      <c r="D78" s="558" t="s">
        <v>134</v>
      </c>
      <c r="E78" s="556" t="s">
        <v>71</v>
      </c>
    </row>
    <row r="79" spans="2:5" ht="16.5">
      <c r="B79" s="410">
        <v>11004840</v>
      </c>
      <c r="C79" s="562" t="s">
        <v>103</v>
      </c>
      <c r="D79" s="558" t="s">
        <v>135</v>
      </c>
      <c r="E79" s="556" t="s">
        <v>71</v>
      </c>
    </row>
    <row r="80" spans="2:5" ht="16.5">
      <c r="B80" s="410">
        <v>11004840</v>
      </c>
      <c r="C80" s="562" t="s">
        <v>103</v>
      </c>
      <c r="D80" s="558" t="s">
        <v>136</v>
      </c>
      <c r="E80" s="556" t="s">
        <v>71</v>
      </c>
    </row>
    <row r="81" spans="2:5" ht="16.5">
      <c r="B81" s="410">
        <v>11004840</v>
      </c>
      <c r="C81" s="562" t="s">
        <v>103</v>
      </c>
      <c r="D81" s="558" t="s">
        <v>137</v>
      </c>
      <c r="E81" s="556" t="s">
        <v>71</v>
      </c>
    </row>
    <row r="82" spans="2:5" ht="16.5">
      <c r="B82" s="410">
        <v>11004840</v>
      </c>
      <c r="C82" s="562" t="s">
        <v>103</v>
      </c>
      <c r="D82" s="558" t="s">
        <v>138</v>
      </c>
      <c r="E82" s="556" t="s">
        <v>71</v>
      </c>
    </row>
    <row r="83" spans="2:5" ht="16.5">
      <c r="B83" s="410">
        <v>11004840</v>
      </c>
      <c r="C83" s="562" t="s">
        <v>103</v>
      </c>
      <c r="D83" s="558" t="s">
        <v>139</v>
      </c>
      <c r="E83" s="556" t="s">
        <v>71</v>
      </c>
    </row>
    <row r="84" spans="2:5" ht="16.5">
      <c r="B84" s="410">
        <v>11004840</v>
      </c>
      <c r="C84" s="562" t="s">
        <v>103</v>
      </c>
      <c r="D84" s="558" t="s">
        <v>140</v>
      </c>
      <c r="E84" s="556" t="s">
        <v>71</v>
      </c>
    </row>
    <row r="85" spans="2:5" ht="16.5">
      <c r="B85" s="410">
        <v>11004840</v>
      </c>
      <c r="C85" s="562" t="s">
        <v>103</v>
      </c>
      <c r="D85" s="558" t="s">
        <v>141</v>
      </c>
      <c r="E85" s="556" t="s">
        <v>71</v>
      </c>
    </row>
    <row r="86" spans="2:5" ht="16.5">
      <c r="B86" s="410">
        <v>11004840</v>
      </c>
      <c r="C86" s="562" t="s">
        <v>103</v>
      </c>
      <c r="D86" s="558" t="s">
        <v>142</v>
      </c>
      <c r="E86" s="556" t="s">
        <v>71</v>
      </c>
    </row>
    <row r="87" spans="2:5" ht="16.5">
      <c r="B87" s="410">
        <v>11000085</v>
      </c>
      <c r="C87" s="562" t="s">
        <v>143</v>
      </c>
      <c r="D87" s="558" t="s">
        <v>144</v>
      </c>
      <c r="E87" s="556" t="s">
        <v>71</v>
      </c>
    </row>
    <row r="88" spans="2:5" ht="16.5">
      <c r="B88" s="410">
        <v>11000085</v>
      </c>
      <c r="C88" s="562" t="s">
        <v>143</v>
      </c>
      <c r="D88" s="558" t="s">
        <v>145</v>
      </c>
      <c r="E88" s="556" t="s">
        <v>71</v>
      </c>
    </row>
    <row r="89" spans="2:5" ht="16.5">
      <c r="B89" s="410">
        <v>11000085</v>
      </c>
      <c r="C89" s="562" t="s">
        <v>143</v>
      </c>
      <c r="D89" s="558" t="s">
        <v>146</v>
      </c>
      <c r="E89" s="556" t="s">
        <v>71</v>
      </c>
    </row>
    <row r="90" spans="2:5" ht="16.5">
      <c r="B90" s="410">
        <v>11000085</v>
      </c>
      <c r="C90" s="562" t="s">
        <v>143</v>
      </c>
      <c r="D90" s="558" t="s">
        <v>147</v>
      </c>
      <c r="E90" s="556" t="s">
        <v>71</v>
      </c>
    </row>
    <row r="91" spans="2:5" ht="16.5">
      <c r="B91" s="410">
        <v>11000085</v>
      </c>
      <c r="C91" s="562" t="s">
        <v>143</v>
      </c>
      <c r="D91" s="558" t="s">
        <v>148</v>
      </c>
      <c r="E91" s="556" t="s">
        <v>71</v>
      </c>
    </row>
    <row r="92" spans="2:5" ht="16.5">
      <c r="B92" s="410">
        <v>11000085</v>
      </c>
      <c r="C92" s="562" t="s">
        <v>143</v>
      </c>
      <c r="D92" s="558" t="s">
        <v>149</v>
      </c>
      <c r="E92" s="556" t="s">
        <v>71</v>
      </c>
    </row>
    <row r="93" spans="2:5" ht="16.5">
      <c r="B93" s="410">
        <v>11000085</v>
      </c>
      <c r="C93" s="562" t="s">
        <v>143</v>
      </c>
      <c r="D93" s="558" t="s">
        <v>150</v>
      </c>
      <c r="E93" s="556" t="s">
        <v>71</v>
      </c>
    </row>
    <row r="94" spans="2:5" ht="16.5">
      <c r="B94" s="410">
        <v>11000085</v>
      </c>
      <c r="C94" s="562" t="s">
        <v>143</v>
      </c>
      <c r="D94" s="558" t="s">
        <v>151</v>
      </c>
      <c r="E94" s="556" t="s">
        <v>71</v>
      </c>
    </row>
    <row r="95" spans="2:5" ht="16.5">
      <c r="B95" s="410">
        <v>11000085</v>
      </c>
      <c r="C95" s="562" t="s">
        <v>143</v>
      </c>
      <c r="D95" s="558" t="s">
        <v>152</v>
      </c>
      <c r="E95" s="556" t="s">
        <v>71</v>
      </c>
    </row>
    <row r="96" spans="2:5" ht="16.5">
      <c r="B96" s="410">
        <v>11000085</v>
      </c>
      <c r="C96" s="562" t="s">
        <v>143</v>
      </c>
      <c r="D96" s="558" t="s">
        <v>153</v>
      </c>
      <c r="E96" s="556" t="s">
        <v>71</v>
      </c>
    </row>
    <row r="97" spans="2:5" ht="16.5">
      <c r="B97" s="410">
        <v>11000085</v>
      </c>
      <c r="C97" s="562" t="s">
        <v>143</v>
      </c>
      <c r="D97" s="558" t="s">
        <v>154</v>
      </c>
      <c r="E97" s="556" t="s">
        <v>71</v>
      </c>
    </row>
    <row r="98" spans="2:5" ht="16.5">
      <c r="B98" s="410">
        <v>11000087</v>
      </c>
      <c r="C98" s="562" t="s">
        <v>143</v>
      </c>
      <c r="D98" s="558" t="s">
        <v>155</v>
      </c>
      <c r="E98" s="556" t="s">
        <v>71</v>
      </c>
    </row>
    <row r="99" spans="2:5" ht="16.5">
      <c r="B99" s="410">
        <v>11000087</v>
      </c>
      <c r="C99" s="562" t="s">
        <v>143</v>
      </c>
      <c r="D99" s="558" t="s">
        <v>156</v>
      </c>
      <c r="E99" s="556" t="s">
        <v>71</v>
      </c>
    </row>
    <row r="100" spans="2:5" ht="16.5">
      <c r="B100" s="410">
        <v>11000087</v>
      </c>
      <c r="C100" s="562" t="s">
        <v>143</v>
      </c>
      <c r="D100" s="558" t="s">
        <v>157</v>
      </c>
      <c r="E100" s="556" t="s">
        <v>71</v>
      </c>
    </row>
    <row r="101" spans="2:5" ht="16.5">
      <c r="B101" s="410">
        <v>11000087</v>
      </c>
      <c r="C101" s="562" t="s">
        <v>143</v>
      </c>
      <c r="D101" s="558" t="s">
        <v>158</v>
      </c>
      <c r="E101" s="556" t="s">
        <v>71</v>
      </c>
    </row>
    <row r="102" spans="2:5" ht="16.5">
      <c r="B102" s="410">
        <v>11000087</v>
      </c>
      <c r="C102" s="562" t="s">
        <v>143</v>
      </c>
      <c r="D102" s="558" t="s">
        <v>159</v>
      </c>
      <c r="E102" s="556" t="s">
        <v>71</v>
      </c>
    </row>
    <row r="103" spans="2:5" ht="16.5">
      <c r="B103" s="410">
        <v>11000087</v>
      </c>
      <c r="C103" s="562" t="s">
        <v>143</v>
      </c>
      <c r="D103" s="558" t="s">
        <v>160</v>
      </c>
      <c r="E103" s="556" t="s">
        <v>71</v>
      </c>
    </row>
    <row r="104" spans="2:5" ht="16.5">
      <c r="B104" s="410">
        <v>11000087</v>
      </c>
      <c r="C104" s="562" t="s">
        <v>143</v>
      </c>
      <c r="D104" s="558" t="s">
        <v>161</v>
      </c>
      <c r="E104" s="556" t="s">
        <v>71</v>
      </c>
    </row>
    <row r="105" spans="2:5" ht="16.5">
      <c r="B105" s="410">
        <v>11000087</v>
      </c>
      <c r="C105" s="562" t="s">
        <v>143</v>
      </c>
      <c r="D105" s="558" t="s">
        <v>158</v>
      </c>
      <c r="E105" s="556" t="s">
        <v>71</v>
      </c>
    </row>
    <row r="106" spans="2:5" ht="16.5">
      <c r="B106" s="410">
        <v>11000087</v>
      </c>
      <c r="C106" s="562" t="s">
        <v>143</v>
      </c>
      <c r="D106" s="558" t="s">
        <v>162</v>
      </c>
      <c r="E106" s="556" t="s">
        <v>71</v>
      </c>
    </row>
    <row r="107" spans="2:5" ht="16.5">
      <c r="B107" s="410">
        <v>11000087</v>
      </c>
      <c r="C107" s="562" t="s">
        <v>143</v>
      </c>
      <c r="D107" s="558" t="s">
        <v>163</v>
      </c>
      <c r="E107" s="556" t="s">
        <v>71</v>
      </c>
    </row>
    <row r="108" spans="2:5" ht="16.5">
      <c r="B108" s="410">
        <v>11000087</v>
      </c>
      <c r="C108" s="562" t="s">
        <v>143</v>
      </c>
      <c r="D108" s="558" t="s">
        <v>164</v>
      </c>
      <c r="E108" s="556" t="s">
        <v>71</v>
      </c>
    </row>
    <row r="109" spans="2:5" ht="16.5">
      <c r="B109" s="410">
        <v>11000088</v>
      </c>
      <c r="C109" s="562" t="s">
        <v>143</v>
      </c>
      <c r="D109" s="558" t="s">
        <v>165</v>
      </c>
      <c r="E109" s="556" t="s">
        <v>71</v>
      </c>
    </row>
    <row r="110" spans="2:5" ht="16.5">
      <c r="B110" s="410">
        <v>11000088</v>
      </c>
      <c r="C110" s="562" t="s">
        <v>143</v>
      </c>
      <c r="D110" s="558" t="s">
        <v>166</v>
      </c>
      <c r="E110" s="556" t="s">
        <v>71</v>
      </c>
    </row>
    <row r="111" spans="2:5" ht="16.5">
      <c r="B111" s="410">
        <v>11000088</v>
      </c>
      <c r="C111" s="562" t="s">
        <v>143</v>
      </c>
      <c r="D111" s="558" t="s">
        <v>167</v>
      </c>
      <c r="E111" s="556" t="s">
        <v>71</v>
      </c>
    </row>
    <row r="112" spans="2:5" ht="16.5">
      <c r="B112" s="410">
        <v>11000088</v>
      </c>
      <c r="C112" s="562" t="s">
        <v>143</v>
      </c>
      <c r="D112" s="558" t="s">
        <v>168</v>
      </c>
      <c r="E112" s="556" t="s">
        <v>71</v>
      </c>
    </row>
    <row r="113" spans="2:5" ht="16.5">
      <c r="B113" s="410">
        <v>11000088</v>
      </c>
      <c r="C113" s="562" t="s">
        <v>143</v>
      </c>
      <c r="D113" s="558" t="s">
        <v>169</v>
      </c>
      <c r="E113" s="556" t="s">
        <v>71</v>
      </c>
    </row>
    <row r="114" spans="2:5" ht="16.5">
      <c r="B114" s="410">
        <v>11000088</v>
      </c>
      <c r="C114" s="562" t="s">
        <v>143</v>
      </c>
      <c r="D114" s="558" t="s">
        <v>170</v>
      </c>
      <c r="E114" s="556" t="s">
        <v>71</v>
      </c>
    </row>
    <row r="115" spans="2:5" ht="16.5">
      <c r="B115" s="410">
        <v>11000088</v>
      </c>
      <c r="C115" s="562" t="s">
        <v>143</v>
      </c>
      <c r="D115" s="558" t="s">
        <v>171</v>
      </c>
      <c r="E115" s="556" t="s">
        <v>71</v>
      </c>
    </row>
    <row r="116" spans="2:5" ht="16.5">
      <c r="B116" s="410">
        <v>11000088</v>
      </c>
      <c r="C116" s="562" t="s">
        <v>143</v>
      </c>
      <c r="D116" s="558" t="s">
        <v>168</v>
      </c>
      <c r="E116" s="556" t="s">
        <v>71</v>
      </c>
    </row>
    <row r="117" spans="2:5" ht="16.5">
      <c r="B117" s="410">
        <v>11000088</v>
      </c>
      <c r="C117" s="562" t="s">
        <v>143</v>
      </c>
      <c r="D117" s="558" t="s">
        <v>172</v>
      </c>
      <c r="E117" s="556" t="s">
        <v>71</v>
      </c>
    </row>
    <row r="118" spans="2:5" ht="16.5">
      <c r="B118" s="410">
        <v>11000088</v>
      </c>
      <c r="C118" s="562" t="s">
        <v>143</v>
      </c>
      <c r="D118" s="558" t="s">
        <v>173</v>
      </c>
      <c r="E118" s="556" t="s">
        <v>71</v>
      </c>
    </row>
    <row r="119" spans="2:5" ht="16.5">
      <c r="B119" s="410">
        <v>11000088</v>
      </c>
      <c r="C119" s="562" t="s">
        <v>143</v>
      </c>
      <c r="D119" s="558" t="s">
        <v>174</v>
      </c>
      <c r="E119" s="556" t="s">
        <v>71</v>
      </c>
    </row>
    <row r="120" spans="2:5" ht="16.5">
      <c r="B120" s="410">
        <v>11000090</v>
      </c>
      <c r="C120" s="562" t="s">
        <v>143</v>
      </c>
      <c r="D120" s="558" t="s">
        <v>175</v>
      </c>
      <c r="E120" s="556" t="s">
        <v>71</v>
      </c>
    </row>
    <row r="121" spans="2:5" ht="16.5">
      <c r="B121" s="410">
        <v>11000090</v>
      </c>
      <c r="C121" s="562" t="s">
        <v>143</v>
      </c>
      <c r="D121" s="558" t="s">
        <v>176</v>
      </c>
      <c r="E121" s="556" t="s">
        <v>71</v>
      </c>
    </row>
    <row r="122" spans="2:5" ht="16.5">
      <c r="B122" s="410">
        <v>11000090</v>
      </c>
      <c r="C122" s="562" t="s">
        <v>143</v>
      </c>
      <c r="D122" s="558" t="s">
        <v>177</v>
      </c>
      <c r="E122" s="556" t="s">
        <v>71</v>
      </c>
    </row>
    <row r="123" spans="2:5" ht="16.5">
      <c r="B123" s="410">
        <v>11000090</v>
      </c>
      <c r="C123" s="562" t="s">
        <v>143</v>
      </c>
      <c r="D123" s="558" t="s">
        <v>178</v>
      </c>
      <c r="E123" s="556" t="s">
        <v>71</v>
      </c>
    </row>
    <row r="124" spans="2:5" ht="16.5">
      <c r="B124" s="410">
        <v>11000090</v>
      </c>
      <c r="C124" s="562" t="s">
        <v>143</v>
      </c>
      <c r="D124" s="558" t="s">
        <v>179</v>
      </c>
      <c r="E124" s="556" t="s">
        <v>71</v>
      </c>
    </row>
    <row r="125" spans="2:5" ht="16.5">
      <c r="B125" s="410">
        <v>11000090</v>
      </c>
      <c r="C125" s="562" t="s">
        <v>143</v>
      </c>
      <c r="D125" s="558" t="s">
        <v>180</v>
      </c>
      <c r="E125" s="556" t="s">
        <v>71</v>
      </c>
    </row>
    <row r="126" spans="2:5" ht="16.5">
      <c r="B126" s="410">
        <v>11000090</v>
      </c>
      <c r="C126" s="562" t="s">
        <v>143</v>
      </c>
      <c r="D126" s="558" t="s">
        <v>181</v>
      </c>
      <c r="E126" s="556" t="s">
        <v>71</v>
      </c>
    </row>
    <row r="127" spans="2:5" ht="16.5">
      <c r="B127" s="410">
        <v>11000090</v>
      </c>
      <c r="C127" s="562" t="s">
        <v>143</v>
      </c>
      <c r="D127" s="558" t="s">
        <v>178</v>
      </c>
      <c r="E127" s="556" t="s">
        <v>71</v>
      </c>
    </row>
    <row r="128" spans="2:5" ht="16.5">
      <c r="B128" s="410">
        <v>11000090</v>
      </c>
      <c r="C128" s="562" t="s">
        <v>143</v>
      </c>
      <c r="D128" s="558" t="s">
        <v>182</v>
      </c>
      <c r="E128" s="556" t="s">
        <v>71</v>
      </c>
    </row>
    <row r="129" spans="2:5" ht="16.5">
      <c r="B129" s="410">
        <v>11000090</v>
      </c>
      <c r="C129" s="562" t="s">
        <v>143</v>
      </c>
      <c r="D129" s="558" t="s">
        <v>183</v>
      </c>
      <c r="E129" s="556" t="s">
        <v>71</v>
      </c>
    </row>
    <row r="130" spans="2:5" ht="16.5">
      <c r="B130" s="410">
        <v>11000090</v>
      </c>
      <c r="C130" s="562" t="s">
        <v>143</v>
      </c>
      <c r="D130" s="558" t="s">
        <v>184</v>
      </c>
      <c r="E130" s="556" t="s">
        <v>71</v>
      </c>
    </row>
    <row r="131" spans="2:5" ht="16.5">
      <c r="B131" s="410">
        <v>11000092</v>
      </c>
      <c r="C131" s="562" t="s">
        <v>143</v>
      </c>
      <c r="D131" s="558" t="s">
        <v>185</v>
      </c>
      <c r="E131" s="556" t="s">
        <v>71</v>
      </c>
    </row>
    <row r="132" spans="2:5" ht="16.5">
      <c r="B132" s="410">
        <v>11000092</v>
      </c>
      <c r="C132" s="562" t="s">
        <v>143</v>
      </c>
      <c r="D132" s="558" t="s">
        <v>186</v>
      </c>
      <c r="E132" s="556" t="s">
        <v>71</v>
      </c>
    </row>
    <row r="133" spans="2:5" ht="16.5">
      <c r="B133" s="410">
        <v>11000092</v>
      </c>
      <c r="C133" s="562" t="s">
        <v>143</v>
      </c>
      <c r="D133" s="558" t="s">
        <v>187</v>
      </c>
      <c r="E133" s="556" t="s">
        <v>71</v>
      </c>
    </row>
    <row r="134" spans="2:5" ht="16.5">
      <c r="B134" s="410">
        <v>11000092</v>
      </c>
      <c r="C134" s="562" t="s">
        <v>143</v>
      </c>
      <c r="D134" s="558" t="s">
        <v>188</v>
      </c>
      <c r="E134" s="556" t="s">
        <v>71</v>
      </c>
    </row>
    <row r="135" spans="2:5" ht="16.5">
      <c r="B135" s="410">
        <v>11000092</v>
      </c>
      <c r="C135" s="562" t="s">
        <v>143</v>
      </c>
      <c r="D135" s="558" t="s">
        <v>189</v>
      </c>
      <c r="E135" s="556" t="s">
        <v>71</v>
      </c>
    </row>
    <row r="136" spans="2:5" ht="16.5">
      <c r="B136" s="410">
        <v>11000092</v>
      </c>
      <c r="C136" s="562" t="s">
        <v>143</v>
      </c>
      <c r="D136" s="558" t="s">
        <v>190</v>
      </c>
      <c r="E136" s="556" t="s">
        <v>71</v>
      </c>
    </row>
    <row r="137" spans="2:5" ht="16.5">
      <c r="B137" s="410">
        <v>11000092</v>
      </c>
      <c r="C137" s="562" t="s">
        <v>143</v>
      </c>
      <c r="D137" s="558" t="s">
        <v>191</v>
      </c>
      <c r="E137" s="556" t="s">
        <v>71</v>
      </c>
    </row>
    <row r="138" spans="2:5" ht="16.5">
      <c r="B138" s="410">
        <v>11000092</v>
      </c>
      <c r="C138" s="562" t="s">
        <v>143</v>
      </c>
      <c r="D138" s="558" t="s">
        <v>188</v>
      </c>
      <c r="E138" s="556" t="s">
        <v>71</v>
      </c>
    </row>
    <row r="139" spans="2:5" ht="16.5">
      <c r="B139" s="410">
        <v>11000092</v>
      </c>
      <c r="C139" s="562" t="s">
        <v>143</v>
      </c>
      <c r="D139" s="558" t="s">
        <v>192</v>
      </c>
      <c r="E139" s="556" t="s">
        <v>71</v>
      </c>
    </row>
    <row r="140" spans="2:5" ht="16.5">
      <c r="B140" s="410">
        <v>11000092</v>
      </c>
      <c r="C140" s="562" t="s">
        <v>143</v>
      </c>
      <c r="D140" s="558" t="s">
        <v>193</v>
      </c>
      <c r="E140" s="556" t="s">
        <v>71</v>
      </c>
    </row>
    <row r="141" spans="2:5" ht="16.5">
      <c r="B141" s="410">
        <v>11000092</v>
      </c>
      <c r="C141" s="562" t="s">
        <v>143</v>
      </c>
      <c r="D141" s="558" t="s">
        <v>194</v>
      </c>
      <c r="E141" s="556" t="s">
        <v>71</v>
      </c>
    </row>
    <row r="142" spans="2:5" ht="16.5">
      <c r="B142" s="410">
        <v>11001512</v>
      </c>
      <c r="C142" s="562" t="s">
        <v>195</v>
      </c>
      <c r="D142" s="558" t="s">
        <v>196</v>
      </c>
      <c r="E142" s="556" t="s">
        <v>71</v>
      </c>
    </row>
    <row r="143" spans="2:5" ht="16.5">
      <c r="B143" s="410">
        <v>11001512</v>
      </c>
      <c r="C143" s="562" t="s">
        <v>195</v>
      </c>
      <c r="D143" s="558" t="s">
        <v>197</v>
      </c>
      <c r="E143" s="556" t="s">
        <v>71</v>
      </c>
    </row>
    <row r="144" spans="2:5" ht="16.5">
      <c r="B144" s="410">
        <v>11001512</v>
      </c>
      <c r="C144" s="562" t="s">
        <v>195</v>
      </c>
      <c r="D144" s="558" t="s">
        <v>198</v>
      </c>
      <c r="E144" s="556" t="s">
        <v>71</v>
      </c>
    </row>
    <row r="145" spans="2:5" ht="16.5">
      <c r="B145" s="410">
        <v>11006179</v>
      </c>
      <c r="C145" s="562" t="s">
        <v>195</v>
      </c>
      <c r="D145" s="558" t="s">
        <v>199</v>
      </c>
      <c r="E145" s="556" t="s">
        <v>71</v>
      </c>
    </row>
    <row r="146" spans="2:5" ht="16.5">
      <c r="B146" s="410">
        <v>11006179</v>
      </c>
      <c r="C146" s="562" t="s">
        <v>195</v>
      </c>
      <c r="D146" s="558" t="s">
        <v>200</v>
      </c>
      <c r="E146" s="556" t="s">
        <v>71</v>
      </c>
    </row>
    <row r="147" spans="2:5" ht="16.5">
      <c r="B147" s="410">
        <v>11006179</v>
      </c>
      <c r="C147" s="562" t="s">
        <v>195</v>
      </c>
      <c r="D147" s="558" t="s">
        <v>201</v>
      </c>
      <c r="E147" s="556" t="s">
        <v>71</v>
      </c>
    </row>
    <row r="148" spans="2:5" ht="16.5">
      <c r="B148" s="410">
        <v>11006918</v>
      </c>
      <c r="C148" s="562" t="s">
        <v>195</v>
      </c>
      <c r="D148" s="558" t="s">
        <v>202</v>
      </c>
      <c r="E148" s="556" t="s">
        <v>71</v>
      </c>
    </row>
    <row r="149" spans="2:5" ht="16.5">
      <c r="B149" s="410">
        <v>11006918</v>
      </c>
      <c r="C149" s="562" t="s">
        <v>195</v>
      </c>
      <c r="D149" s="558" t="s">
        <v>203</v>
      </c>
      <c r="E149" s="556" t="s">
        <v>71</v>
      </c>
    </row>
    <row r="150" spans="2:5" ht="16.5">
      <c r="B150" s="410">
        <v>11006918</v>
      </c>
      <c r="C150" s="562" t="s">
        <v>195</v>
      </c>
      <c r="D150" s="558" t="s">
        <v>204</v>
      </c>
      <c r="E150" s="556" t="s">
        <v>71</v>
      </c>
    </row>
    <row r="151" spans="2:5" ht="16.5">
      <c r="B151" s="410">
        <v>11006181</v>
      </c>
      <c r="C151" s="562" t="s">
        <v>195</v>
      </c>
      <c r="D151" s="558" t="s">
        <v>205</v>
      </c>
      <c r="E151" s="556" t="s">
        <v>71</v>
      </c>
    </row>
    <row r="152" spans="2:5" ht="16.5">
      <c r="B152" s="410">
        <v>11006181</v>
      </c>
      <c r="C152" s="562" t="s">
        <v>195</v>
      </c>
      <c r="D152" s="558" t="s">
        <v>206</v>
      </c>
      <c r="E152" s="556" t="s">
        <v>71</v>
      </c>
    </row>
    <row r="153" spans="2:5" ht="16.5">
      <c r="B153" s="410">
        <v>11006181</v>
      </c>
      <c r="C153" s="562" t="s">
        <v>195</v>
      </c>
      <c r="D153" s="558" t="s">
        <v>207</v>
      </c>
      <c r="E153" s="556" t="s">
        <v>71</v>
      </c>
    </row>
    <row r="154" spans="2:5" ht="16.5">
      <c r="B154" s="410">
        <v>11100840</v>
      </c>
      <c r="C154" s="562" t="s">
        <v>195</v>
      </c>
      <c r="D154" s="558" t="s">
        <v>208</v>
      </c>
      <c r="E154" s="556" t="s">
        <v>71</v>
      </c>
    </row>
    <row r="155" spans="2:5" ht="16.5">
      <c r="B155" s="410">
        <v>11100840</v>
      </c>
      <c r="C155" s="562" t="s">
        <v>195</v>
      </c>
      <c r="D155" s="558" t="s">
        <v>209</v>
      </c>
      <c r="E155" s="556" t="s">
        <v>71</v>
      </c>
    </row>
    <row r="156" spans="2:5" ht="16.5">
      <c r="B156" s="410">
        <v>11100840</v>
      </c>
      <c r="C156" s="562" t="s">
        <v>195</v>
      </c>
      <c r="D156" s="558" t="s">
        <v>210</v>
      </c>
      <c r="E156" s="556" t="s">
        <v>71</v>
      </c>
    </row>
    <row r="157" spans="2:5" ht="16.5">
      <c r="B157" s="410">
        <v>11100455</v>
      </c>
      <c r="C157" s="562" t="s">
        <v>195</v>
      </c>
      <c r="D157" s="558" t="s">
        <v>211</v>
      </c>
      <c r="E157" s="556" t="s">
        <v>71</v>
      </c>
    </row>
    <row r="158" spans="2:5" ht="16.5">
      <c r="B158" s="410">
        <v>11100455</v>
      </c>
      <c r="C158" s="562" t="s">
        <v>195</v>
      </c>
      <c r="D158" s="558" t="s">
        <v>212</v>
      </c>
      <c r="E158" s="556" t="s">
        <v>71</v>
      </c>
    </row>
    <row r="159" spans="2:5" ht="16.5">
      <c r="B159" s="410">
        <v>11100455</v>
      </c>
      <c r="C159" s="562" t="s">
        <v>195</v>
      </c>
      <c r="D159" s="558" t="s">
        <v>213</v>
      </c>
      <c r="E159" s="556" t="s">
        <v>71</v>
      </c>
    </row>
    <row r="160" spans="2:5" ht="16.5">
      <c r="B160" s="410">
        <v>11101269</v>
      </c>
      <c r="C160" s="562" t="s">
        <v>195</v>
      </c>
      <c r="D160" s="558" t="s">
        <v>214</v>
      </c>
      <c r="E160" s="556" t="s">
        <v>71</v>
      </c>
    </row>
    <row r="161" spans="2:5" ht="16.5">
      <c r="B161" s="410">
        <v>11101269</v>
      </c>
      <c r="C161" s="562" t="s">
        <v>195</v>
      </c>
      <c r="D161" s="558" t="s">
        <v>215</v>
      </c>
      <c r="E161" s="556" t="s">
        <v>71</v>
      </c>
    </row>
    <row r="162" spans="2:5" ht="16.5">
      <c r="B162" s="410">
        <v>11101269</v>
      </c>
      <c r="C162" s="562" t="s">
        <v>195</v>
      </c>
      <c r="D162" s="558" t="s">
        <v>216</v>
      </c>
      <c r="E162" s="556" t="s">
        <v>71</v>
      </c>
    </row>
    <row r="163" spans="2:5" ht="16.5">
      <c r="B163" s="410">
        <v>11003721</v>
      </c>
      <c r="C163" s="562" t="s">
        <v>195</v>
      </c>
      <c r="D163" s="558" t="s">
        <v>217</v>
      </c>
      <c r="E163" s="556" t="s">
        <v>71</v>
      </c>
    </row>
    <row r="164" spans="2:5" ht="16.5">
      <c r="B164" s="410">
        <v>11003721</v>
      </c>
      <c r="C164" s="562" t="s">
        <v>195</v>
      </c>
      <c r="D164" s="558" t="s">
        <v>218</v>
      </c>
      <c r="E164" s="556" t="s">
        <v>71</v>
      </c>
    </row>
    <row r="165" spans="2:5" ht="16.5">
      <c r="B165" s="410">
        <v>11003721</v>
      </c>
      <c r="C165" s="562" t="s">
        <v>195</v>
      </c>
      <c r="D165" s="558" t="s">
        <v>219</v>
      </c>
      <c r="E165" s="556" t="s">
        <v>71</v>
      </c>
    </row>
    <row r="166" spans="2:5" ht="16.5">
      <c r="B166" s="410">
        <v>11200749</v>
      </c>
      <c r="C166" s="562" t="s">
        <v>195</v>
      </c>
      <c r="D166" s="558" t="s">
        <v>220</v>
      </c>
      <c r="E166" s="556" t="s">
        <v>71</v>
      </c>
    </row>
    <row r="167" spans="2:5" ht="16.5">
      <c r="B167" s="410">
        <v>11200749</v>
      </c>
      <c r="C167" s="562" t="s">
        <v>195</v>
      </c>
      <c r="D167" s="558" t="s">
        <v>221</v>
      </c>
      <c r="E167" s="556" t="s">
        <v>71</v>
      </c>
    </row>
    <row r="168" spans="2:5" ht="16.5">
      <c r="B168" s="410">
        <v>11200749</v>
      </c>
      <c r="C168" s="562" t="s">
        <v>195</v>
      </c>
      <c r="D168" s="558" t="s">
        <v>222</v>
      </c>
      <c r="E168" s="556" t="s">
        <v>71</v>
      </c>
    </row>
    <row r="169" spans="2:5" ht="16.5">
      <c r="B169" s="410">
        <v>11101336</v>
      </c>
      <c r="C169" s="562" t="s">
        <v>195</v>
      </c>
      <c r="D169" s="558" t="s">
        <v>223</v>
      </c>
      <c r="E169" s="556" t="s">
        <v>71</v>
      </c>
    </row>
    <row r="170" spans="2:5" ht="16.5">
      <c r="B170" s="410">
        <v>11101336</v>
      </c>
      <c r="C170" s="562" t="s">
        <v>195</v>
      </c>
      <c r="D170" s="558" t="s">
        <v>224</v>
      </c>
      <c r="E170" s="556" t="s">
        <v>71</v>
      </c>
    </row>
    <row r="171" spans="2:5" ht="16.5">
      <c r="B171" s="410">
        <v>11101336</v>
      </c>
      <c r="C171" s="562" t="s">
        <v>195</v>
      </c>
      <c r="D171" s="558" t="s">
        <v>225</v>
      </c>
      <c r="E171" s="556" t="s">
        <v>71</v>
      </c>
    </row>
    <row r="172" spans="2:5" ht="16.5">
      <c r="B172" s="410">
        <v>11101377</v>
      </c>
      <c r="C172" s="562" t="s">
        <v>195</v>
      </c>
      <c r="D172" s="558" t="s">
        <v>223</v>
      </c>
      <c r="E172" s="556" t="s">
        <v>71</v>
      </c>
    </row>
    <row r="173" spans="2:5" ht="16.5">
      <c r="B173" s="410">
        <v>11101377</v>
      </c>
      <c r="C173" s="562" t="s">
        <v>195</v>
      </c>
      <c r="D173" s="558" t="s">
        <v>224</v>
      </c>
      <c r="E173" s="556" t="s">
        <v>71</v>
      </c>
    </row>
    <row r="174" spans="2:5" ht="16.5">
      <c r="B174" s="410">
        <v>11101377</v>
      </c>
      <c r="C174" s="562" t="s">
        <v>195</v>
      </c>
      <c r="D174" s="558" t="s">
        <v>225</v>
      </c>
      <c r="E174" s="556" t="s">
        <v>71</v>
      </c>
    </row>
    <row r="175" spans="2:5" ht="16.5">
      <c r="B175" s="410">
        <v>11007507</v>
      </c>
      <c r="C175" s="562" t="s">
        <v>226</v>
      </c>
      <c r="D175" s="558" t="s">
        <v>227</v>
      </c>
      <c r="E175" s="556" t="s">
        <v>71</v>
      </c>
    </row>
    <row r="176" spans="2:5" ht="16.5">
      <c r="B176" s="410">
        <v>11007507</v>
      </c>
      <c r="C176" s="562" t="s">
        <v>226</v>
      </c>
      <c r="D176" s="558" t="s">
        <v>228</v>
      </c>
      <c r="E176" s="556" t="s">
        <v>71</v>
      </c>
    </row>
    <row r="177" spans="2:5" ht="16.5">
      <c r="B177" s="410">
        <v>11007507</v>
      </c>
      <c r="C177" s="562" t="s">
        <v>226</v>
      </c>
      <c r="D177" s="558" t="s">
        <v>229</v>
      </c>
      <c r="E177" s="556" t="s">
        <v>71</v>
      </c>
    </row>
    <row r="178" spans="2:5" ht="16.5">
      <c r="B178" s="410">
        <v>11007507</v>
      </c>
      <c r="C178" s="562" t="s">
        <v>226</v>
      </c>
      <c r="D178" s="558" t="s">
        <v>230</v>
      </c>
      <c r="E178" s="556" t="s">
        <v>71</v>
      </c>
    </row>
    <row r="179" spans="2:5" ht="16.5">
      <c r="B179" s="410">
        <v>11007507</v>
      </c>
      <c r="C179" s="562" t="s">
        <v>226</v>
      </c>
      <c r="D179" s="558" t="s">
        <v>231</v>
      </c>
      <c r="E179" s="556" t="s">
        <v>71</v>
      </c>
    </row>
    <row r="180" spans="2:5" ht="16.5">
      <c r="B180" s="410">
        <v>11007507</v>
      </c>
      <c r="C180" s="562" t="s">
        <v>226</v>
      </c>
      <c r="D180" s="558" t="s">
        <v>232</v>
      </c>
      <c r="E180" s="556" t="s">
        <v>71</v>
      </c>
    </row>
    <row r="181" spans="2:5" ht="16.5">
      <c r="B181" s="410">
        <v>11007507</v>
      </c>
      <c r="C181" s="562" t="s">
        <v>226</v>
      </c>
      <c r="D181" s="558" t="s">
        <v>233</v>
      </c>
      <c r="E181" s="556" t="s">
        <v>71</v>
      </c>
    </row>
    <row r="182" spans="2:5" ht="16.5">
      <c r="B182" s="410">
        <v>11007507</v>
      </c>
      <c r="C182" s="562" t="s">
        <v>226</v>
      </c>
      <c r="D182" s="558" t="s">
        <v>234</v>
      </c>
      <c r="E182" s="556" t="s">
        <v>71</v>
      </c>
    </row>
    <row r="183" spans="2:5" ht="16.5">
      <c r="B183" s="410">
        <v>11007507</v>
      </c>
      <c r="C183" s="562" t="s">
        <v>226</v>
      </c>
      <c r="D183" s="558" t="s">
        <v>235</v>
      </c>
      <c r="E183" s="556" t="s">
        <v>71</v>
      </c>
    </row>
    <row r="184" spans="2:5" ht="16.5">
      <c r="B184" s="410">
        <v>11007507</v>
      </c>
      <c r="C184" s="562" t="s">
        <v>226</v>
      </c>
      <c r="D184" s="558" t="s">
        <v>236</v>
      </c>
      <c r="E184" s="556" t="s">
        <v>71</v>
      </c>
    </row>
    <row r="185" spans="2:5" ht="16.5">
      <c r="B185" s="410">
        <v>11007507</v>
      </c>
      <c r="C185" s="562" t="s">
        <v>226</v>
      </c>
      <c r="D185" s="558" t="s">
        <v>237</v>
      </c>
      <c r="E185" s="556" t="s">
        <v>71</v>
      </c>
    </row>
    <row r="186" spans="2:5" ht="16.5">
      <c r="B186" s="410">
        <v>11007507</v>
      </c>
      <c r="C186" s="562" t="s">
        <v>226</v>
      </c>
      <c r="D186" s="558" t="s">
        <v>238</v>
      </c>
      <c r="E186" s="556" t="s">
        <v>71</v>
      </c>
    </row>
    <row r="187" spans="2:5" ht="16.5">
      <c r="B187" s="410">
        <v>11007507</v>
      </c>
      <c r="C187" s="562" t="s">
        <v>226</v>
      </c>
      <c r="D187" s="558" t="s">
        <v>239</v>
      </c>
      <c r="E187" s="556" t="s">
        <v>71</v>
      </c>
    </row>
    <row r="188" spans="2:5" ht="16.5">
      <c r="B188" s="410">
        <v>11007507</v>
      </c>
      <c r="C188" s="562" t="s">
        <v>226</v>
      </c>
      <c r="D188" s="558" t="s">
        <v>240</v>
      </c>
      <c r="E188" s="556" t="s">
        <v>71</v>
      </c>
    </row>
    <row r="189" spans="2:5" ht="16.5">
      <c r="B189" s="410">
        <v>11102648</v>
      </c>
      <c r="C189" s="562" t="s">
        <v>226</v>
      </c>
      <c r="D189" s="558" t="s">
        <v>241</v>
      </c>
      <c r="E189" s="556" t="s">
        <v>71</v>
      </c>
    </row>
    <row r="190" spans="2:5" ht="16.5">
      <c r="B190" s="410">
        <v>11102648</v>
      </c>
      <c r="C190" s="562" t="s">
        <v>226</v>
      </c>
      <c r="D190" s="558" t="s">
        <v>242</v>
      </c>
      <c r="E190" s="556" t="s">
        <v>71</v>
      </c>
    </row>
    <row r="191" spans="2:5" ht="16.5">
      <c r="B191" s="410">
        <v>11102648</v>
      </c>
      <c r="C191" s="562" t="s">
        <v>226</v>
      </c>
      <c r="D191" s="558" t="s">
        <v>243</v>
      </c>
      <c r="E191" s="556" t="s">
        <v>71</v>
      </c>
    </row>
    <row r="192" spans="2:5" ht="16.5">
      <c r="B192" s="410">
        <v>11102648</v>
      </c>
      <c r="C192" s="562" t="s">
        <v>226</v>
      </c>
      <c r="D192" s="558" t="s">
        <v>244</v>
      </c>
      <c r="E192" s="556" t="s">
        <v>71</v>
      </c>
    </row>
    <row r="193" spans="2:5" ht="16.5">
      <c r="B193" s="410">
        <v>11102648</v>
      </c>
      <c r="C193" s="562" t="s">
        <v>226</v>
      </c>
      <c r="D193" s="558" t="s">
        <v>245</v>
      </c>
      <c r="E193" s="556" t="s">
        <v>71</v>
      </c>
    </row>
    <row r="194" spans="2:5" ht="16.5">
      <c r="B194" s="410">
        <v>11102648</v>
      </c>
      <c r="C194" s="562" t="s">
        <v>226</v>
      </c>
      <c r="D194" s="558" t="s">
        <v>246</v>
      </c>
      <c r="E194" s="556" t="s">
        <v>71</v>
      </c>
    </row>
    <row r="195" spans="2:5" ht="16.5">
      <c r="B195" s="410">
        <v>11102648</v>
      </c>
      <c r="C195" s="562" t="s">
        <v>226</v>
      </c>
      <c r="D195" s="558" t="s">
        <v>247</v>
      </c>
      <c r="E195" s="556" t="s">
        <v>71</v>
      </c>
    </row>
    <row r="196" spans="2:5" ht="16.5">
      <c r="B196" s="410">
        <v>11102648</v>
      </c>
      <c r="C196" s="562" t="s">
        <v>226</v>
      </c>
      <c r="D196" s="558" t="s">
        <v>248</v>
      </c>
      <c r="E196" s="556" t="s">
        <v>71</v>
      </c>
    </row>
    <row r="197" spans="2:5" ht="16.5">
      <c r="B197" s="410">
        <v>11102648</v>
      </c>
      <c r="C197" s="562" t="s">
        <v>226</v>
      </c>
      <c r="D197" s="558" t="s">
        <v>249</v>
      </c>
      <c r="E197" s="556" t="s">
        <v>71</v>
      </c>
    </row>
    <row r="198" spans="2:5" ht="16.5">
      <c r="B198" s="410">
        <v>11102648</v>
      </c>
      <c r="C198" s="562" t="s">
        <v>226</v>
      </c>
      <c r="D198" s="558" t="s">
        <v>250</v>
      </c>
      <c r="E198" s="556" t="s">
        <v>71</v>
      </c>
    </row>
    <row r="199" spans="2:5" ht="16.5">
      <c r="B199" s="410">
        <v>11102648</v>
      </c>
      <c r="C199" s="562" t="s">
        <v>226</v>
      </c>
      <c r="D199" s="558" t="s">
        <v>251</v>
      </c>
      <c r="E199" s="556" t="s">
        <v>71</v>
      </c>
    </row>
    <row r="200" spans="2:5" ht="16.5">
      <c r="B200" s="410">
        <v>11102648</v>
      </c>
      <c r="C200" s="562" t="s">
        <v>226</v>
      </c>
      <c r="D200" s="558" t="s">
        <v>252</v>
      </c>
      <c r="E200" s="556" t="s">
        <v>71</v>
      </c>
    </row>
    <row r="201" spans="2:5" ht="16.5">
      <c r="B201" s="410">
        <v>11102648</v>
      </c>
      <c r="C201" s="562" t="s">
        <v>226</v>
      </c>
      <c r="D201" s="558" t="s">
        <v>253</v>
      </c>
      <c r="E201" s="556" t="s">
        <v>71</v>
      </c>
    </row>
    <row r="202" spans="2:5" ht="16.5">
      <c r="B202" s="410">
        <v>11102648</v>
      </c>
      <c r="C202" s="562" t="s">
        <v>226</v>
      </c>
      <c r="D202" s="558" t="s">
        <v>254</v>
      </c>
      <c r="E202" s="556" t="s">
        <v>71</v>
      </c>
    </row>
    <row r="203" spans="2:5" ht="16.5">
      <c r="B203" s="410">
        <v>11003747</v>
      </c>
      <c r="C203" s="562" t="s">
        <v>226</v>
      </c>
      <c r="D203" s="558" t="s">
        <v>241</v>
      </c>
      <c r="E203" s="556" t="s">
        <v>71</v>
      </c>
    </row>
    <row r="204" spans="2:5" ht="16.5">
      <c r="B204" s="410">
        <v>11003747</v>
      </c>
      <c r="C204" s="562" t="s">
        <v>226</v>
      </c>
      <c r="D204" s="558" t="s">
        <v>242</v>
      </c>
      <c r="E204" s="556" t="s">
        <v>71</v>
      </c>
    </row>
    <row r="205" spans="2:5" ht="16.5">
      <c r="B205" s="410">
        <v>11003747</v>
      </c>
      <c r="C205" s="562" t="s">
        <v>226</v>
      </c>
      <c r="D205" s="558" t="s">
        <v>243</v>
      </c>
      <c r="E205" s="556" t="s">
        <v>71</v>
      </c>
    </row>
    <row r="206" spans="2:5" ht="16.5">
      <c r="B206" s="410">
        <v>11003747</v>
      </c>
      <c r="C206" s="562" t="s">
        <v>226</v>
      </c>
      <c r="D206" s="558" t="s">
        <v>244</v>
      </c>
      <c r="E206" s="556" t="s">
        <v>71</v>
      </c>
    </row>
    <row r="207" spans="2:5" ht="16.5">
      <c r="B207" s="410">
        <v>11003747</v>
      </c>
      <c r="C207" s="562" t="s">
        <v>226</v>
      </c>
      <c r="D207" s="558" t="s">
        <v>245</v>
      </c>
      <c r="E207" s="556" t="s">
        <v>71</v>
      </c>
    </row>
    <row r="208" spans="2:5" ht="16.5">
      <c r="B208" s="410">
        <v>11003747</v>
      </c>
      <c r="C208" s="562" t="s">
        <v>226</v>
      </c>
      <c r="D208" s="558" t="s">
        <v>246</v>
      </c>
      <c r="E208" s="556" t="s">
        <v>71</v>
      </c>
    </row>
    <row r="209" spans="2:5" ht="16.5">
      <c r="B209" s="410">
        <v>11003747</v>
      </c>
      <c r="C209" s="562" t="s">
        <v>226</v>
      </c>
      <c r="D209" s="558" t="s">
        <v>247</v>
      </c>
      <c r="E209" s="556" t="s">
        <v>71</v>
      </c>
    </row>
    <row r="210" spans="2:5" ht="16.5">
      <c r="B210" s="410">
        <v>11003747</v>
      </c>
      <c r="C210" s="562" t="s">
        <v>226</v>
      </c>
      <c r="D210" s="558" t="s">
        <v>248</v>
      </c>
      <c r="E210" s="556" t="s">
        <v>71</v>
      </c>
    </row>
    <row r="211" spans="2:5" ht="16.5">
      <c r="B211" s="410">
        <v>11003747</v>
      </c>
      <c r="C211" s="562" t="s">
        <v>226</v>
      </c>
      <c r="D211" s="558" t="s">
        <v>249</v>
      </c>
      <c r="E211" s="556" t="s">
        <v>71</v>
      </c>
    </row>
    <row r="212" spans="2:5" ht="16.5">
      <c r="B212" s="410">
        <v>11003747</v>
      </c>
      <c r="C212" s="562" t="s">
        <v>226</v>
      </c>
      <c r="D212" s="558" t="s">
        <v>250</v>
      </c>
      <c r="E212" s="556" t="s">
        <v>71</v>
      </c>
    </row>
    <row r="213" spans="2:5" ht="16.5">
      <c r="B213" s="410">
        <v>11003747</v>
      </c>
      <c r="C213" s="562" t="s">
        <v>226</v>
      </c>
      <c r="D213" s="558" t="s">
        <v>251</v>
      </c>
      <c r="E213" s="556" t="s">
        <v>71</v>
      </c>
    </row>
    <row r="214" spans="2:5" ht="16.5">
      <c r="B214" s="410">
        <v>11003747</v>
      </c>
      <c r="C214" s="562" t="s">
        <v>226</v>
      </c>
      <c r="D214" s="558" t="s">
        <v>252</v>
      </c>
      <c r="E214" s="556" t="s">
        <v>71</v>
      </c>
    </row>
    <row r="215" spans="2:5" ht="16.5">
      <c r="B215" s="410">
        <v>11003747</v>
      </c>
      <c r="C215" s="562" t="s">
        <v>226</v>
      </c>
      <c r="D215" s="558" t="s">
        <v>253</v>
      </c>
      <c r="E215" s="556" t="s">
        <v>71</v>
      </c>
    </row>
    <row r="216" spans="2:5" ht="16.5">
      <c r="B216" s="410">
        <v>11003747</v>
      </c>
      <c r="C216" s="562" t="s">
        <v>226</v>
      </c>
      <c r="D216" s="558" t="s">
        <v>254</v>
      </c>
      <c r="E216" s="556" t="s">
        <v>71</v>
      </c>
    </row>
    <row r="217" spans="2:5" ht="16.5">
      <c r="B217" s="410">
        <v>11003834</v>
      </c>
      <c r="C217" s="562" t="s">
        <v>226</v>
      </c>
      <c r="D217" s="558" t="s">
        <v>241</v>
      </c>
      <c r="E217" s="556" t="s">
        <v>71</v>
      </c>
    </row>
    <row r="218" spans="2:5" ht="16.5">
      <c r="B218" s="410">
        <v>11003834</v>
      </c>
      <c r="C218" s="562" t="s">
        <v>226</v>
      </c>
      <c r="D218" s="558" t="s">
        <v>242</v>
      </c>
      <c r="E218" s="556" t="s">
        <v>71</v>
      </c>
    </row>
    <row r="219" spans="2:5" ht="16.5">
      <c r="B219" s="410">
        <v>11003834</v>
      </c>
      <c r="C219" s="562" t="s">
        <v>226</v>
      </c>
      <c r="D219" s="558" t="s">
        <v>243</v>
      </c>
      <c r="E219" s="556" t="s">
        <v>71</v>
      </c>
    </row>
    <row r="220" spans="2:5" ht="16.5">
      <c r="B220" s="410">
        <v>11003834</v>
      </c>
      <c r="C220" s="562" t="s">
        <v>226</v>
      </c>
      <c r="D220" s="558" t="s">
        <v>244</v>
      </c>
      <c r="E220" s="556" t="s">
        <v>71</v>
      </c>
    </row>
    <row r="221" spans="2:5" ht="16.5">
      <c r="B221" s="410">
        <v>11003834</v>
      </c>
      <c r="C221" s="562" t="s">
        <v>226</v>
      </c>
      <c r="D221" s="558" t="s">
        <v>245</v>
      </c>
      <c r="E221" s="556" t="s">
        <v>71</v>
      </c>
    </row>
    <row r="222" spans="2:5" ht="16.5">
      <c r="B222" s="410">
        <v>11003834</v>
      </c>
      <c r="C222" s="562" t="s">
        <v>226</v>
      </c>
      <c r="D222" s="558" t="s">
        <v>246</v>
      </c>
      <c r="E222" s="556" t="s">
        <v>71</v>
      </c>
    </row>
    <row r="223" spans="2:5" ht="16.5">
      <c r="B223" s="410">
        <v>11003834</v>
      </c>
      <c r="C223" s="562" t="s">
        <v>226</v>
      </c>
      <c r="D223" s="558" t="s">
        <v>247</v>
      </c>
      <c r="E223" s="556" t="s">
        <v>71</v>
      </c>
    </row>
    <row r="224" spans="2:5" ht="16.5">
      <c r="B224" s="410">
        <v>11003834</v>
      </c>
      <c r="C224" s="562" t="s">
        <v>226</v>
      </c>
      <c r="D224" s="558" t="s">
        <v>248</v>
      </c>
      <c r="E224" s="556" t="s">
        <v>71</v>
      </c>
    </row>
    <row r="225" spans="2:5" ht="16.5">
      <c r="B225" s="410">
        <v>11003834</v>
      </c>
      <c r="C225" s="562" t="s">
        <v>226</v>
      </c>
      <c r="D225" s="558" t="s">
        <v>249</v>
      </c>
      <c r="E225" s="556" t="s">
        <v>71</v>
      </c>
    </row>
    <row r="226" spans="2:5" ht="16.5">
      <c r="B226" s="410">
        <v>11003834</v>
      </c>
      <c r="C226" s="562" t="s">
        <v>226</v>
      </c>
      <c r="D226" s="558" t="s">
        <v>250</v>
      </c>
      <c r="E226" s="556" t="s">
        <v>71</v>
      </c>
    </row>
    <row r="227" spans="2:5" ht="16.5">
      <c r="B227" s="410">
        <v>11003834</v>
      </c>
      <c r="C227" s="562" t="s">
        <v>226</v>
      </c>
      <c r="D227" s="558" t="s">
        <v>251</v>
      </c>
      <c r="E227" s="556" t="s">
        <v>71</v>
      </c>
    </row>
    <row r="228" spans="2:5" ht="16.5">
      <c r="B228" s="410">
        <v>11003834</v>
      </c>
      <c r="C228" s="562" t="s">
        <v>226</v>
      </c>
      <c r="D228" s="558" t="s">
        <v>252</v>
      </c>
      <c r="E228" s="556" t="s">
        <v>71</v>
      </c>
    </row>
    <row r="229" spans="2:5" ht="16.5">
      <c r="B229" s="410">
        <v>11003834</v>
      </c>
      <c r="C229" s="562" t="s">
        <v>226</v>
      </c>
      <c r="D229" s="558" t="s">
        <v>253</v>
      </c>
      <c r="E229" s="556" t="s">
        <v>71</v>
      </c>
    </row>
    <row r="230" spans="2:5" ht="16.5">
      <c r="B230" s="410">
        <v>11003834</v>
      </c>
      <c r="C230" s="562" t="s">
        <v>226</v>
      </c>
      <c r="D230" s="558" t="s">
        <v>254</v>
      </c>
      <c r="E230" s="556" t="s">
        <v>71</v>
      </c>
    </row>
    <row r="231" spans="2:5" ht="16.5">
      <c r="B231" s="410">
        <v>11003722</v>
      </c>
      <c r="C231" s="562" t="s">
        <v>255</v>
      </c>
      <c r="D231" s="558" t="s">
        <v>256</v>
      </c>
      <c r="E231" s="556" t="s">
        <v>71</v>
      </c>
    </row>
    <row r="232" spans="2:5" ht="16.5">
      <c r="B232" s="410">
        <v>11003722</v>
      </c>
      <c r="C232" s="562" t="s">
        <v>255</v>
      </c>
      <c r="D232" s="558" t="s">
        <v>257</v>
      </c>
      <c r="E232" s="556" t="s">
        <v>71</v>
      </c>
    </row>
    <row r="233" spans="2:5" ht="16.5">
      <c r="B233" s="410">
        <v>11003722</v>
      </c>
      <c r="C233" s="562" t="s">
        <v>255</v>
      </c>
      <c r="D233" s="558" t="s">
        <v>258</v>
      </c>
      <c r="E233" s="556" t="s">
        <v>71</v>
      </c>
    </row>
    <row r="234" spans="2:5" ht="16.5">
      <c r="B234" s="410">
        <v>11003596</v>
      </c>
      <c r="C234" s="562" t="s">
        <v>255</v>
      </c>
      <c r="D234" s="558" t="s">
        <v>259</v>
      </c>
      <c r="E234" s="556" t="s">
        <v>71</v>
      </c>
    </row>
    <row r="235" spans="2:5" ht="16.5">
      <c r="B235" s="410">
        <v>11003596</v>
      </c>
      <c r="C235" s="562" t="s">
        <v>255</v>
      </c>
      <c r="D235" s="558" t="s">
        <v>260</v>
      </c>
      <c r="E235" s="556" t="s">
        <v>71</v>
      </c>
    </row>
    <row r="236" spans="2:5" ht="16.5">
      <c r="B236" s="410">
        <v>11003596</v>
      </c>
      <c r="C236" s="562" t="s">
        <v>255</v>
      </c>
      <c r="D236" s="558" t="s">
        <v>261</v>
      </c>
      <c r="E236" s="556" t="s">
        <v>71</v>
      </c>
    </row>
    <row r="237" spans="2:5" ht="16.5">
      <c r="B237" s="410">
        <v>11003664</v>
      </c>
      <c r="C237" s="562" t="s">
        <v>255</v>
      </c>
      <c r="D237" s="558" t="s">
        <v>262</v>
      </c>
      <c r="E237" s="556" t="s">
        <v>71</v>
      </c>
    </row>
    <row r="238" spans="2:5" ht="16.5">
      <c r="B238" s="410">
        <v>11003664</v>
      </c>
      <c r="C238" s="562" t="s">
        <v>255</v>
      </c>
      <c r="D238" s="558" t="s">
        <v>263</v>
      </c>
      <c r="E238" s="556" t="s">
        <v>71</v>
      </c>
    </row>
    <row r="239" spans="2:5" ht="16.5">
      <c r="B239" s="410">
        <v>11003664</v>
      </c>
      <c r="C239" s="562" t="s">
        <v>255</v>
      </c>
      <c r="D239" s="558" t="s">
        <v>264</v>
      </c>
      <c r="E239" s="556" t="s">
        <v>71</v>
      </c>
    </row>
    <row r="240" spans="2:5" ht="16.5">
      <c r="B240" s="410">
        <v>11003693</v>
      </c>
      <c r="C240" s="562" t="s">
        <v>255</v>
      </c>
      <c r="D240" s="558" t="s">
        <v>265</v>
      </c>
      <c r="E240" s="556" t="s">
        <v>71</v>
      </c>
    </row>
    <row r="241" spans="2:5" ht="16.5">
      <c r="B241" s="410">
        <v>11003693</v>
      </c>
      <c r="C241" s="562" t="s">
        <v>255</v>
      </c>
      <c r="D241" s="558" t="s">
        <v>266</v>
      </c>
      <c r="E241" s="556" t="s">
        <v>71</v>
      </c>
    </row>
    <row r="242" spans="2:5" ht="16.5">
      <c r="B242" s="410">
        <v>11003693</v>
      </c>
      <c r="C242" s="562" t="s">
        <v>255</v>
      </c>
      <c r="D242" s="558" t="s">
        <v>267</v>
      </c>
      <c r="E242" s="556" t="s">
        <v>71</v>
      </c>
    </row>
    <row r="243" spans="2:5" ht="16.5">
      <c r="B243" s="410">
        <v>11004175</v>
      </c>
      <c r="C243" s="562" t="s">
        <v>255</v>
      </c>
      <c r="D243" s="558" t="s">
        <v>268</v>
      </c>
      <c r="E243" s="556" t="s">
        <v>71</v>
      </c>
    </row>
    <row r="244" spans="2:5" ht="16.5">
      <c r="B244" s="410">
        <v>11004175</v>
      </c>
      <c r="C244" s="562" t="s">
        <v>255</v>
      </c>
      <c r="D244" s="558" t="s">
        <v>269</v>
      </c>
      <c r="E244" s="556" t="s">
        <v>71</v>
      </c>
    </row>
    <row r="245" spans="2:5" ht="16.5">
      <c r="B245" s="410">
        <v>11004175</v>
      </c>
      <c r="C245" s="562" t="s">
        <v>255</v>
      </c>
      <c r="D245" s="558" t="s">
        <v>270</v>
      </c>
      <c r="E245" s="556" t="s">
        <v>71</v>
      </c>
    </row>
    <row r="246" spans="2:5" ht="16.5">
      <c r="B246" s="410">
        <v>11008428</v>
      </c>
      <c r="C246" s="562" t="s">
        <v>255</v>
      </c>
      <c r="D246" s="558" t="s">
        <v>271</v>
      </c>
      <c r="E246" s="556" t="s">
        <v>71</v>
      </c>
    </row>
    <row r="247" spans="2:5" ht="16.5">
      <c r="B247" s="410">
        <v>11008428</v>
      </c>
      <c r="C247" s="562" t="s">
        <v>255</v>
      </c>
      <c r="D247" s="558" t="s">
        <v>272</v>
      </c>
      <c r="E247" s="556" t="s">
        <v>71</v>
      </c>
    </row>
    <row r="248" spans="2:5" ht="16.5">
      <c r="B248" s="410">
        <v>11008428</v>
      </c>
      <c r="C248" s="562" t="s">
        <v>255</v>
      </c>
      <c r="D248" s="558" t="s">
        <v>273</v>
      </c>
      <c r="E248" s="556" t="s">
        <v>71</v>
      </c>
    </row>
    <row r="249" spans="2:5" ht="16.5">
      <c r="B249" s="410">
        <v>11008428</v>
      </c>
      <c r="C249" s="562" t="s">
        <v>255</v>
      </c>
      <c r="D249" s="558" t="s">
        <v>274</v>
      </c>
      <c r="E249" s="556" t="s">
        <v>71</v>
      </c>
    </row>
    <row r="250" spans="2:5" ht="16.5">
      <c r="B250" s="410">
        <v>11102053</v>
      </c>
      <c r="C250" s="562" t="s">
        <v>255</v>
      </c>
      <c r="D250" s="558" t="s">
        <v>275</v>
      </c>
      <c r="E250" s="556" t="s">
        <v>71</v>
      </c>
    </row>
    <row r="251" spans="2:5" ht="16.5">
      <c r="B251" s="410">
        <v>11102053</v>
      </c>
      <c r="C251" s="562" t="s">
        <v>255</v>
      </c>
      <c r="D251" s="558" t="s">
        <v>276</v>
      </c>
      <c r="E251" s="556" t="s">
        <v>71</v>
      </c>
    </row>
    <row r="252" spans="2:5" ht="16.5">
      <c r="B252" s="410">
        <v>11102053</v>
      </c>
      <c r="C252" s="562" t="s">
        <v>255</v>
      </c>
      <c r="D252" s="558" t="s">
        <v>277</v>
      </c>
      <c r="E252" s="556" t="s">
        <v>71</v>
      </c>
    </row>
    <row r="253" spans="2:5" ht="16.5">
      <c r="B253" s="410">
        <v>11102054</v>
      </c>
      <c r="C253" s="562" t="s">
        <v>255</v>
      </c>
      <c r="D253" s="558" t="s">
        <v>278</v>
      </c>
      <c r="E253" s="556" t="s">
        <v>71</v>
      </c>
    </row>
    <row r="254" spans="2:5" ht="16.5">
      <c r="B254" s="410">
        <v>11102054</v>
      </c>
      <c r="C254" s="562" t="s">
        <v>255</v>
      </c>
      <c r="D254" s="558" t="s">
        <v>279</v>
      </c>
      <c r="E254" s="556" t="s">
        <v>71</v>
      </c>
    </row>
    <row r="255" spans="2:5" ht="16.5">
      <c r="B255" s="410">
        <v>11102054</v>
      </c>
      <c r="C255" s="562" t="s">
        <v>255</v>
      </c>
      <c r="D255" s="558" t="s">
        <v>280</v>
      </c>
      <c r="E255" s="556" t="s">
        <v>71</v>
      </c>
    </row>
    <row r="256" spans="2:5" ht="16.5">
      <c r="B256" s="410">
        <v>11102055</v>
      </c>
      <c r="C256" s="562" t="s">
        <v>255</v>
      </c>
      <c r="D256" s="558" t="s">
        <v>281</v>
      </c>
      <c r="E256" s="556" t="s">
        <v>71</v>
      </c>
    </row>
    <row r="257" spans="2:5" ht="16.5">
      <c r="B257" s="410">
        <v>11102055</v>
      </c>
      <c r="C257" s="562" t="s">
        <v>255</v>
      </c>
      <c r="D257" s="558" t="s">
        <v>282</v>
      </c>
      <c r="E257" s="556" t="s">
        <v>71</v>
      </c>
    </row>
    <row r="258" spans="2:5" ht="16.5">
      <c r="B258" s="410">
        <v>11102054</v>
      </c>
      <c r="C258" s="562" t="s">
        <v>255</v>
      </c>
      <c r="D258" s="558" t="s">
        <v>283</v>
      </c>
      <c r="E258" s="556" t="s">
        <v>71</v>
      </c>
    </row>
    <row r="259" spans="2:5" ht="16.5">
      <c r="B259" s="410">
        <v>11002073</v>
      </c>
      <c r="C259" s="562" t="s">
        <v>284</v>
      </c>
      <c r="D259" s="558" t="s">
        <v>285</v>
      </c>
      <c r="E259" s="556" t="s">
        <v>71</v>
      </c>
    </row>
    <row r="260" spans="2:5" ht="16.5">
      <c r="B260" s="410">
        <v>11002073</v>
      </c>
      <c r="C260" s="562" t="s">
        <v>284</v>
      </c>
      <c r="D260" s="558" t="s">
        <v>286</v>
      </c>
      <c r="E260" s="556" t="s">
        <v>71</v>
      </c>
    </row>
    <row r="261" spans="2:5" ht="16.5">
      <c r="B261" s="410">
        <v>11003665</v>
      </c>
      <c r="C261" s="562" t="s">
        <v>284</v>
      </c>
      <c r="D261" s="558" t="s">
        <v>285</v>
      </c>
      <c r="E261" s="556" t="s">
        <v>71</v>
      </c>
    </row>
    <row r="262" spans="2:5" ht="16.5">
      <c r="B262" s="410">
        <v>11003665</v>
      </c>
      <c r="C262" s="562" t="s">
        <v>284</v>
      </c>
      <c r="D262" s="558" t="s">
        <v>286</v>
      </c>
      <c r="E262" s="556" t="s">
        <v>71</v>
      </c>
    </row>
    <row r="263" spans="2:5" ht="16.5">
      <c r="B263" s="410">
        <v>11008325</v>
      </c>
      <c r="C263" s="562" t="s">
        <v>287</v>
      </c>
      <c r="D263" s="558" t="s">
        <v>288</v>
      </c>
      <c r="E263" s="556" t="s">
        <v>71</v>
      </c>
    </row>
    <row r="264" spans="2:5" ht="16.5">
      <c r="B264" s="410">
        <v>11008325</v>
      </c>
      <c r="C264" s="562" t="s">
        <v>287</v>
      </c>
      <c r="D264" s="558" t="s">
        <v>289</v>
      </c>
      <c r="E264" s="556" t="s">
        <v>71</v>
      </c>
    </row>
    <row r="265" spans="2:5" ht="16.5">
      <c r="B265" s="410">
        <v>11008325</v>
      </c>
      <c r="C265" s="562" t="s">
        <v>287</v>
      </c>
      <c r="D265" s="558" t="s">
        <v>290</v>
      </c>
      <c r="E265" s="556" t="s">
        <v>71</v>
      </c>
    </row>
    <row r="266" spans="2:5" ht="16.5">
      <c r="B266" s="410">
        <v>11008325</v>
      </c>
      <c r="C266" s="562" t="s">
        <v>287</v>
      </c>
      <c r="D266" s="558" t="s">
        <v>291</v>
      </c>
      <c r="E266" s="556" t="s">
        <v>71</v>
      </c>
    </row>
    <row r="267" spans="2:5" ht="16.5">
      <c r="B267" s="410">
        <v>11008325</v>
      </c>
      <c r="C267" s="562" t="s">
        <v>287</v>
      </c>
      <c r="D267" s="558" t="s">
        <v>292</v>
      </c>
      <c r="E267" s="556" t="s">
        <v>71</v>
      </c>
    </row>
    <row r="268" spans="2:5" ht="16.5">
      <c r="B268" s="410">
        <v>11008325</v>
      </c>
      <c r="C268" s="562" t="s">
        <v>287</v>
      </c>
      <c r="D268" s="558" t="s">
        <v>293</v>
      </c>
      <c r="E268" s="556" t="s">
        <v>71</v>
      </c>
    </row>
    <row r="269" spans="2:5" ht="16.5">
      <c r="B269" s="410">
        <v>11008325</v>
      </c>
      <c r="C269" s="562" t="s">
        <v>287</v>
      </c>
      <c r="D269" s="558" t="s">
        <v>294</v>
      </c>
      <c r="E269" s="556" t="s">
        <v>71</v>
      </c>
    </row>
    <row r="270" spans="2:5" ht="16.5">
      <c r="B270" s="410">
        <v>11008325</v>
      </c>
      <c r="C270" s="562" t="s">
        <v>287</v>
      </c>
      <c r="D270" s="558" t="s">
        <v>295</v>
      </c>
      <c r="E270" s="556" t="s">
        <v>71</v>
      </c>
    </row>
    <row r="271" spans="2:5" ht="16.5">
      <c r="B271" s="410">
        <v>11008325</v>
      </c>
      <c r="C271" s="562" t="s">
        <v>287</v>
      </c>
      <c r="D271" s="558" t="s">
        <v>296</v>
      </c>
      <c r="E271" s="556" t="s">
        <v>71</v>
      </c>
    </row>
    <row r="272" spans="2:5" ht="16.5">
      <c r="B272" s="410">
        <v>11008325</v>
      </c>
      <c r="C272" s="562" t="s">
        <v>287</v>
      </c>
      <c r="D272" s="558" t="s">
        <v>297</v>
      </c>
      <c r="E272" s="556" t="s">
        <v>71</v>
      </c>
    </row>
    <row r="273" spans="2:5" ht="16.5">
      <c r="B273" s="410">
        <v>11008325</v>
      </c>
      <c r="C273" s="562" t="s">
        <v>287</v>
      </c>
      <c r="D273" s="558" t="s">
        <v>298</v>
      </c>
      <c r="E273" s="556" t="s">
        <v>71</v>
      </c>
    </row>
    <row r="274" spans="2:5" ht="16.5">
      <c r="B274" s="410">
        <v>11008325</v>
      </c>
      <c r="C274" s="562" t="s">
        <v>287</v>
      </c>
      <c r="D274" s="558" t="s">
        <v>299</v>
      </c>
      <c r="E274" s="556" t="s">
        <v>71</v>
      </c>
    </row>
    <row r="275" spans="2:5" ht="16.5">
      <c r="B275" s="410">
        <v>11008325</v>
      </c>
      <c r="C275" s="562" t="s">
        <v>287</v>
      </c>
      <c r="D275" s="558" t="s">
        <v>300</v>
      </c>
      <c r="E275" s="556" t="s">
        <v>71</v>
      </c>
    </row>
    <row r="276" spans="2:5" ht="16.5">
      <c r="B276" s="410">
        <v>11008325</v>
      </c>
      <c r="C276" s="562" t="s">
        <v>287</v>
      </c>
      <c r="D276" s="558" t="s">
        <v>301</v>
      </c>
      <c r="E276" s="556" t="s">
        <v>71</v>
      </c>
    </row>
    <row r="277" spans="2:5" ht="16.5">
      <c r="B277" s="410">
        <v>11008325</v>
      </c>
      <c r="C277" s="562" t="s">
        <v>287</v>
      </c>
      <c r="D277" s="558" t="s">
        <v>302</v>
      </c>
      <c r="E277" s="556" t="s">
        <v>71</v>
      </c>
    </row>
    <row r="278" spans="2:5" ht="16.5">
      <c r="B278" s="410">
        <v>11008325</v>
      </c>
      <c r="C278" s="562" t="s">
        <v>287</v>
      </c>
      <c r="D278" s="558" t="s">
        <v>303</v>
      </c>
      <c r="E278" s="556" t="s">
        <v>71</v>
      </c>
    </row>
    <row r="279" spans="2:5" ht="16.5">
      <c r="B279" s="410">
        <v>11008325</v>
      </c>
      <c r="C279" s="562" t="s">
        <v>287</v>
      </c>
      <c r="D279" s="558" t="s">
        <v>304</v>
      </c>
      <c r="E279" s="556" t="s">
        <v>71</v>
      </c>
    </row>
    <row r="280" spans="2:5" ht="16.5">
      <c r="B280" s="410">
        <v>11008325</v>
      </c>
      <c r="C280" s="562" t="s">
        <v>287</v>
      </c>
      <c r="D280" s="558" t="s">
        <v>305</v>
      </c>
      <c r="E280" s="556" t="s">
        <v>71</v>
      </c>
    </row>
    <row r="281" spans="2:5" ht="16.5">
      <c r="B281" s="410">
        <v>11008325</v>
      </c>
      <c r="C281" s="562" t="s">
        <v>287</v>
      </c>
      <c r="D281" s="558" t="s">
        <v>306</v>
      </c>
      <c r="E281" s="556" t="s">
        <v>71</v>
      </c>
    </row>
    <row r="282" spans="2:5" ht="16.5">
      <c r="B282" s="410">
        <v>11008325</v>
      </c>
      <c r="C282" s="562" t="s">
        <v>287</v>
      </c>
      <c r="D282" s="558" t="s">
        <v>307</v>
      </c>
      <c r="E282" s="556" t="s">
        <v>71</v>
      </c>
    </row>
    <row r="283" spans="2:5" ht="16.5">
      <c r="B283" s="410">
        <v>11008325</v>
      </c>
      <c r="C283" s="562" t="s">
        <v>287</v>
      </c>
      <c r="D283" s="558" t="s">
        <v>308</v>
      </c>
      <c r="E283" s="556" t="s">
        <v>71</v>
      </c>
    </row>
    <row r="284" spans="2:5" ht="16.5">
      <c r="B284" s="410">
        <v>11008325</v>
      </c>
      <c r="C284" s="562" t="s">
        <v>287</v>
      </c>
      <c r="D284" s="558" t="s">
        <v>309</v>
      </c>
      <c r="E284" s="556" t="s">
        <v>71</v>
      </c>
    </row>
    <row r="285" spans="2:5" ht="16.5">
      <c r="B285" s="410">
        <v>11008325</v>
      </c>
      <c r="C285" s="562" t="s">
        <v>287</v>
      </c>
      <c r="D285" s="558" t="s">
        <v>310</v>
      </c>
      <c r="E285" s="556" t="s">
        <v>71</v>
      </c>
    </row>
    <row r="286" spans="2:5" ht="16.5">
      <c r="B286" s="410">
        <v>11008325</v>
      </c>
      <c r="C286" s="562" t="s">
        <v>287</v>
      </c>
      <c r="D286" s="558" t="s">
        <v>311</v>
      </c>
      <c r="E286" s="556" t="s">
        <v>71</v>
      </c>
    </row>
    <row r="287" spans="2:5" ht="16.5">
      <c r="B287" s="410">
        <v>11008325</v>
      </c>
      <c r="C287" s="562" t="s">
        <v>287</v>
      </c>
      <c r="D287" s="558" t="s">
        <v>312</v>
      </c>
      <c r="E287" s="556" t="s">
        <v>71</v>
      </c>
    </row>
    <row r="288" spans="2:5" ht="16.5">
      <c r="B288" s="410">
        <v>11002736</v>
      </c>
      <c r="C288" s="562" t="s">
        <v>313</v>
      </c>
      <c r="D288" s="558" t="s">
        <v>314</v>
      </c>
      <c r="E288" s="556" t="s">
        <v>71</v>
      </c>
    </row>
    <row r="289" spans="2:5" ht="16.5">
      <c r="B289" s="410">
        <v>11002736</v>
      </c>
      <c r="C289" s="562" t="s">
        <v>313</v>
      </c>
      <c r="D289" s="558" t="s">
        <v>315</v>
      </c>
      <c r="E289" s="556" t="s">
        <v>71</v>
      </c>
    </row>
    <row r="290" spans="2:5" ht="16.5">
      <c r="B290" s="410">
        <v>11002736</v>
      </c>
      <c r="C290" s="562" t="s">
        <v>313</v>
      </c>
      <c r="D290" s="558" t="s">
        <v>316</v>
      </c>
      <c r="E290" s="556" t="s">
        <v>71</v>
      </c>
    </row>
    <row r="291" spans="2:5" ht="16.5">
      <c r="B291" s="410">
        <v>11002736</v>
      </c>
      <c r="C291" s="562" t="s">
        <v>313</v>
      </c>
      <c r="D291" s="558" t="s">
        <v>317</v>
      </c>
      <c r="E291" s="556" t="s">
        <v>71</v>
      </c>
    </row>
    <row r="292" spans="2:5" ht="16.5">
      <c r="B292" s="410">
        <v>11002736</v>
      </c>
      <c r="C292" s="562" t="s">
        <v>313</v>
      </c>
      <c r="D292" s="558" t="s">
        <v>318</v>
      </c>
      <c r="E292" s="556" t="s">
        <v>71</v>
      </c>
    </row>
    <row r="293" spans="2:5" ht="16.5">
      <c r="B293" s="410">
        <v>11002736</v>
      </c>
      <c r="C293" s="562" t="s">
        <v>313</v>
      </c>
      <c r="D293" s="558" t="s">
        <v>319</v>
      </c>
      <c r="E293" s="556" t="s">
        <v>71</v>
      </c>
    </row>
    <row r="294" spans="2:5" ht="16.5">
      <c r="B294" s="410">
        <v>11002736</v>
      </c>
      <c r="C294" s="562" t="s">
        <v>313</v>
      </c>
      <c r="D294" s="558" t="s">
        <v>320</v>
      </c>
      <c r="E294" s="556" t="s">
        <v>71</v>
      </c>
    </row>
    <row r="295" spans="2:5" ht="16.5">
      <c r="B295" s="410">
        <v>11002736</v>
      </c>
      <c r="C295" s="562" t="s">
        <v>313</v>
      </c>
      <c r="D295" s="558" t="s">
        <v>321</v>
      </c>
      <c r="E295" s="556" t="s">
        <v>71</v>
      </c>
    </row>
    <row r="296" spans="2:5" ht="16.5">
      <c r="B296" s="410">
        <v>11002736</v>
      </c>
      <c r="C296" s="562" t="s">
        <v>313</v>
      </c>
      <c r="D296" s="558" t="s">
        <v>322</v>
      </c>
      <c r="E296" s="556" t="s">
        <v>71</v>
      </c>
    </row>
    <row r="297" spans="2:5" ht="16.5">
      <c r="B297" s="410">
        <v>11002736</v>
      </c>
      <c r="C297" s="562" t="s">
        <v>313</v>
      </c>
      <c r="D297" s="558" t="s">
        <v>323</v>
      </c>
      <c r="E297" s="556" t="s">
        <v>71</v>
      </c>
    </row>
    <row r="298" spans="2:5" ht="16.5">
      <c r="B298" s="410">
        <v>11002736</v>
      </c>
      <c r="C298" s="562" t="s">
        <v>313</v>
      </c>
      <c r="D298" s="558" t="s">
        <v>324</v>
      </c>
      <c r="E298" s="556" t="s">
        <v>71</v>
      </c>
    </row>
    <row r="299" spans="2:5" ht="16.5">
      <c r="B299" s="410">
        <v>11002736</v>
      </c>
      <c r="C299" s="562" t="s">
        <v>313</v>
      </c>
      <c r="D299" s="558" t="s">
        <v>325</v>
      </c>
      <c r="E299" s="556" t="s">
        <v>71</v>
      </c>
    </row>
    <row r="300" spans="2:5" ht="16.5">
      <c r="B300" s="410">
        <v>11002736</v>
      </c>
      <c r="C300" s="562" t="s">
        <v>313</v>
      </c>
      <c r="D300" s="558" t="s">
        <v>326</v>
      </c>
      <c r="E300" s="556" t="s">
        <v>71</v>
      </c>
    </row>
    <row r="301" spans="2:5" ht="16.5">
      <c r="B301" s="410">
        <v>11002736</v>
      </c>
      <c r="C301" s="562" t="s">
        <v>313</v>
      </c>
      <c r="D301" s="558" t="s">
        <v>327</v>
      </c>
      <c r="E301" s="556" t="s">
        <v>71</v>
      </c>
    </row>
    <row r="302" spans="2:5" ht="16.5">
      <c r="B302" s="410">
        <v>11002736</v>
      </c>
      <c r="C302" s="562" t="s">
        <v>313</v>
      </c>
      <c r="D302" s="558" t="s">
        <v>328</v>
      </c>
      <c r="E302" s="556" t="s">
        <v>71</v>
      </c>
    </row>
    <row r="303" spans="2:5" ht="16.5">
      <c r="B303" s="410">
        <v>11002736</v>
      </c>
      <c r="C303" s="562" t="s">
        <v>313</v>
      </c>
      <c r="D303" s="558" t="s">
        <v>329</v>
      </c>
      <c r="E303" s="556" t="s">
        <v>71</v>
      </c>
    </row>
    <row r="304" spans="2:5" ht="16.5">
      <c r="B304" s="410">
        <v>11002736</v>
      </c>
      <c r="C304" s="562" t="s">
        <v>313</v>
      </c>
      <c r="D304" s="558" t="s">
        <v>330</v>
      </c>
      <c r="E304" s="556" t="s">
        <v>71</v>
      </c>
    </row>
    <row r="305" spans="2:5" ht="16.5">
      <c r="B305" s="410">
        <v>11000234</v>
      </c>
      <c r="C305" s="562" t="s">
        <v>331</v>
      </c>
      <c r="D305" s="558" t="s">
        <v>332</v>
      </c>
      <c r="E305" s="556" t="s">
        <v>71</v>
      </c>
    </row>
    <row r="306" spans="2:5" ht="16.5">
      <c r="B306" s="410">
        <v>11000234</v>
      </c>
      <c r="C306" s="562" t="s">
        <v>331</v>
      </c>
      <c r="D306" s="558" t="s">
        <v>333</v>
      </c>
      <c r="E306" s="556" t="s">
        <v>71</v>
      </c>
    </row>
    <row r="307" spans="2:5" ht="16.5">
      <c r="B307" s="410">
        <v>11000234</v>
      </c>
      <c r="C307" s="562" t="s">
        <v>331</v>
      </c>
      <c r="D307" s="558" t="s">
        <v>334</v>
      </c>
      <c r="E307" s="556" t="s">
        <v>71</v>
      </c>
    </row>
    <row r="308" spans="2:5" ht="16.5">
      <c r="B308" s="410">
        <v>11000234</v>
      </c>
      <c r="C308" s="562" t="s">
        <v>331</v>
      </c>
      <c r="D308" s="558" t="s">
        <v>335</v>
      </c>
      <c r="E308" s="556" t="s">
        <v>71</v>
      </c>
    </row>
    <row r="309" spans="2:5" ht="16.5">
      <c r="B309" s="410">
        <v>11000234</v>
      </c>
      <c r="C309" s="562" t="s">
        <v>331</v>
      </c>
      <c r="D309" s="558" t="s">
        <v>336</v>
      </c>
      <c r="E309" s="556" t="s">
        <v>71</v>
      </c>
    </row>
    <row r="310" spans="2:5" ht="16.5">
      <c r="B310" s="410">
        <v>11000234</v>
      </c>
      <c r="C310" s="562" t="s">
        <v>331</v>
      </c>
      <c r="D310" s="558" t="s">
        <v>337</v>
      </c>
      <c r="E310" s="556" t="s">
        <v>71</v>
      </c>
    </row>
    <row r="311" spans="2:5" ht="16.5">
      <c r="B311" s="410">
        <v>11000234</v>
      </c>
      <c r="C311" s="562" t="s">
        <v>331</v>
      </c>
      <c r="D311" s="558" t="s">
        <v>338</v>
      </c>
      <c r="E311" s="556" t="s">
        <v>71</v>
      </c>
    </row>
    <row r="312" spans="2:5" ht="16.5">
      <c r="B312" s="410">
        <v>11000234</v>
      </c>
      <c r="C312" s="562" t="s">
        <v>331</v>
      </c>
      <c r="D312" s="558" t="s">
        <v>339</v>
      </c>
      <c r="E312" s="556" t="s">
        <v>71</v>
      </c>
    </row>
    <row r="313" spans="2:5" ht="16.5">
      <c r="B313" s="410">
        <v>11000234</v>
      </c>
      <c r="C313" s="562" t="s">
        <v>331</v>
      </c>
      <c r="D313" s="558" t="s">
        <v>340</v>
      </c>
      <c r="E313" s="556" t="s">
        <v>71</v>
      </c>
    </row>
    <row r="314" spans="2:5" ht="16.5">
      <c r="B314" s="410">
        <v>11000234</v>
      </c>
      <c r="C314" s="562" t="s">
        <v>331</v>
      </c>
      <c r="D314" s="558" t="s">
        <v>341</v>
      </c>
      <c r="E314" s="556" t="s">
        <v>71</v>
      </c>
    </row>
    <row r="315" spans="2:5" ht="16.5">
      <c r="B315" s="410">
        <v>11000234</v>
      </c>
      <c r="C315" s="562" t="s">
        <v>331</v>
      </c>
      <c r="D315" s="558" t="s">
        <v>342</v>
      </c>
      <c r="E315" s="556" t="s">
        <v>71</v>
      </c>
    </row>
    <row r="316" spans="2:5" ht="16.5">
      <c r="B316" s="410">
        <v>11000234</v>
      </c>
      <c r="C316" s="562" t="s">
        <v>331</v>
      </c>
      <c r="D316" s="558" t="s">
        <v>343</v>
      </c>
      <c r="E316" s="556" t="s">
        <v>71</v>
      </c>
    </row>
    <row r="317" spans="2:5" ht="16.5">
      <c r="B317" s="410">
        <v>11000234</v>
      </c>
      <c r="C317" s="562" t="s">
        <v>331</v>
      </c>
      <c r="D317" s="558" t="s">
        <v>344</v>
      </c>
      <c r="E317" s="556" t="s">
        <v>71</v>
      </c>
    </row>
    <row r="318" spans="2:5" ht="16.5">
      <c r="B318" s="410">
        <v>11000234</v>
      </c>
      <c r="C318" s="562" t="s">
        <v>331</v>
      </c>
      <c r="D318" s="558" t="s">
        <v>345</v>
      </c>
      <c r="E318" s="556" t="s">
        <v>71</v>
      </c>
    </row>
    <row r="319" spans="2:5" ht="16.5">
      <c r="B319" s="410">
        <v>11000234</v>
      </c>
      <c r="C319" s="562" t="s">
        <v>331</v>
      </c>
      <c r="D319" s="558" t="s">
        <v>346</v>
      </c>
      <c r="E319" s="556" t="s">
        <v>71</v>
      </c>
    </row>
    <row r="320" spans="2:5" ht="16.5">
      <c r="B320" s="410">
        <v>11000916</v>
      </c>
      <c r="C320" s="562" t="s">
        <v>347</v>
      </c>
      <c r="D320" s="558" t="s">
        <v>348</v>
      </c>
      <c r="E320" s="556" t="s">
        <v>71</v>
      </c>
    </row>
    <row r="321" spans="2:5" ht="16.5">
      <c r="B321" s="410">
        <v>11000916</v>
      </c>
      <c r="C321" s="562" t="s">
        <v>347</v>
      </c>
      <c r="D321" s="558" t="s">
        <v>349</v>
      </c>
      <c r="E321" s="556" t="s">
        <v>71</v>
      </c>
    </row>
    <row r="322" spans="2:5" ht="16.5">
      <c r="B322" s="410">
        <v>11000916</v>
      </c>
      <c r="C322" s="562" t="s">
        <v>347</v>
      </c>
      <c r="D322" s="558" t="s">
        <v>350</v>
      </c>
      <c r="E322" s="556" t="s">
        <v>71</v>
      </c>
    </row>
    <row r="323" spans="2:5" ht="16.5">
      <c r="B323" s="410">
        <v>11000916</v>
      </c>
      <c r="C323" s="562" t="s">
        <v>347</v>
      </c>
      <c r="D323" s="558" t="s">
        <v>351</v>
      </c>
      <c r="E323" s="556" t="s">
        <v>71</v>
      </c>
    </row>
    <row r="324" spans="2:5" ht="16.5">
      <c r="B324" s="410">
        <v>11000916</v>
      </c>
      <c r="C324" s="562" t="s">
        <v>347</v>
      </c>
      <c r="D324" s="558" t="s">
        <v>352</v>
      </c>
      <c r="E324" s="556" t="s">
        <v>71</v>
      </c>
    </row>
    <row r="325" spans="2:5" ht="16.5">
      <c r="B325" s="410">
        <v>11000916</v>
      </c>
      <c r="C325" s="562" t="s">
        <v>347</v>
      </c>
      <c r="D325" s="558" t="s">
        <v>353</v>
      </c>
      <c r="E325" s="556" t="s">
        <v>71</v>
      </c>
    </row>
    <row r="326" spans="2:5" ht="16.5">
      <c r="B326" s="410">
        <v>11000916</v>
      </c>
      <c r="C326" s="562" t="s">
        <v>347</v>
      </c>
      <c r="D326" s="558" t="s">
        <v>354</v>
      </c>
      <c r="E326" s="556" t="s">
        <v>71</v>
      </c>
    </row>
    <row r="327" spans="2:5" ht="16.5">
      <c r="B327" s="410">
        <v>11000916</v>
      </c>
      <c r="C327" s="562" t="s">
        <v>347</v>
      </c>
      <c r="D327" s="558" t="s">
        <v>355</v>
      </c>
      <c r="E327" s="556" t="s">
        <v>71</v>
      </c>
    </row>
    <row r="328" spans="2:5" ht="16.5">
      <c r="B328" s="410">
        <v>11000916</v>
      </c>
      <c r="C328" s="562" t="s">
        <v>347</v>
      </c>
      <c r="D328" s="558" t="s">
        <v>356</v>
      </c>
      <c r="E328" s="556" t="s">
        <v>71</v>
      </c>
    </row>
    <row r="329" spans="2:5" ht="16.5">
      <c r="B329" s="410">
        <v>11000916</v>
      </c>
      <c r="C329" s="562" t="s">
        <v>347</v>
      </c>
      <c r="D329" s="558" t="s">
        <v>357</v>
      </c>
      <c r="E329" s="556" t="s">
        <v>71</v>
      </c>
    </row>
    <row r="330" spans="2:5" ht="16.5">
      <c r="B330" s="410">
        <v>11000916</v>
      </c>
      <c r="C330" s="562" t="s">
        <v>347</v>
      </c>
      <c r="D330" s="558" t="s">
        <v>358</v>
      </c>
      <c r="E330" s="556" t="s">
        <v>71</v>
      </c>
    </row>
    <row r="331" spans="2:5" ht="16.5">
      <c r="B331" s="410">
        <v>11000916</v>
      </c>
      <c r="C331" s="562" t="s">
        <v>347</v>
      </c>
      <c r="D331" s="558" t="s">
        <v>359</v>
      </c>
      <c r="E331" s="556" t="s">
        <v>71</v>
      </c>
    </row>
    <row r="332" spans="2:5" ht="16.5">
      <c r="B332" s="410">
        <v>11000916</v>
      </c>
      <c r="C332" s="562" t="s">
        <v>347</v>
      </c>
      <c r="D332" s="558" t="s">
        <v>360</v>
      </c>
      <c r="E332" s="556" t="s">
        <v>71</v>
      </c>
    </row>
    <row r="333" spans="2:5" ht="16.5">
      <c r="B333" s="410">
        <v>11000916</v>
      </c>
      <c r="C333" s="562" t="s">
        <v>347</v>
      </c>
      <c r="D333" s="558" t="s">
        <v>361</v>
      </c>
      <c r="E333" s="556" t="s">
        <v>71</v>
      </c>
    </row>
    <row r="334" spans="2:5" ht="16.5">
      <c r="B334" s="410">
        <v>11000916</v>
      </c>
      <c r="C334" s="562" t="s">
        <v>347</v>
      </c>
      <c r="D334" s="558" t="s">
        <v>362</v>
      </c>
      <c r="E334" s="556" t="s">
        <v>71</v>
      </c>
    </row>
    <row r="335" spans="2:5" ht="16.5">
      <c r="B335" s="410">
        <v>11000915</v>
      </c>
      <c r="C335" s="562" t="s">
        <v>347</v>
      </c>
      <c r="D335" s="558" t="s">
        <v>348</v>
      </c>
      <c r="E335" s="556" t="s">
        <v>71</v>
      </c>
    </row>
    <row r="336" spans="2:5" ht="16.5">
      <c r="B336" s="410">
        <v>11000915</v>
      </c>
      <c r="C336" s="562" t="s">
        <v>347</v>
      </c>
      <c r="D336" s="558" t="s">
        <v>349</v>
      </c>
      <c r="E336" s="556" t="s">
        <v>71</v>
      </c>
    </row>
    <row r="337" spans="2:5" ht="16.5">
      <c r="B337" s="410">
        <v>11000915</v>
      </c>
      <c r="C337" s="562" t="s">
        <v>347</v>
      </c>
      <c r="D337" s="558" t="s">
        <v>350</v>
      </c>
      <c r="E337" s="556" t="s">
        <v>71</v>
      </c>
    </row>
    <row r="338" spans="2:5" ht="16.5">
      <c r="B338" s="410">
        <v>11000915</v>
      </c>
      <c r="C338" s="562" t="s">
        <v>347</v>
      </c>
      <c r="D338" s="558" t="s">
        <v>351</v>
      </c>
      <c r="E338" s="556" t="s">
        <v>71</v>
      </c>
    </row>
    <row r="339" spans="2:5" ht="16.5">
      <c r="B339" s="410">
        <v>11000915</v>
      </c>
      <c r="C339" s="562" t="s">
        <v>347</v>
      </c>
      <c r="D339" s="558" t="s">
        <v>352</v>
      </c>
      <c r="E339" s="556" t="s">
        <v>71</v>
      </c>
    </row>
    <row r="340" spans="2:5" ht="16.5">
      <c r="B340" s="410">
        <v>11000915</v>
      </c>
      <c r="C340" s="562" t="s">
        <v>347</v>
      </c>
      <c r="D340" s="558" t="s">
        <v>353</v>
      </c>
      <c r="E340" s="556" t="s">
        <v>71</v>
      </c>
    </row>
    <row r="341" spans="2:5" ht="16.5">
      <c r="B341" s="410">
        <v>11000915</v>
      </c>
      <c r="C341" s="562" t="s">
        <v>347</v>
      </c>
      <c r="D341" s="558" t="s">
        <v>354</v>
      </c>
      <c r="E341" s="556" t="s">
        <v>71</v>
      </c>
    </row>
    <row r="342" spans="2:5" ht="16.5">
      <c r="B342" s="410">
        <v>11000915</v>
      </c>
      <c r="C342" s="562" t="s">
        <v>347</v>
      </c>
      <c r="D342" s="558" t="s">
        <v>355</v>
      </c>
      <c r="E342" s="556" t="s">
        <v>71</v>
      </c>
    </row>
    <row r="343" spans="2:5" ht="16.5">
      <c r="B343" s="410">
        <v>11000915</v>
      </c>
      <c r="C343" s="562" t="s">
        <v>347</v>
      </c>
      <c r="D343" s="558" t="s">
        <v>363</v>
      </c>
      <c r="E343" s="556" t="s">
        <v>71</v>
      </c>
    </row>
    <row r="344" spans="2:5" ht="16.5">
      <c r="B344" s="410">
        <v>11000915</v>
      </c>
      <c r="C344" s="562" t="s">
        <v>347</v>
      </c>
      <c r="D344" s="558" t="s">
        <v>364</v>
      </c>
      <c r="E344" s="556" t="s">
        <v>71</v>
      </c>
    </row>
    <row r="345" spans="2:5" ht="16.5">
      <c r="B345" s="410">
        <v>11000915</v>
      </c>
      <c r="C345" s="562" t="s">
        <v>347</v>
      </c>
      <c r="D345" s="558" t="s">
        <v>365</v>
      </c>
      <c r="E345" s="556" t="s">
        <v>71</v>
      </c>
    </row>
    <row r="346" spans="2:5" ht="16.5">
      <c r="B346" s="410">
        <v>11000915</v>
      </c>
      <c r="C346" s="562" t="s">
        <v>347</v>
      </c>
      <c r="D346" s="558" t="s">
        <v>366</v>
      </c>
      <c r="E346" s="556" t="s">
        <v>71</v>
      </c>
    </row>
    <row r="347" spans="2:5" ht="16.5">
      <c r="B347" s="410">
        <v>11000915</v>
      </c>
      <c r="C347" s="562" t="s">
        <v>347</v>
      </c>
      <c r="D347" s="558" t="s">
        <v>367</v>
      </c>
      <c r="E347" s="556" t="s">
        <v>71</v>
      </c>
    </row>
    <row r="348" spans="2:5" ht="16.5">
      <c r="B348" s="410">
        <v>11000915</v>
      </c>
      <c r="C348" s="562" t="s">
        <v>347</v>
      </c>
      <c r="D348" s="558" t="s">
        <v>368</v>
      </c>
      <c r="E348" s="556" t="s">
        <v>71</v>
      </c>
    </row>
    <row r="349" spans="2:5" ht="16.5">
      <c r="B349" s="410">
        <v>11000915</v>
      </c>
      <c r="C349" s="562" t="s">
        <v>347</v>
      </c>
      <c r="D349" s="558" t="s">
        <v>369</v>
      </c>
      <c r="E349" s="556" t="s">
        <v>71</v>
      </c>
    </row>
    <row r="350" spans="2:5" ht="16.5">
      <c r="B350" s="410">
        <v>11008725</v>
      </c>
      <c r="C350" s="562" t="s">
        <v>370</v>
      </c>
      <c r="D350" s="558" t="s">
        <v>371</v>
      </c>
      <c r="E350" s="556" t="s">
        <v>71</v>
      </c>
    </row>
    <row r="351" spans="2:5" ht="16.5">
      <c r="B351" s="410">
        <v>11008725</v>
      </c>
      <c r="C351" s="562" t="s">
        <v>370</v>
      </c>
      <c r="D351" s="558" t="s">
        <v>372</v>
      </c>
      <c r="E351" s="556" t="s">
        <v>71</v>
      </c>
    </row>
    <row r="352" spans="2:5" ht="16.5">
      <c r="B352" s="410">
        <v>11008725</v>
      </c>
      <c r="C352" s="562" t="s">
        <v>370</v>
      </c>
      <c r="D352" s="558" t="s">
        <v>373</v>
      </c>
      <c r="E352" s="556" t="s">
        <v>71</v>
      </c>
    </row>
    <row r="353" spans="2:5" ht="16.5">
      <c r="B353" s="410">
        <v>11008725</v>
      </c>
      <c r="C353" s="562" t="s">
        <v>370</v>
      </c>
      <c r="D353" s="558" t="s">
        <v>374</v>
      </c>
      <c r="E353" s="556" t="s">
        <v>71</v>
      </c>
    </row>
    <row r="354" spans="2:5" ht="16.5">
      <c r="B354" s="410">
        <v>11008725</v>
      </c>
      <c r="C354" s="562" t="s">
        <v>370</v>
      </c>
      <c r="D354" s="558" t="s">
        <v>375</v>
      </c>
      <c r="E354" s="556" t="s">
        <v>71</v>
      </c>
    </row>
    <row r="355" spans="2:5" ht="16.5">
      <c r="B355" s="410">
        <v>11008725</v>
      </c>
      <c r="C355" s="562" t="s">
        <v>370</v>
      </c>
      <c r="D355" s="558" t="s">
        <v>376</v>
      </c>
      <c r="E355" s="556" t="s">
        <v>71</v>
      </c>
    </row>
    <row r="356" spans="2:5" ht="16.5">
      <c r="B356" s="410">
        <v>11008725</v>
      </c>
      <c r="C356" s="562" t="s">
        <v>370</v>
      </c>
      <c r="D356" s="558" t="s">
        <v>377</v>
      </c>
      <c r="E356" s="556" t="s">
        <v>71</v>
      </c>
    </row>
    <row r="357" spans="2:5" ht="16.5">
      <c r="B357" s="410">
        <v>11008727</v>
      </c>
      <c r="C357" s="562" t="s">
        <v>370</v>
      </c>
      <c r="D357" s="558" t="s">
        <v>371</v>
      </c>
      <c r="E357" s="556" t="s">
        <v>71</v>
      </c>
    </row>
    <row r="358" spans="2:5" ht="16.5">
      <c r="B358" s="410">
        <v>11008727</v>
      </c>
      <c r="C358" s="562" t="s">
        <v>370</v>
      </c>
      <c r="D358" s="558" t="s">
        <v>372</v>
      </c>
      <c r="E358" s="556" t="s">
        <v>71</v>
      </c>
    </row>
    <row r="359" spans="2:5" ht="16.5">
      <c r="B359" s="410">
        <v>11008727</v>
      </c>
      <c r="C359" s="562" t="s">
        <v>370</v>
      </c>
      <c r="D359" s="558" t="s">
        <v>373</v>
      </c>
      <c r="E359" s="556" t="s">
        <v>71</v>
      </c>
    </row>
    <row r="360" spans="2:5" ht="16.5">
      <c r="B360" s="410">
        <v>11008727</v>
      </c>
      <c r="C360" s="562" t="s">
        <v>370</v>
      </c>
      <c r="D360" s="558" t="s">
        <v>374</v>
      </c>
      <c r="E360" s="556" t="s">
        <v>71</v>
      </c>
    </row>
    <row r="361" spans="2:5" ht="16.5">
      <c r="B361" s="410">
        <v>11008727</v>
      </c>
      <c r="C361" s="562" t="s">
        <v>370</v>
      </c>
      <c r="D361" s="558" t="s">
        <v>375</v>
      </c>
      <c r="E361" s="556" t="s">
        <v>71</v>
      </c>
    </row>
    <row r="362" spans="2:5" ht="16.5">
      <c r="B362" s="410">
        <v>11008727</v>
      </c>
      <c r="C362" s="562" t="s">
        <v>370</v>
      </c>
      <c r="D362" s="558" t="s">
        <v>376</v>
      </c>
      <c r="E362" s="556" t="s">
        <v>71</v>
      </c>
    </row>
    <row r="363" spans="2:5" ht="16.5">
      <c r="B363" s="410">
        <v>11008727</v>
      </c>
      <c r="C363" s="562" t="s">
        <v>370</v>
      </c>
      <c r="D363" s="558" t="s">
        <v>377</v>
      </c>
      <c r="E363" s="556" t="s">
        <v>71</v>
      </c>
    </row>
    <row r="364" spans="2:5" ht="16.5">
      <c r="B364" s="410">
        <v>11000148</v>
      </c>
      <c r="C364" s="562" t="s">
        <v>370</v>
      </c>
      <c r="D364" s="558" t="s">
        <v>371</v>
      </c>
      <c r="E364" s="556" t="s">
        <v>71</v>
      </c>
    </row>
    <row r="365" spans="2:5" ht="16.5">
      <c r="B365" s="410">
        <v>11000148</v>
      </c>
      <c r="C365" s="562" t="s">
        <v>370</v>
      </c>
      <c r="D365" s="558" t="s">
        <v>372</v>
      </c>
      <c r="E365" s="556" t="s">
        <v>71</v>
      </c>
    </row>
    <row r="366" spans="2:5" ht="16.5">
      <c r="B366" s="410">
        <v>11000148</v>
      </c>
      <c r="C366" s="562" t="s">
        <v>370</v>
      </c>
      <c r="D366" s="558" t="s">
        <v>373</v>
      </c>
      <c r="E366" s="556" t="s">
        <v>71</v>
      </c>
    </row>
    <row r="367" spans="2:5" ht="16.5">
      <c r="B367" s="410">
        <v>11000148</v>
      </c>
      <c r="C367" s="562" t="s">
        <v>370</v>
      </c>
      <c r="D367" s="558" t="s">
        <v>374</v>
      </c>
      <c r="E367" s="556" t="s">
        <v>71</v>
      </c>
    </row>
    <row r="368" spans="2:5" ht="16.5">
      <c r="B368" s="410">
        <v>11000148</v>
      </c>
      <c r="C368" s="562" t="s">
        <v>370</v>
      </c>
      <c r="D368" s="558" t="s">
        <v>375</v>
      </c>
      <c r="E368" s="556" t="s">
        <v>71</v>
      </c>
    </row>
    <row r="369" spans="2:5" ht="16.5">
      <c r="B369" s="410">
        <v>11000148</v>
      </c>
      <c r="C369" s="562" t="s">
        <v>370</v>
      </c>
      <c r="D369" s="558" t="s">
        <v>376</v>
      </c>
      <c r="E369" s="556" t="s">
        <v>71</v>
      </c>
    </row>
    <row r="370" spans="2:5" ht="16.5">
      <c r="B370" s="410">
        <v>11000148</v>
      </c>
      <c r="C370" s="562" t="s">
        <v>370</v>
      </c>
      <c r="D370" s="558" t="s">
        <v>377</v>
      </c>
      <c r="E370" s="556" t="s">
        <v>71</v>
      </c>
    </row>
    <row r="371" spans="2:5" ht="16.5">
      <c r="B371" s="410">
        <v>11005506</v>
      </c>
      <c r="C371" s="562" t="s">
        <v>370</v>
      </c>
      <c r="D371" s="558" t="s">
        <v>371</v>
      </c>
      <c r="E371" s="556" t="s">
        <v>71</v>
      </c>
    </row>
    <row r="372" spans="2:5" ht="16.5">
      <c r="B372" s="410">
        <v>11005506</v>
      </c>
      <c r="C372" s="562" t="s">
        <v>370</v>
      </c>
      <c r="D372" s="558" t="s">
        <v>372</v>
      </c>
      <c r="E372" s="556" t="s">
        <v>71</v>
      </c>
    </row>
    <row r="373" spans="2:5" ht="16.5">
      <c r="B373" s="410">
        <v>11005506</v>
      </c>
      <c r="C373" s="562" t="s">
        <v>370</v>
      </c>
      <c r="D373" s="558" t="s">
        <v>373</v>
      </c>
      <c r="E373" s="556" t="s">
        <v>71</v>
      </c>
    </row>
    <row r="374" spans="2:5" ht="16.5">
      <c r="B374" s="410">
        <v>11005506</v>
      </c>
      <c r="C374" s="562" t="s">
        <v>370</v>
      </c>
      <c r="D374" s="558" t="s">
        <v>374</v>
      </c>
      <c r="E374" s="556" t="s">
        <v>71</v>
      </c>
    </row>
    <row r="375" spans="2:5" ht="16.5">
      <c r="B375" s="410">
        <v>11005506</v>
      </c>
      <c r="C375" s="562" t="s">
        <v>370</v>
      </c>
      <c r="D375" s="558" t="s">
        <v>375</v>
      </c>
      <c r="E375" s="556" t="s">
        <v>71</v>
      </c>
    </row>
    <row r="376" spans="2:5" ht="16.5">
      <c r="B376" s="410">
        <v>11005506</v>
      </c>
      <c r="C376" s="562" t="s">
        <v>370</v>
      </c>
      <c r="D376" s="558" t="s">
        <v>376</v>
      </c>
      <c r="E376" s="556" t="s">
        <v>71</v>
      </c>
    </row>
    <row r="377" spans="2:5" ht="16.5">
      <c r="B377" s="410">
        <v>11005506</v>
      </c>
      <c r="C377" s="562" t="s">
        <v>370</v>
      </c>
      <c r="D377" s="558" t="s">
        <v>377</v>
      </c>
      <c r="E377" s="556" t="s">
        <v>71</v>
      </c>
    </row>
    <row r="378" spans="2:5" ht="16.5">
      <c r="B378" s="410">
        <v>11102172</v>
      </c>
      <c r="C378" s="562" t="s">
        <v>370</v>
      </c>
      <c r="D378" s="558" t="s">
        <v>371</v>
      </c>
      <c r="E378" s="556" t="s">
        <v>71</v>
      </c>
    </row>
    <row r="379" spans="2:5" ht="16.5">
      <c r="B379" s="410">
        <v>11102172</v>
      </c>
      <c r="C379" s="562" t="s">
        <v>370</v>
      </c>
      <c r="D379" s="558" t="s">
        <v>372</v>
      </c>
      <c r="E379" s="556" t="s">
        <v>71</v>
      </c>
    </row>
    <row r="380" spans="2:5" ht="16.5">
      <c r="B380" s="410">
        <v>11102172</v>
      </c>
      <c r="C380" s="562" t="s">
        <v>370</v>
      </c>
      <c r="D380" s="558" t="s">
        <v>373</v>
      </c>
      <c r="E380" s="556" t="s">
        <v>71</v>
      </c>
    </row>
    <row r="381" spans="2:5" ht="16.5">
      <c r="B381" s="410">
        <v>11102172</v>
      </c>
      <c r="C381" s="562" t="s">
        <v>370</v>
      </c>
      <c r="D381" s="558" t="s">
        <v>374</v>
      </c>
      <c r="E381" s="556" t="s">
        <v>71</v>
      </c>
    </row>
    <row r="382" spans="2:5" ht="16.5">
      <c r="B382" s="410">
        <v>11102172</v>
      </c>
      <c r="C382" s="562" t="s">
        <v>370</v>
      </c>
      <c r="D382" s="558" t="s">
        <v>375</v>
      </c>
      <c r="E382" s="556" t="s">
        <v>71</v>
      </c>
    </row>
    <row r="383" spans="2:5" ht="16.5">
      <c r="B383" s="410">
        <v>11102172</v>
      </c>
      <c r="C383" s="562" t="s">
        <v>370</v>
      </c>
      <c r="D383" s="558" t="s">
        <v>376</v>
      </c>
      <c r="E383" s="556" t="s">
        <v>71</v>
      </c>
    </row>
    <row r="384" spans="2:5" ht="16.5">
      <c r="B384" s="410">
        <v>11102172</v>
      </c>
      <c r="C384" s="562" t="s">
        <v>370</v>
      </c>
      <c r="D384" s="558" t="s">
        <v>377</v>
      </c>
      <c r="E384" s="556" t="s">
        <v>71</v>
      </c>
    </row>
    <row r="385" spans="2:5" ht="16.5">
      <c r="B385" s="410">
        <v>13103775</v>
      </c>
      <c r="C385" s="562" t="s">
        <v>378</v>
      </c>
      <c r="D385" s="558" t="s">
        <v>379</v>
      </c>
      <c r="E385" s="556" t="s">
        <v>71</v>
      </c>
    </row>
    <row r="386" spans="2:5" ht="16.5">
      <c r="B386" s="410">
        <v>13103775</v>
      </c>
      <c r="C386" s="562" t="s">
        <v>378</v>
      </c>
      <c r="D386" s="558" t="s">
        <v>380</v>
      </c>
      <c r="E386" s="556" t="s">
        <v>71</v>
      </c>
    </row>
    <row r="387" spans="2:5" ht="16.5">
      <c r="B387" s="410">
        <v>13103775</v>
      </c>
      <c r="C387" s="562" t="s">
        <v>378</v>
      </c>
      <c r="D387" s="558" t="s">
        <v>381</v>
      </c>
      <c r="E387" s="556" t="s">
        <v>71</v>
      </c>
    </row>
    <row r="388" spans="2:5" ht="16.5">
      <c r="B388" s="410">
        <v>13104384</v>
      </c>
      <c r="C388" s="562" t="s">
        <v>382</v>
      </c>
      <c r="D388" s="558" t="s">
        <v>383</v>
      </c>
      <c r="E388" s="556" t="s">
        <v>71</v>
      </c>
    </row>
    <row r="389" spans="2:5" ht="16.5">
      <c r="B389" s="410">
        <v>13104384</v>
      </c>
      <c r="C389" s="562" t="s">
        <v>382</v>
      </c>
      <c r="D389" s="558" t="s">
        <v>384</v>
      </c>
      <c r="E389" s="556" t="s">
        <v>71</v>
      </c>
    </row>
    <row r="390" spans="2:5" ht="16.5">
      <c r="B390" s="410">
        <v>13104384</v>
      </c>
      <c r="C390" s="562" t="s">
        <v>382</v>
      </c>
      <c r="D390" s="558" t="s">
        <v>385</v>
      </c>
      <c r="E390" s="556" t="s">
        <v>71</v>
      </c>
    </row>
    <row r="391" spans="2:5" ht="16.5">
      <c r="B391" s="410">
        <v>11100783</v>
      </c>
      <c r="C391" s="562" t="s">
        <v>386</v>
      </c>
      <c r="D391" s="558" t="s">
        <v>387</v>
      </c>
      <c r="E391" s="556" t="s">
        <v>71</v>
      </c>
    </row>
    <row r="392" spans="2:5" ht="16.5">
      <c r="B392" s="410">
        <v>11100783</v>
      </c>
      <c r="C392" s="562" t="s">
        <v>386</v>
      </c>
      <c r="D392" s="558" t="s">
        <v>388</v>
      </c>
      <c r="E392" s="556" t="s">
        <v>71</v>
      </c>
    </row>
    <row r="393" spans="2:5" ht="16.5">
      <c r="B393" s="410">
        <v>11100783</v>
      </c>
      <c r="C393" s="562" t="s">
        <v>386</v>
      </c>
      <c r="D393" s="558" t="s">
        <v>389</v>
      </c>
      <c r="E393" s="556" t="s">
        <v>71</v>
      </c>
    </row>
    <row r="394" spans="2:5" ht="16.5">
      <c r="B394" s="410">
        <v>11100783</v>
      </c>
      <c r="C394" s="562" t="s">
        <v>386</v>
      </c>
      <c r="D394" s="558" t="s">
        <v>390</v>
      </c>
      <c r="E394" s="556" t="s">
        <v>71</v>
      </c>
    </row>
    <row r="395" spans="2:5" ht="16.5">
      <c r="B395" s="410">
        <v>11100783</v>
      </c>
      <c r="C395" s="562" t="s">
        <v>386</v>
      </c>
      <c r="D395" s="558" t="s">
        <v>391</v>
      </c>
      <c r="E395" s="556" t="s">
        <v>71</v>
      </c>
    </row>
    <row r="396" spans="2:5" ht="16.5">
      <c r="B396" s="410">
        <v>11100783</v>
      </c>
      <c r="C396" s="562" t="s">
        <v>386</v>
      </c>
      <c r="D396" s="558" t="s">
        <v>392</v>
      </c>
      <c r="E396" s="556" t="s">
        <v>71</v>
      </c>
    </row>
    <row r="397" spans="2:5" ht="16.5">
      <c r="B397" s="410">
        <v>11100783</v>
      </c>
      <c r="C397" s="562" t="s">
        <v>386</v>
      </c>
      <c r="D397" s="558" t="s">
        <v>393</v>
      </c>
      <c r="E397" s="556" t="s">
        <v>71</v>
      </c>
    </row>
    <row r="398" spans="2:5" ht="16.5">
      <c r="B398" s="410">
        <v>11100783</v>
      </c>
      <c r="C398" s="562" t="s">
        <v>386</v>
      </c>
      <c r="D398" s="558" t="s">
        <v>394</v>
      </c>
      <c r="E398" s="556" t="s">
        <v>71</v>
      </c>
    </row>
    <row r="399" spans="2:5" ht="16.5">
      <c r="B399" s="410">
        <v>11100783</v>
      </c>
      <c r="C399" s="562" t="s">
        <v>386</v>
      </c>
      <c r="D399" s="558" t="s">
        <v>395</v>
      </c>
      <c r="E399" s="556" t="s">
        <v>71</v>
      </c>
    </row>
    <row r="400" spans="2:5" ht="16.5">
      <c r="B400" s="410">
        <v>11100783</v>
      </c>
      <c r="C400" s="562" t="s">
        <v>386</v>
      </c>
      <c r="D400" s="558" t="s">
        <v>396</v>
      </c>
      <c r="E400" s="556" t="s">
        <v>71</v>
      </c>
    </row>
    <row r="401" spans="2:5" ht="16.5">
      <c r="B401" s="410">
        <v>11102260</v>
      </c>
      <c r="C401" s="562" t="s">
        <v>386</v>
      </c>
      <c r="D401" s="558" t="s">
        <v>387</v>
      </c>
      <c r="E401" s="556" t="s">
        <v>71</v>
      </c>
    </row>
    <row r="402" spans="2:5" ht="16.5">
      <c r="B402" s="410">
        <v>11102260</v>
      </c>
      <c r="C402" s="562" t="s">
        <v>386</v>
      </c>
      <c r="D402" s="558" t="s">
        <v>388</v>
      </c>
      <c r="E402" s="556" t="s">
        <v>71</v>
      </c>
    </row>
    <row r="403" spans="2:5" ht="16.5">
      <c r="B403" s="410">
        <v>11102260</v>
      </c>
      <c r="C403" s="562" t="s">
        <v>386</v>
      </c>
      <c r="D403" s="558" t="s">
        <v>389</v>
      </c>
      <c r="E403" s="556" t="s">
        <v>71</v>
      </c>
    </row>
    <row r="404" spans="2:5" ht="16.5">
      <c r="B404" s="410">
        <v>11102260</v>
      </c>
      <c r="C404" s="562" t="s">
        <v>386</v>
      </c>
      <c r="D404" s="558" t="s">
        <v>390</v>
      </c>
      <c r="E404" s="556" t="s">
        <v>71</v>
      </c>
    </row>
    <row r="405" spans="2:5" ht="16.5">
      <c r="B405" s="410">
        <v>11102260</v>
      </c>
      <c r="C405" s="562" t="s">
        <v>386</v>
      </c>
      <c r="D405" s="558" t="s">
        <v>391</v>
      </c>
      <c r="E405" s="556" t="s">
        <v>71</v>
      </c>
    </row>
    <row r="406" spans="2:5" ht="16.5">
      <c r="B406" s="410">
        <v>11102260</v>
      </c>
      <c r="C406" s="562" t="s">
        <v>386</v>
      </c>
      <c r="D406" s="558" t="s">
        <v>392</v>
      </c>
      <c r="E406" s="556" t="s">
        <v>71</v>
      </c>
    </row>
    <row r="407" spans="2:5" ht="16.5">
      <c r="B407" s="410">
        <v>11102260</v>
      </c>
      <c r="C407" s="562" t="s">
        <v>386</v>
      </c>
      <c r="D407" s="558" t="s">
        <v>393</v>
      </c>
      <c r="E407" s="556" t="s">
        <v>71</v>
      </c>
    </row>
    <row r="408" spans="2:5" ht="16.5">
      <c r="B408" s="410">
        <v>11102260</v>
      </c>
      <c r="C408" s="562" t="s">
        <v>386</v>
      </c>
      <c r="D408" s="558" t="s">
        <v>394</v>
      </c>
      <c r="E408" s="556" t="s">
        <v>71</v>
      </c>
    </row>
    <row r="409" spans="2:5" ht="16.5">
      <c r="B409" s="410">
        <v>11102260</v>
      </c>
      <c r="C409" s="562" t="s">
        <v>386</v>
      </c>
      <c r="D409" s="558" t="s">
        <v>395</v>
      </c>
      <c r="E409" s="556" t="s">
        <v>71</v>
      </c>
    </row>
    <row r="410" spans="2:5" ht="16.5">
      <c r="B410" s="410">
        <v>11102260</v>
      </c>
      <c r="C410" s="562" t="s">
        <v>386</v>
      </c>
      <c r="D410" s="558" t="s">
        <v>396</v>
      </c>
      <c r="E410" s="556" t="s">
        <v>71</v>
      </c>
    </row>
    <row r="411" spans="2:5" ht="16.5">
      <c r="B411" s="410">
        <v>11000367</v>
      </c>
      <c r="C411" s="562" t="s">
        <v>386</v>
      </c>
      <c r="D411" s="558" t="s">
        <v>387</v>
      </c>
      <c r="E411" s="556" t="s">
        <v>71</v>
      </c>
    </row>
    <row r="412" spans="2:5" ht="16.5">
      <c r="B412" s="410">
        <v>11000367</v>
      </c>
      <c r="C412" s="562" t="s">
        <v>386</v>
      </c>
      <c r="D412" s="558" t="s">
        <v>388</v>
      </c>
      <c r="E412" s="556" t="s">
        <v>71</v>
      </c>
    </row>
    <row r="413" spans="2:5" ht="16.5">
      <c r="B413" s="410">
        <v>11000367</v>
      </c>
      <c r="C413" s="562" t="s">
        <v>386</v>
      </c>
      <c r="D413" s="558" t="s">
        <v>389</v>
      </c>
      <c r="E413" s="556" t="s">
        <v>71</v>
      </c>
    </row>
    <row r="414" spans="2:5" ht="16.5">
      <c r="B414" s="410">
        <v>11000367</v>
      </c>
      <c r="C414" s="562" t="s">
        <v>386</v>
      </c>
      <c r="D414" s="558" t="s">
        <v>390</v>
      </c>
      <c r="E414" s="556" t="s">
        <v>71</v>
      </c>
    </row>
    <row r="415" spans="2:5" ht="16.5">
      <c r="B415" s="410">
        <v>11000367</v>
      </c>
      <c r="C415" s="562" t="s">
        <v>386</v>
      </c>
      <c r="D415" s="558" t="s">
        <v>391</v>
      </c>
      <c r="E415" s="556" t="s">
        <v>71</v>
      </c>
    </row>
    <row r="416" spans="2:5" ht="16.5">
      <c r="B416" s="410">
        <v>11000367</v>
      </c>
      <c r="C416" s="562" t="s">
        <v>386</v>
      </c>
      <c r="D416" s="558" t="s">
        <v>392</v>
      </c>
      <c r="E416" s="556" t="s">
        <v>71</v>
      </c>
    </row>
    <row r="417" spans="2:5" ht="16.5">
      <c r="B417" s="410">
        <v>11000367</v>
      </c>
      <c r="C417" s="562" t="s">
        <v>386</v>
      </c>
      <c r="D417" s="558" t="s">
        <v>393</v>
      </c>
      <c r="E417" s="556" t="s">
        <v>71</v>
      </c>
    </row>
    <row r="418" spans="2:5" ht="16.5">
      <c r="B418" s="410">
        <v>11000367</v>
      </c>
      <c r="C418" s="562" t="s">
        <v>386</v>
      </c>
      <c r="D418" s="558" t="s">
        <v>394</v>
      </c>
      <c r="E418" s="556" t="s">
        <v>71</v>
      </c>
    </row>
    <row r="419" spans="2:5" ht="16.5">
      <c r="B419" s="410">
        <v>11000367</v>
      </c>
      <c r="C419" s="562" t="s">
        <v>386</v>
      </c>
      <c r="D419" s="558" t="s">
        <v>395</v>
      </c>
      <c r="E419" s="556" t="s">
        <v>71</v>
      </c>
    </row>
    <row r="420" spans="2:5" ht="16.5">
      <c r="B420" s="410">
        <v>11000367</v>
      </c>
      <c r="C420" s="562" t="s">
        <v>386</v>
      </c>
      <c r="D420" s="558" t="s">
        <v>396</v>
      </c>
      <c r="E420" s="556" t="s">
        <v>71</v>
      </c>
    </row>
    <row r="421" spans="2:5" ht="16.5">
      <c r="B421" s="410">
        <v>11000028</v>
      </c>
      <c r="C421" s="562" t="s">
        <v>386</v>
      </c>
      <c r="D421" s="558" t="s">
        <v>397</v>
      </c>
      <c r="E421" s="556" t="s">
        <v>71</v>
      </c>
    </row>
    <row r="422" spans="2:5" ht="16.5">
      <c r="B422" s="410">
        <v>11000028</v>
      </c>
      <c r="C422" s="562" t="s">
        <v>386</v>
      </c>
      <c r="D422" s="558" t="s">
        <v>398</v>
      </c>
      <c r="E422" s="556" t="s">
        <v>71</v>
      </c>
    </row>
    <row r="423" spans="2:5" ht="16.5">
      <c r="B423" s="410">
        <v>11000028</v>
      </c>
      <c r="C423" s="562" t="s">
        <v>386</v>
      </c>
      <c r="D423" s="558" t="s">
        <v>399</v>
      </c>
      <c r="E423" s="556" t="s">
        <v>71</v>
      </c>
    </row>
    <row r="424" spans="2:5" ht="16.5">
      <c r="B424" s="410">
        <v>11000028</v>
      </c>
      <c r="C424" s="562" t="s">
        <v>386</v>
      </c>
      <c r="D424" s="558" t="s">
        <v>400</v>
      </c>
      <c r="E424" s="556" t="s">
        <v>71</v>
      </c>
    </row>
    <row r="425" spans="2:5" ht="16.5">
      <c r="B425" s="410">
        <v>11000028</v>
      </c>
      <c r="C425" s="562" t="s">
        <v>386</v>
      </c>
      <c r="D425" s="558" t="s">
        <v>401</v>
      </c>
      <c r="E425" s="556" t="s">
        <v>71</v>
      </c>
    </row>
    <row r="426" spans="2:5" ht="16.5">
      <c r="B426" s="410">
        <v>11000028</v>
      </c>
      <c r="C426" s="562" t="s">
        <v>386</v>
      </c>
      <c r="D426" s="558" t="s">
        <v>402</v>
      </c>
      <c r="E426" s="556" t="s">
        <v>71</v>
      </c>
    </row>
    <row r="427" spans="2:5" ht="16.5">
      <c r="B427" s="410">
        <v>11000028</v>
      </c>
      <c r="C427" s="562" t="s">
        <v>386</v>
      </c>
      <c r="D427" s="558" t="s">
        <v>403</v>
      </c>
      <c r="E427" s="556" t="s">
        <v>71</v>
      </c>
    </row>
    <row r="428" spans="2:5" ht="16.5">
      <c r="B428" s="410">
        <v>11000028</v>
      </c>
      <c r="C428" s="562" t="s">
        <v>386</v>
      </c>
      <c r="D428" s="558" t="s">
        <v>404</v>
      </c>
      <c r="E428" s="556" t="s">
        <v>71</v>
      </c>
    </row>
    <row r="429" spans="2:5" ht="16.5">
      <c r="B429" s="410">
        <v>11000028</v>
      </c>
      <c r="C429" s="562" t="s">
        <v>386</v>
      </c>
      <c r="D429" s="558" t="s">
        <v>405</v>
      </c>
      <c r="E429" s="556" t="s">
        <v>71</v>
      </c>
    </row>
    <row r="430" spans="2:5" ht="16.5">
      <c r="B430" s="410">
        <v>11000028</v>
      </c>
      <c r="C430" s="562" t="s">
        <v>386</v>
      </c>
      <c r="D430" s="558" t="s">
        <v>406</v>
      </c>
      <c r="E430" s="556" t="s">
        <v>71</v>
      </c>
    </row>
    <row r="431" spans="2:5" ht="16.5">
      <c r="B431" s="410">
        <v>11100627</v>
      </c>
      <c r="C431" s="562" t="s">
        <v>386</v>
      </c>
      <c r="D431" s="558" t="s">
        <v>397</v>
      </c>
      <c r="E431" s="556" t="s">
        <v>71</v>
      </c>
    </row>
    <row r="432" spans="2:5" ht="16.5">
      <c r="B432" s="410">
        <v>11100627</v>
      </c>
      <c r="C432" s="562" t="s">
        <v>386</v>
      </c>
      <c r="D432" s="558" t="s">
        <v>398</v>
      </c>
      <c r="E432" s="556" t="s">
        <v>71</v>
      </c>
    </row>
    <row r="433" spans="2:5" ht="16.5">
      <c r="B433" s="410">
        <v>11100627</v>
      </c>
      <c r="C433" s="562" t="s">
        <v>386</v>
      </c>
      <c r="D433" s="558" t="s">
        <v>399</v>
      </c>
      <c r="E433" s="556" t="s">
        <v>71</v>
      </c>
    </row>
    <row r="434" spans="2:5" ht="16.5">
      <c r="B434" s="410">
        <v>11100627</v>
      </c>
      <c r="C434" s="562" t="s">
        <v>386</v>
      </c>
      <c r="D434" s="558" t="s">
        <v>400</v>
      </c>
      <c r="E434" s="556" t="s">
        <v>71</v>
      </c>
    </row>
    <row r="435" spans="2:5" ht="16.5">
      <c r="B435" s="410">
        <v>11100627</v>
      </c>
      <c r="C435" s="562" t="s">
        <v>386</v>
      </c>
      <c r="D435" s="558" t="s">
        <v>401</v>
      </c>
      <c r="E435" s="556" t="s">
        <v>71</v>
      </c>
    </row>
    <row r="436" spans="2:5" ht="16.5">
      <c r="B436" s="410">
        <v>11100627</v>
      </c>
      <c r="C436" s="562" t="s">
        <v>386</v>
      </c>
      <c r="D436" s="558" t="s">
        <v>402</v>
      </c>
      <c r="E436" s="556" t="s">
        <v>71</v>
      </c>
    </row>
    <row r="437" spans="2:5" ht="16.5">
      <c r="B437" s="410">
        <v>11100627</v>
      </c>
      <c r="C437" s="562" t="s">
        <v>386</v>
      </c>
      <c r="D437" s="558" t="s">
        <v>403</v>
      </c>
      <c r="E437" s="556" t="s">
        <v>71</v>
      </c>
    </row>
    <row r="438" spans="2:5" ht="16.5">
      <c r="B438" s="410">
        <v>11100627</v>
      </c>
      <c r="C438" s="562" t="s">
        <v>386</v>
      </c>
      <c r="D438" s="558" t="s">
        <v>404</v>
      </c>
      <c r="E438" s="556" t="s">
        <v>71</v>
      </c>
    </row>
    <row r="439" spans="2:5" ht="16.5">
      <c r="B439" s="410">
        <v>11100627</v>
      </c>
      <c r="C439" s="562" t="s">
        <v>386</v>
      </c>
      <c r="D439" s="558" t="s">
        <v>405</v>
      </c>
      <c r="E439" s="556" t="s">
        <v>71</v>
      </c>
    </row>
    <row r="440" spans="2:5" ht="16.5">
      <c r="B440" s="410">
        <v>11100627</v>
      </c>
      <c r="C440" s="562" t="s">
        <v>386</v>
      </c>
      <c r="D440" s="558" t="s">
        <v>406</v>
      </c>
      <c r="E440" s="556" t="s">
        <v>71</v>
      </c>
    </row>
    <row r="441" spans="2:5" ht="16.5">
      <c r="B441" s="410">
        <v>11001426</v>
      </c>
      <c r="C441" s="562" t="s">
        <v>407</v>
      </c>
      <c r="D441" s="558" t="s">
        <v>408</v>
      </c>
      <c r="E441" s="556" t="s">
        <v>71</v>
      </c>
    </row>
    <row r="442" spans="2:5" ht="16.5">
      <c r="B442" s="410">
        <v>11001426</v>
      </c>
      <c r="C442" s="562" t="s">
        <v>407</v>
      </c>
      <c r="D442" s="558" t="s">
        <v>409</v>
      </c>
      <c r="E442" s="556" t="s">
        <v>71</v>
      </c>
    </row>
    <row r="443" spans="2:5" ht="16.5">
      <c r="B443" s="410">
        <v>11001426</v>
      </c>
      <c r="C443" s="562" t="s">
        <v>407</v>
      </c>
      <c r="D443" s="558" t="s">
        <v>410</v>
      </c>
      <c r="E443" s="556" t="s">
        <v>71</v>
      </c>
    </row>
    <row r="444" spans="2:5" ht="16.5">
      <c r="B444" s="410">
        <v>11001426</v>
      </c>
      <c r="C444" s="562" t="s">
        <v>407</v>
      </c>
      <c r="D444" s="558" t="s">
        <v>411</v>
      </c>
      <c r="E444" s="556" t="s">
        <v>71</v>
      </c>
    </row>
    <row r="445" spans="2:5" ht="16.5">
      <c r="B445" s="410">
        <v>11001426</v>
      </c>
      <c r="C445" s="562" t="s">
        <v>407</v>
      </c>
      <c r="D445" s="558" t="s">
        <v>412</v>
      </c>
      <c r="E445" s="556" t="s">
        <v>71</v>
      </c>
    </row>
    <row r="446" spans="2:5" ht="16.5">
      <c r="B446" s="410">
        <v>11001426</v>
      </c>
      <c r="C446" s="562" t="s">
        <v>407</v>
      </c>
      <c r="D446" s="558" t="s">
        <v>413</v>
      </c>
      <c r="E446" s="556" t="s">
        <v>71</v>
      </c>
    </row>
    <row r="447" spans="2:5" ht="16.5">
      <c r="B447" s="410">
        <v>11001426</v>
      </c>
      <c r="C447" s="562" t="s">
        <v>407</v>
      </c>
      <c r="D447" s="558" t="s">
        <v>414</v>
      </c>
      <c r="E447" s="556" t="s">
        <v>71</v>
      </c>
    </row>
    <row r="448" spans="2:5" ht="16.5">
      <c r="B448" s="410">
        <v>11001426</v>
      </c>
      <c r="C448" s="562" t="s">
        <v>407</v>
      </c>
      <c r="D448" s="558" t="s">
        <v>415</v>
      </c>
      <c r="E448" s="556" t="s">
        <v>71</v>
      </c>
    </row>
    <row r="449" spans="2:5" ht="16.5">
      <c r="B449" s="410">
        <v>11001426</v>
      </c>
      <c r="C449" s="562" t="s">
        <v>407</v>
      </c>
      <c r="D449" s="558" t="s">
        <v>416</v>
      </c>
      <c r="E449" s="556" t="s">
        <v>71</v>
      </c>
    </row>
    <row r="450" spans="2:5" ht="16.5">
      <c r="B450" s="410">
        <v>11001426</v>
      </c>
      <c r="C450" s="562" t="s">
        <v>407</v>
      </c>
      <c r="D450" s="558" t="s">
        <v>417</v>
      </c>
      <c r="E450" s="556" t="s">
        <v>71</v>
      </c>
    </row>
    <row r="451" spans="2:5" ht="16.5">
      <c r="B451" s="410">
        <v>11001426</v>
      </c>
      <c r="C451" s="562" t="s">
        <v>407</v>
      </c>
      <c r="D451" s="558" t="s">
        <v>418</v>
      </c>
      <c r="E451" s="556" t="s">
        <v>71</v>
      </c>
    </row>
    <row r="452" spans="2:5" ht="16.5">
      <c r="B452" s="410">
        <v>11001426</v>
      </c>
      <c r="C452" s="562" t="s">
        <v>407</v>
      </c>
      <c r="D452" s="558" t="s">
        <v>419</v>
      </c>
      <c r="E452" s="556" t="s">
        <v>71</v>
      </c>
    </row>
    <row r="453" spans="2:5" ht="16.5">
      <c r="B453" s="410">
        <v>11001426</v>
      </c>
      <c r="C453" s="562" t="s">
        <v>407</v>
      </c>
      <c r="D453" s="558" t="s">
        <v>420</v>
      </c>
      <c r="E453" s="556" t="s">
        <v>71</v>
      </c>
    </row>
    <row r="454" spans="2:5" ht="16.5">
      <c r="B454" s="410">
        <v>11001426</v>
      </c>
      <c r="C454" s="562" t="s">
        <v>407</v>
      </c>
      <c r="D454" s="558" t="s">
        <v>421</v>
      </c>
      <c r="E454" s="556" t="s">
        <v>71</v>
      </c>
    </row>
    <row r="455" spans="2:5" ht="16.5">
      <c r="B455" s="410">
        <v>11001426</v>
      </c>
      <c r="C455" s="562" t="s">
        <v>407</v>
      </c>
      <c r="D455" s="558" t="s">
        <v>422</v>
      </c>
      <c r="E455" s="556" t="s">
        <v>71</v>
      </c>
    </row>
    <row r="456" spans="2:5" ht="16.5">
      <c r="B456" s="410">
        <v>11001434</v>
      </c>
      <c r="C456" s="562" t="s">
        <v>407</v>
      </c>
      <c r="D456" s="558" t="s">
        <v>423</v>
      </c>
      <c r="E456" s="556" t="s">
        <v>71</v>
      </c>
    </row>
    <row r="457" spans="2:5" ht="16.5">
      <c r="B457" s="410">
        <v>11001434</v>
      </c>
      <c r="C457" s="562" t="s">
        <v>407</v>
      </c>
      <c r="D457" s="558" t="s">
        <v>424</v>
      </c>
      <c r="E457" s="556" t="s">
        <v>71</v>
      </c>
    </row>
    <row r="458" spans="2:5" ht="16.5">
      <c r="B458" s="410">
        <v>11001434</v>
      </c>
      <c r="C458" s="562" t="s">
        <v>407</v>
      </c>
      <c r="D458" s="558" t="s">
        <v>425</v>
      </c>
      <c r="E458" s="556" t="s">
        <v>71</v>
      </c>
    </row>
    <row r="459" spans="2:5" ht="16.5">
      <c r="B459" s="410">
        <v>11001434</v>
      </c>
      <c r="C459" s="562" t="s">
        <v>407</v>
      </c>
      <c r="D459" s="558" t="s">
        <v>426</v>
      </c>
      <c r="E459" s="556" t="s">
        <v>71</v>
      </c>
    </row>
    <row r="460" spans="2:5" ht="16.5">
      <c r="B460" s="410">
        <v>11001434</v>
      </c>
      <c r="C460" s="562" t="s">
        <v>407</v>
      </c>
      <c r="D460" s="558" t="s">
        <v>427</v>
      </c>
      <c r="E460" s="556" t="s">
        <v>71</v>
      </c>
    </row>
    <row r="461" spans="2:5" ht="16.5">
      <c r="B461" s="410">
        <v>11001434</v>
      </c>
      <c r="C461" s="562" t="s">
        <v>407</v>
      </c>
      <c r="D461" s="558" t="s">
        <v>428</v>
      </c>
      <c r="E461" s="556" t="s">
        <v>71</v>
      </c>
    </row>
    <row r="462" spans="2:5" ht="16.5">
      <c r="B462" s="410">
        <v>11001434</v>
      </c>
      <c r="C462" s="562" t="s">
        <v>407</v>
      </c>
      <c r="D462" s="558" t="s">
        <v>429</v>
      </c>
      <c r="E462" s="556" t="s">
        <v>71</v>
      </c>
    </row>
    <row r="463" spans="2:5" ht="16.5">
      <c r="B463" s="410">
        <v>11001434</v>
      </c>
      <c r="C463" s="562" t="s">
        <v>407</v>
      </c>
      <c r="D463" s="558" t="s">
        <v>430</v>
      </c>
      <c r="E463" s="556" t="s">
        <v>71</v>
      </c>
    </row>
    <row r="464" spans="2:5" ht="16.5">
      <c r="B464" s="410">
        <v>11001434</v>
      </c>
      <c r="C464" s="562" t="s">
        <v>407</v>
      </c>
      <c r="D464" s="558" t="s">
        <v>431</v>
      </c>
      <c r="E464" s="556" t="s">
        <v>71</v>
      </c>
    </row>
    <row r="465" spans="2:5" ht="16.5">
      <c r="B465" s="410">
        <v>11001434</v>
      </c>
      <c r="C465" s="562" t="s">
        <v>407</v>
      </c>
      <c r="D465" s="558" t="s">
        <v>432</v>
      </c>
      <c r="E465" s="556" t="s">
        <v>71</v>
      </c>
    </row>
    <row r="466" spans="2:5" ht="16.5">
      <c r="B466" s="410">
        <v>11001434</v>
      </c>
      <c r="C466" s="562" t="s">
        <v>407</v>
      </c>
      <c r="D466" s="558" t="s">
        <v>433</v>
      </c>
      <c r="E466" s="556" t="s">
        <v>71</v>
      </c>
    </row>
    <row r="467" spans="2:5" ht="16.5">
      <c r="B467" s="410">
        <v>11001434</v>
      </c>
      <c r="C467" s="562" t="s">
        <v>407</v>
      </c>
      <c r="D467" s="558" t="s">
        <v>434</v>
      </c>
      <c r="E467" s="556" t="s">
        <v>71</v>
      </c>
    </row>
    <row r="468" spans="2:5" ht="16.5">
      <c r="B468" s="410">
        <v>11001434</v>
      </c>
      <c r="C468" s="562" t="s">
        <v>407</v>
      </c>
      <c r="D468" s="558" t="s">
        <v>435</v>
      </c>
      <c r="E468" s="556" t="s">
        <v>71</v>
      </c>
    </row>
    <row r="469" spans="2:5" ht="16.5">
      <c r="B469" s="410">
        <v>11001434</v>
      </c>
      <c r="C469" s="562" t="s">
        <v>407</v>
      </c>
      <c r="D469" s="558" t="s">
        <v>436</v>
      </c>
      <c r="E469" s="556" t="s">
        <v>71</v>
      </c>
    </row>
    <row r="470" spans="2:5" ht="16.5">
      <c r="B470" s="410">
        <v>11001434</v>
      </c>
      <c r="C470" s="562" t="s">
        <v>407</v>
      </c>
      <c r="D470" s="558" t="s">
        <v>437</v>
      </c>
      <c r="E470" s="556" t="s">
        <v>71</v>
      </c>
    </row>
    <row r="471" spans="2:5" ht="16.5">
      <c r="B471" s="410">
        <v>11002198</v>
      </c>
      <c r="C471" s="562" t="s">
        <v>438</v>
      </c>
      <c r="D471" s="558" t="s">
        <v>439</v>
      </c>
      <c r="E471" s="556" t="s">
        <v>71</v>
      </c>
    </row>
    <row r="472" spans="2:5" ht="16.5">
      <c r="B472" s="410">
        <v>11002198</v>
      </c>
      <c r="C472" s="562" t="s">
        <v>438</v>
      </c>
      <c r="D472" s="558" t="s">
        <v>440</v>
      </c>
      <c r="E472" s="556" t="s">
        <v>71</v>
      </c>
    </row>
    <row r="473" spans="2:5" ht="16.5">
      <c r="B473" s="410">
        <v>11002198</v>
      </c>
      <c r="C473" s="562" t="s">
        <v>438</v>
      </c>
      <c r="D473" s="558" t="s">
        <v>441</v>
      </c>
      <c r="E473" s="556" t="s">
        <v>71</v>
      </c>
    </row>
    <row r="474" spans="2:5" ht="16.5">
      <c r="B474" s="410">
        <v>11002198</v>
      </c>
      <c r="C474" s="562" t="s">
        <v>438</v>
      </c>
      <c r="D474" s="558" t="s">
        <v>442</v>
      </c>
      <c r="E474" s="556" t="s">
        <v>71</v>
      </c>
    </row>
    <row r="475" spans="2:5" ht="16.5">
      <c r="B475" s="410">
        <v>11002198</v>
      </c>
      <c r="C475" s="562" t="s">
        <v>438</v>
      </c>
      <c r="D475" s="558" t="s">
        <v>443</v>
      </c>
      <c r="E475" s="556" t="s">
        <v>71</v>
      </c>
    </row>
    <row r="476" spans="2:5" ht="16.5">
      <c r="B476" s="410">
        <v>11002198</v>
      </c>
      <c r="C476" s="562" t="s">
        <v>438</v>
      </c>
      <c r="D476" s="558" t="s">
        <v>444</v>
      </c>
      <c r="E476" s="556" t="s">
        <v>71</v>
      </c>
    </row>
    <row r="477" spans="2:5" ht="16.5">
      <c r="B477" s="410">
        <v>11002198</v>
      </c>
      <c r="C477" s="562" t="s">
        <v>438</v>
      </c>
      <c r="D477" s="558" t="s">
        <v>445</v>
      </c>
      <c r="E477" s="556" t="s">
        <v>71</v>
      </c>
    </row>
    <row r="478" spans="2:5" ht="16.5">
      <c r="B478" s="410">
        <v>11002198</v>
      </c>
      <c r="C478" s="562" t="s">
        <v>438</v>
      </c>
      <c r="D478" s="558" t="s">
        <v>446</v>
      </c>
      <c r="E478" s="556" t="s">
        <v>71</v>
      </c>
    </row>
    <row r="479" spans="2:5" ht="16.5">
      <c r="B479" s="410">
        <v>11002198</v>
      </c>
      <c r="C479" s="562" t="s">
        <v>438</v>
      </c>
      <c r="D479" s="558" t="s">
        <v>447</v>
      </c>
      <c r="E479" s="556" t="s">
        <v>71</v>
      </c>
    </row>
    <row r="480" spans="2:5" ht="16.5">
      <c r="B480" s="410">
        <v>11002198</v>
      </c>
      <c r="C480" s="562" t="s">
        <v>438</v>
      </c>
      <c r="D480" s="558" t="s">
        <v>448</v>
      </c>
      <c r="E480" s="556" t="s">
        <v>71</v>
      </c>
    </row>
    <row r="481" spans="2:5" ht="16.5">
      <c r="B481" s="410">
        <v>11002195</v>
      </c>
      <c r="C481" s="562" t="s">
        <v>438</v>
      </c>
      <c r="D481" s="558" t="s">
        <v>449</v>
      </c>
      <c r="E481" s="556" t="s">
        <v>71</v>
      </c>
    </row>
    <row r="482" spans="2:5" ht="16.5">
      <c r="B482" s="410">
        <v>11002195</v>
      </c>
      <c r="C482" s="562" t="s">
        <v>438</v>
      </c>
      <c r="D482" s="558" t="s">
        <v>450</v>
      </c>
      <c r="E482" s="556" t="s">
        <v>71</v>
      </c>
    </row>
    <row r="483" spans="2:5" ht="16.5">
      <c r="B483" s="410">
        <v>11002195</v>
      </c>
      <c r="C483" s="562" t="s">
        <v>438</v>
      </c>
      <c r="D483" s="558" t="s">
        <v>451</v>
      </c>
      <c r="E483" s="556" t="s">
        <v>71</v>
      </c>
    </row>
    <row r="484" spans="2:5" ht="16.5">
      <c r="B484" s="410">
        <v>11002195</v>
      </c>
      <c r="C484" s="562" t="s">
        <v>438</v>
      </c>
      <c r="D484" s="558" t="s">
        <v>452</v>
      </c>
      <c r="E484" s="556" t="s">
        <v>71</v>
      </c>
    </row>
    <row r="485" spans="2:5" ht="16.5">
      <c r="B485" s="410">
        <v>11002195</v>
      </c>
      <c r="C485" s="562" t="s">
        <v>438</v>
      </c>
      <c r="D485" s="558" t="s">
        <v>453</v>
      </c>
      <c r="E485" s="556" t="s">
        <v>71</v>
      </c>
    </row>
    <row r="486" spans="2:5" ht="16.5">
      <c r="B486" s="410">
        <v>11002195</v>
      </c>
      <c r="C486" s="562" t="s">
        <v>438</v>
      </c>
      <c r="D486" s="558" t="s">
        <v>454</v>
      </c>
      <c r="E486" s="556" t="s">
        <v>71</v>
      </c>
    </row>
    <row r="487" spans="2:5" ht="16.5">
      <c r="B487" s="410">
        <v>11002195</v>
      </c>
      <c r="C487" s="562" t="s">
        <v>438</v>
      </c>
      <c r="D487" s="558" t="s">
        <v>445</v>
      </c>
      <c r="E487" s="556" t="s">
        <v>71</v>
      </c>
    </row>
    <row r="488" spans="2:5" ht="16.5">
      <c r="B488" s="410">
        <v>11002195</v>
      </c>
      <c r="C488" s="562" t="s">
        <v>438</v>
      </c>
      <c r="D488" s="558" t="s">
        <v>446</v>
      </c>
      <c r="E488" s="556" t="s">
        <v>71</v>
      </c>
    </row>
    <row r="489" spans="2:5" ht="16.5">
      <c r="B489" s="410">
        <v>11002195</v>
      </c>
      <c r="C489" s="562" t="s">
        <v>438</v>
      </c>
      <c r="D489" s="558" t="s">
        <v>447</v>
      </c>
      <c r="E489" s="556" t="s">
        <v>71</v>
      </c>
    </row>
    <row r="490" spans="2:5" ht="16.5">
      <c r="B490" s="410">
        <v>11002195</v>
      </c>
      <c r="C490" s="562" t="s">
        <v>438</v>
      </c>
      <c r="D490" s="558" t="s">
        <v>455</v>
      </c>
      <c r="E490" s="556" t="s">
        <v>71</v>
      </c>
    </row>
    <row r="491" spans="2:5" ht="16.5">
      <c r="B491" s="410">
        <v>11002201</v>
      </c>
      <c r="C491" s="562" t="s">
        <v>438</v>
      </c>
      <c r="D491" s="558" t="s">
        <v>456</v>
      </c>
      <c r="E491" s="556" t="s">
        <v>71</v>
      </c>
    </row>
    <row r="492" spans="2:5" ht="16.5">
      <c r="B492" s="410">
        <v>11002201</v>
      </c>
      <c r="C492" s="562" t="s">
        <v>438</v>
      </c>
      <c r="D492" s="558" t="s">
        <v>457</v>
      </c>
      <c r="E492" s="556" t="s">
        <v>71</v>
      </c>
    </row>
    <row r="493" spans="2:5" ht="16.5">
      <c r="B493" s="410">
        <v>11002201</v>
      </c>
      <c r="C493" s="562" t="s">
        <v>438</v>
      </c>
      <c r="D493" s="558" t="s">
        <v>458</v>
      </c>
      <c r="E493" s="556" t="s">
        <v>71</v>
      </c>
    </row>
    <row r="494" spans="2:5" ht="16.5">
      <c r="B494" s="410">
        <v>11002201</v>
      </c>
      <c r="C494" s="562" t="s">
        <v>438</v>
      </c>
      <c r="D494" s="558" t="s">
        <v>459</v>
      </c>
      <c r="E494" s="556" t="s">
        <v>71</v>
      </c>
    </row>
    <row r="495" spans="2:5" ht="16.5">
      <c r="B495" s="410">
        <v>11002201</v>
      </c>
      <c r="C495" s="562" t="s">
        <v>438</v>
      </c>
      <c r="D495" s="558" t="s">
        <v>460</v>
      </c>
      <c r="E495" s="556" t="s">
        <v>71</v>
      </c>
    </row>
    <row r="496" spans="2:5" ht="16.5">
      <c r="B496" s="410">
        <v>11002201</v>
      </c>
      <c r="C496" s="562" t="s">
        <v>438</v>
      </c>
      <c r="D496" s="558" t="s">
        <v>461</v>
      </c>
      <c r="E496" s="556" t="s">
        <v>71</v>
      </c>
    </row>
    <row r="497" spans="2:5" ht="16.5">
      <c r="B497" s="410">
        <v>11002201</v>
      </c>
      <c r="C497" s="562" t="s">
        <v>438</v>
      </c>
      <c r="D497" s="558" t="s">
        <v>445</v>
      </c>
      <c r="E497" s="556" t="s">
        <v>71</v>
      </c>
    </row>
    <row r="498" spans="2:5" ht="16.5">
      <c r="B498" s="410">
        <v>11002201</v>
      </c>
      <c r="C498" s="562" t="s">
        <v>438</v>
      </c>
      <c r="D498" s="558" t="s">
        <v>446</v>
      </c>
      <c r="E498" s="556" t="s">
        <v>71</v>
      </c>
    </row>
    <row r="499" spans="2:5" ht="16.5">
      <c r="B499" s="410">
        <v>11002201</v>
      </c>
      <c r="C499" s="562" t="s">
        <v>438</v>
      </c>
      <c r="D499" s="558" t="s">
        <v>447</v>
      </c>
      <c r="E499" s="556" t="s">
        <v>71</v>
      </c>
    </row>
    <row r="500" spans="2:5" ht="16.5">
      <c r="B500" s="410">
        <v>11002201</v>
      </c>
      <c r="C500" s="562" t="s">
        <v>438</v>
      </c>
      <c r="D500" s="558" t="s">
        <v>462</v>
      </c>
      <c r="E500" s="556" t="s">
        <v>71</v>
      </c>
    </row>
    <row r="501" spans="2:5" ht="16.5">
      <c r="B501" s="410">
        <v>11002206</v>
      </c>
      <c r="C501" s="562" t="s">
        <v>438</v>
      </c>
      <c r="D501" s="558" t="s">
        <v>463</v>
      </c>
      <c r="E501" s="556" t="s">
        <v>71</v>
      </c>
    </row>
    <row r="502" spans="2:5" ht="16.5">
      <c r="B502" s="410">
        <v>11002206</v>
      </c>
      <c r="C502" s="562" t="s">
        <v>438</v>
      </c>
      <c r="D502" s="558" t="s">
        <v>464</v>
      </c>
      <c r="E502" s="556" t="s">
        <v>71</v>
      </c>
    </row>
    <row r="503" spans="2:5" ht="16.5">
      <c r="B503" s="410">
        <v>11002206</v>
      </c>
      <c r="C503" s="562" t="s">
        <v>438</v>
      </c>
      <c r="D503" s="558" t="s">
        <v>465</v>
      </c>
      <c r="E503" s="556" t="s">
        <v>71</v>
      </c>
    </row>
    <row r="504" spans="2:5" ht="16.5">
      <c r="B504" s="410">
        <v>11002206</v>
      </c>
      <c r="C504" s="562" t="s">
        <v>438</v>
      </c>
      <c r="D504" s="558" t="s">
        <v>466</v>
      </c>
      <c r="E504" s="556" t="s">
        <v>71</v>
      </c>
    </row>
    <row r="505" spans="2:5" ht="16.5">
      <c r="B505" s="410">
        <v>11002206</v>
      </c>
      <c r="C505" s="562" t="s">
        <v>438</v>
      </c>
      <c r="D505" s="558" t="s">
        <v>467</v>
      </c>
      <c r="E505" s="556" t="s">
        <v>71</v>
      </c>
    </row>
    <row r="506" spans="2:5" ht="16.5">
      <c r="B506" s="410">
        <v>11002206</v>
      </c>
      <c r="C506" s="562" t="s">
        <v>438</v>
      </c>
      <c r="D506" s="558" t="s">
        <v>468</v>
      </c>
      <c r="E506" s="556" t="s">
        <v>71</v>
      </c>
    </row>
    <row r="507" spans="2:5" ht="16.5">
      <c r="B507" s="410">
        <v>11002206</v>
      </c>
      <c r="C507" s="562" t="s">
        <v>438</v>
      </c>
      <c r="D507" s="558" t="s">
        <v>469</v>
      </c>
      <c r="E507" s="556" t="s">
        <v>71</v>
      </c>
    </row>
    <row r="508" spans="2:5" ht="16.5">
      <c r="B508" s="410">
        <v>11002206</v>
      </c>
      <c r="C508" s="562" t="s">
        <v>438</v>
      </c>
      <c r="D508" s="558" t="s">
        <v>470</v>
      </c>
      <c r="E508" s="556" t="s">
        <v>71</v>
      </c>
    </row>
    <row r="509" spans="2:5" ht="16.5">
      <c r="B509" s="410">
        <v>11002206</v>
      </c>
      <c r="C509" s="562" t="s">
        <v>438</v>
      </c>
      <c r="D509" s="558" t="s">
        <v>471</v>
      </c>
      <c r="E509" s="556" t="s">
        <v>71</v>
      </c>
    </row>
    <row r="510" spans="2:5" ht="16.5">
      <c r="B510" s="410">
        <v>11002206</v>
      </c>
      <c r="C510" s="562" t="s">
        <v>438</v>
      </c>
      <c r="D510" s="558" t="s">
        <v>472</v>
      </c>
      <c r="E510" s="556" t="s">
        <v>71</v>
      </c>
    </row>
    <row r="511" spans="2:5" ht="16.5">
      <c r="B511" s="410">
        <v>11001968</v>
      </c>
      <c r="C511" s="562" t="s">
        <v>473</v>
      </c>
      <c r="D511" s="558" t="s">
        <v>474</v>
      </c>
      <c r="E511" s="556" t="s">
        <v>71</v>
      </c>
    </row>
    <row r="512" spans="2:5" ht="16.5">
      <c r="B512" s="410">
        <v>11001968</v>
      </c>
      <c r="C512" s="562" t="s">
        <v>473</v>
      </c>
      <c r="D512" s="558" t="s">
        <v>475</v>
      </c>
      <c r="E512" s="556" t="s">
        <v>71</v>
      </c>
    </row>
    <row r="513" spans="2:5" ht="16.5">
      <c r="B513" s="410">
        <v>11001968</v>
      </c>
      <c r="C513" s="562" t="s">
        <v>473</v>
      </c>
      <c r="D513" s="558" t="s">
        <v>476</v>
      </c>
      <c r="E513" s="556" t="s">
        <v>71</v>
      </c>
    </row>
    <row r="514" spans="2:5" ht="16.5">
      <c r="B514" s="410">
        <v>11001968</v>
      </c>
      <c r="C514" s="562" t="s">
        <v>473</v>
      </c>
      <c r="D514" s="558" t="s">
        <v>477</v>
      </c>
      <c r="E514" s="556" t="s">
        <v>71</v>
      </c>
    </row>
    <row r="515" spans="2:5" ht="16.5">
      <c r="B515" s="410">
        <v>11001968</v>
      </c>
      <c r="C515" s="562" t="s">
        <v>473</v>
      </c>
      <c r="D515" s="558" t="s">
        <v>478</v>
      </c>
      <c r="E515" s="556" t="s">
        <v>71</v>
      </c>
    </row>
    <row r="516" spans="2:5" ht="16.5">
      <c r="B516" s="410">
        <v>11001968</v>
      </c>
      <c r="C516" s="562" t="s">
        <v>473</v>
      </c>
      <c r="D516" s="558" t="s">
        <v>479</v>
      </c>
      <c r="E516" s="556" t="s">
        <v>71</v>
      </c>
    </row>
    <row r="517" spans="2:5" ht="16.5">
      <c r="B517" s="410">
        <v>11001968</v>
      </c>
      <c r="C517" s="562" t="s">
        <v>473</v>
      </c>
      <c r="D517" s="558" t="s">
        <v>480</v>
      </c>
      <c r="E517" s="556" t="s">
        <v>71</v>
      </c>
    </row>
    <row r="518" spans="2:5" ht="16.5">
      <c r="B518" s="410">
        <v>11001968</v>
      </c>
      <c r="C518" s="562" t="s">
        <v>473</v>
      </c>
      <c r="D518" s="558" t="s">
        <v>481</v>
      </c>
      <c r="E518" s="556" t="s">
        <v>71</v>
      </c>
    </row>
    <row r="519" spans="2:5" ht="16.5">
      <c r="B519" s="410">
        <v>11001968</v>
      </c>
      <c r="C519" s="562" t="s">
        <v>473</v>
      </c>
      <c r="D519" s="558" t="s">
        <v>482</v>
      </c>
      <c r="E519" s="556" t="s">
        <v>71</v>
      </c>
    </row>
    <row r="520" spans="2:5" ht="16.5">
      <c r="B520" s="410">
        <v>11001968</v>
      </c>
      <c r="C520" s="562" t="s">
        <v>473</v>
      </c>
      <c r="D520" s="558" t="s">
        <v>483</v>
      </c>
      <c r="E520" s="556" t="s">
        <v>71</v>
      </c>
    </row>
    <row r="521" spans="2:5" ht="16.5">
      <c r="B521" s="410">
        <v>11001968</v>
      </c>
      <c r="C521" s="562" t="s">
        <v>473</v>
      </c>
      <c r="D521" s="558" t="s">
        <v>484</v>
      </c>
      <c r="E521" s="556" t="s">
        <v>71</v>
      </c>
    </row>
    <row r="522" spans="2:5" ht="16.5">
      <c r="B522" s="410">
        <v>11001968</v>
      </c>
      <c r="C522" s="562" t="s">
        <v>473</v>
      </c>
      <c r="D522" s="558" t="s">
        <v>485</v>
      </c>
      <c r="E522" s="556" t="s">
        <v>71</v>
      </c>
    </row>
    <row r="523" spans="2:5" ht="16.5">
      <c r="B523" s="410">
        <v>11006077</v>
      </c>
      <c r="C523" s="562" t="s">
        <v>473</v>
      </c>
      <c r="D523" s="558" t="s">
        <v>486</v>
      </c>
      <c r="E523" s="556" t="s">
        <v>71</v>
      </c>
    </row>
    <row r="524" spans="2:5" ht="16.5">
      <c r="B524" s="410">
        <v>11006077</v>
      </c>
      <c r="C524" s="562" t="s">
        <v>473</v>
      </c>
      <c r="D524" s="558" t="s">
        <v>487</v>
      </c>
      <c r="E524" s="556" t="s">
        <v>71</v>
      </c>
    </row>
    <row r="525" spans="2:5" ht="16.5">
      <c r="B525" s="410">
        <v>11006077</v>
      </c>
      <c r="C525" s="562" t="s">
        <v>473</v>
      </c>
      <c r="D525" s="558" t="s">
        <v>488</v>
      </c>
      <c r="E525" s="556" t="s">
        <v>71</v>
      </c>
    </row>
    <row r="526" spans="2:5" ht="16.5">
      <c r="B526" s="410">
        <v>11006077</v>
      </c>
      <c r="C526" s="562" t="s">
        <v>473</v>
      </c>
      <c r="D526" s="558" t="s">
        <v>489</v>
      </c>
      <c r="E526" s="556" t="s">
        <v>71</v>
      </c>
    </row>
    <row r="527" spans="2:5" ht="16.5">
      <c r="B527" s="410">
        <v>11006077</v>
      </c>
      <c r="C527" s="562" t="s">
        <v>473</v>
      </c>
      <c r="D527" s="558" t="s">
        <v>490</v>
      </c>
      <c r="E527" s="556" t="s">
        <v>71</v>
      </c>
    </row>
    <row r="528" spans="2:5" ht="16.5">
      <c r="B528" s="410">
        <v>11006077</v>
      </c>
      <c r="C528" s="562" t="s">
        <v>473</v>
      </c>
      <c r="D528" s="558" t="s">
        <v>491</v>
      </c>
      <c r="E528" s="556" t="s">
        <v>71</v>
      </c>
    </row>
    <row r="529" spans="2:5" ht="16.5">
      <c r="B529" s="410">
        <v>11006077</v>
      </c>
      <c r="C529" s="562" t="s">
        <v>473</v>
      </c>
      <c r="D529" s="558" t="s">
        <v>492</v>
      </c>
      <c r="E529" s="556" t="s">
        <v>71</v>
      </c>
    </row>
    <row r="530" spans="2:5" ht="16.5">
      <c r="B530" s="410">
        <v>11006077</v>
      </c>
      <c r="C530" s="562" t="s">
        <v>473</v>
      </c>
      <c r="D530" s="558" t="s">
        <v>493</v>
      </c>
      <c r="E530" s="556" t="s">
        <v>71</v>
      </c>
    </row>
    <row r="531" spans="2:5" ht="16.5">
      <c r="B531" s="410">
        <v>11006077</v>
      </c>
      <c r="C531" s="562" t="s">
        <v>473</v>
      </c>
      <c r="D531" s="558" t="s">
        <v>494</v>
      </c>
      <c r="E531" s="556" t="s">
        <v>71</v>
      </c>
    </row>
    <row r="532" spans="2:5" ht="16.5">
      <c r="B532" s="410">
        <v>11006077</v>
      </c>
      <c r="C532" s="562" t="s">
        <v>473</v>
      </c>
      <c r="D532" s="558" t="s">
        <v>495</v>
      </c>
      <c r="E532" s="556" t="s">
        <v>71</v>
      </c>
    </row>
    <row r="533" spans="2:5" ht="16.5">
      <c r="B533" s="410">
        <v>11006077</v>
      </c>
      <c r="C533" s="562" t="s">
        <v>473</v>
      </c>
      <c r="D533" s="558" t="s">
        <v>484</v>
      </c>
      <c r="E533" s="556" t="s">
        <v>71</v>
      </c>
    </row>
    <row r="534" spans="2:5" ht="16.5">
      <c r="B534" s="410">
        <v>11006077</v>
      </c>
      <c r="C534" s="562" t="s">
        <v>473</v>
      </c>
      <c r="D534" s="558" t="s">
        <v>496</v>
      </c>
      <c r="E534" s="556" t="s">
        <v>71</v>
      </c>
    </row>
    <row r="535" spans="2:5" ht="16.5">
      <c r="B535" s="410">
        <v>11101795</v>
      </c>
      <c r="C535" s="562" t="s">
        <v>473</v>
      </c>
      <c r="D535" s="558" t="s">
        <v>497</v>
      </c>
      <c r="E535" s="556" t="s">
        <v>71</v>
      </c>
    </row>
    <row r="536" spans="2:5" ht="16.5">
      <c r="B536" s="410">
        <v>11101795</v>
      </c>
      <c r="C536" s="562" t="s">
        <v>473</v>
      </c>
      <c r="D536" s="558" t="s">
        <v>498</v>
      </c>
      <c r="E536" s="556" t="s">
        <v>71</v>
      </c>
    </row>
    <row r="537" spans="2:5" ht="16.5">
      <c r="B537" s="410">
        <v>11101795</v>
      </c>
      <c r="C537" s="562" t="s">
        <v>473</v>
      </c>
      <c r="D537" s="558" t="s">
        <v>499</v>
      </c>
      <c r="E537" s="556" t="s">
        <v>71</v>
      </c>
    </row>
    <row r="538" spans="2:5" ht="16.5">
      <c r="B538" s="410">
        <v>11101795</v>
      </c>
      <c r="C538" s="562" t="s">
        <v>473</v>
      </c>
      <c r="D538" s="558" t="s">
        <v>500</v>
      </c>
      <c r="E538" s="556" t="s">
        <v>71</v>
      </c>
    </row>
    <row r="539" spans="2:5" ht="16.5">
      <c r="B539" s="410">
        <v>11101795</v>
      </c>
      <c r="C539" s="562" t="s">
        <v>473</v>
      </c>
      <c r="D539" s="558" t="s">
        <v>501</v>
      </c>
      <c r="E539" s="556" t="s">
        <v>71</v>
      </c>
    </row>
    <row r="540" spans="2:5" ht="16.5">
      <c r="B540" s="410">
        <v>11101795</v>
      </c>
      <c r="C540" s="562" t="s">
        <v>473</v>
      </c>
      <c r="D540" s="558" t="s">
        <v>502</v>
      </c>
      <c r="E540" s="556" t="s">
        <v>71</v>
      </c>
    </row>
    <row r="541" spans="2:5" ht="16.5">
      <c r="B541" s="410">
        <v>11101795</v>
      </c>
      <c r="C541" s="562" t="s">
        <v>473</v>
      </c>
      <c r="D541" s="558" t="s">
        <v>484</v>
      </c>
      <c r="E541" s="556" t="s">
        <v>71</v>
      </c>
    </row>
    <row r="542" spans="2:5" ht="16.5">
      <c r="B542" s="410">
        <v>11008397</v>
      </c>
      <c r="C542" s="562" t="s">
        <v>473</v>
      </c>
      <c r="D542" s="558" t="s">
        <v>503</v>
      </c>
      <c r="E542" s="556" t="s">
        <v>71</v>
      </c>
    </row>
    <row r="543" spans="2:5" ht="16.5">
      <c r="B543" s="410">
        <v>11008397</v>
      </c>
      <c r="C543" s="562" t="s">
        <v>473</v>
      </c>
      <c r="D543" s="558" t="s">
        <v>504</v>
      </c>
      <c r="E543" s="556" t="s">
        <v>71</v>
      </c>
    </row>
    <row r="544" spans="2:5" ht="16.5">
      <c r="B544" s="410">
        <v>11008397</v>
      </c>
      <c r="C544" s="562" t="s">
        <v>473</v>
      </c>
      <c r="D544" s="558" t="s">
        <v>505</v>
      </c>
      <c r="E544" s="556" t="s">
        <v>71</v>
      </c>
    </row>
    <row r="545" spans="2:5" ht="16.5">
      <c r="B545" s="410">
        <v>11008397</v>
      </c>
      <c r="C545" s="562" t="s">
        <v>473</v>
      </c>
      <c r="D545" s="558" t="s">
        <v>506</v>
      </c>
      <c r="E545" s="556" t="s">
        <v>71</v>
      </c>
    </row>
    <row r="546" spans="2:5" ht="16.5">
      <c r="B546" s="410">
        <v>11008397</v>
      </c>
      <c r="C546" s="562" t="s">
        <v>473</v>
      </c>
      <c r="D546" s="558" t="s">
        <v>507</v>
      </c>
      <c r="E546" s="556" t="s">
        <v>71</v>
      </c>
    </row>
    <row r="547" spans="2:5" ht="16.5">
      <c r="B547" s="410">
        <v>11008397</v>
      </c>
      <c r="C547" s="562" t="s">
        <v>473</v>
      </c>
      <c r="D547" s="558" t="s">
        <v>508</v>
      </c>
      <c r="E547" s="556" t="s">
        <v>71</v>
      </c>
    </row>
    <row r="548" spans="2:5" ht="16.5">
      <c r="B548" s="410">
        <v>11008397</v>
      </c>
      <c r="C548" s="562" t="s">
        <v>473</v>
      </c>
      <c r="D548" s="558" t="s">
        <v>509</v>
      </c>
      <c r="E548" s="556" t="s">
        <v>71</v>
      </c>
    </row>
    <row r="549" spans="2:5" ht="16.5">
      <c r="B549" s="410">
        <v>11008397</v>
      </c>
      <c r="C549" s="562" t="s">
        <v>473</v>
      </c>
      <c r="D549" s="558" t="s">
        <v>510</v>
      </c>
      <c r="E549" s="556" t="s">
        <v>71</v>
      </c>
    </row>
    <row r="550" spans="2:5" ht="16.5">
      <c r="B550" s="410">
        <v>11008397</v>
      </c>
      <c r="C550" s="562" t="s">
        <v>473</v>
      </c>
      <c r="D550" s="558" t="s">
        <v>511</v>
      </c>
      <c r="E550" s="556" t="s">
        <v>71</v>
      </c>
    </row>
    <row r="551" spans="2:5" ht="16.5">
      <c r="B551" s="410">
        <v>11008397</v>
      </c>
      <c r="C551" s="562" t="s">
        <v>473</v>
      </c>
      <c r="D551" s="558" t="s">
        <v>512</v>
      </c>
      <c r="E551" s="556" t="s">
        <v>71</v>
      </c>
    </row>
    <row r="552" spans="2:5" ht="16.5">
      <c r="B552" s="410">
        <v>11008397</v>
      </c>
      <c r="C552" s="562" t="s">
        <v>473</v>
      </c>
      <c r="D552" s="558" t="s">
        <v>484</v>
      </c>
      <c r="E552" s="556" t="s">
        <v>71</v>
      </c>
    </row>
    <row r="553" spans="2:5" ht="16.5">
      <c r="B553" s="410">
        <v>11008397</v>
      </c>
      <c r="C553" s="562" t="s">
        <v>473</v>
      </c>
      <c r="D553" s="558" t="s">
        <v>513</v>
      </c>
      <c r="E553" s="556" t="s">
        <v>71</v>
      </c>
    </row>
    <row r="554" spans="2:5" ht="16.5">
      <c r="B554" s="410">
        <v>11000243</v>
      </c>
      <c r="C554" s="562" t="s">
        <v>473</v>
      </c>
      <c r="D554" s="558" t="s">
        <v>514</v>
      </c>
      <c r="E554" s="556" t="s">
        <v>71</v>
      </c>
    </row>
    <row r="555" spans="2:5" ht="16.5">
      <c r="B555" s="410">
        <v>11000243</v>
      </c>
      <c r="C555" s="562" t="s">
        <v>473</v>
      </c>
      <c r="D555" s="558" t="s">
        <v>515</v>
      </c>
      <c r="E555" s="556" t="s">
        <v>71</v>
      </c>
    </row>
    <row r="556" spans="2:5" ht="16.5">
      <c r="B556" s="410">
        <v>11000243</v>
      </c>
      <c r="C556" s="562" t="s">
        <v>473</v>
      </c>
      <c r="D556" s="558" t="s">
        <v>516</v>
      </c>
      <c r="E556" s="556" t="s">
        <v>71</v>
      </c>
    </row>
    <row r="557" spans="2:5" ht="16.5">
      <c r="B557" s="410">
        <v>11000243</v>
      </c>
      <c r="C557" s="562" t="s">
        <v>473</v>
      </c>
      <c r="D557" s="558" t="s">
        <v>517</v>
      </c>
      <c r="E557" s="556" t="s">
        <v>71</v>
      </c>
    </row>
    <row r="558" spans="2:5" ht="16.5">
      <c r="B558" s="410">
        <v>11000243</v>
      </c>
      <c r="C558" s="562" t="s">
        <v>473</v>
      </c>
      <c r="D558" s="558" t="s">
        <v>518</v>
      </c>
      <c r="E558" s="556" t="s">
        <v>71</v>
      </c>
    </row>
    <row r="559" spans="2:5" ht="16.5">
      <c r="B559" s="410">
        <v>11000243</v>
      </c>
      <c r="C559" s="562" t="s">
        <v>473</v>
      </c>
      <c r="D559" s="558" t="s">
        <v>519</v>
      </c>
      <c r="E559" s="556" t="s">
        <v>71</v>
      </c>
    </row>
    <row r="560" spans="2:5" ht="16.5">
      <c r="B560" s="410">
        <v>11000243</v>
      </c>
      <c r="C560" s="562" t="s">
        <v>473</v>
      </c>
      <c r="D560" s="558" t="s">
        <v>520</v>
      </c>
      <c r="E560" s="556" t="s">
        <v>71</v>
      </c>
    </row>
    <row r="561" spans="2:5" ht="16.5">
      <c r="B561" s="410">
        <v>11000243</v>
      </c>
      <c r="C561" s="562" t="s">
        <v>473</v>
      </c>
      <c r="D561" s="558" t="s">
        <v>521</v>
      </c>
      <c r="E561" s="556" t="s">
        <v>71</v>
      </c>
    </row>
    <row r="562" spans="2:5" ht="16.5">
      <c r="B562" s="410">
        <v>11000243</v>
      </c>
      <c r="C562" s="562" t="s">
        <v>473</v>
      </c>
      <c r="D562" s="558" t="s">
        <v>522</v>
      </c>
      <c r="E562" s="556" t="s">
        <v>71</v>
      </c>
    </row>
    <row r="563" spans="2:5" ht="16.5">
      <c r="B563" s="410">
        <v>11000243</v>
      </c>
      <c r="C563" s="562" t="s">
        <v>473</v>
      </c>
      <c r="D563" s="558" t="s">
        <v>523</v>
      </c>
      <c r="E563" s="556" t="s">
        <v>71</v>
      </c>
    </row>
    <row r="564" spans="2:5" ht="16.5">
      <c r="B564" s="410">
        <v>11000243</v>
      </c>
      <c r="C564" s="562" t="s">
        <v>473</v>
      </c>
      <c r="D564" s="558" t="s">
        <v>484</v>
      </c>
      <c r="E564" s="556" t="s">
        <v>71</v>
      </c>
    </row>
    <row r="565" spans="2:5" ht="16.5">
      <c r="B565" s="410">
        <v>11000243</v>
      </c>
      <c r="C565" s="562" t="s">
        <v>473</v>
      </c>
      <c r="D565" s="558" t="s">
        <v>524</v>
      </c>
      <c r="E565" s="556" t="s">
        <v>71</v>
      </c>
    </row>
    <row r="566" spans="2:5" ht="16.5">
      <c r="B566" s="410">
        <v>11000311</v>
      </c>
      <c r="C566" s="562" t="s">
        <v>473</v>
      </c>
      <c r="D566" s="558" t="s">
        <v>525</v>
      </c>
      <c r="E566" s="556" t="s">
        <v>71</v>
      </c>
    </row>
    <row r="567" spans="2:5" ht="16.5">
      <c r="B567" s="410">
        <v>11000311</v>
      </c>
      <c r="C567" s="562" t="s">
        <v>473</v>
      </c>
      <c r="D567" s="558" t="s">
        <v>526</v>
      </c>
      <c r="E567" s="556" t="s">
        <v>71</v>
      </c>
    </row>
    <row r="568" spans="2:5" ht="16.5">
      <c r="B568" s="410">
        <v>11000311</v>
      </c>
      <c r="C568" s="562" t="s">
        <v>473</v>
      </c>
      <c r="D568" s="558" t="s">
        <v>527</v>
      </c>
      <c r="E568" s="556" t="s">
        <v>71</v>
      </c>
    </row>
    <row r="569" spans="2:5" ht="16.5">
      <c r="B569" s="410">
        <v>11000311</v>
      </c>
      <c r="C569" s="562" t="s">
        <v>473</v>
      </c>
      <c r="D569" s="558" t="s">
        <v>528</v>
      </c>
      <c r="E569" s="556" t="s">
        <v>71</v>
      </c>
    </row>
    <row r="570" spans="2:5" ht="16.5">
      <c r="B570" s="410">
        <v>11000311</v>
      </c>
      <c r="C570" s="562" t="s">
        <v>473</v>
      </c>
      <c r="D570" s="558" t="s">
        <v>529</v>
      </c>
      <c r="E570" s="556" t="s">
        <v>71</v>
      </c>
    </row>
    <row r="571" spans="2:5" ht="16.5">
      <c r="B571" s="410">
        <v>11000311</v>
      </c>
      <c r="C571" s="562" t="s">
        <v>473</v>
      </c>
      <c r="D571" s="558" t="s">
        <v>530</v>
      </c>
      <c r="E571" s="556" t="s">
        <v>71</v>
      </c>
    </row>
    <row r="572" spans="2:5" ht="16.5">
      <c r="B572" s="410">
        <v>11000311</v>
      </c>
      <c r="C572" s="562" t="s">
        <v>473</v>
      </c>
      <c r="D572" s="558" t="s">
        <v>531</v>
      </c>
      <c r="E572" s="556" t="s">
        <v>71</v>
      </c>
    </row>
    <row r="573" spans="2:5" ht="16.5">
      <c r="B573" s="410">
        <v>11000311</v>
      </c>
      <c r="C573" s="562" t="s">
        <v>473</v>
      </c>
      <c r="D573" s="558" t="s">
        <v>532</v>
      </c>
      <c r="E573" s="556" t="s">
        <v>71</v>
      </c>
    </row>
    <row r="574" spans="2:5" ht="16.5">
      <c r="B574" s="410">
        <v>11000311</v>
      </c>
      <c r="C574" s="562" t="s">
        <v>473</v>
      </c>
      <c r="D574" s="558" t="s">
        <v>533</v>
      </c>
      <c r="E574" s="556" t="s">
        <v>71</v>
      </c>
    </row>
    <row r="575" spans="2:5" ht="16.5">
      <c r="B575" s="410">
        <v>11000311</v>
      </c>
      <c r="C575" s="562" t="s">
        <v>473</v>
      </c>
      <c r="D575" s="558" t="s">
        <v>534</v>
      </c>
      <c r="E575" s="556" t="s">
        <v>71</v>
      </c>
    </row>
    <row r="576" spans="2:5" ht="16.5">
      <c r="B576" s="410">
        <v>11000311</v>
      </c>
      <c r="C576" s="562" t="s">
        <v>473</v>
      </c>
      <c r="D576" s="558" t="s">
        <v>484</v>
      </c>
      <c r="E576" s="556" t="s">
        <v>71</v>
      </c>
    </row>
    <row r="577" spans="2:5" ht="16.5">
      <c r="B577" s="410">
        <v>11000311</v>
      </c>
      <c r="C577" s="562" t="s">
        <v>473</v>
      </c>
      <c r="D577" s="558" t="s">
        <v>535</v>
      </c>
      <c r="E577" s="556" t="s">
        <v>71</v>
      </c>
    </row>
    <row r="578" spans="2:5" ht="16.5">
      <c r="B578" s="410">
        <v>11000303</v>
      </c>
      <c r="C578" s="562" t="s">
        <v>473</v>
      </c>
      <c r="D578" s="558" t="s">
        <v>536</v>
      </c>
      <c r="E578" s="556" t="s">
        <v>71</v>
      </c>
    </row>
    <row r="579" spans="2:5" ht="16.5">
      <c r="B579" s="410">
        <v>11000303</v>
      </c>
      <c r="C579" s="562" t="s">
        <v>473</v>
      </c>
      <c r="D579" s="558" t="s">
        <v>537</v>
      </c>
      <c r="E579" s="556" t="s">
        <v>71</v>
      </c>
    </row>
    <row r="580" spans="2:5" ht="16.5">
      <c r="B580" s="410">
        <v>11000303</v>
      </c>
      <c r="C580" s="562" t="s">
        <v>473</v>
      </c>
      <c r="D580" s="558" t="s">
        <v>538</v>
      </c>
      <c r="E580" s="556" t="s">
        <v>71</v>
      </c>
    </row>
    <row r="581" spans="2:5" ht="16.5">
      <c r="B581" s="410">
        <v>11000303</v>
      </c>
      <c r="C581" s="562" t="s">
        <v>473</v>
      </c>
      <c r="D581" s="558" t="s">
        <v>539</v>
      </c>
      <c r="E581" s="556" t="s">
        <v>71</v>
      </c>
    </row>
    <row r="582" spans="2:5" ht="16.5">
      <c r="B582" s="410">
        <v>11000303</v>
      </c>
      <c r="C582" s="562" t="s">
        <v>473</v>
      </c>
      <c r="D582" s="558" t="s">
        <v>540</v>
      </c>
      <c r="E582" s="556" t="s">
        <v>71</v>
      </c>
    </row>
    <row r="583" spans="2:5" ht="16.5">
      <c r="B583" s="410">
        <v>11000303</v>
      </c>
      <c r="C583" s="562" t="s">
        <v>473</v>
      </c>
      <c r="D583" s="558" t="s">
        <v>541</v>
      </c>
      <c r="E583" s="556" t="s">
        <v>71</v>
      </c>
    </row>
    <row r="584" spans="2:5" ht="16.5">
      <c r="B584" s="410">
        <v>11000303</v>
      </c>
      <c r="C584" s="562" t="s">
        <v>473</v>
      </c>
      <c r="D584" s="558" t="s">
        <v>542</v>
      </c>
      <c r="E584" s="556" t="s">
        <v>71</v>
      </c>
    </row>
    <row r="585" spans="2:5" ht="16.5">
      <c r="B585" s="410">
        <v>11000303</v>
      </c>
      <c r="C585" s="562" t="s">
        <v>473</v>
      </c>
      <c r="D585" s="558" t="s">
        <v>543</v>
      </c>
      <c r="E585" s="556" t="s">
        <v>71</v>
      </c>
    </row>
    <row r="586" spans="2:5" ht="16.5">
      <c r="B586" s="410">
        <v>11000303</v>
      </c>
      <c r="C586" s="562" t="s">
        <v>473</v>
      </c>
      <c r="D586" s="558" t="s">
        <v>544</v>
      </c>
      <c r="E586" s="556" t="s">
        <v>71</v>
      </c>
    </row>
    <row r="587" spans="2:5" ht="16.5">
      <c r="B587" s="410">
        <v>11000303</v>
      </c>
      <c r="C587" s="562" t="s">
        <v>473</v>
      </c>
      <c r="D587" s="558" t="s">
        <v>545</v>
      </c>
      <c r="E587" s="556" t="s">
        <v>71</v>
      </c>
    </row>
    <row r="588" spans="2:5" ht="16.5">
      <c r="B588" s="410">
        <v>11000303</v>
      </c>
      <c r="C588" s="562" t="s">
        <v>473</v>
      </c>
      <c r="D588" s="558" t="s">
        <v>484</v>
      </c>
      <c r="E588" s="556" t="s">
        <v>71</v>
      </c>
    </row>
    <row r="589" spans="2:5" ht="16.5">
      <c r="B589" s="410">
        <v>11000303</v>
      </c>
      <c r="C589" s="562" t="s">
        <v>473</v>
      </c>
      <c r="D589" s="558" t="s">
        <v>546</v>
      </c>
      <c r="E589" s="556" t="s">
        <v>71</v>
      </c>
    </row>
    <row r="590" spans="2:5" ht="16.5">
      <c r="B590" s="410">
        <v>11000289</v>
      </c>
      <c r="C590" s="562" t="s">
        <v>473</v>
      </c>
      <c r="D590" s="558" t="s">
        <v>514</v>
      </c>
      <c r="E590" s="556" t="s">
        <v>71</v>
      </c>
    </row>
    <row r="591" spans="2:5" ht="16.5">
      <c r="B591" s="410">
        <v>11000289</v>
      </c>
      <c r="C591" s="562" t="s">
        <v>473</v>
      </c>
      <c r="D591" s="558" t="s">
        <v>515</v>
      </c>
      <c r="E591" s="556" t="s">
        <v>71</v>
      </c>
    </row>
    <row r="592" spans="2:5" ht="16.5">
      <c r="B592" s="410">
        <v>11000289</v>
      </c>
      <c r="C592" s="562" t="s">
        <v>473</v>
      </c>
      <c r="D592" s="558" t="s">
        <v>516</v>
      </c>
      <c r="E592" s="556" t="s">
        <v>71</v>
      </c>
    </row>
    <row r="593" spans="2:5" ht="16.5">
      <c r="B593" s="410">
        <v>11000289</v>
      </c>
      <c r="C593" s="562" t="s">
        <v>473</v>
      </c>
      <c r="D593" s="558" t="s">
        <v>517</v>
      </c>
      <c r="E593" s="556" t="s">
        <v>71</v>
      </c>
    </row>
    <row r="594" spans="2:5" ht="16.5">
      <c r="B594" s="410">
        <v>11000289</v>
      </c>
      <c r="C594" s="562" t="s">
        <v>473</v>
      </c>
      <c r="D594" s="558" t="s">
        <v>518</v>
      </c>
      <c r="E594" s="556" t="s">
        <v>71</v>
      </c>
    </row>
    <row r="595" spans="2:5" ht="16.5">
      <c r="B595" s="410">
        <v>11000289</v>
      </c>
      <c r="C595" s="562" t="s">
        <v>473</v>
      </c>
      <c r="D595" s="558" t="s">
        <v>519</v>
      </c>
      <c r="E595" s="556" t="s">
        <v>71</v>
      </c>
    </row>
    <row r="596" spans="2:5" ht="16.5">
      <c r="B596" s="410">
        <v>11000289</v>
      </c>
      <c r="C596" s="562" t="s">
        <v>473</v>
      </c>
      <c r="D596" s="558" t="s">
        <v>520</v>
      </c>
      <c r="E596" s="556" t="s">
        <v>71</v>
      </c>
    </row>
    <row r="597" spans="2:5" ht="16.5">
      <c r="B597" s="410">
        <v>11000289</v>
      </c>
      <c r="C597" s="562" t="s">
        <v>473</v>
      </c>
      <c r="D597" s="558" t="s">
        <v>547</v>
      </c>
      <c r="E597" s="556" t="s">
        <v>71</v>
      </c>
    </row>
    <row r="598" spans="2:5" ht="16.5">
      <c r="B598" s="410">
        <v>11000289</v>
      </c>
      <c r="C598" s="562" t="s">
        <v>473</v>
      </c>
      <c r="D598" s="558" t="s">
        <v>548</v>
      </c>
      <c r="E598" s="556" t="s">
        <v>71</v>
      </c>
    </row>
    <row r="599" spans="2:5" ht="16.5">
      <c r="B599" s="410">
        <v>11000289</v>
      </c>
      <c r="C599" s="562" t="s">
        <v>473</v>
      </c>
      <c r="D599" s="558" t="s">
        <v>549</v>
      </c>
      <c r="E599" s="556" t="s">
        <v>71</v>
      </c>
    </row>
    <row r="600" spans="2:5" ht="16.5">
      <c r="B600" s="410">
        <v>11000289</v>
      </c>
      <c r="C600" s="562" t="s">
        <v>473</v>
      </c>
      <c r="D600" s="558" t="s">
        <v>484</v>
      </c>
      <c r="E600" s="556" t="s">
        <v>71</v>
      </c>
    </row>
    <row r="601" spans="2:5" ht="16.5">
      <c r="B601" s="410">
        <v>11000289</v>
      </c>
      <c r="C601" s="562" t="s">
        <v>473</v>
      </c>
      <c r="D601" s="558" t="s">
        <v>550</v>
      </c>
      <c r="E601" s="556" t="s">
        <v>71</v>
      </c>
    </row>
    <row r="602" spans="2:5" ht="16.5">
      <c r="B602" s="410">
        <v>11000290</v>
      </c>
      <c r="C602" s="562" t="s">
        <v>473</v>
      </c>
      <c r="D602" s="558" t="s">
        <v>514</v>
      </c>
      <c r="E602" s="556" t="s">
        <v>71</v>
      </c>
    </row>
    <row r="603" spans="2:5" ht="16.5">
      <c r="B603" s="410">
        <v>11000290</v>
      </c>
      <c r="C603" s="562" t="s">
        <v>473</v>
      </c>
      <c r="D603" s="558" t="s">
        <v>515</v>
      </c>
      <c r="E603" s="556" t="s">
        <v>71</v>
      </c>
    </row>
    <row r="604" spans="2:5" ht="16.5">
      <c r="B604" s="410">
        <v>11000290</v>
      </c>
      <c r="C604" s="562" t="s">
        <v>473</v>
      </c>
      <c r="D604" s="558" t="s">
        <v>516</v>
      </c>
      <c r="E604" s="556" t="s">
        <v>71</v>
      </c>
    </row>
    <row r="605" spans="2:5" ht="16.5">
      <c r="B605" s="410">
        <v>11000290</v>
      </c>
      <c r="C605" s="562" t="s">
        <v>473</v>
      </c>
      <c r="D605" s="558" t="s">
        <v>517</v>
      </c>
      <c r="E605" s="556" t="s">
        <v>71</v>
      </c>
    </row>
    <row r="606" spans="2:5" ht="16.5">
      <c r="B606" s="410">
        <v>11000290</v>
      </c>
      <c r="C606" s="562" t="s">
        <v>473</v>
      </c>
      <c r="D606" s="558" t="s">
        <v>518</v>
      </c>
      <c r="E606" s="556" t="s">
        <v>71</v>
      </c>
    </row>
    <row r="607" spans="2:5" ht="16.5">
      <c r="B607" s="410">
        <v>11000290</v>
      </c>
      <c r="C607" s="562" t="s">
        <v>473</v>
      </c>
      <c r="D607" s="558" t="s">
        <v>519</v>
      </c>
      <c r="E607" s="556" t="s">
        <v>71</v>
      </c>
    </row>
    <row r="608" spans="2:5" ht="16.5">
      <c r="B608" s="410">
        <v>11000290</v>
      </c>
      <c r="C608" s="562" t="s">
        <v>473</v>
      </c>
      <c r="D608" s="558" t="s">
        <v>520</v>
      </c>
      <c r="E608" s="556" t="s">
        <v>71</v>
      </c>
    </row>
    <row r="609" spans="2:5" ht="16.5">
      <c r="B609" s="410">
        <v>11000290</v>
      </c>
      <c r="C609" s="562" t="s">
        <v>473</v>
      </c>
      <c r="D609" s="558" t="s">
        <v>551</v>
      </c>
      <c r="E609" s="556" t="s">
        <v>71</v>
      </c>
    </row>
    <row r="610" spans="2:5" ht="16.5">
      <c r="B610" s="410">
        <v>11000290</v>
      </c>
      <c r="C610" s="562" t="s">
        <v>473</v>
      </c>
      <c r="D610" s="558" t="s">
        <v>552</v>
      </c>
      <c r="E610" s="556" t="s">
        <v>71</v>
      </c>
    </row>
    <row r="611" spans="2:5" ht="16.5">
      <c r="B611" s="410">
        <v>11000290</v>
      </c>
      <c r="C611" s="562" t="s">
        <v>473</v>
      </c>
      <c r="D611" s="558" t="s">
        <v>553</v>
      </c>
      <c r="E611" s="556" t="s">
        <v>71</v>
      </c>
    </row>
    <row r="612" spans="2:5" ht="16.5">
      <c r="B612" s="410">
        <v>11000290</v>
      </c>
      <c r="C612" s="562" t="s">
        <v>473</v>
      </c>
      <c r="D612" s="558" t="s">
        <v>484</v>
      </c>
      <c r="E612" s="556" t="s">
        <v>71</v>
      </c>
    </row>
    <row r="613" spans="2:5" ht="16.5">
      <c r="B613" s="410">
        <v>11000290</v>
      </c>
      <c r="C613" s="562" t="s">
        <v>473</v>
      </c>
      <c r="D613" s="558" t="s">
        <v>554</v>
      </c>
      <c r="E613" s="556" t="s">
        <v>71</v>
      </c>
    </row>
    <row r="614" spans="2:5" ht="16.5">
      <c r="B614" s="410">
        <v>11000411</v>
      </c>
      <c r="C614" s="562" t="s">
        <v>473</v>
      </c>
      <c r="D614" s="558" t="s">
        <v>555</v>
      </c>
      <c r="E614" s="556" t="s">
        <v>71</v>
      </c>
    </row>
    <row r="615" spans="2:5" ht="16.5">
      <c r="B615" s="410">
        <v>11000411</v>
      </c>
      <c r="C615" s="562" t="s">
        <v>473</v>
      </c>
      <c r="D615" s="558" t="s">
        <v>556</v>
      </c>
      <c r="E615" s="556" t="s">
        <v>71</v>
      </c>
    </row>
    <row r="616" spans="2:5" ht="16.5">
      <c r="B616" s="410">
        <v>11000411</v>
      </c>
      <c r="C616" s="562" t="s">
        <v>473</v>
      </c>
      <c r="D616" s="558" t="s">
        <v>557</v>
      </c>
      <c r="E616" s="556" t="s">
        <v>71</v>
      </c>
    </row>
    <row r="617" spans="2:5" ht="16.5">
      <c r="B617" s="410">
        <v>11000411</v>
      </c>
      <c r="C617" s="562" t="s">
        <v>473</v>
      </c>
      <c r="D617" s="558" t="s">
        <v>558</v>
      </c>
      <c r="E617" s="556" t="s">
        <v>71</v>
      </c>
    </row>
    <row r="618" spans="2:5" ht="16.5">
      <c r="B618" s="410">
        <v>11000411</v>
      </c>
      <c r="C618" s="562" t="s">
        <v>473</v>
      </c>
      <c r="D618" s="558" t="s">
        <v>559</v>
      </c>
      <c r="E618" s="556" t="s">
        <v>71</v>
      </c>
    </row>
    <row r="619" spans="2:5" ht="16.5">
      <c r="B619" s="410">
        <v>11000411</v>
      </c>
      <c r="C619" s="562" t="s">
        <v>473</v>
      </c>
      <c r="D619" s="558" t="s">
        <v>560</v>
      </c>
      <c r="E619" s="556" t="s">
        <v>71</v>
      </c>
    </row>
    <row r="620" spans="2:5" ht="16.5">
      <c r="B620" s="410">
        <v>11000411</v>
      </c>
      <c r="C620" s="562" t="s">
        <v>473</v>
      </c>
      <c r="D620" s="558" t="s">
        <v>484</v>
      </c>
      <c r="E620" s="556" t="s">
        <v>71</v>
      </c>
    </row>
    <row r="621" spans="2:5" ht="16.5">
      <c r="B621" s="410">
        <v>11006077</v>
      </c>
      <c r="C621" s="562" t="s">
        <v>473</v>
      </c>
      <c r="D621" s="558" t="s">
        <v>486</v>
      </c>
      <c r="E621" s="556" t="s">
        <v>71</v>
      </c>
    </row>
    <row r="622" spans="2:5" ht="16.5">
      <c r="B622" s="410">
        <v>11006077</v>
      </c>
      <c r="C622" s="562" t="s">
        <v>473</v>
      </c>
      <c r="D622" s="558" t="s">
        <v>487</v>
      </c>
      <c r="E622" s="556" t="s">
        <v>71</v>
      </c>
    </row>
    <row r="623" spans="2:5" ht="16.5">
      <c r="B623" s="410">
        <v>11006077</v>
      </c>
      <c r="C623" s="562" t="s">
        <v>473</v>
      </c>
      <c r="D623" s="558" t="s">
        <v>488</v>
      </c>
      <c r="E623" s="556" t="s">
        <v>71</v>
      </c>
    </row>
    <row r="624" spans="2:5" ht="16.5">
      <c r="B624" s="410">
        <v>11006077</v>
      </c>
      <c r="C624" s="562" t="s">
        <v>473</v>
      </c>
      <c r="D624" s="558" t="s">
        <v>489</v>
      </c>
      <c r="E624" s="556" t="s">
        <v>71</v>
      </c>
    </row>
    <row r="625" spans="2:5" ht="16.5">
      <c r="B625" s="410">
        <v>11006077</v>
      </c>
      <c r="C625" s="562" t="s">
        <v>473</v>
      </c>
      <c r="D625" s="558" t="s">
        <v>490</v>
      </c>
      <c r="E625" s="556" t="s">
        <v>71</v>
      </c>
    </row>
    <row r="626" spans="2:5" ht="16.5">
      <c r="B626" s="410">
        <v>11006077</v>
      </c>
      <c r="C626" s="562" t="s">
        <v>473</v>
      </c>
      <c r="D626" s="558" t="s">
        <v>491</v>
      </c>
      <c r="E626" s="556" t="s">
        <v>71</v>
      </c>
    </row>
    <row r="627" spans="2:5" ht="16.5">
      <c r="B627" s="410">
        <v>11006077</v>
      </c>
      <c r="C627" s="562" t="s">
        <v>473</v>
      </c>
      <c r="D627" s="558" t="s">
        <v>492</v>
      </c>
      <c r="E627" s="556" t="s">
        <v>71</v>
      </c>
    </row>
    <row r="628" spans="2:5" ht="16.5">
      <c r="B628" s="410">
        <v>11006077</v>
      </c>
      <c r="C628" s="562" t="s">
        <v>473</v>
      </c>
      <c r="D628" s="558" t="s">
        <v>510</v>
      </c>
      <c r="E628" s="556" t="s">
        <v>71</v>
      </c>
    </row>
    <row r="629" spans="2:5" ht="16.5">
      <c r="B629" s="410">
        <v>11006077</v>
      </c>
      <c r="C629" s="562" t="s">
        <v>473</v>
      </c>
      <c r="D629" s="558" t="s">
        <v>511</v>
      </c>
      <c r="E629" s="556" t="s">
        <v>71</v>
      </c>
    </row>
    <row r="630" spans="2:5" ht="16.5">
      <c r="B630" s="410">
        <v>11006077</v>
      </c>
      <c r="C630" s="562" t="s">
        <v>473</v>
      </c>
      <c r="D630" s="558" t="s">
        <v>512</v>
      </c>
      <c r="E630" s="556" t="s">
        <v>71</v>
      </c>
    </row>
    <row r="631" spans="2:5" ht="16.5">
      <c r="B631" s="410">
        <v>11006077</v>
      </c>
      <c r="C631" s="562" t="s">
        <v>473</v>
      </c>
      <c r="D631" s="558" t="s">
        <v>484</v>
      </c>
      <c r="E631" s="556" t="s">
        <v>71</v>
      </c>
    </row>
    <row r="632" spans="2:5" ht="16.5">
      <c r="B632" s="410">
        <v>11006077</v>
      </c>
      <c r="C632" s="562" t="s">
        <v>473</v>
      </c>
      <c r="D632" s="558" t="s">
        <v>561</v>
      </c>
      <c r="E632" s="556" t="s">
        <v>71</v>
      </c>
    </row>
    <row r="633" spans="2:5" ht="16.5">
      <c r="B633" s="410">
        <v>11001962</v>
      </c>
      <c r="C633" s="562" t="s">
        <v>562</v>
      </c>
      <c r="D633" s="558" t="s">
        <v>563</v>
      </c>
      <c r="E633" s="556" t="s">
        <v>71</v>
      </c>
    </row>
    <row r="634" spans="2:5" ht="16.5">
      <c r="B634" s="410">
        <v>11001962</v>
      </c>
      <c r="C634" s="562" t="s">
        <v>562</v>
      </c>
      <c r="D634" s="558" t="s">
        <v>564</v>
      </c>
      <c r="E634" s="556" t="s">
        <v>71</v>
      </c>
    </row>
    <row r="635" spans="2:5" ht="16.5">
      <c r="B635" s="410">
        <v>11001962</v>
      </c>
      <c r="C635" s="562" t="s">
        <v>562</v>
      </c>
      <c r="D635" s="558" t="s">
        <v>565</v>
      </c>
      <c r="E635" s="556" t="s">
        <v>71</v>
      </c>
    </row>
    <row r="636" spans="2:5" ht="16.5">
      <c r="B636" s="410">
        <v>11001962</v>
      </c>
      <c r="C636" s="562" t="s">
        <v>562</v>
      </c>
      <c r="D636" s="558" t="s">
        <v>566</v>
      </c>
      <c r="E636" s="556" t="s">
        <v>71</v>
      </c>
    </row>
    <row r="637" spans="2:5" ht="16.5">
      <c r="B637" s="410">
        <v>11001962</v>
      </c>
      <c r="C637" s="562" t="s">
        <v>562</v>
      </c>
      <c r="D637" s="558" t="s">
        <v>567</v>
      </c>
      <c r="E637" s="556" t="s">
        <v>71</v>
      </c>
    </row>
    <row r="638" spans="2:5" ht="16.5">
      <c r="B638" s="410">
        <v>11001962</v>
      </c>
      <c r="C638" s="562" t="s">
        <v>562</v>
      </c>
      <c r="D638" s="558" t="s">
        <v>568</v>
      </c>
      <c r="E638" s="556" t="s">
        <v>71</v>
      </c>
    </row>
    <row r="639" spans="2:5" ht="16.5">
      <c r="B639" s="410">
        <v>11001962</v>
      </c>
      <c r="C639" s="562" t="s">
        <v>562</v>
      </c>
      <c r="D639" s="558" t="s">
        <v>569</v>
      </c>
      <c r="E639" s="556" t="s">
        <v>71</v>
      </c>
    </row>
    <row r="640" spans="2:5" ht="16.5">
      <c r="B640" s="410">
        <v>11001962</v>
      </c>
      <c r="C640" s="562" t="s">
        <v>562</v>
      </c>
      <c r="D640" s="558" t="s">
        <v>570</v>
      </c>
      <c r="E640" s="556" t="s">
        <v>71</v>
      </c>
    </row>
    <row r="641" spans="2:5" ht="16.5">
      <c r="B641" s="410">
        <v>11001962</v>
      </c>
      <c r="C641" s="562" t="s">
        <v>562</v>
      </c>
      <c r="D641" s="558" t="s">
        <v>571</v>
      </c>
      <c r="E641" s="556" t="s">
        <v>71</v>
      </c>
    </row>
    <row r="642" spans="2:5" ht="16.5">
      <c r="B642" s="410">
        <v>11001962</v>
      </c>
      <c r="C642" s="562" t="s">
        <v>562</v>
      </c>
      <c r="D642" s="558" t="s">
        <v>572</v>
      </c>
      <c r="E642" s="556" t="s">
        <v>71</v>
      </c>
    </row>
    <row r="643" spans="2:5" ht="16.5">
      <c r="B643" s="410">
        <v>11001962</v>
      </c>
      <c r="C643" s="562" t="s">
        <v>562</v>
      </c>
      <c r="D643" s="558" t="s">
        <v>573</v>
      </c>
      <c r="E643" s="556" t="s">
        <v>71</v>
      </c>
    </row>
    <row r="644" spans="2:5" ht="16.5">
      <c r="B644" s="410">
        <v>11001962</v>
      </c>
      <c r="C644" s="562" t="s">
        <v>562</v>
      </c>
      <c r="D644" s="558" t="s">
        <v>574</v>
      </c>
      <c r="E644" s="556" t="s">
        <v>71</v>
      </c>
    </row>
    <row r="645" spans="2:5" ht="16.5">
      <c r="B645" s="410">
        <v>11001964</v>
      </c>
      <c r="C645" s="562" t="s">
        <v>562</v>
      </c>
      <c r="D645" s="558" t="s">
        <v>563</v>
      </c>
      <c r="E645" s="556" t="s">
        <v>71</v>
      </c>
    </row>
    <row r="646" spans="2:5" ht="16.5">
      <c r="B646" s="410">
        <v>11001964</v>
      </c>
      <c r="C646" s="562" t="s">
        <v>562</v>
      </c>
      <c r="D646" s="558" t="s">
        <v>564</v>
      </c>
      <c r="E646" s="556" t="s">
        <v>71</v>
      </c>
    </row>
    <row r="647" spans="2:5" ht="16.5">
      <c r="B647" s="410">
        <v>11001964</v>
      </c>
      <c r="C647" s="562" t="s">
        <v>562</v>
      </c>
      <c r="D647" s="558" t="s">
        <v>565</v>
      </c>
      <c r="E647" s="556" t="s">
        <v>71</v>
      </c>
    </row>
    <row r="648" spans="2:5" ht="16.5">
      <c r="B648" s="410">
        <v>11001964</v>
      </c>
      <c r="C648" s="562" t="s">
        <v>562</v>
      </c>
      <c r="D648" s="558" t="s">
        <v>566</v>
      </c>
      <c r="E648" s="556" t="s">
        <v>71</v>
      </c>
    </row>
    <row r="649" spans="2:5" ht="16.5">
      <c r="B649" s="410">
        <v>11001964</v>
      </c>
      <c r="C649" s="562" t="s">
        <v>562</v>
      </c>
      <c r="D649" s="558" t="s">
        <v>567</v>
      </c>
      <c r="E649" s="556" t="s">
        <v>71</v>
      </c>
    </row>
    <row r="650" spans="2:5" ht="16.5">
      <c r="B650" s="410">
        <v>11001964</v>
      </c>
      <c r="C650" s="562" t="s">
        <v>562</v>
      </c>
      <c r="D650" s="558" t="s">
        <v>568</v>
      </c>
      <c r="E650" s="556" t="s">
        <v>71</v>
      </c>
    </row>
    <row r="651" spans="2:5" ht="16.5">
      <c r="B651" s="410">
        <v>11001964</v>
      </c>
      <c r="C651" s="562" t="s">
        <v>562</v>
      </c>
      <c r="D651" s="558" t="s">
        <v>569</v>
      </c>
      <c r="E651" s="556" t="s">
        <v>71</v>
      </c>
    </row>
    <row r="652" spans="2:5" ht="16.5">
      <c r="B652" s="410">
        <v>11001964</v>
      </c>
      <c r="C652" s="562" t="s">
        <v>562</v>
      </c>
      <c r="D652" s="558" t="s">
        <v>575</v>
      </c>
      <c r="E652" s="556" t="s">
        <v>71</v>
      </c>
    </row>
    <row r="653" spans="2:5" ht="16.5">
      <c r="B653" s="410">
        <v>11001964</v>
      </c>
      <c r="C653" s="562" t="s">
        <v>562</v>
      </c>
      <c r="D653" s="558" t="s">
        <v>576</v>
      </c>
      <c r="E653" s="556" t="s">
        <v>71</v>
      </c>
    </row>
    <row r="654" spans="2:5" ht="16.5">
      <c r="B654" s="410">
        <v>11001964</v>
      </c>
      <c r="C654" s="562" t="s">
        <v>562</v>
      </c>
      <c r="D654" s="558" t="s">
        <v>577</v>
      </c>
      <c r="E654" s="556" t="s">
        <v>71</v>
      </c>
    </row>
    <row r="655" spans="2:5" ht="16.5">
      <c r="B655" s="410">
        <v>11001964</v>
      </c>
      <c r="C655" s="562" t="s">
        <v>562</v>
      </c>
      <c r="D655" s="558" t="s">
        <v>573</v>
      </c>
      <c r="E655" s="556" t="s">
        <v>71</v>
      </c>
    </row>
    <row r="656" spans="2:5" ht="16.5">
      <c r="B656" s="410">
        <v>11001964</v>
      </c>
      <c r="C656" s="562" t="s">
        <v>562</v>
      </c>
      <c r="D656" s="558" t="s">
        <v>578</v>
      </c>
      <c r="E656" s="556" t="s">
        <v>71</v>
      </c>
    </row>
    <row r="657" spans="2:5" ht="16.5">
      <c r="B657" s="410">
        <v>11001963</v>
      </c>
      <c r="C657" s="562" t="s">
        <v>562</v>
      </c>
      <c r="D657" s="558" t="s">
        <v>579</v>
      </c>
      <c r="E657" s="556" t="s">
        <v>71</v>
      </c>
    </row>
    <row r="658" spans="2:5" ht="16.5">
      <c r="B658" s="410">
        <v>11001963</v>
      </c>
      <c r="C658" s="562" t="s">
        <v>562</v>
      </c>
      <c r="D658" s="558" t="s">
        <v>580</v>
      </c>
      <c r="E658" s="556" t="s">
        <v>71</v>
      </c>
    </row>
    <row r="659" spans="2:5" ht="16.5">
      <c r="B659" s="410">
        <v>11001963</v>
      </c>
      <c r="C659" s="562" t="s">
        <v>562</v>
      </c>
      <c r="D659" s="558" t="s">
        <v>581</v>
      </c>
      <c r="E659" s="556" t="s">
        <v>71</v>
      </c>
    </row>
    <row r="660" spans="2:5" ht="16.5">
      <c r="B660" s="410">
        <v>11001963</v>
      </c>
      <c r="C660" s="562" t="s">
        <v>562</v>
      </c>
      <c r="D660" s="558" t="s">
        <v>582</v>
      </c>
      <c r="E660" s="556" t="s">
        <v>71</v>
      </c>
    </row>
    <row r="661" spans="2:5" ht="16.5">
      <c r="B661" s="410">
        <v>11001963</v>
      </c>
      <c r="C661" s="562" t="s">
        <v>562</v>
      </c>
      <c r="D661" s="558" t="s">
        <v>583</v>
      </c>
      <c r="E661" s="556" t="s">
        <v>71</v>
      </c>
    </row>
    <row r="662" spans="2:5" ht="16.5">
      <c r="B662" s="410">
        <v>11001963</v>
      </c>
      <c r="C662" s="562" t="s">
        <v>562</v>
      </c>
      <c r="D662" s="558" t="s">
        <v>584</v>
      </c>
      <c r="E662" s="556" t="s">
        <v>71</v>
      </c>
    </row>
    <row r="663" spans="2:5" ht="16.5">
      <c r="B663" s="410">
        <v>11001963</v>
      </c>
      <c r="C663" s="562" t="s">
        <v>562</v>
      </c>
      <c r="D663" s="558" t="s">
        <v>585</v>
      </c>
      <c r="E663" s="556" t="s">
        <v>71</v>
      </c>
    </row>
    <row r="664" spans="2:5" ht="16.5">
      <c r="B664" s="410">
        <v>11001963</v>
      </c>
      <c r="C664" s="562" t="s">
        <v>562</v>
      </c>
      <c r="D664" s="558" t="s">
        <v>586</v>
      </c>
      <c r="E664" s="556" t="s">
        <v>71</v>
      </c>
    </row>
    <row r="665" spans="2:5" ht="16.5">
      <c r="B665" s="410">
        <v>11001963</v>
      </c>
      <c r="C665" s="562" t="s">
        <v>562</v>
      </c>
      <c r="D665" s="558" t="s">
        <v>587</v>
      </c>
      <c r="E665" s="556" t="s">
        <v>71</v>
      </c>
    </row>
    <row r="666" spans="2:5" ht="16.5">
      <c r="B666" s="410">
        <v>11001963</v>
      </c>
      <c r="C666" s="562" t="s">
        <v>562</v>
      </c>
      <c r="D666" s="558" t="s">
        <v>588</v>
      </c>
      <c r="E666" s="556" t="s">
        <v>71</v>
      </c>
    </row>
    <row r="667" spans="2:5" ht="16.5">
      <c r="B667" s="410">
        <v>11001963</v>
      </c>
      <c r="C667" s="562" t="s">
        <v>562</v>
      </c>
      <c r="D667" s="558" t="s">
        <v>573</v>
      </c>
      <c r="E667" s="556" t="s">
        <v>71</v>
      </c>
    </row>
    <row r="668" spans="2:5" ht="16.5">
      <c r="B668" s="410">
        <v>11001963</v>
      </c>
      <c r="C668" s="562" t="s">
        <v>562</v>
      </c>
      <c r="D668" s="558" t="s">
        <v>589</v>
      </c>
      <c r="E668" s="556" t="s">
        <v>71</v>
      </c>
    </row>
    <row r="669" spans="2:5" ht="16.5">
      <c r="B669" s="410">
        <v>11000648</v>
      </c>
      <c r="C669" s="562" t="s">
        <v>562</v>
      </c>
      <c r="D669" s="558" t="s">
        <v>590</v>
      </c>
      <c r="E669" s="556" t="s">
        <v>71</v>
      </c>
    </row>
    <row r="670" spans="2:5" ht="16.5">
      <c r="B670" s="410">
        <v>11000648</v>
      </c>
      <c r="C670" s="562" t="s">
        <v>562</v>
      </c>
      <c r="D670" s="558" t="s">
        <v>591</v>
      </c>
      <c r="E670" s="556" t="s">
        <v>71</v>
      </c>
    </row>
    <row r="671" spans="2:5" ht="16.5">
      <c r="B671" s="410">
        <v>11000648</v>
      </c>
      <c r="C671" s="562" t="s">
        <v>562</v>
      </c>
      <c r="D671" s="558" t="s">
        <v>592</v>
      </c>
      <c r="E671" s="556" t="s">
        <v>71</v>
      </c>
    </row>
    <row r="672" spans="2:5" ht="16.5">
      <c r="B672" s="410">
        <v>11000648</v>
      </c>
      <c r="C672" s="562" t="s">
        <v>562</v>
      </c>
      <c r="D672" s="558" t="s">
        <v>593</v>
      </c>
      <c r="E672" s="556" t="s">
        <v>71</v>
      </c>
    </row>
    <row r="673" spans="2:5" ht="16.5">
      <c r="B673" s="410">
        <v>11000648</v>
      </c>
      <c r="C673" s="562" t="s">
        <v>562</v>
      </c>
      <c r="D673" s="558" t="s">
        <v>594</v>
      </c>
      <c r="E673" s="556" t="s">
        <v>71</v>
      </c>
    </row>
    <row r="674" spans="2:5" ht="16.5">
      <c r="B674" s="410">
        <v>11000648</v>
      </c>
      <c r="C674" s="562" t="s">
        <v>562</v>
      </c>
      <c r="D674" s="558" t="s">
        <v>595</v>
      </c>
      <c r="E674" s="556" t="s">
        <v>71</v>
      </c>
    </row>
    <row r="675" spans="2:5" ht="16.5">
      <c r="B675" s="410">
        <v>11000648</v>
      </c>
      <c r="C675" s="562" t="s">
        <v>562</v>
      </c>
      <c r="D675" s="558" t="s">
        <v>596</v>
      </c>
      <c r="E675" s="556" t="s">
        <v>71</v>
      </c>
    </row>
    <row r="676" spans="2:5" ht="16.5">
      <c r="B676" s="410">
        <v>11000648</v>
      </c>
      <c r="C676" s="562" t="s">
        <v>562</v>
      </c>
      <c r="D676" s="558" t="s">
        <v>597</v>
      </c>
      <c r="E676" s="556" t="s">
        <v>71</v>
      </c>
    </row>
    <row r="677" spans="2:5" ht="16.5">
      <c r="B677" s="410">
        <v>11000648</v>
      </c>
      <c r="C677" s="562" t="s">
        <v>562</v>
      </c>
      <c r="D677" s="558" t="s">
        <v>598</v>
      </c>
      <c r="E677" s="556" t="s">
        <v>71</v>
      </c>
    </row>
    <row r="678" spans="2:5" ht="16.5">
      <c r="B678" s="410">
        <v>11000648</v>
      </c>
      <c r="C678" s="562" t="s">
        <v>562</v>
      </c>
      <c r="D678" s="558" t="s">
        <v>599</v>
      </c>
      <c r="E678" s="556" t="s">
        <v>71</v>
      </c>
    </row>
    <row r="679" spans="2:5" ht="16.5">
      <c r="B679" s="410">
        <v>11000648</v>
      </c>
      <c r="C679" s="562" t="s">
        <v>562</v>
      </c>
      <c r="D679" s="558" t="s">
        <v>573</v>
      </c>
      <c r="E679" s="556" t="s">
        <v>71</v>
      </c>
    </row>
    <row r="680" spans="2:5" ht="16.5">
      <c r="B680" s="410">
        <v>11000648</v>
      </c>
      <c r="C680" s="562" t="s">
        <v>562</v>
      </c>
      <c r="D680" s="558" t="s">
        <v>600</v>
      </c>
      <c r="E680" s="556" t="s">
        <v>71</v>
      </c>
    </row>
    <row r="681" spans="2:5" ht="16.5">
      <c r="B681" s="410">
        <v>11000641</v>
      </c>
      <c r="C681" s="562" t="s">
        <v>562</v>
      </c>
      <c r="D681" s="558" t="s">
        <v>601</v>
      </c>
      <c r="E681" s="556" t="s">
        <v>71</v>
      </c>
    </row>
    <row r="682" spans="2:5" ht="16.5">
      <c r="B682" s="410">
        <v>11000641</v>
      </c>
      <c r="C682" s="562" t="s">
        <v>562</v>
      </c>
      <c r="D682" s="558" t="s">
        <v>602</v>
      </c>
      <c r="E682" s="556" t="s">
        <v>71</v>
      </c>
    </row>
    <row r="683" spans="2:5" ht="16.5">
      <c r="B683" s="410">
        <v>11000641</v>
      </c>
      <c r="C683" s="562" t="s">
        <v>562</v>
      </c>
      <c r="D683" s="558" t="s">
        <v>603</v>
      </c>
      <c r="E683" s="556" t="s">
        <v>71</v>
      </c>
    </row>
    <row r="684" spans="2:5" ht="16.5">
      <c r="B684" s="410">
        <v>11000641</v>
      </c>
      <c r="C684" s="562" t="s">
        <v>562</v>
      </c>
      <c r="D684" s="558" t="s">
        <v>604</v>
      </c>
      <c r="E684" s="556" t="s">
        <v>71</v>
      </c>
    </row>
    <row r="685" spans="2:5" ht="16.5">
      <c r="B685" s="410">
        <v>11000641</v>
      </c>
      <c r="C685" s="562" t="s">
        <v>562</v>
      </c>
      <c r="D685" s="558" t="s">
        <v>605</v>
      </c>
      <c r="E685" s="556" t="s">
        <v>71</v>
      </c>
    </row>
    <row r="686" spans="2:5" ht="16.5">
      <c r="B686" s="410">
        <v>11000641</v>
      </c>
      <c r="C686" s="562" t="s">
        <v>562</v>
      </c>
      <c r="D686" s="558" t="s">
        <v>606</v>
      </c>
      <c r="E686" s="556" t="s">
        <v>71</v>
      </c>
    </row>
    <row r="687" spans="2:5" ht="16.5">
      <c r="B687" s="410">
        <v>11000641</v>
      </c>
      <c r="C687" s="562" t="s">
        <v>562</v>
      </c>
      <c r="D687" s="558" t="s">
        <v>607</v>
      </c>
      <c r="E687" s="556" t="s">
        <v>71</v>
      </c>
    </row>
    <row r="688" spans="2:5" ht="16.5">
      <c r="B688" s="410">
        <v>11000641</v>
      </c>
      <c r="C688" s="562" t="s">
        <v>562</v>
      </c>
      <c r="D688" s="558" t="s">
        <v>608</v>
      </c>
      <c r="E688" s="556" t="s">
        <v>71</v>
      </c>
    </row>
    <row r="689" spans="2:5" ht="16.5">
      <c r="B689" s="410">
        <v>11000641</v>
      </c>
      <c r="C689" s="562" t="s">
        <v>562</v>
      </c>
      <c r="D689" s="558" t="s">
        <v>609</v>
      </c>
      <c r="E689" s="556" t="s">
        <v>71</v>
      </c>
    </row>
    <row r="690" spans="2:5" ht="16.5">
      <c r="B690" s="410">
        <v>11000641</v>
      </c>
      <c r="C690" s="562" t="s">
        <v>562</v>
      </c>
      <c r="D690" s="558" t="s">
        <v>610</v>
      </c>
      <c r="E690" s="556" t="s">
        <v>71</v>
      </c>
    </row>
    <row r="691" spans="2:5" ht="16.5">
      <c r="B691" s="410">
        <v>11000641</v>
      </c>
      <c r="C691" s="562" t="s">
        <v>562</v>
      </c>
      <c r="D691" s="558" t="s">
        <v>573</v>
      </c>
      <c r="E691" s="556" t="s">
        <v>71</v>
      </c>
    </row>
    <row r="692" spans="2:5" ht="16.5">
      <c r="B692" s="410">
        <v>11000641</v>
      </c>
      <c r="C692" s="562" t="s">
        <v>562</v>
      </c>
      <c r="D692" s="558" t="s">
        <v>611</v>
      </c>
      <c r="E692" s="556" t="s">
        <v>71</v>
      </c>
    </row>
    <row r="693" spans="2:5" ht="16.5">
      <c r="B693" s="410">
        <v>11001383</v>
      </c>
      <c r="C693" s="562" t="s">
        <v>562</v>
      </c>
      <c r="D693" s="558" t="s">
        <v>612</v>
      </c>
      <c r="E693" s="556" t="s">
        <v>71</v>
      </c>
    </row>
    <row r="694" spans="2:5" ht="16.5">
      <c r="B694" s="410">
        <v>11001383</v>
      </c>
      <c r="C694" s="562" t="s">
        <v>562</v>
      </c>
      <c r="D694" s="558" t="s">
        <v>613</v>
      </c>
      <c r="E694" s="556" t="s">
        <v>71</v>
      </c>
    </row>
    <row r="695" spans="2:5" ht="16.5">
      <c r="B695" s="410">
        <v>11001383</v>
      </c>
      <c r="C695" s="562" t="s">
        <v>562</v>
      </c>
      <c r="D695" s="558" t="s">
        <v>614</v>
      </c>
      <c r="E695" s="556" t="s">
        <v>71</v>
      </c>
    </row>
    <row r="696" spans="2:5" ht="16.5">
      <c r="B696" s="410">
        <v>11001383</v>
      </c>
      <c r="C696" s="562" t="s">
        <v>562</v>
      </c>
      <c r="D696" s="558" t="s">
        <v>615</v>
      </c>
      <c r="E696" s="556" t="s">
        <v>71</v>
      </c>
    </row>
    <row r="697" spans="2:5" ht="16.5">
      <c r="B697" s="410">
        <v>11001383</v>
      </c>
      <c r="C697" s="562" t="s">
        <v>562</v>
      </c>
      <c r="D697" s="558" t="s">
        <v>616</v>
      </c>
      <c r="E697" s="556" t="s">
        <v>71</v>
      </c>
    </row>
    <row r="698" spans="2:5" ht="16.5">
      <c r="B698" s="410">
        <v>11001383</v>
      </c>
      <c r="C698" s="562" t="s">
        <v>562</v>
      </c>
      <c r="D698" s="558" t="s">
        <v>617</v>
      </c>
      <c r="E698" s="556" t="s">
        <v>71</v>
      </c>
    </row>
    <row r="699" spans="2:5" ht="16.5">
      <c r="B699" s="410">
        <v>11001383</v>
      </c>
      <c r="C699" s="562" t="s">
        <v>562</v>
      </c>
      <c r="D699" s="558" t="s">
        <v>618</v>
      </c>
      <c r="E699" s="556" t="s">
        <v>71</v>
      </c>
    </row>
    <row r="700" spans="2:5" ht="16.5">
      <c r="B700" s="410">
        <v>11001383</v>
      </c>
      <c r="C700" s="562" t="s">
        <v>562</v>
      </c>
      <c r="D700" s="558" t="s">
        <v>619</v>
      </c>
      <c r="E700" s="556" t="s">
        <v>71</v>
      </c>
    </row>
    <row r="701" spans="2:5" ht="16.5">
      <c r="B701" s="410">
        <v>11001383</v>
      </c>
      <c r="C701" s="562" t="s">
        <v>562</v>
      </c>
      <c r="D701" s="558" t="s">
        <v>620</v>
      </c>
      <c r="E701" s="556" t="s">
        <v>71</v>
      </c>
    </row>
    <row r="702" spans="2:5" ht="16.5">
      <c r="B702" s="410">
        <v>11001383</v>
      </c>
      <c r="C702" s="562" t="s">
        <v>562</v>
      </c>
      <c r="D702" s="558" t="s">
        <v>621</v>
      </c>
      <c r="E702" s="556" t="s">
        <v>71</v>
      </c>
    </row>
    <row r="703" spans="2:5" ht="16.5">
      <c r="B703" s="410">
        <v>11001383</v>
      </c>
      <c r="C703" s="562" t="s">
        <v>562</v>
      </c>
      <c r="D703" s="558" t="s">
        <v>573</v>
      </c>
      <c r="E703" s="556" t="s">
        <v>71</v>
      </c>
    </row>
    <row r="704" spans="2:5" ht="16.5">
      <c r="B704" s="410">
        <v>11001383</v>
      </c>
      <c r="C704" s="562" t="s">
        <v>562</v>
      </c>
      <c r="D704" s="558" t="s">
        <v>622</v>
      </c>
      <c r="E704" s="556" t="s">
        <v>71</v>
      </c>
    </row>
    <row r="705" spans="2:5" ht="16.5">
      <c r="B705" s="410">
        <v>11001947</v>
      </c>
      <c r="C705" s="562" t="s">
        <v>562</v>
      </c>
      <c r="D705" s="558" t="s">
        <v>623</v>
      </c>
      <c r="E705" s="556" t="s">
        <v>71</v>
      </c>
    </row>
    <row r="706" spans="2:5" ht="16.5">
      <c r="B706" s="410">
        <v>11001947</v>
      </c>
      <c r="C706" s="562" t="s">
        <v>562</v>
      </c>
      <c r="D706" s="558" t="s">
        <v>624</v>
      </c>
      <c r="E706" s="556" t="s">
        <v>71</v>
      </c>
    </row>
    <row r="707" spans="2:5" ht="16.5">
      <c r="B707" s="410">
        <v>11001947</v>
      </c>
      <c r="C707" s="562" t="s">
        <v>562</v>
      </c>
      <c r="D707" s="558" t="s">
        <v>625</v>
      </c>
      <c r="E707" s="556" t="s">
        <v>71</v>
      </c>
    </row>
    <row r="708" spans="2:5" ht="16.5">
      <c r="B708" s="410">
        <v>11001947</v>
      </c>
      <c r="C708" s="562" t="s">
        <v>562</v>
      </c>
      <c r="D708" s="558" t="s">
        <v>626</v>
      </c>
      <c r="E708" s="556" t="s">
        <v>71</v>
      </c>
    </row>
    <row r="709" spans="2:5" ht="16.5">
      <c r="B709" s="410">
        <v>11001947</v>
      </c>
      <c r="C709" s="562" t="s">
        <v>562</v>
      </c>
      <c r="D709" s="558" t="s">
        <v>627</v>
      </c>
      <c r="E709" s="556" t="s">
        <v>71</v>
      </c>
    </row>
    <row r="710" spans="2:5" ht="16.5">
      <c r="B710" s="410">
        <v>11001947</v>
      </c>
      <c r="C710" s="562" t="s">
        <v>562</v>
      </c>
      <c r="D710" s="558" t="s">
        <v>628</v>
      </c>
      <c r="E710" s="556" t="s">
        <v>71</v>
      </c>
    </row>
    <row r="711" spans="2:5" ht="16.5">
      <c r="B711" s="410">
        <v>11001947</v>
      </c>
      <c r="C711" s="562" t="s">
        <v>562</v>
      </c>
      <c r="D711" s="558" t="s">
        <v>573</v>
      </c>
      <c r="E711" s="556" t="s">
        <v>71</v>
      </c>
    </row>
    <row r="712" spans="2:5" ht="16.5">
      <c r="B712" s="410">
        <v>11001947</v>
      </c>
      <c r="C712" s="562" t="s">
        <v>562</v>
      </c>
      <c r="D712" s="558" t="s">
        <v>629</v>
      </c>
      <c r="E712" s="556" t="s">
        <v>71</v>
      </c>
    </row>
    <row r="713" spans="2:5" ht="16.5">
      <c r="B713" s="410">
        <v>11002330</v>
      </c>
      <c r="C713" s="562" t="s">
        <v>562</v>
      </c>
      <c r="D713" s="558" t="s">
        <v>579</v>
      </c>
      <c r="E713" s="556" t="s">
        <v>71</v>
      </c>
    </row>
    <row r="714" spans="2:5" ht="16.5">
      <c r="B714" s="410">
        <v>11002330</v>
      </c>
      <c r="C714" s="562" t="s">
        <v>562</v>
      </c>
      <c r="D714" s="558" t="s">
        <v>580</v>
      </c>
      <c r="E714" s="556" t="s">
        <v>71</v>
      </c>
    </row>
    <row r="715" spans="2:5" ht="16.5">
      <c r="B715" s="410">
        <v>11002330</v>
      </c>
      <c r="C715" s="562" t="s">
        <v>562</v>
      </c>
      <c r="D715" s="558" t="s">
        <v>581</v>
      </c>
      <c r="E715" s="556" t="s">
        <v>71</v>
      </c>
    </row>
    <row r="716" spans="2:5" ht="16.5">
      <c r="B716" s="410">
        <v>11002330</v>
      </c>
      <c r="C716" s="562" t="s">
        <v>562</v>
      </c>
      <c r="D716" s="558" t="s">
        <v>582</v>
      </c>
      <c r="E716" s="556" t="s">
        <v>71</v>
      </c>
    </row>
    <row r="717" spans="2:5" ht="16.5">
      <c r="B717" s="410">
        <v>11002330</v>
      </c>
      <c r="C717" s="562" t="s">
        <v>562</v>
      </c>
      <c r="D717" s="558" t="s">
        <v>583</v>
      </c>
      <c r="E717" s="556" t="s">
        <v>71</v>
      </c>
    </row>
    <row r="718" spans="2:5" ht="16.5">
      <c r="B718" s="410">
        <v>11002330</v>
      </c>
      <c r="C718" s="562" t="s">
        <v>562</v>
      </c>
      <c r="D718" s="558" t="s">
        <v>584</v>
      </c>
      <c r="E718" s="556" t="s">
        <v>71</v>
      </c>
    </row>
    <row r="719" spans="2:5" ht="16.5">
      <c r="B719" s="410">
        <v>11002330</v>
      </c>
      <c r="C719" s="562" t="s">
        <v>562</v>
      </c>
      <c r="D719" s="558" t="s">
        <v>585</v>
      </c>
      <c r="E719" s="556" t="s">
        <v>71</v>
      </c>
    </row>
    <row r="720" spans="2:5" ht="16.5">
      <c r="B720" s="410">
        <v>11002330</v>
      </c>
      <c r="C720" s="562" t="s">
        <v>562</v>
      </c>
      <c r="D720" s="558" t="s">
        <v>570</v>
      </c>
      <c r="E720" s="556" t="s">
        <v>71</v>
      </c>
    </row>
    <row r="721" spans="2:5" ht="16.5">
      <c r="B721" s="410">
        <v>11002330</v>
      </c>
      <c r="C721" s="562" t="s">
        <v>562</v>
      </c>
      <c r="D721" s="558" t="s">
        <v>571</v>
      </c>
      <c r="E721" s="556" t="s">
        <v>71</v>
      </c>
    </row>
    <row r="722" spans="2:5" ht="16.5">
      <c r="B722" s="410">
        <v>11002330</v>
      </c>
      <c r="C722" s="562" t="s">
        <v>562</v>
      </c>
      <c r="D722" s="558" t="s">
        <v>572</v>
      </c>
      <c r="E722" s="556" t="s">
        <v>71</v>
      </c>
    </row>
    <row r="723" spans="2:5" ht="16.5">
      <c r="B723" s="410">
        <v>11002330</v>
      </c>
      <c r="C723" s="562" t="s">
        <v>562</v>
      </c>
      <c r="D723" s="558" t="s">
        <v>573</v>
      </c>
      <c r="E723" s="556" t="s">
        <v>71</v>
      </c>
    </row>
    <row r="724" spans="2:5" ht="16.5">
      <c r="B724" s="410">
        <v>11002330</v>
      </c>
      <c r="C724" s="562" t="s">
        <v>562</v>
      </c>
      <c r="D724" s="558" t="s">
        <v>630</v>
      </c>
      <c r="E724" s="556" t="s">
        <v>71</v>
      </c>
    </row>
    <row r="725" spans="2:5" ht="16.5">
      <c r="B725" s="410">
        <v>11005791</v>
      </c>
      <c r="C725" s="562" t="s">
        <v>631</v>
      </c>
      <c r="D725" s="558" t="s">
        <v>632</v>
      </c>
      <c r="E725" s="556" t="s">
        <v>71</v>
      </c>
    </row>
    <row r="726" spans="2:5" ht="16.5">
      <c r="B726" s="410">
        <v>11005791</v>
      </c>
      <c r="C726" s="562" t="s">
        <v>631</v>
      </c>
      <c r="D726" s="558" t="s">
        <v>633</v>
      </c>
      <c r="E726" s="556" t="s">
        <v>71</v>
      </c>
    </row>
    <row r="727" spans="2:5" ht="16.5">
      <c r="B727" s="410">
        <v>11005791</v>
      </c>
      <c r="C727" s="562" t="s">
        <v>631</v>
      </c>
      <c r="D727" s="558" t="s">
        <v>634</v>
      </c>
      <c r="E727" s="556" t="s">
        <v>71</v>
      </c>
    </row>
    <row r="728" spans="2:5" ht="16.5">
      <c r="B728" s="410">
        <v>11005791</v>
      </c>
      <c r="C728" s="562" t="s">
        <v>631</v>
      </c>
      <c r="D728" s="558" t="s">
        <v>635</v>
      </c>
      <c r="E728" s="556" t="s">
        <v>71</v>
      </c>
    </row>
    <row r="729" spans="2:5" ht="16.5">
      <c r="B729" s="410">
        <v>11005791</v>
      </c>
      <c r="C729" s="562" t="s">
        <v>631</v>
      </c>
      <c r="D729" s="558" t="s">
        <v>636</v>
      </c>
      <c r="E729" s="556" t="s">
        <v>71</v>
      </c>
    </row>
    <row r="730" spans="2:5" ht="16.5">
      <c r="B730" s="410">
        <v>11005791</v>
      </c>
      <c r="C730" s="562" t="s">
        <v>631</v>
      </c>
      <c r="D730" s="558" t="s">
        <v>637</v>
      </c>
      <c r="E730" s="556" t="s">
        <v>71</v>
      </c>
    </row>
    <row r="731" spans="2:5" ht="16.5">
      <c r="B731" s="410">
        <v>11005791</v>
      </c>
      <c r="C731" s="562" t="s">
        <v>631</v>
      </c>
      <c r="D731" s="558" t="s">
        <v>638</v>
      </c>
      <c r="E731" s="556" t="s">
        <v>71</v>
      </c>
    </row>
    <row r="732" spans="2:5" ht="16.5">
      <c r="B732" s="410">
        <v>11005791</v>
      </c>
      <c r="C732" s="562" t="s">
        <v>631</v>
      </c>
      <c r="D732" s="558" t="s">
        <v>639</v>
      </c>
      <c r="E732" s="556" t="s">
        <v>71</v>
      </c>
    </row>
    <row r="733" spans="2:5" ht="16.5">
      <c r="B733" s="410">
        <v>11001881</v>
      </c>
      <c r="C733" s="562" t="s">
        <v>631</v>
      </c>
      <c r="D733" s="558" t="s">
        <v>640</v>
      </c>
      <c r="E733" s="556" t="s">
        <v>71</v>
      </c>
    </row>
    <row r="734" spans="2:5" ht="16.5">
      <c r="B734" s="410">
        <v>11001881</v>
      </c>
      <c r="C734" s="562" t="s">
        <v>631</v>
      </c>
      <c r="D734" s="558" t="s">
        <v>641</v>
      </c>
      <c r="E734" s="556" t="s">
        <v>71</v>
      </c>
    </row>
    <row r="735" spans="2:5" ht="16.5">
      <c r="B735" s="410">
        <v>11001881</v>
      </c>
      <c r="C735" s="562" t="s">
        <v>631</v>
      </c>
      <c r="D735" s="558" t="s">
        <v>642</v>
      </c>
      <c r="E735" s="556" t="s">
        <v>71</v>
      </c>
    </row>
    <row r="736" spans="2:5" ht="16.5">
      <c r="B736" s="410">
        <v>11001881</v>
      </c>
      <c r="C736" s="562" t="s">
        <v>631</v>
      </c>
      <c r="D736" s="558" t="s">
        <v>635</v>
      </c>
      <c r="E736" s="556" t="s">
        <v>71</v>
      </c>
    </row>
    <row r="737" spans="2:5" ht="16.5">
      <c r="B737" s="410">
        <v>11001881</v>
      </c>
      <c r="C737" s="562" t="s">
        <v>631</v>
      </c>
      <c r="D737" s="558" t="s">
        <v>636</v>
      </c>
      <c r="E737" s="556" t="s">
        <v>71</v>
      </c>
    </row>
    <row r="738" spans="2:5" ht="16.5">
      <c r="B738" s="410">
        <v>11001881</v>
      </c>
      <c r="C738" s="562" t="s">
        <v>631</v>
      </c>
      <c r="D738" s="558" t="s">
        <v>637</v>
      </c>
      <c r="E738" s="556" t="s">
        <v>71</v>
      </c>
    </row>
    <row r="739" spans="2:5" ht="16.5">
      <c r="B739" s="410">
        <v>11001881</v>
      </c>
      <c r="C739" s="562" t="s">
        <v>631</v>
      </c>
      <c r="D739" s="558" t="s">
        <v>638</v>
      </c>
      <c r="E739" s="556" t="s">
        <v>71</v>
      </c>
    </row>
    <row r="740" spans="2:5" ht="16.5">
      <c r="B740" s="410">
        <v>11001881</v>
      </c>
      <c r="C740" s="562" t="s">
        <v>631</v>
      </c>
      <c r="D740" s="558" t="s">
        <v>643</v>
      </c>
      <c r="E740" s="556" t="s">
        <v>71</v>
      </c>
    </row>
    <row r="741" spans="2:5" ht="16.5">
      <c r="B741" s="410">
        <v>11001876</v>
      </c>
      <c r="C741" s="562" t="s">
        <v>631</v>
      </c>
      <c r="D741" s="558" t="s">
        <v>644</v>
      </c>
      <c r="E741" s="556" t="s">
        <v>71</v>
      </c>
    </row>
    <row r="742" spans="2:5" ht="16.5">
      <c r="B742" s="410">
        <v>11001876</v>
      </c>
      <c r="C742" s="562" t="s">
        <v>631</v>
      </c>
      <c r="D742" s="558" t="s">
        <v>645</v>
      </c>
      <c r="E742" s="556" t="s">
        <v>71</v>
      </c>
    </row>
    <row r="743" spans="2:5" ht="16.5">
      <c r="B743" s="410">
        <v>11001876</v>
      </c>
      <c r="C743" s="562" t="s">
        <v>631</v>
      </c>
      <c r="D743" s="558" t="s">
        <v>646</v>
      </c>
      <c r="E743" s="556" t="s">
        <v>71</v>
      </c>
    </row>
    <row r="744" spans="2:5" ht="16.5">
      <c r="B744" s="410">
        <v>11001876</v>
      </c>
      <c r="C744" s="562" t="s">
        <v>631</v>
      </c>
      <c r="D744" s="558" t="s">
        <v>647</v>
      </c>
      <c r="E744" s="556" t="s">
        <v>71</v>
      </c>
    </row>
    <row r="745" spans="2:5" ht="16.5">
      <c r="B745" s="410">
        <v>11001876</v>
      </c>
      <c r="C745" s="562" t="s">
        <v>631</v>
      </c>
      <c r="D745" s="558" t="s">
        <v>648</v>
      </c>
      <c r="E745" s="556" t="s">
        <v>71</v>
      </c>
    </row>
    <row r="746" spans="2:5" ht="16.5">
      <c r="B746" s="410">
        <v>11001876</v>
      </c>
      <c r="C746" s="562" t="s">
        <v>631</v>
      </c>
      <c r="D746" s="558" t="s">
        <v>649</v>
      </c>
      <c r="E746" s="556" t="s">
        <v>71</v>
      </c>
    </row>
    <row r="747" spans="2:5" ht="16.5">
      <c r="B747" s="410">
        <v>11001876</v>
      </c>
      <c r="C747" s="562" t="s">
        <v>631</v>
      </c>
      <c r="D747" s="558" t="s">
        <v>638</v>
      </c>
      <c r="E747" s="556" t="s">
        <v>71</v>
      </c>
    </row>
    <row r="748" spans="2:5" ht="16.5">
      <c r="B748" s="410">
        <v>11001876</v>
      </c>
      <c r="C748" s="562" t="s">
        <v>631</v>
      </c>
      <c r="D748" s="558" t="s">
        <v>650</v>
      </c>
      <c r="E748" s="556" t="s">
        <v>71</v>
      </c>
    </row>
    <row r="749" spans="2:5" ht="16.5">
      <c r="B749" s="410">
        <v>13001369</v>
      </c>
      <c r="C749" s="562" t="s">
        <v>651</v>
      </c>
      <c r="D749" s="558" t="s">
        <v>652</v>
      </c>
      <c r="E749" s="556" t="s">
        <v>71</v>
      </c>
    </row>
    <row r="750" spans="2:5" ht="16.5">
      <c r="B750" s="410">
        <v>13001369</v>
      </c>
      <c r="C750" s="562" t="s">
        <v>651</v>
      </c>
      <c r="D750" s="558" t="s">
        <v>653</v>
      </c>
      <c r="E750" s="556" t="s">
        <v>71</v>
      </c>
    </row>
    <row r="751" spans="2:5" ht="16.5">
      <c r="B751" s="410">
        <v>13001369</v>
      </c>
      <c r="C751" s="562" t="s">
        <v>651</v>
      </c>
      <c r="D751" s="558" t="s">
        <v>654</v>
      </c>
      <c r="E751" s="556" t="s">
        <v>71</v>
      </c>
    </row>
    <row r="752" spans="2:5" ht="16.5">
      <c r="B752" s="410">
        <v>13001369</v>
      </c>
      <c r="C752" s="562" t="s">
        <v>651</v>
      </c>
      <c r="D752" s="558" t="s">
        <v>655</v>
      </c>
      <c r="E752" s="556" t="s">
        <v>71</v>
      </c>
    </row>
    <row r="753" spans="2:5" ht="16.5">
      <c r="B753" s="410">
        <v>11001802</v>
      </c>
      <c r="C753" s="562" t="s">
        <v>651</v>
      </c>
      <c r="D753" s="558" t="s">
        <v>656</v>
      </c>
      <c r="E753" s="556" t="s">
        <v>71</v>
      </c>
    </row>
    <row r="754" spans="2:5" ht="16.5">
      <c r="B754" s="410">
        <v>11001802</v>
      </c>
      <c r="C754" s="562" t="s">
        <v>651</v>
      </c>
      <c r="D754" s="558" t="s">
        <v>657</v>
      </c>
      <c r="E754" s="556" t="s">
        <v>71</v>
      </c>
    </row>
    <row r="755" spans="2:5" ht="16.5">
      <c r="B755" s="410">
        <v>11001802</v>
      </c>
      <c r="C755" s="562" t="s">
        <v>651</v>
      </c>
      <c r="D755" s="558" t="s">
        <v>658</v>
      </c>
      <c r="E755" s="556" t="s">
        <v>71</v>
      </c>
    </row>
    <row r="756" spans="2:5" ht="16.5">
      <c r="B756" s="410">
        <v>11001802</v>
      </c>
      <c r="C756" s="562" t="s">
        <v>651</v>
      </c>
      <c r="D756" s="558" t="s">
        <v>659</v>
      </c>
      <c r="E756" s="556" t="s">
        <v>71</v>
      </c>
    </row>
    <row r="757" spans="2:5" ht="16.5">
      <c r="B757" s="410">
        <v>11001804</v>
      </c>
      <c r="C757" s="562" t="s">
        <v>651</v>
      </c>
      <c r="D757" s="558" t="s">
        <v>660</v>
      </c>
      <c r="E757" s="556" t="s">
        <v>71</v>
      </c>
    </row>
    <row r="758" spans="2:5" ht="16.5">
      <c r="B758" s="410">
        <v>11001804</v>
      </c>
      <c r="C758" s="562" t="s">
        <v>651</v>
      </c>
      <c r="D758" s="558" t="s">
        <v>661</v>
      </c>
      <c r="E758" s="556" t="s">
        <v>71</v>
      </c>
    </row>
    <row r="759" spans="2:5" ht="16.5">
      <c r="B759" s="410">
        <v>11001804</v>
      </c>
      <c r="C759" s="562" t="s">
        <v>651</v>
      </c>
      <c r="D759" s="558" t="s">
        <v>662</v>
      </c>
      <c r="E759" s="556" t="s">
        <v>71</v>
      </c>
    </row>
    <row r="760" spans="2:5" ht="16.5">
      <c r="B760" s="410">
        <v>11001804</v>
      </c>
      <c r="C760" s="562" t="s">
        <v>651</v>
      </c>
      <c r="D760" s="558" t="s">
        <v>663</v>
      </c>
      <c r="E760" s="556" t="s">
        <v>71</v>
      </c>
    </row>
    <row r="761" spans="2:5" ht="16.5">
      <c r="B761" s="410">
        <v>11001805</v>
      </c>
      <c r="C761" s="562" t="s">
        <v>651</v>
      </c>
      <c r="D761" s="558" t="s">
        <v>664</v>
      </c>
      <c r="E761" s="556" t="s">
        <v>71</v>
      </c>
    </row>
    <row r="762" spans="2:5" ht="16.5">
      <c r="B762" s="410">
        <v>11001805</v>
      </c>
      <c r="C762" s="562" t="s">
        <v>651</v>
      </c>
      <c r="D762" s="558" t="s">
        <v>665</v>
      </c>
      <c r="E762" s="556" t="s">
        <v>71</v>
      </c>
    </row>
    <row r="763" spans="2:5" ht="16.5">
      <c r="B763" s="410">
        <v>11001805</v>
      </c>
      <c r="C763" s="562" t="s">
        <v>651</v>
      </c>
      <c r="D763" s="558" t="s">
        <v>666</v>
      </c>
      <c r="E763" s="556" t="s">
        <v>71</v>
      </c>
    </row>
    <row r="764" spans="2:5" ht="16.5">
      <c r="B764" s="410">
        <v>11001805</v>
      </c>
      <c r="C764" s="562" t="s">
        <v>651</v>
      </c>
      <c r="D764" s="558" t="s">
        <v>667</v>
      </c>
      <c r="E764" s="556" t="s">
        <v>71</v>
      </c>
    </row>
    <row r="765" spans="2:5" ht="16.5">
      <c r="B765" s="410">
        <v>11001807</v>
      </c>
      <c r="C765" s="562" t="s">
        <v>651</v>
      </c>
      <c r="D765" s="558" t="s">
        <v>668</v>
      </c>
      <c r="E765" s="556" t="s">
        <v>71</v>
      </c>
    </row>
    <row r="766" spans="2:5" ht="16.5">
      <c r="B766" s="410">
        <v>11001807</v>
      </c>
      <c r="C766" s="562" t="s">
        <v>651</v>
      </c>
      <c r="D766" s="558" t="s">
        <v>669</v>
      </c>
      <c r="E766" s="556" t="s">
        <v>71</v>
      </c>
    </row>
    <row r="767" spans="2:5" ht="16.5">
      <c r="B767" s="410">
        <v>11001807</v>
      </c>
      <c r="C767" s="562" t="s">
        <v>651</v>
      </c>
      <c r="D767" s="558" t="s">
        <v>670</v>
      </c>
      <c r="E767" s="556" t="s">
        <v>71</v>
      </c>
    </row>
    <row r="768" spans="2:5" ht="16.5">
      <c r="B768" s="410">
        <v>11001807</v>
      </c>
      <c r="C768" s="562" t="s">
        <v>651</v>
      </c>
      <c r="D768" s="558" t="s">
        <v>671</v>
      </c>
      <c r="E768" s="556" t="s">
        <v>71</v>
      </c>
    </row>
    <row r="769" spans="2:5" ht="16.5">
      <c r="B769" s="410">
        <v>11001809</v>
      </c>
      <c r="C769" s="562" t="s">
        <v>651</v>
      </c>
      <c r="D769" s="558" t="s">
        <v>672</v>
      </c>
      <c r="E769" s="556" t="s">
        <v>71</v>
      </c>
    </row>
    <row r="770" spans="2:5" ht="16.5">
      <c r="B770" s="410">
        <v>11001809</v>
      </c>
      <c r="C770" s="562" t="s">
        <v>651</v>
      </c>
      <c r="D770" s="558" t="s">
        <v>673</v>
      </c>
      <c r="E770" s="556" t="s">
        <v>71</v>
      </c>
    </row>
    <row r="771" spans="2:5" ht="16.5">
      <c r="B771" s="410">
        <v>11001809</v>
      </c>
      <c r="C771" s="562" t="s">
        <v>651</v>
      </c>
      <c r="D771" s="558" t="s">
        <v>674</v>
      </c>
      <c r="E771" s="556" t="s">
        <v>71</v>
      </c>
    </row>
    <row r="772" spans="2:5" ht="16.5">
      <c r="B772" s="410">
        <v>11001809</v>
      </c>
      <c r="C772" s="562" t="s">
        <v>651</v>
      </c>
      <c r="D772" s="558" t="s">
        <v>675</v>
      </c>
      <c r="E772" s="556" t="s">
        <v>71</v>
      </c>
    </row>
    <row r="773" spans="2:5" ht="16.5">
      <c r="B773" s="410">
        <v>11001816</v>
      </c>
      <c r="C773" s="562" t="s">
        <v>651</v>
      </c>
      <c r="D773" s="558" t="s">
        <v>676</v>
      </c>
      <c r="E773" s="556" t="s">
        <v>71</v>
      </c>
    </row>
    <row r="774" spans="2:5" ht="16.5">
      <c r="B774" s="410">
        <v>11001816</v>
      </c>
      <c r="C774" s="562" t="s">
        <v>651</v>
      </c>
      <c r="D774" s="558" t="s">
        <v>677</v>
      </c>
      <c r="E774" s="556" t="s">
        <v>71</v>
      </c>
    </row>
    <row r="775" spans="2:5" ht="16.5">
      <c r="B775" s="410">
        <v>11001816</v>
      </c>
      <c r="C775" s="562" t="s">
        <v>651</v>
      </c>
      <c r="D775" s="558" t="s">
        <v>678</v>
      </c>
      <c r="E775" s="556" t="s">
        <v>71</v>
      </c>
    </row>
    <row r="776" spans="2:5" ht="16.5">
      <c r="B776" s="410">
        <v>11001816</v>
      </c>
      <c r="C776" s="562" t="s">
        <v>651</v>
      </c>
      <c r="D776" s="558" t="s">
        <v>679</v>
      </c>
      <c r="E776" s="556" t="s">
        <v>71</v>
      </c>
    </row>
    <row r="777" spans="2:5" ht="16.5">
      <c r="B777" s="410">
        <v>11002143</v>
      </c>
      <c r="C777" s="562" t="s">
        <v>680</v>
      </c>
      <c r="D777" s="558" t="s">
        <v>681</v>
      </c>
      <c r="E777" s="556" t="s">
        <v>71</v>
      </c>
    </row>
    <row r="778" spans="2:5" ht="16.5">
      <c r="B778" s="410">
        <v>11002143</v>
      </c>
      <c r="C778" s="562" t="s">
        <v>680</v>
      </c>
      <c r="D778" s="558" t="s">
        <v>682</v>
      </c>
      <c r="E778" s="556" t="s">
        <v>71</v>
      </c>
    </row>
    <row r="779" spans="2:5" ht="16.5">
      <c r="B779" s="410">
        <v>11002143</v>
      </c>
      <c r="C779" s="562" t="s">
        <v>680</v>
      </c>
      <c r="D779" s="558" t="s">
        <v>683</v>
      </c>
      <c r="E779" s="556" t="s">
        <v>71</v>
      </c>
    </row>
    <row r="780" spans="2:5" ht="16.5">
      <c r="B780" s="410">
        <v>11003001</v>
      </c>
      <c r="C780" s="562" t="s">
        <v>680</v>
      </c>
      <c r="D780" s="558" t="s">
        <v>684</v>
      </c>
      <c r="E780" s="556" t="s">
        <v>71</v>
      </c>
    </row>
    <row r="781" spans="2:5" ht="16.5">
      <c r="B781" s="410">
        <v>11003001</v>
      </c>
      <c r="C781" s="562" t="s">
        <v>680</v>
      </c>
      <c r="D781" s="558" t="s">
        <v>685</v>
      </c>
      <c r="E781" s="556" t="s">
        <v>71</v>
      </c>
    </row>
    <row r="782" spans="2:5" ht="16.5">
      <c r="B782" s="410">
        <v>11003001</v>
      </c>
      <c r="C782" s="562" t="s">
        <v>680</v>
      </c>
      <c r="D782" s="558" t="s">
        <v>686</v>
      </c>
      <c r="E782" s="556" t="s">
        <v>71</v>
      </c>
    </row>
    <row r="783" spans="2:5" ht="16.5">
      <c r="B783" s="410">
        <v>11100660</v>
      </c>
      <c r="C783" s="562" t="s">
        <v>680</v>
      </c>
      <c r="D783" s="558" t="s">
        <v>687</v>
      </c>
      <c r="E783" s="556" t="s">
        <v>71</v>
      </c>
    </row>
    <row r="784" spans="2:5" ht="16.5">
      <c r="B784" s="410">
        <v>11100660</v>
      </c>
      <c r="C784" s="562" t="s">
        <v>680</v>
      </c>
      <c r="D784" s="558" t="s">
        <v>688</v>
      </c>
      <c r="E784" s="556" t="s">
        <v>71</v>
      </c>
    </row>
    <row r="785" spans="2:5" ht="16.5">
      <c r="B785" s="410">
        <v>11100660</v>
      </c>
      <c r="C785" s="562" t="s">
        <v>680</v>
      </c>
      <c r="D785" s="558" t="s">
        <v>689</v>
      </c>
      <c r="E785" s="556" t="s">
        <v>71</v>
      </c>
    </row>
    <row r="786" spans="2:5" ht="16.5">
      <c r="B786" s="410">
        <v>11006982</v>
      </c>
      <c r="C786" s="562" t="s">
        <v>680</v>
      </c>
      <c r="D786" s="558" t="s">
        <v>690</v>
      </c>
      <c r="E786" s="556" t="s">
        <v>71</v>
      </c>
    </row>
    <row r="787" spans="2:5" ht="16.5">
      <c r="B787" s="410">
        <v>11006982</v>
      </c>
      <c r="C787" s="562" t="s">
        <v>680</v>
      </c>
      <c r="D787" s="558" t="s">
        <v>691</v>
      </c>
      <c r="E787" s="556" t="s">
        <v>71</v>
      </c>
    </row>
    <row r="788" spans="2:5" ht="16.5">
      <c r="B788" s="410">
        <v>11006982</v>
      </c>
      <c r="C788" s="562" t="s">
        <v>680</v>
      </c>
      <c r="D788" s="558" t="s">
        <v>692</v>
      </c>
      <c r="E788" s="556" t="s">
        <v>71</v>
      </c>
    </row>
    <row r="789" spans="2:5" ht="16.5">
      <c r="B789" s="410">
        <v>11101478</v>
      </c>
      <c r="C789" s="562" t="s">
        <v>680</v>
      </c>
      <c r="D789" s="558" t="s">
        <v>693</v>
      </c>
      <c r="E789" s="556" t="s">
        <v>71</v>
      </c>
    </row>
    <row r="790" spans="2:5" ht="16.5">
      <c r="B790" s="410">
        <v>11101478</v>
      </c>
      <c r="C790" s="562" t="s">
        <v>680</v>
      </c>
      <c r="D790" s="558" t="s">
        <v>694</v>
      </c>
      <c r="E790" s="556" t="s">
        <v>71</v>
      </c>
    </row>
    <row r="791" spans="2:5" ht="16.5">
      <c r="B791" s="410">
        <v>11101478</v>
      </c>
      <c r="C791" s="562" t="s">
        <v>680</v>
      </c>
      <c r="D791" s="558" t="s">
        <v>695</v>
      </c>
      <c r="E791" s="556" t="s">
        <v>71</v>
      </c>
    </row>
    <row r="792" spans="2:5" ht="16.5">
      <c r="B792" s="410">
        <v>11001720</v>
      </c>
      <c r="C792" s="562" t="s">
        <v>696</v>
      </c>
      <c r="D792" s="558" t="s">
        <v>697</v>
      </c>
      <c r="E792" s="556" t="s">
        <v>71</v>
      </c>
    </row>
    <row r="793" spans="2:5" ht="16.5">
      <c r="B793" s="410">
        <v>11001720</v>
      </c>
      <c r="C793" s="562" t="s">
        <v>696</v>
      </c>
      <c r="D793" s="558" t="s">
        <v>698</v>
      </c>
      <c r="E793" s="556" t="s">
        <v>71</v>
      </c>
    </row>
    <row r="794" spans="2:5" ht="16.5">
      <c r="B794" s="410">
        <v>11001720</v>
      </c>
      <c r="C794" s="562" t="s">
        <v>696</v>
      </c>
      <c r="D794" s="558" t="s">
        <v>699</v>
      </c>
      <c r="E794" s="556" t="s">
        <v>71</v>
      </c>
    </row>
    <row r="795" spans="2:5" ht="16.5">
      <c r="B795" s="410">
        <v>11001720</v>
      </c>
      <c r="C795" s="562" t="s">
        <v>696</v>
      </c>
      <c r="D795" s="558" t="s">
        <v>700</v>
      </c>
      <c r="E795" s="556" t="s">
        <v>71</v>
      </c>
    </row>
    <row r="796" spans="2:5" ht="16.5">
      <c r="B796" s="410">
        <v>11001720</v>
      </c>
      <c r="C796" s="562" t="s">
        <v>696</v>
      </c>
      <c r="D796" s="558" t="s">
        <v>701</v>
      </c>
      <c r="E796" s="556" t="s">
        <v>71</v>
      </c>
    </row>
    <row r="797" spans="2:5" ht="16.5">
      <c r="B797" s="410">
        <v>11001722</v>
      </c>
      <c r="C797" s="562" t="s">
        <v>696</v>
      </c>
      <c r="D797" s="558" t="s">
        <v>702</v>
      </c>
      <c r="E797" s="556" t="s">
        <v>71</v>
      </c>
    </row>
    <row r="798" spans="2:5" ht="16.5">
      <c r="B798" s="410">
        <v>11001722</v>
      </c>
      <c r="C798" s="562" t="s">
        <v>696</v>
      </c>
      <c r="D798" s="558" t="s">
        <v>703</v>
      </c>
      <c r="E798" s="556" t="s">
        <v>71</v>
      </c>
    </row>
    <row r="799" spans="2:5" ht="16.5">
      <c r="B799" s="410">
        <v>11001722</v>
      </c>
      <c r="C799" s="562" t="s">
        <v>696</v>
      </c>
      <c r="D799" s="558" t="s">
        <v>704</v>
      </c>
      <c r="E799" s="556" t="s">
        <v>71</v>
      </c>
    </row>
    <row r="800" spans="2:5" ht="16.5">
      <c r="B800" s="410">
        <v>11001722</v>
      </c>
      <c r="C800" s="562" t="s">
        <v>696</v>
      </c>
      <c r="D800" s="558" t="s">
        <v>705</v>
      </c>
      <c r="E800" s="556" t="s">
        <v>71</v>
      </c>
    </row>
    <row r="801" spans="2:5" ht="16.5">
      <c r="B801" s="410">
        <v>11001722</v>
      </c>
      <c r="C801" s="562" t="s">
        <v>696</v>
      </c>
      <c r="D801" s="558" t="s">
        <v>706</v>
      </c>
      <c r="E801" s="556" t="s">
        <v>71</v>
      </c>
    </row>
    <row r="802" spans="2:5" ht="16.5">
      <c r="B802" s="410">
        <v>11001723</v>
      </c>
      <c r="C802" s="562" t="s">
        <v>696</v>
      </c>
      <c r="D802" s="558" t="s">
        <v>707</v>
      </c>
      <c r="E802" s="556" t="s">
        <v>71</v>
      </c>
    </row>
    <row r="803" spans="2:5" ht="16.5">
      <c r="B803" s="410">
        <v>11001723</v>
      </c>
      <c r="C803" s="562" t="s">
        <v>696</v>
      </c>
      <c r="D803" s="558" t="s">
        <v>708</v>
      </c>
      <c r="E803" s="556" t="s">
        <v>71</v>
      </c>
    </row>
    <row r="804" spans="2:5" ht="16.5">
      <c r="B804" s="410">
        <v>11001723</v>
      </c>
      <c r="C804" s="562" t="s">
        <v>696</v>
      </c>
      <c r="D804" s="558" t="s">
        <v>709</v>
      </c>
      <c r="E804" s="556" t="s">
        <v>71</v>
      </c>
    </row>
    <row r="805" spans="2:5" ht="16.5">
      <c r="B805" s="410">
        <v>11001723</v>
      </c>
      <c r="C805" s="562" t="s">
        <v>696</v>
      </c>
      <c r="D805" s="558" t="s">
        <v>710</v>
      </c>
      <c r="E805" s="556" t="s">
        <v>71</v>
      </c>
    </row>
    <row r="806" spans="2:5" ht="16.5">
      <c r="B806" s="410">
        <v>11001723</v>
      </c>
      <c r="C806" s="562" t="s">
        <v>696</v>
      </c>
      <c r="D806" s="558" t="s">
        <v>711</v>
      </c>
      <c r="E806" s="556" t="s">
        <v>71</v>
      </c>
    </row>
    <row r="807" spans="2:5" ht="16.5">
      <c r="B807" s="410">
        <v>11001725</v>
      </c>
      <c r="C807" s="562" t="s">
        <v>696</v>
      </c>
      <c r="D807" s="558" t="s">
        <v>712</v>
      </c>
      <c r="E807" s="556" t="s">
        <v>71</v>
      </c>
    </row>
    <row r="808" spans="2:5" ht="16.5">
      <c r="B808" s="410">
        <v>11001725</v>
      </c>
      <c r="C808" s="562" t="s">
        <v>696</v>
      </c>
      <c r="D808" s="558" t="s">
        <v>713</v>
      </c>
      <c r="E808" s="556" t="s">
        <v>71</v>
      </c>
    </row>
    <row r="809" spans="2:5" ht="16.5">
      <c r="B809" s="410">
        <v>11001725</v>
      </c>
      <c r="C809" s="562" t="s">
        <v>696</v>
      </c>
      <c r="D809" s="558" t="s">
        <v>714</v>
      </c>
      <c r="E809" s="556" t="s">
        <v>71</v>
      </c>
    </row>
    <row r="810" spans="2:5" ht="16.5">
      <c r="B810" s="410">
        <v>11001725</v>
      </c>
      <c r="C810" s="562" t="s">
        <v>696</v>
      </c>
      <c r="D810" s="558" t="s">
        <v>715</v>
      </c>
      <c r="E810" s="556" t="s">
        <v>71</v>
      </c>
    </row>
    <row r="811" spans="2:5" ht="16.5">
      <c r="B811" s="410">
        <v>11001725</v>
      </c>
      <c r="C811" s="562" t="s">
        <v>696</v>
      </c>
      <c r="D811" s="558" t="s">
        <v>716</v>
      </c>
      <c r="E811" s="556" t="s">
        <v>71</v>
      </c>
    </row>
    <row r="812" spans="2:5" ht="16.5">
      <c r="B812" s="410">
        <v>11001727</v>
      </c>
      <c r="C812" s="562" t="s">
        <v>696</v>
      </c>
      <c r="D812" s="558" t="s">
        <v>717</v>
      </c>
      <c r="E812" s="556" t="s">
        <v>71</v>
      </c>
    </row>
    <row r="813" spans="2:5" ht="16.5">
      <c r="B813" s="410">
        <v>11001727</v>
      </c>
      <c r="C813" s="562" t="s">
        <v>696</v>
      </c>
      <c r="D813" s="558" t="s">
        <v>718</v>
      </c>
      <c r="E813" s="556" t="s">
        <v>71</v>
      </c>
    </row>
    <row r="814" spans="2:5" ht="16.5">
      <c r="B814" s="410">
        <v>11001727</v>
      </c>
      <c r="C814" s="562" t="s">
        <v>696</v>
      </c>
      <c r="D814" s="558" t="s">
        <v>719</v>
      </c>
      <c r="E814" s="556" t="s">
        <v>71</v>
      </c>
    </row>
    <row r="815" spans="2:5" ht="16.5">
      <c r="B815" s="410">
        <v>11001727</v>
      </c>
      <c r="C815" s="562" t="s">
        <v>696</v>
      </c>
      <c r="D815" s="558" t="s">
        <v>720</v>
      </c>
      <c r="E815" s="556" t="s">
        <v>71</v>
      </c>
    </row>
    <row r="816" spans="2:5" ht="16.5">
      <c r="B816" s="410">
        <v>11001727</v>
      </c>
      <c r="C816" s="562" t="s">
        <v>696</v>
      </c>
      <c r="D816" s="558" t="s">
        <v>721</v>
      </c>
      <c r="E816" s="556" t="s">
        <v>71</v>
      </c>
    </row>
    <row r="817" spans="2:5" ht="16.5">
      <c r="B817" s="410">
        <v>11001734</v>
      </c>
      <c r="C817" s="562" t="s">
        <v>696</v>
      </c>
      <c r="D817" s="558" t="s">
        <v>722</v>
      </c>
      <c r="E817" s="556" t="s">
        <v>71</v>
      </c>
    </row>
    <row r="818" spans="2:5" ht="16.5">
      <c r="B818" s="410">
        <v>11001734</v>
      </c>
      <c r="C818" s="562" t="s">
        <v>696</v>
      </c>
      <c r="D818" s="558" t="s">
        <v>723</v>
      </c>
      <c r="E818" s="556" t="s">
        <v>71</v>
      </c>
    </row>
    <row r="819" spans="2:5" ht="16.5">
      <c r="B819" s="410">
        <v>11001734</v>
      </c>
      <c r="C819" s="562" t="s">
        <v>696</v>
      </c>
      <c r="D819" s="558" t="s">
        <v>724</v>
      </c>
      <c r="E819" s="556" t="s">
        <v>71</v>
      </c>
    </row>
    <row r="820" spans="2:5" ht="16.5">
      <c r="B820" s="410">
        <v>11001734</v>
      </c>
      <c r="C820" s="562" t="s">
        <v>696</v>
      </c>
      <c r="D820" s="558" t="s">
        <v>725</v>
      </c>
      <c r="E820" s="556" t="s">
        <v>71</v>
      </c>
    </row>
    <row r="821" spans="2:5" ht="16.5">
      <c r="B821" s="410">
        <v>11001734</v>
      </c>
      <c r="C821" s="562" t="s">
        <v>696</v>
      </c>
      <c r="D821" s="558" t="s">
        <v>726</v>
      </c>
      <c r="E821" s="556" t="s">
        <v>71</v>
      </c>
    </row>
    <row r="822" spans="2:5" ht="16.5">
      <c r="B822" s="410">
        <v>11002695</v>
      </c>
      <c r="C822" s="562" t="s">
        <v>696</v>
      </c>
      <c r="D822" s="558" t="s">
        <v>727</v>
      </c>
      <c r="E822" s="556" t="s">
        <v>71</v>
      </c>
    </row>
    <row r="823" spans="2:5" ht="16.5">
      <c r="B823" s="410">
        <v>11002695</v>
      </c>
      <c r="C823" s="562" t="s">
        <v>696</v>
      </c>
      <c r="D823" s="558" t="s">
        <v>728</v>
      </c>
      <c r="E823" s="556" t="s">
        <v>71</v>
      </c>
    </row>
    <row r="824" spans="2:5" ht="16.5">
      <c r="B824" s="410">
        <v>11002695</v>
      </c>
      <c r="C824" s="562" t="s">
        <v>696</v>
      </c>
      <c r="D824" s="558" t="s">
        <v>729</v>
      </c>
      <c r="E824" s="556" t="s">
        <v>71</v>
      </c>
    </row>
    <row r="825" spans="2:5" ht="16.5">
      <c r="B825" s="410">
        <v>11002695</v>
      </c>
      <c r="C825" s="562" t="s">
        <v>696</v>
      </c>
      <c r="D825" s="558" t="s">
        <v>730</v>
      </c>
      <c r="E825" s="556" t="s">
        <v>71</v>
      </c>
    </row>
    <row r="826" spans="2:5" ht="16.5">
      <c r="B826" s="410">
        <v>11002696</v>
      </c>
      <c r="C826" s="562" t="s">
        <v>696</v>
      </c>
      <c r="D826" s="558" t="s">
        <v>731</v>
      </c>
      <c r="E826" s="556" t="s">
        <v>71</v>
      </c>
    </row>
    <row r="827" spans="2:5" ht="16.5">
      <c r="B827" s="410">
        <v>11002696</v>
      </c>
      <c r="C827" s="562" t="s">
        <v>696</v>
      </c>
      <c r="D827" s="558" t="s">
        <v>732</v>
      </c>
      <c r="E827" s="556" t="s">
        <v>71</v>
      </c>
    </row>
    <row r="828" spans="2:5" ht="16.5">
      <c r="B828" s="410">
        <v>11002696</v>
      </c>
      <c r="C828" s="562" t="s">
        <v>696</v>
      </c>
      <c r="D828" s="558" t="s">
        <v>733</v>
      </c>
      <c r="E828" s="556" t="s">
        <v>71</v>
      </c>
    </row>
    <row r="829" spans="2:5" ht="16.5">
      <c r="B829" s="410">
        <v>11002696</v>
      </c>
      <c r="C829" s="562" t="s">
        <v>696</v>
      </c>
      <c r="D829" s="558" t="s">
        <v>734</v>
      </c>
      <c r="E829" s="556" t="s">
        <v>71</v>
      </c>
    </row>
    <row r="830" spans="2:5" ht="16.5">
      <c r="B830" s="410">
        <v>11002737</v>
      </c>
      <c r="C830" s="562" t="s">
        <v>735</v>
      </c>
      <c r="D830" s="558" t="s">
        <v>736</v>
      </c>
      <c r="E830" s="556" t="s">
        <v>71</v>
      </c>
    </row>
    <row r="831" spans="2:5" ht="16.5">
      <c r="B831" s="410">
        <v>11002737</v>
      </c>
      <c r="C831" s="562" t="s">
        <v>735</v>
      </c>
      <c r="D831" s="558" t="s">
        <v>737</v>
      </c>
      <c r="E831" s="556" t="s">
        <v>71</v>
      </c>
    </row>
    <row r="832" spans="2:5" ht="16.5">
      <c r="B832" s="410">
        <v>11002737</v>
      </c>
      <c r="C832" s="562" t="s">
        <v>735</v>
      </c>
      <c r="D832" s="558" t="s">
        <v>738</v>
      </c>
      <c r="E832" s="556" t="s">
        <v>71</v>
      </c>
    </row>
    <row r="833" spans="2:5" ht="16.5">
      <c r="B833" s="410">
        <v>11002737</v>
      </c>
      <c r="C833" s="562" t="s">
        <v>735</v>
      </c>
      <c r="D833" s="558" t="s">
        <v>739</v>
      </c>
      <c r="E833" s="556" t="s">
        <v>71</v>
      </c>
    </row>
    <row r="834" spans="2:5" ht="16.5">
      <c r="B834" s="410">
        <v>11002737</v>
      </c>
      <c r="C834" s="562" t="s">
        <v>735</v>
      </c>
      <c r="D834" s="558" t="s">
        <v>740</v>
      </c>
      <c r="E834" s="556" t="s">
        <v>71</v>
      </c>
    </row>
    <row r="835" spans="2:5" ht="16.5">
      <c r="B835" s="410">
        <v>11002737</v>
      </c>
      <c r="C835" s="562" t="s">
        <v>735</v>
      </c>
      <c r="D835" s="558" t="s">
        <v>741</v>
      </c>
      <c r="E835" s="556" t="s">
        <v>71</v>
      </c>
    </row>
    <row r="836" spans="2:5" ht="16.5">
      <c r="B836" s="410">
        <v>11002737</v>
      </c>
      <c r="C836" s="562" t="s">
        <v>735</v>
      </c>
      <c r="D836" s="558" t="s">
        <v>742</v>
      </c>
      <c r="E836" s="556" t="s">
        <v>71</v>
      </c>
    </row>
    <row r="837" spans="2:5" ht="16.5">
      <c r="B837" s="410">
        <v>11002737</v>
      </c>
      <c r="C837" s="562" t="s">
        <v>735</v>
      </c>
      <c r="D837" s="558" t="s">
        <v>743</v>
      </c>
      <c r="E837" s="556" t="s">
        <v>71</v>
      </c>
    </row>
    <row r="838" spans="2:5" ht="16.5">
      <c r="B838" s="410">
        <v>11002737</v>
      </c>
      <c r="C838" s="562" t="s">
        <v>735</v>
      </c>
      <c r="D838" s="558" t="s">
        <v>744</v>
      </c>
      <c r="E838" s="556" t="s">
        <v>71</v>
      </c>
    </row>
    <row r="839" spans="2:5" ht="16.5">
      <c r="B839" s="410">
        <v>11002737</v>
      </c>
      <c r="C839" s="562" t="s">
        <v>735</v>
      </c>
      <c r="D839" s="558" t="s">
        <v>745</v>
      </c>
      <c r="E839" s="556" t="s">
        <v>71</v>
      </c>
    </row>
    <row r="840" spans="2:5" ht="16.5">
      <c r="B840" s="410">
        <v>11002737</v>
      </c>
      <c r="C840" s="562" t="s">
        <v>735</v>
      </c>
      <c r="D840" s="558" t="s">
        <v>746</v>
      </c>
      <c r="E840" s="556" t="s">
        <v>71</v>
      </c>
    </row>
    <row r="841" spans="2:5" ht="16.5">
      <c r="B841" s="410">
        <v>11002737</v>
      </c>
      <c r="C841" s="562" t="s">
        <v>735</v>
      </c>
      <c r="D841" s="558" t="s">
        <v>747</v>
      </c>
      <c r="E841" s="556" t="s">
        <v>71</v>
      </c>
    </row>
    <row r="842" spans="2:5" ht="16.5">
      <c r="B842" s="410">
        <v>11002737</v>
      </c>
      <c r="C842" s="562" t="s">
        <v>735</v>
      </c>
      <c r="D842" s="558" t="s">
        <v>748</v>
      </c>
      <c r="E842" s="556" t="s">
        <v>71</v>
      </c>
    </row>
    <row r="843" spans="2:5" ht="16.5">
      <c r="B843" s="410">
        <v>11002737</v>
      </c>
      <c r="C843" s="562" t="s">
        <v>735</v>
      </c>
      <c r="D843" s="558" t="s">
        <v>749</v>
      </c>
      <c r="E843" s="556" t="s">
        <v>71</v>
      </c>
    </row>
    <row r="844" spans="2:5" ht="16.5">
      <c r="B844" s="410">
        <v>11002737</v>
      </c>
      <c r="C844" s="562" t="s">
        <v>735</v>
      </c>
      <c r="D844" s="558" t="s">
        <v>750</v>
      </c>
      <c r="E844" s="556" t="s">
        <v>71</v>
      </c>
    </row>
    <row r="845" spans="2:5" ht="16.5">
      <c r="B845" s="410">
        <v>11002737</v>
      </c>
      <c r="C845" s="562" t="s">
        <v>735</v>
      </c>
      <c r="D845" s="558" t="s">
        <v>751</v>
      </c>
      <c r="E845" s="556" t="s">
        <v>71</v>
      </c>
    </row>
    <row r="846" spans="2:5" ht="16.5">
      <c r="B846" s="410">
        <v>11002737</v>
      </c>
      <c r="C846" s="562" t="s">
        <v>735</v>
      </c>
      <c r="D846" s="558" t="s">
        <v>752</v>
      </c>
      <c r="E846" s="556" t="s">
        <v>71</v>
      </c>
    </row>
    <row r="847" spans="2:5" ht="16.5">
      <c r="B847" s="410">
        <v>11002613</v>
      </c>
      <c r="C847" s="562" t="s">
        <v>753</v>
      </c>
      <c r="D847" s="558" t="s">
        <v>754</v>
      </c>
      <c r="E847" s="556" t="s">
        <v>71</v>
      </c>
    </row>
    <row r="848" spans="2:5" ht="16.5">
      <c r="B848" s="410">
        <v>11002613</v>
      </c>
      <c r="C848" s="562" t="s">
        <v>753</v>
      </c>
      <c r="D848" s="558" t="s">
        <v>755</v>
      </c>
      <c r="E848" s="556" t="s">
        <v>71</v>
      </c>
    </row>
    <row r="849" spans="2:5" ht="16.5">
      <c r="B849" s="410">
        <v>11002613</v>
      </c>
      <c r="C849" s="562" t="s">
        <v>753</v>
      </c>
      <c r="D849" s="558" t="s">
        <v>756</v>
      </c>
      <c r="E849" s="556" t="s">
        <v>71</v>
      </c>
    </row>
    <row r="850" spans="2:5" ht="16.5">
      <c r="B850" s="410">
        <v>11002613</v>
      </c>
      <c r="C850" s="562" t="s">
        <v>753</v>
      </c>
      <c r="D850" s="558" t="s">
        <v>757</v>
      </c>
      <c r="E850" s="556" t="s">
        <v>71</v>
      </c>
    </row>
    <row r="851" spans="2:5" ht="16.5">
      <c r="B851" s="410">
        <v>11002613</v>
      </c>
      <c r="C851" s="562" t="s">
        <v>753</v>
      </c>
      <c r="D851" s="558" t="s">
        <v>758</v>
      </c>
      <c r="E851" s="556" t="s">
        <v>71</v>
      </c>
    </row>
    <row r="852" spans="2:5" ht="16.5">
      <c r="B852" s="410">
        <v>11002613</v>
      </c>
      <c r="C852" s="562" t="s">
        <v>753</v>
      </c>
      <c r="D852" s="558" t="s">
        <v>759</v>
      </c>
      <c r="E852" s="556" t="s">
        <v>71</v>
      </c>
    </row>
    <row r="853" spans="2:5" ht="16.5">
      <c r="B853" s="410">
        <v>11002613</v>
      </c>
      <c r="C853" s="562" t="s">
        <v>753</v>
      </c>
      <c r="D853" s="558" t="s">
        <v>760</v>
      </c>
      <c r="E853" s="556" t="s">
        <v>71</v>
      </c>
    </row>
    <row r="854" spans="2:5" ht="16.5">
      <c r="B854" s="410">
        <v>11002613</v>
      </c>
      <c r="C854" s="562" t="s">
        <v>753</v>
      </c>
      <c r="D854" s="558" t="s">
        <v>761</v>
      </c>
      <c r="E854" s="556" t="s">
        <v>71</v>
      </c>
    </row>
    <row r="855" spans="2:5" ht="16.5">
      <c r="B855" s="410">
        <v>11002613</v>
      </c>
      <c r="C855" s="562" t="s">
        <v>753</v>
      </c>
      <c r="D855" s="558" t="s">
        <v>762</v>
      </c>
      <c r="E855" s="556" t="s">
        <v>71</v>
      </c>
    </row>
    <row r="856" spans="2:5" ht="16.5">
      <c r="B856" s="410">
        <v>11002613</v>
      </c>
      <c r="C856" s="562" t="s">
        <v>753</v>
      </c>
      <c r="D856" s="558" t="s">
        <v>763</v>
      </c>
      <c r="E856" s="556" t="s">
        <v>71</v>
      </c>
    </row>
    <row r="857" spans="2:5" ht="16.5">
      <c r="B857" s="410">
        <v>11002613</v>
      </c>
      <c r="C857" s="562" t="s">
        <v>753</v>
      </c>
      <c r="D857" s="558" t="s">
        <v>764</v>
      </c>
      <c r="E857" s="556" t="s">
        <v>71</v>
      </c>
    </row>
    <row r="858" spans="2:5" ht="16.5">
      <c r="B858" s="410">
        <v>11002613</v>
      </c>
      <c r="C858" s="562" t="s">
        <v>753</v>
      </c>
      <c r="D858" s="558" t="s">
        <v>765</v>
      </c>
      <c r="E858" s="556" t="s">
        <v>71</v>
      </c>
    </row>
    <row r="859" spans="2:5" ht="16.5">
      <c r="B859" s="410">
        <v>11002613</v>
      </c>
      <c r="C859" s="562" t="s">
        <v>753</v>
      </c>
      <c r="D859" s="558" t="s">
        <v>766</v>
      </c>
      <c r="E859" s="556" t="s">
        <v>71</v>
      </c>
    </row>
    <row r="860" spans="2:5" ht="16.5">
      <c r="B860" s="410">
        <v>11002613</v>
      </c>
      <c r="C860" s="562" t="s">
        <v>753</v>
      </c>
      <c r="D860" s="558" t="s">
        <v>767</v>
      </c>
      <c r="E860" s="556" t="s">
        <v>71</v>
      </c>
    </row>
    <row r="861" spans="2:5" ht="16.5">
      <c r="B861" s="410">
        <v>11002613</v>
      </c>
      <c r="C861" s="562" t="s">
        <v>753</v>
      </c>
      <c r="D861" s="558" t="s">
        <v>768</v>
      </c>
      <c r="E861" s="556" t="s">
        <v>71</v>
      </c>
    </row>
    <row r="862" spans="2:5" ht="16.5">
      <c r="B862" s="410">
        <v>11002613</v>
      </c>
      <c r="C862" s="562" t="s">
        <v>753</v>
      </c>
      <c r="D862" s="558" t="s">
        <v>769</v>
      </c>
      <c r="E862" s="556" t="s">
        <v>71</v>
      </c>
    </row>
    <row r="863" spans="2:5" ht="16.5">
      <c r="B863" s="410">
        <v>11002613</v>
      </c>
      <c r="C863" s="562" t="s">
        <v>753</v>
      </c>
      <c r="D863" s="558" t="s">
        <v>770</v>
      </c>
      <c r="E863" s="556" t="s">
        <v>71</v>
      </c>
    </row>
    <row r="864" spans="2:5" ht="16.5">
      <c r="B864" s="410">
        <v>11002615</v>
      </c>
      <c r="C864" s="562" t="s">
        <v>753</v>
      </c>
      <c r="D864" s="558" t="s">
        <v>754</v>
      </c>
      <c r="E864" s="556" t="s">
        <v>71</v>
      </c>
    </row>
    <row r="865" spans="2:5" ht="16.5">
      <c r="B865" s="410">
        <v>11002615</v>
      </c>
      <c r="C865" s="562" t="s">
        <v>753</v>
      </c>
      <c r="D865" s="558" t="s">
        <v>755</v>
      </c>
      <c r="E865" s="556" t="s">
        <v>71</v>
      </c>
    </row>
    <row r="866" spans="2:5" ht="16.5">
      <c r="B866" s="410">
        <v>11002615</v>
      </c>
      <c r="C866" s="562" t="s">
        <v>753</v>
      </c>
      <c r="D866" s="558" t="s">
        <v>756</v>
      </c>
      <c r="E866" s="556" t="s">
        <v>71</v>
      </c>
    </row>
    <row r="867" spans="2:5" ht="16.5">
      <c r="B867" s="410">
        <v>11002615</v>
      </c>
      <c r="C867" s="562" t="s">
        <v>753</v>
      </c>
      <c r="D867" s="558" t="s">
        <v>757</v>
      </c>
      <c r="E867" s="556" t="s">
        <v>71</v>
      </c>
    </row>
    <row r="868" spans="2:5" ht="16.5">
      <c r="B868" s="410">
        <v>11002615</v>
      </c>
      <c r="C868" s="562" t="s">
        <v>753</v>
      </c>
      <c r="D868" s="558" t="s">
        <v>758</v>
      </c>
      <c r="E868" s="556" t="s">
        <v>71</v>
      </c>
    </row>
    <row r="869" spans="2:5" ht="16.5">
      <c r="B869" s="410">
        <v>11002615</v>
      </c>
      <c r="C869" s="562" t="s">
        <v>753</v>
      </c>
      <c r="D869" s="558" t="s">
        <v>759</v>
      </c>
      <c r="E869" s="556" t="s">
        <v>71</v>
      </c>
    </row>
    <row r="870" spans="2:5" ht="16.5">
      <c r="B870" s="410">
        <v>11002615</v>
      </c>
      <c r="C870" s="562" t="s">
        <v>753</v>
      </c>
      <c r="D870" s="558" t="s">
        <v>771</v>
      </c>
      <c r="E870" s="556" t="s">
        <v>71</v>
      </c>
    </row>
    <row r="871" spans="2:5" ht="16.5">
      <c r="B871" s="410">
        <v>11002615</v>
      </c>
      <c r="C871" s="562" t="s">
        <v>753</v>
      </c>
      <c r="D871" s="558" t="s">
        <v>772</v>
      </c>
      <c r="E871" s="556" t="s">
        <v>71</v>
      </c>
    </row>
    <row r="872" spans="2:5" ht="16.5">
      <c r="B872" s="410">
        <v>11002615</v>
      </c>
      <c r="C872" s="562" t="s">
        <v>753</v>
      </c>
      <c r="D872" s="558" t="s">
        <v>773</v>
      </c>
      <c r="E872" s="556" t="s">
        <v>71</v>
      </c>
    </row>
    <row r="873" spans="2:5" ht="16.5">
      <c r="B873" s="410">
        <v>11002615</v>
      </c>
      <c r="C873" s="562" t="s">
        <v>753</v>
      </c>
      <c r="D873" s="558" t="s">
        <v>774</v>
      </c>
      <c r="E873" s="556" t="s">
        <v>71</v>
      </c>
    </row>
    <row r="874" spans="2:5" ht="16.5">
      <c r="B874" s="410">
        <v>11002615</v>
      </c>
      <c r="C874" s="562" t="s">
        <v>753</v>
      </c>
      <c r="D874" s="558" t="s">
        <v>775</v>
      </c>
      <c r="E874" s="556" t="s">
        <v>71</v>
      </c>
    </row>
    <row r="875" spans="2:5" ht="16.5">
      <c r="B875" s="410">
        <v>11002615</v>
      </c>
      <c r="C875" s="562" t="s">
        <v>753</v>
      </c>
      <c r="D875" s="558" t="s">
        <v>776</v>
      </c>
      <c r="E875" s="556" t="s">
        <v>71</v>
      </c>
    </row>
    <row r="876" spans="2:5" ht="16.5">
      <c r="B876" s="410">
        <v>11002615</v>
      </c>
      <c r="C876" s="562" t="s">
        <v>753</v>
      </c>
      <c r="D876" s="558" t="s">
        <v>777</v>
      </c>
      <c r="E876" s="556" t="s">
        <v>71</v>
      </c>
    </row>
    <row r="877" spans="2:5" ht="16.5">
      <c r="B877" s="410">
        <v>11002615</v>
      </c>
      <c r="C877" s="562" t="s">
        <v>753</v>
      </c>
      <c r="D877" s="558" t="s">
        <v>767</v>
      </c>
      <c r="E877" s="556" t="s">
        <v>71</v>
      </c>
    </row>
    <row r="878" spans="2:5" ht="16.5">
      <c r="B878" s="410">
        <v>11002615</v>
      </c>
      <c r="C878" s="562" t="s">
        <v>753</v>
      </c>
      <c r="D878" s="558" t="s">
        <v>768</v>
      </c>
      <c r="E878" s="556" t="s">
        <v>71</v>
      </c>
    </row>
    <row r="879" spans="2:5" ht="16.5">
      <c r="B879" s="410">
        <v>11002615</v>
      </c>
      <c r="C879" s="562" t="s">
        <v>753</v>
      </c>
      <c r="D879" s="558" t="s">
        <v>778</v>
      </c>
      <c r="E879" s="556" t="s">
        <v>71</v>
      </c>
    </row>
    <row r="880" spans="2:5" ht="16.5">
      <c r="B880" s="410">
        <v>11002615</v>
      </c>
      <c r="C880" s="562" t="s">
        <v>753</v>
      </c>
      <c r="D880" s="558" t="s">
        <v>779</v>
      </c>
      <c r="E880" s="556" t="s">
        <v>71</v>
      </c>
    </row>
    <row r="881" spans="2:5" ht="16.5">
      <c r="B881" s="410">
        <v>11002616</v>
      </c>
      <c r="C881" s="562" t="s">
        <v>753</v>
      </c>
      <c r="D881" s="558" t="s">
        <v>780</v>
      </c>
      <c r="E881" s="556" t="s">
        <v>71</v>
      </c>
    </row>
    <row r="882" spans="2:5" ht="16.5">
      <c r="B882" s="410">
        <v>11002616</v>
      </c>
      <c r="C882" s="562" t="s">
        <v>753</v>
      </c>
      <c r="D882" s="558" t="s">
        <v>781</v>
      </c>
      <c r="E882" s="556" t="s">
        <v>71</v>
      </c>
    </row>
    <row r="883" spans="2:5" ht="16.5">
      <c r="B883" s="410">
        <v>11002616</v>
      </c>
      <c r="C883" s="562" t="s">
        <v>753</v>
      </c>
      <c r="D883" s="558" t="s">
        <v>782</v>
      </c>
      <c r="E883" s="556" t="s">
        <v>71</v>
      </c>
    </row>
    <row r="884" spans="2:5" ht="16.5">
      <c r="B884" s="410">
        <v>11002616</v>
      </c>
      <c r="C884" s="562" t="s">
        <v>753</v>
      </c>
      <c r="D884" s="558" t="s">
        <v>783</v>
      </c>
      <c r="E884" s="556" t="s">
        <v>71</v>
      </c>
    </row>
    <row r="885" spans="2:5" ht="16.5">
      <c r="B885" s="410">
        <v>11002616</v>
      </c>
      <c r="C885" s="562" t="s">
        <v>753</v>
      </c>
      <c r="D885" s="558" t="s">
        <v>784</v>
      </c>
      <c r="E885" s="556" t="s">
        <v>71</v>
      </c>
    </row>
    <row r="886" spans="2:5" ht="16.5">
      <c r="B886" s="410">
        <v>11002616</v>
      </c>
      <c r="C886" s="562" t="s">
        <v>753</v>
      </c>
      <c r="D886" s="558" t="s">
        <v>785</v>
      </c>
      <c r="E886" s="556" t="s">
        <v>71</v>
      </c>
    </row>
    <row r="887" spans="2:5" ht="16.5">
      <c r="B887" s="410">
        <v>11002616</v>
      </c>
      <c r="C887" s="562" t="s">
        <v>753</v>
      </c>
      <c r="D887" s="558" t="s">
        <v>771</v>
      </c>
      <c r="E887" s="556" t="s">
        <v>71</v>
      </c>
    </row>
    <row r="888" spans="2:5" ht="16.5">
      <c r="B888" s="410">
        <v>11002616</v>
      </c>
      <c r="C888" s="562" t="s">
        <v>753</v>
      </c>
      <c r="D888" s="558" t="s">
        <v>772</v>
      </c>
      <c r="E888" s="556" t="s">
        <v>71</v>
      </c>
    </row>
    <row r="889" spans="2:5" ht="16.5">
      <c r="B889" s="410">
        <v>11002616</v>
      </c>
      <c r="C889" s="562" t="s">
        <v>753</v>
      </c>
      <c r="D889" s="558" t="s">
        <v>773</v>
      </c>
      <c r="E889" s="556" t="s">
        <v>71</v>
      </c>
    </row>
    <row r="890" spans="2:5" ht="16.5">
      <c r="B890" s="410">
        <v>11002616</v>
      </c>
      <c r="C890" s="562" t="s">
        <v>753</v>
      </c>
      <c r="D890" s="558" t="s">
        <v>774</v>
      </c>
      <c r="E890" s="556" t="s">
        <v>71</v>
      </c>
    </row>
    <row r="891" spans="2:5" ht="16.5">
      <c r="B891" s="410">
        <v>11002616</v>
      </c>
      <c r="C891" s="562" t="s">
        <v>753</v>
      </c>
      <c r="D891" s="558" t="s">
        <v>775</v>
      </c>
      <c r="E891" s="556" t="s">
        <v>71</v>
      </c>
    </row>
    <row r="892" spans="2:5" ht="16.5">
      <c r="B892" s="410">
        <v>11002616</v>
      </c>
      <c r="C892" s="562" t="s">
        <v>753</v>
      </c>
      <c r="D892" s="558" t="s">
        <v>776</v>
      </c>
      <c r="E892" s="556" t="s">
        <v>71</v>
      </c>
    </row>
    <row r="893" spans="2:5" ht="16.5">
      <c r="B893" s="410">
        <v>11002616</v>
      </c>
      <c r="C893" s="562" t="s">
        <v>753</v>
      </c>
      <c r="D893" s="558" t="s">
        <v>786</v>
      </c>
      <c r="E893" s="556" t="s">
        <v>71</v>
      </c>
    </row>
    <row r="894" spans="2:5" ht="16.5">
      <c r="B894" s="410">
        <v>11002616</v>
      </c>
      <c r="C894" s="562" t="s">
        <v>753</v>
      </c>
      <c r="D894" s="558" t="s">
        <v>787</v>
      </c>
      <c r="E894" s="556" t="s">
        <v>71</v>
      </c>
    </row>
    <row r="895" spans="2:5" ht="16.5">
      <c r="B895" s="410">
        <v>11002616</v>
      </c>
      <c r="C895" s="562" t="s">
        <v>753</v>
      </c>
      <c r="D895" s="558" t="s">
        <v>788</v>
      </c>
      <c r="E895" s="556" t="s">
        <v>71</v>
      </c>
    </row>
    <row r="896" spans="2:5" ht="16.5">
      <c r="B896" s="410">
        <v>11002616</v>
      </c>
      <c r="C896" s="562" t="s">
        <v>753</v>
      </c>
      <c r="D896" s="558" t="s">
        <v>778</v>
      </c>
      <c r="E896" s="556" t="s">
        <v>71</v>
      </c>
    </row>
    <row r="897" spans="2:5" ht="16.5">
      <c r="B897" s="410">
        <v>11002616</v>
      </c>
      <c r="C897" s="562" t="s">
        <v>753</v>
      </c>
      <c r="D897" s="558" t="s">
        <v>779</v>
      </c>
      <c r="E897" s="556" t="s">
        <v>71</v>
      </c>
    </row>
    <row r="898" spans="2:5" ht="16.5">
      <c r="B898" s="410">
        <v>11002617</v>
      </c>
      <c r="C898" s="562" t="s">
        <v>753</v>
      </c>
      <c r="D898" s="558" t="s">
        <v>789</v>
      </c>
      <c r="E898" s="556" t="s">
        <v>71</v>
      </c>
    </row>
    <row r="899" spans="2:5" ht="16.5">
      <c r="B899" s="410">
        <v>11002617</v>
      </c>
      <c r="C899" s="562" t="s">
        <v>753</v>
      </c>
      <c r="D899" s="558" t="s">
        <v>790</v>
      </c>
      <c r="E899" s="556" t="s">
        <v>71</v>
      </c>
    </row>
    <row r="900" spans="2:5" ht="16.5">
      <c r="B900" s="410">
        <v>11002617</v>
      </c>
      <c r="C900" s="562" t="s">
        <v>753</v>
      </c>
      <c r="D900" s="558" t="s">
        <v>791</v>
      </c>
      <c r="E900" s="556" t="s">
        <v>71</v>
      </c>
    </row>
    <row r="901" spans="2:5" ht="16.5">
      <c r="B901" s="410">
        <v>11002617</v>
      </c>
      <c r="C901" s="562" t="s">
        <v>753</v>
      </c>
      <c r="D901" s="558" t="s">
        <v>792</v>
      </c>
      <c r="E901" s="556" t="s">
        <v>71</v>
      </c>
    </row>
    <row r="902" spans="2:5" ht="16.5">
      <c r="B902" s="410">
        <v>11002617</v>
      </c>
      <c r="C902" s="562" t="s">
        <v>753</v>
      </c>
      <c r="D902" s="558" t="s">
        <v>793</v>
      </c>
      <c r="E902" s="556" t="s">
        <v>71</v>
      </c>
    </row>
    <row r="903" spans="2:5" ht="16.5">
      <c r="B903" s="410">
        <v>11002617</v>
      </c>
      <c r="C903" s="562" t="s">
        <v>753</v>
      </c>
      <c r="D903" s="558" t="s">
        <v>794</v>
      </c>
      <c r="E903" s="556" t="s">
        <v>71</v>
      </c>
    </row>
    <row r="904" spans="2:5" ht="16.5">
      <c r="B904" s="410">
        <v>11002617</v>
      </c>
      <c r="C904" s="562" t="s">
        <v>753</v>
      </c>
      <c r="D904" s="558" t="s">
        <v>771</v>
      </c>
      <c r="E904" s="556" t="s">
        <v>71</v>
      </c>
    </row>
    <row r="905" spans="2:5" ht="16.5">
      <c r="B905" s="410">
        <v>11002617</v>
      </c>
      <c r="C905" s="562" t="s">
        <v>753</v>
      </c>
      <c r="D905" s="558" t="s">
        <v>772</v>
      </c>
      <c r="E905" s="556" t="s">
        <v>71</v>
      </c>
    </row>
    <row r="906" spans="2:5" ht="16.5">
      <c r="B906" s="410">
        <v>11002617</v>
      </c>
      <c r="C906" s="562" t="s">
        <v>753</v>
      </c>
      <c r="D906" s="558" t="s">
        <v>773</v>
      </c>
      <c r="E906" s="556" t="s">
        <v>71</v>
      </c>
    </row>
    <row r="907" spans="2:5" ht="16.5">
      <c r="B907" s="410">
        <v>11002617</v>
      </c>
      <c r="C907" s="562" t="s">
        <v>753</v>
      </c>
      <c r="D907" s="558" t="s">
        <v>774</v>
      </c>
      <c r="E907" s="556" t="s">
        <v>71</v>
      </c>
    </row>
    <row r="908" spans="2:5" ht="16.5">
      <c r="B908" s="410">
        <v>11002617</v>
      </c>
      <c r="C908" s="562" t="s">
        <v>753</v>
      </c>
      <c r="D908" s="558" t="s">
        <v>775</v>
      </c>
      <c r="E908" s="556" t="s">
        <v>71</v>
      </c>
    </row>
    <row r="909" spans="2:5" ht="16.5">
      <c r="B909" s="410">
        <v>11002617</v>
      </c>
      <c r="C909" s="562" t="s">
        <v>753</v>
      </c>
      <c r="D909" s="558" t="s">
        <v>776</v>
      </c>
      <c r="E909" s="556" t="s">
        <v>71</v>
      </c>
    </row>
    <row r="910" spans="2:5" ht="16.5">
      <c r="B910" s="410">
        <v>11002617</v>
      </c>
      <c r="C910" s="562" t="s">
        <v>753</v>
      </c>
      <c r="D910" s="558" t="s">
        <v>795</v>
      </c>
      <c r="E910" s="556" t="s">
        <v>71</v>
      </c>
    </row>
    <row r="911" spans="2:5" ht="16.5">
      <c r="B911" s="410">
        <v>11002617</v>
      </c>
      <c r="C911" s="562" t="s">
        <v>753</v>
      </c>
      <c r="D911" s="558" t="s">
        <v>796</v>
      </c>
      <c r="E911" s="556" t="s">
        <v>71</v>
      </c>
    </row>
    <row r="912" spans="2:5" ht="16.5">
      <c r="B912" s="410">
        <v>11002617</v>
      </c>
      <c r="C912" s="562" t="s">
        <v>753</v>
      </c>
      <c r="D912" s="558" t="s">
        <v>797</v>
      </c>
      <c r="E912" s="556" t="s">
        <v>71</v>
      </c>
    </row>
    <row r="913" spans="2:5" ht="16.5">
      <c r="B913" s="410">
        <v>11002617</v>
      </c>
      <c r="C913" s="562" t="s">
        <v>753</v>
      </c>
      <c r="D913" s="558" t="s">
        <v>778</v>
      </c>
      <c r="E913" s="556" t="s">
        <v>71</v>
      </c>
    </row>
    <row r="914" spans="2:5" ht="16.5">
      <c r="B914" s="410">
        <v>11002617</v>
      </c>
      <c r="C914" s="562" t="s">
        <v>753</v>
      </c>
      <c r="D914" s="558" t="s">
        <v>779</v>
      </c>
      <c r="E914" s="556" t="s">
        <v>71</v>
      </c>
    </row>
    <row r="915" spans="2:5" ht="16.5">
      <c r="B915" s="410">
        <v>11002618</v>
      </c>
      <c r="C915" s="562" t="s">
        <v>753</v>
      </c>
      <c r="D915" s="558" t="s">
        <v>789</v>
      </c>
      <c r="E915" s="556" t="s">
        <v>71</v>
      </c>
    </row>
    <row r="916" spans="2:5" ht="16.5">
      <c r="B916" s="410">
        <v>11002618</v>
      </c>
      <c r="C916" s="562" t="s">
        <v>753</v>
      </c>
      <c r="D916" s="558" t="s">
        <v>790</v>
      </c>
      <c r="E916" s="556" t="s">
        <v>71</v>
      </c>
    </row>
    <row r="917" spans="2:5" ht="16.5">
      <c r="B917" s="410">
        <v>11002618</v>
      </c>
      <c r="C917" s="562" t="s">
        <v>753</v>
      </c>
      <c r="D917" s="558" t="s">
        <v>791</v>
      </c>
      <c r="E917" s="556" t="s">
        <v>71</v>
      </c>
    </row>
    <row r="918" spans="2:5" ht="16.5">
      <c r="B918" s="410">
        <v>11002618</v>
      </c>
      <c r="C918" s="562" t="s">
        <v>753</v>
      </c>
      <c r="D918" s="558" t="s">
        <v>792</v>
      </c>
      <c r="E918" s="556" t="s">
        <v>71</v>
      </c>
    </row>
    <row r="919" spans="2:5" ht="16.5">
      <c r="B919" s="410">
        <v>11002618</v>
      </c>
      <c r="C919" s="562" t="s">
        <v>753</v>
      </c>
      <c r="D919" s="558" t="s">
        <v>793</v>
      </c>
      <c r="E919" s="556" t="s">
        <v>71</v>
      </c>
    </row>
    <row r="920" spans="2:5" ht="16.5">
      <c r="B920" s="410">
        <v>11002618</v>
      </c>
      <c r="C920" s="562" t="s">
        <v>753</v>
      </c>
      <c r="D920" s="558" t="s">
        <v>794</v>
      </c>
      <c r="E920" s="556" t="s">
        <v>71</v>
      </c>
    </row>
    <row r="921" spans="2:5" ht="16.5">
      <c r="B921" s="410">
        <v>11002618</v>
      </c>
      <c r="C921" s="562" t="s">
        <v>753</v>
      </c>
      <c r="D921" s="558" t="s">
        <v>780</v>
      </c>
      <c r="E921" s="556" t="s">
        <v>71</v>
      </c>
    </row>
    <row r="922" spans="2:5" ht="16.5">
      <c r="B922" s="410">
        <v>11002618</v>
      </c>
      <c r="C922" s="562" t="s">
        <v>753</v>
      </c>
      <c r="D922" s="558" t="s">
        <v>781</v>
      </c>
      <c r="E922" s="556" t="s">
        <v>71</v>
      </c>
    </row>
    <row r="923" spans="2:5" ht="16.5">
      <c r="B923" s="410">
        <v>11002618</v>
      </c>
      <c r="C923" s="562" t="s">
        <v>753</v>
      </c>
      <c r="D923" s="558" t="s">
        <v>782</v>
      </c>
      <c r="E923" s="556" t="s">
        <v>71</v>
      </c>
    </row>
    <row r="924" spans="2:5" ht="16.5">
      <c r="B924" s="410">
        <v>11002618</v>
      </c>
      <c r="C924" s="562" t="s">
        <v>753</v>
      </c>
      <c r="D924" s="558" t="s">
        <v>783</v>
      </c>
      <c r="E924" s="556" t="s">
        <v>71</v>
      </c>
    </row>
    <row r="925" spans="2:5" ht="16.5">
      <c r="B925" s="410">
        <v>11002618</v>
      </c>
      <c r="C925" s="562" t="s">
        <v>753</v>
      </c>
      <c r="D925" s="558" t="s">
        <v>784</v>
      </c>
      <c r="E925" s="556" t="s">
        <v>71</v>
      </c>
    </row>
    <row r="926" spans="2:5" ht="16.5">
      <c r="B926" s="410">
        <v>11002618</v>
      </c>
      <c r="C926" s="562" t="s">
        <v>753</v>
      </c>
      <c r="D926" s="558" t="s">
        <v>785</v>
      </c>
      <c r="E926" s="556" t="s">
        <v>71</v>
      </c>
    </row>
    <row r="927" spans="2:5" ht="16.5">
      <c r="B927" s="410">
        <v>11002618</v>
      </c>
      <c r="C927" s="562" t="s">
        <v>753</v>
      </c>
      <c r="D927" s="558" t="s">
        <v>798</v>
      </c>
      <c r="E927" s="556" t="s">
        <v>71</v>
      </c>
    </row>
    <row r="928" spans="2:5" ht="16.5">
      <c r="B928" s="410">
        <v>11002618</v>
      </c>
      <c r="C928" s="562" t="s">
        <v>753</v>
      </c>
      <c r="D928" s="558" t="s">
        <v>796</v>
      </c>
      <c r="E928" s="556" t="s">
        <v>71</v>
      </c>
    </row>
    <row r="929" spans="2:5" ht="16.5">
      <c r="B929" s="410">
        <v>11002618</v>
      </c>
      <c r="C929" s="562" t="s">
        <v>753</v>
      </c>
      <c r="D929" s="558" t="s">
        <v>797</v>
      </c>
      <c r="E929" s="556" t="s">
        <v>71</v>
      </c>
    </row>
    <row r="930" spans="2:5" ht="16.5">
      <c r="B930" s="410">
        <v>11002618</v>
      </c>
      <c r="C930" s="562" t="s">
        <v>753</v>
      </c>
      <c r="D930" s="558" t="s">
        <v>787</v>
      </c>
      <c r="E930" s="556" t="s">
        <v>71</v>
      </c>
    </row>
    <row r="931" spans="2:5" ht="16.5">
      <c r="B931" s="410">
        <v>11002618</v>
      </c>
      <c r="C931" s="562" t="s">
        <v>753</v>
      </c>
      <c r="D931" s="558" t="s">
        <v>788</v>
      </c>
      <c r="E931" s="556" t="s">
        <v>71</v>
      </c>
    </row>
    <row r="932" spans="2:5" ht="16.5">
      <c r="B932" s="410">
        <v>11001965</v>
      </c>
      <c r="C932" s="562" t="s">
        <v>799</v>
      </c>
      <c r="D932" s="558" t="s">
        <v>800</v>
      </c>
      <c r="E932" s="556" t="s">
        <v>71</v>
      </c>
    </row>
    <row r="933" spans="2:5" ht="16.5">
      <c r="B933" s="410">
        <v>11001965</v>
      </c>
      <c r="C933" s="562" t="s">
        <v>799</v>
      </c>
      <c r="D933" s="558" t="s">
        <v>801</v>
      </c>
      <c r="E933" s="556" t="s">
        <v>71</v>
      </c>
    </row>
    <row r="934" spans="2:5" ht="16.5">
      <c r="B934" s="410">
        <v>11001965</v>
      </c>
      <c r="C934" s="562" t="s">
        <v>799</v>
      </c>
      <c r="D934" s="558" t="s">
        <v>802</v>
      </c>
      <c r="E934" s="556" t="s">
        <v>71</v>
      </c>
    </row>
    <row r="935" spans="2:5" ht="16.5">
      <c r="B935" s="410">
        <v>11001965</v>
      </c>
      <c r="C935" s="562" t="s">
        <v>799</v>
      </c>
      <c r="D935" s="558" t="s">
        <v>803</v>
      </c>
      <c r="E935" s="556" t="s">
        <v>71</v>
      </c>
    </row>
    <row r="936" spans="2:5" ht="16.5">
      <c r="B936" s="410">
        <v>11001965</v>
      </c>
      <c r="C936" s="562" t="s">
        <v>799</v>
      </c>
      <c r="D936" s="558" t="s">
        <v>804</v>
      </c>
      <c r="E936" s="556" t="s">
        <v>71</v>
      </c>
    </row>
    <row r="937" spans="2:5" ht="16.5">
      <c r="B937" s="410">
        <v>11001965</v>
      </c>
      <c r="C937" s="562" t="s">
        <v>799</v>
      </c>
      <c r="D937" s="558" t="s">
        <v>805</v>
      </c>
      <c r="E937" s="556" t="s">
        <v>71</v>
      </c>
    </row>
    <row r="938" spans="2:5" ht="16.5">
      <c r="B938" s="410">
        <v>11001965</v>
      </c>
      <c r="C938" s="562" t="s">
        <v>799</v>
      </c>
      <c r="D938" s="558" t="s">
        <v>806</v>
      </c>
      <c r="E938" s="556" t="s">
        <v>71</v>
      </c>
    </row>
    <row r="939" spans="2:5" ht="16.5">
      <c r="B939" s="410">
        <v>11001965</v>
      </c>
      <c r="C939" s="562" t="s">
        <v>799</v>
      </c>
      <c r="D939" s="558" t="s">
        <v>807</v>
      </c>
      <c r="E939" s="556" t="s">
        <v>71</v>
      </c>
    </row>
    <row r="940" spans="2:5" ht="16.5">
      <c r="B940" s="410">
        <v>11001965</v>
      </c>
      <c r="C940" s="562" t="s">
        <v>799</v>
      </c>
      <c r="D940" s="558" t="s">
        <v>808</v>
      </c>
      <c r="E940" s="556" t="s">
        <v>71</v>
      </c>
    </row>
    <row r="941" spans="2:5" ht="16.5">
      <c r="B941" s="410">
        <v>11001965</v>
      </c>
      <c r="C941" s="562" t="s">
        <v>799</v>
      </c>
      <c r="D941" s="558" t="s">
        <v>809</v>
      </c>
      <c r="E941" s="556" t="s">
        <v>71</v>
      </c>
    </row>
    <row r="942" spans="2:5" ht="16.5">
      <c r="B942" s="410">
        <v>11001965</v>
      </c>
      <c r="C942" s="562" t="s">
        <v>799</v>
      </c>
      <c r="D942" s="558" t="s">
        <v>810</v>
      </c>
      <c r="E942" s="556" t="s">
        <v>71</v>
      </c>
    </row>
    <row r="943" spans="2:5" ht="16.5">
      <c r="B943" s="410">
        <v>11001965</v>
      </c>
      <c r="C943" s="562" t="s">
        <v>799</v>
      </c>
      <c r="D943" s="558" t="s">
        <v>811</v>
      </c>
      <c r="E943" s="556" t="s">
        <v>71</v>
      </c>
    </row>
    <row r="944" spans="2:5" ht="16.5">
      <c r="B944" s="410">
        <v>11001965</v>
      </c>
      <c r="C944" s="562" t="s">
        <v>799</v>
      </c>
      <c r="D944" s="558" t="s">
        <v>812</v>
      </c>
      <c r="E944" s="556" t="s">
        <v>71</v>
      </c>
    </row>
    <row r="945" spans="2:5" ht="16.5">
      <c r="B945" s="410">
        <v>11001965</v>
      </c>
      <c r="C945" s="562" t="s">
        <v>799</v>
      </c>
      <c r="D945" s="558" t="s">
        <v>813</v>
      </c>
      <c r="E945" s="556" t="s">
        <v>71</v>
      </c>
    </row>
    <row r="946" spans="2:5" ht="16.5">
      <c r="B946" s="410">
        <v>11001965</v>
      </c>
      <c r="C946" s="562" t="s">
        <v>799</v>
      </c>
      <c r="D946" s="558" t="s">
        <v>814</v>
      </c>
      <c r="E946" s="556" t="s">
        <v>71</v>
      </c>
    </row>
    <row r="947" spans="2:5" ht="16.5">
      <c r="B947" s="410">
        <v>11001965</v>
      </c>
      <c r="C947" s="562" t="s">
        <v>799</v>
      </c>
      <c r="D947" s="558" t="s">
        <v>815</v>
      </c>
      <c r="E947" s="556" t="s">
        <v>71</v>
      </c>
    </row>
    <row r="948" spans="2:5" ht="16.5">
      <c r="B948" s="410">
        <v>11008273</v>
      </c>
      <c r="C948" s="562" t="s">
        <v>816</v>
      </c>
      <c r="D948" s="558" t="s">
        <v>817</v>
      </c>
      <c r="E948" s="556" t="s">
        <v>71</v>
      </c>
    </row>
    <row r="949" spans="2:5" ht="16.5">
      <c r="B949" s="410">
        <v>11008273</v>
      </c>
      <c r="C949" s="562" t="s">
        <v>816</v>
      </c>
      <c r="D949" s="558" t="s">
        <v>818</v>
      </c>
      <c r="E949" s="556" t="s">
        <v>71</v>
      </c>
    </row>
    <row r="950" spans="2:5" ht="16.5">
      <c r="B950" s="410">
        <v>11008273</v>
      </c>
      <c r="C950" s="562" t="s">
        <v>816</v>
      </c>
      <c r="D950" s="558" t="s">
        <v>819</v>
      </c>
      <c r="E950" s="556" t="s">
        <v>71</v>
      </c>
    </row>
    <row r="951" spans="2:5" ht="16.5">
      <c r="B951" s="410">
        <v>11008273</v>
      </c>
      <c r="C951" s="562" t="s">
        <v>816</v>
      </c>
      <c r="D951" s="558" t="s">
        <v>820</v>
      </c>
      <c r="E951" s="556" t="s">
        <v>71</v>
      </c>
    </row>
    <row r="952" spans="2:5" ht="16.5">
      <c r="B952" s="410">
        <v>11008273</v>
      </c>
      <c r="C952" s="562" t="s">
        <v>816</v>
      </c>
      <c r="D952" s="558" t="s">
        <v>821</v>
      </c>
      <c r="E952" s="556" t="s">
        <v>71</v>
      </c>
    </row>
    <row r="953" spans="2:5" ht="16.5">
      <c r="B953" s="410">
        <v>11008273</v>
      </c>
      <c r="C953" s="562" t="s">
        <v>816</v>
      </c>
      <c r="D953" s="558" t="s">
        <v>822</v>
      </c>
      <c r="E953" s="556" t="s">
        <v>71</v>
      </c>
    </row>
    <row r="954" spans="2:5" ht="16.5">
      <c r="B954" s="410">
        <v>11008273</v>
      </c>
      <c r="C954" s="562" t="s">
        <v>816</v>
      </c>
      <c r="D954" s="558" t="s">
        <v>823</v>
      </c>
      <c r="E954" s="556" t="s">
        <v>71</v>
      </c>
    </row>
    <row r="955" spans="2:5" ht="16.5">
      <c r="B955" s="410">
        <v>11008273</v>
      </c>
      <c r="C955" s="562" t="s">
        <v>816</v>
      </c>
      <c r="D955" s="558" t="s">
        <v>824</v>
      </c>
      <c r="E955" s="556" t="s">
        <v>71</v>
      </c>
    </row>
    <row r="956" spans="2:5" ht="16.5">
      <c r="B956" s="410">
        <v>11008273</v>
      </c>
      <c r="C956" s="562" t="s">
        <v>816</v>
      </c>
      <c r="D956" s="558" t="s">
        <v>825</v>
      </c>
      <c r="E956" s="556" t="s">
        <v>71</v>
      </c>
    </row>
    <row r="957" spans="2:5" ht="16.5">
      <c r="B957" s="410">
        <v>11008273</v>
      </c>
      <c r="C957" s="562" t="s">
        <v>816</v>
      </c>
      <c r="D957" s="558" t="s">
        <v>826</v>
      </c>
      <c r="E957" s="556" t="s">
        <v>71</v>
      </c>
    </row>
    <row r="958" spans="2:5" ht="16.5">
      <c r="B958" s="410">
        <v>11008273</v>
      </c>
      <c r="C958" s="562" t="s">
        <v>816</v>
      </c>
      <c r="D958" s="558" t="s">
        <v>827</v>
      </c>
      <c r="E958" s="556" t="s">
        <v>71</v>
      </c>
    </row>
    <row r="959" spans="2:5" ht="16.5">
      <c r="B959" s="410">
        <v>11008273</v>
      </c>
      <c r="C959" s="562" t="s">
        <v>816</v>
      </c>
      <c r="D959" s="558" t="s">
        <v>828</v>
      </c>
      <c r="E959" s="556" t="s">
        <v>71</v>
      </c>
    </row>
    <row r="960" spans="2:5" ht="16.5">
      <c r="B960" s="410">
        <v>11008273</v>
      </c>
      <c r="C960" s="562" t="s">
        <v>816</v>
      </c>
      <c r="D960" s="558" t="s">
        <v>829</v>
      </c>
      <c r="E960" s="556" t="s">
        <v>71</v>
      </c>
    </row>
    <row r="961" spans="2:5" ht="16.5">
      <c r="B961" s="410">
        <v>11008273</v>
      </c>
      <c r="C961" s="562" t="s">
        <v>816</v>
      </c>
      <c r="D961" s="558" t="s">
        <v>830</v>
      </c>
      <c r="E961" s="556" t="s">
        <v>71</v>
      </c>
    </row>
    <row r="962" spans="2:5" ht="16.5">
      <c r="B962" s="410">
        <v>11008273</v>
      </c>
      <c r="C962" s="562" t="s">
        <v>816</v>
      </c>
      <c r="D962" s="558" t="s">
        <v>831</v>
      </c>
      <c r="E962" s="556" t="s">
        <v>71</v>
      </c>
    </row>
    <row r="963" spans="2:5" ht="16.5">
      <c r="B963" s="410">
        <v>11008273</v>
      </c>
      <c r="C963" s="562" t="s">
        <v>816</v>
      </c>
      <c r="D963" s="558" t="s">
        <v>832</v>
      </c>
      <c r="E963" s="556" t="s">
        <v>71</v>
      </c>
    </row>
    <row r="964" spans="2:5" ht="16.5">
      <c r="B964" s="410">
        <v>11008273</v>
      </c>
      <c r="C964" s="562" t="s">
        <v>816</v>
      </c>
      <c r="D964" s="558" t="s">
        <v>833</v>
      </c>
      <c r="E964" s="556" t="s">
        <v>71</v>
      </c>
    </row>
    <row r="965" spans="2:5" ht="16.5">
      <c r="B965" s="410">
        <v>11008273</v>
      </c>
      <c r="C965" s="562" t="s">
        <v>816</v>
      </c>
      <c r="D965" s="558" t="s">
        <v>834</v>
      </c>
      <c r="E965" s="556" t="s">
        <v>71</v>
      </c>
    </row>
    <row r="966" spans="2:5" ht="16.5">
      <c r="B966" s="410">
        <v>11008273</v>
      </c>
      <c r="C966" s="562" t="s">
        <v>816</v>
      </c>
      <c r="D966" s="558" t="s">
        <v>835</v>
      </c>
      <c r="E966" s="556" t="s">
        <v>71</v>
      </c>
    </row>
    <row r="967" spans="2:5" ht="16.5">
      <c r="B967" s="410">
        <v>11008273</v>
      </c>
      <c r="C967" s="562" t="s">
        <v>816</v>
      </c>
      <c r="D967" s="558" t="s">
        <v>836</v>
      </c>
      <c r="E967" s="556" t="s">
        <v>71</v>
      </c>
    </row>
    <row r="968" spans="2:5" ht="16.5">
      <c r="B968" s="410">
        <v>11008273</v>
      </c>
      <c r="C968" s="562" t="s">
        <v>816</v>
      </c>
      <c r="D968" s="558" t="s">
        <v>837</v>
      </c>
      <c r="E968" s="556" t="s">
        <v>71</v>
      </c>
    </row>
    <row r="969" spans="2:5" ht="16.5">
      <c r="B969" s="410">
        <v>11008273</v>
      </c>
      <c r="C969" s="562" t="s">
        <v>816</v>
      </c>
      <c r="D969" s="558" t="s">
        <v>838</v>
      </c>
      <c r="E969" s="556" t="s">
        <v>71</v>
      </c>
    </row>
    <row r="970" spans="2:5" ht="16.5">
      <c r="B970" s="410">
        <v>11008273</v>
      </c>
      <c r="C970" s="562" t="s">
        <v>816</v>
      </c>
      <c r="D970" s="558" t="s">
        <v>839</v>
      </c>
      <c r="E970" s="556" t="s">
        <v>71</v>
      </c>
    </row>
    <row r="971" spans="2:5" ht="16.5">
      <c r="B971" s="410">
        <v>11000196</v>
      </c>
      <c r="C971" s="562" t="s">
        <v>816</v>
      </c>
      <c r="D971" s="558" t="s">
        <v>840</v>
      </c>
      <c r="E971" s="556" t="s">
        <v>71</v>
      </c>
    </row>
    <row r="972" spans="2:5" ht="16.5">
      <c r="B972" s="410">
        <v>11000196</v>
      </c>
      <c r="C972" s="562" t="s">
        <v>816</v>
      </c>
      <c r="D972" s="558" t="s">
        <v>841</v>
      </c>
      <c r="E972" s="556" t="s">
        <v>71</v>
      </c>
    </row>
    <row r="973" spans="2:5" ht="16.5">
      <c r="B973" s="410">
        <v>11000196</v>
      </c>
      <c r="C973" s="562" t="s">
        <v>816</v>
      </c>
      <c r="D973" s="558" t="s">
        <v>842</v>
      </c>
      <c r="E973" s="556" t="s">
        <v>71</v>
      </c>
    </row>
    <row r="974" spans="2:5" ht="16.5">
      <c r="B974" s="410">
        <v>11000196</v>
      </c>
      <c r="C974" s="562" t="s">
        <v>816</v>
      </c>
      <c r="D974" s="558" t="s">
        <v>843</v>
      </c>
      <c r="E974" s="556" t="s">
        <v>71</v>
      </c>
    </row>
    <row r="975" spans="2:5" ht="16.5">
      <c r="B975" s="410">
        <v>11000196</v>
      </c>
      <c r="C975" s="562" t="s">
        <v>816</v>
      </c>
      <c r="D975" s="558" t="s">
        <v>844</v>
      </c>
      <c r="E975" s="556" t="s">
        <v>71</v>
      </c>
    </row>
    <row r="976" spans="2:5" ht="16.5">
      <c r="B976" s="410">
        <v>11000196</v>
      </c>
      <c r="C976" s="562" t="s">
        <v>816</v>
      </c>
      <c r="D976" s="558" t="s">
        <v>845</v>
      </c>
      <c r="E976" s="556" t="s">
        <v>71</v>
      </c>
    </row>
    <row r="977" spans="2:5" ht="16.5">
      <c r="B977" s="410">
        <v>11000196</v>
      </c>
      <c r="C977" s="562" t="s">
        <v>816</v>
      </c>
      <c r="D977" s="558" t="s">
        <v>846</v>
      </c>
      <c r="E977" s="556" t="s">
        <v>71</v>
      </c>
    </row>
    <row r="978" spans="2:5" ht="16.5">
      <c r="B978" s="410">
        <v>11000196</v>
      </c>
      <c r="C978" s="562" t="s">
        <v>816</v>
      </c>
      <c r="D978" s="558" t="s">
        <v>847</v>
      </c>
      <c r="E978" s="556" t="s">
        <v>71</v>
      </c>
    </row>
    <row r="979" spans="2:5" ht="16.5">
      <c r="B979" s="410">
        <v>11000196</v>
      </c>
      <c r="C979" s="562" t="s">
        <v>816</v>
      </c>
      <c r="D979" s="558" t="s">
        <v>848</v>
      </c>
      <c r="E979" s="556" t="s">
        <v>71</v>
      </c>
    </row>
    <row r="980" spans="2:5" ht="16.5">
      <c r="B980" s="410">
        <v>11000196</v>
      </c>
      <c r="C980" s="562" t="s">
        <v>816</v>
      </c>
      <c r="D980" s="558" t="s">
        <v>849</v>
      </c>
      <c r="E980" s="556" t="s">
        <v>71</v>
      </c>
    </row>
    <row r="981" spans="2:5" ht="16.5">
      <c r="B981" s="410">
        <v>11000196</v>
      </c>
      <c r="C981" s="562" t="s">
        <v>816</v>
      </c>
      <c r="D981" s="558" t="s">
        <v>850</v>
      </c>
      <c r="E981" s="556" t="s">
        <v>71</v>
      </c>
    </row>
    <row r="982" spans="2:5" ht="16.5">
      <c r="B982" s="410">
        <v>11000196</v>
      </c>
      <c r="C982" s="562" t="s">
        <v>816</v>
      </c>
      <c r="D982" s="558" t="s">
        <v>851</v>
      </c>
      <c r="E982" s="556" t="s">
        <v>71</v>
      </c>
    </row>
    <row r="983" spans="2:5" ht="16.5">
      <c r="B983" s="410">
        <v>11000196</v>
      </c>
      <c r="C983" s="562" t="s">
        <v>816</v>
      </c>
      <c r="D983" s="558" t="s">
        <v>852</v>
      </c>
      <c r="E983" s="556" t="s">
        <v>71</v>
      </c>
    </row>
    <row r="984" spans="2:5" ht="16.5">
      <c r="B984" s="410">
        <v>11000196</v>
      </c>
      <c r="C984" s="562" t="s">
        <v>816</v>
      </c>
      <c r="D984" s="558" t="s">
        <v>853</v>
      </c>
      <c r="E984" s="556" t="s">
        <v>71</v>
      </c>
    </row>
    <row r="985" spans="2:5" ht="16.5">
      <c r="B985" s="410">
        <v>11000196</v>
      </c>
      <c r="C985" s="562" t="s">
        <v>816</v>
      </c>
      <c r="D985" s="558" t="s">
        <v>854</v>
      </c>
      <c r="E985" s="556" t="s">
        <v>71</v>
      </c>
    </row>
    <row r="986" spans="2:5" ht="16.5">
      <c r="B986" s="410">
        <v>11000196</v>
      </c>
      <c r="C986" s="562" t="s">
        <v>816</v>
      </c>
      <c r="D986" s="558" t="s">
        <v>855</v>
      </c>
      <c r="E986" s="556" t="s">
        <v>71</v>
      </c>
    </row>
    <row r="987" spans="2:5" ht="16.5">
      <c r="B987" s="410">
        <v>11000196</v>
      </c>
      <c r="C987" s="562" t="s">
        <v>816</v>
      </c>
      <c r="D987" s="558" t="s">
        <v>856</v>
      </c>
      <c r="E987" s="556" t="s">
        <v>71</v>
      </c>
    </row>
    <row r="988" spans="2:5" ht="16.5">
      <c r="B988" s="410">
        <v>11000196</v>
      </c>
      <c r="C988" s="562" t="s">
        <v>816</v>
      </c>
      <c r="D988" s="558" t="s">
        <v>857</v>
      </c>
      <c r="E988" s="556" t="s">
        <v>71</v>
      </c>
    </row>
    <row r="989" spans="2:5" ht="16.5">
      <c r="B989" s="410">
        <v>11000196</v>
      </c>
      <c r="C989" s="562" t="s">
        <v>816</v>
      </c>
      <c r="D989" s="558" t="s">
        <v>858</v>
      </c>
      <c r="E989" s="556" t="s">
        <v>71</v>
      </c>
    </row>
    <row r="990" spans="2:5" ht="16.5">
      <c r="B990" s="410">
        <v>11000196</v>
      </c>
      <c r="C990" s="562" t="s">
        <v>816</v>
      </c>
      <c r="D990" s="558" t="s">
        <v>859</v>
      </c>
      <c r="E990" s="556" t="s">
        <v>71</v>
      </c>
    </row>
    <row r="991" spans="2:5" ht="16.5">
      <c r="B991" s="410">
        <v>11000196</v>
      </c>
      <c r="C991" s="562" t="s">
        <v>816</v>
      </c>
      <c r="D991" s="558" t="s">
        <v>860</v>
      </c>
      <c r="E991" s="556" t="s">
        <v>71</v>
      </c>
    </row>
    <row r="992" spans="2:5" ht="16.5">
      <c r="B992" s="410">
        <v>11000196</v>
      </c>
      <c r="C992" s="562" t="s">
        <v>816</v>
      </c>
      <c r="D992" s="558" t="s">
        <v>861</v>
      </c>
      <c r="E992" s="556" t="s">
        <v>71</v>
      </c>
    </row>
    <row r="993" spans="2:5" ht="16.5">
      <c r="B993" s="410">
        <v>11000197</v>
      </c>
      <c r="C993" s="562" t="s">
        <v>816</v>
      </c>
      <c r="D993" s="558" t="s">
        <v>840</v>
      </c>
      <c r="E993" s="556" t="s">
        <v>71</v>
      </c>
    </row>
    <row r="994" spans="2:5" ht="16.5">
      <c r="B994" s="410">
        <v>11000197</v>
      </c>
      <c r="C994" s="562" t="s">
        <v>816</v>
      </c>
      <c r="D994" s="558" t="s">
        <v>841</v>
      </c>
      <c r="E994" s="556" t="s">
        <v>71</v>
      </c>
    </row>
    <row r="995" spans="2:5" ht="16.5">
      <c r="B995" s="410">
        <v>11000197</v>
      </c>
      <c r="C995" s="562" t="s">
        <v>816</v>
      </c>
      <c r="D995" s="558" t="s">
        <v>842</v>
      </c>
      <c r="E995" s="556" t="s">
        <v>71</v>
      </c>
    </row>
    <row r="996" spans="2:5" ht="16.5">
      <c r="B996" s="410">
        <v>11000197</v>
      </c>
      <c r="C996" s="562" t="s">
        <v>816</v>
      </c>
      <c r="D996" s="558" t="s">
        <v>843</v>
      </c>
      <c r="E996" s="556" t="s">
        <v>71</v>
      </c>
    </row>
    <row r="997" spans="2:5" ht="16.5">
      <c r="B997" s="410">
        <v>11000197</v>
      </c>
      <c r="C997" s="562" t="s">
        <v>816</v>
      </c>
      <c r="D997" s="558" t="s">
        <v>844</v>
      </c>
      <c r="E997" s="556" t="s">
        <v>71</v>
      </c>
    </row>
    <row r="998" spans="2:5" ht="16.5">
      <c r="B998" s="410">
        <v>11000197</v>
      </c>
      <c r="C998" s="562" t="s">
        <v>816</v>
      </c>
      <c r="D998" s="558" t="s">
        <v>845</v>
      </c>
      <c r="E998" s="556" t="s">
        <v>71</v>
      </c>
    </row>
    <row r="999" spans="2:5" ht="16.5">
      <c r="B999" s="410">
        <v>11000197</v>
      </c>
      <c r="C999" s="562" t="s">
        <v>816</v>
      </c>
      <c r="D999" s="558" t="s">
        <v>846</v>
      </c>
      <c r="E999" s="556" t="s">
        <v>71</v>
      </c>
    </row>
    <row r="1000" spans="2:5" ht="16.5">
      <c r="B1000" s="410">
        <v>11000197</v>
      </c>
      <c r="C1000" s="562" t="s">
        <v>816</v>
      </c>
      <c r="D1000" s="558" t="s">
        <v>862</v>
      </c>
      <c r="E1000" s="556" t="s">
        <v>71</v>
      </c>
    </row>
    <row r="1001" spans="2:5" ht="16.5">
      <c r="B1001" s="410">
        <v>11000197</v>
      </c>
      <c r="C1001" s="562" t="s">
        <v>816</v>
      </c>
      <c r="D1001" s="558" t="s">
        <v>863</v>
      </c>
      <c r="E1001" s="556" t="s">
        <v>71</v>
      </c>
    </row>
    <row r="1002" spans="2:5" ht="16.5">
      <c r="B1002" s="410">
        <v>11000197</v>
      </c>
      <c r="C1002" s="562" t="s">
        <v>816</v>
      </c>
      <c r="D1002" s="558" t="s">
        <v>864</v>
      </c>
      <c r="E1002" s="556" t="s">
        <v>71</v>
      </c>
    </row>
    <row r="1003" spans="2:5" ht="16.5">
      <c r="B1003" s="410">
        <v>11000197</v>
      </c>
      <c r="C1003" s="562" t="s">
        <v>816</v>
      </c>
      <c r="D1003" s="558" t="s">
        <v>865</v>
      </c>
      <c r="E1003" s="556" t="s">
        <v>71</v>
      </c>
    </row>
    <row r="1004" spans="2:5" ht="16.5">
      <c r="B1004" s="410">
        <v>11000197</v>
      </c>
      <c r="C1004" s="562" t="s">
        <v>816</v>
      </c>
      <c r="D1004" s="558" t="s">
        <v>866</v>
      </c>
      <c r="E1004" s="556" t="s">
        <v>71</v>
      </c>
    </row>
    <row r="1005" spans="2:5" ht="16.5">
      <c r="B1005" s="410">
        <v>11000197</v>
      </c>
      <c r="C1005" s="562" t="s">
        <v>816</v>
      </c>
      <c r="D1005" s="558" t="s">
        <v>867</v>
      </c>
      <c r="E1005" s="556" t="s">
        <v>71</v>
      </c>
    </row>
    <row r="1006" spans="2:5" ht="16.5">
      <c r="B1006" s="410">
        <v>11000197</v>
      </c>
      <c r="C1006" s="562" t="s">
        <v>816</v>
      </c>
      <c r="D1006" s="558" t="s">
        <v>868</v>
      </c>
      <c r="E1006" s="556" t="s">
        <v>71</v>
      </c>
    </row>
    <row r="1007" spans="2:5" ht="16.5">
      <c r="B1007" s="410">
        <v>11000197</v>
      </c>
      <c r="C1007" s="562" t="s">
        <v>816</v>
      </c>
      <c r="D1007" s="558" t="s">
        <v>869</v>
      </c>
      <c r="E1007" s="556" t="s">
        <v>71</v>
      </c>
    </row>
    <row r="1008" spans="2:5" ht="16.5">
      <c r="B1008" s="410">
        <v>11000197</v>
      </c>
      <c r="C1008" s="562" t="s">
        <v>816</v>
      </c>
      <c r="D1008" s="558" t="s">
        <v>870</v>
      </c>
      <c r="E1008" s="556" t="s">
        <v>71</v>
      </c>
    </row>
    <row r="1009" spans="2:5" ht="16.5">
      <c r="B1009" s="410">
        <v>11000197</v>
      </c>
      <c r="C1009" s="562" t="s">
        <v>816</v>
      </c>
      <c r="D1009" s="558" t="s">
        <v>871</v>
      </c>
      <c r="E1009" s="556" t="s">
        <v>71</v>
      </c>
    </row>
    <row r="1010" spans="2:5" ht="16.5">
      <c r="B1010" s="410">
        <v>11000197</v>
      </c>
      <c r="C1010" s="562" t="s">
        <v>816</v>
      </c>
      <c r="D1010" s="558" t="s">
        <v>872</v>
      </c>
      <c r="E1010" s="556" t="s">
        <v>71</v>
      </c>
    </row>
    <row r="1011" spans="2:5" ht="16.5">
      <c r="B1011" s="410">
        <v>11000197</v>
      </c>
      <c r="C1011" s="562" t="s">
        <v>816</v>
      </c>
      <c r="D1011" s="558" t="s">
        <v>873</v>
      </c>
      <c r="E1011" s="556" t="s">
        <v>71</v>
      </c>
    </row>
    <row r="1012" spans="2:5" ht="16.5">
      <c r="B1012" s="410">
        <v>11000197</v>
      </c>
      <c r="C1012" s="562" t="s">
        <v>816</v>
      </c>
      <c r="D1012" s="558" t="s">
        <v>874</v>
      </c>
      <c r="E1012" s="556" t="s">
        <v>71</v>
      </c>
    </row>
    <row r="1013" spans="2:5" ht="16.5">
      <c r="B1013" s="410">
        <v>11000197</v>
      </c>
      <c r="C1013" s="562" t="s">
        <v>816</v>
      </c>
      <c r="D1013" s="558" t="s">
        <v>875</v>
      </c>
      <c r="E1013" s="556" t="s">
        <v>71</v>
      </c>
    </row>
    <row r="1014" spans="2:5" ht="16.5">
      <c r="B1014" s="410">
        <v>11000197</v>
      </c>
      <c r="C1014" s="562" t="s">
        <v>816</v>
      </c>
      <c r="D1014" s="558" t="s">
        <v>876</v>
      </c>
      <c r="E1014" s="556" t="s">
        <v>71</v>
      </c>
    </row>
    <row r="1015" spans="2:5" ht="16.5">
      <c r="B1015" s="410">
        <v>11000198</v>
      </c>
      <c r="C1015" s="562" t="s">
        <v>816</v>
      </c>
      <c r="D1015" s="558" t="s">
        <v>877</v>
      </c>
      <c r="E1015" s="556" t="s">
        <v>71</v>
      </c>
    </row>
    <row r="1016" spans="2:5" ht="16.5">
      <c r="B1016" s="410">
        <v>11000198</v>
      </c>
      <c r="C1016" s="562" t="s">
        <v>816</v>
      </c>
      <c r="D1016" s="558" t="s">
        <v>878</v>
      </c>
      <c r="E1016" s="556" t="s">
        <v>71</v>
      </c>
    </row>
    <row r="1017" spans="2:5" ht="16.5">
      <c r="B1017" s="410">
        <v>11000198</v>
      </c>
      <c r="C1017" s="562" t="s">
        <v>816</v>
      </c>
      <c r="D1017" s="558" t="s">
        <v>879</v>
      </c>
      <c r="E1017" s="556" t="s">
        <v>71</v>
      </c>
    </row>
    <row r="1018" spans="2:5" ht="16.5">
      <c r="B1018" s="410">
        <v>11000198</v>
      </c>
      <c r="C1018" s="562" t="s">
        <v>816</v>
      </c>
      <c r="D1018" s="558" t="s">
        <v>880</v>
      </c>
      <c r="E1018" s="556" t="s">
        <v>71</v>
      </c>
    </row>
    <row r="1019" spans="2:5" ht="16.5">
      <c r="B1019" s="410">
        <v>11000198</v>
      </c>
      <c r="C1019" s="562" t="s">
        <v>816</v>
      </c>
      <c r="D1019" s="558" t="s">
        <v>881</v>
      </c>
      <c r="E1019" s="556" t="s">
        <v>71</v>
      </c>
    </row>
    <row r="1020" spans="2:5" ht="16.5">
      <c r="B1020" s="410">
        <v>11000198</v>
      </c>
      <c r="C1020" s="562" t="s">
        <v>816</v>
      </c>
      <c r="D1020" s="558" t="s">
        <v>882</v>
      </c>
      <c r="E1020" s="556" t="s">
        <v>71</v>
      </c>
    </row>
    <row r="1021" spans="2:5" ht="16.5">
      <c r="B1021" s="410">
        <v>11000198</v>
      </c>
      <c r="C1021" s="562" t="s">
        <v>816</v>
      </c>
      <c r="D1021" s="558" t="s">
        <v>883</v>
      </c>
      <c r="E1021" s="556" t="s">
        <v>71</v>
      </c>
    </row>
    <row r="1022" spans="2:5" ht="16.5">
      <c r="B1022" s="410">
        <v>11000198</v>
      </c>
      <c r="C1022" s="562" t="s">
        <v>816</v>
      </c>
      <c r="D1022" s="558" t="s">
        <v>862</v>
      </c>
      <c r="E1022" s="556" t="s">
        <v>71</v>
      </c>
    </row>
    <row r="1023" spans="2:5" ht="16.5">
      <c r="B1023" s="410">
        <v>11000198</v>
      </c>
      <c r="C1023" s="562" t="s">
        <v>816</v>
      </c>
      <c r="D1023" s="558" t="s">
        <v>863</v>
      </c>
      <c r="E1023" s="556" t="s">
        <v>71</v>
      </c>
    </row>
    <row r="1024" spans="2:5" ht="16.5">
      <c r="B1024" s="410">
        <v>11000198</v>
      </c>
      <c r="C1024" s="562" t="s">
        <v>816</v>
      </c>
      <c r="D1024" s="558" t="s">
        <v>864</v>
      </c>
      <c r="E1024" s="556" t="s">
        <v>71</v>
      </c>
    </row>
    <row r="1025" spans="2:5" ht="16.5">
      <c r="B1025" s="410">
        <v>11000198</v>
      </c>
      <c r="C1025" s="562" t="s">
        <v>816</v>
      </c>
      <c r="D1025" s="558" t="s">
        <v>865</v>
      </c>
      <c r="E1025" s="556" t="s">
        <v>71</v>
      </c>
    </row>
    <row r="1026" spans="2:5" ht="16.5">
      <c r="B1026" s="410">
        <v>11000198</v>
      </c>
      <c r="C1026" s="562" t="s">
        <v>816</v>
      </c>
      <c r="D1026" s="558" t="s">
        <v>866</v>
      </c>
      <c r="E1026" s="556" t="s">
        <v>71</v>
      </c>
    </row>
    <row r="1027" spans="2:5" ht="16.5">
      <c r="B1027" s="410">
        <v>11000198</v>
      </c>
      <c r="C1027" s="562" t="s">
        <v>816</v>
      </c>
      <c r="D1027" s="558" t="s">
        <v>867</v>
      </c>
      <c r="E1027" s="556" t="s">
        <v>71</v>
      </c>
    </row>
    <row r="1028" spans="2:5" ht="16.5">
      <c r="B1028" s="410">
        <v>11000198</v>
      </c>
      <c r="C1028" s="562" t="s">
        <v>816</v>
      </c>
      <c r="D1028" s="558" t="s">
        <v>868</v>
      </c>
      <c r="E1028" s="556" t="s">
        <v>71</v>
      </c>
    </row>
    <row r="1029" spans="2:5" ht="16.5">
      <c r="B1029" s="410">
        <v>11000198</v>
      </c>
      <c r="C1029" s="562" t="s">
        <v>816</v>
      </c>
      <c r="D1029" s="558" t="s">
        <v>869</v>
      </c>
      <c r="E1029" s="556" t="s">
        <v>71</v>
      </c>
    </row>
    <row r="1030" spans="2:5" ht="16.5">
      <c r="B1030" s="410">
        <v>11000198</v>
      </c>
      <c r="C1030" s="562" t="s">
        <v>816</v>
      </c>
      <c r="D1030" s="558" t="s">
        <v>870</v>
      </c>
      <c r="E1030" s="556" t="s">
        <v>71</v>
      </c>
    </row>
    <row r="1031" spans="2:5" ht="16.5">
      <c r="B1031" s="410">
        <v>11000198</v>
      </c>
      <c r="C1031" s="562" t="s">
        <v>816</v>
      </c>
      <c r="D1031" s="558" t="s">
        <v>871</v>
      </c>
      <c r="E1031" s="556" t="s">
        <v>71</v>
      </c>
    </row>
    <row r="1032" spans="2:5" ht="16.5">
      <c r="B1032" s="410">
        <v>11000198</v>
      </c>
      <c r="C1032" s="562" t="s">
        <v>816</v>
      </c>
      <c r="D1032" s="558" t="s">
        <v>872</v>
      </c>
      <c r="E1032" s="556" t="s">
        <v>71</v>
      </c>
    </row>
    <row r="1033" spans="2:5" ht="16.5">
      <c r="B1033" s="410">
        <v>11000198</v>
      </c>
      <c r="C1033" s="562" t="s">
        <v>816</v>
      </c>
      <c r="D1033" s="558" t="s">
        <v>873</v>
      </c>
      <c r="E1033" s="556" t="s">
        <v>71</v>
      </c>
    </row>
    <row r="1034" spans="2:5" ht="16.5">
      <c r="B1034" s="410">
        <v>11000198</v>
      </c>
      <c r="C1034" s="562" t="s">
        <v>816</v>
      </c>
      <c r="D1034" s="558" t="s">
        <v>874</v>
      </c>
      <c r="E1034" s="556" t="s">
        <v>71</v>
      </c>
    </row>
    <row r="1035" spans="2:5" ht="16.5">
      <c r="B1035" s="410">
        <v>11000198</v>
      </c>
      <c r="C1035" s="562" t="s">
        <v>816</v>
      </c>
      <c r="D1035" s="558" t="s">
        <v>875</v>
      </c>
      <c r="E1035" s="556" t="s">
        <v>71</v>
      </c>
    </row>
    <row r="1036" spans="2:5" ht="16.5">
      <c r="B1036" s="410">
        <v>11000198</v>
      </c>
      <c r="C1036" s="562" t="s">
        <v>816</v>
      </c>
      <c r="D1036" s="558" t="s">
        <v>884</v>
      </c>
      <c r="E1036" s="556" t="s">
        <v>71</v>
      </c>
    </row>
    <row r="1037" spans="2:5" ht="16.5">
      <c r="B1037" s="410">
        <v>11000200</v>
      </c>
      <c r="C1037" s="562" t="s">
        <v>816</v>
      </c>
      <c r="D1037" s="558" t="s">
        <v>877</v>
      </c>
      <c r="E1037" s="556" t="s">
        <v>71</v>
      </c>
    </row>
    <row r="1038" spans="2:5" ht="16.5">
      <c r="B1038" s="410">
        <v>11000200</v>
      </c>
      <c r="C1038" s="562" t="s">
        <v>816</v>
      </c>
      <c r="D1038" s="558" t="s">
        <v>878</v>
      </c>
      <c r="E1038" s="556" t="s">
        <v>71</v>
      </c>
    </row>
    <row r="1039" spans="2:5" ht="16.5">
      <c r="B1039" s="410">
        <v>11000200</v>
      </c>
      <c r="C1039" s="562" t="s">
        <v>816</v>
      </c>
      <c r="D1039" s="558" t="s">
        <v>879</v>
      </c>
      <c r="E1039" s="556" t="s">
        <v>71</v>
      </c>
    </row>
    <row r="1040" spans="2:5" ht="16.5">
      <c r="B1040" s="410">
        <v>11000200</v>
      </c>
      <c r="C1040" s="562" t="s">
        <v>816</v>
      </c>
      <c r="D1040" s="558" t="s">
        <v>880</v>
      </c>
      <c r="E1040" s="556" t="s">
        <v>71</v>
      </c>
    </row>
    <row r="1041" spans="2:5" ht="16.5">
      <c r="B1041" s="410">
        <v>11000200</v>
      </c>
      <c r="C1041" s="562" t="s">
        <v>816</v>
      </c>
      <c r="D1041" s="558" t="s">
        <v>881</v>
      </c>
      <c r="E1041" s="556" t="s">
        <v>71</v>
      </c>
    </row>
    <row r="1042" spans="2:5" ht="16.5">
      <c r="B1042" s="410">
        <v>11000200</v>
      </c>
      <c r="C1042" s="562" t="s">
        <v>816</v>
      </c>
      <c r="D1042" s="558" t="s">
        <v>882</v>
      </c>
      <c r="E1042" s="556" t="s">
        <v>71</v>
      </c>
    </row>
    <row r="1043" spans="2:5" ht="16.5">
      <c r="B1043" s="410">
        <v>11000200</v>
      </c>
      <c r="C1043" s="562" t="s">
        <v>816</v>
      </c>
      <c r="D1043" s="558" t="s">
        <v>883</v>
      </c>
      <c r="E1043" s="556" t="s">
        <v>71</v>
      </c>
    </row>
    <row r="1044" spans="2:5" ht="16.5">
      <c r="B1044" s="410">
        <v>11000200</v>
      </c>
      <c r="C1044" s="562" t="s">
        <v>816</v>
      </c>
      <c r="D1044" s="558" t="s">
        <v>885</v>
      </c>
      <c r="E1044" s="556" t="s">
        <v>71</v>
      </c>
    </row>
    <row r="1045" spans="2:5" ht="16.5">
      <c r="B1045" s="410">
        <v>11000200</v>
      </c>
      <c r="C1045" s="562" t="s">
        <v>816</v>
      </c>
      <c r="D1045" s="558" t="s">
        <v>886</v>
      </c>
      <c r="E1045" s="556" t="s">
        <v>71</v>
      </c>
    </row>
    <row r="1046" spans="2:5" ht="16.5">
      <c r="B1046" s="410">
        <v>11000200</v>
      </c>
      <c r="C1046" s="562" t="s">
        <v>816</v>
      </c>
      <c r="D1046" s="558" t="s">
        <v>887</v>
      </c>
      <c r="E1046" s="556" t="s">
        <v>71</v>
      </c>
    </row>
    <row r="1047" spans="2:5" ht="16.5">
      <c r="B1047" s="410">
        <v>11000200</v>
      </c>
      <c r="C1047" s="562" t="s">
        <v>816</v>
      </c>
      <c r="D1047" s="558" t="s">
        <v>888</v>
      </c>
      <c r="E1047" s="556" t="s">
        <v>71</v>
      </c>
    </row>
    <row r="1048" spans="2:5" ht="16.5">
      <c r="B1048" s="410">
        <v>11000200</v>
      </c>
      <c r="C1048" s="562" t="s">
        <v>816</v>
      </c>
      <c r="D1048" s="558" t="s">
        <v>889</v>
      </c>
      <c r="E1048" s="556" t="s">
        <v>71</v>
      </c>
    </row>
    <row r="1049" spans="2:5" ht="16.5">
      <c r="B1049" s="410">
        <v>11000200</v>
      </c>
      <c r="C1049" s="562" t="s">
        <v>816</v>
      </c>
      <c r="D1049" s="558" t="s">
        <v>890</v>
      </c>
      <c r="E1049" s="556" t="s">
        <v>71</v>
      </c>
    </row>
    <row r="1050" spans="2:5" ht="16.5">
      <c r="B1050" s="410">
        <v>11000200</v>
      </c>
      <c r="C1050" s="562" t="s">
        <v>816</v>
      </c>
      <c r="D1050" s="558" t="s">
        <v>891</v>
      </c>
      <c r="E1050" s="556" t="s">
        <v>71</v>
      </c>
    </row>
    <row r="1051" spans="2:5" ht="16.5">
      <c r="B1051" s="410">
        <v>11000200</v>
      </c>
      <c r="C1051" s="562" t="s">
        <v>816</v>
      </c>
      <c r="D1051" s="558" t="s">
        <v>892</v>
      </c>
      <c r="E1051" s="556" t="s">
        <v>71</v>
      </c>
    </row>
    <row r="1052" spans="2:5" ht="16.5">
      <c r="B1052" s="410">
        <v>11000200</v>
      </c>
      <c r="C1052" s="562" t="s">
        <v>816</v>
      </c>
      <c r="D1052" s="558" t="s">
        <v>893</v>
      </c>
      <c r="E1052" s="556" t="s">
        <v>71</v>
      </c>
    </row>
    <row r="1053" spans="2:5" ht="16.5">
      <c r="B1053" s="410">
        <v>11000200</v>
      </c>
      <c r="C1053" s="562" t="s">
        <v>816</v>
      </c>
      <c r="D1053" s="558" t="s">
        <v>894</v>
      </c>
      <c r="E1053" s="556" t="s">
        <v>71</v>
      </c>
    </row>
    <row r="1054" spans="2:5" ht="16.5">
      <c r="B1054" s="410">
        <v>11000200</v>
      </c>
      <c r="C1054" s="562" t="s">
        <v>816</v>
      </c>
      <c r="D1054" s="558" t="s">
        <v>895</v>
      </c>
      <c r="E1054" s="556" t="s">
        <v>71</v>
      </c>
    </row>
    <row r="1055" spans="2:5" ht="16.5">
      <c r="B1055" s="410">
        <v>11000200</v>
      </c>
      <c r="C1055" s="562" t="s">
        <v>816</v>
      </c>
      <c r="D1055" s="558" t="s">
        <v>896</v>
      </c>
      <c r="E1055" s="556" t="s">
        <v>71</v>
      </c>
    </row>
    <row r="1056" spans="2:5" ht="16.5">
      <c r="B1056" s="410">
        <v>11000200</v>
      </c>
      <c r="C1056" s="562" t="s">
        <v>816</v>
      </c>
      <c r="D1056" s="558" t="s">
        <v>897</v>
      </c>
      <c r="E1056" s="556" t="s">
        <v>71</v>
      </c>
    </row>
    <row r="1057" spans="2:5" ht="16.5">
      <c r="B1057" s="410">
        <v>11000200</v>
      </c>
      <c r="C1057" s="562" t="s">
        <v>816</v>
      </c>
      <c r="D1057" s="558" t="s">
        <v>898</v>
      </c>
      <c r="E1057" s="556" t="s">
        <v>71</v>
      </c>
    </row>
    <row r="1058" spans="2:5" ht="16.5">
      <c r="B1058" s="410">
        <v>11000200</v>
      </c>
      <c r="C1058" s="562" t="s">
        <v>816</v>
      </c>
      <c r="D1058" s="558" t="s">
        <v>899</v>
      </c>
      <c r="E1058" s="556" t="s">
        <v>71</v>
      </c>
    </row>
    <row r="1059" spans="2:5" ht="16.5">
      <c r="B1059" s="410">
        <v>11000201</v>
      </c>
      <c r="C1059" s="562" t="s">
        <v>816</v>
      </c>
      <c r="D1059" s="558" t="s">
        <v>900</v>
      </c>
      <c r="E1059" s="556" t="s">
        <v>71</v>
      </c>
    </row>
    <row r="1060" spans="2:5" ht="16.5">
      <c r="B1060" s="410">
        <v>11000201</v>
      </c>
      <c r="C1060" s="562" t="s">
        <v>816</v>
      </c>
      <c r="D1060" s="558" t="s">
        <v>901</v>
      </c>
      <c r="E1060" s="556" t="s">
        <v>71</v>
      </c>
    </row>
    <row r="1061" spans="2:5" ht="16.5">
      <c r="B1061" s="410">
        <v>11000201</v>
      </c>
      <c r="C1061" s="562" t="s">
        <v>816</v>
      </c>
      <c r="D1061" s="558" t="s">
        <v>902</v>
      </c>
      <c r="E1061" s="556" t="s">
        <v>71</v>
      </c>
    </row>
    <row r="1062" spans="2:5" ht="16.5">
      <c r="B1062" s="410">
        <v>11000201</v>
      </c>
      <c r="C1062" s="562" t="s">
        <v>816</v>
      </c>
      <c r="D1062" s="558" t="s">
        <v>903</v>
      </c>
      <c r="E1062" s="556" t="s">
        <v>71</v>
      </c>
    </row>
    <row r="1063" spans="2:5" ht="16.5">
      <c r="B1063" s="410">
        <v>11000201</v>
      </c>
      <c r="C1063" s="562" t="s">
        <v>816</v>
      </c>
      <c r="D1063" s="558" t="s">
        <v>904</v>
      </c>
      <c r="E1063" s="556" t="s">
        <v>71</v>
      </c>
    </row>
    <row r="1064" spans="2:5" ht="16.5">
      <c r="B1064" s="410">
        <v>11000201</v>
      </c>
      <c r="C1064" s="562" t="s">
        <v>816</v>
      </c>
      <c r="D1064" s="558" t="s">
        <v>905</v>
      </c>
      <c r="E1064" s="556" t="s">
        <v>71</v>
      </c>
    </row>
    <row r="1065" spans="2:5" ht="16.5">
      <c r="B1065" s="410">
        <v>11000201</v>
      </c>
      <c r="C1065" s="562" t="s">
        <v>816</v>
      </c>
      <c r="D1065" s="558" t="s">
        <v>906</v>
      </c>
      <c r="E1065" s="556" t="s">
        <v>71</v>
      </c>
    </row>
    <row r="1066" spans="2:5" ht="16.5">
      <c r="B1066" s="410">
        <v>11000201</v>
      </c>
      <c r="C1066" s="562" t="s">
        <v>816</v>
      </c>
      <c r="D1066" s="558" t="s">
        <v>885</v>
      </c>
      <c r="E1066" s="556" t="s">
        <v>71</v>
      </c>
    </row>
    <row r="1067" spans="2:5" ht="16.5">
      <c r="B1067" s="410">
        <v>11000201</v>
      </c>
      <c r="C1067" s="562" t="s">
        <v>816</v>
      </c>
      <c r="D1067" s="558" t="s">
        <v>886</v>
      </c>
      <c r="E1067" s="556" t="s">
        <v>71</v>
      </c>
    </row>
    <row r="1068" spans="2:5" ht="16.5">
      <c r="B1068" s="410">
        <v>11000201</v>
      </c>
      <c r="C1068" s="562" t="s">
        <v>816</v>
      </c>
      <c r="D1068" s="558" t="s">
        <v>887</v>
      </c>
      <c r="E1068" s="556" t="s">
        <v>71</v>
      </c>
    </row>
    <row r="1069" spans="2:5" ht="16.5">
      <c r="B1069" s="410">
        <v>11000201</v>
      </c>
      <c r="C1069" s="562" t="s">
        <v>816</v>
      </c>
      <c r="D1069" s="558" t="s">
        <v>888</v>
      </c>
      <c r="E1069" s="556" t="s">
        <v>71</v>
      </c>
    </row>
    <row r="1070" spans="2:5" ht="16.5">
      <c r="B1070" s="410">
        <v>11000201</v>
      </c>
      <c r="C1070" s="562" t="s">
        <v>816</v>
      </c>
      <c r="D1070" s="558" t="s">
        <v>889</v>
      </c>
      <c r="E1070" s="556" t="s">
        <v>71</v>
      </c>
    </row>
    <row r="1071" spans="2:5" ht="16.5">
      <c r="B1071" s="410">
        <v>11000201</v>
      </c>
      <c r="C1071" s="562" t="s">
        <v>816</v>
      </c>
      <c r="D1071" s="558" t="s">
        <v>890</v>
      </c>
      <c r="E1071" s="556" t="s">
        <v>71</v>
      </c>
    </row>
    <row r="1072" spans="2:5" ht="16.5">
      <c r="B1072" s="410">
        <v>11000201</v>
      </c>
      <c r="C1072" s="562" t="s">
        <v>816</v>
      </c>
      <c r="D1072" s="558" t="s">
        <v>891</v>
      </c>
      <c r="E1072" s="556" t="s">
        <v>71</v>
      </c>
    </row>
    <row r="1073" spans="2:5" ht="16.5">
      <c r="B1073" s="410">
        <v>11000201</v>
      </c>
      <c r="C1073" s="562" t="s">
        <v>816</v>
      </c>
      <c r="D1073" s="558" t="s">
        <v>892</v>
      </c>
      <c r="E1073" s="556" t="s">
        <v>71</v>
      </c>
    </row>
    <row r="1074" spans="2:5" ht="16.5">
      <c r="B1074" s="410">
        <v>11000201</v>
      </c>
      <c r="C1074" s="562" t="s">
        <v>816</v>
      </c>
      <c r="D1074" s="558" t="s">
        <v>893</v>
      </c>
      <c r="E1074" s="556" t="s">
        <v>71</v>
      </c>
    </row>
    <row r="1075" spans="2:5" ht="16.5">
      <c r="B1075" s="410">
        <v>11000201</v>
      </c>
      <c r="C1075" s="562" t="s">
        <v>816</v>
      </c>
      <c r="D1075" s="558" t="s">
        <v>894</v>
      </c>
      <c r="E1075" s="556" t="s">
        <v>71</v>
      </c>
    </row>
    <row r="1076" spans="2:5" ht="16.5">
      <c r="B1076" s="410">
        <v>11000201</v>
      </c>
      <c r="C1076" s="562" t="s">
        <v>816</v>
      </c>
      <c r="D1076" s="558" t="s">
        <v>895</v>
      </c>
      <c r="E1076" s="556" t="s">
        <v>71</v>
      </c>
    </row>
    <row r="1077" spans="2:5" ht="16.5">
      <c r="B1077" s="410">
        <v>11000201</v>
      </c>
      <c r="C1077" s="562" t="s">
        <v>816</v>
      </c>
      <c r="D1077" s="558" t="s">
        <v>896</v>
      </c>
      <c r="E1077" s="556" t="s">
        <v>71</v>
      </c>
    </row>
    <row r="1078" spans="2:5" ht="16.5">
      <c r="B1078" s="410">
        <v>11000201</v>
      </c>
      <c r="C1078" s="562" t="s">
        <v>816</v>
      </c>
      <c r="D1078" s="558" t="s">
        <v>897</v>
      </c>
      <c r="E1078" s="556" t="s">
        <v>71</v>
      </c>
    </row>
    <row r="1079" spans="2:5" ht="16.5">
      <c r="B1079" s="410">
        <v>11000201</v>
      </c>
      <c r="C1079" s="562" t="s">
        <v>816</v>
      </c>
      <c r="D1079" s="558" t="s">
        <v>898</v>
      </c>
      <c r="E1079" s="556" t="s">
        <v>71</v>
      </c>
    </row>
    <row r="1080" spans="2:5" ht="16.5">
      <c r="B1080" s="410">
        <v>11000201</v>
      </c>
      <c r="C1080" s="562" t="s">
        <v>816</v>
      </c>
      <c r="D1080" s="558" t="s">
        <v>907</v>
      </c>
      <c r="E1080" s="556" t="s">
        <v>71</v>
      </c>
    </row>
    <row r="1081" spans="2:5" ht="16.5">
      <c r="B1081" s="410">
        <v>11000205</v>
      </c>
      <c r="C1081" s="562" t="s">
        <v>816</v>
      </c>
      <c r="D1081" s="558" t="s">
        <v>908</v>
      </c>
      <c r="E1081" s="556" t="s">
        <v>71</v>
      </c>
    </row>
    <row r="1082" spans="2:5" ht="16.5">
      <c r="B1082" s="410">
        <v>11000205</v>
      </c>
      <c r="C1082" s="562" t="s">
        <v>816</v>
      </c>
      <c r="D1082" s="558" t="s">
        <v>909</v>
      </c>
      <c r="E1082" s="556" t="s">
        <v>71</v>
      </c>
    </row>
    <row r="1083" spans="2:5" ht="16.5">
      <c r="B1083" s="410">
        <v>11000205</v>
      </c>
      <c r="C1083" s="562" t="s">
        <v>816</v>
      </c>
      <c r="D1083" s="558" t="s">
        <v>910</v>
      </c>
      <c r="E1083" s="556" t="s">
        <v>71</v>
      </c>
    </row>
    <row r="1084" spans="2:5" ht="16.5">
      <c r="B1084" s="410">
        <v>11000205</v>
      </c>
      <c r="C1084" s="562" t="s">
        <v>816</v>
      </c>
      <c r="D1084" s="558" t="s">
        <v>911</v>
      </c>
      <c r="E1084" s="556" t="s">
        <v>71</v>
      </c>
    </row>
    <row r="1085" spans="2:5" ht="16.5">
      <c r="B1085" s="410">
        <v>11000205</v>
      </c>
      <c r="C1085" s="562" t="s">
        <v>816</v>
      </c>
      <c r="D1085" s="558" t="s">
        <v>912</v>
      </c>
      <c r="E1085" s="556" t="s">
        <v>71</v>
      </c>
    </row>
    <row r="1086" spans="2:5" ht="16.5">
      <c r="B1086" s="410">
        <v>11000205</v>
      </c>
      <c r="C1086" s="562" t="s">
        <v>816</v>
      </c>
      <c r="D1086" s="558" t="s">
        <v>913</v>
      </c>
      <c r="E1086" s="556" t="s">
        <v>71</v>
      </c>
    </row>
    <row r="1087" spans="2:5" ht="16.5">
      <c r="B1087" s="410">
        <v>11000205</v>
      </c>
      <c r="C1087" s="562" t="s">
        <v>816</v>
      </c>
      <c r="D1087" s="558" t="s">
        <v>914</v>
      </c>
      <c r="E1087" s="556" t="s">
        <v>71</v>
      </c>
    </row>
    <row r="1088" spans="2:5" ht="16.5">
      <c r="B1088" s="410">
        <v>11000205</v>
      </c>
      <c r="C1088" s="562" t="s">
        <v>816</v>
      </c>
      <c r="D1088" s="558" t="s">
        <v>847</v>
      </c>
      <c r="E1088" s="556" t="s">
        <v>71</v>
      </c>
    </row>
    <row r="1089" spans="2:5" ht="16.5">
      <c r="B1089" s="410">
        <v>11000205</v>
      </c>
      <c r="C1089" s="562" t="s">
        <v>816</v>
      </c>
      <c r="D1089" s="558" t="s">
        <v>848</v>
      </c>
      <c r="E1089" s="556" t="s">
        <v>71</v>
      </c>
    </row>
    <row r="1090" spans="2:5" ht="16.5">
      <c r="B1090" s="410">
        <v>11000205</v>
      </c>
      <c r="C1090" s="562" t="s">
        <v>816</v>
      </c>
      <c r="D1090" s="558" t="s">
        <v>849</v>
      </c>
      <c r="E1090" s="556" t="s">
        <v>71</v>
      </c>
    </row>
    <row r="1091" spans="2:5" ht="16.5">
      <c r="B1091" s="410">
        <v>11000205</v>
      </c>
      <c r="C1091" s="562" t="s">
        <v>816</v>
      </c>
      <c r="D1091" s="558" t="s">
        <v>850</v>
      </c>
      <c r="E1091" s="556" t="s">
        <v>71</v>
      </c>
    </row>
    <row r="1092" spans="2:5" ht="16.5">
      <c r="B1092" s="410">
        <v>11000205</v>
      </c>
      <c r="C1092" s="562" t="s">
        <v>816</v>
      </c>
      <c r="D1092" s="558" t="s">
        <v>851</v>
      </c>
      <c r="E1092" s="556" t="s">
        <v>71</v>
      </c>
    </row>
    <row r="1093" spans="2:5" ht="16.5">
      <c r="B1093" s="410">
        <v>11000205</v>
      </c>
      <c r="C1093" s="562" t="s">
        <v>816</v>
      </c>
      <c r="D1093" s="558" t="s">
        <v>852</v>
      </c>
      <c r="E1093" s="556" t="s">
        <v>71</v>
      </c>
    </row>
    <row r="1094" spans="2:5" ht="16.5">
      <c r="B1094" s="410">
        <v>11000205</v>
      </c>
      <c r="C1094" s="562" t="s">
        <v>816</v>
      </c>
      <c r="D1094" s="558" t="s">
        <v>853</v>
      </c>
      <c r="E1094" s="556" t="s">
        <v>71</v>
      </c>
    </row>
    <row r="1095" spans="2:5" ht="16.5">
      <c r="B1095" s="410">
        <v>11000205</v>
      </c>
      <c r="C1095" s="562" t="s">
        <v>816</v>
      </c>
      <c r="D1095" s="558" t="s">
        <v>854</v>
      </c>
      <c r="E1095" s="556" t="s">
        <v>71</v>
      </c>
    </row>
    <row r="1096" spans="2:5" ht="16.5">
      <c r="B1096" s="410">
        <v>11000205</v>
      </c>
      <c r="C1096" s="562" t="s">
        <v>816</v>
      </c>
      <c r="D1096" s="558" t="s">
        <v>855</v>
      </c>
      <c r="E1096" s="556" t="s">
        <v>71</v>
      </c>
    </row>
    <row r="1097" spans="2:5" ht="16.5">
      <c r="B1097" s="410">
        <v>11000205</v>
      </c>
      <c r="C1097" s="562" t="s">
        <v>816</v>
      </c>
      <c r="D1097" s="558" t="s">
        <v>856</v>
      </c>
      <c r="E1097" s="556" t="s">
        <v>71</v>
      </c>
    </row>
    <row r="1098" spans="2:5" ht="16.5">
      <c r="B1098" s="410">
        <v>11000205</v>
      </c>
      <c r="C1098" s="562" t="s">
        <v>816</v>
      </c>
      <c r="D1098" s="558" t="s">
        <v>857</v>
      </c>
      <c r="E1098" s="556" t="s">
        <v>71</v>
      </c>
    </row>
    <row r="1099" spans="2:5" ht="16.5">
      <c r="B1099" s="410">
        <v>11000205</v>
      </c>
      <c r="C1099" s="562" t="s">
        <v>816</v>
      </c>
      <c r="D1099" s="558" t="s">
        <v>858</v>
      </c>
      <c r="E1099" s="556" t="s">
        <v>71</v>
      </c>
    </row>
    <row r="1100" spans="2:5" ht="16.5">
      <c r="B1100" s="410">
        <v>11000205</v>
      </c>
      <c r="C1100" s="562" t="s">
        <v>816</v>
      </c>
      <c r="D1100" s="558" t="s">
        <v>859</v>
      </c>
      <c r="E1100" s="556" t="s">
        <v>71</v>
      </c>
    </row>
    <row r="1101" spans="2:5" ht="16.5">
      <c r="B1101" s="410">
        <v>11000205</v>
      </c>
      <c r="C1101" s="562" t="s">
        <v>816</v>
      </c>
      <c r="D1101" s="558" t="s">
        <v>860</v>
      </c>
      <c r="E1101" s="556" t="s">
        <v>71</v>
      </c>
    </row>
    <row r="1102" spans="2:5" ht="16.5">
      <c r="B1102" s="410">
        <v>11000205</v>
      </c>
      <c r="C1102" s="562" t="s">
        <v>816</v>
      </c>
      <c r="D1102" s="558" t="s">
        <v>915</v>
      </c>
      <c r="E1102" s="556" t="s">
        <v>71</v>
      </c>
    </row>
    <row r="1103" spans="2:5" ht="16.5">
      <c r="B1103" s="410">
        <v>11000206</v>
      </c>
      <c r="C1103" s="562" t="s">
        <v>816</v>
      </c>
      <c r="D1103" s="558" t="s">
        <v>840</v>
      </c>
      <c r="E1103" s="556" t="s">
        <v>71</v>
      </c>
    </row>
    <row r="1104" spans="2:5" ht="16.5">
      <c r="B1104" s="410">
        <v>11000206</v>
      </c>
      <c r="C1104" s="562" t="s">
        <v>816</v>
      </c>
      <c r="D1104" s="558" t="s">
        <v>841</v>
      </c>
      <c r="E1104" s="556" t="s">
        <v>71</v>
      </c>
    </row>
    <row r="1105" spans="2:5" ht="16.5">
      <c r="B1105" s="410">
        <v>11000206</v>
      </c>
      <c r="C1105" s="562" t="s">
        <v>816</v>
      </c>
      <c r="D1105" s="558" t="s">
        <v>842</v>
      </c>
      <c r="E1105" s="556" t="s">
        <v>71</v>
      </c>
    </row>
    <row r="1106" spans="2:5" ht="16.5">
      <c r="B1106" s="410">
        <v>11000206</v>
      </c>
      <c r="C1106" s="562" t="s">
        <v>816</v>
      </c>
      <c r="D1106" s="558" t="s">
        <v>843</v>
      </c>
      <c r="E1106" s="556" t="s">
        <v>71</v>
      </c>
    </row>
    <row r="1107" spans="2:5" ht="16.5">
      <c r="B1107" s="410">
        <v>11000206</v>
      </c>
      <c r="C1107" s="562" t="s">
        <v>816</v>
      </c>
      <c r="D1107" s="558" t="s">
        <v>844</v>
      </c>
      <c r="E1107" s="556" t="s">
        <v>71</v>
      </c>
    </row>
    <row r="1108" spans="2:5" ht="16.5">
      <c r="B1108" s="410">
        <v>11000206</v>
      </c>
      <c r="C1108" s="562" t="s">
        <v>816</v>
      </c>
      <c r="D1108" s="558" t="s">
        <v>845</v>
      </c>
      <c r="E1108" s="556" t="s">
        <v>71</v>
      </c>
    </row>
    <row r="1109" spans="2:5" ht="16.5">
      <c r="B1109" s="410">
        <v>11000206</v>
      </c>
      <c r="C1109" s="562" t="s">
        <v>816</v>
      </c>
      <c r="D1109" s="558" t="s">
        <v>846</v>
      </c>
      <c r="E1109" s="556" t="s">
        <v>71</v>
      </c>
    </row>
    <row r="1110" spans="2:5" ht="16.5">
      <c r="B1110" s="410">
        <v>11000206</v>
      </c>
      <c r="C1110" s="562" t="s">
        <v>816</v>
      </c>
      <c r="D1110" s="558" t="s">
        <v>885</v>
      </c>
      <c r="E1110" s="556" t="s">
        <v>71</v>
      </c>
    </row>
    <row r="1111" spans="2:5" ht="16.5">
      <c r="B1111" s="410">
        <v>11000206</v>
      </c>
      <c r="C1111" s="562" t="s">
        <v>816</v>
      </c>
      <c r="D1111" s="558" t="s">
        <v>886</v>
      </c>
      <c r="E1111" s="556" t="s">
        <v>71</v>
      </c>
    </row>
    <row r="1112" spans="2:5" ht="16.5">
      <c r="B1112" s="410">
        <v>11000206</v>
      </c>
      <c r="C1112" s="562" t="s">
        <v>816</v>
      </c>
      <c r="D1112" s="558" t="s">
        <v>887</v>
      </c>
      <c r="E1112" s="556" t="s">
        <v>71</v>
      </c>
    </row>
    <row r="1113" spans="2:5" ht="16.5">
      <c r="B1113" s="410">
        <v>11000206</v>
      </c>
      <c r="C1113" s="562" t="s">
        <v>816</v>
      </c>
      <c r="D1113" s="558" t="s">
        <v>888</v>
      </c>
      <c r="E1113" s="556" t="s">
        <v>71</v>
      </c>
    </row>
    <row r="1114" spans="2:5" ht="16.5">
      <c r="B1114" s="410">
        <v>11000206</v>
      </c>
      <c r="C1114" s="562" t="s">
        <v>816</v>
      </c>
      <c r="D1114" s="558" t="s">
        <v>889</v>
      </c>
      <c r="E1114" s="556" t="s">
        <v>71</v>
      </c>
    </row>
    <row r="1115" spans="2:5" ht="16.5">
      <c r="B1115" s="410">
        <v>11000206</v>
      </c>
      <c r="C1115" s="562" t="s">
        <v>816</v>
      </c>
      <c r="D1115" s="558" t="s">
        <v>890</v>
      </c>
      <c r="E1115" s="556" t="s">
        <v>71</v>
      </c>
    </row>
    <row r="1116" spans="2:5" ht="16.5">
      <c r="B1116" s="410">
        <v>11000206</v>
      </c>
      <c r="C1116" s="562" t="s">
        <v>816</v>
      </c>
      <c r="D1116" s="558" t="s">
        <v>891</v>
      </c>
      <c r="E1116" s="556" t="s">
        <v>71</v>
      </c>
    </row>
    <row r="1117" spans="2:5" ht="16.5">
      <c r="B1117" s="410">
        <v>11000206</v>
      </c>
      <c r="C1117" s="562" t="s">
        <v>816</v>
      </c>
      <c r="D1117" s="558" t="s">
        <v>892</v>
      </c>
      <c r="E1117" s="556" t="s">
        <v>71</v>
      </c>
    </row>
    <row r="1118" spans="2:5" ht="16.5">
      <c r="B1118" s="410">
        <v>11000206</v>
      </c>
      <c r="C1118" s="562" t="s">
        <v>816</v>
      </c>
      <c r="D1118" s="558" t="s">
        <v>893</v>
      </c>
      <c r="E1118" s="556" t="s">
        <v>71</v>
      </c>
    </row>
    <row r="1119" spans="2:5" ht="16.5">
      <c r="B1119" s="410">
        <v>11000206</v>
      </c>
      <c r="C1119" s="562" t="s">
        <v>816</v>
      </c>
      <c r="D1119" s="558" t="s">
        <v>894</v>
      </c>
      <c r="E1119" s="556" t="s">
        <v>71</v>
      </c>
    </row>
    <row r="1120" spans="2:5" ht="16.5">
      <c r="B1120" s="410">
        <v>11000206</v>
      </c>
      <c r="C1120" s="562" t="s">
        <v>816</v>
      </c>
      <c r="D1120" s="558" t="s">
        <v>895</v>
      </c>
      <c r="E1120" s="556" t="s">
        <v>71</v>
      </c>
    </row>
    <row r="1121" spans="2:5" ht="16.5">
      <c r="B1121" s="410">
        <v>11000206</v>
      </c>
      <c r="C1121" s="562" t="s">
        <v>816</v>
      </c>
      <c r="D1121" s="558" t="s">
        <v>896</v>
      </c>
      <c r="E1121" s="556" t="s">
        <v>71</v>
      </c>
    </row>
    <row r="1122" spans="2:5" ht="16.5">
      <c r="B1122" s="410">
        <v>11000206</v>
      </c>
      <c r="C1122" s="562" t="s">
        <v>816</v>
      </c>
      <c r="D1122" s="558" t="s">
        <v>897</v>
      </c>
      <c r="E1122" s="556" t="s">
        <v>71</v>
      </c>
    </row>
    <row r="1123" spans="2:5" ht="16.5">
      <c r="B1123" s="410">
        <v>11000206</v>
      </c>
      <c r="C1123" s="562" t="s">
        <v>816</v>
      </c>
      <c r="D1123" s="558" t="s">
        <v>898</v>
      </c>
      <c r="E1123" s="556" t="s">
        <v>71</v>
      </c>
    </row>
    <row r="1124" spans="2:5" ht="16.5">
      <c r="B1124" s="410">
        <v>11000206</v>
      </c>
      <c r="C1124" s="562" t="s">
        <v>816</v>
      </c>
      <c r="D1124" s="558" t="s">
        <v>916</v>
      </c>
      <c r="E1124" s="556" t="s">
        <v>71</v>
      </c>
    </row>
    <row r="1125" spans="2:5" ht="16.5">
      <c r="B1125" s="410">
        <v>11005964</v>
      </c>
      <c r="C1125" s="562" t="s">
        <v>816</v>
      </c>
      <c r="D1125" s="558" t="s">
        <v>877</v>
      </c>
      <c r="E1125" s="556" t="s">
        <v>71</v>
      </c>
    </row>
    <row r="1126" spans="2:5" ht="16.5">
      <c r="B1126" s="410">
        <v>11005964</v>
      </c>
      <c r="C1126" s="562" t="s">
        <v>816</v>
      </c>
      <c r="D1126" s="558" t="s">
        <v>878</v>
      </c>
      <c r="E1126" s="556" t="s">
        <v>71</v>
      </c>
    </row>
    <row r="1127" spans="2:5" ht="16.5">
      <c r="B1127" s="410">
        <v>11005964</v>
      </c>
      <c r="C1127" s="562" t="s">
        <v>816</v>
      </c>
      <c r="D1127" s="558" t="s">
        <v>879</v>
      </c>
      <c r="E1127" s="556" t="s">
        <v>71</v>
      </c>
    </row>
    <row r="1128" spans="2:5" ht="16.5">
      <c r="B1128" s="410">
        <v>11005964</v>
      </c>
      <c r="C1128" s="562" t="s">
        <v>816</v>
      </c>
      <c r="D1128" s="558" t="s">
        <v>880</v>
      </c>
      <c r="E1128" s="556" t="s">
        <v>71</v>
      </c>
    </row>
    <row r="1129" spans="2:5" ht="16.5">
      <c r="B1129" s="410">
        <v>11005964</v>
      </c>
      <c r="C1129" s="562" t="s">
        <v>816</v>
      </c>
      <c r="D1129" s="558" t="s">
        <v>881</v>
      </c>
      <c r="E1129" s="556" t="s">
        <v>71</v>
      </c>
    </row>
    <row r="1130" spans="2:5" ht="16.5">
      <c r="B1130" s="410">
        <v>11005964</v>
      </c>
      <c r="C1130" s="562" t="s">
        <v>816</v>
      </c>
      <c r="D1130" s="558" t="s">
        <v>882</v>
      </c>
      <c r="E1130" s="556" t="s">
        <v>71</v>
      </c>
    </row>
    <row r="1131" spans="2:5" ht="16.5">
      <c r="B1131" s="410">
        <v>11005964</v>
      </c>
      <c r="C1131" s="562" t="s">
        <v>816</v>
      </c>
      <c r="D1131" s="558" t="s">
        <v>883</v>
      </c>
      <c r="E1131" s="556" t="s">
        <v>71</v>
      </c>
    </row>
    <row r="1132" spans="2:5" ht="16.5">
      <c r="B1132" s="410">
        <v>11005964</v>
      </c>
      <c r="C1132" s="562" t="s">
        <v>816</v>
      </c>
      <c r="D1132" s="558" t="s">
        <v>917</v>
      </c>
      <c r="E1132" s="556" t="s">
        <v>71</v>
      </c>
    </row>
    <row r="1133" spans="2:5" ht="16.5">
      <c r="B1133" s="410">
        <v>11005964</v>
      </c>
      <c r="C1133" s="562" t="s">
        <v>816</v>
      </c>
      <c r="D1133" s="558" t="s">
        <v>918</v>
      </c>
      <c r="E1133" s="556" t="s">
        <v>71</v>
      </c>
    </row>
    <row r="1134" spans="2:5" ht="16.5">
      <c r="B1134" s="410">
        <v>11005964</v>
      </c>
      <c r="C1134" s="562" t="s">
        <v>816</v>
      </c>
      <c r="D1134" s="558" t="s">
        <v>919</v>
      </c>
      <c r="E1134" s="556" t="s">
        <v>71</v>
      </c>
    </row>
    <row r="1135" spans="2:5" ht="16.5">
      <c r="B1135" s="410">
        <v>11005964</v>
      </c>
      <c r="C1135" s="562" t="s">
        <v>816</v>
      </c>
      <c r="D1135" s="558" t="s">
        <v>920</v>
      </c>
      <c r="E1135" s="556" t="s">
        <v>71</v>
      </c>
    </row>
    <row r="1136" spans="2:5" ht="16.5">
      <c r="B1136" s="410">
        <v>11005964</v>
      </c>
      <c r="C1136" s="562" t="s">
        <v>816</v>
      </c>
      <c r="D1136" s="558" t="s">
        <v>921</v>
      </c>
      <c r="E1136" s="556" t="s">
        <v>71</v>
      </c>
    </row>
    <row r="1137" spans="2:5" ht="16.5">
      <c r="B1137" s="410">
        <v>11005964</v>
      </c>
      <c r="C1137" s="562" t="s">
        <v>816</v>
      </c>
      <c r="D1137" s="558" t="s">
        <v>922</v>
      </c>
      <c r="E1137" s="556" t="s">
        <v>71</v>
      </c>
    </row>
    <row r="1138" spans="2:5" ht="16.5">
      <c r="B1138" s="410">
        <v>11005964</v>
      </c>
      <c r="C1138" s="562" t="s">
        <v>816</v>
      </c>
      <c r="D1138" s="558" t="s">
        <v>923</v>
      </c>
      <c r="E1138" s="556" t="s">
        <v>71</v>
      </c>
    </row>
    <row r="1139" spans="2:5" ht="16.5">
      <c r="B1139" s="410">
        <v>11005964</v>
      </c>
      <c r="C1139" s="562" t="s">
        <v>816</v>
      </c>
      <c r="D1139" s="558" t="s">
        <v>924</v>
      </c>
      <c r="E1139" s="556" t="s">
        <v>71</v>
      </c>
    </row>
    <row r="1140" spans="2:5" ht="16.5">
      <c r="B1140" s="410">
        <v>11005964</v>
      </c>
      <c r="C1140" s="562" t="s">
        <v>816</v>
      </c>
      <c r="D1140" s="558" t="s">
        <v>925</v>
      </c>
      <c r="E1140" s="556" t="s">
        <v>71</v>
      </c>
    </row>
    <row r="1141" spans="2:5" ht="16.5">
      <c r="B1141" s="410">
        <v>11005964</v>
      </c>
      <c r="C1141" s="562" t="s">
        <v>816</v>
      </c>
      <c r="D1141" s="558" t="s">
        <v>926</v>
      </c>
      <c r="E1141" s="556" t="s">
        <v>71</v>
      </c>
    </row>
    <row r="1142" spans="2:5" ht="16.5">
      <c r="B1142" s="410">
        <v>11005964</v>
      </c>
      <c r="C1142" s="562" t="s">
        <v>816</v>
      </c>
      <c r="D1142" s="558" t="s">
        <v>927</v>
      </c>
      <c r="E1142" s="556" t="s">
        <v>71</v>
      </c>
    </row>
    <row r="1143" spans="2:5" ht="16.5">
      <c r="B1143" s="410">
        <v>11005964</v>
      </c>
      <c r="C1143" s="562" t="s">
        <v>816</v>
      </c>
      <c r="D1143" s="558" t="s">
        <v>928</v>
      </c>
      <c r="E1143" s="556" t="s">
        <v>71</v>
      </c>
    </row>
    <row r="1144" spans="2:5" ht="16.5">
      <c r="B1144" s="410">
        <v>11005964</v>
      </c>
      <c r="C1144" s="562" t="s">
        <v>816</v>
      </c>
      <c r="D1144" s="558" t="s">
        <v>929</v>
      </c>
      <c r="E1144" s="556" t="s">
        <v>71</v>
      </c>
    </row>
    <row r="1145" spans="2:5" ht="16.5">
      <c r="B1145" s="410">
        <v>11005964</v>
      </c>
      <c r="C1145" s="562" t="s">
        <v>816</v>
      </c>
      <c r="D1145" s="558" t="s">
        <v>930</v>
      </c>
      <c r="E1145" s="556" t="s">
        <v>71</v>
      </c>
    </row>
    <row r="1146" spans="2:5" ht="16.5">
      <c r="B1146" s="410">
        <v>11005964</v>
      </c>
      <c r="C1146" s="562" t="s">
        <v>816</v>
      </c>
      <c r="D1146" s="558" t="s">
        <v>931</v>
      </c>
      <c r="E1146" s="556" t="s">
        <v>71</v>
      </c>
    </row>
    <row r="1147" spans="2:5" ht="16.5">
      <c r="B1147" s="410">
        <v>11002283</v>
      </c>
      <c r="C1147" s="562" t="s">
        <v>932</v>
      </c>
      <c r="D1147" s="558" t="s">
        <v>933</v>
      </c>
      <c r="E1147" s="556" t="s">
        <v>71</v>
      </c>
    </row>
    <row r="1148" spans="2:5" ht="16.5">
      <c r="B1148" s="410">
        <v>11002283</v>
      </c>
      <c r="C1148" s="562" t="s">
        <v>932</v>
      </c>
      <c r="D1148" s="558" t="s">
        <v>934</v>
      </c>
      <c r="E1148" s="556" t="s">
        <v>71</v>
      </c>
    </row>
    <row r="1149" spans="2:5" ht="16.5">
      <c r="B1149" s="410">
        <v>11002283</v>
      </c>
      <c r="C1149" s="562" t="s">
        <v>932</v>
      </c>
      <c r="D1149" s="558" t="s">
        <v>935</v>
      </c>
      <c r="E1149" s="556" t="s">
        <v>71</v>
      </c>
    </row>
    <row r="1150" spans="2:5" ht="16.5">
      <c r="B1150" s="410">
        <v>11002283</v>
      </c>
      <c r="C1150" s="562" t="s">
        <v>932</v>
      </c>
      <c r="D1150" s="558" t="s">
        <v>936</v>
      </c>
      <c r="E1150" s="556" t="s">
        <v>71</v>
      </c>
    </row>
    <row r="1151" spans="2:5" ht="16.5">
      <c r="B1151" s="410">
        <v>11002283</v>
      </c>
      <c r="C1151" s="562" t="s">
        <v>932</v>
      </c>
      <c r="D1151" s="558" t="s">
        <v>937</v>
      </c>
      <c r="E1151" s="556" t="s">
        <v>71</v>
      </c>
    </row>
    <row r="1152" spans="2:5" ht="16.5">
      <c r="B1152" s="410">
        <v>11002283</v>
      </c>
      <c r="C1152" s="562" t="s">
        <v>932</v>
      </c>
      <c r="D1152" s="558" t="s">
        <v>938</v>
      </c>
      <c r="E1152" s="556" t="s">
        <v>71</v>
      </c>
    </row>
    <row r="1153" spans="2:5" ht="16.5">
      <c r="B1153" s="410">
        <v>11002283</v>
      </c>
      <c r="C1153" s="562" t="s">
        <v>932</v>
      </c>
      <c r="D1153" s="558" t="s">
        <v>939</v>
      </c>
      <c r="E1153" s="556" t="s">
        <v>71</v>
      </c>
    </row>
    <row r="1154" spans="2:5" ht="16.5">
      <c r="B1154" s="410">
        <v>11002283</v>
      </c>
      <c r="C1154" s="562" t="s">
        <v>932</v>
      </c>
      <c r="D1154" s="558" t="s">
        <v>940</v>
      </c>
      <c r="E1154" s="556" t="s">
        <v>71</v>
      </c>
    </row>
    <row r="1155" spans="2:5" ht="16.5">
      <c r="B1155" s="410">
        <v>11002283</v>
      </c>
      <c r="C1155" s="562" t="s">
        <v>932</v>
      </c>
      <c r="D1155" s="558" t="s">
        <v>941</v>
      </c>
      <c r="E1155" s="556" t="s">
        <v>71</v>
      </c>
    </row>
    <row r="1156" spans="2:5" ht="16.5">
      <c r="B1156" s="410">
        <v>11002283</v>
      </c>
      <c r="C1156" s="562" t="s">
        <v>932</v>
      </c>
      <c r="D1156" s="558" t="s">
        <v>942</v>
      </c>
      <c r="E1156" s="556" t="s">
        <v>71</v>
      </c>
    </row>
    <row r="1157" spans="2:5" ht="16.5">
      <c r="B1157" s="410">
        <v>11002283</v>
      </c>
      <c r="C1157" s="562" t="s">
        <v>932</v>
      </c>
      <c r="D1157" s="558" t="s">
        <v>943</v>
      </c>
      <c r="E1157" s="556" t="s">
        <v>71</v>
      </c>
    </row>
    <row r="1158" spans="2:5" ht="16.5">
      <c r="B1158" s="410">
        <v>11002283</v>
      </c>
      <c r="C1158" s="562" t="s">
        <v>932</v>
      </c>
      <c r="D1158" s="558" t="s">
        <v>944</v>
      </c>
      <c r="E1158" s="556" t="s">
        <v>71</v>
      </c>
    </row>
    <row r="1159" spans="2:5" ht="16.5">
      <c r="B1159" s="410">
        <v>11002283</v>
      </c>
      <c r="C1159" s="562" t="s">
        <v>932</v>
      </c>
      <c r="D1159" s="558" t="s">
        <v>945</v>
      </c>
      <c r="E1159" s="556" t="s">
        <v>71</v>
      </c>
    </row>
    <row r="1160" spans="2:5" ht="16.5">
      <c r="B1160" s="410">
        <v>11002283</v>
      </c>
      <c r="C1160" s="562" t="s">
        <v>932</v>
      </c>
      <c r="D1160" s="558" t="s">
        <v>946</v>
      </c>
      <c r="E1160" s="556" t="s">
        <v>71</v>
      </c>
    </row>
    <row r="1161" spans="2:5" ht="16.5">
      <c r="B1161" s="410">
        <v>11002283</v>
      </c>
      <c r="C1161" s="562" t="s">
        <v>932</v>
      </c>
      <c r="D1161" s="558" t="s">
        <v>947</v>
      </c>
      <c r="E1161" s="556" t="s">
        <v>71</v>
      </c>
    </row>
    <row r="1162" spans="2:5" ht="16.5">
      <c r="B1162" s="410">
        <v>11002283</v>
      </c>
      <c r="C1162" s="562" t="s">
        <v>932</v>
      </c>
      <c r="D1162" s="558" t="s">
        <v>948</v>
      </c>
      <c r="E1162" s="556" t="s">
        <v>71</v>
      </c>
    </row>
    <row r="1163" spans="2:5" ht="16.5">
      <c r="B1163" s="410">
        <v>11002283</v>
      </c>
      <c r="C1163" s="562" t="s">
        <v>932</v>
      </c>
      <c r="D1163" s="558" t="s">
        <v>949</v>
      </c>
      <c r="E1163" s="556" t="s">
        <v>71</v>
      </c>
    </row>
    <row r="1164" spans="2:5" ht="16.5">
      <c r="B1164" s="410">
        <v>11002283</v>
      </c>
      <c r="C1164" s="562" t="s">
        <v>932</v>
      </c>
      <c r="D1164" s="558" t="s">
        <v>950</v>
      </c>
      <c r="E1164" s="556" t="s">
        <v>71</v>
      </c>
    </row>
    <row r="1165" spans="2:5" ht="16.5">
      <c r="B1165" s="410">
        <v>11002283</v>
      </c>
      <c r="C1165" s="562" t="s">
        <v>932</v>
      </c>
      <c r="D1165" s="558" t="s">
        <v>951</v>
      </c>
      <c r="E1165" s="556" t="s">
        <v>71</v>
      </c>
    </row>
    <row r="1166" spans="2:5" ht="16.5">
      <c r="B1166" s="410">
        <v>11002119</v>
      </c>
      <c r="C1166" s="562" t="s">
        <v>932</v>
      </c>
      <c r="D1166" s="558" t="s">
        <v>933</v>
      </c>
      <c r="E1166" s="556" t="s">
        <v>71</v>
      </c>
    </row>
    <row r="1167" spans="2:5" ht="16.5">
      <c r="B1167" s="410">
        <v>11002119</v>
      </c>
      <c r="C1167" s="562" t="s">
        <v>932</v>
      </c>
      <c r="D1167" s="558" t="s">
        <v>934</v>
      </c>
      <c r="E1167" s="556" t="s">
        <v>71</v>
      </c>
    </row>
    <row r="1168" spans="2:5" ht="16.5">
      <c r="B1168" s="410">
        <v>11002119</v>
      </c>
      <c r="C1168" s="562" t="s">
        <v>932</v>
      </c>
      <c r="D1168" s="558" t="s">
        <v>935</v>
      </c>
      <c r="E1168" s="556" t="s">
        <v>71</v>
      </c>
    </row>
    <row r="1169" spans="2:5" ht="16.5">
      <c r="B1169" s="410">
        <v>11002119</v>
      </c>
      <c r="C1169" s="562" t="s">
        <v>932</v>
      </c>
      <c r="D1169" s="558" t="s">
        <v>936</v>
      </c>
      <c r="E1169" s="556" t="s">
        <v>71</v>
      </c>
    </row>
    <row r="1170" spans="2:5" ht="16.5">
      <c r="B1170" s="410">
        <v>11002119</v>
      </c>
      <c r="C1170" s="562" t="s">
        <v>932</v>
      </c>
      <c r="D1170" s="558" t="s">
        <v>937</v>
      </c>
      <c r="E1170" s="556" t="s">
        <v>71</v>
      </c>
    </row>
    <row r="1171" spans="2:5" ht="16.5">
      <c r="B1171" s="410">
        <v>11002119</v>
      </c>
      <c r="C1171" s="562" t="s">
        <v>932</v>
      </c>
      <c r="D1171" s="558" t="s">
        <v>938</v>
      </c>
      <c r="E1171" s="556" t="s">
        <v>71</v>
      </c>
    </row>
    <row r="1172" spans="2:5" ht="16.5">
      <c r="B1172" s="410">
        <v>11002119</v>
      </c>
      <c r="C1172" s="562" t="s">
        <v>932</v>
      </c>
      <c r="D1172" s="558" t="s">
        <v>939</v>
      </c>
      <c r="E1172" s="556" t="s">
        <v>71</v>
      </c>
    </row>
    <row r="1173" spans="2:5" ht="16.5">
      <c r="B1173" s="410">
        <v>11002119</v>
      </c>
      <c r="C1173" s="562" t="s">
        <v>932</v>
      </c>
      <c r="D1173" s="558" t="s">
        <v>940</v>
      </c>
      <c r="E1173" s="556" t="s">
        <v>71</v>
      </c>
    </row>
    <row r="1174" spans="2:5" ht="16.5">
      <c r="B1174" s="410">
        <v>11002119</v>
      </c>
      <c r="C1174" s="562" t="s">
        <v>932</v>
      </c>
      <c r="D1174" s="558" t="s">
        <v>941</v>
      </c>
      <c r="E1174" s="556" t="s">
        <v>71</v>
      </c>
    </row>
    <row r="1175" spans="2:5" ht="16.5">
      <c r="B1175" s="410">
        <v>11002119</v>
      </c>
      <c r="C1175" s="562" t="s">
        <v>932</v>
      </c>
      <c r="D1175" s="558" t="s">
        <v>942</v>
      </c>
      <c r="E1175" s="556" t="s">
        <v>71</v>
      </c>
    </row>
    <row r="1176" spans="2:5" ht="16.5">
      <c r="B1176" s="410">
        <v>11002119</v>
      </c>
      <c r="C1176" s="562" t="s">
        <v>932</v>
      </c>
      <c r="D1176" s="558" t="s">
        <v>943</v>
      </c>
      <c r="E1176" s="556" t="s">
        <v>71</v>
      </c>
    </row>
    <row r="1177" spans="2:5" ht="16.5">
      <c r="B1177" s="410">
        <v>11002119</v>
      </c>
      <c r="C1177" s="562" t="s">
        <v>932</v>
      </c>
      <c r="D1177" s="558" t="s">
        <v>944</v>
      </c>
      <c r="E1177" s="556" t="s">
        <v>71</v>
      </c>
    </row>
    <row r="1178" spans="2:5" ht="16.5">
      <c r="B1178" s="410">
        <v>11002119</v>
      </c>
      <c r="C1178" s="562" t="s">
        <v>932</v>
      </c>
      <c r="D1178" s="558" t="s">
        <v>945</v>
      </c>
      <c r="E1178" s="556" t="s">
        <v>71</v>
      </c>
    </row>
    <row r="1179" spans="2:5" ht="16.5">
      <c r="B1179" s="410">
        <v>11002119</v>
      </c>
      <c r="C1179" s="562" t="s">
        <v>932</v>
      </c>
      <c r="D1179" s="558" t="s">
        <v>946</v>
      </c>
      <c r="E1179" s="556" t="s">
        <v>71</v>
      </c>
    </row>
    <row r="1180" spans="2:5" ht="16.5">
      <c r="B1180" s="410">
        <v>11002119</v>
      </c>
      <c r="C1180" s="562" t="s">
        <v>932</v>
      </c>
      <c r="D1180" s="558" t="s">
        <v>947</v>
      </c>
      <c r="E1180" s="556" t="s">
        <v>71</v>
      </c>
    </row>
    <row r="1181" spans="2:5" ht="16.5">
      <c r="B1181" s="410">
        <v>11002119</v>
      </c>
      <c r="C1181" s="562" t="s">
        <v>932</v>
      </c>
      <c r="D1181" s="558" t="s">
        <v>948</v>
      </c>
      <c r="E1181" s="556" t="s">
        <v>71</v>
      </c>
    </row>
    <row r="1182" spans="2:5" ht="16.5">
      <c r="B1182" s="410">
        <v>11002119</v>
      </c>
      <c r="C1182" s="562" t="s">
        <v>932</v>
      </c>
      <c r="D1182" s="558" t="s">
        <v>949</v>
      </c>
      <c r="E1182" s="556" t="s">
        <v>71</v>
      </c>
    </row>
    <row r="1183" spans="2:5" ht="16.5">
      <c r="B1183" s="410">
        <v>11002119</v>
      </c>
      <c r="C1183" s="562" t="s">
        <v>932</v>
      </c>
      <c r="D1183" s="558" t="s">
        <v>950</v>
      </c>
      <c r="E1183" s="556" t="s">
        <v>71</v>
      </c>
    </row>
    <row r="1184" spans="2:5" ht="16.5">
      <c r="B1184" s="410">
        <v>11002119</v>
      </c>
      <c r="C1184" s="562" t="s">
        <v>932</v>
      </c>
      <c r="D1184" s="558" t="s">
        <v>951</v>
      </c>
      <c r="E1184" s="556" t="s">
        <v>71</v>
      </c>
    </row>
    <row r="1185" spans="2:5" ht="16.5">
      <c r="B1185" s="410">
        <v>11009340</v>
      </c>
      <c r="C1185" s="562" t="s">
        <v>932</v>
      </c>
      <c r="D1185" s="558" t="s">
        <v>933</v>
      </c>
      <c r="E1185" s="556" t="s">
        <v>71</v>
      </c>
    </row>
    <row r="1186" spans="2:5" ht="16.5">
      <c r="B1186" s="410">
        <v>11009340</v>
      </c>
      <c r="C1186" s="562" t="s">
        <v>932</v>
      </c>
      <c r="D1186" s="558" t="s">
        <v>934</v>
      </c>
      <c r="E1186" s="556" t="s">
        <v>71</v>
      </c>
    </row>
    <row r="1187" spans="2:5" ht="16.5">
      <c r="B1187" s="410">
        <v>11009340</v>
      </c>
      <c r="C1187" s="562" t="s">
        <v>932</v>
      </c>
      <c r="D1187" s="558" t="s">
        <v>935</v>
      </c>
      <c r="E1187" s="556" t="s">
        <v>71</v>
      </c>
    </row>
    <row r="1188" spans="2:5" ht="16.5">
      <c r="B1188" s="410">
        <v>11009340</v>
      </c>
      <c r="C1188" s="562" t="s">
        <v>932</v>
      </c>
      <c r="D1188" s="558" t="s">
        <v>936</v>
      </c>
      <c r="E1188" s="556" t="s">
        <v>71</v>
      </c>
    </row>
    <row r="1189" spans="2:5" ht="16.5">
      <c r="B1189" s="410">
        <v>11009340</v>
      </c>
      <c r="C1189" s="562" t="s">
        <v>932</v>
      </c>
      <c r="D1189" s="558" t="s">
        <v>937</v>
      </c>
      <c r="E1189" s="556" t="s">
        <v>71</v>
      </c>
    </row>
    <row r="1190" spans="2:5" ht="16.5">
      <c r="B1190" s="410">
        <v>11009340</v>
      </c>
      <c r="C1190" s="562" t="s">
        <v>932</v>
      </c>
      <c r="D1190" s="558" t="s">
        <v>938</v>
      </c>
      <c r="E1190" s="556" t="s">
        <v>71</v>
      </c>
    </row>
    <row r="1191" spans="2:5" ht="16.5">
      <c r="B1191" s="410">
        <v>11009340</v>
      </c>
      <c r="C1191" s="562" t="s">
        <v>932</v>
      </c>
      <c r="D1191" s="558" t="s">
        <v>939</v>
      </c>
      <c r="E1191" s="556" t="s">
        <v>71</v>
      </c>
    </row>
    <row r="1192" spans="2:5" ht="16.5">
      <c r="B1192" s="410">
        <v>11009340</v>
      </c>
      <c r="C1192" s="562" t="s">
        <v>932</v>
      </c>
      <c r="D1192" s="558" t="s">
        <v>940</v>
      </c>
      <c r="E1192" s="556" t="s">
        <v>71</v>
      </c>
    </row>
    <row r="1193" spans="2:5" ht="16.5">
      <c r="B1193" s="410">
        <v>11009340</v>
      </c>
      <c r="C1193" s="562" t="s">
        <v>932</v>
      </c>
      <c r="D1193" s="558" t="s">
        <v>941</v>
      </c>
      <c r="E1193" s="556" t="s">
        <v>71</v>
      </c>
    </row>
    <row r="1194" spans="2:5" ht="16.5">
      <c r="B1194" s="410">
        <v>11009340</v>
      </c>
      <c r="C1194" s="562" t="s">
        <v>932</v>
      </c>
      <c r="D1194" s="558" t="s">
        <v>942</v>
      </c>
      <c r="E1194" s="556" t="s">
        <v>71</v>
      </c>
    </row>
    <row r="1195" spans="2:5" ht="16.5">
      <c r="B1195" s="410">
        <v>11009340</v>
      </c>
      <c r="C1195" s="562" t="s">
        <v>932</v>
      </c>
      <c r="D1195" s="558" t="s">
        <v>943</v>
      </c>
      <c r="E1195" s="556" t="s">
        <v>71</v>
      </c>
    </row>
    <row r="1196" spans="2:5" ht="16.5">
      <c r="B1196" s="410">
        <v>11009340</v>
      </c>
      <c r="C1196" s="562" t="s">
        <v>932</v>
      </c>
      <c r="D1196" s="558" t="s">
        <v>944</v>
      </c>
      <c r="E1196" s="556" t="s">
        <v>71</v>
      </c>
    </row>
    <row r="1197" spans="2:5" ht="16.5">
      <c r="B1197" s="410">
        <v>11009340</v>
      </c>
      <c r="C1197" s="562" t="s">
        <v>932</v>
      </c>
      <c r="D1197" s="558" t="s">
        <v>945</v>
      </c>
      <c r="E1197" s="556" t="s">
        <v>71</v>
      </c>
    </row>
    <row r="1198" spans="2:5" ht="16.5">
      <c r="B1198" s="410">
        <v>11009340</v>
      </c>
      <c r="C1198" s="562" t="s">
        <v>932</v>
      </c>
      <c r="D1198" s="558" t="s">
        <v>946</v>
      </c>
      <c r="E1198" s="556" t="s">
        <v>71</v>
      </c>
    </row>
    <row r="1199" spans="2:5" ht="16.5">
      <c r="B1199" s="410">
        <v>11009340</v>
      </c>
      <c r="C1199" s="562" t="s">
        <v>932</v>
      </c>
      <c r="D1199" s="558" t="s">
        <v>947</v>
      </c>
      <c r="E1199" s="556" t="s">
        <v>71</v>
      </c>
    </row>
    <row r="1200" spans="2:5" ht="16.5">
      <c r="B1200" s="410">
        <v>11009340</v>
      </c>
      <c r="C1200" s="562" t="s">
        <v>932</v>
      </c>
      <c r="D1200" s="558" t="s">
        <v>948</v>
      </c>
      <c r="E1200" s="556" t="s">
        <v>71</v>
      </c>
    </row>
    <row r="1201" spans="2:5" ht="16.5">
      <c r="B1201" s="410">
        <v>11009340</v>
      </c>
      <c r="C1201" s="562" t="s">
        <v>932</v>
      </c>
      <c r="D1201" s="558" t="s">
        <v>949</v>
      </c>
      <c r="E1201" s="556" t="s">
        <v>71</v>
      </c>
    </row>
    <row r="1202" spans="2:5" ht="16.5">
      <c r="B1202" s="410">
        <v>11009340</v>
      </c>
      <c r="C1202" s="562" t="s">
        <v>932</v>
      </c>
      <c r="D1202" s="558" t="s">
        <v>952</v>
      </c>
      <c r="E1202" s="556" t="s">
        <v>71</v>
      </c>
    </row>
    <row r="1203" spans="2:5" ht="16.5">
      <c r="B1203" s="410">
        <v>11009340</v>
      </c>
      <c r="C1203" s="562" t="s">
        <v>932</v>
      </c>
      <c r="D1203" s="558" t="s">
        <v>951</v>
      </c>
      <c r="E1203" s="556" t="s">
        <v>71</v>
      </c>
    </row>
    <row r="1204" spans="2:5" ht="16.5">
      <c r="B1204" s="410">
        <v>11009350</v>
      </c>
      <c r="C1204" s="562" t="s">
        <v>932</v>
      </c>
      <c r="D1204" s="558" t="s">
        <v>933</v>
      </c>
      <c r="E1204" s="556" t="s">
        <v>71</v>
      </c>
    </row>
    <row r="1205" spans="2:5" ht="16.5">
      <c r="B1205" s="410">
        <v>11009350</v>
      </c>
      <c r="C1205" s="562" t="s">
        <v>932</v>
      </c>
      <c r="D1205" s="558" t="s">
        <v>934</v>
      </c>
      <c r="E1205" s="556" t="s">
        <v>71</v>
      </c>
    </row>
    <row r="1206" spans="2:5" ht="16.5">
      <c r="B1206" s="410">
        <v>11009350</v>
      </c>
      <c r="C1206" s="562" t="s">
        <v>932</v>
      </c>
      <c r="D1206" s="558" t="s">
        <v>935</v>
      </c>
      <c r="E1206" s="556" t="s">
        <v>71</v>
      </c>
    </row>
    <row r="1207" spans="2:5" ht="16.5">
      <c r="B1207" s="410">
        <v>11009350</v>
      </c>
      <c r="C1207" s="562" t="s">
        <v>932</v>
      </c>
      <c r="D1207" s="558" t="s">
        <v>936</v>
      </c>
      <c r="E1207" s="556" t="s">
        <v>71</v>
      </c>
    </row>
    <row r="1208" spans="2:5" ht="16.5">
      <c r="B1208" s="410">
        <v>11009350</v>
      </c>
      <c r="C1208" s="562" t="s">
        <v>932</v>
      </c>
      <c r="D1208" s="558" t="s">
        <v>937</v>
      </c>
      <c r="E1208" s="556" t="s">
        <v>71</v>
      </c>
    </row>
    <row r="1209" spans="2:5" ht="16.5">
      <c r="B1209" s="410">
        <v>11009350</v>
      </c>
      <c r="C1209" s="562" t="s">
        <v>932</v>
      </c>
      <c r="D1209" s="558" t="s">
        <v>938</v>
      </c>
      <c r="E1209" s="556" t="s">
        <v>71</v>
      </c>
    </row>
    <row r="1210" spans="2:5" ht="16.5">
      <c r="B1210" s="410">
        <v>11009350</v>
      </c>
      <c r="C1210" s="562" t="s">
        <v>932</v>
      </c>
      <c r="D1210" s="558" t="s">
        <v>939</v>
      </c>
      <c r="E1210" s="556" t="s">
        <v>71</v>
      </c>
    </row>
    <row r="1211" spans="2:5" ht="16.5">
      <c r="B1211" s="410">
        <v>11009350</v>
      </c>
      <c r="C1211" s="562" t="s">
        <v>932</v>
      </c>
      <c r="D1211" s="558" t="s">
        <v>940</v>
      </c>
      <c r="E1211" s="556" t="s">
        <v>71</v>
      </c>
    </row>
    <row r="1212" spans="2:5" ht="16.5">
      <c r="B1212" s="410">
        <v>11009350</v>
      </c>
      <c r="C1212" s="562" t="s">
        <v>932</v>
      </c>
      <c r="D1212" s="558" t="s">
        <v>941</v>
      </c>
      <c r="E1212" s="556" t="s">
        <v>71</v>
      </c>
    </row>
    <row r="1213" spans="2:5" ht="16.5">
      <c r="B1213" s="410">
        <v>11009350</v>
      </c>
      <c r="C1213" s="562" t="s">
        <v>932</v>
      </c>
      <c r="D1213" s="558" t="s">
        <v>942</v>
      </c>
      <c r="E1213" s="556" t="s">
        <v>71</v>
      </c>
    </row>
    <row r="1214" spans="2:5" ht="16.5">
      <c r="B1214" s="410">
        <v>11009350</v>
      </c>
      <c r="C1214" s="562" t="s">
        <v>932</v>
      </c>
      <c r="D1214" s="558" t="s">
        <v>943</v>
      </c>
      <c r="E1214" s="556" t="s">
        <v>71</v>
      </c>
    </row>
    <row r="1215" spans="2:5" ht="16.5">
      <c r="B1215" s="410">
        <v>11009350</v>
      </c>
      <c r="C1215" s="562" t="s">
        <v>932</v>
      </c>
      <c r="D1215" s="558" t="s">
        <v>944</v>
      </c>
      <c r="E1215" s="556" t="s">
        <v>71</v>
      </c>
    </row>
    <row r="1216" spans="2:5" ht="16.5">
      <c r="B1216" s="410">
        <v>11009350</v>
      </c>
      <c r="C1216" s="562" t="s">
        <v>932</v>
      </c>
      <c r="D1216" s="558" t="s">
        <v>945</v>
      </c>
      <c r="E1216" s="556" t="s">
        <v>71</v>
      </c>
    </row>
    <row r="1217" spans="2:5" ht="16.5">
      <c r="B1217" s="410">
        <v>11009350</v>
      </c>
      <c r="C1217" s="562" t="s">
        <v>932</v>
      </c>
      <c r="D1217" s="558" t="s">
        <v>946</v>
      </c>
      <c r="E1217" s="556" t="s">
        <v>71</v>
      </c>
    </row>
    <row r="1218" spans="2:5" ht="16.5">
      <c r="B1218" s="410">
        <v>11009350</v>
      </c>
      <c r="C1218" s="562" t="s">
        <v>932</v>
      </c>
      <c r="D1218" s="558" t="s">
        <v>947</v>
      </c>
      <c r="E1218" s="556" t="s">
        <v>71</v>
      </c>
    </row>
    <row r="1219" spans="2:5" ht="16.5">
      <c r="B1219" s="410">
        <v>11009350</v>
      </c>
      <c r="C1219" s="562" t="s">
        <v>932</v>
      </c>
      <c r="D1219" s="558" t="s">
        <v>948</v>
      </c>
      <c r="E1219" s="556" t="s">
        <v>71</v>
      </c>
    </row>
    <row r="1220" spans="2:5" ht="16.5">
      <c r="B1220" s="410">
        <v>11009350</v>
      </c>
      <c r="C1220" s="562" t="s">
        <v>932</v>
      </c>
      <c r="D1220" s="558" t="s">
        <v>949</v>
      </c>
      <c r="E1220" s="556" t="s">
        <v>71</v>
      </c>
    </row>
    <row r="1221" spans="2:5" ht="16.5">
      <c r="B1221" s="410">
        <v>11009350</v>
      </c>
      <c r="C1221" s="562" t="s">
        <v>932</v>
      </c>
      <c r="D1221" s="558" t="s">
        <v>952</v>
      </c>
      <c r="E1221" s="556" t="s">
        <v>71</v>
      </c>
    </row>
    <row r="1222" spans="2:5" ht="16.5">
      <c r="B1222" s="410">
        <v>11009350</v>
      </c>
      <c r="C1222" s="562" t="s">
        <v>932</v>
      </c>
      <c r="D1222" s="558" t="s">
        <v>951</v>
      </c>
      <c r="E1222" s="556" t="s">
        <v>71</v>
      </c>
    </row>
    <row r="1223" spans="2:5" ht="16.5">
      <c r="B1223" s="410">
        <v>11003643</v>
      </c>
      <c r="C1223" s="562" t="s">
        <v>953</v>
      </c>
      <c r="D1223" s="558" t="s">
        <v>954</v>
      </c>
      <c r="E1223" s="556" t="s">
        <v>71</v>
      </c>
    </row>
    <row r="1224" spans="2:5" ht="16.5">
      <c r="B1224" s="410">
        <v>11003643</v>
      </c>
      <c r="C1224" s="562" t="s">
        <v>953</v>
      </c>
      <c r="D1224" s="558" t="s">
        <v>955</v>
      </c>
      <c r="E1224" s="556" t="s">
        <v>71</v>
      </c>
    </row>
    <row r="1225" spans="2:5" ht="16.5">
      <c r="B1225" s="410">
        <v>11003643</v>
      </c>
      <c r="C1225" s="562" t="s">
        <v>953</v>
      </c>
      <c r="D1225" s="558" t="s">
        <v>956</v>
      </c>
      <c r="E1225" s="556" t="s">
        <v>71</v>
      </c>
    </row>
    <row r="1226" spans="2:5" ht="16.5">
      <c r="B1226" s="410">
        <v>11003643</v>
      </c>
      <c r="C1226" s="562" t="s">
        <v>953</v>
      </c>
      <c r="D1226" s="558" t="s">
        <v>957</v>
      </c>
      <c r="E1226" s="556" t="s">
        <v>71</v>
      </c>
    </row>
    <row r="1227" spans="2:5" ht="16.5">
      <c r="B1227" s="410">
        <v>13106093</v>
      </c>
      <c r="C1227" s="562" t="s">
        <v>958</v>
      </c>
      <c r="D1227" s="558" t="s">
        <v>959</v>
      </c>
      <c r="E1227" s="556" t="s">
        <v>71</v>
      </c>
    </row>
    <row r="1228" spans="2:5" ht="16.5">
      <c r="B1228" s="410">
        <v>13106093</v>
      </c>
      <c r="C1228" s="562" t="s">
        <v>958</v>
      </c>
      <c r="D1228" s="558" t="s">
        <v>960</v>
      </c>
      <c r="E1228" s="556" t="s">
        <v>71</v>
      </c>
    </row>
    <row r="1229" spans="2:5" ht="16.5">
      <c r="B1229" s="410">
        <v>13106093</v>
      </c>
      <c r="C1229" s="562" t="s">
        <v>958</v>
      </c>
      <c r="D1229" s="558" t="s">
        <v>961</v>
      </c>
      <c r="E1229" s="556" t="s">
        <v>71</v>
      </c>
    </row>
    <row r="1230" spans="2:5" ht="16.5">
      <c r="B1230" s="410">
        <v>13106093</v>
      </c>
      <c r="C1230" s="562" t="s">
        <v>958</v>
      </c>
      <c r="D1230" s="558" t="s">
        <v>962</v>
      </c>
      <c r="E1230" s="556" t="s">
        <v>71</v>
      </c>
    </row>
    <row r="1231" spans="2:5" ht="16.5">
      <c r="B1231" s="410">
        <v>13106093</v>
      </c>
      <c r="C1231" s="562" t="s">
        <v>958</v>
      </c>
      <c r="D1231" s="558" t="s">
        <v>963</v>
      </c>
      <c r="E1231" s="556" t="s">
        <v>71</v>
      </c>
    </row>
    <row r="1232" spans="2:5" ht="16.5">
      <c r="B1232" s="410">
        <v>13106093</v>
      </c>
      <c r="C1232" s="562" t="s">
        <v>958</v>
      </c>
      <c r="D1232" s="558" t="s">
        <v>964</v>
      </c>
      <c r="E1232" s="556" t="s">
        <v>71</v>
      </c>
    </row>
    <row r="1233" spans="2:5" ht="16.5">
      <c r="B1233" s="410">
        <v>13106093</v>
      </c>
      <c r="C1233" s="562" t="s">
        <v>958</v>
      </c>
      <c r="D1233" s="558" t="s">
        <v>965</v>
      </c>
      <c r="E1233" s="556" t="s">
        <v>71</v>
      </c>
    </row>
    <row r="1234" spans="2:5" ht="16.5">
      <c r="B1234" s="410">
        <v>13106093</v>
      </c>
      <c r="C1234" s="562" t="s">
        <v>958</v>
      </c>
      <c r="D1234" s="558" t="s">
        <v>966</v>
      </c>
      <c r="E1234" s="556" t="s">
        <v>71</v>
      </c>
    </row>
    <row r="1235" spans="2:5" ht="16.5">
      <c r="B1235" s="410">
        <v>13106093</v>
      </c>
      <c r="C1235" s="562" t="s">
        <v>958</v>
      </c>
      <c r="D1235" s="558" t="s">
        <v>967</v>
      </c>
      <c r="E1235" s="556" t="s">
        <v>71</v>
      </c>
    </row>
    <row r="1236" spans="2:5" ht="16.5">
      <c r="B1236" s="410">
        <v>13106093</v>
      </c>
      <c r="C1236" s="562" t="s">
        <v>958</v>
      </c>
      <c r="D1236" s="558" t="s">
        <v>968</v>
      </c>
      <c r="E1236" s="556" t="s">
        <v>71</v>
      </c>
    </row>
    <row r="1237" spans="2:5" ht="16.5">
      <c r="B1237" s="410">
        <v>13106093</v>
      </c>
      <c r="C1237" s="562" t="s">
        <v>958</v>
      </c>
      <c r="D1237" s="558" t="s">
        <v>969</v>
      </c>
      <c r="E1237" s="556" t="s">
        <v>71</v>
      </c>
    </row>
    <row r="1238" spans="2:5" ht="16.5">
      <c r="B1238" s="410">
        <v>13106093</v>
      </c>
      <c r="C1238" s="562" t="s">
        <v>958</v>
      </c>
      <c r="D1238" s="558" t="s">
        <v>970</v>
      </c>
      <c r="E1238" s="556" t="s">
        <v>71</v>
      </c>
    </row>
    <row r="1239" spans="2:5" ht="16.5">
      <c r="B1239" s="410">
        <v>13106093</v>
      </c>
      <c r="C1239" s="562" t="s">
        <v>958</v>
      </c>
      <c r="D1239" s="558" t="s">
        <v>971</v>
      </c>
      <c r="E1239" s="556" t="s">
        <v>71</v>
      </c>
    </row>
    <row r="1240" spans="2:5" ht="16.5">
      <c r="B1240" s="410">
        <v>13104826</v>
      </c>
      <c r="C1240" s="562" t="s">
        <v>958</v>
      </c>
      <c r="D1240" s="558" t="s">
        <v>972</v>
      </c>
      <c r="E1240" s="556" t="s">
        <v>71</v>
      </c>
    </row>
    <row r="1241" spans="2:5" ht="16.5">
      <c r="B1241" s="410">
        <v>13104826</v>
      </c>
      <c r="C1241" s="562" t="s">
        <v>958</v>
      </c>
      <c r="D1241" s="558" t="s">
        <v>973</v>
      </c>
      <c r="E1241" s="556" t="s">
        <v>71</v>
      </c>
    </row>
    <row r="1242" spans="2:5" ht="16.5">
      <c r="B1242" s="410">
        <v>13104826</v>
      </c>
      <c r="C1242" s="562" t="s">
        <v>958</v>
      </c>
      <c r="D1242" s="558" t="s">
        <v>974</v>
      </c>
      <c r="E1242" s="556" t="s">
        <v>71</v>
      </c>
    </row>
    <row r="1243" spans="2:5" ht="16.5">
      <c r="B1243" s="410">
        <v>13104826</v>
      </c>
      <c r="C1243" s="562" t="s">
        <v>958</v>
      </c>
      <c r="D1243" s="558" t="s">
        <v>975</v>
      </c>
      <c r="E1243" s="556" t="s">
        <v>71</v>
      </c>
    </row>
    <row r="1244" spans="2:5" ht="16.5">
      <c r="B1244" s="410">
        <v>13104826</v>
      </c>
      <c r="C1244" s="562" t="s">
        <v>958</v>
      </c>
      <c r="D1244" s="558" t="s">
        <v>963</v>
      </c>
      <c r="E1244" s="556" t="s">
        <v>71</v>
      </c>
    </row>
    <row r="1245" spans="2:5" ht="16.5">
      <c r="B1245" s="410">
        <v>13104826</v>
      </c>
      <c r="C1245" s="562" t="s">
        <v>958</v>
      </c>
      <c r="D1245" s="558" t="s">
        <v>964</v>
      </c>
      <c r="E1245" s="556" t="s">
        <v>71</v>
      </c>
    </row>
    <row r="1246" spans="2:5" ht="16.5">
      <c r="B1246" s="410">
        <v>13104826</v>
      </c>
      <c r="C1246" s="562" t="s">
        <v>958</v>
      </c>
      <c r="D1246" s="558" t="s">
        <v>965</v>
      </c>
      <c r="E1246" s="556" t="s">
        <v>71</v>
      </c>
    </row>
    <row r="1247" spans="2:5" ht="16.5">
      <c r="B1247" s="410">
        <v>13104826</v>
      </c>
      <c r="C1247" s="562" t="s">
        <v>958</v>
      </c>
      <c r="D1247" s="558" t="s">
        <v>966</v>
      </c>
      <c r="E1247" s="556" t="s">
        <v>71</v>
      </c>
    </row>
    <row r="1248" spans="2:5" ht="16.5">
      <c r="B1248" s="410">
        <v>13104826</v>
      </c>
      <c r="C1248" s="562" t="s">
        <v>958</v>
      </c>
      <c r="D1248" s="558" t="s">
        <v>976</v>
      </c>
      <c r="E1248" s="556" t="s">
        <v>71</v>
      </c>
    </row>
    <row r="1249" spans="2:5" ht="16.5">
      <c r="B1249" s="410">
        <v>13104826</v>
      </c>
      <c r="C1249" s="562" t="s">
        <v>958</v>
      </c>
      <c r="D1249" s="558" t="s">
        <v>977</v>
      </c>
      <c r="E1249" s="556" t="s">
        <v>71</v>
      </c>
    </row>
    <row r="1250" spans="2:5" ht="16.5">
      <c r="B1250" s="410">
        <v>13104826</v>
      </c>
      <c r="C1250" s="562" t="s">
        <v>958</v>
      </c>
      <c r="D1250" s="558" t="s">
        <v>978</v>
      </c>
      <c r="E1250" s="556" t="s">
        <v>71</v>
      </c>
    </row>
    <row r="1251" spans="2:5" ht="16.5">
      <c r="B1251" s="410">
        <v>13104826</v>
      </c>
      <c r="C1251" s="562" t="s">
        <v>958</v>
      </c>
      <c r="D1251" s="558" t="s">
        <v>979</v>
      </c>
      <c r="E1251" s="556" t="s">
        <v>71</v>
      </c>
    </row>
    <row r="1252" spans="2:5" ht="16.5">
      <c r="B1252" s="410">
        <v>13104826</v>
      </c>
      <c r="C1252" s="562" t="s">
        <v>958</v>
      </c>
      <c r="D1252" s="558" t="s">
        <v>980</v>
      </c>
      <c r="E1252" s="556" t="s">
        <v>71</v>
      </c>
    </row>
    <row r="1253" spans="2:5" ht="16.5">
      <c r="B1253" s="410">
        <v>13104831</v>
      </c>
      <c r="C1253" s="562" t="s">
        <v>958</v>
      </c>
      <c r="D1253" s="558" t="s">
        <v>959</v>
      </c>
      <c r="E1253" s="556" t="s">
        <v>71</v>
      </c>
    </row>
    <row r="1254" spans="2:5" ht="16.5">
      <c r="B1254" s="410">
        <v>13104831</v>
      </c>
      <c r="C1254" s="562" t="s">
        <v>958</v>
      </c>
      <c r="D1254" s="558" t="s">
        <v>960</v>
      </c>
      <c r="E1254" s="556" t="s">
        <v>71</v>
      </c>
    </row>
    <row r="1255" spans="2:5" ht="16.5">
      <c r="B1255" s="410">
        <v>13104831</v>
      </c>
      <c r="C1255" s="562" t="s">
        <v>958</v>
      </c>
      <c r="D1255" s="558" t="s">
        <v>961</v>
      </c>
      <c r="E1255" s="556" t="s">
        <v>71</v>
      </c>
    </row>
    <row r="1256" spans="2:5" ht="16.5">
      <c r="B1256" s="410">
        <v>13104831</v>
      </c>
      <c r="C1256" s="562" t="s">
        <v>958</v>
      </c>
      <c r="D1256" s="558" t="s">
        <v>962</v>
      </c>
      <c r="E1256" s="556" t="s">
        <v>71</v>
      </c>
    </row>
    <row r="1257" spans="2:5" ht="16.5">
      <c r="B1257" s="410">
        <v>13104831</v>
      </c>
      <c r="C1257" s="562" t="s">
        <v>958</v>
      </c>
      <c r="D1257" s="558" t="s">
        <v>963</v>
      </c>
      <c r="E1257" s="556" t="s">
        <v>71</v>
      </c>
    </row>
    <row r="1258" spans="2:5" ht="16.5">
      <c r="B1258" s="410">
        <v>13104831</v>
      </c>
      <c r="C1258" s="562" t="s">
        <v>958</v>
      </c>
      <c r="D1258" s="558" t="s">
        <v>964</v>
      </c>
      <c r="E1258" s="556" t="s">
        <v>71</v>
      </c>
    </row>
    <row r="1259" spans="2:5" ht="16.5">
      <c r="B1259" s="410">
        <v>13104831</v>
      </c>
      <c r="C1259" s="562" t="s">
        <v>958</v>
      </c>
      <c r="D1259" s="558" t="s">
        <v>965</v>
      </c>
      <c r="E1259" s="556" t="s">
        <v>71</v>
      </c>
    </row>
    <row r="1260" spans="2:5" ht="16.5">
      <c r="B1260" s="410">
        <v>13104831</v>
      </c>
      <c r="C1260" s="562" t="s">
        <v>958</v>
      </c>
      <c r="D1260" s="558" t="s">
        <v>966</v>
      </c>
      <c r="E1260" s="556" t="s">
        <v>71</v>
      </c>
    </row>
    <row r="1261" spans="2:5" ht="16.5">
      <c r="B1261" s="410">
        <v>13104831</v>
      </c>
      <c r="C1261" s="562" t="s">
        <v>958</v>
      </c>
      <c r="D1261" s="558" t="s">
        <v>967</v>
      </c>
      <c r="E1261" s="556" t="s">
        <v>71</v>
      </c>
    </row>
    <row r="1262" spans="2:5" ht="16.5">
      <c r="B1262" s="410">
        <v>13104831</v>
      </c>
      <c r="C1262" s="562" t="s">
        <v>958</v>
      </c>
      <c r="D1262" s="558" t="s">
        <v>968</v>
      </c>
      <c r="E1262" s="556" t="s">
        <v>71</v>
      </c>
    </row>
    <row r="1263" spans="2:5" ht="16.5">
      <c r="B1263" s="410">
        <v>13104831</v>
      </c>
      <c r="C1263" s="562" t="s">
        <v>958</v>
      </c>
      <c r="D1263" s="558" t="s">
        <v>969</v>
      </c>
      <c r="E1263" s="556" t="s">
        <v>71</v>
      </c>
    </row>
    <row r="1264" spans="2:5" ht="16.5">
      <c r="B1264" s="410">
        <v>13104831</v>
      </c>
      <c r="C1264" s="562" t="s">
        <v>958</v>
      </c>
      <c r="D1264" s="558" t="s">
        <v>970</v>
      </c>
      <c r="E1264" s="556" t="s">
        <v>71</v>
      </c>
    </row>
    <row r="1265" spans="2:5" ht="16.5">
      <c r="B1265" s="410">
        <v>13104831</v>
      </c>
      <c r="C1265" s="562" t="s">
        <v>958</v>
      </c>
      <c r="D1265" s="558" t="s">
        <v>971</v>
      </c>
      <c r="E1265" s="556" t="s">
        <v>71</v>
      </c>
    </row>
    <row r="1266" spans="2:5" ht="16.5">
      <c r="B1266" s="410">
        <v>11006689</v>
      </c>
      <c r="C1266" s="562" t="s">
        <v>981</v>
      </c>
      <c r="D1266" s="558" t="s">
        <v>982</v>
      </c>
      <c r="E1266" s="556" t="s">
        <v>71</v>
      </c>
    </row>
    <row r="1267" spans="2:5" ht="16.5">
      <c r="B1267" s="410">
        <v>11006689</v>
      </c>
      <c r="C1267" s="562" t="s">
        <v>981</v>
      </c>
      <c r="D1267" s="558" t="s">
        <v>983</v>
      </c>
      <c r="E1267" s="556" t="s">
        <v>71</v>
      </c>
    </row>
    <row r="1268" spans="2:5" ht="16.5">
      <c r="B1268" s="410">
        <v>11006689</v>
      </c>
      <c r="C1268" s="562" t="s">
        <v>981</v>
      </c>
      <c r="D1268" s="558" t="s">
        <v>984</v>
      </c>
      <c r="E1268" s="556" t="s">
        <v>71</v>
      </c>
    </row>
    <row r="1269" spans="2:5" ht="16.5">
      <c r="B1269" s="410">
        <v>11006689</v>
      </c>
      <c r="C1269" s="562" t="s">
        <v>981</v>
      </c>
      <c r="D1269" s="558" t="s">
        <v>985</v>
      </c>
      <c r="E1269" s="556" t="s">
        <v>71</v>
      </c>
    </row>
    <row r="1270" spans="2:5" ht="16.5">
      <c r="B1270" s="410">
        <v>11006689</v>
      </c>
      <c r="C1270" s="562" t="s">
        <v>981</v>
      </c>
      <c r="D1270" s="558" t="s">
        <v>986</v>
      </c>
      <c r="E1270" s="556" t="s">
        <v>71</v>
      </c>
    </row>
    <row r="1271" spans="2:5" ht="16.5">
      <c r="B1271" s="410">
        <v>11006689</v>
      </c>
      <c r="C1271" s="562" t="s">
        <v>981</v>
      </c>
      <c r="D1271" s="558" t="s">
        <v>987</v>
      </c>
      <c r="E1271" s="556" t="s">
        <v>71</v>
      </c>
    </row>
    <row r="1272" spans="2:5" ht="16.5">
      <c r="B1272" s="410">
        <v>11006689</v>
      </c>
      <c r="C1272" s="562" t="s">
        <v>981</v>
      </c>
      <c r="D1272" s="558" t="s">
        <v>988</v>
      </c>
      <c r="E1272" s="556" t="s">
        <v>71</v>
      </c>
    </row>
    <row r="1273" spans="2:5" ht="16.5">
      <c r="B1273" s="410">
        <v>11006689</v>
      </c>
      <c r="C1273" s="562" t="s">
        <v>981</v>
      </c>
      <c r="D1273" s="558" t="s">
        <v>989</v>
      </c>
      <c r="E1273" s="556" t="s">
        <v>71</v>
      </c>
    </row>
    <row r="1274" spans="2:5" ht="16.5">
      <c r="B1274" s="410">
        <v>11006689</v>
      </c>
      <c r="C1274" s="562" t="s">
        <v>981</v>
      </c>
      <c r="D1274" s="558" t="s">
        <v>990</v>
      </c>
      <c r="E1274" s="556" t="s">
        <v>71</v>
      </c>
    </row>
    <row r="1275" spans="2:5" ht="16.5">
      <c r="B1275" s="410">
        <v>11006689</v>
      </c>
      <c r="C1275" s="562" t="s">
        <v>981</v>
      </c>
      <c r="D1275" s="558" t="s">
        <v>991</v>
      </c>
      <c r="E1275" s="556" t="s">
        <v>71</v>
      </c>
    </row>
    <row r="1276" spans="2:5" ht="16.5">
      <c r="B1276" s="410">
        <v>11006689</v>
      </c>
      <c r="C1276" s="562" t="s">
        <v>981</v>
      </c>
      <c r="D1276" s="558" t="s">
        <v>992</v>
      </c>
      <c r="E1276" s="556" t="s">
        <v>71</v>
      </c>
    </row>
    <row r="1277" spans="2:5" ht="16.5">
      <c r="B1277" s="410">
        <v>11006689</v>
      </c>
      <c r="C1277" s="562" t="s">
        <v>981</v>
      </c>
      <c r="D1277" s="558" t="s">
        <v>993</v>
      </c>
      <c r="E1277" s="556" t="s">
        <v>71</v>
      </c>
    </row>
    <row r="1278" spans="2:5" ht="16.5">
      <c r="B1278" s="410">
        <v>11006689</v>
      </c>
      <c r="C1278" s="562" t="s">
        <v>981</v>
      </c>
      <c r="D1278" s="558" t="s">
        <v>994</v>
      </c>
      <c r="E1278" s="556" t="s">
        <v>71</v>
      </c>
    </row>
    <row r="1279" spans="2:5" ht="16.5">
      <c r="B1279" s="410">
        <v>11006689</v>
      </c>
      <c r="C1279" s="562" t="s">
        <v>981</v>
      </c>
      <c r="D1279" s="558" t="s">
        <v>995</v>
      </c>
      <c r="E1279" s="556" t="s">
        <v>71</v>
      </c>
    </row>
    <row r="1280" spans="2:5" ht="16.5">
      <c r="B1280" s="410">
        <v>11006689</v>
      </c>
      <c r="C1280" s="562" t="s">
        <v>981</v>
      </c>
      <c r="D1280" s="558" t="s">
        <v>996</v>
      </c>
      <c r="E1280" s="556" t="s">
        <v>71</v>
      </c>
    </row>
    <row r="1281" spans="2:5" ht="16.5">
      <c r="B1281" s="410">
        <v>11006689</v>
      </c>
      <c r="C1281" s="562" t="s">
        <v>981</v>
      </c>
      <c r="D1281" s="558" t="s">
        <v>997</v>
      </c>
      <c r="E1281" s="556" t="s">
        <v>71</v>
      </c>
    </row>
    <row r="1282" spans="2:5" ht="16.5">
      <c r="B1282" s="410">
        <v>11006689</v>
      </c>
      <c r="C1282" s="562" t="s">
        <v>981</v>
      </c>
      <c r="D1282" s="558" t="s">
        <v>998</v>
      </c>
      <c r="E1282" s="556" t="s">
        <v>71</v>
      </c>
    </row>
    <row r="1283" spans="2:5" ht="16.5">
      <c r="B1283" s="410">
        <v>11007262</v>
      </c>
      <c r="C1283" s="562" t="s">
        <v>981</v>
      </c>
      <c r="D1283" s="558" t="s">
        <v>982</v>
      </c>
      <c r="E1283" s="556" t="s">
        <v>71</v>
      </c>
    </row>
    <row r="1284" spans="2:5" ht="16.5">
      <c r="B1284" s="410">
        <v>11007262</v>
      </c>
      <c r="C1284" s="562" t="s">
        <v>981</v>
      </c>
      <c r="D1284" s="558" t="s">
        <v>983</v>
      </c>
      <c r="E1284" s="556" t="s">
        <v>71</v>
      </c>
    </row>
    <row r="1285" spans="2:5" ht="16.5">
      <c r="B1285" s="410">
        <v>11007262</v>
      </c>
      <c r="C1285" s="562" t="s">
        <v>981</v>
      </c>
      <c r="D1285" s="558" t="s">
        <v>984</v>
      </c>
      <c r="E1285" s="556" t="s">
        <v>71</v>
      </c>
    </row>
    <row r="1286" spans="2:5" ht="16.5">
      <c r="B1286" s="410">
        <v>11007262</v>
      </c>
      <c r="C1286" s="562" t="s">
        <v>981</v>
      </c>
      <c r="D1286" s="558" t="s">
        <v>985</v>
      </c>
      <c r="E1286" s="556" t="s">
        <v>71</v>
      </c>
    </row>
    <row r="1287" spans="2:5" ht="16.5">
      <c r="B1287" s="410">
        <v>11007262</v>
      </c>
      <c r="C1287" s="562" t="s">
        <v>981</v>
      </c>
      <c r="D1287" s="558" t="s">
        <v>986</v>
      </c>
      <c r="E1287" s="556" t="s">
        <v>71</v>
      </c>
    </row>
    <row r="1288" spans="2:5" ht="16.5">
      <c r="B1288" s="410">
        <v>11007262</v>
      </c>
      <c r="C1288" s="562" t="s">
        <v>981</v>
      </c>
      <c r="D1288" s="558" t="s">
        <v>987</v>
      </c>
      <c r="E1288" s="556" t="s">
        <v>71</v>
      </c>
    </row>
    <row r="1289" spans="2:5" ht="16.5">
      <c r="B1289" s="410">
        <v>11007262</v>
      </c>
      <c r="C1289" s="562" t="s">
        <v>981</v>
      </c>
      <c r="D1289" s="558" t="s">
        <v>999</v>
      </c>
      <c r="E1289" s="556" t="s">
        <v>71</v>
      </c>
    </row>
    <row r="1290" spans="2:5" ht="16.5">
      <c r="B1290" s="410">
        <v>11007262</v>
      </c>
      <c r="C1290" s="562" t="s">
        <v>981</v>
      </c>
      <c r="D1290" s="558" t="s">
        <v>1000</v>
      </c>
      <c r="E1290" s="556" t="s">
        <v>71</v>
      </c>
    </row>
    <row r="1291" spans="2:5" ht="16.5">
      <c r="B1291" s="410">
        <v>11007262</v>
      </c>
      <c r="C1291" s="562" t="s">
        <v>981</v>
      </c>
      <c r="D1291" s="558" t="s">
        <v>1001</v>
      </c>
      <c r="E1291" s="556" t="s">
        <v>71</v>
      </c>
    </row>
    <row r="1292" spans="2:5" ht="16.5">
      <c r="B1292" s="410">
        <v>11007262</v>
      </c>
      <c r="C1292" s="562" t="s">
        <v>981</v>
      </c>
      <c r="D1292" s="558" t="s">
        <v>1002</v>
      </c>
      <c r="E1292" s="556" t="s">
        <v>71</v>
      </c>
    </row>
    <row r="1293" spans="2:5" ht="16.5">
      <c r="B1293" s="410">
        <v>11007262</v>
      </c>
      <c r="C1293" s="562" t="s">
        <v>981</v>
      </c>
      <c r="D1293" s="558" t="s">
        <v>1003</v>
      </c>
      <c r="E1293" s="556" t="s">
        <v>71</v>
      </c>
    </row>
    <row r="1294" spans="2:5" ht="16.5">
      <c r="B1294" s="410">
        <v>11007262</v>
      </c>
      <c r="C1294" s="562" t="s">
        <v>981</v>
      </c>
      <c r="D1294" s="558" t="s">
        <v>1004</v>
      </c>
      <c r="E1294" s="556" t="s">
        <v>71</v>
      </c>
    </row>
    <row r="1295" spans="2:5" ht="16.5">
      <c r="B1295" s="410">
        <v>11007262</v>
      </c>
      <c r="C1295" s="562" t="s">
        <v>981</v>
      </c>
      <c r="D1295" s="558" t="s">
        <v>1005</v>
      </c>
      <c r="E1295" s="556" t="s">
        <v>71</v>
      </c>
    </row>
    <row r="1296" spans="2:5" ht="16.5">
      <c r="B1296" s="410">
        <v>11007262</v>
      </c>
      <c r="C1296" s="562" t="s">
        <v>981</v>
      </c>
      <c r="D1296" s="558" t="s">
        <v>995</v>
      </c>
      <c r="E1296" s="556" t="s">
        <v>71</v>
      </c>
    </row>
    <row r="1297" spans="2:5" ht="16.5">
      <c r="B1297" s="410">
        <v>11007262</v>
      </c>
      <c r="C1297" s="562" t="s">
        <v>981</v>
      </c>
      <c r="D1297" s="558" t="s">
        <v>996</v>
      </c>
      <c r="E1297" s="556" t="s">
        <v>71</v>
      </c>
    </row>
    <row r="1298" spans="2:5" ht="16.5">
      <c r="B1298" s="410">
        <v>11007262</v>
      </c>
      <c r="C1298" s="562" t="s">
        <v>981</v>
      </c>
      <c r="D1298" s="558" t="s">
        <v>1006</v>
      </c>
      <c r="E1298" s="556" t="s">
        <v>71</v>
      </c>
    </row>
    <row r="1299" spans="2:5" ht="16.5">
      <c r="B1299" s="410">
        <v>11007262</v>
      </c>
      <c r="C1299" s="562" t="s">
        <v>981</v>
      </c>
      <c r="D1299" s="558" t="s">
        <v>1007</v>
      </c>
      <c r="E1299" s="556" t="s">
        <v>71</v>
      </c>
    </row>
    <row r="1300" spans="2:5" ht="16.5">
      <c r="B1300" s="410">
        <v>11000004</v>
      </c>
      <c r="C1300" s="562" t="s">
        <v>1008</v>
      </c>
      <c r="D1300" s="558" t="s">
        <v>1009</v>
      </c>
      <c r="E1300" s="556" t="s">
        <v>71</v>
      </c>
    </row>
    <row r="1301" spans="2:5" ht="16.5">
      <c r="B1301" s="410">
        <v>11000004</v>
      </c>
      <c r="C1301" s="562" t="s">
        <v>1008</v>
      </c>
      <c r="D1301" s="558" t="s">
        <v>1010</v>
      </c>
      <c r="E1301" s="556" t="s">
        <v>71</v>
      </c>
    </row>
    <row r="1302" spans="2:5" ht="16.5">
      <c r="B1302" s="410">
        <v>11000004</v>
      </c>
      <c r="C1302" s="562" t="s">
        <v>1008</v>
      </c>
      <c r="D1302" s="558" t="s">
        <v>1011</v>
      </c>
      <c r="E1302" s="556" t="s">
        <v>71</v>
      </c>
    </row>
    <row r="1303" spans="2:5" ht="16.5">
      <c r="B1303" s="410">
        <v>11000004</v>
      </c>
      <c r="C1303" s="562" t="s">
        <v>1008</v>
      </c>
      <c r="D1303" s="558" t="s">
        <v>1012</v>
      </c>
      <c r="E1303" s="556" t="s">
        <v>71</v>
      </c>
    </row>
    <row r="1304" spans="2:5" ht="16.5">
      <c r="B1304" s="410">
        <v>11000004</v>
      </c>
      <c r="C1304" s="562" t="s">
        <v>1008</v>
      </c>
      <c r="D1304" s="558" t="s">
        <v>1013</v>
      </c>
      <c r="E1304" s="556" t="s">
        <v>71</v>
      </c>
    </row>
    <row r="1305" spans="2:5" ht="16.5">
      <c r="B1305" s="410">
        <v>11000004</v>
      </c>
      <c r="C1305" s="562" t="s">
        <v>1008</v>
      </c>
      <c r="D1305" s="558" t="s">
        <v>1014</v>
      </c>
      <c r="E1305" s="556" t="s">
        <v>71</v>
      </c>
    </row>
    <row r="1306" spans="2:5" ht="16.5">
      <c r="B1306" s="410">
        <v>11000004</v>
      </c>
      <c r="C1306" s="562" t="s">
        <v>1008</v>
      </c>
      <c r="D1306" s="558" t="s">
        <v>1015</v>
      </c>
      <c r="E1306" s="556" t="s">
        <v>71</v>
      </c>
    </row>
    <row r="1307" spans="2:5" ht="16.5">
      <c r="B1307" s="410">
        <v>11000004</v>
      </c>
      <c r="C1307" s="562" t="s">
        <v>1008</v>
      </c>
      <c r="D1307" s="558" t="s">
        <v>1012</v>
      </c>
      <c r="E1307" s="556" t="s">
        <v>71</v>
      </c>
    </row>
    <row r="1308" spans="2:5" ht="16.5">
      <c r="B1308" s="410">
        <v>11000004</v>
      </c>
      <c r="C1308" s="562" t="s">
        <v>1008</v>
      </c>
      <c r="D1308" s="558" t="s">
        <v>1016</v>
      </c>
      <c r="E1308" s="556" t="s">
        <v>71</v>
      </c>
    </row>
    <row r="1309" spans="2:5" ht="16.5">
      <c r="B1309" s="410">
        <v>11000006</v>
      </c>
      <c r="C1309" s="562" t="s">
        <v>1008</v>
      </c>
      <c r="D1309" s="558" t="s">
        <v>1017</v>
      </c>
      <c r="E1309" s="556" t="s">
        <v>71</v>
      </c>
    </row>
    <row r="1310" spans="2:5" ht="16.5">
      <c r="B1310" s="410">
        <v>11000006</v>
      </c>
      <c r="C1310" s="562" t="s">
        <v>1008</v>
      </c>
      <c r="D1310" s="558" t="s">
        <v>1018</v>
      </c>
      <c r="E1310" s="556" t="s">
        <v>71</v>
      </c>
    </row>
    <row r="1311" spans="2:5" ht="16.5">
      <c r="B1311" s="410">
        <v>11000006</v>
      </c>
      <c r="C1311" s="562" t="s">
        <v>1008</v>
      </c>
      <c r="D1311" s="558" t="s">
        <v>1019</v>
      </c>
      <c r="E1311" s="556" t="s">
        <v>71</v>
      </c>
    </row>
    <row r="1312" spans="2:5" ht="16.5">
      <c r="B1312" s="410">
        <v>11000006</v>
      </c>
      <c r="C1312" s="562" t="s">
        <v>1008</v>
      </c>
      <c r="D1312" s="558" t="s">
        <v>1020</v>
      </c>
      <c r="E1312" s="556" t="s">
        <v>71</v>
      </c>
    </row>
    <row r="1313" spans="2:5" ht="16.5">
      <c r="B1313" s="410">
        <v>11000006</v>
      </c>
      <c r="C1313" s="562" t="s">
        <v>1008</v>
      </c>
      <c r="D1313" s="558" t="s">
        <v>1021</v>
      </c>
      <c r="E1313" s="556" t="s">
        <v>71</v>
      </c>
    </row>
    <row r="1314" spans="2:5" ht="16.5">
      <c r="B1314" s="410">
        <v>11000006</v>
      </c>
      <c r="C1314" s="562" t="s">
        <v>1008</v>
      </c>
      <c r="D1314" s="558" t="s">
        <v>1022</v>
      </c>
      <c r="E1314" s="556" t="s">
        <v>71</v>
      </c>
    </row>
    <row r="1315" spans="2:5" ht="16.5">
      <c r="B1315" s="410">
        <v>11000006</v>
      </c>
      <c r="C1315" s="562" t="s">
        <v>1008</v>
      </c>
      <c r="D1315" s="558" t="s">
        <v>1023</v>
      </c>
      <c r="E1315" s="556" t="s">
        <v>71</v>
      </c>
    </row>
    <row r="1316" spans="2:5" ht="16.5">
      <c r="B1316" s="410">
        <v>11000006</v>
      </c>
      <c r="C1316" s="562" t="s">
        <v>1008</v>
      </c>
      <c r="D1316" s="558" t="s">
        <v>1020</v>
      </c>
      <c r="E1316" s="556" t="s">
        <v>71</v>
      </c>
    </row>
    <row r="1317" spans="2:5" ht="16.5">
      <c r="B1317" s="410">
        <v>11000006</v>
      </c>
      <c r="C1317" s="562" t="s">
        <v>1008</v>
      </c>
      <c r="D1317" s="558" t="s">
        <v>1024</v>
      </c>
      <c r="E1317" s="556" t="s">
        <v>71</v>
      </c>
    </row>
    <row r="1318" spans="2:5" ht="16.5">
      <c r="B1318" s="410">
        <v>11000007</v>
      </c>
      <c r="C1318" s="562" t="s">
        <v>1008</v>
      </c>
      <c r="D1318" s="558" t="s">
        <v>1025</v>
      </c>
      <c r="E1318" s="556" t="s">
        <v>71</v>
      </c>
    </row>
    <row r="1319" spans="2:5" ht="16.5">
      <c r="B1319" s="410">
        <v>11000007</v>
      </c>
      <c r="C1319" s="562" t="s">
        <v>1008</v>
      </c>
      <c r="D1319" s="558" t="s">
        <v>1026</v>
      </c>
      <c r="E1319" s="556" t="s">
        <v>71</v>
      </c>
    </row>
    <row r="1320" spans="2:5" ht="16.5">
      <c r="B1320" s="410">
        <v>11000007</v>
      </c>
      <c r="C1320" s="562" t="s">
        <v>1008</v>
      </c>
      <c r="D1320" s="558" t="s">
        <v>1027</v>
      </c>
      <c r="E1320" s="556" t="s">
        <v>71</v>
      </c>
    </row>
    <row r="1321" spans="2:5" ht="16.5">
      <c r="B1321" s="410">
        <v>11000007</v>
      </c>
      <c r="C1321" s="562" t="s">
        <v>1008</v>
      </c>
      <c r="D1321" s="558" t="s">
        <v>1028</v>
      </c>
      <c r="E1321" s="556" t="s">
        <v>71</v>
      </c>
    </row>
    <row r="1322" spans="2:5" ht="16.5">
      <c r="B1322" s="410">
        <v>11000007</v>
      </c>
      <c r="C1322" s="562" t="s">
        <v>1008</v>
      </c>
      <c r="D1322" s="558" t="s">
        <v>1029</v>
      </c>
      <c r="E1322" s="556" t="s">
        <v>71</v>
      </c>
    </row>
    <row r="1323" spans="2:5" ht="16.5">
      <c r="B1323" s="410">
        <v>11000007</v>
      </c>
      <c r="C1323" s="562" t="s">
        <v>1008</v>
      </c>
      <c r="D1323" s="558" t="s">
        <v>1030</v>
      </c>
      <c r="E1323" s="556" t="s">
        <v>71</v>
      </c>
    </row>
    <row r="1324" spans="2:5" ht="16.5">
      <c r="B1324" s="410">
        <v>11000007</v>
      </c>
      <c r="C1324" s="562" t="s">
        <v>1008</v>
      </c>
      <c r="D1324" s="558" t="s">
        <v>1031</v>
      </c>
      <c r="E1324" s="556" t="s">
        <v>71</v>
      </c>
    </row>
    <row r="1325" spans="2:5" ht="16.5">
      <c r="B1325" s="410">
        <v>11000007</v>
      </c>
      <c r="C1325" s="562" t="s">
        <v>1008</v>
      </c>
      <c r="D1325" s="558" t="s">
        <v>1028</v>
      </c>
      <c r="E1325" s="556" t="s">
        <v>71</v>
      </c>
    </row>
    <row r="1326" spans="2:5" ht="16.5">
      <c r="B1326" s="410">
        <v>11000007</v>
      </c>
      <c r="C1326" s="562" t="s">
        <v>1008</v>
      </c>
      <c r="D1326" s="558" t="s">
        <v>1032</v>
      </c>
      <c r="E1326" s="556" t="s">
        <v>71</v>
      </c>
    </row>
    <row r="1327" spans="2:5" ht="16.5">
      <c r="B1327" s="410">
        <v>11000009</v>
      </c>
      <c r="C1327" s="562" t="s">
        <v>1008</v>
      </c>
      <c r="D1327" s="558" t="s">
        <v>1033</v>
      </c>
      <c r="E1327" s="556" t="s">
        <v>71</v>
      </c>
    </row>
    <row r="1328" spans="2:5" ht="16.5">
      <c r="B1328" s="410">
        <v>11000009</v>
      </c>
      <c r="C1328" s="562" t="s">
        <v>1008</v>
      </c>
      <c r="D1328" s="558" t="s">
        <v>1034</v>
      </c>
      <c r="E1328" s="556" t="s">
        <v>71</v>
      </c>
    </row>
    <row r="1329" spans="2:5" ht="16.5">
      <c r="B1329" s="410">
        <v>11000009</v>
      </c>
      <c r="C1329" s="562" t="s">
        <v>1008</v>
      </c>
      <c r="D1329" s="558" t="s">
        <v>1035</v>
      </c>
      <c r="E1329" s="556" t="s">
        <v>71</v>
      </c>
    </row>
    <row r="1330" spans="2:5" ht="16.5">
      <c r="B1330" s="410">
        <v>11000009</v>
      </c>
      <c r="C1330" s="562" t="s">
        <v>1008</v>
      </c>
      <c r="D1330" s="558" t="s">
        <v>1036</v>
      </c>
      <c r="E1330" s="556" t="s">
        <v>71</v>
      </c>
    </row>
    <row r="1331" spans="2:5" ht="16.5">
      <c r="B1331" s="410">
        <v>11000009</v>
      </c>
      <c r="C1331" s="562" t="s">
        <v>1008</v>
      </c>
      <c r="D1331" s="558" t="s">
        <v>1037</v>
      </c>
      <c r="E1331" s="556" t="s">
        <v>71</v>
      </c>
    </row>
    <row r="1332" spans="2:5" ht="16.5">
      <c r="B1332" s="410">
        <v>11000009</v>
      </c>
      <c r="C1332" s="562" t="s">
        <v>1008</v>
      </c>
      <c r="D1332" s="558" t="s">
        <v>1038</v>
      </c>
      <c r="E1332" s="556" t="s">
        <v>71</v>
      </c>
    </row>
    <row r="1333" spans="2:5" ht="16.5">
      <c r="B1333" s="410">
        <v>11000009</v>
      </c>
      <c r="C1333" s="562" t="s">
        <v>1008</v>
      </c>
      <c r="D1333" s="558" t="s">
        <v>1039</v>
      </c>
      <c r="E1333" s="556" t="s">
        <v>71</v>
      </c>
    </row>
    <row r="1334" spans="2:5" ht="16.5">
      <c r="B1334" s="410">
        <v>11000009</v>
      </c>
      <c r="C1334" s="562" t="s">
        <v>1008</v>
      </c>
      <c r="D1334" s="558" t="s">
        <v>1036</v>
      </c>
      <c r="E1334" s="556" t="s">
        <v>71</v>
      </c>
    </row>
    <row r="1335" spans="2:5" ht="16.5">
      <c r="B1335" s="410">
        <v>11000009</v>
      </c>
      <c r="C1335" s="562" t="s">
        <v>1008</v>
      </c>
      <c r="D1335" s="558" t="s">
        <v>1040</v>
      </c>
      <c r="E1335" s="556" t="s">
        <v>71</v>
      </c>
    </row>
    <row r="1336" spans="2:5" ht="16.5">
      <c r="B1336" s="410">
        <v>11000011</v>
      </c>
      <c r="C1336" s="562" t="s">
        <v>1008</v>
      </c>
      <c r="D1336" s="558" t="s">
        <v>1041</v>
      </c>
      <c r="E1336" s="556" t="s">
        <v>71</v>
      </c>
    </row>
    <row r="1337" spans="2:5" ht="16.5">
      <c r="B1337" s="410">
        <v>11000011</v>
      </c>
      <c r="C1337" s="562" t="s">
        <v>1008</v>
      </c>
      <c r="D1337" s="558" t="s">
        <v>1042</v>
      </c>
      <c r="E1337" s="556" t="s">
        <v>71</v>
      </c>
    </row>
    <row r="1338" spans="2:5" ht="16.5">
      <c r="B1338" s="410">
        <v>11000011</v>
      </c>
      <c r="C1338" s="562" t="s">
        <v>1008</v>
      </c>
      <c r="D1338" s="558" t="s">
        <v>1043</v>
      </c>
      <c r="E1338" s="556" t="s">
        <v>71</v>
      </c>
    </row>
    <row r="1339" spans="2:5" ht="16.5">
      <c r="B1339" s="410">
        <v>11000011</v>
      </c>
      <c r="C1339" s="562" t="s">
        <v>1008</v>
      </c>
      <c r="D1339" s="558" t="s">
        <v>1044</v>
      </c>
      <c r="E1339" s="556" t="s">
        <v>71</v>
      </c>
    </row>
    <row r="1340" spans="2:5" ht="16.5">
      <c r="B1340" s="410">
        <v>11000011</v>
      </c>
      <c r="C1340" s="562" t="s">
        <v>1008</v>
      </c>
      <c r="D1340" s="558" t="s">
        <v>1045</v>
      </c>
      <c r="E1340" s="556" t="s">
        <v>71</v>
      </c>
    </row>
    <row r="1341" spans="2:5" ht="16.5">
      <c r="B1341" s="410">
        <v>11000011</v>
      </c>
      <c r="C1341" s="562" t="s">
        <v>1008</v>
      </c>
      <c r="D1341" s="558" t="s">
        <v>1046</v>
      </c>
      <c r="E1341" s="556" t="s">
        <v>71</v>
      </c>
    </row>
    <row r="1342" spans="2:5" ht="16.5">
      <c r="B1342" s="410">
        <v>11000011</v>
      </c>
      <c r="C1342" s="562" t="s">
        <v>1008</v>
      </c>
      <c r="D1342" s="558" t="s">
        <v>1047</v>
      </c>
      <c r="E1342" s="556" t="s">
        <v>71</v>
      </c>
    </row>
    <row r="1343" spans="2:5" ht="16.5">
      <c r="B1343" s="410">
        <v>11000011</v>
      </c>
      <c r="C1343" s="562" t="s">
        <v>1008</v>
      </c>
      <c r="D1343" s="558" t="s">
        <v>1044</v>
      </c>
      <c r="E1343" s="556" t="s">
        <v>71</v>
      </c>
    </row>
    <row r="1344" spans="2:5" ht="16.5">
      <c r="B1344" s="410">
        <v>11000011</v>
      </c>
      <c r="C1344" s="562" t="s">
        <v>1008</v>
      </c>
      <c r="D1344" s="558" t="s">
        <v>1048</v>
      </c>
      <c r="E1344" s="556" t="s">
        <v>71</v>
      </c>
    </row>
    <row r="1345" spans="2:5" ht="16.5">
      <c r="B1345" s="410">
        <v>11000122</v>
      </c>
      <c r="C1345" s="562" t="s">
        <v>1049</v>
      </c>
      <c r="D1345" s="558" t="s">
        <v>1050</v>
      </c>
      <c r="E1345" s="556" t="s">
        <v>71</v>
      </c>
    </row>
    <row r="1346" spans="2:5" ht="16.5">
      <c r="B1346" s="410">
        <v>11000122</v>
      </c>
      <c r="C1346" s="562" t="s">
        <v>1049</v>
      </c>
      <c r="D1346" s="558" t="s">
        <v>1051</v>
      </c>
      <c r="E1346" s="556" t="s">
        <v>71</v>
      </c>
    </row>
    <row r="1347" spans="2:5" ht="16.5">
      <c r="B1347" s="410">
        <v>11000122</v>
      </c>
      <c r="C1347" s="562" t="s">
        <v>1049</v>
      </c>
      <c r="D1347" s="558" t="s">
        <v>1052</v>
      </c>
      <c r="E1347" s="556" t="s">
        <v>71</v>
      </c>
    </row>
    <row r="1348" spans="2:5" ht="16.5">
      <c r="B1348" s="410">
        <v>11000122</v>
      </c>
      <c r="C1348" s="562" t="s">
        <v>1049</v>
      </c>
      <c r="D1348" s="558" t="s">
        <v>1053</v>
      </c>
      <c r="E1348" s="556" t="s">
        <v>71</v>
      </c>
    </row>
    <row r="1349" spans="2:5" ht="16.5">
      <c r="B1349" s="410">
        <v>11000122</v>
      </c>
      <c r="C1349" s="562" t="s">
        <v>1049</v>
      </c>
      <c r="D1349" s="558" t="s">
        <v>1054</v>
      </c>
      <c r="E1349" s="556" t="s">
        <v>71</v>
      </c>
    </row>
    <row r="1350" spans="2:5" ht="16.5">
      <c r="B1350" s="410">
        <v>11000122</v>
      </c>
      <c r="C1350" s="562" t="s">
        <v>1049</v>
      </c>
      <c r="D1350" s="558" t="s">
        <v>1055</v>
      </c>
      <c r="E1350" s="556" t="s">
        <v>71</v>
      </c>
    </row>
    <row r="1351" spans="2:5" ht="16.5">
      <c r="B1351" s="410">
        <v>11000122</v>
      </c>
      <c r="C1351" s="562" t="s">
        <v>1049</v>
      </c>
      <c r="D1351" s="558" t="s">
        <v>1056</v>
      </c>
      <c r="E1351" s="556" t="s">
        <v>71</v>
      </c>
    </row>
    <row r="1352" spans="2:5" ht="16.5">
      <c r="B1352" s="410">
        <v>11000122</v>
      </c>
      <c r="C1352" s="562" t="s">
        <v>1049</v>
      </c>
      <c r="D1352" s="558" t="s">
        <v>1057</v>
      </c>
      <c r="E1352" s="556" t="s">
        <v>71</v>
      </c>
    </row>
    <row r="1353" spans="2:5" ht="16.5">
      <c r="B1353" s="410">
        <v>11000122</v>
      </c>
      <c r="C1353" s="562" t="s">
        <v>1049</v>
      </c>
      <c r="D1353" s="558" t="s">
        <v>1058</v>
      </c>
      <c r="E1353" s="556" t="s">
        <v>71</v>
      </c>
    </row>
    <row r="1354" spans="2:5" ht="16.5">
      <c r="B1354" s="410">
        <v>11000124</v>
      </c>
      <c r="C1354" s="562" t="s">
        <v>1049</v>
      </c>
      <c r="D1354" s="558" t="s">
        <v>1059</v>
      </c>
      <c r="E1354" s="556" t="s">
        <v>71</v>
      </c>
    </row>
    <row r="1355" spans="2:5" ht="16.5">
      <c r="B1355" s="410">
        <v>11000124</v>
      </c>
      <c r="C1355" s="562" t="s">
        <v>1049</v>
      </c>
      <c r="D1355" s="558" t="s">
        <v>1060</v>
      </c>
      <c r="E1355" s="556" t="s">
        <v>71</v>
      </c>
    </row>
    <row r="1356" spans="2:5" ht="16.5">
      <c r="B1356" s="410">
        <v>11000124</v>
      </c>
      <c r="C1356" s="562" t="s">
        <v>1049</v>
      </c>
      <c r="D1356" s="558" t="s">
        <v>1061</v>
      </c>
      <c r="E1356" s="556" t="s">
        <v>71</v>
      </c>
    </row>
    <row r="1357" spans="2:5" ht="16.5">
      <c r="B1357" s="410">
        <v>11000124</v>
      </c>
      <c r="C1357" s="562" t="s">
        <v>1049</v>
      </c>
      <c r="D1357" s="558" t="s">
        <v>1062</v>
      </c>
      <c r="E1357" s="556" t="s">
        <v>71</v>
      </c>
    </row>
    <row r="1358" spans="2:5" ht="16.5">
      <c r="B1358" s="410">
        <v>11000124</v>
      </c>
      <c r="C1358" s="562" t="s">
        <v>1049</v>
      </c>
      <c r="D1358" s="558" t="s">
        <v>1063</v>
      </c>
      <c r="E1358" s="556" t="s">
        <v>71</v>
      </c>
    </row>
    <row r="1359" spans="2:5" ht="16.5">
      <c r="B1359" s="410">
        <v>11000124</v>
      </c>
      <c r="C1359" s="562" t="s">
        <v>1049</v>
      </c>
      <c r="D1359" s="558" t="s">
        <v>1064</v>
      </c>
      <c r="E1359" s="556" t="s">
        <v>71</v>
      </c>
    </row>
    <row r="1360" spans="2:5" ht="16.5">
      <c r="B1360" s="410">
        <v>11000124</v>
      </c>
      <c r="C1360" s="562" t="s">
        <v>1049</v>
      </c>
      <c r="D1360" s="558" t="s">
        <v>1065</v>
      </c>
      <c r="E1360" s="556" t="s">
        <v>71</v>
      </c>
    </row>
    <row r="1361" spans="2:5" ht="16.5">
      <c r="B1361" s="410">
        <v>11000124</v>
      </c>
      <c r="C1361" s="562" t="s">
        <v>1049</v>
      </c>
      <c r="D1361" s="558" t="s">
        <v>1066</v>
      </c>
      <c r="E1361" s="556" t="s">
        <v>71</v>
      </c>
    </row>
    <row r="1362" spans="2:5" ht="16.5">
      <c r="B1362" s="410">
        <v>11000124</v>
      </c>
      <c r="C1362" s="562" t="s">
        <v>1049</v>
      </c>
      <c r="D1362" s="558" t="s">
        <v>1067</v>
      </c>
      <c r="E1362" s="556" t="s">
        <v>71</v>
      </c>
    </row>
    <row r="1363" spans="2:5" ht="16.5">
      <c r="B1363" s="410">
        <v>11000125</v>
      </c>
      <c r="C1363" s="562" t="s">
        <v>1049</v>
      </c>
      <c r="D1363" s="558" t="s">
        <v>1068</v>
      </c>
      <c r="E1363" s="556" t="s">
        <v>71</v>
      </c>
    </row>
    <row r="1364" spans="2:5" ht="16.5">
      <c r="B1364" s="410">
        <v>11000125</v>
      </c>
      <c r="C1364" s="562" t="s">
        <v>1049</v>
      </c>
      <c r="D1364" s="558" t="s">
        <v>1069</v>
      </c>
      <c r="E1364" s="556" t="s">
        <v>71</v>
      </c>
    </row>
    <row r="1365" spans="2:5" ht="16.5">
      <c r="B1365" s="410">
        <v>11000125</v>
      </c>
      <c r="C1365" s="562" t="s">
        <v>1049</v>
      </c>
      <c r="D1365" s="558" t="s">
        <v>1070</v>
      </c>
      <c r="E1365" s="556" t="s">
        <v>71</v>
      </c>
    </row>
    <row r="1366" spans="2:5" ht="16.5">
      <c r="B1366" s="410">
        <v>11000125</v>
      </c>
      <c r="C1366" s="562" t="s">
        <v>1049</v>
      </c>
      <c r="D1366" s="558" t="s">
        <v>1071</v>
      </c>
      <c r="E1366" s="556" t="s">
        <v>71</v>
      </c>
    </row>
    <row r="1367" spans="2:5" ht="16.5">
      <c r="B1367" s="410">
        <v>11000125</v>
      </c>
      <c r="C1367" s="562" t="s">
        <v>1049</v>
      </c>
      <c r="D1367" s="558" t="s">
        <v>1072</v>
      </c>
      <c r="E1367" s="556" t="s">
        <v>71</v>
      </c>
    </row>
    <row r="1368" spans="2:5" ht="16.5">
      <c r="B1368" s="410">
        <v>11000125</v>
      </c>
      <c r="C1368" s="562" t="s">
        <v>1049</v>
      </c>
      <c r="D1368" s="558" t="s">
        <v>1073</v>
      </c>
      <c r="E1368" s="556" t="s">
        <v>71</v>
      </c>
    </row>
    <row r="1369" spans="2:5" ht="16.5">
      <c r="B1369" s="410">
        <v>11000125</v>
      </c>
      <c r="C1369" s="562" t="s">
        <v>1049</v>
      </c>
      <c r="D1369" s="558" t="s">
        <v>1074</v>
      </c>
      <c r="E1369" s="556" t="s">
        <v>71</v>
      </c>
    </row>
    <row r="1370" spans="2:5" ht="16.5">
      <c r="B1370" s="410">
        <v>11000125</v>
      </c>
      <c r="C1370" s="562" t="s">
        <v>1049</v>
      </c>
      <c r="D1370" s="558" t="s">
        <v>1075</v>
      </c>
      <c r="E1370" s="556" t="s">
        <v>71</v>
      </c>
    </row>
    <row r="1371" spans="2:5" ht="16.5">
      <c r="B1371" s="410">
        <v>11000125</v>
      </c>
      <c r="C1371" s="562" t="s">
        <v>1049</v>
      </c>
      <c r="D1371" s="558" t="s">
        <v>1076</v>
      </c>
      <c r="E1371" s="556" t="s">
        <v>71</v>
      </c>
    </row>
    <row r="1372" spans="2:5" ht="16.5">
      <c r="B1372" s="410">
        <v>11000127</v>
      </c>
      <c r="C1372" s="562" t="s">
        <v>1049</v>
      </c>
      <c r="D1372" s="558" t="s">
        <v>1077</v>
      </c>
      <c r="E1372" s="556" t="s">
        <v>71</v>
      </c>
    </row>
    <row r="1373" spans="2:5" ht="16.5">
      <c r="B1373" s="410">
        <v>11000127</v>
      </c>
      <c r="C1373" s="562" t="s">
        <v>1049</v>
      </c>
      <c r="D1373" s="558" t="s">
        <v>1078</v>
      </c>
      <c r="E1373" s="556" t="s">
        <v>71</v>
      </c>
    </row>
    <row r="1374" spans="2:5" ht="16.5">
      <c r="B1374" s="410">
        <v>11000127</v>
      </c>
      <c r="C1374" s="562" t="s">
        <v>1049</v>
      </c>
      <c r="D1374" s="558" t="s">
        <v>1079</v>
      </c>
      <c r="E1374" s="556" t="s">
        <v>71</v>
      </c>
    </row>
    <row r="1375" spans="2:5" ht="16.5">
      <c r="B1375" s="410">
        <v>11000127</v>
      </c>
      <c r="C1375" s="562" t="s">
        <v>1049</v>
      </c>
      <c r="D1375" s="558" t="s">
        <v>1080</v>
      </c>
      <c r="E1375" s="556" t="s">
        <v>71</v>
      </c>
    </row>
    <row r="1376" spans="2:5" ht="16.5">
      <c r="B1376" s="410">
        <v>11000127</v>
      </c>
      <c r="C1376" s="562" t="s">
        <v>1049</v>
      </c>
      <c r="D1376" s="558" t="s">
        <v>1081</v>
      </c>
      <c r="E1376" s="556" t="s">
        <v>71</v>
      </c>
    </row>
    <row r="1377" spans="2:5" ht="16.5">
      <c r="B1377" s="410">
        <v>11000127</v>
      </c>
      <c r="C1377" s="562" t="s">
        <v>1049</v>
      </c>
      <c r="D1377" s="558" t="s">
        <v>1082</v>
      </c>
      <c r="E1377" s="556" t="s">
        <v>71</v>
      </c>
    </row>
    <row r="1378" spans="2:5" ht="16.5">
      <c r="B1378" s="410">
        <v>11000127</v>
      </c>
      <c r="C1378" s="562" t="s">
        <v>1049</v>
      </c>
      <c r="D1378" s="558" t="s">
        <v>1083</v>
      </c>
      <c r="E1378" s="556" t="s">
        <v>71</v>
      </c>
    </row>
    <row r="1379" spans="2:5" ht="16.5">
      <c r="B1379" s="410">
        <v>11000127</v>
      </c>
      <c r="C1379" s="562" t="s">
        <v>1049</v>
      </c>
      <c r="D1379" s="558" t="s">
        <v>1084</v>
      </c>
      <c r="E1379" s="556" t="s">
        <v>71</v>
      </c>
    </row>
    <row r="1380" spans="2:5" ht="16.5">
      <c r="B1380" s="410">
        <v>11000127</v>
      </c>
      <c r="C1380" s="562" t="s">
        <v>1049</v>
      </c>
      <c r="D1380" s="558" t="s">
        <v>1085</v>
      </c>
      <c r="E1380" s="556" t="s">
        <v>71</v>
      </c>
    </row>
    <row r="1381" spans="2:5" ht="16.5">
      <c r="B1381" s="410">
        <v>11000136</v>
      </c>
      <c r="C1381" s="562" t="s">
        <v>1049</v>
      </c>
      <c r="D1381" s="558" t="s">
        <v>1086</v>
      </c>
      <c r="E1381" s="556" t="s">
        <v>71</v>
      </c>
    </row>
    <row r="1382" spans="2:5" ht="16.5">
      <c r="B1382" s="410">
        <v>11000136</v>
      </c>
      <c r="C1382" s="562" t="s">
        <v>1049</v>
      </c>
      <c r="D1382" s="558" t="s">
        <v>1087</v>
      </c>
      <c r="E1382" s="556" t="s">
        <v>71</v>
      </c>
    </row>
    <row r="1383" spans="2:5" ht="16.5">
      <c r="B1383" s="410">
        <v>11000136</v>
      </c>
      <c r="C1383" s="562" t="s">
        <v>1049</v>
      </c>
      <c r="D1383" s="558" t="s">
        <v>1088</v>
      </c>
      <c r="E1383" s="556" t="s">
        <v>71</v>
      </c>
    </row>
    <row r="1384" spans="2:5" ht="16.5">
      <c r="B1384" s="410">
        <v>11000136</v>
      </c>
      <c r="C1384" s="562" t="s">
        <v>1049</v>
      </c>
      <c r="D1384" s="558" t="s">
        <v>1089</v>
      </c>
      <c r="E1384" s="556" t="s">
        <v>71</v>
      </c>
    </row>
    <row r="1385" spans="2:5" ht="16.5">
      <c r="B1385" s="410">
        <v>11000136</v>
      </c>
      <c r="C1385" s="562" t="s">
        <v>1049</v>
      </c>
      <c r="D1385" s="558" t="s">
        <v>1090</v>
      </c>
      <c r="E1385" s="556" t="s">
        <v>71</v>
      </c>
    </row>
    <row r="1386" spans="2:5" ht="16.5">
      <c r="B1386" s="410">
        <v>11000136</v>
      </c>
      <c r="C1386" s="562" t="s">
        <v>1049</v>
      </c>
      <c r="D1386" s="558" t="s">
        <v>1091</v>
      </c>
      <c r="E1386" s="556" t="s">
        <v>71</v>
      </c>
    </row>
    <row r="1387" spans="2:5" ht="16.5">
      <c r="B1387" s="410">
        <v>11000136</v>
      </c>
      <c r="C1387" s="562" t="s">
        <v>1049</v>
      </c>
      <c r="D1387" s="558" t="s">
        <v>1092</v>
      </c>
      <c r="E1387" s="556" t="s">
        <v>71</v>
      </c>
    </row>
    <row r="1388" spans="2:5" ht="16.5">
      <c r="B1388" s="410">
        <v>11000136</v>
      </c>
      <c r="C1388" s="562" t="s">
        <v>1049</v>
      </c>
      <c r="D1388" s="558" t="s">
        <v>1093</v>
      </c>
      <c r="E1388" s="556" t="s">
        <v>71</v>
      </c>
    </row>
    <row r="1389" spans="2:5" ht="16.5">
      <c r="B1389" s="410">
        <v>11000136</v>
      </c>
      <c r="C1389" s="562" t="s">
        <v>1049</v>
      </c>
      <c r="D1389" s="558" t="s">
        <v>1094</v>
      </c>
      <c r="E1389" s="556" t="s">
        <v>71</v>
      </c>
    </row>
    <row r="1390" spans="2:5" ht="16.5">
      <c r="B1390" s="410">
        <v>11002010</v>
      </c>
      <c r="C1390" s="562" t="s">
        <v>1049</v>
      </c>
      <c r="D1390" s="558" t="s">
        <v>1095</v>
      </c>
      <c r="E1390" s="556" t="s">
        <v>71</v>
      </c>
    </row>
    <row r="1391" spans="2:5" ht="16.5">
      <c r="B1391" s="410">
        <v>11002010</v>
      </c>
      <c r="C1391" s="562" t="s">
        <v>1049</v>
      </c>
      <c r="D1391" s="558" t="s">
        <v>1096</v>
      </c>
      <c r="E1391" s="556" t="s">
        <v>71</v>
      </c>
    </row>
    <row r="1392" spans="2:5" ht="16.5">
      <c r="B1392" s="410">
        <v>11002010</v>
      </c>
      <c r="C1392" s="562" t="s">
        <v>1049</v>
      </c>
      <c r="D1392" s="558" t="s">
        <v>1097</v>
      </c>
      <c r="E1392" s="556" t="s">
        <v>71</v>
      </c>
    </row>
    <row r="1393" spans="2:5" ht="16.5">
      <c r="B1393" s="410">
        <v>11002010</v>
      </c>
      <c r="C1393" s="562" t="s">
        <v>1049</v>
      </c>
      <c r="D1393" s="558" t="s">
        <v>1098</v>
      </c>
      <c r="E1393" s="556" t="s">
        <v>71</v>
      </c>
    </row>
    <row r="1394" spans="2:5" ht="16.5">
      <c r="B1394" s="410">
        <v>11002010</v>
      </c>
      <c r="C1394" s="562" t="s">
        <v>1049</v>
      </c>
      <c r="D1394" s="558" t="s">
        <v>1099</v>
      </c>
      <c r="E1394" s="556" t="s">
        <v>71</v>
      </c>
    </row>
    <row r="1395" spans="2:5" ht="16.5">
      <c r="B1395" s="410">
        <v>11002010</v>
      </c>
      <c r="C1395" s="562" t="s">
        <v>1049</v>
      </c>
      <c r="D1395" s="558" t="s">
        <v>1100</v>
      </c>
      <c r="E1395" s="556" t="s">
        <v>71</v>
      </c>
    </row>
    <row r="1396" spans="2:5" ht="16.5">
      <c r="B1396" s="410">
        <v>11002010</v>
      </c>
      <c r="C1396" s="562" t="s">
        <v>1049</v>
      </c>
      <c r="D1396" s="558" t="s">
        <v>1101</v>
      </c>
      <c r="E1396" s="556" t="s">
        <v>71</v>
      </c>
    </row>
    <row r="1397" spans="2:5" ht="16.5">
      <c r="B1397" s="410">
        <v>11002010</v>
      </c>
      <c r="C1397" s="562" t="s">
        <v>1049</v>
      </c>
      <c r="D1397" s="558" t="s">
        <v>1102</v>
      </c>
      <c r="E1397" s="556" t="s">
        <v>71</v>
      </c>
    </row>
    <row r="1398" spans="2:5" ht="16.5">
      <c r="B1398" s="410">
        <v>11002010</v>
      </c>
      <c r="C1398" s="562" t="s">
        <v>1049</v>
      </c>
      <c r="D1398" s="558" t="s">
        <v>1103</v>
      </c>
      <c r="E1398" s="556" t="s">
        <v>71</v>
      </c>
    </row>
    <row r="1399" spans="2:5" ht="16.5">
      <c r="B1399" s="410">
        <v>11100175</v>
      </c>
      <c r="C1399" s="562" t="s">
        <v>1104</v>
      </c>
      <c r="D1399" s="558" t="s">
        <v>1105</v>
      </c>
      <c r="E1399" s="556" t="s">
        <v>71</v>
      </c>
    </row>
    <row r="1400" spans="2:5" ht="16.5">
      <c r="B1400" s="410">
        <v>11100175</v>
      </c>
      <c r="C1400" s="562" t="s">
        <v>1104</v>
      </c>
      <c r="D1400" s="558" t="s">
        <v>1106</v>
      </c>
      <c r="E1400" s="556" t="s">
        <v>71</v>
      </c>
    </row>
    <row r="1401" spans="2:5" ht="16.5">
      <c r="B1401" s="410">
        <v>11100175</v>
      </c>
      <c r="C1401" s="562" t="s">
        <v>1104</v>
      </c>
      <c r="D1401" s="558" t="s">
        <v>1107</v>
      </c>
      <c r="E1401" s="556" t="s">
        <v>71</v>
      </c>
    </row>
    <row r="1402" spans="2:5" ht="16.5">
      <c r="B1402" s="410">
        <v>11100175</v>
      </c>
      <c r="C1402" s="562" t="s">
        <v>1104</v>
      </c>
      <c r="D1402" s="558" t="s">
        <v>1108</v>
      </c>
      <c r="E1402" s="556" t="s">
        <v>71</v>
      </c>
    </row>
    <row r="1403" spans="2:5" ht="16.5">
      <c r="B1403" s="410">
        <v>11100175</v>
      </c>
      <c r="C1403" s="562" t="s">
        <v>1104</v>
      </c>
      <c r="D1403" s="558" t="s">
        <v>1109</v>
      </c>
      <c r="E1403" s="556" t="s">
        <v>71</v>
      </c>
    </row>
    <row r="1404" spans="2:5" ht="16.5">
      <c r="B1404" s="410">
        <v>11100175</v>
      </c>
      <c r="C1404" s="562" t="s">
        <v>1104</v>
      </c>
      <c r="D1404" s="558" t="s">
        <v>1110</v>
      </c>
      <c r="E1404" s="556" t="s">
        <v>71</v>
      </c>
    </row>
    <row r="1405" spans="2:5" ht="16.5">
      <c r="B1405" s="410">
        <v>11100155</v>
      </c>
      <c r="C1405" s="562" t="s">
        <v>1104</v>
      </c>
      <c r="D1405" s="558" t="s">
        <v>1111</v>
      </c>
      <c r="E1405" s="556" t="s">
        <v>71</v>
      </c>
    </row>
    <row r="1406" spans="2:5" ht="16.5">
      <c r="B1406" s="410">
        <v>11100155</v>
      </c>
      <c r="C1406" s="562" t="s">
        <v>1104</v>
      </c>
      <c r="D1406" s="558" t="s">
        <v>1112</v>
      </c>
      <c r="E1406" s="556" t="s">
        <v>71</v>
      </c>
    </row>
    <row r="1407" spans="2:5" ht="16.5">
      <c r="B1407" s="410">
        <v>11100155</v>
      </c>
      <c r="C1407" s="562" t="s">
        <v>1104</v>
      </c>
      <c r="D1407" s="558" t="s">
        <v>1113</v>
      </c>
      <c r="E1407" s="556" t="s">
        <v>71</v>
      </c>
    </row>
    <row r="1408" spans="2:5" ht="16.5">
      <c r="B1408" s="410">
        <v>11100155</v>
      </c>
      <c r="C1408" s="562" t="s">
        <v>1104</v>
      </c>
      <c r="D1408" s="558" t="s">
        <v>1114</v>
      </c>
      <c r="E1408" s="556" t="s">
        <v>71</v>
      </c>
    </row>
    <row r="1409" spans="2:5" ht="16.5">
      <c r="B1409" s="410">
        <v>11100155</v>
      </c>
      <c r="C1409" s="562" t="s">
        <v>1104</v>
      </c>
      <c r="D1409" s="558" t="s">
        <v>1115</v>
      </c>
      <c r="E1409" s="556" t="s">
        <v>71</v>
      </c>
    </row>
    <row r="1410" spans="2:5" ht="16.5">
      <c r="B1410" s="410">
        <v>11100155</v>
      </c>
      <c r="C1410" s="562" t="s">
        <v>1104</v>
      </c>
      <c r="D1410" s="558" t="s">
        <v>1116</v>
      </c>
      <c r="E1410" s="556" t="s">
        <v>71</v>
      </c>
    </row>
    <row r="1411" spans="2:5" ht="16.5">
      <c r="B1411" s="410">
        <v>11002542</v>
      </c>
      <c r="C1411" s="562" t="s">
        <v>1117</v>
      </c>
      <c r="D1411" s="558" t="s">
        <v>1118</v>
      </c>
      <c r="E1411" s="556" t="s">
        <v>71</v>
      </c>
    </row>
    <row r="1412" spans="2:5" ht="16.5">
      <c r="B1412" s="410">
        <v>11002542</v>
      </c>
      <c r="C1412" s="562" t="s">
        <v>1117</v>
      </c>
      <c r="D1412" s="558" t="s">
        <v>1119</v>
      </c>
      <c r="E1412" s="556" t="s">
        <v>71</v>
      </c>
    </row>
    <row r="1413" spans="2:5" ht="16.5">
      <c r="B1413" s="410">
        <v>11002542</v>
      </c>
      <c r="C1413" s="562" t="s">
        <v>1117</v>
      </c>
      <c r="D1413" s="558" t="s">
        <v>1120</v>
      </c>
      <c r="E1413" s="556" t="s">
        <v>71</v>
      </c>
    </row>
    <row r="1414" spans="2:5" ht="16.5">
      <c r="B1414" s="410">
        <v>11002542</v>
      </c>
      <c r="C1414" s="562" t="s">
        <v>1117</v>
      </c>
      <c r="D1414" s="558" t="s">
        <v>1121</v>
      </c>
      <c r="E1414" s="556" t="s">
        <v>71</v>
      </c>
    </row>
    <row r="1415" spans="2:5" ht="16.5">
      <c r="B1415" s="410">
        <v>11002542</v>
      </c>
      <c r="C1415" s="562" t="s">
        <v>1117</v>
      </c>
      <c r="D1415" s="558" t="s">
        <v>1122</v>
      </c>
      <c r="E1415" s="556" t="s">
        <v>71</v>
      </c>
    </row>
    <row r="1416" spans="2:5" ht="16.5">
      <c r="B1416" s="410">
        <v>11002542</v>
      </c>
      <c r="C1416" s="562" t="s">
        <v>1117</v>
      </c>
      <c r="D1416" s="558" t="s">
        <v>1123</v>
      </c>
      <c r="E1416" s="556" t="s">
        <v>71</v>
      </c>
    </row>
    <row r="1417" spans="2:5" ht="16.5">
      <c r="B1417" s="410">
        <v>11002542</v>
      </c>
      <c r="C1417" s="562" t="s">
        <v>1117</v>
      </c>
      <c r="D1417" s="558" t="s">
        <v>1124</v>
      </c>
      <c r="E1417" s="556" t="s">
        <v>71</v>
      </c>
    </row>
    <row r="1418" spans="2:5" ht="16.5">
      <c r="B1418" s="410">
        <v>11002542</v>
      </c>
      <c r="C1418" s="562" t="s">
        <v>1117</v>
      </c>
      <c r="D1418" s="558" t="s">
        <v>1125</v>
      </c>
      <c r="E1418" s="556" t="s">
        <v>71</v>
      </c>
    </row>
    <row r="1419" spans="2:5" ht="16.5">
      <c r="B1419" s="410">
        <v>11002542</v>
      </c>
      <c r="C1419" s="562" t="s">
        <v>1117</v>
      </c>
      <c r="D1419" s="558" t="s">
        <v>1126</v>
      </c>
      <c r="E1419" s="556" t="s">
        <v>71</v>
      </c>
    </row>
    <row r="1420" spans="2:5" ht="16.5">
      <c r="B1420" s="410">
        <v>11002542</v>
      </c>
      <c r="C1420" s="562" t="s">
        <v>1117</v>
      </c>
      <c r="D1420" s="558" t="s">
        <v>1127</v>
      </c>
      <c r="E1420" s="556" t="s">
        <v>71</v>
      </c>
    </row>
    <row r="1421" spans="2:5" ht="16.5">
      <c r="B1421" s="410">
        <v>11002542</v>
      </c>
      <c r="C1421" s="562" t="s">
        <v>1117</v>
      </c>
      <c r="D1421" s="558" t="s">
        <v>1128</v>
      </c>
      <c r="E1421" s="556" t="s">
        <v>71</v>
      </c>
    </row>
    <row r="1422" spans="2:5" ht="16.5">
      <c r="B1422" s="410">
        <v>11002542</v>
      </c>
      <c r="C1422" s="562" t="s">
        <v>1117</v>
      </c>
      <c r="D1422" s="558" t="s">
        <v>1129</v>
      </c>
      <c r="E1422" s="556" t="s">
        <v>71</v>
      </c>
    </row>
    <row r="1423" spans="2:5" ht="16.5">
      <c r="B1423" s="410">
        <v>11002542</v>
      </c>
      <c r="C1423" s="562" t="s">
        <v>1117</v>
      </c>
      <c r="D1423" s="558" t="s">
        <v>1130</v>
      </c>
      <c r="E1423" s="556" t="s">
        <v>71</v>
      </c>
    </row>
    <row r="1424" spans="2:5" ht="16.5">
      <c r="B1424" s="410">
        <v>11002542</v>
      </c>
      <c r="C1424" s="562" t="s">
        <v>1117</v>
      </c>
      <c r="D1424" s="558" t="s">
        <v>1131</v>
      </c>
      <c r="E1424" s="556" t="s">
        <v>71</v>
      </c>
    </row>
    <row r="1425" spans="2:5" ht="16.5">
      <c r="B1425" s="410">
        <v>11002542</v>
      </c>
      <c r="C1425" s="562" t="s">
        <v>1117</v>
      </c>
      <c r="D1425" s="558" t="s">
        <v>1132</v>
      </c>
      <c r="E1425" s="556" t="s">
        <v>71</v>
      </c>
    </row>
    <row r="1426" spans="2:5" ht="16.5">
      <c r="B1426" s="410">
        <v>11002542</v>
      </c>
      <c r="C1426" s="562" t="s">
        <v>1117</v>
      </c>
      <c r="D1426" s="558" t="s">
        <v>1133</v>
      </c>
      <c r="E1426" s="556" t="s">
        <v>71</v>
      </c>
    </row>
    <row r="1427" spans="2:5" ht="16.5">
      <c r="B1427" s="410">
        <v>11002542</v>
      </c>
      <c r="C1427" s="562" t="s">
        <v>1117</v>
      </c>
      <c r="D1427" s="558" t="s">
        <v>1134</v>
      </c>
      <c r="E1427" s="556" t="s">
        <v>71</v>
      </c>
    </row>
    <row r="1428" spans="2:5" ht="16.5">
      <c r="B1428" s="410">
        <v>11001500</v>
      </c>
      <c r="C1428" s="562" t="s">
        <v>1117</v>
      </c>
      <c r="D1428" s="558" t="s">
        <v>1135</v>
      </c>
      <c r="E1428" s="556" t="s">
        <v>71</v>
      </c>
    </row>
    <row r="1429" spans="2:5" ht="16.5">
      <c r="B1429" s="410">
        <v>11001500</v>
      </c>
      <c r="C1429" s="562" t="s">
        <v>1117</v>
      </c>
      <c r="D1429" s="558" t="s">
        <v>1136</v>
      </c>
      <c r="E1429" s="556" t="s">
        <v>71</v>
      </c>
    </row>
    <row r="1430" spans="2:5" ht="16.5">
      <c r="B1430" s="410">
        <v>11001500</v>
      </c>
      <c r="C1430" s="562" t="s">
        <v>1117</v>
      </c>
      <c r="D1430" s="558" t="s">
        <v>1137</v>
      </c>
      <c r="E1430" s="556" t="s">
        <v>71</v>
      </c>
    </row>
    <row r="1431" spans="2:5" ht="16.5">
      <c r="B1431" s="410">
        <v>11001500</v>
      </c>
      <c r="C1431" s="562" t="s">
        <v>1117</v>
      </c>
      <c r="D1431" s="558" t="s">
        <v>1138</v>
      </c>
      <c r="E1431" s="556" t="s">
        <v>71</v>
      </c>
    </row>
    <row r="1432" spans="2:5" ht="16.5">
      <c r="B1432" s="410">
        <v>11001500</v>
      </c>
      <c r="C1432" s="562" t="s">
        <v>1117</v>
      </c>
      <c r="D1432" s="558" t="s">
        <v>1139</v>
      </c>
      <c r="E1432" s="556" t="s">
        <v>71</v>
      </c>
    </row>
    <row r="1433" spans="2:5" ht="16.5">
      <c r="B1433" s="410">
        <v>11001500</v>
      </c>
      <c r="C1433" s="562" t="s">
        <v>1117</v>
      </c>
      <c r="D1433" s="558" t="s">
        <v>1140</v>
      </c>
      <c r="E1433" s="556" t="s">
        <v>71</v>
      </c>
    </row>
    <row r="1434" spans="2:5" ht="16.5">
      <c r="B1434" s="410">
        <v>11001500</v>
      </c>
      <c r="C1434" s="562" t="s">
        <v>1117</v>
      </c>
      <c r="D1434" s="558" t="s">
        <v>1141</v>
      </c>
      <c r="E1434" s="556" t="s">
        <v>71</v>
      </c>
    </row>
    <row r="1435" spans="2:5" ht="16.5">
      <c r="B1435" s="410">
        <v>11001500</v>
      </c>
      <c r="C1435" s="562" t="s">
        <v>1117</v>
      </c>
      <c r="D1435" s="558" t="s">
        <v>1142</v>
      </c>
      <c r="E1435" s="556" t="s">
        <v>71</v>
      </c>
    </row>
    <row r="1436" spans="2:5" ht="16.5">
      <c r="B1436" s="410">
        <v>11001500</v>
      </c>
      <c r="C1436" s="562" t="s">
        <v>1117</v>
      </c>
      <c r="D1436" s="558" t="s">
        <v>1143</v>
      </c>
      <c r="E1436" s="556" t="s">
        <v>71</v>
      </c>
    </row>
    <row r="1437" spans="2:5" ht="16.5">
      <c r="B1437" s="410">
        <v>11001500</v>
      </c>
      <c r="C1437" s="562" t="s">
        <v>1117</v>
      </c>
      <c r="D1437" s="558" t="s">
        <v>1144</v>
      </c>
      <c r="E1437" s="556" t="s">
        <v>71</v>
      </c>
    </row>
    <row r="1438" spans="2:5" ht="16.5">
      <c r="B1438" s="410">
        <v>11001500</v>
      </c>
      <c r="C1438" s="562" t="s">
        <v>1117</v>
      </c>
      <c r="D1438" s="558" t="s">
        <v>1145</v>
      </c>
      <c r="E1438" s="556" t="s">
        <v>71</v>
      </c>
    </row>
    <row r="1439" spans="2:5" ht="16.5">
      <c r="B1439" s="410">
        <v>11001500</v>
      </c>
      <c r="C1439" s="562" t="s">
        <v>1117</v>
      </c>
      <c r="D1439" s="558" t="s">
        <v>1146</v>
      </c>
      <c r="E1439" s="556" t="s">
        <v>71</v>
      </c>
    </row>
    <row r="1440" spans="2:5" ht="16.5">
      <c r="B1440" s="410">
        <v>11001500</v>
      </c>
      <c r="C1440" s="562" t="s">
        <v>1117</v>
      </c>
      <c r="D1440" s="558" t="s">
        <v>1147</v>
      </c>
      <c r="E1440" s="556" t="s">
        <v>71</v>
      </c>
    </row>
    <row r="1441" spans="2:5" ht="16.5">
      <c r="B1441" s="410">
        <v>11001500</v>
      </c>
      <c r="C1441" s="562" t="s">
        <v>1117</v>
      </c>
      <c r="D1441" s="558" t="s">
        <v>1148</v>
      </c>
      <c r="E1441" s="556" t="s">
        <v>71</v>
      </c>
    </row>
    <row r="1442" spans="2:5" ht="16.5">
      <c r="B1442" s="410">
        <v>11001500</v>
      </c>
      <c r="C1442" s="562" t="s">
        <v>1117</v>
      </c>
      <c r="D1442" s="558" t="s">
        <v>1149</v>
      </c>
      <c r="E1442" s="556" t="s">
        <v>71</v>
      </c>
    </row>
    <row r="1443" spans="2:5" ht="16.5">
      <c r="B1443" s="410">
        <v>11001500</v>
      </c>
      <c r="C1443" s="562" t="s">
        <v>1117</v>
      </c>
      <c r="D1443" s="558" t="s">
        <v>1150</v>
      </c>
      <c r="E1443" s="556" t="s">
        <v>71</v>
      </c>
    </row>
    <row r="1444" spans="2:5" ht="16.5">
      <c r="B1444" s="410">
        <v>11001500</v>
      </c>
      <c r="C1444" s="562" t="s">
        <v>1117</v>
      </c>
      <c r="D1444" s="558" t="s">
        <v>1134</v>
      </c>
      <c r="E1444" s="556" t="s">
        <v>71</v>
      </c>
    </row>
    <row r="1445" spans="2:5" ht="16.5">
      <c r="B1445" s="410">
        <v>11001500</v>
      </c>
      <c r="C1445" s="562" t="s">
        <v>1117</v>
      </c>
      <c r="D1445" s="558" t="s">
        <v>1134</v>
      </c>
      <c r="E1445" s="556" t="s">
        <v>71</v>
      </c>
    </row>
    <row r="1446" spans="2:5" ht="16.5">
      <c r="B1446" s="410">
        <v>11000169</v>
      </c>
      <c r="C1446" s="562" t="s">
        <v>1151</v>
      </c>
      <c r="D1446" s="558" t="s">
        <v>1152</v>
      </c>
      <c r="E1446" s="556" t="s">
        <v>71</v>
      </c>
    </row>
    <row r="1447" spans="2:5" ht="16.5">
      <c r="B1447" s="410">
        <v>11000169</v>
      </c>
      <c r="C1447" s="562" t="s">
        <v>1151</v>
      </c>
      <c r="D1447" s="558" t="s">
        <v>1153</v>
      </c>
      <c r="E1447" s="556" t="s">
        <v>71</v>
      </c>
    </row>
    <row r="1448" spans="2:5" ht="16.5">
      <c r="B1448" s="410">
        <v>11000169</v>
      </c>
      <c r="C1448" s="562" t="s">
        <v>1151</v>
      </c>
      <c r="D1448" s="558" t="s">
        <v>1154</v>
      </c>
      <c r="E1448" s="556" t="s">
        <v>71</v>
      </c>
    </row>
    <row r="1449" spans="2:5" ht="16.5">
      <c r="B1449" s="410">
        <v>11000169</v>
      </c>
      <c r="C1449" s="562" t="s">
        <v>1151</v>
      </c>
      <c r="D1449" s="558" t="s">
        <v>1155</v>
      </c>
      <c r="E1449" s="556" t="s">
        <v>71</v>
      </c>
    </row>
    <row r="1450" spans="2:5" ht="16.5">
      <c r="B1450" s="410">
        <v>11000169</v>
      </c>
      <c r="C1450" s="562" t="s">
        <v>1151</v>
      </c>
      <c r="D1450" s="558" t="s">
        <v>1156</v>
      </c>
      <c r="E1450" s="556" t="s">
        <v>71</v>
      </c>
    </row>
    <row r="1451" spans="2:5" ht="16.5">
      <c r="B1451" s="410">
        <v>11000169</v>
      </c>
      <c r="C1451" s="562" t="s">
        <v>1151</v>
      </c>
      <c r="D1451" s="558" t="s">
        <v>1157</v>
      </c>
      <c r="E1451" s="556" t="s">
        <v>71</v>
      </c>
    </row>
    <row r="1452" spans="2:5" ht="16.5">
      <c r="B1452" s="410">
        <v>11000169</v>
      </c>
      <c r="C1452" s="562" t="s">
        <v>1151</v>
      </c>
      <c r="D1452" s="558" t="s">
        <v>1158</v>
      </c>
      <c r="E1452" s="556" t="s">
        <v>71</v>
      </c>
    </row>
    <row r="1453" spans="2:5" ht="16.5">
      <c r="B1453" s="410">
        <v>11000169</v>
      </c>
      <c r="C1453" s="562" t="s">
        <v>1151</v>
      </c>
      <c r="D1453" s="558" t="s">
        <v>1159</v>
      </c>
      <c r="E1453" s="556" t="s">
        <v>71</v>
      </c>
    </row>
    <row r="1454" spans="2:5" ht="16.5">
      <c r="B1454" s="410">
        <v>11000169</v>
      </c>
      <c r="C1454" s="562" t="s">
        <v>1151</v>
      </c>
      <c r="D1454" s="558" t="s">
        <v>1160</v>
      </c>
      <c r="E1454" s="556" t="s">
        <v>71</v>
      </c>
    </row>
    <row r="1455" spans="2:5" ht="16.5">
      <c r="B1455" s="410">
        <v>11000169</v>
      </c>
      <c r="C1455" s="562" t="s">
        <v>1151</v>
      </c>
      <c r="D1455" s="558" t="s">
        <v>1161</v>
      </c>
      <c r="E1455" s="556" t="s">
        <v>71</v>
      </c>
    </row>
    <row r="1456" spans="2:5" ht="16.5">
      <c r="B1456" s="410">
        <v>11000169</v>
      </c>
      <c r="C1456" s="562" t="s">
        <v>1151</v>
      </c>
      <c r="D1456" s="558" t="s">
        <v>1162</v>
      </c>
      <c r="E1456" s="556" t="s">
        <v>71</v>
      </c>
    </row>
    <row r="1457" spans="2:5" ht="16.5">
      <c r="B1457" s="410">
        <v>11000169</v>
      </c>
      <c r="C1457" s="562" t="s">
        <v>1151</v>
      </c>
      <c r="D1457" s="558" t="s">
        <v>1163</v>
      </c>
      <c r="E1457" s="556" t="s">
        <v>71</v>
      </c>
    </row>
    <row r="1458" spans="2:5" ht="16.5">
      <c r="B1458" s="410">
        <v>11000169</v>
      </c>
      <c r="C1458" s="562" t="s">
        <v>1151</v>
      </c>
      <c r="D1458" s="558" t="s">
        <v>1164</v>
      </c>
      <c r="E1458" s="556" t="s">
        <v>71</v>
      </c>
    </row>
    <row r="1459" spans="2:5" ht="16.5">
      <c r="B1459" s="410">
        <v>11000171</v>
      </c>
      <c r="C1459" s="562" t="s">
        <v>1151</v>
      </c>
      <c r="D1459" s="558" t="s">
        <v>1165</v>
      </c>
      <c r="E1459" s="556" t="s">
        <v>71</v>
      </c>
    </row>
    <row r="1460" spans="2:5" ht="16.5">
      <c r="B1460" s="410">
        <v>11000171</v>
      </c>
      <c r="C1460" s="562" t="s">
        <v>1151</v>
      </c>
      <c r="D1460" s="558" t="s">
        <v>1166</v>
      </c>
      <c r="E1460" s="556" t="s">
        <v>71</v>
      </c>
    </row>
    <row r="1461" spans="2:5" ht="16.5">
      <c r="B1461" s="410">
        <v>11000171</v>
      </c>
      <c r="C1461" s="562" t="s">
        <v>1151</v>
      </c>
      <c r="D1461" s="558" t="s">
        <v>1167</v>
      </c>
      <c r="E1461" s="556" t="s">
        <v>71</v>
      </c>
    </row>
    <row r="1462" spans="2:5" ht="16.5">
      <c r="B1462" s="410">
        <v>11000171</v>
      </c>
      <c r="C1462" s="562" t="s">
        <v>1151</v>
      </c>
      <c r="D1462" s="558" t="s">
        <v>1168</v>
      </c>
      <c r="E1462" s="556" t="s">
        <v>71</v>
      </c>
    </row>
    <row r="1463" spans="2:5" ht="16.5">
      <c r="B1463" s="410">
        <v>11000171</v>
      </c>
      <c r="C1463" s="562" t="s">
        <v>1151</v>
      </c>
      <c r="D1463" s="558" t="s">
        <v>1169</v>
      </c>
      <c r="E1463" s="556" t="s">
        <v>71</v>
      </c>
    </row>
    <row r="1464" spans="2:5" ht="16.5">
      <c r="B1464" s="410">
        <v>11000171</v>
      </c>
      <c r="C1464" s="562" t="s">
        <v>1151</v>
      </c>
      <c r="D1464" s="558" t="s">
        <v>1170</v>
      </c>
      <c r="E1464" s="556" t="s">
        <v>71</v>
      </c>
    </row>
    <row r="1465" spans="2:5" ht="16.5">
      <c r="B1465" s="410">
        <v>11000171</v>
      </c>
      <c r="C1465" s="562" t="s">
        <v>1151</v>
      </c>
      <c r="D1465" s="558" t="s">
        <v>1171</v>
      </c>
      <c r="E1465" s="556" t="s">
        <v>71</v>
      </c>
    </row>
    <row r="1466" spans="2:5" ht="16.5">
      <c r="B1466" s="410">
        <v>11000171</v>
      </c>
      <c r="C1466" s="562" t="s">
        <v>1151</v>
      </c>
      <c r="D1466" s="558" t="s">
        <v>1172</v>
      </c>
      <c r="E1466" s="556" t="s">
        <v>71</v>
      </c>
    </row>
    <row r="1467" spans="2:5" ht="16.5">
      <c r="B1467" s="410">
        <v>11000171</v>
      </c>
      <c r="C1467" s="562" t="s">
        <v>1151</v>
      </c>
      <c r="D1467" s="558" t="s">
        <v>1173</v>
      </c>
      <c r="E1467" s="556" t="s">
        <v>71</v>
      </c>
    </row>
    <row r="1468" spans="2:5" ht="16.5">
      <c r="B1468" s="410">
        <v>11000171</v>
      </c>
      <c r="C1468" s="562" t="s">
        <v>1151</v>
      </c>
      <c r="D1468" s="558" t="s">
        <v>1174</v>
      </c>
      <c r="E1468" s="556" t="s">
        <v>71</v>
      </c>
    </row>
    <row r="1469" spans="2:5" ht="16.5">
      <c r="B1469" s="410">
        <v>11000171</v>
      </c>
      <c r="C1469" s="562" t="s">
        <v>1151</v>
      </c>
      <c r="D1469" s="558" t="s">
        <v>1175</v>
      </c>
      <c r="E1469" s="556" t="s">
        <v>71</v>
      </c>
    </row>
    <row r="1470" spans="2:5" ht="16.5">
      <c r="B1470" s="410">
        <v>11000171</v>
      </c>
      <c r="C1470" s="562" t="s">
        <v>1151</v>
      </c>
      <c r="D1470" s="558" t="s">
        <v>1176</v>
      </c>
      <c r="E1470" s="556" t="s">
        <v>71</v>
      </c>
    </row>
    <row r="1471" spans="2:5" ht="16.5">
      <c r="B1471" s="410">
        <v>11000171</v>
      </c>
      <c r="C1471" s="562" t="s">
        <v>1151</v>
      </c>
      <c r="D1471" s="558" t="s">
        <v>1177</v>
      </c>
      <c r="E1471" s="556" t="s">
        <v>71</v>
      </c>
    </row>
    <row r="1472" spans="2:5" ht="16.5">
      <c r="B1472" s="410">
        <v>11000172</v>
      </c>
      <c r="C1472" s="562" t="s">
        <v>1151</v>
      </c>
      <c r="D1472" s="558" t="s">
        <v>1178</v>
      </c>
      <c r="E1472" s="556" t="s">
        <v>71</v>
      </c>
    </row>
    <row r="1473" spans="2:5" ht="16.5">
      <c r="B1473" s="410">
        <v>11000172</v>
      </c>
      <c r="C1473" s="562" t="s">
        <v>1151</v>
      </c>
      <c r="D1473" s="558" t="s">
        <v>1179</v>
      </c>
      <c r="E1473" s="556" t="s">
        <v>71</v>
      </c>
    </row>
    <row r="1474" spans="2:5" ht="16.5">
      <c r="B1474" s="410">
        <v>11000172</v>
      </c>
      <c r="C1474" s="562" t="s">
        <v>1151</v>
      </c>
      <c r="D1474" s="558" t="s">
        <v>1180</v>
      </c>
      <c r="E1474" s="556" t="s">
        <v>71</v>
      </c>
    </row>
    <row r="1475" spans="2:5" ht="16.5">
      <c r="B1475" s="410">
        <v>11000172</v>
      </c>
      <c r="C1475" s="562" t="s">
        <v>1151</v>
      </c>
      <c r="D1475" s="558" t="s">
        <v>1181</v>
      </c>
      <c r="E1475" s="556" t="s">
        <v>71</v>
      </c>
    </row>
    <row r="1476" spans="2:5" ht="16.5">
      <c r="B1476" s="410">
        <v>11000172</v>
      </c>
      <c r="C1476" s="562" t="s">
        <v>1151</v>
      </c>
      <c r="D1476" s="558" t="s">
        <v>1182</v>
      </c>
      <c r="E1476" s="556" t="s">
        <v>71</v>
      </c>
    </row>
    <row r="1477" spans="2:5" ht="16.5">
      <c r="B1477" s="410">
        <v>11000172</v>
      </c>
      <c r="C1477" s="562" t="s">
        <v>1151</v>
      </c>
      <c r="D1477" s="558" t="s">
        <v>1183</v>
      </c>
      <c r="E1477" s="556" t="s">
        <v>71</v>
      </c>
    </row>
    <row r="1478" spans="2:5" ht="16.5">
      <c r="B1478" s="410">
        <v>11000172</v>
      </c>
      <c r="C1478" s="562" t="s">
        <v>1151</v>
      </c>
      <c r="D1478" s="558" t="s">
        <v>1184</v>
      </c>
      <c r="E1478" s="556" t="s">
        <v>71</v>
      </c>
    </row>
    <row r="1479" spans="2:5" ht="16.5">
      <c r="B1479" s="410">
        <v>11000172</v>
      </c>
      <c r="C1479" s="562" t="s">
        <v>1151</v>
      </c>
      <c r="D1479" s="558" t="s">
        <v>1185</v>
      </c>
      <c r="E1479" s="556" t="s">
        <v>71</v>
      </c>
    </row>
    <row r="1480" spans="2:5" ht="16.5">
      <c r="B1480" s="410">
        <v>11000172</v>
      </c>
      <c r="C1480" s="562" t="s">
        <v>1151</v>
      </c>
      <c r="D1480" s="558" t="s">
        <v>1186</v>
      </c>
      <c r="E1480" s="556" t="s">
        <v>71</v>
      </c>
    </row>
    <row r="1481" spans="2:5" ht="16.5">
      <c r="B1481" s="410">
        <v>11000172</v>
      </c>
      <c r="C1481" s="562" t="s">
        <v>1151</v>
      </c>
      <c r="D1481" s="558" t="s">
        <v>1187</v>
      </c>
      <c r="E1481" s="556" t="s">
        <v>71</v>
      </c>
    </row>
    <row r="1482" spans="2:5" ht="16.5">
      <c r="B1482" s="410">
        <v>11000172</v>
      </c>
      <c r="C1482" s="562" t="s">
        <v>1151</v>
      </c>
      <c r="D1482" s="558" t="s">
        <v>1188</v>
      </c>
      <c r="E1482" s="556" t="s">
        <v>71</v>
      </c>
    </row>
    <row r="1483" spans="2:5" ht="16.5">
      <c r="B1483" s="410">
        <v>11000172</v>
      </c>
      <c r="C1483" s="562" t="s">
        <v>1151</v>
      </c>
      <c r="D1483" s="558" t="s">
        <v>1189</v>
      </c>
      <c r="E1483" s="556" t="s">
        <v>71</v>
      </c>
    </row>
    <row r="1484" spans="2:5" ht="16.5">
      <c r="B1484" s="410">
        <v>11000172</v>
      </c>
      <c r="C1484" s="562" t="s">
        <v>1151</v>
      </c>
      <c r="D1484" s="558" t="s">
        <v>1190</v>
      </c>
      <c r="E1484" s="556" t="s">
        <v>71</v>
      </c>
    </row>
    <row r="1485" spans="2:5" ht="16.5">
      <c r="B1485" s="410">
        <v>11000174</v>
      </c>
      <c r="C1485" s="562" t="s">
        <v>1151</v>
      </c>
      <c r="D1485" s="558" t="s">
        <v>1191</v>
      </c>
      <c r="E1485" s="556" t="s">
        <v>71</v>
      </c>
    </row>
    <row r="1486" spans="2:5" ht="16.5">
      <c r="B1486" s="410">
        <v>11000174</v>
      </c>
      <c r="C1486" s="562" t="s">
        <v>1151</v>
      </c>
      <c r="D1486" s="558" t="s">
        <v>1192</v>
      </c>
      <c r="E1486" s="556" t="s">
        <v>71</v>
      </c>
    </row>
    <row r="1487" spans="2:5" ht="16.5">
      <c r="B1487" s="410">
        <v>11000174</v>
      </c>
      <c r="C1487" s="562" t="s">
        <v>1151</v>
      </c>
      <c r="D1487" s="558" t="s">
        <v>1193</v>
      </c>
      <c r="E1487" s="556" t="s">
        <v>71</v>
      </c>
    </row>
    <row r="1488" spans="2:5" ht="16.5">
      <c r="B1488" s="410">
        <v>11000174</v>
      </c>
      <c r="C1488" s="562" t="s">
        <v>1151</v>
      </c>
      <c r="D1488" s="558" t="s">
        <v>1194</v>
      </c>
      <c r="E1488" s="556" t="s">
        <v>71</v>
      </c>
    </row>
    <row r="1489" spans="2:5" ht="16.5">
      <c r="B1489" s="410">
        <v>11000174</v>
      </c>
      <c r="C1489" s="562" t="s">
        <v>1151</v>
      </c>
      <c r="D1489" s="558" t="s">
        <v>1195</v>
      </c>
      <c r="E1489" s="556" t="s">
        <v>71</v>
      </c>
    </row>
    <row r="1490" spans="2:5" ht="16.5">
      <c r="B1490" s="410">
        <v>11000174</v>
      </c>
      <c r="C1490" s="562" t="s">
        <v>1151</v>
      </c>
      <c r="D1490" s="558" t="s">
        <v>1196</v>
      </c>
      <c r="E1490" s="556" t="s">
        <v>71</v>
      </c>
    </row>
    <row r="1491" spans="2:5" ht="16.5">
      <c r="B1491" s="410">
        <v>11000174</v>
      </c>
      <c r="C1491" s="562" t="s">
        <v>1151</v>
      </c>
      <c r="D1491" s="558" t="s">
        <v>1197</v>
      </c>
      <c r="E1491" s="556" t="s">
        <v>71</v>
      </c>
    </row>
    <row r="1492" spans="2:5" ht="16.5">
      <c r="B1492" s="410">
        <v>11000174</v>
      </c>
      <c r="C1492" s="562" t="s">
        <v>1151</v>
      </c>
      <c r="D1492" s="558" t="s">
        <v>1198</v>
      </c>
      <c r="E1492" s="556" t="s">
        <v>71</v>
      </c>
    </row>
    <row r="1493" spans="2:5" ht="16.5">
      <c r="B1493" s="410">
        <v>11000174</v>
      </c>
      <c r="C1493" s="562" t="s">
        <v>1151</v>
      </c>
      <c r="D1493" s="558" t="s">
        <v>1199</v>
      </c>
      <c r="E1493" s="556" t="s">
        <v>71</v>
      </c>
    </row>
    <row r="1494" spans="2:5" ht="16.5">
      <c r="B1494" s="410">
        <v>11000174</v>
      </c>
      <c r="C1494" s="562" t="s">
        <v>1151</v>
      </c>
      <c r="D1494" s="558" t="s">
        <v>1200</v>
      </c>
      <c r="E1494" s="556" t="s">
        <v>71</v>
      </c>
    </row>
    <row r="1495" spans="2:5" ht="16.5">
      <c r="B1495" s="410">
        <v>11000174</v>
      </c>
      <c r="C1495" s="562" t="s">
        <v>1151</v>
      </c>
      <c r="D1495" s="558" t="s">
        <v>1201</v>
      </c>
      <c r="E1495" s="556" t="s">
        <v>71</v>
      </c>
    </row>
    <row r="1496" spans="2:5" ht="16.5">
      <c r="B1496" s="410">
        <v>11000174</v>
      </c>
      <c r="C1496" s="562" t="s">
        <v>1151</v>
      </c>
      <c r="D1496" s="558" t="s">
        <v>1202</v>
      </c>
      <c r="E1496" s="556" t="s">
        <v>71</v>
      </c>
    </row>
    <row r="1497" spans="2:5" ht="16.5">
      <c r="B1497" s="410">
        <v>11000174</v>
      </c>
      <c r="C1497" s="562" t="s">
        <v>1151</v>
      </c>
      <c r="D1497" s="558" t="s">
        <v>1203</v>
      </c>
      <c r="E1497" s="556" t="s">
        <v>71</v>
      </c>
    </row>
    <row r="1498" spans="2:5" ht="16.5">
      <c r="B1498" s="410">
        <v>11001415</v>
      </c>
      <c r="C1498" s="562" t="s">
        <v>1151</v>
      </c>
      <c r="D1498" s="558" t="s">
        <v>1204</v>
      </c>
      <c r="E1498" s="556" t="s">
        <v>71</v>
      </c>
    </row>
    <row r="1499" spans="2:5" ht="16.5">
      <c r="B1499" s="410">
        <v>11001415</v>
      </c>
      <c r="C1499" s="562" t="s">
        <v>1151</v>
      </c>
      <c r="D1499" s="558" t="s">
        <v>1205</v>
      </c>
      <c r="E1499" s="556" t="s">
        <v>71</v>
      </c>
    </row>
    <row r="1500" spans="2:5" ht="16.5">
      <c r="B1500" s="410">
        <v>11001415</v>
      </c>
      <c r="C1500" s="562" t="s">
        <v>1151</v>
      </c>
      <c r="D1500" s="558" t="s">
        <v>1206</v>
      </c>
      <c r="E1500" s="556" t="s">
        <v>71</v>
      </c>
    </row>
    <row r="1501" spans="2:5" ht="16.5">
      <c r="B1501" s="410">
        <v>11001415</v>
      </c>
      <c r="C1501" s="562" t="s">
        <v>1151</v>
      </c>
      <c r="D1501" s="558" t="s">
        <v>1207</v>
      </c>
      <c r="E1501" s="556" t="s">
        <v>71</v>
      </c>
    </row>
    <row r="1502" spans="2:5" ht="16.5">
      <c r="B1502" s="410">
        <v>11001415</v>
      </c>
      <c r="C1502" s="562" t="s">
        <v>1151</v>
      </c>
      <c r="D1502" s="558" t="s">
        <v>1208</v>
      </c>
      <c r="E1502" s="556" t="s">
        <v>71</v>
      </c>
    </row>
    <row r="1503" spans="2:5" ht="16.5">
      <c r="B1503" s="410">
        <v>11001415</v>
      </c>
      <c r="C1503" s="562" t="s">
        <v>1151</v>
      </c>
      <c r="D1503" s="558" t="s">
        <v>1209</v>
      </c>
      <c r="E1503" s="556" t="s">
        <v>71</v>
      </c>
    </row>
    <row r="1504" spans="2:5" ht="16.5">
      <c r="B1504" s="410">
        <v>11001415</v>
      </c>
      <c r="C1504" s="562" t="s">
        <v>1151</v>
      </c>
      <c r="D1504" s="558" t="s">
        <v>1210</v>
      </c>
      <c r="E1504" s="556" t="s">
        <v>71</v>
      </c>
    </row>
    <row r="1505" spans="2:5" ht="16.5">
      <c r="B1505" s="410">
        <v>11001415</v>
      </c>
      <c r="C1505" s="562" t="s">
        <v>1151</v>
      </c>
      <c r="D1505" s="558" t="s">
        <v>1211</v>
      </c>
      <c r="E1505" s="556" t="s">
        <v>71</v>
      </c>
    </row>
    <row r="1506" spans="2:5" ht="16.5">
      <c r="B1506" s="410">
        <v>11001415</v>
      </c>
      <c r="C1506" s="562" t="s">
        <v>1151</v>
      </c>
      <c r="D1506" s="558" t="s">
        <v>1212</v>
      </c>
      <c r="E1506" s="556" t="s">
        <v>71</v>
      </c>
    </row>
    <row r="1507" spans="2:5" ht="16.5">
      <c r="B1507" s="410">
        <v>11001415</v>
      </c>
      <c r="C1507" s="562" t="s">
        <v>1151</v>
      </c>
      <c r="D1507" s="558" t="s">
        <v>1213</v>
      </c>
      <c r="E1507" s="556" t="s">
        <v>71</v>
      </c>
    </row>
    <row r="1508" spans="2:5" ht="16.5">
      <c r="B1508" s="410">
        <v>11001415</v>
      </c>
      <c r="C1508" s="562" t="s">
        <v>1151</v>
      </c>
      <c r="D1508" s="558" t="s">
        <v>1214</v>
      </c>
      <c r="E1508" s="556" t="s">
        <v>71</v>
      </c>
    </row>
    <row r="1509" spans="2:5" ht="16.5">
      <c r="B1509" s="410">
        <v>11001415</v>
      </c>
      <c r="C1509" s="562" t="s">
        <v>1151</v>
      </c>
      <c r="D1509" s="558" t="s">
        <v>1215</v>
      </c>
      <c r="E1509" s="556" t="s">
        <v>71</v>
      </c>
    </row>
    <row r="1510" spans="2:5" ht="16.5">
      <c r="B1510" s="410">
        <v>11001415</v>
      </c>
      <c r="C1510" s="562" t="s">
        <v>1151</v>
      </c>
      <c r="D1510" s="558" t="s">
        <v>1216</v>
      </c>
      <c r="E1510" s="556" t="s">
        <v>71</v>
      </c>
    </row>
    <row r="1511" spans="2:5" ht="16.5">
      <c r="B1511" s="410">
        <v>11001415</v>
      </c>
      <c r="C1511" s="562" t="s">
        <v>1151</v>
      </c>
      <c r="D1511" s="558" t="s">
        <v>1217</v>
      </c>
      <c r="E1511" s="556" t="s">
        <v>71</v>
      </c>
    </row>
    <row r="1512" spans="2:5" ht="16.5">
      <c r="B1512" s="410">
        <v>11001415</v>
      </c>
      <c r="C1512" s="562" t="s">
        <v>1151</v>
      </c>
      <c r="D1512" s="558" t="s">
        <v>1218</v>
      </c>
      <c r="E1512" s="556" t="s">
        <v>71</v>
      </c>
    </row>
    <row r="1513" spans="2:5" ht="16.5">
      <c r="B1513" s="410">
        <v>11001415</v>
      </c>
      <c r="C1513" s="562" t="s">
        <v>1151</v>
      </c>
      <c r="D1513" s="558" t="s">
        <v>1219</v>
      </c>
      <c r="E1513" s="556" t="s">
        <v>71</v>
      </c>
    </row>
    <row r="1514" spans="2:5" ht="16.5">
      <c r="B1514" s="410">
        <v>11001415</v>
      </c>
      <c r="C1514" s="562" t="s">
        <v>1151</v>
      </c>
      <c r="D1514" s="558" t="s">
        <v>1220</v>
      </c>
      <c r="E1514" s="556" t="s">
        <v>71</v>
      </c>
    </row>
    <row r="1515" spans="2:5" ht="16.5">
      <c r="B1515" s="410">
        <v>11001415</v>
      </c>
      <c r="C1515" s="562" t="s">
        <v>1151</v>
      </c>
      <c r="D1515" s="558" t="s">
        <v>1221</v>
      </c>
      <c r="E1515" s="556" t="s">
        <v>71</v>
      </c>
    </row>
    <row r="1516" spans="2:5" ht="16.5">
      <c r="B1516" s="410">
        <v>11001415</v>
      </c>
      <c r="C1516" s="562" t="s">
        <v>1151</v>
      </c>
      <c r="D1516" s="558" t="s">
        <v>1222</v>
      </c>
      <c r="E1516" s="556" t="s">
        <v>71</v>
      </c>
    </row>
    <row r="1517" spans="2:5" ht="16.5">
      <c r="B1517" s="410">
        <v>11001415</v>
      </c>
      <c r="C1517" s="562" t="s">
        <v>1151</v>
      </c>
      <c r="D1517" s="558" t="s">
        <v>1223</v>
      </c>
      <c r="E1517" s="556" t="s">
        <v>71</v>
      </c>
    </row>
    <row r="1518" spans="2:5" ht="16.5">
      <c r="B1518" s="410">
        <v>11001415</v>
      </c>
      <c r="C1518" s="562" t="s">
        <v>1151</v>
      </c>
      <c r="D1518" s="558" t="s">
        <v>1224</v>
      </c>
      <c r="E1518" s="556" t="s">
        <v>71</v>
      </c>
    </row>
    <row r="1519" spans="2:5" ht="16.5">
      <c r="B1519" s="410">
        <v>11001415</v>
      </c>
      <c r="C1519" s="562" t="s">
        <v>1151</v>
      </c>
      <c r="D1519" s="558" t="s">
        <v>1225</v>
      </c>
      <c r="E1519" s="556" t="s">
        <v>71</v>
      </c>
    </row>
    <row r="1520" spans="2:5" ht="16.5">
      <c r="B1520" s="410">
        <v>11001415</v>
      </c>
      <c r="C1520" s="562" t="s">
        <v>1151</v>
      </c>
      <c r="D1520" s="558" t="s">
        <v>1226</v>
      </c>
      <c r="E1520" s="556" t="s">
        <v>71</v>
      </c>
    </row>
    <row r="1521" spans="2:5" ht="16.5">
      <c r="B1521" s="410">
        <v>11001417</v>
      </c>
      <c r="C1521" s="562" t="s">
        <v>1151</v>
      </c>
      <c r="D1521" s="558" t="s">
        <v>1227</v>
      </c>
      <c r="E1521" s="556" t="s">
        <v>71</v>
      </c>
    </row>
    <row r="1522" spans="2:5" ht="16.5">
      <c r="B1522" s="410">
        <v>11001417</v>
      </c>
      <c r="C1522" s="562" t="s">
        <v>1151</v>
      </c>
      <c r="D1522" s="558" t="s">
        <v>1228</v>
      </c>
      <c r="E1522" s="556" t="s">
        <v>71</v>
      </c>
    </row>
    <row r="1523" spans="2:5" ht="16.5">
      <c r="B1523" s="410">
        <v>11001417</v>
      </c>
      <c r="C1523" s="562" t="s">
        <v>1151</v>
      </c>
      <c r="D1523" s="558" t="s">
        <v>1229</v>
      </c>
      <c r="E1523" s="556" t="s">
        <v>71</v>
      </c>
    </row>
    <row r="1524" spans="2:5" ht="16.5">
      <c r="B1524" s="410">
        <v>11001417</v>
      </c>
      <c r="C1524" s="562" t="s">
        <v>1151</v>
      </c>
      <c r="D1524" s="558" t="s">
        <v>1230</v>
      </c>
      <c r="E1524" s="556" t="s">
        <v>71</v>
      </c>
    </row>
    <row r="1525" spans="2:5" ht="16.5">
      <c r="B1525" s="410">
        <v>11001417</v>
      </c>
      <c r="C1525" s="562" t="s">
        <v>1151</v>
      </c>
      <c r="D1525" s="558" t="s">
        <v>1231</v>
      </c>
      <c r="E1525" s="556" t="s">
        <v>71</v>
      </c>
    </row>
    <row r="1526" spans="2:5" ht="16.5">
      <c r="B1526" s="410">
        <v>11001417</v>
      </c>
      <c r="C1526" s="562" t="s">
        <v>1151</v>
      </c>
      <c r="D1526" s="558" t="s">
        <v>1232</v>
      </c>
      <c r="E1526" s="556" t="s">
        <v>71</v>
      </c>
    </row>
    <row r="1527" spans="2:5" ht="16.5">
      <c r="B1527" s="410">
        <v>11001417</v>
      </c>
      <c r="C1527" s="562" t="s">
        <v>1151</v>
      </c>
      <c r="D1527" s="558" t="s">
        <v>1233</v>
      </c>
      <c r="E1527" s="556" t="s">
        <v>71</v>
      </c>
    </row>
    <row r="1528" spans="2:5" ht="16.5">
      <c r="B1528" s="410">
        <v>11001417</v>
      </c>
      <c r="C1528" s="562" t="s">
        <v>1151</v>
      </c>
      <c r="D1528" s="558" t="s">
        <v>1234</v>
      </c>
      <c r="E1528" s="556" t="s">
        <v>71</v>
      </c>
    </row>
    <row r="1529" spans="2:5" ht="16.5">
      <c r="B1529" s="410">
        <v>11001417</v>
      </c>
      <c r="C1529" s="562" t="s">
        <v>1151</v>
      </c>
      <c r="D1529" s="558" t="s">
        <v>1235</v>
      </c>
      <c r="E1529" s="556" t="s">
        <v>71</v>
      </c>
    </row>
    <row r="1530" spans="2:5" ht="16.5">
      <c r="B1530" s="410">
        <v>11001417</v>
      </c>
      <c r="C1530" s="562" t="s">
        <v>1151</v>
      </c>
      <c r="D1530" s="558" t="s">
        <v>1236</v>
      </c>
      <c r="E1530" s="556" t="s">
        <v>71</v>
      </c>
    </row>
    <row r="1531" spans="2:5" ht="16.5">
      <c r="B1531" s="410">
        <v>11001417</v>
      </c>
      <c r="C1531" s="562" t="s">
        <v>1151</v>
      </c>
      <c r="D1531" s="558" t="s">
        <v>1237</v>
      </c>
      <c r="E1531" s="556" t="s">
        <v>71</v>
      </c>
    </row>
    <row r="1532" spans="2:5" ht="16.5">
      <c r="B1532" s="410">
        <v>11001417</v>
      </c>
      <c r="C1532" s="562" t="s">
        <v>1151</v>
      </c>
      <c r="D1532" s="558" t="s">
        <v>1238</v>
      </c>
      <c r="E1532" s="556" t="s">
        <v>71</v>
      </c>
    </row>
    <row r="1533" spans="2:5" ht="16.5">
      <c r="B1533" s="410">
        <v>11001417</v>
      </c>
      <c r="C1533" s="562" t="s">
        <v>1151</v>
      </c>
      <c r="D1533" s="558" t="s">
        <v>1239</v>
      </c>
      <c r="E1533" s="556" t="s">
        <v>71</v>
      </c>
    </row>
    <row r="1534" spans="2:5" ht="16.5">
      <c r="B1534" s="410">
        <v>11001417</v>
      </c>
      <c r="C1534" s="562" t="s">
        <v>1151</v>
      </c>
      <c r="D1534" s="558" t="s">
        <v>1240</v>
      </c>
      <c r="E1534" s="556" t="s">
        <v>71</v>
      </c>
    </row>
    <row r="1535" spans="2:5" ht="16.5">
      <c r="B1535" s="410">
        <v>11001417</v>
      </c>
      <c r="C1535" s="562" t="s">
        <v>1151</v>
      </c>
      <c r="D1535" s="558" t="s">
        <v>1241</v>
      </c>
      <c r="E1535" s="556" t="s">
        <v>71</v>
      </c>
    </row>
    <row r="1536" spans="2:5" ht="16.5">
      <c r="B1536" s="410">
        <v>11001417</v>
      </c>
      <c r="C1536" s="562" t="s">
        <v>1151</v>
      </c>
      <c r="D1536" s="558" t="s">
        <v>1242</v>
      </c>
      <c r="E1536" s="556" t="s">
        <v>71</v>
      </c>
    </row>
    <row r="1537" spans="2:5" ht="16.5">
      <c r="B1537" s="410">
        <v>11001417</v>
      </c>
      <c r="C1537" s="562" t="s">
        <v>1151</v>
      </c>
      <c r="D1537" s="558" t="s">
        <v>1243</v>
      </c>
      <c r="E1537" s="556" t="s">
        <v>71</v>
      </c>
    </row>
    <row r="1538" spans="2:5" ht="16.5">
      <c r="B1538" s="410">
        <v>11001417</v>
      </c>
      <c r="C1538" s="562" t="s">
        <v>1151</v>
      </c>
      <c r="D1538" s="558" t="s">
        <v>1244</v>
      </c>
      <c r="E1538" s="556" t="s">
        <v>71</v>
      </c>
    </row>
    <row r="1539" spans="2:5" ht="16.5">
      <c r="B1539" s="410">
        <v>11001417</v>
      </c>
      <c r="C1539" s="562" t="s">
        <v>1151</v>
      </c>
      <c r="D1539" s="558" t="s">
        <v>1245</v>
      </c>
      <c r="E1539" s="556" t="s">
        <v>71</v>
      </c>
    </row>
    <row r="1540" spans="2:5" ht="16.5">
      <c r="B1540" s="410">
        <v>11001417</v>
      </c>
      <c r="C1540" s="562" t="s">
        <v>1151</v>
      </c>
      <c r="D1540" s="558" t="s">
        <v>1246</v>
      </c>
      <c r="E1540" s="556" t="s">
        <v>71</v>
      </c>
    </row>
    <row r="1541" spans="2:5" ht="16.5">
      <c r="B1541" s="410">
        <v>11001417</v>
      </c>
      <c r="C1541" s="562" t="s">
        <v>1151</v>
      </c>
      <c r="D1541" s="558" t="s">
        <v>1247</v>
      </c>
      <c r="E1541" s="556" t="s">
        <v>71</v>
      </c>
    </row>
    <row r="1542" spans="2:5" ht="16.5">
      <c r="B1542" s="410">
        <v>11001417</v>
      </c>
      <c r="C1542" s="562" t="s">
        <v>1151</v>
      </c>
      <c r="D1542" s="558" t="s">
        <v>1225</v>
      </c>
      <c r="E1542" s="556" t="s">
        <v>71</v>
      </c>
    </row>
    <row r="1543" spans="2:5" ht="16.5">
      <c r="B1543" s="410">
        <v>11001417</v>
      </c>
      <c r="C1543" s="562" t="s">
        <v>1151</v>
      </c>
      <c r="D1543" s="558" t="s">
        <v>1248</v>
      </c>
      <c r="E1543" s="556" t="s">
        <v>71</v>
      </c>
    </row>
    <row r="1544" spans="2:5" ht="16.5">
      <c r="B1544" s="410">
        <v>11001967</v>
      </c>
      <c r="C1544" s="562" t="s">
        <v>1151</v>
      </c>
      <c r="D1544" s="558" t="s">
        <v>1249</v>
      </c>
      <c r="E1544" s="556" t="s">
        <v>71</v>
      </c>
    </row>
    <row r="1545" spans="2:5" ht="16.5">
      <c r="B1545" s="410">
        <v>11001967</v>
      </c>
      <c r="C1545" s="562" t="s">
        <v>1151</v>
      </c>
      <c r="D1545" s="558" t="s">
        <v>1250</v>
      </c>
      <c r="E1545" s="556" t="s">
        <v>71</v>
      </c>
    </row>
    <row r="1546" spans="2:5" ht="16.5">
      <c r="B1546" s="410">
        <v>11001967</v>
      </c>
      <c r="C1546" s="562" t="s">
        <v>1151</v>
      </c>
      <c r="D1546" s="558" t="s">
        <v>1251</v>
      </c>
      <c r="E1546" s="556" t="s">
        <v>71</v>
      </c>
    </row>
    <row r="1547" spans="2:5" ht="16.5">
      <c r="B1547" s="410">
        <v>11001967</v>
      </c>
      <c r="C1547" s="562" t="s">
        <v>1151</v>
      </c>
      <c r="D1547" s="558" t="s">
        <v>1252</v>
      </c>
      <c r="E1547" s="556" t="s">
        <v>71</v>
      </c>
    </row>
    <row r="1548" spans="2:5" ht="16.5">
      <c r="B1548" s="410">
        <v>11001967</v>
      </c>
      <c r="C1548" s="562" t="s">
        <v>1151</v>
      </c>
      <c r="D1548" s="558" t="s">
        <v>1253</v>
      </c>
      <c r="E1548" s="556" t="s">
        <v>71</v>
      </c>
    </row>
    <row r="1549" spans="2:5" ht="16.5">
      <c r="B1549" s="410">
        <v>11001967</v>
      </c>
      <c r="C1549" s="562" t="s">
        <v>1151</v>
      </c>
      <c r="D1549" s="558" t="s">
        <v>1254</v>
      </c>
      <c r="E1549" s="556" t="s">
        <v>71</v>
      </c>
    </row>
    <row r="1550" spans="2:5" ht="16.5">
      <c r="B1550" s="410">
        <v>11001967</v>
      </c>
      <c r="C1550" s="562" t="s">
        <v>1151</v>
      </c>
      <c r="D1550" s="558" t="s">
        <v>1255</v>
      </c>
      <c r="E1550" s="556" t="s">
        <v>71</v>
      </c>
    </row>
    <row r="1551" spans="2:5" ht="16.5">
      <c r="B1551" s="410">
        <v>11001967</v>
      </c>
      <c r="C1551" s="562" t="s">
        <v>1151</v>
      </c>
      <c r="D1551" s="558" t="s">
        <v>1256</v>
      </c>
      <c r="E1551" s="556" t="s">
        <v>71</v>
      </c>
    </row>
    <row r="1552" spans="2:5" ht="16.5">
      <c r="B1552" s="410">
        <v>11001967</v>
      </c>
      <c r="C1552" s="562" t="s">
        <v>1151</v>
      </c>
      <c r="D1552" s="558" t="s">
        <v>1257</v>
      </c>
      <c r="E1552" s="556" t="s">
        <v>71</v>
      </c>
    </row>
    <row r="1553" spans="2:5" ht="16.5">
      <c r="B1553" s="410">
        <v>11001967</v>
      </c>
      <c r="C1553" s="562" t="s">
        <v>1151</v>
      </c>
      <c r="D1553" s="558" t="s">
        <v>1258</v>
      </c>
      <c r="E1553" s="556" t="s">
        <v>71</v>
      </c>
    </row>
    <row r="1554" spans="2:5" ht="16.5">
      <c r="B1554" s="410">
        <v>11001967</v>
      </c>
      <c r="C1554" s="562" t="s">
        <v>1151</v>
      </c>
      <c r="D1554" s="558" t="s">
        <v>1259</v>
      </c>
      <c r="E1554" s="556" t="s">
        <v>71</v>
      </c>
    </row>
    <row r="1555" spans="2:5" ht="16.5">
      <c r="B1555" s="410">
        <v>11001967</v>
      </c>
      <c r="C1555" s="562" t="s">
        <v>1151</v>
      </c>
      <c r="D1555" s="558" t="s">
        <v>1260</v>
      </c>
      <c r="E1555" s="556" t="s">
        <v>71</v>
      </c>
    </row>
    <row r="1556" spans="2:5" ht="16.5">
      <c r="B1556" s="410">
        <v>11001967</v>
      </c>
      <c r="C1556" s="562" t="s">
        <v>1151</v>
      </c>
      <c r="D1556" s="558" t="s">
        <v>1261</v>
      </c>
      <c r="E1556" s="556" t="s">
        <v>71</v>
      </c>
    </row>
    <row r="1557" spans="2:5" ht="16.5">
      <c r="B1557" s="410">
        <v>11001967</v>
      </c>
      <c r="C1557" s="562" t="s">
        <v>1151</v>
      </c>
      <c r="D1557" s="558" t="s">
        <v>1262</v>
      </c>
      <c r="E1557" s="556" t="s">
        <v>71</v>
      </c>
    </row>
    <row r="1558" spans="2:5" ht="16.5">
      <c r="B1558" s="410">
        <v>11001967</v>
      </c>
      <c r="C1558" s="562" t="s">
        <v>1151</v>
      </c>
      <c r="D1558" s="558" t="s">
        <v>1263</v>
      </c>
      <c r="E1558" s="556" t="s">
        <v>71</v>
      </c>
    </row>
    <row r="1559" spans="2:5" ht="16.5">
      <c r="B1559" s="410">
        <v>11001967</v>
      </c>
      <c r="C1559" s="562" t="s">
        <v>1151</v>
      </c>
      <c r="D1559" s="558" t="s">
        <v>1264</v>
      </c>
      <c r="E1559" s="556" t="s">
        <v>71</v>
      </c>
    </row>
    <row r="1560" spans="2:5" ht="16.5">
      <c r="B1560" s="410">
        <v>11001967</v>
      </c>
      <c r="C1560" s="562" t="s">
        <v>1151</v>
      </c>
      <c r="D1560" s="558" t="s">
        <v>1265</v>
      </c>
      <c r="E1560" s="556" t="s">
        <v>71</v>
      </c>
    </row>
    <row r="1561" spans="2:5" ht="16.5">
      <c r="B1561" s="410">
        <v>11001967</v>
      </c>
      <c r="C1561" s="562" t="s">
        <v>1151</v>
      </c>
      <c r="D1561" s="558" t="s">
        <v>1266</v>
      </c>
      <c r="E1561" s="556" t="s">
        <v>71</v>
      </c>
    </row>
    <row r="1562" spans="2:5" ht="16.5">
      <c r="B1562" s="410">
        <v>11001967</v>
      </c>
      <c r="C1562" s="562" t="s">
        <v>1151</v>
      </c>
      <c r="D1562" s="558" t="s">
        <v>1267</v>
      </c>
      <c r="E1562" s="556" t="s">
        <v>71</v>
      </c>
    </row>
    <row r="1563" spans="2:5" ht="16.5">
      <c r="B1563" s="410">
        <v>11001967</v>
      </c>
      <c r="C1563" s="562" t="s">
        <v>1151</v>
      </c>
      <c r="D1563" s="558" t="s">
        <v>1268</v>
      </c>
      <c r="E1563" s="556" t="s">
        <v>71</v>
      </c>
    </row>
    <row r="1564" spans="2:5" ht="16.5">
      <c r="B1564" s="410">
        <v>11001967</v>
      </c>
      <c r="C1564" s="562" t="s">
        <v>1151</v>
      </c>
      <c r="D1564" s="558" t="s">
        <v>1269</v>
      </c>
      <c r="E1564" s="556" t="s">
        <v>71</v>
      </c>
    </row>
    <row r="1565" spans="2:5" ht="16.5">
      <c r="B1565" s="410">
        <v>11001967</v>
      </c>
      <c r="C1565" s="562" t="s">
        <v>1151</v>
      </c>
      <c r="D1565" s="558" t="s">
        <v>1225</v>
      </c>
      <c r="E1565" s="556" t="s">
        <v>71</v>
      </c>
    </row>
    <row r="1566" spans="2:5" ht="16.5">
      <c r="B1566" s="410">
        <v>11001967</v>
      </c>
      <c r="C1566" s="562" t="s">
        <v>1151</v>
      </c>
      <c r="D1566" s="558" t="s">
        <v>1270</v>
      </c>
      <c r="E1566" s="556" t="s">
        <v>71</v>
      </c>
    </row>
    <row r="1567" spans="2:5" ht="16.5">
      <c r="B1567" s="410">
        <v>11001966</v>
      </c>
      <c r="C1567" s="562" t="s">
        <v>1151</v>
      </c>
      <c r="D1567" s="558" t="s">
        <v>1271</v>
      </c>
      <c r="E1567" s="556" t="s">
        <v>71</v>
      </c>
    </row>
    <row r="1568" spans="2:5" ht="16.5">
      <c r="B1568" s="410">
        <v>11001966</v>
      </c>
      <c r="C1568" s="562" t="s">
        <v>1151</v>
      </c>
      <c r="D1568" s="558" t="s">
        <v>1272</v>
      </c>
      <c r="E1568" s="556" t="s">
        <v>71</v>
      </c>
    </row>
    <row r="1569" spans="2:5" ht="16.5">
      <c r="B1569" s="410">
        <v>11001966</v>
      </c>
      <c r="C1569" s="562" t="s">
        <v>1151</v>
      </c>
      <c r="D1569" s="558" t="s">
        <v>1273</v>
      </c>
      <c r="E1569" s="556" t="s">
        <v>71</v>
      </c>
    </row>
    <row r="1570" spans="2:5" ht="16.5">
      <c r="B1570" s="410">
        <v>11001966</v>
      </c>
      <c r="C1570" s="562" t="s">
        <v>1151</v>
      </c>
      <c r="D1570" s="558" t="s">
        <v>1274</v>
      </c>
      <c r="E1570" s="556" t="s">
        <v>71</v>
      </c>
    </row>
    <row r="1571" spans="2:5" ht="16.5">
      <c r="B1571" s="410">
        <v>11001966</v>
      </c>
      <c r="C1571" s="562" t="s">
        <v>1151</v>
      </c>
      <c r="D1571" s="558" t="s">
        <v>1275</v>
      </c>
      <c r="E1571" s="556" t="s">
        <v>71</v>
      </c>
    </row>
    <row r="1572" spans="2:5" ht="16.5">
      <c r="B1572" s="410">
        <v>11001966</v>
      </c>
      <c r="C1572" s="562" t="s">
        <v>1151</v>
      </c>
      <c r="D1572" s="558" t="s">
        <v>1276</v>
      </c>
      <c r="E1572" s="556" t="s">
        <v>71</v>
      </c>
    </row>
    <row r="1573" spans="2:5" ht="16.5">
      <c r="B1573" s="410">
        <v>11001966</v>
      </c>
      <c r="C1573" s="562" t="s">
        <v>1151</v>
      </c>
      <c r="D1573" s="558" t="s">
        <v>1277</v>
      </c>
      <c r="E1573" s="556" t="s">
        <v>71</v>
      </c>
    </row>
    <row r="1574" spans="2:5" ht="16.5">
      <c r="B1574" s="410">
        <v>11001966</v>
      </c>
      <c r="C1574" s="562" t="s">
        <v>1151</v>
      </c>
      <c r="D1574" s="558" t="s">
        <v>1278</v>
      </c>
      <c r="E1574" s="556" t="s">
        <v>71</v>
      </c>
    </row>
    <row r="1575" spans="2:5" ht="16.5">
      <c r="B1575" s="410">
        <v>11001966</v>
      </c>
      <c r="C1575" s="562" t="s">
        <v>1151</v>
      </c>
      <c r="D1575" s="558" t="s">
        <v>1279</v>
      </c>
      <c r="E1575" s="556" t="s">
        <v>71</v>
      </c>
    </row>
    <row r="1576" spans="2:5" ht="16.5">
      <c r="B1576" s="410">
        <v>11001966</v>
      </c>
      <c r="C1576" s="562" t="s">
        <v>1151</v>
      </c>
      <c r="D1576" s="558" t="s">
        <v>1280</v>
      </c>
      <c r="E1576" s="556" t="s">
        <v>71</v>
      </c>
    </row>
    <row r="1577" spans="2:5" ht="16.5">
      <c r="B1577" s="410">
        <v>11001966</v>
      </c>
      <c r="C1577" s="562" t="s">
        <v>1151</v>
      </c>
      <c r="D1577" s="558" t="s">
        <v>1281</v>
      </c>
      <c r="E1577" s="556" t="s">
        <v>71</v>
      </c>
    </row>
    <row r="1578" spans="2:5" ht="16.5">
      <c r="B1578" s="410">
        <v>11001966</v>
      </c>
      <c r="C1578" s="562" t="s">
        <v>1151</v>
      </c>
      <c r="D1578" s="558" t="s">
        <v>1282</v>
      </c>
      <c r="E1578" s="556" t="s">
        <v>71</v>
      </c>
    </row>
    <row r="1579" spans="2:5" ht="16.5">
      <c r="B1579" s="410">
        <v>11001966</v>
      </c>
      <c r="C1579" s="562" t="s">
        <v>1151</v>
      </c>
      <c r="D1579" s="558" t="s">
        <v>1283</v>
      </c>
      <c r="E1579" s="556" t="s">
        <v>71</v>
      </c>
    </row>
    <row r="1580" spans="2:5" ht="16.5">
      <c r="B1580" s="410">
        <v>11001966</v>
      </c>
      <c r="C1580" s="562" t="s">
        <v>1151</v>
      </c>
      <c r="D1580" s="558" t="s">
        <v>1284</v>
      </c>
      <c r="E1580" s="556" t="s">
        <v>71</v>
      </c>
    </row>
    <row r="1581" spans="2:5" ht="16.5">
      <c r="B1581" s="410">
        <v>11001966</v>
      </c>
      <c r="C1581" s="562" t="s">
        <v>1151</v>
      </c>
      <c r="D1581" s="558" t="s">
        <v>1285</v>
      </c>
      <c r="E1581" s="556" t="s">
        <v>71</v>
      </c>
    </row>
    <row r="1582" spans="2:5" ht="16.5">
      <c r="B1582" s="410">
        <v>11001966</v>
      </c>
      <c r="C1582" s="562" t="s">
        <v>1151</v>
      </c>
      <c r="D1582" s="558" t="s">
        <v>1286</v>
      </c>
      <c r="E1582" s="556" t="s">
        <v>71</v>
      </c>
    </row>
    <row r="1583" spans="2:5" ht="16.5">
      <c r="B1583" s="410">
        <v>11001966</v>
      </c>
      <c r="C1583" s="562" t="s">
        <v>1151</v>
      </c>
      <c r="D1583" s="558" t="s">
        <v>1287</v>
      </c>
      <c r="E1583" s="556" t="s">
        <v>71</v>
      </c>
    </row>
    <row r="1584" spans="2:5" ht="16.5">
      <c r="B1584" s="410">
        <v>11001966</v>
      </c>
      <c r="C1584" s="562" t="s">
        <v>1151</v>
      </c>
      <c r="D1584" s="558" t="s">
        <v>1288</v>
      </c>
      <c r="E1584" s="556" t="s">
        <v>71</v>
      </c>
    </row>
    <row r="1585" spans="2:5" ht="16.5">
      <c r="B1585" s="410">
        <v>11001966</v>
      </c>
      <c r="C1585" s="562" t="s">
        <v>1151</v>
      </c>
      <c r="D1585" s="558" t="s">
        <v>1289</v>
      </c>
      <c r="E1585" s="556" t="s">
        <v>71</v>
      </c>
    </row>
    <row r="1586" spans="2:5" ht="16.5">
      <c r="B1586" s="410">
        <v>11001966</v>
      </c>
      <c r="C1586" s="562" t="s">
        <v>1151</v>
      </c>
      <c r="D1586" s="558" t="s">
        <v>1290</v>
      </c>
      <c r="E1586" s="556" t="s">
        <v>71</v>
      </c>
    </row>
    <row r="1587" spans="2:5" ht="16.5">
      <c r="B1587" s="410">
        <v>11001966</v>
      </c>
      <c r="C1587" s="562" t="s">
        <v>1151</v>
      </c>
      <c r="D1587" s="558" t="s">
        <v>1291</v>
      </c>
      <c r="E1587" s="556" t="s">
        <v>71</v>
      </c>
    </row>
    <row r="1588" spans="2:5" ht="16.5">
      <c r="B1588" s="410">
        <v>11001966</v>
      </c>
      <c r="C1588" s="562" t="s">
        <v>1151</v>
      </c>
      <c r="D1588" s="558" t="s">
        <v>1225</v>
      </c>
      <c r="E1588" s="556" t="s">
        <v>71</v>
      </c>
    </row>
    <row r="1589" spans="2:5" ht="16.5">
      <c r="B1589" s="410">
        <v>11001966</v>
      </c>
      <c r="C1589" s="562" t="s">
        <v>1151</v>
      </c>
      <c r="D1589" s="558" t="s">
        <v>1292</v>
      </c>
      <c r="E1589" s="556" t="s">
        <v>71</v>
      </c>
    </row>
    <row r="1590" spans="2:5" ht="16.5">
      <c r="B1590" s="410">
        <v>11002566</v>
      </c>
      <c r="C1590" s="562" t="s">
        <v>1151</v>
      </c>
      <c r="D1590" s="558" t="s">
        <v>1293</v>
      </c>
      <c r="E1590" s="556" t="s">
        <v>71</v>
      </c>
    </row>
    <row r="1591" spans="2:5" ht="16.5">
      <c r="B1591" s="410">
        <v>11002566</v>
      </c>
      <c r="C1591" s="562" t="s">
        <v>1151</v>
      </c>
      <c r="D1591" s="558" t="s">
        <v>1294</v>
      </c>
      <c r="E1591" s="556" t="s">
        <v>71</v>
      </c>
    </row>
    <row r="1592" spans="2:5" ht="16.5">
      <c r="B1592" s="410">
        <v>11002566</v>
      </c>
      <c r="C1592" s="562" t="s">
        <v>1151</v>
      </c>
      <c r="D1592" s="558" t="s">
        <v>1295</v>
      </c>
      <c r="E1592" s="556" t="s">
        <v>71</v>
      </c>
    </row>
    <row r="1593" spans="2:5" ht="16.5">
      <c r="B1593" s="410">
        <v>11002566</v>
      </c>
      <c r="C1593" s="562" t="s">
        <v>1151</v>
      </c>
      <c r="D1593" s="558" t="s">
        <v>1296</v>
      </c>
      <c r="E1593" s="556" t="s">
        <v>71</v>
      </c>
    </row>
    <row r="1594" spans="2:5" ht="16.5">
      <c r="B1594" s="410">
        <v>11002566</v>
      </c>
      <c r="C1594" s="562" t="s">
        <v>1151</v>
      </c>
      <c r="D1594" s="558" t="s">
        <v>1297</v>
      </c>
      <c r="E1594" s="556" t="s">
        <v>71</v>
      </c>
    </row>
    <row r="1595" spans="2:5" ht="16.5">
      <c r="B1595" s="410">
        <v>11002566</v>
      </c>
      <c r="C1595" s="562" t="s">
        <v>1151</v>
      </c>
      <c r="D1595" s="558" t="s">
        <v>1298</v>
      </c>
      <c r="E1595" s="556" t="s">
        <v>71</v>
      </c>
    </row>
    <row r="1596" spans="2:5" ht="16.5">
      <c r="B1596" s="410">
        <v>11002566</v>
      </c>
      <c r="C1596" s="562" t="s">
        <v>1151</v>
      </c>
      <c r="D1596" s="558" t="s">
        <v>1299</v>
      </c>
      <c r="E1596" s="556" t="s">
        <v>71</v>
      </c>
    </row>
    <row r="1597" spans="2:5" ht="16.5">
      <c r="B1597" s="410">
        <v>11002566</v>
      </c>
      <c r="C1597" s="562" t="s">
        <v>1151</v>
      </c>
      <c r="D1597" s="558" t="s">
        <v>1300</v>
      </c>
      <c r="E1597" s="556" t="s">
        <v>71</v>
      </c>
    </row>
    <row r="1598" spans="2:5" ht="16.5">
      <c r="B1598" s="410">
        <v>11002566</v>
      </c>
      <c r="C1598" s="562" t="s">
        <v>1151</v>
      </c>
      <c r="D1598" s="558" t="s">
        <v>1301</v>
      </c>
      <c r="E1598" s="556" t="s">
        <v>71</v>
      </c>
    </row>
    <row r="1599" spans="2:5" ht="16.5">
      <c r="B1599" s="410">
        <v>11002566</v>
      </c>
      <c r="C1599" s="562" t="s">
        <v>1151</v>
      </c>
      <c r="D1599" s="558" t="s">
        <v>1302</v>
      </c>
      <c r="E1599" s="556" t="s">
        <v>71</v>
      </c>
    </row>
    <row r="1600" spans="2:5" ht="16.5">
      <c r="B1600" s="410">
        <v>11002566</v>
      </c>
      <c r="C1600" s="562" t="s">
        <v>1151</v>
      </c>
      <c r="D1600" s="558" t="s">
        <v>1303</v>
      </c>
      <c r="E1600" s="556" t="s">
        <v>71</v>
      </c>
    </row>
    <row r="1601" spans="2:5" ht="16.5">
      <c r="B1601" s="410">
        <v>11002566</v>
      </c>
      <c r="C1601" s="562" t="s">
        <v>1151</v>
      </c>
      <c r="D1601" s="558" t="s">
        <v>1304</v>
      </c>
      <c r="E1601" s="556" t="s">
        <v>71</v>
      </c>
    </row>
    <row r="1602" spans="2:5" ht="16.5">
      <c r="B1602" s="410">
        <v>11002566</v>
      </c>
      <c r="C1602" s="562" t="s">
        <v>1151</v>
      </c>
      <c r="D1602" s="558" t="s">
        <v>1305</v>
      </c>
      <c r="E1602" s="556" t="s">
        <v>71</v>
      </c>
    </row>
    <row r="1603" spans="2:5" ht="16.5">
      <c r="B1603" s="410">
        <v>11002566</v>
      </c>
      <c r="C1603" s="562" t="s">
        <v>1151</v>
      </c>
      <c r="D1603" s="558" t="s">
        <v>1306</v>
      </c>
      <c r="E1603" s="556" t="s">
        <v>71</v>
      </c>
    </row>
    <row r="1604" spans="2:5" ht="16.5">
      <c r="B1604" s="410">
        <v>11002566</v>
      </c>
      <c r="C1604" s="562" t="s">
        <v>1151</v>
      </c>
      <c r="D1604" s="558" t="s">
        <v>1307</v>
      </c>
      <c r="E1604" s="556" t="s">
        <v>71</v>
      </c>
    </row>
    <row r="1605" spans="2:5" ht="16.5">
      <c r="B1605" s="410">
        <v>11002566</v>
      </c>
      <c r="C1605" s="562" t="s">
        <v>1151</v>
      </c>
      <c r="D1605" s="558" t="s">
        <v>1308</v>
      </c>
      <c r="E1605" s="556" t="s">
        <v>71</v>
      </c>
    </row>
    <row r="1606" spans="2:5" ht="16.5">
      <c r="B1606" s="410">
        <v>11002566</v>
      </c>
      <c r="C1606" s="562" t="s">
        <v>1151</v>
      </c>
      <c r="D1606" s="558" t="s">
        <v>1309</v>
      </c>
      <c r="E1606" s="556" t="s">
        <v>71</v>
      </c>
    </row>
    <row r="1607" spans="2:5" ht="16.5">
      <c r="B1607" s="410">
        <v>11002566</v>
      </c>
      <c r="C1607" s="562" t="s">
        <v>1151</v>
      </c>
      <c r="D1607" s="558" t="s">
        <v>1310</v>
      </c>
      <c r="E1607" s="556" t="s">
        <v>71</v>
      </c>
    </row>
    <row r="1608" spans="2:5" ht="16.5">
      <c r="B1608" s="410">
        <v>11002566</v>
      </c>
      <c r="C1608" s="562" t="s">
        <v>1151</v>
      </c>
      <c r="D1608" s="558" t="s">
        <v>1311</v>
      </c>
      <c r="E1608" s="556" t="s">
        <v>71</v>
      </c>
    </row>
    <row r="1609" spans="2:5" ht="16.5">
      <c r="B1609" s="410">
        <v>11002566</v>
      </c>
      <c r="C1609" s="562" t="s">
        <v>1151</v>
      </c>
      <c r="D1609" s="558" t="s">
        <v>1312</v>
      </c>
      <c r="E1609" s="556" t="s">
        <v>71</v>
      </c>
    </row>
    <row r="1610" spans="2:5" ht="16.5">
      <c r="B1610" s="410">
        <v>11002566</v>
      </c>
      <c r="C1610" s="562" t="s">
        <v>1151</v>
      </c>
      <c r="D1610" s="558" t="s">
        <v>1313</v>
      </c>
      <c r="E1610" s="556" t="s">
        <v>71</v>
      </c>
    </row>
    <row r="1611" spans="2:5" ht="16.5">
      <c r="B1611" s="410">
        <v>11002566</v>
      </c>
      <c r="C1611" s="562" t="s">
        <v>1151</v>
      </c>
      <c r="D1611" s="558" t="s">
        <v>1314</v>
      </c>
      <c r="E1611" s="556" t="s">
        <v>71</v>
      </c>
    </row>
    <row r="1612" spans="2:5" ht="16.5">
      <c r="B1612" s="410">
        <v>11002566</v>
      </c>
      <c r="C1612" s="562" t="s">
        <v>1151</v>
      </c>
      <c r="D1612" s="558" t="s">
        <v>1315</v>
      </c>
      <c r="E1612" s="556" t="s">
        <v>71</v>
      </c>
    </row>
    <row r="1613" spans="2:5" ht="16.5">
      <c r="B1613" s="410">
        <v>11002566</v>
      </c>
      <c r="C1613" s="562" t="s">
        <v>1151</v>
      </c>
      <c r="D1613" s="558" t="s">
        <v>1316</v>
      </c>
      <c r="E1613" s="556" t="s">
        <v>71</v>
      </c>
    </row>
    <row r="1614" spans="2:5" ht="16.5">
      <c r="B1614" s="410">
        <v>11002566</v>
      </c>
      <c r="C1614" s="562" t="s">
        <v>1151</v>
      </c>
      <c r="D1614" s="558" t="s">
        <v>1317</v>
      </c>
      <c r="E1614" s="556" t="s">
        <v>71</v>
      </c>
    </row>
    <row r="1615" spans="2:5" ht="16.5">
      <c r="B1615" s="410">
        <v>11005213</v>
      </c>
      <c r="C1615" s="562" t="s">
        <v>1151</v>
      </c>
      <c r="D1615" s="558" t="s">
        <v>1318</v>
      </c>
      <c r="E1615" s="556" t="s">
        <v>71</v>
      </c>
    </row>
    <row r="1616" spans="2:5" ht="16.5">
      <c r="B1616" s="410">
        <v>11005213</v>
      </c>
      <c r="C1616" s="562" t="s">
        <v>1151</v>
      </c>
      <c r="D1616" s="558" t="s">
        <v>1319</v>
      </c>
      <c r="E1616" s="556" t="s">
        <v>71</v>
      </c>
    </row>
    <row r="1617" spans="2:5" ht="16.5">
      <c r="B1617" s="410">
        <v>11005213</v>
      </c>
      <c r="C1617" s="562" t="s">
        <v>1151</v>
      </c>
      <c r="D1617" s="558" t="s">
        <v>1320</v>
      </c>
      <c r="E1617" s="556" t="s">
        <v>71</v>
      </c>
    </row>
    <row r="1618" spans="2:5" ht="16.5">
      <c r="B1618" s="410">
        <v>11005213</v>
      </c>
      <c r="C1618" s="562" t="s">
        <v>1151</v>
      </c>
      <c r="D1618" s="558" t="s">
        <v>1321</v>
      </c>
      <c r="E1618" s="556" t="s">
        <v>71</v>
      </c>
    </row>
    <row r="1619" spans="2:5" ht="16.5">
      <c r="B1619" s="410">
        <v>11005213</v>
      </c>
      <c r="C1619" s="562" t="s">
        <v>1151</v>
      </c>
      <c r="D1619" s="558" t="s">
        <v>1322</v>
      </c>
      <c r="E1619" s="556" t="s">
        <v>71</v>
      </c>
    </row>
    <row r="1620" spans="2:5" ht="16.5">
      <c r="B1620" s="410">
        <v>11005213</v>
      </c>
      <c r="C1620" s="562" t="s">
        <v>1151</v>
      </c>
      <c r="D1620" s="558" t="s">
        <v>1323</v>
      </c>
      <c r="E1620" s="556" t="s">
        <v>71</v>
      </c>
    </row>
    <row r="1621" spans="2:5" ht="16.5">
      <c r="B1621" s="410">
        <v>11005213</v>
      </c>
      <c r="C1621" s="562" t="s">
        <v>1151</v>
      </c>
      <c r="D1621" s="558" t="s">
        <v>1324</v>
      </c>
      <c r="E1621" s="556" t="s">
        <v>71</v>
      </c>
    </row>
    <row r="1622" spans="2:5" ht="16.5">
      <c r="B1622" s="410">
        <v>11005213</v>
      </c>
      <c r="C1622" s="562" t="s">
        <v>1151</v>
      </c>
      <c r="D1622" s="558" t="s">
        <v>1325</v>
      </c>
      <c r="E1622" s="556" t="s">
        <v>71</v>
      </c>
    </row>
    <row r="1623" spans="2:5" ht="16.5">
      <c r="B1623" s="410">
        <v>11005213</v>
      </c>
      <c r="C1623" s="562" t="s">
        <v>1151</v>
      </c>
      <c r="D1623" s="558" t="s">
        <v>1326</v>
      </c>
      <c r="E1623" s="556" t="s">
        <v>71</v>
      </c>
    </row>
    <row r="1624" spans="2:5" ht="16.5">
      <c r="B1624" s="410">
        <v>11005213</v>
      </c>
      <c r="C1624" s="562" t="s">
        <v>1151</v>
      </c>
      <c r="D1624" s="558" t="s">
        <v>1327</v>
      </c>
      <c r="E1624" s="556" t="s">
        <v>71</v>
      </c>
    </row>
    <row r="1625" spans="2:5" ht="16.5">
      <c r="B1625" s="410">
        <v>11005213</v>
      </c>
      <c r="C1625" s="562" t="s">
        <v>1151</v>
      </c>
      <c r="D1625" s="558" t="s">
        <v>1328</v>
      </c>
      <c r="E1625" s="556" t="s">
        <v>71</v>
      </c>
    </row>
    <row r="1626" spans="2:5" ht="16.5">
      <c r="B1626" s="410">
        <v>11005213</v>
      </c>
      <c r="C1626" s="562" t="s">
        <v>1151</v>
      </c>
      <c r="D1626" s="558" t="s">
        <v>1329</v>
      </c>
      <c r="E1626" s="556" t="s">
        <v>71</v>
      </c>
    </row>
    <row r="1627" spans="2:5" ht="16.5">
      <c r="B1627" s="410">
        <v>11005213</v>
      </c>
      <c r="C1627" s="562" t="s">
        <v>1151</v>
      </c>
      <c r="D1627" s="558" t="s">
        <v>1330</v>
      </c>
      <c r="E1627" s="556" t="s">
        <v>71</v>
      </c>
    </row>
    <row r="1628" spans="2:5" ht="16.5">
      <c r="B1628" s="410">
        <v>11005213</v>
      </c>
      <c r="C1628" s="562" t="s">
        <v>1151</v>
      </c>
      <c r="D1628" s="558" t="s">
        <v>1331</v>
      </c>
      <c r="E1628" s="556" t="s">
        <v>71</v>
      </c>
    </row>
    <row r="1629" spans="2:5" ht="16.5">
      <c r="B1629" s="410">
        <v>11005213</v>
      </c>
      <c r="C1629" s="562" t="s">
        <v>1151</v>
      </c>
      <c r="D1629" s="558" t="s">
        <v>1332</v>
      </c>
      <c r="E1629" s="556" t="s">
        <v>71</v>
      </c>
    </row>
    <row r="1630" spans="2:5" ht="16.5">
      <c r="B1630" s="410">
        <v>11005213</v>
      </c>
      <c r="C1630" s="562" t="s">
        <v>1151</v>
      </c>
      <c r="D1630" s="558" t="s">
        <v>1333</v>
      </c>
      <c r="E1630" s="556" t="s">
        <v>71</v>
      </c>
    </row>
    <row r="1631" spans="2:5" ht="16.5">
      <c r="B1631" s="410">
        <v>11005213</v>
      </c>
      <c r="C1631" s="562" t="s">
        <v>1151</v>
      </c>
      <c r="D1631" s="558" t="s">
        <v>1334</v>
      </c>
      <c r="E1631" s="556" t="s">
        <v>71</v>
      </c>
    </row>
    <row r="1632" spans="2:5" ht="16.5">
      <c r="B1632" s="410">
        <v>11005213</v>
      </c>
      <c r="C1632" s="562" t="s">
        <v>1151</v>
      </c>
      <c r="D1632" s="558" t="s">
        <v>1335</v>
      </c>
      <c r="E1632" s="556" t="s">
        <v>71</v>
      </c>
    </row>
    <row r="1633" spans="2:5" ht="16.5">
      <c r="B1633" s="410">
        <v>11005213</v>
      </c>
      <c r="C1633" s="562" t="s">
        <v>1151</v>
      </c>
      <c r="D1633" s="558" t="s">
        <v>1336</v>
      </c>
      <c r="E1633" s="556" t="s">
        <v>71</v>
      </c>
    </row>
    <row r="1634" spans="2:5" ht="16.5">
      <c r="B1634" s="410">
        <v>11005213</v>
      </c>
      <c r="C1634" s="562" t="s">
        <v>1151</v>
      </c>
      <c r="D1634" s="558" t="s">
        <v>1337</v>
      </c>
      <c r="E1634" s="556" t="s">
        <v>71</v>
      </c>
    </row>
    <row r="1635" spans="2:5" ht="16.5">
      <c r="B1635" s="410">
        <v>11005213</v>
      </c>
      <c r="C1635" s="562" t="s">
        <v>1151</v>
      </c>
      <c r="D1635" s="558" t="s">
        <v>1338</v>
      </c>
      <c r="E1635" s="556" t="s">
        <v>71</v>
      </c>
    </row>
    <row r="1636" spans="2:5" ht="16.5">
      <c r="B1636" s="410">
        <v>11005213</v>
      </c>
      <c r="C1636" s="562" t="s">
        <v>1151</v>
      </c>
      <c r="D1636" s="558" t="s">
        <v>1339</v>
      </c>
      <c r="E1636" s="556" t="s">
        <v>71</v>
      </c>
    </row>
    <row r="1637" spans="2:5" ht="16.5">
      <c r="B1637" s="410">
        <v>11005213</v>
      </c>
      <c r="C1637" s="562" t="s">
        <v>1151</v>
      </c>
      <c r="D1637" s="558" t="s">
        <v>1340</v>
      </c>
      <c r="E1637" s="556" t="s">
        <v>71</v>
      </c>
    </row>
    <row r="1638" spans="2:5" ht="16.5">
      <c r="B1638" s="410">
        <v>11005213</v>
      </c>
      <c r="C1638" s="562" t="s">
        <v>1151</v>
      </c>
      <c r="D1638" s="558" t="s">
        <v>1341</v>
      </c>
      <c r="E1638" s="556" t="s">
        <v>71</v>
      </c>
    </row>
    <row r="1639" spans="2:5" ht="16.5">
      <c r="B1639" s="410">
        <v>11005213</v>
      </c>
      <c r="C1639" s="562" t="s">
        <v>1151</v>
      </c>
      <c r="D1639" s="558" t="s">
        <v>1342</v>
      </c>
      <c r="E1639" s="556" t="s">
        <v>71</v>
      </c>
    </row>
    <row r="1640" spans="2:5" ht="16.5">
      <c r="B1640" s="410">
        <v>11002578</v>
      </c>
      <c r="C1640" s="562" t="s">
        <v>1343</v>
      </c>
      <c r="D1640" s="558" t="s">
        <v>1344</v>
      </c>
      <c r="E1640" s="556" t="s">
        <v>71</v>
      </c>
    </row>
    <row r="1641" spans="2:5" ht="16.5">
      <c r="B1641" s="410">
        <v>11002578</v>
      </c>
      <c r="C1641" s="562" t="s">
        <v>1343</v>
      </c>
      <c r="D1641" s="558" t="s">
        <v>1345</v>
      </c>
      <c r="E1641" s="556" t="s">
        <v>71</v>
      </c>
    </row>
    <row r="1642" spans="2:5" ht="16.5">
      <c r="B1642" s="410">
        <v>11002578</v>
      </c>
      <c r="C1642" s="562" t="s">
        <v>1343</v>
      </c>
      <c r="D1642" s="558" t="s">
        <v>1346</v>
      </c>
      <c r="E1642" s="556" t="s">
        <v>71</v>
      </c>
    </row>
    <row r="1643" spans="2:5" ht="16.5">
      <c r="B1643" s="410">
        <v>11002578</v>
      </c>
      <c r="C1643" s="562" t="s">
        <v>1343</v>
      </c>
      <c r="D1643" s="558" t="s">
        <v>1347</v>
      </c>
      <c r="E1643" s="556" t="s">
        <v>71</v>
      </c>
    </row>
    <row r="1644" spans="2:5" ht="16.5">
      <c r="B1644" s="410">
        <v>11002578</v>
      </c>
      <c r="C1644" s="562" t="s">
        <v>1343</v>
      </c>
      <c r="D1644" s="558" t="s">
        <v>1348</v>
      </c>
      <c r="E1644" s="556" t="s">
        <v>71</v>
      </c>
    </row>
    <row r="1645" spans="2:5" ht="16.5">
      <c r="B1645" s="410">
        <v>11002578</v>
      </c>
      <c r="C1645" s="562" t="s">
        <v>1343</v>
      </c>
      <c r="D1645" s="558" t="s">
        <v>1349</v>
      </c>
      <c r="E1645" s="556" t="s">
        <v>71</v>
      </c>
    </row>
    <row r="1646" spans="2:5" ht="16.5">
      <c r="B1646" s="410">
        <v>11002578</v>
      </c>
      <c r="C1646" s="562" t="s">
        <v>1343</v>
      </c>
      <c r="D1646" s="558" t="s">
        <v>1350</v>
      </c>
      <c r="E1646" s="556" t="s">
        <v>71</v>
      </c>
    </row>
    <row r="1647" spans="2:5" ht="16.5">
      <c r="B1647" s="410">
        <v>11002578</v>
      </c>
      <c r="C1647" s="562" t="s">
        <v>1343</v>
      </c>
      <c r="D1647" s="558" t="s">
        <v>1351</v>
      </c>
      <c r="E1647" s="556" t="s">
        <v>71</v>
      </c>
    </row>
    <row r="1648" spans="2:5" ht="16.5">
      <c r="B1648" s="410">
        <v>11002578</v>
      </c>
      <c r="C1648" s="562" t="s">
        <v>1343</v>
      </c>
      <c r="D1648" s="558" t="s">
        <v>1352</v>
      </c>
      <c r="E1648" s="556" t="s">
        <v>71</v>
      </c>
    </row>
    <row r="1649" spans="2:5" ht="16.5">
      <c r="B1649" s="410">
        <v>11002579</v>
      </c>
      <c r="C1649" s="562" t="s">
        <v>1343</v>
      </c>
      <c r="D1649" s="558" t="s">
        <v>1353</v>
      </c>
      <c r="E1649" s="556" t="s">
        <v>71</v>
      </c>
    </row>
    <row r="1650" spans="2:5" ht="16.5">
      <c r="B1650" s="410">
        <v>11002579</v>
      </c>
      <c r="C1650" s="562" t="s">
        <v>1343</v>
      </c>
      <c r="D1650" s="558" t="s">
        <v>1354</v>
      </c>
      <c r="E1650" s="556" t="s">
        <v>71</v>
      </c>
    </row>
    <row r="1651" spans="2:5" ht="16.5">
      <c r="B1651" s="410">
        <v>11002579</v>
      </c>
      <c r="C1651" s="562" t="s">
        <v>1343</v>
      </c>
      <c r="D1651" s="558" t="s">
        <v>1355</v>
      </c>
      <c r="E1651" s="556" t="s">
        <v>71</v>
      </c>
    </row>
    <row r="1652" spans="2:5" ht="16.5">
      <c r="B1652" s="410">
        <v>11002579</v>
      </c>
      <c r="C1652" s="562" t="s">
        <v>1343</v>
      </c>
      <c r="D1652" s="558" t="s">
        <v>1356</v>
      </c>
      <c r="E1652" s="556" t="s">
        <v>71</v>
      </c>
    </row>
    <row r="1653" spans="2:5" ht="16.5">
      <c r="B1653" s="410">
        <v>11002579</v>
      </c>
      <c r="C1653" s="562" t="s">
        <v>1343</v>
      </c>
      <c r="D1653" s="558" t="s">
        <v>1357</v>
      </c>
      <c r="E1653" s="556" t="s">
        <v>71</v>
      </c>
    </row>
    <row r="1654" spans="2:5" ht="16.5">
      <c r="B1654" s="410">
        <v>11002579</v>
      </c>
      <c r="C1654" s="562" t="s">
        <v>1343</v>
      </c>
      <c r="D1654" s="558" t="s">
        <v>1358</v>
      </c>
      <c r="E1654" s="556" t="s">
        <v>71</v>
      </c>
    </row>
    <row r="1655" spans="2:5" ht="16.5">
      <c r="B1655" s="410">
        <v>11002579</v>
      </c>
      <c r="C1655" s="562" t="s">
        <v>1343</v>
      </c>
      <c r="D1655" s="558" t="s">
        <v>1359</v>
      </c>
      <c r="E1655" s="556" t="s">
        <v>71</v>
      </c>
    </row>
    <row r="1656" spans="2:5" ht="16.5">
      <c r="B1656" s="410">
        <v>11002579</v>
      </c>
      <c r="C1656" s="562" t="s">
        <v>1343</v>
      </c>
      <c r="D1656" s="558" t="s">
        <v>1360</v>
      </c>
      <c r="E1656" s="556" t="s">
        <v>71</v>
      </c>
    </row>
    <row r="1657" spans="2:5" ht="16.5">
      <c r="B1657" s="410">
        <v>11002579</v>
      </c>
      <c r="C1657" s="562" t="s">
        <v>1343</v>
      </c>
      <c r="D1657" s="558" t="s">
        <v>1361</v>
      </c>
      <c r="E1657" s="556" t="s">
        <v>71</v>
      </c>
    </row>
    <row r="1658" spans="2:5" ht="16.5">
      <c r="B1658" s="410">
        <v>11002580</v>
      </c>
      <c r="C1658" s="562" t="s">
        <v>1343</v>
      </c>
      <c r="D1658" s="558" t="s">
        <v>1362</v>
      </c>
      <c r="E1658" s="556" t="s">
        <v>71</v>
      </c>
    </row>
    <row r="1659" spans="2:5" ht="16.5">
      <c r="B1659" s="410">
        <v>11002580</v>
      </c>
      <c r="C1659" s="562" t="s">
        <v>1343</v>
      </c>
      <c r="D1659" s="558" t="s">
        <v>1363</v>
      </c>
      <c r="E1659" s="556" t="s">
        <v>71</v>
      </c>
    </row>
    <row r="1660" spans="2:5" ht="16.5">
      <c r="B1660" s="410">
        <v>11002580</v>
      </c>
      <c r="C1660" s="562" t="s">
        <v>1343</v>
      </c>
      <c r="D1660" s="558" t="s">
        <v>1364</v>
      </c>
      <c r="E1660" s="556" t="s">
        <v>71</v>
      </c>
    </row>
    <row r="1661" spans="2:5" ht="16.5">
      <c r="B1661" s="410">
        <v>11002580</v>
      </c>
      <c r="C1661" s="562" t="s">
        <v>1343</v>
      </c>
      <c r="D1661" s="558" t="s">
        <v>1365</v>
      </c>
      <c r="E1661" s="556" t="s">
        <v>71</v>
      </c>
    </row>
    <row r="1662" spans="2:5" ht="16.5">
      <c r="B1662" s="410">
        <v>11002580</v>
      </c>
      <c r="C1662" s="562" t="s">
        <v>1343</v>
      </c>
      <c r="D1662" s="558" t="s">
        <v>1366</v>
      </c>
      <c r="E1662" s="556" t="s">
        <v>71</v>
      </c>
    </row>
    <row r="1663" spans="2:5" ht="16.5">
      <c r="B1663" s="410">
        <v>11002580</v>
      </c>
      <c r="C1663" s="562" t="s">
        <v>1343</v>
      </c>
      <c r="D1663" s="558" t="s">
        <v>1367</v>
      </c>
      <c r="E1663" s="556" t="s">
        <v>71</v>
      </c>
    </row>
    <row r="1664" spans="2:5" ht="16.5">
      <c r="B1664" s="410">
        <v>11002580</v>
      </c>
      <c r="C1664" s="562" t="s">
        <v>1343</v>
      </c>
      <c r="D1664" s="558" t="s">
        <v>1368</v>
      </c>
      <c r="E1664" s="556" t="s">
        <v>71</v>
      </c>
    </row>
    <row r="1665" spans="2:5" ht="16.5">
      <c r="B1665" s="410">
        <v>11002580</v>
      </c>
      <c r="C1665" s="562" t="s">
        <v>1343</v>
      </c>
      <c r="D1665" s="558" t="s">
        <v>1369</v>
      </c>
      <c r="E1665" s="556" t="s">
        <v>71</v>
      </c>
    </row>
    <row r="1666" spans="2:5" ht="16.5">
      <c r="B1666" s="410">
        <v>11002580</v>
      </c>
      <c r="C1666" s="562" t="s">
        <v>1343</v>
      </c>
      <c r="D1666" s="558" t="s">
        <v>1370</v>
      </c>
      <c r="E1666" s="556" t="s">
        <v>71</v>
      </c>
    </row>
    <row r="1667" spans="2:5" ht="16.5">
      <c r="B1667" s="410">
        <v>11002581</v>
      </c>
      <c r="C1667" s="562" t="s">
        <v>1343</v>
      </c>
      <c r="D1667" s="558" t="s">
        <v>1371</v>
      </c>
      <c r="E1667" s="556" t="s">
        <v>71</v>
      </c>
    </row>
    <row r="1668" spans="2:5" ht="16.5">
      <c r="B1668" s="410">
        <v>11002581</v>
      </c>
      <c r="C1668" s="562" t="s">
        <v>1343</v>
      </c>
      <c r="D1668" s="558" t="s">
        <v>1372</v>
      </c>
      <c r="E1668" s="556" t="s">
        <v>71</v>
      </c>
    </row>
    <row r="1669" spans="2:5" ht="16.5">
      <c r="B1669" s="410">
        <v>11002581</v>
      </c>
      <c r="C1669" s="562" t="s">
        <v>1343</v>
      </c>
      <c r="D1669" s="558" t="s">
        <v>1373</v>
      </c>
      <c r="E1669" s="556" t="s">
        <v>71</v>
      </c>
    </row>
    <row r="1670" spans="2:5" ht="16.5">
      <c r="B1670" s="410">
        <v>11002581</v>
      </c>
      <c r="C1670" s="562" t="s">
        <v>1343</v>
      </c>
      <c r="D1670" s="558" t="s">
        <v>1374</v>
      </c>
      <c r="E1670" s="556" t="s">
        <v>71</v>
      </c>
    </row>
    <row r="1671" spans="2:5" ht="16.5">
      <c r="B1671" s="410">
        <v>11002581</v>
      </c>
      <c r="C1671" s="562" t="s">
        <v>1343</v>
      </c>
      <c r="D1671" s="558" t="s">
        <v>1375</v>
      </c>
      <c r="E1671" s="556" t="s">
        <v>71</v>
      </c>
    </row>
    <row r="1672" spans="2:5" ht="16.5">
      <c r="B1672" s="410">
        <v>11002581</v>
      </c>
      <c r="C1672" s="562" t="s">
        <v>1343</v>
      </c>
      <c r="D1672" s="558" t="s">
        <v>1376</v>
      </c>
      <c r="E1672" s="556" t="s">
        <v>71</v>
      </c>
    </row>
    <row r="1673" spans="2:5" ht="16.5">
      <c r="B1673" s="410">
        <v>11002581</v>
      </c>
      <c r="C1673" s="562" t="s">
        <v>1343</v>
      </c>
      <c r="D1673" s="558" t="s">
        <v>1377</v>
      </c>
      <c r="E1673" s="556" t="s">
        <v>71</v>
      </c>
    </row>
    <row r="1674" spans="2:5" ht="16.5">
      <c r="B1674" s="410">
        <v>11002581</v>
      </c>
      <c r="C1674" s="562" t="s">
        <v>1343</v>
      </c>
      <c r="D1674" s="558" t="s">
        <v>1378</v>
      </c>
      <c r="E1674" s="556" t="s">
        <v>71</v>
      </c>
    </row>
    <row r="1675" spans="2:5" ht="16.5">
      <c r="B1675" s="410">
        <v>11002581</v>
      </c>
      <c r="C1675" s="562" t="s">
        <v>1343</v>
      </c>
      <c r="D1675" s="558" t="s">
        <v>1379</v>
      </c>
      <c r="E1675" s="556" t="s">
        <v>71</v>
      </c>
    </row>
  </sheetData>
  <mergeCells count="1">
    <mergeCell ref="B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B0143-50D9-43F0-963D-F3D475F5C2C1}">
  <sheetPr>
    <tabColor rgb="FF7030A0"/>
  </sheetPr>
  <dimension ref="B1:O56"/>
  <sheetViews>
    <sheetView workbookViewId="0">
      <selection activeCell="G4" sqref="G4"/>
    </sheetView>
  </sheetViews>
  <sheetFormatPr defaultColWidth="0" defaultRowHeight="12" zeroHeight="1"/>
  <cols>
    <col min="1" max="1" width="2.5703125" style="308" customWidth="1"/>
    <col min="2" max="2" width="17.28515625" style="309" customWidth="1"/>
    <col min="3" max="3" width="20.42578125" style="309" customWidth="1"/>
    <col min="4" max="5" width="15.7109375" style="309" customWidth="1"/>
    <col min="6" max="6" width="18.85546875" style="309" customWidth="1"/>
    <col min="7" max="15" width="15.7109375" style="309" customWidth="1"/>
    <col min="16" max="16" width="9.140625" style="308" customWidth="1"/>
    <col min="17" max="16384" width="0" style="308" hidden="1"/>
  </cols>
  <sheetData>
    <row r="1" spans="2:15">
      <c r="B1" s="399"/>
      <c r="C1" s="399"/>
      <c r="D1" s="399"/>
      <c r="E1" s="399"/>
      <c r="F1" s="399"/>
      <c r="G1" s="399"/>
      <c r="H1" s="399"/>
      <c r="I1" s="399"/>
      <c r="J1" s="399"/>
      <c r="K1" s="399"/>
      <c r="L1" s="399"/>
      <c r="M1" s="399"/>
      <c r="N1" s="399"/>
      <c r="O1" s="399"/>
    </row>
    <row r="2" spans="2:15" ht="39.75" customHeight="1">
      <c r="B2" s="711" t="s">
        <v>1380</v>
      </c>
      <c r="C2" s="712"/>
      <c r="D2" s="712"/>
      <c r="E2" s="712"/>
      <c r="F2" s="712"/>
      <c r="G2" s="712"/>
      <c r="H2" s="712"/>
      <c r="I2" s="712"/>
      <c r="J2" s="712"/>
      <c r="K2" s="712"/>
      <c r="L2" s="712"/>
      <c r="M2" s="712"/>
      <c r="N2" s="712"/>
      <c r="O2" s="713"/>
    </row>
    <row r="3" spans="2:15" ht="36.75" customHeight="1">
      <c r="B3" s="320" t="s">
        <v>1381</v>
      </c>
      <c r="C3" s="321" t="s">
        <v>1382</v>
      </c>
      <c r="D3" s="321" t="s">
        <v>1383</v>
      </c>
      <c r="E3" s="322" t="s">
        <v>1384</v>
      </c>
      <c r="F3" s="323" t="s">
        <v>1385</v>
      </c>
      <c r="G3" s="323" t="s">
        <v>1386</v>
      </c>
      <c r="H3" s="324" t="s">
        <v>1387</v>
      </c>
      <c r="I3" s="320" t="s">
        <v>1381</v>
      </c>
      <c r="J3" s="321" t="s">
        <v>1382</v>
      </c>
      <c r="K3" s="321" t="s">
        <v>1383</v>
      </c>
      <c r="L3" s="322" t="s">
        <v>1384</v>
      </c>
      <c r="M3" s="323" t="s">
        <v>1385</v>
      </c>
      <c r="N3" s="323" t="s">
        <v>1386</v>
      </c>
      <c r="O3" s="325" t="s">
        <v>1387</v>
      </c>
    </row>
    <row r="4" spans="2:15" ht="24" customHeight="1">
      <c r="B4" s="317" t="s">
        <v>1388</v>
      </c>
      <c r="C4" s="400" t="s">
        <v>1389</v>
      </c>
      <c r="D4" s="401" t="s">
        <v>1390</v>
      </c>
      <c r="E4" s="310" t="s">
        <v>1391</v>
      </c>
      <c r="F4" s="310"/>
      <c r="G4" s="310"/>
      <c r="H4" s="311" t="s">
        <v>1391</v>
      </c>
      <c r="I4" s="317" t="s">
        <v>1392</v>
      </c>
      <c r="J4" s="400" t="s">
        <v>1393</v>
      </c>
      <c r="K4" s="401" t="s">
        <v>1390</v>
      </c>
      <c r="L4" s="310" t="s">
        <v>1391</v>
      </c>
      <c r="M4" s="310" t="s">
        <v>71</v>
      </c>
      <c r="N4" s="310" t="s">
        <v>71</v>
      </c>
      <c r="O4" s="315" t="s">
        <v>71</v>
      </c>
    </row>
    <row r="5" spans="2:15" ht="24" customHeight="1">
      <c r="B5" s="707" t="s">
        <v>1394</v>
      </c>
      <c r="C5" s="714" t="s">
        <v>1389</v>
      </c>
      <c r="D5" s="402" t="s">
        <v>1390</v>
      </c>
      <c r="E5" s="310" t="s">
        <v>1391</v>
      </c>
      <c r="F5" s="310" t="s">
        <v>71</v>
      </c>
      <c r="G5" s="310" t="s">
        <v>71</v>
      </c>
      <c r="H5" s="311" t="s">
        <v>71</v>
      </c>
      <c r="I5" s="707" t="s">
        <v>1395</v>
      </c>
      <c r="J5" s="403" t="s">
        <v>1389</v>
      </c>
      <c r="K5" s="402" t="s">
        <v>1390</v>
      </c>
      <c r="L5" s="310" t="s">
        <v>1391</v>
      </c>
      <c r="M5" s="310" t="s">
        <v>1391</v>
      </c>
      <c r="N5" s="310" t="s">
        <v>1391</v>
      </c>
      <c r="O5" s="315" t="s">
        <v>1391</v>
      </c>
    </row>
    <row r="6" spans="2:15" ht="24" customHeight="1">
      <c r="B6" s="708"/>
      <c r="C6" s="715"/>
      <c r="D6" s="402" t="s">
        <v>1396</v>
      </c>
      <c r="E6" s="310" t="s">
        <v>71</v>
      </c>
      <c r="F6" s="310" t="s">
        <v>71</v>
      </c>
      <c r="G6" s="310" t="s">
        <v>71</v>
      </c>
      <c r="H6" s="312" t="s">
        <v>1391</v>
      </c>
      <c r="I6" s="708"/>
      <c r="J6" s="403" t="s">
        <v>1397</v>
      </c>
      <c r="K6" s="402" t="s">
        <v>1390</v>
      </c>
      <c r="L6" s="310" t="s">
        <v>1391</v>
      </c>
      <c r="M6" s="310" t="s">
        <v>1391</v>
      </c>
      <c r="N6" s="310" t="s">
        <v>1391</v>
      </c>
      <c r="O6" s="315" t="s">
        <v>1391</v>
      </c>
    </row>
    <row r="7" spans="2:15" ht="24" customHeight="1">
      <c r="B7" s="318" t="s">
        <v>1398</v>
      </c>
      <c r="C7" s="403" t="s">
        <v>1389</v>
      </c>
      <c r="D7" s="402" t="s">
        <v>1390</v>
      </c>
      <c r="E7" s="310" t="s">
        <v>1391</v>
      </c>
      <c r="F7" s="310" t="s">
        <v>71</v>
      </c>
      <c r="G7" s="310" t="s">
        <v>71</v>
      </c>
      <c r="H7" s="312" t="s">
        <v>71</v>
      </c>
      <c r="I7" s="707" t="s">
        <v>1399</v>
      </c>
      <c r="J7" s="403" t="s">
        <v>1389</v>
      </c>
      <c r="K7" s="402" t="s">
        <v>1390</v>
      </c>
      <c r="L7" s="310" t="s">
        <v>1391</v>
      </c>
      <c r="M7" s="310" t="s">
        <v>1391</v>
      </c>
      <c r="N7" s="310" t="s">
        <v>1391</v>
      </c>
      <c r="O7" s="315" t="s">
        <v>1391</v>
      </c>
    </row>
    <row r="8" spans="2:15" ht="24" customHeight="1">
      <c r="B8" s="709" t="s">
        <v>1400</v>
      </c>
      <c r="C8" s="403" t="s">
        <v>1397</v>
      </c>
      <c r="D8" s="402" t="s">
        <v>1390</v>
      </c>
      <c r="E8" s="310" t="s">
        <v>1391</v>
      </c>
      <c r="F8" s="310" t="s">
        <v>71</v>
      </c>
      <c r="G8" s="310" t="s">
        <v>71</v>
      </c>
      <c r="H8" s="312" t="s">
        <v>71</v>
      </c>
      <c r="I8" s="708"/>
      <c r="J8" s="403" t="s">
        <v>1401</v>
      </c>
      <c r="K8" s="402" t="s">
        <v>1402</v>
      </c>
      <c r="L8" s="310" t="s">
        <v>1391</v>
      </c>
      <c r="M8" s="310" t="s">
        <v>71</v>
      </c>
      <c r="N8" s="310" t="s">
        <v>71</v>
      </c>
      <c r="O8" s="315" t="s">
        <v>71</v>
      </c>
    </row>
    <row r="9" spans="2:15" ht="24" customHeight="1">
      <c r="B9" s="708"/>
      <c r="C9" s="403" t="s">
        <v>1389</v>
      </c>
      <c r="D9" s="402" t="s">
        <v>1390</v>
      </c>
      <c r="E9" s="310" t="s">
        <v>1391</v>
      </c>
      <c r="F9" s="310" t="s">
        <v>71</v>
      </c>
      <c r="G9" s="310" t="s">
        <v>71</v>
      </c>
      <c r="H9" s="312" t="s">
        <v>71</v>
      </c>
      <c r="I9" s="317" t="s">
        <v>1403</v>
      </c>
      <c r="J9" s="403" t="s">
        <v>1389</v>
      </c>
      <c r="K9" s="402" t="s">
        <v>1396</v>
      </c>
      <c r="L9" s="310" t="s">
        <v>71</v>
      </c>
      <c r="M9" s="310" t="s">
        <v>1391</v>
      </c>
      <c r="N9" s="310" t="s">
        <v>1391</v>
      </c>
      <c r="O9" s="315" t="s">
        <v>1391</v>
      </c>
    </row>
    <row r="10" spans="2:15" ht="24" customHeight="1">
      <c r="B10" s="317" t="s">
        <v>1404</v>
      </c>
      <c r="C10" s="403" t="s">
        <v>1389</v>
      </c>
      <c r="D10" s="402" t="s">
        <v>1390</v>
      </c>
      <c r="E10" s="310" t="s">
        <v>1391</v>
      </c>
      <c r="F10" s="310" t="s">
        <v>71</v>
      </c>
      <c r="G10" s="310" t="s">
        <v>71</v>
      </c>
      <c r="H10" s="312" t="s">
        <v>71</v>
      </c>
      <c r="I10" s="707" t="s">
        <v>1405</v>
      </c>
      <c r="J10" s="403" t="s">
        <v>1389</v>
      </c>
      <c r="K10" s="402" t="s">
        <v>1390</v>
      </c>
      <c r="L10" s="310" t="s">
        <v>1391</v>
      </c>
      <c r="M10" s="310" t="s">
        <v>1391</v>
      </c>
      <c r="N10" s="310" t="s">
        <v>1391</v>
      </c>
      <c r="O10" s="315" t="s">
        <v>1391</v>
      </c>
    </row>
    <row r="11" spans="2:15" ht="24" customHeight="1">
      <c r="B11" s="317" t="s">
        <v>1406</v>
      </c>
      <c r="C11" s="403" t="s">
        <v>1389</v>
      </c>
      <c r="D11" s="402" t="s">
        <v>1396</v>
      </c>
      <c r="E11" s="310" t="s">
        <v>71</v>
      </c>
      <c r="F11" s="310" t="s">
        <v>1391</v>
      </c>
      <c r="G11" s="310" t="s">
        <v>1391</v>
      </c>
      <c r="H11" s="312" t="s">
        <v>1391</v>
      </c>
      <c r="I11" s="707"/>
      <c r="J11" s="403" t="s">
        <v>1397</v>
      </c>
      <c r="K11" s="402" t="s">
        <v>1390</v>
      </c>
      <c r="L11" s="310" t="s">
        <v>1391</v>
      </c>
      <c r="M11" s="310" t="s">
        <v>1391</v>
      </c>
      <c r="N11" s="310" t="s">
        <v>1391</v>
      </c>
      <c r="O11" s="315" t="s">
        <v>1391</v>
      </c>
    </row>
    <row r="12" spans="2:15" ht="24" customHeight="1">
      <c r="B12" s="707" t="s">
        <v>1407</v>
      </c>
      <c r="C12" s="714" t="s">
        <v>1389</v>
      </c>
      <c r="D12" s="402" t="s">
        <v>1390</v>
      </c>
      <c r="E12" s="310" t="s">
        <v>1391</v>
      </c>
      <c r="F12" s="310" t="s">
        <v>71</v>
      </c>
      <c r="G12" s="310" t="s">
        <v>71</v>
      </c>
      <c r="H12" s="312" t="s">
        <v>71</v>
      </c>
      <c r="I12" s="708"/>
      <c r="J12" s="403" t="s">
        <v>1401</v>
      </c>
      <c r="K12" s="402" t="s">
        <v>1402</v>
      </c>
      <c r="L12" s="310" t="s">
        <v>1391</v>
      </c>
      <c r="M12" s="310" t="s">
        <v>71</v>
      </c>
      <c r="N12" s="310" t="s">
        <v>71</v>
      </c>
      <c r="O12" s="315" t="s">
        <v>71</v>
      </c>
    </row>
    <row r="13" spans="2:15" ht="24" customHeight="1">
      <c r="B13" s="707"/>
      <c r="C13" s="715"/>
      <c r="D13" s="402" t="s">
        <v>1396</v>
      </c>
      <c r="E13" s="310" t="s">
        <v>71</v>
      </c>
      <c r="F13" s="310" t="s">
        <v>71</v>
      </c>
      <c r="G13" s="310" t="s">
        <v>71</v>
      </c>
      <c r="H13" s="312" t="s">
        <v>1391</v>
      </c>
      <c r="I13" s="317" t="s">
        <v>1408</v>
      </c>
      <c r="J13" s="403" t="s">
        <v>1389</v>
      </c>
      <c r="K13" s="402" t="s">
        <v>1396</v>
      </c>
      <c r="L13" s="310" t="s">
        <v>71</v>
      </c>
      <c r="M13" s="310" t="s">
        <v>1391</v>
      </c>
      <c r="N13" s="310" t="s">
        <v>1391</v>
      </c>
      <c r="O13" s="315" t="s">
        <v>1391</v>
      </c>
    </row>
    <row r="14" spans="2:15" ht="24" customHeight="1">
      <c r="B14" s="707"/>
      <c r="C14" s="403" t="s">
        <v>1397</v>
      </c>
      <c r="D14" s="402" t="s">
        <v>1390</v>
      </c>
      <c r="E14" s="310" t="s">
        <v>1391</v>
      </c>
      <c r="F14" s="310" t="s">
        <v>71</v>
      </c>
      <c r="G14" s="310" t="s">
        <v>71</v>
      </c>
      <c r="H14" s="312" t="s">
        <v>71</v>
      </c>
      <c r="I14" s="317" t="s">
        <v>1409</v>
      </c>
      <c r="J14" s="403" t="s">
        <v>1389</v>
      </c>
      <c r="K14" s="402" t="s">
        <v>1396</v>
      </c>
      <c r="L14" s="310" t="s">
        <v>71</v>
      </c>
      <c r="M14" s="310" t="s">
        <v>1391</v>
      </c>
      <c r="N14" s="310" t="s">
        <v>1391</v>
      </c>
      <c r="O14" s="315" t="s">
        <v>1391</v>
      </c>
    </row>
    <row r="15" spans="2:15" ht="24" customHeight="1">
      <c r="B15" s="708"/>
      <c r="C15" s="403" t="s">
        <v>1410</v>
      </c>
      <c r="D15" s="402" t="s">
        <v>1390</v>
      </c>
      <c r="E15" s="310" t="s">
        <v>1391</v>
      </c>
      <c r="F15" s="310" t="s">
        <v>71</v>
      </c>
      <c r="G15" s="310" t="s">
        <v>71</v>
      </c>
      <c r="H15" s="312" t="s">
        <v>71</v>
      </c>
      <c r="I15" s="317" t="s">
        <v>1411</v>
      </c>
      <c r="J15" s="403" t="s">
        <v>1389</v>
      </c>
      <c r="K15" s="402" t="s">
        <v>1390</v>
      </c>
      <c r="L15" s="310" t="s">
        <v>1391</v>
      </c>
      <c r="M15" s="310" t="s">
        <v>1391</v>
      </c>
      <c r="N15" s="310" t="s">
        <v>1391</v>
      </c>
      <c r="O15" s="315" t="s">
        <v>1391</v>
      </c>
    </row>
    <row r="16" spans="2:15" ht="24" customHeight="1">
      <c r="B16" s="317" t="s">
        <v>1412</v>
      </c>
      <c r="C16" s="403" t="s">
        <v>1410</v>
      </c>
      <c r="D16" s="402" t="s">
        <v>1390</v>
      </c>
      <c r="E16" s="310" t="s">
        <v>1391</v>
      </c>
      <c r="F16" s="310" t="s">
        <v>71</v>
      </c>
      <c r="G16" s="310" t="s">
        <v>71</v>
      </c>
      <c r="H16" s="312" t="s">
        <v>71</v>
      </c>
      <c r="I16" s="707" t="s">
        <v>1413</v>
      </c>
      <c r="J16" s="403" t="s">
        <v>1389</v>
      </c>
      <c r="K16" s="402" t="s">
        <v>1390</v>
      </c>
      <c r="L16" s="310" t="s">
        <v>1391</v>
      </c>
      <c r="M16" s="310" t="s">
        <v>1391</v>
      </c>
      <c r="N16" s="310" t="s">
        <v>1391</v>
      </c>
      <c r="O16" s="315" t="s">
        <v>1391</v>
      </c>
    </row>
    <row r="17" spans="2:15" ht="24" customHeight="1">
      <c r="B17" s="317" t="s">
        <v>1414</v>
      </c>
      <c r="C17" s="403" t="s">
        <v>1389</v>
      </c>
      <c r="D17" s="402" t="s">
        <v>1390</v>
      </c>
      <c r="E17" s="310" t="s">
        <v>1391</v>
      </c>
      <c r="F17" s="310" t="s">
        <v>71</v>
      </c>
      <c r="G17" s="310" t="s">
        <v>71</v>
      </c>
      <c r="H17" s="312" t="s">
        <v>71</v>
      </c>
      <c r="I17" s="708"/>
      <c r="J17" s="403" t="s">
        <v>1401</v>
      </c>
      <c r="K17" s="402" t="s">
        <v>1402</v>
      </c>
      <c r="L17" s="310" t="s">
        <v>1391</v>
      </c>
      <c r="M17" s="310" t="s">
        <v>71</v>
      </c>
      <c r="N17" s="310" t="s">
        <v>71</v>
      </c>
      <c r="O17" s="315" t="s">
        <v>71</v>
      </c>
    </row>
    <row r="18" spans="2:15" ht="24" customHeight="1">
      <c r="B18" s="317" t="s">
        <v>1415</v>
      </c>
      <c r="C18" s="403" t="s">
        <v>1397</v>
      </c>
      <c r="D18" s="402" t="s">
        <v>1390</v>
      </c>
      <c r="E18" s="310" t="s">
        <v>1391</v>
      </c>
      <c r="F18" s="310" t="s">
        <v>71</v>
      </c>
      <c r="G18" s="310" t="s">
        <v>71</v>
      </c>
      <c r="H18" s="312" t="s">
        <v>71</v>
      </c>
      <c r="I18" s="317" t="s">
        <v>1416</v>
      </c>
      <c r="J18" s="403" t="s">
        <v>1410</v>
      </c>
      <c r="K18" s="402" t="s">
        <v>1390</v>
      </c>
      <c r="L18" s="310" t="s">
        <v>1391</v>
      </c>
      <c r="M18" s="310" t="s">
        <v>71</v>
      </c>
      <c r="N18" s="310" t="s">
        <v>71</v>
      </c>
      <c r="O18" s="315" t="s">
        <v>71</v>
      </c>
    </row>
    <row r="19" spans="2:15" ht="24" customHeight="1">
      <c r="B19" s="716" t="s">
        <v>1417</v>
      </c>
      <c r="C19" s="403" t="s">
        <v>1389</v>
      </c>
      <c r="D19" s="402" t="s">
        <v>1390</v>
      </c>
      <c r="E19" s="310" t="s">
        <v>1391</v>
      </c>
      <c r="F19" s="310" t="s">
        <v>1418</v>
      </c>
      <c r="G19" s="310" t="s">
        <v>71</v>
      </c>
      <c r="H19" s="312" t="s">
        <v>71</v>
      </c>
      <c r="I19" s="707" t="s">
        <v>1419</v>
      </c>
      <c r="J19" s="403" t="s">
        <v>1389</v>
      </c>
      <c r="K19" s="402" t="s">
        <v>1390</v>
      </c>
      <c r="L19" s="310" t="s">
        <v>1391</v>
      </c>
      <c r="M19" s="310" t="s">
        <v>71</v>
      </c>
      <c r="N19" s="310" t="s">
        <v>71</v>
      </c>
      <c r="O19" s="315" t="s">
        <v>71</v>
      </c>
    </row>
    <row r="20" spans="2:15" ht="24" customHeight="1">
      <c r="B20" s="717"/>
      <c r="C20" s="403" t="s">
        <v>1420</v>
      </c>
      <c r="D20" s="402" t="s">
        <v>1421</v>
      </c>
      <c r="E20" s="310" t="s">
        <v>71</v>
      </c>
      <c r="F20" s="310" t="s">
        <v>71</v>
      </c>
      <c r="G20" s="310" t="s">
        <v>71</v>
      </c>
      <c r="H20" s="312" t="s">
        <v>71</v>
      </c>
      <c r="I20" s="708"/>
      <c r="J20" s="403" t="s">
        <v>1389</v>
      </c>
      <c r="K20" s="402" t="s">
        <v>1396</v>
      </c>
      <c r="L20" s="310" t="s">
        <v>71</v>
      </c>
      <c r="M20" s="310" t="s">
        <v>71</v>
      </c>
      <c r="N20" s="310" t="s">
        <v>71</v>
      </c>
      <c r="O20" s="315" t="s">
        <v>1391</v>
      </c>
    </row>
    <row r="21" spans="2:15" ht="24" customHeight="1">
      <c r="B21" s="317" t="s">
        <v>1422</v>
      </c>
      <c r="C21" s="403" t="s">
        <v>1389</v>
      </c>
      <c r="D21" s="402" t="s">
        <v>1390</v>
      </c>
      <c r="E21" s="310" t="s">
        <v>1391</v>
      </c>
      <c r="F21" s="310" t="s">
        <v>1391</v>
      </c>
      <c r="G21" s="310" t="s">
        <v>1391</v>
      </c>
      <c r="H21" s="312" t="s">
        <v>71</v>
      </c>
      <c r="I21" s="317" t="s">
        <v>1423</v>
      </c>
      <c r="J21" s="403" t="s">
        <v>1389</v>
      </c>
      <c r="K21" s="402" t="s">
        <v>1390</v>
      </c>
      <c r="L21" s="310" t="s">
        <v>1391</v>
      </c>
      <c r="M21" s="310" t="s">
        <v>71</v>
      </c>
      <c r="N21" s="310" t="s">
        <v>71</v>
      </c>
      <c r="O21" s="315" t="s">
        <v>71</v>
      </c>
    </row>
    <row r="22" spans="2:15" ht="24" customHeight="1">
      <c r="B22" s="707" t="s">
        <v>1424</v>
      </c>
      <c r="C22" s="403" t="s">
        <v>1389</v>
      </c>
      <c r="D22" s="402" t="s">
        <v>1390</v>
      </c>
      <c r="E22" s="310" t="s">
        <v>1391</v>
      </c>
      <c r="F22" s="310" t="s">
        <v>1425</v>
      </c>
      <c r="G22" s="310" t="s">
        <v>1391</v>
      </c>
      <c r="H22" s="312" t="s">
        <v>71</v>
      </c>
      <c r="I22" s="707" t="s">
        <v>1426</v>
      </c>
      <c r="J22" s="403" t="s">
        <v>1389</v>
      </c>
      <c r="K22" s="402" t="s">
        <v>1390</v>
      </c>
      <c r="L22" s="310" t="s">
        <v>1391</v>
      </c>
      <c r="M22" s="310" t="s">
        <v>71</v>
      </c>
      <c r="N22" s="310" t="s">
        <v>71</v>
      </c>
      <c r="O22" s="315" t="s">
        <v>71</v>
      </c>
    </row>
    <row r="23" spans="2:15" ht="24" customHeight="1">
      <c r="B23" s="708"/>
      <c r="C23" s="403" t="s">
        <v>1427</v>
      </c>
      <c r="D23" s="404" t="s">
        <v>1428</v>
      </c>
      <c r="E23" s="310" t="s">
        <v>71</v>
      </c>
      <c r="F23" s="310" t="s">
        <v>71</v>
      </c>
      <c r="G23" s="310" t="s">
        <v>1391</v>
      </c>
      <c r="H23" s="312" t="s">
        <v>71</v>
      </c>
      <c r="I23" s="708"/>
      <c r="J23" s="403" t="s">
        <v>1420</v>
      </c>
      <c r="K23" s="402" t="s">
        <v>1421</v>
      </c>
      <c r="L23" s="310" t="s">
        <v>71</v>
      </c>
      <c r="M23" s="310" t="s">
        <v>71</v>
      </c>
      <c r="N23" s="310" t="s">
        <v>71</v>
      </c>
      <c r="O23" s="315" t="s">
        <v>71</v>
      </c>
    </row>
    <row r="24" spans="2:15" ht="24" customHeight="1">
      <c r="B24" s="317" t="s">
        <v>1429</v>
      </c>
      <c r="C24" s="403" t="s">
        <v>1389</v>
      </c>
      <c r="D24" s="402" t="s">
        <v>1390</v>
      </c>
      <c r="E24" s="310" t="s">
        <v>1391</v>
      </c>
      <c r="F24" s="310" t="s">
        <v>71</v>
      </c>
      <c r="G24" s="310" t="s">
        <v>71</v>
      </c>
      <c r="H24" s="312" t="s">
        <v>71</v>
      </c>
      <c r="I24" s="317" t="s">
        <v>1430</v>
      </c>
      <c r="J24" s="403" t="s">
        <v>1389</v>
      </c>
      <c r="K24" s="402" t="s">
        <v>1396</v>
      </c>
      <c r="L24" s="310" t="s">
        <v>1391</v>
      </c>
      <c r="M24" s="310" t="s">
        <v>71</v>
      </c>
      <c r="N24" s="310" t="s">
        <v>71</v>
      </c>
      <c r="O24" s="315" t="s">
        <v>71</v>
      </c>
    </row>
    <row r="25" spans="2:15" ht="24" customHeight="1">
      <c r="B25" s="317" t="s">
        <v>1431</v>
      </c>
      <c r="C25" s="403" t="s">
        <v>1389</v>
      </c>
      <c r="D25" s="402" t="s">
        <v>1390</v>
      </c>
      <c r="E25" s="310" t="s">
        <v>1391</v>
      </c>
      <c r="F25" s="310" t="s">
        <v>71</v>
      </c>
      <c r="G25" s="310" t="s">
        <v>71</v>
      </c>
      <c r="H25" s="312" t="s">
        <v>71</v>
      </c>
      <c r="I25" s="709" t="s">
        <v>1432</v>
      </c>
      <c r="J25" s="403" t="s">
        <v>1389</v>
      </c>
      <c r="K25" s="402" t="s">
        <v>1390</v>
      </c>
      <c r="L25" s="310" t="s">
        <v>1391</v>
      </c>
      <c r="M25" s="310" t="s">
        <v>71</v>
      </c>
      <c r="N25" s="310" t="s">
        <v>71</v>
      </c>
      <c r="O25" s="315" t="s">
        <v>71</v>
      </c>
    </row>
    <row r="26" spans="2:15" ht="24" customHeight="1">
      <c r="B26" s="707" t="s">
        <v>1433</v>
      </c>
      <c r="C26" s="403" t="s">
        <v>1389</v>
      </c>
      <c r="D26" s="402" t="s">
        <v>1390</v>
      </c>
      <c r="E26" s="310" t="s">
        <v>1391</v>
      </c>
      <c r="F26" s="310" t="s">
        <v>71</v>
      </c>
      <c r="G26" s="310" t="s">
        <v>71</v>
      </c>
      <c r="H26" s="312" t="s">
        <v>71</v>
      </c>
      <c r="I26" s="707"/>
      <c r="J26" s="403" t="s">
        <v>1389</v>
      </c>
      <c r="K26" s="402" t="s">
        <v>1396</v>
      </c>
      <c r="L26" s="310" t="s">
        <v>71</v>
      </c>
      <c r="M26" s="310" t="s">
        <v>71</v>
      </c>
      <c r="N26" s="310" t="s">
        <v>71</v>
      </c>
      <c r="O26" s="315" t="s">
        <v>71</v>
      </c>
    </row>
    <row r="27" spans="2:15" ht="24" customHeight="1">
      <c r="B27" s="708"/>
      <c r="C27" s="403" t="s">
        <v>1397</v>
      </c>
      <c r="D27" s="402" t="s">
        <v>1390</v>
      </c>
      <c r="E27" s="310" t="s">
        <v>1391</v>
      </c>
      <c r="F27" s="310" t="s">
        <v>71</v>
      </c>
      <c r="G27" s="310" t="s">
        <v>71</v>
      </c>
      <c r="H27" s="312" t="s">
        <v>1391</v>
      </c>
      <c r="I27" s="707"/>
      <c r="J27" s="403" t="s">
        <v>1397</v>
      </c>
      <c r="K27" s="402" t="s">
        <v>1390</v>
      </c>
      <c r="L27" s="310" t="s">
        <v>1391</v>
      </c>
      <c r="M27" s="310" t="s">
        <v>71</v>
      </c>
      <c r="N27" s="310" t="s">
        <v>71</v>
      </c>
      <c r="O27" s="315" t="s">
        <v>71</v>
      </c>
    </row>
    <row r="28" spans="2:15" ht="24" customHeight="1">
      <c r="B28" s="317" t="s">
        <v>1434</v>
      </c>
      <c r="C28" s="403" t="s">
        <v>1389</v>
      </c>
      <c r="D28" s="402" t="s">
        <v>1390</v>
      </c>
      <c r="E28" s="310" t="s">
        <v>1391</v>
      </c>
      <c r="F28" s="310" t="s">
        <v>71</v>
      </c>
      <c r="G28" s="310" t="s">
        <v>71</v>
      </c>
      <c r="H28" s="312" t="s">
        <v>71</v>
      </c>
      <c r="I28" s="707"/>
      <c r="J28" s="403" t="s">
        <v>1435</v>
      </c>
      <c r="K28" s="402" t="s">
        <v>1390</v>
      </c>
      <c r="L28" s="310" t="s">
        <v>71</v>
      </c>
      <c r="M28" s="310" t="s">
        <v>71</v>
      </c>
      <c r="N28" s="310" t="s">
        <v>71</v>
      </c>
      <c r="O28" s="315" t="s">
        <v>71</v>
      </c>
    </row>
    <row r="29" spans="2:15" ht="24" customHeight="1">
      <c r="B29" s="319" t="s">
        <v>1436</v>
      </c>
      <c r="C29" s="405" t="s">
        <v>1397</v>
      </c>
      <c r="D29" s="406" t="s">
        <v>1390</v>
      </c>
      <c r="E29" s="313" t="s">
        <v>1391</v>
      </c>
      <c r="F29" s="313" t="s">
        <v>71</v>
      </c>
      <c r="G29" s="313" t="s">
        <v>71</v>
      </c>
      <c r="H29" s="314" t="s">
        <v>71</v>
      </c>
      <c r="I29" s="710"/>
      <c r="J29" s="405" t="s">
        <v>1420</v>
      </c>
      <c r="K29" s="406" t="s">
        <v>1421</v>
      </c>
      <c r="L29" s="313" t="s">
        <v>71</v>
      </c>
      <c r="M29" s="313" t="s">
        <v>71</v>
      </c>
      <c r="N29" s="313" t="s">
        <v>71</v>
      </c>
      <c r="O29" s="316" t="s">
        <v>71</v>
      </c>
    </row>
    <row r="56"/>
  </sheetData>
  <mergeCells count="16">
    <mergeCell ref="I19:I20"/>
    <mergeCell ref="I22:I23"/>
    <mergeCell ref="I25:I29"/>
    <mergeCell ref="B2:O2"/>
    <mergeCell ref="B22:B23"/>
    <mergeCell ref="B26:B27"/>
    <mergeCell ref="I5:I6"/>
    <mergeCell ref="I7:I8"/>
    <mergeCell ref="I10:I12"/>
    <mergeCell ref="I16:I17"/>
    <mergeCell ref="B5:B6"/>
    <mergeCell ref="C5:C6"/>
    <mergeCell ref="B8:B9"/>
    <mergeCell ref="B12:B15"/>
    <mergeCell ref="C12:C13"/>
    <mergeCell ref="B19:B20"/>
  </mergeCells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BA018-54F5-4285-9377-7D34DEA9EB34}">
  <sheetPr codeName="Sheet12">
    <tabColor theme="8" tint="-0.249977111117893"/>
    <pageSetUpPr fitToPage="1"/>
  </sheetPr>
  <dimension ref="B1:R179"/>
  <sheetViews>
    <sheetView view="pageBreakPreview" topLeftCell="A2" zoomScale="85" zoomScaleNormal="85" zoomScaleSheetLayoutView="85" workbookViewId="0">
      <selection activeCell="O11" sqref="O11"/>
    </sheetView>
  </sheetViews>
  <sheetFormatPr defaultColWidth="0" defaultRowHeight="12"/>
  <cols>
    <col min="1" max="1" width="9.140625" style="71" customWidth="1"/>
    <col min="2" max="2" width="18.5703125" style="71" bestFit="1" customWidth="1"/>
    <col min="3" max="3" width="11.42578125" style="71" bestFit="1" customWidth="1"/>
    <col min="4" max="16" width="14.7109375" style="71" customWidth="1"/>
    <col min="17" max="17" width="9.140625" style="71" customWidth="1"/>
    <col min="18" max="18" width="9.140625" style="71" hidden="1" customWidth="1"/>
    <col min="19" max="19" width="0" style="71" hidden="1" customWidth="1"/>
    <col min="20" max="16384" width="0" style="71" hidden="1"/>
  </cols>
  <sheetData>
    <row r="1" spans="2:17" customFormat="1"/>
    <row r="2" spans="2:17" s="78" customFormat="1" ht="39.950000000000003" customHeight="1">
      <c r="B2" s="731" t="s">
        <v>1437</v>
      </c>
      <c r="C2" s="732"/>
      <c r="D2" s="732"/>
      <c r="E2" s="732"/>
      <c r="F2" s="732"/>
      <c r="G2" s="732"/>
      <c r="H2" s="732"/>
      <c r="I2" s="732"/>
      <c r="J2" s="732"/>
      <c r="K2" s="732"/>
      <c r="L2" s="732"/>
      <c r="M2" s="732"/>
      <c r="N2" s="732"/>
      <c r="O2" s="732"/>
      <c r="P2" s="733"/>
    </row>
    <row r="3" spans="2:17" customFormat="1" ht="26.1" customHeight="1">
      <c r="B3" s="738" t="s">
        <v>1438</v>
      </c>
      <c r="C3" s="739"/>
      <c r="D3" s="57" t="s">
        <v>1439</v>
      </c>
      <c r="E3" s="58" t="s">
        <v>1440</v>
      </c>
      <c r="F3" s="58" t="s">
        <v>1441</v>
      </c>
      <c r="G3" s="58" t="s">
        <v>1442</v>
      </c>
      <c r="H3" s="58" t="s">
        <v>1443</v>
      </c>
      <c r="I3" s="58" t="s">
        <v>1444</v>
      </c>
      <c r="J3" s="58" t="s">
        <v>1445</v>
      </c>
      <c r="K3" s="58" t="s">
        <v>1446</v>
      </c>
      <c r="L3" s="58" t="s">
        <v>1447</v>
      </c>
      <c r="M3" s="58" t="s">
        <v>1448</v>
      </c>
      <c r="N3" s="58" t="s">
        <v>1449</v>
      </c>
      <c r="O3" s="58" t="s">
        <v>1450</v>
      </c>
      <c r="P3" s="188" t="s">
        <v>1451</v>
      </c>
    </row>
    <row r="4" spans="2:17" customFormat="1" ht="21.95" customHeight="1">
      <c r="B4" s="740" t="s">
        <v>1452</v>
      </c>
      <c r="C4" s="741"/>
      <c r="D4" s="90">
        <f>SUM(D5,(D6*2))</f>
        <v>142</v>
      </c>
      <c r="E4" s="91">
        <f t="shared" ref="E4:O4" si="0">SUM(E5,(E6*2))</f>
        <v>240</v>
      </c>
      <c r="F4" s="91">
        <f t="shared" si="0"/>
        <v>219</v>
      </c>
      <c r="G4" s="91">
        <f t="shared" si="0"/>
        <v>261</v>
      </c>
      <c r="H4" s="91">
        <f t="shared" si="0"/>
        <v>193</v>
      </c>
      <c r="I4" s="91">
        <f t="shared" si="0"/>
        <v>180</v>
      </c>
      <c r="J4" s="91">
        <f t="shared" si="0"/>
        <v>217</v>
      </c>
      <c r="K4" s="91">
        <f t="shared" si="0"/>
        <v>213</v>
      </c>
      <c r="L4" s="91">
        <f t="shared" si="0"/>
        <v>227</v>
      </c>
      <c r="M4" s="91">
        <f t="shared" si="0"/>
        <v>193</v>
      </c>
      <c r="N4" s="91">
        <f t="shared" si="0"/>
        <v>256</v>
      </c>
      <c r="O4" s="91">
        <f t="shared" si="0"/>
        <v>223</v>
      </c>
      <c r="P4" s="189">
        <f t="shared" ref="P4:P11" si="1">SUM(D4:O4)</f>
        <v>2564</v>
      </c>
    </row>
    <row r="5" spans="2:17" customFormat="1" ht="21.95" customHeight="1">
      <c r="B5" s="742" t="s">
        <v>1453</v>
      </c>
      <c r="C5" s="743"/>
      <c r="D5" s="568" cm="1">
        <f t="array" ref="D5">_xlfn.LET(
    _xlpm.raw, _xlfn._xlws.FILTER('제조품질 날짜별 실적'!D2:D10080, ('제조품질 날짜별 실적'!I2:I10080=1)*('제조품질 날짜별 실적'!G2:G10080="SINGLE")),
    _xlpm.cleaned, _xlfn._xlws.FILTER(_xlpm.raw, LEN(TRIM(_xlpm.raw))&gt;0),
    IF(COUNTA(_xlpm.cleaned)=0, 0, COUNTA(_xlfn.UNIQUE(_xlpm.cleaned)))
)</f>
        <v>40</v>
      </c>
      <c r="E5" s="92" cm="1">
        <f t="array" ref="E5">_xlfn.LET(
    _xlpm.raw, _xlfn._xlws.FILTER('제조품질 날짜별 실적'!D2:D10080, ('제조품질 날짜별 실적'!I2:I10080=2)*('제조품질 날짜별 실적'!G2:G10080="SINGLE")),
    _xlpm.cleaned, _xlfn._xlws.FILTER(_xlpm.raw, LEN(TRIM(_xlpm.raw))&gt;0),
    IF(COUNTA(_xlpm.cleaned)=0, 0, COUNTA(_xlfn.UNIQUE(_xlpm.cleaned)))
)</f>
        <v>92</v>
      </c>
      <c r="F5" s="92" cm="1">
        <f t="array" ref="F5">_xlfn.LET(
    _xlpm.raw, _xlfn._xlws.FILTER('제조품질 날짜별 실적'!D2:D10080, ('제조품질 날짜별 실적'!I2:I10080=3)*('제조품질 날짜별 실적'!G2:G10080="SINGLE")),
    _xlpm.cleaned, _xlfn._xlws.FILTER(_xlpm.raw, LEN(TRIM(_xlpm.raw))&gt;0),
    IF(COUNTA(_xlpm.cleaned)=0, 0, COUNTA(_xlfn.UNIQUE(_xlpm.cleaned)))
)</f>
        <v>71</v>
      </c>
      <c r="G5" s="92" cm="1">
        <f t="array" ref="G5">_xlfn.LET(
    _xlpm.raw, _xlfn._xlws.FILTER('제조품질 날짜별 실적'!D2:D10080, ('제조품질 날짜별 실적'!I2:I10080=4)*('제조품질 날짜별 실적'!G2:G10080="SINGLE")),
    _xlpm.cleaned, _xlfn._xlws.FILTER(_xlpm.raw, LEN(TRIM(_xlpm.raw))&gt;0),
    IF(COUNTA(_xlpm.cleaned)=0, 0, COUNTA(_xlfn.UNIQUE(_xlpm.cleaned)))
)</f>
        <v>59</v>
      </c>
      <c r="H5" s="92" cm="1">
        <f t="array" ref="H5">_xlfn.LET(
    _xlpm.raw, _xlfn._xlws.FILTER('제조품질 날짜별 실적'!D2:D10080, ('제조품질 날짜별 실적'!I2:I10080=5)*('제조품질 날짜별 실적'!G2:G10080="SINGLE")),
    _xlpm.cleaned, _xlfn._xlws.FILTER(_xlpm.raw, LEN(TRIM(_xlpm.raw))&gt;0),
    IF(COUNTA(_xlpm.cleaned)=0, 0, COUNTA(_xlfn.UNIQUE(_xlpm.cleaned)))
)</f>
        <v>23</v>
      </c>
      <c r="I5" s="92" cm="1">
        <f t="array" ref="I5">_xlfn.LET(
    _xlpm.raw, _xlfn._xlws.FILTER('제조품질 날짜별 실적'!D2:D10080, ('제조품질 날짜별 실적'!I2:I10080=6)*('제조품질 날짜별 실적'!G2:G10080="SINGLE")),
    _xlpm.cleaned, _xlfn._xlws.FILTER(_xlpm.raw, LEN(TRIM(_xlpm.raw))&gt;0),
    IF(COUNTA(_xlpm.cleaned)=0, 0, COUNTA(_xlfn.UNIQUE(_xlpm.cleaned)))
)</f>
        <v>56</v>
      </c>
      <c r="J5" s="92" cm="1">
        <f t="array" ref="J5">_xlfn.LET(
    _xlpm.raw, _xlfn._xlws.FILTER('제조품질 날짜별 실적'!D2:D10080, ('제조품질 날짜별 실적'!I2:I10080=7)*('제조품질 날짜별 실적'!G2:G10080="SINGLE")),
    _xlpm.cleaned, _xlfn._xlws.FILTER(_xlpm.raw, LEN(TRIM(_xlpm.raw))&gt;0),
    IF(COUNTA(_xlpm.cleaned)=0, 0, COUNTA(_xlfn.UNIQUE(_xlpm.cleaned)))
)</f>
        <v>87</v>
      </c>
      <c r="K5" s="92" cm="1">
        <f t="array" ref="K5">_xlfn.LET(
    _xlpm.raw, _xlfn._xlws.FILTER('제조품질 날짜별 실적'!D2:D10080, ('제조품질 날짜별 실적'!I2:I10080=8)*('제조품질 날짜별 실적'!G2:G10080="SINGLE")),
    _xlpm.cleaned, _xlfn._xlws.FILTER(_xlpm.raw, LEN(TRIM(_xlpm.raw))&gt;0),
    IF(COUNTA(_xlpm.cleaned)=0, 0, COUNTA(_xlfn.UNIQUE(_xlpm.cleaned)))
)</f>
        <v>75</v>
      </c>
      <c r="L5" s="92" cm="1">
        <f t="array" ref="L5">_xlfn.LET(
    _xlpm.raw, _xlfn._xlws.FILTER('제조품질 날짜별 실적'!D2:D10080, ('제조품질 날짜별 실적'!I2:I10080=9)*('제조품질 날짜별 실적'!G2:G10080="SINGLE")),
    _xlpm.cleaned, _xlfn._xlws.FILTER(_xlpm.raw, LEN(TRIM(_xlpm.raw))&gt;0),
    IF(COUNTA(_xlpm.cleaned)=0, 0, COUNTA(_xlfn.UNIQUE(_xlpm.cleaned)))
)</f>
        <v>107</v>
      </c>
      <c r="M5" s="92" cm="1">
        <f t="array" ref="M5">_xlfn.LET(
    _xlpm.raw, _xlfn._xlws.FILTER('제조품질 날짜별 실적'!D2:D10080, ('제조품질 날짜별 실적'!I2:I10080=10)*('제조품질 날짜별 실적'!G2:G10080="SINGLE")),
    _xlpm.cleaned, _xlfn._xlws.FILTER(_xlpm.raw, LEN(TRIM(_xlpm.raw))&gt;0),
    IF(COUNTA(_xlpm.cleaned)=0, 0, COUNTA(_xlfn.UNIQUE(_xlpm.cleaned)))
)</f>
        <v>55</v>
      </c>
      <c r="N5" s="92" cm="1">
        <f t="array" ref="N5">_xlfn.LET(
    _xlpm.raw, _xlfn._xlws.FILTER('제조품질 날짜별 실적'!D2:D10080, ('제조품질 날짜별 실적'!I2:I10080=11)*('제조품질 날짜별 실적'!G2:G10080="SINGLE")),
    _xlpm.cleaned, _xlfn._xlws.FILTER(_xlpm.raw, LEN(TRIM(_xlpm.raw))&gt;0),
    IF(COUNTA(_xlpm.cleaned)=0, 0, COUNTA(_xlfn.UNIQUE(_xlpm.cleaned)))
)</f>
        <v>76</v>
      </c>
      <c r="O5" s="92" cm="1">
        <f t="array" ref="O5">_xlfn.LET(
    _xlpm.raw, _xlfn._xlws.FILTER('제조품질 날짜별 실적'!D2:D10080, ('제조품질 날짜별 실적'!I2:I10080=12)*('제조품질 날짜별 실적'!G2:G10080="SINGLE")),
    _xlpm.cleaned, _xlfn._xlws.FILTER(_xlpm.raw, LEN(TRIM(_xlpm.raw))&gt;0),
    IF(COUNTA(_xlpm.cleaned)=0, 0, COUNTA(_xlfn.UNIQUE(_xlpm.cleaned)))
)</f>
        <v>45</v>
      </c>
      <c r="P5" s="189">
        <f t="shared" si="1"/>
        <v>786</v>
      </c>
    </row>
    <row r="6" spans="2:17" customFormat="1" ht="21.95" customHeight="1">
      <c r="B6" s="742" t="s">
        <v>1454</v>
      </c>
      <c r="C6" s="743"/>
      <c r="D6" s="93" cm="1">
        <f t="array" ref="D6">_xlfn.LET(
    _xlpm.raw, _xlfn._xlws.FILTER('제조품질 날짜별 실적'!D2:D10080, ('제조품질 날짜별 실적'!I2:I10080=1)*('제조품질 날짜별 실적'!G2:G10080="DUAL")),
    _xlpm.cleaned, _xlfn._xlws.FILTER(_xlpm.raw, LEN(TRIM(_xlpm.raw))&gt;0),
    IF(COUNTA(_xlpm.cleaned)=0, 0, COUNTA(_xlfn.UNIQUE(_xlpm.cleaned)))
)</f>
        <v>51</v>
      </c>
      <c r="E6" s="94" cm="1">
        <f t="array" ref="E6">_xlfn.LET(
    _xlpm.raw, _xlfn._xlws.FILTER('제조품질 날짜별 실적'!D2:D10080, ('제조품질 날짜별 실적'!I2:I10080=2)*('제조품질 날짜별 실적'!G2:G10080="DUAL")),
    _xlpm.cleaned, _xlfn._xlws.FILTER(_xlpm.raw, LEN(TRIM(_xlpm.raw))&gt;0),
    IF(COUNTA(_xlpm.cleaned)=0, 0, COUNTA(_xlfn.UNIQUE(_xlpm.cleaned)))
)</f>
        <v>74</v>
      </c>
      <c r="F6" s="94" cm="1">
        <f t="array" ref="F6">_xlfn.LET(
    _xlpm.raw, _xlfn._xlws.FILTER('제조품질 날짜별 실적'!D2:D10080, ('제조품질 날짜별 실적'!I2:I10080=3)*('제조품질 날짜별 실적'!G2:G10080="DUAL")),
    _xlpm.cleaned, _xlfn._xlws.FILTER(_xlpm.raw, LEN(TRIM(_xlpm.raw))&gt;0),
    IF(COUNTA(_xlpm.cleaned)=0, 0, COUNTA(_xlfn.UNIQUE(_xlpm.cleaned)))
)</f>
        <v>74</v>
      </c>
      <c r="G6" s="94" cm="1">
        <f t="array" ref="G6">_xlfn.LET(
    _xlpm.raw, _xlfn._xlws.FILTER('제조품질 날짜별 실적'!D2:D10080, ('제조품질 날짜별 실적'!I2:I10080=4)*('제조품질 날짜별 실적'!G2:G10080="DUAL")),
    _xlpm.cleaned, _xlfn._xlws.FILTER(_xlpm.raw, LEN(TRIM(_xlpm.raw))&gt;0),
    IF(COUNTA(_xlpm.cleaned)=0, 0, COUNTA(_xlfn.UNIQUE(_xlpm.cleaned)))
)</f>
        <v>101</v>
      </c>
      <c r="H6" s="94" cm="1">
        <f t="array" ref="H6">_xlfn.LET(
    _xlpm.raw, _xlfn._xlws.FILTER('제조품질 날짜별 실적'!D2:D10080, ('제조품질 날짜별 실적'!I2:I10080=5)*('제조품질 날짜별 실적'!G2:G10080="DUAL")),
    _xlpm.cleaned, _xlfn._xlws.FILTER(_xlpm.raw, LEN(TRIM(_xlpm.raw))&gt;0),
    IF(COUNTA(_xlpm.cleaned)=0, 0, COUNTA(_xlfn.UNIQUE(_xlpm.cleaned)))
)</f>
        <v>85</v>
      </c>
      <c r="I6" s="94" cm="1">
        <f t="array" ref="I6">_xlfn.LET(
    _xlpm.raw, _xlfn._xlws.FILTER('제조품질 날짜별 실적'!D2:D10080, ('제조품질 날짜별 실적'!I2:I10080=6)*('제조품질 날짜별 실적'!G2:G10080="DUAL")),
    _xlpm.cleaned, _xlfn._xlws.FILTER(_xlpm.raw, LEN(TRIM(_xlpm.raw))&gt;0),
    IF(COUNTA(_xlpm.cleaned)=0, 0, COUNTA(_xlfn.UNIQUE(_xlpm.cleaned)))
)</f>
        <v>62</v>
      </c>
      <c r="J6" s="92" cm="1">
        <f t="array" ref="J6">_xlfn.LET(
    _xlpm.raw, _xlfn._xlws.FILTER('제조품질 날짜별 실적'!D2:D10080, ('제조품질 날짜별 실적'!I2:I10080=7)*('제조품질 날짜별 실적'!G2:G10080="DUAL")),
    _xlpm.cleaned, _xlfn._xlws.FILTER(_xlpm.raw, LEN(TRIM(_xlpm.raw))&gt;0),
    IF(COUNTA(_xlpm.cleaned)=0, 0, COUNTA(_xlfn.UNIQUE(_xlpm.cleaned)))
)</f>
        <v>65</v>
      </c>
      <c r="K6" s="92" cm="1">
        <f t="array" ref="K6">_xlfn.LET(
    _xlpm.raw, _xlfn._xlws.FILTER('제조품질 날짜별 실적'!D2:D10080, ('제조품질 날짜별 실적'!I2:I10080=8)*('제조품질 날짜별 실적'!G2:G10080="DUAL")),
    _xlpm.cleaned, _xlfn._xlws.FILTER(_xlpm.raw, LEN(TRIM(_xlpm.raw))&gt;0),
    IF(COUNTA(_xlpm.cleaned)=0, 0, COUNTA(_xlfn.UNIQUE(_xlpm.cleaned)))
)</f>
        <v>69</v>
      </c>
      <c r="L6" s="92" cm="1">
        <f t="array" ref="L6">_xlfn.LET(
    _xlpm.raw, _xlfn._xlws.FILTER('제조품질 날짜별 실적'!D2:D10080, ('제조품질 날짜별 실적'!I2:I10080=9)*('제조품질 날짜별 실적'!G2:G10080="DUAL")),
    _xlpm.cleaned, _xlfn._xlws.FILTER(_xlpm.raw, LEN(TRIM(_xlpm.raw))&gt;0),
    IF(COUNTA(_xlpm.cleaned)=0, 0, COUNTA(_xlfn.UNIQUE(_xlpm.cleaned)))
)</f>
        <v>60</v>
      </c>
      <c r="M6" s="92" cm="1">
        <f t="array" ref="M6">_xlfn.LET(
    _xlpm.raw, _xlfn._xlws.FILTER('제조품질 날짜별 실적'!D2:D10080, ('제조품질 날짜별 실적'!I2:I10080=10)*('제조품질 날짜별 실적'!G2:G10080="DUAL")),
    _xlpm.cleaned, _xlfn._xlws.FILTER(_xlpm.raw, LEN(TRIM(_xlpm.raw))&gt;0),
    IF(COUNTA(_xlpm.cleaned)=0, 0, COUNTA(_xlfn.UNIQUE(_xlpm.cleaned)))
)</f>
        <v>69</v>
      </c>
      <c r="N6" s="92" cm="1">
        <f t="array" ref="N6">_xlfn.LET(
    _xlpm.raw, _xlfn._xlws.FILTER('제조품질 날짜별 실적'!D2:D10080, ('제조품질 날짜별 실적'!I2:I10080=11)*('제조품질 날짜별 실적'!G2:G10080="DUAL")),
    _xlpm.cleaned, _xlfn._xlws.FILTER(_xlpm.raw, LEN(TRIM(_xlpm.raw))&gt;0),
    IF(COUNTA(_xlpm.cleaned)=0, 0, COUNTA(_xlfn.UNIQUE(_xlpm.cleaned)))
)</f>
        <v>90</v>
      </c>
      <c r="O6" s="92" cm="1">
        <f t="array" ref="O6">_xlfn.LET(
    _xlpm.raw, _xlfn._xlws.FILTER('제조품질 날짜별 실적'!D2:D10080, ('제조품질 날짜별 실적'!I2:I10080=12)*('제조품질 날짜별 실적'!G2:G10080="DUAL")),
    _xlpm.cleaned, _xlfn._xlws.FILTER(_xlpm.raw, LEN(TRIM(_xlpm.raw))&gt;0),
    IF(COUNTA(_xlpm.cleaned)=0, 0, COUNTA(_xlfn.UNIQUE(_xlpm.cleaned)))
)</f>
        <v>89</v>
      </c>
      <c r="P6" s="189">
        <f t="shared" si="1"/>
        <v>889</v>
      </c>
    </row>
    <row r="7" spans="2:17" customFormat="1" ht="21.95" customHeight="1">
      <c r="B7" s="742" t="s">
        <v>1455</v>
      </c>
      <c r="C7" s="743"/>
      <c r="D7" s="95">
        <f t="shared" ref="D7:O7" si="2">SUM(D5:D6)</f>
        <v>91</v>
      </c>
      <c r="E7" s="96">
        <f t="shared" si="2"/>
        <v>166</v>
      </c>
      <c r="F7" s="96">
        <f t="shared" si="2"/>
        <v>145</v>
      </c>
      <c r="G7" s="96">
        <f t="shared" si="2"/>
        <v>160</v>
      </c>
      <c r="H7" s="96">
        <f t="shared" si="2"/>
        <v>108</v>
      </c>
      <c r="I7" s="96">
        <f t="shared" si="2"/>
        <v>118</v>
      </c>
      <c r="J7" s="96">
        <f t="shared" si="2"/>
        <v>152</v>
      </c>
      <c r="K7" s="96">
        <f t="shared" si="2"/>
        <v>144</v>
      </c>
      <c r="L7" s="96">
        <f t="shared" si="2"/>
        <v>167</v>
      </c>
      <c r="M7" s="96">
        <f t="shared" si="2"/>
        <v>124</v>
      </c>
      <c r="N7" s="96">
        <f t="shared" si="2"/>
        <v>166</v>
      </c>
      <c r="O7" s="96">
        <f t="shared" si="2"/>
        <v>134</v>
      </c>
      <c r="P7" s="190">
        <f t="shared" si="1"/>
        <v>1675</v>
      </c>
    </row>
    <row r="8" spans="2:17" customFormat="1" ht="21.95" customHeight="1">
      <c r="B8" s="742" t="s">
        <v>1456</v>
      </c>
      <c r="C8" s="743"/>
      <c r="D8" s="99">
        <f>COUNTIFS('제조품질 불량내역'!$K:$K,"&gt;=2025-01-01",'제조품질 불량내역'!$K:$K,"&lt;=2025-01-31",'제조품질 불량내역'!$H:$H,"기구작업불량",'제조품질 불량내역'!$Q:$Q,"제조")+COUNTIFS('제조품질 불량내역'!$K:$K,"&gt;=2025-01-01",'제조품질 불량내역'!$K:$K,"&lt;=2025-01-31",'제조품질 불량내역'!$H:$H,"기구작업불량",'제조품질 불량내역'!$Q:$Q,"제조(재작업)")+COUNTIFS('제조품질 불량내역'!$K:$K,"&gt;=2025-01-01",'제조품질 불량내역'!$K:$K,"&lt;=2025-01-31",'제조품질 불량내역'!$H:$H,"기구작업불량",'제조품질 불량내역'!$Q:$Q,"제조(Water Leak)")</f>
        <v>1</v>
      </c>
      <c r="E8" s="99">
        <f>COUNTIFS('제조품질 불량내역'!$K:$K,"&gt;=2025-02-01",'제조품질 불량내역'!$K:$K,"&lt;=2025-02-28",'제조품질 불량내역'!$H:$H,"기구작업불량",'제조품질 불량내역'!$Q:$Q,"제조")+COUNTIFS('제조품질 불량내역'!$K:$K,"&gt;=2025-02-01",'제조품질 불량내역'!$K:$K,"&lt;=2025-02-28",'제조품질 불량내역'!$H:$H,"기구작업불량",'제조품질 불량내역'!$Q:$Q,"제조(재작업)")+COUNTIFS('제조품질 불량내역'!$K:$K,"&gt;=2025-02-01",'제조품질 불량내역'!$K:$K,"&lt;=2025-02-28",'제조품질 불량내역'!$H:$H,"기구작업불량",'제조품질 불량내역'!$Q:$Q,"제조(Water Leak)")</f>
        <v>3</v>
      </c>
      <c r="F8" s="99">
        <f>COUNTIFS('제조품질 불량내역'!$K:$K,"&gt;=2025-03-01",'제조품질 불량내역'!$K:$K,"&lt;=2025-03-31",'제조품질 불량내역'!$H:$H,"기구작업불량",'제조품질 불량내역'!$Q:$Q,"제조")+COUNTIFS('제조품질 불량내역'!$K:$K,"&gt;=2025-03-01",'제조품질 불량내역'!$K:$K,"&lt;=2025-03-31",'제조품질 불량내역'!$H:$H,"기구작업불량",'제조품질 불량내역'!$Q:$Q,"제조(재작업)")+COUNTIFS('제조품질 불량내역'!$K:$K,"&gt;=2025-03-01",'제조품질 불량내역'!$K:$K,"&lt;=2025-03-31",'제조품질 불량내역'!$H:$H,"기구작업불량",'제조품질 불량내역'!$Q:$Q,"제조(Water Leak)")</f>
        <v>1</v>
      </c>
      <c r="G8" s="99">
        <f>COUNTIFS('제조품질 불량내역'!$K:$K,"&gt;=2025-04-01",'제조품질 불량내역'!$K:$K,"&lt;=2025-04-30",'제조품질 불량내역'!$H:$H,"기구작업불량",'제조품질 불량내역'!$Q:$Q,"제조")+COUNTIFS('제조품질 불량내역'!$K:$K,"&gt;=2025-04-01",'제조품질 불량내역'!$K:$K,"&lt;=2025-04-30",'제조품질 불량내역'!$H:$H,"기구작업불량",'제조품질 불량내역'!$Q:$Q,"제조(재작업)")+COUNTIFS('제조품질 불량내역'!$K:$K,"&gt;=2025-04-01",'제조품질 불량내역'!$K:$K,"&lt;=2025-04-30",'제조품질 불량내역'!$H:$H,"기구작업불량",'제조품질 불량내역'!$Q:$Q,"제조(Water Leak)")</f>
        <v>0</v>
      </c>
      <c r="H8" s="99">
        <f>COUNTIFS('제조품질 불량내역'!$K:$K,"&gt;=2025-05-01",'제조품질 불량내역'!$K:$K,"&lt;=2025-05-31",'제조품질 불량내역'!$H:$H,"기구작업불량",'제조품질 불량내역'!$Q:$Q,"제조")+COUNTIFS('제조품질 불량내역'!$K:$K,"&gt;=2025-05-01",'제조품질 불량내역'!$K:$K,"&lt;=2025-05-31",'제조품질 불량내역'!$H:$H,"기구작업불량",'제조품질 불량내역'!$Q:$Q,"제조(재작업)")+COUNTIFS('제조품질 불량내역'!$K:$K,"&gt;=2025-05-01",'제조품질 불량내역'!$K:$K,"&lt;=2025-05-31",'제조품질 불량내역'!$H:$H,"기구작업불량",'제조품질 불량내역'!$Q:$Q,"제조(Water Leak)")</f>
        <v>3</v>
      </c>
      <c r="I8" s="99">
        <f>COUNTIFS('제조품질 불량내역'!$K:$K,"&gt;=2025-06-01",'제조품질 불량내역'!$K:$K,"&lt;=2025-06-30",'제조품질 불량내역'!$H:$H,"기구작업불량",'제조품질 불량내역'!$Q:$Q,"제조")+COUNTIFS('제조품질 불량내역'!$K:$K,"&gt;=2025-06-01",'제조품질 불량내역'!$K:$K,"&lt;=2025-06-30",'제조품질 불량내역'!$H:$H,"기구작업불량",'제조품질 불량내역'!$Q:$Q,"제조(재작업)")+COUNTIFS('제조품질 불량내역'!$K:$K,"&gt;=2025-06-01",'제조품질 불량내역'!$K:$K,"&lt;=2025-06-30",'제조품질 불량내역'!$H:$H,"기구작업불량",'제조품질 불량내역'!$Q:$Q,"제조(Water Leak)")</f>
        <v>4</v>
      </c>
      <c r="J8" s="99">
        <f>COUNTIFS('제조품질 불량내역'!$K:$K,"&gt;=2025-07-01",'제조품질 불량내역'!$K:$K,"&lt;=2025-07-31",'제조품질 불량내역'!$H:$H,"기구작업불량",'제조품질 불량내역'!$Q:$Q,"제조")+COUNTIFS('제조품질 불량내역'!$K:$K,"&gt;=2025-07-01",'제조품질 불량내역'!$K:$K,"&lt;=2025-07-31",'제조품질 불량내역'!$H:$H,"기구작업불량",'제조품질 불량내역'!$Q:$Q,"제조(재작업)")+COUNTIFS('제조품질 불량내역'!$K:$K,"&gt;=2025-07-01",'제조품질 불량내역'!$K:$K,"&lt;=2025-07-31",'제조품질 불량내역'!$H:$H,"기구작업불량",'제조품질 불량내역'!$Q:$Q,"제조(Water Leak)")</f>
        <v>57</v>
      </c>
      <c r="K8" s="99">
        <f>COUNTIFS('제조품질 불량내역'!$K:$K,"&gt;=2025-08-01",'제조품질 불량내역'!$K:$K,"&lt;=2025-08-31",'제조품질 불량내역'!$H:$H,"기구작업불량",'제조품질 불량내역'!$Q:$Q,"제조")+COUNTIFS('제조품질 불량내역'!$K:$K,"&gt;=2025-08-01",'제조품질 불량내역'!$K:$K,"&lt;=2025-08-31",'제조품질 불량내역'!$H:$H,"기구작업불량",'제조품질 불량내역'!$Q:$Q,"제조(재작업)")+COUNTIFS('제조품질 불량내역'!$K:$K,"&gt;=2025-08-01",'제조품질 불량내역'!$K:$K,"&lt;=2025-08-31",'제조품질 불량내역'!$H:$H,"기구작업불량",'제조품질 불량내역'!$Q:$Q,"제조(Water Leak)")</f>
        <v>57</v>
      </c>
      <c r="L8" s="99">
        <f>COUNTIFS('제조품질 불량내역'!$K:$K,"&gt;=2025-09-01",'제조품질 불량내역'!$K:$K,"&lt;=2025-09-30",'제조품질 불량내역'!$H:$H,"기구작업불량",'제조품질 불량내역'!$Q:$Q,"제조")+COUNTIFS('제조품질 불량내역'!$K:$K,"&gt;=2025-09-01",'제조품질 불량내역'!$K:$K,"&lt;=2025-09-30",'제조품질 불량내역'!$H:$H,"기구작업불량",'제조품질 불량내역'!$Q:$Q,"제조(재작업)")+COUNTIFS('제조품질 불량내역'!$K:$K,"&gt;=2025-09-01",'제조품질 불량내역'!$K:$K,"&lt;=2025-09-30",'제조품질 불량내역'!$H:$H,"기구작업불량",'제조품질 불량내역'!$Q:$Q,"제조(Water Leak)")</f>
        <v>72</v>
      </c>
      <c r="M8" s="99">
        <f>COUNTIFS('제조품질 불량내역'!$K:$K,"&gt;=2025-10-01",'제조품질 불량내역'!$K:$K,"&lt;=2025-10-31",'제조품질 불량내역'!$H:$H,"기구작업불량",'제조품질 불량내역'!$Q:$Q,"제조")+COUNTIFS('제조품질 불량내역'!$K:$K,"&gt;=2025-10-01",'제조품질 불량내역'!$K:$K,"&lt;=2025-10-31",'제조품질 불량내역'!$H:$H,"기구작업불량",'제조품질 불량내역'!$Q:$Q,"제조(재작업)")+COUNTIFS('제조품질 불량내역'!$K:$K,"&gt;=2025-10-01",'제조품질 불량내역'!$K:$K,"&lt;=2025-10-31",'제조품질 불량내역'!$H:$H,"기구작업불량",'제조품질 불량내역'!$Q:$Q,"제조(Water Leak)")</f>
        <v>26</v>
      </c>
      <c r="N8" s="99">
        <f>COUNTIFS('제조품질 불량내역'!$K:$K,"&gt;=2025-11-01",'제조품질 불량내역'!$K:$K,"&lt;=2025-11-30",'제조품질 불량내역'!$H:$H,"기구작업불량",'제조품질 불량내역'!$Q:$Q,"제조")+COUNTIFS('제조품질 불량내역'!$K:$K,"&gt;=2025-11-01",'제조품질 불량내역'!$K:$K,"&lt;=2025-11-30",'제조품질 불량내역'!$H:$H,"기구작업불량",'제조품질 불량내역'!$Q:$Q,"제조(재작업)")+COUNTIFS('제조품질 불량내역'!$K:$K,"&gt;=2025-11-01",'제조품질 불량내역'!$K:$K,"&lt;=2025-11-30",'제조품질 불량내역'!$H:$H,"기구작업불량",'제조품질 불량내역'!$Q:$Q,"제조(Water Leak)")</f>
        <v>33</v>
      </c>
      <c r="O8" s="99">
        <f>COUNTIFS('제조품질 불량내역'!$K:$K,"&gt;=2025-12-01",'제조품질 불량내역'!$K:$K,"&lt;=2025-12-31",'제조품질 불량내역'!$H:$H,"기구작업불량",'제조품질 불량내역'!$Q:$Q,"제조")+COUNTIFS('제조품질 불량내역'!$K:$K,"&gt;=2025-12-01",'제조품질 불량내역'!$K:$K,"&lt;=2025-12-31",'제조품질 불량내역'!$H:$H,"기구작업불량",'제조품질 불량내역'!$Q:$Q,"제조(재작업)")+COUNTIFS('제조품질 불량내역'!$K:$K,"&gt;=2025-12-01",'제조품질 불량내역'!$K:$K,"&lt;=2025-12-31",'제조품질 불량내역'!$H:$H,"기구작업불량",'제조품질 불량내역'!$Q:$Q,"제조(Water Leak)")</f>
        <v>72</v>
      </c>
      <c r="P8" s="191">
        <f t="shared" si="1"/>
        <v>329</v>
      </c>
    </row>
    <row r="9" spans="2:17" customFormat="1" ht="21.95" customHeight="1">
      <c r="B9" s="742" t="s">
        <v>1457</v>
      </c>
      <c r="C9" s="743"/>
      <c r="D9" s="99">
        <f>COUNTIFS('제조품질 불량내역'!$K:$K,"&gt;=2025-01-01",'제조품질 불량내역'!$K:$K,"&lt;=2025-01-31",'제조품질 불량내역'!$H:$H,"전장작업불량",'제조품질 불량내역'!$Q:$Q,"제조")+COUNTIFS('제조품질 불량내역'!$K:$K,"&gt;=2025-01-01",'제조품질 불량내역'!$K:$K,"&lt;=2025-01-31",'제조품질 불량내역'!$H:$H,"전장작업불량",'제조품질 불량내역'!$Q:$Q,"제조(재작업)")</f>
        <v>0</v>
      </c>
      <c r="E9" s="99">
        <f>COUNTIFS('제조품질 불량내역'!$K:$K,"&gt;=2025-02-01",'제조품질 불량내역'!$K:$K,"&lt;=2025-02-28",'제조품질 불량내역'!$H:$H,"전장작업불량",'제조품질 불량내역'!$Q:$Q,"제조")+COUNTIFS('제조품질 불량내역'!$K:$K,"&gt;=2025-02-01",'제조품질 불량내역'!$K:$K,"&lt;=2025-02-28",'제조품질 불량내역'!$H:$H,"전장작업불량",'제조품질 불량내역'!$Q:$Q,"제조(재작업)")</f>
        <v>2</v>
      </c>
      <c r="F9" s="99">
        <f>COUNTIFS('제조품질 불량내역'!$K:$K,"&gt;=2025-03-01",'제조품질 불량내역'!$K:$K,"&lt;=2025-03-31",'제조품질 불량내역'!$H:$H,"전장작업불량",'제조품질 불량내역'!$Q:$Q,"제조")+COUNTIFS('제조품질 불량내역'!$K:$K,"&gt;=2025-03-01",'제조품질 불량내역'!$K:$K,"&lt;=2025-03-31",'제조품질 불량내역'!$H:$H,"전장작업불량",'제조품질 불량내역'!$Q:$Q,"제조(재작업)")</f>
        <v>0</v>
      </c>
      <c r="G9" s="99">
        <f>COUNTIFS('제조품질 불량내역'!$K:$K,"&gt;=2025-04-01",'제조품질 불량내역'!$K:$K,"&lt;=2025-04-30",'제조품질 불량내역'!$H:$H,"전장작업불량",'제조품질 불량내역'!$Q:$Q,"제조")+COUNTIFS('제조품질 불량내역'!$K:$K,"&gt;=2025-04-01",'제조품질 불량내역'!$K:$K,"&lt;=2025-04-30",'제조품질 불량내역'!$H:$H,"전장작업불량",'제조품질 불량내역'!$Q:$Q,"제조(재작업)")</f>
        <v>0</v>
      </c>
      <c r="H9" s="99">
        <f>COUNTIFS('제조품질 불량내역'!$K:$K,"&gt;=2025-05-01",'제조품질 불량내역'!$K:$K,"&lt;=2025-05-31",'제조품질 불량내역'!$H:$H,"전장작업불량",'제조품질 불량내역'!$Q:$Q,"제조")+COUNTIFS('제조품질 불량내역'!$K:$K,"&gt;=2025-05-01",'제조품질 불량내역'!$K:$K,"&lt;=2025-05-31",'제조품질 불량내역'!$H:$H,"전장작업불량",'제조품질 불량내역'!$Q:$Q,"제조(재작업)")</f>
        <v>0</v>
      </c>
      <c r="I9" s="99">
        <f>COUNTIFS('제조품질 불량내역'!$K:$K,"&gt;=2025-06-01",'제조품질 불량내역'!$K:$K,"&lt;=2025-06-30",'제조품질 불량내역'!$H:$H,"전장작업불량",'제조품질 불량내역'!$Q:$Q,"제조")+COUNTIFS('제조품질 불량내역'!$K:$K,"&gt;=2025-06-01",'제조품질 불량내역'!$K:$K,"&lt;=2025-06-30",'제조품질 불량내역'!$H:$H,"전장작업불량",'제조품질 불량내역'!$Q:$Q,"제조(재작업)")</f>
        <v>0</v>
      </c>
      <c r="J9" s="99">
        <f>COUNTIFS('제조품질 불량내역'!$K:$K,"&gt;=2025-07-01",'제조품질 불량내역'!$K:$K,"&lt;=2025-07-31",'제조품질 불량내역'!$H:$H,"전장작업불량",'제조품질 불량내역'!$Q:$Q,"제조")+COUNTIFS('제조품질 불량내역'!$K:$K,"&gt;=2025-07-01",'제조품질 불량내역'!$K:$K,"&lt;=2025-07-31",'제조품질 불량내역'!$H:$H,"전장작업불량",'제조품질 불량내역'!$Q:$Q,"제조(재작업)")</f>
        <v>3</v>
      </c>
      <c r="K9" s="99">
        <f>COUNTIFS('제조품질 불량내역'!$K:$K,"&gt;=2025-08-01",'제조품질 불량내역'!$K:$K,"&lt;=2025-08-31",'제조품질 불량내역'!$H:$H,"전장작업불량",'제조품질 불량내역'!$Q:$Q,"제조")+COUNTIFS('제조품질 불량내역'!$K:$K,"&gt;=2025-08-01",'제조품질 불량내역'!$K:$K,"&lt;=2025-08-31",'제조품질 불량내역'!$H:$H,"전장작업불량",'제조품질 불량내역'!$Q:$Q,"제조(재작업)")</f>
        <v>9</v>
      </c>
      <c r="L9" s="99">
        <f>COUNTIFS('제조품질 불량내역'!$K:$K,"&gt;=2025-09-01",'제조품질 불량내역'!$K:$K,"&lt;=2025-09-30",'제조품질 불량내역'!$H:$H,"전장작업불량",'제조품질 불량내역'!$Q:$Q,"제조")+COUNTIFS('제조품질 불량내역'!$K:$K,"&gt;=2025-09-01",'제조품질 불량내역'!$K:$K,"&lt;=2025-09-30",'제조품질 불량내역'!$H:$H,"전장작업불량",'제조품질 불량내역'!$Q:$Q,"제조(재작업)")</f>
        <v>8</v>
      </c>
      <c r="M9" s="99">
        <f>COUNTIFS('제조품질 불량내역'!$K:$K,"&gt;=2025-10-01",'제조품질 불량내역'!$K:$K,"&lt;=2025-10-31",'제조품질 불량내역'!$H:$H,"전장작업불량",'제조품질 불량내역'!$Q:$Q,"제조")+COUNTIFS('제조품질 불량내역'!$K:$K,"&gt;=2025-10-01",'제조품질 불량내역'!$K:$K,"&lt;=2025-10-31",'제조품질 불량내역'!$H:$H,"전장작업불량",'제조품질 불량내역'!$Q:$Q,"제조(재작업)")</f>
        <v>2</v>
      </c>
      <c r="N9" s="99">
        <f>COUNTIFS('제조품질 불량내역'!$K:$K,"&gt;=2025-11-01",'제조품질 불량내역'!$K:$K,"&lt;=2025-11-30",'제조품질 불량내역'!$H:$H,"전장작업불량",'제조품질 불량내역'!$Q:$Q,"제조")+COUNTIFS('제조품질 불량내역'!$K:$K,"&gt;=2025-11-01",'제조품질 불량내역'!$K:$K,"&lt;=2025-11-30",'제조품질 불량내역'!$H:$H,"전장작업불량",'제조품질 불량내역'!$Q:$Q,"제조(재작업)")</f>
        <v>0</v>
      </c>
      <c r="O9" s="99">
        <f>COUNTIFS('제조품질 불량내역'!$K:$K,"&gt;=2025-12-01",'제조품질 불량내역'!$K:$K,"&lt;=2025-12-31",'제조품질 불량내역'!$H:$H,"전장작업불량",'제조품질 불량내역'!$Q:$Q,"제조")+COUNTIFS('제조품질 불량내역'!$K:$K,"&gt;=2025-12-01",'제조품질 불량내역'!$K:$K,"&lt;=2025-12-31",'제조품질 불량내역'!$H:$H,"전장작업불량",'제조품질 불량내역'!$Q:$Q,"제조(재작업)")</f>
        <v>1</v>
      </c>
      <c r="P9" s="191">
        <f t="shared" si="1"/>
        <v>25</v>
      </c>
    </row>
    <row r="10" spans="2:17" customFormat="1" ht="21.95" customHeight="1">
      <c r="B10" s="742" t="s">
        <v>1458</v>
      </c>
      <c r="C10" s="743"/>
      <c r="D10" s="99">
        <f>COUNTIFS('제조품질 불량내역'!$K:$K,"&gt;=2025-01-01",'제조품질 불량내역'!$K:$K,"&lt;=2025-01-31",'제조품질 불량내역'!$H:$H,"부품불량",'제조품질 불량내역'!$Q:$Q,"품질")+COUNTIFS('제조품질 불량내역'!$K:$K,"&gt;=2025-01-01",'제조품질 불량내역'!$K:$K,"&lt;=2025-01-31",'제조품질 불량내역'!$H:$H,"기구작업불량",'제조품질 불량내역'!$Q:$Q,"품질")</f>
        <v>0</v>
      </c>
      <c r="E10" s="99">
        <f>COUNTIFS('제조품질 불량내역'!$K:$K,"&gt;=2025-02-01",'제조품질 불량내역'!$K:$K,"&lt;=2025-02-28",'제조품질 불량내역'!$H:$H,"부품불량",'제조품질 불량내역'!$Q:$Q,"품질")+COUNTIFS('제조품질 불량내역'!$K:$K,"&gt;=2025-02-01",'제조품질 불량내역'!$K:$K,"&lt;=2025-02-28",'제조품질 불량내역'!$H:$H,"기구작업불량",'제조품질 불량내역'!$Q:$Q,"품질")</f>
        <v>5</v>
      </c>
      <c r="F10" s="99">
        <f>COUNTIFS('제조품질 불량내역'!$K:$K,"&gt;=2025-03-01",'제조품질 불량내역'!$K:$K,"&lt;=2025-03-31",'제조품질 불량내역'!$H:$H,"부품불량",'제조품질 불량내역'!$Q:$Q,"품질")+COUNTIFS('제조품질 불량내역'!$K:$K,"&gt;=2025-03-01",'제조품질 불량내역'!$K:$K,"&lt;=2025-03-31",'제조품질 불량내역'!$H:$H,"기구작업불량",'제조품질 불량내역'!$Q:$Q,"품질")</f>
        <v>3</v>
      </c>
      <c r="G10" s="99">
        <f>COUNTIFS('제조품질 불량내역'!$K:$K,"&gt;=2025-04-01",'제조품질 불량내역'!$K:$K,"&lt;=2025-04-30",'제조품질 불량내역'!$H:$H,"부품불량",'제조품질 불량내역'!$Q:$Q,"품질")+COUNTIFS('제조품질 불량내역'!$K:$K,"&gt;=2025-04-01",'제조품질 불량내역'!$K:$K,"&lt;=2025-04-30",'제조품질 불량내역'!$H:$H,"기구작업불량",'제조품질 불량내역'!$Q:$Q,"품질")</f>
        <v>2</v>
      </c>
      <c r="H10" s="99">
        <f>COUNTIFS('제조품질 불량내역'!$K:$K,"&gt;=2025-05-01",'제조품질 불량내역'!$K:$K,"&lt;=2025-05-31",'제조품질 불량내역'!$H:$H,"부품불량",'제조품질 불량내역'!$Q:$Q,"품질")+COUNTIFS('제조품질 불량내역'!$K:$K,"&gt;=2025-05-01",'제조품질 불량내역'!$K:$K,"&lt;=2025-05-31",'제조품질 불량내역'!$H:$H,"기구작업불량",'제조품질 불량내역'!$Q:$Q,"품질")</f>
        <v>3</v>
      </c>
      <c r="I10" s="99">
        <f>COUNTIFS('제조품질 불량내역'!$K:$K,"&gt;=2025-06-01",'제조품질 불량내역'!$K:$K,"&lt;=2025-06-30",'제조품질 불량내역'!$H:$H,"부품불량",'제조품질 불량내역'!$Q:$Q,"품질")+COUNTIFS('제조품질 불량내역'!$K:$K,"&gt;=2025-06-01",'제조품질 불량내역'!$K:$K,"&lt;=2025-06-30",'제조품질 불량내역'!$H:$H,"기구작업불량",'제조품질 불량내역'!$Q:$Q,"품질")</f>
        <v>4</v>
      </c>
      <c r="J10" s="99">
        <f>COUNTIFS('제조품질 불량내역'!$K:$K,"&gt;=2025-07-01",'제조품질 불량내역'!$K:$K,"&lt;=2025-07-31",'제조품질 불량내역'!$H:$H,"부품불량",'제조품질 불량내역'!$Q:$Q,"품질")+COUNTIFS('제조품질 불량내역'!$K:$K,"&gt;=2025-07-01",'제조품질 불량내역'!$K:$K,"&lt;=2025-07-31",'제조품질 불량내역'!$H:$H,"기구작업불량",'제조품질 불량내역'!$Q:$Q,"품질")+COUNTIFS('제조품질 불량내역'!$K:$K,"&gt;=2025-07-01",'제조품질 불량내역'!$K:$K,"&lt;=2025-07-31",'제조품질 불량내역'!$H:$H,"부품불량",'제조품질 불량내역'!$Q:$Q,"제조(재작업)")</f>
        <v>4</v>
      </c>
      <c r="K10" s="99">
        <f>COUNTIFS('제조품질 불량내역'!$K:$K,"&gt;=2025-08-01",'제조품질 불량내역'!$K:$K,"&lt;=2025-08-31",'제조품질 불량내역'!$H:$H,"부품불량",'제조품질 불량내역'!$Q:$Q,"품질")+COUNTIFS('제조품질 불량내역'!$K:$K,"&gt;=2025-08-01",'제조품질 불량내역'!$K:$K,"&lt;=2025-08-31",'제조품질 불량내역'!$H:$H,"기구작업불량",'제조품질 불량내역'!$Q:$Q,"품질")</f>
        <v>2</v>
      </c>
      <c r="L10" s="99">
        <f>COUNTIFS('제조품질 불량내역'!$K:$K,"&gt;=2025-09-01",'제조품질 불량내역'!$K:$K,"&lt;=2025-09-30",'제조품질 불량내역'!$H:$H,"부품불량",'제조품질 불량내역'!$Q:$Q,"품질")+COUNTIFS('제조품질 불량내역'!$K:$K,"&gt;=2025-09-01",'제조품질 불량내역'!$K:$K,"&lt;=2025-09-30",'제조품질 불량내역'!$H:$H,"기구작업불량",'제조품질 불량내역'!$Q:$Q,"품질")+COUNTIFS('제조품질 불량내역'!$K:$K,"&gt;=2025-09-01",'제조품질 불량내역'!$K:$K,"&lt;=2025-09-30",'제조품질 불량내역'!$H:$H,"전장작업불량",'제조품질 불량내역'!$Q:$Q,"품질")</f>
        <v>0</v>
      </c>
      <c r="M10" s="99">
        <f>COUNTIFS('제조품질 불량내역'!$K:$K,"&gt;=2025-10-01",'제조품질 불량내역'!$K:$K,"&lt;=2025-10-31",'제조품질 불량내역'!$H:$H,"부품불량",'제조품질 불량내역'!$Q:$Q,"품질")+COUNTIFS('제조품질 불량내역'!$K:$K,"&gt;=2025-10-01",'제조품질 불량내역'!$K:$K,"&lt;=2025-10-31",'제조품질 불량내역'!$H:$H,"기구작업불량",'제조품질 불량내역'!$Q:$Q,"품질")+COUNTIFS('제조품질 불량내역'!$K:$K,"&gt;=2025-10-01",'제조품질 불량내역'!$K:$K,"&lt;=2025-10-31",'제조품질 불량내역'!$H:$H,"전장작업불량",'제조품질 불량내역'!$Q:$Q,"품질")</f>
        <v>0</v>
      </c>
      <c r="N10" s="99">
        <f>COUNTIFS('제조품질 불량내역'!$K:$K,"&gt;=2025-11-01",'제조품질 불량내역'!$K:$K,"&lt;=2025-11-30",'제조품질 불량내역'!$H:$H,"부품불량",'제조품질 불량내역'!$Q:$Q,"품질")+COUNTIFS('제조품질 불량내역'!$K:$K,"&gt;=2025-11-01",'제조품질 불량내역'!$K:$K,"&lt;=2025-11-30",'제조품질 불량내역'!$H:$H,"기구작업불량",'제조품질 불량내역'!$Q:$Q,"품질")+COUNTIFS('제조품질 불량내역'!$K:$K,"&gt;=2025-11-01",'제조품질 불량내역'!$K:$K,"&lt;=2025-11-30",'제조품질 불량내역'!$H:$H,"전장작업불량",'제조품질 불량내역'!$Q:$Q,"품질")</f>
        <v>9</v>
      </c>
      <c r="O10" s="99">
        <f>COUNTIFS('제조품질 불량내역'!$K:$K,"&gt;=2025-12-01",'제조품질 불량내역'!$K:$K,"&lt;=2025-12-31",'제조품질 불량내역'!$H:$H,"부품불량",'제조품질 불량내역'!$Q:$Q,"품질")+COUNTIFS('제조품질 불량내역'!$K:$K,"&gt;=2025-12-01",'제조품질 불량내역'!$K:$K,"&lt;=2025-12-31",'제조품질 불량내역'!$H:$H,"기구작업불량",'제조품질 불량내역'!$Q:$Q,"품질")</f>
        <v>0</v>
      </c>
      <c r="P10" s="191">
        <f t="shared" si="1"/>
        <v>32</v>
      </c>
    </row>
    <row r="11" spans="2:17" customFormat="1" ht="21.95" customHeight="1">
      <c r="B11" s="812" t="s">
        <v>1459</v>
      </c>
      <c r="C11" s="813"/>
      <c r="D11" s="99">
        <f>COUNTIFS('제조품질 불량내역'!$K:$K,"&gt;=2025-01-01",'제조품질 불량내역'!$K:$K,"&lt;=2025-01-31",'제조품질 불량내역'!$H:$H,"부품불량",'제조품질 불량내역'!$Q:$Q,"제조(Water Leak)")+COUNTIFS('제조품질 불량내역'!$K:$K,"&gt;=2025-01-01",'제조품질 불량내역'!$K:$K,"&lt;=2025-01-31",'제조품질 불량내역'!$H:$H,"기구작업불량",'제조품질 불량내역'!$Q:$Q,"제조(Water Leak)")</f>
        <v>1</v>
      </c>
      <c r="E11" s="99">
        <f>COUNTIFS('제조품질 불량내역'!$K:$K,"&gt;=2025-02-01",'제조품질 불량내역'!$K:$K,"&lt;=2025-02-28",'제조품질 불량내역'!$H:$H,"부품불량",'제조품질 불량내역'!$Q:$Q,"제조(Water Leak)")+COUNTIFS('제조품질 불량내역'!$K:$K,"&gt;=2025-02-01",'제조품질 불량내역'!$K:$K,"&lt;=2025-02-28",'제조품질 불량내역'!$H:$H,"기구작업불량",'제조품질 불량내역'!$Q:$Q,"제조(Water Leak)")</f>
        <v>3</v>
      </c>
      <c r="F11" s="99">
        <f>COUNTIFS('제조품질 불량내역'!$K:$K,"&gt;=2025-03-01",'제조품질 불량내역'!$K:$K,"&lt;=2025-03-31",'제조품질 불량내역'!$H:$H,"부품불량",'제조품질 불량내역'!$Q:$Q,"제조(Water Leak)")+COUNTIFS('제조품질 불량내역'!$K:$K,"&gt;=2025-03-01",'제조품질 불량내역'!$K:$K,"&lt;=2025-03-31",'제조품질 불량내역'!$H:$H,"기구작업불량",'제조품질 불량내역'!$Q:$Q,"제조(Water Leak)")</f>
        <v>0</v>
      </c>
      <c r="G11" s="99">
        <f>COUNTIFS('제조품질 불량내역'!$K:$K,"&gt;=2025-04-01",'제조품질 불량내역'!$K:$K,"&lt;=2025-04-30",'제조품질 불량내역'!$H:$H,"부품불량",'제조품질 불량내역'!$Q:$Q,"제조(Water Leak)")+COUNTIFS('제조품질 불량내역'!$K:$K,"&gt;=2025-04-01",'제조품질 불량내역'!$K:$K,"&lt;=2025-04-30",'제조품질 불량내역'!$H:$H,"기구작업불량",'제조품질 불량내역'!$Q:$Q,"제조(Water Leak)")</f>
        <v>0</v>
      </c>
      <c r="H11" s="99">
        <f>COUNTIFS('제조품질 불량내역'!$K:$K,"&gt;=2025-05-01",'제조품질 불량내역'!$K:$K,"&lt;=2025-05-31",'제조품질 불량내역'!$H:$H,"부품불량",'제조품질 불량내역'!$Q:$Q,"제조(Water Leak)")+COUNTIFS('제조품질 불량내역'!$K:$K,"&gt;=2025-05-01",'제조품질 불량내역'!$K:$K,"&lt;=2025-05-31",'제조품질 불량내역'!$H:$H,"기구작업불량",'제조품질 불량내역'!$Q:$Q,"제조(Water Leak)")</f>
        <v>1</v>
      </c>
      <c r="I11" s="99">
        <f>COUNTIFS('제조품질 불량내역'!$K:$K,"&gt;=2025-06-01",'제조품질 불량내역'!$K:$K,"&lt;=2025-06-30",'제조품질 불량내역'!$H:$H,"부품불량",'제조품질 불량내역'!$Q:$Q,"제조(Water Leak)")+COUNTIFS('제조품질 불량내역'!$K:$K,"&gt;=2025-06-01",'제조품질 불량내역'!$K:$K,"&lt;=2025-06-30",'제조품질 불량내역'!$H:$H,"기구작업불량",'제조품질 불량내역'!$Q:$Q,"제조(Water Leak)")</f>
        <v>3</v>
      </c>
      <c r="J11" s="99">
        <f>COUNTIFS('제조품질 불량내역'!$K:$K,"&gt;=2025-07-01",'제조품질 불량내역'!$K:$K,"&lt;=2025-07-31",'제조품질 불량내역'!$H:$H,"부품불량",'제조품질 불량내역'!$Q:$Q,"제조(Water Leak)")+COUNTIFS('제조품질 불량내역'!$K:$K,"&gt;=2025-07-01",'제조품질 불량내역'!$K:$K,"&lt;=2025-07-31",'제조품질 불량내역'!$H:$H,"기구작업불량",'제조품질 불량내역'!$Q:$Q,"제조(Water Leak)")</f>
        <v>20</v>
      </c>
      <c r="K11" s="99">
        <f>COUNTIFS('제조품질 불량내역'!$K:$K,"&gt;=2025-08-01",'제조품질 불량내역'!$K:$K,"&lt;=2025-08-31",'제조품질 불량내역'!$H:$H,"부품불량",'제조품질 불량내역'!$Q:$Q,"제조(Water Leak)")+COUNTIFS('제조품질 불량내역'!$K:$K,"&gt;=2025-08-01",'제조품질 불량내역'!$K:$K,"&lt;=2025-08-31",'제조품질 불량내역'!$H:$H,"기구작업불량",'제조품질 불량내역'!$Q:$Q,"제조(Water Leak)")</f>
        <v>37</v>
      </c>
      <c r="L11" s="99">
        <f>COUNTIFS('제조품질 불량내역'!$K:$K,"&gt;=2025-09-01",'제조품질 불량내역'!$K:$K,"&lt;=2025-09-30",'제조품질 불량내역'!$H:$H,"부품불량",'제조품질 불량내역'!$Q:$Q,"제조(Water Leak)")+COUNTIFS('제조품질 불량내역'!$K:$K,"&gt;=2025-09-01",'제조품질 불량내역'!$K:$K,"&lt;=2025-09-30",'제조품질 불량내역'!$H:$H,"기구작업불량",'제조품질 불량내역'!$Q:$Q,"제조(Water Leak)")</f>
        <v>39</v>
      </c>
      <c r="M11" s="99">
        <f>COUNTIFS('제조품질 불량내역'!$K:$K,"&gt;=2025-10-01",'제조품질 불량내역'!$K:$K,"&lt;=2025-10-31",'제조품질 불량내역'!$H:$H,"부품불량",'제조품질 불량내역'!$Q:$Q,"제조(Water Leak)")+COUNTIFS('제조품질 불량내역'!$K:$K,"&gt;=2025-10-01",'제조품질 불량내역'!$K:$K,"&lt;=2025-10-31",'제조품질 불량내역'!$H:$H,"기구작업불량",'제조품질 불량내역'!$Q:$Q,"제조(Water Leak)")</f>
        <v>11</v>
      </c>
      <c r="N11" s="99">
        <f>COUNTIFS('제조품질 불량내역'!$K:$K,"&gt;=2025-11-01",'제조품질 불량내역'!$K:$K,"&lt;=2025-11-30",'제조품질 불량내역'!$H:$H,"부품불량",'제조품질 불량내역'!$Q:$Q,"제조(Water Leak)")+COUNTIFS('제조품질 불량내역'!$K:$K,"&gt;=2025-11-01",'제조품질 불량내역'!$K:$K,"&lt;=2025-11-30",'제조품질 불량내역'!$H:$H,"기구작업불량",'제조품질 불량내역'!$Q:$Q,"제조(Water Leak)")</f>
        <v>30</v>
      </c>
      <c r="O11" s="99">
        <f>COUNTIFS('제조품질 불량내역'!$K:$K,"&gt;=2025-12-01",'제조품질 불량내역'!$K:$K,"&lt;=2025-12-31",'제조품질 불량내역'!$H:$H,"부품불량",'제조품질 불량내역'!$Q:$Q,"제조(Water Leak)")+COUNTIFS('제조품질 불량내역'!$K:$K,"&gt;=2025-12-01",'제조품질 불량내역'!$K:$K,"&lt;=2025-12-31",'제조품질 불량내역'!$H:$H,"기구작업불량",'제조품질 불량내역'!$Q:$Q,"제조(Water Leak)")</f>
        <v>51</v>
      </c>
      <c r="P11" s="191">
        <f t="shared" si="1"/>
        <v>196</v>
      </c>
    </row>
    <row r="12" spans="2:17" customFormat="1" ht="21.95" customHeight="1">
      <c r="B12" s="814" t="s">
        <v>1460</v>
      </c>
      <c r="C12" s="815"/>
      <c r="D12" s="79">
        <f>COUNTIFS('제조품질 불량내역'!K:K, "&gt;=2025-01-01", '제조품질 불량내역'!K:K, "&lt;=2025-01-31")</f>
        <v>1</v>
      </c>
      <c r="E12" s="80">
        <f>COUNTIFS('제조품질 불량내역'!K:K, "&gt;=2025-02-01", '제조품질 불량내역'!K:K, "&lt;=2025-02-28")</f>
        <v>10</v>
      </c>
      <c r="F12" s="80">
        <f>COUNTIFS('제조품질 불량내역'!K:K, "&gt;=2025-03-01", '제조품질 불량내역'!K:K, "&lt;=2025-03-31")</f>
        <v>4</v>
      </c>
      <c r="G12" s="80">
        <f>COUNTIFS('제조품질 불량내역'!K:K, "&gt;=2025-04-01", '제조품질 불량내역'!K:K, "&lt;=2025-04-30")</f>
        <v>2</v>
      </c>
      <c r="H12" s="80">
        <f>COUNTIFS('제조품질 불량내역'!K:K, "&gt;=2025-05-01", '제조품질 불량내역'!K:K, "&lt;=2025-05-31")</f>
        <v>6</v>
      </c>
      <c r="I12" s="80">
        <f>COUNTIFS('제조품질 불량내역'!K:K, "&gt;=2025-06-01", '제조품질 불량내역'!K:K, "&lt;=2025-06-30")</f>
        <v>8</v>
      </c>
      <c r="J12" s="80">
        <f>COUNTIFS('제조품질 불량내역'!K:K, "&gt;=2025-07-01", '제조품질 불량내역'!K:K, "&lt;=2025-07-31")</f>
        <v>64</v>
      </c>
      <c r="K12" s="80">
        <f>COUNTIFS('제조품질 불량내역'!K:K, "&gt;=2025-08-01", '제조품질 불량내역'!K:K, "&lt;=2025-08-31")</f>
        <v>68</v>
      </c>
      <c r="L12" s="80">
        <f>COUNTIFS('제조품질 불량내역'!K:K, "&gt;=2025-09-01", '제조품질 불량내역'!K:K, "&lt;=2025-09-30")</f>
        <v>80</v>
      </c>
      <c r="M12" s="80">
        <f>COUNTIFS('제조품질 불량내역'!K:K, "&gt;=2025-10-01", '제조품질 불량내역'!K:K, "&lt;=2025-10-31")</f>
        <v>28</v>
      </c>
      <c r="N12" s="80">
        <f>COUNTIFS('제조품질 불량내역'!K:K, "&gt;=2025-11-01", '제조품질 불량내역'!K:K, "&lt;=2025-11-30")</f>
        <v>42</v>
      </c>
      <c r="O12" s="80">
        <f>COUNTIFS('제조품질 불량내역'!K:K, "&gt;=2025-12-01", '제조품질 불량내역'!K:K, "&lt;=2025-12-31")</f>
        <v>73</v>
      </c>
      <c r="P12" s="193">
        <f>SUM(D12:O12)</f>
        <v>386</v>
      </c>
      <c r="Q12" s="306"/>
    </row>
    <row r="13" spans="2:17" customFormat="1" ht="26.1" customHeight="1">
      <c r="B13" s="816" t="s">
        <v>1461</v>
      </c>
      <c r="C13" s="817"/>
      <c r="D13" s="194">
        <f>D12/D4</f>
        <v>7.0422535211267607E-3</v>
      </c>
      <c r="E13" s="194">
        <f t="shared" ref="E13:J13" si="3">E12/E4</f>
        <v>4.1666666666666664E-2</v>
      </c>
      <c r="F13" s="194">
        <f t="shared" si="3"/>
        <v>1.8264840182648401E-2</v>
      </c>
      <c r="G13" s="194">
        <f t="shared" si="3"/>
        <v>7.6628352490421452E-3</v>
      </c>
      <c r="H13" s="194">
        <f t="shared" si="3"/>
        <v>3.1088082901554404E-2</v>
      </c>
      <c r="I13" s="194">
        <f t="shared" si="3"/>
        <v>4.4444444444444446E-2</v>
      </c>
      <c r="J13" s="194">
        <f t="shared" si="3"/>
        <v>0.29493087557603687</v>
      </c>
      <c r="K13" s="194">
        <f t="shared" ref="K13:P13" si="4">K12/K4</f>
        <v>0.31924882629107981</v>
      </c>
      <c r="L13" s="194">
        <f t="shared" si="4"/>
        <v>0.3524229074889868</v>
      </c>
      <c r="M13" s="194">
        <f t="shared" si="4"/>
        <v>0.14507772020725387</v>
      </c>
      <c r="N13" s="194">
        <f t="shared" si="4"/>
        <v>0.1640625</v>
      </c>
      <c r="O13" s="194">
        <f t="shared" si="4"/>
        <v>0.3273542600896861</v>
      </c>
      <c r="P13" s="195">
        <f t="shared" si="4"/>
        <v>0.15054602184087362</v>
      </c>
    </row>
    <row r="14" spans="2:17" s="56" customFormat="1" ht="24.95" customHeight="1">
      <c r="B14" s="734" t="s">
        <v>1462</v>
      </c>
      <c r="C14" s="735"/>
      <c r="D14" s="719"/>
      <c r="E14" s="719"/>
      <c r="F14" s="719"/>
      <c r="G14" s="719"/>
      <c r="H14" s="719"/>
      <c r="I14" s="719"/>
      <c r="J14" s="719"/>
      <c r="K14" s="719"/>
      <c r="L14" s="719"/>
      <c r="M14" s="719"/>
      <c r="N14" s="719"/>
      <c r="O14" s="719"/>
      <c r="P14" s="720"/>
    </row>
    <row r="15" spans="2:17" customFormat="1" ht="21.95" customHeight="1">
      <c r="B15" s="818" t="s">
        <v>24</v>
      </c>
      <c r="C15" s="819"/>
      <c r="D15" s="100">
        <f>COUNTIFS('제조품질 불량내역'!$K:$K,"&gt;=2025-01-01",'제조품질 불량내역'!$K:$K,"&lt;=2025-01-31",'제조품질 불량내역'!$P:$P,"재체결")</f>
        <v>0</v>
      </c>
      <c r="E15" s="101">
        <f>COUNTIFS('제조품질 불량내역'!$K:$K,"&gt;=2025-02-01",'제조품질 불량내역'!$K:$K,"&lt;=2025-02-28",'제조품질 불량내역'!$P:$P,"재체결")</f>
        <v>1</v>
      </c>
      <c r="F15" s="101">
        <f>COUNTIFS('제조품질 불량내역'!$K:$K,"&gt;=2025-03-01",'제조품질 불량내역'!$K:$K,"&lt;=2025-03-31",'제조품질 불량내역'!$P:$P,"재체결")</f>
        <v>0</v>
      </c>
      <c r="G15" s="101">
        <f>COUNTIFS('제조품질 불량내역'!$K:$K,"&gt;=2025-04-01",'제조품질 불량내역'!$K:$K,"&lt;=2025-04-30",'제조품질 불량내역'!$P:$P,"재체결")</f>
        <v>0</v>
      </c>
      <c r="H15" s="101">
        <f>COUNTIFS('제조품질 불량내역'!$K:$K,"&gt;=2025-05-01",'제조품질 불량내역'!$K:$K,"&lt;=2025-05-31",'제조품질 불량내역'!$P:$P,"재체결")</f>
        <v>1</v>
      </c>
      <c r="I15" s="101">
        <f>COUNTIFS('제조품질 불량내역'!$K:$K,"&gt;=2025-06-01",'제조품질 불량내역'!$K:$K,"&lt;=2025-06-30",'제조품질 불량내역'!$P:$P,"재체결")</f>
        <v>4</v>
      </c>
      <c r="J15" s="101">
        <f>COUNTIFS('제조품질 불량내역'!$K:$K,"&gt;=2025-07-01",'제조품질 불량내역'!$K:$K,"&lt;=2025-07-31",'제조품질 불량내역'!$P:$P,"재체결")</f>
        <v>7</v>
      </c>
      <c r="K15" s="101">
        <f>COUNTIFS('제조품질 불량내역'!$K:$K,"&gt;=2025-08-01",'제조품질 불량내역'!$K:$K,"&lt;=2025-08-31",'제조품질 불량내역'!$P:$P,"재체결")</f>
        <v>17</v>
      </c>
      <c r="L15" s="101">
        <f>COUNTIFS('제조품질 불량내역'!$K:$K,"&gt;=2025-09-01",'제조품질 불량내역'!$K:$K,"&lt;=2025-09-30",'제조품질 불량내역'!$P:$P,"재체결")</f>
        <v>20</v>
      </c>
      <c r="M15" s="101">
        <f>COUNTIFS('제조품질 불량내역'!$K:$K,"&gt;=2025-10-01",'제조품질 불량내역'!$K:$K,"&lt;=2025-10-31",'제조품질 불량내역'!$P:$P,"재체결")</f>
        <v>7</v>
      </c>
      <c r="N15" s="101">
        <f>COUNTIFS('제조품질 불량내역'!$K:$K,"&gt;=2025-11-01",'제조품질 불량내역'!$K:$K,"&lt;=2025-11-30",'제조품질 불량내역'!$P:$P,"재체결")</f>
        <v>11</v>
      </c>
      <c r="O15" s="101">
        <f>COUNTIFS('제조품질 불량내역'!$K:$K,"&gt;=2025-12-01",'제조품질 불량내역'!$K:$K,"&lt;=2025-12-31",'제조품질 불량내역'!$P:$P,"재체결")</f>
        <v>11</v>
      </c>
      <c r="P15" s="77">
        <f>SUM(D15:O15)</f>
        <v>79</v>
      </c>
    </row>
    <row r="16" spans="2:17" customFormat="1" ht="21.95" customHeight="1">
      <c r="B16" s="820" t="s">
        <v>1463</v>
      </c>
      <c r="C16" s="821"/>
      <c r="D16" s="102">
        <f>COUNTIFS('제조품질 불량내역'!$K:$K,"&gt;=2025-01-01",'제조품질 불량내역'!$K:$K,"&lt;=2025-01-31",'제조품질 불량내역'!$P:$P,"재작업")</f>
        <v>0</v>
      </c>
      <c r="E16" s="103">
        <f>COUNTIFS('제조품질 불량내역'!$K:$K,"&gt;=2025-02-01",'제조품질 불량내역'!$K:$K,"&lt;=2025-02-28",'제조품질 불량내역'!$P:$P,"재작업")</f>
        <v>1</v>
      </c>
      <c r="F16" s="103">
        <f>COUNTIFS('제조품질 불량내역'!$K:$K,"&gt;=2025-03-01",'제조품질 불량내역'!$K:$K,"&lt;=2025-03-31",'제조품질 불량내역'!$P:$P,"재작업")</f>
        <v>1</v>
      </c>
      <c r="G16" s="103">
        <f>COUNTIFS('제조품질 불량내역'!$K:$K,"&gt;=2025-04-01",'제조품질 불량내역'!$K:$K,"&lt;=2025-04-30",'제조품질 불량내역'!$P:$P,"재작업")</f>
        <v>0</v>
      </c>
      <c r="H16" s="103">
        <f>COUNTIFS('제조품질 불량내역'!$K:$K,"&gt;=2025-05-01",'제조품질 불량내역'!$K:$K,"&lt;=2025-05-31",'제조품질 불량내역'!$P:$P,"재작업")</f>
        <v>1</v>
      </c>
      <c r="I16" s="103">
        <f>COUNTIFS('제조품질 불량내역'!$K:$K,"&gt;=2025-06-01",'제조품질 불량내역'!$K:$K,"&lt;=2025-06-30",'제조품질 불량내역'!$P:$P,"재작업")</f>
        <v>0</v>
      </c>
      <c r="J16" s="103">
        <f>COUNTIFS('제조품질 불량내역'!$K:$K,"&gt;=2025-07-01",'제조품질 불량내역'!$K:$K,"&lt;=2025-07-31",'제조품질 불량내역'!$P:$P,"재작업")</f>
        <v>8</v>
      </c>
      <c r="K16" s="103">
        <f>COUNTIFS('제조품질 불량내역'!$K:$K,"&gt;=2025-08-01",'제조품질 불량내역'!$K:$K,"&lt;=2025-08-31",'제조품질 불량내역'!$P:$P,"재작업")</f>
        <v>3</v>
      </c>
      <c r="L16" s="103">
        <f>COUNTIFS('제조품질 불량내역'!$K:$K,"&gt;=2025-09-01",'제조품질 불량내역'!$K:$K,"&lt;=2025-09-30",'제조품질 불량내역'!$P:$P,"재작업")</f>
        <v>5</v>
      </c>
      <c r="M16" s="103">
        <f>COUNTIFS('제조품질 불량내역'!$K:$K,"&gt;=2025-10-01",'제조품질 불량내역'!$K:$K,"&lt;=2025-10-31",'제조품질 불량내역'!$P:$P,"재작업")</f>
        <v>4</v>
      </c>
      <c r="N16" s="103">
        <f>COUNTIFS('제조품질 불량내역'!$K:$K,"&gt;=2025-11-01",'제조품질 불량내역'!$K:$K,"&lt;=2025-11-30",'제조품질 불량내역'!$P:$P,"재작업")</f>
        <v>7</v>
      </c>
      <c r="O16" s="103">
        <f>COUNTIFS('제조품질 불량내역'!$K:$K,"&gt;=2025-12-01",'제조품질 불량내역'!$K:$K,"&lt;=2025-12-31",'제조품질 불량내역'!$P:$P,"재작업")</f>
        <v>13</v>
      </c>
      <c r="P16" s="77">
        <f t="shared" ref="P16:P19" si="5">SUM(D16:O16)</f>
        <v>43</v>
      </c>
    </row>
    <row r="17" spans="2:16" customFormat="1" ht="21.95" customHeight="1">
      <c r="B17" s="820" t="s">
        <v>36</v>
      </c>
      <c r="C17" s="821"/>
      <c r="D17" s="102">
        <f>COUNTIFS('제조품질 불량내역'!$K:$K,"&gt;=2025-01-01",'제조품질 불량내역'!$K:$K,"&lt;=2025-01-31",'제조품질 불량내역'!$P:$P,"식별 조치")</f>
        <v>0</v>
      </c>
      <c r="E17" s="103">
        <f>COUNTIFS('제조품질 불량내역'!$K:$K,"&gt;=2025-02-01",'제조품질 불량내역'!$K:$K,"&lt;=2025-02-28",'제조품질 불량내역'!$P:$P,"식별 조치")</f>
        <v>1</v>
      </c>
      <c r="F17" s="103">
        <f>COUNTIFS('제조품질 불량내역'!$K:$K,"&gt;=2025-03-01",'제조품질 불량내역'!$K:$K,"&lt;=2025-03-31",'제조품질 불량내역'!$P:$P,"식별 조치")</f>
        <v>0</v>
      </c>
      <c r="G17" s="103">
        <f>COUNTIFS('제조품질 불량내역'!$K:$K,"&gt;=2025-04-01",'제조품질 불량내역'!$K:$K,"&lt;=2025-04-30",'제조품질 불량내역'!$P:$P,"식별 조치")</f>
        <v>0</v>
      </c>
      <c r="H17" s="103">
        <f>COUNTIFS('제조품질 불량내역'!$K:$K,"&gt;=2025-05-01",'제조품질 불량내역'!$K:$K,"&lt;=2025-05-31",'제조품질 불량내역'!$P:$P,"식별 조치")</f>
        <v>0</v>
      </c>
      <c r="I17" s="103">
        <f>COUNTIFS('제조품질 불량내역'!$K:$K,"&gt;=2025-06-01",'제조품질 불량내역'!$K:$K,"&lt;=2025-06-30",'제조품질 불량내역'!$P:$P,"식별 조치")</f>
        <v>0</v>
      </c>
      <c r="J17" s="103">
        <f>COUNTIFS('제조품질 불량내역'!$K:$K,"&gt;=2025-07-01",'제조품질 불량내역'!$K:$K,"&lt;=2025-07-31",'제조품질 불량내역'!$P:$P,"식별 조치")</f>
        <v>24</v>
      </c>
      <c r="K17" s="103">
        <f>COUNTIFS('제조품질 불량내역'!$K:$K,"&gt;=2025-08-01",'제조품질 불량내역'!$K:$K,"&lt;=2025-08-31",'제조품질 불량내역'!$P:$P,"식별 조치")</f>
        <v>22</v>
      </c>
      <c r="L17" s="103">
        <f>COUNTIFS('제조품질 불량내역'!$K:$K,"&gt;=2025-09-01",'제조품질 불량내역'!$K:$K,"&lt;=2025-09-30",'제조품질 불량내역'!$P:$P,"식별 조치")</f>
        <v>26</v>
      </c>
      <c r="M17" s="103">
        <f>COUNTIFS('제조품질 불량내역'!$K:$K,"&gt;=2025-10-01",'제조품질 불량내역'!$K:$K,"&lt;=2025-10-31",'제조품질 불량내역'!$P:$P,"식별 조치")</f>
        <v>9</v>
      </c>
      <c r="N17" s="103">
        <f>COUNTIFS('제조품질 불량내역'!$K:$K,"&gt;=2025-11-01",'제조품질 불량내역'!$K:$K,"&lt;=2025-11-30",'제조품질 불량내역'!$P:$P,"식별 조치")</f>
        <v>3</v>
      </c>
      <c r="O17" s="103">
        <f>COUNTIFS('제조품질 불량내역'!$K:$K,"&gt;=2025-12-01",'제조품질 불량내역'!$K:$K,"&lt;=2025-12-31",'제조품질 불량내역'!$P:$P,"식별 조치")</f>
        <v>5</v>
      </c>
      <c r="P17" s="77">
        <f t="shared" si="5"/>
        <v>90</v>
      </c>
    </row>
    <row r="18" spans="2:16" customFormat="1" ht="21.95" customHeight="1">
      <c r="B18" s="820" t="s">
        <v>39</v>
      </c>
      <c r="C18" s="821"/>
      <c r="D18" s="102">
        <f>COUNTIFS('제조품질 불량내역'!$K:$K,"&gt;=2025-01-01",'제조품질 불량내역'!$K:$K,"&lt;=2025-01-31",'제조품질 불량내역'!$P:$P,"Teflon 작업")</f>
        <v>1</v>
      </c>
      <c r="E18" s="103">
        <f>COUNTIFS('제조품질 불량내역'!$K:$K,"&gt;=2025-02-01",'제조품질 불량내역'!$K:$K,"&lt;=2025-02-28",'제조품질 불량내역'!$P:$P,"Teflon 작업")</f>
        <v>2</v>
      </c>
      <c r="F18" s="103">
        <f>COUNTIFS('제조품질 불량내역'!$K:$K,"&gt;=2025-03-01",'제조품질 불량내역'!$K:$K,"&lt;=2025-03-31",'제조품질 불량내역'!$P:$P,"Teflon 작업")</f>
        <v>0</v>
      </c>
      <c r="G18" s="103">
        <f>COUNTIFS('제조품질 불량내역'!$K:$K,"&gt;=2025-04-01",'제조품질 불량내역'!$K:$K,"&lt;=2025-04-30",'제조품질 불량내역'!$P:$P,"Teflon 작업")</f>
        <v>0</v>
      </c>
      <c r="H18" s="103">
        <f>COUNTIFS('제조품질 불량내역'!$K:$K,"&gt;=2025-05-01",'제조품질 불량내역'!$K:$K,"&lt;=2025-05-31",'제조품질 불량내역'!$P:$P,"Teflon 작업")</f>
        <v>1</v>
      </c>
      <c r="I18" s="103">
        <f>COUNTIFS('제조품질 불량내역'!$K:$K,"&gt;=2025-06-01",'제조품질 불량내역'!$K:$K,"&lt;=2025-06-30",'제조품질 불량내역'!$P:$P,"Teflon 작업")</f>
        <v>0</v>
      </c>
      <c r="J18" s="103">
        <f>COUNTIFS('제조품질 불량내역'!$K:$K,"&gt;=2025-07-01",'제조품질 불량내역'!$K:$K,"&lt;=2025-07-31",'제조품질 불량내역'!$P:$P,"Teflon 작업")</f>
        <v>19</v>
      </c>
      <c r="K18" s="103">
        <f>COUNTIFS('제조품질 불량내역'!$K:$K,"&gt;=2025-08-01",'제조품질 불량내역'!$K:$K,"&lt;=2025-08-31",'제조품질 불량내역'!$P:$P,"Teflon 작업")</f>
        <v>24</v>
      </c>
      <c r="L18" s="103">
        <f>COUNTIFS('제조품질 불량내역'!$K:$K,"&gt;=2025-09-01",'제조품질 불량내역'!$K:$K,"&lt;=2025-09-30",'제조품질 불량내역'!$P:$P,"Teflon 작업")</f>
        <v>29</v>
      </c>
      <c r="M18" s="103">
        <f>COUNTIFS('제조품질 불량내역'!$K:$K,"&gt;=2025-10-01",'제조품질 불량내역'!$K:$K,"&lt;=2025-10-31",'제조품질 불량내역'!$P:$P,"Teflon 작업")</f>
        <v>8</v>
      </c>
      <c r="N18" s="103">
        <f>COUNTIFS('제조품질 불량내역'!$K:$K,"&gt;=2025-11-01",'제조품질 불량내역'!$K:$K,"&lt;=2025-11-30",'제조품질 불량내역'!$P:$P,"Teflon 작업")</f>
        <v>21</v>
      </c>
      <c r="O18" s="103">
        <f>COUNTIFS('제조품질 불량내역'!$K:$K,"&gt;=2025-12-01",'제조품질 불량내역'!$K:$K,"&lt;=2025-12-31",'제조품질 불량내역'!$P:$P,"Teflon 작업")</f>
        <v>44</v>
      </c>
      <c r="P18" s="77">
        <f t="shared" si="5"/>
        <v>149</v>
      </c>
    </row>
    <row r="19" spans="2:16" customFormat="1" ht="21.95" customHeight="1">
      <c r="B19" s="822" t="s">
        <v>42</v>
      </c>
      <c r="C19" s="823"/>
      <c r="D19" s="104">
        <f>COUNTIFS('제조품질 불량내역'!$K:$K,"&gt;=2025-01-01",'제조품질 불량내역'!$K:$K,"&lt;=2025-01-31",'제조품질 불량내역'!$P:$P,"파트교체")</f>
        <v>0</v>
      </c>
      <c r="E19" s="105">
        <f>COUNTIFS('제조품질 불량내역'!$K:$K,"&gt;=2025-02-01",'제조품질 불량내역'!$K:$K,"&lt;=2025-02-28",'제조품질 불량내역'!$P:$P,"파트교체")</f>
        <v>5</v>
      </c>
      <c r="F19" s="105">
        <f>COUNTIFS('제조품질 불량내역'!$K:$K,"&gt;=2025-03-01",'제조품질 불량내역'!$K:$K,"&lt;=2025-03-31",'제조품질 불량내역'!$P:$P,"파트교체")</f>
        <v>3</v>
      </c>
      <c r="G19" s="105">
        <f>COUNTIFS('제조품질 불량내역'!$K:$K,"&gt;=2025-04-01",'제조품질 불량내역'!$K:$K,"&lt;=2025-04-30",'제조품질 불량내역'!$P:$P,"파트교체")</f>
        <v>2</v>
      </c>
      <c r="H19" s="105">
        <f>COUNTIFS('제조품질 불량내역'!$K:$K,"&gt;=2025-05-01",'제조품질 불량내역'!$K:$K,"&lt;=2025-05-31",'제조품질 불량내역'!$P:$P,"파트교체")</f>
        <v>3</v>
      </c>
      <c r="I19" s="105">
        <f>COUNTIFS('제조품질 불량내역'!$K:$K,"&gt;=2025-06-01",'제조품질 불량내역'!$K:$K,"&lt;=2025-06-30",'제조품질 불량내역'!$P:$P,"파트교체")</f>
        <v>4</v>
      </c>
      <c r="J19" s="105">
        <f>COUNTIFS('제조품질 불량내역'!$K:$K,"&gt;=2025-07-01",'제조품질 불량내역'!$K:$K,"&lt;=2025-07-31",'제조품질 불량내역'!$P:$P,"파트교체")</f>
        <v>6</v>
      </c>
      <c r="K19" s="105">
        <f>COUNTIFS('제조품질 불량내역'!$K:$K,"&gt;=2025-08-01",'제조품질 불량내역'!$K:$K,"&lt;=2025-08-31",'제조품질 불량내역'!$P:$P,"파트교체")</f>
        <v>2</v>
      </c>
      <c r="L19" s="105">
        <f>COUNTIFS('제조품질 불량내역'!$K:$K,"&gt;=2025-09-01",'제조품질 불량내역'!$K:$K,"&lt;=2025-09-30",'제조품질 불량내역'!$P:$P,"파트교체")</f>
        <v>0</v>
      </c>
      <c r="M19" s="105">
        <f>COUNTIFS('제조품질 불량내역'!$K:$K,"&gt;=2025-10-01",'제조품질 불량내역'!$K:$K,"&lt;=2025-10-31",'제조품질 불량내역'!$P:$P,"파트교체")</f>
        <v>0</v>
      </c>
      <c r="N19" s="105">
        <f>COUNTIFS('제조품질 불량내역'!$K:$K,"&gt;=2025-11-01",'제조품질 불량내역'!$K:$K,"&lt;=2025-11-30",'제조품질 불량내역'!$P:$P,"파트교체")</f>
        <v>0</v>
      </c>
      <c r="O19" s="105">
        <f>COUNTIFS('제조품질 불량내역'!$K:$K,"&gt;=2025-12-01",'제조품질 불량내역'!$K:$K,"&lt;=2025-12-31",'제조품질 불량내역'!$P:$P,"파트교체")</f>
        <v>0</v>
      </c>
      <c r="P19" s="106">
        <f t="shared" si="5"/>
        <v>25</v>
      </c>
    </row>
    <row r="20" spans="2:16" customFormat="1" ht="24.95" customHeight="1">
      <c r="B20" s="734" t="s">
        <v>1464</v>
      </c>
      <c r="C20" s="735"/>
      <c r="D20" s="736"/>
      <c r="E20" s="736"/>
      <c r="F20" s="736"/>
      <c r="G20" s="736"/>
      <c r="H20" s="736"/>
      <c r="I20" s="736"/>
      <c r="J20" s="736"/>
      <c r="K20" s="736"/>
      <c r="L20" s="736"/>
      <c r="M20" s="736"/>
      <c r="N20" s="736"/>
      <c r="O20" s="736"/>
      <c r="P20" s="737"/>
    </row>
    <row r="21" spans="2:16" s="59" customFormat="1" ht="20.100000000000001" customHeight="1">
      <c r="B21" s="744" t="s">
        <v>1465</v>
      </c>
      <c r="C21" s="745"/>
      <c r="D21" s="107">
        <f>COUNTIFS('제조품질 불량내역'!$K:$K,"&gt;=2025-01-01",'제조품질 불량내역'!$K:$K,"&lt;=2025-01-31",'제조품질 불량내역'!$H:$H,"기구작업불량",'제조품질 불량내역'!$S:$S,"*BAT",'제조품질 불량내역'!$Q:$Q,"제조")+COUNTIFS('제조품질 불량내역'!$K:$K,"&gt;=2025-01-01",'제조품질 불량내역'!$K:$K,"&lt;=2025-01-31",'제조품질 불량내역'!$H:$H,"기구작업불량",'제조품질 불량내역'!$S:$S,"*BAT",'제조품질 불량내역'!$Q:$Q,"제조(재작업)")+COUNTIFS('제조품질 불량내역'!$K:$K,"&gt;=2025-01-01",'제조품질 불량내역'!$K:$K,"&lt;=2025-01-31",'제조품질 불량내역'!$H:$H,"기구작업불량",'제조품질 불량내역'!$S:$S,"*BAT",'제조품질 불량내역'!$Q:$Q,"제조(Water Leak)")</f>
        <v>0</v>
      </c>
      <c r="E21" s="108">
        <f>COUNTIFS('제조품질 불량내역'!$K:$K,"&gt;=2025-02-01",'제조품질 불량내역'!$K:$K,"&lt;=2025-02-28",'제조품질 불량내역'!$H:$H,"기구작업불량",'제조품질 불량내역'!$S:$S,"*BAT",'제조품질 불량내역'!$Q:$Q,"제조")+COUNTIFS('제조품질 불량내역'!$K:$K,"&gt;=2025-02-01",'제조품질 불량내역'!$K:$K,"&lt;=2025-02-28",'제조품질 불량내역'!$H:$H,"기구작업불량",'제조품질 불량내역'!$S:$S,"*BAT",'제조품질 불량내역'!$Q:$Q,"제조(재작업)")+COUNTIFS('제조품질 불량내역'!$K:$K,"&gt;=2025-02-01",'제조품질 불량내역'!$K:$K,"&lt;=2025-02-28",'제조품질 불량내역'!$H:$H,"기구작업불량",'제조품질 불량내역'!$S:$S,"*BAT",'제조품질 불량내역'!$Q:$Q,"제조(Water Leak)")</f>
        <v>0</v>
      </c>
      <c r="F21" s="108">
        <f>COUNTIFS('제조품질 불량내역'!$K:$K,"&gt;=2025-03-01",'제조품질 불량내역'!$K:$K,"&lt;=2025-03-31",'제조품질 불량내역'!$H:$H,"기구작업불량",'제조품질 불량내역'!$S:$S,"*BAT",'제조품질 불량내역'!$Q:$Q,"제조")+COUNTIFS('제조품질 불량내역'!$K:$K,"&gt;=2025-03-01",'제조품질 불량내역'!$K:$K,"&lt;=2025-03-31",'제조품질 불량내역'!$H:$H,"기구작업불량",'제조품질 불량내역'!$S:$S,"*BAT",'제조품질 불량내역'!$Q:$Q,"제조(재작업)")+COUNTIFS('제조품질 불량내역'!$K:$K,"&gt;=2025-03-01",'제조품질 불량내역'!$K:$K,"&lt;=2025-03-31",'제조품질 불량내역'!$H:$H,"기구작업불량",'제조품질 불량내역'!$S:$S,"*BAT",'제조품질 불량내역'!$Q:$Q,"제조(Water Leak)")</f>
        <v>0</v>
      </c>
      <c r="G21" s="108">
        <f>COUNTIFS('제조품질 불량내역'!$K:$K,"&gt;=2025-04-01",'제조품질 불량내역'!$K:$K,"&lt;=2025-04-30",'제조품질 불량내역'!$H:$H,"기구작업불량",'제조품질 불량내역'!$S:$S,"*BAT",'제조품질 불량내역'!$Q:$Q,"제조")+COUNTIFS('제조품질 불량내역'!$K:$K,"&gt;=2025-04-01",'제조품질 불량내역'!$K:$K,"&lt;=2025-04-30",'제조품질 불량내역'!$H:$H,"기구작업불량",'제조품질 불량내역'!$S:$S,"*BAT",'제조품질 불량내역'!$Q:$Q,"제조(재작업)")+COUNTIFS('제조품질 불량내역'!$K:$K,"&gt;=2025-04-01",'제조품질 불량내역'!$K:$K,"&lt;=2025-04-30",'제조품질 불량내역'!$H:$H,"기구작업불량",'제조품질 불량내역'!$S:$S,"*BAT",'제조품질 불량내역'!$Q:$Q,"제조(Water Leak)")</f>
        <v>0</v>
      </c>
      <c r="H21" s="108">
        <f>COUNTIFS('제조품질 불량내역'!$K:$K,"&gt;=2025-05-01",'제조품질 불량내역'!$K:$K,"&lt;=2025-05-31",'제조품질 불량내역'!$H:$H,"기구작업불량",'제조품질 불량내역'!$S:$S,"*BAT",'제조품질 불량내역'!$Q:$Q,"제조")+COUNTIFS('제조품질 불량내역'!$K:$K,"&gt;=2025-05-01",'제조품질 불량내역'!$K:$K,"&lt;=2025-05-31",'제조품질 불량내역'!$H:$H,"기구작업불량",'제조품질 불량내역'!$S:$S,"*BAT",'제조품질 불량내역'!$Q:$Q,"제조(재작업)")+COUNTIFS('제조품질 불량내역'!$K:$K,"&gt;=2025-05-01",'제조품질 불량내역'!$K:$K,"&lt;=2025-05-31",'제조품질 불량내역'!$H:$H,"기구작업불량",'제조품질 불량내역'!$S:$S,"*BAT",'제조품질 불량내역'!$Q:$Q,"제조(Water Leak)")</f>
        <v>0</v>
      </c>
      <c r="I21" s="108">
        <f>COUNTIFS('제조품질 불량내역'!$K:$K,"&gt;=2025-06-01",'제조품질 불량내역'!$K:$K,"&lt;=2025-06-30",'제조품질 불량내역'!$H:$H,"기구작업불량",'제조품질 불량내역'!$S:$S,"*BAT",'제조품질 불량내역'!$Q:$Q,"제조")+COUNTIFS('제조품질 불량내역'!$K:$K,"&gt;=2025-06-01",'제조품질 불량내역'!$K:$K,"&lt;=2025-06-30",'제조품질 불량내역'!$H:$H,"기구작업불량",'제조품질 불량내역'!$S:$S,"*BAT",'제조품질 불량내역'!$Q:$Q,"제조(재작업)")+COUNTIFS('제조품질 불량내역'!$K:$K,"&gt;=2025-06-01",'제조품질 불량내역'!$K:$K,"&lt;=2025-06-30",'제조품질 불량내역'!$H:$H,"기구작업불량",'제조품질 불량내역'!$S:$S,"*BAT",'제조품질 불량내역'!$Q:$Q,"제조(Water Leak)")</f>
        <v>1</v>
      </c>
      <c r="J21" s="108">
        <f>COUNTIFS('제조품질 불량내역'!$K:$K,"&gt;=2025-07-01",'제조품질 불량내역'!$K:$K,"&lt;=2025-07-31",'제조품질 불량내역'!$H:$H,"기구작업불량",'제조품질 불량내역'!$S:$S,"*BAT",'제조품질 불량내역'!$Q:$Q,"제조")+COUNTIFS('제조품질 불량내역'!$K:$K,"&gt;=2025-07-01",'제조품질 불량내역'!$K:$K,"&lt;=2025-07-31",'제조품질 불량내역'!$H:$H,"기구작업불량",'제조품질 불량내역'!$S:$S,"*BAT",'제조품질 불량내역'!$Q:$Q,"제조(재작업)")+COUNTIFS('제조품질 불량내역'!$K:$K,"&gt;=2025-07-01",'제조품질 불량내역'!$K:$K,"&lt;=2025-07-31",'제조품질 불량내역'!$H:$H,"기구작업불량",'제조품질 불량내역'!$S:$S,"*BAT",'제조품질 불량내역'!$Q:$Q,"제조(Water Leak)")</f>
        <v>13</v>
      </c>
      <c r="K21" s="108">
        <f>COUNTIFS('제조품질 불량내역'!$K:$K,"&gt;=2025-08-01",'제조품질 불량내역'!$K:$K,"&lt;=2025-08-31",'제조품질 불량내역'!$H:$H,"기구작업불량",'제조품질 불량내역'!$S:$S,"*BAT",'제조품질 불량내역'!$Q:$Q,"제조")+COUNTIFS('제조품질 불량내역'!$K:$K,"&gt;=2025-08-01",'제조품질 불량내역'!$K:$K,"&lt;=2025-08-31",'제조품질 불량내역'!$H:$H,"기구작업불량",'제조품질 불량내역'!$S:$S,"*BAT",'제조품질 불량내역'!$Q:$Q,"제조(재작업)")+COUNTIFS('제조품질 불량내역'!$K:$K,"&gt;=2025-08-01",'제조품질 불량내역'!$K:$K,"&lt;=2025-08-31",'제조품질 불량내역'!$H:$H,"기구작업불량",'제조품질 불량내역'!$S:$S,"*BAT",'제조품질 불량내역'!$Q:$Q,"제조(Water Leak)")</f>
        <v>9</v>
      </c>
      <c r="L21" s="108">
        <f>COUNTIFS('제조품질 불량내역'!$K:$K,"&gt;=2025-09-01",'제조품질 불량내역'!$K:$K,"&lt;=2025-09-30",'제조품질 불량내역'!$H:$H,"기구작업불량",'제조품질 불량내역'!$S:$S,"*BAT",'제조품질 불량내역'!$Q:$Q,"제조")+COUNTIFS('제조품질 불량내역'!$K:$K,"&gt;=2025-09-01",'제조품질 불량내역'!$K:$K,"&lt;=2025-09-30",'제조품질 불량내역'!$H:$H,"기구작업불량",'제조품질 불량내역'!$S:$S,"*BAT",'제조품질 불량내역'!$Q:$Q,"제조(재작업)")+COUNTIFS('제조품질 불량내역'!$K:$K,"&gt;=2025-09-01",'제조품질 불량내역'!$K:$K,"&lt;=2025-09-30",'제조품질 불량내역'!$H:$H,"기구작업불량",'제조품질 불량내역'!$S:$S,"*BAT",'제조품질 불량내역'!$Q:$Q,"제조(Water Leak)")</f>
        <v>22</v>
      </c>
      <c r="M21" s="108">
        <f>COUNTIFS('제조품질 불량내역'!$K:$K,"&gt;=2025-10-01",'제조품질 불량내역'!$K:$K,"&lt;=2025-10-31",'제조품질 불량내역'!$H:$H,"기구작업불량",'제조품질 불량내역'!$S:$S,"*BAT",'제조품질 불량내역'!$Q:$Q,"제조")+COUNTIFS('제조품질 불량내역'!$K:$K,"&gt;=2025-10-01",'제조품질 불량내역'!$K:$K,"&lt;=2025-10-31",'제조품질 불량내역'!$H:$H,"기구작업불량",'제조품질 불량내역'!$S:$S,"*BAT",'제조품질 불량내역'!$Q:$Q,"제조(재작업)")+COUNTIFS('제조품질 불량내역'!$K:$K,"&gt;=2025-10-01",'제조품질 불량내역'!$K:$K,"&lt;=2025-10-31",'제조품질 불량내역'!$H:$H,"기구작업불량",'제조품질 불량내역'!$S:$S,"*BAT",'제조품질 불량내역'!$Q:$Q,"제조(Water Leak)")</f>
        <v>11</v>
      </c>
      <c r="N21" s="108">
        <f>COUNTIFS('제조품질 불량내역'!$K:$K,"&gt;=2025-11-01",'제조품질 불량내역'!$K:$K,"&lt;=2025-11-30",'제조품질 불량내역'!$H:$H,"기구작업불량",'제조품질 불량내역'!$S:$S,"*BAT",'제조품질 불량내역'!$Q:$Q,"제조")+COUNTIFS('제조품질 불량내역'!$K:$K,"&gt;=2025-11-01",'제조품질 불량내역'!$K:$K,"&lt;=2025-11-30",'제조품질 불량내역'!$H:$H,"기구작업불량",'제조품질 불량내역'!$S:$S,"*BAT",'제조품질 불량내역'!$Q:$Q,"제조(재작업)")+COUNTIFS('제조품질 불량내역'!$K:$K,"&gt;=2025-11-01",'제조품질 불량내역'!$K:$K,"&lt;=2025-11-30",'제조품질 불량내역'!$H:$H,"기구작업불량",'제조품질 불량내역'!$S:$S,"*BAT",'제조품질 불량내역'!$Q:$Q,"제조(Water Leak)")</f>
        <v>1</v>
      </c>
      <c r="O21" s="108">
        <f>COUNTIFS('제조품질 불량내역'!$K:$K,"&gt;=2025-12-01",'제조품질 불량내역'!$K:$K,"&lt;=2025-12-31",'제조품질 불량내역'!$H:$H,"기구작업불량",'제조품질 불량내역'!$S:$S,"*BAT",'제조품질 불량내역'!$Q:$Q,"제조")+COUNTIFS('제조품질 불량내역'!$K:$K,"&gt;=2025-12-01",'제조품질 불량내역'!$K:$K,"&lt;=2025-12-31",'제조품질 불량내역'!$H:$H,"기구작업불량",'제조품질 불량내역'!$S:$S,"*BAT",'제조품질 불량내역'!$Q:$Q,"제조(재작업)")+COUNTIFS('제조품질 불량내역'!$K:$K,"&gt;=2025-12-01",'제조품질 불량내역'!$K:$K,"&lt;=2025-12-31",'제조품질 불량내역'!$H:$H,"기구작업불량",'제조품질 불량내역'!$S:$S,"*BAT",'제조품질 불량내역'!$Q:$Q,"제조(Water Leak)")</f>
        <v>5</v>
      </c>
      <c r="P21" s="109">
        <f>SUM(D21:O21)</f>
        <v>62</v>
      </c>
    </row>
    <row r="22" spans="2:16" s="59" customFormat="1" ht="20.100000000000001" customHeight="1">
      <c r="B22" s="746"/>
      <c r="C22" s="747"/>
      <c r="D22" s="110">
        <f>D21/D8</f>
        <v>0</v>
      </c>
      <c r="E22" s="110">
        <f>E21/E8</f>
        <v>0</v>
      </c>
      <c r="F22" s="110">
        <f>F21/F8</f>
        <v>0</v>
      </c>
      <c r="G22" s="110">
        <v>0</v>
      </c>
      <c r="H22" s="110">
        <f t="shared" ref="H22:P22" si="6">H21/H8</f>
        <v>0</v>
      </c>
      <c r="I22" s="110">
        <f t="shared" si="6"/>
        <v>0.25</v>
      </c>
      <c r="J22" s="110">
        <f t="shared" si="6"/>
        <v>0.22807017543859648</v>
      </c>
      <c r="K22" s="110">
        <f t="shared" si="6"/>
        <v>0.15789473684210525</v>
      </c>
      <c r="L22" s="110">
        <f t="shared" si="6"/>
        <v>0.30555555555555558</v>
      </c>
      <c r="M22" s="110">
        <f t="shared" si="6"/>
        <v>0.42307692307692307</v>
      </c>
      <c r="N22" s="110">
        <f t="shared" si="6"/>
        <v>3.0303030303030304E-2</v>
      </c>
      <c r="O22" s="110">
        <f t="shared" si="6"/>
        <v>6.9444444444444448E-2</v>
      </c>
      <c r="P22" s="111">
        <f t="shared" si="6"/>
        <v>0.18844984802431611</v>
      </c>
    </row>
    <row r="23" spans="2:16" s="59" customFormat="1" ht="20.100000000000001" customHeight="1">
      <c r="B23" s="748" t="s">
        <v>1466</v>
      </c>
      <c r="C23" s="749"/>
      <c r="D23" s="112">
        <f>COUNTIFS('제조품질 불량내역'!$K:$K,"&gt;=2025-01-01",'제조품질 불량내역'!$K:$K,"&lt;=2025-01-31",'제조품질 불량내역'!$H:$H,"기구작업불량",'제조품질 불량내역'!$S:$S,"*FNI",'제조품질 불량내역'!$Q:$Q,"제조")+COUNTIFS('제조품질 불량내역'!$K:$K,"&gt;=2025-01-01",'제조품질 불량내역'!$K:$K,"&lt;=2025-01-31",'제조품질 불량내역'!$H:$H,"기구작업불량",'제조품질 불량내역'!$S:$S,"*FNI",'제조품질 불량내역'!$Q:$Q,"제조(재작업)")+COUNTIFS('제조품질 불량내역'!$K:$K,"&gt;=2025-01-01",'제조품질 불량내역'!$K:$K,"&lt;=2025-01-31",'제조품질 불량내역'!$H:$H,"기구작업불량",'제조품질 불량내역'!$S:$S,"*FNI",'제조품질 불량내역'!$Q:$Q,"제조(Water Leak)")</f>
        <v>0</v>
      </c>
      <c r="E23" s="113">
        <f>COUNTIFS('제조품질 불량내역'!$K:$K,"&gt;=2025-02-01",'제조품질 불량내역'!$K:$K,"&lt;=2025-02-28",'제조품질 불량내역'!$H:$H,"기구작업불량",'제조품질 불량내역'!$S:$S,"*FNI",'제조품질 불량내역'!$Q:$Q,"제조")+COUNTIFS('제조품질 불량내역'!$K:$K,"&gt;=2025-02-01",'제조품질 불량내역'!$K:$K,"&lt;=2025-02-28",'제조품질 불량내역'!$H:$H,"기구작업불량",'제조품질 불량내역'!$S:$S,"*FNI",'제조품질 불량내역'!$Q:$Q,"제조(재작업)")+COUNTIFS('제조품질 불량내역'!$K:$K,"&gt;=2025-02-01",'제조품질 불량내역'!$K:$K,"&lt;=2025-02-28",'제조품질 불량내역'!$H:$H,"기구작업불량",'제조품질 불량내역'!$S:$S,"*FNI",'제조품질 불량내역'!$Q:$Q,"제조(Water Leak)")</f>
        <v>0</v>
      </c>
      <c r="F23" s="113">
        <f>COUNTIFS('제조품질 불량내역'!$K:$K,"&gt;=2025-03-01",'제조품질 불량내역'!$K:$K,"&lt;=2025-03-31",'제조품질 불량내역'!$H:$H,"기구작업불량",'제조품질 불량내역'!$S:$S,"*FNI",'제조품질 불량내역'!$Q:$Q,"제조")+COUNTIFS('제조품질 불량내역'!$K:$K,"&gt;=2025-03-01",'제조품질 불량내역'!$K:$K,"&lt;=2025-03-31",'제조품질 불량내역'!$H:$H,"기구작업불량",'제조품질 불량내역'!$S:$S,"*FNI",'제조품질 불량내역'!$Q:$Q,"제조(재작업)")+COUNTIFS('제조품질 불량내역'!$K:$K,"&gt;=2025-03-01",'제조품질 불량내역'!$K:$K,"&lt;=2025-03-31",'제조품질 불량내역'!$H:$H,"기구작업불량",'제조품질 불량내역'!$S:$S,"*FNI",'제조품질 불량내역'!$Q:$Q,"제조(Water Leak)")</f>
        <v>0</v>
      </c>
      <c r="G23" s="113">
        <f>COUNTIFS('제조품질 불량내역'!$K:$K,"&gt;=2025-04-01",'제조품질 불량내역'!$K:$K,"&lt;=2025-04-30",'제조품질 불량내역'!$H:$H,"기구작업불량",'제조품질 불량내역'!$S:$S,"*FNI",'제조품질 불량내역'!$Q:$Q,"제조")+COUNTIFS('제조품질 불량내역'!$K:$K,"&gt;=2025-04-01",'제조품질 불량내역'!$K:$K,"&lt;=2025-04-30",'제조품질 불량내역'!$H:$H,"기구작업불량",'제조품질 불량내역'!$S:$S,"*FNI",'제조품질 불량내역'!$Q:$Q,"제조(재작업)")+COUNTIFS('제조품질 불량내역'!$K:$K,"&gt;=2025-04-01",'제조품질 불량내역'!$K:$K,"&lt;=2025-04-30",'제조품질 불량내역'!$H:$H,"기구작업불량",'제조품질 불량내역'!$S:$S,"*FNI",'제조품질 불량내역'!$Q:$Q,"제조(Water Leak)")</f>
        <v>0</v>
      </c>
      <c r="H23" s="113">
        <f>COUNTIFS('제조품질 불량내역'!$K:$K,"&gt;=2025-05-01",'제조품질 불량내역'!$K:$K,"&lt;=2025-05-31",'제조품질 불량내역'!$H:$H,"기구작업불량",'제조품질 불량내역'!$S:$S,"*FNI",'제조품질 불량내역'!$Q:$Q,"제조")+COUNTIFS('제조품질 불량내역'!$K:$K,"&gt;=2025-05-01",'제조품질 불량내역'!$K:$K,"&lt;=2025-05-31",'제조품질 불량내역'!$H:$H,"기구작업불량",'제조품질 불량내역'!$S:$S,"*FNI",'제조품질 불량내역'!$Q:$Q,"제조(재작업)")+COUNTIFS('제조품질 불량내역'!$K:$K,"&gt;=2025-05-01",'제조품질 불량내역'!$K:$K,"&lt;=2025-05-31",'제조품질 불량내역'!$H:$H,"기구작업불량",'제조품질 불량내역'!$S:$S,"*FNI",'제조품질 불량내역'!$Q:$Q,"제조(Water Leak)")</f>
        <v>1</v>
      </c>
      <c r="I23" s="113">
        <f>COUNTIFS('제조품질 불량내역'!$K:$K,"&gt;=2025-06-01",'제조품질 불량내역'!$K:$K,"&lt;=2025-06-30",'제조품질 불량내역'!$H:$H,"기구작업불량",'제조품질 불량내역'!$S:$S,"*FNI",'제조품질 불량내역'!$Q:$Q,"제조")+COUNTIFS('제조품질 불량내역'!$K:$K,"&gt;=2025-06-01",'제조품질 불량내역'!$K:$K,"&lt;=2025-06-30",'제조품질 불량내역'!$H:$H,"기구작업불량",'제조품질 불량내역'!$S:$S,"*FNI",'제조품질 불량내역'!$Q:$Q,"제조(재작업)")+COUNTIFS('제조품질 불량내역'!$K:$K,"&gt;=2025-06-01",'제조품질 불량내역'!$K:$K,"&lt;=2025-06-30",'제조품질 불량내역'!$H:$H,"기구작업불량",'제조품질 불량내역'!$S:$S,"*FNI",'제조품질 불량내역'!$Q:$Q,"제조(Water Leak)")</f>
        <v>0</v>
      </c>
      <c r="J23" s="113">
        <f>COUNTIFS('제조품질 불량내역'!$K:$K,"&gt;=2025-07-01",'제조품질 불량내역'!$K:$K,"&lt;=2025-07-31",'제조품질 불량내역'!$H:$H,"기구작업불량",'제조품질 불량내역'!$S:$S,"*FNI",'제조품질 불량내역'!$Q:$Q,"제조")+COUNTIFS('제조품질 불량내역'!$K:$K,"&gt;=2025-07-01",'제조품질 불량내역'!$K:$K,"&lt;=2025-07-31",'제조품질 불량내역'!$H:$H,"기구작업불량",'제조품질 불량내역'!$S:$S,"*FNI",'제조품질 불량내역'!$Q:$Q,"제조(재작업)")+COUNTIFS('제조품질 불량내역'!$K:$K,"&gt;=2025-07-01",'제조품질 불량내역'!$K:$K,"&lt;=2025-07-31",'제조품질 불량내역'!$H:$H,"기구작업불량",'제조품질 불량내역'!$S:$S,"*FNI",'제조품질 불량내역'!$Q:$Q,"제조(Water Leak)")</f>
        <v>14</v>
      </c>
      <c r="K23" s="113">
        <f>COUNTIFS('제조품질 불량내역'!$K:$K,"&gt;=2025-08-01",'제조품질 불량내역'!$K:$K,"&lt;=2025-08-31",'제조품질 불량내역'!$H:$H,"기구작업불량",'제조품질 불량내역'!$S:$S,"*FNI",'제조품질 불량내역'!$Q:$Q,"제조")+COUNTIFS('제조품질 불량내역'!$K:$K,"&gt;=2025-08-01",'제조품질 불량내역'!$K:$K,"&lt;=2025-08-31",'제조품질 불량내역'!$H:$H,"기구작업불량",'제조품질 불량내역'!$S:$S,"*FNI",'제조품질 불량내역'!$Q:$Q,"제조(재작업)")+COUNTIFS('제조품질 불량내역'!$K:$K,"&gt;=2025-08-01",'제조품질 불량내역'!$K:$K,"&lt;=2025-08-31",'제조품질 불량내역'!$H:$H,"기구작업불량",'제조품질 불량내역'!$S:$S,"*FNI",'제조품질 불량내역'!$Q:$Q,"제조(Water Leak)")</f>
        <v>3</v>
      </c>
      <c r="L23" s="113">
        <f>COUNTIFS('제조품질 불량내역'!$K:$K,"&gt;=2025-09-01",'제조품질 불량내역'!$K:$K,"&lt;=2025-09-30",'제조품질 불량내역'!$H:$H,"기구작업불량",'제조품질 불량내역'!$S:$S,"*FNI",'제조품질 불량내역'!$Q:$Q,"제조")+COUNTIFS('제조품질 불량내역'!$K:$K,"&gt;=2025-09-01",'제조품질 불량내역'!$K:$K,"&lt;=2025-09-30",'제조품질 불량내역'!$H:$H,"기구작업불량",'제조품질 불량내역'!$S:$S,"*FNI",'제조품질 불량내역'!$Q:$Q,"제조(재작업)")+COUNTIFS('제조품질 불량내역'!$K:$K,"&gt;=2025-09-01",'제조품질 불량내역'!$K:$K,"&lt;=2025-09-30",'제조품질 불량내역'!$H:$H,"기구작업불량",'제조품질 불량내역'!$S:$S,"*FNI",'제조품질 불량내역'!$Q:$Q,"제조(Water Leak)")</f>
        <v>5</v>
      </c>
      <c r="M23" s="113">
        <f>COUNTIFS('제조품질 불량내역'!$K:$K,"&gt;=2025-10-01",'제조품질 불량내역'!$K:$K,"&lt;=2025-10-31",'제조품질 불량내역'!$H:$H,"기구작업불량",'제조품질 불량내역'!$S:$S,"*FNI",'제조품질 불량내역'!$Q:$Q,"제조")+COUNTIFS('제조품질 불량내역'!$K:$K,"&gt;=2025-10-01",'제조품질 불량내역'!$K:$K,"&lt;=2025-10-31",'제조품질 불량내역'!$H:$H,"기구작업불량",'제조품질 불량내역'!$S:$S,"*FNI",'제조품질 불량내역'!$Q:$Q,"제조(재작업)")+COUNTIFS('제조품질 불량내역'!$K:$K,"&gt;=2025-10-01",'제조품질 불량내역'!$K:$K,"&lt;=2025-10-31",'제조품질 불량내역'!$H:$H,"기구작업불량",'제조품질 불량내역'!$S:$S,"*FNI",'제조품질 불량내역'!$Q:$Q,"제조(Water Leak)")</f>
        <v>3</v>
      </c>
      <c r="N23" s="113">
        <f>COUNTIFS('제조품질 불량내역'!$K:$K,"&gt;=2025-11-01",'제조품질 불량내역'!$K:$K,"&lt;=2025-11-30",'제조품질 불량내역'!$H:$H,"기구작업불량",'제조품질 불량내역'!$S:$S,"*FNI",'제조품질 불량내역'!$Q:$Q,"제조")+COUNTIFS('제조품질 불량내역'!$K:$K,"&gt;=2025-11-01",'제조품질 불량내역'!$K:$K,"&lt;=2025-11-30",'제조품질 불량내역'!$H:$H,"기구작업불량",'제조품질 불량내역'!$S:$S,"*FNI",'제조품질 불량내역'!$Q:$Q,"제조(재작업)")+COUNTIFS('제조품질 불량내역'!$K:$K,"&gt;=2025-11-01",'제조품질 불량내역'!$K:$K,"&lt;=2025-11-30",'제조품질 불량내역'!$H:$H,"기구작업불량",'제조품질 불량내역'!$S:$S,"*FNI",'제조품질 불량내역'!$Q:$Q,"제조(Water Leak)")</f>
        <v>0</v>
      </c>
      <c r="O23" s="113">
        <f>COUNTIFS('제조품질 불량내역'!$K:$K,"&gt;=2025-12-01",'제조품질 불량내역'!$K:$K,"&lt;=2025-12-31",'제조품질 불량내역'!$H:$H,"기구작업불량",'제조품질 불량내역'!$S:$S,"*FNI",'제조품질 불량내역'!$Q:$Q,"제조")+COUNTIFS('제조품질 불량내역'!$K:$K,"&gt;=2025-12-01",'제조품질 불량내역'!$K:$K,"&lt;=2025-12-31",'제조품질 불량내역'!$H:$H,"기구작업불량",'제조품질 불량내역'!$S:$S,"*FNI",'제조품질 불량내역'!$Q:$Q,"제조(재작업)")+COUNTIFS('제조품질 불량내역'!$K:$K,"&gt;=2025-12-01",'제조품질 불량내역'!$K:$K,"&lt;=2025-12-31",'제조품질 불량내역'!$H:$H,"기구작업불량",'제조품질 불량내역'!$S:$S,"*FNI",'제조품질 불량내역'!$Q:$Q,"제조(Water Leak)")</f>
        <v>6</v>
      </c>
      <c r="P23" s="109">
        <f>SUM(D23:O23)</f>
        <v>32</v>
      </c>
    </row>
    <row r="24" spans="2:16" s="59" customFormat="1" ht="20.100000000000001" customHeight="1">
      <c r="B24" s="746"/>
      <c r="C24" s="747"/>
      <c r="D24" s="110">
        <f>D23/D8</f>
        <v>0</v>
      </c>
      <c r="E24" s="110">
        <f>E23/E8</f>
        <v>0</v>
      </c>
      <c r="F24" s="110">
        <f>F23/F8</f>
        <v>0</v>
      </c>
      <c r="G24" s="110">
        <v>0</v>
      </c>
      <c r="H24" s="110">
        <f t="shared" ref="H24:P24" si="7">H23/H8</f>
        <v>0.33333333333333331</v>
      </c>
      <c r="I24" s="110">
        <f t="shared" si="7"/>
        <v>0</v>
      </c>
      <c r="J24" s="110">
        <f t="shared" si="7"/>
        <v>0.24561403508771928</v>
      </c>
      <c r="K24" s="110">
        <f t="shared" si="7"/>
        <v>5.2631578947368418E-2</v>
      </c>
      <c r="L24" s="110">
        <f t="shared" si="7"/>
        <v>6.9444444444444448E-2</v>
      </c>
      <c r="M24" s="110">
        <f t="shared" si="7"/>
        <v>0.11538461538461539</v>
      </c>
      <c r="N24" s="110">
        <f t="shared" si="7"/>
        <v>0</v>
      </c>
      <c r="O24" s="110">
        <f t="shared" si="7"/>
        <v>8.3333333333333329E-2</v>
      </c>
      <c r="P24" s="111">
        <f t="shared" si="7"/>
        <v>9.7264437689969604E-2</v>
      </c>
    </row>
    <row r="25" spans="2:16" s="59" customFormat="1" ht="20.100000000000001" customHeight="1">
      <c r="B25" s="748" t="s">
        <v>1467</v>
      </c>
      <c r="C25" s="749"/>
      <c r="D25" s="112">
        <f>COUNTIFS('제조품질 불량내역'!$K:$K,"&gt;=2025-01-01",'제조품질 불량내역'!$K:$K,"&lt;=2025-01-31",'제조품질 불량내역'!$H:$H,"기구작업불량",'제조품질 불량내역'!$S:$S,"*TMS",'제조품질 불량내역'!$Q:$Q,"제조")+COUNTIFS('제조품질 불량내역'!$K:$K,"&gt;=2025-01-01",'제조품질 불량내역'!$K:$K,"&lt;=2025-01-31",'제조품질 불량내역'!$H:$H,"기구작업불량",'제조품질 불량내역'!$S:$S,"*TMS",'제조품질 불량내역'!$Q:$Q,"제조(재작업)")+COUNTIFS('제조품질 불량내역'!$K:$K,"&gt;=2025-01-01",'제조품질 불량내역'!$K:$K,"&lt;=2025-01-31",'제조품질 불량내역'!$H:$H,"기구작업불량",'제조품질 불량내역'!$S:$S,"*TMS",'제조품질 불량내역'!$Q:$Q,"제조(Water Leak)")</f>
        <v>1</v>
      </c>
      <c r="E25" s="113">
        <f>COUNTIFS('제조품질 불량내역'!$K:$K,"&gt;=2025-02-01",'제조품질 불량내역'!$K:$K,"&lt;=2025-02-28",'제조품질 불량내역'!$H:$H,"기구작업불량",'제조품질 불량내역'!$S:$S,"*TMS",'제조품질 불량내역'!$Q:$Q,"제조")+COUNTIFS('제조품질 불량내역'!$K:$K,"&gt;=2025-02-01",'제조품질 불량내역'!$K:$K,"&lt;=2025-02-28",'제조품질 불량내역'!$H:$H,"기구작업불량",'제조품질 불량내역'!$S:$S,"*TMS",'제조품질 불량내역'!$Q:$Q,"제조(재작업)")+COUNTIFS('제조품질 불량내역'!$K:$K,"&gt;=2025-02-01",'제조품질 불량내역'!$K:$K,"&lt;=2025-02-28",'제조품질 불량내역'!$H:$H,"기구작업불량",'제조품질 불량내역'!$S:$S,"*TMS",'제조품질 불량내역'!$Q:$Q,"제조(Water Leak)")</f>
        <v>3</v>
      </c>
      <c r="F25" s="113">
        <f>COUNTIFS('제조품질 불량내역'!$K:$K,"&gt;=2025-03-01",'제조품질 불량내역'!$K:$K,"&lt;=2025-03-31",'제조품질 불량내역'!$H:$H,"기구작업불량",'제조품질 불량내역'!$S:$S,"*TMS",'제조품질 불량내역'!$Q:$Q,"제조")+COUNTIFS('제조품질 불량내역'!$K:$K,"&gt;=2025-03-01",'제조품질 불량내역'!$K:$K,"&lt;=2025-03-31",'제조품질 불량내역'!$H:$H,"기구작업불량",'제조품질 불량내역'!$S:$S,"*TMS",'제조품질 불량내역'!$Q:$Q,"제조(재작업)")+COUNTIFS('제조품질 불량내역'!$K:$K,"&gt;=2025-03-01",'제조품질 불량내역'!$K:$K,"&lt;=2025-03-31",'제조품질 불량내역'!$H:$H,"기구작업불량",'제조품질 불량내역'!$S:$S,"*TMS",'제조품질 불량내역'!$Q:$Q,"제조(Water Leak)")</f>
        <v>1</v>
      </c>
      <c r="G25" s="113">
        <f>COUNTIFS('제조품질 불량내역'!$K:$K,"&gt;=2025-04-01",'제조품질 불량내역'!$K:$K,"&lt;=2025-04-30",'제조품질 불량내역'!$H:$H,"기구작업불량",'제조품질 불량내역'!$S:$S,"*TMS",'제조품질 불량내역'!$Q:$Q,"제조")+COUNTIFS('제조품질 불량내역'!$K:$K,"&gt;=2025-04-01",'제조품질 불량내역'!$K:$K,"&lt;=2025-04-30",'제조품질 불량내역'!$H:$H,"기구작업불량",'제조품질 불량내역'!$S:$S,"*TMS",'제조품질 불량내역'!$Q:$Q,"제조(재작업)")+COUNTIFS('제조품질 불량내역'!$K:$K,"&gt;=2025-04-01",'제조품질 불량내역'!$K:$K,"&lt;=2025-04-30",'제조품질 불량내역'!$H:$H,"기구작업불량",'제조품질 불량내역'!$S:$S,"*TMS",'제조품질 불량내역'!$Q:$Q,"제조(Water Leak)")</f>
        <v>0</v>
      </c>
      <c r="H25" s="113">
        <f>COUNTIFS('제조품질 불량내역'!$K:$K,"&gt;=2025-05-01",'제조품질 불량내역'!$K:$K,"&lt;=2025-05-31",'제조품질 불량내역'!$H:$H,"기구작업불량",'제조품질 불량내역'!$S:$S,"*TMS",'제조품질 불량내역'!$Q:$Q,"제조")+COUNTIFS('제조품질 불량내역'!$K:$K,"&gt;=2025-05-01",'제조품질 불량내역'!$K:$K,"&lt;=2025-05-31",'제조품질 불량내역'!$H:$H,"기구작업불량",'제조품질 불량내역'!$S:$S,"*TMS",'제조품질 불량내역'!$Q:$Q,"제조(재작업)")+COUNTIFS('제조품질 불량내역'!$K:$K,"&gt;=2025-05-01",'제조품질 불량내역'!$K:$K,"&lt;=2025-05-31",'제조품질 불량내역'!$H:$H,"기구작업불량",'제조품질 불량내역'!$S:$S,"*TMS",'제조품질 불량내역'!$Q:$Q,"제조(Water Leak)")</f>
        <v>2</v>
      </c>
      <c r="I25" s="113">
        <f>COUNTIFS('제조품질 불량내역'!$K:$K,"&gt;=2025-06-01",'제조품질 불량내역'!$K:$K,"&lt;=2025-06-30",'제조품질 불량내역'!$H:$H,"기구작업불량",'제조품질 불량내역'!$S:$S,"*TMS",'제조품질 불량내역'!$Q:$Q,"제조")+COUNTIFS('제조품질 불량내역'!$K:$K,"&gt;=2025-06-01",'제조품질 불량내역'!$K:$K,"&lt;=2025-06-30",'제조품질 불량내역'!$H:$H,"기구작업불량",'제조품질 불량내역'!$S:$S,"*TMS",'제조품질 불량내역'!$Q:$Q,"제조(재작업)")+COUNTIFS('제조품질 불량내역'!$K:$K,"&gt;=2025-06-01",'제조품질 불량내역'!$K:$K,"&lt;=2025-06-30",'제조품질 불량내역'!$H:$H,"기구작업불량",'제조품질 불량내역'!$S:$S,"*TMS",'제조품질 불량내역'!$Q:$Q,"제조(Water Leak)")</f>
        <v>3</v>
      </c>
      <c r="J25" s="113">
        <f>COUNTIFS('제조품질 불량내역'!$K:$K,"&gt;=2025-07-01",'제조품질 불량내역'!$K:$K,"&lt;=2025-07-31",'제조품질 불량내역'!$H:$H,"기구작업불량",'제조품질 불량내역'!$S:$S,"*TMS",'제조품질 불량내역'!$Q:$Q,"제조")+COUNTIFS('제조품질 불량내역'!$K:$K,"&gt;=2025-07-01",'제조품질 불량내역'!$K:$K,"&lt;=2025-07-31",'제조품질 불량내역'!$H:$H,"기구작업불량",'제조품질 불량내역'!$S:$S,"*TMS",'제조품질 불량내역'!$Q:$Q,"제조(재작업)")+COUNTIFS('제조품질 불량내역'!$K:$K,"&gt;=2025-07-01",'제조품질 불량내역'!$K:$K,"&lt;=2025-07-31",'제조품질 불량내역'!$H:$H,"기구작업불량",'제조품질 불량내역'!$S:$S,"*TMS",'제조품질 불량내역'!$Q:$Q,"제조(Water Leak)")</f>
        <v>30</v>
      </c>
      <c r="K25" s="113">
        <f>COUNTIFS('제조품질 불량내역'!$K:$K,"&gt;=2025-08-01",'제조품질 불량내역'!$K:$K,"&lt;=2025-08-31",'제조품질 불량내역'!$H:$H,"기구작업불량",'제조품질 불량내역'!$S:$S,"*TMS",'제조품질 불량내역'!$Q:$Q,"제조")+COUNTIFS('제조품질 불량내역'!$K:$K,"&gt;=2025-08-01",'제조품질 불량내역'!$K:$K,"&lt;=2025-08-31",'제조품질 불량내역'!$H:$H,"기구작업불량",'제조품질 불량내역'!$S:$S,"*TMS",'제조품질 불량내역'!$Q:$Q,"제조(재작업)")+COUNTIFS('제조품질 불량내역'!$K:$K,"&gt;=2025-08-01",'제조품질 불량내역'!$K:$K,"&lt;=2025-08-31",'제조품질 불량내역'!$H:$H,"기구작업불량",'제조품질 불량내역'!$S:$S,"*TMS",'제조품질 불량내역'!$Q:$Q,"제조(Water Leak)")</f>
        <v>45</v>
      </c>
      <c r="L25" s="113">
        <f>COUNTIFS('제조품질 불량내역'!$K:$K,"&gt;=2025-09-01",'제조품질 불량내역'!$K:$K,"&lt;=2025-09-30",'제조품질 불량내역'!$H:$H,"기구작업불량",'제조품질 불량내역'!$S:$S,"*TMS",'제조품질 불량내역'!$Q:$Q,"제조")+COUNTIFS('제조품질 불량내역'!$K:$K,"&gt;=2025-09-01",'제조품질 불량내역'!$K:$K,"&lt;=2025-09-30",'제조품질 불량내역'!$H:$H,"기구작업불량",'제조품질 불량내역'!$S:$S,"*TMS",'제조품질 불량내역'!$Q:$Q,"제조(재작업)")+COUNTIFS('제조품질 불량내역'!$K:$K,"&gt;=2025-09-01",'제조품질 불량내역'!$K:$K,"&lt;=2025-09-30",'제조품질 불량내역'!$H:$H,"기구작업불량",'제조품질 불량내역'!$S:$S,"*TMS",'제조품질 불량내역'!$Q:$Q,"제조(Water Leak)")</f>
        <v>45</v>
      </c>
      <c r="M25" s="113">
        <f>COUNTIFS('제조품질 불량내역'!$K:$K,"&gt;=2025-10-01",'제조품질 불량내역'!$K:$K,"&lt;=2025-10-31",'제조품질 불량내역'!$H:$H,"기구작업불량",'제조품질 불량내역'!$S:$S,"*TMS",'제조품질 불량내역'!$Q:$Q,"제조")+COUNTIFS('제조품질 불량내역'!$K:$K,"&gt;=2025-10-01",'제조품질 불량내역'!$K:$K,"&lt;=2025-10-31",'제조품질 불량내역'!$H:$H,"기구작업불량",'제조품질 불량내역'!$S:$S,"*TMS",'제조품질 불량내역'!$Q:$Q,"제조(재작업)")+COUNTIFS('제조품질 불량내역'!$K:$K,"&gt;=2025-10-01",'제조품질 불량내역'!$K:$K,"&lt;=2025-10-31",'제조품질 불량내역'!$H:$H,"기구작업불량",'제조품질 불량내역'!$S:$S,"*TMS",'제조품질 불량내역'!$Q:$Q,"제조(Water Leak)")</f>
        <v>12</v>
      </c>
      <c r="N25" s="113">
        <f>COUNTIFS('제조품질 불량내역'!$K:$K,"&gt;=2025-11-01",'제조품질 불량내역'!$K:$K,"&lt;=2025-11-30",'제조품질 불량내역'!$H:$H,"기구작업불량",'제조품질 불량내역'!$S:$S,"*TMS",'제조품질 불량내역'!$Q:$Q,"제조")+COUNTIFS('제조품질 불량내역'!$K:$K,"&gt;=2025-11-01",'제조품질 불량내역'!$K:$K,"&lt;=2025-11-30",'제조품질 불량내역'!$H:$H,"기구작업불량",'제조품질 불량내역'!$S:$S,"*TMS",'제조품질 불량내역'!$Q:$Q,"제조(재작업)")+COUNTIFS('제조품질 불량내역'!$K:$K,"&gt;=2025-11-01",'제조품질 불량내역'!$K:$K,"&lt;=2025-11-30",'제조품질 불량내역'!$H:$H,"기구작업불량",'제조품질 불량내역'!$S:$S,"*TMS",'제조품질 불량내역'!$Q:$Q,"제조(Water Leak)")</f>
        <v>32</v>
      </c>
      <c r="O25" s="113">
        <f>COUNTIFS('제조품질 불량내역'!$K:$K,"&gt;=2025-12-01",'제조품질 불량내역'!$K:$K,"&lt;=2025-12-31",'제조품질 불량내역'!$H:$H,"기구작업불량",'제조품질 불량내역'!$S:$S,"*TMS",'제조품질 불량내역'!$Q:$Q,"제조")+COUNTIFS('제조품질 불량내역'!$K:$K,"&gt;=2025-12-01",'제조품질 불량내역'!$K:$K,"&lt;=2025-12-31",'제조품질 불량내역'!$H:$H,"기구작업불량",'제조품질 불량내역'!$S:$S,"*TMS",'제조품질 불량내역'!$Q:$Q,"제조(재작업)")+COUNTIFS('제조품질 불량내역'!$K:$K,"&gt;=2025-12-01",'제조품질 불량내역'!$K:$K,"&lt;=2025-12-31",'제조품질 불량내역'!$H:$H,"기구작업불량",'제조품질 불량내역'!$S:$S,"*TMS",'제조품질 불량내역'!$Q:$Q,"제조(Water Leak)")</f>
        <v>60</v>
      </c>
      <c r="P25" s="109">
        <f>SUM(D25:O25)</f>
        <v>234</v>
      </c>
    </row>
    <row r="26" spans="2:16" s="59" customFormat="1" ht="20.100000000000001" customHeight="1">
      <c r="B26" s="750"/>
      <c r="C26" s="751"/>
      <c r="D26" s="217">
        <f>D25/D8</f>
        <v>1</v>
      </c>
      <c r="E26" s="217">
        <f>E25/E8</f>
        <v>1</v>
      </c>
      <c r="F26" s="217">
        <f>F25/F8</f>
        <v>1</v>
      </c>
      <c r="G26" s="217">
        <v>0</v>
      </c>
      <c r="H26" s="217">
        <f t="shared" ref="H26:P26" si="8">H25/H8</f>
        <v>0.66666666666666663</v>
      </c>
      <c r="I26" s="217">
        <f t="shared" si="8"/>
        <v>0.75</v>
      </c>
      <c r="J26" s="217">
        <f t="shared" si="8"/>
        <v>0.52631578947368418</v>
      </c>
      <c r="K26" s="217">
        <f t="shared" si="8"/>
        <v>0.78947368421052633</v>
      </c>
      <c r="L26" s="217">
        <f t="shared" si="8"/>
        <v>0.625</v>
      </c>
      <c r="M26" s="217">
        <f t="shared" si="8"/>
        <v>0.46153846153846156</v>
      </c>
      <c r="N26" s="217">
        <f t="shared" si="8"/>
        <v>0.96969696969696972</v>
      </c>
      <c r="O26" s="217">
        <f t="shared" si="8"/>
        <v>0.83333333333333337</v>
      </c>
      <c r="P26" s="218">
        <f t="shared" si="8"/>
        <v>0.71124620060790278</v>
      </c>
    </row>
    <row r="27" spans="2:16" s="59" customFormat="1" ht="20.100000000000001" customHeight="1">
      <c r="B27" s="744" t="s">
        <v>1468</v>
      </c>
      <c r="C27" s="745"/>
      <c r="D27" s="236">
        <f>COUNTIFS('제조품질 불량내역'!$K:$K,"&gt;=2025-01-01",
          '제조품질 불량내역'!$K:$K,"&lt;=2025-01-31",
          '제조품질 불량내역'!$H:$H,"전장작업불량",
          '제조품질 불량내역'!$F:$F,"C&amp;A 전장",
          '제조품질 불량내역'!$Q:$Q,"제조")
+
COUNTIFS('제조품질 불량내역'!$K:$K,"&gt;=2025-01-01",
         '제조품질 불량내역'!$K:$K,"&lt;=2025-01-31",
         '제조품질 불량내역'!$H:$H,"전장작업불량",
         '제조품질 불량내역'!$F:$F,"C&amp;A 전장",
         '제조품질 불량내역'!$Q:$Q,"제조(재작업)")
+
COUNTIFS('제조품질 불량내역'!$K:$K,"&gt;=2025-01-01",
         '제조품질 불량내역'!$K:$K,"&lt;=2025-01-31",
         '제조품질 불량내역'!$H:$H,"전장작업불량",
         '제조품질 불량내역'!$F:$F,"C&amp;A 전장",
         '제조품질 불량내역'!$Q:$Q,"제조(Water Leak)")</f>
        <v>0</v>
      </c>
      <c r="E27" s="223">
        <f>COUNTIFS('제조품질 불량내역'!$K:$K,"&gt;=2025-02-01",
          '제조품질 불량내역'!$K:$K,"&lt;=2025-02-28",
          '제조품질 불량내역'!$H:$H,"전장작업불량",
          '제조품질 불량내역'!$F:$F,"C&amp;A 전장",
          '제조품질 불량내역'!$Q:$Q,"제조")
+
COUNTIFS('제조품질 불량내역'!$K:$K,"&gt;=2025-02-01",
         '제조품질 불량내역'!$K:$K,"&lt;=2025-02-28",
         '제조품질 불량내역'!$H:$H,"전장작업불량",
         '제조품질 불량내역'!$F:$F,"C&amp;A 전장",
         '제조품질 불량내역'!$Q:$Q,"제조(재작업)")
+
COUNTIFS('제조품질 불량내역'!$K:$K,"&gt;=2025-02-01",
         '제조품질 불량내역'!$K:$K,"&lt;=2025-02-28",
         '제조품질 불량내역'!$H:$H,"전장작업불량",
         '제조품질 불량내역'!$F:$F,"C&amp;A 전장",
         '제조품질 불량내역'!$Q:$Q,"제조(Water Leak)")</f>
        <v>1</v>
      </c>
      <c r="F27" s="223">
        <f>COUNTIFS('제조품질 불량내역'!$K:$K,"&gt;=2025-03-01",
          '제조품질 불량내역'!$K:$K,"&lt;=2025-03-31",
          '제조품질 불량내역'!$H:$H,"전장작업불량",
          '제조품질 불량내역'!$F:$F,"C&amp;A 전장",
          '제조품질 불량내역'!$Q:$Q,"제조")
+
COUNTIFS('제조품질 불량내역'!$K:$K,"&gt;=2025-03-01",
         '제조품질 불량내역'!$K:$K,"&lt;=2025-03-31",
         '제조품질 불량내역'!$H:$H,"전장작업불량",
         '제조품질 불량내역'!$F:$F,"C&amp;A 전장",
         '제조품질 불량내역'!$Q:$Q,"제조(재작업)")
+
COUNTIFS('제조품질 불량내역'!$K:$K,"&gt;=2025-03-01",
         '제조품질 불량내역'!$K:$K,"&lt;=2025-03-31",
         '제조품질 불량내역'!$H:$H,"전장작업불량",
         '제조품질 불량내역'!$F:$F,"C&amp;A 전장",
         '제조품질 불량내역'!$Q:$Q,"제조(Water Leak)")</f>
        <v>0</v>
      </c>
      <c r="G27" s="223">
        <f>COUNTIFS('제조품질 불량내역'!$K:$K,"&gt;=2025-04-01",
          '제조품질 불량내역'!$K:$K,"&lt;=2025-04-30",
          '제조품질 불량내역'!$H:$H,"전장작업불량",
          '제조품질 불량내역'!$F:$F,"C&amp;A 전장",
          '제조품질 불량내역'!$Q:$Q,"제조")
+
COUNTIFS('제조품질 불량내역'!$K:$K,"&gt;=2025-04-01",
         '제조품질 불량내역'!$K:$K,"&lt;=2025-04-30",
         '제조품질 불량내역'!$H:$H,"전장작업불량",
         '제조품질 불량내역'!$F:$F,"C&amp;A 전장",
         '제조품질 불량내역'!$Q:$Q,"제조(재작업)")
+
COUNTIFS('제조품질 불량내역'!$K:$K,"&gt;=2025-04-01",
         '제조품질 불량내역'!$K:$K,"&lt;=2025-04-30",
         '제조품질 불량내역'!$H:$H,"전장작업불량",
         '제조품질 불량내역'!$F:$F,"C&amp;A 전장",
         '제조품질 불량내역'!$Q:$Q,"제조(Water Leak)")</f>
        <v>0</v>
      </c>
      <c r="H27" s="223">
        <f>COUNTIFS('제조품질 불량내역'!$K:$K,"&gt;=2025-05-01",
          '제조품질 불량내역'!$K:$K,"&lt;=2025-05-31",
          '제조품질 불량내역'!$H:$H,"전장작업불량",
          '제조품질 불량내역'!$F:$F,"C&amp;A 전장",
          '제조품질 불량내역'!$Q:$Q,"제조")
+
COUNTIFS('제조품질 불량내역'!$K:$K,"&gt;=2025-05-01",
         '제조품질 불량내역'!$K:$K,"&lt;=2025-05-31",
         '제조품질 불량내역'!$H:$H,"전장작업불량",
         '제조품질 불량내역'!$F:$F,"C&amp;A 전장",
         '제조품질 불량내역'!$Q:$Q,"제조(재작업)")
+
COUNTIFS('제조품질 불량내역'!$K:$K,"&gt;=2025-05-01",
         '제조품질 불량내역'!$K:$K,"&lt;=2025-05-31",
         '제조품질 불량내역'!$H:$H,"전장작업불량",
         '제조품질 불량내역'!$F:$F,"C&amp;A 전장",
         '제조품질 불량내역'!$Q:$Q,"제조(Water Leak)")</f>
        <v>0</v>
      </c>
      <c r="I27" s="223">
        <f>COUNTIFS('제조품질 불량내역'!$K:$K,"&gt;=2025-06-01",
          '제조품질 불량내역'!$K:$K,"&lt;=2025-06-30",
          '제조품질 불량내역'!$H:$H,"전장작업불량",
          '제조품질 불량내역'!$F:$F,"C&amp;A 전장",
          '제조품질 불량내역'!$Q:$Q,"제조")
+
COUNTIFS('제조품질 불량내역'!$K:$K,"&gt;=2025-06-01",
         '제조품질 불량내역'!$K:$K,"&lt;=2025-06-30",
         '제조품질 불량내역'!$H:$H,"전장작업불량",
         '제조품질 불량내역'!$F:$F,"C&amp;A 전장",
         '제조품질 불량내역'!$Q:$Q,"제조(재작업)")
+
COUNTIFS('제조품질 불량내역'!$K:$K,"&gt;=2025-06-01",
         '제조품질 불량내역'!$K:$K,"&lt;=2025-06-30",
         '제조품질 불량내역'!$H:$H,"전장작업불량",
         '제조품질 불량내역'!$F:$F,"C&amp;A 전장",
         '제조품질 불량내역'!$Q:$Q,"제조(Water Leak)")</f>
        <v>0</v>
      </c>
      <c r="J27" s="223">
        <f>COUNTIFS('제조품질 불량내역'!$K:$K,"&gt;=2025-07-01",
          '제조품질 불량내역'!$K:$K,"&lt;=2025-07-31",
          '제조품질 불량내역'!$H:$H,"전장작업불량",
          '제조품질 불량내역'!$F:$F,"C&amp;A 전장",
          '제조품질 불량내역'!$Q:$Q,"제조")
+
COUNTIFS('제조품질 불량내역'!$K:$K,"&gt;=2025-07-01",
         '제조품질 불량내역'!$K:$K,"&lt;=2025-07-31",
         '제조품질 불량내역'!$H:$H,"전장작업불량",
         '제조품질 불량내역'!$F:$F,"C&amp;A 전장",
         '제조품질 불량내역'!$Q:$Q,"제조(재작업)")
+
COUNTIFS('제조품질 불량내역'!$K:$K,"&gt;=2025-07-01",
         '제조품질 불량내역'!$K:$K,"&lt;=2025-07-31",
         '제조품질 불량내역'!$H:$H,"전장작업불량",
         '제조품질 불량내역'!$F:$F,"C&amp;A 전장",
         '제조품질 불량내역'!$Q:$Q,"제조(Water Leak)")</f>
        <v>2</v>
      </c>
      <c r="K27" s="223">
        <f>COUNTIFS('제조품질 불량내역'!$K:$K,"&gt;=2025-08-01",
          '제조품질 불량내역'!$K:$K,"&lt;=2025-08-31",
          '제조품질 불량내역'!$H:$H,"전장작업불량",
          '제조품질 불량내역'!$F:$F,"C&amp;A 전장",
          '제조품질 불량내역'!$Q:$Q,"제조")
+
COUNTIFS('제조품질 불량내역'!$K:$K,"&gt;=2025-08-01",
         '제조품질 불량내역'!$K:$K,"&lt;=2025-08-31",
         '제조품질 불량내역'!$H:$H,"전장작업불량",
         '제조품질 불량내역'!$F:$F,"C&amp;A 전장",
         '제조품질 불량내역'!$Q:$Q,"제조(재작업)")
+
COUNTIFS('제조품질 불량내역'!$K:$K,"&gt;=2025-08-01",
         '제조품질 불량내역'!$K:$K,"&lt;=2025-08-31",
         '제조품질 불량내역'!$H:$H,"전장작업불량",
         '제조품질 불량내역'!$F:$F,"C&amp;A 전장",
         '제조품질 불량내역'!$Q:$Q,"제조(Water Leak)")</f>
        <v>1</v>
      </c>
      <c r="L27" s="223">
        <f>COUNTIFS('제조품질 불량내역'!$K:$K,"&gt;=2025-09-01",
          '제조품질 불량내역'!$K:$K,"&lt;=2025-09-30",
          '제조품질 불량내역'!$H:$H,"전장작업불량",
          '제조품질 불량내역'!$F:$F,"C&amp;A 전장",
          '제조품질 불량내역'!$Q:$Q,"제조")
+
COUNTIFS('제조품질 불량내역'!$K:$K,"&gt;=2025-09-01",
         '제조품질 불량내역'!$K:$K,"&lt;=2025-09-30",
         '제조품질 불량내역'!$H:$H,"전장작업불량",
         '제조품질 불량내역'!$F:$F,"C&amp;A 전장",
         '제조품질 불량내역'!$Q:$Q,"제조(재작업)")
+
COUNTIFS('제조품질 불량내역'!$K:$K,"&gt;=2025-09-01",
         '제조품질 불량내역'!$K:$K,"&lt;=2025-09-30",
         '제조품질 불량내역'!$H:$H,"전장작업불량",
         '제조품질 불량내역'!$F:$F,"C&amp;A 전장",
         '제조품질 불량내역'!$Q:$Q,"제조(Water Leak)")</f>
        <v>3</v>
      </c>
      <c r="M27" s="223">
        <f>COUNTIFS('제조품질 불량내역'!$K:$K,"&gt;=2025-10-01",
          '제조품질 불량내역'!$K:$K,"&lt;=2025-10-31",
          '제조품질 불량내역'!$H:$H,"전장작업불량",
          '제조품질 불량내역'!$F:$F,"C&amp;A 전장",
          '제조품질 불량내역'!$Q:$Q,"제조")
+
COUNTIFS('제조품질 불량내역'!$K:$K,"&gt;=2025-10-01",
         '제조품질 불량내역'!$K:$K,"&lt;=2025-10-31",
         '제조품질 불량내역'!$H:$H,"전장작업불량",
         '제조품질 불량내역'!$F:$F,"C&amp;A 전장",
         '제조품질 불량내역'!$Q:$Q,"제조(재작업)")
+
COUNTIFS('제조품질 불량내역'!$K:$K,"&gt;=2025-10-01",
         '제조품질 불량내역'!$K:$K,"&lt;=2025-10-31",
         '제조품질 불량내역'!$H:$H,"전장작업불량",
         '제조품질 불량내역'!$F:$F,"C&amp;A 전장",
         '제조품질 불량내역'!$Q:$Q,"제조(Water Leak)")</f>
        <v>1</v>
      </c>
      <c r="N27" s="223">
        <f>COUNTIFS('제조품질 불량내역'!$K:$K,"&gt;=2025-11-01",
          '제조품질 불량내역'!$K:$K,"&lt;=2025-11-30",
          '제조품질 불량내역'!$H:$H,"전장작업불량",
          '제조품질 불량내역'!$F:$F,"C&amp;A 전장",
          '제조품질 불량내역'!$Q:$Q,"제조")
+
COUNTIFS('제조품질 불량내역'!$K:$K,"&gt;=2025-11-01",
         '제조품질 불량내역'!$K:$K,"&lt;=2025-11-30",
         '제조품질 불량내역'!$H:$H,"전장작업불량",
         '제조품질 불량내역'!$F:$F,"C&amp;A 전장",
         '제조품질 불량내역'!$Q:$Q,"제조(재작업)")
+
COUNTIFS('제조품질 불량내역'!$K:$K,"&gt;=2025-11-01",
         '제조품질 불량내역'!$K:$K,"&lt;=2025-11-30",
         '제조품질 불량내역'!$H:$H,"전장작업불량",
         '제조품질 불량내역'!$F:$F,"C&amp;A 전장",
         '제조품질 불량내역'!$Q:$Q,"제조(Water Leak)")</f>
        <v>0</v>
      </c>
      <c r="O27" s="225">
        <f>COUNTIFS('제조품질 불량내역'!$K:$K,"&gt;=2025-12-01",
          '제조품질 불량내역'!$K:$K,"&lt;=2025-12-31",
          '제조품질 불량내역'!$H:$H,"전장작업불량",
          '제조품질 불량내역'!$F:$F,"C&amp;A 전장",
          '제조품질 불량내역'!$Q:$Q,"제조")
+
COUNTIFS('제조품질 불량내역'!$K:$K,"&gt;=2025-12-01",
         '제조품질 불량내역'!$K:$K,"&lt;=2025-12-31",
         '제조품질 불량내역'!$H:$H,"전장작업불량",
         '제조품질 불량내역'!$F:$F,"C&amp;A 전장",
         '제조품질 불량내역'!$Q:$Q,"제조(재작업)")
+
COUNTIFS('제조품질 불량내역'!$K:$K,"&gt;=2025-12-01",
         '제조품질 불량내역'!$K:$K,"&lt;=2025-12-31",
         '제조품질 불량내역'!$H:$H,"전장작업불량",
         '제조품질 불량내역'!$F:$F,"C&amp;A 전장",
         '제조품질 불량내역'!$Q:$Q,"제조(Water Leak)")</f>
        <v>0</v>
      </c>
      <c r="P27" s="229">
        <f>SUM(D27:O27)</f>
        <v>8</v>
      </c>
    </row>
    <row r="28" spans="2:16" s="59" customFormat="1" ht="20.100000000000001" customHeight="1">
      <c r="B28" s="752"/>
      <c r="C28" s="753"/>
      <c r="D28" s="110">
        <v>0</v>
      </c>
      <c r="E28" s="110">
        <f t="shared" ref="E28:P28" si="9">E27/E9</f>
        <v>0.5</v>
      </c>
      <c r="F28" s="110">
        <v>0</v>
      </c>
      <c r="G28" s="110">
        <v>0</v>
      </c>
      <c r="H28" s="110">
        <v>0</v>
      </c>
      <c r="I28" s="110">
        <v>0</v>
      </c>
      <c r="J28" s="110">
        <f t="shared" si="9"/>
        <v>0.66666666666666663</v>
      </c>
      <c r="K28" s="110">
        <f t="shared" si="9"/>
        <v>0.1111111111111111</v>
      </c>
      <c r="L28" s="110">
        <f t="shared" si="9"/>
        <v>0.375</v>
      </c>
      <c r="M28" s="110">
        <f t="shared" si="9"/>
        <v>0.5</v>
      </c>
      <c r="N28" s="110" t="e">
        <f t="shared" si="9"/>
        <v>#DIV/0!</v>
      </c>
      <c r="O28" s="226">
        <f t="shared" si="9"/>
        <v>0</v>
      </c>
      <c r="P28" s="219">
        <f t="shared" si="9"/>
        <v>0.32</v>
      </c>
    </row>
    <row r="29" spans="2:16" s="59" customFormat="1" ht="20.100000000000001" customHeight="1">
      <c r="B29" s="754" t="s">
        <v>1469</v>
      </c>
      <c r="C29" s="755"/>
      <c r="D29" s="237">
        <f>COUNTIFS('제조품질 불량내역'!$K:$K,"&gt;=2025-01-01",
          '제조품질 불량내역'!$K:$K,"&lt;=2025-01-31",
          '제조품질 불량내역'!$H:$H,"전장작업불량",
          '제조품질 불량내역'!$F:$F,"P&amp;S 전장",
          '제조품질 불량내역'!$Q:$Q,"제조")
+
COUNTIFS('제조품질 불량내역'!$K:$K,"&gt;=2025-01-01",
         '제조품질 불량내역'!$K:$K,"&lt;=2025-01-31",
         '제조품질 불량내역'!$H:$H,"전장작업불량",
         '제조품질 불량내역'!$F:$F,"P&amp;S 전장",
         '제조품질 불량내역'!$Q:$Q,"제조(재작업)")
+
COUNTIFS('제조품질 불량내역'!$K:$K,"&gt;=2025-01-01",
         '제조품질 불량내역'!$K:$K,"&lt;=2025-01-31",
         '제조품질 불량내역'!$H:$H,"전장작업불량",
         '제조품질 불량내역'!$F:$F,"P&amp;S 전장",
         '제조품질 불량내역'!$Q:$Q,"제조(Water Leak)")</f>
        <v>0</v>
      </c>
      <c r="E29" s="224">
        <f>COUNTIFS('제조품질 불량내역'!$K:$K,"&gt;=2025-02-01",
          '제조품질 불량내역'!$K:$K,"&lt;=2025-02-28",
          '제조품질 불량내역'!$H:$H,"전장작업불량",
          '제조품질 불량내역'!$F:$F,"P&amp;S 전장",
          '제조품질 불량내역'!$Q:$Q,"제조")
+
COUNTIFS('제조품질 불량내역'!$K:$K,"&gt;=2025-02-01",
         '제조품질 불량내역'!$K:$K,"&lt;=2025-02-28",
         '제조품질 불량내역'!$H:$H,"전장작업불량",
         '제조품질 불량내역'!$F:$F,"P&amp;S 전장",
         '제조품질 불량내역'!$Q:$Q,"제조(재작업)")
+
COUNTIFS('제조품질 불량내역'!$K:$K,"&gt;=2025-02-01",
         '제조품질 불량내역'!$K:$K,"&lt;=2025-02-28",
         '제조품질 불량내역'!$H:$H,"전장작업불량",
         '제조품질 불량내역'!$F:$F,"P&amp;S 전장",
         '제조품질 불량내역'!$Q:$Q,"제조(Water Leak)")</f>
        <v>1</v>
      </c>
      <c r="F29" s="224">
        <f>COUNTIFS('제조품질 불량내역'!$K:$K,"&gt;=2025-03-01",
          '제조품질 불량내역'!$K:$K,"&lt;=2025-03-31",
          '제조품질 불량내역'!$H:$H,"전장작업불량",
          '제조품질 불량내역'!$F:$F,"P&amp;S 전장",
          '제조품질 불량내역'!$Q:$Q,"제조")
+
COUNTIFS('제조품질 불량내역'!$K:$K,"&gt;=2025-03-01",
         '제조품질 불량내역'!$K:$K,"&lt;=2025-03-31",
         '제조품질 불량내역'!$H:$H,"전장작업불량",
         '제조품질 불량내역'!$F:$F,"P&amp;S 전장",
         '제조품질 불량내역'!$Q:$Q,"제조(재작업)")
+
COUNTIFS('제조품질 불량내역'!$K:$K,"&gt;=2025-03-01",
         '제조품질 불량내역'!$K:$K,"&lt;=2025-03-31",
         '제조품질 불량내역'!$H:$H,"전장작업불량",
         '제조품질 불량내역'!$F:$F,"P&amp;S 전장",
         '제조품질 불량내역'!$Q:$Q,"제조(Water Leak)")</f>
        <v>0</v>
      </c>
      <c r="G29" s="224">
        <f>COUNTIFS('제조품질 불량내역'!$K:$K,"&gt;=2025-04-01",
          '제조품질 불량내역'!$K:$K,"&lt;=2025-04-30",
          '제조품질 불량내역'!$H:$H,"전장작업불량",
          '제조품질 불량내역'!$F:$F,"P&amp;S 전장",
          '제조품질 불량내역'!$Q:$Q,"제조")
+
COUNTIFS('제조품질 불량내역'!$K:$K,"&gt;=2025-04-01",
         '제조품질 불량내역'!$K:$K,"&lt;=2025-04-30",
         '제조품질 불량내역'!$H:$H,"전장작업불량",
         '제조품질 불량내역'!$F:$F,"P&amp;S 전장",
         '제조품질 불량내역'!$Q:$Q,"제조(재작업)")
+
COUNTIFS('제조품질 불량내역'!$K:$K,"&gt;=2025-04-01",
         '제조품질 불량내역'!$K:$K,"&lt;=2025-04-30",
         '제조품질 불량내역'!$H:$H,"전장작업불량",
         '제조품질 불량내역'!$F:$F,"P&amp;S 전장",
         '제조품질 불량내역'!$Q:$Q,"제조(Water Leak)")</f>
        <v>0</v>
      </c>
      <c r="H29" s="224">
        <f>COUNTIFS('제조품질 불량내역'!$K:$K,"&gt;=2025-05-01",
          '제조품질 불량내역'!$K:$K,"&lt;=2025-05-31",
          '제조품질 불량내역'!$H:$H,"전장작업불량",
          '제조품질 불량내역'!$F:$F,"P&amp;S 전장",
          '제조품질 불량내역'!$Q:$Q,"제조")
+
COUNTIFS('제조품질 불량내역'!$K:$K,"&gt;=2025-05-01",
         '제조품질 불량내역'!$K:$K,"&lt;=2025-05-31",
         '제조품질 불량내역'!$H:$H,"전장작업불량",
         '제조품질 불량내역'!$F:$F,"P&amp;S 전장",
         '제조품질 불량내역'!$Q:$Q,"제조(재작업)")
+
COUNTIFS('제조품질 불량내역'!$K:$K,"&gt;=2025-05-01",
         '제조품질 불량내역'!$K:$K,"&lt;=2025-05-31",
         '제조품질 불량내역'!$H:$H,"전장작업불량",
         '제조품질 불량내역'!$F:$F,"P&amp;S 전장",
         '제조품질 불량내역'!$Q:$Q,"제조(Water Leak)")</f>
        <v>0</v>
      </c>
      <c r="I29" s="224">
        <f>COUNTIFS('제조품질 불량내역'!$K:$K,"&gt;=2025-06-01",
          '제조품질 불량내역'!$K:$K,"&lt;=2025-06-30",
          '제조품질 불량내역'!$H:$H,"전장작업불량",
          '제조품질 불량내역'!$F:$F,"P&amp;S 전장",
          '제조품질 불량내역'!$Q:$Q,"제조")
+
COUNTIFS('제조품질 불량내역'!$K:$K,"&gt;=2025-06-01",
         '제조품질 불량내역'!$K:$K,"&lt;=2025-06-30",
         '제조품질 불량내역'!$H:$H,"전장작업불량",
         '제조품질 불량내역'!$F:$F,"P&amp;S 전장",
         '제조품질 불량내역'!$Q:$Q,"제조(재작업)")
+
COUNTIFS('제조품질 불량내역'!$K:$K,"&gt;=2025-06-01",
         '제조품질 불량내역'!$K:$K,"&lt;=2025-06-30",
         '제조품질 불량내역'!$H:$H,"전장작업불량",
         '제조품질 불량내역'!$F:$F,"P&amp;S 전장",
         '제조품질 불량내역'!$Q:$Q,"제조(Water Leak)")</f>
        <v>0</v>
      </c>
      <c r="J29" s="224">
        <f>COUNTIFS('제조품질 불량내역'!$K:$K,"&gt;=2025-07-01",
          '제조품질 불량내역'!$K:$K,"&lt;=2025-07-31",
          '제조품질 불량내역'!$H:$H,"전장작업불량",
          '제조품질 불량내역'!$F:$F,"P&amp;S 전장",
          '제조품질 불량내역'!$Q:$Q,"제조")
+
COUNTIFS('제조품질 불량내역'!$K:$K,"&gt;=2025-07-01",
         '제조품질 불량내역'!$K:$K,"&lt;=2025-07-31",
         '제조품질 불량내역'!$H:$H,"전장작업불량",
         '제조품질 불량내역'!$F:$F,"P&amp;S 전장",
         '제조품질 불량내역'!$Q:$Q,"제조(재작업)")
+
COUNTIFS('제조품질 불량내역'!$K:$K,"&gt;=2025-07-01",
         '제조품질 불량내역'!$K:$K,"&lt;=2025-07-31",
         '제조품질 불량내역'!$H:$H,"전장작업불량",
         '제조품질 불량내역'!$F:$F,"P&amp;S 전장",
         '제조품질 불량내역'!$Q:$Q,"제조(Water Leak)")</f>
        <v>0</v>
      </c>
      <c r="K29" s="224">
        <f>COUNTIFS('제조품질 불량내역'!$K:$K,"&gt;=2025-08-01",
          '제조품질 불량내역'!$K:$K,"&lt;=2025-08-31",
          '제조품질 불량내역'!$H:$H,"전장작업불량",
          '제조품질 불량내역'!$F:$F,"P&amp;S 전장",
          '제조품질 불량내역'!$Q:$Q,"제조")
+
COUNTIFS('제조품질 불량내역'!$K:$K,"&gt;=2025-08-01",
         '제조품질 불량내역'!$K:$K,"&lt;=2025-08-31",
         '제조품질 불량내역'!$H:$H,"전장작업불량",
         '제조품질 불량내역'!$F:$F,"P&amp;S 전장",
         '제조품질 불량내역'!$Q:$Q,"제조(재작업)")
+
COUNTIFS('제조품질 불량내역'!$K:$K,"&gt;=2025-08-01",
         '제조품질 불량내역'!$K:$K,"&lt;=2025-08-31",
         '제조품질 불량내역'!$H:$H,"전장작업불량",
         '제조품질 불량내역'!$F:$F,"P&amp;S 전장",
         '제조품질 불량내역'!$Q:$Q,"제조(Water Leak)")</f>
        <v>4</v>
      </c>
      <c r="L29" s="224">
        <f>COUNTIFS('제조품질 불량내역'!$K:$K,"&gt;=2025-09-01",
          '제조품질 불량내역'!$K:$K,"&lt;=2025-09-30",
          '제조품질 불량내역'!$H:$H,"전장작업불량",
          '제조품질 불량내역'!$F:$F,"P&amp;S 전장",
          '제조품질 불량내역'!$Q:$Q,"제조")
+
COUNTIFS('제조품질 불량내역'!$K:$K,"&gt;=2025-09-01",
         '제조품질 불량내역'!$K:$K,"&lt;=2025-09-30",
         '제조품질 불량내역'!$H:$H,"전장작업불량",
         '제조품질 불량내역'!$F:$F,"P&amp;S 전장",
         '제조품질 불량내역'!$Q:$Q,"제조(재작업)")
+
COUNTIFS('제조품질 불량내역'!$K:$K,"&gt;=2025-09-01",
         '제조품질 불량내역'!$K:$K,"&lt;=2025-09-30",
         '제조품질 불량내역'!$H:$H,"전장작업불량",
         '제조품질 불량내역'!$F:$F,"P&amp;S 전장",
         '제조품질 불량내역'!$Q:$Q,"제조(Water Leak)")</f>
        <v>2</v>
      </c>
      <c r="M29" s="224">
        <f>COUNTIFS('제조품질 불량내역'!$K:$K,"&gt;=2025-10-01",
          '제조품질 불량내역'!$K:$K,"&lt;=2025-10-31",
          '제조품질 불량내역'!$H:$H,"전장작업불량",
          '제조품질 불량내역'!$F:$F,"P&amp;S 전장",
          '제조품질 불량내역'!$Q:$Q,"제조")
+
COUNTIFS('제조품질 불량내역'!$K:$K,"&gt;=2025-10-01",
         '제조품질 불량내역'!$K:$K,"&lt;=2025-10-31",
         '제조품질 불량내역'!$H:$H,"전장작업불량",
         '제조품질 불량내역'!$F:$F,"P&amp;S 전장",
         '제조품질 불량내역'!$Q:$Q,"제조(재작업)")
+
COUNTIFS('제조품질 불량내역'!$K:$K,"&gt;=2025-10-01",
         '제조품질 불량내역'!$K:$K,"&lt;=2025-10-31",
         '제조품질 불량내역'!$H:$H,"전장작업불량",
         '제조품질 불량내역'!$F:$F,"P&amp;S 전장",
         '제조품질 불량내역'!$Q:$Q,"제조(Water Leak)")</f>
        <v>1</v>
      </c>
      <c r="N29" s="224">
        <f>COUNTIFS('제조품질 불량내역'!$K:$K,"&gt;=2025-11-01",
          '제조품질 불량내역'!$K:$K,"&lt;=2025-11-30",
          '제조품질 불량내역'!$H:$H,"전장작업불량",
          '제조품질 불량내역'!$F:$F,"P&amp;S 전장",
          '제조품질 불량내역'!$Q:$Q,"제조")
+
COUNTIFS('제조품질 불량내역'!$K:$K,"&gt;=2025-11-01",
         '제조품질 불량내역'!$K:$K,"&lt;=2025-11-30",
         '제조품질 불량내역'!$H:$H,"전장작업불량",
         '제조품질 불량내역'!$F:$F,"P&amp;S 전장",
         '제조품질 불량내역'!$Q:$Q,"제조(재작업)")
+
COUNTIFS('제조품질 불량내역'!$K:$K,"&gt;=2025-11-01",
         '제조품질 불량내역'!$K:$K,"&lt;=2025-11-30",
         '제조품질 불량내역'!$H:$H,"전장작업불량",
         '제조품질 불량내역'!$F:$F,"P&amp;S 전장",
         '제조품질 불량내역'!$Q:$Q,"제조(Water Leak)")</f>
        <v>0</v>
      </c>
      <c r="O29" s="227">
        <f>COUNTIFS('제조품질 불량내역'!$K:$K,"&gt;=2025-12-01",
          '제조품질 불량내역'!$K:$K,"&lt;=2025-12-31",
          '제조품질 불량내역'!$H:$H,"전장작업불량",
          '제조품질 불량내역'!$F:$F,"P&amp;S 전장",
          '제조품질 불량내역'!$Q:$Q,"제조")
+
COUNTIFS('제조품질 불량내역'!$K:$K,"&gt;=2025-12-01",
         '제조품질 불량내역'!$K:$K,"&lt;=2025-12-31",
         '제조품질 불량내역'!$H:$H,"전장작업불량",
         '제조품질 불량내역'!$F:$F,"P&amp;S 전장",
         '제조품질 불량내역'!$Q:$Q,"제조(재작업)")
+
COUNTIFS('제조품질 불량내역'!$K:$K,"&gt;=2025-12-01",
         '제조품질 불량내역'!$K:$K,"&lt;=2025-12-31",
         '제조품질 불량내역'!$H:$H,"전장작업불량",
         '제조품질 불량내역'!$F:$F,"P&amp;S 전장",
         '제조품질 불량내역'!$Q:$Q,"제조(Water Leak)")</f>
        <v>0</v>
      </c>
      <c r="P29" s="230">
        <f>SUM(D29:O29)</f>
        <v>8</v>
      </c>
    </row>
    <row r="30" spans="2:16" s="59" customFormat="1" ht="20.100000000000001" customHeight="1">
      <c r="B30" s="752"/>
      <c r="C30" s="753"/>
      <c r="D30" s="110">
        <v>0</v>
      </c>
      <c r="E30" s="110">
        <f t="shared" ref="E30:P30" si="10">E29/E9</f>
        <v>0.5</v>
      </c>
      <c r="F30" s="110">
        <v>0</v>
      </c>
      <c r="G30" s="110">
        <v>0</v>
      </c>
      <c r="H30" s="110">
        <v>0</v>
      </c>
      <c r="I30" s="110">
        <v>0</v>
      </c>
      <c r="J30" s="110">
        <f t="shared" si="10"/>
        <v>0</v>
      </c>
      <c r="K30" s="110">
        <f t="shared" si="10"/>
        <v>0.44444444444444442</v>
      </c>
      <c r="L30" s="110">
        <f t="shared" si="10"/>
        <v>0.25</v>
      </c>
      <c r="M30" s="110">
        <f t="shared" si="10"/>
        <v>0.5</v>
      </c>
      <c r="N30" s="110" t="e">
        <f t="shared" si="10"/>
        <v>#DIV/0!</v>
      </c>
      <c r="O30" s="226">
        <f t="shared" si="10"/>
        <v>0</v>
      </c>
      <c r="P30" s="219">
        <f t="shared" si="10"/>
        <v>0.32</v>
      </c>
    </row>
    <row r="31" spans="2:16" s="59" customFormat="1" ht="20.100000000000001" customHeight="1">
      <c r="B31" s="754" t="s">
        <v>1470</v>
      </c>
      <c r="C31" s="755"/>
      <c r="D31" s="237">
        <f>COUNTIFS('제조품질 불량내역'!$K:$K,"&gt;=2025-01-01",
          '제조품질 불량내역'!$K:$K,"&lt;=2025-01-31",
          '제조품질 불량내역'!$H:$H,"전장작업불량",
          '제조품질 불량내역'!$F:$F,"TMS 전장",
          '제조품질 불량내역'!$Q:$Q,"제조")
+
COUNTIFS('제조품질 불량내역'!$K:$K,"&gt;=2025-01-01",
         '제조품질 불량내역'!$K:$K,"&lt;=2025-01-31",
         '제조품질 불량내역'!$H:$H,"전장작업불량",
         '제조품질 불량내역'!$F:$F,"TMS 전장",
         '제조품질 불량내역'!$Q:$Q,"제조(재작업)")
+
COUNTIFS('제조품질 불량내역'!$K:$K,"&gt;=2025-01-01",
         '제조품질 불량내역'!$K:$K,"&lt;=2025-01-31",
         '제조품질 불량내역'!$H:$H,"전장작업불량",
         '제조품질 불량내역'!$F:$F,"TMS 전장",
         '제조품질 불량내역'!$Q:$Q,"제조(Water Leak)")</f>
        <v>0</v>
      </c>
      <c r="E31" s="224">
        <f>COUNTIFS('제조품질 불량내역'!$K:$K,"&gt;=2025-02-01",
          '제조품질 불량내역'!$K:$K,"&lt;=2025-02-28",
          '제조품질 불량내역'!$H:$H,"전장작업불량",
          '제조품질 불량내역'!$F:$F,"TMS 전장",
          '제조품질 불량내역'!$Q:$Q,"제조")
+
COUNTIFS('제조품질 불량내역'!$K:$K,"&gt;=2025-02-01",
         '제조품질 불량내역'!$K:$K,"&lt;=2025-02-28",
         '제조품질 불량내역'!$H:$H,"전장작업불량",
         '제조품질 불량내역'!$F:$F,"TMS 전장",
         '제조품질 불량내역'!$Q:$Q,"제조(재작업)")
+
COUNTIFS('제조품질 불량내역'!$K:$K,"&gt;=2025-02-02",
         '제조품질 불량내역'!$K:$K,"&lt;=2025-02-28",
         '제조품질 불량내역'!$H:$H,"전장작업불량",
         '제조품질 불량내역'!$F:$F,"TMS 전장",
         '제조품질 불량내역'!$Q:$Q,"제조(Water Leak)")</f>
        <v>0</v>
      </c>
      <c r="F31" s="224">
        <f>COUNTIFS('제조품질 불량내역'!$K:$K,"&gt;=2025-03-01",
          '제조품질 불량내역'!$K:$K,"&lt;=2025-03-31",
          '제조품질 불량내역'!$H:$H,"전장작업불량",
          '제조품질 불량내역'!$F:$F,"TMS 전장",
          '제조품질 불량내역'!$Q:$Q,"제조")
+
COUNTIFS('제조품질 불량내역'!$K:$K,"&gt;=2025-03-01",
         '제조품질 불량내역'!$K:$K,"&lt;=2025-03-31",
         '제조품질 불량내역'!$H:$H,"전장작업불량",
         '제조품질 불량내역'!$F:$F,"TMS 전장",
         '제조품질 불량내역'!$Q:$Q,"제조(재작업)")
+
COUNTIFS('제조품질 불량내역'!$K:$K,"&gt;=2025-03-01",
         '제조품질 불량내역'!$K:$K,"&lt;=2025-03-31",
         '제조품질 불량내역'!$H:$H,"전장작업불량",
         '제조품질 불량내역'!$F:$F,"TMS 전장",
         '제조품질 불량내역'!$Q:$Q,"제조(Water Leak)")</f>
        <v>0</v>
      </c>
      <c r="G31" s="224">
        <f>COUNTIFS('제조품질 불량내역'!$K:$K,"&gt;=2025-04-01",
          '제조품질 불량내역'!$K:$K,"&lt;=2025-04-30",
          '제조품질 불량내역'!$H:$H,"전장작업불량",
          '제조품질 불량내역'!$F:$F,"TMS 전장",
          '제조품질 불량내역'!$Q:$Q,"제조")
+
COUNTIFS('제조품질 불량내역'!$K:$K,"&gt;=2025-04-01",
         '제조품질 불량내역'!$K:$K,"&lt;=2025-04-30",
         '제조품질 불량내역'!$H:$H,"전장작업불량",
         '제조품질 불량내역'!$F:$F,"TMS 전장",
         '제조품질 불량내역'!$Q:$Q,"제조(재작업)")
+
COUNTIFS('제조품질 불량내역'!$K:$K,"&gt;=2025-04-01",
         '제조품질 불량내역'!$K:$K,"&lt;=2025-04-30",
         '제조품질 불량내역'!$H:$H,"전장작업불량",
         '제조품질 불량내역'!$F:$F,"TMS 전장",
         '제조품질 불량내역'!$Q:$Q,"제조(Water Leak)")</f>
        <v>0</v>
      </c>
      <c r="H31" s="224">
        <f>COUNTIFS('제조품질 불량내역'!$K:$K,"&gt;=2025-05-01",
          '제조품질 불량내역'!$K:$K,"&lt;=2025-05-31",
          '제조품질 불량내역'!$H:$H,"전장작업불량",
          '제조품질 불량내역'!$F:$F,"TMS 전장",
          '제조품질 불량내역'!$Q:$Q,"제조")
+
COUNTIFS('제조품질 불량내역'!$K:$K,"&gt;=2025-05-01",
         '제조품질 불량내역'!$K:$K,"&lt;=2025-05-31",
         '제조품질 불량내역'!$H:$H,"전장작업불량",
         '제조품질 불량내역'!$F:$F,"TMS 전장",
         '제조품질 불량내역'!$Q:$Q,"제조(재작업)")
+
COUNTIFS('제조품질 불량내역'!$K:$K,"&gt;=2025-05-01",
         '제조품질 불량내역'!$K:$K,"&lt;=2025-05-31",
         '제조품질 불량내역'!$H:$H,"전장작업불량",
         '제조품질 불량내역'!$F:$F,"TMS 전장",
         '제조품질 불량내역'!$Q:$Q,"제조(Water Leak)")</f>
        <v>0</v>
      </c>
      <c r="I31" s="224">
        <f>COUNTIFS('제조품질 불량내역'!$K:$K,"&gt;=2025-06-01",
          '제조품질 불량내역'!$K:$K,"&lt;=2025-06-30",
          '제조품질 불량내역'!$H:$H,"전장작업불량",
          '제조품질 불량내역'!$F:$F,"TMS 전장",
          '제조품질 불량내역'!$Q:$Q,"제조")
+
COUNTIFS('제조품질 불량내역'!$K:$K,"&gt;=2025-06-01",
         '제조품질 불량내역'!$K:$K,"&lt;=2025-06-30",
         '제조품질 불량내역'!$H:$H,"전장작업불량",
         '제조품질 불량내역'!$F:$F,"TMS 전장",
         '제조품질 불량내역'!$Q:$Q,"제조(재작업)")
+
COUNTIFS('제조품질 불량내역'!$K:$K,"&gt;=2025-06-01",
         '제조품질 불량내역'!$K:$K,"&lt;=2025-06-30",
         '제조품질 불량내역'!$H:$H,"전장작업불량",
         '제조품질 불량내역'!$F:$F,"TMS 전장",
         '제조품질 불량내역'!$Q:$Q,"제조(Water Leak)")</f>
        <v>0</v>
      </c>
      <c r="J31" s="224">
        <f>COUNTIFS('제조품질 불량내역'!$K:$K,"&gt;=2025-07-01",
          '제조품질 불량내역'!$K:$K,"&lt;=2025-07-31",
          '제조품질 불량내역'!$H:$H,"전장작업불량",
          '제조품질 불량내역'!$F:$F,"TMS 전장",
          '제조품질 불량내역'!$Q:$Q,"제조")
+
COUNTIFS('제조품질 불량내역'!$K:$K,"&gt;=2025-07-01",
         '제조품질 불량내역'!$K:$K,"&lt;=2025-07-31",
         '제조품질 불량내역'!$H:$H,"전장작업불량",
         '제조품질 불량내역'!$F:$F,"TMS 전장",
         '제조품질 불량내역'!$Q:$Q,"제조(재작업)")
+
COUNTIFS('제조품질 불량내역'!$K:$K,"&gt;=2025-07-01",
         '제조품질 불량내역'!$K:$K,"&lt;=2025-07-31",
         '제조품질 불량내역'!$H:$H,"전장작업불량",
         '제조품질 불량내역'!$F:$F,"TMS 전장",
         '제조품질 불량내역'!$Q:$Q,"제조(Water Leak)")</f>
        <v>1</v>
      </c>
      <c r="K31" s="224">
        <f>COUNTIFS('제조품질 불량내역'!$K:$K,"&gt;=2025-08-01",
          '제조품질 불량내역'!$K:$K,"&lt;=2025-08-31",
          '제조품질 불량내역'!$H:$H,"전장작업불량",
          '제조품질 불량내역'!$F:$F,"TMS 전장",
          '제조품질 불량내역'!$Q:$Q,"제조")
+
COUNTIFS('제조품질 불량내역'!$K:$K,"&gt;=2025-08-01",
         '제조품질 불량내역'!$K:$K,"&lt;=2025-08-31",
         '제조품질 불량내역'!$H:$H,"전장작업불량",
         '제조품질 불량내역'!$F:$F,"TMS 전장",
         '제조품질 불량내역'!$Q:$Q,"제조(재작업)")
+
COUNTIFS('제조품질 불량내역'!$K:$K,"&gt;=2025-08-01",
         '제조품질 불량내역'!$K:$K,"&lt;=2025-08-31",
         '제조품질 불량내역'!$H:$H,"전장작업불량",
         '제조품질 불량내역'!$F:$F,"TMS 전장",
         '제조품질 불량내역'!$Q:$Q,"제조(Water Leak)")</f>
        <v>3</v>
      </c>
      <c r="L31" s="224">
        <f>COUNTIFS('제조품질 불량내역'!$K:$K,"&gt;=2025-09-01",
          '제조품질 불량내역'!$K:$K,"&lt;=2025-09-30",
          '제조품질 불량내역'!$H:$H,"전장작업불량",
          '제조품질 불량내역'!$F:$F,"TMS 전장",
          '제조품질 불량내역'!$Q:$Q,"제조")
+
COUNTIFS('제조품질 불량내역'!$K:$K,"&gt;=2025-09-01",
         '제조품질 불량내역'!$K:$K,"&lt;=2025-09-30",
         '제조품질 불량내역'!$H:$H,"전장작업불량",
         '제조품질 불량내역'!$F:$F,"TMS 전장",
         '제조품질 불량내역'!$Q:$Q,"제조(재작업)")
+
COUNTIFS('제조품질 불량내역'!$K:$K,"&gt;=2025-09-01",
         '제조품질 불량내역'!$K:$K,"&lt;=2025-09-30",
         '제조품질 불량내역'!$H:$H,"전장작업불량",
         '제조품질 불량내역'!$F:$F,"TMS 전장",
         '제조품질 불량내역'!$Q:$Q,"제조(Water Leak)")</f>
        <v>3</v>
      </c>
      <c r="M31" s="224">
        <f>COUNTIFS('제조품질 불량내역'!$K:$K,"&gt;=2025-10-01",
          '제조품질 불량내역'!$K:$K,"&lt;=2025-10-31",
          '제조품질 불량내역'!$H:$H,"전장작업불량",
          '제조품질 불량내역'!$F:$F,"TMS 전장",
          '제조품질 불량내역'!$Q:$Q,"제조")
+
COUNTIFS('제조품질 불량내역'!$K:$K,"&gt;=2025-10-01",
         '제조품질 불량내역'!$K:$K,"&lt;=2025-10-31",
         '제조품질 불량내역'!$H:$H,"전장작업불량",
         '제조품질 불량내역'!$F:$F,"TMS 전장",
         '제조품질 불량내역'!$Q:$Q,"제조(재작업)")
+
COUNTIFS('제조품질 불량내역'!$K:$K,"&gt;=2025-10-01",
         '제조품질 불량내역'!$K:$K,"&lt;=2025-10-31",
         '제조품질 불량내역'!$H:$H,"전장작업불량",
         '제조품질 불량내역'!$F:$F,"TMS 전장",
         '제조품질 불량내역'!$Q:$Q,"제조(Water Leak)")</f>
        <v>0</v>
      </c>
      <c r="N31" s="224">
        <f>COUNTIFS('제조품질 불량내역'!$K:$K,"&gt;=2025-11-01",
          '제조품질 불량내역'!$K:$K,"&lt;=2025-11-30",
          '제조품질 불량내역'!$H:$H,"전장작업불량",
          '제조품질 불량내역'!$F:$F,"TMS 전장",
          '제조품질 불량내역'!$Q:$Q,"제조")
+
COUNTIFS('제조품질 불량내역'!$K:$K,"&gt;=2025-11-01",
         '제조품질 불량내역'!$K:$K,"&lt;=2025-11-30",
         '제조품질 불량내역'!$H:$H,"전장작업불량",
         '제조품질 불량내역'!$F:$F,"TMS 전장",
         '제조품질 불량내역'!$Q:$Q,"제조(재작업)")
+
COUNTIFS('제조품질 불량내역'!$K:$K,"&gt;=2025-11-01",
         '제조품질 불량내역'!$K:$K,"&lt;=2025-11-30",
         '제조품질 불량내역'!$H:$H,"전장작업불량",
         '제조품질 불량내역'!$F:$F,"TMS 전장",
         '제조품질 불량내역'!$Q:$Q,"제조(Water Leak)")</f>
        <v>0</v>
      </c>
      <c r="O31" s="227">
        <f>COUNTIFS('제조품질 불량내역'!$K:$K,"&gt;=2025-12-01",
          '제조품질 불량내역'!$K:$K,"&lt;=2025-12-31",
          '제조품질 불량내역'!$H:$H,"전장작업불량",
          '제조품질 불량내역'!$F:$F,"TMS 전장",
          '제조품질 불량내역'!$Q:$Q,"제조")
+
COUNTIFS('제조품질 불량내역'!$K:$K,"&gt;=2025-12-01",
         '제조품질 불량내역'!$K:$K,"&lt;=2025-12-31",
         '제조품질 불량내역'!$H:$H,"전장작업불량",
         '제조품질 불량내역'!$F:$F,"TMS 전장",
         '제조품질 불량내역'!$Q:$Q,"제조(재작업)")
+
COUNTIFS('제조품질 불량내역'!$K:$K,"&gt;=2025-12-01",
         '제조품질 불량내역'!$K:$K,"&lt;=2025-12-31",
         '제조품질 불량내역'!$H:$H,"전장작업불량",
         '제조품질 불량내역'!$F:$F,"TMS 전장",
         '제조품질 불량내역'!$Q:$Q,"제조(Water Leak)")</f>
        <v>1</v>
      </c>
      <c r="P31" s="230">
        <f>SUM(D31:O31)</f>
        <v>8</v>
      </c>
    </row>
    <row r="32" spans="2:16" s="59" customFormat="1" ht="20.100000000000001" customHeight="1">
      <c r="B32" s="750"/>
      <c r="C32" s="751"/>
      <c r="D32" s="222">
        <v>0</v>
      </c>
      <c r="E32" s="222">
        <f t="shared" ref="E32:P32" si="11">E31/E9</f>
        <v>0</v>
      </c>
      <c r="F32" s="222">
        <v>0</v>
      </c>
      <c r="G32" s="222">
        <v>0</v>
      </c>
      <c r="H32" s="222">
        <v>0</v>
      </c>
      <c r="I32" s="222">
        <v>0</v>
      </c>
      <c r="J32" s="222">
        <f t="shared" si="11"/>
        <v>0.33333333333333331</v>
      </c>
      <c r="K32" s="222">
        <f t="shared" si="11"/>
        <v>0.33333333333333331</v>
      </c>
      <c r="L32" s="222">
        <f t="shared" si="11"/>
        <v>0.375</v>
      </c>
      <c r="M32" s="222">
        <f t="shared" si="11"/>
        <v>0</v>
      </c>
      <c r="N32" s="222" t="e">
        <f t="shared" si="11"/>
        <v>#DIV/0!</v>
      </c>
      <c r="O32" s="228">
        <f t="shared" si="11"/>
        <v>1</v>
      </c>
      <c r="P32" s="220">
        <f t="shared" si="11"/>
        <v>0.32</v>
      </c>
    </row>
    <row r="33" spans="2:16" s="59" customFormat="1" ht="20.100000000000001" customHeight="1">
      <c r="B33" s="824"/>
      <c r="C33" s="825"/>
      <c r="D33" s="825"/>
      <c r="E33" s="825"/>
      <c r="F33" s="825"/>
      <c r="G33" s="825"/>
      <c r="H33" s="825"/>
      <c r="I33" s="825"/>
      <c r="J33" s="825"/>
      <c r="K33" s="825"/>
      <c r="L33" s="825"/>
      <c r="M33" s="825"/>
      <c r="N33" s="825"/>
      <c r="O33" s="825"/>
      <c r="P33" s="826"/>
    </row>
    <row r="34" spans="2:16" s="59" customFormat="1" ht="20.100000000000001" customHeight="1">
      <c r="B34" s="824"/>
      <c r="C34" s="825"/>
      <c r="D34" s="825"/>
      <c r="E34" s="825"/>
      <c r="F34" s="825"/>
      <c r="G34" s="825"/>
      <c r="H34" s="825"/>
      <c r="I34" s="825"/>
      <c r="J34" s="825"/>
      <c r="K34" s="825"/>
      <c r="L34" s="825"/>
      <c r="M34" s="825"/>
      <c r="N34" s="825"/>
      <c r="O34" s="825"/>
      <c r="P34" s="826"/>
    </row>
    <row r="35" spans="2:16" s="59" customFormat="1" ht="20.100000000000001" customHeight="1">
      <c r="B35" s="824"/>
      <c r="C35" s="825"/>
      <c r="D35" s="825"/>
      <c r="E35" s="825"/>
      <c r="F35" s="825"/>
      <c r="G35" s="825"/>
      <c r="H35" s="825"/>
      <c r="I35" s="825"/>
      <c r="J35" s="825"/>
      <c r="K35" s="825"/>
      <c r="L35" s="825"/>
      <c r="M35" s="825"/>
      <c r="N35" s="825"/>
      <c r="O35" s="825"/>
      <c r="P35" s="826"/>
    </row>
    <row r="36" spans="2:16" s="59" customFormat="1" ht="20.100000000000001" customHeight="1">
      <c r="B36" s="824"/>
      <c r="C36" s="825"/>
      <c r="D36" s="825"/>
      <c r="E36" s="825"/>
      <c r="F36" s="825"/>
      <c r="G36" s="825"/>
      <c r="H36" s="825"/>
      <c r="I36" s="825"/>
      <c r="J36" s="825"/>
      <c r="K36" s="825"/>
      <c r="L36" s="825"/>
      <c r="M36" s="825"/>
      <c r="N36" s="825"/>
      <c r="O36" s="825"/>
      <c r="P36" s="826"/>
    </row>
    <row r="37" spans="2:16" s="59" customFormat="1" ht="20.100000000000001" customHeight="1">
      <c r="B37" s="824"/>
      <c r="C37" s="825"/>
      <c r="D37" s="825"/>
      <c r="E37" s="825"/>
      <c r="F37" s="825"/>
      <c r="G37" s="825"/>
      <c r="H37" s="825"/>
      <c r="I37" s="825"/>
      <c r="J37" s="825"/>
      <c r="K37" s="825"/>
      <c r="L37" s="825"/>
      <c r="M37" s="825"/>
      <c r="N37" s="825"/>
      <c r="O37" s="825"/>
      <c r="P37" s="826"/>
    </row>
    <row r="38" spans="2:16" s="59" customFormat="1" ht="20.100000000000001" customHeight="1">
      <c r="B38" s="824"/>
      <c r="C38" s="825"/>
      <c r="D38" s="825"/>
      <c r="E38" s="825"/>
      <c r="F38" s="825"/>
      <c r="G38" s="825"/>
      <c r="H38" s="825"/>
      <c r="I38" s="825"/>
      <c r="J38" s="825"/>
      <c r="K38" s="825"/>
      <c r="L38" s="825"/>
      <c r="M38" s="825"/>
      <c r="N38" s="825"/>
      <c r="O38" s="825"/>
      <c r="P38" s="826"/>
    </row>
    <row r="39" spans="2:16" s="59" customFormat="1" ht="20.100000000000001" customHeight="1">
      <c r="B39" s="824"/>
      <c r="C39" s="825"/>
      <c r="D39" s="825"/>
      <c r="E39" s="825"/>
      <c r="F39" s="825"/>
      <c r="G39" s="825"/>
      <c r="H39" s="825"/>
      <c r="I39" s="825"/>
      <c r="J39" s="825"/>
      <c r="K39" s="825"/>
      <c r="L39" s="825"/>
      <c r="M39" s="825"/>
      <c r="N39" s="825"/>
      <c r="O39" s="825"/>
      <c r="P39" s="826"/>
    </row>
    <row r="40" spans="2:16" s="59" customFormat="1" ht="20.100000000000001" customHeight="1">
      <c r="B40" s="824"/>
      <c r="C40" s="825"/>
      <c r="D40" s="825"/>
      <c r="E40" s="825"/>
      <c r="F40" s="825"/>
      <c r="G40" s="825"/>
      <c r="H40" s="825"/>
      <c r="I40" s="825"/>
      <c r="J40" s="825"/>
      <c r="K40" s="825"/>
      <c r="L40" s="825"/>
      <c r="M40" s="825"/>
      <c r="N40" s="825"/>
      <c r="O40" s="825"/>
      <c r="P40" s="826"/>
    </row>
    <row r="41" spans="2:16" s="59" customFormat="1" ht="20.100000000000001" customHeight="1">
      <c r="B41" s="824"/>
      <c r="C41" s="825"/>
      <c r="D41" s="825"/>
      <c r="E41" s="825"/>
      <c r="F41" s="825"/>
      <c r="G41" s="825"/>
      <c r="H41" s="825"/>
      <c r="I41" s="825"/>
      <c r="J41" s="825"/>
      <c r="K41" s="825"/>
      <c r="L41" s="825"/>
      <c r="M41" s="825"/>
      <c r="N41" s="825"/>
      <c r="O41" s="825"/>
      <c r="P41" s="826"/>
    </row>
    <row r="42" spans="2:16" s="59" customFormat="1" ht="20.100000000000001" customHeight="1">
      <c r="B42" s="824"/>
      <c r="C42" s="825"/>
      <c r="D42" s="825"/>
      <c r="E42" s="825"/>
      <c r="F42" s="825"/>
      <c r="G42" s="825"/>
      <c r="H42" s="825"/>
      <c r="I42" s="825"/>
      <c r="J42" s="825"/>
      <c r="K42" s="825"/>
      <c r="L42" s="825"/>
      <c r="M42" s="825"/>
      <c r="N42" s="825"/>
      <c r="O42" s="825"/>
      <c r="P42" s="826"/>
    </row>
    <row r="43" spans="2:16" s="59" customFormat="1" ht="20.100000000000001" customHeight="1">
      <c r="B43" s="824"/>
      <c r="C43" s="825"/>
      <c r="D43" s="825"/>
      <c r="E43" s="825"/>
      <c r="F43" s="825"/>
      <c r="G43" s="825"/>
      <c r="H43" s="825"/>
      <c r="I43" s="825"/>
      <c r="J43" s="825"/>
      <c r="K43" s="825"/>
      <c r="L43" s="825"/>
      <c r="M43" s="825"/>
      <c r="N43" s="825"/>
      <c r="O43" s="825"/>
      <c r="P43" s="826"/>
    </row>
    <row r="44" spans="2:16" s="59" customFormat="1" ht="20.100000000000001" customHeight="1">
      <c r="B44" s="824"/>
      <c r="C44" s="825"/>
      <c r="D44" s="825"/>
      <c r="E44" s="825"/>
      <c r="F44" s="825"/>
      <c r="G44" s="825"/>
      <c r="H44" s="825"/>
      <c r="I44" s="825"/>
      <c r="J44" s="825"/>
      <c r="K44" s="825"/>
      <c r="L44" s="825"/>
      <c r="M44" s="825"/>
      <c r="N44" s="825"/>
      <c r="O44" s="825"/>
      <c r="P44" s="826"/>
    </row>
    <row r="45" spans="2:16" s="59" customFormat="1" ht="20.100000000000001" customHeight="1">
      <c r="B45" s="824"/>
      <c r="C45" s="825"/>
      <c r="D45" s="825"/>
      <c r="E45" s="825"/>
      <c r="F45" s="825"/>
      <c r="G45" s="825"/>
      <c r="H45" s="825"/>
      <c r="I45" s="825"/>
      <c r="J45" s="825"/>
      <c r="K45" s="825"/>
      <c r="L45" s="825"/>
      <c r="M45" s="825"/>
      <c r="N45" s="825"/>
      <c r="O45" s="825"/>
      <c r="P45" s="826"/>
    </row>
    <row r="46" spans="2:16" s="59" customFormat="1" ht="20.100000000000001" customHeight="1">
      <c r="B46" s="231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3"/>
    </row>
    <row r="47" spans="2:16" s="59" customFormat="1" ht="20.100000000000001" customHeight="1">
      <c r="B47" s="234"/>
      <c r="C47" s="221"/>
      <c r="D47" s="221"/>
      <c r="E47" s="221"/>
      <c r="F47" s="221"/>
      <c r="G47" s="221"/>
      <c r="H47" s="221"/>
      <c r="I47" s="221"/>
      <c r="J47" s="221"/>
      <c r="K47" s="221"/>
      <c r="L47" s="221"/>
      <c r="M47" s="221"/>
      <c r="N47" s="221"/>
      <c r="O47" s="221"/>
      <c r="P47" s="235"/>
    </row>
    <row r="48" spans="2:16" s="59" customFormat="1" ht="20.100000000000001" customHeight="1">
      <c r="B48" s="234"/>
      <c r="C48" s="221"/>
      <c r="D48" s="221"/>
      <c r="E48" s="221"/>
      <c r="F48" s="221"/>
      <c r="G48" s="221"/>
      <c r="H48" s="221"/>
      <c r="I48" s="221"/>
      <c r="J48" s="221"/>
      <c r="K48" s="221"/>
      <c r="L48" s="221"/>
      <c r="M48" s="221"/>
      <c r="N48" s="221"/>
      <c r="O48" s="221"/>
      <c r="P48" s="235"/>
    </row>
    <row r="49" spans="2:16" s="59" customFormat="1" ht="20.100000000000001" customHeight="1">
      <c r="B49" s="234"/>
      <c r="C49" s="221"/>
      <c r="D49" s="221"/>
      <c r="E49" s="221"/>
      <c r="F49" s="221"/>
      <c r="G49" s="221"/>
      <c r="H49" s="221"/>
      <c r="I49" s="221"/>
      <c r="J49" s="221"/>
      <c r="K49" s="221"/>
      <c r="L49" s="221"/>
      <c r="M49" s="221"/>
      <c r="N49" s="221"/>
      <c r="O49" s="221"/>
      <c r="P49" s="235"/>
    </row>
    <row r="50" spans="2:16" s="59" customFormat="1" ht="20.100000000000001" customHeight="1">
      <c r="B50" s="234"/>
      <c r="C50" s="221"/>
      <c r="D50" s="221"/>
      <c r="E50" s="221"/>
      <c r="F50" s="221"/>
      <c r="G50" s="221"/>
      <c r="H50" s="221"/>
      <c r="I50" s="221"/>
      <c r="J50" s="221"/>
      <c r="K50" s="221"/>
      <c r="L50" s="221"/>
      <c r="M50" s="221"/>
      <c r="N50" s="221"/>
      <c r="O50" s="221"/>
      <c r="P50" s="235"/>
    </row>
    <row r="51" spans="2:16" s="59" customFormat="1" ht="20.100000000000001" customHeight="1">
      <c r="B51" s="234"/>
      <c r="C51" s="221"/>
      <c r="D51" s="221"/>
      <c r="E51" s="221"/>
      <c r="F51" s="221"/>
      <c r="G51" s="221"/>
      <c r="H51" s="221"/>
      <c r="I51" s="221"/>
      <c r="J51" s="221"/>
      <c r="K51" s="221"/>
      <c r="L51" s="221"/>
      <c r="M51" s="221"/>
      <c r="N51" s="221"/>
      <c r="O51" s="221"/>
      <c r="P51" s="235"/>
    </row>
    <row r="52" spans="2:16" s="59" customFormat="1" ht="20.100000000000001" customHeight="1">
      <c r="B52" s="234"/>
      <c r="C52" s="221"/>
      <c r="D52" s="221"/>
      <c r="E52" s="221"/>
      <c r="F52" s="221"/>
      <c r="G52" s="221"/>
      <c r="H52" s="221"/>
      <c r="I52" s="221"/>
      <c r="J52" s="221"/>
      <c r="K52" s="221"/>
      <c r="L52" s="221"/>
      <c r="M52" s="221"/>
      <c r="N52" s="221"/>
      <c r="O52" s="221"/>
      <c r="P52" s="235"/>
    </row>
    <row r="53" spans="2:16" s="59" customFormat="1" ht="20.100000000000001" customHeight="1">
      <c r="B53" s="234"/>
      <c r="C53" s="221"/>
      <c r="D53" s="221"/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35"/>
    </row>
    <row r="54" spans="2:16" s="59" customFormat="1" ht="20.100000000000001" customHeight="1">
      <c r="B54" s="234"/>
      <c r="C54" s="221"/>
      <c r="D54" s="221"/>
      <c r="E54" s="221"/>
      <c r="F54" s="221"/>
      <c r="G54" s="221"/>
      <c r="H54" s="221"/>
      <c r="I54" s="221"/>
      <c r="J54" s="221"/>
      <c r="K54" s="221"/>
      <c r="L54" s="221"/>
      <c r="M54" s="221"/>
      <c r="N54" s="221"/>
      <c r="O54" s="221"/>
      <c r="P54" s="235"/>
    </row>
    <row r="55" spans="2:16" s="59" customFormat="1" ht="20.100000000000001" customHeight="1">
      <c r="B55" s="234"/>
      <c r="C55" s="221"/>
      <c r="D55" s="221"/>
      <c r="E55" s="221"/>
      <c r="F55" s="221"/>
      <c r="G55" s="221"/>
      <c r="H55" s="221"/>
      <c r="I55" s="221"/>
      <c r="J55" s="221"/>
      <c r="K55" s="221"/>
      <c r="L55" s="221"/>
      <c r="M55" s="221"/>
      <c r="N55" s="221"/>
      <c r="O55" s="221"/>
      <c r="P55" s="235"/>
    </row>
    <row r="56" spans="2:16" s="59" customFormat="1" ht="20.100000000000001" customHeight="1">
      <c r="B56" s="234"/>
      <c r="C56" s="221"/>
      <c r="D56" s="221"/>
      <c r="E56" s="221"/>
      <c r="F56" s="221"/>
      <c r="G56" s="221"/>
      <c r="H56" s="221"/>
      <c r="I56" s="221"/>
      <c r="J56" s="221"/>
      <c r="K56" s="221"/>
      <c r="L56" s="221"/>
      <c r="M56" s="221"/>
      <c r="N56" s="221"/>
      <c r="O56" s="221"/>
      <c r="P56" s="235"/>
    </row>
    <row r="57" spans="2:16" s="59" customFormat="1" ht="20.100000000000001" customHeight="1">
      <c r="B57" s="234"/>
      <c r="C57" s="221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35"/>
    </row>
    <row r="58" spans="2:16" customFormat="1" ht="20.100000000000001" customHeight="1">
      <c r="B58" s="756" t="s">
        <v>1471</v>
      </c>
      <c r="C58" s="736"/>
      <c r="D58" s="736"/>
      <c r="E58" s="736"/>
      <c r="F58" s="736"/>
      <c r="G58" s="736"/>
      <c r="H58" s="736"/>
      <c r="I58" s="736"/>
      <c r="J58" s="736"/>
      <c r="K58" s="736"/>
      <c r="L58" s="736"/>
      <c r="M58" s="736"/>
      <c r="N58" s="736"/>
      <c r="O58" s="736"/>
      <c r="P58" s="737"/>
    </row>
    <row r="59" spans="2:16" s="59" customFormat="1" ht="20.100000000000001" customHeight="1">
      <c r="B59" s="827" t="s">
        <v>1472</v>
      </c>
      <c r="C59" s="569" t="s">
        <v>1473</v>
      </c>
      <c r="D59" s="574" cm="1">
        <f t="array" ref="D59">SUMPRODUCT(
 IF(
  ('제조품질 날짜별 실적'!$F$2:$F$2500="GAIA-I")*('제조품질 날짜별 실적'!$I$2:$I$2500=1),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30</v>
      </c>
      <c r="E59" s="575" cm="1">
        <f t="array" ref="E59">SUMPRODUCT(
 IF(
  ('제조품질 날짜별 실적'!$F$2:$F$2500="GAIA-I")*('제조품질 날짜별 실적'!$I$2:$I$2500=2),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45</v>
      </c>
      <c r="F59" s="575" cm="1">
        <f t="array" ref="F59">SUMPRODUCT(
 IF(
  ('제조품질 날짜별 실적'!$F$2:$F$2500="GAIA-I")*('제조품질 날짜별 실적'!$I$2:$I$2500=3),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12</v>
      </c>
      <c r="G59" s="575" cm="1">
        <f t="array" ref="G59">SUMPRODUCT(
 IF(
  ('제조품질 날짜별 실적'!$F$2:$F$2500="GAIA-I")*('제조품질 날짜별 실적'!$I$2:$I$2500=4),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10</v>
      </c>
      <c r="H59" s="575" cm="1">
        <f t="array" ref="H59">SUMPRODUCT(
 IF(
  ('제조품질 날짜별 실적'!$F$2:$F$2500="GAIA-I")*('제조품질 날짜별 실적'!$I$2:$I$2500=5),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8</v>
      </c>
      <c r="I59" s="575" cm="1">
        <f t="array" ref="I59">SUMPRODUCT(
 IF(
  ('제조품질 날짜별 실적'!$F$2:$F$2500="GAIA-I")*('제조품질 날짜별 실적'!$I$2:$I$2500=6),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36</v>
      </c>
      <c r="J59" s="575" cm="1">
        <f t="array" ref="J59">SUMPRODUCT(
 IF(
  ('제조품질 날짜별 실적'!$F$2:$F$2500="GAIA-I")*('제조품질 날짜별 실적'!$I$2:$I$2500=7),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62</v>
      </c>
      <c r="K59" s="575" cm="1">
        <f t="array" ref="K59">SUMPRODUCT(
 IF(
  ('제조품질 날짜별 실적'!$F$2:$F$2500="GAIA-I")*('제조품질 날짜별 실적'!$I$2:$I$2500=8),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36</v>
      </c>
      <c r="L59" s="575" cm="1">
        <f t="array" ref="L59">SUMPRODUCT(
 IF(
  ('제조품질 날짜별 실적'!$F$2:$F$2500="GAIA-I")*('제조품질 날짜별 실적'!$I$2:$I$2500=9),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54.000000000000007</v>
      </c>
      <c r="M59" s="575" cm="1">
        <f t="array" ref="M59">SUMPRODUCT(
 IF(
  ('제조품질 날짜별 실적'!$F$2:$F$2500="GAIA-I")*('제조품질 날짜별 실적'!$I$2:$I$2500=10),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41</v>
      </c>
      <c r="N59" s="575" cm="1">
        <f t="array" ref="N59">SUMPRODUCT(
 IF(
  ('제조품질 날짜별 실적'!$F$2:$F$2500="GAIA-I")*('제조품질 날짜별 실적'!$I$2:$I$2500=11),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47</v>
      </c>
      <c r="O59" s="575" cm="1">
        <f t="array" ref="O59">SUMPRODUCT(
 IF(
  ('제조품질 날짜별 실적'!$F$2:$F$2500="GAIA-I")*('제조품질 날짜별 실적'!$I$2:$I$2500=12),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18</v>
      </c>
      <c r="P59" s="576">
        <f>SUM(D59:O59)</f>
        <v>399</v>
      </c>
    </row>
    <row r="60" spans="2:16" s="59" customFormat="1" ht="20.100000000000001" customHeight="1">
      <c r="B60" s="828"/>
      <c r="C60" s="570" t="s">
        <v>1474</v>
      </c>
      <c r="D60" s="242">
        <f>COUNTIFS(
 '제조품질 불량내역'!$D:$D,"GAIA-I",
 '제조품질 불량내역'!$K:$K,"&gt;="&amp;DATE(2025,1,1),
 '제조품질 불량내역'!$K:$K,"&lt;"&amp;DATE(2025,2,1)
)</f>
        <v>1</v>
      </c>
      <c r="E60" s="112">
        <f>COUNTIFS(
 '제조품질 불량내역'!$D:$D,"GAIA-I",
 '제조품질 불량내역'!$K:$K,"&gt;="&amp;DATE(2025,2,1),
 '제조품질 불량내역'!$K:$K,"&lt;"&amp;DATE(2025,3,1)
)</f>
        <v>3</v>
      </c>
      <c r="F60" s="112">
        <f>COUNTIFS(
 '제조품질 불량내역'!$D:$D,"GAIA-I",
 '제조품질 불량내역'!$K:$K,"&gt;="&amp;DATE(2025,3,1),
 '제조품질 불량내역'!$K:$K,"&lt;"&amp;DATE(2025,4,1)
)</f>
        <v>0</v>
      </c>
      <c r="G60" s="112">
        <f>COUNTIFS(
 '제조품질 불량내역'!$D:$D,"GAIA-I",
 '제조품질 불량내역'!$K:$K,"&gt;="&amp;DATE(2025,4,1),
 '제조품질 불량내역'!$K:$K,"&lt;"&amp;DATE(2025,5,1)
)</f>
        <v>1</v>
      </c>
      <c r="H60" s="112">
        <f>COUNTIFS(
 '제조품질 불량내역'!$D:$D,"GAIA-I",
 '제조품질 불량내역'!$K:$K,"&gt;="&amp;DATE(2025,5,1),
 '제조품질 불량내역'!$K:$K,"&lt;"&amp;DATE(2025,6,1)
)</f>
        <v>0</v>
      </c>
      <c r="I60" s="112">
        <f>COUNTIFS(
 '제조품질 불량내역'!$D:$D,"GAIA-I",
 '제조품질 불량내역'!$K:$K,"&gt;="&amp;DATE(2025,6,1),
 '제조품질 불량내역'!$K:$K,"&lt;"&amp;DATE(2025,7,1)
)</f>
        <v>3</v>
      </c>
      <c r="J60" s="112">
        <f>COUNTIFS(
 '제조품질 불량내역'!$D:$D,"GAIA-I",
 '제조품질 불량내역'!$K:$K,"&gt;="&amp;DATE(2025,7,1),
 '제조품질 불량내역'!$K:$K,"&lt;"&amp;DATE(2025,8,1)
)</f>
        <v>23</v>
      </c>
      <c r="K60" s="112">
        <f>COUNTIFS(
 '제조품질 불량내역'!$D:$D,"GAIA-I",
 '제조품질 불량내역'!$K:$K,"&gt;="&amp;DATE(2025,8,1),
 '제조품질 불량내역'!$K:$K,"&lt;"&amp;DATE(2025,9,1)
)</f>
        <v>8</v>
      </c>
      <c r="L60" s="112">
        <f>COUNTIFS(
 '제조품질 불량내역'!$D:$D,"GAIA-I",
 '제조품질 불량내역'!$K:$K,"&gt;="&amp;DATE(2025,9,1),
 '제조품질 불량내역'!$K:$K,"&lt;"&amp;DATE(2025,10,1)
)</f>
        <v>27</v>
      </c>
      <c r="M60" s="112">
        <f>COUNTIFS(
 '제조품질 불량내역'!$D:$D,"GAIA-I",
 '제조품질 불량내역'!$K:$K,"&gt;="&amp;DATE(2025,10,1),
 '제조품질 불량내역'!$K:$K,"&lt;"&amp;DATE(2025,11,1)
)</f>
        <v>4</v>
      </c>
      <c r="N60" s="112">
        <f>COUNTIFS(
 '제조품질 불량내역'!$D:$D,"GAIA-I",
 '제조품질 불량내역'!$K:$K,"&gt;="&amp;DATE(2025,11,1),
 '제조품질 불량내역'!$K:$K,"&lt;"&amp;DATE(2025,12,1)
)</f>
        <v>19</v>
      </c>
      <c r="O60" s="112">
        <f>COUNTIFS(
 '제조품질 불량내역'!$D:$D,"GAIA-I",
 '제조품질 불량내역'!$K:$K,"&gt;="&amp;DATE(2025,12,1),
 '제조품질 불량내역'!$K:$K,"&lt;"&amp;DATE(2026,1,1)
)</f>
        <v>3</v>
      </c>
      <c r="P60" s="585">
        <f>SUM(D60:O60)</f>
        <v>92</v>
      </c>
    </row>
    <row r="61" spans="2:16" s="59" customFormat="1" ht="20.100000000000001" customHeight="1">
      <c r="B61" s="828"/>
      <c r="C61" s="571" t="s">
        <v>1475</v>
      </c>
      <c r="D61" s="589">
        <f>D60/D59</f>
        <v>3.3333333333333333E-2</v>
      </c>
      <c r="E61" s="590">
        <f>E60/E59</f>
        <v>6.6666666666666666E-2</v>
      </c>
      <c r="F61" s="590">
        <f>F60/F59</f>
        <v>0</v>
      </c>
      <c r="G61" s="590">
        <f>G60/G59</f>
        <v>0.1</v>
      </c>
      <c r="H61" s="590">
        <f>H60/H59</f>
        <v>0</v>
      </c>
      <c r="I61" s="590">
        <f>I60/I59</f>
        <v>8.3333333333333329E-2</v>
      </c>
      <c r="J61" s="590">
        <f>J60/J59</f>
        <v>0.37096774193548387</v>
      </c>
      <c r="K61" s="590">
        <f>K60/K59</f>
        <v>0.22222222222222221</v>
      </c>
      <c r="L61" s="590">
        <f>L60/L59</f>
        <v>0.49999999999999994</v>
      </c>
      <c r="M61" s="590">
        <f>M60/M59</f>
        <v>9.7560975609756101E-2</v>
      </c>
      <c r="N61" s="590">
        <f>N60/N59</f>
        <v>0.40425531914893614</v>
      </c>
      <c r="O61" s="590">
        <f>O60/O59</f>
        <v>0.16666666666666666</v>
      </c>
      <c r="P61" s="244">
        <f>P60/P59</f>
        <v>0.23057644110275688</v>
      </c>
    </row>
    <row r="62" spans="2:16" s="59" customFormat="1" ht="20.100000000000001" customHeight="1">
      <c r="B62" s="827" t="s">
        <v>1476</v>
      </c>
      <c r="C62" s="569" t="s">
        <v>1473</v>
      </c>
      <c r="D62" s="574" cm="1">
        <f t="array" ref="D62">SUMPRODUCT(
 IF(
  ('제조품질 날짜별 실적'!$F$2:$F$2500="GAIA-I DUAL")*('제조품질 날짜별 실적'!$I$2:$I$2500=1),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35</v>
      </c>
      <c r="E62" s="577" cm="1">
        <f t="array" ref="E62">SUMPRODUCT(
 IF(
  ('제조품질 날짜별 실적'!$F$2:$F$2500="GAIA-I DUAL")*('제조품질 날짜별 실적'!$I$2:$I$2500=2),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61</v>
      </c>
      <c r="F62" s="577" cm="1">
        <f t="array" ref="F62">SUMPRODUCT(
 IF(
  ('제조품질 날짜별 실적'!$F$2:$F$2500="GAIA-I DUAL")*('제조품질 날짜별 실적'!$I$2:$I$2500=3),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55</v>
      </c>
      <c r="G62" s="577" cm="1">
        <f t="array" ref="G62">SUMPRODUCT(
 IF(
  ('제조품질 날짜별 실적'!$F$2:$F$2500="GAIA-I DUAL")*('제조품질 날짜별 실적'!$I$2:$I$2500=4),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88</v>
      </c>
      <c r="H62" s="577" cm="1">
        <f t="array" ref="H62">SUMPRODUCT(
 IF(
  ('제조품질 날짜별 실적'!$F$2:$F$2500="GAIA-I DUAL")*('제조품질 날짜별 실적'!$I$2:$I$2500=5),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68</v>
      </c>
      <c r="I62" s="577" cm="1">
        <f t="array" ref="I62">SUMPRODUCT(
 IF(
  ('제조품질 날짜별 실적'!$F$2:$F$2500="GAIA-I DUAL")*('제조품질 날짜별 실적'!$I$2:$I$2500=6),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51</v>
      </c>
      <c r="J62" s="577" cm="1">
        <f t="array" ref="J62">SUMPRODUCT(
 IF(
  ('제조품질 날짜별 실적'!$F$2:$F$2500="GAIA-I DUAL")*('제조품질 날짜별 실적'!$I$2:$I$2500=7),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54</v>
      </c>
      <c r="K62" s="577" cm="1">
        <f t="array" ref="K62">SUMPRODUCT(
 IF(
  ('제조품질 날짜별 실적'!$F$2:$F$2500="GAIA-I DUAL")*('제조품질 날짜별 실적'!$I$2:$I$2500=8),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60.000000000000007</v>
      </c>
      <c r="L62" s="577" cm="1">
        <f t="array" ref="L62">SUMPRODUCT(
 IF(
  ('제조품질 날짜별 실적'!$F$2:$F$2500="GAIA-I DUAL")*('제조품질 날짜별 실적'!$I$2:$I$2500=9),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49.000000000000007</v>
      </c>
      <c r="M62" s="577" cm="1">
        <f t="array" ref="M62">SUMPRODUCT(
 IF(
  ('제조품질 날짜별 실적'!$F$2:$F$2500="GAIA-I DUAL")*('제조품질 날짜별 실적'!$I$2:$I$2500=10),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61</v>
      </c>
      <c r="N62" s="577" cm="1">
        <f t="array" ref="N62">SUMPRODUCT(
 IF(
  ('제조품질 날짜별 실적'!$F$2:$F$2500="GAIA-I DUAL")*('제조품질 날짜별 실적'!$I$2:$I$2500=11),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66</v>
      </c>
      <c r="O62" s="578" cm="1">
        <f t="array" ref="O62">SUMPRODUCT(
 IF(
  ('제조품질 날짜별 실적'!$F$2:$F$2500="GAIA-I DUAL")*('제조품질 날짜별 실적'!$I$2:$I$2500=12),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73</v>
      </c>
      <c r="P62" s="576">
        <f>SUM(D62:O62)</f>
        <v>721</v>
      </c>
    </row>
    <row r="63" spans="2:16" s="59" customFormat="1" ht="20.100000000000001" customHeight="1">
      <c r="B63" s="828"/>
      <c r="C63" s="571" t="s">
        <v>1474</v>
      </c>
      <c r="D63" s="563">
        <f>COUNTIFS(
 '제조품질 불량내역'!$D:$D,"GAIA-I DUAL",
 '제조품질 불량내역'!$K:$K,"&gt;="&amp;DATE(2025,1,1),
 '제조품질 불량내역'!$K:$K,"&lt;"&amp;DATE(2025,2,1)
)</f>
        <v>0</v>
      </c>
      <c r="E63" s="564">
        <f>COUNTIFS(
 '제조품질 불량내역'!$D:$D,"GAIA-I DUAL",
 '제조품질 불량내역'!$K:$K,"&gt;="&amp;DATE(2025,2,1),
 '제조품질 불량내역'!$K:$K,"&lt;"&amp;DATE(2025,3,1)
)</f>
        <v>3</v>
      </c>
      <c r="F63" s="564">
        <f>COUNTIFS(
 '제조품질 불량내역'!$D:$D,"GAIA-I DUAL",
 '제조품질 불량내역'!$K:$K,"&gt;="&amp;DATE(2025,3,1),
 '제조품질 불량내역'!$K:$K,"&lt;"&amp;DATE(2025,4,1)
)</f>
        <v>0</v>
      </c>
      <c r="G63" s="564">
        <f>COUNTIFS(
 '제조품질 불량내역'!$D:$D,"GAIA-I DUAL",
 '제조품질 불량내역'!$K:$K,"&gt;="&amp;DATE(2025,4,1),
 '제조품질 불량내역'!$K:$K,"&lt;"&amp;DATE(2025,5,1)
)</f>
        <v>1</v>
      </c>
      <c r="H63" s="564">
        <f>COUNTIFS(
 '제조품질 불량내역'!$D:$D,"GAIA-I DUAL",
 '제조품질 불량내역'!$K:$K,"&gt;="&amp;DATE(2025,5,1),
 '제조품질 불량내역'!$K:$K,"&lt;"&amp;DATE(2025,6,1)
)</f>
        <v>2</v>
      </c>
      <c r="I63" s="564">
        <f>COUNTIFS(
 '제조품질 불량내역'!$D:$D,"GAIA-I DUAL",
 '제조품질 불량내역'!$K:$K,"&gt;="&amp;DATE(2025,6,1),
 '제조품질 불량내역'!$K:$K,"&lt;"&amp;DATE(2025,7,1)
)</f>
        <v>5</v>
      </c>
      <c r="J63" s="564">
        <f>COUNTIFS(
 '제조품질 불량내역'!$D:$D,"GAIA-I DUAL",
 '제조품질 불량내역'!$K:$K,"&gt;="&amp;DATE(2025,7,1),
 '제조품질 불량내역'!$K:$K,"&lt;"&amp;DATE(2025,8,1)
)</f>
        <v>21</v>
      </c>
      <c r="K63" s="564">
        <f>COUNTIFS(
 '제조품질 불량내역'!$D:$D,"GAIA-I DUAL",
 '제조품질 불량내역'!$K:$K,"&gt;="&amp;DATE(2025,8,1),
 '제조품질 불량내역'!$K:$K,"&lt;"&amp;DATE(2025,9,1)
)</f>
        <v>30</v>
      </c>
      <c r="L63" s="564">
        <f>COUNTIFS(
 '제조품질 불량내역'!$D:$D,"GAIA-I DUAL",
 '제조품질 불량내역'!$K:$K,"&gt;="&amp;DATE(2025,9,1),
 '제조품질 불량내역'!$K:$K,"&lt;"&amp;DATE(2025,10,1)
)</f>
        <v>16</v>
      </c>
      <c r="M63" s="564">
        <f>COUNTIFS(
 '제조품질 불량내역'!$D:$D,"GAIA-I DUAL",
 '제조품질 불량내역'!$K:$K,"&gt;="&amp;DATE(2025,10,1),
 '제조품질 불량내역'!$K:$K,"&lt;"&amp;DATE(2025,11,1)
)</f>
        <v>16</v>
      </c>
      <c r="N63" s="564">
        <f>COUNTIFS(
 '제조품질 불량내역'!$D:$D,"GAIA-I DUAL",
 '제조품질 불량내역'!$K:$K,"&gt;="&amp;DATE(2025,11,1),
 '제조품질 불량내역'!$K:$K,"&lt;"&amp;DATE(2025,12,1)
)</f>
        <v>12</v>
      </c>
      <c r="O63" s="565">
        <f>COUNTIFS(
 '제조품질 불량내역'!$D:$D,"GAIA-I DUAL",
 '제조품질 불량내역'!$K:$K,"&gt;="&amp;DATE(2025,12,1),
 '제조품질 불량내역'!$K:$K,"&lt;"&amp;DATE(2026,1,1)
)</f>
        <v>36</v>
      </c>
      <c r="P63" s="592">
        <f>SUM(D63:O63)</f>
        <v>142</v>
      </c>
    </row>
    <row r="64" spans="2:16" s="59" customFormat="1" ht="20.100000000000001" customHeight="1">
      <c r="B64" s="828"/>
      <c r="C64" s="584" t="s">
        <v>1475</v>
      </c>
      <c r="D64" s="589">
        <f>D63/D62</f>
        <v>0</v>
      </c>
      <c r="E64" s="590">
        <f>E63/E62</f>
        <v>4.9180327868852458E-2</v>
      </c>
      <c r="F64" s="590">
        <f>F63/F62</f>
        <v>0</v>
      </c>
      <c r="G64" s="590">
        <f>G63/G62</f>
        <v>1.1363636363636364E-2</v>
      </c>
      <c r="H64" s="590">
        <f>H63/H62</f>
        <v>2.9411764705882353E-2</v>
      </c>
      <c r="I64" s="590">
        <f>I63/I62</f>
        <v>9.8039215686274508E-2</v>
      </c>
      <c r="J64" s="590">
        <f>J63/J62</f>
        <v>0.3888888888888889</v>
      </c>
      <c r="K64" s="590">
        <f>K63/K62</f>
        <v>0.49999999999999994</v>
      </c>
      <c r="L64" s="590">
        <f>L63/L62</f>
        <v>0.32653061224489793</v>
      </c>
      <c r="M64" s="590">
        <f>M63/M62</f>
        <v>0.26229508196721313</v>
      </c>
      <c r="N64" s="590">
        <f>N63/N62</f>
        <v>0.18181818181818182</v>
      </c>
      <c r="O64" s="590">
        <f>O63/O62</f>
        <v>0.49315068493150682</v>
      </c>
      <c r="P64" s="244">
        <f>P63/P62</f>
        <v>0.19694868238557559</v>
      </c>
    </row>
    <row r="65" spans="2:16" s="59" customFormat="1" ht="20.100000000000001" customHeight="1">
      <c r="B65" s="827" t="s">
        <v>1477</v>
      </c>
      <c r="C65" s="580" t="s">
        <v>1473</v>
      </c>
      <c r="D65" s="591" cm="1">
        <f t="array" ref="D65">SUMPRODUCT(
 IF(
  ('제조품질 날짜별 실적'!$F$2:$F$2500="GAIA-II")*('제조품질 날짜별 실적'!$I$2:$I$2500=1),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2</v>
      </c>
      <c r="E65" s="582" cm="1">
        <f t="array" ref="E65">SUMPRODUCT(
 IF(
  ('제조품질 날짜별 실적'!$F$2:$F$2500="GAIA-II")*('제조품질 날짜별 실적'!$I$2:$I$2500=2),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30</v>
      </c>
      <c r="F65" s="582" cm="1">
        <f t="array" ref="F65">SUMPRODUCT(
 IF(
  ('제조품질 날짜별 실적'!$F$2:$F$2500="GAIA-II")*('제조품질 날짜별 실적'!$I$2:$I$2500=3),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4</v>
      </c>
      <c r="G65" s="582" cm="1">
        <f t="array" ref="G65">SUMPRODUCT(
 IF(
  ('제조품질 날짜별 실적'!$F$2:$F$2500="GAIA-II")*('제조품질 날짜별 실적'!$I$2:$I$2500=4),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7</v>
      </c>
      <c r="H65" s="582" cm="1">
        <f t="array" ref="H65">SUMPRODUCT(
 IF(
  ('제조품질 날짜별 실적'!$F$2:$F$2500="GAIA-II")*('제조품질 날짜별 실적'!$I$2:$I$2500=5),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3</v>
      </c>
      <c r="I65" s="582" cm="1">
        <f t="array" ref="I65">SUMPRODUCT(
 IF(
  ('제조품질 날짜별 실적'!$F$2:$F$2500="GAIA-II")*('제조품질 날짜별 실적'!$I$2:$I$2500=6),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8</v>
      </c>
      <c r="J65" s="582" cm="1">
        <f t="array" ref="J65">SUMPRODUCT(
 IF(
  ('제조품질 날짜별 실적'!$F$2:$F$2500="GAIA-II")*('제조품질 날짜별 실적'!$I$2:$I$2500=7),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15</v>
      </c>
      <c r="K65" s="582" cm="1">
        <f t="array" ref="K65">SUMPRODUCT(
 IF(
  ('제조품질 날짜별 실적'!$F$2:$F$2500="GAIA-II")*('제조품질 날짜별 실적'!$I$2:$I$2500=8),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22</v>
      </c>
      <c r="L65" s="582" cm="1">
        <f t="array" ref="L65">SUMPRODUCT(
 IF(
  ('제조품질 날짜별 실적'!$F$2:$F$2500="GAIA-II")*('제조품질 날짜별 실적'!$I$2:$I$2500=9),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17</v>
      </c>
      <c r="M65" s="582" cm="1">
        <f t="array" ref="M65">SUMPRODUCT(
 IF(
  ('제조품질 날짜별 실적'!$F$2:$F$2500="GAIA-II")*('제조품질 날짜별 실적'!$I$2:$I$2500=10),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4</v>
      </c>
      <c r="N65" s="582" cm="1">
        <f t="array" ref="N65">SUMPRODUCT(
 IF(
  ('제조품질 날짜별 실적'!$F$2:$F$2500="GAIA-II")*('제조품질 날짜별 실적'!$I$2:$I$2500=11),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9</v>
      </c>
      <c r="O65" s="582" cm="1">
        <f t="array" ref="O65">SUMPRODUCT(
 IF(
  ('제조품질 날짜별 실적'!$F$2:$F$2500="GAIA-II")*('제조품질 날짜별 실적'!$I$2:$I$2500=12),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3</v>
      </c>
      <c r="P65" s="579">
        <f>SUM(D65:O65)</f>
        <v>124</v>
      </c>
    </row>
    <row r="66" spans="2:16" s="59" customFormat="1" ht="20.100000000000001" customHeight="1">
      <c r="B66" s="828"/>
      <c r="C66" s="572" t="s">
        <v>1474</v>
      </c>
      <c r="D66" s="586">
        <f>COUNTIFS(
 '제조품질 불량내역'!$D:$D,"GAIA-II",
 '제조품질 불량내역'!$K:$K,"&gt;="&amp;DATE(2025,1,1),
 '제조품질 불량내역'!$K:$K,"&lt;"&amp;DATE(2025,2,1)
)</f>
        <v>0</v>
      </c>
      <c r="E66" s="587">
        <f>COUNTIFS(
 '제조품질 불량내역'!$D:$D,"GAIA-II",
 '제조품질 불량내역'!$K:$K,"&gt;="&amp;DATE(2025,2,1),
 '제조품질 불량내역'!$K:$K,"&lt;"&amp;DATE(2025,3,1)
)</f>
        <v>2</v>
      </c>
      <c r="F66" s="587">
        <f>COUNTIFS(
 '제조품질 불량내역'!$D:$D,"GAIA-II",
 '제조품질 불량내역'!$K:$K,"&gt;="&amp;DATE(2025,3,1),
 '제조품질 불량내역'!$K:$K,"&lt;"&amp;DATE(2025,4,1)
)</f>
        <v>1</v>
      </c>
      <c r="G66" s="587">
        <f>COUNTIFS(
 '제조품질 불량내역'!$D:$D,"GAIA-II",
 '제조품질 불량내역'!$K:$K,"&gt;="&amp;DATE(2025,4,1),
 '제조품질 불량내역'!$K:$K,"&lt;"&amp;DATE(2025,5,1)
)</f>
        <v>0</v>
      </c>
      <c r="H66" s="587">
        <f>COUNTIFS(
 '제조품질 불량내역'!$D:$D,"GAIA-II",
 '제조품질 불량내역'!$K:$K,"&gt;="&amp;DATE(2025,5,1),
 '제조품질 불량내역'!$K:$K,"&lt;"&amp;DATE(2025,6,1)
)</f>
        <v>0</v>
      </c>
      <c r="I66" s="587">
        <f>COUNTIFS(
 '제조품질 불량내역'!$D:$D,"GAIA-II",
 '제조품질 불량내역'!$K:$K,"&gt;="&amp;DATE(2025,6,1),
 '제조품질 불량내역'!$K:$K,"&lt;"&amp;DATE(2025,7,1)
)</f>
        <v>0</v>
      </c>
      <c r="J66" s="587">
        <f>COUNTIFS(
 '제조품질 불량내역'!$D:$D,"GAIA-II",
 '제조품질 불량내역'!$K:$K,"&gt;="&amp;DATE(2025,7,1),
 '제조품질 불량내역'!$K:$K,"&lt;"&amp;DATE(2025,8,1)
)</f>
        <v>4</v>
      </c>
      <c r="K66" s="587">
        <f>COUNTIFS(
 '제조품질 불량내역'!$D:$D,"GAIA-II",
 '제조품질 불량내역'!$K:$K,"&gt;="&amp;DATE(2025,8,1),
 '제조품질 불량내역'!$K:$K,"&lt;"&amp;DATE(2025,9,1)
)</f>
        <v>21</v>
      </c>
      <c r="L66" s="587">
        <f>COUNTIFS(
 '제조품질 불량내역'!$D:$D,"GAIA-II",
 '제조품질 불량내역'!$K:$K,"&gt;="&amp;DATE(2025,9,1),
 '제조품질 불량내역'!$K:$K,"&lt;"&amp;DATE(2025,10,1)
)</f>
        <v>17</v>
      </c>
      <c r="M66" s="587">
        <f>COUNTIFS(
 '제조품질 불량내역'!$D:$D,"GAIA-II",
 '제조품질 불량내역'!$K:$K,"&gt;="&amp;DATE(2025,10,1),
 '제조품질 불량내역'!$K:$K,"&lt;"&amp;DATE(2025,11,1)
)</f>
        <v>2</v>
      </c>
      <c r="N66" s="587">
        <f>COUNTIFS(
 '제조품질 불량내역'!$D:$D,"GAIA-II",
 '제조품질 불량내역'!$K:$K,"&gt;="&amp;DATE(2025,11,1),
 '제조품질 불량내역'!$K:$K,"&lt;"&amp;DATE(2025,12,1)
)</f>
        <v>2</v>
      </c>
      <c r="O66" s="587">
        <f>COUNTIFS(
 '제조품질 불량내역'!$D:$D,"GAIA-II",
 '제조품질 불량내역'!$K:$K,"&gt;="&amp;DATE(2025,12,1),
 '제조품질 불량내역'!$K:$K,"&lt;"&amp;DATE(2026,1,1)
)</f>
        <v>0</v>
      </c>
      <c r="P66" s="585">
        <f>SUM(D66:O66)</f>
        <v>49</v>
      </c>
    </row>
    <row r="67" spans="2:16" s="59" customFormat="1" ht="20.100000000000001" customHeight="1">
      <c r="B67" s="828"/>
      <c r="C67" s="571" t="s">
        <v>1475</v>
      </c>
      <c r="D67" s="589">
        <f>D66/D65</f>
        <v>0</v>
      </c>
      <c r="E67" s="590">
        <f>E66/E65</f>
        <v>6.6666666666666666E-2</v>
      </c>
      <c r="F67" s="590">
        <v>0</v>
      </c>
      <c r="G67" s="590">
        <f>G66/G65</f>
        <v>0</v>
      </c>
      <c r="H67" s="590">
        <f>H66/H65</f>
        <v>0</v>
      </c>
      <c r="I67" s="590">
        <f>I66/I65</f>
        <v>0</v>
      </c>
      <c r="J67" s="590">
        <f>J66/J65</f>
        <v>0.26666666666666666</v>
      </c>
      <c r="K67" s="590">
        <f>K66/K65</f>
        <v>0.95454545454545459</v>
      </c>
      <c r="L67" s="590">
        <f>L66/L65</f>
        <v>1</v>
      </c>
      <c r="M67" s="590">
        <f>M66/M65</f>
        <v>0.5</v>
      </c>
      <c r="N67" s="590">
        <f>N66/N65</f>
        <v>0.22222222222222221</v>
      </c>
      <c r="O67" s="590">
        <f>O66/O65</f>
        <v>0</v>
      </c>
      <c r="P67" s="244">
        <f>P66/P65</f>
        <v>0.39516129032258063</v>
      </c>
    </row>
    <row r="68" spans="2:16" s="59" customFormat="1" ht="20.100000000000001" customHeight="1">
      <c r="B68" s="827" t="s">
        <v>1478</v>
      </c>
      <c r="C68" s="569" t="s">
        <v>1473</v>
      </c>
      <c r="D68" s="574" cm="1">
        <f t="array" ref="D68">SUMPRODUCT(
 IF(
  ('제조품질 날짜별 실적'!$F$2:$F$2500="GAIA-II DUAL")*('제조품질 날짜별 실적'!$I$2:$I$2500=1),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0</v>
      </c>
      <c r="E68" s="577" cm="1">
        <f t="array" ref="E68">SUMPRODUCT(
 IF(
  ('제조품질 날짜별 실적'!$F$2:$F$2500="GAIA-II DUAL")*('제조품질 날짜별 실적'!$I$2:$I$2500=2),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0</v>
      </c>
      <c r="F68" s="577" cm="1">
        <f t="array" ref="F68">SUMPRODUCT(
 IF(
  ('제조품질 날짜별 실적'!$F$2:$F$2500="GAIA-II DUAL")*('제조품질 날짜별 실적'!$I$2:$I$2500=3),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3</v>
      </c>
      <c r="G68" s="577" cm="1">
        <f t="array" ref="G68">SUMPRODUCT(
 IF(
  ('제조품질 날짜별 실적'!$F$2:$F$2500="GAIA-II DUAL")*('제조품질 날짜별 실적'!$I$2:$I$2500=4),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0</v>
      </c>
      <c r="H68" s="577" cm="1">
        <f t="array" ref="H68">SUMPRODUCT(
 IF(
  ('제조품질 날짜별 실적'!$F$2:$F$2500="GAIA-II DUAL")*('제조품질 날짜별 실적'!$I$2:$I$2500=5),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0</v>
      </c>
      <c r="I68" s="577" cm="1">
        <f t="array" ref="I68">SUMPRODUCT(
 IF(
  ('제조품질 날짜별 실적'!$F$2:$F$2500="GAIA-II DUAL")*('제조품질 날짜별 실적'!$I$2:$I$2500=6),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3</v>
      </c>
      <c r="J68" s="577" cm="1">
        <f t="array" ref="J68">SUMPRODUCT(
 IF(
  ('제조품질 날짜별 실적'!$F$2:$F$2500="GAIA-II DUAL")*('제조품질 날짜별 실적'!$I$2:$I$2500=7),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7</v>
      </c>
      <c r="K68" s="577" cm="1">
        <f t="array" ref="K68">SUMPRODUCT(
 IF(
  ('제조품질 날짜별 실적'!$F$2:$F$2500="GAIA-II DUAL")*('제조품질 날짜별 실적'!$I$2:$I$2500=8),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3</v>
      </c>
      <c r="L68" s="577" cm="1">
        <f t="array" ref="L68">SUMPRODUCT(
 IF(
  ('제조품질 날짜별 실적'!$F$2:$F$2500="GAIA-II DUAL")*('제조품질 날짜별 실적'!$I$2:$I$2500=9),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8</v>
      </c>
      <c r="M68" s="577" cm="1">
        <f t="array" ref="M68">SUMPRODUCT(
 IF(
  ('제조품질 날짜별 실적'!$F$2:$F$2500="GAIA-II DUAL")*('제조품질 날짜별 실적'!$I$2:$I$2500=10),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2</v>
      </c>
      <c r="N68" s="577" cm="1">
        <f t="array" ref="N68">SUMPRODUCT(
 IF(
  ('제조품질 날짜별 실적'!$F$2:$F$2500="GAIA-II DUAL")*('제조품질 날짜별 실적'!$I$2:$I$2500=11),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0</v>
      </c>
      <c r="O68" s="577" cm="1">
        <f t="array" ref="O68">SUMPRODUCT(
 IF(
  ('제조품질 날짜별 실적'!$F$2:$F$2500="GAIA-II DUAL")*('제조품질 날짜별 실적'!$I$2:$I$2500=12),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4</v>
      </c>
      <c r="P68" s="576">
        <f>SUM(D68:O68)</f>
        <v>30</v>
      </c>
    </row>
    <row r="69" spans="2:16" s="59" customFormat="1" ht="20.100000000000001" customHeight="1">
      <c r="B69" s="828"/>
      <c r="C69" s="571" t="s">
        <v>1474</v>
      </c>
      <c r="D69" s="586">
        <f>COUNTIFS(
 '제조품질 불량내역'!$D:$D,"GAIA-II DUAL",
 '제조품질 불량내역'!$K:$K,"&gt;="&amp;DATE(2025,1,1),
 '제조품질 불량내역'!$K:$K,"&lt;"&amp;DATE(2025,2,1)
)</f>
        <v>0</v>
      </c>
      <c r="E69" s="587">
        <f>COUNTIFS(
 '제조품질 불량내역'!$D:$D,"GAIA-II DUAL",
 '제조품질 불량내역'!$K:$K,"&gt;="&amp;DATE(2025,2,1),
 '제조품질 불량내역'!$K:$K,"&lt;"&amp;DATE(2025,3,1)
)</f>
        <v>0</v>
      </c>
      <c r="F69" s="587">
        <f>COUNTIFS(
 '제조품질 불량내역'!$D:$D,"GAIA-II DUAL",
 '제조품질 불량내역'!$K:$K,"&gt;="&amp;DATE(2025,3,1),
 '제조품질 불량내역'!$K:$K,"&lt;"&amp;DATE(2025,4,1)
)</f>
        <v>0</v>
      </c>
      <c r="G69" s="587">
        <f>COUNTIFS(
 '제조품질 불량내역'!$D:$D,"GAIA-II DUAL",
 '제조품질 불량내역'!$K:$K,"&gt;="&amp;DATE(2025,4,1),
 '제조품질 불량내역'!$K:$K,"&lt;"&amp;DATE(2025,5,1)
)</f>
        <v>0</v>
      </c>
      <c r="H69" s="587">
        <f>COUNTIFS(
 '제조품질 불량내역'!$D:$D,"GAIA-II DUAL",
 '제조품질 불량내역'!$K:$K,"&gt;="&amp;DATE(2025,5,1),
 '제조품질 불량내역'!$K:$K,"&lt;"&amp;DATE(2025,6,1)
)</f>
        <v>0</v>
      </c>
      <c r="I69" s="587">
        <f>COUNTIFS(
 '제조품질 불량내역'!$D:$D,"GAIA-II DUAL",
 '제조품질 불량내역'!$K:$K,"&gt;="&amp;DATE(2025,6,1),
 '제조품질 불량내역'!$K:$K,"&lt;"&amp;DATE(2025,7,1)
)</f>
        <v>0</v>
      </c>
      <c r="J69" s="587">
        <f>COUNTIFS(
 '제조품질 불량내역'!$D:$D,"GAIA-II DUAL",
 '제조품질 불량내역'!$K:$K,"&gt;="&amp;DATE(2025,7,1),
 '제조품질 불량내역'!$K:$K,"&lt;"&amp;DATE(2025,8,1)
)</f>
        <v>11</v>
      </c>
      <c r="K69" s="587">
        <f>COUNTIFS(
 '제조품질 불량내역'!$D:$D,"GAIA-II DUAL",
 '제조품질 불량내역'!$K:$K,"&gt;="&amp;DATE(2025,8,1),
 '제조품질 불량내역'!$K:$K,"&lt;"&amp;DATE(2025,9,1)
)</f>
        <v>2</v>
      </c>
      <c r="L69" s="587">
        <f>COUNTIFS(
 '제조품질 불량내역'!$D:$D,"GAIA-II DUAL",
 '제조품질 불량내역'!$K:$K,"&gt;="&amp;DATE(2025,9,1),
 '제조품질 불량내역'!$K:$K,"&lt;"&amp;DATE(2025,10,1)
)</f>
        <v>6</v>
      </c>
      <c r="M69" s="587">
        <f>COUNTIFS(
 '제조품질 불량내역'!$D:$D,"GAIA-II DUAL",
 '제조품질 불량내역'!$K:$K,"&gt;="&amp;DATE(2025,10,1),
 '제조품질 불량내역'!$K:$K,"&lt;"&amp;DATE(2025,11,1)
)</f>
        <v>2</v>
      </c>
      <c r="N69" s="587">
        <f>COUNTIFS(
 '제조품질 불량내역'!$D:$D,"GAIA-II DUAL",
 '제조품질 불량내역'!$K:$K,"&gt;="&amp;DATE(2025,11,1),
 '제조품질 불량내역'!$K:$K,"&lt;"&amp;DATE(2025,12,1)
)</f>
        <v>0</v>
      </c>
      <c r="O69" s="593">
        <f>COUNTIFS(
 '제조품질 불량내역'!$D:$D,"GAIA-II DUAL",
 '제조품질 불량내역'!$K:$K,"&gt;="&amp;DATE(2025,12,1),
 '제조품질 불량내역'!$K:$K,"&lt;"&amp;DATE(2026,1,1)
)</f>
        <v>3</v>
      </c>
      <c r="P69" s="585">
        <f>SUM(D69:O69)</f>
        <v>24</v>
      </c>
    </row>
    <row r="70" spans="2:16" s="59" customFormat="1" ht="20.100000000000001" customHeight="1">
      <c r="B70" s="828"/>
      <c r="C70" s="584" t="s">
        <v>1475</v>
      </c>
      <c r="D70" s="589">
        <v>0</v>
      </c>
      <c r="E70" s="590">
        <v>0</v>
      </c>
      <c r="F70" s="590">
        <f>F69/F68</f>
        <v>0</v>
      </c>
      <c r="G70" s="590">
        <v>0</v>
      </c>
      <c r="H70" s="590">
        <v>0</v>
      </c>
      <c r="I70" s="590">
        <f>I69/I68</f>
        <v>0</v>
      </c>
      <c r="J70" s="590">
        <f>J69/J68</f>
        <v>1.5714285714285714</v>
      </c>
      <c r="K70" s="590">
        <f>K69/K68</f>
        <v>0.66666666666666663</v>
      </c>
      <c r="L70" s="590">
        <f>L69/L68</f>
        <v>0.75</v>
      </c>
      <c r="M70" s="590">
        <f>M69/M68</f>
        <v>1</v>
      </c>
      <c r="N70" s="590">
        <v>0</v>
      </c>
      <c r="O70" s="590">
        <f>O69/O68</f>
        <v>0.75</v>
      </c>
      <c r="P70" s="244">
        <f>P69/P68</f>
        <v>0.8</v>
      </c>
    </row>
    <row r="71" spans="2:16" s="59" customFormat="1" ht="20.100000000000001" customHeight="1">
      <c r="B71" s="827" t="s">
        <v>1479</v>
      </c>
      <c r="C71" s="580" t="s">
        <v>1473</v>
      </c>
      <c r="D71" s="581" cm="1">
        <f t="array" ref="D71">SUMPRODUCT(
 IF(
  ('제조품질 날짜별 실적'!$F$2:$F$2500="GAIA-P")*('제조품질 날짜별 실적'!$I$2:$I$2500=1),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</v>
      </c>
      <c r="E71" s="582" cm="1">
        <f t="array" ref="E71">SUMPRODUCT(
 IF(
  ('제조품질 날짜별 실적'!$F$2:$F$2500="GAIA-P")*('제조품질 날짜별 실적'!$I$2:$I$2500=2),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13</v>
      </c>
      <c r="F71" s="582" cm="1">
        <f t="array" ref="F71">SUMPRODUCT(
 IF(
  ('제조품질 날짜별 실적'!$F$2:$F$2500="GAIA-P")*('제조품질 날짜별 실적'!$I$2:$I$2500=3),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43</v>
      </c>
      <c r="G71" s="582" cm="1">
        <f t="array" ref="G71">SUMPRODUCT(
 IF(
  ('제조품질 날짜별 실적'!$F$2:$F$2500="GAIA-P")*('제조품질 날짜별 실적'!$I$2:$I$2500=4),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33</v>
      </c>
      <c r="H71" s="582" cm="1">
        <f t="array" ref="H71">SUMPRODUCT(
 IF(
  ('제조품질 날짜별 실적'!$F$2:$F$2500="GAIA-P")*('제조품질 날짜별 실적'!$I$2:$I$2500=5),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6</v>
      </c>
      <c r="I71" s="582" cm="1">
        <f t="array" ref="I71">SUMPRODUCT(
 IF(
  ('제조품질 날짜별 실적'!$F$2:$F$2500="GAIA-P")*('제조품질 날짜별 실적'!$I$2:$I$2500=6),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0</v>
      </c>
      <c r="J71" s="582" cm="1">
        <f t="array" ref="J71">SUMPRODUCT(
 IF(
  ('제조품질 날짜별 실적'!$F$2:$F$2500="GAIA-P")*('제조품질 날짜별 실적'!$I$2:$I$2500=7),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</v>
      </c>
      <c r="K71" s="582" cm="1">
        <f t="array" ref="K71">SUMPRODUCT(
 IF(
  ('제조품질 날짜별 실적'!$F$2:$F$2500="GAIA-P")*('제조품질 날짜별 실적'!$I$2:$I$2500=8),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3</v>
      </c>
      <c r="L71" s="582" cm="1">
        <f t="array" ref="L71">SUMPRODUCT(
 IF(
  ('제조품질 날짜별 실적'!$F$2:$F$2500="GAIA-P")*('제조품질 날짜별 실적'!$I$2:$I$2500=9),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26</v>
      </c>
      <c r="M71" s="582" cm="1">
        <f t="array" ref="M71">SUMPRODUCT(
 IF(
  ('제조품질 날짜별 실적'!$F$2:$F$2500="GAIA-P")*('제조품질 날짜별 실적'!$I$2:$I$2500=10),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4</v>
      </c>
      <c r="N71" s="582" cm="1">
        <f t="array" ref="N71">SUMPRODUCT(
 IF(
  ('제조품질 날짜별 실적'!$F$2:$F$2500="GAIA-P")*('제조품질 날짜별 실적'!$I$2:$I$2500=11),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7</v>
      </c>
      <c r="O71" s="582" cm="1">
        <f t="array" ref="O71">SUMPRODUCT(
 IF(
  ('제조품질 날짜별 실적'!$F$2:$F$2500="GAIA-P")*('제조품질 날짜별 실적'!$I$2:$I$2500=12),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10</v>
      </c>
      <c r="P71" s="576">
        <f>SUM(D71:O71)</f>
        <v>147</v>
      </c>
    </row>
    <row r="72" spans="2:16" s="59" customFormat="1" ht="20.100000000000001" customHeight="1">
      <c r="B72" s="828"/>
      <c r="C72" s="572" t="s">
        <v>1474</v>
      </c>
      <c r="D72" s="586">
        <f>COUNTIFS(
 '제조품질 불량내역'!$D:$D,"GAIA-P",
 '제조품질 불량내역'!$K:$K,"&gt;="&amp;DATE(2025,1,1),
 '제조품질 불량내역'!$K:$K,"&lt;"&amp;DATE(2025,2,1)
)</f>
        <v>0</v>
      </c>
      <c r="E72" s="587">
        <f>COUNTIFS(
 '제조품질 불량내역'!$D:$D,"GAIA-P",
 '제조품질 불량내역'!$K:$K,"&gt;="&amp;DATE(2025,2,1),
 '제조품질 불량내역'!$K:$K,"&lt;"&amp;DATE(2025,3,1)
)</f>
        <v>0</v>
      </c>
      <c r="F72" s="587">
        <f>COUNTIFS(
 '제조품질 불량내역'!$D:$D,"GAIA-P",
 '제조품질 불량내역'!$K:$K,"&gt;="&amp;DATE(2025,3,1),
 '제조품질 불량내역'!$K:$K,"&lt;"&amp;DATE(2025,4,1)
)</f>
        <v>1</v>
      </c>
      <c r="G72" s="587">
        <f>COUNTIFS(
 '제조품질 불량내역'!$D:$D,"GAIA-P",
 '제조품질 불량내역'!$K:$K,"&gt;="&amp;DATE(2025,4,1),
 '제조품질 불량내역'!$K:$K,"&lt;"&amp;DATE(2025,,1)
)</f>
        <v>0</v>
      </c>
      <c r="H72" s="587">
        <f>COUNTIFS(
 '제조품질 불량내역'!$D:$D,"GAIA-P",
 '제조품질 불량내역'!$K:$K,"&gt;="&amp;DATE(2025,5,1),
 '제조품질 불량내역'!$K:$K,"&lt;"&amp;DATE(2025,6,1)
)</f>
        <v>1</v>
      </c>
      <c r="I72" s="587">
        <f>COUNTIFS(
 '제조품질 불량내역'!$D:$D,"GAIA-P",
 '제조품질 불량내역'!$K:$K,"&gt;="&amp;DATE(2025,6,1),
 '제조품질 불량내역'!$K:$K,"&lt;"&amp;DATE(2025,7,1)
)</f>
        <v>0</v>
      </c>
      <c r="J72" s="587">
        <f>COUNTIFS(
 '제조품질 불량내역'!$D:$D,"GAIA-P",
 '제조품질 불량내역'!$K:$K,"&gt;="&amp;DATE(2025,7,1),
 '제조품질 불량내역'!$K:$K,"&lt;"&amp;DATE(2025,8,1)
)</f>
        <v>1</v>
      </c>
      <c r="K72" s="587">
        <f>COUNTIFS(
 '제조품질 불량내역'!$D:$D,"GAIA-P",
 '제조품질 불량내역'!$K:$K,"&gt;="&amp;DATE(2025,8,1),
 '제조품질 불량내역'!$K:$K,"&lt;"&amp;DATE(2025,9,1)
)</f>
        <v>1</v>
      </c>
      <c r="L72" s="587">
        <f>COUNTIFS(
 '제조품질 불량내역'!$D:$D,"GAIA-P",
 '제조품질 불량내역'!$K:$K,"&gt;="&amp;DATE(2025,9,1),
 '제조품질 불량내역'!$K:$K,"&lt;"&amp;DATE(2025,10,1)
)</f>
        <v>8</v>
      </c>
      <c r="M72" s="587">
        <f>COUNTIFS(
 '제조품질 불량내역'!$D:$D,"GAIA-P",
 '제조품질 불량내역'!$K:$K,"&gt;="&amp;DATE(2025,10,1),
 '제조품질 불량내역'!$K:$K,"&lt;"&amp;DATE(2025,11,1)
)</f>
        <v>0</v>
      </c>
      <c r="N72" s="587">
        <f>COUNTIFS(
 '제조품질 불량내역'!$D:$D,"GAIA-P",
 '제조품질 불량내역'!$K:$K,"&gt;="&amp;DATE(2025,11,1),
 '제조품질 불량내역'!$K:$K,"&lt;"&amp;DATE(2025,12,1)
)</f>
        <v>1</v>
      </c>
      <c r="O72" s="587">
        <f>COUNTIFS(
 '제조품질 불량내역'!$D:$D,"GAIA-P",
 '제조품질 불량내역'!$K:$K,"&gt;="&amp;DATE(2025,12,1),
 '제조품질 불량내역'!$K:$K,"&lt;"&amp;DATE(2026,1,1)
)</f>
        <v>7</v>
      </c>
      <c r="P72" s="585">
        <f>SUM(D72:O72)</f>
        <v>20</v>
      </c>
    </row>
    <row r="73" spans="2:16" s="59" customFormat="1" ht="20.100000000000001" customHeight="1">
      <c r="B73" s="828"/>
      <c r="C73" s="571" t="s">
        <v>1475</v>
      </c>
      <c r="D73" s="599">
        <f>D72/D71</f>
        <v>0</v>
      </c>
      <c r="E73" s="600">
        <f>E72/E71</f>
        <v>0</v>
      </c>
      <c r="F73" s="600">
        <v>0</v>
      </c>
      <c r="G73" s="600">
        <f>G72/G71</f>
        <v>0</v>
      </c>
      <c r="H73" s="600">
        <f>H72/H71</f>
        <v>0.16666666666666666</v>
      </c>
      <c r="I73" s="600" t="e">
        <f>I72/I71</f>
        <v>#DIV/0!</v>
      </c>
      <c r="J73" s="600">
        <f>J72/J71</f>
        <v>1</v>
      </c>
      <c r="K73" s="600">
        <f>K72/K71</f>
        <v>0.33333333333333331</v>
      </c>
      <c r="L73" s="600">
        <f>L72/L71</f>
        <v>0.30769230769230771</v>
      </c>
      <c r="M73" s="600">
        <f>M72/M71</f>
        <v>0</v>
      </c>
      <c r="N73" s="600">
        <f>N72/N71</f>
        <v>0.14285714285714285</v>
      </c>
      <c r="O73" s="600">
        <f>O72/O71</f>
        <v>0.7</v>
      </c>
      <c r="P73" s="220">
        <f>P72/P71</f>
        <v>0.1360544217687075</v>
      </c>
    </row>
    <row r="74" spans="2:16" s="59" customFormat="1" ht="20.100000000000001" customHeight="1">
      <c r="B74" s="827" t="s">
        <v>1480</v>
      </c>
      <c r="C74" s="569" t="s">
        <v>1473</v>
      </c>
      <c r="D74" s="594" cm="1">
        <f t="array" ref="D74">SUMPRODUCT(
 IF(
  ('제조품질 날짜별 실적'!$F$2:$F$2500="GAIA-P DUAL")*('제조품질 날짜별 실적'!$I$2:$I$2500=1),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5</v>
      </c>
      <c r="E74" s="595" cm="1">
        <f t="array" ref="E74">SUMPRODUCT(
 IF(
  ('제조품질 날짜별 실적'!$F$2:$F$2500="GAIA-P DUAL")*('제조품질 날짜별 실적'!$I$2:$I$2500=2),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3</v>
      </c>
      <c r="F74" s="595" cm="1">
        <f t="array" ref="F74">SUMPRODUCT(
 IF(
  ('제조품질 날짜별 실적'!$F$2:$F$2500="GAIA-P DUAL")*('제조품질 날짜별 실적'!$I$2:$I$2500=3),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10</v>
      </c>
      <c r="G74" s="595" cm="1">
        <f t="array" ref="G74">SUMPRODUCT(
 IF(
  ('제조품질 날짜별 실적'!$F$2:$F$2500="GAIA-P DUAL")*('제조품질 날짜별 실적'!$I$2:$I$2500=4),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4</v>
      </c>
      <c r="H74" s="595" cm="1">
        <f t="array" ref="H74">SUMPRODUCT(
 IF(
  ('제조품질 날짜별 실적'!$F$2:$F$2500="GAIA-P DUAL")*('제조품질 날짜별 실적'!$I$2:$I$2500=5),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2</v>
      </c>
      <c r="I74" s="595" cm="1">
        <f t="array" ref="I74">SUMPRODUCT(
 IF(
  ('제조품질 날짜별 실적'!$F$2:$F$2500="GAIA-P DUAL")*('제조품질 날짜별 실적'!$I$2:$I$2500=6),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5</v>
      </c>
      <c r="J74" s="595" cm="1">
        <f t="array" ref="J74">SUMPRODUCT(
 IF(
  ('제조품질 날짜별 실적'!$F$2:$F$2500="GAIA-P DUAL")*('제조품질 날짜별 실적'!$I$2:$I$2500=7),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2</v>
      </c>
      <c r="K74" s="595" cm="1">
        <f t="array" ref="K74">SUMPRODUCT(
 IF(
  ('제조품질 날짜별 실적'!$F$2:$F$2500="GAIA-P DUAL")*('제조품질 날짜별 실적'!$I$2:$I$2500=8),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</v>
      </c>
      <c r="L74" s="595" cm="1">
        <f t="array" ref="L74">SUMPRODUCT(
 IF(
  ('제조품질 날짜별 실적'!$F$2:$F$2500="GAIA-P DUAL")*('제조품질 날짜별 실적'!$I$2:$I$2500=9),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</v>
      </c>
      <c r="M74" s="595" cm="1">
        <f t="array" ref="M74">SUMPRODUCT(
 IF(
  ('제조품질 날짜별 실적'!$F$2:$F$2500="GAIA-P DUAL")*('제조품질 날짜별 실적'!$I$2:$I$2500=10),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3</v>
      </c>
      <c r="N74" s="595" cm="1">
        <f t="array" ref="N74">SUMPRODUCT(
 IF(
  ('제조품질 날짜별 실적'!$F$2:$F$2500="GAIA-P DUAL")*('제조품질 날짜별 실적'!$I$2:$I$2500=11),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18</v>
      </c>
      <c r="O74" s="596" cm="1">
        <f t="array" ref="O74">SUMPRODUCT(
 IF(
  ('제조품질 날짜별 실적'!$F$2:$F$2500="GAIA-P DUAL")*('제조품질 날짜별 실적'!$I$2:$I$2500=12),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14.999999999999996</v>
      </c>
      <c r="P74" s="601">
        <f>SUM(D74:O74)</f>
        <v>69</v>
      </c>
    </row>
    <row r="75" spans="2:16" s="59" customFormat="1" ht="20.100000000000001" customHeight="1">
      <c r="B75" s="828"/>
      <c r="C75" s="570" t="s">
        <v>1474</v>
      </c>
      <c r="D75" s="586">
        <f>COUNTIFS(
 '제조품질 불량내역'!$D:$D,"GAIA-P DUAL",
 '제조품질 불량내역'!$K:$K,"&gt;="&amp;DATE(2025,1,1),
 '제조품질 불량내역'!$K:$K,"&lt;"&amp;DATE(2025,2,1)
)</f>
        <v>0</v>
      </c>
      <c r="E75" s="587">
        <f>COUNTIFS(
 '제조품질 불량내역'!$D:$D,"GAIA-P DUAL",
 '제조품질 불량내역'!$K:$K,"&gt;="&amp;DATE(2025,2,1),
 '제조품질 불량내역'!$K:$K,"&lt;"&amp;DATE(2025,3,1)
)</f>
        <v>0</v>
      </c>
      <c r="F75" s="587">
        <f>COUNTIFS(
 '제조품질 불량내역'!$D:$D,"GAIA-P DUAL",
 '제조품질 불량내역'!$K:$K,"&gt;="&amp;DATE(2025,3,1),
 '제조품질 불량내역'!$K:$K,"&lt;"&amp;DATE(2025,4,1)
)</f>
        <v>0</v>
      </c>
      <c r="G75" s="587">
        <f>COUNTIFS(
 '제조품질 불량내역'!$D:$D,"GAIA-P DUAL",
 '제조품질 불량내역'!$K:$K,"&gt;="&amp;DATE(2025,4,1),
 '제조품질 불량내역'!$K:$K,"&lt;"&amp;DATE(2025,5,1)
)</f>
        <v>0</v>
      </c>
      <c r="H75" s="587">
        <f>COUNTIFS(
 '제조품질 불량내역'!$D:$D,"GAIA-P DUAL",
 '제조품질 불량내역'!$K:$K,"&gt;="&amp;DATE(2025,5,1),
 '제조품질 불량내역'!$K:$K,"&lt;"&amp;DATE(2025,6,1)
)</f>
        <v>1</v>
      </c>
      <c r="I75" s="587">
        <f>COUNTIFS(
 '제조품질 불량내역'!$D:$D,"GAIA-P DUAL",
 '제조품질 불량내역'!$K:$K,"&gt;="&amp;DATE(2025,6,1),
 '제조품질 불량내역'!$K:$K,"&lt;"&amp;DATE(2025,7,1)
)</f>
        <v>0</v>
      </c>
      <c r="J75" s="587">
        <f>COUNTIFS(
 '제조품질 불량내역'!$D:$D,"GAIA-P DUAL",
 '제조품질 불량내역'!$K:$K,"&gt;="&amp;DATE(2025,7,1),
 '제조품질 불량내역'!$K:$K,"&lt;"&amp;DATE(2025,8,1)
)</f>
        <v>2</v>
      </c>
      <c r="K75" s="587">
        <f>COUNTIFS(
 '제조품질 불량내역'!$D:$D,"GAIA-P DUAL",
 '제조품질 불량내역'!$K:$K,"&gt;="&amp;DATE(2025,8,1),
 '제조품질 불량내역'!$K:$K,"&lt;"&amp;DATE(2025,9,1)
)</f>
        <v>0</v>
      </c>
      <c r="L75" s="587">
        <f>COUNTIFS(
 '제조품질 불량내역'!$D:$D,"GAIA-P DUAL",
 '제조품질 불량내역'!$K:$K,"&gt;="&amp;DATE(2025,9,1),
 '제조품질 불량내역'!$K:$K,"&lt;"&amp;DATE(2025,10,1)
)</f>
        <v>4</v>
      </c>
      <c r="M75" s="587">
        <f>COUNTIFS(
 '제조품질 불량내역'!$D:$D,"GAIA-P DUAL",
 '제조품질 불량내역'!$K:$K,"&gt;="&amp;DATE(2025,10,1),
 '제조품질 불량내역'!$K:$K,"&lt;"&amp;DATE(2025,11,1)
)</f>
        <v>1</v>
      </c>
      <c r="N75" s="587">
        <f>COUNTIFS(
 '제조품질 불량내역'!$D:$D,"GAIA-P DUAL",
 '제조품질 불량내역'!$K:$K,"&gt;="&amp;DATE(2025,11,1),
 '제조품질 불량내역'!$K:$K,"&lt;"&amp;DATE(2025,12,1)
)</f>
        <v>5</v>
      </c>
      <c r="O75" s="588">
        <f>COUNTIFS(
 '제조품질 불량내역'!$D:$D,"GAIA-P DUAL",
 '제조품질 불량내역'!$K:$K,"&gt;="&amp;DATE(2025,12,1),
 '제조품질 불량내역'!$K:$K,"&lt;"&amp;DATE(2026,1,1)
)</f>
        <v>23</v>
      </c>
      <c r="P75" s="230">
        <f>SUM(D75:O75)</f>
        <v>36</v>
      </c>
    </row>
    <row r="76" spans="2:16" s="59" customFormat="1" ht="20.100000000000001" customHeight="1">
      <c r="B76" s="828"/>
      <c r="C76" s="571" t="s">
        <v>1475</v>
      </c>
      <c r="D76" s="597">
        <f>D75/D74</f>
        <v>0</v>
      </c>
      <c r="E76" s="598">
        <f>E75/E74</f>
        <v>0</v>
      </c>
      <c r="F76" s="598">
        <f>F75/F74</f>
        <v>0</v>
      </c>
      <c r="G76" s="598">
        <f>G75/G74</f>
        <v>0</v>
      </c>
      <c r="H76" s="598">
        <f>H75/H74</f>
        <v>0.5</v>
      </c>
      <c r="I76" s="598">
        <f>I75/I74</f>
        <v>0</v>
      </c>
      <c r="J76" s="598">
        <f>J75/J74</f>
        <v>1</v>
      </c>
      <c r="K76" s="598">
        <f>K75/K74</f>
        <v>0</v>
      </c>
      <c r="L76" s="598">
        <f>L75/L74</f>
        <v>4</v>
      </c>
      <c r="M76" s="598">
        <f>M75/M74</f>
        <v>0.33333333333333331</v>
      </c>
      <c r="N76" s="598">
        <f>N75/N74</f>
        <v>0.27777777777777779</v>
      </c>
      <c r="O76" s="598">
        <f>O75/O74</f>
        <v>1.5333333333333337</v>
      </c>
      <c r="P76" s="220">
        <f>P75/P74</f>
        <v>0.52173913043478259</v>
      </c>
    </row>
    <row r="77" spans="2:16" s="59" customFormat="1" ht="20.100000000000001" customHeight="1">
      <c r="B77" s="827" t="s">
        <v>1397</v>
      </c>
      <c r="C77" s="569" t="s">
        <v>1473</v>
      </c>
      <c r="D77" s="574" cm="1">
        <f t="array" ref="D77">SUMPRODUCT(IF(('제조품질 날짜별 실적'!$F$2:$F$2500="DRAGON LE")*('제조품질 날짜별 실적'!$I$2:$I$2500=1),1/COUNTIFS('제조품질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AB")*('제조품질 날짜별 실적'!$I$2:$I$2500=1),1/COUNTIFS('제조품질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6</v>
      </c>
      <c r="E77" s="577" cm="1">
        <f t="array" ref="E77">SUMPRODUCT(IF(('제조품질 날짜별 실적'!$F$2:$F$2500="DRAGON LE")*('제조품질 날짜별 실적'!$I$2:$I$2500=2),1/COUNTIFS('제조품질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AB")*('제조품질 날짜별 실적'!$I$2:$I$2500=2),1/COUNTIFS('제조품질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2</v>
      </c>
      <c r="F77" s="577" cm="1">
        <f t="array" ref="F77">SUMPRODUCT(IF(('제조품질 날짜별 실적'!$F$2:$F$2500="DRAGON LE")*('제조품질 날짜별 실적'!$I$2:$I$2500=3),1/COUNTIFS('제조품질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AB")*('제조품질 날짜별 실적'!$I$2:$I$2500=3),1/COUNTIFS('제조품질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8</v>
      </c>
      <c r="G77" s="577" cm="1">
        <f t="array" ref="G77">SUMPRODUCT(IF(('제조품질 날짜별 실적'!$F$2:$F$2500="DRAGON LE")*('제조품질 날짜별 실적'!$I$2:$I$2500=4),1/COUNTIFS('제조품질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AB")*('제조품질 날짜별 실적'!$I$2:$I$2500=4),1/COUNTIFS('제조품질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8</v>
      </c>
      <c r="H77" s="577" cm="1">
        <f t="array" ref="H77">SUMPRODUCT(IF(('제조품질 날짜별 실적'!$F$2:$F$2500="DRAGON LE")*('제조품질 날짜별 실적'!$I$2:$I$2500=5),1/COUNTIFS('제조품질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AB")*('제조품질 날짜별 실적'!$I$2:$I$2500=5),1/COUNTIFS('제조품질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5</v>
      </c>
      <c r="I77" s="577" cm="1">
        <f t="array" ref="I77">SUMPRODUCT(IF(('제조품질 날짜별 실적'!$F$2:$F$2500="DRAGON LE")*('제조품질 날짜별 실적'!$I$2:$I$2500=6),1/COUNTIFS('제조품질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AB")*('제조품질 날짜별 실적'!$I$2:$I$2500=6),1/COUNTIFS('제조품질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6</v>
      </c>
      <c r="J77" s="577" cm="1">
        <f t="array" ref="J77">SUMPRODUCT(IF(('제조품질 날짜별 실적'!$F$2:$F$2500="DRAGON LE")*('제조품질 날짜별 실적'!$I$2:$I$2500=7),1/COUNTIFS('제조품질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AB")*('제조품질 날짜별 실적'!$I$2:$I$2500=7),1/COUNTIFS('제조품질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4</v>
      </c>
      <c r="K77" s="577" cm="1">
        <f t="array" ref="K77">SUMPRODUCT(IF(('제조품질 날짜별 실적'!$F$2:$F$2500="DRAGON LE")*('제조품질 날짜별 실적'!$I$2:$I$2500=8),1/COUNTIFS('제조품질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AB")*('제조품질 날짜별 실적'!$I$2:$I$2500=8),1/COUNTIFS('제조품질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8</v>
      </c>
      <c r="L77" s="577" cm="1">
        <f t="array" ref="L77">SUMPRODUCT(IF(('제조품질 날짜별 실적'!$F$2:$F$2500="DRAGON LE")*('제조품질 날짜별 실적'!$I$2:$I$2500=9),1/COUNTIFS('제조품질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AB")*('제조품질 날짜별 실적'!$I$2:$I$2500=9),1/COUNTIFS('제조품질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6</v>
      </c>
      <c r="M77" s="577" cm="1">
        <f t="array" ref="M77">SUMPRODUCT(IF(('제조품질 날짜별 실적'!$F$2:$F$2500="DRAGON LE")*('제조품질 날짜별 실적'!$I$2:$I$2500=10),1/COUNTIFS('제조품질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AB")*('제조품질 날짜별 실적'!$I$2:$I$2500=10),1/COUNTIFS('제조품질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2</v>
      </c>
      <c r="N77" s="577" cm="1">
        <f t="array" ref="N77">SUMPRODUCT(IF(('제조품질 날짜별 실적'!$F$2:$F$2500="DRAGON LE")*('제조품질 날짜별 실적'!$I$2:$I$2500=11),1/COUNTIFS('제조품질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AB")*('제조품질 날짜별 실적'!$I$2:$I$2500=11),1/COUNTIFS('제조품질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6</v>
      </c>
      <c r="O77" s="578" cm="1">
        <f t="array" ref="O77">SUMPRODUCT(IF(('제조품질 날짜별 실적'!$F$2:$F$2500="DRAGON LE")*('제조품질 날짜별 실적'!$I$2:$I$2500=12),1/COUNTIFS('제조품질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AB")*('제조품질 날짜별 실적'!$I$2:$I$2500=12),1/COUNTIFS('제조품질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2</v>
      </c>
      <c r="P77" s="583">
        <f>SUM(D77:O77)</f>
        <v>63</v>
      </c>
    </row>
    <row r="78" spans="2:16" s="59" customFormat="1" ht="20.100000000000001" customHeight="1">
      <c r="B78" s="828"/>
      <c r="C78" s="571" t="s">
        <v>1474</v>
      </c>
      <c r="D78" s="586">
        <f>COUNTIFS('제조품질 불량내역'!$D:$D,"DRAGON AB",'제조품질 불량내역'!$K:$K,"&gt;="&amp;DATE(2025,1,1),'제조품질 불량내역'!$K:$K,"&lt;"&amp;DATE(2025,2,1))+COUNTIFS('제조품질 불량내역'!$D:$D,"DRAGON LE",'제조품질 불량내역'!$K:$K,"&gt;="&amp;DATE(2025,1,1),'제조품질 불량내역'!$K:$K,"&lt;"&amp;DATE(2025,2,1))</f>
        <v>0</v>
      </c>
      <c r="E78" s="587">
        <f>COUNTIFS('제조품질 불량내역'!$D:$D,"DRAGON AB",'제조품질 불량내역'!$K:$K,"&gt;="&amp;DATE(2025,2,1),'제조품질 불량내역'!$K:$K,"&lt;"&amp;DATE(2025,3,1))+COUNTIFS('제조품질 불량내역'!$D:$D,"DRAGON LE",'제조품질 불량내역'!$K:$K,"&gt;="&amp;DATE(2025,2,1),'제조품질 불량내역'!$K:$K,"&lt;"&amp;DATE(2025,3,1))</f>
        <v>0</v>
      </c>
      <c r="F78" s="587">
        <f>COUNTIFS('제조품질 불량내역'!$D:$D,"DRAGON AB",'제조품질 불량내역'!$K:$K,"&gt;="&amp;DATE(2025,3,1),'제조품질 불량내역'!$K:$K,"&lt;"&amp;DATE(2025,4,1))+COUNTIFS('제조품질 불량내역'!$D:$D,"DRAGON LE",'제조품질 불량내역'!$K:$K,"&gt;="&amp;DATE(2025,3,1),'제조품질 불량내역'!$K:$K,"&lt;"&amp;DATE(2025,4,1))</f>
        <v>0</v>
      </c>
      <c r="G78" s="587">
        <f>COUNTIFS('제조품질 불량내역'!$D:$D,"DRAGON AB",'제조품질 불량내역'!$K:$K,"&gt;="&amp;DATE(2025,4,1),'제조품질 불량내역'!$K:$K,"&lt;"&amp;DATE(2025,5,1))+COUNTIFS('제조품질 불량내역'!$D:$D,"DRAGON LE",'제조품질 불량내역'!$K:$K,"&gt;="&amp;DATE(2025,4,1),'제조품질 불량내역'!$K:$K,"&lt;"&amp;DATE(2025,5,1))</f>
        <v>0</v>
      </c>
      <c r="H78" s="587">
        <f>COUNTIFS('제조품질 불량내역'!$D:$D,"DRAGON AB",'제조품질 불량내역'!$K:$K,"&gt;="&amp;DATE(2025,5,1),'제조품질 불량내역'!$K:$K,"&lt;"&amp;DATE(2025,6,1))+COUNTIFS('제조품질 불량내역'!$D:$D,"DRAGON LE",'제조품질 불량내역'!$K:$K,"&gt;="&amp;DATE(2025,5,1),'제조품질 불량내역'!$K:$K,"&lt;"&amp;DATE(2025,6,1))</f>
        <v>0</v>
      </c>
      <c r="I78" s="587">
        <f>COUNTIFS('제조품질 불량내역'!$D:$D,"DRAGON AB",'제조품질 불량내역'!$K:$K,"&gt;="&amp;DATE(2025,6,1),'제조품질 불량내역'!$K:$K,"&lt;"&amp;DATE(2025,7,1))+COUNTIFS('제조품질 불량내역'!$D:$D,"DRAGON LE",'제조품질 불량내역'!$K:$K,"&gt;="&amp;DATE(2025,6,1),'제조품질 불량내역'!$K:$K,"&lt;"&amp;DATE(2025,7,1))</f>
        <v>0</v>
      </c>
      <c r="J78" s="587">
        <f>COUNTIFS('제조품질 불량내역'!$D:$D,"DRAGON AB",'제조품질 불량내역'!$K:$K,"&gt;="&amp;DATE(2025,7,1),'제조품질 불량내역'!$K:$K,"&lt;"&amp;DATE(2025,8,1))+COUNTIFS('제조품질 불량내역'!$D:$D,"DRAGON LE",'제조품질 불량내역'!$K:$K,"&gt;="&amp;DATE(2025,7,1),'제조품질 불량내역'!$K:$K,"&lt;"&amp;DATE(2025,8,1))</f>
        <v>1</v>
      </c>
      <c r="K78" s="587">
        <f>COUNTIFS('제조품질 불량내역'!$D:$D,"DRAGON AB",'제조품질 불량내역'!$K:$K,"&gt;="&amp;DATE(2025,8,1),'제조품질 불량내역'!$K:$K,"&lt;"&amp;DATE(2025,9,1))+COUNTIFS('제조품질 불량내역'!$D:$D,"DRAGON LE",'제조품질 불량내역'!$K:$K,"&gt;="&amp;DATE(2025,8,1),'제조품질 불량내역'!$K:$K,"&lt;"&amp;DATE(2025,9,1))</f>
        <v>3</v>
      </c>
      <c r="L78" s="587">
        <f>COUNTIFS('제조품질 불량내역'!$D:$D,"DRAGON AB",'제조품질 불량내역'!$K:$K,"&gt;="&amp;DATE(2025,9,1),'제조품질 불량내역'!$K:$K,"&lt;"&amp;DATE(2025,10,1))+COUNTIFS('제조품질 불량내역'!$D:$D,"DRAGON LE",'제조품질 불량내역'!$K:$K,"&gt;="&amp;DATE(2025,9,1),'제조품질 불량내역'!$K:$K,"&lt;"&amp;DATE(2025,10,1))</f>
        <v>0</v>
      </c>
      <c r="M78" s="587">
        <f>COUNTIFS('제조품질 불량내역'!$D:$D,"DRAGON AB",'제조품질 불량내역'!$K:$K,"&gt;="&amp;DATE(2025,10,1),'제조품질 불량내역'!$K:$K,"&lt;"&amp;DATE(2025,11,1))+COUNTIFS('제조품질 불량내역'!$D:$D,"DRAGON LE",'제조품질 불량내역'!$K:$K,"&gt;="&amp;DATE(2025,10,1),'제조품질 불량내역'!$K:$K,"&lt;"&amp;DATE(2025,11,1))</f>
        <v>0</v>
      </c>
      <c r="N78" s="587">
        <f>COUNTIFS('제조품질 불량내역'!$D:$D,"DRAGON AB",'제조품질 불량내역'!$K:$K,"&gt;="&amp;DATE(2025,11,1),'제조품질 불량내역'!$K:$K,"&lt;"&amp;DATE(2025,12,1))+COUNTIFS('제조품질 불량내역'!$D:$D,"DRAGON LE",'제조품질 불량내역'!$K:$K,"&gt;="&amp;DATE(2025,11,1),'제조품질 불량내역'!$K:$K,"&lt;"&amp;DATE(2025,12,1))</f>
        <v>0</v>
      </c>
      <c r="O78" s="588">
        <f>COUNTIFS('제조품질 불량내역'!$D:$D,"DRAGON AB",'제조품질 불량내역'!$K:$K,"&gt;="&amp;DATE(2025,12,1),'제조품질 불량내역'!$K:$K,"&lt;"&amp;DATE(2026,1,1))+COUNTIFS('제조품질 불량내역'!$D:$D,"DRAGON LE",'제조품질 불량내역'!$K:$K,"&gt;="&amp;DATE(2025,12,1),'제조품질 불량내역'!$K:$K,"&lt;"&amp;DATE(2026,1,1))</f>
        <v>1</v>
      </c>
      <c r="P78" s="230">
        <f>SUM(D78:O78)</f>
        <v>5</v>
      </c>
    </row>
    <row r="79" spans="2:16" s="59" customFormat="1" ht="20.100000000000001" customHeight="1">
      <c r="B79" s="828"/>
      <c r="C79" s="584" t="s">
        <v>1475</v>
      </c>
      <c r="D79" s="597">
        <f>D78/D77</f>
        <v>0</v>
      </c>
      <c r="E79" s="598">
        <f>E78/E77</f>
        <v>0</v>
      </c>
      <c r="F79" s="598">
        <f>F78/F77</f>
        <v>0</v>
      </c>
      <c r="G79" s="598">
        <f>G78/G77</f>
        <v>0</v>
      </c>
      <c r="H79" s="598">
        <f>H78/H77</f>
        <v>0</v>
      </c>
      <c r="I79" s="598">
        <f>I78/I77</f>
        <v>0</v>
      </c>
      <c r="J79" s="598">
        <f>J78/J77</f>
        <v>0.25</v>
      </c>
      <c r="K79" s="598">
        <f>K78/K77</f>
        <v>0.375</v>
      </c>
      <c r="L79" s="598">
        <f>L78/L77</f>
        <v>0</v>
      </c>
      <c r="M79" s="598">
        <f>M78/M77</f>
        <v>0</v>
      </c>
      <c r="N79" s="598">
        <f>N78/N77</f>
        <v>0</v>
      </c>
      <c r="O79" s="598">
        <f>O78/O77</f>
        <v>0.5</v>
      </c>
      <c r="P79" s="220">
        <f>P78/P77</f>
        <v>7.9365079365079361E-2</v>
      </c>
    </row>
    <row r="80" spans="2:16" s="59" customFormat="1" ht="20.100000000000001" customHeight="1">
      <c r="B80" s="827" t="s">
        <v>1481</v>
      </c>
      <c r="C80" s="580" t="s">
        <v>1473</v>
      </c>
      <c r="D80" s="581" cm="1">
        <f t="array" ref="D80">SUMPRODUCT(IF(('제조품질 날짜별 실적'!$F$2:$F$2500="DRAGON LE DUAL")*('제조품질 날짜별 실적'!$I$2:$I$2500=1),1/COUNTIFS('제조품질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 DUAL")*('제조품질 날짜별 실적'!$I$2:$I$2500=1),1/COUNTIFS('제조품질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11</v>
      </c>
      <c r="E80" s="582" cm="1">
        <f t="array" ref="E80">SUMPRODUCT(IF(('제조품질 날짜별 실적'!$F$2:$F$2500="DRAGON LE DUAL")*('제조품질 날짜별 실적'!$I$2:$I$2500=2),1/COUNTIFS('제조품질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 DUAL")*('제조품질 날짜별 실적'!$I$2:$I$2500=2),1/COUNTIFS('제조품질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10</v>
      </c>
      <c r="F80" s="582" cm="1">
        <f t="array" ref="F80">SUMPRODUCT(IF(('제조품질 날짜별 실적'!$F$2:$F$2500="DRAGON LE DUAL")*('제조품질 날짜별 실적'!$I$2:$I$2500=3),1/COUNTIFS('제조품질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 DUAL")*('제조품질 날짜별 실적'!$I$2:$I$2500=3),1/COUNTIFS('제조품질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6</v>
      </c>
      <c r="G80" s="582" cm="1">
        <f t="array" ref="G80">SUMPRODUCT(IF(('제조품질 날짜별 실적'!$F$2:$F$2500="DRAGON LE DUAL")*('제조품질 날짜별 실적'!$I$2:$I$2500=4),1/COUNTIFS('제조품질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 DUAL")*('제조품질 날짜별 실적'!$I$2:$I$2500=4),1/COUNTIFS('제조품질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9</v>
      </c>
      <c r="H80" s="582" cm="1">
        <f t="array" ref="H80">SUMPRODUCT(IF(('제조품질 날짜별 실적'!$F$2:$F$2500="DRAGON LE DUAL")*('제조품질 날짜별 실적'!$I$2:$I$2500=5),1/COUNTIFS('제조품질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 DUAL")*('제조품질 날짜별 실적'!$I$2:$I$2500=5),1/COUNTIFS('제조품질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15</v>
      </c>
      <c r="I80" s="582" cm="1">
        <f t="array" ref="I80">SUMPRODUCT(IF(('제조품질 날짜별 실적'!$F$2:$F$2500="DRAGON LE DUAL")*('제조품질 날짜별 실적'!$I$2:$I$2500=6),1/COUNTIFS('제조품질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 DUAL")*('제조품질 날짜별 실적'!$I$2:$I$2500=6),1/COUNTIFS('제조품질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3</v>
      </c>
      <c r="J80" s="582" cm="1">
        <f t="array" ref="J80">SUMPRODUCT(IF(('제조품질 날짜별 실적'!$F$2:$F$2500="DRAGON LE DUAL")*('제조품질 날짜별 실적'!$I$2:$I$2500=7),1/COUNTIFS('제조품질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 DUAL")*('제조품질 날짜별 실적'!$I$2:$I$2500=7),1/COUNTIFS('제조품질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2</v>
      </c>
      <c r="K80" s="582" cm="1">
        <f t="array" ref="K80">SUMPRODUCT(IF(('제조품질 날짜별 실적'!$F$2:$F$2500="DRAGON LE DUAL")*('제조품질 날짜별 실적'!$I$2:$I$2500=8),1/COUNTIFS('제조품질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 DUAL")*('제조품질 날짜별 실적'!$I$2:$I$2500=8),1/COUNTIFS('제조품질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5</v>
      </c>
      <c r="L80" s="582" cm="1">
        <f t="array" ref="L80">SUMPRODUCT(IF(('제조품질 날짜별 실적'!$F$2:$F$2500="DRAGON LE DUAL")*('제조품질 날짜별 실적'!$I$2:$I$2500=9),1/COUNTIFS('제조품질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 DUAL")*('제조품질 날짜별 실적'!$I$2:$I$2500=9),1/COUNTIFS('제조품질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2</v>
      </c>
      <c r="M80" s="582" cm="1">
        <f t="array" ref="M80">SUMPRODUCT(IF(('제조품질 날짜별 실적'!$F$2:$F$2500="DRAGON LE DUAL")*('제조품질 날짜별 실적'!$I$2:$I$2500=10),1/COUNTIFS('제조품질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 DUAL")*('제조품질 날짜별 실적'!$I$2:$I$2500=10),1/COUNTIFS('제조품질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3</v>
      </c>
      <c r="N80" s="582" cm="1">
        <f t="array" ref="N80">SUMPRODUCT(IF(('제조품질 날짜별 실적'!$F$2:$F$2500="DRAGON LE DUAL")*('제조품질 날짜별 실적'!$I$2:$I$2500=11),1/COUNTIFS('제조품질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 DUAL")*('제조품질 날짜별 실적'!$I$2:$I$2500=11),1/COUNTIFS('제조품질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6</v>
      </c>
      <c r="O80" s="582" cm="1">
        <f t="array" ref="O80">SUMPRODUCT(IF(('제조품질 날짜별 실적'!$F$2:$F$2500="DRAGON LE DUAL")*('제조품질 날짜별 실적'!$I$2:$I$2500=12),1/COUNTIFS('제조품질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실적'!$I$2:$I$2500),0))+SUMPRODUCT(IF(('제조품질 날짜별 실적'!$F$2:$F$2500="DRAGON AB DUAL")*('제조품질 날짜별 실적'!$I$2:$I$2500=12),1/COUNTIFS('제조품질 날짜별 실적'!$D$2:$D$2500,'제조품질 날짜별 실적'!$D$2:$D$2500,'제조품질 날짜별 실적'!$F$2:$F$2500,'제조품질 날짜별 실적'!$F$2:$F$2500,'제조품질 날짜별 실적'!$I$2:$I$2500,'제조품질 날짜별 실적'!$I$2:$I$2500),0))</f>
        <v>1</v>
      </c>
      <c r="P80" s="583">
        <f>SUM(D80:O80)</f>
        <v>73</v>
      </c>
    </row>
    <row r="81" spans="2:16" s="59" customFormat="1" ht="20.100000000000001" customHeight="1">
      <c r="B81" s="828"/>
      <c r="C81" s="572" t="s">
        <v>1474</v>
      </c>
      <c r="D81" s="586">
        <f>COUNTIFS( '제조품질 불량내역'!$D:$D,"DRAGON AB DUAL",'제조품질 불량내역'!$K:$K,"&gt;="&amp;DATE(2025,1,1),'제조품질 불량내역'!$K:$K,"&lt;"&amp;DATE(2025,2,1))+COUNTIFS( '제조품질 불량내역'!$D:$D,"DRAGON LE DUAL",'제조품질 불량내역'!$K:$K,"&gt;="&amp;DATE(2025,1,1),'제조품질 불량내역'!$K:$K,"&lt;"&amp;DATE(2025,2,1))</f>
        <v>0</v>
      </c>
      <c r="E81" s="587">
        <f>COUNTIFS( '제조품질 불량내역'!$D:$D,"DRAGON AB DUAL",'제조품질 불량내역'!$K:$K,"&gt;="&amp;DATE(2025,2,1),'제조품질 불량내역'!$K:$K,"&lt;"&amp;DATE(2025,3,1))+COUNTIFS( '제조품질 불량내역'!$D:$D,"DRAGON LE DUAL",'제조품질 불량내역'!$K:$K,"&gt;="&amp;DATE(2025,2,1),'제조품질 불량내역'!$K:$K,"&lt;"&amp;DATE(2025,3,1))</f>
        <v>1</v>
      </c>
      <c r="F81" s="587">
        <f>COUNTIFS( '제조품질 불량내역'!$D:$D,"DRAGON AB DUAL",'제조품질 불량내역'!$K:$K,"&gt;="&amp;DATE(2025,3,1),'제조품질 불량내역'!$K:$K,"&lt;"&amp;DATE(2025,4,1))+COUNTIFS( '제조품질 불량내역'!$D:$D,"DRAGON LE DUAL",'제조품질 불량내역'!$K:$K,"&gt;="&amp;DATE(2025,3,1),'제조품질 불량내역'!$K:$K,"&lt;"&amp;DATE(2025,4,1))</f>
        <v>1</v>
      </c>
      <c r="G81" s="587">
        <f>COUNTIFS( '제조품질 불량내역'!$D:$D,"DRAGON AB DUAL",'제조품질 불량내역'!$K:$K,"&gt;="&amp;DATE(2025,4,1),'제조품질 불량내역'!$K:$K,"&lt;"&amp;DATE(2025,5,1))+COUNTIFS( '제조품질 불량내역'!$D:$D,"DRAGON LE DUAL",'제조품질 불량내역'!$K:$K,"&gt;="&amp;DATE(2025,4,1),'제조품질 불량내역'!$K:$K,"&lt;"&amp;DATE(2025,5,1))</f>
        <v>0</v>
      </c>
      <c r="H81" s="587">
        <f>COUNTIFS( '제조품질 불량내역'!$D:$D,"DRAGON AB DUAL",'제조품질 불량내역'!$K:$K,"&gt;="&amp;DATE(2025,5,1),'제조품질 불량내역'!$K:$K,"&lt;"&amp;DATE(2025,6,1))+COUNTIFS( '제조품질 불량내역'!$D:$D,"DRAGON LE DUAL",'제조품질 불량내역'!$K:$K,"&gt;="&amp;DATE(2025,5,1),'제조품질 불량내역'!$K:$K,"&lt;"&amp;DATE(2025,6,1))</f>
        <v>2</v>
      </c>
      <c r="I81" s="587">
        <f>COUNTIFS( '제조품질 불량내역'!$D:$D,"DRAGON AB DUAL",'제조품질 불량내역'!$K:$K,"&gt;="&amp;DATE(2025,6,1),'제조품질 불량내역'!$K:$K,"&lt;"&amp;DATE(2025,7,1))+COUNTIFS( '제조품질 불량내역'!$D:$D,"DRAGON LE DUAL",'제조품질 불량내역'!$K:$K,"&gt;="&amp;DATE(2025,6,1),'제조품질 불량내역'!$K:$K,"&lt;"&amp;DATE(2025,7,1))</f>
        <v>0</v>
      </c>
      <c r="J81" s="587">
        <f>COUNTIFS( '제조품질 불량내역'!$D:$D,"DRAGON AB DUAL",'제조품질 불량내역'!$K:$K,"&gt;="&amp;DATE(2025,7,1),'제조품질 불량내역'!$K:$K,"&lt;"&amp;DATE(2025,8,1))+COUNTIFS( '제조품질 불량내역'!$D:$D,"DRAGON LE DUAL",'제조품질 불량내역'!$K:$K,"&gt;="&amp;DATE(2025,7,1),'제조품질 불량내역'!$K:$K,"&lt;"&amp;DATE(2025,8,1))</f>
        <v>1</v>
      </c>
      <c r="K81" s="587">
        <f>COUNTIFS( '제조품질 불량내역'!$D:$D,"DRAGON AB DUAL",'제조품질 불량내역'!$K:$K,"&gt;="&amp;DATE(2025,8,1),'제조품질 불량내역'!$K:$K,"&lt;"&amp;DATE(2025,9,1))+COUNTIFS( '제조품질 불량내역'!$D:$D,"DRAGON LE DUAL",'제조품질 불량내역'!$K:$K,"&gt;="&amp;DATE(2025,8,1),'제조품질 불량내역'!$K:$K,"&lt;"&amp;DATE(2025,9,1))</f>
        <v>1</v>
      </c>
      <c r="L81" s="587">
        <f>COUNTIFS( '제조품질 불량내역'!$D:$D,"DRAGON AB DUAL",'제조품질 불량내역'!$K:$K,"&gt;="&amp;DATE(2025,9,1),'제조품질 불량내역'!$K:$K,"&lt;"&amp;DATE(2025,10,1))+COUNTIFS( '제조품질 불량내역'!$D:$D,"DRAGON LE DUAL",'제조품질 불량내역'!$K:$K,"&gt;="&amp;DATE(2025,9,1),'제조품질 불량내역'!$K:$K,"&lt;"&amp;DATE(2025,10,1))</f>
        <v>1</v>
      </c>
      <c r="M81" s="587">
        <f>COUNTIFS( '제조품질 불량내역'!$D:$D,"DRAGON AB DUAL",'제조품질 불량내역'!$K:$K,"&gt;="&amp;DATE(2025,10,1),'제조품질 불량내역'!$K:$K,"&lt;"&amp;DATE(2025,11,1))+COUNTIFS( '제조품질 불량내역'!$D:$D,"DRAGON LE DUAL",'제조품질 불량내역'!$K:$K,"&gt;="&amp;DATE(2025,10,1),'제조품질 불량내역'!$K:$K,"&lt;"&amp;DATE(2025,11,1))</f>
        <v>1</v>
      </c>
      <c r="N81" s="587">
        <f>COUNTIFS( '제조품질 불량내역'!$D:$D,"DRAGON AB DUAL",'제조품질 불량내역'!$K:$K,"&gt;="&amp;DATE(2025,11,1),'제조품질 불량내역'!$K:$K,"&lt;"&amp;DATE(2025,12,1))+COUNTIFS( '제조품질 불량내역'!$D:$D,"DRAGON LE DUAL",'제조품질 불량내역'!$K:$K,"&gt;="&amp;DATE(2025,11,1),'제조품질 불량내역'!$K:$K,"&lt;"&amp;DATE(2025,12,1))</f>
        <v>3</v>
      </c>
      <c r="O81" s="587">
        <f>COUNTIFS( '제조품질 불량내역'!$D:$D,"DRAGON AB DUAL",'제조품질 불량내역'!$K:$K,"&gt;="&amp;DATE(2025,12,1),'제조품질 불량내역'!$K:$K,"&lt;"&amp;DATE(2026,1,1))+COUNTIFS( '제조품질 불량내역'!$D:$D,"DRAGON LE DUAL",'제조품질 불량내역'!$K:$K,"&gt;="&amp;DATE(2025,12,1),'제조품질 불량내역'!$K:$K,"&lt;"&amp;DATE(2026,1,1))</f>
        <v>0</v>
      </c>
      <c r="P81" s="230">
        <f>SUM(D81:O81)</f>
        <v>11</v>
      </c>
    </row>
    <row r="82" spans="2:16" s="59" customFormat="1" ht="20.100000000000001" customHeight="1">
      <c r="B82" s="828"/>
      <c r="C82" s="571" t="s">
        <v>1475</v>
      </c>
      <c r="D82" s="597">
        <f>D81/D80</f>
        <v>0</v>
      </c>
      <c r="E82" s="598">
        <f>E81/E80</f>
        <v>0.1</v>
      </c>
      <c r="F82" s="598">
        <f>F81/F80</f>
        <v>0.16666666666666666</v>
      </c>
      <c r="G82" s="598">
        <f>G81/G80</f>
        <v>0</v>
      </c>
      <c r="H82" s="598">
        <f>H81/H80</f>
        <v>0.13333333333333333</v>
      </c>
      <c r="I82" s="598">
        <f>I81/I80</f>
        <v>0</v>
      </c>
      <c r="J82" s="598">
        <f>J81/J80</f>
        <v>0.5</v>
      </c>
      <c r="K82" s="598">
        <f>K81/K80</f>
        <v>0.2</v>
      </c>
      <c r="L82" s="598">
        <f>L81/L80</f>
        <v>0.5</v>
      </c>
      <c r="M82" s="598">
        <f>M81/M80</f>
        <v>0.33333333333333331</v>
      </c>
      <c r="N82" s="598">
        <f>N81/N80</f>
        <v>0.5</v>
      </c>
      <c r="O82" s="598">
        <f>O81/O80</f>
        <v>0</v>
      </c>
      <c r="P82" s="220">
        <f>P81/P80</f>
        <v>0.15068493150684931</v>
      </c>
    </row>
    <row r="83" spans="2:16" s="59" customFormat="1" ht="20.100000000000001" customHeight="1">
      <c r="B83" s="827" t="s">
        <v>1482</v>
      </c>
      <c r="C83" s="569" t="s">
        <v>1473</v>
      </c>
      <c r="D83" s="574" cm="1">
        <f t="array" ref="D83">SUMPRODUCT(
 IF(
  ('제조품질 날짜별 실적'!$F$2:$F$2500="SWS-I")*('제조품질 날짜별 실적'!$I$2:$I$2500=1),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</v>
      </c>
      <c r="E83" s="577" cm="1">
        <f t="array" ref="E83">SUMPRODUCT(
 IF(
  ('제조품질 날짜별 실적'!$F$2:$F$2500="SWS-I")*('제조품질 날짜별 실적'!$I$2:$I$2500=2),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2</v>
      </c>
      <c r="F83" s="577" cm="1">
        <f t="array" ref="F83">SUMPRODUCT(
 IF(
  ('제조품질 날짜별 실적'!$F$2:$F$2500="SWS-I")*('제조품질 날짜별 실적'!$I$2:$I$2500=3),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4</v>
      </c>
      <c r="G83" s="577" cm="1">
        <f t="array" ref="G83">SUMPRODUCT(
 IF(
  ('제조품질 날짜별 실적'!$F$2:$F$2500="SWS-I")*('제조품질 날짜별 실적'!$I$2:$I$2500=4),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</v>
      </c>
      <c r="H83" s="577" cm="1">
        <f t="array" ref="H83">SUMPRODUCT(
 IF(
  ('제조품질 날짜별 실적'!$F$2:$F$2500="SWS-I")*('제조품질 날짜별 실적'!$I$2:$I$2500=5),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</v>
      </c>
      <c r="I83" s="577" cm="1">
        <f t="array" ref="I83">SUMPRODUCT(
 IF(
  ('제조품질 날짜별 실적'!$F$2:$F$2500="SWS-I")*('제조품질 날짜별 실적'!$I$2:$I$2500=6),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6</v>
      </c>
      <c r="J83" s="577" cm="1">
        <f t="array" ref="J83">SUMPRODUCT(
 IF(
  ('제조품질 날짜별 실적'!$F$2:$F$2500="SWS-I")*('제조품질 날짜별 실적'!$I$2:$I$2500=7),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3</v>
      </c>
      <c r="K83" s="577" cm="1">
        <f t="array" ref="K83">SUMPRODUCT(
 IF(
  ('제조품질 날짜별 실적'!$F$2:$F$2500="SWS-I")*('제조품질 날짜별 실적'!$I$2:$I$2500=8),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6</v>
      </c>
      <c r="L83" s="577" cm="1">
        <f t="array" ref="L83">SUMPRODUCT(
 IF(
  ('제조품질 날짜별 실적'!$F$2:$F$2500="SWS-I")*('제조품질 날짜별 실적'!$I$2:$I$2500=9),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4</v>
      </c>
      <c r="M83" s="577" cm="1">
        <f t="array" ref="M83">SUMPRODUCT(
 IF(
  ('제조품질 날짜별 실적'!$F$2:$F$2500="SWS-I")*('제조품질 날짜별 실적'!$I$2:$I$2500=10),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3</v>
      </c>
      <c r="N83" s="577" cm="1">
        <f t="array" ref="N83">SUMPRODUCT(
 IF(
  ('제조품질 날짜별 실적'!$F$2:$F$2500="SWS-I")*('제조품질 날짜별 실적'!$I$2:$I$2500=11),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7</v>
      </c>
      <c r="O83" s="578" cm="1">
        <f t="array" ref="O83">SUMPRODUCT(
 IF(
  ('제조품질 날짜별 실적'!$F$2:$F$2500="SWS-I")*('제조품질 날짜별 실적'!$I$2:$I$2500=12),
  1/COUNTIFS(
    '제조품질 날짜별 실적'!$D$2:$D$2500,'제조품질 날짜별 실적'!$D$2:$D$2500,
    '제조품질 날짜별 실적'!$F$2:$F$2500,'제조품질 날짜별 실적'!$F$2:$F$2500,
    '제조품질 날짜별 실적'!$I$2:$I$2500,'제조품질 날짜별 실적'!$I$2:$I$2500
  ),
  0
 )
)</f>
        <v>1</v>
      </c>
      <c r="P83" s="583">
        <f>SUM(D83:O83)</f>
        <v>39</v>
      </c>
    </row>
    <row r="84" spans="2:16" s="59" customFormat="1" ht="20.100000000000001" customHeight="1">
      <c r="B84" s="828"/>
      <c r="C84" s="570" t="s">
        <v>1474</v>
      </c>
      <c r="D84" s="586">
        <f>COUNTIFS(
 '제조품질 불량내역'!$D:$D,"SWS-I",
 '제조품질 불량내역'!$K:$K,"&gt;="&amp;DATE(2025,1,1),
 '제조품질 불량내역'!$K:$K,"&lt;"&amp;DATE(2025,2,1)
)</f>
        <v>0</v>
      </c>
      <c r="E84" s="587">
        <f>COUNTIFS(
 '제조품질 불량내역'!$D:$D,"SWS-I",
 '제조품질 불량내역'!$K:$K,"&gt;="&amp;DATE(2025,2,1),
 '제조품질 불량내역'!$K:$K,"&lt;"&amp;DATE(2025,3,1)
)</f>
        <v>0</v>
      </c>
      <c r="F84" s="587">
        <f>COUNTIFS(
 '제조품질 불량내역'!$D:$D,"SWS-I",
 '제조품질 불량내역'!$K:$K,"&gt;="&amp;DATE(2025,3,1),
 '제조품질 불량내역'!$K:$K,"&lt;"&amp;DATE(2025,4,1)
)</f>
        <v>0</v>
      </c>
      <c r="G84" s="587">
        <f>COUNTIFS(
 '제조품질 불량내역'!$D:$D,"SWS-I",
 '제조품질 불량내역'!$K:$K,"&gt;="&amp;DATE(2025,4,1),
 '제조품질 불량내역'!$K:$K,"&lt;"&amp;DATE(2025,5,1)
)</f>
        <v>0</v>
      </c>
      <c r="H84" s="587">
        <f>COUNTIFS(
 '제조품질 불량내역'!$D:$D,"SWS-I",
 '제조품질 불량내역'!$K:$K,"&gt;="&amp;DATE(2025,5,1),
 '제조품질 불량내역'!$K:$K,"&lt;"&amp;DATE(2025,6,1)
)</f>
        <v>0</v>
      </c>
      <c r="I84" s="587">
        <f>COUNTIFS(
 '제조품질 불량내역'!$D:$D,"SWS-I",
 '제조품질 불량내역'!$K:$K,"&gt;="&amp;DATE(2025,6,1),
 '제조품질 불량내역'!$K:$K,"&lt;"&amp;DATE(2025,7,1)
)</f>
        <v>0</v>
      </c>
      <c r="J84" s="587">
        <f>COUNTIFS(
 '제조품질 불량내역'!$D:$D,"SWS-I",
 '제조품질 불량내역'!$K:$K,"&gt;="&amp;DATE(2025,7,1),
 '제조품질 불량내역'!$K:$K,"&lt;"&amp;DATE(2025,8,1)
)</f>
        <v>0</v>
      </c>
      <c r="K84" s="587">
        <f>COUNTIFS(
 '제조품질 불량내역'!$D:$D,"SWS-I",
 '제조품질 불량내역'!$K:$K,"&gt;="&amp;DATE(2025,8,1),
 '제조품질 불량내역'!$K:$K,"&lt;"&amp;DATE(2025,9,1)
)</f>
        <v>1</v>
      </c>
      <c r="L84" s="587">
        <f>COUNTIFS(
 '제조품질 불량내역'!$D:$D,"SWS-I",
 '제조품질 불량내역'!$K:$K,"&gt;="&amp;DATE(2025,9,1),
 '제조품질 불량내역'!$K:$K,"&lt;"&amp;DATE(2025,10,1)
)</f>
        <v>0</v>
      </c>
      <c r="M84" s="587">
        <f>COUNTIFS(
 '제조품질 불량내역'!$D:$D,"SWS-I",
 '제조품질 불량내역'!$K:$K,"&gt;="&amp;DATE(2025,10,1),
 '제조품질 불량내역'!$K:$K,"&lt;"&amp;DATE(2025,11,1)
)</f>
        <v>0</v>
      </c>
      <c r="N84" s="587">
        <f>COUNTIFS(
 '제조품질 불량내역'!$D:$D,"SWS-I",
 '제조품질 불량내역'!$K:$K,"&gt;="&amp;DATE(2025,11,1),
 '제조품질 불량내역'!$K:$K,"&lt;"&amp;DATE(2025,12,1)
)</f>
        <v>0</v>
      </c>
      <c r="O84" s="588">
        <f>COUNTIFS(
 '제조품질 불량내역'!$D:$D,"SWS-I",
 '제조품질 불량내역'!$K:$K,"&gt;="&amp;DATE(2025,12,1),
 '제조품질 불량내역'!$K:$K,"&lt;"&amp;DATE(2026,1,1)
)</f>
        <v>0</v>
      </c>
      <c r="P84" s="230">
        <f>SUM(D84:O84)</f>
        <v>1</v>
      </c>
    </row>
    <row r="85" spans="2:16" s="59" customFormat="1" ht="20.100000000000001" customHeight="1">
      <c r="B85" s="829"/>
      <c r="C85" s="573" t="s">
        <v>1475</v>
      </c>
      <c r="D85" s="597">
        <f>D84/D83</f>
        <v>0</v>
      </c>
      <c r="E85" s="598">
        <f>E84/E83</f>
        <v>0</v>
      </c>
      <c r="F85" s="598">
        <f>F84/F83</f>
        <v>0</v>
      </c>
      <c r="G85" s="598">
        <f>G84/G83</f>
        <v>0</v>
      </c>
      <c r="H85" s="598">
        <f>H84/H83</f>
        <v>0</v>
      </c>
      <c r="I85" s="598">
        <f>I84/I83</f>
        <v>0</v>
      </c>
      <c r="J85" s="598">
        <f>J84/J83</f>
        <v>0</v>
      </c>
      <c r="K85" s="598">
        <f>K84/K83</f>
        <v>0.16666666666666666</v>
      </c>
      <c r="L85" s="598">
        <f>L84/L83</f>
        <v>0</v>
      </c>
      <c r="M85" s="598">
        <f>M84/M83</f>
        <v>0</v>
      </c>
      <c r="N85" s="598">
        <f>N84/N83</f>
        <v>0</v>
      </c>
      <c r="O85" s="598">
        <f>O84/O83</f>
        <v>0</v>
      </c>
      <c r="P85" s="220">
        <f>P84/P83</f>
        <v>2.564102564102564E-2</v>
      </c>
    </row>
    <row r="86" spans="2:16" s="59" customFormat="1" ht="24.95" hidden="1" customHeight="1">
      <c r="B86" s="718" t="s">
        <v>1483</v>
      </c>
      <c r="C86" s="719"/>
      <c r="D86" s="719"/>
      <c r="E86" s="719"/>
      <c r="F86" s="719"/>
      <c r="G86" s="719"/>
      <c r="H86" s="719"/>
      <c r="I86" s="719"/>
      <c r="J86" s="719"/>
      <c r="K86" s="719"/>
      <c r="L86" s="719"/>
      <c r="M86" s="719"/>
      <c r="N86" s="719"/>
      <c r="O86" s="719"/>
      <c r="P86" s="720"/>
    </row>
    <row r="87" spans="2:16" s="59" customFormat="1" ht="15" hidden="1" customHeight="1">
      <c r="B87" s="721" t="s">
        <v>1484</v>
      </c>
      <c r="C87" s="722"/>
      <c r="D87" s="723"/>
      <c r="E87" s="723"/>
      <c r="F87" s="723"/>
      <c r="G87" s="723"/>
      <c r="H87" s="723"/>
      <c r="I87" s="724"/>
      <c r="J87" s="725" t="s">
        <v>1485</v>
      </c>
      <c r="K87" s="726"/>
      <c r="L87" s="726"/>
      <c r="M87" s="726"/>
      <c r="N87" s="726"/>
      <c r="O87" s="726"/>
      <c r="P87" s="727"/>
    </row>
    <row r="88" spans="2:16" s="59" customFormat="1" ht="15" hidden="1" customHeight="1">
      <c r="B88" s="60" t="s">
        <v>1438</v>
      </c>
      <c r="C88" s="604"/>
      <c r="D88" s="728" t="s">
        <v>1486</v>
      </c>
      <c r="E88" s="729"/>
      <c r="F88" s="61" t="s">
        <v>1487</v>
      </c>
      <c r="G88" s="61" t="s">
        <v>1488</v>
      </c>
      <c r="H88" s="728" t="s">
        <v>1489</v>
      </c>
      <c r="I88" s="730"/>
      <c r="J88" s="76" t="s">
        <v>1438</v>
      </c>
      <c r="K88" s="728" t="s">
        <v>1486</v>
      </c>
      <c r="L88" s="729"/>
      <c r="M88" s="61" t="s">
        <v>1487</v>
      </c>
      <c r="N88" s="61" t="s">
        <v>1488</v>
      </c>
      <c r="O88" s="728" t="s">
        <v>1489</v>
      </c>
      <c r="P88" s="730"/>
    </row>
    <row r="89" spans="2:16" s="59" customFormat="1" ht="20.100000000000001" hidden="1" customHeight="1">
      <c r="B89" s="763" t="s">
        <v>1490</v>
      </c>
      <c r="C89" s="605"/>
      <c r="D89" s="757" t="s">
        <v>1491</v>
      </c>
      <c r="E89" s="758"/>
      <c r="F89" s="114">
        <f>COUNTIFS('제조품질 불량내역'!$K:$K,"&gt;=2025-01-01",'제조품질 불량내역'!$K:$K,"&lt;=2025-03-31",'제조품질 불량내역'!$M:$M,"CLAMP")</f>
        <v>0</v>
      </c>
      <c r="G89" s="117">
        <f>F89/SUM(D15:F15)</f>
        <v>0</v>
      </c>
      <c r="H89" s="757" t="s">
        <v>1492</v>
      </c>
      <c r="I89" s="759"/>
      <c r="J89" s="766" t="s">
        <v>1490</v>
      </c>
      <c r="K89" s="757" t="s">
        <v>1493</v>
      </c>
      <c r="L89" s="758"/>
      <c r="M89" s="114">
        <f>COUNTIFS('제조품질 불량내역'!$K:$K,"&gt;=2025-04-01",'제조품질 불량내역'!$K:$K,"&lt;=2025-06-30",'제조품질 불량내역'!$M:$M,"MALE ELBOW",'제조품질 불량내역'!$P:$P,"재체결")</f>
        <v>0</v>
      </c>
      <c r="N89" s="117">
        <f>M89/SUM(G15:I15)</f>
        <v>0</v>
      </c>
      <c r="O89" s="757" t="s">
        <v>1494</v>
      </c>
      <c r="P89" s="759"/>
    </row>
    <row r="90" spans="2:16" s="59" customFormat="1" ht="20.100000000000001" hidden="1" customHeight="1">
      <c r="B90" s="764"/>
      <c r="C90" s="606"/>
      <c r="D90" s="757" t="s">
        <v>1493</v>
      </c>
      <c r="E90" s="758"/>
      <c r="F90" s="114">
        <f>COUNTIFS('제조품질 불량내역'!$K:$K,"&gt;=2025-01-01",'제조품질 불량내역'!$K:$K,"&lt;=2025-03-31",'제조품질 불량내역'!$M:$M,"MALE ELBOW",'제조품질 불량내역'!$P:$P,"재체결")</f>
        <v>0</v>
      </c>
      <c r="G90" s="117">
        <f>F90/SUM(D15:F15)</f>
        <v>0</v>
      </c>
      <c r="H90" s="757" t="s">
        <v>1495</v>
      </c>
      <c r="I90" s="759"/>
      <c r="J90" s="767"/>
      <c r="K90" s="757" t="s">
        <v>1496</v>
      </c>
      <c r="L90" s="758"/>
      <c r="M90" s="114">
        <f>COUNTIFS('제조품질 불량내역'!$K:$K,"&gt;=2025-04-01",'제조품질 불량내역'!$K:$K,"&lt;=2025-06-30",'제조품질 불량내역'!$M:$M,"REDUCING UNION TEE",'제조품질 불량내역'!$P:$P,"재체결")</f>
        <v>0</v>
      </c>
      <c r="N90" s="117">
        <f>M90/SUM(G15:I15)</f>
        <v>0</v>
      </c>
      <c r="O90" s="757" t="s">
        <v>1497</v>
      </c>
      <c r="P90" s="759"/>
    </row>
    <row r="91" spans="2:16" s="59" customFormat="1" ht="20.100000000000001" hidden="1" customHeight="1">
      <c r="B91" s="765"/>
      <c r="C91" s="607"/>
      <c r="D91" s="757" t="s">
        <v>1498</v>
      </c>
      <c r="E91" s="758"/>
      <c r="F91" s="114">
        <f>COUNTIFS('제조품질 불량내역'!$K:$K,"&gt;=2025-01-01",'제조품질 불량내역'!$K:$K,"&lt;=2025-03-31",'제조품질 불량내역'!$M:$M,"BULKHEAD UNION",'제조품질 불량내역'!$P:$P,"재체결")</f>
        <v>0</v>
      </c>
      <c r="G91" s="117">
        <f>F91/SUM(D15:F15)</f>
        <v>0</v>
      </c>
      <c r="H91" s="757" t="s">
        <v>1499</v>
      </c>
      <c r="I91" s="759"/>
      <c r="J91" s="768"/>
      <c r="K91" s="757" t="s">
        <v>1500</v>
      </c>
      <c r="L91" s="758"/>
      <c r="M91" s="114">
        <f>COUNTIFS('제조품질 불량내역'!$K:$K,"&gt;=2025-04-01",'제조품질 불량내역'!$K:$K,"&lt;=2025-06-30",'제조품질 불량내역'!$M:$M,"UNION ELBOW",'제조품질 불량내역'!$P:$P,"재체결")</f>
        <v>0</v>
      </c>
      <c r="N91" s="117">
        <f>M91/SUM(G15:I15)</f>
        <v>0</v>
      </c>
      <c r="O91" s="757" t="s">
        <v>1501</v>
      </c>
      <c r="P91" s="759"/>
    </row>
    <row r="92" spans="2:16" s="59" customFormat="1" ht="3" hidden="1" customHeight="1">
      <c r="B92" s="760"/>
      <c r="C92" s="761"/>
      <c r="D92" s="761"/>
      <c r="E92" s="761"/>
      <c r="F92" s="761"/>
      <c r="G92" s="761"/>
      <c r="H92" s="761"/>
      <c r="I92" s="762"/>
      <c r="J92" s="760"/>
      <c r="K92" s="761"/>
      <c r="L92" s="761"/>
      <c r="M92" s="761"/>
      <c r="N92" s="761"/>
      <c r="O92" s="761"/>
      <c r="P92" s="762"/>
    </row>
    <row r="93" spans="2:16" s="59" customFormat="1" ht="20.100000000000001" hidden="1" customHeight="1">
      <c r="B93" s="769" t="s">
        <v>1463</v>
      </c>
      <c r="C93" s="608"/>
      <c r="D93" s="757" t="s">
        <v>1502</v>
      </c>
      <c r="E93" s="758"/>
      <c r="F93" s="114">
        <f>COUNTIFS('제조품질 불량내역'!$K:$K,"&gt;=2025-01-01",'제조품질 불량내역'!$K:$K,"&lt;=2025-03-31",'제조품질 불량내역'!$M:$M,"MALE CONNECTOR",'제조품질 불량내역'!$P:$P,"재작업")</f>
        <v>0</v>
      </c>
      <c r="G93" s="117">
        <f>F93/SUM(D16:F16)</f>
        <v>0</v>
      </c>
      <c r="H93" s="757" t="s">
        <v>1503</v>
      </c>
      <c r="I93" s="759"/>
      <c r="J93" s="770" t="s">
        <v>1463</v>
      </c>
      <c r="K93" s="757" t="s">
        <v>1493</v>
      </c>
      <c r="L93" s="758"/>
      <c r="M93" s="114">
        <f>COUNTIFS('제조품질 불량내역'!$K:$K,"&gt;=2025-04-01",'제조품질 불량내역'!$K:$K,"&lt;=2025-06-30",'제조품질 불량내역'!$M:$M,"MALE ELBOW",'제조품질 불량내역'!$P:$P,"재작업")</f>
        <v>0</v>
      </c>
      <c r="N93" s="117">
        <f>M93/SUM(G16:I16)</f>
        <v>0</v>
      </c>
      <c r="O93" s="771" t="s">
        <v>1504</v>
      </c>
      <c r="P93" s="772"/>
    </row>
    <row r="94" spans="2:16" s="59" customFormat="1" ht="20.100000000000001" hidden="1" customHeight="1">
      <c r="B94" s="769"/>
      <c r="C94" s="608"/>
      <c r="D94" s="757" t="s">
        <v>1505</v>
      </c>
      <c r="E94" s="758"/>
      <c r="F94" s="114">
        <f>COUNTIFS('제조품질 불량내역'!$K:$K,"&gt;=2025-01-01",'제조품질 불량내역'!$K:$K,"&lt;=2025-03-31",'제조품질 불량내역'!$M:$M,"PNEUMATIC VALVE",'제조품질 불량내역'!$P:$P,"재작업")</f>
        <v>0</v>
      </c>
      <c r="G94" s="117">
        <f>F94/SUM(D16:F16)</f>
        <v>0</v>
      </c>
      <c r="H94" s="757" t="s">
        <v>1506</v>
      </c>
      <c r="I94" s="759"/>
      <c r="J94" s="770"/>
      <c r="K94" s="757" t="s">
        <v>1507</v>
      </c>
      <c r="L94" s="758"/>
      <c r="M94" s="114">
        <f>COUNTIFS('제조품질 불량내역'!$K:$K,"&gt;=2025-04-01",'제조품질 불량내역'!$K:$K,"&lt;=2025-06-30",'제조품질 불량내역'!$M:$M,"O-RING",'제조품질 불량내역'!$P:$P,"재작업")</f>
        <v>0</v>
      </c>
      <c r="N94" s="117">
        <f>M94/SUM(G16:I16)</f>
        <v>0</v>
      </c>
      <c r="O94" s="757" t="s">
        <v>1508</v>
      </c>
      <c r="P94" s="759"/>
    </row>
    <row r="95" spans="2:16" s="59" customFormat="1" ht="20.100000000000001" hidden="1" customHeight="1">
      <c r="B95" s="769"/>
      <c r="C95" s="608"/>
      <c r="D95" s="757" t="s">
        <v>1509</v>
      </c>
      <c r="E95" s="758"/>
      <c r="F95" s="114">
        <f>COUNTIFS('제조품질 불량내역'!$K:$K,"&gt;=2025-01-01",'제조품질 불량내역'!$K:$K,"&lt;=2025-03-31",'제조품질 불량내역'!$M:$M,"MALE ADAPTER",'제조품질 불량내역'!$P:$P,"재작업")</f>
        <v>0</v>
      </c>
      <c r="G95" s="117">
        <f>F95/SUM(D16:F16)</f>
        <v>0</v>
      </c>
      <c r="H95" s="757" t="s">
        <v>1510</v>
      </c>
      <c r="I95" s="759"/>
      <c r="J95" s="770"/>
      <c r="K95" s="757" t="s">
        <v>1511</v>
      </c>
      <c r="L95" s="758"/>
      <c r="M95" s="114">
        <f>COUNTIFS('제조품질 불량내역'!$K:$K,"&gt;=2025-04-01",'제조품질 불량내역'!$K:$K,"&lt;=2025-06-30",'제조품질 불량내역'!$M:$M,"MALE STRAIGHT",'제조품질 불량내역'!$P:$P,"재작업")
+
COUNTIFS('제조품질 불량내역'!$K:$K,"&gt;=2025-04-01",'제조품질 불량내역'!$K:$K,"&lt;=2025-06-30",'제조품질 불량내역'!$M:$M,"MALE BANJO",'제조품질 불량내역'!$P:$P,"재작업")</f>
        <v>0</v>
      </c>
      <c r="N95" s="117">
        <f>M95/SUM(F16:H16)</f>
        <v>0</v>
      </c>
      <c r="O95" s="757" t="s">
        <v>1512</v>
      </c>
      <c r="P95" s="759"/>
    </row>
    <row r="96" spans="2:16" s="59" customFormat="1" ht="3" hidden="1" customHeight="1">
      <c r="B96" s="760"/>
      <c r="C96" s="761"/>
      <c r="D96" s="761"/>
      <c r="E96" s="761"/>
      <c r="F96" s="761"/>
      <c r="G96" s="761"/>
      <c r="H96" s="761"/>
      <c r="I96" s="762"/>
      <c r="J96" s="760"/>
      <c r="K96" s="761"/>
      <c r="L96" s="761"/>
      <c r="M96" s="761"/>
      <c r="N96" s="761"/>
      <c r="O96" s="761"/>
      <c r="P96" s="762"/>
    </row>
    <row r="97" spans="2:16" s="59" customFormat="1" ht="20.100000000000001" hidden="1" customHeight="1">
      <c r="B97" s="769" t="s">
        <v>34</v>
      </c>
      <c r="C97" s="608"/>
      <c r="D97" s="757" t="s">
        <v>1493</v>
      </c>
      <c r="E97" s="758"/>
      <c r="F97" s="114">
        <f>COUNTIFS('제조품질 불량내역'!$K:$K,"&gt;=2025-04-01",'제조품질 불량내역'!$K:$K,"&lt;=2025-06-30",'제조품질 불량내역'!$M:$M,"MALE ELBOW",'제조품질 불량내역'!$P:$P,"재조립")</f>
        <v>0</v>
      </c>
      <c r="G97" s="117">
        <f>F97/SUM(D17:F17)</f>
        <v>0</v>
      </c>
      <c r="H97" s="757" t="s">
        <v>1513</v>
      </c>
      <c r="I97" s="759"/>
      <c r="J97" s="770" t="s">
        <v>34</v>
      </c>
      <c r="K97" s="757" t="s">
        <v>1507</v>
      </c>
      <c r="L97" s="758"/>
      <c r="M97" s="114">
        <f>COUNTIFS('제조품질 불량내역'!$K:$K,"&gt;=2025-04-01",'제조품질 불량내역'!$K:$K,"&lt;=2025-06-30",'제조품질 불량내역'!$M:$M,"O-RING",'제조품질 불량내역'!$P:$P,"재조립")</f>
        <v>0</v>
      </c>
      <c r="N97" s="117" t="e">
        <f>M97/SUM(G17:I17)</f>
        <v>#DIV/0!</v>
      </c>
      <c r="O97" s="757" t="s">
        <v>1514</v>
      </c>
      <c r="P97" s="759"/>
    </row>
    <row r="98" spans="2:16" s="59" customFormat="1" ht="20.100000000000001" hidden="1" customHeight="1">
      <c r="B98" s="769"/>
      <c r="C98" s="609"/>
      <c r="D98" s="773"/>
      <c r="E98" s="774"/>
      <c r="F98" s="774"/>
      <c r="G98" s="774"/>
      <c r="H98" s="774"/>
      <c r="I98" s="775"/>
      <c r="J98" s="770"/>
      <c r="K98" s="757" t="s">
        <v>1515</v>
      </c>
      <c r="L98" s="758"/>
      <c r="M98" s="114">
        <f>COUNTIFS('제조품질 불량내역'!$K:$K,"&gt;=2025-04-01",'제조품질 불량내역'!$K:$K,"&lt;=2025-06-30",'제조품질 불량내역'!$M:$M,"TEE PIPE WELD ASSY",'제조품질 불량내역'!$P:$P,"재조립")</f>
        <v>0</v>
      </c>
      <c r="N98" s="117" t="e">
        <f>M98/SUM(G17:I17)</f>
        <v>#DIV/0!</v>
      </c>
      <c r="O98" s="757" t="s">
        <v>1516</v>
      </c>
      <c r="P98" s="759"/>
    </row>
    <row r="99" spans="2:16" s="59" customFormat="1" ht="20.100000000000001" hidden="1" customHeight="1">
      <c r="B99" s="769"/>
      <c r="C99" s="610"/>
      <c r="D99" s="776"/>
      <c r="E99" s="777"/>
      <c r="F99" s="777"/>
      <c r="G99" s="777"/>
      <c r="H99" s="777"/>
      <c r="I99" s="778"/>
      <c r="J99" s="770"/>
      <c r="K99" s="757" t="s">
        <v>1493</v>
      </c>
      <c r="L99" s="758"/>
      <c r="M99" s="114">
        <f>COUNTIFS('제조품질 불량내역'!$K:$K,"&gt;=2025-04-01",'제조품질 불량내역'!$K:$K,"&lt;=2025-06-30",'제조품질 불량내역'!$M:$M,"MALE ELBOW",'제조품질 불량내역'!$P:$P,"재조립")</f>
        <v>0</v>
      </c>
      <c r="N99" s="117" t="e">
        <f>M99/SUM(G17:I17)</f>
        <v>#DIV/0!</v>
      </c>
      <c r="O99" s="757" t="s">
        <v>1513</v>
      </c>
      <c r="P99" s="759"/>
    </row>
    <row r="100" spans="2:16" s="59" customFormat="1" ht="3" hidden="1" customHeight="1">
      <c r="B100" s="62"/>
      <c r="C100" s="63"/>
      <c r="D100" s="63"/>
      <c r="E100" s="63"/>
      <c r="F100" s="63"/>
      <c r="G100" s="63"/>
      <c r="H100" s="63"/>
      <c r="I100" s="64"/>
      <c r="J100" s="63"/>
      <c r="K100" s="63"/>
      <c r="L100" s="63"/>
      <c r="M100" s="63"/>
      <c r="N100" s="63"/>
      <c r="O100" s="63"/>
      <c r="P100" s="64"/>
    </row>
    <row r="101" spans="2:16" s="59" customFormat="1" ht="20.100000000000001" hidden="1" customHeight="1">
      <c r="B101" s="769" t="s">
        <v>39</v>
      </c>
      <c r="C101" s="608"/>
      <c r="D101" s="757" t="s">
        <v>1502</v>
      </c>
      <c r="E101" s="758"/>
      <c r="F101" s="114">
        <f>COUNTIFS('제조품질 불량내역'!$K:$K,"&gt;=2025-01-01",'제조품질 불량내역'!$K:$K,"&lt;=2025-03-31",'제조품질 불량내역'!$M:$M,"MALE CONNECTOR",'제조품질 불량내역'!$P:$P,"Teflon 작업")</f>
        <v>0</v>
      </c>
      <c r="G101" s="117">
        <f>F101/SUM(D18:F18)</f>
        <v>0</v>
      </c>
      <c r="H101" s="771" t="s">
        <v>1517</v>
      </c>
      <c r="I101" s="772"/>
      <c r="J101" s="770" t="s">
        <v>39</v>
      </c>
      <c r="K101" s="757" t="s">
        <v>1493</v>
      </c>
      <c r="L101" s="758"/>
      <c r="M101" s="114">
        <f>COUNTIFS('제조품질 불량내역'!$K:$K,"&gt;=2025-04-01",'제조품질 불량내역'!$K:$K,"&lt;=2025-06-30",'제조품질 불량내역'!$M:$M,"MALE ELBOW",'제조품질 불량내역'!$P:$P,"Teflon 작업")</f>
        <v>0</v>
      </c>
      <c r="N101" s="117">
        <f>M101/SUM(G18:I18)</f>
        <v>0</v>
      </c>
      <c r="O101" s="757" t="s">
        <v>1518</v>
      </c>
      <c r="P101" s="759"/>
    </row>
    <row r="102" spans="2:16" ht="20.100000000000001" hidden="1" customHeight="1">
      <c r="B102" s="769"/>
      <c r="C102" s="608"/>
      <c r="D102" s="757" t="s">
        <v>1519</v>
      </c>
      <c r="E102" s="758"/>
      <c r="F102" s="114">
        <f>COUNTIFS('제조품질 불량내역'!$K:$K,"&gt;=2025-01-01",'제조품질 불량내역'!$K:$K,"&lt;=2025-03-31",'제조품질 불량내역'!$M:$M,"SPRINKLER",'제조품질 불량내역'!$P:$P,"Teflon 작업")</f>
        <v>0</v>
      </c>
      <c r="G102" s="117">
        <f>F102/SUM(D18:F18)</f>
        <v>0</v>
      </c>
      <c r="H102" s="757" t="s">
        <v>1518</v>
      </c>
      <c r="I102" s="759"/>
      <c r="J102" s="770"/>
      <c r="K102" s="757" t="s">
        <v>1502</v>
      </c>
      <c r="L102" s="758"/>
      <c r="M102" s="114">
        <f>COUNTIFS('제조품질 불량내역'!$K:$K,"&gt;=2025-04-01",'제조품질 불량내역'!$K:$K,"&lt;=2025-06-30",'제조품질 불량내역'!$M:$M,"MALE CONNECTOR",'제조품질 불량내역'!$P:$P,"Teflon 작업")</f>
        <v>0</v>
      </c>
      <c r="N102" s="117">
        <f>M102/SUM(G18:I18)</f>
        <v>0</v>
      </c>
      <c r="O102" s="757" t="s">
        <v>1518</v>
      </c>
      <c r="P102" s="759"/>
    </row>
    <row r="103" spans="2:16" ht="20.100000000000001" hidden="1" customHeight="1">
      <c r="B103" s="769"/>
      <c r="C103" s="608"/>
      <c r="D103" s="757" t="s">
        <v>1520</v>
      </c>
      <c r="E103" s="758"/>
      <c r="F103" s="114">
        <f>COUNTIFS('제조품질 불량내역'!$K:$K,"&gt;=2025-01-01",'제조품질 불량내역'!$K:$K,"&lt;=2025-03-31",'제조품질 불량내역'!$M:$M,"MALE BANJO",'제조품질 불량내역'!$P:$P,"Teflon 작업")</f>
        <v>0</v>
      </c>
      <c r="G103" s="117">
        <f>F103/SUM(D18:F18)</f>
        <v>0</v>
      </c>
      <c r="H103" s="757" t="s">
        <v>1518</v>
      </c>
      <c r="I103" s="759"/>
      <c r="J103" s="770"/>
      <c r="K103" s="757" t="s">
        <v>1520</v>
      </c>
      <c r="L103" s="758"/>
      <c r="M103" s="114">
        <f>COUNTIFS('제조품질 불량내역'!$K:$K,"&gt;=2025-04-01",'제조품질 불량내역'!$K:$K,"&lt;=2025-06-30",'제조품질 불량내역'!$M:$M,"MALE BANJO",'제조품질 불량내역'!$P:$P,"Teflon 작업")</f>
        <v>0</v>
      </c>
      <c r="N103" s="117">
        <f>M103/SUM(G18:I18)</f>
        <v>0</v>
      </c>
      <c r="O103" s="757" t="s">
        <v>1518</v>
      </c>
      <c r="P103" s="759"/>
    </row>
    <row r="104" spans="2:16" ht="3" hidden="1" customHeight="1">
      <c r="B104" s="62"/>
      <c r="C104" s="63"/>
      <c r="D104" s="115"/>
      <c r="E104" s="115"/>
      <c r="F104" s="115"/>
      <c r="G104" s="63"/>
      <c r="H104" s="63"/>
      <c r="I104" s="64"/>
      <c r="J104" s="63"/>
      <c r="K104" s="115"/>
      <c r="L104" s="115"/>
      <c r="M104" s="115"/>
      <c r="N104" s="63"/>
      <c r="O104" s="63"/>
      <c r="P104" s="64"/>
    </row>
    <row r="105" spans="2:16" ht="20.100000000000001" hidden="1" customHeight="1">
      <c r="B105" s="769" t="s">
        <v>42</v>
      </c>
      <c r="C105" s="608"/>
      <c r="D105" s="757" t="s">
        <v>1521</v>
      </c>
      <c r="E105" s="758"/>
      <c r="F105" s="114">
        <f>COUNTIFS('제조품질 불량내역'!$K:$K,"&gt;=2025-01-01",'제조품질 불량내역'!$K:$K,"&lt;=2025-03-31",'제조품질 불량내역'!$M:$M,"SPEED CONTROLLER",'제조품질 불량내역'!$P:$P,"파트교체")</f>
        <v>0</v>
      </c>
      <c r="G105" s="117">
        <f>F105/SUM(D19:F19)</f>
        <v>0</v>
      </c>
      <c r="H105" s="757" t="s">
        <v>1522</v>
      </c>
      <c r="I105" s="759"/>
      <c r="J105" s="770" t="s">
        <v>42</v>
      </c>
      <c r="K105" s="757" t="s">
        <v>1521</v>
      </c>
      <c r="L105" s="758"/>
      <c r="M105" s="114">
        <f>COUNTIFS('제조품질 불량내역'!$K:$K,"&gt;=2025-04-01",'제조품질 불량내역'!$K:$K,"&lt;=2025-06-30",'제조품질 불량내역'!$M:$M,"SPEED CONTROLLER",'제조품질 불량내역'!$P:$P,"파트교체")</f>
        <v>0</v>
      </c>
      <c r="N105" s="117">
        <f>M105/SUM(G19:I19)</f>
        <v>0</v>
      </c>
      <c r="O105" s="757" t="s">
        <v>1523</v>
      </c>
      <c r="P105" s="759"/>
    </row>
    <row r="106" spans="2:16" ht="20.100000000000001" hidden="1" customHeight="1">
      <c r="B106" s="769"/>
      <c r="C106" s="608"/>
      <c r="D106" s="757" t="s">
        <v>1524</v>
      </c>
      <c r="E106" s="758"/>
      <c r="F106" s="114">
        <f>COUNTIFS('제조품질 불량내역'!$K:$K,"&gt;=2025-01-01",'제조품질 불량내역'!$K:$K,"&lt;=2025-03-31",'제조품질 불량내역'!$M:$M,"REDUCER DOUBLE Y UNION",'제조품질 불량내역'!$P:$P,"파트교체")</f>
        <v>0</v>
      </c>
      <c r="G106" s="117">
        <f>F106/SUM(D19:F19)</f>
        <v>0</v>
      </c>
      <c r="H106" s="757" t="s">
        <v>1525</v>
      </c>
      <c r="I106" s="759"/>
      <c r="J106" s="770"/>
      <c r="K106" s="757" t="s">
        <v>1524</v>
      </c>
      <c r="L106" s="758"/>
      <c r="M106" s="114">
        <f>COUNTIFS('제조품질 불량내역'!$K:$K,"&gt;=2025-04-01",'제조품질 불량내역'!$K:$K,"&lt;=2025-06-30",'제조품질 불량내역'!$M:$M,"REDUCER DOUBLE Y UNION",'제조품질 불량내역'!$P:$P,"파트교체")</f>
        <v>0</v>
      </c>
      <c r="N106" s="117">
        <f>M106/SUM(G19:I19)</f>
        <v>0</v>
      </c>
      <c r="O106" s="757" t="s">
        <v>1526</v>
      </c>
      <c r="P106" s="759"/>
    </row>
    <row r="107" spans="2:16" ht="20.100000000000001" hidden="1" customHeight="1">
      <c r="B107" s="779"/>
      <c r="C107" s="611"/>
      <c r="D107" s="781" t="s">
        <v>1527</v>
      </c>
      <c r="E107" s="782"/>
      <c r="F107" s="116">
        <f>COUNTIFS('제조품질 불량내역'!$K:$K,"&gt;=2025-01-01",'제조품질 불량내역'!$K:$K,"&lt;=2025-03-31",'제조품질 불량내역'!$M:$M,"UNEQUAL UNION Y",'제조품질 불량내역'!$P:$P,"파트교체")</f>
        <v>0</v>
      </c>
      <c r="G107" s="118">
        <f>F107/SUM(D19:F19)</f>
        <v>0</v>
      </c>
      <c r="H107" s="781" t="s">
        <v>1528</v>
      </c>
      <c r="I107" s="783"/>
      <c r="J107" s="780"/>
      <c r="K107" s="781" t="s">
        <v>1529</v>
      </c>
      <c r="L107" s="782"/>
      <c r="M107" s="116">
        <f>COUNTIFS('제조품질 불량내역'!$K:$K,"&gt;=2025-04-01",'제조품질 불량내역'!$K:$K,"&lt;=2025-06-30",'제조품질 불량내역'!$M:$M,"REDUCER Y",'제조품질 불량내역'!$P:$P,"파트교체")</f>
        <v>0</v>
      </c>
      <c r="N107" s="118">
        <f>M107/SUM(G19:I19)</f>
        <v>0</v>
      </c>
      <c r="O107" s="781" t="s">
        <v>1530</v>
      </c>
      <c r="P107" s="783"/>
    </row>
    <row r="108" spans="2:16" ht="24.95" hidden="1" customHeight="1">
      <c r="B108" s="793" t="s">
        <v>1531</v>
      </c>
      <c r="C108" s="794"/>
      <c r="D108" s="794"/>
      <c r="E108" s="794"/>
      <c r="F108" s="794"/>
      <c r="G108" s="794"/>
      <c r="H108" s="794"/>
      <c r="I108" s="794"/>
      <c r="J108" s="794"/>
      <c r="K108" s="794"/>
      <c r="L108" s="794"/>
      <c r="M108" s="794"/>
      <c r="N108" s="794"/>
      <c r="O108" s="794"/>
      <c r="P108" s="795"/>
    </row>
    <row r="109" spans="2:16" ht="20.100000000000001" hidden="1" customHeight="1">
      <c r="B109" s="721" t="s">
        <v>1484</v>
      </c>
      <c r="C109" s="722"/>
      <c r="D109" s="723"/>
      <c r="E109" s="723"/>
      <c r="F109" s="723"/>
      <c r="G109" s="723"/>
      <c r="H109" s="723"/>
      <c r="I109" s="724"/>
      <c r="J109" s="725" t="s">
        <v>1485</v>
      </c>
      <c r="K109" s="726"/>
      <c r="L109" s="726"/>
      <c r="M109" s="726"/>
      <c r="N109" s="726"/>
      <c r="O109" s="726"/>
      <c r="P109" s="727"/>
    </row>
    <row r="110" spans="2:16" ht="20.100000000000001" hidden="1" customHeight="1">
      <c r="B110" s="72" t="s">
        <v>1486</v>
      </c>
      <c r="C110" s="603"/>
      <c r="D110" s="73" t="s">
        <v>1487</v>
      </c>
      <c r="E110" s="73" t="s">
        <v>1488</v>
      </c>
      <c r="F110" s="796" t="s">
        <v>1532</v>
      </c>
      <c r="G110" s="797"/>
      <c r="H110" s="797"/>
      <c r="I110" s="798"/>
      <c r="J110" s="72" t="s">
        <v>1486</v>
      </c>
      <c r="K110" s="73" t="s">
        <v>1487</v>
      </c>
      <c r="L110" s="73" t="s">
        <v>1488</v>
      </c>
      <c r="M110" s="796" t="s">
        <v>1532</v>
      </c>
      <c r="N110" s="797"/>
      <c r="O110" s="797"/>
      <c r="P110" s="798"/>
    </row>
    <row r="111" spans="2:16" ht="20.100000000000001" hidden="1" customHeight="1">
      <c r="B111" s="799" t="s">
        <v>1533</v>
      </c>
      <c r="C111" s="602"/>
      <c r="D111" s="784">
        <f>COUNTIFS('제조품질 불량내역'!$K:$K,"&gt;=2025-01-01",'제조품질 불량내역'!$K:$K,"&lt;=2025-03-31",'제조품질 불량내역'!$M:$M,"MALE CONNECTOR")</f>
        <v>0</v>
      </c>
      <c r="E111" s="787" t="e">
        <f>D111/SUM(#REF!)</f>
        <v>#REF!</v>
      </c>
      <c r="F111" s="73" t="s">
        <v>1534</v>
      </c>
      <c r="G111" s="790" t="s">
        <v>1535</v>
      </c>
      <c r="H111" s="791"/>
      <c r="I111" s="792"/>
      <c r="J111" s="802" t="s">
        <v>1507</v>
      </c>
      <c r="K111" s="784">
        <f>COUNTIFS('제조품질 불량내역'!$K:$K,"&gt;=2025-04-01",'제조품질 불량내역'!$K:$K,"&lt;=2025-06-30",'제조품질 불량내역'!$M:$M,"O-RING")</f>
        <v>0</v>
      </c>
      <c r="L111" s="787" t="e">
        <f>K111/SUM(#REF!)</f>
        <v>#REF!</v>
      </c>
      <c r="M111" s="73" t="s">
        <v>1534</v>
      </c>
      <c r="N111" s="790" t="s">
        <v>1536</v>
      </c>
      <c r="O111" s="791"/>
      <c r="P111" s="792"/>
    </row>
    <row r="112" spans="2:16" ht="20.100000000000001" hidden="1" customHeight="1">
      <c r="B112" s="800"/>
      <c r="C112" s="612"/>
      <c r="D112" s="785"/>
      <c r="E112" s="788"/>
      <c r="F112" s="73" t="s">
        <v>1537</v>
      </c>
      <c r="G112" s="790" t="s">
        <v>1538</v>
      </c>
      <c r="H112" s="791"/>
      <c r="I112" s="792"/>
      <c r="J112" s="800"/>
      <c r="K112" s="785"/>
      <c r="L112" s="788"/>
      <c r="M112" s="73" t="s">
        <v>1537</v>
      </c>
      <c r="N112" s="790" t="s">
        <v>1539</v>
      </c>
      <c r="O112" s="791"/>
      <c r="P112" s="792"/>
    </row>
    <row r="113" spans="2:16" ht="20.100000000000001" hidden="1" customHeight="1">
      <c r="B113" s="801"/>
      <c r="C113" s="613"/>
      <c r="D113" s="786"/>
      <c r="E113" s="789"/>
      <c r="F113" s="73" t="s">
        <v>1540</v>
      </c>
      <c r="G113" s="790" t="s">
        <v>1541</v>
      </c>
      <c r="H113" s="791"/>
      <c r="I113" s="792"/>
      <c r="J113" s="801"/>
      <c r="K113" s="786"/>
      <c r="L113" s="789"/>
      <c r="M113" s="73" t="s">
        <v>1540</v>
      </c>
      <c r="N113" s="790" t="s">
        <v>1542</v>
      </c>
      <c r="O113" s="791"/>
      <c r="P113" s="792"/>
    </row>
    <row r="114" spans="2:16" ht="3" hidden="1" customHeight="1">
      <c r="B114" s="84"/>
      <c r="C114" s="567"/>
      <c r="D114" s="85"/>
      <c r="E114" s="75"/>
      <c r="F114" s="73"/>
      <c r="G114" s="86"/>
      <c r="H114" s="87"/>
      <c r="I114" s="88"/>
      <c r="J114" s="84"/>
      <c r="K114" s="85"/>
      <c r="L114" s="75"/>
      <c r="M114" s="73"/>
      <c r="N114" s="86"/>
      <c r="O114" s="87"/>
      <c r="P114" s="88"/>
    </row>
    <row r="115" spans="2:16" ht="20.100000000000001" hidden="1" customHeight="1">
      <c r="B115" s="799" t="s">
        <v>1543</v>
      </c>
      <c r="C115" s="602"/>
      <c r="D115" s="803">
        <f>COUNTIFS('제조품질 불량내역'!$K:$K,"&gt;=2025-01-01",'제조품질 불량내역'!$K:$K,"&lt;=2025-03-31",'제조품질 불량내역'!$M:$M,"CLAMP")+COUNTIFS('제조품질 불량내역'!$K:$K,"&gt;=2025-01-01",'제조품질 불량내역'!$K:$K,"&lt;=2025-03-31",'제조품질 불량내역'!$M:$M,"CHAIN CLAMP")</f>
        <v>0</v>
      </c>
      <c r="E115" s="787" t="e">
        <f>D115/SUM(#REF!)</f>
        <v>#REF!</v>
      </c>
      <c r="F115" s="73" t="s">
        <v>1534</v>
      </c>
      <c r="G115" s="790" t="s">
        <v>1544</v>
      </c>
      <c r="H115" s="791"/>
      <c r="I115" s="792"/>
      <c r="J115" s="802" t="s">
        <v>1493</v>
      </c>
      <c r="K115" s="803">
        <f>COUNTIFS('제조품질 불량내역'!$K:$K,"&gt;=2025-04-01",'제조품질 불량내역'!$K:$K,"&lt;=2025-06-30",'제조품질 불량내역'!$M:$M,"MALE ELBOW")</f>
        <v>0</v>
      </c>
      <c r="L115" s="787" t="e">
        <f>K115/SUM(#REF!)</f>
        <v>#REF!</v>
      </c>
      <c r="M115" s="73" t="s">
        <v>1534</v>
      </c>
      <c r="N115" s="790" t="s">
        <v>1545</v>
      </c>
      <c r="O115" s="791"/>
      <c r="P115" s="792"/>
    </row>
    <row r="116" spans="2:16" ht="20.100000000000001" hidden="1" customHeight="1">
      <c r="B116" s="800"/>
      <c r="C116" s="612"/>
      <c r="D116" s="804"/>
      <c r="E116" s="788"/>
      <c r="F116" s="73" t="s">
        <v>1537</v>
      </c>
      <c r="G116" s="790" t="s">
        <v>1546</v>
      </c>
      <c r="H116" s="791"/>
      <c r="I116" s="792"/>
      <c r="J116" s="800"/>
      <c r="K116" s="804"/>
      <c r="L116" s="788"/>
      <c r="M116" s="73" t="s">
        <v>1537</v>
      </c>
      <c r="N116" s="790" t="s">
        <v>1547</v>
      </c>
      <c r="O116" s="791"/>
      <c r="P116" s="792"/>
    </row>
    <row r="117" spans="2:16" ht="20.100000000000001" hidden="1" customHeight="1">
      <c r="B117" s="801"/>
      <c r="C117" s="613"/>
      <c r="D117" s="805"/>
      <c r="E117" s="789"/>
      <c r="F117" s="73" t="s">
        <v>1540</v>
      </c>
      <c r="G117" s="790" t="s">
        <v>1548</v>
      </c>
      <c r="H117" s="791"/>
      <c r="I117" s="792"/>
      <c r="J117" s="801"/>
      <c r="K117" s="805"/>
      <c r="L117" s="789"/>
      <c r="M117" s="73" t="s">
        <v>1540</v>
      </c>
      <c r="N117" s="790" t="s">
        <v>1549</v>
      </c>
      <c r="O117" s="791"/>
      <c r="P117" s="792"/>
    </row>
    <row r="118" spans="2:16" ht="3" hidden="1" customHeight="1">
      <c r="B118" s="84"/>
      <c r="C118" s="567"/>
      <c r="D118" s="89"/>
      <c r="E118" s="75"/>
      <c r="F118" s="73"/>
      <c r="G118" s="86"/>
      <c r="H118" s="87"/>
      <c r="I118" s="88"/>
      <c r="J118" s="84"/>
      <c r="K118" s="89"/>
      <c r="L118" s="75"/>
      <c r="M118" s="73"/>
      <c r="N118" s="86"/>
      <c r="O118" s="87"/>
      <c r="P118" s="88"/>
    </row>
    <row r="119" spans="2:16" ht="20.100000000000001" hidden="1" customHeight="1">
      <c r="B119" s="799" t="s">
        <v>1493</v>
      </c>
      <c r="C119" s="602"/>
      <c r="D119" s="803">
        <f>COUNTIFS('제조품질 불량내역'!$K:$K,"&gt;=2025-01-01",'제조품질 불량내역'!$K:$K,"&lt;=2025-03-31",'제조품질 불량내역'!$M:$M,"MALE ELBOW")</f>
        <v>0</v>
      </c>
      <c r="E119" s="787" t="e">
        <f>D119/SUM(#REF!)</f>
        <v>#REF!</v>
      </c>
      <c r="F119" s="73" t="s">
        <v>1534</v>
      </c>
      <c r="G119" s="790" t="s">
        <v>1545</v>
      </c>
      <c r="H119" s="791"/>
      <c r="I119" s="792"/>
      <c r="J119" s="799" t="s">
        <v>1550</v>
      </c>
      <c r="K119" s="803">
        <f>COUNTIFS('제조품질 불량내역'!$K:$K,"&gt;=2025-04-01",'제조품질 불량내역'!$K:$K,"&lt;=2025-06-30",'제조품질 불량내역'!$M:$M,"REDUCING UNION TEE")</f>
        <v>0</v>
      </c>
      <c r="L119" s="787" t="e">
        <f>K119/SUM(#REF!)</f>
        <v>#REF!</v>
      </c>
      <c r="M119" s="73" t="s">
        <v>1534</v>
      </c>
      <c r="N119" s="790" t="s">
        <v>1551</v>
      </c>
      <c r="O119" s="791"/>
      <c r="P119" s="792"/>
    </row>
    <row r="120" spans="2:16" ht="20.100000000000001" hidden="1" customHeight="1">
      <c r="B120" s="800"/>
      <c r="C120" s="612"/>
      <c r="D120" s="804"/>
      <c r="E120" s="788"/>
      <c r="F120" s="73" t="s">
        <v>1537</v>
      </c>
      <c r="G120" s="790" t="s">
        <v>1552</v>
      </c>
      <c r="H120" s="791"/>
      <c r="I120" s="792"/>
      <c r="J120" s="800"/>
      <c r="K120" s="804"/>
      <c r="L120" s="788"/>
      <c r="M120" s="73" t="s">
        <v>1537</v>
      </c>
      <c r="N120" s="790" t="s">
        <v>1553</v>
      </c>
      <c r="O120" s="791"/>
      <c r="P120" s="792"/>
    </row>
    <row r="121" spans="2:16" ht="20.100000000000001" hidden="1" customHeight="1">
      <c r="B121" s="810"/>
      <c r="C121" s="614"/>
      <c r="D121" s="811"/>
      <c r="E121" s="806"/>
      <c r="F121" s="74" t="s">
        <v>1554</v>
      </c>
      <c r="G121" s="807" t="s">
        <v>1555</v>
      </c>
      <c r="H121" s="808"/>
      <c r="I121" s="809"/>
      <c r="J121" s="810"/>
      <c r="K121" s="811"/>
      <c r="L121" s="806"/>
      <c r="M121" s="74" t="s">
        <v>1554</v>
      </c>
      <c r="N121" s="807" t="s">
        <v>1556</v>
      </c>
      <c r="O121" s="808"/>
      <c r="P121" s="809"/>
    </row>
    <row r="129" s="71" customFormat="1"/>
    <row r="130" s="71" customFormat="1"/>
    <row r="131" s="71" customFormat="1"/>
    <row r="132" s="71" customFormat="1"/>
    <row r="133" s="71" customFormat="1"/>
    <row r="134" s="71" customFormat="1"/>
    <row r="135" s="71" customFormat="1"/>
    <row r="136" s="71" customFormat="1"/>
    <row r="137" s="71" customFormat="1"/>
    <row r="138" s="71" customFormat="1"/>
    <row r="139" s="71" customFormat="1"/>
    <row r="140" s="71" customFormat="1"/>
    <row r="141" s="71" customFormat="1"/>
    <row r="142" s="71" customFormat="1"/>
    <row r="143" s="71" customFormat="1"/>
    <row r="144" s="71" customFormat="1"/>
    <row r="152" spans="2:2">
      <c r="B152" s="71" t="s">
        <v>1557</v>
      </c>
    </row>
    <row r="179" s="71" customFormat="1"/>
  </sheetData>
  <mergeCells count="155">
    <mergeCell ref="B33:P45"/>
    <mergeCell ref="B65:B67"/>
    <mergeCell ref="B68:B70"/>
    <mergeCell ref="B71:B73"/>
    <mergeCell ref="B74:B76"/>
    <mergeCell ref="B77:B79"/>
    <mergeCell ref="B80:B82"/>
    <mergeCell ref="B83:B85"/>
    <mergeCell ref="B59:B61"/>
    <mergeCell ref="B62:B64"/>
    <mergeCell ref="B10:C10"/>
    <mergeCell ref="B11:C11"/>
    <mergeCell ref="B12:C12"/>
    <mergeCell ref="B13:C13"/>
    <mergeCell ref="B15:C15"/>
    <mergeCell ref="B16:C16"/>
    <mergeCell ref="B17:C17"/>
    <mergeCell ref="B18:C18"/>
    <mergeCell ref="B19:C19"/>
    <mergeCell ref="L119:L121"/>
    <mergeCell ref="N119:P119"/>
    <mergeCell ref="G120:I120"/>
    <mergeCell ref="N120:P120"/>
    <mergeCell ref="G121:I121"/>
    <mergeCell ref="N121:P121"/>
    <mergeCell ref="B119:B121"/>
    <mergeCell ref="D119:D121"/>
    <mergeCell ref="E119:E121"/>
    <mergeCell ref="G119:I119"/>
    <mergeCell ref="J119:J121"/>
    <mergeCell ref="K119:K121"/>
    <mergeCell ref="L115:L117"/>
    <mergeCell ref="N115:P115"/>
    <mergeCell ref="G116:I116"/>
    <mergeCell ref="N116:P116"/>
    <mergeCell ref="G117:I117"/>
    <mergeCell ref="N117:P117"/>
    <mergeCell ref="B115:B117"/>
    <mergeCell ref="D115:D117"/>
    <mergeCell ref="E115:E117"/>
    <mergeCell ref="G115:I115"/>
    <mergeCell ref="J115:J117"/>
    <mergeCell ref="K115:K117"/>
    <mergeCell ref="K111:K113"/>
    <mergeCell ref="L111:L113"/>
    <mergeCell ref="N111:P111"/>
    <mergeCell ref="G112:I112"/>
    <mergeCell ref="N112:P112"/>
    <mergeCell ref="G113:I113"/>
    <mergeCell ref="N113:P113"/>
    <mergeCell ref="B108:P108"/>
    <mergeCell ref="B109:I109"/>
    <mergeCell ref="J109:P109"/>
    <mergeCell ref="F110:I110"/>
    <mergeCell ref="M110:P110"/>
    <mergeCell ref="B111:B113"/>
    <mergeCell ref="D111:D113"/>
    <mergeCell ref="E111:E113"/>
    <mergeCell ref="G111:I111"/>
    <mergeCell ref="J111:J113"/>
    <mergeCell ref="O103:P103"/>
    <mergeCell ref="B105:B107"/>
    <mergeCell ref="D105:E105"/>
    <mergeCell ref="H105:I105"/>
    <mergeCell ref="J105:J107"/>
    <mergeCell ref="K105:L105"/>
    <mergeCell ref="O105:P105"/>
    <mergeCell ref="D106:E106"/>
    <mergeCell ref="H106:I106"/>
    <mergeCell ref="K106:L106"/>
    <mergeCell ref="O106:P106"/>
    <mergeCell ref="D107:E107"/>
    <mergeCell ref="H107:I107"/>
    <mergeCell ref="K107:L107"/>
    <mergeCell ref="O107:P107"/>
    <mergeCell ref="O99:P99"/>
    <mergeCell ref="B101:B103"/>
    <mergeCell ref="D101:E101"/>
    <mergeCell ref="H101:I101"/>
    <mergeCell ref="J101:J103"/>
    <mergeCell ref="K101:L101"/>
    <mergeCell ref="O101:P101"/>
    <mergeCell ref="D102:E102"/>
    <mergeCell ref="H102:I102"/>
    <mergeCell ref="K102:L102"/>
    <mergeCell ref="B97:B99"/>
    <mergeCell ref="D97:E97"/>
    <mergeCell ref="H97:I97"/>
    <mergeCell ref="J97:J99"/>
    <mergeCell ref="K97:L97"/>
    <mergeCell ref="O97:P97"/>
    <mergeCell ref="D98:I99"/>
    <mergeCell ref="K98:L98"/>
    <mergeCell ref="O98:P98"/>
    <mergeCell ref="K99:L99"/>
    <mergeCell ref="O102:P102"/>
    <mergeCell ref="D103:E103"/>
    <mergeCell ref="H103:I103"/>
    <mergeCell ref="K103:L103"/>
    <mergeCell ref="D95:E95"/>
    <mergeCell ref="H95:I95"/>
    <mergeCell ref="K95:L95"/>
    <mergeCell ref="O95:P95"/>
    <mergeCell ref="B96:I96"/>
    <mergeCell ref="J96:P96"/>
    <mergeCell ref="B93:B95"/>
    <mergeCell ref="D93:E93"/>
    <mergeCell ref="H93:I93"/>
    <mergeCell ref="J93:J95"/>
    <mergeCell ref="K93:L93"/>
    <mergeCell ref="O93:P93"/>
    <mergeCell ref="D94:E94"/>
    <mergeCell ref="H94:I94"/>
    <mergeCell ref="K94:L94"/>
    <mergeCell ref="O94:P94"/>
    <mergeCell ref="D91:E91"/>
    <mergeCell ref="H91:I91"/>
    <mergeCell ref="K91:L91"/>
    <mergeCell ref="O91:P91"/>
    <mergeCell ref="B92:I92"/>
    <mergeCell ref="J92:P92"/>
    <mergeCell ref="B89:B91"/>
    <mergeCell ref="D89:E89"/>
    <mergeCell ref="H89:I89"/>
    <mergeCell ref="J89:J91"/>
    <mergeCell ref="K89:L89"/>
    <mergeCell ref="O89:P89"/>
    <mergeCell ref="D90:E90"/>
    <mergeCell ref="H90:I90"/>
    <mergeCell ref="K90:L90"/>
    <mergeCell ref="O90:P90"/>
    <mergeCell ref="B86:P86"/>
    <mergeCell ref="B87:I87"/>
    <mergeCell ref="J87:P87"/>
    <mergeCell ref="D88:E88"/>
    <mergeCell ref="H88:I88"/>
    <mergeCell ref="K88:L88"/>
    <mergeCell ref="O88:P88"/>
    <mergeCell ref="B2:P2"/>
    <mergeCell ref="B14:P14"/>
    <mergeCell ref="B20:P20"/>
    <mergeCell ref="B3:C3"/>
    <mergeCell ref="B4:C4"/>
    <mergeCell ref="B5:C5"/>
    <mergeCell ref="B6:C6"/>
    <mergeCell ref="B7:C7"/>
    <mergeCell ref="B8:C8"/>
    <mergeCell ref="B9:C9"/>
    <mergeCell ref="B21:C22"/>
    <mergeCell ref="B23:C24"/>
    <mergeCell ref="B25:C26"/>
    <mergeCell ref="B27:C28"/>
    <mergeCell ref="B29:C30"/>
    <mergeCell ref="B31:C32"/>
    <mergeCell ref="B58:P58"/>
  </mergeCells>
  <phoneticPr fontId="7" type="noConversion"/>
  <conditionalFormatting sqref="D22:P22 D24:P24 D26:P26 D28:P28 D27 D30:P30 D29 D32:P32 D31:I31 F27:I27 F29:J29">
    <cfRule type="dataBar" priority="37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{ACB1FF01-DA7D-45C8-BE1C-0D8B4FCA0F99}</x14:id>
        </ext>
      </extLst>
    </cfRule>
  </conditionalFormatting>
  <conditionalFormatting sqref="G89:G91 G93:G95 G97 G101:G103 G105:G107 N89:N91 N93:N95 N97:N99 N101:N103 N105:N107 L111:L121 E111:E121">
    <cfRule type="dataBar" priority="36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{F802CA98-2705-426B-A59B-EC8E6F670F64}</x14:id>
        </ext>
      </extLst>
    </cfRule>
  </conditionalFormatting>
  <conditionalFormatting sqref="D61:P61 D64:P64 D67:P67 D70:P70 D73:P73 D76:P76 D79:P79">
    <cfRule type="dataBar" priority="1">
      <dataBar>
        <cfvo type="num" val="0"/>
        <cfvo type="num" val="1"/>
        <color rgb="FF008AEF"/>
      </dataBar>
      <extLst>
        <ext xmlns:x14="http://schemas.microsoft.com/office/spreadsheetml/2009/9/main" uri="{B025F937-C7B1-47D3-B67F-A62EFF666E3E}">
          <x14:id>{D73BB9C0-F151-43FD-AFCC-A8C46C8B8080}</x14:id>
        </ext>
      </extLst>
    </cfRule>
  </conditionalFormatting>
  <pageMargins left="0.7" right="0.7" top="0.75" bottom="0.75" header="0.3" footer="0.3"/>
  <pageSetup paperSize="9" scale="42" orientation="portrait" r:id="rId1"/>
  <colBreaks count="1" manualBreakCount="1">
    <brk id="17" max="78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B1FF01-DA7D-45C8-BE1C-0D8B4FCA0F99}">
            <x14:dataBar minLength="0" maxLength="100" gradient="0" direction="leftToRight" axisPosition="none">
              <x14:cfvo type="num">
                <xm:f>0</xm:f>
              </x14:cfvo>
              <x14:cfvo type="num">
                <xm:f>1</xm:f>
              </x14:cfvo>
              <x14:negativeFillColor rgb="FFFF0000"/>
            </x14:dataBar>
          </x14:cfRule>
          <xm:sqref>D22:P22 D24:P24 D26:P26 D28:P28 D27 D30:P30 D29 D32:P32 D31:I31 F27:I27 F29:J29</xm:sqref>
        </x14:conditionalFormatting>
        <x14:conditionalFormatting xmlns:xm="http://schemas.microsoft.com/office/excel/2006/main">
          <x14:cfRule type="dataBar" id="{F802CA98-2705-426B-A59B-EC8E6F670F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G89:G91 G93:G95 G97 G101:G103 G105:G107 N89:N91 N93:N95 N97:N99 N101:N103 N105:N107 L111:L121 E111:E121</xm:sqref>
        </x14:conditionalFormatting>
        <x14:conditionalFormatting xmlns:xm="http://schemas.microsoft.com/office/excel/2006/main">
          <x14:cfRule type="dataBar" id="{D73BB9C0-F151-43FD-AFCC-A8C46C8B8080}">
            <x14:dataBar minLength="0" maxLength="100" gradient="0" direction="leftToRight" axisPosition="none">
              <x14:cfvo type="num">
                <xm:f>0</xm:f>
              </x14:cfvo>
              <x14:cfvo type="num">
                <xm:f>1</xm:f>
              </x14:cfvo>
              <x14:negativeFillColor rgb="FFFF0000"/>
            </x14:dataBar>
          </x14:cfRule>
          <xm:sqref>D61:P61 D64:P64 D67:P67 D70:P70 D73:P73 D76:P76 D79:P79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55B97-ADB5-4092-9815-A41D95FD0881}">
  <sheetPr codeName="Sheet13">
    <tabColor theme="8" tint="-0.249977111117893"/>
  </sheetPr>
  <dimension ref="A1:AL4112"/>
  <sheetViews>
    <sheetView zoomScale="70" zoomScaleNormal="70" workbookViewId="0">
      <pane ySplit="1" topLeftCell="O1766" activePane="bottomLeft" state="frozen"/>
      <selection pane="bottomLeft" activeCell="O1780" sqref="O1780"/>
    </sheetView>
  </sheetViews>
  <sheetFormatPr defaultColWidth="0" defaultRowHeight="16.5" customHeight="1" zeroHeight="1"/>
  <cols>
    <col min="1" max="1" width="15.7109375" style="122" bestFit="1" customWidth="1"/>
    <col min="2" max="2" width="23.85546875" style="159" customWidth="1"/>
    <col min="3" max="3" width="25.5703125" style="122" bestFit="1" customWidth="1"/>
    <col min="4" max="4" width="13.28515625" style="122" bestFit="1" customWidth="1"/>
    <col min="5" max="5" width="17.42578125" style="122" customWidth="1"/>
    <col min="6" max="6" width="25.140625" style="122" customWidth="1"/>
    <col min="7" max="7" width="12.140625" style="122" customWidth="1"/>
    <col min="8" max="8" width="9.7109375" style="122" customWidth="1"/>
    <col min="9" max="9" width="8.85546875" style="122" bestFit="1" customWidth="1"/>
    <col min="10" max="10" width="13.140625" style="122" bestFit="1" customWidth="1"/>
    <col min="11" max="11" width="15" style="122" customWidth="1"/>
    <col min="12" max="13" width="11.5703125" style="122" customWidth="1"/>
    <col min="14" max="14" width="14.42578125" style="122" customWidth="1"/>
    <col min="15" max="16" width="17.5703125" style="122" customWidth="1"/>
    <col min="17" max="17" width="20.28515625" style="122" bestFit="1" customWidth="1"/>
    <col min="18" max="18" width="60.28515625" style="122" bestFit="1" customWidth="1"/>
    <col min="19" max="19" width="89.42578125" style="122" customWidth="1"/>
    <col min="20" max="20" width="33.140625" style="122" customWidth="1"/>
    <col min="21" max="21" width="40.7109375" style="122" bestFit="1" customWidth="1"/>
    <col min="22" max="38" width="0" style="158" hidden="1" customWidth="1"/>
    <col min="39" max="16384" width="10.28515625" style="158" hidden="1"/>
  </cols>
  <sheetData>
    <row r="1" spans="1:38" s="162" customFormat="1" ht="26.25" customHeight="1">
      <c r="A1" s="160" t="s">
        <v>1558</v>
      </c>
      <c r="B1" s="161" t="s">
        <v>1559</v>
      </c>
      <c r="C1" s="160" t="s">
        <v>1560</v>
      </c>
      <c r="D1" s="160" t="s">
        <v>1561</v>
      </c>
      <c r="E1" s="160" t="s">
        <v>1562</v>
      </c>
      <c r="F1" s="160" t="s">
        <v>1563</v>
      </c>
      <c r="G1" s="160" t="s">
        <v>1438</v>
      </c>
      <c r="H1" s="160" t="s">
        <v>1564</v>
      </c>
      <c r="I1" s="160" t="s">
        <v>1565</v>
      </c>
      <c r="J1" s="160" t="s">
        <v>1566</v>
      </c>
      <c r="K1" s="160" t="s">
        <v>1567</v>
      </c>
      <c r="L1" s="160" t="s">
        <v>1568</v>
      </c>
      <c r="M1" s="160" t="s">
        <v>1569</v>
      </c>
      <c r="N1" s="160" t="s">
        <v>1570</v>
      </c>
      <c r="O1" s="160" t="s">
        <v>1571</v>
      </c>
      <c r="P1" s="160" t="s">
        <v>1572</v>
      </c>
      <c r="Q1" s="160" t="s">
        <v>1573</v>
      </c>
      <c r="R1" s="160" t="s">
        <v>1574</v>
      </c>
      <c r="S1" s="160" t="s">
        <v>1575</v>
      </c>
      <c r="T1" s="160" t="s">
        <v>1576</v>
      </c>
      <c r="U1" s="160" t="s">
        <v>1577</v>
      </c>
      <c r="V1" s="615"/>
      <c r="W1" s="615"/>
      <c r="X1" s="615"/>
      <c r="Y1" s="615"/>
      <c r="Z1" s="615"/>
      <c r="AA1" s="615"/>
      <c r="AB1" s="615"/>
      <c r="AC1" s="615"/>
      <c r="AD1" s="615"/>
      <c r="AE1" s="615"/>
      <c r="AF1" s="615"/>
      <c r="AG1" s="615"/>
      <c r="AH1" s="615"/>
      <c r="AI1" s="615"/>
      <c r="AJ1" s="615"/>
      <c r="AK1" s="615"/>
      <c r="AL1" s="615"/>
    </row>
    <row r="2" spans="1:38">
      <c r="A2" s="292">
        <v>5261</v>
      </c>
      <c r="B2" s="407"/>
      <c r="C2" s="408"/>
      <c r="D2" s="292" t="s">
        <v>1578</v>
      </c>
      <c r="E2" s="292" t="s">
        <v>1405</v>
      </c>
      <c r="F2" s="292" t="s">
        <v>1480</v>
      </c>
      <c r="G2" s="68" t="str">
        <f t="shared" ref="G2:G65" si="0">IF(OR(ISNUMBER(SEARCH("DUAL",F2)), ISNUMBER(SEARCH("IVAS",F2))), "DUAL", "SINGLE")</f>
        <v>DUAL</v>
      </c>
      <c r="H2" s="197">
        <f t="shared" ref="H2:H64" si="1">WEEKNUM(K2)</f>
        <v>1</v>
      </c>
      <c r="I2" s="408">
        <f>MONTH(K2)</f>
        <v>1</v>
      </c>
      <c r="J2" s="408">
        <f>DAY(K2)</f>
        <v>2</v>
      </c>
      <c r="K2" s="409">
        <v>45659</v>
      </c>
      <c r="L2" s="408"/>
      <c r="M2" s="408"/>
      <c r="N2" s="3" t="str">
        <f t="shared" ref="N2:N65" si="2">IF(O2&lt;&gt;"", "NG", "")</f>
        <v/>
      </c>
      <c r="O2" s="408"/>
      <c r="P2" s="408"/>
      <c r="Q2" s="408"/>
      <c r="R2" s="408"/>
      <c r="S2" s="408"/>
      <c r="T2" s="408"/>
      <c r="U2" s="408"/>
      <c r="V2" s="421"/>
      <c r="W2" s="421"/>
      <c r="X2" s="421"/>
      <c r="Y2" s="421"/>
      <c r="Z2" s="421"/>
      <c r="AA2" s="421"/>
      <c r="AB2" s="421"/>
      <c r="AC2" s="421"/>
      <c r="AD2" s="421"/>
      <c r="AE2" s="421"/>
      <c r="AF2" s="421"/>
      <c r="AG2" s="421"/>
      <c r="AH2" s="421"/>
      <c r="AI2" s="421"/>
      <c r="AJ2" s="421"/>
      <c r="AK2" s="421"/>
      <c r="AL2" s="421"/>
    </row>
    <row r="3" spans="1:38">
      <c r="A3" s="410">
        <v>5260</v>
      </c>
      <c r="B3" s="407"/>
      <c r="C3" s="408"/>
      <c r="D3" s="410" t="s">
        <v>1579</v>
      </c>
      <c r="E3" s="410" t="s">
        <v>1405</v>
      </c>
      <c r="F3" s="410" t="s">
        <v>1480</v>
      </c>
      <c r="G3" s="68" t="str">
        <f t="shared" si="0"/>
        <v>DUAL</v>
      </c>
      <c r="H3" s="197">
        <f t="shared" si="1"/>
        <v>1</v>
      </c>
      <c r="I3" s="408">
        <f t="shared" ref="I3:I66" si="3">MONTH(K3)</f>
        <v>1</v>
      </c>
      <c r="J3" s="408">
        <f t="shared" ref="J3:J66" si="4">DAY(K3)</f>
        <v>2</v>
      </c>
      <c r="K3" s="411">
        <v>45659</v>
      </c>
      <c r="L3" s="408"/>
      <c r="M3" s="408"/>
      <c r="N3" s="3" t="str">
        <f t="shared" si="2"/>
        <v/>
      </c>
      <c r="O3" s="408"/>
      <c r="P3" s="408"/>
      <c r="Q3" s="408"/>
      <c r="R3" s="408"/>
      <c r="S3" s="408"/>
      <c r="T3" s="408"/>
      <c r="U3" s="408"/>
      <c r="V3" s="421"/>
      <c r="W3" s="421"/>
      <c r="X3" s="421"/>
      <c r="Y3" s="421"/>
      <c r="Z3" s="421"/>
      <c r="AA3" s="421"/>
      <c r="AB3" s="421"/>
      <c r="AC3" s="421"/>
      <c r="AD3" s="421"/>
      <c r="AE3" s="421"/>
      <c r="AF3" s="421"/>
      <c r="AG3" s="421"/>
      <c r="AH3" s="421"/>
      <c r="AI3" s="421"/>
      <c r="AJ3" s="421"/>
      <c r="AK3" s="421"/>
      <c r="AL3" s="421"/>
    </row>
    <row r="4" spans="1:38">
      <c r="A4" s="410">
        <v>5317</v>
      </c>
      <c r="B4" s="407"/>
      <c r="C4" s="408"/>
      <c r="D4" s="410" t="s">
        <v>1580</v>
      </c>
      <c r="E4" s="410" t="s">
        <v>1405</v>
      </c>
      <c r="F4" s="410" t="s">
        <v>1581</v>
      </c>
      <c r="G4" s="68" t="str">
        <f t="shared" si="0"/>
        <v>DUAL</v>
      </c>
      <c r="H4" s="197">
        <f t="shared" si="1"/>
        <v>1</v>
      </c>
      <c r="I4" s="408">
        <f t="shared" si="3"/>
        <v>1</v>
      </c>
      <c r="J4" s="408">
        <f t="shared" si="4"/>
        <v>2</v>
      </c>
      <c r="K4" s="411">
        <v>45659</v>
      </c>
      <c r="L4" s="408"/>
      <c r="M4" s="408"/>
      <c r="N4" s="3" t="str">
        <f t="shared" si="2"/>
        <v/>
      </c>
      <c r="O4" s="408"/>
      <c r="P4" s="408"/>
      <c r="Q4" s="408"/>
      <c r="R4" s="408"/>
      <c r="S4" s="408"/>
      <c r="T4" s="408"/>
      <c r="U4" s="408"/>
      <c r="V4" s="421"/>
      <c r="W4" s="421"/>
      <c r="X4" s="421"/>
      <c r="Y4" s="421"/>
      <c r="Z4" s="421"/>
      <c r="AA4" s="421"/>
      <c r="AB4" s="421"/>
      <c r="AC4" s="421"/>
      <c r="AD4" s="421"/>
      <c r="AE4" s="421"/>
      <c r="AF4" s="421"/>
      <c r="AG4" s="421"/>
      <c r="AH4" s="421"/>
      <c r="AI4" s="421"/>
      <c r="AJ4" s="421"/>
      <c r="AK4" s="421"/>
      <c r="AL4" s="421"/>
    </row>
    <row r="5" spans="1:38">
      <c r="A5" s="410">
        <v>5317</v>
      </c>
      <c r="B5" s="407"/>
      <c r="C5" s="408"/>
      <c r="D5" s="410" t="s">
        <v>1582</v>
      </c>
      <c r="E5" s="410" t="s">
        <v>1405</v>
      </c>
      <c r="F5" s="410" t="s">
        <v>1581</v>
      </c>
      <c r="G5" s="68" t="str">
        <f t="shared" si="0"/>
        <v>DUAL</v>
      </c>
      <c r="H5" s="197">
        <f t="shared" si="1"/>
        <v>1</v>
      </c>
      <c r="I5" s="408">
        <f t="shared" si="3"/>
        <v>1</v>
      </c>
      <c r="J5" s="408">
        <f t="shared" si="4"/>
        <v>2</v>
      </c>
      <c r="K5" s="411">
        <v>45659</v>
      </c>
      <c r="L5" s="408"/>
      <c r="M5" s="408"/>
      <c r="N5" s="3" t="str">
        <f t="shared" si="2"/>
        <v/>
      </c>
      <c r="O5" s="408"/>
      <c r="P5" s="408"/>
      <c r="Q5" s="408"/>
      <c r="R5" s="408"/>
      <c r="S5" s="408"/>
      <c r="T5" s="408"/>
      <c r="U5" s="408"/>
      <c r="V5" s="421"/>
      <c r="W5" s="421"/>
      <c r="X5" s="421"/>
      <c r="Y5" s="421"/>
      <c r="Z5" s="421"/>
      <c r="AA5" s="421"/>
      <c r="AB5" s="421"/>
      <c r="AC5" s="421"/>
      <c r="AD5" s="421"/>
      <c r="AE5" s="421"/>
      <c r="AF5" s="421"/>
      <c r="AG5" s="421"/>
      <c r="AH5" s="421"/>
      <c r="AI5" s="421"/>
      <c r="AJ5" s="421"/>
      <c r="AK5" s="421"/>
      <c r="AL5" s="421"/>
    </row>
    <row r="6" spans="1:38">
      <c r="A6" s="410">
        <v>5239</v>
      </c>
      <c r="B6" s="407"/>
      <c r="C6" s="408"/>
      <c r="D6" s="410" t="s">
        <v>1583</v>
      </c>
      <c r="E6" s="410" t="s">
        <v>1424</v>
      </c>
      <c r="F6" s="410" t="s">
        <v>1476</v>
      </c>
      <c r="G6" s="68" t="str">
        <f t="shared" si="0"/>
        <v>DUAL</v>
      </c>
      <c r="H6" s="197">
        <f t="shared" si="1"/>
        <v>1</v>
      </c>
      <c r="I6" s="408">
        <f t="shared" si="3"/>
        <v>1</v>
      </c>
      <c r="J6" s="408">
        <f t="shared" si="4"/>
        <v>2</v>
      </c>
      <c r="K6" s="411">
        <v>45659</v>
      </c>
      <c r="L6" s="408"/>
      <c r="M6" s="408"/>
      <c r="N6" s="3" t="str">
        <f t="shared" si="2"/>
        <v/>
      </c>
      <c r="O6" s="408"/>
      <c r="P6" s="408"/>
      <c r="Q6" s="408"/>
      <c r="R6" s="408"/>
      <c r="S6" s="408"/>
      <c r="T6" s="408"/>
      <c r="U6" s="408"/>
      <c r="V6" s="421"/>
      <c r="W6" s="421"/>
      <c r="X6" s="421"/>
      <c r="Y6" s="421"/>
      <c r="Z6" s="421"/>
      <c r="AA6" s="421"/>
      <c r="AB6" s="421"/>
      <c r="AC6" s="421"/>
      <c r="AD6" s="421"/>
      <c r="AE6" s="421"/>
      <c r="AF6" s="421"/>
      <c r="AG6" s="421"/>
      <c r="AH6" s="421"/>
      <c r="AI6" s="421"/>
      <c r="AJ6" s="421"/>
      <c r="AK6" s="421"/>
      <c r="AL6" s="421"/>
    </row>
    <row r="7" spans="1:38">
      <c r="A7" s="410">
        <v>5416</v>
      </c>
      <c r="B7" s="407"/>
      <c r="C7" s="408"/>
      <c r="D7" s="410" t="s">
        <v>1584</v>
      </c>
      <c r="E7" s="410" t="s">
        <v>1585</v>
      </c>
      <c r="F7" s="410" t="s">
        <v>1476</v>
      </c>
      <c r="G7" s="68" t="str">
        <f t="shared" si="0"/>
        <v>DUAL</v>
      </c>
      <c r="H7" s="197">
        <f t="shared" si="1"/>
        <v>1</v>
      </c>
      <c r="I7" s="408">
        <f t="shared" si="3"/>
        <v>1</v>
      </c>
      <c r="J7" s="408">
        <f t="shared" si="4"/>
        <v>3</v>
      </c>
      <c r="K7" s="411">
        <v>45660</v>
      </c>
      <c r="L7" s="408"/>
      <c r="M7" s="408"/>
      <c r="N7" s="3" t="str">
        <f t="shared" si="2"/>
        <v/>
      </c>
      <c r="O7" s="408"/>
      <c r="P7" s="408"/>
      <c r="Q7" s="408"/>
      <c r="R7" s="408"/>
      <c r="S7" s="408"/>
      <c r="T7" s="408"/>
      <c r="U7" s="408"/>
      <c r="V7" s="421"/>
      <c r="W7" s="421"/>
      <c r="X7" s="421"/>
      <c r="Y7" s="421"/>
      <c r="Z7" s="421"/>
      <c r="AA7" s="421"/>
      <c r="AB7" s="421"/>
      <c r="AC7" s="421"/>
      <c r="AD7" s="421"/>
      <c r="AE7" s="421"/>
      <c r="AF7" s="421"/>
      <c r="AG7" s="421"/>
      <c r="AH7" s="421"/>
      <c r="AI7" s="421"/>
      <c r="AJ7" s="421"/>
      <c r="AK7" s="421"/>
      <c r="AL7" s="421"/>
    </row>
    <row r="8" spans="1:38">
      <c r="A8" s="410">
        <v>5364</v>
      </c>
      <c r="B8" s="407"/>
      <c r="C8" s="408"/>
      <c r="D8" s="410" t="s">
        <v>1586</v>
      </c>
      <c r="E8" s="410" t="s">
        <v>1585</v>
      </c>
      <c r="F8" s="410" t="s">
        <v>1476</v>
      </c>
      <c r="G8" s="68" t="str">
        <f t="shared" si="0"/>
        <v>DUAL</v>
      </c>
      <c r="H8" s="197">
        <f t="shared" si="1"/>
        <v>1</v>
      </c>
      <c r="I8" s="408">
        <f t="shared" si="3"/>
        <v>1</v>
      </c>
      <c r="J8" s="408">
        <f t="shared" si="4"/>
        <v>3</v>
      </c>
      <c r="K8" s="411">
        <v>45660</v>
      </c>
      <c r="L8" s="408"/>
      <c r="M8" s="408"/>
      <c r="N8" s="3" t="str">
        <f t="shared" si="2"/>
        <v/>
      </c>
      <c r="O8" s="408"/>
      <c r="P8" s="408"/>
      <c r="Q8" s="408"/>
      <c r="R8" s="408"/>
      <c r="S8" s="408"/>
      <c r="T8" s="408"/>
      <c r="U8" s="408"/>
      <c r="V8" s="421"/>
      <c r="W8" s="421"/>
      <c r="X8" s="421"/>
      <c r="Y8" s="421"/>
      <c r="Z8" s="421"/>
      <c r="AA8" s="421"/>
      <c r="AB8" s="421"/>
      <c r="AC8" s="421"/>
      <c r="AD8" s="421"/>
      <c r="AE8" s="421"/>
      <c r="AF8" s="421"/>
      <c r="AG8" s="421"/>
      <c r="AH8" s="421"/>
      <c r="AI8" s="421"/>
      <c r="AJ8" s="421"/>
      <c r="AK8" s="421"/>
      <c r="AL8" s="421"/>
    </row>
    <row r="9" spans="1:38">
      <c r="A9" s="410">
        <v>5282</v>
      </c>
      <c r="B9" s="407"/>
      <c r="C9" s="408"/>
      <c r="D9" s="410" t="s">
        <v>1587</v>
      </c>
      <c r="E9" s="410" t="s">
        <v>1585</v>
      </c>
      <c r="F9" s="410" t="s">
        <v>1476</v>
      </c>
      <c r="G9" s="68" t="str">
        <f t="shared" si="0"/>
        <v>DUAL</v>
      </c>
      <c r="H9" s="197">
        <f t="shared" si="1"/>
        <v>1</v>
      </c>
      <c r="I9" s="408">
        <f t="shared" si="3"/>
        <v>1</v>
      </c>
      <c r="J9" s="408">
        <f t="shared" si="4"/>
        <v>3</v>
      </c>
      <c r="K9" s="411">
        <v>45660</v>
      </c>
      <c r="L9" s="408"/>
      <c r="M9" s="408"/>
      <c r="N9" s="3" t="str">
        <f t="shared" si="2"/>
        <v/>
      </c>
      <c r="O9" s="408"/>
      <c r="P9" s="408"/>
      <c r="Q9" s="408"/>
      <c r="R9" s="408"/>
      <c r="S9" s="408"/>
      <c r="T9" s="408"/>
      <c r="U9" s="408"/>
      <c r="V9" s="421"/>
      <c r="W9" s="421"/>
      <c r="X9" s="421"/>
      <c r="Y9" s="421"/>
      <c r="Z9" s="421"/>
      <c r="AA9" s="421"/>
      <c r="AB9" s="421"/>
      <c r="AC9" s="421"/>
      <c r="AD9" s="421"/>
      <c r="AE9" s="421"/>
      <c r="AF9" s="421"/>
      <c r="AG9" s="421"/>
      <c r="AH9" s="421"/>
      <c r="AI9" s="421"/>
      <c r="AJ9" s="421"/>
      <c r="AK9" s="421"/>
      <c r="AL9" s="421"/>
    </row>
    <row r="10" spans="1:38">
      <c r="A10" s="410">
        <v>5283</v>
      </c>
      <c r="B10" s="407"/>
      <c r="C10" s="408"/>
      <c r="D10" s="410" t="s">
        <v>1588</v>
      </c>
      <c r="E10" s="410" t="s">
        <v>1585</v>
      </c>
      <c r="F10" s="410" t="s">
        <v>1482</v>
      </c>
      <c r="G10" s="68" t="str">
        <f t="shared" si="0"/>
        <v>SINGLE</v>
      </c>
      <c r="H10" s="197">
        <f t="shared" si="1"/>
        <v>1</v>
      </c>
      <c r="I10" s="408">
        <f t="shared" si="3"/>
        <v>1</v>
      </c>
      <c r="J10" s="408">
        <f t="shared" si="4"/>
        <v>3</v>
      </c>
      <c r="K10" s="411">
        <v>45660</v>
      </c>
      <c r="L10" s="408"/>
      <c r="M10" s="408"/>
      <c r="N10" s="3" t="str">
        <f t="shared" si="2"/>
        <v/>
      </c>
      <c r="O10" s="408"/>
      <c r="P10" s="408"/>
      <c r="Q10" s="408"/>
      <c r="R10" s="408"/>
      <c r="S10" s="408"/>
      <c r="T10" s="408"/>
      <c r="U10" s="408"/>
      <c r="V10" s="421"/>
      <c r="W10" s="421"/>
      <c r="X10" s="421"/>
      <c r="Y10" s="421"/>
      <c r="Z10" s="421"/>
      <c r="AA10" s="421"/>
      <c r="AB10" s="421"/>
      <c r="AC10" s="421"/>
      <c r="AD10" s="421"/>
      <c r="AE10" s="421"/>
      <c r="AF10" s="421"/>
      <c r="AG10" s="421"/>
      <c r="AH10" s="421"/>
      <c r="AI10" s="421"/>
      <c r="AJ10" s="421"/>
      <c r="AK10" s="421"/>
      <c r="AL10" s="421"/>
    </row>
    <row r="11" spans="1:38">
      <c r="A11" s="410">
        <v>5018</v>
      </c>
      <c r="B11" s="407"/>
      <c r="C11" s="408"/>
      <c r="D11" s="410" t="s">
        <v>1589</v>
      </c>
      <c r="E11" s="410" t="s">
        <v>1424</v>
      </c>
      <c r="F11" s="410" t="s">
        <v>1476</v>
      </c>
      <c r="G11" s="68" t="str">
        <f t="shared" si="0"/>
        <v>DUAL</v>
      </c>
      <c r="H11" s="197">
        <f t="shared" si="1"/>
        <v>1</v>
      </c>
      <c r="I11" s="408">
        <f t="shared" si="3"/>
        <v>1</v>
      </c>
      <c r="J11" s="408">
        <f t="shared" si="4"/>
        <v>3</v>
      </c>
      <c r="K11" s="411">
        <v>45660</v>
      </c>
      <c r="L11" s="408"/>
      <c r="M11" s="408"/>
      <c r="N11" s="3" t="str">
        <f t="shared" si="2"/>
        <v/>
      </c>
      <c r="O11" s="408"/>
      <c r="P11" s="408"/>
      <c r="Q11" s="408"/>
      <c r="R11" s="408"/>
      <c r="S11" s="408"/>
      <c r="T11" s="408"/>
      <c r="U11" s="408"/>
      <c r="V11" s="421"/>
      <c r="W11" s="421"/>
      <c r="X11" s="421"/>
      <c r="Y11" s="421"/>
      <c r="Z11" s="421"/>
      <c r="AA11" s="421"/>
      <c r="AB11" s="421"/>
      <c r="AC11" s="421"/>
      <c r="AD11" s="421"/>
      <c r="AE11" s="421"/>
      <c r="AF11" s="421"/>
      <c r="AG11" s="421"/>
      <c r="AH11" s="421"/>
      <c r="AI11" s="421"/>
      <c r="AJ11" s="421"/>
      <c r="AK11" s="421"/>
      <c r="AL11" s="421"/>
    </row>
    <row r="12" spans="1:38">
      <c r="A12" s="410">
        <v>5326</v>
      </c>
      <c r="B12" s="407"/>
      <c r="C12" s="408"/>
      <c r="D12" s="410" t="s">
        <v>1590</v>
      </c>
      <c r="E12" s="410" t="s">
        <v>1405</v>
      </c>
      <c r="F12" s="410" t="s">
        <v>1591</v>
      </c>
      <c r="G12" s="68" t="str">
        <f t="shared" si="0"/>
        <v>SINGLE</v>
      </c>
      <c r="H12" s="197">
        <f t="shared" si="1"/>
        <v>2</v>
      </c>
      <c r="I12" s="408">
        <f t="shared" si="3"/>
        <v>1</v>
      </c>
      <c r="J12" s="408">
        <f t="shared" si="4"/>
        <v>6</v>
      </c>
      <c r="K12" s="411">
        <v>45663</v>
      </c>
      <c r="L12" s="408"/>
      <c r="M12" s="408"/>
      <c r="N12" s="3" t="str">
        <f t="shared" si="2"/>
        <v/>
      </c>
      <c r="O12" s="408"/>
      <c r="P12" s="408"/>
      <c r="Q12" s="408"/>
      <c r="R12" s="408"/>
      <c r="S12" s="408"/>
      <c r="T12" s="408"/>
      <c r="U12" s="408"/>
      <c r="V12" s="421"/>
      <c r="W12" s="421"/>
      <c r="X12" s="421"/>
      <c r="Y12" s="421"/>
      <c r="Z12" s="421"/>
      <c r="AA12" s="421"/>
      <c r="AB12" s="421"/>
      <c r="AC12" s="421"/>
      <c r="AD12" s="421"/>
      <c r="AE12" s="421"/>
      <c r="AF12" s="421"/>
      <c r="AG12" s="421"/>
      <c r="AH12" s="421"/>
      <c r="AI12" s="421"/>
      <c r="AJ12" s="421"/>
      <c r="AK12" s="421"/>
      <c r="AL12" s="421"/>
    </row>
    <row r="13" spans="1:38">
      <c r="A13" s="410">
        <v>5326</v>
      </c>
      <c r="B13" s="407"/>
      <c r="C13" s="408"/>
      <c r="D13" s="410" t="s">
        <v>1592</v>
      </c>
      <c r="E13" s="410" t="s">
        <v>1405</v>
      </c>
      <c r="F13" s="410" t="s">
        <v>1591</v>
      </c>
      <c r="G13" s="68" t="str">
        <f t="shared" si="0"/>
        <v>SINGLE</v>
      </c>
      <c r="H13" s="197">
        <f t="shared" si="1"/>
        <v>2</v>
      </c>
      <c r="I13" s="408">
        <f t="shared" si="3"/>
        <v>1</v>
      </c>
      <c r="J13" s="408">
        <f t="shared" si="4"/>
        <v>6</v>
      </c>
      <c r="K13" s="411">
        <v>45663</v>
      </c>
      <c r="L13" s="408"/>
      <c r="M13" s="408"/>
      <c r="N13" s="3" t="str">
        <f t="shared" si="2"/>
        <v/>
      </c>
      <c r="O13" s="408"/>
      <c r="P13" s="408"/>
      <c r="Q13" s="408"/>
      <c r="R13" s="408"/>
      <c r="S13" s="408"/>
      <c r="T13" s="408"/>
      <c r="U13" s="408"/>
      <c r="V13" s="421"/>
      <c r="W13" s="421"/>
      <c r="X13" s="421"/>
      <c r="Y13" s="421"/>
      <c r="Z13" s="421"/>
      <c r="AA13" s="421"/>
      <c r="AB13" s="421"/>
      <c r="AC13" s="421"/>
      <c r="AD13" s="421"/>
      <c r="AE13" s="421"/>
      <c r="AF13" s="421"/>
      <c r="AG13" s="421"/>
      <c r="AH13" s="421"/>
      <c r="AI13" s="421"/>
      <c r="AJ13" s="421"/>
      <c r="AK13" s="421"/>
      <c r="AL13" s="421"/>
    </row>
    <row r="14" spans="1:38">
      <c r="A14" s="410">
        <v>5326</v>
      </c>
      <c r="B14" s="407"/>
      <c r="C14" s="408"/>
      <c r="D14" s="410" t="s">
        <v>1593</v>
      </c>
      <c r="E14" s="410" t="s">
        <v>1405</v>
      </c>
      <c r="F14" s="410" t="s">
        <v>1591</v>
      </c>
      <c r="G14" s="68" t="str">
        <f t="shared" si="0"/>
        <v>SINGLE</v>
      </c>
      <c r="H14" s="197">
        <f t="shared" si="1"/>
        <v>2</v>
      </c>
      <c r="I14" s="408">
        <f t="shared" si="3"/>
        <v>1</v>
      </c>
      <c r="J14" s="408">
        <f t="shared" si="4"/>
        <v>6</v>
      </c>
      <c r="K14" s="411">
        <v>45663</v>
      </c>
      <c r="L14" s="408"/>
      <c r="M14" s="408"/>
      <c r="N14" s="3" t="str">
        <f t="shared" si="2"/>
        <v/>
      </c>
      <c r="O14" s="408"/>
      <c r="P14" s="408"/>
      <c r="Q14" s="408"/>
      <c r="R14" s="408"/>
      <c r="S14" s="408"/>
      <c r="T14" s="408"/>
      <c r="U14" s="408"/>
      <c r="V14" s="421"/>
      <c r="W14" s="421"/>
      <c r="X14" s="421"/>
      <c r="Y14" s="421"/>
      <c r="Z14" s="421"/>
      <c r="AA14" s="421"/>
      <c r="AB14" s="421"/>
      <c r="AC14" s="421"/>
      <c r="AD14" s="421"/>
      <c r="AE14" s="421"/>
      <c r="AF14" s="421"/>
      <c r="AG14" s="421"/>
      <c r="AH14" s="421"/>
      <c r="AI14" s="421"/>
      <c r="AJ14" s="421"/>
      <c r="AK14" s="421"/>
      <c r="AL14" s="421"/>
    </row>
    <row r="15" spans="1:38">
      <c r="A15" s="410">
        <v>5326</v>
      </c>
      <c r="B15" s="407"/>
      <c r="C15" s="408"/>
      <c r="D15" s="410" t="s">
        <v>1594</v>
      </c>
      <c r="E15" s="410" t="s">
        <v>1405</v>
      </c>
      <c r="F15" s="410" t="s">
        <v>1591</v>
      </c>
      <c r="G15" s="68" t="str">
        <f t="shared" si="0"/>
        <v>SINGLE</v>
      </c>
      <c r="H15" s="197">
        <f t="shared" si="1"/>
        <v>2</v>
      </c>
      <c r="I15" s="408">
        <f t="shared" si="3"/>
        <v>1</v>
      </c>
      <c r="J15" s="408">
        <f t="shared" si="4"/>
        <v>6</v>
      </c>
      <c r="K15" s="411">
        <v>45663</v>
      </c>
      <c r="L15" s="408"/>
      <c r="M15" s="408"/>
      <c r="N15" s="3" t="str">
        <f t="shared" si="2"/>
        <v/>
      </c>
      <c r="O15" s="408"/>
      <c r="P15" s="408"/>
      <c r="Q15" s="408"/>
      <c r="R15" s="408"/>
      <c r="S15" s="408"/>
      <c r="T15" s="408"/>
      <c r="U15" s="408"/>
      <c r="V15" s="421"/>
      <c r="W15" s="421"/>
      <c r="X15" s="421"/>
      <c r="Y15" s="421"/>
      <c r="Z15" s="421"/>
      <c r="AA15" s="421"/>
      <c r="AB15" s="421"/>
      <c r="AC15" s="421"/>
      <c r="AD15" s="421"/>
      <c r="AE15" s="421"/>
      <c r="AF15" s="421"/>
      <c r="AG15" s="421"/>
      <c r="AH15" s="421"/>
      <c r="AI15" s="421"/>
      <c r="AJ15" s="421"/>
      <c r="AK15" s="421"/>
      <c r="AL15" s="421"/>
    </row>
    <row r="16" spans="1:38">
      <c r="A16" s="410">
        <v>5258</v>
      </c>
      <c r="B16" s="407"/>
      <c r="C16" s="408"/>
      <c r="D16" s="410" t="s">
        <v>1595</v>
      </c>
      <c r="E16" s="410" t="s">
        <v>1394</v>
      </c>
      <c r="F16" s="410" t="s">
        <v>1479</v>
      </c>
      <c r="G16" s="68" t="str">
        <f t="shared" si="0"/>
        <v>SINGLE</v>
      </c>
      <c r="H16" s="197">
        <f t="shared" si="1"/>
        <v>2</v>
      </c>
      <c r="I16" s="408">
        <f t="shared" si="3"/>
        <v>1</v>
      </c>
      <c r="J16" s="408">
        <f t="shared" si="4"/>
        <v>6</v>
      </c>
      <c r="K16" s="411">
        <v>45663</v>
      </c>
      <c r="L16" s="408"/>
      <c r="M16" s="408"/>
      <c r="N16" s="3" t="str">
        <f t="shared" si="2"/>
        <v/>
      </c>
      <c r="O16" s="408"/>
      <c r="P16" s="408"/>
      <c r="Q16" s="408"/>
      <c r="R16" s="408"/>
      <c r="S16" s="408"/>
      <c r="T16" s="408"/>
      <c r="U16" s="408"/>
      <c r="V16" s="421"/>
      <c r="W16" s="421"/>
      <c r="X16" s="421"/>
      <c r="Y16" s="421"/>
      <c r="Z16" s="421"/>
      <c r="AA16" s="421"/>
      <c r="AB16" s="421"/>
      <c r="AC16" s="421"/>
      <c r="AD16" s="421"/>
      <c r="AE16" s="421"/>
      <c r="AF16" s="421"/>
      <c r="AG16" s="421"/>
      <c r="AH16" s="421"/>
      <c r="AI16" s="421"/>
      <c r="AJ16" s="421"/>
      <c r="AK16" s="421"/>
      <c r="AL16" s="421"/>
    </row>
    <row r="17" spans="1:38">
      <c r="A17" s="410">
        <v>5280</v>
      </c>
      <c r="B17" s="407"/>
      <c r="C17" s="408"/>
      <c r="D17" s="410" t="s">
        <v>1596</v>
      </c>
      <c r="E17" s="410" t="s">
        <v>1585</v>
      </c>
      <c r="F17" s="410" t="s">
        <v>1476</v>
      </c>
      <c r="G17" s="68" t="str">
        <f t="shared" si="0"/>
        <v>DUAL</v>
      </c>
      <c r="H17" s="197">
        <f t="shared" si="1"/>
        <v>2</v>
      </c>
      <c r="I17" s="408">
        <f t="shared" si="3"/>
        <v>1</v>
      </c>
      <c r="J17" s="408">
        <f t="shared" si="4"/>
        <v>7</v>
      </c>
      <c r="K17" s="411">
        <v>45664</v>
      </c>
      <c r="L17" s="408"/>
      <c r="M17" s="408"/>
      <c r="N17" s="3" t="str">
        <f t="shared" si="2"/>
        <v/>
      </c>
      <c r="O17" s="408"/>
      <c r="P17" s="408"/>
      <c r="Q17" s="408"/>
      <c r="R17" s="408"/>
      <c r="S17" s="408"/>
      <c r="T17" s="408"/>
      <c r="U17" s="408"/>
      <c r="V17" s="421"/>
      <c r="W17" s="421"/>
      <c r="X17" s="421"/>
      <c r="Y17" s="421"/>
      <c r="Z17" s="421"/>
      <c r="AA17" s="421"/>
      <c r="AB17" s="421"/>
      <c r="AC17" s="421"/>
      <c r="AD17" s="421"/>
      <c r="AE17" s="421"/>
      <c r="AF17" s="421"/>
      <c r="AG17" s="421"/>
      <c r="AH17" s="421"/>
      <c r="AI17" s="421"/>
      <c r="AJ17" s="421"/>
      <c r="AK17" s="421"/>
      <c r="AL17" s="421"/>
    </row>
    <row r="18" spans="1:38">
      <c r="A18" s="410">
        <v>5317</v>
      </c>
      <c r="B18" s="407"/>
      <c r="C18" s="408"/>
      <c r="D18" s="410" t="s">
        <v>1597</v>
      </c>
      <c r="E18" s="410" t="s">
        <v>1405</v>
      </c>
      <c r="F18" s="410" t="s">
        <v>1581</v>
      </c>
      <c r="G18" s="68" t="str">
        <f t="shared" si="0"/>
        <v>DUAL</v>
      </c>
      <c r="H18" s="197">
        <f t="shared" si="1"/>
        <v>2</v>
      </c>
      <c r="I18" s="408">
        <f t="shared" si="3"/>
        <v>1</v>
      </c>
      <c r="J18" s="408">
        <f t="shared" si="4"/>
        <v>7</v>
      </c>
      <c r="K18" s="411">
        <v>45664</v>
      </c>
      <c r="L18" s="408"/>
      <c r="M18" s="408"/>
      <c r="N18" s="3" t="str">
        <f t="shared" si="2"/>
        <v/>
      </c>
      <c r="O18" s="408"/>
      <c r="P18" s="408"/>
      <c r="Q18" s="408"/>
      <c r="R18" s="408"/>
      <c r="S18" s="408"/>
      <c r="T18" s="408"/>
      <c r="U18" s="408"/>
      <c r="V18" s="421"/>
      <c r="W18" s="421"/>
      <c r="X18" s="421"/>
      <c r="Y18" s="421"/>
      <c r="Z18" s="421"/>
      <c r="AA18" s="421"/>
      <c r="AB18" s="421"/>
      <c r="AC18" s="421"/>
      <c r="AD18" s="421"/>
      <c r="AE18" s="421"/>
      <c r="AF18" s="421"/>
      <c r="AG18" s="421"/>
      <c r="AH18" s="421"/>
      <c r="AI18" s="421"/>
      <c r="AJ18" s="421"/>
      <c r="AK18" s="421"/>
      <c r="AL18" s="421"/>
    </row>
    <row r="19" spans="1:38">
      <c r="A19" s="410">
        <v>5280</v>
      </c>
      <c r="B19" s="407"/>
      <c r="C19" s="408"/>
      <c r="D19" s="410" t="s">
        <v>1598</v>
      </c>
      <c r="E19" s="410" t="s">
        <v>1585</v>
      </c>
      <c r="F19" s="410" t="s">
        <v>1476</v>
      </c>
      <c r="G19" s="68" t="str">
        <f t="shared" si="0"/>
        <v>DUAL</v>
      </c>
      <c r="H19" s="197">
        <f t="shared" si="1"/>
        <v>2</v>
      </c>
      <c r="I19" s="408">
        <f t="shared" si="3"/>
        <v>1</v>
      </c>
      <c r="J19" s="408">
        <f t="shared" si="4"/>
        <v>7</v>
      </c>
      <c r="K19" s="411">
        <v>45664</v>
      </c>
      <c r="L19" s="408"/>
      <c r="M19" s="408"/>
      <c r="N19" s="3" t="str">
        <f t="shared" si="2"/>
        <v/>
      </c>
      <c r="O19" s="408"/>
      <c r="P19" s="408"/>
      <c r="Q19" s="408"/>
      <c r="R19" s="408"/>
      <c r="S19" s="408"/>
      <c r="T19" s="408"/>
      <c r="U19" s="408"/>
      <c r="V19" s="421"/>
      <c r="W19" s="421"/>
      <c r="X19" s="421"/>
      <c r="Y19" s="421"/>
      <c r="Z19" s="421"/>
      <c r="AA19" s="421"/>
      <c r="AB19" s="421"/>
      <c r="AC19" s="421"/>
      <c r="AD19" s="421"/>
      <c r="AE19" s="421"/>
      <c r="AF19" s="421"/>
      <c r="AG19" s="421"/>
      <c r="AH19" s="421"/>
      <c r="AI19" s="421"/>
      <c r="AJ19" s="421"/>
      <c r="AK19" s="421"/>
      <c r="AL19" s="421"/>
    </row>
    <row r="20" spans="1:38">
      <c r="A20" s="410">
        <v>5279</v>
      </c>
      <c r="B20" s="407"/>
      <c r="C20" s="408"/>
      <c r="D20" s="410" t="s">
        <v>1599</v>
      </c>
      <c r="E20" s="410" t="s">
        <v>1585</v>
      </c>
      <c r="F20" s="410" t="s">
        <v>1476</v>
      </c>
      <c r="G20" s="68" t="str">
        <f>IF(OR(ISNUMBER(SEARCH("DUAL",F20)), ISNUMBER(SEARCH("IVAS",F20))), "DUAL", "SINGLE")</f>
        <v>DUAL</v>
      </c>
      <c r="H20" s="197">
        <f t="shared" si="1"/>
        <v>2</v>
      </c>
      <c r="I20" s="408">
        <f t="shared" si="3"/>
        <v>1</v>
      </c>
      <c r="J20" s="408">
        <f t="shared" si="4"/>
        <v>7</v>
      </c>
      <c r="K20" s="411">
        <v>45664</v>
      </c>
      <c r="L20" s="408"/>
      <c r="M20" s="408"/>
      <c r="N20" s="3" t="str">
        <f t="shared" si="2"/>
        <v/>
      </c>
      <c r="O20" s="408"/>
      <c r="P20" s="408"/>
      <c r="Q20" s="408"/>
      <c r="R20" s="408"/>
      <c r="S20" s="408"/>
      <c r="T20" s="408"/>
      <c r="U20" s="408"/>
      <c r="V20" s="421"/>
      <c r="W20" s="421"/>
      <c r="X20" s="421"/>
      <c r="Y20" s="421"/>
      <c r="Z20" s="421"/>
      <c r="AA20" s="421"/>
      <c r="AB20" s="421"/>
      <c r="AC20" s="421"/>
      <c r="AD20" s="421"/>
      <c r="AE20" s="421"/>
      <c r="AF20" s="421"/>
      <c r="AG20" s="421"/>
      <c r="AH20" s="421"/>
      <c r="AI20" s="421"/>
      <c r="AJ20" s="421"/>
      <c r="AK20" s="421"/>
      <c r="AL20" s="421"/>
    </row>
    <row r="21" spans="1:38">
      <c r="A21" s="410">
        <v>5344</v>
      </c>
      <c r="B21" s="407"/>
      <c r="C21" s="408"/>
      <c r="D21" s="410" t="s">
        <v>1600</v>
      </c>
      <c r="E21" s="410" t="s">
        <v>1426</v>
      </c>
      <c r="F21" s="410" t="s">
        <v>1476</v>
      </c>
      <c r="G21" s="68" t="str">
        <f t="shared" si="0"/>
        <v>DUAL</v>
      </c>
      <c r="H21" s="197">
        <f t="shared" si="1"/>
        <v>2</v>
      </c>
      <c r="I21" s="408">
        <f t="shared" si="3"/>
        <v>1</v>
      </c>
      <c r="J21" s="408">
        <f t="shared" si="4"/>
        <v>8</v>
      </c>
      <c r="K21" s="411">
        <v>45665</v>
      </c>
      <c r="L21" s="408"/>
      <c r="M21" s="408"/>
      <c r="N21" s="3" t="str">
        <f t="shared" si="2"/>
        <v/>
      </c>
      <c r="O21" s="408"/>
      <c r="P21" s="408"/>
      <c r="Q21" s="408"/>
      <c r="R21" s="408"/>
      <c r="S21" s="408"/>
      <c r="T21" s="408"/>
      <c r="U21" s="408"/>
      <c r="V21" s="421"/>
      <c r="W21" s="421"/>
      <c r="X21" s="421"/>
      <c r="Y21" s="421"/>
      <c r="Z21" s="421"/>
      <c r="AA21" s="421"/>
      <c r="AB21" s="421"/>
      <c r="AC21" s="421"/>
      <c r="AD21" s="421"/>
      <c r="AE21" s="421"/>
      <c r="AF21" s="421"/>
      <c r="AG21" s="421"/>
      <c r="AH21" s="421"/>
      <c r="AI21" s="421"/>
      <c r="AJ21" s="421"/>
      <c r="AK21" s="421"/>
      <c r="AL21" s="421"/>
    </row>
    <row r="22" spans="1:38">
      <c r="A22" s="410">
        <v>5344</v>
      </c>
      <c r="B22" s="407"/>
      <c r="C22" s="408"/>
      <c r="D22" s="410" t="s">
        <v>1601</v>
      </c>
      <c r="E22" s="410" t="s">
        <v>1426</v>
      </c>
      <c r="F22" s="410" t="s">
        <v>1476</v>
      </c>
      <c r="G22" s="68" t="str">
        <f t="shared" si="0"/>
        <v>DUAL</v>
      </c>
      <c r="H22" s="197">
        <f t="shared" si="1"/>
        <v>2</v>
      </c>
      <c r="I22" s="408">
        <f t="shared" si="3"/>
        <v>1</v>
      </c>
      <c r="J22" s="408">
        <f t="shared" si="4"/>
        <v>8</v>
      </c>
      <c r="K22" s="411">
        <v>45665</v>
      </c>
      <c r="L22" s="408"/>
      <c r="M22" s="408"/>
      <c r="N22" s="3" t="str">
        <f t="shared" si="2"/>
        <v/>
      </c>
      <c r="O22" s="408"/>
      <c r="P22" s="408"/>
      <c r="Q22" s="408"/>
      <c r="R22" s="408"/>
      <c r="S22" s="408"/>
      <c r="T22" s="408"/>
      <c r="U22" s="408"/>
      <c r="V22" s="421"/>
      <c r="W22" s="421"/>
      <c r="X22" s="421"/>
      <c r="Y22" s="421"/>
      <c r="Z22" s="421"/>
      <c r="AA22" s="421"/>
      <c r="AB22" s="421"/>
      <c r="AC22" s="421"/>
      <c r="AD22" s="421"/>
      <c r="AE22" s="421"/>
      <c r="AF22" s="421"/>
      <c r="AG22" s="421"/>
      <c r="AH22" s="421"/>
      <c r="AI22" s="421"/>
      <c r="AJ22" s="421"/>
      <c r="AK22" s="421"/>
      <c r="AL22" s="421"/>
    </row>
    <row r="23" spans="1:38">
      <c r="A23" s="410">
        <v>5344</v>
      </c>
      <c r="B23" s="407"/>
      <c r="C23" s="408"/>
      <c r="D23" s="410" t="s">
        <v>1602</v>
      </c>
      <c r="E23" s="410" t="s">
        <v>1426</v>
      </c>
      <c r="F23" s="410" t="s">
        <v>1476</v>
      </c>
      <c r="G23" s="68" t="str">
        <f t="shared" si="0"/>
        <v>DUAL</v>
      </c>
      <c r="H23" s="197">
        <f t="shared" si="1"/>
        <v>2</v>
      </c>
      <c r="I23" s="408">
        <f t="shared" si="3"/>
        <v>1</v>
      </c>
      <c r="J23" s="408">
        <f t="shared" si="4"/>
        <v>8</v>
      </c>
      <c r="K23" s="411">
        <v>45665</v>
      </c>
      <c r="L23" s="408"/>
      <c r="M23" s="408"/>
      <c r="N23" s="3" t="str">
        <f t="shared" si="2"/>
        <v/>
      </c>
      <c r="O23" s="408"/>
      <c r="P23" s="408"/>
      <c r="Q23" s="408"/>
      <c r="R23" s="408"/>
      <c r="S23" s="408"/>
      <c r="T23" s="408"/>
      <c r="U23" s="408"/>
      <c r="V23" s="421"/>
      <c r="W23" s="421"/>
      <c r="X23" s="421"/>
      <c r="Y23" s="421"/>
      <c r="Z23" s="421"/>
      <c r="AA23" s="421"/>
      <c r="AB23" s="421"/>
      <c r="AC23" s="421"/>
      <c r="AD23" s="421"/>
      <c r="AE23" s="421"/>
      <c r="AF23" s="421"/>
      <c r="AG23" s="421"/>
      <c r="AH23" s="421"/>
      <c r="AI23" s="421"/>
      <c r="AJ23" s="421"/>
      <c r="AK23" s="421"/>
      <c r="AL23" s="421"/>
    </row>
    <row r="24" spans="1:38" s="180" customFormat="1">
      <c r="A24" s="412">
        <v>5281</v>
      </c>
      <c r="B24" s="413"/>
      <c r="C24" s="414"/>
      <c r="D24" s="412" t="s">
        <v>1603</v>
      </c>
      <c r="E24" s="412" t="s">
        <v>1585</v>
      </c>
      <c r="F24" s="412" t="s">
        <v>1476</v>
      </c>
      <c r="G24" s="68" t="str">
        <f t="shared" si="0"/>
        <v>DUAL</v>
      </c>
      <c r="H24" s="197">
        <f t="shared" si="1"/>
        <v>2</v>
      </c>
      <c r="I24" s="414">
        <f t="shared" si="3"/>
        <v>1</v>
      </c>
      <c r="J24" s="414">
        <f t="shared" si="4"/>
        <v>8</v>
      </c>
      <c r="K24" s="415">
        <v>45665</v>
      </c>
      <c r="L24" s="414"/>
      <c r="M24" s="414"/>
      <c r="N24" s="3" t="str">
        <f t="shared" si="2"/>
        <v/>
      </c>
      <c r="O24" s="414"/>
      <c r="P24" s="414"/>
      <c r="Q24" s="414"/>
      <c r="R24" s="414"/>
      <c r="S24" s="414"/>
      <c r="T24" s="414"/>
      <c r="U24" s="414"/>
      <c r="V24" s="419"/>
      <c r="W24" s="419"/>
      <c r="X24" s="419"/>
      <c r="Y24" s="419"/>
      <c r="Z24" s="419"/>
      <c r="AA24" s="419"/>
      <c r="AB24" s="419"/>
      <c r="AC24" s="419"/>
      <c r="AD24" s="419"/>
      <c r="AE24" s="419"/>
      <c r="AF24" s="419"/>
      <c r="AG24" s="419"/>
      <c r="AH24" s="419"/>
      <c r="AI24" s="419"/>
      <c r="AJ24" s="419"/>
      <c r="AK24" s="419"/>
      <c r="AL24" s="419"/>
    </row>
    <row r="25" spans="1:38">
      <c r="A25" s="410">
        <v>5386</v>
      </c>
      <c r="B25" s="407"/>
      <c r="C25" s="408"/>
      <c r="D25" s="410" t="s">
        <v>1604</v>
      </c>
      <c r="E25" s="410" t="s">
        <v>1405</v>
      </c>
      <c r="F25" s="410" t="s">
        <v>1591</v>
      </c>
      <c r="G25" s="68" t="str">
        <f t="shared" si="0"/>
        <v>SINGLE</v>
      </c>
      <c r="H25" s="197">
        <f t="shared" si="1"/>
        <v>2</v>
      </c>
      <c r="I25" s="408">
        <f t="shared" si="3"/>
        <v>1</v>
      </c>
      <c r="J25" s="408">
        <f t="shared" si="4"/>
        <v>8</v>
      </c>
      <c r="K25" s="411">
        <v>45665</v>
      </c>
      <c r="L25" s="408"/>
      <c r="M25" s="408"/>
      <c r="N25" s="3" t="str">
        <f t="shared" si="2"/>
        <v/>
      </c>
      <c r="O25" s="408"/>
      <c r="P25" s="408"/>
      <c r="Q25" s="408"/>
      <c r="R25" s="408"/>
      <c r="S25" s="408"/>
      <c r="T25" s="408"/>
      <c r="U25" s="408"/>
      <c r="V25" s="421"/>
      <c r="W25" s="421"/>
      <c r="X25" s="421"/>
      <c r="Y25" s="421"/>
      <c r="Z25" s="421"/>
      <c r="AA25" s="421"/>
      <c r="AB25" s="421"/>
      <c r="AC25" s="421"/>
      <c r="AD25" s="421"/>
      <c r="AE25" s="421"/>
      <c r="AF25" s="421"/>
      <c r="AG25" s="421"/>
      <c r="AH25" s="421"/>
      <c r="AI25" s="421"/>
      <c r="AJ25" s="421"/>
      <c r="AK25" s="421"/>
      <c r="AL25" s="421"/>
    </row>
    <row r="26" spans="1:38">
      <c r="A26" s="410">
        <v>5386</v>
      </c>
      <c r="B26" s="407"/>
      <c r="C26" s="408"/>
      <c r="D26" s="410" t="s">
        <v>1605</v>
      </c>
      <c r="E26" s="410" t="s">
        <v>1405</v>
      </c>
      <c r="F26" s="410" t="s">
        <v>1591</v>
      </c>
      <c r="G26" s="68" t="str">
        <f t="shared" si="0"/>
        <v>SINGLE</v>
      </c>
      <c r="H26" s="197">
        <f t="shared" si="1"/>
        <v>2</v>
      </c>
      <c r="I26" s="408">
        <f t="shared" si="3"/>
        <v>1</v>
      </c>
      <c r="J26" s="408">
        <f t="shared" si="4"/>
        <v>8</v>
      </c>
      <c r="K26" s="411">
        <v>45665</v>
      </c>
      <c r="L26" s="408"/>
      <c r="M26" s="408"/>
      <c r="N26" s="3" t="str">
        <f t="shared" si="2"/>
        <v/>
      </c>
      <c r="O26" s="408"/>
      <c r="P26" s="408"/>
      <c r="Q26" s="408"/>
      <c r="R26" s="408"/>
      <c r="S26" s="408"/>
      <c r="T26" s="408"/>
      <c r="U26" s="408"/>
      <c r="V26" s="421"/>
      <c r="W26" s="421"/>
      <c r="X26" s="421"/>
      <c r="Y26" s="421"/>
      <c r="Z26" s="421"/>
      <c r="AA26" s="421"/>
      <c r="AB26" s="421"/>
      <c r="AC26" s="421"/>
      <c r="AD26" s="421"/>
      <c r="AE26" s="421"/>
      <c r="AF26" s="421"/>
      <c r="AG26" s="421"/>
      <c r="AH26" s="421"/>
      <c r="AI26" s="421"/>
      <c r="AJ26" s="421"/>
      <c r="AK26" s="421"/>
      <c r="AL26" s="421"/>
    </row>
    <row r="27" spans="1:38" s="180" customFormat="1">
      <c r="A27" s="412">
        <v>5164</v>
      </c>
      <c r="B27" s="413"/>
      <c r="C27" s="414"/>
      <c r="D27" s="412" t="s">
        <v>1606</v>
      </c>
      <c r="E27" s="412" t="s">
        <v>1424</v>
      </c>
      <c r="F27" s="412" t="s">
        <v>1591</v>
      </c>
      <c r="G27" s="68" t="str">
        <f t="shared" si="0"/>
        <v>SINGLE</v>
      </c>
      <c r="H27" s="197">
        <f t="shared" si="1"/>
        <v>2</v>
      </c>
      <c r="I27" s="414">
        <f t="shared" si="3"/>
        <v>1</v>
      </c>
      <c r="J27" s="414">
        <f t="shared" si="4"/>
        <v>9</v>
      </c>
      <c r="K27" s="415">
        <v>45666</v>
      </c>
      <c r="L27" s="414"/>
      <c r="M27" s="414"/>
      <c r="N27" s="3" t="str">
        <f t="shared" si="2"/>
        <v/>
      </c>
      <c r="O27" s="414"/>
      <c r="P27" s="414"/>
      <c r="Q27" s="414"/>
      <c r="R27" s="414"/>
      <c r="S27" s="414"/>
      <c r="T27" s="414"/>
      <c r="U27" s="414"/>
      <c r="V27" s="419"/>
      <c r="W27" s="419"/>
      <c r="X27" s="419"/>
      <c r="Y27" s="419"/>
      <c r="Z27" s="419"/>
      <c r="AA27" s="419"/>
      <c r="AB27" s="419"/>
      <c r="AC27" s="419"/>
      <c r="AD27" s="419"/>
      <c r="AE27" s="419"/>
      <c r="AF27" s="419"/>
      <c r="AG27" s="419"/>
      <c r="AH27" s="419"/>
      <c r="AI27" s="419"/>
      <c r="AJ27" s="419"/>
      <c r="AK27" s="419"/>
      <c r="AL27" s="419"/>
    </row>
    <row r="28" spans="1:38">
      <c r="A28" s="410">
        <v>5278</v>
      </c>
      <c r="B28" s="407"/>
      <c r="C28" s="408"/>
      <c r="D28" s="410" t="s">
        <v>1607</v>
      </c>
      <c r="E28" s="410" t="s">
        <v>1585</v>
      </c>
      <c r="F28" s="410" t="s">
        <v>1476</v>
      </c>
      <c r="G28" s="68" t="str">
        <f t="shared" si="0"/>
        <v>DUAL</v>
      </c>
      <c r="H28" s="197">
        <f t="shared" si="1"/>
        <v>2</v>
      </c>
      <c r="I28" s="408">
        <f t="shared" si="3"/>
        <v>1</v>
      </c>
      <c r="J28" s="408">
        <f t="shared" si="4"/>
        <v>9</v>
      </c>
      <c r="K28" s="411">
        <v>45666</v>
      </c>
      <c r="L28" s="408"/>
      <c r="M28" s="408"/>
      <c r="N28" s="3" t="str">
        <f t="shared" si="2"/>
        <v/>
      </c>
      <c r="O28" s="408"/>
      <c r="P28" s="408"/>
      <c r="Q28" s="408"/>
      <c r="R28" s="408"/>
      <c r="S28" s="408"/>
      <c r="T28" s="408"/>
      <c r="U28" s="408"/>
      <c r="V28" s="421"/>
      <c r="W28" s="421"/>
      <c r="X28" s="421"/>
      <c r="Y28" s="421"/>
      <c r="Z28" s="421"/>
      <c r="AA28" s="421"/>
      <c r="AB28" s="421"/>
      <c r="AC28" s="421"/>
      <c r="AD28" s="421"/>
      <c r="AE28" s="421"/>
      <c r="AF28" s="421"/>
      <c r="AG28" s="421"/>
      <c r="AH28" s="421"/>
      <c r="AI28" s="421"/>
      <c r="AJ28" s="421"/>
      <c r="AK28" s="421"/>
      <c r="AL28" s="421"/>
    </row>
    <row r="29" spans="1:38">
      <c r="A29" s="410">
        <v>5278</v>
      </c>
      <c r="B29" s="407"/>
      <c r="C29" s="408"/>
      <c r="D29" s="410" t="s">
        <v>1608</v>
      </c>
      <c r="E29" s="410" t="s">
        <v>1585</v>
      </c>
      <c r="F29" s="410" t="s">
        <v>1476</v>
      </c>
      <c r="G29" s="68" t="str">
        <f t="shared" si="0"/>
        <v>DUAL</v>
      </c>
      <c r="H29" s="197">
        <f t="shared" si="1"/>
        <v>2</v>
      </c>
      <c r="I29" s="408">
        <f t="shared" si="3"/>
        <v>1</v>
      </c>
      <c r="J29" s="408">
        <f t="shared" si="4"/>
        <v>9</v>
      </c>
      <c r="K29" s="411">
        <v>45666</v>
      </c>
      <c r="L29" s="408"/>
      <c r="M29" s="408"/>
      <c r="N29" s="3" t="str">
        <f t="shared" si="2"/>
        <v/>
      </c>
      <c r="O29" s="408"/>
      <c r="P29" s="408"/>
      <c r="Q29" s="408"/>
      <c r="R29" s="408"/>
      <c r="S29" s="408"/>
      <c r="T29" s="408"/>
      <c r="U29" s="408"/>
      <c r="V29" s="421"/>
      <c r="W29" s="421"/>
      <c r="X29" s="421"/>
      <c r="Y29" s="421"/>
      <c r="Z29" s="421"/>
      <c r="AA29" s="421"/>
      <c r="AB29" s="421"/>
      <c r="AC29" s="421"/>
      <c r="AD29" s="421"/>
      <c r="AE29" s="421"/>
      <c r="AF29" s="421"/>
      <c r="AG29" s="421"/>
      <c r="AH29" s="421"/>
      <c r="AI29" s="421"/>
      <c r="AJ29" s="421"/>
      <c r="AK29" s="421"/>
      <c r="AL29" s="421"/>
    </row>
    <row r="30" spans="1:38">
      <c r="A30" s="410">
        <v>5317</v>
      </c>
      <c r="B30" s="407"/>
      <c r="C30" s="408"/>
      <c r="D30" s="410" t="s">
        <v>1609</v>
      </c>
      <c r="E30" s="410" t="s">
        <v>1405</v>
      </c>
      <c r="F30" s="410" t="s">
        <v>1581</v>
      </c>
      <c r="G30" s="68" t="str">
        <f t="shared" si="0"/>
        <v>DUAL</v>
      </c>
      <c r="H30" s="197">
        <f t="shared" si="1"/>
        <v>2</v>
      </c>
      <c r="I30" s="408">
        <f t="shared" si="3"/>
        <v>1</v>
      </c>
      <c r="J30" s="408">
        <f t="shared" si="4"/>
        <v>9</v>
      </c>
      <c r="K30" s="411">
        <v>45666</v>
      </c>
      <c r="L30" s="408"/>
      <c r="M30" s="408"/>
      <c r="N30" s="3" t="str">
        <f t="shared" si="2"/>
        <v/>
      </c>
      <c r="O30" s="408"/>
      <c r="P30" s="408"/>
      <c r="Q30" s="408"/>
      <c r="R30" s="408"/>
      <c r="S30" s="408"/>
      <c r="T30" s="408"/>
      <c r="U30" s="408"/>
      <c r="V30" s="421"/>
      <c r="W30" s="421"/>
      <c r="X30" s="421"/>
      <c r="Y30" s="421"/>
      <c r="Z30" s="421"/>
      <c r="AA30" s="421"/>
      <c r="AB30" s="421"/>
      <c r="AC30" s="421"/>
      <c r="AD30" s="421"/>
      <c r="AE30" s="421"/>
      <c r="AF30" s="421"/>
      <c r="AG30" s="421"/>
      <c r="AH30" s="421"/>
      <c r="AI30" s="421"/>
      <c r="AJ30" s="421"/>
      <c r="AK30" s="421"/>
      <c r="AL30" s="421"/>
    </row>
    <row r="31" spans="1:38">
      <c r="A31" s="410">
        <v>5317</v>
      </c>
      <c r="B31" s="407"/>
      <c r="C31" s="408"/>
      <c r="D31" s="410" t="s">
        <v>1610</v>
      </c>
      <c r="E31" s="410" t="s">
        <v>1405</v>
      </c>
      <c r="F31" s="410" t="s">
        <v>1581</v>
      </c>
      <c r="G31" s="68" t="str">
        <f t="shared" si="0"/>
        <v>DUAL</v>
      </c>
      <c r="H31" s="197">
        <f t="shared" si="1"/>
        <v>2</v>
      </c>
      <c r="I31" s="408">
        <f t="shared" si="3"/>
        <v>1</v>
      </c>
      <c r="J31" s="408">
        <f t="shared" si="4"/>
        <v>9</v>
      </c>
      <c r="K31" s="411">
        <v>45666</v>
      </c>
      <c r="L31" s="408"/>
      <c r="M31" s="408"/>
      <c r="N31" s="3" t="str">
        <f t="shared" si="2"/>
        <v/>
      </c>
      <c r="O31" s="408"/>
      <c r="P31" s="408"/>
      <c r="Q31" s="408"/>
      <c r="R31" s="408"/>
      <c r="S31" s="408"/>
      <c r="T31" s="408"/>
      <c r="U31" s="408"/>
      <c r="V31" s="421"/>
      <c r="W31" s="421"/>
      <c r="X31" s="421"/>
      <c r="Y31" s="421"/>
      <c r="Z31" s="421"/>
      <c r="AA31" s="421"/>
      <c r="AB31" s="421"/>
      <c r="AC31" s="421"/>
      <c r="AD31" s="421"/>
      <c r="AE31" s="421"/>
      <c r="AF31" s="421"/>
      <c r="AG31" s="421"/>
      <c r="AH31" s="421"/>
      <c r="AI31" s="421"/>
      <c r="AJ31" s="421"/>
      <c r="AK31" s="421"/>
      <c r="AL31" s="421"/>
    </row>
    <row r="32" spans="1:38">
      <c r="A32" s="410">
        <v>5124</v>
      </c>
      <c r="B32" s="407"/>
      <c r="C32" s="408"/>
      <c r="D32" s="410" t="s">
        <v>1611</v>
      </c>
      <c r="E32" s="410" t="s">
        <v>1424</v>
      </c>
      <c r="F32" s="410" t="s">
        <v>1591</v>
      </c>
      <c r="G32" s="68" t="str">
        <f t="shared" si="0"/>
        <v>SINGLE</v>
      </c>
      <c r="H32" s="197">
        <f t="shared" si="1"/>
        <v>2</v>
      </c>
      <c r="I32" s="408">
        <f t="shared" si="3"/>
        <v>1</v>
      </c>
      <c r="J32" s="408">
        <f t="shared" si="4"/>
        <v>10</v>
      </c>
      <c r="K32" s="411">
        <v>45667</v>
      </c>
      <c r="L32" s="408"/>
      <c r="M32" s="408"/>
      <c r="N32" s="3" t="str">
        <f t="shared" si="2"/>
        <v/>
      </c>
      <c r="O32" s="408"/>
      <c r="P32" s="408"/>
      <c r="Q32" s="408"/>
      <c r="R32" s="408"/>
      <c r="S32" s="408"/>
      <c r="T32" s="408"/>
      <c r="U32" s="408"/>
      <c r="V32" s="421"/>
      <c r="W32" s="421"/>
      <c r="X32" s="421"/>
      <c r="Y32" s="421"/>
      <c r="Z32" s="421"/>
      <c r="AA32" s="421"/>
      <c r="AB32" s="421"/>
      <c r="AC32" s="421"/>
      <c r="AD32" s="421"/>
      <c r="AE32" s="421"/>
      <c r="AF32" s="421"/>
      <c r="AG32" s="421"/>
      <c r="AH32" s="421"/>
      <c r="AI32" s="421"/>
      <c r="AJ32" s="421"/>
      <c r="AK32" s="421"/>
      <c r="AL32" s="421"/>
    </row>
    <row r="33" spans="1:38">
      <c r="A33" s="410">
        <v>5254</v>
      </c>
      <c r="B33" s="407"/>
      <c r="C33" s="408"/>
      <c r="D33" s="410" t="s">
        <v>1612</v>
      </c>
      <c r="E33" s="410" t="s">
        <v>1405</v>
      </c>
      <c r="F33" s="410" t="s">
        <v>1581</v>
      </c>
      <c r="G33" s="68" t="str">
        <f t="shared" si="0"/>
        <v>DUAL</v>
      </c>
      <c r="H33" s="197">
        <f t="shared" si="1"/>
        <v>2</v>
      </c>
      <c r="I33" s="408">
        <f t="shared" si="3"/>
        <v>1</v>
      </c>
      <c r="J33" s="408">
        <f t="shared" si="4"/>
        <v>10</v>
      </c>
      <c r="K33" s="411">
        <v>45667</v>
      </c>
      <c r="L33" s="408"/>
      <c r="M33" s="408"/>
      <c r="N33" s="3" t="str">
        <f t="shared" si="2"/>
        <v/>
      </c>
      <c r="O33" s="408"/>
      <c r="P33" s="408"/>
      <c r="Q33" s="408"/>
      <c r="R33" s="408"/>
      <c r="S33" s="408"/>
      <c r="T33" s="408"/>
      <c r="U33" s="408"/>
      <c r="V33" s="421"/>
      <c r="W33" s="421"/>
      <c r="X33" s="421"/>
      <c r="Y33" s="421"/>
      <c r="Z33" s="421"/>
      <c r="AA33" s="421"/>
      <c r="AB33" s="421"/>
      <c r="AC33" s="421"/>
      <c r="AD33" s="421"/>
      <c r="AE33" s="421"/>
      <c r="AF33" s="421"/>
      <c r="AG33" s="421"/>
      <c r="AH33" s="421"/>
      <c r="AI33" s="421"/>
      <c r="AJ33" s="421"/>
      <c r="AK33" s="421"/>
      <c r="AL33" s="421"/>
    </row>
    <row r="34" spans="1:38">
      <c r="A34" s="410">
        <v>5363</v>
      </c>
      <c r="B34" s="407"/>
      <c r="C34" s="408"/>
      <c r="D34" s="410" t="s">
        <v>1613</v>
      </c>
      <c r="E34" s="410" t="s">
        <v>1405</v>
      </c>
      <c r="F34" s="410" t="s">
        <v>1480</v>
      </c>
      <c r="G34" s="68" t="str">
        <f t="shared" si="0"/>
        <v>DUAL</v>
      </c>
      <c r="H34" s="197">
        <f t="shared" si="1"/>
        <v>3</v>
      </c>
      <c r="I34" s="408">
        <f t="shared" si="3"/>
        <v>1</v>
      </c>
      <c r="J34" s="408">
        <f t="shared" si="4"/>
        <v>13</v>
      </c>
      <c r="K34" s="411">
        <v>45670</v>
      </c>
      <c r="L34" s="408"/>
      <c r="M34" s="408"/>
      <c r="N34" s="3" t="str">
        <f t="shared" si="2"/>
        <v/>
      </c>
      <c r="O34" s="408"/>
      <c r="P34" s="408"/>
      <c r="Q34" s="408"/>
      <c r="R34" s="408"/>
      <c r="S34" s="408"/>
      <c r="T34" s="408"/>
      <c r="U34" s="408"/>
      <c r="V34" s="421"/>
      <c r="W34" s="421"/>
      <c r="X34" s="421"/>
      <c r="Y34" s="421"/>
      <c r="Z34" s="421"/>
      <c r="AA34" s="421"/>
      <c r="AB34" s="421"/>
      <c r="AC34" s="421"/>
      <c r="AD34" s="421"/>
      <c r="AE34" s="421"/>
      <c r="AF34" s="421"/>
      <c r="AG34" s="421"/>
      <c r="AH34" s="421"/>
      <c r="AI34" s="421"/>
      <c r="AJ34" s="421"/>
      <c r="AK34" s="421"/>
      <c r="AL34" s="421"/>
    </row>
    <row r="35" spans="1:38">
      <c r="A35" s="410">
        <v>5274</v>
      </c>
      <c r="B35" s="407"/>
      <c r="C35" s="408"/>
      <c r="D35" s="410" t="s">
        <v>1614</v>
      </c>
      <c r="E35" s="410" t="s">
        <v>1585</v>
      </c>
      <c r="F35" s="410" t="s">
        <v>1476</v>
      </c>
      <c r="G35" s="68" t="str">
        <f t="shared" si="0"/>
        <v>DUAL</v>
      </c>
      <c r="H35" s="197">
        <f t="shared" si="1"/>
        <v>3</v>
      </c>
      <c r="I35" s="408">
        <f t="shared" si="3"/>
        <v>1</v>
      </c>
      <c r="J35" s="408">
        <f t="shared" si="4"/>
        <v>13</v>
      </c>
      <c r="K35" s="411">
        <v>45670</v>
      </c>
      <c r="L35" s="408"/>
      <c r="M35" s="408"/>
      <c r="N35" s="3" t="str">
        <f t="shared" si="2"/>
        <v/>
      </c>
      <c r="O35" s="408"/>
      <c r="P35" s="408"/>
      <c r="Q35" s="408"/>
      <c r="R35" s="408"/>
      <c r="S35" s="408"/>
      <c r="T35" s="408"/>
      <c r="U35" s="408"/>
      <c r="V35" s="421"/>
      <c r="W35" s="421"/>
      <c r="X35" s="421"/>
      <c r="Y35" s="421"/>
      <c r="Z35" s="421"/>
      <c r="AA35" s="421"/>
      <c r="AB35" s="421"/>
      <c r="AC35" s="421"/>
      <c r="AD35" s="421"/>
      <c r="AE35" s="421"/>
      <c r="AF35" s="421"/>
      <c r="AG35" s="421"/>
      <c r="AH35" s="421"/>
      <c r="AI35" s="421"/>
      <c r="AJ35" s="421"/>
      <c r="AK35" s="421"/>
      <c r="AL35" s="421"/>
    </row>
    <row r="36" spans="1:38">
      <c r="A36" s="410">
        <v>5394</v>
      </c>
      <c r="B36" s="407"/>
      <c r="C36" s="408"/>
      <c r="D36" s="410" t="s">
        <v>1615</v>
      </c>
      <c r="E36" s="410" t="s">
        <v>1405</v>
      </c>
      <c r="F36" s="410" t="s">
        <v>1616</v>
      </c>
      <c r="G36" s="68" t="str">
        <f t="shared" si="0"/>
        <v>SINGLE</v>
      </c>
      <c r="H36" s="197">
        <f t="shared" si="1"/>
        <v>3</v>
      </c>
      <c r="I36" s="408">
        <f t="shared" si="3"/>
        <v>1</v>
      </c>
      <c r="J36" s="408">
        <f t="shared" si="4"/>
        <v>13</v>
      </c>
      <c r="K36" s="411">
        <v>45670</v>
      </c>
      <c r="L36" s="408"/>
      <c r="M36" s="408"/>
      <c r="N36" s="3" t="str">
        <f t="shared" si="2"/>
        <v/>
      </c>
      <c r="O36" s="408"/>
      <c r="P36" s="408"/>
      <c r="Q36" s="408"/>
      <c r="R36" s="408"/>
      <c r="S36" s="408"/>
      <c r="T36" s="408"/>
      <c r="U36" s="408"/>
      <c r="V36" s="421"/>
      <c r="W36" s="421"/>
      <c r="X36" s="421"/>
      <c r="Y36" s="421"/>
      <c r="Z36" s="421"/>
      <c r="AA36" s="421"/>
      <c r="AB36" s="421"/>
      <c r="AC36" s="421"/>
      <c r="AD36" s="421"/>
      <c r="AE36" s="421"/>
      <c r="AF36" s="421"/>
      <c r="AG36" s="421"/>
      <c r="AH36" s="421"/>
      <c r="AI36" s="421"/>
      <c r="AJ36" s="421"/>
      <c r="AK36" s="421"/>
      <c r="AL36" s="421"/>
    </row>
    <row r="37" spans="1:38">
      <c r="A37" s="410">
        <v>5394</v>
      </c>
      <c r="B37" s="407"/>
      <c r="C37" s="408"/>
      <c r="D37" s="410" t="s">
        <v>1617</v>
      </c>
      <c r="E37" s="410" t="s">
        <v>1405</v>
      </c>
      <c r="F37" s="410" t="s">
        <v>1616</v>
      </c>
      <c r="G37" s="68" t="str">
        <f t="shared" si="0"/>
        <v>SINGLE</v>
      </c>
      <c r="H37" s="197">
        <f t="shared" si="1"/>
        <v>3</v>
      </c>
      <c r="I37" s="408">
        <f t="shared" si="3"/>
        <v>1</v>
      </c>
      <c r="J37" s="408">
        <f t="shared" si="4"/>
        <v>13</v>
      </c>
      <c r="K37" s="411">
        <v>45670</v>
      </c>
      <c r="L37" s="408"/>
      <c r="M37" s="408"/>
      <c r="N37" s="3" t="str">
        <f t="shared" si="2"/>
        <v/>
      </c>
      <c r="O37" s="408"/>
      <c r="P37" s="408"/>
      <c r="Q37" s="408"/>
      <c r="R37" s="408"/>
      <c r="S37" s="408"/>
      <c r="T37" s="408"/>
      <c r="U37" s="408"/>
      <c r="V37" s="421"/>
      <c r="W37" s="421"/>
      <c r="X37" s="421"/>
      <c r="Y37" s="421"/>
      <c r="Z37" s="421"/>
      <c r="AA37" s="421"/>
      <c r="AB37" s="421"/>
      <c r="AC37" s="421"/>
      <c r="AD37" s="421"/>
      <c r="AE37" s="421"/>
      <c r="AF37" s="421"/>
      <c r="AG37" s="421"/>
      <c r="AH37" s="421"/>
      <c r="AI37" s="421"/>
      <c r="AJ37" s="421"/>
      <c r="AK37" s="421"/>
      <c r="AL37" s="421"/>
    </row>
    <row r="38" spans="1:38">
      <c r="A38" s="410">
        <v>5388</v>
      </c>
      <c r="B38" s="407"/>
      <c r="C38" s="408"/>
      <c r="D38" s="410" t="s">
        <v>1618</v>
      </c>
      <c r="E38" s="410" t="s">
        <v>1405</v>
      </c>
      <c r="F38" s="410" t="s">
        <v>1616</v>
      </c>
      <c r="G38" s="68" t="str">
        <f t="shared" si="0"/>
        <v>SINGLE</v>
      </c>
      <c r="H38" s="197">
        <f t="shared" si="1"/>
        <v>3</v>
      </c>
      <c r="I38" s="408">
        <f t="shared" si="3"/>
        <v>1</v>
      </c>
      <c r="J38" s="408">
        <f t="shared" si="4"/>
        <v>13</v>
      </c>
      <c r="K38" s="411">
        <v>45670</v>
      </c>
      <c r="L38" s="408"/>
      <c r="M38" s="408"/>
      <c r="N38" s="3" t="str">
        <f t="shared" si="2"/>
        <v/>
      </c>
      <c r="O38" s="408"/>
      <c r="P38" s="408"/>
      <c r="Q38" s="408"/>
      <c r="R38" s="408"/>
      <c r="S38" s="408"/>
      <c r="T38" s="408"/>
      <c r="U38" s="408"/>
      <c r="V38" s="421"/>
      <c r="W38" s="421"/>
      <c r="X38" s="421"/>
      <c r="Y38" s="421"/>
      <c r="Z38" s="421"/>
      <c r="AA38" s="421"/>
      <c r="AB38" s="421"/>
      <c r="AC38" s="421"/>
      <c r="AD38" s="421"/>
      <c r="AE38" s="421"/>
      <c r="AF38" s="421"/>
      <c r="AG38" s="421"/>
      <c r="AH38" s="421"/>
      <c r="AI38" s="421"/>
      <c r="AJ38" s="421"/>
      <c r="AK38" s="421"/>
      <c r="AL38" s="421"/>
    </row>
    <row r="39" spans="1:38">
      <c r="A39" s="410">
        <v>5388</v>
      </c>
      <c r="B39" s="407"/>
      <c r="C39" s="408"/>
      <c r="D39" s="410" t="s">
        <v>1619</v>
      </c>
      <c r="E39" s="410" t="s">
        <v>1405</v>
      </c>
      <c r="F39" s="410" t="s">
        <v>1616</v>
      </c>
      <c r="G39" s="68" t="str">
        <f t="shared" si="0"/>
        <v>SINGLE</v>
      </c>
      <c r="H39" s="197">
        <f t="shared" si="1"/>
        <v>3</v>
      </c>
      <c r="I39" s="408">
        <f t="shared" si="3"/>
        <v>1</v>
      </c>
      <c r="J39" s="408">
        <f t="shared" si="4"/>
        <v>13</v>
      </c>
      <c r="K39" s="411">
        <v>45670</v>
      </c>
      <c r="L39" s="408"/>
      <c r="M39" s="408"/>
      <c r="N39" s="3" t="str">
        <f t="shared" si="2"/>
        <v/>
      </c>
      <c r="O39" s="408"/>
      <c r="P39" s="408"/>
      <c r="Q39" s="408"/>
      <c r="R39" s="408"/>
      <c r="S39" s="408"/>
      <c r="T39" s="408"/>
      <c r="U39" s="408"/>
      <c r="V39" s="421"/>
      <c r="W39" s="421"/>
      <c r="X39" s="421"/>
      <c r="Y39" s="421"/>
      <c r="Z39" s="421"/>
      <c r="AA39" s="421"/>
      <c r="AB39" s="421"/>
      <c r="AC39" s="421"/>
      <c r="AD39" s="421"/>
      <c r="AE39" s="421"/>
      <c r="AF39" s="421"/>
      <c r="AG39" s="421"/>
      <c r="AH39" s="421"/>
      <c r="AI39" s="421"/>
      <c r="AJ39" s="421"/>
      <c r="AK39" s="421"/>
      <c r="AL39" s="421"/>
    </row>
    <row r="40" spans="1:38">
      <c r="A40" s="410">
        <v>5322</v>
      </c>
      <c r="B40" s="407"/>
      <c r="C40" s="408"/>
      <c r="D40" s="410" t="s">
        <v>1620</v>
      </c>
      <c r="E40" s="410" t="s">
        <v>1422</v>
      </c>
      <c r="F40" s="410" t="s">
        <v>1476</v>
      </c>
      <c r="G40" s="68" t="str">
        <f t="shared" si="0"/>
        <v>DUAL</v>
      </c>
      <c r="H40" s="197">
        <f t="shared" si="1"/>
        <v>3</v>
      </c>
      <c r="I40" s="408">
        <f t="shared" si="3"/>
        <v>1</v>
      </c>
      <c r="J40" s="408">
        <f t="shared" si="4"/>
        <v>14</v>
      </c>
      <c r="K40" s="411">
        <v>45671</v>
      </c>
      <c r="L40" s="408"/>
      <c r="M40" s="408"/>
      <c r="N40" s="3" t="str">
        <f t="shared" si="2"/>
        <v/>
      </c>
      <c r="O40" s="408"/>
      <c r="P40" s="408"/>
      <c r="Q40" s="408"/>
      <c r="R40" s="408"/>
      <c r="S40" s="408"/>
      <c r="T40" s="408"/>
      <c r="U40" s="408"/>
      <c r="V40" s="421"/>
      <c r="W40" s="421"/>
      <c r="X40" s="421"/>
      <c r="Y40" s="421"/>
      <c r="Z40" s="421"/>
      <c r="AA40" s="421"/>
      <c r="AB40" s="421"/>
      <c r="AC40" s="421"/>
      <c r="AD40" s="421"/>
      <c r="AE40" s="421"/>
      <c r="AF40" s="421"/>
      <c r="AG40" s="421"/>
      <c r="AH40" s="421"/>
      <c r="AI40" s="421"/>
      <c r="AJ40" s="421"/>
      <c r="AK40" s="421"/>
      <c r="AL40" s="421"/>
    </row>
    <row r="41" spans="1:38">
      <c r="A41" s="410">
        <v>5386</v>
      </c>
      <c r="B41" s="407"/>
      <c r="C41" s="408"/>
      <c r="D41" s="410" t="s">
        <v>1621</v>
      </c>
      <c r="E41" s="410" t="s">
        <v>1405</v>
      </c>
      <c r="F41" s="410" t="s">
        <v>1591</v>
      </c>
      <c r="G41" s="68" t="str">
        <f t="shared" si="0"/>
        <v>SINGLE</v>
      </c>
      <c r="H41" s="197">
        <f t="shared" si="1"/>
        <v>3</v>
      </c>
      <c r="I41" s="408">
        <f t="shared" si="3"/>
        <v>1</v>
      </c>
      <c r="J41" s="408">
        <f t="shared" si="4"/>
        <v>14</v>
      </c>
      <c r="K41" s="411">
        <v>45671</v>
      </c>
      <c r="L41" s="408"/>
      <c r="M41" s="408"/>
      <c r="N41" s="3" t="str">
        <f t="shared" si="2"/>
        <v/>
      </c>
      <c r="O41" s="408"/>
      <c r="P41" s="408"/>
      <c r="Q41" s="408"/>
      <c r="R41" s="408"/>
      <c r="S41" s="408"/>
      <c r="T41" s="408"/>
      <c r="U41" s="408"/>
      <c r="V41" s="421"/>
      <c r="W41" s="421"/>
      <c r="X41" s="421"/>
      <c r="Y41" s="421"/>
      <c r="Z41" s="421"/>
      <c r="AA41" s="421"/>
      <c r="AB41" s="421"/>
      <c r="AC41" s="421"/>
      <c r="AD41" s="421"/>
      <c r="AE41" s="421"/>
      <c r="AF41" s="421"/>
      <c r="AG41" s="421"/>
      <c r="AH41" s="421"/>
      <c r="AI41" s="421"/>
      <c r="AJ41" s="421"/>
      <c r="AK41" s="421"/>
      <c r="AL41" s="421"/>
    </row>
    <row r="42" spans="1:38">
      <c r="A42" s="410">
        <v>5386</v>
      </c>
      <c r="B42" s="407"/>
      <c r="C42" s="408"/>
      <c r="D42" s="410" t="s">
        <v>1622</v>
      </c>
      <c r="E42" s="410" t="s">
        <v>1405</v>
      </c>
      <c r="F42" s="410" t="s">
        <v>1591</v>
      </c>
      <c r="G42" s="68" t="str">
        <f t="shared" si="0"/>
        <v>SINGLE</v>
      </c>
      <c r="H42" s="197">
        <f t="shared" si="1"/>
        <v>3</v>
      </c>
      <c r="I42" s="408">
        <f t="shared" si="3"/>
        <v>1</v>
      </c>
      <c r="J42" s="408">
        <f t="shared" si="4"/>
        <v>14</v>
      </c>
      <c r="K42" s="411">
        <v>45671</v>
      </c>
      <c r="L42" s="408"/>
      <c r="M42" s="408"/>
      <c r="N42" s="3" t="str">
        <f t="shared" si="2"/>
        <v/>
      </c>
      <c r="O42" s="408"/>
      <c r="P42" s="408"/>
      <c r="Q42" s="408"/>
      <c r="R42" s="408"/>
      <c r="S42" s="408"/>
      <c r="T42" s="408"/>
      <c r="U42" s="408"/>
      <c r="V42" s="421"/>
      <c r="W42" s="421"/>
      <c r="X42" s="421"/>
      <c r="Y42" s="421"/>
      <c r="Z42" s="421"/>
      <c r="AA42" s="421"/>
      <c r="AB42" s="421"/>
      <c r="AC42" s="421"/>
      <c r="AD42" s="421"/>
      <c r="AE42" s="421"/>
      <c r="AF42" s="421"/>
      <c r="AG42" s="421"/>
      <c r="AH42" s="421"/>
      <c r="AI42" s="421"/>
      <c r="AJ42" s="421"/>
      <c r="AK42" s="421"/>
      <c r="AL42" s="421"/>
    </row>
    <row r="43" spans="1:38">
      <c r="A43" s="410">
        <v>5386</v>
      </c>
      <c r="B43" s="407"/>
      <c r="C43" s="408"/>
      <c r="D43" s="410" t="s">
        <v>1623</v>
      </c>
      <c r="E43" s="410" t="s">
        <v>1405</v>
      </c>
      <c r="F43" s="410" t="s">
        <v>1591</v>
      </c>
      <c r="G43" s="68" t="str">
        <f t="shared" si="0"/>
        <v>SINGLE</v>
      </c>
      <c r="H43" s="197">
        <f t="shared" si="1"/>
        <v>3</v>
      </c>
      <c r="I43" s="408">
        <f t="shared" si="3"/>
        <v>1</v>
      </c>
      <c r="J43" s="408">
        <f t="shared" si="4"/>
        <v>14</v>
      </c>
      <c r="K43" s="411">
        <v>45671</v>
      </c>
      <c r="L43" s="408"/>
      <c r="M43" s="408"/>
      <c r="N43" s="3" t="str">
        <f t="shared" si="2"/>
        <v/>
      </c>
      <c r="O43" s="408"/>
      <c r="P43" s="408"/>
      <c r="Q43" s="408"/>
      <c r="R43" s="408"/>
      <c r="S43" s="408"/>
      <c r="T43" s="408"/>
      <c r="U43" s="408"/>
      <c r="V43" s="421"/>
      <c r="W43" s="421"/>
      <c r="X43" s="421"/>
      <c r="Y43" s="421"/>
      <c r="Z43" s="421"/>
      <c r="AA43" s="421"/>
      <c r="AB43" s="421"/>
      <c r="AC43" s="421"/>
      <c r="AD43" s="421"/>
      <c r="AE43" s="421"/>
      <c r="AF43" s="421"/>
      <c r="AG43" s="421"/>
      <c r="AH43" s="421"/>
      <c r="AI43" s="421"/>
      <c r="AJ43" s="421"/>
      <c r="AK43" s="421"/>
      <c r="AL43" s="421"/>
    </row>
    <row r="44" spans="1:38">
      <c r="A44" s="410">
        <v>5386</v>
      </c>
      <c r="B44" s="407"/>
      <c r="C44" s="408"/>
      <c r="D44" s="410" t="s">
        <v>1624</v>
      </c>
      <c r="E44" s="410" t="s">
        <v>1405</v>
      </c>
      <c r="F44" s="410" t="s">
        <v>1591</v>
      </c>
      <c r="G44" s="68" t="str">
        <f t="shared" si="0"/>
        <v>SINGLE</v>
      </c>
      <c r="H44" s="197">
        <f t="shared" si="1"/>
        <v>3</v>
      </c>
      <c r="I44" s="408">
        <f t="shared" si="3"/>
        <v>1</v>
      </c>
      <c r="J44" s="408">
        <f t="shared" si="4"/>
        <v>14</v>
      </c>
      <c r="K44" s="411">
        <v>45671</v>
      </c>
      <c r="L44" s="408"/>
      <c r="M44" s="408"/>
      <c r="N44" s="3" t="str">
        <f t="shared" si="2"/>
        <v/>
      </c>
      <c r="O44" s="408"/>
      <c r="P44" s="408"/>
      <c r="Q44" s="408"/>
      <c r="R44" s="408"/>
      <c r="S44" s="408"/>
      <c r="T44" s="408"/>
      <c r="U44" s="408"/>
      <c r="V44" s="421"/>
      <c r="W44" s="421"/>
      <c r="X44" s="421"/>
      <c r="Y44" s="421"/>
      <c r="Z44" s="421"/>
      <c r="AA44" s="421"/>
      <c r="AB44" s="421"/>
      <c r="AC44" s="421"/>
      <c r="AD44" s="421"/>
      <c r="AE44" s="421"/>
      <c r="AF44" s="421"/>
      <c r="AG44" s="421"/>
      <c r="AH44" s="421"/>
      <c r="AI44" s="421"/>
      <c r="AJ44" s="421"/>
      <c r="AK44" s="421"/>
      <c r="AL44" s="421"/>
    </row>
    <row r="45" spans="1:38">
      <c r="A45" s="410">
        <v>5386</v>
      </c>
      <c r="B45" s="407"/>
      <c r="C45" s="408"/>
      <c r="D45" s="410" t="s">
        <v>1625</v>
      </c>
      <c r="E45" s="410" t="s">
        <v>1405</v>
      </c>
      <c r="F45" s="410" t="s">
        <v>1591</v>
      </c>
      <c r="G45" s="68" t="str">
        <f t="shared" si="0"/>
        <v>SINGLE</v>
      </c>
      <c r="H45" s="197">
        <f t="shared" si="1"/>
        <v>3</v>
      </c>
      <c r="I45" s="408">
        <f t="shared" si="3"/>
        <v>1</v>
      </c>
      <c r="J45" s="408">
        <f t="shared" si="4"/>
        <v>14</v>
      </c>
      <c r="K45" s="411">
        <v>45671</v>
      </c>
      <c r="L45" s="408"/>
      <c r="M45" s="408"/>
      <c r="N45" s="3" t="str">
        <f t="shared" si="2"/>
        <v/>
      </c>
      <c r="O45" s="408"/>
      <c r="P45" s="408"/>
      <c r="Q45" s="408"/>
      <c r="R45" s="408"/>
      <c r="S45" s="408"/>
      <c r="T45" s="408"/>
      <c r="U45" s="408"/>
      <c r="V45" s="421"/>
      <c r="W45" s="421"/>
      <c r="X45" s="421"/>
      <c r="Y45" s="421"/>
      <c r="Z45" s="421"/>
      <c r="AA45" s="421"/>
      <c r="AB45" s="421"/>
      <c r="AC45" s="421"/>
      <c r="AD45" s="421"/>
      <c r="AE45" s="421"/>
      <c r="AF45" s="421"/>
      <c r="AG45" s="421"/>
      <c r="AH45" s="421"/>
      <c r="AI45" s="421"/>
      <c r="AJ45" s="421"/>
      <c r="AK45" s="421"/>
      <c r="AL45" s="421"/>
    </row>
    <row r="46" spans="1:38">
      <c r="A46" s="410">
        <v>5386</v>
      </c>
      <c r="B46" s="407"/>
      <c r="C46" s="408"/>
      <c r="D46" s="410" t="s">
        <v>1626</v>
      </c>
      <c r="E46" s="410" t="s">
        <v>1405</v>
      </c>
      <c r="F46" s="410" t="s">
        <v>1591</v>
      </c>
      <c r="G46" s="68" t="str">
        <f t="shared" si="0"/>
        <v>SINGLE</v>
      </c>
      <c r="H46" s="197">
        <f t="shared" si="1"/>
        <v>3</v>
      </c>
      <c r="I46" s="408">
        <f t="shared" si="3"/>
        <v>1</v>
      </c>
      <c r="J46" s="408">
        <f t="shared" si="4"/>
        <v>14</v>
      </c>
      <c r="K46" s="411">
        <v>45671</v>
      </c>
      <c r="L46" s="408"/>
      <c r="M46" s="408"/>
      <c r="N46" s="3" t="str">
        <f t="shared" si="2"/>
        <v/>
      </c>
      <c r="O46" s="408"/>
      <c r="P46" s="408"/>
      <c r="Q46" s="408"/>
      <c r="R46" s="408"/>
      <c r="S46" s="408"/>
      <c r="T46" s="408"/>
      <c r="U46" s="408"/>
      <c r="V46" s="421"/>
      <c r="W46" s="421"/>
      <c r="X46" s="421"/>
      <c r="Y46" s="421"/>
      <c r="Z46" s="421"/>
      <c r="AA46" s="421"/>
      <c r="AB46" s="421"/>
      <c r="AC46" s="421"/>
      <c r="AD46" s="421"/>
      <c r="AE46" s="421"/>
      <c r="AF46" s="421"/>
      <c r="AG46" s="421"/>
      <c r="AH46" s="421"/>
      <c r="AI46" s="421"/>
      <c r="AJ46" s="421"/>
      <c r="AK46" s="421"/>
      <c r="AL46" s="421"/>
    </row>
    <row r="47" spans="1:38">
      <c r="A47" s="410">
        <v>5348</v>
      </c>
      <c r="B47" s="407"/>
      <c r="C47" s="408"/>
      <c r="D47" s="410" t="s">
        <v>1627</v>
      </c>
      <c r="E47" s="410" t="s">
        <v>1585</v>
      </c>
      <c r="F47" s="410" t="s">
        <v>1476</v>
      </c>
      <c r="G47" s="68" t="str">
        <f t="shared" si="0"/>
        <v>DUAL</v>
      </c>
      <c r="H47" s="197">
        <f t="shared" si="1"/>
        <v>3</v>
      </c>
      <c r="I47" s="408">
        <f t="shared" si="3"/>
        <v>1</v>
      </c>
      <c r="J47" s="408">
        <f t="shared" si="4"/>
        <v>14</v>
      </c>
      <c r="K47" s="411">
        <v>45671</v>
      </c>
      <c r="L47" s="408"/>
      <c r="M47" s="408"/>
      <c r="N47" s="3" t="str">
        <f t="shared" si="2"/>
        <v/>
      </c>
      <c r="O47" s="408"/>
      <c r="P47" s="408"/>
      <c r="Q47" s="408"/>
      <c r="R47" s="408"/>
      <c r="S47" s="408"/>
      <c r="T47" s="408"/>
      <c r="U47" s="408"/>
      <c r="V47" s="421"/>
      <c r="W47" s="421"/>
      <c r="X47" s="421"/>
      <c r="Y47" s="421"/>
      <c r="Z47" s="421"/>
      <c r="AA47" s="421"/>
      <c r="AB47" s="421"/>
      <c r="AC47" s="421"/>
      <c r="AD47" s="421"/>
      <c r="AE47" s="421"/>
      <c r="AF47" s="421"/>
      <c r="AG47" s="421"/>
      <c r="AH47" s="421"/>
      <c r="AI47" s="421"/>
      <c r="AJ47" s="421"/>
      <c r="AK47" s="421"/>
      <c r="AL47" s="421"/>
    </row>
    <row r="48" spans="1:38" s="180" customFormat="1">
      <c r="A48" s="412">
        <v>5281</v>
      </c>
      <c r="B48" s="413"/>
      <c r="C48" s="414"/>
      <c r="D48" s="412" t="s">
        <v>1628</v>
      </c>
      <c r="E48" s="412" t="s">
        <v>1585</v>
      </c>
      <c r="F48" s="412" t="s">
        <v>1476</v>
      </c>
      <c r="G48" s="68" t="str">
        <f t="shared" si="0"/>
        <v>DUAL</v>
      </c>
      <c r="H48" s="197">
        <f t="shared" si="1"/>
        <v>3</v>
      </c>
      <c r="I48" s="414">
        <f t="shared" si="3"/>
        <v>1</v>
      </c>
      <c r="J48" s="414">
        <f t="shared" si="4"/>
        <v>15</v>
      </c>
      <c r="K48" s="415">
        <v>45672</v>
      </c>
      <c r="L48" s="414"/>
      <c r="M48" s="414"/>
      <c r="N48" s="3" t="str">
        <f t="shared" si="2"/>
        <v/>
      </c>
      <c r="O48" s="414"/>
      <c r="P48" s="414"/>
      <c r="Q48" s="414"/>
      <c r="R48" s="414"/>
      <c r="S48" s="414"/>
      <c r="T48" s="414"/>
      <c r="U48" s="414"/>
      <c r="V48" s="419"/>
      <c r="W48" s="419"/>
      <c r="X48" s="419"/>
      <c r="Y48" s="419"/>
      <c r="Z48" s="419"/>
      <c r="AA48" s="419"/>
      <c r="AB48" s="419"/>
      <c r="AC48" s="419"/>
      <c r="AD48" s="419"/>
      <c r="AE48" s="419"/>
      <c r="AF48" s="419"/>
      <c r="AG48" s="419"/>
      <c r="AH48" s="419"/>
      <c r="AI48" s="419"/>
      <c r="AJ48" s="419"/>
      <c r="AK48" s="419"/>
      <c r="AL48" s="419"/>
    </row>
    <row r="49" spans="1:38">
      <c r="A49" s="410">
        <v>5277</v>
      </c>
      <c r="B49" s="407"/>
      <c r="C49" s="408"/>
      <c r="D49" s="410" t="s">
        <v>1629</v>
      </c>
      <c r="E49" s="410" t="s">
        <v>1585</v>
      </c>
      <c r="F49" s="410" t="s">
        <v>1476</v>
      </c>
      <c r="G49" s="68" t="str">
        <f t="shared" si="0"/>
        <v>DUAL</v>
      </c>
      <c r="H49" s="197">
        <f t="shared" si="1"/>
        <v>3</v>
      </c>
      <c r="I49" s="408">
        <f t="shared" si="3"/>
        <v>1</v>
      </c>
      <c r="J49" s="408">
        <f t="shared" si="4"/>
        <v>16</v>
      </c>
      <c r="K49" s="411">
        <v>45673</v>
      </c>
      <c r="L49" s="408"/>
      <c r="M49" s="408"/>
      <c r="N49" s="3" t="str">
        <f t="shared" si="2"/>
        <v/>
      </c>
      <c r="O49" s="408"/>
      <c r="P49" s="408"/>
      <c r="Q49" s="408"/>
      <c r="R49" s="408"/>
      <c r="S49" s="408"/>
      <c r="T49" s="408"/>
      <c r="U49" s="408"/>
      <c r="V49" s="421"/>
      <c r="W49" s="421"/>
      <c r="X49" s="421"/>
      <c r="Y49" s="421"/>
      <c r="Z49" s="421"/>
      <c r="AA49" s="421"/>
      <c r="AB49" s="421"/>
      <c r="AC49" s="421"/>
      <c r="AD49" s="421"/>
      <c r="AE49" s="421"/>
      <c r="AF49" s="421"/>
      <c r="AG49" s="421"/>
      <c r="AH49" s="421"/>
      <c r="AI49" s="421"/>
      <c r="AJ49" s="421"/>
      <c r="AK49" s="421"/>
      <c r="AL49" s="421"/>
    </row>
    <row r="50" spans="1:38">
      <c r="A50" s="410">
        <v>5280</v>
      </c>
      <c r="B50" s="407"/>
      <c r="C50" s="408"/>
      <c r="D50" s="410" t="s">
        <v>1630</v>
      </c>
      <c r="E50" s="410" t="s">
        <v>1585</v>
      </c>
      <c r="F50" s="410" t="s">
        <v>1476</v>
      </c>
      <c r="G50" s="68" t="str">
        <f t="shared" si="0"/>
        <v>DUAL</v>
      </c>
      <c r="H50" s="197">
        <f t="shared" si="1"/>
        <v>3</v>
      </c>
      <c r="I50" s="408">
        <f t="shared" si="3"/>
        <v>1</v>
      </c>
      <c r="J50" s="408">
        <f t="shared" si="4"/>
        <v>16</v>
      </c>
      <c r="K50" s="411">
        <v>45673</v>
      </c>
      <c r="L50" s="408"/>
      <c r="M50" s="408"/>
      <c r="N50" s="3" t="str">
        <f t="shared" si="2"/>
        <v/>
      </c>
      <c r="O50" s="408"/>
      <c r="P50" s="408"/>
      <c r="Q50" s="408"/>
      <c r="R50" s="408"/>
      <c r="S50" s="408"/>
      <c r="T50" s="408"/>
      <c r="U50" s="408"/>
      <c r="V50" s="421"/>
      <c r="W50" s="421"/>
      <c r="X50" s="421"/>
      <c r="Y50" s="421"/>
      <c r="Z50" s="421"/>
      <c r="AA50" s="421"/>
      <c r="AB50" s="421"/>
      <c r="AC50" s="421"/>
      <c r="AD50" s="421"/>
      <c r="AE50" s="421"/>
      <c r="AF50" s="421"/>
      <c r="AG50" s="421"/>
      <c r="AH50" s="421"/>
      <c r="AI50" s="421"/>
      <c r="AJ50" s="421"/>
      <c r="AK50" s="421"/>
      <c r="AL50" s="421"/>
    </row>
    <row r="51" spans="1:38">
      <c r="A51" s="410">
        <v>5348</v>
      </c>
      <c r="B51" s="407"/>
      <c r="C51" s="408"/>
      <c r="D51" s="410" t="s">
        <v>1631</v>
      </c>
      <c r="E51" s="410" t="s">
        <v>1585</v>
      </c>
      <c r="F51" s="410" t="s">
        <v>1476</v>
      </c>
      <c r="G51" s="68" t="str">
        <f t="shared" si="0"/>
        <v>DUAL</v>
      </c>
      <c r="H51" s="197">
        <f t="shared" si="1"/>
        <v>3</v>
      </c>
      <c r="I51" s="408">
        <f t="shared" si="3"/>
        <v>1</v>
      </c>
      <c r="J51" s="408">
        <f t="shared" si="4"/>
        <v>16</v>
      </c>
      <c r="K51" s="411">
        <v>45673</v>
      </c>
      <c r="L51" s="408"/>
      <c r="M51" s="408"/>
      <c r="N51" s="3" t="str">
        <f t="shared" si="2"/>
        <v/>
      </c>
      <c r="O51" s="408"/>
      <c r="P51" s="408"/>
      <c r="Q51" s="408"/>
      <c r="R51" s="408"/>
      <c r="S51" s="408"/>
      <c r="T51" s="408"/>
      <c r="U51" s="408"/>
      <c r="V51" s="421"/>
      <c r="W51" s="421"/>
      <c r="X51" s="421"/>
      <c r="Y51" s="421"/>
      <c r="Z51" s="421"/>
      <c r="AA51" s="421"/>
      <c r="AB51" s="421"/>
      <c r="AC51" s="421"/>
      <c r="AD51" s="421"/>
      <c r="AE51" s="421"/>
      <c r="AF51" s="421"/>
      <c r="AG51" s="421"/>
      <c r="AH51" s="421"/>
      <c r="AI51" s="421"/>
      <c r="AJ51" s="421"/>
      <c r="AK51" s="421"/>
      <c r="AL51" s="421"/>
    </row>
    <row r="52" spans="1:38">
      <c r="A52" s="410">
        <v>5348</v>
      </c>
      <c r="B52" s="407"/>
      <c r="C52" s="408"/>
      <c r="D52" s="410" t="s">
        <v>1632</v>
      </c>
      <c r="E52" s="410" t="s">
        <v>1585</v>
      </c>
      <c r="F52" s="410" t="s">
        <v>1476</v>
      </c>
      <c r="G52" s="68" t="str">
        <f t="shared" si="0"/>
        <v>DUAL</v>
      </c>
      <c r="H52" s="197">
        <f t="shared" si="1"/>
        <v>3</v>
      </c>
      <c r="I52" s="408">
        <f t="shared" si="3"/>
        <v>1</v>
      </c>
      <c r="J52" s="408">
        <f t="shared" si="4"/>
        <v>16</v>
      </c>
      <c r="K52" s="411">
        <v>45673</v>
      </c>
      <c r="L52" s="408"/>
      <c r="M52" s="408"/>
      <c r="N52" s="3" t="str">
        <f t="shared" si="2"/>
        <v/>
      </c>
      <c r="O52" s="408"/>
      <c r="P52" s="408"/>
      <c r="Q52" s="408"/>
      <c r="R52" s="408"/>
      <c r="S52" s="408"/>
      <c r="T52" s="408"/>
      <c r="U52" s="408"/>
      <c r="V52" s="421"/>
      <c r="W52" s="421"/>
      <c r="X52" s="421"/>
      <c r="Y52" s="421"/>
      <c r="Z52" s="421"/>
      <c r="AA52" s="421"/>
      <c r="AB52" s="421"/>
      <c r="AC52" s="421"/>
      <c r="AD52" s="421"/>
      <c r="AE52" s="421"/>
      <c r="AF52" s="421"/>
      <c r="AG52" s="421"/>
      <c r="AH52" s="421"/>
      <c r="AI52" s="421"/>
      <c r="AJ52" s="421"/>
      <c r="AK52" s="421"/>
      <c r="AL52" s="421"/>
    </row>
    <row r="53" spans="1:38">
      <c r="A53" s="410">
        <v>5323</v>
      </c>
      <c r="B53" s="407"/>
      <c r="C53" s="408"/>
      <c r="D53" s="410" t="s">
        <v>1633</v>
      </c>
      <c r="E53" s="410" t="s">
        <v>1405</v>
      </c>
      <c r="F53" s="410" t="s">
        <v>1591</v>
      </c>
      <c r="G53" s="68" t="str">
        <f t="shared" si="0"/>
        <v>SINGLE</v>
      </c>
      <c r="H53" s="197">
        <f t="shared" si="1"/>
        <v>3</v>
      </c>
      <c r="I53" s="408">
        <f t="shared" si="3"/>
        <v>1</v>
      </c>
      <c r="J53" s="408">
        <f t="shared" si="4"/>
        <v>17</v>
      </c>
      <c r="K53" s="411">
        <v>45674</v>
      </c>
      <c r="L53" s="408"/>
      <c r="M53" s="408"/>
      <c r="N53" s="3" t="str">
        <f t="shared" si="2"/>
        <v/>
      </c>
      <c r="O53" s="408"/>
      <c r="P53" s="408"/>
      <c r="Q53" s="408"/>
      <c r="R53" s="408"/>
      <c r="S53" s="408"/>
      <c r="T53" s="408"/>
      <c r="U53" s="408"/>
      <c r="V53" s="421"/>
      <c r="W53" s="421"/>
      <c r="X53" s="421"/>
      <c r="Y53" s="421"/>
      <c r="Z53" s="421"/>
      <c r="AA53" s="421"/>
      <c r="AB53" s="421"/>
      <c r="AC53" s="421"/>
      <c r="AD53" s="421"/>
      <c r="AE53" s="421"/>
      <c r="AF53" s="421"/>
      <c r="AG53" s="421"/>
      <c r="AH53" s="421"/>
      <c r="AI53" s="421"/>
      <c r="AJ53" s="421"/>
      <c r="AK53" s="421"/>
      <c r="AL53" s="421"/>
    </row>
    <row r="54" spans="1:38">
      <c r="A54" s="410">
        <v>5323</v>
      </c>
      <c r="B54" s="407"/>
      <c r="C54" s="408"/>
      <c r="D54" s="410" t="s">
        <v>1634</v>
      </c>
      <c r="E54" s="410" t="s">
        <v>1405</v>
      </c>
      <c r="F54" s="410" t="s">
        <v>1591</v>
      </c>
      <c r="G54" s="68" t="str">
        <f t="shared" si="0"/>
        <v>SINGLE</v>
      </c>
      <c r="H54" s="197">
        <f t="shared" si="1"/>
        <v>3</v>
      </c>
      <c r="I54" s="408">
        <f t="shared" si="3"/>
        <v>1</v>
      </c>
      <c r="J54" s="408">
        <f t="shared" si="4"/>
        <v>17</v>
      </c>
      <c r="K54" s="411">
        <v>45674</v>
      </c>
      <c r="L54" s="408"/>
      <c r="M54" s="408"/>
      <c r="N54" s="3" t="str">
        <f t="shared" si="2"/>
        <v/>
      </c>
      <c r="O54" s="408"/>
      <c r="P54" s="408"/>
      <c r="Q54" s="408"/>
      <c r="R54" s="408"/>
      <c r="S54" s="408"/>
      <c r="T54" s="408"/>
      <c r="U54" s="408"/>
      <c r="V54" s="421"/>
      <c r="W54" s="421"/>
      <c r="X54" s="421"/>
      <c r="Y54" s="421"/>
      <c r="Z54" s="421"/>
      <c r="AA54" s="421"/>
      <c r="AB54" s="421"/>
      <c r="AC54" s="421"/>
      <c r="AD54" s="421"/>
      <c r="AE54" s="421"/>
      <c r="AF54" s="421"/>
      <c r="AG54" s="421"/>
      <c r="AH54" s="421"/>
      <c r="AI54" s="421"/>
      <c r="AJ54" s="421"/>
      <c r="AK54" s="421"/>
      <c r="AL54" s="421"/>
    </row>
    <row r="55" spans="1:38">
      <c r="A55" s="410">
        <v>5278</v>
      </c>
      <c r="B55" s="407"/>
      <c r="C55" s="408"/>
      <c r="D55" s="410" t="s">
        <v>1635</v>
      </c>
      <c r="E55" s="410" t="s">
        <v>1585</v>
      </c>
      <c r="F55" s="410" t="s">
        <v>1476</v>
      </c>
      <c r="G55" s="68" t="str">
        <f t="shared" si="0"/>
        <v>DUAL</v>
      </c>
      <c r="H55" s="197">
        <f t="shared" si="1"/>
        <v>3</v>
      </c>
      <c r="I55" s="408">
        <f t="shared" si="3"/>
        <v>1</v>
      </c>
      <c r="J55" s="408">
        <f t="shared" si="4"/>
        <v>17</v>
      </c>
      <c r="K55" s="411">
        <v>45674</v>
      </c>
      <c r="L55" s="408"/>
      <c r="M55" s="408"/>
      <c r="N55" s="3" t="str">
        <f t="shared" si="2"/>
        <v/>
      </c>
      <c r="O55" s="408"/>
      <c r="P55" s="408"/>
      <c r="Q55" s="408"/>
      <c r="R55" s="408"/>
      <c r="S55" s="408"/>
      <c r="T55" s="408"/>
      <c r="U55" s="408"/>
      <c r="V55" s="421"/>
      <c r="W55" s="421"/>
      <c r="X55" s="421"/>
      <c r="Y55" s="421"/>
      <c r="Z55" s="421"/>
      <c r="AA55" s="421"/>
      <c r="AB55" s="421"/>
      <c r="AC55" s="421"/>
      <c r="AD55" s="421"/>
      <c r="AE55" s="421"/>
      <c r="AF55" s="421"/>
      <c r="AG55" s="421"/>
      <c r="AH55" s="421"/>
      <c r="AI55" s="421"/>
      <c r="AJ55" s="421"/>
      <c r="AK55" s="421"/>
      <c r="AL55" s="421"/>
    </row>
    <row r="56" spans="1:38">
      <c r="A56" s="410">
        <v>5254</v>
      </c>
      <c r="B56" s="407"/>
      <c r="C56" s="408"/>
      <c r="D56" s="410" t="s">
        <v>1636</v>
      </c>
      <c r="E56" s="410" t="s">
        <v>1405</v>
      </c>
      <c r="F56" s="410" t="s">
        <v>1581</v>
      </c>
      <c r="G56" s="68" t="str">
        <f t="shared" si="0"/>
        <v>DUAL</v>
      </c>
      <c r="H56" s="197">
        <f t="shared" si="1"/>
        <v>3</v>
      </c>
      <c r="I56" s="408">
        <f t="shared" si="3"/>
        <v>1</v>
      </c>
      <c r="J56" s="408">
        <f t="shared" si="4"/>
        <v>17</v>
      </c>
      <c r="K56" s="411">
        <v>45674</v>
      </c>
      <c r="L56" s="408"/>
      <c r="M56" s="408"/>
      <c r="N56" s="3" t="str">
        <f t="shared" si="2"/>
        <v/>
      </c>
      <c r="O56" s="408"/>
      <c r="P56" s="408"/>
      <c r="Q56" s="408"/>
      <c r="R56" s="408"/>
      <c r="S56" s="408"/>
      <c r="T56" s="408"/>
      <c r="U56" s="408"/>
      <c r="V56" s="421"/>
      <c r="W56" s="421"/>
      <c r="X56" s="421"/>
      <c r="Y56" s="421"/>
      <c r="Z56" s="421"/>
      <c r="AA56" s="421"/>
      <c r="AB56" s="421"/>
      <c r="AC56" s="421"/>
      <c r="AD56" s="421"/>
      <c r="AE56" s="421"/>
      <c r="AF56" s="421"/>
      <c r="AG56" s="421"/>
      <c r="AH56" s="421"/>
      <c r="AI56" s="421"/>
      <c r="AJ56" s="421"/>
      <c r="AK56" s="421"/>
      <c r="AL56" s="421"/>
    </row>
    <row r="57" spans="1:38">
      <c r="A57" s="410">
        <v>5254</v>
      </c>
      <c r="B57" s="407"/>
      <c r="C57" s="408"/>
      <c r="D57" s="410" t="s">
        <v>1637</v>
      </c>
      <c r="E57" s="410" t="s">
        <v>1405</v>
      </c>
      <c r="F57" s="410" t="s">
        <v>1581</v>
      </c>
      <c r="G57" s="68" t="str">
        <f t="shared" si="0"/>
        <v>DUAL</v>
      </c>
      <c r="H57" s="197">
        <f t="shared" si="1"/>
        <v>3</v>
      </c>
      <c r="I57" s="408">
        <f t="shared" si="3"/>
        <v>1</v>
      </c>
      <c r="J57" s="408">
        <f t="shared" si="4"/>
        <v>17</v>
      </c>
      <c r="K57" s="411">
        <v>45674</v>
      </c>
      <c r="L57" s="408"/>
      <c r="M57" s="408"/>
      <c r="N57" s="3" t="str">
        <f t="shared" si="2"/>
        <v/>
      </c>
      <c r="O57" s="408"/>
      <c r="P57" s="408"/>
      <c r="Q57" s="408"/>
      <c r="R57" s="408"/>
      <c r="S57" s="408"/>
      <c r="T57" s="408"/>
      <c r="U57" s="408"/>
      <c r="V57" s="421"/>
      <c r="W57" s="421"/>
      <c r="X57" s="421"/>
      <c r="Y57" s="421"/>
      <c r="Z57" s="421"/>
      <c r="AA57" s="421"/>
      <c r="AB57" s="421"/>
      <c r="AC57" s="421"/>
      <c r="AD57" s="421"/>
      <c r="AE57" s="421"/>
      <c r="AF57" s="421"/>
      <c r="AG57" s="421"/>
      <c r="AH57" s="421"/>
      <c r="AI57" s="421"/>
      <c r="AJ57" s="421"/>
      <c r="AK57" s="421"/>
      <c r="AL57" s="421"/>
    </row>
    <row r="58" spans="1:38">
      <c r="A58" s="410">
        <v>5279</v>
      </c>
      <c r="B58" s="407"/>
      <c r="C58" s="408"/>
      <c r="D58" s="410" t="s">
        <v>1638</v>
      </c>
      <c r="E58" s="410" t="s">
        <v>1585</v>
      </c>
      <c r="F58" s="410" t="s">
        <v>1476</v>
      </c>
      <c r="G58" s="68" t="str">
        <f t="shared" si="0"/>
        <v>DUAL</v>
      </c>
      <c r="H58" s="197">
        <f t="shared" si="1"/>
        <v>4</v>
      </c>
      <c r="I58" s="408">
        <f t="shared" si="3"/>
        <v>1</v>
      </c>
      <c r="J58" s="408">
        <f t="shared" si="4"/>
        <v>20</v>
      </c>
      <c r="K58" s="411">
        <v>45677</v>
      </c>
      <c r="L58" s="408"/>
      <c r="M58" s="408"/>
      <c r="N58" s="3" t="str">
        <f t="shared" si="2"/>
        <v/>
      </c>
      <c r="O58" s="408"/>
      <c r="P58" s="408"/>
      <c r="Q58" s="408"/>
      <c r="R58" s="408"/>
      <c r="S58" s="408"/>
      <c r="T58" s="408"/>
      <c r="U58" s="408"/>
      <c r="V58" s="421"/>
      <c r="W58" s="421"/>
      <c r="X58" s="421"/>
      <c r="Y58" s="421"/>
      <c r="Z58" s="421"/>
      <c r="AA58" s="421"/>
      <c r="AB58" s="421"/>
      <c r="AC58" s="421"/>
      <c r="AD58" s="421"/>
      <c r="AE58" s="421"/>
      <c r="AF58" s="421"/>
      <c r="AG58" s="421"/>
      <c r="AH58" s="421"/>
      <c r="AI58" s="421"/>
      <c r="AJ58" s="421"/>
      <c r="AK58" s="421"/>
      <c r="AL58" s="421"/>
    </row>
    <row r="59" spans="1:38">
      <c r="A59" s="410">
        <v>5345</v>
      </c>
      <c r="B59" s="407"/>
      <c r="C59" s="408"/>
      <c r="D59" s="410" t="s">
        <v>1639</v>
      </c>
      <c r="E59" s="410" t="s">
        <v>1426</v>
      </c>
      <c r="F59" s="410" t="s">
        <v>1476</v>
      </c>
      <c r="G59" s="68" t="str">
        <f t="shared" si="0"/>
        <v>DUAL</v>
      </c>
      <c r="H59" s="197">
        <f t="shared" si="1"/>
        <v>4</v>
      </c>
      <c r="I59" s="408">
        <f t="shared" si="3"/>
        <v>1</v>
      </c>
      <c r="J59" s="408">
        <f t="shared" si="4"/>
        <v>20</v>
      </c>
      <c r="K59" s="411">
        <v>45677</v>
      </c>
      <c r="L59" s="408"/>
      <c r="M59" s="408"/>
      <c r="N59" s="3" t="str">
        <f t="shared" si="2"/>
        <v/>
      </c>
      <c r="O59" s="408"/>
      <c r="P59" s="408"/>
      <c r="Q59" s="408"/>
      <c r="R59" s="408"/>
      <c r="S59" s="408"/>
      <c r="T59" s="408"/>
      <c r="U59" s="408"/>
      <c r="V59" s="421"/>
      <c r="W59" s="421"/>
      <c r="X59" s="421"/>
      <c r="Y59" s="421"/>
      <c r="Z59" s="421"/>
      <c r="AA59" s="421"/>
      <c r="AB59" s="421"/>
      <c r="AC59" s="421"/>
      <c r="AD59" s="421"/>
      <c r="AE59" s="421"/>
      <c r="AF59" s="421"/>
      <c r="AG59" s="421"/>
      <c r="AH59" s="421"/>
      <c r="AI59" s="421"/>
      <c r="AJ59" s="421"/>
      <c r="AK59" s="421"/>
      <c r="AL59" s="421"/>
    </row>
    <row r="60" spans="1:38">
      <c r="A60" s="410">
        <v>5280</v>
      </c>
      <c r="B60" s="407"/>
      <c r="C60" s="408"/>
      <c r="D60" s="410" t="s">
        <v>1640</v>
      </c>
      <c r="E60" s="410" t="s">
        <v>1585</v>
      </c>
      <c r="F60" s="410" t="s">
        <v>1476</v>
      </c>
      <c r="G60" s="68" t="str">
        <f t="shared" si="0"/>
        <v>DUAL</v>
      </c>
      <c r="H60" s="197">
        <f t="shared" si="1"/>
        <v>4</v>
      </c>
      <c r="I60" s="408">
        <f t="shared" si="3"/>
        <v>1</v>
      </c>
      <c r="J60" s="408">
        <f t="shared" si="4"/>
        <v>20</v>
      </c>
      <c r="K60" s="411">
        <v>45677</v>
      </c>
      <c r="L60" s="408"/>
      <c r="M60" s="408"/>
      <c r="N60" s="3" t="str">
        <f t="shared" si="2"/>
        <v/>
      </c>
      <c r="O60" s="408"/>
      <c r="P60" s="408"/>
      <c r="Q60" s="408"/>
      <c r="R60" s="408"/>
      <c r="S60" s="408"/>
      <c r="T60" s="408"/>
      <c r="U60" s="408"/>
      <c r="V60" s="421"/>
      <c r="W60" s="421"/>
      <c r="X60" s="421"/>
      <c r="Y60" s="421"/>
      <c r="Z60" s="421"/>
      <c r="AA60" s="421"/>
      <c r="AB60" s="421"/>
      <c r="AC60" s="421"/>
      <c r="AD60" s="421"/>
      <c r="AE60" s="421"/>
      <c r="AF60" s="421"/>
      <c r="AG60" s="421"/>
      <c r="AH60" s="421"/>
      <c r="AI60" s="421"/>
      <c r="AJ60" s="421"/>
      <c r="AK60" s="421"/>
      <c r="AL60" s="421"/>
    </row>
    <row r="61" spans="1:38">
      <c r="A61" s="410">
        <v>5280</v>
      </c>
      <c r="B61" s="407"/>
      <c r="C61" s="408"/>
      <c r="D61" s="410" t="s">
        <v>1641</v>
      </c>
      <c r="E61" s="410" t="s">
        <v>1585</v>
      </c>
      <c r="F61" s="410" t="s">
        <v>1476</v>
      </c>
      <c r="G61" s="68" t="str">
        <f t="shared" si="0"/>
        <v>DUAL</v>
      </c>
      <c r="H61" s="197">
        <f t="shared" si="1"/>
        <v>4</v>
      </c>
      <c r="I61" s="408">
        <f t="shared" si="3"/>
        <v>1</v>
      </c>
      <c r="J61" s="408">
        <f t="shared" si="4"/>
        <v>20</v>
      </c>
      <c r="K61" s="411">
        <v>45677</v>
      </c>
      <c r="L61" s="408"/>
      <c r="M61" s="408"/>
      <c r="N61" s="3" t="str">
        <f t="shared" si="2"/>
        <v/>
      </c>
      <c r="O61" s="408"/>
      <c r="P61" s="408"/>
      <c r="Q61" s="408"/>
      <c r="R61" s="408"/>
      <c r="S61" s="408"/>
      <c r="T61" s="408"/>
      <c r="U61" s="408"/>
      <c r="V61" s="421"/>
      <c r="W61" s="421"/>
      <c r="X61" s="421"/>
      <c r="Y61" s="421"/>
      <c r="Z61" s="421"/>
      <c r="AA61" s="421"/>
      <c r="AB61" s="421"/>
      <c r="AC61" s="421"/>
      <c r="AD61" s="421"/>
      <c r="AE61" s="421"/>
      <c r="AF61" s="421"/>
      <c r="AG61" s="421"/>
      <c r="AH61" s="421"/>
      <c r="AI61" s="421"/>
      <c r="AJ61" s="421"/>
      <c r="AK61" s="421"/>
      <c r="AL61" s="421"/>
    </row>
    <row r="62" spans="1:38">
      <c r="A62" s="410">
        <v>5411</v>
      </c>
      <c r="B62" s="407"/>
      <c r="C62" s="408"/>
      <c r="D62" s="410" t="s">
        <v>1642</v>
      </c>
      <c r="E62" s="410" t="s">
        <v>1405</v>
      </c>
      <c r="F62" s="410" t="s">
        <v>1591</v>
      </c>
      <c r="G62" s="68" t="str">
        <f t="shared" si="0"/>
        <v>SINGLE</v>
      </c>
      <c r="H62" s="197">
        <f t="shared" si="1"/>
        <v>4</v>
      </c>
      <c r="I62" s="408">
        <f t="shared" si="3"/>
        <v>1</v>
      </c>
      <c r="J62" s="408">
        <f t="shared" si="4"/>
        <v>20</v>
      </c>
      <c r="K62" s="411">
        <v>45677</v>
      </c>
      <c r="L62" s="408"/>
      <c r="M62" s="408"/>
      <c r="N62" s="3" t="str">
        <f t="shared" si="2"/>
        <v/>
      </c>
      <c r="O62" s="408"/>
      <c r="P62" s="408"/>
      <c r="Q62" s="408"/>
      <c r="R62" s="408"/>
      <c r="S62" s="408"/>
      <c r="T62" s="408"/>
      <c r="U62" s="408"/>
      <c r="V62" s="421"/>
      <c r="W62" s="421"/>
      <c r="X62" s="421"/>
      <c r="Y62" s="421"/>
      <c r="Z62" s="421"/>
      <c r="AA62" s="421"/>
      <c r="AB62" s="421"/>
      <c r="AC62" s="421"/>
      <c r="AD62" s="421"/>
      <c r="AE62" s="421"/>
      <c r="AF62" s="421"/>
      <c r="AG62" s="421"/>
      <c r="AH62" s="421"/>
      <c r="AI62" s="421"/>
      <c r="AJ62" s="421"/>
      <c r="AK62" s="421"/>
      <c r="AL62" s="421"/>
    </row>
    <row r="63" spans="1:38">
      <c r="A63" s="410">
        <v>5411</v>
      </c>
      <c r="B63" s="407"/>
      <c r="C63" s="408"/>
      <c r="D63" s="410" t="s">
        <v>1643</v>
      </c>
      <c r="E63" s="410" t="s">
        <v>1405</v>
      </c>
      <c r="F63" s="410" t="s">
        <v>1591</v>
      </c>
      <c r="G63" s="68" t="str">
        <f t="shared" si="0"/>
        <v>SINGLE</v>
      </c>
      <c r="H63" s="197">
        <f t="shared" si="1"/>
        <v>4</v>
      </c>
      <c r="I63" s="408">
        <f t="shared" si="3"/>
        <v>1</v>
      </c>
      <c r="J63" s="408">
        <f t="shared" si="4"/>
        <v>20</v>
      </c>
      <c r="K63" s="411">
        <v>45677</v>
      </c>
      <c r="L63" s="408"/>
      <c r="M63" s="408"/>
      <c r="N63" s="3" t="str">
        <f t="shared" si="2"/>
        <v/>
      </c>
      <c r="O63" s="408"/>
      <c r="P63" s="408"/>
      <c r="Q63" s="408"/>
      <c r="R63" s="408"/>
      <c r="S63" s="408"/>
      <c r="T63" s="408"/>
      <c r="U63" s="408"/>
      <c r="V63" s="421"/>
      <c r="W63" s="421"/>
      <c r="X63" s="421"/>
      <c r="Y63" s="421"/>
      <c r="Z63" s="421"/>
      <c r="AA63" s="421"/>
      <c r="AB63" s="421"/>
      <c r="AC63" s="421"/>
      <c r="AD63" s="421"/>
      <c r="AE63" s="421"/>
      <c r="AF63" s="421"/>
      <c r="AG63" s="421"/>
      <c r="AH63" s="421"/>
      <c r="AI63" s="421"/>
      <c r="AJ63" s="421"/>
      <c r="AK63" s="421"/>
      <c r="AL63" s="421"/>
    </row>
    <row r="64" spans="1:38">
      <c r="A64" s="410">
        <v>5411</v>
      </c>
      <c r="B64" s="407"/>
      <c r="C64" s="408"/>
      <c r="D64" s="410" t="s">
        <v>1644</v>
      </c>
      <c r="E64" s="410" t="s">
        <v>1405</v>
      </c>
      <c r="F64" s="410" t="s">
        <v>1591</v>
      </c>
      <c r="G64" s="68" t="str">
        <f t="shared" si="0"/>
        <v>SINGLE</v>
      </c>
      <c r="H64" s="197">
        <f t="shared" si="1"/>
        <v>4</v>
      </c>
      <c r="I64" s="408">
        <f t="shared" si="3"/>
        <v>1</v>
      </c>
      <c r="J64" s="408">
        <f t="shared" si="4"/>
        <v>20</v>
      </c>
      <c r="K64" s="411">
        <v>45677</v>
      </c>
      <c r="L64" s="408"/>
      <c r="M64" s="408"/>
      <c r="N64" s="3" t="str">
        <f t="shared" si="2"/>
        <v/>
      </c>
      <c r="O64" s="408"/>
      <c r="P64" s="408"/>
      <c r="Q64" s="408"/>
      <c r="R64" s="408"/>
      <c r="S64" s="408"/>
      <c r="T64" s="408"/>
      <c r="U64" s="408"/>
      <c r="V64" s="421"/>
      <c r="W64" s="421"/>
      <c r="X64" s="421"/>
      <c r="Y64" s="421"/>
      <c r="Z64" s="421"/>
      <c r="AA64" s="421"/>
      <c r="AB64" s="421"/>
      <c r="AC64" s="421"/>
      <c r="AD64" s="421"/>
      <c r="AE64" s="421"/>
      <c r="AF64" s="421"/>
      <c r="AG64" s="421"/>
      <c r="AH64" s="421"/>
      <c r="AI64" s="421"/>
      <c r="AJ64" s="421"/>
      <c r="AK64" s="421"/>
      <c r="AL64" s="421"/>
    </row>
    <row r="65" spans="1:38">
      <c r="A65" s="410">
        <v>5411</v>
      </c>
      <c r="B65" s="407"/>
      <c r="C65" s="408"/>
      <c r="D65" s="410" t="s">
        <v>1645</v>
      </c>
      <c r="E65" s="410" t="s">
        <v>1405</v>
      </c>
      <c r="F65" s="410" t="s">
        <v>1591</v>
      </c>
      <c r="G65" s="68" t="str">
        <f t="shared" si="0"/>
        <v>SINGLE</v>
      </c>
      <c r="H65" s="197">
        <f t="shared" ref="H65:H128" si="5">WEEKNUM(K65)</f>
        <v>4</v>
      </c>
      <c r="I65" s="408">
        <f t="shared" si="3"/>
        <v>1</v>
      </c>
      <c r="J65" s="408">
        <f t="shared" si="4"/>
        <v>20</v>
      </c>
      <c r="K65" s="411">
        <v>45677</v>
      </c>
      <c r="L65" s="408"/>
      <c r="M65" s="408"/>
      <c r="N65" s="3" t="str">
        <f t="shared" si="2"/>
        <v/>
      </c>
      <c r="O65" s="408"/>
      <c r="P65" s="408"/>
      <c r="Q65" s="408"/>
      <c r="R65" s="408"/>
      <c r="S65" s="408"/>
      <c r="T65" s="408"/>
      <c r="U65" s="408"/>
      <c r="V65" s="421"/>
      <c r="W65" s="421"/>
      <c r="X65" s="421"/>
      <c r="Y65" s="421"/>
      <c r="Z65" s="421"/>
      <c r="AA65" s="421"/>
      <c r="AB65" s="421"/>
      <c r="AC65" s="421"/>
      <c r="AD65" s="421"/>
      <c r="AE65" s="421"/>
      <c r="AF65" s="421"/>
      <c r="AG65" s="421"/>
      <c r="AH65" s="421"/>
      <c r="AI65" s="421"/>
      <c r="AJ65" s="421"/>
      <c r="AK65" s="421"/>
      <c r="AL65" s="421"/>
    </row>
    <row r="66" spans="1:38">
      <c r="A66" s="410">
        <v>5400</v>
      </c>
      <c r="B66" s="407"/>
      <c r="C66" s="408"/>
      <c r="D66" s="410" t="s">
        <v>1646</v>
      </c>
      <c r="E66" s="410" t="s">
        <v>1405</v>
      </c>
      <c r="F66" s="410" t="s">
        <v>1591</v>
      </c>
      <c r="G66" s="68" t="str">
        <f t="shared" ref="G66:G129" si="6">IF(OR(ISNUMBER(SEARCH("DUAL",F66)), ISNUMBER(SEARCH("IVAS",F66))), "DUAL", "SINGLE")</f>
        <v>SINGLE</v>
      </c>
      <c r="H66" s="197">
        <f t="shared" si="5"/>
        <v>4</v>
      </c>
      <c r="I66" s="408">
        <f t="shared" si="3"/>
        <v>1</v>
      </c>
      <c r="J66" s="408">
        <f t="shared" si="4"/>
        <v>21</v>
      </c>
      <c r="K66" s="411">
        <v>45678</v>
      </c>
      <c r="L66" s="408"/>
      <c r="M66" s="408"/>
      <c r="N66" s="3" t="str">
        <f t="shared" ref="N66:N129" si="7">IF(O66&lt;&gt;"", "NG", "")</f>
        <v/>
      </c>
      <c r="O66" s="408"/>
      <c r="P66" s="408"/>
      <c r="Q66" s="408"/>
      <c r="R66" s="408"/>
      <c r="S66" s="408"/>
      <c r="T66" s="408"/>
      <c r="U66" s="408"/>
      <c r="V66" s="421"/>
      <c r="W66" s="421"/>
      <c r="X66" s="421"/>
      <c r="Y66" s="421"/>
      <c r="Z66" s="421"/>
      <c r="AA66" s="421"/>
      <c r="AB66" s="421"/>
      <c r="AC66" s="421"/>
      <c r="AD66" s="421"/>
      <c r="AE66" s="421"/>
      <c r="AF66" s="421"/>
      <c r="AG66" s="421"/>
      <c r="AH66" s="421"/>
      <c r="AI66" s="421"/>
      <c r="AJ66" s="421"/>
      <c r="AK66" s="421"/>
      <c r="AL66" s="421"/>
    </row>
    <row r="67" spans="1:38">
      <c r="A67" s="410">
        <v>5400</v>
      </c>
      <c r="B67" s="407"/>
      <c r="C67" s="408"/>
      <c r="D67" s="410" t="s">
        <v>1647</v>
      </c>
      <c r="E67" s="410" t="s">
        <v>1405</v>
      </c>
      <c r="F67" s="410" t="s">
        <v>1591</v>
      </c>
      <c r="G67" s="68" t="str">
        <f t="shared" si="6"/>
        <v>SINGLE</v>
      </c>
      <c r="H67" s="197">
        <f t="shared" si="5"/>
        <v>4</v>
      </c>
      <c r="I67" s="408">
        <f t="shared" ref="I67:I130" si="8">MONTH(K67)</f>
        <v>1</v>
      </c>
      <c r="J67" s="408">
        <f t="shared" ref="J67:J130" si="9">DAY(K67)</f>
        <v>21</v>
      </c>
      <c r="K67" s="411">
        <v>45678</v>
      </c>
      <c r="L67" s="408"/>
      <c r="M67" s="408"/>
      <c r="N67" s="3" t="str">
        <f t="shared" si="7"/>
        <v/>
      </c>
      <c r="O67" s="408"/>
      <c r="P67" s="408"/>
      <c r="Q67" s="408"/>
      <c r="R67" s="408"/>
      <c r="S67" s="408"/>
      <c r="T67" s="408"/>
      <c r="U67" s="408"/>
      <c r="V67" s="421"/>
      <c r="W67" s="421"/>
      <c r="X67" s="421"/>
      <c r="Y67" s="421"/>
      <c r="Z67" s="421"/>
      <c r="AA67" s="421"/>
      <c r="AB67" s="421"/>
      <c r="AC67" s="421"/>
      <c r="AD67" s="421"/>
      <c r="AE67" s="421"/>
      <c r="AF67" s="421"/>
      <c r="AG67" s="421"/>
      <c r="AH67" s="421"/>
      <c r="AI67" s="421"/>
      <c r="AJ67" s="421"/>
      <c r="AK67" s="421"/>
      <c r="AL67" s="421"/>
    </row>
    <row r="68" spans="1:38">
      <c r="A68" s="410">
        <v>5400</v>
      </c>
      <c r="B68" s="407"/>
      <c r="C68" s="408"/>
      <c r="D68" s="410" t="s">
        <v>1648</v>
      </c>
      <c r="E68" s="410" t="s">
        <v>1405</v>
      </c>
      <c r="F68" s="410" t="s">
        <v>1591</v>
      </c>
      <c r="G68" s="68" t="str">
        <f t="shared" si="6"/>
        <v>SINGLE</v>
      </c>
      <c r="H68" s="197">
        <f t="shared" si="5"/>
        <v>4</v>
      </c>
      <c r="I68" s="408">
        <f t="shared" si="8"/>
        <v>1</v>
      </c>
      <c r="J68" s="408">
        <f t="shared" si="9"/>
        <v>21</v>
      </c>
      <c r="K68" s="411">
        <v>45678</v>
      </c>
      <c r="L68" s="408"/>
      <c r="M68" s="408"/>
      <c r="N68" s="3" t="str">
        <f t="shared" si="7"/>
        <v/>
      </c>
      <c r="O68" s="408"/>
      <c r="P68" s="408"/>
      <c r="Q68" s="408"/>
      <c r="R68" s="408"/>
      <c r="S68" s="408"/>
      <c r="T68" s="408"/>
      <c r="U68" s="408"/>
      <c r="V68" s="421"/>
      <c r="W68" s="421"/>
      <c r="X68" s="421"/>
      <c r="Y68" s="421"/>
      <c r="Z68" s="421"/>
      <c r="AA68" s="421"/>
      <c r="AB68" s="421"/>
      <c r="AC68" s="421"/>
      <c r="AD68" s="421"/>
      <c r="AE68" s="421"/>
      <c r="AF68" s="421"/>
      <c r="AG68" s="421"/>
      <c r="AH68" s="421"/>
      <c r="AI68" s="421"/>
      <c r="AJ68" s="421"/>
      <c r="AK68" s="421"/>
      <c r="AL68" s="421"/>
    </row>
    <row r="69" spans="1:38">
      <c r="A69" s="410">
        <v>5400</v>
      </c>
      <c r="B69" s="407"/>
      <c r="C69" s="408"/>
      <c r="D69" s="410" t="s">
        <v>1649</v>
      </c>
      <c r="E69" s="410" t="s">
        <v>1405</v>
      </c>
      <c r="F69" s="410" t="s">
        <v>1591</v>
      </c>
      <c r="G69" s="68" t="str">
        <f t="shared" si="6"/>
        <v>SINGLE</v>
      </c>
      <c r="H69" s="197">
        <f t="shared" si="5"/>
        <v>4</v>
      </c>
      <c r="I69" s="408">
        <f t="shared" si="8"/>
        <v>1</v>
      </c>
      <c r="J69" s="408">
        <f t="shared" si="9"/>
        <v>21</v>
      </c>
      <c r="K69" s="411">
        <v>45678</v>
      </c>
      <c r="L69" s="408"/>
      <c r="M69" s="408"/>
      <c r="N69" s="3" t="str">
        <f t="shared" si="7"/>
        <v/>
      </c>
      <c r="O69" s="408"/>
      <c r="P69" s="408"/>
      <c r="Q69" s="408"/>
      <c r="R69" s="408"/>
      <c r="S69" s="408"/>
      <c r="T69" s="408"/>
      <c r="U69" s="408"/>
      <c r="V69" s="421"/>
      <c r="W69" s="421"/>
      <c r="X69" s="421"/>
      <c r="Y69" s="421"/>
      <c r="Z69" s="421"/>
      <c r="AA69" s="421"/>
      <c r="AB69" s="421"/>
      <c r="AC69" s="421"/>
      <c r="AD69" s="421"/>
      <c r="AE69" s="421"/>
      <c r="AF69" s="421"/>
      <c r="AG69" s="421"/>
      <c r="AH69" s="421"/>
      <c r="AI69" s="421"/>
      <c r="AJ69" s="421"/>
      <c r="AK69" s="421"/>
      <c r="AL69" s="421"/>
    </row>
    <row r="70" spans="1:38">
      <c r="A70" s="410">
        <v>5402</v>
      </c>
      <c r="B70" s="407"/>
      <c r="C70" s="408"/>
      <c r="D70" s="410" t="s">
        <v>1650</v>
      </c>
      <c r="E70" s="410" t="s">
        <v>1405</v>
      </c>
      <c r="F70" s="410" t="s">
        <v>1477</v>
      </c>
      <c r="G70" s="68" t="str">
        <f t="shared" si="6"/>
        <v>SINGLE</v>
      </c>
      <c r="H70" s="197">
        <f t="shared" si="5"/>
        <v>4</v>
      </c>
      <c r="I70" s="408">
        <f t="shared" si="8"/>
        <v>1</v>
      </c>
      <c r="J70" s="408">
        <f t="shared" si="9"/>
        <v>21</v>
      </c>
      <c r="K70" s="411">
        <v>45678</v>
      </c>
      <c r="L70" s="408"/>
      <c r="M70" s="408"/>
      <c r="N70" s="3" t="str">
        <f t="shared" si="7"/>
        <v/>
      </c>
      <c r="O70" s="408"/>
      <c r="P70" s="408"/>
      <c r="Q70" s="408"/>
      <c r="R70" s="408"/>
      <c r="S70" s="408"/>
      <c r="T70" s="408"/>
      <c r="U70" s="408"/>
      <c r="V70" s="421"/>
      <c r="W70" s="421"/>
      <c r="X70" s="421"/>
      <c r="Y70" s="421"/>
      <c r="Z70" s="421"/>
      <c r="AA70" s="421"/>
      <c r="AB70" s="421"/>
      <c r="AC70" s="421"/>
      <c r="AD70" s="421"/>
      <c r="AE70" s="421"/>
      <c r="AF70" s="421"/>
      <c r="AG70" s="421"/>
      <c r="AH70" s="421"/>
      <c r="AI70" s="421"/>
      <c r="AJ70" s="421"/>
      <c r="AK70" s="421"/>
      <c r="AL70" s="421"/>
    </row>
    <row r="71" spans="1:38">
      <c r="A71" s="410">
        <v>5402</v>
      </c>
      <c r="B71" s="407"/>
      <c r="C71" s="408"/>
      <c r="D71" s="410" t="s">
        <v>1651</v>
      </c>
      <c r="E71" s="410" t="s">
        <v>1405</v>
      </c>
      <c r="F71" s="410" t="s">
        <v>1477</v>
      </c>
      <c r="G71" s="68" t="str">
        <f t="shared" si="6"/>
        <v>SINGLE</v>
      </c>
      <c r="H71" s="197">
        <f t="shared" si="5"/>
        <v>4</v>
      </c>
      <c r="I71" s="408">
        <f t="shared" si="8"/>
        <v>1</v>
      </c>
      <c r="J71" s="408">
        <f t="shared" si="9"/>
        <v>21</v>
      </c>
      <c r="K71" s="411">
        <v>45678</v>
      </c>
      <c r="L71" s="408"/>
      <c r="M71" s="408"/>
      <c r="N71" s="3" t="str">
        <f t="shared" si="7"/>
        <v/>
      </c>
      <c r="O71" s="408"/>
      <c r="P71" s="408"/>
      <c r="Q71" s="408"/>
      <c r="R71" s="408"/>
      <c r="S71" s="408"/>
      <c r="T71" s="408"/>
      <c r="U71" s="408"/>
      <c r="V71" s="421"/>
      <c r="W71" s="421"/>
      <c r="X71" s="421"/>
      <c r="Y71" s="421"/>
      <c r="Z71" s="421"/>
      <c r="AA71" s="421"/>
      <c r="AB71" s="421"/>
      <c r="AC71" s="421"/>
      <c r="AD71" s="421"/>
      <c r="AE71" s="421"/>
      <c r="AF71" s="421"/>
      <c r="AG71" s="421"/>
      <c r="AH71" s="421"/>
      <c r="AI71" s="421"/>
      <c r="AJ71" s="421"/>
      <c r="AK71" s="421"/>
      <c r="AL71" s="421"/>
    </row>
    <row r="72" spans="1:38">
      <c r="A72" s="410">
        <v>5410</v>
      </c>
      <c r="B72" s="407"/>
      <c r="C72" s="408"/>
      <c r="D72" s="410" t="s">
        <v>1652</v>
      </c>
      <c r="E72" s="410" t="s">
        <v>1585</v>
      </c>
      <c r="F72" s="410" t="s">
        <v>1591</v>
      </c>
      <c r="G72" s="68" t="str">
        <f t="shared" si="6"/>
        <v>SINGLE</v>
      </c>
      <c r="H72" s="197">
        <f t="shared" si="5"/>
        <v>4</v>
      </c>
      <c r="I72" s="408">
        <f t="shared" si="8"/>
        <v>1</v>
      </c>
      <c r="J72" s="408">
        <f t="shared" si="9"/>
        <v>21</v>
      </c>
      <c r="K72" s="411">
        <v>45678</v>
      </c>
      <c r="L72" s="408"/>
      <c r="M72" s="408"/>
      <c r="N72" s="3" t="str">
        <f t="shared" si="7"/>
        <v/>
      </c>
      <c r="O72" s="408"/>
      <c r="P72" s="408"/>
      <c r="Q72" s="408"/>
      <c r="R72" s="408"/>
      <c r="S72" s="408"/>
      <c r="T72" s="408"/>
      <c r="U72" s="408"/>
      <c r="V72" s="421"/>
      <c r="W72" s="421"/>
      <c r="X72" s="421"/>
      <c r="Y72" s="421"/>
      <c r="Z72" s="421"/>
      <c r="AA72" s="421"/>
      <c r="AB72" s="421"/>
      <c r="AC72" s="421"/>
      <c r="AD72" s="421"/>
      <c r="AE72" s="421"/>
      <c r="AF72" s="421"/>
      <c r="AG72" s="421"/>
      <c r="AH72" s="421"/>
      <c r="AI72" s="421"/>
      <c r="AJ72" s="421"/>
      <c r="AK72" s="421"/>
      <c r="AL72" s="421"/>
    </row>
    <row r="73" spans="1:38">
      <c r="A73" s="410">
        <v>5410</v>
      </c>
      <c r="B73" s="407"/>
      <c r="C73" s="408"/>
      <c r="D73" s="410" t="s">
        <v>1653</v>
      </c>
      <c r="E73" s="410" t="s">
        <v>1585</v>
      </c>
      <c r="F73" s="410" t="s">
        <v>1591</v>
      </c>
      <c r="G73" s="68" t="str">
        <f t="shared" si="6"/>
        <v>SINGLE</v>
      </c>
      <c r="H73" s="197">
        <f t="shared" si="5"/>
        <v>4</v>
      </c>
      <c r="I73" s="408">
        <f t="shared" si="8"/>
        <v>1</v>
      </c>
      <c r="J73" s="408">
        <f t="shared" si="9"/>
        <v>21</v>
      </c>
      <c r="K73" s="411">
        <v>45678</v>
      </c>
      <c r="L73" s="408"/>
      <c r="M73" s="408"/>
      <c r="N73" s="3" t="str">
        <f t="shared" si="7"/>
        <v/>
      </c>
      <c r="O73" s="408"/>
      <c r="P73" s="408"/>
      <c r="Q73" s="408"/>
      <c r="R73" s="408"/>
      <c r="S73" s="408"/>
      <c r="T73" s="408"/>
      <c r="U73" s="408"/>
      <c r="V73" s="421"/>
      <c r="W73" s="421"/>
      <c r="X73" s="421"/>
      <c r="Y73" s="421"/>
      <c r="Z73" s="421"/>
      <c r="AA73" s="421"/>
      <c r="AB73" s="421"/>
      <c r="AC73" s="421"/>
      <c r="AD73" s="421"/>
      <c r="AE73" s="421"/>
      <c r="AF73" s="421"/>
      <c r="AG73" s="421"/>
      <c r="AH73" s="421"/>
      <c r="AI73" s="421"/>
      <c r="AJ73" s="421"/>
      <c r="AK73" s="421"/>
      <c r="AL73" s="421"/>
    </row>
    <row r="74" spans="1:38">
      <c r="A74" s="410">
        <v>5413</v>
      </c>
      <c r="B74" s="407"/>
      <c r="C74" s="408"/>
      <c r="D74" s="410" t="s">
        <v>1654</v>
      </c>
      <c r="E74" s="410" t="s">
        <v>1405</v>
      </c>
      <c r="F74" s="410" t="s">
        <v>1581</v>
      </c>
      <c r="G74" s="68" t="str">
        <f t="shared" si="6"/>
        <v>DUAL</v>
      </c>
      <c r="H74" s="197">
        <f t="shared" si="5"/>
        <v>4</v>
      </c>
      <c r="I74" s="408">
        <f t="shared" si="8"/>
        <v>1</v>
      </c>
      <c r="J74" s="408">
        <f t="shared" si="9"/>
        <v>21</v>
      </c>
      <c r="K74" s="411">
        <v>45678</v>
      </c>
      <c r="L74" s="408"/>
      <c r="M74" s="408"/>
      <c r="N74" s="3" t="str">
        <f t="shared" si="7"/>
        <v/>
      </c>
      <c r="O74" s="408"/>
      <c r="P74" s="408"/>
      <c r="Q74" s="408"/>
      <c r="R74" s="408"/>
      <c r="S74" s="408"/>
      <c r="T74" s="408"/>
      <c r="U74" s="408"/>
      <c r="V74" s="421"/>
      <c r="W74" s="421"/>
      <c r="X74" s="421"/>
      <c r="Y74" s="421"/>
      <c r="Z74" s="421"/>
      <c r="AA74" s="421"/>
      <c r="AB74" s="421"/>
      <c r="AC74" s="421"/>
      <c r="AD74" s="421"/>
      <c r="AE74" s="421"/>
      <c r="AF74" s="421"/>
      <c r="AG74" s="421"/>
      <c r="AH74" s="421"/>
      <c r="AI74" s="421"/>
      <c r="AJ74" s="421"/>
      <c r="AK74" s="421"/>
      <c r="AL74" s="421"/>
    </row>
    <row r="75" spans="1:38">
      <c r="A75" s="410">
        <v>5282</v>
      </c>
      <c r="B75" s="407"/>
      <c r="C75" s="408"/>
      <c r="D75" s="410" t="s">
        <v>1655</v>
      </c>
      <c r="E75" s="410" t="s">
        <v>1585</v>
      </c>
      <c r="F75" s="410" t="s">
        <v>1476</v>
      </c>
      <c r="G75" s="68" t="str">
        <f t="shared" si="6"/>
        <v>DUAL</v>
      </c>
      <c r="H75" s="197">
        <f t="shared" si="5"/>
        <v>4</v>
      </c>
      <c r="I75" s="408">
        <f t="shared" si="8"/>
        <v>1</v>
      </c>
      <c r="J75" s="408">
        <f t="shared" si="9"/>
        <v>21</v>
      </c>
      <c r="K75" s="411">
        <v>45678</v>
      </c>
      <c r="L75" s="408"/>
      <c r="M75" s="408"/>
      <c r="N75" s="3" t="str">
        <f t="shared" si="7"/>
        <v/>
      </c>
      <c r="O75" s="408"/>
      <c r="P75" s="408"/>
      <c r="Q75" s="408"/>
      <c r="R75" s="408"/>
      <c r="S75" s="408"/>
      <c r="T75" s="408"/>
      <c r="U75" s="408"/>
      <c r="V75" s="421"/>
      <c r="W75" s="421"/>
      <c r="X75" s="421"/>
      <c r="Y75" s="421"/>
      <c r="Z75" s="421"/>
      <c r="AA75" s="421"/>
      <c r="AB75" s="421"/>
      <c r="AC75" s="421"/>
      <c r="AD75" s="421"/>
      <c r="AE75" s="421"/>
      <c r="AF75" s="421"/>
      <c r="AG75" s="421"/>
      <c r="AH75" s="421"/>
      <c r="AI75" s="421"/>
      <c r="AJ75" s="421"/>
      <c r="AK75" s="421"/>
      <c r="AL75" s="421"/>
    </row>
    <row r="76" spans="1:38">
      <c r="A76" s="410">
        <v>5280</v>
      </c>
      <c r="B76" s="407"/>
      <c r="C76" s="408"/>
      <c r="D76" s="410" t="s">
        <v>1656</v>
      </c>
      <c r="E76" s="410" t="s">
        <v>1585</v>
      </c>
      <c r="F76" s="410" t="s">
        <v>1476</v>
      </c>
      <c r="G76" s="68" t="str">
        <f t="shared" si="6"/>
        <v>DUAL</v>
      </c>
      <c r="H76" s="197">
        <f t="shared" si="5"/>
        <v>4</v>
      </c>
      <c r="I76" s="408">
        <f t="shared" si="8"/>
        <v>1</v>
      </c>
      <c r="J76" s="408">
        <f t="shared" si="9"/>
        <v>22</v>
      </c>
      <c r="K76" s="411">
        <v>45679</v>
      </c>
      <c r="L76" s="408"/>
      <c r="M76" s="408"/>
      <c r="N76" s="3" t="str">
        <f t="shared" si="7"/>
        <v/>
      </c>
      <c r="O76" s="408"/>
      <c r="P76" s="408"/>
      <c r="Q76" s="408"/>
      <c r="R76" s="408"/>
      <c r="S76" s="408"/>
      <c r="T76" s="408"/>
      <c r="U76" s="408"/>
      <c r="V76" s="421"/>
      <c r="W76" s="421"/>
      <c r="X76" s="421"/>
      <c r="Y76" s="421"/>
      <c r="Z76" s="421"/>
      <c r="AA76" s="421"/>
      <c r="AB76" s="421"/>
      <c r="AC76" s="421"/>
      <c r="AD76" s="421"/>
      <c r="AE76" s="421"/>
      <c r="AF76" s="421"/>
      <c r="AG76" s="421"/>
      <c r="AH76" s="421"/>
      <c r="AI76" s="421"/>
      <c r="AJ76" s="421"/>
      <c r="AK76" s="421"/>
      <c r="AL76" s="421"/>
    </row>
    <row r="77" spans="1:38">
      <c r="A77" s="410">
        <v>5280</v>
      </c>
      <c r="B77" s="407"/>
      <c r="C77" s="408"/>
      <c r="D77" s="410" t="s">
        <v>1657</v>
      </c>
      <c r="E77" s="410" t="s">
        <v>1585</v>
      </c>
      <c r="F77" s="410" t="s">
        <v>1476</v>
      </c>
      <c r="G77" s="68" t="str">
        <f t="shared" si="6"/>
        <v>DUAL</v>
      </c>
      <c r="H77" s="197">
        <f t="shared" si="5"/>
        <v>4</v>
      </c>
      <c r="I77" s="408">
        <f t="shared" si="8"/>
        <v>1</v>
      </c>
      <c r="J77" s="408">
        <f t="shared" si="9"/>
        <v>22</v>
      </c>
      <c r="K77" s="411">
        <v>45679</v>
      </c>
      <c r="L77" s="408"/>
      <c r="M77" s="408"/>
      <c r="N77" s="3" t="str">
        <f t="shared" si="7"/>
        <v/>
      </c>
      <c r="O77" s="408"/>
      <c r="P77" s="408"/>
      <c r="Q77" s="408"/>
      <c r="R77" s="408"/>
      <c r="S77" s="408"/>
      <c r="T77" s="408"/>
      <c r="U77" s="408"/>
      <c r="V77" s="421"/>
      <c r="W77" s="421"/>
      <c r="X77" s="421"/>
      <c r="Y77" s="421"/>
      <c r="Z77" s="421"/>
      <c r="AA77" s="421"/>
      <c r="AB77" s="421"/>
      <c r="AC77" s="421"/>
      <c r="AD77" s="421"/>
      <c r="AE77" s="421"/>
      <c r="AF77" s="421"/>
      <c r="AG77" s="421"/>
      <c r="AH77" s="421"/>
      <c r="AI77" s="421"/>
      <c r="AJ77" s="421"/>
      <c r="AK77" s="421"/>
      <c r="AL77" s="421"/>
    </row>
    <row r="78" spans="1:38">
      <c r="A78" s="410">
        <v>5254</v>
      </c>
      <c r="B78" s="407"/>
      <c r="C78" s="408"/>
      <c r="D78" s="410" t="s">
        <v>1658</v>
      </c>
      <c r="E78" s="410" t="s">
        <v>1405</v>
      </c>
      <c r="F78" s="410" t="s">
        <v>1581</v>
      </c>
      <c r="G78" s="68" t="str">
        <f t="shared" si="6"/>
        <v>DUAL</v>
      </c>
      <c r="H78" s="197">
        <f t="shared" si="5"/>
        <v>4</v>
      </c>
      <c r="I78" s="408">
        <f t="shared" si="8"/>
        <v>1</v>
      </c>
      <c r="J78" s="408">
        <f t="shared" si="9"/>
        <v>22</v>
      </c>
      <c r="K78" s="411">
        <v>45679</v>
      </c>
      <c r="L78" s="408"/>
      <c r="M78" s="408"/>
      <c r="N78" s="3" t="str">
        <f t="shared" si="7"/>
        <v/>
      </c>
      <c r="O78" s="408"/>
      <c r="P78" s="408"/>
      <c r="Q78" s="408"/>
      <c r="R78" s="408"/>
      <c r="S78" s="408"/>
      <c r="T78" s="408"/>
      <c r="U78" s="408"/>
      <c r="V78" s="421"/>
      <c r="W78" s="421"/>
      <c r="X78" s="421"/>
      <c r="Y78" s="421"/>
      <c r="Z78" s="421"/>
      <c r="AA78" s="421"/>
      <c r="AB78" s="421"/>
      <c r="AC78" s="421"/>
      <c r="AD78" s="421"/>
      <c r="AE78" s="421"/>
      <c r="AF78" s="421"/>
      <c r="AG78" s="421"/>
      <c r="AH78" s="421"/>
      <c r="AI78" s="421"/>
      <c r="AJ78" s="421"/>
      <c r="AK78" s="421"/>
      <c r="AL78" s="421"/>
    </row>
    <row r="79" spans="1:38">
      <c r="A79" s="410">
        <v>5412</v>
      </c>
      <c r="B79" s="407"/>
      <c r="C79" s="408"/>
      <c r="D79" s="410" t="s">
        <v>1659</v>
      </c>
      <c r="E79" s="410" t="s">
        <v>1405</v>
      </c>
      <c r="F79" s="410" t="s">
        <v>1581</v>
      </c>
      <c r="G79" s="68" t="str">
        <f t="shared" si="6"/>
        <v>DUAL</v>
      </c>
      <c r="H79" s="197">
        <f t="shared" si="5"/>
        <v>4</v>
      </c>
      <c r="I79" s="408">
        <f t="shared" si="8"/>
        <v>1</v>
      </c>
      <c r="J79" s="408">
        <f t="shared" si="9"/>
        <v>22</v>
      </c>
      <c r="K79" s="411">
        <v>45679</v>
      </c>
      <c r="L79" s="408"/>
      <c r="M79" s="408"/>
      <c r="N79" s="3" t="str">
        <f t="shared" si="7"/>
        <v/>
      </c>
      <c r="O79" s="408"/>
      <c r="P79" s="408"/>
      <c r="Q79" s="408"/>
      <c r="R79" s="408"/>
      <c r="S79" s="408"/>
      <c r="T79" s="408"/>
      <c r="U79" s="408"/>
      <c r="V79" s="421"/>
      <c r="W79" s="421"/>
      <c r="X79" s="421"/>
      <c r="Y79" s="421"/>
      <c r="Z79" s="421"/>
      <c r="AA79" s="421"/>
      <c r="AB79" s="421"/>
      <c r="AC79" s="421"/>
      <c r="AD79" s="421"/>
      <c r="AE79" s="421"/>
      <c r="AF79" s="421"/>
      <c r="AG79" s="421"/>
      <c r="AH79" s="421"/>
      <c r="AI79" s="421"/>
      <c r="AJ79" s="421"/>
      <c r="AK79" s="421"/>
      <c r="AL79" s="421"/>
    </row>
    <row r="80" spans="1:38">
      <c r="A80" s="410">
        <v>5398</v>
      </c>
      <c r="B80" s="407"/>
      <c r="C80" s="408"/>
      <c r="D80" s="410" t="s">
        <v>1660</v>
      </c>
      <c r="E80" s="410" t="s">
        <v>1405</v>
      </c>
      <c r="F80" s="410" t="s">
        <v>1616</v>
      </c>
      <c r="G80" s="68" t="str">
        <f t="shared" si="6"/>
        <v>SINGLE</v>
      </c>
      <c r="H80" s="197">
        <f t="shared" si="5"/>
        <v>4</v>
      </c>
      <c r="I80" s="408">
        <f t="shared" si="8"/>
        <v>1</v>
      </c>
      <c r="J80" s="408">
        <f t="shared" si="9"/>
        <v>22</v>
      </c>
      <c r="K80" s="411">
        <v>45679</v>
      </c>
      <c r="L80" s="408"/>
      <c r="M80" s="408"/>
      <c r="N80" s="3" t="str">
        <f t="shared" si="7"/>
        <v/>
      </c>
      <c r="O80" s="408"/>
      <c r="P80" s="408"/>
      <c r="Q80" s="408"/>
      <c r="R80" s="408"/>
      <c r="S80" s="408"/>
      <c r="T80" s="408"/>
      <c r="U80" s="408"/>
      <c r="V80" s="421"/>
      <c r="W80" s="421"/>
      <c r="X80" s="421"/>
      <c r="Y80" s="421"/>
      <c r="Z80" s="421"/>
      <c r="AA80" s="421"/>
      <c r="AB80" s="421"/>
      <c r="AC80" s="421"/>
      <c r="AD80" s="421"/>
      <c r="AE80" s="421"/>
      <c r="AF80" s="421"/>
      <c r="AG80" s="421"/>
      <c r="AH80" s="421"/>
      <c r="AI80" s="421"/>
      <c r="AJ80" s="421"/>
      <c r="AK80" s="421"/>
      <c r="AL80" s="421"/>
    </row>
    <row r="81" spans="1:38">
      <c r="A81" s="410">
        <v>5398</v>
      </c>
      <c r="B81" s="407"/>
      <c r="C81" s="408"/>
      <c r="D81" s="410" t="s">
        <v>1661</v>
      </c>
      <c r="E81" s="410" t="s">
        <v>1405</v>
      </c>
      <c r="F81" s="410" t="s">
        <v>1616</v>
      </c>
      <c r="G81" s="68" t="str">
        <f t="shared" si="6"/>
        <v>SINGLE</v>
      </c>
      <c r="H81" s="197">
        <f t="shared" si="5"/>
        <v>4</v>
      </c>
      <c r="I81" s="408">
        <f t="shared" si="8"/>
        <v>1</v>
      </c>
      <c r="J81" s="408">
        <f t="shared" si="9"/>
        <v>22</v>
      </c>
      <c r="K81" s="411">
        <v>45679</v>
      </c>
      <c r="L81" s="408"/>
      <c r="M81" s="408"/>
      <c r="N81" s="3" t="str">
        <f t="shared" si="7"/>
        <v/>
      </c>
      <c r="O81" s="408"/>
      <c r="P81" s="408"/>
      <c r="Q81" s="408"/>
      <c r="R81" s="408"/>
      <c r="S81" s="408"/>
      <c r="T81" s="408"/>
      <c r="U81" s="408"/>
      <c r="V81" s="421"/>
      <c r="W81" s="421"/>
      <c r="X81" s="421"/>
      <c r="Y81" s="421"/>
      <c r="Z81" s="421"/>
      <c r="AA81" s="421"/>
      <c r="AB81" s="421"/>
      <c r="AC81" s="421"/>
      <c r="AD81" s="421"/>
      <c r="AE81" s="421"/>
      <c r="AF81" s="421"/>
      <c r="AG81" s="421"/>
      <c r="AH81" s="421"/>
      <c r="AI81" s="421"/>
      <c r="AJ81" s="421"/>
      <c r="AK81" s="421"/>
      <c r="AL81" s="421"/>
    </row>
    <row r="82" spans="1:38">
      <c r="A82" s="410">
        <v>5400</v>
      </c>
      <c r="B82" s="407"/>
      <c r="C82" s="408"/>
      <c r="D82" s="410" t="s">
        <v>1662</v>
      </c>
      <c r="E82" s="410" t="s">
        <v>1405</v>
      </c>
      <c r="F82" s="410" t="s">
        <v>1591</v>
      </c>
      <c r="G82" s="68" t="str">
        <f t="shared" si="6"/>
        <v>SINGLE</v>
      </c>
      <c r="H82" s="197">
        <f t="shared" si="5"/>
        <v>4</v>
      </c>
      <c r="I82" s="408">
        <f t="shared" si="8"/>
        <v>1</v>
      </c>
      <c r="J82" s="408">
        <f t="shared" si="9"/>
        <v>23</v>
      </c>
      <c r="K82" s="411">
        <v>45680</v>
      </c>
      <c r="L82" s="408"/>
      <c r="M82" s="408"/>
      <c r="N82" s="3" t="str">
        <f t="shared" si="7"/>
        <v/>
      </c>
      <c r="O82" s="408"/>
      <c r="P82" s="408"/>
      <c r="Q82" s="408"/>
      <c r="R82" s="408"/>
      <c r="S82" s="408"/>
      <c r="T82" s="408"/>
      <c r="U82" s="408"/>
      <c r="V82" s="421"/>
      <c r="W82" s="421"/>
      <c r="X82" s="421"/>
      <c r="Y82" s="421"/>
      <c r="Z82" s="421"/>
      <c r="AA82" s="421"/>
      <c r="AB82" s="421"/>
      <c r="AC82" s="421"/>
      <c r="AD82" s="421"/>
      <c r="AE82" s="421"/>
      <c r="AF82" s="421"/>
      <c r="AG82" s="421"/>
      <c r="AH82" s="421"/>
      <c r="AI82" s="421"/>
      <c r="AJ82" s="421"/>
      <c r="AK82" s="421"/>
      <c r="AL82" s="421"/>
    </row>
    <row r="83" spans="1:38">
      <c r="A83" s="410">
        <v>5400</v>
      </c>
      <c r="B83" s="407"/>
      <c r="C83" s="408"/>
      <c r="D83" s="410" t="s">
        <v>1663</v>
      </c>
      <c r="E83" s="410" t="s">
        <v>1405</v>
      </c>
      <c r="F83" s="410" t="s">
        <v>1591</v>
      </c>
      <c r="G83" s="68" t="str">
        <f t="shared" si="6"/>
        <v>SINGLE</v>
      </c>
      <c r="H83" s="197">
        <f t="shared" si="5"/>
        <v>4</v>
      </c>
      <c r="I83" s="408">
        <f t="shared" si="8"/>
        <v>1</v>
      </c>
      <c r="J83" s="408">
        <f t="shared" si="9"/>
        <v>23</v>
      </c>
      <c r="K83" s="411">
        <v>45680</v>
      </c>
      <c r="L83" s="408"/>
      <c r="M83" s="408"/>
      <c r="N83" s="3" t="str">
        <f t="shared" si="7"/>
        <v/>
      </c>
      <c r="O83" s="408"/>
      <c r="P83" s="408"/>
      <c r="Q83" s="408"/>
      <c r="R83" s="408"/>
      <c r="S83" s="408"/>
      <c r="T83" s="408"/>
      <c r="U83" s="408"/>
      <c r="V83" s="421"/>
      <c r="W83" s="421"/>
      <c r="X83" s="421"/>
      <c r="Y83" s="421"/>
      <c r="Z83" s="421"/>
      <c r="AA83" s="421"/>
      <c r="AB83" s="421"/>
      <c r="AC83" s="421"/>
      <c r="AD83" s="421"/>
      <c r="AE83" s="421"/>
      <c r="AF83" s="421"/>
      <c r="AG83" s="421"/>
      <c r="AH83" s="421"/>
      <c r="AI83" s="421"/>
      <c r="AJ83" s="421"/>
      <c r="AK83" s="421"/>
      <c r="AL83" s="421"/>
    </row>
    <row r="84" spans="1:38">
      <c r="A84" s="410">
        <v>5400</v>
      </c>
      <c r="B84" s="407"/>
      <c r="C84" s="408"/>
      <c r="D84" s="410" t="s">
        <v>1664</v>
      </c>
      <c r="E84" s="410" t="s">
        <v>1405</v>
      </c>
      <c r="F84" s="410" t="s">
        <v>1591</v>
      </c>
      <c r="G84" s="68" t="str">
        <f t="shared" si="6"/>
        <v>SINGLE</v>
      </c>
      <c r="H84" s="197">
        <f t="shared" si="5"/>
        <v>4</v>
      </c>
      <c r="I84" s="408">
        <f t="shared" si="8"/>
        <v>1</v>
      </c>
      <c r="J84" s="408">
        <f t="shared" si="9"/>
        <v>23</v>
      </c>
      <c r="K84" s="411">
        <v>45680</v>
      </c>
      <c r="L84" s="408"/>
      <c r="M84" s="408"/>
      <c r="N84" s="3" t="str">
        <f t="shared" si="7"/>
        <v/>
      </c>
      <c r="O84" s="408"/>
      <c r="P84" s="408"/>
      <c r="Q84" s="408"/>
      <c r="R84" s="408"/>
      <c r="S84" s="408"/>
      <c r="T84" s="408"/>
      <c r="U84" s="408"/>
      <c r="V84" s="421"/>
      <c r="W84" s="421"/>
      <c r="X84" s="421"/>
      <c r="Y84" s="421"/>
      <c r="Z84" s="421"/>
      <c r="AA84" s="421"/>
      <c r="AB84" s="421"/>
      <c r="AC84" s="421"/>
      <c r="AD84" s="421"/>
      <c r="AE84" s="421"/>
      <c r="AF84" s="421"/>
      <c r="AG84" s="421"/>
      <c r="AH84" s="421"/>
      <c r="AI84" s="421"/>
      <c r="AJ84" s="421"/>
      <c r="AK84" s="421"/>
      <c r="AL84" s="421"/>
    </row>
    <row r="85" spans="1:38">
      <c r="A85" s="410">
        <v>5400</v>
      </c>
      <c r="B85" s="407"/>
      <c r="C85" s="408"/>
      <c r="D85" s="410" t="s">
        <v>1665</v>
      </c>
      <c r="E85" s="410" t="s">
        <v>1405</v>
      </c>
      <c r="F85" s="410" t="s">
        <v>1591</v>
      </c>
      <c r="G85" s="68" t="str">
        <f t="shared" si="6"/>
        <v>SINGLE</v>
      </c>
      <c r="H85" s="197">
        <f t="shared" si="5"/>
        <v>4</v>
      </c>
      <c r="I85" s="408">
        <f t="shared" si="8"/>
        <v>1</v>
      </c>
      <c r="J85" s="408">
        <f t="shared" si="9"/>
        <v>23</v>
      </c>
      <c r="K85" s="411">
        <v>45680</v>
      </c>
      <c r="L85" s="408"/>
      <c r="M85" s="408"/>
      <c r="N85" s="3" t="str">
        <f t="shared" si="7"/>
        <v/>
      </c>
      <c r="O85" s="408"/>
      <c r="P85" s="408"/>
      <c r="Q85" s="408"/>
      <c r="R85" s="408"/>
      <c r="S85" s="408"/>
      <c r="T85" s="408"/>
      <c r="U85" s="408"/>
      <c r="V85" s="421"/>
      <c r="W85" s="421"/>
      <c r="X85" s="421"/>
      <c r="Y85" s="421"/>
      <c r="Z85" s="421"/>
      <c r="AA85" s="421"/>
      <c r="AB85" s="421"/>
      <c r="AC85" s="421"/>
      <c r="AD85" s="421"/>
      <c r="AE85" s="421"/>
      <c r="AF85" s="421"/>
      <c r="AG85" s="421"/>
      <c r="AH85" s="421"/>
      <c r="AI85" s="421"/>
      <c r="AJ85" s="421"/>
      <c r="AK85" s="421"/>
      <c r="AL85" s="421"/>
    </row>
    <row r="86" spans="1:38">
      <c r="A86" s="410">
        <v>5350</v>
      </c>
      <c r="B86" s="407"/>
      <c r="C86" s="408"/>
      <c r="D86" s="410" t="s">
        <v>1666</v>
      </c>
      <c r="E86" s="410" t="s">
        <v>1585</v>
      </c>
      <c r="F86" s="410" t="s">
        <v>1476</v>
      </c>
      <c r="G86" s="68" t="str">
        <f t="shared" si="6"/>
        <v>DUAL</v>
      </c>
      <c r="H86" s="197">
        <f t="shared" si="5"/>
        <v>4</v>
      </c>
      <c r="I86" s="408">
        <f t="shared" si="8"/>
        <v>1</v>
      </c>
      <c r="J86" s="408">
        <f t="shared" si="9"/>
        <v>23</v>
      </c>
      <c r="K86" s="411">
        <v>45680</v>
      </c>
      <c r="L86" s="408"/>
      <c r="M86" s="408"/>
      <c r="N86" s="3" t="str">
        <f t="shared" si="7"/>
        <v/>
      </c>
      <c r="O86" s="408"/>
      <c r="P86" s="408"/>
      <c r="Q86" s="408"/>
      <c r="R86" s="408"/>
      <c r="S86" s="408"/>
      <c r="T86" s="408"/>
      <c r="U86" s="408"/>
      <c r="V86" s="421"/>
      <c r="W86" s="421"/>
      <c r="X86" s="421"/>
      <c r="Y86" s="421"/>
      <c r="Z86" s="421"/>
      <c r="AA86" s="421"/>
      <c r="AB86" s="421"/>
      <c r="AC86" s="421"/>
      <c r="AD86" s="421"/>
      <c r="AE86" s="421"/>
      <c r="AF86" s="421"/>
      <c r="AG86" s="421"/>
      <c r="AH86" s="421"/>
      <c r="AI86" s="421"/>
      <c r="AJ86" s="421"/>
      <c r="AK86" s="421"/>
      <c r="AL86" s="421"/>
    </row>
    <row r="87" spans="1:38">
      <c r="A87" s="410">
        <v>5350</v>
      </c>
      <c r="B87" s="407"/>
      <c r="C87" s="408"/>
      <c r="D87" s="410" t="s">
        <v>1667</v>
      </c>
      <c r="E87" s="410" t="s">
        <v>1585</v>
      </c>
      <c r="F87" s="410" t="s">
        <v>1476</v>
      </c>
      <c r="G87" s="68" t="str">
        <f t="shared" si="6"/>
        <v>DUAL</v>
      </c>
      <c r="H87" s="197">
        <f t="shared" si="5"/>
        <v>4</v>
      </c>
      <c r="I87" s="408">
        <f t="shared" si="8"/>
        <v>1</v>
      </c>
      <c r="J87" s="408">
        <f t="shared" si="9"/>
        <v>23</v>
      </c>
      <c r="K87" s="411">
        <v>45680</v>
      </c>
      <c r="L87" s="408"/>
      <c r="M87" s="408"/>
      <c r="N87" s="3" t="str">
        <f t="shared" si="7"/>
        <v/>
      </c>
      <c r="O87" s="408"/>
      <c r="P87" s="408"/>
      <c r="Q87" s="408"/>
      <c r="R87" s="408"/>
      <c r="S87" s="408"/>
      <c r="T87" s="408"/>
      <c r="U87" s="408"/>
      <c r="V87" s="421"/>
      <c r="W87" s="421"/>
      <c r="X87" s="421"/>
      <c r="Y87" s="421"/>
      <c r="Z87" s="421"/>
      <c r="AA87" s="421"/>
      <c r="AB87" s="421"/>
      <c r="AC87" s="421"/>
      <c r="AD87" s="421"/>
      <c r="AE87" s="421"/>
      <c r="AF87" s="421"/>
      <c r="AG87" s="421"/>
      <c r="AH87" s="421"/>
      <c r="AI87" s="421"/>
      <c r="AJ87" s="421"/>
      <c r="AK87" s="421"/>
      <c r="AL87" s="421"/>
    </row>
    <row r="88" spans="1:38">
      <c r="A88" s="410">
        <v>5404</v>
      </c>
      <c r="B88" s="407"/>
      <c r="C88" s="408"/>
      <c r="D88" s="410" t="s">
        <v>1668</v>
      </c>
      <c r="E88" s="410" t="s">
        <v>1405</v>
      </c>
      <c r="F88" s="410" t="s">
        <v>1480</v>
      </c>
      <c r="G88" s="68" t="str">
        <f t="shared" si="6"/>
        <v>DUAL</v>
      </c>
      <c r="H88" s="197">
        <f t="shared" si="5"/>
        <v>4</v>
      </c>
      <c r="I88" s="408">
        <f t="shared" si="8"/>
        <v>1</v>
      </c>
      <c r="J88" s="408">
        <f t="shared" si="9"/>
        <v>24</v>
      </c>
      <c r="K88" s="411">
        <v>45681</v>
      </c>
      <c r="L88" s="408"/>
      <c r="M88" s="408"/>
      <c r="N88" s="3" t="str">
        <f t="shared" si="7"/>
        <v/>
      </c>
      <c r="O88" s="408"/>
      <c r="P88" s="408"/>
      <c r="Q88" s="408"/>
      <c r="R88" s="408"/>
      <c r="S88" s="408"/>
      <c r="T88" s="408"/>
      <c r="U88" s="408"/>
      <c r="V88" s="421"/>
      <c r="W88" s="421"/>
      <c r="X88" s="421"/>
      <c r="Y88" s="421"/>
      <c r="Z88" s="421"/>
      <c r="AA88" s="421"/>
      <c r="AB88" s="421"/>
      <c r="AC88" s="421"/>
      <c r="AD88" s="421"/>
      <c r="AE88" s="421"/>
      <c r="AF88" s="421"/>
      <c r="AG88" s="421"/>
      <c r="AH88" s="421"/>
      <c r="AI88" s="421"/>
      <c r="AJ88" s="421"/>
      <c r="AK88" s="421"/>
      <c r="AL88" s="421"/>
    </row>
    <row r="89" spans="1:38">
      <c r="A89" s="410">
        <v>5404</v>
      </c>
      <c r="B89" s="407"/>
      <c r="C89" s="408"/>
      <c r="D89" s="410" t="s">
        <v>1669</v>
      </c>
      <c r="E89" s="410" t="s">
        <v>1405</v>
      </c>
      <c r="F89" s="410" t="s">
        <v>1480</v>
      </c>
      <c r="G89" s="68" t="str">
        <f t="shared" si="6"/>
        <v>DUAL</v>
      </c>
      <c r="H89" s="197">
        <f t="shared" si="5"/>
        <v>4</v>
      </c>
      <c r="I89" s="408">
        <f t="shared" si="8"/>
        <v>1</v>
      </c>
      <c r="J89" s="408">
        <f t="shared" si="9"/>
        <v>24</v>
      </c>
      <c r="K89" s="411">
        <v>45681</v>
      </c>
      <c r="L89" s="408"/>
      <c r="M89" s="408"/>
      <c r="N89" s="3" t="str">
        <f t="shared" si="7"/>
        <v/>
      </c>
      <c r="O89" s="408"/>
      <c r="P89" s="408"/>
      <c r="Q89" s="408"/>
      <c r="R89" s="408"/>
      <c r="S89" s="408"/>
      <c r="T89" s="408"/>
      <c r="U89" s="408"/>
      <c r="V89" s="421"/>
      <c r="W89" s="421"/>
      <c r="X89" s="421"/>
      <c r="Y89" s="421"/>
      <c r="Z89" s="421"/>
      <c r="AA89" s="421"/>
      <c r="AB89" s="421"/>
      <c r="AC89" s="421"/>
      <c r="AD89" s="421"/>
      <c r="AE89" s="421"/>
      <c r="AF89" s="421"/>
      <c r="AG89" s="421"/>
      <c r="AH89" s="421"/>
      <c r="AI89" s="421"/>
      <c r="AJ89" s="421"/>
      <c r="AK89" s="421"/>
      <c r="AL89" s="421"/>
    </row>
    <row r="90" spans="1:38">
      <c r="A90" s="410">
        <v>5351</v>
      </c>
      <c r="B90" s="407"/>
      <c r="C90" s="408"/>
      <c r="D90" s="410" t="s">
        <v>1670</v>
      </c>
      <c r="E90" s="410" t="s">
        <v>1585</v>
      </c>
      <c r="F90" s="410" t="s">
        <v>1476</v>
      </c>
      <c r="G90" s="68" t="str">
        <f t="shared" si="6"/>
        <v>DUAL</v>
      </c>
      <c r="H90" s="197">
        <f t="shared" si="5"/>
        <v>4</v>
      </c>
      <c r="I90" s="408">
        <f t="shared" si="8"/>
        <v>1</v>
      </c>
      <c r="J90" s="408">
        <f t="shared" si="9"/>
        <v>24</v>
      </c>
      <c r="K90" s="411">
        <v>45681</v>
      </c>
      <c r="L90" s="408"/>
      <c r="M90" s="408"/>
      <c r="N90" s="3" t="str">
        <f t="shared" si="7"/>
        <v/>
      </c>
      <c r="O90" s="408"/>
      <c r="P90" s="408"/>
      <c r="Q90" s="408"/>
      <c r="R90" s="408"/>
      <c r="S90" s="408"/>
      <c r="T90" s="408"/>
      <c r="U90" s="408"/>
      <c r="V90" s="421"/>
      <c r="W90" s="421"/>
      <c r="X90" s="421"/>
      <c r="Y90" s="421"/>
      <c r="Z90" s="421"/>
      <c r="AA90" s="421"/>
      <c r="AB90" s="421"/>
      <c r="AC90" s="421"/>
      <c r="AD90" s="421"/>
      <c r="AE90" s="421"/>
      <c r="AF90" s="421"/>
      <c r="AG90" s="421"/>
      <c r="AH90" s="421"/>
      <c r="AI90" s="421"/>
      <c r="AJ90" s="421"/>
      <c r="AK90" s="421"/>
      <c r="AL90" s="421"/>
    </row>
    <row r="91" spans="1:38">
      <c r="A91" s="410">
        <v>5381</v>
      </c>
      <c r="B91" s="407"/>
      <c r="C91" s="408"/>
      <c r="D91" s="410" t="s">
        <v>1671</v>
      </c>
      <c r="E91" s="410" t="s">
        <v>1405</v>
      </c>
      <c r="F91" s="410" t="s">
        <v>1476</v>
      </c>
      <c r="G91" s="68" t="str">
        <f t="shared" si="6"/>
        <v>DUAL</v>
      </c>
      <c r="H91" s="197">
        <f t="shared" si="5"/>
        <v>4</v>
      </c>
      <c r="I91" s="408">
        <f t="shared" si="8"/>
        <v>1</v>
      </c>
      <c r="J91" s="408">
        <f t="shared" si="9"/>
        <v>24</v>
      </c>
      <c r="K91" s="411">
        <v>45681</v>
      </c>
      <c r="L91" s="408"/>
      <c r="M91" s="408"/>
      <c r="N91" s="3" t="str">
        <f t="shared" si="7"/>
        <v/>
      </c>
      <c r="O91" s="408"/>
      <c r="P91" s="408"/>
      <c r="Q91" s="408"/>
      <c r="R91" s="408"/>
      <c r="S91" s="408"/>
      <c r="T91" s="408"/>
      <c r="U91" s="408"/>
      <c r="V91" s="421"/>
      <c r="W91" s="421"/>
      <c r="X91" s="421"/>
      <c r="Y91" s="421"/>
      <c r="Z91" s="421"/>
      <c r="AA91" s="421"/>
      <c r="AB91" s="421"/>
      <c r="AC91" s="421"/>
      <c r="AD91" s="421"/>
      <c r="AE91" s="421"/>
      <c r="AF91" s="421"/>
      <c r="AG91" s="421"/>
      <c r="AH91" s="421"/>
      <c r="AI91" s="421"/>
      <c r="AJ91" s="421"/>
      <c r="AK91" s="421"/>
      <c r="AL91" s="421"/>
    </row>
    <row r="92" spans="1:38">
      <c r="A92" s="410">
        <v>5348</v>
      </c>
      <c r="B92" s="407"/>
      <c r="C92" s="408"/>
      <c r="D92" s="410" t="s">
        <v>1672</v>
      </c>
      <c r="E92" s="410" t="s">
        <v>1585</v>
      </c>
      <c r="F92" s="410" t="s">
        <v>1476</v>
      </c>
      <c r="G92" s="68" t="str">
        <f t="shared" si="6"/>
        <v>DUAL</v>
      </c>
      <c r="H92" s="197">
        <f t="shared" si="5"/>
        <v>4</v>
      </c>
      <c r="I92" s="408">
        <f t="shared" si="8"/>
        <v>1</v>
      </c>
      <c r="J92" s="408">
        <f t="shared" si="9"/>
        <v>24</v>
      </c>
      <c r="K92" s="411">
        <v>45681</v>
      </c>
      <c r="L92" s="408"/>
      <c r="M92" s="408"/>
      <c r="N92" s="3" t="str">
        <f t="shared" si="7"/>
        <v/>
      </c>
      <c r="O92" s="408"/>
      <c r="P92" s="408"/>
      <c r="Q92" s="408"/>
      <c r="R92" s="408"/>
      <c r="S92" s="408"/>
      <c r="T92" s="408"/>
      <c r="U92" s="408"/>
      <c r="V92" s="421"/>
      <c r="W92" s="421"/>
      <c r="X92" s="421"/>
      <c r="Y92" s="421"/>
      <c r="Z92" s="421"/>
      <c r="AA92" s="421"/>
      <c r="AB92" s="421"/>
      <c r="AC92" s="421"/>
      <c r="AD92" s="421"/>
      <c r="AE92" s="421"/>
      <c r="AF92" s="421"/>
      <c r="AG92" s="421"/>
      <c r="AH92" s="421"/>
      <c r="AI92" s="421"/>
      <c r="AJ92" s="421"/>
      <c r="AK92" s="421"/>
      <c r="AL92" s="421"/>
    </row>
    <row r="93" spans="1:38">
      <c r="A93" s="410">
        <v>5403</v>
      </c>
      <c r="B93" s="407"/>
      <c r="C93" s="408"/>
      <c r="D93" s="410" t="s">
        <v>1673</v>
      </c>
      <c r="E93" s="410" t="s">
        <v>1405</v>
      </c>
      <c r="F93" s="410" t="s">
        <v>1581</v>
      </c>
      <c r="G93" s="68" t="str">
        <f t="shared" si="6"/>
        <v>DUAL</v>
      </c>
      <c r="H93" s="197">
        <f t="shared" si="5"/>
        <v>6</v>
      </c>
      <c r="I93" s="408">
        <f t="shared" si="8"/>
        <v>2</v>
      </c>
      <c r="J93" s="408">
        <f t="shared" si="9"/>
        <v>3</v>
      </c>
      <c r="K93" s="411">
        <v>45691</v>
      </c>
      <c r="L93" s="408"/>
      <c r="M93" s="408"/>
      <c r="N93" s="3" t="str">
        <f t="shared" si="7"/>
        <v/>
      </c>
      <c r="O93" s="408"/>
      <c r="P93" s="408"/>
      <c r="Q93" s="408"/>
      <c r="R93" s="408"/>
      <c r="S93" s="408"/>
      <c r="T93" s="408"/>
      <c r="U93" s="408"/>
      <c r="V93" s="421"/>
      <c r="W93" s="421"/>
      <c r="X93" s="421"/>
      <c r="Y93" s="421"/>
      <c r="Z93" s="421"/>
      <c r="AA93" s="421"/>
      <c r="AB93" s="421"/>
      <c r="AC93" s="421"/>
      <c r="AD93" s="421"/>
      <c r="AE93" s="421"/>
      <c r="AF93" s="421"/>
      <c r="AG93" s="421"/>
      <c r="AH93" s="421"/>
      <c r="AI93" s="421"/>
      <c r="AJ93" s="421"/>
      <c r="AK93" s="421"/>
      <c r="AL93" s="421"/>
    </row>
    <row r="94" spans="1:38">
      <c r="A94" s="410">
        <v>5403</v>
      </c>
      <c r="B94" s="407"/>
      <c r="C94" s="408"/>
      <c r="D94" s="410" t="s">
        <v>1674</v>
      </c>
      <c r="E94" s="410" t="s">
        <v>1405</v>
      </c>
      <c r="F94" s="410" t="s">
        <v>1581</v>
      </c>
      <c r="G94" s="68" t="str">
        <f t="shared" si="6"/>
        <v>DUAL</v>
      </c>
      <c r="H94" s="197">
        <f t="shared" si="5"/>
        <v>6</v>
      </c>
      <c r="I94" s="408">
        <f t="shared" si="8"/>
        <v>2</v>
      </c>
      <c r="J94" s="408">
        <f t="shared" si="9"/>
        <v>3</v>
      </c>
      <c r="K94" s="411">
        <v>45691</v>
      </c>
      <c r="L94" s="408"/>
      <c r="M94" s="408"/>
      <c r="N94" s="3" t="str">
        <f t="shared" si="7"/>
        <v/>
      </c>
      <c r="O94" s="408"/>
      <c r="P94" s="408"/>
      <c r="Q94" s="408"/>
      <c r="R94" s="408"/>
      <c r="S94" s="408"/>
      <c r="T94" s="408"/>
      <c r="U94" s="408"/>
      <c r="V94" s="421"/>
      <c r="W94" s="421"/>
      <c r="X94" s="421"/>
      <c r="Y94" s="421"/>
      <c r="Z94" s="421"/>
      <c r="AA94" s="421"/>
      <c r="AB94" s="421"/>
      <c r="AC94" s="421"/>
      <c r="AD94" s="421"/>
      <c r="AE94" s="421"/>
      <c r="AF94" s="421"/>
      <c r="AG94" s="421"/>
      <c r="AH94" s="421"/>
      <c r="AI94" s="421"/>
      <c r="AJ94" s="421"/>
      <c r="AK94" s="421"/>
      <c r="AL94" s="421"/>
    </row>
    <row r="95" spans="1:38" s="180" customFormat="1">
      <c r="A95" s="412">
        <v>5431</v>
      </c>
      <c r="B95" s="413"/>
      <c r="C95" s="414"/>
      <c r="D95" s="412" t="s">
        <v>1675</v>
      </c>
      <c r="E95" s="412" t="s">
        <v>1405</v>
      </c>
      <c r="F95" s="412" t="s">
        <v>1591</v>
      </c>
      <c r="G95" s="68" t="str">
        <f t="shared" si="6"/>
        <v>SINGLE</v>
      </c>
      <c r="H95" s="197">
        <f t="shared" si="5"/>
        <v>6</v>
      </c>
      <c r="I95" s="414">
        <f t="shared" si="8"/>
        <v>2</v>
      </c>
      <c r="J95" s="414">
        <f t="shared" si="9"/>
        <v>3</v>
      </c>
      <c r="K95" s="415">
        <v>45691</v>
      </c>
      <c r="L95" s="414"/>
      <c r="M95" s="414"/>
      <c r="N95" s="3" t="str">
        <f t="shared" si="7"/>
        <v/>
      </c>
      <c r="O95" s="414"/>
      <c r="P95" s="414"/>
      <c r="Q95" s="414"/>
      <c r="R95" s="414"/>
      <c r="S95" s="414"/>
      <c r="T95" s="414"/>
      <c r="U95" s="414"/>
      <c r="V95" s="419"/>
      <c r="W95" s="419"/>
      <c r="X95" s="419"/>
      <c r="Y95" s="419"/>
      <c r="Z95" s="419"/>
      <c r="AA95" s="419"/>
      <c r="AB95" s="419"/>
      <c r="AC95" s="419"/>
      <c r="AD95" s="419"/>
      <c r="AE95" s="419"/>
      <c r="AF95" s="419"/>
      <c r="AG95" s="419"/>
      <c r="AH95" s="419"/>
      <c r="AI95" s="419"/>
      <c r="AJ95" s="419"/>
      <c r="AK95" s="419"/>
      <c r="AL95" s="419"/>
    </row>
    <row r="96" spans="1:38" s="180" customFormat="1">
      <c r="A96" s="412">
        <v>5431</v>
      </c>
      <c r="B96" s="413"/>
      <c r="C96" s="414"/>
      <c r="D96" s="412" t="s">
        <v>1675</v>
      </c>
      <c r="E96" s="412" t="s">
        <v>1405</v>
      </c>
      <c r="F96" s="412" t="s">
        <v>1591</v>
      </c>
      <c r="G96" s="68" t="str">
        <f t="shared" si="6"/>
        <v>SINGLE</v>
      </c>
      <c r="H96" s="197">
        <f t="shared" si="5"/>
        <v>6</v>
      </c>
      <c r="I96" s="414">
        <f t="shared" si="8"/>
        <v>2</v>
      </c>
      <c r="J96" s="414">
        <f t="shared" si="9"/>
        <v>3</v>
      </c>
      <c r="K96" s="415">
        <v>45691</v>
      </c>
      <c r="L96" s="414"/>
      <c r="M96" s="414"/>
      <c r="N96" s="3" t="str">
        <f t="shared" si="7"/>
        <v/>
      </c>
      <c r="O96" s="414"/>
      <c r="P96" s="414"/>
      <c r="Q96" s="414"/>
      <c r="R96" s="414"/>
      <c r="S96" s="414"/>
      <c r="T96" s="414"/>
      <c r="U96" s="414"/>
      <c r="V96" s="419"/>
      <c r="W96" s="419"/>
      <c r="X96" s="419"/>
      <c r="Y96" s="419"/>
      <c r="Z96" s="419"/>
      <c r="AA96" s="419"/>
      <c r="AB96" s="419"/>
      <c r="AC96" s="419"/>
      <c r="AD96" s="419"/>
      <c r="AE96" s="419"/>
      <c r="AF96" s="419"/>
      <c r="AG96" s="419"/>
      <c r="AH96" s="419"/>
      <c r="AI96" s="419"/>
      <c r="AJ96" s="419"/>
      <c r="AK96" s="419"/>
      <c r="AL96" s="419"/>
    </row>
    <row r="97" spans="1:38">
      <c r="A97" s="410">
        <v>5404</v>
      </c>
      <c r="B97" s="407"/>
      <c r="C97" s="408"/>
      <c r="D97" s="410" t="s">
        <v>1676</v>
      </c>
      <c r="E97" s="410" t="s">
        <v>1405</v>
      </c>
      <c r="F97" s="410" t="s">
        <v>1480</v>
      </c>
      <c r="G97" s="68" t="str">
        <f t="shared" si="6"/>
        <v>DUAL</v>
      </c>
      <c r="H97" s="197">
        <f t="shared" si="5"/>
        <v>6</v>
      </c>
      <c r="I97" s="408">
        <f t="shared" si="8"/>
        <v>2</v>
      </c>
      <c r="J97" s="408">
        <f t="shared" si="9"/>
        <v>3</v>
      </c>
      <c r="K97" s="411">
        <v>45691</v>
      </c>
      <c r="L97" s="408"/>
      <c r="M97" s="408"/>
      <c r="N97" s="3" t="str">
        <f t="shared" si="7"/>
        <v/>
      </c>
      <c r="O97" s="408"/>
      <c r="P97" s="408"/>
      <c r="Q97" s="408"/>
      <c r="R97" s="408"/>
      <c r="S97" s="408"/>
      <c r="T97" s="408"/>
      <c r="U97" s="408"/>
      <c r="V97" s="421"/>
      <c r="W97" s="421"/>
      <c r="X97" s="421"/>
      <c r="Y97" s="421"/>
      <c r="Z97" s="421"/>
      <c r="AA97" s="421"/>
      <c r="AB97" s="421"/>
      <c r="AC97" s="421"/>
      <c r="AD97" s="421"/>
      <c r="AE97" s="421"/>
      <c r="AF97" s="421"/>
      <c r="AG97" s="421"/>
      <c r="AH97" s="421"/>
      <c r="AI97" s="421"/>
      <c r="AJ97" s="421"/>
      <c r="AK97" s="421"/>
      <c r="AL97" s="421"/>
    </row>
    <row r="98" spans="1:38">
      <c r="A98" s="410">
        <v>5419</v>
      </c>
      <c r="B98" s="407"/>
      <c r="C98" s="408"/>
      <c r="D98" s="410" t="s">
        <v>1677</v>
      </c>
      <c r="E98" s="410" t="s">
        <v>1429</v>
      </c>
      <c r="F98" s="410" t="s">
        <v>1476</v>
      </c>
      <c r="G98" s="68" t="str">
        <f t="shared" si="6"/>
        <v>DUAL</v>
      </c>
      <c r="H98" s="197">
        <f t="shared" si="5"/>
        <v>6</v>
      </c>
      <c r="I98" s="408">
        <f t="shared" si="8"/>
        <v>2</v>
      </c>
      <c r="J98" s="408">
        <f t="shared" si="9"/>
        <v>3</v>
      </c>
      <c r="K98" s="411">
        <v>45691</v>
      </c>
      <c r="L98" s="408"/>
      <c r="M98" s="408"/>
      <c r="N98" s="3" t="str">
        <f t="shared" si="7"/>
        <v/>
      </c>
      <c r="O98" s="408"/>
      <c r="P98" s="408"/>
      <c r="Q98" s="408"/>
      <c r="R98" s="408"/>
      <c r="S98" s="408"/>
      <c r="T98" s="408"/>
      <c r="U98" s="408"/>
      <c r="V98" s="421"/>
      <c r="W98" s="421"/>
      <c r="X98" s="421"/>
      <c r="Y98" s="421"/>
      <c r="Z98" s="421"/>
      <c r="AA98" s="421"/>
      <c r="AB98" s="421"/>
      <c r="AC98" s="421"/>
      <c r="AD98" s="421"/>
      <c r="AE98" s="421"/>
      <c r="AF98" s="421"/>
      <c r="AG98" s="421"/>
      <c r="AH98" s="421"/>
      <c r="AI98" s="421"/>
      <c r="AJ98" s="421"/>
      <c r="AK98" s="421"/>
      <c r="AL98" s="421"/>
    </row>
    <row r="99" spans="1:38">
      <c r="A99" s="410">
        <v>5415</v>
      </c>
      <c r="B99" s="407"/>
      <c r="C99" s="408"/>
      <c r="D99" s="410" t="s">
        <v>1678</v>
      </c>
      <c r="E99" s="410" t="s">
        <v>1405</v>
      </c>
      <c r="F99" s="410" t="s">
        <v>1581</v>
      </c>
      <c r="G99" s="68" t="str">
        <f t="shared" si="6"/>
        <v>DUAL</v>
      </c>
      <c r="H99" s="197">
        <f t="shared" si="5"/>
        <v>6</v>
      </c>
      <c r="I99" s="408">
        <f t="shared" si="8"/>
        <v>2</v>
      </c>
      <c r="J99" s="408">
        <f t="shared" si="9"/>
        <v>3</v>
      </c>
      <c r="K99" s="411">
        <v>45691</v>
      </c>
      <c r="L99" s="408"/>
      <c r="M99" s="408"/>
      <c r="N99" s="3" t="str">
        <f t="shared" si="7"/>
        <v/>
      </c>
      <c r="O99" s="408"/>
      <c r="P99" s="408"/>
      <c r="Q99" s="408"/>
      <c r="R99" s="408"/>
      <c r="S99" s="408"/>
      <c r="T99" s="408"/>
      <c r="U99" s="408"/>
      <c r="V99" s="421"/>
      <c r="W99" s="421"/>
      <c r="X99" s="421"/>
      <c r="Y99" s="421"/>
      <c r="Z99" s="421"/>
      <c r="AA99" s="421"/>
      <c r="AB99" s="421"/>
      <c r="AC99" s="421"/>
      <c r="AD99" s="421"/>
      <c r="AE99" s="421"/>
      <c r="AF99" s="421"/>
      <c r="AG99" s="421"/>
      <c r="AH99" s="421"/>
      <c r="AI99" s="421"/>
      <c r="AJ99" s="421"/>
      <c r="AK99" s="421"/>
      <c r="AL99" s="421"/>
    </row>
    <row r="100" spans="1:38">
      <c r="A100" s="410">
        <v>5415</v>
      </c>
      <c r="B100" s="407"/>
      <c r="C100" s="408"/>
      <c r="D100" s="410" t="s">
        <v>1679</v>
      </c>
      <c r="E100" s="410" t="s">
        <v>1405</v>
      </c>
      <c r="F100" s="410" t="s">
        <v>1581</v>
      </c>
      <c r="G100" s="68" t="str">
        <f t="shared" si="6"/>
        <v>DUAL</v>
      </c>
      <c r="H100" s="197">
        <f t="shared" si="5"/>
        <v>6</v>
      </c>
      <c r="I100" s="408">
        <f t="shared" si="8"/>
        <v>2</v>
      </c>
      <c r="J100" s="408">
        <f t="shared" si="9"/>
        <v>3</v>
      </c>
      <c r="K100" s="411">
        <v>45691</v>
      </c>
      <c r="L100" s="408"/>
      <c r="M100" s="408"/>
      <c r="N100" s="3" t="str">
        <f t="shared" si="7"/>
        <v/>
      </c>
      <c r="O100" s="408"/>
      <c r="P100" s="408"/>
      <c r="Q100" s="408"/>
      <c r="R100" s="408"/>
      <c r="S100" s="408"/>
      <c r="T100" s="408"/>
      <c r="U100" s="408"/>
      <c r="V100" s="421"/>
      <c r="W100" s="421"/>
      <c r="X100" s="421"/>
      <c r="Y100" s="421"/>
      <c r="Z100" s="421"/>
      <c r="AA100" s="421"/>
      <c r="AB100" s="421"/>
      <c r="AC100" s="421"/>
      <c r="AD100" s="421"/>
      <c r="AE100" s="421"/>
      <c r="AF100" s="421"/>
      <c r="AG100" s="421"/>
      <c r="AH100" s="421"/>
      <c r="AI100" s="421"/>
      <c r="AJ100" s="421"/>
      <c r="AK100" s="421"/>
      <c r="AL100" s="421"/>
    </row>
    <row r="101" spans="1:38">
      <c r="A101" s="410">
        <v>5328</v>
      </c>
      <c r="B101" s="407"/>
      <c r="C101" s="408"/>
      <c r="D101" s="410" t="s">
        <v>1680</v>
      </c>
      <c r="E101" s="410" t="s">
        <v>1585</v>
      </c>
      <c r="F101" s="410" t="s">
        <v>1476</v>
      </c>
      <c r="G101" s="68" t="str">
        <f t="shared" si="6"/>
        <v>DUAL</v>
      </c>
      <c r="H101" s="197">
        <f t="shared" si="5"/>
        <v>6</v>
      </c>
      <c r="I101" s="408">
        <f t="shared" si="8"/>
        <v>2</v>
      </c>
      <c r="J101" s="408">
        <f t="shared" si="9"/>
        <v>3</v>
      </c>
      <c r="K101" s="411">
        <v>45691</v>
      </c>
      <c r="L101" s="408"/>
      <c r="M101" s="408"/>
      <c r="N101" s="3" t="str">
        <f t="shared" si="7"/>
        <v/>
      </c>
      <c r="O101" s="408"/>
      <c r="P101" s="408"/>
      <c r="Q101" s="408"/>
      <c r="R101" s="408"/>
      <c r="S101" s="408"/>
      <c r="T101" s="408"/>
      <c r="U101" s="408"/>
      <c r="V101" s="421"/>
      <c r="W101" s="421"/>
      <c r="X101" s="421"/>
      <c r="Y101" s="421"/>
      <c r="Z101" s="421"/>
      <c r="AA101" s="421"/>
      <c r="AB101" s="421"/>
      <c r="AC101" s="421"/>
      <c r="AD101" s="421"/>
      <c r="AE101" s="421"/>
      <c r="AF101" s="421"/>
      <c r="AG101" s="421"/>
      <c r="AH101" s="421"/>
      <c r="AI101" s="421"/>
      <c r="AJ101" s="421"/>
      <c r="AK101" s="421"/>
      <c r="AL101" s="421"/>
    </row>
    <row r="102" spans="1:38">
      <c r="A102" s="410">
        <v>5349</v>
      </c>
      <c r="B102" s="407"/>
      <c r="C102" s="408"/>
      <c r="D102" s="410" t="s">
        <v>1681</v>
      </c>
      <c r="E102" s="410" t="s">
        <v>1585</v>
      </c>
      <c r="F102" s="410" t="s">
        <v>1476</v>
      </c>
      <c r="G102" s="68" t="str">
        <f t="shared" si="6"/>
        <v>DUAL</v>
      </c>
      <c r="H102" s="197">
        <f t="shared" si="5"/>
        <v>6</v>
      </c>
      <c r="I102" s="408">
        <f t="shared" si="8"/>
        <v>2</v>
      </c>
      <c r="J102" s="408">
        <f t="shared" si="9"/>
        <v>4</v>
      </c>
      <c r="K102" s="411">
        <v>45692</v>
      </c>
      <c r="L102" s="408"/>
      <c r="M102" s="408"/>
      <c r="N102" s="3" t="str">
        <f t="shared" si="7"/>
        <v/>
      </c>
      <c r="O102" s="408"/>
      <c r="P102" s="408"/>
      <c r="Q102" s="408"/>
      <c r="R102" s="408"/>
      <c r="S102" s="408"/>
      <c r="T102" s="408"/>
      <c r="U102" s="408"/>
      <c r="V102" s="421"/>
      <c r="W102" s="421"/>
      <c r="X102" s="421"/>
      <c r="Y102" s="421"/>
      <c r="Z102" s="421"/>
      <c r="AA102" s="421"/>
      <c r="AB102" s="421"/>
      <c r="AC102" s="421"/>
      <c r="AD102" s="421"/>
      <c r="AE102" s="421"/>
      <c r="AF102" s="421"/>
      <c r="AG102" s="421"/>
      <c r="AH102" s="421"/>
      <c r="AI102" s="421"/>
      <c r="AJ102" s="421"/>
      <c r="AK102" s="421"/>
      <c r="AL102" s="421"/>
    </row>
    <row r="103" spans="1:38">
      <c r="A103" s="410">
        <v>5353</v>
      </c>
      <c r="B103" s="407"/>
      <c r="C103" s="408"/>
      <c r="D103" s="410" t="s">
        <v>1682</v>
      </c>
      <c r="E103" s="410" t="s">
        <v>1585</v>
      </c>
      <c r="F103" s="410" t="s">
        <v>1476</v>
      </c>
      <c r="G103" s="68" t="str">
        <f t="shared" si="6"/>
        <v>DUAL</v>
      </c>
      <c r="H103" s="197">
        <f t="shared" si="5"/>
        <v>6</v>
      </c>
      <c r="I103" s="408">
        <f t="shared" si="8"/>
        <v>2</v>
      </c>
      <c r="J103" s="408">
        <f t="shared" si="9"/>
        <v>4</v>
      </c>
      <c r="K103" s="411">
        <v>45692</v>
      </c>
      <c r="L103" s="408"/>
      <c r="M103" s="408"/>
      <c r="N103" s="3" t="str">
        <f t="shared" si="7"/>
        <v/>
      </c>
      <c r="O103" s="408"/>
      <c r="P103" s="408"/>
      <c r="Q103" s="408"/>
      <c r="R103" s="408"/>
      <c r="S103" s="408"/>
      <c r="T103" s="408"/>
      <c r="U103" s="408"/>
      <c r="V103" s="421"/>
      <c r="W103" s="421"/>
      <c r="X103" s="421"/>
      <c r="Y103" s="421"/>
      <c r="Z103" s="421"/>
      <c r="AA103" s="421"/>
      <c r="AB103" s="421"/>
      <c r="AC103" s="421"/>
      <c r="AD103" s="421"/>
      <c r="AE103" s="421"/>
      <c r="AF103" s="421"/>
      <c r="AG103" s="421"/>
      <c r="AH103" s="421"/>
      <c r="AI103" s="421"/>
      <c r="AJ103" s="421"/>
      <c r="AK103" s="421"/>
      <c r="AL103" s="421"/>
    </row>
    <row r="104" spans="1:38">
      <c r="A104" s="410">
        <v>5344</v>
      </c>
      <c r="B104" s="407"/>
      <c r="C104" s="408"/>
      <c r="D104" s="410" t="s">
        <v>1683</v>
      </c>
      <c r="E104" s="410" t="s">
        <v>1426</v>
      </c>
      <c r="F104" s="410" t="s">
        <v>1476</v>
      </c>
      <c r="G104" s="68" t="str">
        <f t="shared" si="6"/>
        <v>DUAL</v>
      </c>
      <c r="H104" s="197">
        <f t="shared" si="5"/>
        <v>6</v>
      </c>
      <c r="I104" s="408">
        <f t="shared" si="8"/>
        <v>2</v>
      </c>
      <c r="J104" s="408">
        <f t="shared" si="9"/>
        <v>4</v>
      </c>
      <c r="K104" s="411">
        <v>45692</v>
      </c>
      <c r="L104" s="408"/>
      <c r="M104" s="408"/>
      <c r="N104" s="3" t="str">
        <f t="shared" si="7"/>
        <v/>
      </c>
      <c r="O104" s="408"/>
      <c r="P104" s="408"/>
      <c r="Q104" s="408"/>
      <c r="R104" s="408"/>
      <c r="S104" s="408"/>
      <c r="T104" s="408"/>
      <c r="U104" s="408"/>
      <c r="V104" s="421"/>
      <c r="W104" s="421"/>
      <c r="X104" s="421"/>
      <c r="Y104" s="421"/>
      <c r="Z104" s="421"/>
      <c r="AA104" s="421"/>
      <c r="AB104" s="421"/>
      <c r="AC104" s="421"/>
      <c r="AD104" s="421"/>
      <c r="AE104" s="421"/>
      <c r="AF104" s="421"/>
      <c r="AG104" s="421"/>
      <c r="AH104" s="421"/>
      <c r="AI104" s="421"/>
      <c r="AJ104" s="421"/>
      <c r="AK104" s="421"/>
      <c r="AL104" s="421"/>
    </row>
    <row r="105" spans="1:38">
      <c r="A105" s="410">
        <v>5344</v>
      </c>
      <c r="B105" s="407"/>
      <c r="C105" s="408"/>
      <c r="D105" s="410" t="s">
        <v>1684</v>
      </c>
      <c r="E105" s="410" t="s">
        <v>1426</v>
      </c>
      <c r="F105" s="410" t="s">
        <v>1476</v>
      </c>
      <c r="G105" s="68" t="str">
        <f t="shared" si="6"/>
        <v>DUAL</v>
      </c>
      <c r="H105" s="197">
        <f t="shared" si="5"/>
        <v>6</v>
      </c>
      <c r="I105" s="408">
        <f t="shared" si="8"/>
        <v>2</v>
      </c>
      <c r="J105" s="408">
        <f t="shared" si="9"/>
        <v>4</v>
      </c>
      <c r="K105" s="411">
        <v>45692</v>
      </c>
      <c r="L105" s="408"/>
      <c r="M105" s="408"/>
      <c r="N105" s="3" t="str">
        <f t="shared" si="7"/>
        <v/>
      </c>
      <c r="O105" s="408"/>
      <c r="P105" s="408"/>
      <c r="Q105" s="408"/>
      <c r="R105" s="408"/>
      <c r="S105" s="408"/>
      <c r="T105" s="408"/>
      <c r="U105" s="408"/>
      <c r="V105" s="421"/>
      <c r="W105" s="421"/>
      <c r="X105" s="421"/>
      <c r="Y105" s="421"/>
      <c r="Z105" s="421"/>
      <c r="AA105" s="421"/>
      <c r="AB105" s="421"/>
      <c r="AC105" s="421"/>
      <c r="AD105" s="421"/>
      <c r="AE105" s="421"/>
      <c r="AF105" s="421"/>
      <c r="AG105" s="421"/>
      <c r="AH105" s="421"/>
      <c r="AI105" s="421"/>
      <c r="AJ105" s="421"/>
      <c r="AK105" s="421"/>
      <c r="AL105" s="421"/>
    </row>
    <row r="106" spans="1:38">
      <c r="A106" s="410">
        <v>5351</v>
      </c>
      <c r="B106" s="407"/>
      <c r="C106" s="408"/>
      <c r="D106" s="410" t="s">
        <v>1685</v>
      </c>
      <c r="E106" s="410" t="s">
        <v>1585</v>
      </c>
      <c r="F106" s="410" t="s">
        <v>1476</v>
      </c>
      <c r="G106" s="68" t="str">
        <f t="shared" si="6"/>
        <v>DUAL</v>
      </c>
      <c r="H106" s="197">
        <f t="shared" si="5"/>
        <v>6</v>
      </c>
      <c r="I106" s="408">
        <f t="shared" si="8"/>
        <v>2</v>
      </c>
      <c r="J106" s="408">
        <f t="shared" si="9"/>
        <v>4</v>
      </c>
      <c r="K106" s="411">
        <v>45692</v>
      </c>
      <c r="L106" s="408"/>
      <c r="M106" s="408"/>
      <c r="N106" s="3" t="str">
        <f t="shared" si="7"/>
        <v/>
      </c>
      <c r="O106" s="408"/>
      <c r="P106" s="408"/>
      <c r="Q106" s="408"/>
      <c r="R106" s="408"/>
      <c r="S106" s="408"/>
      <c r="T106" s="408"/>
      <c r="U106" s="408"/>
      <c r="V106" s="421"/>
      <c r="W106" s="421"/>
      <c r="X106" s="421"/>
      <c r="Y106" s="421"/>
      <c r="Z106" s="421"/>
      <c r="AA106" s="421"/>
      <c r="AB106" s="421"/>
      <c r="AC106" s="421"/>
      <c r="AD106" s="421"/>
      <c r="AE106" s="421"/>
      <c r="AF106" s="421"/>
      <c r="AG106" s="421"/>
      <c r="AH106" s="421"/>
      <c r="AI106" s="421"/>
      <c r="AJ106" s="421"/>
      <c r="AK106" s="421"/>
      <c r="AL106" s="421"/>
    </row>
    <row r="107" spans="1:38">
      <c r="A107" s="410">
        <v>5351</v>
      </c>
      <c r="B107" s="407"/>
      <c r="C107" s="408"/>
      <c r="D107" s="410" t="s">
        <v>1686</v>
      </c>
      <c r="E107" s="410" t="s">
        <v>1585</v>
      </c>
      <c r="F107" s="410" t="s">
        <v>1476</v>
      </c>
      <c r="G107" s="68" t="str">
        <f t="shared" si="6"/>
        <v>DUAL</v>
      </c>
      <c r="H107" s="197">
        <f t="shared" si="5"/>
        <v>6</v>
      </c>
      <c r="I107" s="408">
        <f t="shared" si="8"/>
        <v>2</v>
      </c>
      <c r="J107" s="408">
        <f t="shared" si="9"/>
        <v>4</v>
      </c>
      <c r="K107" s="411">
        <v>45692</v>
      </c>
      <c r="L107" s="408"/>
      <c r="M107" s="408"/>
      <c r="N107" s="3" t="str">
        <f t="shared" si="7"/>
        <v/>
      </c>
      <c r="O107" s="408"/>
      <c r="P107" s="408"/>
      <c r="Q107" s="408"/>
      <c r="R107" s="408"/>
      <c r="S107" s="408"/>
      <c r="T107" s="408"/>
      <c r="U107" s="408"/>
      <c r="V107" s="421"/>
      <c r="W107" s="421"/>
      <c r="X107" s="421"/>
      <c r="Y107" s="421"/>
      <c r="Z107" s="421"/>
      <c r="AA107" s="421"/>
      <c r="AB107" s="421"/>
      <c r="AC107" s="421"/>
      <c r="AD107" s="421"/>
      <c r="AE107" s="421"/>
      <c r="AF107" s="421"/>
      <c r="AG107" s="421"/>
      <c r="AH107" s="421"/>
      <c r="AI107" s="421"/>
      <c r="AJ107" s="421"/>
      <c r="AK107" s="421"/>
      <c r="AL107" s="421"/>
    </row>
    <row r="108" spans="1:38">
      <c r="A108" s="410">
        <v>5351</v>
      </c>
      <c r="B108" s="407"/>
      <c r="C108" s="408"/>
      <c r="D108" s="410" t="s">
        <v>1687</v>
      </c>
      <c r="E108" s="410" t="s">
        <v>1585</v>
      </c>
      <c r="F108" s="410" t="s">
        <v>1476</v>
      </c>
      <c r="G108" s="68" t="str">
        <f t="shared" si="6"/>
        <v>DUAL</v>
      </c>
      <c r="H108" s="197">
        <f t="shared" si="5"/>
        <v>6</v>
      </c>
      <c r="I108" s="408">
        <f t="shared" si="8"/>
        <v>2</v>
      </c>
      <c r="J108" s="408">
        <f t="shared" si="9"/>
        <v>4</v>
      </c>
      <c r="K108" s="411">
        <v>45692</v>
      </c>
      <c r="L108" s="408"/>
      <c r="M108" s="408"/>
      <c r="N108" s="3" t="str">
        <f t="shared" si="7"/>
        <v/>
      </c>
      <c r="O108" s="408"/>
      <c r="P108" s="408"/>
      <c r="Q108" s="408"/>
      <c r="R108" s="408"/>
      <c r="S108" s="408"/>
      <c r="T108" s="408"/>
      <c r="U108" s="408"/>
      <c r="V108" s="421"/>
      <c r="W108" s="421"/>
      <c r="X108" s="421"/>
      <c r="Y108" s="421"/>
      <c r="Z108" s="421"/>
      <c r="AA108" s="421"/>
      <c r="AB108" s="421"/>
      <c r="AC108" s="421"/>
      <c r="AD108" s="421"/>
      <c r="AE108" s="421"/>
      <c r="AF108" s="421"/>
      <c r="AG108" s="421"/>
      <c r="AH108" s="421"/>
      <c r="AI108" s="421"/>
      <c r="AJ108" s="421"/>
      <c r="AK108" s="421"/>
      <c r="AL108" s="421"/>
    </row>
    <row r="109" spans="1:38">
      <c r="A109" s="410">
        <v>5400</v>
      </c>
      <c r="B109" s="407"/>
      <c r="C109" s="408"/>
      <c r="D109" s="410" t="s">
        <v>1688</v>
      </c>
      <c r="E109" s="410" t="s">
        <v>1405</v>
      </c>
      <c r="F109" s="410" t="s">
        <v>1591</v>
      </c>
      <c r="G109" s="68" t="str">
        <f t="shared" si="6"/>
        <v>SINGLE</v>
      </c>
      <c r="H109" s="197">
        <f t="shared" si="5"/>
        <v>6</v>
      </c>
      <c r="I109" s="408">
        <f t="shared" si="8"/>
        <v>2</v>
      </c>
      <c r="J109" s="408">
        <f t="shared" si="9"/>
        <v>4</v>
      </c>
      <c r="K109" s="411">
        <v>45692</v>
      </c>
      <c r="L109" s="408"/>
      <c r="M109" s="408"/>
      <c r="N109" s="3" t="str">
        <f t="shared" si="7"/>
        <v/>
      </c>
      <c r="O109" s="408"/>
      <c r="P109" s="408"/>
      <c r="Q109" s="408"/>
      <c r="R109" s="408"/>
      <c r="S109" s="408"/>
      <c r="T109" s="408"/>
      <c r="U109" s="408"/>
      <c r="V109" s="421"/>
      <c r="W109" s="421"/>
      <c r="X109" s="421"/>
      <c r="Y109" s="421"/>
      <c r="Z109" s="421"/>
      <c r="AA109" s="421"/>
      <c r="AB109" s="421"/>
      <c r="AC109" s="421"/>
      <c r="AD109" s="421"/>
      <c r="AE109" s="421"/>
      <c r="AF109" s="421"/>
      <c r="AG109" s="421"/>
      <c r="AH109" s="421"/>
      <c r="AI109" s="421"/>
      <c r="AJ109" s="421"/>
      <c r="AK109" s="421"/>
      <c r="AL109" s="421"/>
    </row>
    <row r="110" spans="1:38">
      <c r="A110" s="410">
        <v>5400</v>
      </c>
      <c r="B110" s="407"/>
      <c r="C110" s="408"/>
      <c r="D110" s="410" t="s">
        <v>1689</v>
      </c>
      <c r="E110" s="410" t="s">
        <v>1405</v>
      </c>
      <c r="F110" s="410" t="s">
        <v>1591</v>
      </c>
      <c r="G110" s="68" t="str">
        <f t="shared" si="6"/>
        <v>SINGLE</v>
      </c>
      <c r="H110" s="197">
        <f t="shared" si="5"/>
        <v>6</v>
      </c>
      <c r="I110" s="408">
        <f t="shared" si="8"/>
        <v>2</v>
      </c>
      <c r="J110" s="408">
        <f t="shared" si="9"/>
        <v>4</v>
      </c>
      <c r="K110" s="411">
        <v>45692</v>
      </c>
      <c r="L110" s="408"/>
      <c r="M110" s="408"/>
      <c r="N110" s="3" t="str">
        <f t="shared" si="7"/>
        <v/>
      </c>
      <c r="O110" s="408"/>
      <c r="P110" s="408"/>
      <c r="Q110" s="408"/>
      <c r="R110" s="408"/>
      <c r="S110" s="408"/>
      <c r="T110" s="408"/>
      <c r="U110" s="408"/>
      <c r="V110" s="421"/>
      <c r="W110" s="421"/>
      <c r="X110" s="421"/>
      <c r="Y110" s="421"/>
      <c r="Z110" s="421"/>
      <c r="AA110" s="421"/>
      <c r="AB110" s="421"/>
      <c r="AC110" s="421"/>
      <c r="AD110" s="421"/>
      <c r="AE110" s="421"/>
      <c r="AF110" s="421"/>
      <c r="AG110" s="421"/>
      <c r="AH110" s="421"/>
      <c r="AI110" s="421"/>
      <c r="AJ110" s="421"/>
      <c r="AK110" s="421"/>
      <c r="AL110" s="421"/>
    </row>
    <row r="111" spans="1:38" s="180" customFormat="1">
      <c r="A111" s="412">
        <v>5431</v>
      </c>
      <c r="B111" s="413"/>
      <c r="C111" s="414"/>
      <c r="D111" s="412" t="s">
        <v>1675</v>
      </c>
      <c r="E111" s="412" t="s">
        <v>1405</v>
      </c>
      <c r="F111" s="412" t="s">
        <v>1591</v>
      </c>
      <c r="G111" s="68" t="str">
        <f t="shared" si="6"/>
        <v>SINGLE</v>
      </c>
      <c r="H111" s="197">
        <f t="shared" si="5"/>
        <v>6</v>
      </c>
      <c r="I111" s="414">
        <f t="shared" si="8"/>
        <v>2</v>
      </c>
      <c r="J111" s="414">
        <f t="shared" si="9"/>
        <v>5</v>
      </c>
      <c r="K111" s="415">
        <v>45693</v>
      </c>
      <c r="L111" s="414"/>
      <c r="M111" s="414"/>
      <c r="N111" s="3" t="str">
        <f t="shared" si="7"/>
        <v/>
      </c>
      <c r="O111" s="414"/>
      <c r="P111" s="414"/>
      <c r="Q111" s="414"/>
      <c r="R111" s="414"/>
      <c r="S111" s="414"/>
      <c r="T111" s="414"/>
      <c r="U111" s="414"/>
      <c r="V111" s="419"/>
      <c r="W111" s="419"/>
      <c r="X111" s="419"/>
      <c r="Y111" s="419"/>
      <c r="Z111" s="419"/>
      <c r="AA111" s="419"/>
      <c r="AB111" s="419"/>
      <c r="AC111" s="419"/>
      <c r="AD111" s="419"/>
      <c r="AE111" s="419"/>
      <c r="AF111" s="419"/>
      <c r="AG111" s="419"/>
      <c r="AH111" s="419"/>
      <c r="AI111" s="419"/>
      <c r="AJ111" s="419"/>
      <c r="AK111" s="419"/>
      <c r="AL111" s="419"/>
    </row>
    <row r="112" spans="1:38">
      <c r="A112" s="410">
        <v>5431</v>
      </c>
      <c r="B112" s="407"/>
      <c r="C112" s="408"/>
      <c r="D112" s="410" t="s">
        <v>1690</v>
      </c>
      <c r="E112" s="410" t="s">
        <v>1405</v>
      </c>
      <c r="F112" s="410" t="s">
        <v>1591</v>
      </c>
      <c r="G112" s="68" t="str">
        <f t="shared" si="6"/>
        <v>SINGLE</v>
      </c>
      <c r="H112" s="197">
        <f t="shared" si="5"/>
        <v>6</v>
      </c>
      <c r="I112" s="408">
        <f t="shared" si="8"/>
        <v>2</v>
      </c>
      <c r="J112" s="408">
        <f t="shared" si="9"/>
        <v>5</v>
      </c>
      <c r="K112" s="411">
        <v>45693</v>
      </c>
      <c r="L112" s="408"/>
      <c r="M112" s="408"/>
      <c r="N112" s="3" t="str">
        <f t="shared" si="7"/>
        <v/>
      </c>
      <c r="O112" s="408"/>
      <c r="P112" s="408"/>
      <c r="Q112" s="408"/>
      <c r="R112" s="408"/>
      <c r="S112" s="408"/>
      <c r="T112" s="408"/>
      <c r="U112" s="408"/>
      <c r="V112" s="421"/>
      <c r="W112" s="421"/>
      <c r="X112" s="421"/>
      <c r="Y112" s="421"/>
      <c r="Z112" s="421"/>
      <c r="AA112" s="421"/>
      <c r="AB112" s="421"/>
      <c r="AC112" s="421"/>
      <c r="AD112" s="421"/>
      <c r="AE112" s="421"/>
      <c r="AF112" s="421"/>
      <c r="AG112" s="421"/>
      <c r="AH112" s="421"/>
      <c r="AI112" s="421"/>
      <c r="AJ112" s="421"/>
      <c r="AK112" s="421"/>
      <c r="AL112" s="421"/>
    </row>
    <row r="113" spans="1:38">
      <c r="A113" s="410">
        <v>5328</v>
      </c>
      <c r="B113" s="407"/>
      <c r="C113" s="408"/>
      <c r="D113" s="410" t="s">
        <v>1691</v>
      </c>
      <c r="E113" s="410" t="s">
        <v>1585</v>
      </c>
      <c r="F113" s="410" t="s">
        <v>1476</v>
      </c>
      <c r="G113" s="68" t="str">
        <f t="shared" si="6"/>
        <v>DUAL</v>
      </c>
      <c r="H113" s="197">
        <f t="shared" si="5"/>
        <v>6</v>
      </c>
      <c r="I113" s="408">
        <f t="shared" si="8"/>
        <v>2</v>
      </c>
      <c r="J113" s="408">
        <f t="shared" si="9"/>
        <v>5</v>
      </c>
      <c r="K113" s="411">
        <v>45693</v>
      </c>
      <c r="L113" s="408"/>
      <c r="M113" s="408"/>
      <c r="N113" s="3" t="str">
        <f t="shared" si="7"/>
        <v/>
      </c>
      <c r="O113" s="408"/>
      <c r="P113" s="408"/>
      <c r="Q113" s="408"/>
      <c r="R113" s="408"/>
      <c r="S113" s="408"/>
      <c r="T113" s="408"/>
      <c r="U113" s="408"/>
      <c r="V113" s="421"/>
      <c r="W113" s="421"/>
      <c r="X113" s="421"/>
      <c r="Y113" s="421"/>
      <c r="Z113" s="421"/>
      <c r="AA113" s="421"/>
      <c r="AB113" s="421"/>
      <c r="AC113" s="421"/>
      <c r="AD113" s="421"/>
      <c r="AE113" s="421"/>
      <c r="AF113" s="421"/>
      <c r="AG113" s="421"/>
      <c r="AH113" s="421"/>
      <c r="AI113" s="421"/>
      <c r="AJ113" s="421"/>
      <c r="AK113" s="421"/>
      <c r="AL113" s="421"/>
    </row>
    <row r="114" spans="1:38">
      <c r="A114" s="410">
        <v>5351</v>
      </c>
      <c r="B114" s="407"/>
      <c r="C114" s="408"/>
      <c r="D114" s="410" t="s">
        <v>1692</v>
      </c>
      <c r="E114" s="410" t="s">
        <v>1585</v>
      </c>
      <c r="F114" s="410" t="s">
        <v>1476</v>
      </c>
      <c r="G114" s="68" t="str">
        <f t="shared" si="6"/>
        <v>DUAL</v>
      </c>
      <c r="H114" s="197">
        <f t="shared" si="5"/>
        <v>6</v>
      </c>
      <c r="I114" s="408">
        <f t="shared" si="8"/>
        <v>2</v>
      </c>
      <c r="J114" s="408">
        <f t="shared" si="9"/>
        <v>5</v>
      </c>
      <c r="K114" s="411">
        <v>45693</v>
      </c>
      <c r="L114" s="408"/>
      <c r="M114" s="408"/>
      <c r="N114" s="3" t="str">
        <f t="shared" si="7"/>
        <v/>
      </c>
      <c r="O114" s="408"/>
      <c r="P114" s="408"/>
      <c r="Q114" s="408"/>
      <c r="R114" s="408"/>
      <c r="S114" s="408"/>
      <c r="T114" s="408"/>
      <c r="U114" s="408"/>
      <c r="V114" s="421"/>
      <c r="W114" s="421"/>
      <c r="X114" s="421"/>
      <c r="Y114" s="421"/>
      <c r="Z114" s="421"/>
      <c r="AA114" s="421"/>
      <c r="AB114" s="421"/>
      <c r="AC114" s="421"/>
      <c r="AD114" s="421"/>
      <c r="AE114" s="421"/>
      <c r="AF114" s="421"/>
      <c r="AG114" s="421"/>
      <c r="AH114" s="421"/>
      <c r="AI114" s="421"/>
      <c r="AJ114" s="421"/>
      <c r="AK114" s="421"/>
      <c r="AL114" s="421"/>
    </row>
    <row r="115" spans="1:38">
      <c r="A115" s="410">
        <v>5351</v>
      </c>
      <c r="B115" s="407"/>
      <c r="C115" s="408"/>
      <c r="D115" s="410" t="s">
        <v>1693</v>
      </c>
      <c r="E115" s="410" t="s">
        <v>1585</v>
      </c>
      <c r="F115" s="410" t="s">
        <v>1476</v>
      </c>
      <c r="G115" s="68" t="str">
        <f t="shared" si="6"/>
        <v>DUAL</v>
      </c>
      <c r="H115" s="197">
        <f t="shared" si="5"/>
        <v>6</v>
      </c>
      <c r="I115" s="408">
        <f t="shared" si="8"/>
        <v>2</v>
      </c>
      <c r="J115" s="408">
        <f t="shared" si="9"/>
        <v>5</v>
      </c>
      <c r="K115" s="411">
        <v>45693</v>
      </c>
      <c r="L115" s="408"/>
      <c r="M115" s="408"/>
      <c r="N115" s="3" t="str">
        <f t="shared" si="7"/>
        <v/>
      </c>
      <c r="O115" s="408"/>
      <c r="P115" s="408"/>
      <c r="Q115" s="408"/>
      <c r="R115" s="408"/>
      <c r="S115" s="408"/>
      <c r="T115" s="408"/>
      <c r="U115" s="408"/>
      <c r="V115" s="421"/>
      <c r="W115" s="421"/>
      <c r="X115" s="421"/>
      <c r="Y115" s="421"/>
      <c r="Z115" s="421"/>
      <c r="AA115" s="421"/>
      <c r="AB115" s="421"/>
      <c r="AC115" s="421"/>
      <c r="AD115" s="421"/>
      <c r="AE115" s="421"/>
      <c r="AF115" s="421"/>
      <c r="AG115" s="421"/>
      <c r="AH115" s="421"/>
      <c r="AI115" s="421"/>
      <c r="AJ115" s="421"/>
      <c r="AK115" s="421"/>
      <c r="AL115" s="421"/>
    </row>
    <row r="116" spans="1:38">
      <c r="A116" s="410">
        <v>5351</v>
      </c>
      <c r="B116" s="407"/>
      <c r="C116" s="408"/>
      <c r="D116" s="410" t="s">
        <v>1694</v>
      </c>
      <c r="E116" s="410" t="s">
        <v>1585</v>
      </c>
      <c r="F116" s="410" t="s">
        <v>1476</v>
      </c>
      <c r="G116" s="68" t="str">
        <f t="shared" si="6"/>
        <v>DUAL</v>
      </c>
      <c r="H116" s="197">
        <f t="shared" si="5"/>
        <v>6</v>
      </c>
      <c r="I116" s="408">
        <f t="shared" si="8"/>
        <v>2</v>
      </c>
      <c r="J116" s="408">
        <f t="shared" si="9"/>
        <v>5</v>
      </c>
      <c r="K116" s="411">
        <v>45693</v>
      </c>
      <c r="L116" s="408"/>
      <c r="M116" s="408"/>
      <c r="N116" s="3" t="str">
        <f t="shared" si="7"/>
        <v/>
      </c>
      <c r="O116" s="408"/>
      <c r="P116" s="408"/>
      <c r="Q116" s="408"/>
      <c r="R116" s="408"/>
      <c r="S116" s="408"/>
      <c r="T116" s="408"/>
      <c r="U116" s="408"/>
      <c r="V116" s="421"/>
      <c r="W116" s="421"/>
      <c r="X116" s="421"/>
      <c r="Y116" s="421"/>
      <c r="Z116" s="421"/>
      <c r="AA116" s="421"/>
      <c r="AB116" s="421"/>
      <c r="AC116" s="421"/>
      <c r="AD116" s="421"/>
      <c r="AE116" s="421"/>
      <c r="AF116" s="421"/>
      <c r="AG116" s="421"/>
      <c r="AH116" s="421"/>
      <c r="AI116" s="421"/>
      <c r="AJ116" s="421"/>
      <c r="AK116" s="421"/>
      <c r="AL116" s="421"/>
    </row>
    <row r="117" spans="1:38">
      <c r="A117" s="410">
        <v>5400</v>
      </c>
      <c r="B117" s="407"/>
      <c r="C117" s="408"/>
      <c r="D117" s="410" t="s">
        <v>1695</v>
      </c>
      <c r="E117" s="410" t="s">
        <v>1405</v>
      </c>
      <c r="F117" s="410" t="s">
        <v>1591</v>
      </c>
      <c r="G117" s="68" t="str">
        <f t="shared" si="6"/>
        <v>SINGLE</v>
      </c>
      <c r="H117" s="197">
        <f t="shared" si="5"/>
        <v>6</v>
      </c>
      <c r="I117" s="408">
        <f t="shared" si="8"/>
        <v>2</v>
      </c>
      <c r="J117" s="408">
        <f t="shared" si="9"/>
        <v>5</v>
      </c>
      <c r="K117" s="411">
        <v>45693</v>
      </c>
      <c r="L117" s="408"/>
      <c r="M117" s="408"/>
      <c r="N117" s="3" t="str">
        <f t="shared" si="7"/>
        <v/>
      </c>
      <c r="O117" s="408"/>
      <c r="P117" s="408"/>
      <c r="Q117" s="408"/>
      <c r="R117" s="408"/>
      <c r="S117" s="408"/>
      <c r="T117" s="408"/>
      <c r="U117" s="408"/>
      <c r="V117" s="421"/>
      <c r="W117" s="421"/>
      <c r="X117" s="421"/>
      <c r="Y117" s="421"/>
      <c r="Z117" s="421"/>
      <c r="AA117" s="421"/>
      <c r="AB117" s="421"/>
      <c r="AC117" s="421"/>
      <c r="AD117" s="421"/>
      <c r="AE117" s="421"/>
      <c r="AF117" s="421"/>
      <c r="AG117" s="421"/>
      <c r="AH117" s="421"/>
      <c r="AI117" s="421"/>
      <c r="AJ117" s="421"/>
      <c r="AK117" s="421"/>
      <c r="AL117" s="421"/>
    </row>
    <row r="118" spans="1:38">
      <c r="A118" s="410">
        <v>5400</v>
      </c>
      <c r="B118" s="407"/>
      <c r="C118" s="408"/>
      <c r="D118" s="410" t="s">
        <v>1696</v>
      </c>
      <c r="E118" s="410" t="s">
        <v>1405</v>
      </c>
      <c r="F118" s="410" t="s">
        <v>1591</v>
      </c>
      <c r="G118" s="68" t="str">
        <f t="shared" si="6"/>
        <v>SINGLE</v>
      </c>
      <c r="H118" s="197">
        <f t="shared" si="5"/>
        <v>6</v>
      </c>
      <c r="I118" s="408">
        <f t="shared" si="8"/>
        <v>2</v>
      </c>
      <c r="J118" s="408">
        <f t="shared" si="9"/>
        <v>5</v>
      </c>
      <c r="K118" s="411">
        <v>45693</v>
      </c>
      <c r="L118" s="408"/>
      <c r="M118" s="408"/>
      <c r="N118" s="3" t="str">
        <f t="shared" si="7"/>
        <v/>
      </c>
      <c r="O118" s="408"/>
      <c r="P118" s="408"/>
      <c r="Q118" s="408"/>
      <c r="R118" s="408"/>
      <c r="S118" s="408"/>
      <c r="T118" s="408"/>
      <c r="U118" s="408"/>
      <c r="V118" s="421"/>
      <c r="W118" s="421"/>
      <c r="X118" s="421"/>
      <c r="Y118" s="421"/>
      <c r="Z118" s="421"/>
      <c r="AA118" s="421"/>
      <c r="AB118" s="421"/>
      <c r="AC118" s="421"/>
      <c r="AD118" s="421"/>
      <c r="AE118" s="421"/>
      <c r="AF118" s="421"/>
      <c r="AG118" s="421"/>
      <c r="AH118" s="421"/>
      <c r="AI118" s="421"/>
      <c r="AJ118" s="421"/>
      <c r="AK118" s="421"/>
      <c r="AL118" s="421"/>
    </row>
    <row r="119" spans="1:38">
      <c r="A119" s="410">
        <v>5278</v>
      </c>
      <c r="B119" s="407"/>
      <c r="C119" s="408"/>
      <c r="D119" s="410" t="s">
        <v>1697</v>
      </c>
      <c r="E119" s="410" t="s">
        <v>1585</v>
      </c>
      <c r="F119" s="410" t="s">
        <v>1476</v>
      </c>
      <c r="G119" s="68" t="str">
        <f t="shared" si="6"/>
        <v>DUAL</v>
      </c>
      <c r="H119" s="197">
        <f t="shared" si="5"/>
        <v>6</v>
      </c>
      <c r="I119" s="408">
        <f t="shared" si="8"/>
        <v>2</v>
      </c>
      <c r="J119" s="408">
        <f t="shared" si="9"/>
        <v>6</v>
      </c>
      <c r="K119" s="411">
        <v>45694</v>
      </c>
      <c r="L119" s="408"/>
      <c r="M119" s="408"/>
      <c r="N119" s="3" t="str">
        <f t="shared" si="7"/>
        <v/>
      </c>
      <c r="O119" s="408"/>
      <c r="P119" s="408"/>
      <c r="Q119" s="408"/>
      <c r="R119" s="408"/>
      <c r="S119" s="408"/>
      <c r="T119" s="408"/>
      <c r="U119" s="408"/>
      <c r="V119" s="421"/>
      <c r="W119" s="421"/>
      <c r="X119" s="421"/>
      <c r="Y119" s="421"/>
      <c r="Z119" s="421"/>
      <c r="AA119" s="421"/>
      <c r="AB119" s="421"/>
      <c r="AC119" s="421"/>
      <c r="AD119" s="421"/>
      <c r="AE119" s="421"/>
      <c r="AF119" s="421"/>
      <c r="AG119" s="421"/>
      <c r="AH119" s="421"/>
      <c r="AI119" s="421"/>
      <c r="AJ119" s="421"/>
      <c r="AK119" s="421"/>
      <c r="AL119" s="421"/>
    </row>
    <row r="120" spans="1:38">
      <c r="A120" s="410">
        <v>5391</v>
      </c>
      <c r="B120" s="407"/>
      <c r="C120" s="408"/>
      <c r="D120" s="410" t="s">
        <v>1698</v>
      </c>
      <c r="E120" s="410" t="s">
        <v>1405</v>
      </c>
      <c r="F120" s="410" t="s">
        <v>1616</v>
      </c>
      <c r="G120" s="68" t="str">
        <f t="shared" si="6"/>
        <v>SINGLE</v>
      </c>
      <c r="H120" s="197">
        <f t="shared" si="5"/>
        <v>6</v>
      </c>
      <c r="I120" s="408">
        <f t="shared" si="8"/>
        <v>2</v>
      </c>
      <c r="J120" s="408">
        <f t="shared" si="9"/>
        <v>6</v>
      </c>
      <c r="K120" s="411">
        <v>45694</v>
      </c>
      <c r="L120" s="408"/>
      <c r="M120" s="408"/>
      <c r="N120" s="3" t="str">
        <f t="shared" si="7"/>
        <v/>
      </c>
      <c r="O120" s="408"/>
      <c r="P120" s="408"/>
      <c r="Q120" s="408"/>
      <c r="R120" s="408"/>
      <c r="S120" s="408"/>
      <c r="T120" s="408"/>
      <c r="U120" s="408"/>
      <c r="V120" s="421"/>
      <c r="W120" s="421"/>
      <c r="X120" s="421"/>
      <c r="Y120" s="421"/>
      <c r="Z120" s="421"/>
      <c r="AA120" s="421"/>
      <c r="AB120" s="421"/>
      <c r="AC120" s="421"/>
      <c r="AD120" s="421"/>
      <c r="AE120" s="421"/>
      <c r="AF120" s="421"/>
      <c r="AG120" s="421"/>
      <c r="AH120" s="421"/>
      <c r="AI120" s="421"/>
      <c r="AJ120" s="421"/>
      <c r="AK120" s="421"/>
      <c r="AL120" s="421"/>
    </row>
    <row r="121" spans="1:38">
      <c r="A121" s="410">
        <v>5391</v>
      </c>
      <c r="B121" s="407"/>
      <c r="C121" s="408"/>
      <c r="D121" s="410" t="s">
        <v>1699</v>
      </c>
      <c r="E121" s="410" t="s">
        <v>1405</v>
      </c>
      <c r="F121" s="410" t="s">
        <v>1616</v>
      </c>
      <c r="G121" s="68" t="str">
        <f t="shared" si="6"/>
        <v>SINGLE</v>
      </c>
      <c r="H121" s="197">
        <f t="shared" si="5"/>
        <v>6</v>
      </c>
      <c r="I121" s="408">
        <f t="shared" si="8"/>
        <v>2</v>
      </c>
      <c r="J121" s="408">
        <f t="shared" si="9"/>
        <v>6</v>
      </c>
      <c r="K121" s="411">
        <v>45694</v>
      </c>
      <c r="L121" s="408"/>
      <c r="M121" s="408"/>
      <c r="N121" s="3" t="str">
        <f t="shared" si="7"/>
        <v/>
      </c>
      <c r="O121" s="408"/>
      <c r="P121" s="408"/>
      <c r="Q121" s="408"/>
      <c r="R121" s="408"/>
      <c r="S121" s="408"/>
      <c r="T121" s="408"/>
      <c r="U121" s="408"/>
      <c r="V121" s="421"/>
      <c r="W121" s="421"/>
      <c r="X121" s="421"/>
      <c r="Y121" s="421"/>
      <c r="Z121" s="421"/>
      <c r="AA121" s="421"/>
      <c r="AB121" s="421"/>
      <c r="AC121" s="421"/>
      <c r="AD121" s="421"/>
      <c r="AE121" s="421"/>
      <c r="AF121" s="421"/>
      <c r="AG121" s="421"/>
      <c r="AH121" s="421"/>
      <c r="AI121" s="421"/>
      <c r="AJ121" s="421"/>
      <c r="AK121" s="421"/>
      <c r="AL121" s="421"/>
    </row>
    <row r="122" spans="1:38">
      <c r="A122" s="410">
        <v>5417</v>
      </c>
      <c r="B122" s="407"/>
      <c r="C122" s="408"/>
      <c r="D122" s="410" t="s">
        <v>1700</v>
      </c>
      <c r="E122" s="410" t="s">
        <v>1585</v>
      </c>
      <c r="F122" s="410" t="s">
        <v>1476</v>
      </c>
      <c r="G122" s="68" t="str">
        <f t="shared" si="6"/>
        <v>DUAL</v>
      </c>
      <c r="H122" s="197">
        <f t="shared" si="5"/>
        <v>6</v>
      </c>
      <c r="I122" s="408">
        <f t="shared" si="8"/>
        <v>2</v>
      </c>
      <c r="J122" s="408">
        <f t="shared" si="9"/>
        <v>6</v>
      </c>
      <c r="K122" s="411">
        <v>45694</v>
      </c>
      <c r="L122" s="408"/>
      <c r="M122" s="408"/>
      <c r="N122" s="3" t="str">
        <f t="shared" si="7"/>
        <v/>
      </c>
      <c r="O122" s="408"/>
      <c r="P122" s="408"/>
      <c r="Q122" s="408"/>
      <c r="R122" s="408"/>
      <c r="S122" s="408"/>
      <c r="T122" s="408"/>
      <c r="U122" s="408"/>
      <c r="V122" s="421"/>
      <c r="W122" s="421"/>
      <c r="X122" s="421"/>
      <c r="Y122" s="421"/>
      <c r="Z122" s="421"/>
      <c r="AA122" s="421"/>
      <c r="AB122" s="421"/>
      <c r="AC122" s="421"/>
      <c r="AD122" s="421"/>
      <c r="AE122" s="421"/>
      <c r="AF122" s="421"/>
      <c r="AG122" s="421"/>
      <c r="AH122" s="421"/>
      <c r="AI122" s="421"/>
      <c r="AJ122" s="421"/>
      <c r="AK122" s="421"/>
      <c r="AL122" s="421"/>
    </row>
    <row r="123" spans="1:38">
      <c r="A123" s="410">
        <v>5351</v>
      </c>
      <c r="B123" s="407"/>
      <c r="C123" s="408"/>
      <c r="D123" s="410" t="s">
        <v>1701</v>
      </c>
      <c r="E123" s="410" t="s">
        <v>1585</v>
      </c>
      <c r="F123" s="410" t="s">
        <v>1476</v>
      </c>
      <c r="G123" s="68" t="str">
        <f t="shared" si="6"/>
        <v>DUAL</v>
      </c>
      <c r="H123" s="197">
        <f t="shared" si="5"/>
        <v>6</v>
      </c>
      <c r="I123" s="408">
        <f t="shared" si="8"/>
        <v>2</v>
      </c>
      <c r="J123" s="408">
        <f t="shared" si="9"/>
        <v>7</v>
      </c>
      <c r="K123" s="411">
        <v>45695</v>
      </c>
      <c r="L123" s="408"/>
      <c r="M123" s="408"/>
      <c r="N123" s="3" t="str">
        <f t="shared" si="7"/>
        <v/>
      </c>
      <c r="O123" s="408"/>
      <c r="P123" s="408"/>
      <c r="Q123" s="408"/>
      <c r="R123" s="408"/>
      <c r="S123" s="408"/>
      <c r="T123" s="408"/>
      <c r="U123" s="408"/>
      <c r="V123" s="421"/>
      <c r="W123" s="421"/>
      <c r="X123" s="421"/>
      <c r="Y123" s="421"/>
      <c r="Z123" s="421"/>
      <c r="AA123" s="421"/>
      <c r="AB123" s="421"/>
      <c r="AC123" s="421"/>
      <c r="AD123" s="421"/>
      <c r="AE123" s="421"/>
      <c r="AF123" s="421"/>
      <c r="AG123" s="421"/>
      <c r="AH123" s="421"/>
      <c r="AI123" s="421"/>
      <c r="AJ123" s="421"/>
      <c r="AK123" s="421"/>
      <c r="AL123" s="421"/>
    </row>
    <row r="124" spans="1:38">
      <c r="A124" s="410">
        <v>5351</v>
      </c>
      <c r="B124" s="407"/>
      <c r="C124" s="408"/>
      <c r="D124" s="410" t="s">
        <v>1702</v>
      </c>
      <c r="E124" s="410" t="s">
        <v>1585</v>
      </c>
      <c r="F124" s="410" t="s">
        <v>1476</v>
      </c>
      <c r="G124" s="68" t="str">
        <f t="shared" si="6"/>
        <v>DUAL</v>
      </c>
      <c r="H124" s="197">
        <f t="shared" si="5"/>
        <v>6</v>
      </c>
      <c r="I124" s="408">
        <f t="shared" si="8"/>
        <v>2</v>
      </c>
      <c r="J124" s="408">
        <f t="shared" si="9"/>
        <v>7</v>
      </c>
      <c r="K124" s="411">
        <v>45695</v>
      </c>
      <c r="L124" s="408"/>
      <c r="M124" s="408"/>
      <c r="N124" s="3" t="str">
        <f t="shared" si="7"/>
        <v/>
      </c>
      <c r="O124" s="408"/>
      <c r="P124" s="408"/>
      <c r="Q124" s="408"/>
      <c r="R124" s="408"/>
      <c r="S124" s="408"/>
      <c r="T124" s="408"/>
      <c r="U124" s="408"/>
      <c r="V124" s="421"/>
      <c r="W124" s="421"/>
      <c r="X124" s="421"/>
      <c r="Y124" s="421"/>
      <c r="Z124" s="421"/>
      <c r="AA124" s="421"/>
      <c r="AB124" s="421"/>
      <c r="AC124" s="421"/>
      <c r="AD124" s="421"/>
      <c r="AE124" s="421"/>
      <c r="AF124" s="421"/>
      <c r="AG124" s="421"/>
      <c r="AH124" s="421"/>
      <c r="AI124" s="421"/>
      <c r="AJ124" s="421"/>
      <c r="AK124" s="421"/>
      <c r="AL124" s="421"/>
    </row>
    <row r="125" spans="1:38">
      <c r="A125" s="410">
        <v>5352</v>
      </c>
      <c r="B125" s="407"/>
      <c r="C125" s="408"/>
      <c r="D125" s="410" t="s">
        <v>1703</v>
      </c>
      <c r="E125" s="410" t="s">
        <v>1585</v>
      </c>
      <c r="F125" s="410" t="s">
        <v>1476</v>
      </c>
      <c r="G125" s="68" t="str">
        <f t="shared" si="6"/>
        <v>DUAL</v>
      </c>
      <c r="H125" s="197">
        <f t="shared" si="5"/>
        <v>6</v>
      </c>
      <c r="I125" s="408">
        <f t="shared" si="8"/>
        <v>2</v>
      </c>
      <c r="J125" s="408">
        <f t="shared" si="9"/>
        <v>7</v>
      </c>
      <c r="K125" s="411">
        <v>45695</v>
      </c>
      <c r="L125" s="408"/>
      <c r="M125" s="408"/>
      <c r="N125" s="3" t="str">
        <f t="shared" si="7"/>
        <v/>
      </c>
      <c r="O125" s="408"/>
      <c r="P125" s="408"/>
      <c r="Q125" s="408"/>
      <c r="R125" s="408"/>
      <c r="S125" s="408"/>
      <c r="T125" s="408"/>
      <c r="U125" s="408"/>
      <c r="V125" s="421"/>
      <c r="W125" s="421"/>
      <c r="X125" s="421"/>
      <c r="Y125" s="421"/>
      <c r="Z125" s="421"/>
      <c r="AA125" s="421"/>
      <c r="AB125" s="421"/>
      <c r="AC125" s="421"/>
      <c r="AD125" s="421"/>
      <c r="AE125" s="421"/>
      <c r="AF125" s="421"/>
      <c r="AG125" s="421"/>
      <c r="AH125" s="421"/>
      <c r="AI125" s="421"/>
      <c r="AJ125" s="421"/>
      <c r="AK125" s="421"/>
      <c r="AL125" s="421"/>
    </row>
    <row r="126" spans="1:38" s="180" customFormat="1">
      <c r="A126" s="412">
        <v>5352</v>
      </c>
      <c r="B126" s="413"/>
      <c r="C126" s="414"/>
      <c r="D126" s="412" t="s">
        <v>1704</v>
      </c>
      <c r="E126" s="412" t="s">
        <v>1585</v>
      </c>
      <c r="F126" s="412" t="s">
        <v>1476</v>
      </c>
      <c r="G126" s="68" t="str">
        <f t="shared" si="6"/>
        <v>DUAL</v>
      </c>
      <c r="H126" s="197">
        <f t="shared" si="5"/>
        <v>6</v>
      </c>
      <c r="I126" s="414">
        <f t="shared" si="8"/>
        <v>2</v>
      </c>
      <c r="J126" s="414">
        <f t="shared" si="9"/>
        <v>7</v>
      </c>
      <c r="K126" s="415">
        <v>45695</v>
      </c>
      <c r="L126" s="414"/>
      <c r="M126" s="414"/>
      <c r="N126" s="3" t="str">
        <f t="shared" si="7"/>
        <v/>
      </c>
      <c r="O126" s="414"/>
      <c r="P126" s="414"/>
      <c r="Q126" s="414"/>
      <c r="R126" s="414"/>
      <c r="S126" s="414"/>
      <c r="T126" s="414"/>
      <c r="U126" s="414"/>
      <c r="V126" s="419"/>
      <c r="W126" s="419"/>
      <c r="X126" s="419"/>
      <c r="Y126" s="419"/>
      <c r="Z126" s="419"/>
      <c r="AA126" s="419"/>
      <c r="AB126" s="419"/>
      <c r="AC126" s="419"/>
      <c r="AD126" s="419"/>
      <c r="AE126" s="419"/>
      <c r="AF126" s="419"/>
      <c r="AG126" s="419"/>
      <c r="AH126" s="419"/>
      <c r="AI126" s="419"/>
      <c r="AJ126" s="419"/>
      <c r="AK126" s="419"/>
      <c r="AL126" s="419"/>
    </row>
    <row r="127" spans="1:38">
      <c r="A127" s="410">
        <v>5400</v>
      </c>
      <c r="B127" s="407"/>
      <c r="C127" s="408"/>
      <c r="D127" s="410" t="s">
        <v>1705</v>
      </c>
      <c r="E127" s="410" t="s">
        <v>1405</v>
      </c>
      <c r="F127" s="410" t="s">
        <v>1591</v>
      </c>
      <c r="G127" s="68" t="str">
        <f t="shared" si="6"/>
        <v>SINGLE</v>
      </c>
      <c r="H127" s="197">
        <f t="shared" si="5"/>
        <v>6</v>
      </c>
      <c r="I127" s="408">
        <f t="shared" si="8"/>
        <v>2</v>
      </c>
      <c r="J127" s="408">
        <f t="shared" si="9"/>
        <v>7</v>
      </c>
      <c r="K127" s="411">
        <v>45695</v>
      </c>
      <c r="L127" s="408"/>
      <c r="M127" s="408"/>
      <c r="N127" s="3" t="str">
        <f t="shared" si="7"/>
        <v/>
      </c>
      <c r="O127" s="408"/>
      <c r="P127" s="408"/>
      <c r="Q127" s="408"/>
      <c r="R127" s="408"/>
      <c r="S127" s="408"/>
      <c r="T127" s="408"/>
      <c r="U127" s="408"/>
      <c r="V127" s="421"/>
      <c r="W127" s="421"/>
      <c r="X127" s="421"/>
      <c r="Y127" s="421"/>
      <c r="Z127" s="421"/>
      <c r="AA127" s="421"/>
      <c r="AB127" s="421"/>
      <c r="AC127" s="421"/>
      <c r="AD127" s="421"/>
      <c r="AE127" s="421"/>
      <c r="AF127" s="421"/>
      <c r="AG127" s="421"/>
      <c r="AH127" s="421"/>
      <c r="AI127" s="421"/>
      <c r="AJ127" s="421"/>
      <c r="AK127" s="421"/>
      <c r="AL127" s="421"/>
    </row>
    <row r="128" spans="1:38">
      <c r="A128" s="410">
        <v>5400</v>
      </c>
      <c r="B128" s="407"/>
      <c r="C128" s="408"/>
      <c r="D128" s="410" t="s">
        <v>1706</v>
      </c>
      <c r="E128" s="410" t="s">
        <v>1405</v>
      </c>
      <c r="F128" s="410" t="s">
        <v>1591</v>
      </c>
      <c r="G128" s="68" t="str">
        <f t="shared" si="6"/>
        <v>SINGLE</v>
      </c>
      <c r="H128" s="197">
        <f t="shared" si="5"/>
        <v>6</v>
      </c>
      <c r="I128" s="408">
        <f t="shared" si="8"/>
        <v>2</v>
      </c>
      <c r="J128" s="408">
        <f t="shared" si="9"/>
        <v>7</v>
      </c>
      <c r="K128" s="411">
        <v>45695</v>
      </c>
      <c r="L128" s="408"/>
      <c r="M128" s="408"/>
      <c r="N128" s="3" t="str">
        <f t="shared" si="7"/>
        <v/>
      </c>
      <c r="O128" s="408"/>
      <c r="P128" s="408"/>
      <c r="Q128" s="408"/>
      <c r="R128" s="408"/>
      <c r="S128" s="408"/>
      <c r="T128" s="408"/>
      <c r="U128" s="408"/>
      <c r="V128" s="421"/>
      <c r="W128" s="421"/>
      <c r="X128" s="421"/>
      <c r="Y128" s="421"/>
      <c r="Z128" s="421"/>
      <c r="AA128" s="421"/>
      <c r="AB128" s="421"/>
      <c r="AC128" s="421"/>
      <c r="AD128" s="421"/>
      <c r="AE128" s="421"/>
      <c r="AF128" s="421"/>
      <c r="AG128" s="421"/>
      <c r="AH128" s="421"/>
      <c r="AI128" s="421"/>
      <c r="AJ128" s="421"/>
      <c r="AK128" s="421"/>
      <c r="AL128" s="421"/>
    </row>
    <row r="129" spans="1:38">
      <c r="A129" s="410">
        <v>5400</v>
      </c>
      <c r="B129" s="407"/>
      <c r="C129" s="408"/>
      <c r="D129" s="410" t="s">
        <v>1707</v>
      </c>
      <c r="E129" s="410" t="s">
        <v>1405</v>
      </c>
      <c r="F129" s="410" t="s">
        <v>1591</v>
      </c>
      <c r="G129" s="68" t="str">
        <f t="shared" si="6"/>
        <v>SINGLE</v>
      </c>
      <c r="H129" s="197">
        <f t="shared" ref="H129:H192" si="10">WEEKNUM(K129)</f>
        <v>6</v>
      </c>
      <c r="I129" s="408">
        <f t="shared" si="8"/>
        <v>2</v>
      </c>
      <c r="J129" s="408">
        <f t="shared" si="9"/>
        <v>7</v>
      </c>
      <c r="K129" s="411">
        <v>45695</v>
      </c>
      <c r="L129" s="408"/>
      <c r="M129" s="408"/>
      <c r="N129" s="3" t="str">
        <f t="shared" si="7"/>
        <v/>
      </c>
      <c r="O129" s="408"/>
      <c r="P129" s="408"/>
      <c r="Q129" s="408"/>
      <c r="R129" s="408"/>
      <c r="S129" s="408"/>
      <c r="T129" s="408"/>
      <c r="U129" s="408"/>
      <c r="V129" s="421"/>
      <c r="W129" s="421"/>
      <c r="X129" s="421"/>
      <c r="Y129" s="421"/>
      <c r="Z129" s="421"/>
      <c r="AA129" s="421"/>
      <c r="AB129" s="421"/>
      <c r="AC129" s="421"/>
      <c r="AD129" s="421"/>
      <c r="AE129" s="421"/>
      <c r="AF129" s="421"/>
      <c r="AG129" s="421"/>
      <c r="AH129" s="421"/>
      <c r="AI129" s="421"/>
      <c r="AJ129" s="421"/>
      <c r="AK129" s="421"/>
      <c r="AL129" s="421"/>
    </row>
    <row r="130" spans="1:38">
      <c r="A130" s="410">
        <v>5400</v>
      </c>
      <c r="B130" s="407"/>
      <c r="C130" s="408"/>
      <c r="D130" s="410" t="s">
        <v>1708</v>
      </c>
      <c r="E130" s="410" t="s">
        <v>1405</v>
      </c>
      <c r="F130" s="410" t="s">
        <v>1591</v>
      </c>
      <c r="G130" s="68" t="str">
        <f t="shared" ref="G130:G193" si="11">IF(OR(ISNUMBER(SEARCH("DUAL",F130)), ISNUMBER(SEARCH("IVAS",F130))), "DUAL", "SINGLE")</f>
        <v>SINGLE</v>
      </c>
      <c r="H130" s="197">
        <f t="shared" si="10"/>
        <v>6</v>
      </c>
      <c r="I130" s="408">
        <f t="shared" si="8"/>
        <v>2</v>
      </c>
      <c r="J130" s="408">
        <f t="shared" si="9"/>
        <v>7</v>
      </c>
      <c r="K130" s="411">
        <v>45695</v>
      </c>
      <c r="L130" s="408"/>
      <c r="M130" s="408"/>
      <c r="N130" s="3" t="str">
        <f t="shared" ref="N130:N193" si="12">IF(O130&lt;&gt;"", "NG", "")</f>
        <v/>
      </c>
      <c r="O130" s="408"/>
      <c r="P130" s="408"/>
      <c r="Q130" s="408"/>
      <c r="R130" s="408"/>
      <c r="S130" s="408"/>
      <c r="T130" s="408"/>
      <c r="U130" s="408"/>
      <c r="V130" s="421"/>
      <c r="W130" s="421"/>
      <c r="X130" s="421"/>
      <c r="Y130" s="421"/>
      <c r="Z130" s="421"/>
      <c r="AA130" s="421"/>
      <c r="AB130" s="421"/>
      <c r="AC130" s="421"/>
      <c r="AD130" s="421"/>
      <c r="AE130" s="421"/>
      <c r="AF130" s="421"/>
      <c r="AG130" s="421"/>
      <c r="AH130" s="421"/>
      <c r="AI130" s="421"/>
      <c r="AJ130" s="421"/>
      <c r="AK130" s="421"/>
      <c r="AL130" s="421"/>
    </row>
    <row r="131" spans="1:38">
      <c r="A131" s="410">
        <v>5322</v>
      </c>
      <c r="B131" s="407"/>
      <c r="C131" s="408"/>
      <c r="D131" s="410" t="s">
        <v>1709</v>
      </c>
      <c r="E131" s="410" t="s">
        <v>1422</v>
      </c>
      <c r="F131" s="410" t="s">
        <v>1476</v>
      </c>
      <c r="G131" s="68" t="str">
        <f t="shared" si="11"/>
        <v>DUAL</v>
      </c>
      <c r="H131" s="197">
        <f t="shared" si="10"/>
        <v>6</v>
      </c>
      <c r="I131" s="408">
        <f t="shared" ref="I131:I194" si="13">MONTH(K131)</f>
        <v>2</v>
      </c>
      <c r="J131" s="408">
        <f t="shared" ref="J131:J194" si="14">DAY(K131)</f>
        <v>7</v>
      </c>
      <c r="K131" s="411">
        <v>45695</v>
      </c>
      <c r="L131" s="408"/>
      <c r="M131" s="408"/>
      <c r="N131" s="3" t="str">
        <f t="shared" si="12"/>
        <v/>
      </c>
      <c r="O131" s="408"/>
      <c r="P131" s="408"/>
      <c r="Q131" s="408"/>
      <c r="R131" s="408"/>
      <c r="S131" s="408"/>
      <c r="T131" s="408"/>
      <c r="U131" s="408"/>
      <c r="V131" s="421"/>
      <c r="W131" s="421"/>
      <c r="X131" s="421"/>
      <c r="Y131" s="421"/>
      <c r="Z131" s="421"/>
      <c r="AA131" s="421"/>
      <c r="AB131" s="421"/>
      <c r="AC131" s="421"/>
      <c r="AD131" s="421"/>
      <c r="AE131" s="421"/>
      <c r="AF131" s="421"/>
      <c r="AG131" s="421"/>
      <c r="AH131" s="421"/>
      <c r="AI131" s="421"/>
      <c r="AJ131" s="421"/>
      <c r="AK131" s="421"/>
      <c r="AL131" s="421"/>
    </row>
    <row r="132" spans="1:38">
      <c r="A132" s="410">
        <v>5382</v>
      </c>
      <c r="B132" s="407"/>
      <c r="C132" s="408"/>
      <c r="D132" s="410" t="s">
        <v>1710</v>
      </c>
      <c r="E132" s="410" t="s">
        <v>1405</v>
      </c>
      <c r="F132" s="410" t="s">
        <v>1476</v>
      </c>
      <c r="G132" s="68" t="str">
        <f t="shared" si="11"/>
        <v>DUAL</v>
      </c>
      <c r="H132" s="197">
        <f t="shared" si="10"/>
        <v>7</v>
      </c>
      <c r="I132" s="408">
        <f t="shared" si="13"/>
        <v>2</v>
      </c>
      <c r="J132" s="408">
        <f t="shared" si="14"/>
        <v>10</v>
      </c>
      <c r="K132" s="411">
        <v>45698</v>
      </c>
      <c r="L132" s="408"/>
      <c r="M132" s="408"/>
      <c r="N132" s="3" t="str">
        <f t="shared" si="12"/>
        <v/>
      </c>
      <c r="O132" s="408"/>
      <c r="P132" s="408"/>
      <c r="Q132" s="408"/>
      <c r="R132" s="408"/>
      <c r="S132" s="408"/>
      <c r="T132" s="408"/>
      <c r="U132" s="408"/>
      <c r="V132" s="421"/>
      <c r="W132" s="421"/>
      <c r="X132" s="421"/>
      <c r="Y132" s="421"/>
      <c r="Z132" s="421"/>
      <c r="AA132" s="421"/>
      <c r="AB132" s="421"/>
      <c r="AC132" s="421"/>
      <c r="AD132" s="421"/>
      <c r="AE132" s="421"/>
      <c r="AF132" s="421"/>
      <c r="AG132" s="421"/>
      <c r="AH132" s="421"/>
      <c r="AI132" s="421"/>
      <c r="AJ132" s="421"/>
      <c r="AK132" s="421"/>
      <c r="AL132" s="421"/>
    </row>
    <row r="133" spans="1:38">
      <c r="A133" s="410">
        <v>5380</v>
      </c>
      <c r="B133" s="407"/>
      <c r="C133" s="408"/>
      <c r="D133" s="410" t="s">
        <v>1711</v>
      </c>
      <c r="E133" s="410" t="s">
        <v>1405</v>
      </c>
      <c r="F133" s="410" t="s">
        <v>1480</v>
      </c>
      <c r="G133" s="68" t="str">
        <f t="shared" si="11"/>
        <v>DUAL</v>
      </c>
      <c r="H133" s="197">
        <f t="shared" si="10"/>
        <v>7</v>
      </c>
      <c r="I133" s="408">
        <f t="shared" si="13"/>
        <v>2</v>
      </c>
      <c r="J133" s="408">
        <f t="shared" si="14"/>
        <v>10</v>
      </c>
      <c r="K133" s="411">
        <v>45698</v>
      </c>
      <c r="L133" s="408"/>
      <c r="M133" s="408"/>
      <c r="N133" s="3" t="str">
        <f t="shared" si="12"/>
        <v/>
      </c>
      <c r="O133" s="408"/>
      <c r="P133" s="408"/>
      <c r="Q133" s="408"/>
      <c r="R133" s="408"/>
      <c r="S133" s="408"/>
      <c r="T133" s="408"/>
      <c r="U133" s="408"/>
      <c r="V133" s="421"/>
      <c r="W133" s="421"/>
      <c r="X133" s="421"/>
      <c r="Y133" s="421"/>
      <c r="Z133" s="421"/>
      <c r="AA133" s="421"/>
      <c r="AB133" s="421"/>
      <c r="AC133" s="421"/>
      <c r="AD133" s="421"/>
      <c r="AE133" s="421"/>
      <c r="AF133" s="421"/>
      <c r="AG133" s="421"/>
      <c r="AH133" s="421"/>
      <c r="AI133" s="421"/>
      <c r="AJ133" s="421"/>
      <c r="AK133" s="421"/>
      <c r="AL133" s="421"/>
    </row>
    <row r="134" spans="1:38">
      <c r="A134" s="410">
        <v>5380</v>
      </c>
      <c r="B134" s="407"/>
      <c r="C134" s="408"/>
      <c r="D134" s="410" t="s">
        <v>1712</v>
      </c>
      <c r="E134" s="410" t="s">
        <v>1405</v>
      </c>
      <c r="F134" s="410" t="s">
        <v>1480</v>
      </c>
      <c r="G134" s="68" t="str">
        <f t="shared" si="11"/>
        <v>DUAL</v>
      </c>
      <c r="H134" s="197">
        <f t="shared" si="10"/>
        <v>7</v>
      </c>
      <c r="I134" s="408">
        <f t="shared" si="13"/>
        <v>2</v>
      </c>
      <c r="J134" s="408">
        <f t="shared" si="14"/>
        <v>10</v>
      </c>
      <c r="K134" s="411">
        <v>45698</v>
      </c>
      <c r="L134" s="408"/>
      <c r="M134" s="408"/>
      <c r="N134" s="3" t="str">
        <f t="shared" si="12"/>
        <v/>
      </c>
      <c r="O134" s="408"/>
      <c r="P134" s="408"/>
      <c r="Q134" s="408"/>
      <c r="R134" s="408"/>
      <c r="S134" s="408"/>
      <c r="T134" s="408"/>
      <c r="U134" s="408"/>
      <c r="V134" s="421"/>
      <c r="W134" s="421"/>
      <c r="X134" s="421"/>
      <c r="Y134" s="421"/>
      <c r="Z134" s="421"/>
      <c r="AA134" s="421"/>
      <c r="AB134" s="421"/>
      <c r="AC134" s="421"/>
      <c r="AD134" s="421"/>
      <c r="AE134" s="421"/>
      <c r="AF134" s="421"/>
      <c r="AG134" s="421"/>
      <c r="AH134" s="421"/>
      <c r="AI134" s="421"/>
      <c r="AJ134" s="421"/>
      <c r="AK134" s="421"/>
      <c r="AL134" s="421"/>
    </row>
    <row r="135" spans="1:38">
      <c r="A135" s="410">
        <v>5329</v>
      </c>
      <c r="B135" s="407"/>
      <c r="C135" s="408"/>
      <c r="D135" s="410" t="s">
        <v>1713</v>
      </c>
      <c r="E135" s="410" t="s">
        <v>1585</v>
      </c>
      <c r="F135" s="410" t="s">
        <v>1476</v>
      </c>
      <c r="G135" s="68" t="str">
        <f t="shared" si="11"/>
        <v>DUAL</v>
      </c>
      <c r="H135" s="197">
        <f t="shared" si="10"/>
        <v>7</v>
      </c>
      <c r="I135" s="408">
        <f t="shared" si="13"/>
        <v>2</v>
      </c>
      <c r="J135" s="408">
        <f t="shared" si="14"/>
        <v>10</v>
      </c>
      <c r="K135" s="411">
        <v>45698</v>
      </c>
      <c r="L135" s="408"/>
      <c r="M135" s="408"/>
      <c r="N135" s="3" t="str">
        <f t="shared" si="12"/>
        <v/>
      </c>
      <c r="O135" s="408"/>
      <c r="P135" s="408"/>
      <c r="Q135" s="408"/>
      <c r="R135" s="408"/>
      <c r="S135" s="408"/>
      <c r="T135" s="408"/>
      <c r="U135" s="408"/>
      <c r="V135" s="421"/>
      <c r="W135" s="421"/>
      <c r="X135" s="421"/>
      <c r="Y135" s="421"/>
      <c r="Z135" s="421"/>
      <c r="AA135" s="421"/>
      <c r="AB135" s="421"/>
      <c r="AC135" s="421"/>
      <c r="AD135" s="421"/>
      <c r="AE135" s="421"/>
      <c r="AF135" s="421"/>
      <c r="AG135" s="421"/>
      <c r="AH135" s="421"/>
      <c r="AI135" s="421"/>
      <c r="AJ135" s="421"/>
      <c r="AK135" s="421"/>
      <c r="AL135" s="421"/>
    </row>
    <row r="136" spans="1:38">
      <c r="A136" s="410">
        <v>5298</v>
      </c>
      <c r="B136" s="407"/>
      <c r="C136" s="408"/>
      <c r="D136" s="410" t="s">
        <v>1714</v>
      </c>
      <c r="E136" s="410" t="s">
        <v>1715</v>
      </c>
      <c r="F136" s="410" t="s">
        <v>1479</v>
      </c>
      <c r="G136" s="68" t="str">
        <f t="shared" si="11"/>
        <v>SINGLE</v>
      </c>
      <c r="H136" s="197">
        <f t="shared" si="10"/>
        <v>7</v>
      </c>
      <c r="I136" s="408">
        <f t="shared" si="13"/>
        <v>2</v>
      </c>
      <c r="J136" s="408">
        <f t="shared" si="14"/>
        <v>10</v>
      </c>
      <c r="K136" s="411">
        <v>45698</v>
      </c>
      <c r="L136" s="408"/>
      <c r="M136" s="408"/>
      <c r="N136" s="3" t="str">
        <f t="shared" si="12"/>
        <v/>
      </c>
      <c r="O136" s="408"/>
      <c r="P136" s="408"/>
      <c r="Q136" s="408"/>
      <c r="R136" s="408"/>
      <c r="S136" s="408"/>
      <c r="T136" s="408"/>
      <c r="U136" s="408"/>
      <c r="V136" s="421"/>
      <c r="W136" s="421"/>
      <c r="X136" s="421"/>
      <c r="Y136" s="421"/>
      <c r="Z136" s="421"/>
      <c r="AA136" s="421"/>
      <c r="AB136" s="421"/>
      <c r="AC136" s="421"/>
      <c r="AD136" s="421"/>
      <c r="AE136" s="421"/>
      <c r="AF136" s="421"/>
      <c r="AG136" s="421"/>
      <c r="AH136" s="421"/>
      <c r="AI136" s="421"/>
      <c r="AJ136" s="421"/>
      <c r="AK136" s="421"/>
      <c r="AL136" s="421"/>
    </row>
    <row r="137" spans="1:38">
      <c r="A137" s="410">
        <v>5298</v>
      </c>
      <c r="B137" s="407"/>
      <c r="C137" s="408"/>
      <c r="D137" s="410" t="s">
        <v>1716</v>
      </c>
      <c r="E137" s="410" t="s">
        <v>1715</v>
      </c>
      <c r="F137" s="410" t="s">
        <v>1479</v>
      </c>
      <c r="G137" s="68" t="str">
        <f t="shared" si="11"/>
        <v>SINGLE</v>
      </c>
      <c r="H137" s="197">
        <f t="shared" si="10"/>
        <v>7</v>
      </c>
      <c r="I137" s="408">
        <f t="shared" si="13"/>
        <v>2</v>
      </c>
      <c r="J137" s="408">
        <f t="shared" si="14"/>
        <v>10</v>
      </c>
      <c r="K137" s="411">
        <v>45698</v>
      </c>
      <c r="L137" s="408"/>
      <c r="M137" s="408"/>
      <c r="N137" s="3" t="str">
        <f t="shared" si="12"/>
        <v/>
      </c>
      <c r="O137" s="408"/>
      <c r="P137" s="408"/>
      <c r="Q137" s="408"/>
      <c r="R137" s="408"/>
      <c r="S137" s="408"/>
      <c r="T137" s="408"/>
      <c r="U137" s="408"/>
      <c r="V137" s="421"/>
      <c r="W137" s="421"/>
      <c r="X137" s="421"/>
      <c r="Y137" s="421"/>
      <c r="Z137" s="421"/>
      <c r="AA137" s="421"/>
      <c r="AB137" s="421"/>
      <c r="AC137" s="421"/>
      <c r="AD137" s="421"/>
      <c r="AE137" s="421"/>
      <c r="AF137" s="421"/>
      <c r="AG137" s="421"/>
      <c r="AH137" s="421"/>
      <c r="AI137" s="421"/>
      <c r="AJ137" s="421"/>
      <c r="AK137" s="421"/>
      <c r="AL137" s="421"/>
    </row>
    <row r="138" spans="1:38">
      <c r="A138" s="410">
        <v>5298</v>
      </c>
      <c r="B138" s="407"/>
      <c r="C138" s="408"/>
      <c r="D138" s="410" t="s">
        <v>1717</v>
      </c>
      <c r="E138" s="410" t="s">
        <v>1715</v>
      </c>
      <c r="F138" s="410" t="s">
        <v>1479</v>
      </c>
      <c r="G138" s="68" t="str">
        <f t="shared" si="11"/>
        <v>SINGLE</v>
      </c>
      <c r="H138" s="197">
        <f t="shared" si="10"/>
        <v>7</v>
      </c>
      <c r="I138" s="408">
        <f t="shared" si="13"/>
        <v>2</v>
      </c>
      <c r="J138" s="408">
        <f t="shared" si="14"/>
        <v>10</v>
      </c>
      <c r="K138" s="411">
        <v>45698</v>
      </c>
      <c r="L138" s="408"/>
      <c r="M138" s="408"/>
      <c r="N138" s="3" t="str">
        <f t="shared" si="12"/>
        <v/>
      </c>
      <c r="O138" s="408"/>
      <c r="P138" s="408"/>
      <c r="Q138" s="408"/>
      <c r="R138" s="408"/>
      <c r="S138" s="408"/>
      <c r="T138" s="408"/>
      <c r="U138" s="408"/>
      <c r="V138" s="421"/>
      <c r="W138" s="421"/>
      <c r="X138" s="421"/>
      <c r="Y138" s="421"/>
      <c r="Z138" s="421"/>
      <c r="AA138" s="421"/>
      <c r="AB138" s="421"/>
      <c r="AC138" s="421"/>
      <c r="AD138" s="421"/>
      <c r="AE138" s="421"/>
      <c r="AF138" s="421"/>
      <c r="AG138" s="421"/>
      <c r="AH138" s="421"/>
      <c r="AI138" s="421"/>
      <c r="AJ138" s="421"/>
      <c r="AK138" s="421"/>
      <c r="AL138" s="421"/>
    </row>
    <row r="139" spans="1:38">
      <c r="A139" s="410">
        <v>5435</v>
      </c>
      <c r="B139" s="407"/>
      <c r="C139" s="408"/>
      <c r="D139" s="410" t="s">
        <v>1718</v>
      </c>
      <c r="E139" s="410" t="s">
        <v>1585</v>
      </c>
      <c r="F139" s="410" t="s">
        <v>1591</v>
      </c>
      <c r="G139" s="68" t="str">
        <f t="shared" si="11"/>
        <v>SINGLE</v>
      </c>
      <c r="H139" s="197">
        <f t="shared" si="10"/>
        <v>7</v>
      </c>
      <c r="I139" s="408">
        <f t="shared" si="13"/>
        <v>2</v>
      </c>
      <c r="J139" s="408">
        <f t="shared" si="14"/>
        <v>11</v>
      </c>
      <c r="K139" s="411">
        <v>45699</v>
      </c>
      <c r="L139" s="408"/>
      <c r="M139" s="408"/>
      <c r="N139" s="3" t="str">
        <f t="shared" si="12"/>
        <v/>
      </c>
      <c r="O139" s="408"/>
      <c r="P139" s="408"/>
      <c r="Q139" s="408"/>
      <c r="R139" s="408"/>
      <c r="S139" s="408"/>
      <c r="T139" s="408"/>
      <c r="U139" s="408"/>
      <c r="V139" s="421"/>
      <c r="W139" s="421"/>
      <c r="X139" s="421"/>
      <c r="Y139" s="421"/>
      <c r="Z139" s="421"/>
      <c r="AA139" s="421"/>
      <c r="AB139" s="421"/>
      <c r="AC139" s="421"/>
      <c r="AD139" s="421"/>
      <c r="AE139" s="421"/>
      <c r="AF139" s="421"/>
      <c r="AG139" s="421"/>
      <c r="AH139" s="421"/>
      <c r="AI139" s="421"/>
      <c r="AJ139" s="421"/>
      <c r="AK139" s="421"/>
      <c r="AL139" s="421"/>
    </row>
    <row r="140" spans="1:38">
      <c r="A140" s="410">
        <v>5435</v>
      </c>
      <c r="B140" s="407"/>
      <c r="C140" s="408"/>
      <c r="D140" s="410" t="s">
        <v>1719</v>
      </c>
      <c r="E140" s="410" t="s">
        <v>1585</v>
      </c>
      <c r="F140" s="410" t="s">
        <v>1591</v>
      </c>
      <c r="G140" s="68" t="str">
        <f t="shared" si="11"/>
        <v>SINGLE</v>
      </c>
      <c r="H140" s="197">
        <f t="shared" si="10"/>
        <v>7</v>
      </c>
      <c r="I140" s="408">
        <f t="shared" si="13"/>
        <v>2</v>
      </c>
      <c r="J140" s="408">
        <f t="shared" si="14"/>
        <v>11</v>
      </c>
      <c r="K140" s="411">
        <v>45699</v>
      </c>
      <c r="L140" s="408"/>
      <c r="M140" s="408"/>
      <c r="N140" s="3" t="str">
        <f t="shared" si="12"/>
        <v/>
      </c>
      <c r="O140" s="408"/>
      <c r="P140" s="408"/>
      <c r="Q140" s="408"/>
      <c r="R140" s="408"/>
      <c r="S140" s="408"/>
      <c r="T140" s="408"/>
      <c r="U140" s="408"/>
      <c r="V140" s="421"/>
      <c r="W140" s="421"/>
      <c r="X140" s="421"/>
      <c r="Y140" s="421"/>
      <c r="Z140" s="421"/>
      <c r="AA140" s="421"/>
      <c r="AB140" s="421"/>
      <c r="AC140" s="421"/>
      <c r="AD140" s="421"/>
      <c r="AE140" s="421"/>
      <c r="AF140" s="421"/>
      <c r="AG140" s="421"/>
      <c r="AH140" s="421"/>
      <c r="AI140" s="421"/>
      <c r="AJ140" s="421"/>
      <c r="AK140" s="421"/>
      <c r="AL140" s="421"/>
    </row>
    <row r="141" spans="1:38">
      <c r="A141" s="410">
        <v>5439</v>
      </c>
      <c r="B141" s="407"/>
      <c r="C141" s="408"/>
      <c r="D141" s="410" t="s">
        <v>1720</v>
      </c>
      <c r="E141" s="410" t="s">
        <v>1405</v>
      </c>
      <c r="F141" s="410" t="s">
        <v>1581</v>
      </c>
      <c r="G141" s="68" t="str">
        <f t="shared" si="11"/>
        <v>DUAL</v>
      </c>
      <c r="H141" s="197">
        <f t="shared" si="10"/>
        <v>7</v>
      </c>
      <c r="I141" s="408">
        <f t="shared" si="13"/>
        <v>2</v>
      </c>
      <c r="J141" s="408">
        <f t="shared" si="14"/>
        <v>11</v>
      </c>
      <c r="K141" s="411">
        <v>45699</v>
      </c>
      <c r="L141" s="408"/>
      <c r="M141" s="408"/>
      <c r="N141" s="3" t="str">
        <f t="shared" si="12"/>
        <v/>
      </c>
      <c r="O141" s="408"/>
      <c r="P141" s="408"/>
      <c r="Q141" s="408"/>
      <c r="R141" s="408"/>
      <c r="S141" s="408"/>
      <c r="T141" s="408"/>
      <c r="U141" s="408"/>
      <c r="V141" s="421"/>
      <c r="W141" s="421"/>
      <c r="X141" s="421"/>
      <c r="Y141" s="421"/>
      <c r="Z141" s="421"/>
      <c r="AA141" s="421"/>
      <c r="AB141" s="421"/>
      <c r="AC141" s="421"/>
      <c r="AD141" s="421"/>
      <c r="AE141" s="421"/>
      <c r="AF141" s="421"/>
      <c r="AG141" s="421"/>
      <c r="AH141" s="421"/>
      <c r="AI141" s="421"/>
      <c r="AJ141" s="421"/>
      <c r="AK141" s="421"/>
      <c r="AL141" s="421"/>
    </row>
    <row r="142" spans="1:38">
      <c r="A142" s="410">
        <v>5329</v>
      </c>
      <c r="B142" s="407"/>
      <c r="C142" s="408"/>
      <c r="D142" s="410" t="s">
        <v>1721</v>
      </c>
      <c r="E142" s="410" t="s">
        <v>1585</v>
      </c>
      <c r="F142" s="410" t="s">
        <v>1476</v>
      </c>
      <c r="G142" s="68" t="str">
        <f t="shared" si="11"/>
        <v>DUAL</v>
      </c>
      <c r="H142" s="197">
        <f t="shared" si="10"/>
        <v>7</v>
      </c>
      <c r="I142" s="408">
        <f t="shared" si="13"/>
        <v>2</v>
      </c>
      <c r="J142" s="408">
        <f t="shared" si="14"/>
        <v>11</v>
      </c>
      <c r="K142" s="411">
        <v>45699</v>
      </c>
      <c r="L142" s="408"/>
      <c r="M142" s="408"/>
      <c r="N142" s="3" t="str">
        <f t="shared" si="12"/>
        <v/>
      </c>
      <c r="O142" s="408"/>
      <c r="P142" s="408"/>
      <c r="Q142" s="408"/>
      <c r="R142" s="408"/>
      <c r="S142" s="408"/>
      <c r="T142" s="408"/>
      <c r="U142" s="408"/>
      <c r="V142" s="421"/>
      <c r="W142" s="421"/>
      <c r="X142" s="421"/>
      <c r="Y142" s="421"/>
      <c r="Z142" s="421"/>
      <c r="AA142" s="421"/>
      <c r="AB142" s="421"/>
      <c r="AC142" s="421"/>
      <c r="AD142" s="421"/>
      <c r="AE142" s="421"/>
      <c r="AF142" s="421"/>
      <c r="AG142" s="421"/>
      <c r="AH142" s="421"/>
      <c r="AI142" s="421"/>
      <c r="AJ142" s="421"/>
      <c r="AK142" s="421"/>
      <c r="AL142" s="421"/>
    </row>
    <row r="143" spans="1:38">
      <c r="A143" s="410">
        <v>5350</v>
      </c>
      <c r="B143" s="407"/>
      <c r="C143" s="408"/>
      <c r="D143" s="410" t="s">
        <v>1722</v>
      </c>
      <c r="E143" s="410" t="s">
        <v>1585</v>
      </c>
      <c r="F143" s="410" t="s">
        <v>1476</v>
      </c>
      <c r="G143" s="68" t="str">
        <f t="shared" si="11"/>
        <v>DUAL</v>
      </c>
      <c r="H143" s="197">
        <f t="shared" si="10"/>
        <v>7</v>
      </c>
      <c r="I143" s="408">
        <f t="shared" si="13"/>
        <v>2</v>
      </c>
      <c r="J143" s="408">
        <f t="shared" si="14"/>
        <v>11</v>
      </c>
      <c r="K143" s="411">
        <v>45699</v>
      </c>
      <c r="L143" s="408"/>
      <c r="M143" s="408"/>
      <c r="N143" s="3" t="str">
        <f t="shared" si="12"/>
        <v/>
      </c>
      <c r="O143" s="408"/>
      <c r="P143" s="408"/>
      <c r="Q143" s="408"/>
      <c r="R143" s="408"/>
      <c r="S143" s="408"/>
      <c r="T143" s="408"/>
      <c r="U143" s="408"/>
      <c r="V143" s="421"/>
      <c r="W143" s="421"/>
      <c r="X143" s="421"/>
      <c r="Y143" s="421"/>
      <c r="Z143" s="421"/>
      <c r="AA143" s="421"/>
      <c r="AB143" s="421"/>
      <c r="AC143" s="421"/>
      <c r="AD143" s="421"/>
      <c r="AE143" s="421"/>
      <c r="AF143" s="421"/>
      <c r="AG143" s="421"/>
      <c r="AH143" s="421"/>
      <c r="AI143" s="421"/>
      <c r="AJ143" s="421"/>
      <c r="AK143" s="421"/>
      <c r="AL143" s="421"/>
    </row>
    <row r="144" spans="1:38">
      <c r="A144" s="410">
        <v>5350</v>
      </c>
      <c r="B144" s="407"/>
      <c r="C144" s="408"/>
      <c r="D144" s="410" t="s">
        <v>1723</v>
      </c>
      <c r="E144" s="410" t="s">
        <v>1585</v>
      </c>
      <c r="F144" s="410" t="s">
        <v>1476</v>
      </c>
      <c r="G144" s="68" t="str">
        <f t="shared" si="11"/>
        <v>DUAL</v>
      </c>
      <c r="H144" s="197">
        <f t="shared" si="10"/>
        <v>7</v>
      </c>
      <c r="I144" s="408">
        <f t="shared" si="13"/>
        <v>2</v>
      </c>
      <c r="J144" s="408">
        <f t="shared" si="14"/>
        <v>11</v>
      </c>
      <c r="K144" s="411">
        <v>45699</v>
      </c>
      <c r="L144" s="408"/>
      <c r="M144" s="408"/>
      <c r="N144" s="3" t="str">
        <f t="shared" si="12"/>
        <v/>
      </c>
      <c r="O144" s="408"/>
      <c r="P144" s="408"/>
      <c r="Q144" s="408"/>
      <c r="R144" s="408"/>
      <c r="S144" s="408"/>
      <c r="T144" s="408"/>
      <c r="U144" s="408"/>
      <c r="V144" s="421"/>
      <c r="W144" s="421"/>
      <c r="X144" s="421"/>
      <c r="Y144" s="421"/>
      <c r="Z144" s="421"/>
      <c r="AA144" s="421"/>
      <c r="AB144" s="421"/>
      <c r="AC144" s="421"/>
      <c r="AD144" s="421"/>
      <c r="AE144" s="421"/>
      <c r="AF144" s="421"/>
      <c r="AG144" s="421"/>
      <c r="AH144" s="421"/>
      <c r="AI144" s="421"/>
      <c r="AJ144" s="421"/>
      <c r="AK144" s="421"/>
      <c r="AL144" s="421"/>
    </row>
    <row r="145" spans="1:38">
      <c r="A145" s="410">
        <v>5350</v>
      </c>
      <c r="B145" s="407"/>
      <c r="C145" s="408"/>
      <c r="D145" s="410" t="s">
        <v>1724</v>
      </c>
      <c r="E145" s="410" t="s">
        <v>1585</v>
      </c>
      <c r="F145" s="410" t="s">
        <v>1476</v>
      </c>
      <c r="G145" s="68" t="str">
        <f t="shared" si="11"/>
        <v>DUAL</v>
      </c>
      <c r="H145" s="197">
        <f t="shared" si="10"/>
        <v>7</v>
      </c>
      <c r="I145" s="408">
        <f t="shared" si="13"/>
        <v>2</v>
      </c>
      <c r="J145" s="408">
        <f t="shared" si="14"/>
        <v>11</v>
      </c>
      <c r="K145" s="411">
        <v>45699</v>
      </c>
      <c r="L145" s="408"/>
      <c r="M145" s="408"/>
      <c r="N145" s="3" t="str">
        <f t="shared" si="12"/>
        <v/>
      </c>
      <c r="O145" s="408"/>
      <c r="P145" s="408"/>
      <c r="Q145" s="408"/>
      <c r="R145" s="408"/>
      <c r="S145" s="408"/>
      <c r="T145" s="408"/>
      <c r="U145" s="408"/>
      <c r="V145" s="421"/>
      <c r="W145" s="421"/>
      <c r="X145" s="421"/>
      <c r="Y145" s="421"/>
      <c r="Z145" s="421"/>
      <c r="AA145" s="421"/>
      <c r="AB145" s="421"/>
      <c r="AC145" s="421"/>
      <c r="AD145" s="421"/>
      <c r="AE145" s="421"/>
      <c r="AF145" s="421"/>
      <c r="AG145" s="421"/>
      <c r="AH145" s="421"/>
      <c r="AI145" s="421"/>
      <c r="AJ145" s="421"/>
      <c r="AK145" s="421"/>
      <c r="AL145" s="421"/>
    </row>
    <row r="146" spans="1:38">
      <c r="A146" s="410">
        <v>5348</v>
      </c>
      <c r="B146" s="407"/>
      <c r="C146" s="408"/>
      <c r="D146" s="410" t="s">
        <v>1725</v>
      </c>
      <c r="E146" s="410" t="s">
        <v>1585</v>
      </c>
      <c r="F146" s="410" t="s">
        <v>1476</v>
      </c>
      <c r="G146" s="68" t="str">
        <f t="shared" si="11"/>
        <v>DUAL</v>
      </c>
      <c r="H146" s="197">
        <f t="shared" si="10"/>
        <v>7</v>
      </c>
      <c r="I146" s="408">
        <f t="shared" si="13"/>
        <v>2</v>
      </c>
      <c r="J146" s="408">
        <f t="shared" si="14"/>
        <v>11</v>
      </c>
      <c r="K146" s="411">
        <v>45699</v>
      </c>
      <c r="L146" s="408"/>
      <c r="M146" s="408"/>
      <c r="N146" s="3" t="str">
        <f t="shared" si="12"/>
        <v/>
      </c>
      <c r="O146" s="408"/>
      <c r="P146" s="408"/>
      <c r="Q146" s="408"/>
      <c r="R146" s="408"/>
      <c r="S146" s="408"/>
      <c r="T146" s="408"/>
      <c r="U146" s="408"/>
      <c r="V146" s="421"/>
      <c r="W146" s="421"/>
      <c r="X146" s="421"/>
      <c r="Y146" s="421"/>
      <c r="Z146" s="421"/>
      <c r="AA146" s="421"/>
      <c r="AB146" s="421"/>
      <c r="AC146" s="421"/>
      <c r="AD146" s="421"/>
      <c r="AE146" s="421"/>
      <c r="AF146" s="421"/>
      <c r="AG146" s="421"/>
      <c r="AH146" s="421"/>
      <c r="AI146" s="421"/>
      <c r="AJ146" s="421"/>
      <c r="AK146" s="421"/>
      <c r="AL146" s="421"/>
    </row>
    <row r="147" spans="1:38">
      <c r="A147" s="410">
        <v>5447</v>
      </c>
      <c r="B147" s="407"/>
      <c r="C147" s="408"/>
      <c r="D147" s="410" t="s">
        <v>1726</v>
      </c>
      <c r="E147" s="410" t="s">
        <v>1405</v>
      </c>
      <c r="F147" s="410" t="s">
        <v>1477</v>
      </c>
      <c r="G147" s="68" t="str">
        <f t="shared" si="11"/>
        <v>SINGLE</v>
      </c>
      <c r="H147" s="197">
        <f t="shared" si="10"/>
        <v>7</v>
      </c>
      <c r="I147" s="408">
        <f t="shared" si="13"/>
        <v>2</v>
      </c>
      <c r="J147" s="408">
        <f t="shared" si="14"/>
        <v>12</v>
      </c>
      <c r="K147" s="411">
        <v>45700</v>
      </c>
      <c r="L147" s="408"/>
      <c r="M147" s="408"/>
      <c r="N147" s="3" t="str">
        <f t="shared" si="12"/>
        <v/>
      </c>
      <c r="O147" s="408"/>
      <c r="P147" s="408"/>
      <c r="Q147" s="408"/>
      <c r="R147" s="408"/>
      <c r="S147" s="408"/>
      <c r="T147" s="408"/>
      <c r="U147" s="408"/>
      <c r="V147" s="421"/>
      <c r="W147" s="421"/>
      <c r="X147" s="421"/>
      <c r="Y147" s="421"/>
      <c r="Z147" s="421"/>
      <c r="AA147" s="421"/>
      <c r="AB147" s="421"/>
      <c r="AC147" s="421"/>
      <c r="AD147" s="421"/>
      <c r="AE147" s="421"/>
      <c r="AF147" s="421"/>
      <c r="AG147" s="421"/>
      <c r="AH147" s="421"/>
      <c r="AI147" s="421"/>
      <c r="AJ147" s="421"/>
      <c r="AK147" s="421"/>
      <c r="AL147" s="421"/>
    </row>
    <row r="148" spans="1:38">
      <c r="A148" s="410">
        <v>5447</v>
      </c>
      <c r="B148" s="407"/>
      <c r="C148" s="408"/>
      <c r="D148" s="410" t="s">
        <v>1727</v>
      </c>
      <c r="E148" s="410" t="s">
        <v>1405</v>
      </c>
      <c r="F148" s="410" t="s">
        <v>1477</v>
      </c>
      <c r="G148" s="68" t="str">
        <f t="shared" si="11"/>
        <v>SINGLE</v>
      </c>
      <c r="H148" s="197">
        <f t="shared" si="10"/>
        <v>7</v>
      </c>
      <c r="I148" s="408">
        <f t="shared" si="13"/>
        <v>2</v>
      </c>
      <c r="J148" s="408">
        <f t="shared" si="14"/>
        <v>12</v>
      </c>
      <c r="K148" s="411">
        <v>45700</v>
      </c>
      <c r="L148" s="408"/>
      <c r="M148" s="408"/>
      <c r="N148" s="3" t="str">
        <f t="shared" si="12"/>
        <v/>
      </c>
      <c r="O148" s="408"/>
      <c r="P148" s="408"/>
      <c r="Q148" s="408"/>
      <c r="R148" s="408"/>
      <c r="S148" s="408"/>
      <c r="T148" s="408"/>
      <c r="U148" s="408"/>
      <c r="V148" s="421"/>
      <c r="W148" s="421"/>
      <c r="X148" s="421"/>
      <c r="Y148" s="421"/>
      <c r="Z148" s="421"/>
      <c r="AA148" s="421"/>
      <c r="AB148" s="421"/>
      <c r="AC148" s="421"/>
      <c r="AD148" s="421"/>
      <c r="AE148" s="421"/>
      <c r="AF148" s="421"/>
      <c r="AG148" s="421"/>
      <c r="AH148" s="421"/>
      <c r="AI148" s="421"/>
      <c r="AJ148" s="421"/>
      <c r="AK148" s="421"/>
      <c r="AL148" s="421"/>
    </row>
    <row r="149" spans="1:38">
      <c r="A149" s="410">
        <v>5447</v>
      </c>
      <c r="B149" s="407"/>
      <c r="C149" s="408"/>
      <c r="D149" s="410" t="s">
        <v>1728</v>
      </c>
      <c r="E149" s="410" t="s">
        <v>1405</v>
      </c>
      <c r="F149" s="410" t="s">
        <v>1477</v>
      </c>
      <c r="G149" s="68" t="str">
        <f t="shared" si="11"/>
        <v>SINGLE</v>
      </c>
      <c r="H149" s="197">
        <f t="shared" si="10"/>
        <v>7</v>
      </c>
      <c r="I149" s="408">
        <f t="shared" si="13"/>
        <v>2</v>
      </c>
      <c r="J149" s="408">
        <f t="shared" si="14"/>
        <v>12</v>
      </c>
      <c r="K149" s="411">
        <v>45700</v>
      </c>
      <c r="L149" s="408"/>
      <c r="M149" s="408"/>
      <c r="N149" s="3" t="str">
        <f t="shared" si="12"/>
        <v/>
      </c>
      <c r="O149" s="408"/>
      <c r="P149" s="408"/>
      <c r="Q149" s="408"/>
      <c r="R149" s="408"/>
      <c r="S149" s="408"/>
      <c r="T149" s="408"/>
      <c r="U149" s="408"/>
      <c r="V149" s="421"/>
      <c r="W149" s="421"/>
      <c r="X149" s="421"/>
      <c r="Y149" s="421"/>
      <c r="Z149" s="421"/>
      <c r="AA149" s="421"/>
      <c r="AB149" s="421"/>
      <c r="AC149" s="421"/>
      <c r="AD149" s="421"/>
      <c r="AE149" s="421"/>
      <c r="AF149" s="421"/>
      <c r="AG149" s="421"/>
      <c r="AH149" s="421"/>
      <c r="AI149" s="421"/>
      <c r="AJ149" s="421"/>
      <c r="AK149" s="421"/>
      <c r="AL149" s="421"/>
    </row>
    <row r="150" spans="1:38">
      <c r="A150" s="410">
        <v>5447</v>
      </c>
      <c r="B150" s="407"/>
      <c r="C150" s="408"/>
      <c r="D150" s="410" t="s">
        <v>1729</v>
      </c>
      <c r="E150" s="410" t="s">
        <v>1405</v>
      </c>
      <c r="F150" s="410" t="s">
        <v>1477</v>
      </c>
      <c r="G150" s="68" t="str">
        <f t="shared" si="11"/>
        <v>SINGLE</v>
      </c>
      <c r="H150" s="197">
        <f t="shared" si="10"/>
        <v>7</v>
      </c>
      <c r="I150" s="408">
        <f t="shared" si="13"/>
        <v>2</v>
      </c>
      <c r="J150" s="408">
        <f t="shared" si="14"/>
        <v>12</v>
      </c>
      <c r="K150" s="411">
        <v>45700</v>
      </c>
      <c r="L150" s="408"/>
      <c r="M150" s="408"/>
      <c r="N150" s="3" t="str">
        <f t="shared" si="12"/>
        <v/>
      </c>
      <c r="O150" s="408"/>
      <c r="P150" s="408"/>
      <c r="Q150" s="408"/>
      <c r="R150" s="408"/>
      <c r="S150" s="408"/>
      <c r="T150" s="408"/>
      <c r="U150" s="408"/>
      <c r="V150" s="421"/>
      <c r="W150" s="421"/>
      <c r="X150" s="421"/>
      <c r="Y150" s="421"/>
      <c r="Z150" s="421"/>
      <c r="AA150" s="421"/>
      <c r="AB150" s="421"/>
      <c r="AC150" s="421"/>
      <c r="AD150" s="421"/>
      <c r="AE150" s="421"/>
      <c r="AF150" s="421"/>
      <c r="AG150" s="421"/>
      <c r="AH150" s="421"/>
      <c r="AI150" s="421"/>
      <c r="AJ150" s="421"/>
      <c r="AK150" s="421"/>
      <c r="AL150" s="421"/>
    </row>
    <row r="151" spans="1:38">
      <c r="A151" s="410">
        <v>5382</v>
      </c>
      <c r="B151" s="407"/>
      <c r="C151" s="408"/>
      <c r="D151" s="410" t="s">
        <v>1730</v>
      </c>
      <c r="E151" s="410" t="s">
        <v>1405</v>
      </c>
      <c r="F151" s="410" t="s">
        <v>1476</v>
      </c>
      <c r="G151" s="68" t="str">
        <f t="shared" si="11"/>
        <v>DUAL</v>
      </c>
      <c r="H151" s="197">
        <f t="shared" si="10"/>
        <v>7</v>
      </c>
      <c r="I151" s="408">
        <f t="shared" si="13"/>
        <v>2</v>
      </c>
      <c r="J151" s="408">
        <f t="shared" si="14"/>
        <v>12</v>
      </c>
      <c r="K151" s="411">
        <v>45700</v>
      </c>
      <c r="L151" s="408"/>
      <c r="M151" s="408"/>
      <c r="N151" s="3" t="str">
        <f t="shared" si="12"/>
        <v/>
      </c>
      <c r="O151" s="408"/>
      <c r="P151" s="408"/>
      <c r="Q151" s="408"/>
      <c r="R151" s="408"/>
      <c r="S151" s="408"/>
      <c r="T151" s="408"/>
      <c r="U151" s="408"/>
      <c r="V151" s="421"/>
      <c r="W151" s="421"/>
      <c r="X151" s="421"/>
      <c r="Y151" s="421"/>
      <c r="Z151" s="421"/>
      <c r="AA151" s="421"/>
      <c r="AB151" s="421"/>
      <c r="AC151" s="421"/>
      <c r="AD151" s="421"/>
      <c r="AE151" s="421"/>
      <c r="AF151" s="421"/>
      <c r="AG151" s="421"/>
      <c r="AH151" s="421"/>
      <c r="AI151" s="421"/>
      <c r="AJ151" s="421"/>
      <c r="AK151" s="421"/>
      <c r="AL151" s="421"/>
    </row>
    <row r="152" spans="1:38">
      <c r="A152" s="410">
        <v>5328</v>
      </c>
      <c r="B152" s="407"/>
      <c r="C152" s="408"/>
      <c r="D152" s="410" t="s">
        <v>1731</v>
      </c>
      <c r="E152" s="410" t="s">
        <v>1585</v>
      </c>
      <c r="F152" s="410" t="s">
        <v>1476</v>
      </c>
      <c r="G152" s="68" t="str">
        <f t="shared" si="11"/>
        <v>DUAL</v>
      </c>
      <c r="H152" s="197">
        <f t="shared" si="10"/>
        <v>7</v>
      </c>
      <c r="I152" s="408">
        <f t="shared" si="13"/>
        <v>2</v>
      </c>
      <c r="J152" s="408">
        <f t="shared" si="14"/>
        <v>12</v>
      </c>
      <c r="K152" s="411">
        <v>45700</v>
      </c>
      <c r="L152" s="408"/>
      <c r="M152" s="408"/>
      <c r="N152" s="3" t="str">
        <f t="shared" si="12"/>
        <v/>
      </c>
      <c r="O152" s="408"/>
      <c r="P152" s="408"/>
      <c r="Q152" s="408"/>
      <c r="R152" s="408"/>
      <c r="S152" s="408"/>
      <c r="T152" s="408"/>
      <c r="U152" s="408"/>
      <c r="V152" s="421"/>
      <c r="W152" s="421"/>
      <c r="X152" s="421"/>
      <c r="Y152" s="421"/>
      <c r="Z152" s="421"/>
      <c r="AA152" s="421"/>
      <c r="AB152" s="421"/>
      <c r="AC152" s="421"/>
      <c r="AD152" s="421"/>
      <c r="AE152" s="421"/>
      <c r="AF152" s="421"/>
      <c r="AG152" s="421"/>
      <c r="AH152" s="421"/>
      <c r="AI152" s="421"/>
      <c r="AJ152" s="421"/>
      <c r="AK152" s="421"/>
      <c r="AL152" s="421"/>
    </row>
    <row r="153" spans="1:38">
      <c r="A153" s="410">
        <v>5350</v>
      </c>
      <c r="B153" s="407"/>
      <c r="C153" s="408"/>
      <c r="D153" s="410" t="s">
        <v>1732</v>
      </c>
      <c r="E153" s="410" t="s">
        <v>1585</v>
      </c>
      <c r="F153" s="410" t="s">
        <v>1476</v>
      </c>
      <c r="G153" s="68" t="str">
        <f t="shared" si="11"/>
        <v>DUAL</v>
      </c>
      <c r="H153" s="197">
        <f t="shared" si="10"/>
        <v>7</v>
      </c>
      <c r="I153" s="408">
        <f t="shared" si="13"/>
        <v>2</v>
      </c>
      <c r="J153" s="408">
        <f t="shared" si="14"/>
        <v>13</v>
      </c>
      <c r="K153" s="411">
        <v>45701</v>
      </c>
      <c r="L153" s="408"/>
      <c r="M153" s="408"/>
      <c r="N153" s="3" t="str">
        <f t="shared" si="12"/>
        <v/>
      </c>
      <c r="O153" s="408"/>
      <c r="P153" s="408"/>
      <c r="Q153" s="408"/>
      <c r="R153" s="408"/>
      <c r="S153" s="408"/>
      <c r="T153" s="408"/>
      <c r="U153" s="408"/>
      <c r="V153" s="421"/>
      <c r="W153" s="421"/>
      <c r="X153" s="421"/>
      <c r="Y153" s="421"/>
      <c r="Z153" s="421"/>
      <c r="AA153" s="421"/>
      <c r="AB153" s="421"/>
      <c r="AC153" s="421"/>
      <c r="AD153" s="421"/>
      <c r="AE153" s="421"/>
      <c r="AF153" s="421"/>
      <c r="AG153" s="421"/>
      <c r="AH153" s="421"/>
      <c r="AI153" s="421"/>
      <c r="AJ153" s="421"/>
      <c r="AK153" s="421"/>
      <c r="AL153" s="421"/>
    </row>
    <row r="154" spans="1:38">
      <c r="A154" s="410">
        <v>5434</v>
      </c>
      <c r="B154" s="407"/>
      <c r="C154" s="408"/>
      <c r="D154" s="410" t="s">
        <v>1733</v>
      </c>
      <c r="E154" s="410" t="s">
        <v>1585</v>
      </c>
      <c r="F154" s="410" t="s">
        <v>1476</v>
      </c>
      <c r="G154" s="68" t="str">
        <f t="shared" si="11"/>
        <v>DUAL</v>
      </c>
      <c r="H154" s="197">
        <f t="shared" si="10"/>
        <v>7</v>
      </c>
      <c r="I154" s="408">
        <f t="shared" si="13"/>
        <v>2</v>
      </c>
      <c r="J154" s="408">
        <f t="shared" si="14"/>
        <v>13</v>
      </c>
      <c r="K154" s="411">
        <v>45701</v>
      </c>
      <c r="L154" s="408"/>
      <c r="M154" s="408"/>
      <c r="N154" s="3" t="str">
        <f t="shared" si="12"/>
        <v/>
      </c>
      <c r="O154" s="408"/>
      <c r="P154" s="408"/>
      <c r="Q154" s="408"/>
      <c r="R154" s="408"/>
      <c r="S154" s="408"/>
      <c r="T154" s="408"/>
      <c r="U154" s="408"/>
      <c r="V154" s="421"/>
      <c r="W154" s="421"/>
      <c r="X154" s="421"/>
      <c r="Y154" s="421"/>
      <c r="Z154" s="421"/>
      <c r="AA154" s="421"/>
      <c r="AB154" s="421"/>
      <c r="AC154" s="421"/>
      <c r="AD154" s="421"/>
      <c r="AE154" s="421"/>
      <c r="AF154" s="421"/>
      <c r="AG154" s="421"/>
      <c r="AH154" s="421"/>
      <c r="AI154" s="421"/>
      <c r="AJ154" s="421"/>
      <c r="AK154" s="421"/>
      <c r="AL154" s="421"/>
    </row>
    <row r="155" spans="1:38" s="180" customFormat="1">
      <c r="A155" s="412">
        <v>5434</v>
      </c>
      <c r="B155" s="413"/>
      <c r="C155" s="414"/>
      <c r="D155" s="412" t="s">
        <v>1734</v>
      </c>
      <c r="E155" s="412" t="s">
        <v>1585</v>
      </c>
      <c r="F155" s="412" t="s">
        <v>1476</v>
      </c>
      <c r="G155" s="68" t="str">
        <f t="shared" si="11"/>
        <v>DUAL</v>
      </c>
      <c r="H155" s="197">
        <f t="shared" si="10"/>
        <v>7</v>
      </c>
      <c r="I155" s="414">
        <f t="shared" si="13"/>
        <v>2</v>
      </c>
      <c r="J155" s="414">
        <f t="shared" si="14"/>
        <v>13</v>
      </c>
      <c r="K155" s="415">
        <v>45701</v>
      </c>
      <c r="L155" s="414"/>
      <c r="M155" s="414"/>
      <c r="N155" s="3" t="str">
        <f t="shared" si="12"/>
        <v/>
      </c>
      <c r="O155" s="414"/>
      <c r="P155" s="414"/>
      <c r="Q155" s="414"/>
      <c r="R155" s="414"/>
      <c r="S155" s="414"/>
      <c r="T155" s="414"/>
      <c r="U155" s="414"/>
      <c r="V155" s="419"/>
      <c r="W155" s="419"/>
      <c r="X155" s="419"/>
      <c r="Y155" s="419"/>
      <c r="Z155" s="419"/>
      <c r="AA155" s="419"/>
      <c r="AB155" s="419"/>
      <c r="AC155" s="419"/>
      <c r="AD155" s="419"/>
      <c r="AE155" s="419"/>
      <c r="AF155" s="419"/>
      <c r="AG155" s="419"/>
      <c r="AH155" s="419"/>
      <c r="AI155" s="419"/>
      <c r="AJ155" s="419"/>
      <c r="AK155" s="419"/>
      <c r="AL155" s="419"/>
    </row>
    <row r="156" spans="1:38" s="180" customFormat="1">
      <c r="A156" s="412">
        <v>5434</v>
      </c>
      <c r="B156" s="413"/>
      <c r="C156" s="414"/>
      <c r="D156" s="412" t="s">
        <v>1735</v>
      </c>
      <c r="E156" s="412" t="s">
        <v>1585</v>
      </c>
      <c r="F156" s="412" t="s">
        <v>1476</v>
      </c>
      <c r="G156" s="68" t="str">
        <f t="shared" si="11"/>
        <v>DUAL</v>
      </c>
      <c r="H156" s="197">
        <f t="shared" si="10"/>
        <v>7</v>
      </c>
      <c r="I156" s="414">
        <f t="shared" si="13"/>
        <v>2</v>
      </c>
      <c r="J156" s="414">
        <f t="shared" si="14"/>
        <v>13</v>
      </c>
      <c r="K156" s="415">
        <v>45701</v>
      </c>
      <c r="L156" s="414"/>
      <c r="M156" s="414"/>
      <c r="N156" s="3" t="str">
        <f t="shared" si="12"/>
        <v/>
      </c>
      <c r="O156" s="414"/>
      <c r="P156" s="414"/>
      <c r="Q156" s="414"/>
      <c r="R156" s="414"/>
      <c r="S156" s="414"/>
      <c r="T156" s="414"/>
      <c r="U156" s="414"/>
      <c r="V156" s="419"/>
      <c r="W156" s="419"/>
      <c r="X156" s="419"/>
      <c r="Y156" s="419"/>
      <c r="Z156" s="419"/>
      <c r="AA156" s="419"/>
      <c r="AB156" s="419"/>
      <c r="AC156" s="419"/>
      <c r="AD156" s="419"/>
      <c r="AE156" s="419"/>
      <c r="AF156" s="419"/>
      <c r="AG156" s="419"/>
      <c r="AH156" s="419"/>
      <c r="AI156" s="419"/>
      <c r="AJ156" s="419"/>
      <c r="AK156" s="419"/>
      <c r="AL156" s="419"/>
    </row>
    <row r="157" spans="1:38">
      <c r="A157" s="410">
        <v>5434</v>
      </c>
      <c r="B157" s="407"/>
      <c r="C157" s="408"/>
      <c r="D157" s="410" t="s">
        <v>1736</v>
      </c>
      <c r="E157" s="410" t="s">
        <v>1585</v>
      </c>
      <c r="F157" s="410" t="s">
        <v>1476</v>
      </c>
      <c r="G157" s="68" t="str">
        <f t="shared" si="11"/>
        <v>DUAL</v>
      </c>
      <c r="H157" s="197">
        <f t="shared" si="10"/>
        <v>7</v>
      </c>
      <c r="I157" s="408">
        <f t="shared" si="13"/>
        <v>2</v>
      </c>
      <c r="J157" s="408">
        <f t="shared" si="14"/>
        <v>13</v>
      </c>
      <c r="K157" s="411">
        <v>45701</v>
      </c>
      <c r="L157" s="408"/>
      <c r="M157" s="408"/>
      <c r="N157" s="3" t="str">
        <f t="shared" si="12"/>
        <v/>
      </c>
      <c r="O157" s="408"/>
      <c r="P157" s="408"/>
      <c r="Q157" s="408"/>
      <c r="R157" s="408"/>
      <c r="S157" s="408"/>
      <c r="T157" s="408"/>
      <c r="U157" s="408"/>
      <c r="V157" s="421"/>
      <c r="W157" s="421"/>
      <c r="X157" s="421"/>
      <c r="Y157" s="421"/>
      <c r="Z157" s="421"/>
      <c r="AA157" s="421"/>
      <c r="AB157" s="421"/>
      <c r="AC157" s="421"/>
      <c r="AD157" s="421"/>
      <c r="AE157" s="421"/>
      <c r="AF157" s="421"/>
      <c r="AG157" s="421"/>
      <c r="AH157" s="421"/>
      <c r="AI157" s="421"/>
      <c r="AJ157" s="421"/>
      <c r="AK157" s="421"/>
      <c r="AL157" s="421"/>
    </row>
    <row r="158" spans="1:38">
      <c r="A158" s="410">
        <v>5429</v>
      </c>
      <c r="B158" s="407"/>
      <c r="C158" s="408"/>
      <c r="D158" s="410" t="s">
        <v>1737</v>
      </c>
      <c r="E158" s="410" t="s">
        <v>1409</v>
      </c>
      <c r="F158" s="410" t="s">
        <v>1479</v>
      </c>
      <c r="G158" s="68" t="str">
        <f t="shared" si="11"/>
        <v>SINGLE</v>
      </c>
      <c r="H158" s="197">
        <f t="shared" si="10"/>
        <v>7</v>
      </c>
      <c r="I158" s="408">
        <f t="shared" si="13"/>
        <v>2</v>
      </c>
      <c r="J158" s="408">
        <f t="shared" si="14"/>
        <v>14</v>
      </c>
      <c r="K158" s="411">
        <v>45702</v>
      </c>
      <c r="L158" s="408"/>
      <c r="M158" s="408"/>
      <c r="N158" s="3" t="str">
        <f t="shared" si="12"/>
        <v/>
      </c>
      <c r="O158" s="408"/>
      <c r="P158" s="408"/>
      <c r="Q158" s="408"/>
      <c r="R158" s="408"/>
      <c r="S158" s="408"/>
      <c r="T158" s="408"/>
      <c r="U158" s="408"/>
      <c r="V158" s="421"/>
      <c r="W158" s="421"/>
      <c r="X158" s="421"/>
      <c r="Y158" s="421"/>
      <c r="Z158" s="421"/>
      <c r="AA158" s="421"/>
      <c r="AB158" s="421"/>
      <c r="AC158" s="421"/>
      <c r="AD158" s="421"/>
      <c r="AE158" s="421"/>
      <c r="AF158" s="421"/>
      <c r="AG158" s="421"/>
      <c r="AH158" s="421"/>
      <c r="AI158" s="421"/>
      <c r="AJ158" s="421"/>
      <c r="AK158" s="421"/>
      <c r="AL158" s="421"/>
    </row>
    <row r="159" spans="1:38">
      <c r="A159" s="410">
        <v>5429</v>
      </c>
      <c r="B159" s="407"/>
      <c r="C159" s="408"/>
      <c r="D159" s="410" t="s">
        <v>1738</v>
      </c>
      <c r="E159" s="410" t="s">
        <v>1409</v>
      </c>
      <c r="F159" s="410" t="s">
        <v>1479</v>
      </c>
      <c r="G159" s="68" t="str">
        <f t="shared" si="11"/>
        <v>SINGLE</v>
      </c>
      <c r="H159" s="197">
        <f t="shared" si="10"/>
        <v>7</v>
      </c>
      <c r="I159" s="408">
        <f t="shared" si="13"/>
        <v>2</v>
      </c>
      <c r="J159" s="408">
        <f t="shared" si="14"/>
        <v>14</v>
      </c>
      <c r="K159" s="411">
        <v>45702</v>
      </c>
      <c r="L159" s="408"/>
      <c r="M159" s="408"/>
      <c r="N159" s="3" t="str">
        <f t="shared" si="12"/>
        <v/>
      </c>
      <c r="O159" s="408"/>
      <c r="P159" s="408"/>
      <c r="Q159" s="408"/>
      <c r="R159" s="408"/>
      <c r="S159" s="408"/>
      <c r="T159" s="408"/>
      <c r="U159" s="408"/>
      <c r="V159" s="421"/>
      <c r="W159" s="421"/>
      <c r="X159" s="421"/>
      <c r="Y159" s="421"/>
      <c r="Z159" s="421"/>
      <c r="AA159" s="421"/>
      <c r="AB159" s="421"/>
      <c r="AC159" s="421"/>
      <c r="AD159" s="421"/>
      <c r="AE159" s="421"/>
      <c r="AF159" s="421"/>
      <c r="AG159" s="421"/>
      <c r="AH159" s="421"/>
      <c r="AI159" s="421"/>
      <c r="AJ159" s="421"/>
      <c r="AK159" s="421"/>
      <c r="AL159" s="421"/>
    </row>
    <row r="160" spans="1:38">
      <c r="A160" s="410">
        <v>5429</v>
      </c>
      <c r="B160" s="407"/>
      <c r="C160" s="408"/>
      <c r="D160" s="410" t="s">
        <v>1739</v>
      </c>
      <c r="E160" s="410" t="s">
        <v>1409</v>
      </c>
      <c r="F160" s="410" t="s">
        <v>1479</v>
      </c>
      <c r="G160" s="68" t="str">
        <f t="shared" si="11"/>
        <v>SINGLE</v>
      </c>
      <c r="H160" s="197">
        <f t="shared" si="10"/>
        <v>7</v>
      </c>
      <c r="I160" s="408">
        <f t="shared" si="13"/>
        <v>2</v>
      </c>
      <c r="J160" s="408">
        <f t="shared" si="14"/>
        <v>14</v>
      </c>
      <c r="K160" s="411">
        <v>45702</v>
      </c>
      <c r="L160" s="408"/>
      <c r="M160" s="408"/>
      <c r="N160" s="3" t="str">
        <f t="shared" si="12"/>
        <v/>
      </c>
      <c r="O160" s="408"/>
      <c r="P160" s="408"/>
      <c r="Q160" s="408"/>
      <c r="R160" s="408"/>
      <c r="S160" s="408"/>
      <c r="T160" s="408"/>
      <c r="U160" s="408"/>
      <c r="V160" s="421"/>
      <c r="W160" s="421"/>
      <c r="X160" s="421"/>
      <c r="Y160" s="421"/>
      <c r="Z160" s="421"/>
      <c r="AA160" s="421"/>
      <c r="AB160" s="421"/>
      <c r="AC160" s="421"/>
      <c r="AD160" s="421"/>
      <c r="AE160" s="421"/>
      <c r="AF160" s="421"/>
      <c r="AG160" s="421"/>
      <c r="AH160" s="421"/>
      <c r="AI160" s="421"/>
      <c r="AJ160" s="421"/>
      <c r="AK160" s="421"/>
      <c r="AL160" s="421"/>
    </row>
    <row r="161" spans="1:38">
      <c r="A161" s="410">
        <v>5440</v>
      </c>
      <c r="B161" s="407"/>
      <c r="C161" s="408"/>
      <c r="D161" s="410" t="s">
        <v>1740</v>
      </c>
      <c r="E161" s="410" t="s">
        <v>1409</v>
      </c>
      <c r="F161" s="410" t="s">
        <v>1479</v>
      </c>
      <c r="G161" s="68" t="str">
        <f t="shared" si="11"/>
        <v>SINGLE</v>
      </c>
      <c r="H161" s="197">
        <f t="shared" si="10"/>
        <v>7</v>
      </c>
      <c r="I161" s="408">
        <f t="shared" si="13"/>
        <v>2</v>
      </c>
      <c r="J161" s="408">
        <f t="shared" si="14"/>
        <v>14</v>
      </c>
      <c r="K161" s="411">
        <v>45702</v>
      </c>
      <c r="L161" s="408"/>
      <c r="M161" s="408"/>
      <c r="N161" s="3" t="str">
        <f t="shared" si="12"/>
        <v/>
      </c>
      <c r="O161" s="408"/>
      <c r="P161" s="408"/>
      <c r="Q161" s="408"/>
      <c r="R161" s="408"/>
      <c r="S161" s="408"/>
      <c r="T161" s="408"/>
      <c r="U161" s="408"/>
      <c r="V161" s="421"/>
      <c r="W161" s="421"/>
      <c r="X161" s="421"/>
      <c r="Y161" s="421"/>
      <c r="Z161" s="421"/>
      <c r="AA161" s="421"/>
      <c r="AB161" s="421"/>
      <c r="AC161" s="421"/>
      <c r="AD161" s="421"/>
      <c r="AE161" s="421"/>
      <c r="AF161" s="421"/>
      <c r="AG161" s="421"/>
      <c r="AH161" s="421"/>
      <c r="AI161" s="421"/>
      <c r="AJ161" s="421"/>
      <c r="AK161" s="421"/>
      <c r="AL161" s="421"/>
    </row>
    <row r="162" spans="1:38">
      <c r="A162" s="410">
        <v>5440</v>
      </c>
      <c r="B162" s="407"/>
      <c r="C162" s="408"/>
      <c r="D162" s="410" t="s">
        <v>1741</v>
      </c>
      <c r="E162" s="410" t="s">
        <v>1409</v>
      </c>
      <c r="F162" s="410" t="s">
        <v>1479</v>
      </c>
      <c r="G162" s="68" t="str">
        <f t="shared" si="11"/>
        <v>SINGLE</v>
      </c>
      <c r="H162" s="197">
        <f t="shared" si="10"/>
        <v>7</v>
      </c>
      <c r="I162" s="408">
        <f t="shared" si="13"/>
        <v>2</v>
      </c>
      <c r="J162" s="408">
        <f t="shared" si="14"/>
        <v>14</v>
      </c>
      <c r="K162" s="411">
        <v>45702</v>
      </c>
      <c r="L162" s="408"/>
      <c r="M162" s="408"/>
      <c r="N162" s="3" t="str">
        <f t="shared" si="12"/>
        <v/>
      </c>
      <c r="O162" s="408"/>
      <c r="P162" s="408"/>
      <c r="Q162" s="408"/>
      <c r="R162" s="408"/>
      <c r="S162" s="408"/>
      <c r="T162" s="408"/>
      <c r="U162" s="408"/>
      <c r="V162" s="421"/>
      <c r="W162" s="421"/>
      <c r="X162" s="421"/>
      <c r="Y162" s="421"/>
      <c r="Z162" s="421"/>
      <c r="AA162" s="421"/>
      <c r="AB162" s="421"/>
      <c r="AC162" s="421"/>
      <c r="AD162" s="421"/>
      <c r="AE162" s="421"/>
      <c r="AF162" s="421"/>
      <c r="AG162" s="421"/>
      <c r="AH162" s="421"/>
      <c r="AI162" s="421"/>
      <c r="AJ162" s="421"/>
      <c r="AK162" s="421"/>
      <c r="AL162" s="421"/>
    </row>
    <row r="163" spans="1:38">
      <c r="A163" s="410">
        <v>5440</v>
      </c>
      <c r="B163" s="407"/>
      <c r="C163" s="408"/>
      <c r="D163" s="410" t="s">
        <v>1742</v>
      </c>
      <c r="E163" s="410" t="s">
        <v>1409</v>
      </c>
      <c r="F163" s="410" t="s">
        <v>1479</v>
      </c>
      <c r="G163" s="68" t="str">
        <f t="shared" si="11"/>
        <v>SINGLE</v>
      </c>
      <c r="H163" s="197">
        <f t="shared" si="10"/>
        <v>7</v>
      </c>
      <c r="I163" s="408">
        <f t="shared" si="13"/>
        <v>2</v>
      </c>
      <c r="J163" s="408">
        <f t="shared" si="14"/>
        <v>14</v>
      </c>
      <c r="K163" s="411">
        <v>45702</v>
      </c>
      <c r="L163" s="408"/>
      <c r="M163" s="408"/>
      <c r="N163" s="3" t="str">
        <f t="shared" si="12"/>
        <v/>
      </c>
      <c r="O163" s="408"/>
      <c r="P163" s="408"/>
      <c r="Q163" s="408"/>
      <c r="R163" s="408"/>
      <c r="S163" s="408"/>
      <c r="T163" s="408"/>
      <c r="U163" s="408"/>
      <c r="V163" s="421"/>
      <c r="W163" s="421"/>
      <c r="X163" s="421"/>
      <c r="Y163" s="421"/>
      <c r="Z163" s="421"/>
      <c r="AA163" s="421"/>
      <c r="AB163" s="421"/>
      <c r="AC163" s="421"/>
      <c r="AD163" s="421"/>
      <c r="AE163" s="421"/>
      <c r="AF163" s="421"/>
      <c r="AG163" s="421"/>
      <c r="AH163" s="421"/>
      <c r="AI163" s="421"/>
      <c r="AJ163" s="421"/>
      <c r="AK163" s="421"/>
      <c r="AL163" s="421"/>
    </row>
    <row r="164" spans="1:38">
      <c r="A164" s="410">
        <v>5460</v>
      </c>
      <c r="B164" s="407"/>
      <c r="C164" s="408"/>
      <c r="D164" s="410" t="s">
        <v>1743</v>
      </c>
      <c r="E164" s="410" t="s">
        <v>1405</v>
      </c>
      <c r="F164" s="410" t="s">
        <v>1591</v>
      </c>
      <c r="G164" s="68" t="str">
        <f t="shared" si="11"/>
        <v>SINGLE</v>
      </c>
      <c r="H164" s="197">
        <f t="shared" si="10"/>
        <v>7</v>
      </c>
      <c r="I164" s="408">
        <f t="shared" si="13"/>
        <v>2</v>
      </c>
      <c r="J164" s="408">
        <f t="shared" si="14"/>
        <v>14</v>
      </c>
      <c r="K164" s="411">
        <v>45702</v>
      </c>
      <c r="L164" s="408"/>
      <c r="M164" s="408"/>
      <c r="N164" s="3" t="str">
        <f t="shared" si="12"/>
        <v/>
      </c>
      <c r="O164" s="408"/>
      <c r="P164" s="408"/>
      <c r="Q164" s="408"/>
      <c r="R164" s="408"/>
      <c r="S164" s="408"/>
      <c r="T164" s="408"/>
      <c r="U164" s="408"/>
      <c r="V164" s="421"/>
      <c r="W164" s="421"/>
      <c r="X164" s="421"/>
      <c r="Y164" s="421"/>
      <c r="Z164" s="421"/>
      <c r="AA164" s="421"/>
      <c r="AB164" s="421"/>
      <c r="AC164" s="421"/>
      <c r="AD164" s="421"/>
      <c r="AE164" s="421"/>
      <c r="AF164" s="421"/>
      <c r="AG164" s="421"/>
      <c r="AH164" s="421"/>
      <c r="AI164" s="421"/>
      <c r="AJ164" s="421"/>
      <c r="AK164" s="421"/>
      <c r="AL164" s="421"/>
    </row>
    <row r="165" spans="1:38">
      <c r="A165" s="410">
        <v>5460</v>
      </c>
      <c r="B165" s="407"/>
      <c r="C165" s="408"/>
      <c r="D165" s="410" t="s">
        <v>1744</v>
      </c>
      <c r="E165" s="410" t="s">
        <v>1405</v>
      </c>
      <c r="F165" s="410" t="s">
        <v>1591</v>
      </c>
      <c r="G165" s="68" t="str">
        <f t="shared" si="11"/>
        <v>SINGLE</v>
      </c>
      <c r="H165" s="197">
        <f t="shared" si="10"/>
        <v>7</v>
      </c>
      <c r="I165" s="408">
        <f t="shared" si="13"/>
        <v>2</v>
      </c>
      <c r="J165" s="408">
        <f t="shared" si="14"/>
        <v>14</v>
      </c>
      <c r="K165" s="411">
        <v>45702</v>
      </c>
      <c r="L165" s="408"/>
      <c r="M165" s="408"/>
      <c r="N165" s="3" t="str">
        <f t="shared" si="12"/>
        <v/>
      </c>
      <c r="O165" s="408"/>
      <c r="P165" s="408"/>
      <c r="Q165" s="408"/>
      <c r="R165" s="408"/>
      <c r="S165" s="408"/>
      <c r="T165" s="408"/>
      <c r="U165" s="408"/>
      <c r="V165" s="421"/>
      <c r="W165" s="421"/>
      <c r="X165" s="421"/>
      <c r="Y165" s="421"/>
      <c r="Z165" s="421"/>
      <c r="AA165" s="421"/>
      <c r="AB165" s="421"/>
      <c r="AC165" s="421"/>
      <c r="AD165" s="421"/>
      <c r="AE165" s="421"/>
      <c r="AF165" s="421"/>
      <c r="AG165" s="421"/>
      <c r="AH165" s="421"/>
      <c r="AI165" s="421"/>
      <c r="AJ165" s="421"/>
      <c r="AK165" s="421"/>
      <c r="AL165" s="421"/>
    </row>
    <row r="166" spans="1:38">
      <c r="A166" s="410">
        <v>5468</v>
      </c>
      <c r="B166" s="407"/>
      <c r="C166" s="408"/>
      <c r="D166" s="410" t="s">
        <v>1745</v>
      </c>
      <c r="E166" s="410" t="s">
        <v>1405</v>
      </c>
      <c r="F166" s="410" t="s">
        <v>1591</v>
      </c>
      <c r="G166" s="68" t="str">
        <f t="shared" si="11"/>
        <v>SINGLE</v>
      </c>
      <c r="H166" s="197">
        <f t="shared" si="10"/>
        <v>7</v>
      </c>
      <c r="I166" s="408">
        <f t="shared" si="13"/>
        <v>2</v>
      </c>
      <c r="J166" s="408">
        <f t="shared" si="14"/>
        <v>14</v>
      </c>
      <c r="K166" s="411">
        <v>45702</v>
      </c>
      <c r="L166" s="408"/>
      <c r="M166" s="408"/>
      <c r="N166" s="3" t="str">
        <f t="shared" si="12"/>
        <v/>
      </c>
      <c r="O166" s="408"/>
      <c r="P166" s="408"/>
      <c r="Q166" s="408"/>
      <c r="R166" s="408"/>
      <c r="S166" s="408"/>
      <c r="T166" s="408"/>
      <c r="U166" s="408"/>
      <c r="V166" s="421"/>
      <c r="W166" s="421"/>
      <c r="X166" s="421"/>
      <c r="Y166" s="421"/>
      <c r="Z166" s="421"/>
      <c r="AA166" s="421"/>
      <c r="AB166" s="421"/>
      <c r="AC166" s="421"/>
      <c r="AD166" s="421"/>
      <c r="AE166" s="421"/>
      <c r="AF166" s="421"/>
      <c r="AG166" s="421"/>
      <c r="AH166" s="421"/>
      <c r="AI166" s="421"/>
      <c r="AJ166" s="421"/>
      <c r="AK166" s="421"/>
      <c r="AL166" s="421"/>
    </row>
    <row r="167" spans="1:38">
      <c r="A167" s="410">
        <v>5468</v>
      </c>
      <c r="B167" s="407"/>
      <c r="C167" s="408"/>
      <c r="D167" s="410" t="s">
        <v>1746</v>
      </c>
      <c r="E167" s="410" t="s">
        <v>1405</v>
      </c>
      <c r="F167" s="410" t="s">
        <v>1591</v>
      </c>
      <c r="G167" s="68" t="str">
        <f t="shared" si="11"/>
        <v>SINGLE</v>
      </c>
      <c r="H167" s="197">
        <f t="shared" si="10"/>
        <v>7</v>
      </c>
      <c r="I167" s="408">
        <f t="shared" si="13"/>
        <v>2</v>
      </c>
      <c r="J167" s="408">
        <f t="shared" si="14"/>
        <v>14</v>
      </c>
      <c r="K167" s="411">
        <v>45702</v>
      </c>
      <c r="L167" s="408"/>
      <c r="M167" s="408"/>
      <c r="N167" s="3" t="str">
        <f t="shared" si="12"/>
        <v/>
      </c>
      <c r="O167" s="408"/>
      <c r="P167" s="408"/>
      <c r="Q167" s="408"/>
      <c r="R167" s="408"/>
      <c r="S167" s="408"/>
      <c r="T167" s="408"/>
      <c r="U167" s="408"/>
      <c r="V167" s="421"/>
      <c r="W167" s="421"/>
      <c r="X167" s="421"/>
      <c r="Y167" s="421"/>
      <c r="Z167" s="421"/>
      <c r="AA167" s="421"/>
      <c r="AB167" s="421"/>
      <c r="AC167" s="421"/>
      <c r="AD167" s="421"/>
      <c r="AE167" s="421"/>
      <c r="AF167" s="421"/>
      <c r="AG167" s="421"/>
      <c r="AH167" s="421"/>
      <c r="AI167" s="421"/>
      <c r="AJ167" s="421"/>
      <c r="AK167" s="421"/>
      <c r="AL167" s="421"/>
    </row>
    <row r="168" spans="1:38">
      <c r="A168" s="410">
        <v>5459</v>
      </c>
      <c r="B168" s="407"/>
      <c r="C168" s="408"/>
      <c r="D168" s="410" t="s">
        <v>1747</v>
      </c>
      <c r="E168" s="410" t="s">
        <v>1405</v>
      </c>
      <c r="F168" s="410" t="s">
        <v>1477</v>
      </c>
      <c r="G168" s="68" t="str">
        <f t="shared" si="11"/>
        <v>SINGLE</v>
      </c>
      <c r="H168" s="197">
        <f t="shared" si="10"/>
        <v>8</v>
      </c>
      <c r="I168" s="408">
        <f t="shared" si="13"/>
        <v>2</v>
      </c>
      <c r="J168" s="408">
        <f t="shared" si="14"/>
        <v>17</v>
      </c>
      <c r="K168" s="411">
        <v>45705</v>
      </c>
      <c r="L168" s="408"/>
      <c r="M168" s="408"/>
      <c r="N168" s="3" t="str">
        <f t="shared" si="12"/>
        <v/>
      </c>
      <c r="O168" s="408"/>
      <c r="P168" s="408"/>
      <c r="Q168" s="408"/>
      <c r="R168" s="408"/>
      <c r="S168" s="408"/>
      <c r="T168" s="408"/>
      <c r="U168" s="408"/>
      <c r="V168" s="421"/>
      <c r="W168" s="421"/>
      <c r="X168" s="421"/>
      <c r="Y168" s="421"/>
      <c r="Z168" s="421"/>
      <c r="AA168" s="421"/>
      <c r="AB168" s="421"/>
      <c r="AC168" s="421"/>
      <c r="AD168" s="421"/>
      <c r="AE168" s="421"/>
      <c r="AF168" s="421"/>
      <c r="AG168" s="421"/>
      <c r="AH168" s="421"/>
      <c r="AI168" s="421"/>
      <c r="AJ168" s="421"/>
      <c r="AK168" s="421"/>
      <c r="AL168" s="421"/>
    </row>
    <row r="169" spans="1:38">
      <c r="A169" s="410">
        <v>5459</v>
      </c>
      <c r="B169" s="407"/>
      <c r="C169" s="408"/>
      <c r="D169" s="410" t="s">
        <v>1748</v>
      </c>
      <c r="E169" s="410" t="s">
        <v>1405</v>
      </c>
      <c r="F169" s="410" t="s">
        <v>1477</v>
      </c>
      <c r="G169" s="68" t="str">
        <f t="shared" si="11"/>
        <v>SINGLE</v>
      </c>
      <c r="H169" s="197">
        <f t="shared" si="10"/>
        <v>8</v>
      </c>
      <c r="I169" s="408">
        <f t="shared" si="13"/>
        <v>2</v>
      </c>
      <c r="J169" s="408">
        <f t="shared" si="14"/>
        <v>17</v>
      </c>
      <c r="K169" s="411">
        <v>45705</v>
      </c>
      <c r="L169" s="408"/>
      <c r="M169" s="408"/>
      <c r="N169" s="3" t="str">
        <f t="shared" si="12"/>
        <v/>
      </c>
      <c r="O169" s="408"/>
      <c r="P169" s="408"/>
      <c r="Q169" s="408"/>
      <c r="R169" s="408"/>
      <c r="S169" s="408"/>
      <c r="T169" s="408"/>
      <c r="U169" s="408"/>
      <c r="V169" s="421"/>
      <c r="W169" s="421"/>
      <c r="X169" s="421"/>
      <c r="Y169" s="421"/>
      <c r="Z169" s="421"/>
      <c r="AA169" s="421"/>
      <c r="AB169" s="421"/>
      <c r="AC169" s="421"/>
      <c r="AD169" s="421"/>
      <c r="AE169" s="421"/>
      <c r="AF169" s="421"/>
      <c r="AG169" s="421"/>
      <c r="AH169" s="421"/>
      <c r="AI169" s="421"/>
      <c r="AJ169" s="421"/>
      <c r="AK169" s="421"/>
      <c r="AL169" s="421"/>
    </row>
    <row r="170" spans="1:38">
      <c r="A170" s="410">
        <v>5459</v>
      </c>
      <c r="B170" s="407"/>
      <c r="C170" s="408"/>
      <c r="D170" s="410" t="s">
        <v>1749</v>
      </c>
      <c r="E170" s="410" t="s">
        <v>1405</v>
      </c>
      <c r="F170" s="410" t="s">
        <v>1477</v>
      </c>
      <c r="G170" s="68" t="str">
        <f t="shared" si="11"/>
        <v>SINGLE</v>
      </c>
      <c r="H170" s="197">
        <f t="shared" si="10"/>
        <v>8</v>
      </c>
      <c r="I170" s="408">
        <f t="shared" si="13"/>
        <v>2</v>
      </c>
      <c r="J170" s="408">
        <f t="shared" si="14"/>
        <v>17</v>
      </c>
      <c r="K170" s="411">
        <v>45705</v>
      </c>
      <c r="L170" s="408"/>
      <c r="M170" s="408"/>
      <c r="N170" s="3" t="str">
        <f t="shared" si="12"/>
        <v/>
      </c>
      <c r="O170" s="408"/>
      <c r="P170" s="408"/>
      <c r="Q170" s="408"/>
      <c r="R170" s="408"/>
      <c r="S170" s="408"/>
      <c r="T170" s="408"/>
      <c r="U170" s="408"/>
      <c r="V170" s="421"/>
      <c r="W170" s="421"/>
      <c r="X170" s="421"/>
      <c r="Y170" s="421"/>
      <c r="Z170" s="421"/>
      <c r="AA170" s="421"/>
      <c r="AB170" s="421"/>
      <c r="AC170" s="421"/>
      <c r="AD170" s="421"/>
      <c r="AE170" s="421"/>
      <c r="AF170" s="421"/>
      <c r="AG170" s="421"/>
      <c r="AH170" s="421"/>
      <c r="AI170" s="421"/>
      <c r="AJ170" s="421"/>
      <c r="AK170" s="421"/>
      <c r="AL170" s="421"/>
    </row>
    <row r="171" spans="1:38">
      <c r="A171" s="410">
        <v>5459</v>
      </c>
      <c r="B171" s="407"/>
      <c r="C171" s="408"/>
      <c r="D171" s="410" t="s">
        <v>1750</v>
      </c>
      <c r="E171" s="410" t="s">
        <v>1405</v>
      </c>
      <c r="F171" s="410" t="s">
        <v>1477</v>
      </c>
      <c r="G171" s="68" t="str">
        <f t="shared" si="11"/>
        <v>SINGLE</v>
      </c>
      <c r="H171" s="197">
        <f t="shared" si="10"/>
        <v>8</v>
      </c>
      <c r="I171" s="408">
        <f t="shared" si="13"/>
        <v>2</v>
      </c>
      <c r="J171" s="408">
        <f t="shared" si="14"/>
        <v>17</v>
      </c>
      <c r="K171" s="411">
        <v>45705</v>
      </c>
      <c r="L171" s="408"/>
      <c r="M171" s="408"/>
      <c r="N171" s="3" t="str">
        <f t="shared" si="12"/>
        <v/>
      </c>
      <c r="O171" s="408"/>
      <c r="P171" s="408"/>
      <c r="Q171" s="408"/>
      <c r="R171" s="408"/>
      <c r="S171" s="408"/>
      <c r="T171" s="408"/>
      <c r="U171" s="408"/>
      <c r="V171" s="421"/>
      <c r="W171" s="421"/>
      <c r="X171" s="421"/>
      <c r="Y171" s="421"/>
      <c r="Z171" s="421"/>
      <c r="AA171" s="421"/>
      <c r="AB171" s="421"/>
      <c r="AC171" s="421"/>
      <c r="AD171" s="421"/>
      <c r="AE171" s="421"/>
      <c r="AF171" s="421"/>
      <c r="AG171" s="421"/>
      <c r="AH171" s="421"/>
      <c r="AI171" s="421"/>
      <c r="AJ171" s="421"/>
      <c r="AK171" s="421"/>
      <c r="AL171" s="421"/>
    </row>
    <row r="172" spans="1:38">
      <c r="A172" s="410">
        <v>5460</v>
      </c>
      <c r="B172" s="407"/>
      <c r="C172" s="408"/>
      <c r="D172" s="410" t="s">
        <v>1751</v>
      </c>
      <c r="E172" s="410" t="s">
        <v>1405</v>
      </c>
      <c r="F172" s="410" t="s">
        <v>1477</v>
      </c>
      <c r="G172" s="68" t="str">
        <f t="shared" si="11"/>
        <v>SINGLE</v>
      </c>
      <c r="H172" s="197">
        <f t="shared" si="10"/>
        <v>8</v>
      </c>
      <c r="I172" s="408">
        <f t="shared" si="13"/>
        <v>2</v>
      </c>
      <c r="J172" s="408">
        <f t="shared" si="14"/>
        <v>17</v>
      </c>
      <c r="K172" s="411">
        <v>45705</v>
      </c>
      <c r="L172" s="408"/>
      <c r="M172" s="408"/>
      <c r="N172" s="3" t="str">
        <f t="shared" si="12"/>
        <v/>
      </c>
      <c r="O172" s="408"/>
      <c r="P172" s="408"/>
      <c r="Q172" s="408"/>
      <c r="R172" s="408"/>
      <c r="S172" s="408"/>
      <c r="T172" s="408"/>
      <c r="U172" s="408"/>
      <c r="V172" s="421"/>
      <c r="W172" s="421"/>
      <c r="X172" s="421"/>
      <c r="Y172" s="421"/>
      <c r="Z172" s="421"/>
      <c r="AA172" s="421"/>
      <c r="AB172" s="421"/>
      <c r="AC172" s="421"/>
      <c r="AD172" s="421"/>
      <c r="AE172" s="421"/>
      <c r="AF172" s="421"/>
      <c r="AG172" s="421"/>
      <c r="AH172" s="421"/>
      <c r="AI172" s="421"/>
      <c r="AJ172" s="421"/>
      <c r="AK172" s="421"/>
      <c r="AL172" s="421"/>
    </row>
    <row r="173" spans="1:38">
      <c r="A173" s="410">
        <v>5460</v>
      </c>
      <c r="B173" s="407"/>
      <c r="C173" s="408"/>
      <c r="D173" s="410" t="s">
        <v>1752</v>
      </c>
      <c r="E173" s="410" t="s">
        <v>1405</v>
      </c>
      <c r="F173" s="410" t="s">
        <v>1477</v>
      </c>
      <c r="G173" s="68" t="str">
        <f t="shared" si="11"/>
        <v>SINGLE</v>
      </c>
      <c r="H173" s="197">
        <f t="shared" si="10"/>
        <v>8</v>
      </c>
      <c r="I173" s="408">
        <f t="shared" si="13"/>
        <v>2</v>
      </c>
      <c r="J173" s="408">
        <f t="shared" si="14"/>
        <v>17</v>
      </c>
      <c r="K173" s="411">
        <v>45705</v>
      </c>
      <c r="L173" s="408"/>
      <c r="M173" s="408"/>
      <c r="N173" s="3" t="str">
        <f t="shared" si="12"/>
        <v/>
      </c>
      <c r="O173" s="408"/>
      <c r="P173" s="408"/>
      <c r="Q173" s="408"/>
      <c r="R173" s="408"/>
      <c r="S173" s="408"/>
      <c r="T173" s="408"/>
      <c r="U173" s="408"/>
      <c r="V173" s="421"/>
      <c r="W173" s="421"/>
      <c r="X173" s="421"/>
      <c r="Y173" s="421"/>
      <c r="Z173" s="421"/>
      <c r="AA173" s="421"/>
      <c r="AB173" s="421"/>
      <c r="AC173" s="421"/>
      <c r="AD173" s="421"/>
      <c r="AE173" s="421"/>
      <c r="AF173" s="421"/>
      <c r="AG173" s="421"/>
      <c r="AH173" s="421"/>
      <c r="AI173" s="421"/>
      <c r="AJ173" s="421"/>
      <c r="AK173" s="421"/>
      <c r="AL173" s="421"/>
    </row>
    <row r="174" spans="1:38">
      <c r="A174" s="410">
        <v>5442</v>
      </c>
      <c r="B174" s="407"/>
      <c r="C174" s="408"/>
      <c r="D174" s="410" t="s">
        <v>1753</v>
      </c>
      <c r="E174" s="410" t="s">
        <v>1585</v>
      </c>
      <c r="F174" s="410" t="s">
        <v>1476</v>
      </c>
      <c r="G174" s="68" t="str">
        <f t="shared" si="11"/>
        <v>DUAL</v>
      </c>
      <c r="H174" s="197">
        <f t="shared" si="10"/>
        <v>8</v>
      </c>
      <c r="I174" s="408">
        <f t="shared" si="13"/>
        <v>2</v>
      </c>
      <c r="J174" s="408">
        <f t="shared" si="14"/>
        <v>17</v>
      </c>
      <c r="K174" s="411">
        <v>45705</v>
      </c>
      <c r="L174" s="408"/>
      <c r="M174" s="408"/>
      <c r="N174" s="3" t="str">
        <f t="shared" si="12"/>
        <v/>
      </c>
      <c r="O174" s="408"/>
      <c r="P174" s="408"/>
      <c r="Q174" s="408"/>
      <c r="R174" s="408"/>
      <c r="S174" s="408"/>
      <c r="T174" s="408"/>
      <c r="U174" s="408"/>
      <c r="V174" s="421"/>
      <c r="W174" s="421"/>
      <c r="X174" s="421"/>
      <c r="Y174" s="421"/>
      <c r="Z174" s="421"/>
      <c r="AA174" s="421"/>
      <c r="AB174" s="421"/>
      <c r="AC174" s="421"/>
      <c r="AD174" s="421"/>
      <c r="AE174" s="421"/>
      <c r="AF174" s="421"/>
      <c r="AG174" s="421"/>
      <c r="AH174" s="421"/>
      <c r="AI174" s="421"/>
      <c r="AJ174" s="421"/>
      <c r="AK174" s="421"/>
      <c r="AL174" s="421"/>
    </row>
    <row r="175" spans="1:38">
      <c r="A175" s="410">
        <v>5463</v>
      </c>
      <c r="B175" s="407"/>
      <c r="C175" s="408"/>
      <c r="D175" s="410" t="s">
        <v>1754</v>
      </c>
      <c r="E175" s="410" t="s">
        <v>1405</v>
      </c>
      <c r="F175" s="410" t="s">
        <v>1581</v>
      </c>
      <c r="G175" s="68" t="str">
        <f t="shared" si="11"/>
        <v>DUAL</v>
      </c>
      <c r="H175" s="197">
        <f t="shared" si="10"/>
        <v>8</v>
      </c>
      <c r="I175" s="408">
        <f t="shared" si="13"/>
        <v>2</v>
      </c>
      <c r="J175" s="408">
        <f t="shared" si="14"/>
        <v>17</v>
      </c>
      <c r="K175" s="411">
        <v>45705</v>
      </c>
      <c r="L175" s="408"/>
      <c r="M175" s="408"/>
      <c r="N175" s="3" t="str">
        <f t="shared" si="12"/>
        <v/>
      </c>
      <c r="O175" s="408"/>
      <c r="P175" s="408"/>
      <c r="Q175" s="408"/>
      <c r="R175" s="408"/>
      <c r="S175" s="408"/>
      <c r="T175" s="408"/>
      <c r="U175" s="408"/>
      <c r="V175" s="421"/>
      <c r="W175" s="421"/>
      <c r="X175" s="421"/>
      <c r="Y175" s="421"/>
      <c r="Z175" s="421"/>
      <c r="AA175" s="421"/>
      <c r="AB175" s="421"/>
      <c r="AC175" s="421"/>
      <c r="AD175" s="421"/>
      <c r="AE175" s="421"/>
      <c r="AF175" s="421"/>
      <c r="AG175" s="421"/>
      <c r="AH175" s="421"/>
      <c r="AI175" s="421"/>
      <c r="AJ175" s="421"/>
      <c r="AK175" s="421"/>
      <c r="AL175" s="421"/>
    </row>
    <row r="176" spans="1:38">
      <c r="A176" s="410">
        <v>5463</v>
      </c>
      <c r="B176" s="407"/>
      <c r="C176" s="408"/>
      <c r="D176" s="410" t="s">
        <v>1755</v>
      </c>
      <c r="E176" s="410" t="s">
        <v>1405</v>
      </c>
      <c r="F176" s="410" t="s">
        <v>1581</v>
      </c>
      <c r="G176" s="68" t="str">
        <f t="shared" si="11"/>
        <v>DUAL</v>
      </c>
      <c r="H176" s="197">
        <f t="shared" si="10"/>
        <v>8</v>
      </c>
      <c r="I176" s="408">
        <f t="shared" si="13"/>
        <v>2</v>
      </c>
      <c r="J176" s="408">
        <f t="shared" si="14"/>
        <v>17</v>
      </c>
      <c r="K176" s="411">
        <v>45705</v>
      </c>
      <c r="L176" s="408"/>
      <c r="M176" s="408"/>
      <c r="N176" s="3" t="str">
        <f t="shared" si="12"/>
        <v/>
      </c>
      <c r="O176" s="408"/>
      <c r="P176" s="408"/>
      <c r="Q176" s="408"/>
      <c r="R176" s="408"/>
      <c r="S176" s="408"/>
      <c r="T176" s="408"/>
      <c r="U176" s="408"/>
      <c r="V176" s="421"/>
      <c r="W176" s="421"/>
      <c r="X176" s="421"/>
      <c r="Y176" s="421"/>
      <c r="Z176" s="421"/>
      <c r="AA176" s="421"/>
      <c r="AB176" s="421"/>
      <c r="AC176" s="421"/>
      <c r="AD176" s="421"/>
      <c r="AE176" s="421"/>
      <c r="AF176" s="421"/>
      <c r="AG176" s="421"/>
      <c r="AH176" s="421"/>
      <c r="AI176" s="421"/>
      <c r="AJ176" s="421"/>
      <c r="AK176" s="421"/>
      <c r="AL176" s="421"/>
    </row>
    <row r="177" spans="1:38">
      <c r="A177" s="410">
        <v>5351</v>
      </c>
      <c r="B177" s="407"/>
      <c r="C177" s="408"/>
      <c r="D177" s="410" t="s">
        <v>1756</v>
      </c>
      <c r="E177" s="410" t="s">
        <v>1585</v>
      </c>
      <c r="F177" s="410" t="s">
        <v>1476</v>
      </c>
      <c r="G177" s="68" t="str">
        <f t="shared" si="11"/>
        <v>DUAL</v>
      </c>
      <c r="H177" s="197">
        <f t="shared" si="10"/>
        <v>8</v>
      </c>
      <c r="I177" s="408">
        <f t="shared" si="13"/>
        <v>2</v>
      </c>
      <c r="J177" s="408">
        <f t="shared" si="14"/>
        <v>18</v>
      </c>
      <c r="K177" s="411">
        <v>45706</v>
      </c>
      <c r="L177" s="408"/>
      <c r="M177" s="408"/>
      <c r="N177" s="3" t="str">
        <f t="shared" si="12"/>
        <v/>
      </c>
      <c r="O177" s="408"/>
      <c r="P177" s="408"/>
      <c r="Q177" s="408"/>
      <c r="R177" s="408"/>
      <c r="S177" s="408"/>
      <c r="T177" s="408"/>
      <c r="U177" s="408"/>
      <c r="V177" s="421"/>
      <c r="W177" s="421"/>
      <c r="X177" s="421"/>
      <c r="Y177" s="421"/>
      <c r="Z177" s="421"/>
      <c r="AA177" s="421"/>
      <c r="AB177" s="421"/>
      <c r="AC177" s="421"/>
      <c r="AD177" s="421"/>
      <c r="AE177" s="421"/>
      <c r="AF177" s="421"/>
      <c r="AG177" s="421"/>
      <c r="AH177" s="421"/>
      <c r="AI177" s="421"/>
      <c r="AJ177" s="421"/>
      <c r="AK177" s="421"/>
      <c r="AL177" s="421"/>
    </row>
    <row r="178" spans="1:38">
      <c r="A178" s="410">
        <v>5351</v>
      </c>
      <c r="B178" s="407"/>
      <c r="C178" s="408"/>
      <c r="D178" s="410" t="s">
        <v>1757</v>
      </c>
      <c r="E178" s="410" t="s">
        <v>1585</v>
      </c>
      <c r="F178" s="410" t="s">
        <v>1476</v>
      </c>
      <c r="G178" s="68" t="str">
        <f t="shared" si="11"/>
        <v>DUAL</v>
      </c>
      <c r="H178" s="197">
        <f t="shared" si="10"/>
        <v>8</v>
      </c>
      <c r="I178" s="408">
        <f t="shared" si="13"/>
        <v>2</v>
      </c>
      <c r="J178" s="408">
        <f t="shared" si="14"/>
        <v>18</v>
      </c>
      <c r="K178" s="411">
        <v>45706</v>
      </c>
      <c r="L178" s="408"/>
      <c r="M178" s="408"/>
      <c r="N178" s="3" t="str">
        <f t="shared" si="12"/>
        <v/>
      </c>
      <c r="O178" s="408"/>
      <c r="P178" s="408"/>
      <c r="Q178" s="408"/>
      <c r="R178" s="408"/>
      <c r="S178" s="408"/>
      <c r="T178" s="408"/>
      <c r="U178" s="408"/>
      <c r="V178" s="421"/>
      <c r="W178" s="421"/>
      <c r="X178" s="421"/>
      <c r="Y178" s="421"/>
      <c r="Z178" s="421"/>
      <c r="AA178" s="421"/>
      <c r="AB178" s="421"/>
      <c r="AC178" s="421"/>
      <c r="AD178" s="421"/>
      <c r="AE178" s="421"/>
      <c r="AF178" s="421"/>
      <c r="AG178" s="421"/>
      <c r="AH178" s="421"/>
      <c r="AI178" s="421"/>
      <c r="AJ178" s="421"/>
      <c r="AK178" s="421"/>
      <c r="AL178" s="421"/>
    </row>
    <row r="179" spans="1:38" s="180" customFormat="1">
      <c r="A179" s="412">
        <v>5352</v>
      </c>
      <c r="B179" s="413"/>
      <c r="C179" s="414"/>
      <c r="D179" s="412" t="s">
        <v>1704</v>
      </c>
      <c r="E179" s="412" t="s">
        <v>1585</v>
      </c>
      <c r="F179" s="412" t="s">
        <v>1476</v>
      </c>
      <c r="G179" s="68" t="str">
        <f t="shared" si="11"/>
        <v>DUAL</v>
      </c>
      <c r="H179" s="197">
        <f t="shared" si="10"/>
        <v>8</v>
      </c>
      <c r="I179" s="414">
        <f t="shared" si="13"/>
        <v>2</v>
      </c>
      <c r="J179" s="414">
        <f t="shared" si="14"/>
        <v>18</v>
      </c>
      <c r="K179" s="415">
        <v>45706</v>
      </c>
      <c r="L179" s="414"/>
      <c r="M179" s="414"/>
      <c r="N179" s="3" t="str">
        <f t="shared" si="12"/>
        <v/>
      </c>
      <c r="O179" s="414"/>
      <c r="P179" s="414"/>
      <c r="Q179" s="414"/>
      <c r="R179" s="414"/>
      <c r="S179" s="414"/>
      <c r="T179" s="414"/>
      <c r="U179" s="414"/>
      <c r="V179" s="419"/>
      <c r="W179" s="419"/>
      <c r="X179" s="419"/>
      <c r="Y179" s="419"/>
      <c r="Z179" s="419"/>
      <c r="AA179" s="419"/>
      <c r="AB179" s="419"/>
      <c r="AC179" s="419"/>
      <c r="AD179" s="419"/>
      <c r="AE179" s="419"/>
      <c r="AF179" s="419"/>
      <c r="AG179" s="419"/>
      <c r="AH179" s="419"/>
      <c r="AI179" s="419"/>
      <c r="AJ179" s="419"/>
      <c r="AK179" s="419"/>
      <c r="AL179" s="419"/>
    </row>
    <row r="180" spans="1:38">
      <c r="A180" s="410">
        <v>5460</v>
      </c>
      <c r="B180" s="407"/>
      <c r="C180" s="408"/>
      <c r="D180" s="410" t="s">
        <v>1758</v>
      </c>
      <c r="E180" s="410" t="s">
        <v>1405</v>
      </c>
      <c r="F180" s="410" t="s">
        <v>1591</v>
      </c>
      <c r="G180" s="68" t="str">
        <f t="shared" si="11"/>
        <v>SINGLE</v>
      </c>
      <c r="H180" s="197">
        <f t="shared" si="10"/>
        <v>8</v>
      </c>
      <c r="I180" s="408">
        <f t="shared" si="13"/>
        <v>2</v>
      </c>
      <c r="J180" s="408">
        <f t="shared" si="14"/>
        <v>18</v>
      </c>
      <c r="K180" s="411">
        <v>45706</v>
      </c>
      <c r="L180" s="408"/>
      <c r="M180" s="408"/>
      <c r="N180" s="3" t="str">
        <f t="shared" si="12"/>
        <v/>
      </c>
      <c r="O180" s="408"/>
      <c r="P180" s="408"/>
      <c r="Q180" s="408"/>
      <c r="R180" s="408"/>
      <c r="S180" s="408"/>
      <c r="T180" s="408"/>
      <c r="U180" s="408"/>
      <c r="V180" s="421"/>
      <c r="W180" s="421"/>
      <c r="X180" s="421"/>
      <c r="Y180" s="421"/>
      <c r="Z180" s="421"/>
      <c r="AA180" s="421"/>
      <c r="AB180" s="421"/>
      <c r="AC180" s="421"/>
      <c r="AD180" s="421"/>
      <c r="AE180" s="421"/>
      <c r="AF180" s="421"/>
      <c r="AG180" s="421"/>
      <c r="AH180" s="421"/>
      <c r="AI180" s="421"/>
      <c r="AJ180" s="421"/>
      <c r="AK180" s="421"/>
      <c r="AL180" s="421"/>
    </row>
    <row r="181" spans="1:38">
      <c r="A181" s="410">
        <v>5460</v>
      </c>
      <c r="B181" s="407"/>
      <c r="C181" s="408"/>
      <c r="D181" s="410" t="s">
        <v>1759</v>
      </c>
      <c r="E181" s="410" t="s">
        <v>1405</v>
      </c>
      <c r="F181" s="410" t="s">
        <v>1591</v>
      </c>
      <c r="G181" s="68" t="str">
        <f t="shared" si="11"/>
        <v>SINGLE</v>
      </c>
      <c r="H181" s="197">
        <f t="shared" si="10"/>
        <v>8</v>
      </c>
      <c r="I181" s="408">
        <f t="shared" si="13"/>
        <v>2</v>
      </c>
      <c r="J181" s="408">
        <f t="shared" si="14"/>
        <v>18</v>
      </c>
      <c r="K181" s="411">
        <v>45706</v>
      </c>
      <c r="L181" s="408"/>
      <c r="M181" s="408"/>
      <c r="N181" s="3" t="str">
        <f t="shared" si="12"/>
        <v/>
      </c>
      <c r="O181" s="408"/>
      <c r="P181" s="408"/>
      <c r="Q181" s="408"/>
      <c r="R181" s="408"/>
      <c r="S181" s="408"/>
      <c r="T181" s="408"/>
      <c r="U181" s="408"/>
      <c r="V181" s="421"/>
      <c r="W181" s="421"/>
      <c r="X181" s="421"/>
      <c r="Y181" s="421"/>
      <c r="Z181" s="421"/>
      <c r="AA181" s="421"/>
      <c r="AB181" s="421"/>
      <c r="AC181" s="421"/>
      <c r="AD181" s="421"/>
      <c r="AE181" s="421"/>
      <c r="AF181" s="421"/>
      <c r="AG181" s="421"/>
      <c r="AH181" s="421"/>
      <c r="AI181" s="421"/>
      <c r="AJ181" s="421"/>
      <c r="AK181" s="421"/>
      <c r="AL181" s="421"/>
    </row>
    <row r="182" spans="1:38">
      <c r="A182" s="410">
        <v>5460</v>
      </c>
      <c r="B182" s="407"/>
      <c r="C182" s="408"/>
      <c r="D182" s="410" t="s">
        <v>1760</v>
      </c>
      <c r="E182" s="410" t="s">
        <v>1405</v>
      </c>
      <c r="F182" s="410" t="s">
        <v>1591</v>
      </c>
      <c r="G182" s="68" t="str">
        <f t="shared" si="11"/>
        <v>SINGLE</v>
      </c>
      <c r="H182" s="197">
        <f t="shared" si="10"/>
        <v>8</v>
      </c>
      <c r="I182" s="408">
        <f t="shared" si="13"/>
        <v>2</v>
      </c>
      <c r="J182" s="408">
        <f t="shared" si="14"/>
        <v>18</v>
      </c>
      <c r="K182" s="411">
        <v>45706</v>
      </c>
      <c r="L182" s="408"/>
      <c r="M182" s="408"/>
      <c r="N182" s="3" t="str">
        <f t="shared" si="12"/>
        <v/>
      </c>
      <c r="O182" s="408"/>
      <c r="P182" s="408"/>
      <c r="Q182" s="408"/>
      <c r="R182" s="408"/>
      <c r="S182" s="408"/>
      <c r="T182" s="408"/>
      <c r="U182" s="408"/>
      <c r="V182" s="421"/>
      <c r="W182" s="421"/>
      <c r="X182" s="421"/>
      <c r="Y182" s="421"/>
      <c r="Z182" s="421"/>
      <c r="AA182" s="421"/>
      <c r="AB182" s="421"/>
      <c r="AC182" s="421"/>
      <c r="AD182" s="421"/>
      <c r="AE182" s="421"/>
      <c r="AF182" s="421"/>
      <c r="AG182" s="421"/>
      <c r="AH182" s="421"/>
      <c r="AI182" s="421"/>
      <c r="AJ182" s="421"/>
      <c r="AK182" s="421"/>
      <c r="AL182" s="421"/>
    </row>
    <row r="183" spans="1:38">
      <c r="A183" s="410">
        <v>5460</v>
      </c>
      <c r="B183" s="407"/>
      <c r="C183" s="408"/>
      <c r="D183" s="410" t="s">
        <v>1761</v>
      </c>
      <c r="E183" s="410" t="s">
        <v>1405</v>
      </c>
      <c r="F183" s="410" t="s">
        <v>1591</v>
      </c>
      <c r="G183" s="68" t="str">
        <f t="shared" si="11"/>
        <v>SINGLE</v>
      </c>
      <c r="H183" s="197">
        <f t="shared" si="10"/>
        <v>8</v>
      </c>
      <c r="I183" s="408">
        <f t="shared" si="13"/>
        <v>2</v>
      </c>
      <c r="J183" s="408">
        <f t="shared" si="14"/>
        <v>18</v>
      </c>
      <c r="K183" s="411">
        <v>45706</v>
      </c>
      <c r="L183" s="408"/>
      <c r="M183" s="408"/>
      <c r="N183" s="3" t="str">
        <f t="shared" si="12"/>
        <v/>
      </c>
      <c r="O183" s="408"/>
      <c r="P183" s="408"/>
      <c r="Q183" s="408"/>
      <c r="R183" s="408"/>
      <c r="S183" s="408"/>
      <c r="T183" s="408"/>
      <c r="U183" s="408"/>
      <c r="V183" s="421"/>
      <c r="W183" s="421"/>
      <c r="X183" s="421"/>
      <c r="Y183" s="421"/>
      <c r="Z183" s="421"/>
      <c r="AA183" s="421"/>
      <c r="AB183" s="421"/>
      <c r="AC183" s="421"/>
      <c r="AD183" s="421"/>
      <c r="AE183" s="421"/>
      <c r="AF183" s="421"/>
      <c r="AG183" s="421"/>
      <c r="AH183" s="421"/>
      <c r="AI183" s="421"/>
      <c r="AJ183" s="421"/>
      <c r="AK183" s="421"/>
      <c r="AL183" s="421"/>
    </row>
    <row r="184" spans="1:38">
      <c r="A184" s="410">
        <v>5445</v>
      </c>
      <c r="B184" s="407"/>
      <c r="C184" s="408"/>
      <c r="D184" s="410" t="s">
        <v>1762</v>
      </c>
      <c r="E184" s="410" t="s">
        <v>1585</v>
      </c>
      <c r="F184" s="410" t="s">
        <v>1476</v>
      </c>
      <c r="G184" s="68" t="str">
        <f t="shared" si="11"/>
        <v>DUAL</v>
      </c>
      <c r="H184" s="197">
        <f t="shared" si="10"/>
        <v>8</v>
      </c>
      <c r="I184" s="408">
        <f t="shared" si="13"/>
        <v>2</v>
      </c>
      <c r="J184" s="408">
        <f t="shared" si="14"/>
        <v>18</v>
      </c>
      <c r="K184" s="411">
        <v>45706</v>
      </c>
      <c r="L184" s="408"/>
      <c r="M184" s="408"/>
      <c r="N184" s="3" t="str">
        <f t="shared" si="12"/>
        <v/>
      </c>
      <c r="O184" s="408"/>
      <c r="P184" s="408"/>
      <c r="Q184" s="408"/>
      <c r="R184" s="408"/>
      <c r="S184" s="408"/>
      <c r="T184" s="408"/>
      <c r="U184" s="408"/>
      <c r="V184" s="421"/>
      <c r="W184" s="421"/>
      <c r="X184" s="421"/>
      <c r="Y184" s="421"/>
      <c r="Z184" s="421"/>
      <c r="AA184" s="421"/>
      <c r="AB184" s="421"/>
      <c r="AC184" s="421"/>
      <c r="AD184" s="421"/>
      <c r="AE184" s="421"/>
      <c r="AF184" s="421"/>
      <c r="AG184" s="421"/>
      <c r="AH184" s="421"/>
      <c r="AI184" s="421"/>
      <c r="AJ184" s="421"/>
      <c r="AK184" s="421"/>
      <c r="AL184" s="421"/>
    </row>
    <row r="185" spans="1:38">
      <c r="A185" s="410">
        <v>5399</v>
      </c>
      <c r="B185" s="407"/>
      <c r="C185" s="408"/>
      <c r="D185" s="410" t="s">
        <v>1763</v>
      </c>
      <c r="E185" s="410" t="s">
        <v>1585</v>
      </c>
      <c r="F185" s="410" t="s">
        <v>1476</v>
      </c>
      <c r="G185" s="68" t="str">
        <f t="shared" si="11"/>
        <v>DUAL</v>
      </c>
      <c r="H185" s="197">
        <f t="shared" si="10"/>
        <v>8</v>
      </c>
      <c r="I185" s="408">
        <f t="shared" si="13"/>
        <v>2</v>
      </c>
      <c r="J185" s="408">
        <f t="shared" si="14"/>
        <v>18</v>
      </c>
      <c r="K185" s="411">
        <v>45706</v>
      </c>
      <c r="L185" s="408"/>
      <c r="M185" s="408"/>
      <c r="N185" s="3" t="str">
        <f t="shared" si="12"/>
        <v/>
      </c>
      <c r="O185" s="408"/>
      <c r="P185" s="408"/>
      <c r="Q185" s="408"/>
      <c r="R185" s="408"/>
      <c r="S185" s="408"/>
      <c r="T185" s="408"/>
      <c r="U185" s="408"/>
      <c r="V185" s="421"/>
      <c r="W185" s="421"/>
      <c r="X185" s="421"/>
      <c r="Y185" s="421"/>
      <c r="Z185" s="421"/>
      <c r="AA185" s="421"/>
      <c r="AB185" s="421"/>
      <c r="AC185" s="421"/>
      <c r="AD185" s="421"/>
      <c r="AE185" s="421"/>
      <c r="AF185" s="421"/>
      <c r="AG185" s="421"/>
      <c r="AH185" s="421"/>
      <c r="AI185" s="421"/>
      <c r="AJ185" s="421"/>
      <c r="AK185" s="421"/>
      <c r="AL185" s="421"/>
    </row>
    <row r="186" spans="1:38">
      <c r="A186" s="410">
        <v>5459</v>
      </c>
      <c r="B186" s="407"/>
      <c r="C186" s="408"/>
      <c r="D186" s="410" t="s">
        <v>1764</v>
      </c>
      <c r="E186" s="410" t="s">
        <v>1405</v>
      </c>
      <c r="F186" s="410" t="s">
        <v>1477</v>
      </c>
      <c r="G186" s="68" t="str">
        <f t="shared" si="11"/>
        <v>SINGLE</v>
      </c>
      <c r="H186" s="197">
        <f t="shared" si="10"/>
        <v>8</v>
      </c>
      <c r="I186" s="408">
        <f t="shared" si="13"/>
        <v>2</v>
      </c>
      <c r="J186" s="408">
        <f t="shared" si="14"/>
        <v>19</v>
      </c>
      <c r="K186" s="411">
        <v>45707</v>
      </c>
      <c r="L186" s="408"/>
      <c r="M186" s="408"/>
      <c r="N186" s="3" t="str">
        <f t="shared" si="12"/>
        <v/>
      </c>
      <c r="O186" s="408"/>
      <c r="P186" s="408"/>
      <c r="Q186" s="408"/>
      <c r="R186" s="408"/>
      <c r="S186" s="408"/>
      <c r="T186" s="408"/>
      <c r="U186" s="408"/>
      <c r="V186" s="421"/>
      <c r="W186" s="421"/>
      <c r="X186" s="421"/>
      <c r="Y186" s="421"/>
      <c r="Z186" s="421"/>
      <c r="AA186" s="421"/>
      <c r="AB186" s="421"/>
      <c r="AC186" s="421"/>
      <c r="AD186" s="421"/>
      <c r="AE186" s="421"/>
      <c r="AF186" s="421"/>
      <c r="AG186" s="421"/>
      <c r="AH186" s="421"/>
      <c r="AI186" s="421"/>
      <c r="AJ186" s="421"/>
      <c r="AK186" s="421"/>
      <c r="AL186" s="421"/>
    </row>
    <row r="187" spans="1:38">
      <c r="A187" s="410">
        <v>5459</v>
      </c>
      <c r="B187" s="407"/>
      <c r="C187" s="408"/>
      <c r="D187" s="410" t="s">
        <v>1765</v>
      </c>
      <c r="E187" s="410" t="s">
        <v>1405</v>
      </c>
      <c r="F187" s="410" t="s">
        <v>1477</v>
      </c>
      <c r="G187" s="68" t="str">
        <f t="shared" si="11"/>
        <v>SINGLE</v>
      </c>
      <c r="H187" s="197">
        <f t="shared" si="10"/>
        <v>8</v>
      </c>
      <c r="I187" s="408">
        <f t="shared" si="13"/>
        <v>2</v>
      </c>
      <c r="J187" s="408">
        <f t="shared" si="14"/>
        <v>19</v>
      </c>
      <c r="K187" s="411">
        <v>45707</v>
      </c>
      <c r="L187" s="408"/>
      <c r="M187" s="408"/>
      <c r="N187" s="3" t="str">
        <f t="shared" si="12"/>
        <v/>
      </c>
      <c r="O187" s="408"/>
      <c r="P187" s="408"/>
      <c r="Q187" s="408"/>
      <c r="R187" s="408"/>
      <c r="S187" s="408"/>
      <c r="T187" s="408"/>
      <c r="U187" s="408"/>
      <c r="V187" s="421"/>
      <c r="W187" s="421"/>
      <c r="X187" s="421"/>
      <c r="Y187" s="421"/>
      <c r="Z187" s="421"/>
      <c r="AA187" s="421"/>
      <c r="AB187" s="421"/>
      <c r="AC187" s="421"/>
      <c r="AD187" s="421"/>
      <c r="AE187" s="421"/>
      <c r="AF187" s="421"/>
      <c r="AG187" s="421"/>
      <c r="AH187" s="421"/>
      <c r="AI187" s="421"/>
      <c r="AJ187" s="421"/>
      <c r="AK187" s="421"/>
      <c r="AL187" s="421"/>
    </row>
    <row r="188" spans="1:38">
      <c r="A188" s="410">
        <v>5459</v>
      </c>
      <c r="B188" s="407"/>
      <c r="C188" s="408"/>
      <c r="D188" s="410" t="s">
        <v>1766</v>
      </c>
      <c r="E188" s="410" t="s">
        <v>1405</v>
      </c>
      <c r="F188" s="410" t="s">
        <v>1477</v>
      </c>
      <c r="G188" s="68" t="str">
        <f t="shared" si="11"/>
        <v>SINGLE</v>
      </c>
      <c r="H188" s="197">
        <f t="shared" si="10"/>
        <v>8</v>
      </c>
      <c r="I188" s="408">
        <f t="shared" si="13"/>
        <v>2</v>
      </c>
      <c r="J188" s="408">
        <f t="shared" si="14"/>
        <v>19</v>
      </c>
      <c r="K188" s="411">
        <v>45707</v>
      </c>
      <c r="L188" s="408"/>
      <c r="M188" s="408"/>
      <c r="N188" s="3" t="str">
        <f t="shared" si="12"/>
        <v/>
      </c>
      <c r="O188" s="408"/>
      <c r="P188" s="408"/>
      <c r="Q188" s="408"/>
      <c r="R188" s="408"/>
      <c r="S188" s="408"/>
      <c r="T188" s="408"/>
      <c r="U188" s="408"/>
      <c r="V188" s="421"/>
      <c r="W188" s="421"/>
      <c r="X188" s="421"/>
      <c r="Y188" s="421"/>
      <c r="Z188" s="421"/>
      <c r="AA188" s="421"/>
      <c r="AB188" s="421"/>
      <c r="AC188" s="421"/>
      <c r="AD188" s="421"/>
      <c r="AE188" s="421"/>
      <c r="AF188" s="421"/>
      <c r="AG188" s="421"/>
      <c r="AH188" s="421"/>
      <c r="AI188" s="421"/>
      <c r="AJ188" s="421"/>
      <c r="AK188" s="421"/>
      <c r="AL188" s="421"/>
    </row>
    <row r="189" spans="1:38">
      <c r="A189" s="410">
        <v>5459</v>
      </c>
      <c r="B189" s="407"/>
      <c r="C189" s="408"/>
      <c r="D189" s="410" t="s">
        <v>1767</v>
      </c>
      <c r="E189" s="410" t="s">
        <v>1405</v>
      </c>
      <c r="F189" s="410" t="s">
        <v>1477</v>
      </c>
      <c r="G189" s="68" t="str">
        <f t="shared" si="11"/>
        <v>SINGLE</v>
      </c>
      <c r="H189" s="197">
        <f t="shared" si="10"/>
        <v>8</v>
      </c>
      <c r="I189" s="408">
        <f t="shared" si="13"/>
        <v>2</v>
      </c>
      <c r="J189" s="408">
        <f t="shared" si="14"/>
        <v>19</v>
      </c>
      <c r="K189" s="411">
        <v>45707</v>
      </c>
      <c r="L189" s="408"/>
      <c r="M189" s="408"/>
      <c r="N189" s="3" t="str">
        <f t="shared" si="12"/>
        <v/>
      </c>
      <c r="O189" s="408"/>
      <c r="P189" s="408"/>
      <c r="Q189" s="408"/>
      <c r="R189" s="408"/>
      <c r="S189" s="408"/>
      <c r="T189" s="408"/>
      <c r="U189" s="408"/>
      <c r="V189" s="421"/>
      <c r="W189" s="421"/>
      <c r="X189" s="421"/>
      <c r="Y189" s="421"/>
      <c r="Z189" s="421"/>
      <c r="AA189" s="421"/>
      <c r="AB189" s="421"/>
      <c r="AC189" s="421"/>
      <c r="AD189" s="421"/>
      <c r="AE189" s="421"/>
      <c r="AF189" s="421"/>
      <c r="AG189" s="421"/>
      <c r="AH189" s="421"/>
      <c r="AI189" s="421"/>
      <c r="AJ189" s="421"/>
      <c r="AK189" s="421"/>
      <c r="AL189" s="421"/>
    </row>
    <row r="190" spans="1:38">
      <c r="A190" s="410">
        <v>5447</v>
      </c>
      <c r="B190" s="407"/>
      <c r="C190" s="408"/>
      <c r="D190" s="410" t="s">
        <v>1768</v>
      </c>
      <c r="E190" s="410" t="s">
        <v>1405</v>
      </c>
      <c r="F190" s="410" t="s">
        <v>1477</v>
      </c>
      <c r="G190" s="68" t="str">
        <f t="shared" si="11"/>
        <v>SINGLE</v>
      </c>
      <c r="H190" s="197">
        <f t="shared" si="10"/>
        <v>8</v>
      </c>
      <c r="I190" s="408">
        <f t="shared" si="13"/>
        <v>2</v>
      </c>
      <c r="J190" s="408">
        <f t="shared" si="14"/>
        <v>19</v>
      </c>
      <c r="K190" s="411">
        <v>45707</v>
      </c>
      <c r="L190" s="408"/>
      <c r="M190" s="408"/>
      <c r="N190" s="3" t="str">
        <f t="shared" si="12"/>
        <v/>
      </c>
      <c r="O190" s="408"/>
      <c r="P190" s="408"/>
      <c r="Q190" s="408"/>
      <c r="R190" s="408"/>
      <c r="S190" s="408"/>
      <c r="T190" s="408"/>
      <c r="U190" s="408"/>
      <c r="V190" s="421"/>
      <c r="W190" s="421"/>
      <c r="X190" s="421"/>
      <c r="Y190" s="421"/>
      <c r="Z190" s="421"/>
      <c r="AA190" s="421"/>
      <c r="AB190" s="421"/>
      <c r="AC190" s="421"/>
      <c r="AD190" s="421"/>
      <c r="AE190" s="421"/>
      <c r="AF190" s="421"/>
      <c r="AG190" s="421"/>
      <c r="AH190" s="421"/>
      <c r="AI190" s="421"/>
      <c r="AJ190" s="421"/>
      <c r="AK190" s="421"/>
      <c r="AL190" s="421"/>
    </row>
    <row r="191" spans="1:38">
      <c r="A191" s="410">
        <v>5447</v>
      </c>
      <c r="B191" s="407"/>
      <c r="C191" s="408"/>
      <c r="D191" s="410" t="s">
        <v>1769</v>
      </c>
      <c r="E191" s="410" t="s">
        <v>1405</v>
      </c>
      <c r="F191" s="410" t="s">
        <v>1477</v>
      </c>
      <c r="G191" s="68" t="str">
        <f t="shared" si="11"/>
        <v>SINGLE</v>
      </c>
      <c r="H191" s="197">
        <f t="shared" si="10"/>
        <v>8</v>
      </c>
      <c r="I191" s="408">
        <f t="shared" si="13"/>
        <v>2</v>
      </c>
      <c r="J191" s="408">
        <f t="shared" si="14"/>
        <v>19</v>
      </c>
      <c r="K191" s="411">
        <v>45707</v>
      </c>
      <c r="L191" s="408"/>
      <c r="M191" s="408"/>
      <c r="N191" s="3" t="str">
        <f t="shared" si="12"/>
        <v/>
      </c>
      <c r="O191" s="408"/>
      <c r="P191" s="408"/>
      <c r="Q191" s="408"/>
      <c r="R191" s="408"/>
      <c r="S191" s="408"/>
      <c r="T191" s="408"/>
      <c r="U191" s="408"/>
      <c r="V191" s="421"/>
      <c r="W191" s="421"/>
      <c r="X191" s="421"/>
      <c r="Y191" s="421"/>
      <c r="Z191" s="421"/>
      <c r="AA191" s="421"/>
      <c r="AB191" s="421"/>
      <c r="AC191" s="421"/>
      <c r="AD191" s="421"/>
      <c r="AE191" s="421"/>
      <c r="AF191" s="421"/>
      <c r="AG191" s="421"/>
      <c r="AH191" s="421"/>
      <c r="AI191" s="421"/>
      <c r="AJ191" s="421"/>
      <c r="AK191" s="421"/>
      <c r="AL191" s="421"/>
    </row>
    <row r="192" spans="1:38">
      <c r="A192" s="410">
        <v>5447</v>
      </c>
      <c r="B192" s="407"/>
      <c r="C192" s="408"/>
      <c r="D192" s="410" t="s">
        <v>1770</v>
      </c>
      <c r="E192" s="410" t="s">
        <v>1405</v>
      </c>
      <c r="F192" s="410" t="s">
        <v>1477</v>
      </c>
      <c r="G192" s="68" t="str">
        <f t="shared" si="11"/>
        <v>SINGLE</v>
      </c>
      <c r="H192" s="197">
        <f t="shared" si="10"/>
        <v>8</v>
      </c>
      <c r="I192" s="408">
        <f t="shared" si="13"/>
        <v>2</v>
      </c>
      <c r="J192" s="408">
        <f t="shared" si="14"/>
        <v>19</v>
      </c>
      <c r="K192" s="411">
        <v>45707</v>
      </c>
      <c r="L192" s="408"/>
      <c r="M192" s="408"/>
      <c r="N192" s="3" t="str">
        <f t="shared" si="12"/>
        <v/>
      </c>
      <c r="O192" s="408"/>
      <c r="P192" s="408"/>
      <c r="Q192" s="408"/>
      <c r="R192" s="408"/>
      <c r="S192" s="408"/>
      <c r="T192" s="408"/>
      <c r="U192" s="408"/>
      <c r="V192" s="421"/>
      <c r="W192" s="421"/>
      <c r="X192" s="421"/>
      <c r="Y192" s="421"/>
      <c r="Z192" s="421"/>
      <c r="AA192" s="421"/>
      <c r="AB192" s="421"/>
      <c r="AC192" s="421"/>
      <c r="AD192" s="421"/>
      <c r="AE192" s="421"/>
      <c r="AF192" s="421"/>
      <c r="AG192" s="421"/>
      <c r="AH192" s="421"/>
      <c r="AI192" s="421"/>
      <c r="AJ192" s="421"/>
      <c r="AK192" s="421"/>
      <c r="AL192" s="421"/>
    </row>
    <row r="193" spans="1:38">
      <c r="A193" s="410">
        <v>5447</v>
      </c>
      <c r="B193" s="407"/>
      <c r="C193" s="408"/>
      <c r="D193" s="410" t="s">
        <v>1771</v>
      </c>
      <c r="E193" s="410" t="s">
        <v>1405</v>
      </c>
      <c r="F193" s="410" t="s">
        <v>1477</v>
      </c>
      <c r="G193" s="68" t="str">
        <f t="shared" si="11"/>
        <v>SINGLE</v>
      </c>
      <c r="H193" s="197">
        <f t="shared" ref="H193:H256" si="15">WEEKNUM(K193)</f>
        <v>8</v>
      </c>
      <c r="I193" s="408">
        <f t="shared" si="13"/>
        <v>2</v>
      </c>
      <c r="J193" s="408">
        <f t="shared" si="14"/>
        <v>19</v>
      </c>
      <c r="K193" s="411">
        <v>45707</v>
      </c>
      <c r="L193" s="408"/>
      <c r="M193" s="408"/>
      <c r="N193" s="3" t="str">
        <f t="shared" si="12"/>
        <v/>
      </c>
      <c r="O193" s="408"/>
      <c r="P193" s="408"/>
      <c r="Q193" s="408"/>
      <c r="R193" s="408"/>
      <c r="S193" s="408"/>
      <c r="T193" s="408"/>
      <c r="U193" s="408"/>
      <c r="V193" s="421"/>
      <c r="W193" s="421"/>
      <c r="X193" s="421"/>
      <c r="Y193" s="421"/>
      <c r="Z193" s="421"/>
      <c r="AA193" s="421"/>
      <c r="AB193" s="421"/>
      <c r="AC193" s="421"/>
      <c r="AD193" s="421"/>
      <c r="AE193" s="421"/>
      <c r="AF193" s="421"/>
      <c r="AG193" s="421"/>
      <c r="AH193" s="421"/>
      <c r="AI193" s="421"/>
      <c r="AJ193" s="421"/>
      <c r="AK193" s="421"/>
      <c r="AL193" s="421"/>
    </row>
    <row r="194" spans="1:38">
      <c r="A194" s="410">
        <v>5347</v>
      </c>
      <c r="B194" s="407"/>
      <c r="C194" s="408"/>
      <c r="D194" s="410" t="s">
        <v>1772</v>
      </c>
      <c r="E194" s="410" t="s">
        <v>1426</v>
      </c>
      <c r="F194" s="410" t="s">
        <v>1476</v>
      </c>
      <c r="G194" s="68" t="str">
        <f t="shared" ref="G194:G257" si="16">IF(OR(ISNUMBER(SEARCH("DUAL",F194)), ISNUMBER(SEARCH("IVAS",F194))), "DUAL", "SINGLE")</f>
        <v>DUAL</v>
      </c>
      <c r="H194" s="197">
        <f t="shared" si="15"/>
        <v>8</v>
      </c>
      <c r="I194" s="408">
        <f t="shared" si="13"/>
        <v>2</v>
      </c>
      <c r="J194" s="408">
        <f t="shared" si="14"/>
        <v>19</v>
      </c>
      <c r="K194" s="411">
        <v>45707</v>
      </c>
      <c r="L194" s="408"/>
      <c r="M194" s="408"/>
      <c r="N194" s="3" t="str">
        <f t="shared" ref="N194:N257" si="17">IF(O194&lt;&gt;"", "NG", "")</f>
        <v/>
      </c>
      <c r="O194" s="408"/>
      <c r="P194" s="408"/>
      <c r="Q194" s="408"/>
      <c r="R194" s="408"/>
      <c r="S194" s="408"/>
      <c r="T194" s="408"/>
      <c r="U194" s="408"/>
      <c r="V194" s="421"/>
      <c r="W194" s="421"/>
      <c r="X194" s="421"/>
      <c r="Y194" s="421"/>
      <c r="Z194" s="421"/>
      <c r="AA194" s="421"/>
      <c r="AB194" s="421"/>
      <c r="AC194" s="421"/>
      <c r="AD194" s="421"/>
      <c r="AE194" s="421"/>
      <c r="AF194" s="421"/>
      <c r="AG194" s="421"/>
      <c r="AH194" s="421"/>
      <c r="AI194" s="421"/>
      <c r="AJ194" s="421"/>
      <c r="AK194" s="421"/>
      <c r="AL194" s="421"/>
    </row>
    <row r="195" spans="1:38">
      <c r="A195" s="410">
        <v>5351</v>
      </c>
      <c r="B195" s="407"/>
      <c r="C195" s="408"/>
      <c r="D195" s="410" t="s">
        <v>1773</v>
      </c>
      <c r="E195" s="410" t="s">
        <v>1585</v>
      </c>
      <c r="F195" s="410" t="s">
        <v>1476</v>
      </c>
      <c r="G195" s="68" t="str">
        <f t="shared" si="16"/>
        <v>DUAL</v>
      </c>
      <c r="H195" s="197">
        <f t="shared" si="15"/>
        <v>8</v>
      </c>
      <c r="I195" s="408">
        <f t="shared" ref="I195:I258" si="18">MONTH(K195)</f>
        <v>2</v>
      </c>
      <c r="J195" s="408">
        <f t="shared" ref="J195:J258" si="19">DAY(K195)</f>
        <v>20</v>
      </c>
      <c r="K195" s="411">
        <v>45708</v>
      </c>
      <c r="L195" s="408"/>
      <c r="M195" s="408"/>
      <c r="N195" s="3" t="str">
        <f t="shared" si="17"/>
        <v/>
      </c>
      <c r="O195" s="408"/>
      <c r="P195" s="408"/>
      <c r="Q195" s="408"/>
      <c r="R195" s="408"/>
      <c r="S195" s="408"/>
      <c r="T195" s="408"/>
      <c r="U195" s="408"/>
      <c r="V195" s="421"/>
      <c r="W195" s="421"/>
      <c r="X195" s="421"/>
      <c r="Y195" s="421"/>
      <c r="Z195" s="421"/>
      <c r="AA195" s="421"/>
      <c r="AB195" s="421"/>
      <c r="AC195" s="421"/>
      <c r="AD195" s="421"/>
      <c r="AE195" s="421"/>
      <c r="AF195" s="421"/>
      <c r="AG195" s="421"/>
      <c r="AH195" s="421"/>
      <c r="AI195" s="421"/>
      <c r="AJ195" s="421"/>
      <c r="AK195" s="421"/>
      <c r="AL195" s="421"/>
    </row>
    <row r="196" spans="1:38">
      <c r="A196" s="410">
        <v>5351</v>
      </c>
      <c r="B196" s="407"/>
      <c r="C196" s="408"/>
      <c r="D196" s="410" t="s">
        <v>1774</v>
      </c>
      <c r="E196" s="410" t="s">
        <v>1585</v>
      </c>
      <c r="F196" s="410" t="s">
        <v>1476</v>
      </c>
      <c r="G196" s="68" t="str">
        <f t="shared" si="16"/>
        <v>DUAL</v>
      </c>
      <c r="H196" s="197">
        <f t="shared" si="15"/>
        <v>8</v>
      </c>
      <c r="I196" s="408">
        <f t="shared" si="18"/>
        <v>2</v>
      </c>
      <c r="J196" s="408">
        <f t="shared" si="19"/>
        <v>20</v>
      </c>
      <c r="K196" s="411">
        <v>45708</v>
      </c>
      <c r="L196" s="408"/>
      <c r="M196" s="408"/>
      <c r="N196" s="3" t="str">
        <f t="shared" si="17"/>
        <v/>
      </c>
      <c r="O196" s="408"/>
      <c r="P196" s="408"/>
      <c r="Q196" s="408"/>
      <c r="R196" s="408"/>
      <c r="S196" s="408"/>
      <c r="T196" s="408"/>
      <c r="U196" s="408"/>
      <c r="V196" s="421"/>
      <c r="W196" s="421"/>
      <c r="X196" s="421"/>
      <c r="Y196" s="421"/>
      <c r="Z196" s="421"/>
      <c r="AA196" s="421"/>
      <c r="AB196" s="421"/>
      <c r="AC196" s="421"/>
      <c r="AD196" s="421"/>
      <c r="AE196" s="421"/>
      <c r="AF196" s="421"/>
      <c r="AG196" s="421"/>
      <c r="AH196" s="421"/>
      <c r="AI196" s="421"/>
      <c r="AJ196" s="421"/>
      <c r="AK196" s="421"/>
      <c r="AL196" s="421"/>
    </row>
    <row r="197" spans="1:38">
      <c r="A197" s="410">
        <v>5348</v>
      </c>
      <c r="B197" s="407"/>
      <c r="C197" s="408"/>
      <c r="D197" s="410" t="s">
        <v>1775</v>
      </c>
      <c r="E197" s="410" t="s">
        <v>1585</v>
      </c>
      <c r="F197" s="410" t="s">
        <v>1476</v>
      </c>
      <c r="G197" s="68" t="str">
        <f t="shared" si="16"/>
        <v>DUAL</v>
      </c>
      <c r="H197" s="197">
        <f t="shared" si="15"/>
        <v>8</v>
      </c>
      <c r="I197" s="408">
        <f t="shared" si="18"/>
        <v>2</v>
      </c>
      <c r="J197" s="408">
        <f t="shared" si="19"/>
        <v>20</v>
      </c>
      <c r="K197" s="411">
        <v>45708</v>
      </c>
      <c r="L197" s="408"/>
      <c r="M197" s="408"/>
      <c r="N197" s="3" t="str">
        <f t="shared" si="17"/>
        <v/>
      </c>
      <c r="O197" s="408"/>
      <c r="P197" s="408"/>
      <c r="Q197" s="408"/>
      <c r="R197" s="408"/>
      <c r="S197" s="408"/>
      <c r="T197" s="408"/>
      <c r="U197" s="408"/>
      <c r="V197" s="421"/>
      <c r="W197" s="421"/>
      <c r="X197" s="421"/>
      <c r="Y197" s="421"/>
      <c r="Z197" s="421"/>
      <c r="AA197" s="421"/>
      <c r="AB197" s="421"/>
      <c r="AC197" s="421"/>
      <c r="AD197" s="421"/>
      <c r="AE197" s="421"/>
      <c r="AF197" s="421"/>
      <c r="AG197" s="421"/>
      <c r="AH197" s="421"/>
      <c r="AI197" s="421"/>
      <c r="AJ197" s="421"/>
      <c r="AK197" s="421"/>
      <c r="AL197" s="421"/>
    </row>
    <row r="198" spans="1:38">
      <c r="A198" s="410">
        <v>5348</v>
      </c>
      <c r="B198" s="407"/>
      <c r="C198" s="408"/>
      <c r="D198" s="410" t="s">
        <v>1776</v>
      </c>
      <c r="E198" s="410" t="s">
        <v>1585</v>
      </c>
      <c r="F198" s="410" t="s">
        <v>1476</v>
      </c>
      <c r="G198" s="68" t="str">
        <f t="shared" si="16"/>
        <v>DUAL</v>
      </c>
      <c r="H198" s="197">
        <f t="shared" si="15"/>
        <v>8</v>
      </c>
      <c r="I198" s="408">
        <f t="shared" si="18"/>
        <v>2</v>
      </c>
      <c r="J198" s="408">
        <f t="shared" si="19"/>
        <v>20</v>
      </c>
      <c r="K198" s="411">
        <v>45708</v>
      </c>
      <c r="L198" s="408"/>
      <c r="M198" s="408"/>
      <c r="N198" s="3" t="str">
        <f t="shared" si="17"/>
        <v/>
      </c>
      <c r="O198" s="408"/>
      <c r="P198" s="408"/>
      <c r="Q198" s="408"/>
      <c r="R198" s="408"/>
      <c r="S198" s="408"/>
      <c r="T198" s="408"/>
      <c r="U198" s="408"/>
      <c r="V198" s="421"/>
      <c r="W198" s="421"/>
      <c r="X198" s="421"/>
      <c r="Y198" s="421"/>
      <c r="Z198" s="421"/>
      <c r="AA198" s="421"/>
      <c r="AB198" s="421"/>
      <c r="AC198" s="421"/>
      <c r="AD198" s="421"/>
      <c r="AE198" s="421"/>
      <c r="AF198" s="421"/>
      <c r="AG198" s="421"/>
      <c r="AH198" s="421"/>
      <c r="AI198" s="421"/>
      <c r="AJ198" s="421"/>
      <c r="AK198" s="421"/>
      <c r="AL198" s="421"/>
    </row>
    <row r="199" spans="1:38">
      <c r="A199" s="410">
        <v>5348</v>
      </c>
      <c r="B199" s="407"/>
      <c r="C199" s="408"/>
      <c r="D199" s="410" t="s">
        <v>1777</v>
      </c>
      <c r="E199" s="410" t="s">
        <v>1585</v>
      </c>
      <c r="F199" s="410" t="s">
        <v>1476</v>
      </c>
      <c r="G199" s="68" t="str">
        <f t="shared" si="16"/>
        <v>DUAL</v>
      </c>
      <c r="H199" s="197">
        <f t="shared" si="15"/>
        <v>8</v>
      </c>
      <c r="I199" s="408">
        <f t="shared" si="18"/>
        <v>2</v>
      </c>
      <c r="J199" s="408">
        <f t="shared" si="19"/>
        <v>20</v>
      </c>
      <c r="K199" s="411">
        <v>45708</v>
      </c>
      <c r="L199" s="408"/>
      <c r="M199" s="408"/>
      <c r="N199" s="3" t="str">
        <f t="shared" si="17"/>
        <v/>
      </c>
      <c r="O199" s="408"/>
      <c r="P199" s="408"/>
      <c r="Q199" s="408"/>
      <c r="R199" s="408"/>
      <c r="S199" s="408"/>
      <c r="T199" s="408"/>
      <c r="U199" s="408"/>
      <c r="V199" s="421"/>
      <c r="W199" s="421"/>
      <c r="X199" s="421"/>
      <c r="Y199" s="421"/>
      <c r="Z199" s="421"/>
      <c r="AA199" s="421"/>
      <c r="AB199" s="421"/>
      <c r="AC199" s="421"/>
      <c r="AD199" s="421"/>
      <c r="AE199" s="421"/>
      <c r="AF199" s="421"/>
      <c r="AG199" s="421"/>
      <c r="AH199" s="421"/>
      <c r="AI199" s="421"/>
      <c r="AJ199" s="421"/>
      <c r="AK199" s="421"/>
      <c r="AL199" s="421"/>
    </row>
    <row r="200" spans="1:38">
      <c r="A200" s="410">
        <v>5389</v>
      </c>
      <c r="B200" s="407"/>
      <c r="C200" s="408"/>
      <c r="D200" s="410" t="s">
        <v>1778</v>
      </c>
      <c r="E200" s="410" t="s">
        <v>1405</v>
      </c>
      <c r="F200" s="410" t="s">
        <v>1581</v>
      </c>
      <c r="G200" s="68" t="str">
        <f t="shared" si="16"/>
        <v>DUAL</v>
      </c>
      <c r="H200" s="197">
        <f t="shared" si="15"/>
        <v>8</v>
      </c>
      <c r="I200" s="408">
        <f t="shared" si="18"/>
        <v>2</v>
      </c>
      <c r="J200" s="408">
        <f t="shared" si="19"/>
        <v>20</v>
      </c>
      <c r="K200" s="411">
        <v>45708</v>
      </c>
      <c r="L200" s="408"/>
      <c r="M200" s="408"/>
      <c r="N200" s="3" t="str">
        <f t="shared" si="17"/>
        <v/>
      </c>
      <c r="O200" s="408"/>
      <c r="P200" s="408"/>
      <c r="Q200" s="408"/>
      <c r="R200" s="408"/>
      <c r="S200" s="408"/>
      <c r="T200" s="408"/>
      <c r="U200" s="408"/>
      <c r="V200" s="421"/>
      <c r="W200" s="421"/>
      <c r="X200" s="421"/>
      <c r="Y200" s="421"/>
      <c r="Z200" s="421"/>
      <c r="AA200" s="421"/>
      <c r="AB200" s="421"/>
      <c r="AC200" s="421"/>
      <c r="AD200" s="421"/>
      <c r="AE200" s="421"/>
      <c r="AF200" s="421"/>
      <c r="AG200" s="421"/>
      <c r="AH200" s="421"/>
      <c r="AI200" s="421"/>
      <c r="AJ200" s="421"/>
      <c r="AK200" s="421"/>
      <c r="AL200" s="421"/>
    </row>
    <row r="201" spans="1:38">
      <c r="A201" s="410">
        <v>5449</v>
      </c>
      <c r="B201" s="407"/>
      <c r="C201" s="408"/>
      <c r="D201" s="410" t="s">
        <v>1779</v>
      </c>
      <c r="E201" s="410" t="s">
        <v>1399</v>
      </c>
      <c r="F201" s="410" t="s">
        <v>1591</v>
      </c>
      <c r="G201" s="68" t="str">
        <f t="shared" si="16"/>
        <v>SINGLE</v>
      </c>
      <c r="H201" s="197">
        <f t="shared" si="15"/>
        <v>8</v>
      </c>
      <c r="I201" s="408">
        <f t="shared" si="18"/>
        <v>2</v>
      </c>
      <c r="J201" s="408">
        <f t="shared" si="19"/>
        <v>20</v>
      </c>
      <c r="K201" s="411">
        <v>45708</v>
      </c>
      <c r="L201" s="408"/>
      <c r="M201" s="408"/>
      <c r="N201" s="3" t="str">
        <f t="shared" si="17"/>
        <v/>
      </c>
      <c r="O201" s="408"/>
      <c r="P201" s="408"/>
      <c r="Q201" s="408"/>
      <c r="R201" s="408"/>
      <c r="S201" s="408"/>
      <c r="T201" s="408"/>
      <c r="U201" s="408"/>
      <c r="V201" s="421"/>
      <c r="W201" s="421"/>
      <c r="X201" s="421"/>
      <c r="Y201" s="421"/>
      <c r="Z201" s="421"/>
      <c r="AA201" s="421"/>
      <c r="AB201" s="421"/>
      <c r="AC201" s="421"/>
      <c r="AD201" s="421"/>
      <c r="AE201" s="421"/>
      <c r="AF201" s="421"/>
      <c r="AG201" s="421"/>
      <c r="AH201" s="421"/>
      <c r="AI201" s="421"/>
      <c r="AJ201" s="421"/>
      <c r="AK201" s="421"/>
      <c r="AL201" s="421"/>
    </row>
    <row r="202" spans="1:38">
      <c r="A202" s="410">
        <v>5449</v>
      </c>
      <c r="B202" s="407"/>
      <c r="C202" s="408"/>
      <c r="D202" s="410" t="s">
        <v>1780</v>
      </c>
      <c r="E202" s="410" t="s">
        <v>1399</v>
      </c>
      <c r="F202" s="410" t="s">
        <v>1591</v>
      </c>
      <c r="G202" s="68" t="str">
        <f t="shared" si="16"/>
        <v>SINGLE</v>
      </c>
      <c r="H202" s="197">
        <f t="shared" si="15"/>
        <v>8</v>
      </c>
      <c r="I202" s="408">
        <f t="shared" si="18"/>
        <v>2</v>
      </c>
      <c r="J202" s="408">
        <f t="shared" si="19"/>
        <v>20</v>
      </c>
      <c r="K202" s="411">
        <v>45708</v>
      </c>
      <c r="L202" s="408"/>
      <c r="M202" s="408"/>
      <c r="N202" s="3" t="str">
        <f t="shared" si="17"/>
        <v/>
      </c>
      <c r="O202" s="408"/>
      <c r="P202" s="408"/>
      <c r="Q202" s="408"/>
      <c r="R202" s="408"/>
      <c r="S202" s="408"/>
      <c r="T202" s="408"/>
      <c r="U202" s="408"/>
      <c r="V202" s="421"/>
      <c r="W202" s="421"/>
      <c r="X202" s="421"/>
      <c r="Y202" s="421"/>
      <c r="Z202" s="421"/>
      <c r="AA202" s="421"/>
      <c r="AB202" s="421"/>
      <c r="AC202" s="421"/>
      <c r="AD202" s="421"/>
      <c r="AE202" s="421"/>
      <c r="AF202" s="421"/>
      <c r="AG202" s="421"/>
      <c r="AH202" s="421"/>
      <c r="AI202" s="421"/>
      <c r="AJ202" s="421"/>
      <c r="AK202" s="421"/>
      <c r="AL202" s="421"/>
    </row>
    <row r="203" spans="1:38">
      <c r="A203" s="410">
        <v>5449</v>
      </c>
      <c r="B203" s="407"/>
      <c r="C203" s="408"/>
      <c r="D203" s="410" t="s">
        <v>1781</v>
      </c>
      <c r="E203" s="410" t="s">
        <v>1399</v>
      </c>
      <c r="F203" s="410" t="s">
        <v>1591</v>
      </c>
      <c r="G203" s="68" t="str">
        <f t="shared" si="16"/>
        <v>SINGLE</v>
      </c>
      <c r="H203" s="197">
        <f t="shared" si="15"/>
        <v>8</v>
      </c>
      <c r="I203" s="408">
        <f t="shared" si="18"/>
        <v>2</v>
      </c>
      <c r="J203" s="408">
        <f t="shared" si="19"/>
        <v>20</v>
      </c>
      <c r="K203" s="411">
        <v>45708</v>
      </c>
      <c r="L203" s="408"/>
      <c r="M203" s="408"/>
      <c r="N203" s="3" t="str">
        <f t="shared" si="17"/>
        <v/>
      </c>
      <c r="O203" s="408"/>
      <c r="P203" s="408"/>
      <c r="Q203" s="408"/>
      <c r="R203" s="408"/>
      <c r="S203" s="408"/>
      <c r="T203" s="408"/>
      <c r="U203" s="408"/>
      <c r="V203" s="421"/>
      <c r="W203" s="421"/>
      <c r="X203" s="421"/>
      <c r="Y203" s="421"/>
      <c r="Z203" s="421"/>
      <c r="AA203" s="421"/>
      <c r="AB203" s="421"/>
      <c r="AC203" s="421"/>
      <c r="AD203" s="421"/>
      <c r="AE203" s="421"/>
      <c r="AF203" s="421"/>
      <c r="AG203" s="421"/>
      <c r="AH203" s="421"/>
      <c r="AI203" s="421"/>
      <c r="AJ203" s="421"/>
      <c r="AK203" s="421"/>
      <c r="AL203" s="421"/>
    </row>
    <row r="204" spans="1:38">
      <c r="A204" s="410">
        <v>5449</v>
      </c>
      <c r="B204" s="407"/>
      <c r="C204" s="408"/>
      <c r="D204" s="410" t="s">
        <v>1782</v>
      </c>
      <c r="E204" s="410" t="s">
        <v>1399</v>
      </c>
      <c r="F204" s="410" t="s">
        <v>1591</v>
      </c>
      <c r="G204" s="68" t="str">
        <f t="shared" si="16"/>
        <v>SINGLE</v>
      </c>
      <c r="H204" s="197">
        <f t="shared" si="15"/>
        <v>8</v>
      </c>
      <c r="I204" s="408">
        <f t="shared" si="18"/>
        <v>2</v>
      </c>
      <c r="J204" s="408">
        <f t="shared" si="19"/>
        <v>20</v>
      </c>
      <c r="K204" s="411">
        <v>45708</v>
      </c>
      <c r="L204" s="408"/>
      <c r="M204" s="408"/>
      <c r="N204" s="3" t="str">
        <f t="shared" si="17"/>
        <v/>
      </c>
      <c r="O204" s="408"/>
      <c r="P204" s="408"/>
      <c r="Q204" s="408"/>
      <c r="R204" s="408"/>
      <c r="S204" s="408"/>
      <c r="T204" s="408"/>
      <c r="U204" s="408"/>
      <c r="V204" s="421"/>
      <c r="W204" s="421"/>
      <c r="X204" s="421"/>
      <c r="Y204" s="421"/>
      <c r="Z204" s="421"/>
      <c r="AA204" s="421"/>
      <c r="AB204" s="421"/>
      <c r="AC204" s="421"/>
      <c r="AD204" s="421"/>
      <c r="AE204" s="421"/>
      <c r="AF204" s="421"/>
      <c r="AG204" s="421"/>
      <c r="AH204" s="421"/>
      <c r="AI204" s="421"/>
      <c r="AJ204" s="421"/>
      <c r="AK204" s="421"/>
      <c r="AL204" s="421"/>
    </row>
    <row r="205" spans="1:38">
      <c r="A205" s="410">
        <v>5449</v>
      </c>
      <c r="B205" s="407"/>
      <c r="C205" s="408"/>
      <c r="D205" s="410" t="s">
        <v>1783</v>
      </c>
      <c r="E205" s="410" t="s">
        <v>1399</v>
      </c>
      <c r="F205" s="410" t="s">
        <v>1591</v>
      </c>
      <c r="G205" s="68" t="str">
        <f t="shared" si="16"/>
        <v>SINGLE</v>
      </c>
      <c r="H205" s="197">
        <f t="shared" si="15"/>
        <v>8</v>
      </c>
      <c r="I205" s="408">
        <f t="shared" si="18"/>
        <v>2</v>
      </c>
      <c r="J205" s="408">
        <f t="shared" si="19"/>
        <v>20</v>
      </c>
      <c r="K205" s="411">
        <v>45708</v>
      </c>
      <c r="L205" s="408"/>
      <c r="M205" s="408"/>
      <c r="N205" s="3" t="str">
        <f t="shared" si="17"/>
        <v/>
      </c>
      <c r="O205" s="408"/>
      <c r="P205" s="408"/>
      <c r="Q205" s="408"/>
      <c r="R205" s="408"/>
      <c r="S205" s="408"/>
      <c r="T205" s="408"/>
      <c r="U205" s="408"/>
      <c r="V205" s="421"/>
      <c r="W205" s="421"/>
      <c r="X205" s="421"/>
      <c r="Y205" s="421"/>
      <c r="Z205" s="421"/>
      <c r="AA205" s="421"/>
      <c r="AB205" s="421"/>
      <c r="AC205" s="421"/>
      <c r="AD205" s="421"/>
      <c r="AE205" s="421"/>
      <c r="AF205" s="421"/>
      <c r="AG205" s="421"/>
      <c r="AH205" s="421"/>
      <c r="AI205" s="421"/>
      <c r="AJ205" s="421"/>
      <c r="AK205" s="421"/>
      <c r="AL205" s="421"/>
    </row>
    <row r="206" spans="1:38">
      <c r="A206" s="410">
        <v>5449</v>
      </c>
      <c r="B206" s="407"/>
      <c r="C206" s="408"/>
      <c r="D206" s="410" t="s">
        <v>1784</v>
      </c>
      <c r="E206" s="410" t="s">
        <v>1399</v>
      </c>
      <c r="F206" s="410" t="s">
        <v>1591</v>
      </c>
      <c r="G206" s="68" t="str">
        <f t="shared" si="16"/>
        <v>SINGLE</v>
      </c>
      <c r="H206" s="197">
        <f t="shared" si="15"/>
        <v>8</v>
      </c>
      <c r="I206" s="408">
        <f t="shared" si="18"/>
        <v>2</v>
      </c>
      <c r="J206" s="408">
        <f t="shared" si="19"/>
        <v>20</v>
      </c>
      <c r="K206" s="411">
        <v>45708</v>
      </c>
      <c r="L206" s="408"/>
      <c r="M206" s="408"/>
      <c r="N206" s="3" t="str">
        <f t="shared" si="17"/>
        <v/>
      </c>
      <c r="O206" s="408"/>
      <c r="P206" s="408"/>
      <c r="Q206" s="408"/>
      <c r="R206" s="408"/>
      <c r="S206" s="408"/>
      <c r="T206" s="408"/>
      <c r="U206" s="408"/>
      <c r="V206" s="421"/>
      <c r="W206" s="421"/>
      <c r="X206" s="421"/>
      <c r="Y206" s="421"/>
      <c r="Z206" s="421"/>
      <c r="AA206" s="421"/>
      <c r="AB206" s="421"/>
      <c r="AC206" s="421"/>
      <c r="AD206" s="421"/>
      <c r="AE206" s="421"/>
      <c r="AF206" s="421"/>
      <c r="AG206" s="421"/>
      <c r="AH206" s="421"/>
      <c r="AI206" s="421"/>
      <c r="AJ206" s="421"/>
      <c r="AK206" s="421"/>
      <c r="AL206" s="421"/>
    </row>
    <row r="207" spans="1:38">
      <c r="A207" s="410">
        <v>5350</v>
      </c>
      <c r="B207" s="407"/>
      <c r="C207" s="408"/>
      <c r="D207" s="410" t="s">
        <v>1785</v>
      </c>
      <c r="E207" s="410" t="s">
        <v>1585</v>
      </c>
      <c r="F207" s="410" t="s">
        <v>1476</v>
      </c>
      <c r="G207" s="68" t="str">
        <f t="shared" si="16"/>
        <v>DUAL</v>
      </c>
      <c r="H207" s="197">
        <f t="shared" si="15"/>
        <v>8</v>
      </c>
      <c r="I207" s="408">
        <f t="shared" si="18"/>
        <v>2</v>
      </c>
      <c r="J207" s="408">
        <f t="shared" si="19"/>
        <v>21</v>
      </c>
      <c r="K207" s="411">
        <v>45709</v>
      </c>
      <c r="L207" s="408"/>
      <c r="M207" s="408"/>
      <c r="N207" s="3" t="str">
        <f t="shared" si="17"/>
        <v/>
      </c>
      <c r="O207" s="408"/>
      <c r="P207" s="408"/>
      <c r="Q207" s="408"/>
      <c r="R207" s="408"/>
      <c r="S207" s="408"/>
      <c r="T207" s="408"/>
      <c r="U207" s="408"/>
      <c r="V207" s="421"/>
      <c r="W207" s="421"/>
      <c r="X207" s="421"/>
      <c r="Y207" s="421"/>
      <c r="Z207" s="421"/>
      <c r="AA207" s="421"/>
      <c r="AB207" s="421"/>
      <c r="AC207" s="421"/>
      <c r="AD207" s="421"/>
      <c r="AE207" s="421"/>
      <c r="AF207" s="421"/>
      <c r="AG207" s="421"/>
      <c r="AH207" s="421"/>
      <c r="AI207" s="421"/>
      <c r="AJ207" s="421"/>
      <c r="AK207" s="421"/>
      <c r="AL207" s="421"/>
    </row>
    <row r="208" spans="1:38">
      <c r="A208" s="410">
        <v>5459</v>
      </c>
      <c r="B208" s="407"/>
      <c r="C208" s="408"/>
      <c r="D208" s="410" t="s">
        <v>1786</v>
      </c>
      <c r="E208" s="410" t="s">
        <v>1405</v>
      </c>
      <c r="F208" s="410" t="s">
        <v>1477</v>
      </c>
      <c r="G208" s="68" t="str">
        <f t="shared" si="16"/>
        <v>SINGLE</v>
      </c>
      <c r="H208" s="197">
        <f t="shared" si="15"/>
        <v>8</v>
      </c>
      <c r="I208" s="408">
        <f t="shared" si="18"/>
        <v>2</v>
      </c>
      <c r="J208" s="408">
        <f t="shared" si="19"/>
        <v>21</v>
      </c>
      <c r="K208" s="411">
        <v>45709</v>
      </c>
      <c r="L208" s="408"/>
      <c r="M208" s="408"/>
      <c r="N208" s="3" t="str">
        <f t="shared" si="17"/>
        <v/>
      </c>
      <c r="O208" s="408"/>
      <c r="P208" s="408"/>
      <c r="Q208" s="408"/>
      <c r="R208" s="408"/>
      <c r="S208" s="408"/>
      <c r="T208" s="408"/>
      <c r="U208" s="408"/>
      <c r="V208" s="421"/>
      <c r="W208" s="421"/>
      <c r="X208" s="421"/>
      <c r="Y208" s="421"/>
      <c r="Z208" s="421"/>
      <c r="AA208" s="421"/>
      <c r="AB208" s="421"/>
      <c r="AC208" s="421"/>
      <c r="AD208" s="421"/>
      <c r="AE208" s="421"/>
      <c r="AF208" s="421"/>
      <c r="AG208" s="421"/>
      <c r="AH208" s="421"/>
      <c r="AI208" s="421"/>
      <c r="AJ208" s="421"/>
      <c r="AK208" s="421"/>
      <c r="AL208" s="421"/>
    </row>
    <row r="209" spans="1:38">
      <c r="A209" s="410">
        <v>5459</v>
      </c>
      <c r="B209" s="407"/>
      <c r="C209" s="408"/>
      <c r="D209" s="410" t="s">
        <v>1787</v>
      </c>
      <c r="E209" s="410" t="s">
        <v>1405</v>
      </c>
      <c r="F209" s="410" t="s">
        <v>1477</v>
      </c>
      <c r="G209" s="68" t="str">
        <f t="shared" si="16"/>
        <v>SINGLE</v>
      </c>
      <c r="H209" s="197">
        <f t="shared" si="15"/>
        <v>8</v>
      </c>
      <c r="I209" s="408">
        <f t="shared" si="18"/>
        <v>2</v>
      </c>
      <c r="J209" s="408">
        <f t="shared" si="19"/>
        <v>21</v>
      </c>
      <c r="K209" s="411">
        <v>45709</v>
      </c>
      <c r="L209" s="408"/>
      <c r="M209" s="408"/>
      <c r="N209" s="3" t="str">
        <f t="shared" si="17"/>
        <v/>
      </c>
      <c r="O209" s="408"/>
      <c r="P209" s="408"/>
      <c r="Q209" s="408"/>
      <c r="R209" s="408"/>
      <c r="S209" s="408"/>
      <c r="T209" s="408"/>
      <c r="U209" s="408"/>
      <c r="V209" s="421"/>
      <c r="W209" s="421"/>
      <c r="X209" s="421"/>
      <c r="Y209" s="421"/>
      <c r="Z209" s="421"/>
      <c r="AA209" s="421"/>
      <c r="AB209" s="421"/>
      <c r="AC209" s="421"/>
      <c r="AD209" s="421"/>
      <c r="AE209" s="421"/>
      <c r="AF209" s="421"/>
      <c r="AG209" s="421"/>
      <c r="AH209" s="421"/>
      <c r="AI209" s="421"/>
      <c r="AJ209" s="421"/>
      <c r="AK209" s="421"/>
      <c r="AL209" s="421"/>
    </row>
    <row r="210" spans="1:38">
      <c r="A210" s="410">
        <v>5459</v>
      </c>
      <c r="B210" s="407"/>
      <c r="C210" s="408"/>
      <c r="D210" s="410" t="s">
        <v>1788</v>
      </c>
      <c r="E210" s="410" t="s">
        <v>1405</v>
      </c>
      <c r="F210" s="410" t="s">
        <v>1477</v>
      </c>
      <c r="G210" s="68" t="str">
        <f t="shared" si="16"/>
        <v>SINGLE</v>
      </c>
      <c r="H210" s="197">
        <f t="shared" si="15"/>
        <v>8</v>
      </c>
      <c r="I210" s="408">
        <f t="shared" si="18"/>
        <v>2</v>
      </c>
      <c r="J210" s="408">
        <f t="shared" si="19"/>
        <v>21</v>
      </c>
      <c r="K210" s="411">
        <v>45709</v>
      </c>
      <c r="L210" s="408"/>
      <c r="M210" s="408"/>
      <c r="N210" s="3" t="str">
        <f t="shared" si="17"/>
        <v/>
      </c>
      <c r="O210" s="408"/>
      <c r="P210" s="408"/>
      <c r="Q210" s="408"/>
      <c r="R210" s="408"/>
      <c r="S210" s="408"/>
      <c r="T210" s="408"/>
      <c r="U210" s="408"/>
      <c r="V210" s="421"/>
      <c r="W210" s="421"/>
      <c r="X210" s="421"/>
      <c r="Y210" s="421"/>
      <c r="Z210" s="421"/>
      <c r="AA210" s="421"/>
      <c r="AB210" s="421"/>
      <c r="AC210" s="421"/>
      <c r="AD210" s="421"/>
      <c r="AE210" s="421"/>
      <c r="AF210" s="421"/>
      <c r="AG210" s="421"/>
      <c r="AH210" s="421"/>
      <c r="AI210" s="421"/>
      <c r="AJ210" s="421"/>
      <c r="AK210" s="421"/>
      <c r="AL210" s="421"/>
    </row>
    <row r="211" spans="1:38">
      <c r="A211" s="410">
        <v>5350</v>
      </c>
      <c r="B211" s="407"/>
      <c r="C211" s="408"/>
      <c r="D211" s="410" t="s">
        <v>1789</v>
      </c>
      <c r="E211" s="410" t="s">
        <v>1585</v>
      </c>
      <c r="F211" s="410" t="s">
        <v>1476</v>
      </c>
      <c r="G211" s="68" t="str">
        <f t="shared" si="16"/>
        <v>DUAL</v>
      </c>
      <c r="H211" s="197">
        <f t="shared" si="15"/>
        <v>8</v>
      </c>
      <c r="I211" s="408">
        <f t="shared" si="18"/>
        <v>2</v>
      </c>
      <c r="J211" s="408">
        <f t="shared" si="19"/>
        <v>21</v>
      </c>
      <c r="K211" s="411">
        <v>45709</v>
      </c>
      <c r="L211" s="408"/>
      <c r="M211" s="408"/>
      <c r="N211" s="3" t="str">
        <f t="shared" si="17"/>
        <v/>
      </c>
      <c r="O211" s="408"/>
      <c r="P211" s="408"/>
      <c r="Q211" s="408"/>
      <c r="R211" s="408"/>
      <c r="S211" s="408"/>
      <c r="T211" s="408"/>
      <c r="U211" s="408"/>
      <c r="V211" s="421"/>
      <c r="W211" s="421"/>
      <c r="X211" s="421"/>
      <c r="Y211" s="421"/>
      <c r="Z211" s="421"/>
      <c r="AA211" s="421"/>
      <c r="AB211" s="421"/>
      <c r="AC211" s="421"/>
      <c r="AD211" s="421"/>
      <c r="AE211" s="421"/>
      <c r="AF211" s="421"/>
      <c r="AG211" s="421"/>
      <c r="AH211" s="421"/>
      <c r="AI211" s="421"/>
      <c r="AJ211" s="421"/>
      <c r="AK211" s="421"/>
      <c r="AL211" s="421"/>
    </row>
    <row r="212" spans="1:38">
      <c r="A212" s="410">
        <v>5350</v>
      </c>
      <c r="B212" s="407"/>
      <c r="C212" s="408"/>
      <c r="D212" s="410" t="s">
        <v>1790</v>
      </c>
      <c r="E212" s="410" t="s">
        <v>1585</v>
      </c>
      <c r="F212" s="410" t="s">
        <v>1476</v>
      </c>
      <c r="G212" s="68" t="str">
        <f t="shared" si="16"/>
        <v>DUAL</v>
      </c>
      <c r="H212" s="197">
        <f t="shared" si="15"/>
        <v>8</v>
      </c>
      <c r="I212" s="408">
        <f t="shared" si="18"/>
        <v>2</v>
      </c>
      <c r="J212" s="408">
        <f t="shared" si="19"/>
        <v>21</v>
      </c>
      <c r="K212" s="411">
        <v>45709</v>
      </c>
      <c r="L212" s="408"/>
      <c r="M212" s="408"/>
      <c r="N212" s="3" t="str">
        <f t="shared" si="17"/>
        <v/>
      </c>
      <c r="O212" s="408"/>
      <c r="P212" s="408"/>
      <c r="Q212" s="408"/>
      <c r="R212" s="408"/>
      <c r="S212" s="408"/>
      <c r="T212" s="408"/>
      <c r="U212" s="408"/>
      <c r="V212" s="421"/>
      <c r="W212" s="421"/>
      <c r="X212" s="421"/>
      <c r="Y212" s="421"/>
      <c r="Z212" s="421"/>
      <c r="AA212" s="421"/>
      <c r="AB212" s="421"/>
      <c r="AC212" s="421"/>
      <c r="AD212" s="421"/>
      <c r="AE212" s="421"/>
      <c r="AF212" s="421"/>
      <c r="AG212" s="421"/>
      <c r="AH212" s="421"/>
      <c r="AI212" s="421"/>
      <c r="AJ212" s="421"/>
      <c r="AK212" s="421"/>
      <c r="AL212" s="421"/>
    </row>
    <row r="213" spans="1:38">
      <c r="A213" s="410">
        <v>5354</v>
      </c>
      <c r="B213" s="407"/>
      <c r="C213" s="408"/>
      <c r="D213" s="410" t="s">
        <v>1791</v>
      </c>
      <c r="E213" s="410" t="s">
        <v>1585</v>
      </c>
      <c r="F213" s="410" t="s">
        <v>1482</v>
      </c>
      <c r="G213" s="68" t="str">
        <f t="shared" si="16"/>
        <v>SINGLE</v>
      </c>
      <c r="H213" s="197">
        <f t="shared" si="15"/>
        <v>8</v>
      </c>
      <c r="I213" s="408">
        <f t="shared" si="18"/>
        <v>2</v>
      </c>
      <c r="J213" s="408">
        <f t="shared" si="19"/>
        <v>21</v>
      </c>
      <c r="K213" s="411">
        <v>45709</v>
      </c>
      <c r="L213" s="408"/>
      <c r="M213" s="408"/>
      <c r="N213" s="3" t="str">
        <f t="shared" si="17"/>
        <v/>
      </c>
      <c r="O213" s="408"/>
      <c r="P213" s="408"/>
      <c r="Q213" s="408"/>
      <c r="R213" s="408"/>
      <c r="S213" s="408"/>
      <c r="T213" s="408"/>
      <c r="U213" s="408"/>
      <c r="V213" s="421"/>
      <c r="W213" s="421"/>
      <c r="X213" s="421"/>
      <c r="Y213" s="421"/>
      <c r="Z213" s="421"/>
      <c r="AA213" s="421"/>
      <c r="AB213" s="421"/>
      <c r="AC213" s="421"/>
      <c r="AD213" s="421"/>
      <c r="AE213" s="421"/>
      <c r="AF213" s="421"/>
      <c r="AG213" s="421"/>
      <c r="AH213" s="421"/>
      <c r="AI213" s="421"/>
      <c r="AJ213" s="421"/>
      <c r="AK213" s="421"/>
      <c r="AL213" s="421"/>
    </row>
    <row r="214" spans="1:38">
      <c r="A214" s="410">
        <v>5337</v>
      </c>
      <c r="B214" s="407"/>
      <c r="C214" s="408"/>
      <c r="D214" s="410" t="s">
        <v>1792</v>
      </c>
      <c r="E214" s="410" t="s">
        <v>1429</v>
      </c>
      <c r="F214" s="410" t="s">
        <v>1476</v>
      </c>
      <c r="G214" s="68" t="str">
        <f t="shared" si="16"/>
        <v>DUAL</v>
      </c>
      <c r="H214" s="197">
        <f t="shared" si="15"/>
        <v>8</v>
      </c>
      <c r="I214" s="408">
        <f t="shared" si="18"/>
        <v>2</v>
      </c>
      <c r="J214" s="408">
        <f t="shared" si="19"/>
        <v>21</v>
      </c>
      <c r="K214" s="411">
        <v>45709</v>
      </c>
      <c r="L214" s="408"/>
      <c r="M214" s="408"/>
      <c r="N214" s="3" t="str">
        <f t="shared" si="17"/>
        <v/>
      </c>
      <c r="O214" s="408"/>
      <c r="P214" s="408"/>
      <c r="Q214" s="408"/>
      <c r="R214" s="408"/>
      <c r="S214" s="408"/>
      <c r="T214" s="408"/>
      <c r="U214" s="408"/>
      <c r="V214" s="421"/>
      <c r="W214" s="421"/>
      <c r="X214" s="421"/>
      <c r="Y214" s="421"/>
      <c r="Z214" s="421"/>
      <c r="AA214" s="421"/>
      <c r="AB214" s="421"/>
      <c r="AC214" s="421"/>
      <c r="AD214" s="421"/>
      <c r="AE214" s="421"/>
      <c r="AF214" s="421"/>
      <c r="AG214" s="421"/>
      <c r="AH214" s="421"/>
      <c r="AI214" s="421"/>
      <c r="AJ214" s="421"/>
      <c r="AK214" s="421"/>
      <c r="AL214" s="421"/>
    </row>
    <row r="215" spans="1:38">
      <c r="A215" s="410">
        <v>5337</v>
      </c>
      <c r="B215" s="407"/>
      <c r="C215" s="408"/>
      <c r="D215" s="410" t="s">
        <v>1793</v>
      </c>
      <c r="E215" s="410" t="s">
        <v>1429</v>
      </c>
      <c r="F215" s="410" t="s">
        <v>1476</v>
      </c>
      <c r="G215" s="68" t="str">
        <f t="shared" si="16"/>
        <v>DUAL</v>
      </c>
      <c r="H215" s="197">
        <f t="shared" si="15"/>
        <v>8</v>
      </c>
      <c r="I215" s="408">
        <f t="shared" si="18"/>
        <v>2</v>
      </c>
      <c r="J215" s="408">
        <f t="shared" si="19"/>
        <v>21</v>
      </c>
      <c r="K215" s="411">
        <v>45709</v>
      </c>
      <c r="L215" s="408"/>
      <c r="M215" s="408"/>
      <c r="N215" s="3" t="str">
        <f t="shared" si="17"/>
        <v/>
      </c>
      <c r="O215" s="408"/>
      <c r="P215" s="408"/>
      <c r="Q215" s="408"/>
      <c r="R215" s="408"/>
      <c r="S215" s="408"/>
      <c r="T215" s="408"/>
      <c r="U215" s="408"/>
      <c r="V215" s="421"/>
      <c r="W215" s="421"/>
      <c r="X215" s="421"/>
      <c r="Y215" s="421"/>
      <c r="Z215" s="421"/>
      <c r="AA215" s="421"/>
      <c r="AB215" s="421"/>
      <c r="AC215" s="421"/>
      <c r="AD215" s="421"/>
      <c r="AE215" s="421"/>
      <c r="AF215" s="421"/>
      <c r="AG215" s="421"/>
      <c r="AH215" s="421"/>
      <c r="AI215" s="421"/>
      <c r="AJ215" s="421"/>
      <c r="AK215" s="421"/>
      <c r="AL215" s="421"/>
    </row>
    <row r="216" spans="1:38">
      <c r="A216" s="410">
        <v>5459</v>
      </c>
      <c r="B216" s="407"/>
      <c r="C216" s="408"/>
      <c r="D216" s="410" t="s">
        <v>1794</v>
      </c>
      <c r="E216" s="410" t="s">
        <v>1405</v>
      </c>
      <c r="F216" s="410" t="s">
        <v>1477</v>
      </c>
      <c r="G216" s="68" t="str">
        <f t="shared" si="16"/>
        <v>SINGLE</v>
      </c>
      <c r="H216" s="197">
        <f t="shared" si="15"/>
        <v>8</v>
      </c>
      <c r="I216" s="408">
        <f t="shared" si="18"/>
        <v>2</v>
      </c>
      <c r="J216" s="408">
        <f t="shared" si="19"/>
        <v>21</v>
      </c>
      <c r="K216" s="411">
        <v>45709</v>
      </c>
      <c r="L216" s="408"/>
      <c r="M216" s="408"/>
      <c r="N216" s="3" t="str">
        <f t="shared" si="17"/>
        <v/>
      </c>
      <c r="O216" s="408"/>
      <c r="P216" s="408"/>
      <c r="Q216" s="408"/>
      <c r="R216" s="408"/>
      <c r="S216" s="408"/>
      <c r="T216" s="408"/>
      <c r="U216" s="408"/>
      <c r="V216" s="421"/>
      <c r="W216" s="421"/>
      <c r="X216" s="421"/>
      <c r="Y216" s="421"/>
      <c r="Z216" s="421"/>
      <c r="AA216" s="421"/>
      <c r="AB216" s="421"/>
      <c r="AC216" s="421"/>
      <c r="AD216" s="421"/>
      <c r="AE216" s="421"/>
      <c r="AF216" s="421"/>
      <c r="AG216" s="421"/>
      <c r="AH216" s="421"/>
      <c r="AI216" s="421"/>
      <c r="AJ216" s="421"/>
      <c r="AK216" s="421"/>
      <c r="AL216" s="421"/>
    </row>
    <row r="217" spans="1:38">
      <c r="A217" s="410">
        <v>5387</v>
      </c>
      <c r="B217" s="407"/>
      <c r="C217" s="408"/>
      <c r="D217" s="410" t="s">
        <v>1795</v>
      </c>
      <c r="E217" s="410" t="s">
        <v>1405</v>
      </c>
      <c r="F217" s="410" t="s">
        <v>1591</v>
      </c>
      <c r="G217" s="68" t="str">
        <f t="shared" si="16"/>
        <v>SINGLE</v>
      </c>
      <c r="H217" s="197">
        <f t="shared" si="15"/>
        <v>9</v>
      </c>
      <c r="I217" s="408">
        <f t="shared" si="18"/>
        <v>2</v>
      </c>
      <c r="J217" s="408">
        <f t="shared" si="19"/>
        <v>24</v>
      </c>
      <c r="K217" s="411">
        <v>45712</v>
      </c>
      <c r="L217" s="408"/>
      <c r="M217" s="408"/>
      <c r="N217" s="3" t="str">
        <f t="shared" si="17"/>
        <v/>
      </c>
      <c r="O217" s="408"/>
      <c r="P217" s="408"/>
      <c r="Q217" s="408"/>
      <c r="R217" s="408"/>
      <c r="S217" s="408"/>
      <c r="T217" s="408"/>
      <c r="U217" s="408"/>
      <c r="V217" s="421"/>
      <c r="W217" s="421"/>
      <c r="X217" s="421"/>
      <c r="Y217" s="421"/>
      <c r="Z217" s="421"/>
      <c r="AA217" s="421"/>
      <c r="AB217" s="421"/>
      <c r="AC217" s="421"/>
      <c r="AD217" s="421"/>
      <c r="AE217" s="421"/>
      <c r="AF217" s="421"/>
      <c r="AG217" s="421"/>
      <c r="AH217" s="421"/>
      <c r="AI217" s="421"/>
      <c r="AJ217" s="421"/>
      <c r="AK217" s="421"/>
      <c r="AL217" s="421"/>
    </row>
    <row r="218" spans="1:38">
      <c r="A218" s="410">
        <v>5387</v>
      </c>
      <c r="B218" s="407"/>
      <c r="C218" s="408"/>
      <c r="D218" s="410" t="s">
        <v>1796</v>
      </c>
      <c r="E218" s="410" t="s">
        <v>1405</v>
      </c>
      <c r="F218" s="410" t="s">
        <v>1591</v>
      </c>
      <c r="G218" s="68" t="str">
        <f t="shared" si="16"/>
        <v>SINGLE</v>
      </c>
      <c r="H218" s="197">
        <f t="shared" si="15"/>
        <v>9</v>
      </c>
      <c r="I218" s="408">
        <f t="shared" si="18"/>
        <v>2</v>
      </c>
      <c r="J218" s="408">
        <f t="shared" si="19"/>
        <v>24</v>
      </c>
      <c r="K218" s="411">
        <v>45712</v>
      </c>
      <c r="L218" s="408"/>
      <c r="M218" s="408"/>
      <c r="N218" s="3" t="str">
        <f t="shared" si="17"/>
        <v/>
      </c>
      <c r="O218" s="408"/>
      <c r="P218" s="408"/>
      <c r="Q218" s="408"/>
      <c r="R218" s="408"/>
      <c r="S218" s="408"/>
      <c r="T218" s="408"/>
      <c r="U218" s="408"/>
      <c r="V218" s="421"/>
      <c r="W218" s="421"/>
      <c r="X218" s="421"/>
      <c r="Y218" s="421"/>
      <c r="Z218" s="421"/>
      <c r="AA218" s="421"/>
      <c r="AB218" s="421"/>
      <c r="AC218" s="421"/>
      <c r="AD218" s="421"/>
      <c r="AE218" s="421"/>
      <c r="AF218" s="421"/>
      <c r="AG218" s="421"/>
      <c r="AH218" s="421"/>
      <c r="AI218" s="421"/>
      <c r="AJ218" s="421"/>
      <c r="AK218" s="421"/>
      <c r="AL218" s="421"/>
    </row>
    <row r="219" spans="1:38">
      <c r="A219" s="410">
        <v>5387</v>
      </c>
      <c r="B219" s="407"/>
      <c r="C219" s="408"/>
      <c r="D219" s="410" t="s">
        <v>1797</v>
      </c>
      <c r="E219" s="410" t="s">
        <v>1405</v>
      </c>
      <c r="F219" s="410" t="s">
        <v>1591</v>
      </c>
      <c r="G219" s="68" t="str">
        <f t="shared" si="16"/>
        <v>SINGLE</v>
      </c>
      <c r="H219" s="197">
        <f t="shared" si="15"/>
        <v>9</v>
      </c>
      <c r="I219" s="408">
        <f t="shared" si="18"/>
        <v>2</v>
      </c>
      <c r="J219" s="408">
        <f t="shared" si="19"/>
        <v>24</v>
      </c>
      <c r="K219" s="411">
        <v>45712</v>
      </c>
      <c r="L219" s="408"/>
      <c r="M219" s="408"/>
      <c r="N219" s="3" t="str">
        <f t="shared" si="17"/>
        <v/>
      </c>
      <c r="O219" s="408"/>
      <c r="P219" s="408"/>
      <c r="Q219" s="408"/>
      <c r="R219" s="408"/>
      <c r="S219" s="408"/>
      <c r="T219" s="408"/>
      <c r="U219" s="408"/>
      <c r="V219" s="421"/>
      <c r="W219" s="421"/>
      <c r="X219" s="421"/>
      <c r="Y219" s="421"/>
      <c r="Z219" s="421"/>
      <c r="AA219" s="421"/>
      <c r="AB219" s="421"/>
      <c r="AC219" s="421"/>
      <c r="AD219" s="421"/>
      <c r="AE219" s="421"/>
      <c r="AF219" s="421"/>
      <c r="AG219" s="421"/>
      <c r="AH219" s="421"/>
      <c r="AI219" s="421"/>
      <c r="AJ219" s="421"/>
      <c r="AK219" s="421"/>
      <c r="AL219" s="421"/>
    </row>
    <row r="220" spans="1:38">
      <c r="A220" s="410">
        <v>5387</v>
      </c>
      <c r="B220" s="407"/>
      <c r="C220" s="408"/>
      <c r="D220" s="410" t="s">
        <v>1798</v>
      </c>
      <c r="E220" s="410" t="s">
        <v>1405</v>
      </c>
      <c r="F220" s="410" t="s">
        <v>1591</v>
      </c>
      <c r="G220" s="68" t="str">
        <f t="shared" si="16"/>
        <v>SINGLE</v>
      </c>
      <c r="H220" s="197">
        <f t="shared" si="15"/>
        <v>9</v>
      </c>
      <c r="I220" s="408">
        <f t="shared" si="18"/>
        <v>2</v>
      </c>
      <c r="J220" s="408">
        <f t="shared" si="19"/>
        <v>24</v>
      </c>
      <c r="K220" s="411">
        <v>45712</v>
      </c>
      <c r="L220" s="408"/>
      <c r="M220" s="408"/>
      <c r="N220" s="3" t="str">
        <f t="shared" si="17"/>
        <v/>
      </c>
      <c r="O220" s="408"/>
      <c r="P220" s="408"/>
      <c r="Q220" s="408"/>
      <c r="R220" s="408"/>
      <c r="S220" s="408"/>
      <c r="T220" s="408"/>
      <c r="U220" s="408"/>
      <c r="V220" s="421"/>
      <c r="W220" s="421"/>
      <c r="X220" s="421"/>
      <c r="Y220" s="421"/>
      <c r="Z220" s="421"/>
      <c r="AA220" s="421"/>
      <c r="AB220" s="421"/>
      <c r="AC220" s="421"/>
      <c r="AD220" s="421"/>
      <c r="AE220" s="421"/>
      <c r="AF220" s="421"/>
      <c r="AG220" s="421"/>
      <c r="AH220" s="421"/>
      <c r="AI220" s="421"/>
      <c r="AJ220" s="421"/>
      <c r="AK220" s="421"/>
      <c r="AL220" s="421"/>
    </row>
    <row r="221" spans="1:38">
      <c r="A221" s="410">
        <v>5362</v>
      </c>
      <c r="B221" s="407"/>
      <c r="C221" s="408"/>
      <c r="D221" s="410" t="s">
        <v>1799</v>
      </c>
      <c r="E221" s="410" t="s">
        <v>1424</v>
      </c>
      <c r="F221" s="410" t="s">
        <v>1591</v>
      </c>
      <c r="G221" s="68" t="str">
        <f t="shared" si="16"/>
        <v>SINGLE</v>
      </c>
      <c r="H221" s="197">
        <f t="shared" si="15"/>
        <v>9</v>
      </c>
      <c r="I221" s="408">
        <f t="shared" si="18"/>
        <v>2</v>
      </c>
      <c r="J221" s="408">
        <f t="shared" si="19"/>
        <v>24</v>
      </c>
      <c r="K221" s="411">
        <v>45712</v>
      </c>
      <c r="L221" s="408"/>
      <c r="M221" s="408"/>
      <c r="N221" s="3" t="str">
        <f t="shared" si="17"/>
        <v/>
      </c>
      <c r="O221" s="408"/>
      <c r="P221" s="408"/>
      <c r="Q221" s="408"/>
      <c r="R221" s="408"/>
      <c r="S221" s="408"/>
      <c r="T221" s="408"/>
      <c r="U221" s="408"/>
      <c r="V221" s="421"/>
      <c r="W221" s="421"/>
      <c r="X221" s="421"/>
      <c r="Y221" s="421"/>
      <c r="Z221" s="421"/>
      <c r="AA221" s="421"/>
      <c r="AB221" s="421"/>
      <c r="AC221" s="421"/>
      <c r="AD221" s="421"/>
      <c r="AE221" s="421"/>
      <c r="AF221" s="421"/>
      <c r="AG221" s="421"/>
      <c r="AH221" s="421"/>
      <c r="AI221" s="421"/>
      <c r="AJ221" s="421"/>
      <c r="AK221" s="421"/>
      <c r="AL221" s="421"/>
    </row>
    <row r="222" spans="1:38">
      <c r="A222" s="410">
        <v>5495</v>
      </c>
      <c r="B222" s="407"/>
      <c r="C222" s="408"/>
      <c r="D222" s="410" t="s">
        <v>1800</v>
      </c>
      <c r="E222" s="410" t="s">
        <v>1405</v>
      </c>
      <c r="F222" s="410" t="s">
        <v>1476</v>
      </c>
      <c r="G222" s="68" t="str">
        <f t="shared" si="16"/>
        <v>DUAL</v>
      </c>
      <c r="H222" s="197">
        <f t="shared" si="15"/>
        <v>9</v>
      </c>
      <c r="I222" s="408">
        <f t="shared" si="18"/>
        <v>2</v>
      </c>
      <c r="J222" s="408">
        <f t="shared" si="19"/>
        <v>24</v>
      </c>
      <c r="K222" s="411">
        <v>45712</v>
      </c>
      <c r="L222" s="408"/>
      <c r="M222" s="408"/>
      <c r="N222" s="3" t="str">
        <f t="shared" si="17"/>
        <v/>
      </c>
      <c r="O222" s="408"/>
      <c r="P222" s="408"/>
      <c r="Q222" s="408"/>
      <c r="R222" s="408"/>
      <c r="S222" s="408"/>
      <c r="T222" s="408"/>
      <c r="U222" s="408"/>
      <c r="V222" s="421"/>
      <c r="W222" s="421"/>
      <c r="X222" s="421"/>
      <c r="Y222" s="421"/>
      <c r="Z222" s="421"/>
      <c r="AA222" s="421"/>
      <c r="AB222" s="421"/>
      <c r="AC222" s="421"/>
      <c r="AD222" s="421"/>
      <c r="AE222" s="421"/>
      <c r="AF222" s="421"/>
      <c r="AG222" s="421"/>
      <c r="AH222" s="421"/>
      <c r="AI222" s="421"/>
      <c r="AJ222" s="421"/>
      <c r="AK222" s="421"/>
      <c r="AL222" s="421"/>
    </row>
    <row r="223" spans="1:38">
      <c r="A223" s="410">
        <v>5495</v>
      </c>
      <c r="B223" s="407"/>
      <c r="C223" s="408"/>
      <c r="D223" s="410" t="s">
        <v>1801</v>
      </c>
      <c r="E223" s="410" t="s">
        <v>1405</v>
      </c>
      <c r="F223" s="410" t="s">
        <v>1476</v>
      </c>
      <c r="G223" s="68" t="str">
        <f t="shared" si="16"/>
        <v>DUAL</v>
      </c>
      <c r="H223" s="197">
        <f t="shared" si="15"/>
        <v>9</v>
      </c>
      <c r="I223" s="408">
        <f t="shared" si="18"/>
        <v>2</v>
      </c>
      <c r="J223" s="408">
        <f t="shared" si="19"/>
        <v>24</v>
      </c>
      <c r="K223" s="411">
        <v>45712</v>
      </c>
      <c r="L223" s="408"/>
      <c r="M223" s="408"/>
      <c r="N223" s="3" t="str">
        <f t="shared" si="17"/>
        <v/>
      </c>
      <c r="O223" s="408"/>
      <c r="P223" s="408"/>
      <c r="Q223" s="408"/>
      <c r="R223" s="408"/>
      <c r="S223" s="408"/>
      <c r="T223" s="408"/>
      <c r="U223" s="408"/>
      <c r="V223" s="421"/>
      <c r="W223" s="421"/>
      <c r="X223" s="421"/>
      <c r="Y223" s="421"/>
      <c r="Z223" s="421"/>
      <c r="AA223" s="421"/>
      <c r="AB223" s="421"/>
      <c r="AC223" s="421"/>
      <c r="AD223" s="421"/>
      <c r="AE223" s="421"/>
      <c r="AF223" s="421"/>
      <c r="AG223" s="421"/>
      <c r="AH223" s="421"/>
      <c r="AI223" s="421"/>
      <c r="AJ223" s="421"/>
      <c r="AK223" s="421"/>
      <c r="AL223" s="421"/>
    </row>
    <row r="224" spans="1:38">
      <c r="A224" s="410">
        <v>5462</v>
      </c>
      <c r="B224" s="407"/>
      <c r="C224" s="408"/>
      <c r="D224" s="410" t="s">
        <v>1802</v>
      </c>
      <c r="E224" s="410" t="s">
        <v>1409</v>
      </c>
      <c r="F224" s="410" t="s">
        <v>1479</v>
      </c>
      <c r="G224" s="68" t="str">
        <f t="shared" si="16"/>
        <v>SINGLE</v>
      </c>
      <c r="H224" s="197">
        <f t="shared" si="15"/>
        <v>9</v>
      </c>
      <c r="I224" s="408">
        <f t="shared" si="18"/>
        <v>2</v>
      </c>
      <c r="J224" s="408">
        <f t="shared" si="19"/>
        <v>25</v>
      </c>
      <c r="K224" s="411">
        <v>45713</v>
      </c>
      <c r="L224" s="408"/>
      <c r="M224" s="408"/>
      <c r="N224" s="3" t="str">
        <f t="shared" si="17"/>
        <v/>
      </c>
      <c r="O224" s="408"/>
      <c r="P224" s="408"/>
      <c r="Q224" s="408"/>
      <c r="R224" s="408"/>
      <c r="S224" s="408"/>
      <c r="T224" s="408"/>
      <c r="U224" s="408"/>
      <c r="V224" s="421"/>
      <c r="W224" s="421"/>
      <c r="X224" s="421"/>
      <c r="Y224" s="421"/>
      <c r="Z224" s="421"/>
      <c r="AA224" s="421"/>
      <c r="AB224" s="421"/>
      <c r="AC224" s="421"/>
      <c r="AD224" s="421"/>
      <c r="AE224" s="421"/>
      <c r="AF224" s="421"/>
      <c r="AG224" s="421"/>
      <c r="AH224" s="421"/>
      <c r="AI224" s="421"/>
      <c r="AJ224" s="421"/>
      <c r="AK224" s="421"/>
      <c r="AL224" s="421"/>
    </row>
    <row r="225" spans="1:38">
      <c r="A225" s="410">
        <v>5460</v>
      </c>
      <c r="B225" s="407"/>
      <c r="C225" s="408"/>
      <c r="D225" s="410" t="s">
        <v>1803</v>
      </c>
      <c r="E225" s="410" t="s">
        <v>1405</v>
      </c>
      <c r="F225" s="410" t="s">
        <v>1591</v>
      </c>
      <c r="G225" s="68" t="str">
        <f t="shared" si="16"/>
        <v>SINGLE</v>
      </c>
      <c r="H225" s="197">
        <f t="shared" si="15"/>
        <v>9</v>
      </c>
      <c r="I225" s="408">
        <f t="shared" si="18"/>
        <v>2</v>
      </c>
      <c r="J225" s="408">
        <f t="shared" si="19"/>
        <v>25</v>
      </c>
      <c r="K225" s="411">
        <v>45713</v>
      </c>
      <c r="L225" s="408"/>
      <c r="M225" s="408"/>
      <c r="N225" s="3" t="str">
        <f t="shared" si="17"/>
        <v/>
      </c>
      <c r="O225" s="408"/>
      <c r="P225" s="408"/>
      <c r="Q225" s="408"/>
      <c r="R225" s="408"/>
      <c r="S225" s="408"/>
      <c r="T225" s="408"/>
      <c r="U225" s="408"/>
      <c r="V225" s="421"/>
      <c r="W225" s="421"/>
      <c r="X225" s="421"/>
      <c r="Y225" s="421"/>
      <c r="Z225" s="421"/>
      <c r="AA225" s="421"/>
      <c r="AB225" s="421"/>
      <c r="AC225" s="421"/>
      <c r="AD225" s="421"/>
      <c r="AE225" s="421"/>
      <c r="AF225" s="421"/>
      <c r="AG225" s="421"/>
      <c r="AH225" s="421"/>
      <c r="AI225" s="421"/>
      <c r="AJ225" s="421"/>
      <c r="AK225" s="421"/>
      <c r="AL225" s="421"/>
    </row>
    <row r="226" spans="1:38">
      <c r="A226" s="410">
        <v>5460</v>
      </c>
      <c r="B226" s="407"/>
      <c r="C226" s="408"/>
      <c r="D226" s="410" t="s">
        <v>1804</v>
      </c>
      <c r="E226" s="410" t="s">
        <v>1405</v>
      </c>
      <c r="F226" s="410" t="s">
        <v>1591</v>
      </c>
      <c r="G226" s="68" t="str">
        <f t="shared" si="16"/>
        <v>SINGLE</v>
      </c>
      <c r="H226" s="197">
        <f t="shared" si="15"/>
        <v>9</v>
      </c>
      <c r="I226" s="408">
        <f t="shared" si="18"/>
        <v>2</v>
      </c>
      <c r="J226" s="408">
        <f t="shared" si="19"/>
        <v>25</v>
      </c>
      <c r="K226" s="411">
        <v>45713</v>
      </c>
      <c r="L226" s="408"/>
      <c r="M226" s="408"/>
      <c r="N226" s="3" t="str">
        <f t="shared" si="17"/>
        <v/>
      </c>
      <c r="O226" s="408"/>
      <c r="P226" s="408"/>
      <c r="Q226" s="408"/>
      <c r="R226" s="408"/>
      <c r="S226" s="408"/>
      <c r="T226" s="408"/>
      <c r="U226" s="408"/>
      <c r="V226" s="421"/>
      <c r="W226" s="421"/>
      <c r="X226" s="421"/>
      <c r="Y226" s="421"/>
      <c r="Z226" s="421"/>
      <c r="AA226" s="421"/>
      <c r="AB226" s="421"/>
      <c r="AC226" s="421"/>
      <c r="AD226" s="421"/>
      <c r="AE226" s="421"/>
      <c r="AF226" s="421"/>
      <c r="AG226" s="421"/>
      <c r="AH226" s="421"/>
      <c r="AI226" s="421"/>
      <c r="AJ226" s="421"/>
      <c r="AK226" s="421"/>
      <c r="AL226" s="421"/>
    </row>
    <row r="227" spans="1:38">
      <c r="A227" s="410">
        <v>5349</v>
      </c>
      <c r="B227" s="407"/>
      <c r="C227" s="408"/>
      <c r="D227" s="410" t="s">
        <v>1805</v>
      </c>
      <c r="E227" s="410" t="s">
        <v>1585</v>
      </c>
      <c r="F227" s="410" t="s">
        <v>1476</v>
      </c>
      <c r="G227" s="68" t="str">
        <f t="shared" si="16"/>
        <v>DUAL</v>
      </c>
      <c r="H227" s="197">
        <f t="shared" si="15"/>
        <v>9</v>
      </c>
      <c r="I227" s="408">
        <f t="shared" si="18"/>
        <v>2</v>
      </c>
      <c r="J227" s="408">
        <f t="shared" si="19"/>
        <v>25</v>
      </c>
      <c r="K227" s="411">
        <v>45713</v>
      </c>
      <c r="L227" s="408"/>
      <c r="M227" s="408"/>
      <c r="N227" s="3" t="str">
        <f t="shared" si="17"/>
        <v/>
      </c>
      <c r="O227" s="408"/>
      <c r="P227" s="408"/>
      <c r="Q227" s="408"/>
      <c r="R227" s="408"/>
      <c r="S227" s="408"/>
      <c r="T227" s="408"/>
      <c r="U227" s="408"/>
      <c r="V227" s="421"/>
      <c r="W227" s="421"/>
      <c r="X227" s="421"/>
      <c r="Y227" s="421"/>
      <c r="Z227" s="421"/>
      <c r="AA227" s="421"/>
      <c r="AB227" s="421"/>
      <c r="AC227" s="421"/>
      <c r="AD227" s="421"/>
      <c r="AE227" s="421"/>
      <c r="AF227" s="421"/>
      <c r="AG227" s="421"/>
      <c r="AH227" s="421"/>
      <c r="AI227" s="421"/>
      <c r="AJ227" s="421"/>
      <c r="AK227" s="421"/>
      <c r="AL227" s="421"/>
    </row>
    <row r="228" spans="1:38">
      <c r="A228" s="410">
        <v>5450</v>
      </c>
      <c r="B228" s="407"/>
      <c r="C228" s="408"/>
      <c r="D228" s="410" t="s">
        <v>1806</v>
      </c>
      <c r="E228" s="410" t="s">
        <v>1399</v>
      </c>
      <c r="F228" s="410" t="s">
        <v>1477</v>
      </c>
      <c r="G228" s="68" t="str">
        <f t="shared" si="16"/>
        <v>SINGLE</v>
      </c>
      <c r="H228" s="197">
        <f t="shared" si="15"/>
        <v>9</v>
      </c>
      <c r="I228" s="408">
        <f t="shared" si="18"/>
        <v>2</v>
      </c>
      <c r="J228" s="408">
        <f t="shared" si="19"/>
        <v>25</v>
      </c>
      <c r="K228" s="411">
        <v>45713</v>
      </c>
      <c r="L228" s="408"/>
      <c r="M228" s="408"/>
      <c r="N228" s="3" t="str">
        <f t="shared" si="17"/>
        <v/>
      </c>
      <c r="O228" s="408"/>
      <c r="P228" s="408"/>
      <c r="Q228" s="408"/>
      <c r="R228" s="408"/>
      <c r="S228" s="408"/>
      <c r="T228" s="408"/>
      <c r="U228" s="408"/>
      <c r="V228" s="421"/>
      <c r="W228" s="421"/>
      <c r="X228" s="421"/>
      <c r="Y228" s="421"/>
      <c r="Z228" s="421"/>
      <c r="AA228" s="421"/>
      <c r="AB228" s="421"/>
      <c r="AC228" s="421"/>
      <c r="AD228" s="421"/>
      <c r="AE228" s="421"/>
      <c r="AF228" s="421"/>
      <c r="AG228" s="421"/>
      <c r="AH228" s="421"/>
      <c r="AI228" s="421"/>
      <c r="AJ228" s="421"/>
      <c r="AK228" s="421"/>
      <c r="AL228" s="421"/>
    </row>
    <row r="229" spans="1:38">
      <c r="A229" s="410">
        <v>5450</v>
      </c>
      <c r="B229" s="407"/>
      <c r="C229" s="408"/>
      <c r="D229" s="410" t="s">
        <v>1807</v>
      </c>
      <c r="E229" s="410" t="s">
        <v>1399</v>
      </c>
      <c r="F229" s="410" t="s">
        <v>1477</v>
      </c>
      <c r="G229" s="68" t="str">
        <f t="shared" si="16"/>
        <v>SINGLE</v>
      </c>
      <c r="H229" s="197">
        <f t="shared" si="15"/>
        <v>9</v>
      </c>
      <c r="I229" s="408">
        <f t="shared" si="18"/>
        <v>2</v>
      </c>
      <c r="J229" s="408">
        <f t="shared" si="19"/>
        <v>25</v>
      </c>
      <c r="K229" s="411">
        <v>45713</v>
      </c>
      <c r="L229" s="408"/>
      <c r="M229" s="408"/>
      <c r="N229" s="3" t="str">
        <f t="shared" si="17"/>
        <v/>
      </c>
      <c r="O229" s="408"/>
      <c r="P229" s="408"/>
      <c r="Q229" s="408"/>
      <c r="R229" s="408"/>
      <c r="S229" s="408"/>
      <c r="T229" s="408"/>
      <c r="U229" s="408"/>
      <c r="V229" s="421"/>
      <c r="W229" s="421"/>
      <c r="X229" s="421"/>
      <c r="Y229" s="421"/>
      <c r="Z229" s="421"/>
      <c r="AA229" s="421"/>
      <c r="AB229" s="421"/>
      <c r="AC229" s="421"/>
      <c r="AD229" s="421"/>
      <c r="AE229" s="421"/>
      <c r="AF229" s="421"/>
      <c r="AG229" s="421"/>
      <c r="AH229" s="421"/>
      <c r="AI229" s="421"/>
      <c r="AJ229" s="421"/>
      <c r="AK229" s="421"/>
      <c r="AL229" s="421"/>
    </row>
    <row r="230" spans="1:38">
      <c r="A230" s="410">
        <v>5471</v>
      </c>
      <c r="B230" s="407"/>
      <c r="C230" s="408"/>
      <c r="D230" s="410" t="s">
        <v>1808</v>
      </c>
      <c r="E230" s="410" t="s">
        <v>1426</v>
      </c>
      <c r="F230" s="410" t="s">
        <v>1476</v>
      </c>
      <c r="G230" s="68" t="str">
        <f t="shared" si="16"/>
        <v>DUAL</v>
      </c>
      <c r="H230" s="197">
        <f t="shared" si="15"/>
        <v>9</v>
      </c>
      <c r="I230" s="408">
        <f t="shared" si="18"/>
        <v>2</v>
      </c>
      <c r="J230" s="408">
        <f t="shared" si="19"/>
        <v>25</v>
      </c>
      <c r="K230" s="411">
        <v>45713</v>
      </c>
      <c r="L230" s="408"/>
      <c r="M230" s="408"/>
      <c r="N230" s="3" t="str">
        <f t="shared" si="17"/>
        <v/>
      </c>
      <c r="O230" s="408"/>
      <c r="P230" s="408"/>
      <c r="Q230" s="408"/>
      <c r="R230" s="408"/>
      <c r="S230" s="408"/>
      <c r="T230" s="408"/>
      <c r="U230" s="408"/>
      <c r="V230" s="421"/>
      <c r="W230" s="421"/>
      <c r="X230" s="421"/>
      <c r="Y230" s="421"/>
      <c r="Z230" s="421"/>
      <c r="AA230" s="421"/>
      <c r="AB230" s="421"/>
      <c r="AC230" s="421"/>
      <c r="AD230" s="421"/>
      <c r="AE230" s="421"/>
      <c r="AF230" s="421"/>
      <c r="AG230" s="421"/>
      <c r="AH230" s="421"/>
      <c r="AI230" s="421"/>
      <c r="AJ230" s="421"/>
      <c r="AK230" s="421"/>
      <c r="AL230" s="421"/>
    </row>
    <row r="231" spans="1:38">
      <c r="A231" s="410">
        <v>5472</v>
      </c>
      <c r="B231" s="407"/>
      <c r="C231" s="408"/>
      <c r="D231" s="410" t="s">
        <v>1809</v>
      </c>
      <c r="E231" s="410" t="s">
        <v>1426</v>
      </c>
      <c r="F231" s="410" t="s">
        <v>1476</v>
      </c>
      <c r="G231" s="68" t="str">
        <f t="shared" si="16"/>
        <v>DUAL</v>
      </c>
      <c r="H231" s="197">
        <f t="shared" si="15"/>
        <v>9</v>
      </c>
      <c r="I231" s="408">
        <f t="shared" si="18"/>
        <v>2</v>
      </c>
      <c r="J231" s="408">
        <f t="shared" si="19"/>
        <v>25</v>
      </c>
      <c r="K231" s="411">
        <v>45713</v>
      </c>
      <c r="L231" s="408"/>
      <c r="M231" s="408"/>
      <c r="N231" s="3" t="str">
        <f t="shared" si="17"/>
        <v/>
      </c>
      <c r="O231" s="408"/>
      <c r="P231" s="408"/>
      <c r="Q231" s="408"/>
      <c r="R231" s="408"/>
      <c r="S231" s="408"/>
      <c r="T231" s="408"/>
      <c r="U231" s="408"/>
      <c r="V231" s="421"/>
      <c r="W231" s="421"/>
      <c r="X231" s="421"/>
      <c r="Y231" s="421"/>
      <c r="Z231" s="421"/>
      <c r="AA231" s="421"/>
      <c r="AB231" s="421"/>
      <c r="AC231" s="421"/>
      <c r="AD231" s="421"/>
      <c r="AE231" s="421"/>
      <c r="AF231" s="421"/>
      <c r="AG231" s="421"/>
      <c r="AH231" s="421"/>
      <c r="AI231" s="421"/>
      <c r="AJ231" s="421"/>
      <c r="AK231" s="421"/>
      <c r="AL231" s="421"/>
    </row>
    <row r="232" spans="1:38">
      <c r="A232" s="410">
        <v>5505</v>
      </c>
      <c r="B232" s="407"/>
      <c r="C232" s="408"/>
      <c r="D232" s="410" t="s">
        <v>1810</v>
      </c>
      <c r="E232" s="410" t="s">
        <v>1429</v>
      </c>
      <c r="F232" s="410" t="s">
        <v>1476</v>
      </c>
      <c r="G232" s="68" t="str">
        <f t="shared" si="16"/>
        <v>DUAL</v>
      </c>
      <c r="H232" s="197">
        <f t="shared" si="15"/>
        <v>9</v>
      </c>
      <c r="I232" s="408">
        <f t="shared" si="18"/>
        <v>2</v>
      </c>
      <c r="J232" s="408">
        <f t="shared" si="19"/>
        <v>25</v>
      </c>
      <c r="K232" s="411">
        <v>45713</v>
      </c>
      <c r="L232" s="408"/>
      <c r="M232" s="408"/>
      <c r="N232" s="3" t="str">
        <f t="shared" si="17"/>
        <v/>
      </c>
      <c r="O232" s="408"/>
      <c r="P232" s="408"/>
      <c r="Q232" s="408"/>
      <c r="R232" s="408"/>
      <c r="S232" s="408"/>
      <c r="T232" s="408"/>
      <c r="U232" s="408"/>
      <c r="V232" s="421"/>
      <c r="W232" s="421"/>
      <c r="X232" s="421"/>
      <c r="Y232" s="421"/>
      <c r="Z232" s="421"/>
      <c r="AA232" s="421"/>
      <c r="AB232" s="421"/>
      <c r="AC232" s="421"/>
      <c r="AD232" s="421"/>
      <c r="AE232" s="421"/>
      <c r="AF232" s="421"/>
      <c r="AG232" s="421"/>
      <c r="AH232" s="421"/>
      <c r="AI232" s="421"/>
      <c r="AJ232" s="421"/>
      <c r="AK232" s="421"/>
      <c r="AL232" s="421"/>
    </row>
    <row r="233" spans="1:38">
      <c r="A233" s="410">
        <v>5354</v>
      </c>
      <c r="B233" s="407"/>
      <c r="C233" s="408"/>
      <c r="D233" s="410" t="s">
        <v>1811</v>
      </c>
      <c r="E233" s="410" t="s">
        <v>1585</v>
      </c>
      <c r="F233" s="410" t="s">
        <v>1482</v>
      </c>
      <c r="G233" s="68" t="str">
        <f t="shared" si="16"/>
        <v>SINGLE</v>
      </c>
      <c r="H233" s="197">
        <f t="shared" si="15"/>
        <v>9</v>
      </c>
      <c r="I233" s="408">
        <f t="shared" si="18"/>
        <v>2</v>
      </c>
      <c r="J233" s="408">
        <f t="shared" si="19"/>
        <v>26</v>
      </c>
      <c r="K233" s="411">
        <v>45714</v>
      </c>
      <c r="L233" s="408"/>
      <c r="M233" s="408"/>
      <c r="N233" s="3" t="str">
        <f t="shared" si="17"/>
        <v/>
      </c>
      <c r="O233" s="408"/>
      <c r="P233" s="408"/>
      <c r="Q233" s="408"/>
      <c r="R233" s="408"/>
      <c r="S233" s="408"/>
      <c r="T233" s="408"/>
      <c r="U233" s="408"/>
      <c r="V233" s="421"/>
      <c r="W233" s="421"/>
      <c r="X233" s="421"/>
      <c r="Y233" s="421"/>
      <c r="Z233" s="421"/>
      <c r="AA233" s="421"/>
      <c r="AB233" s="421"/>
      <c r="AC233" s="421"/>
      <c r="AD233" s="421"/>
      <c r="AE233" s="421"/>
      <c r="AF233" s="421"/>
      <c r="AG233" s="421"/>
      <c r="AH233" s="421"/>
      <c r="AI233" s="421"/>
      <c r="AJ233" s="421"/>
      <c r="AK233" s="421"/>
      <c r="AL233" s="421"/>
    </row>
    <row r="234" spans="1:38">
      <c r="A234" s="410">
        <v>5353</v>
      </c>
      <c r="B234" s="407"/>
      <c r="C234" s="408"/>
      <c r="D234" s="410" t="s">
        <v>1812</v>
      </c>
      <c r="E234" s="410" t="s">
        <v>1585</v>
      </c>
      <c r="F234" s="410" t="s">
        <v>1476</v>
      </c>
      <c r="G234" s="68" t="str">
        <f t="shared" si="16"/>
        <v>DUAL</v>
      </c>
      <c r="H234" s="197">
        <f t="shared" si="15"/>
        <v>9</v>
      </c>
      <c r="I234" s="408">
        <f t="shared" si="18"/>
        <v>2</v>
      </c>
      <c r="J234" s="408">
        <f t="shared" si="19"/>
        <v>26</v>
      </c>
      <c r="K234" s="411">
        <v>45714</v>
      </c>
      <c r="L234" s="408"/>
      <c r="M234" s="408"/>
      <c r="N234" s="3" t="str">
        <f t="shared" si="17"/>
        <v/>
      </c>
      <c r="O234" s="408"/>
      <c r="P234" s="408"/>
      <c r="Q234" s="408"/>
      <c r="R234" s="408"/>
      <c r="S234" s="408"/>
      <c r="T234" s="408"/>
      <c r="U234" s="408"/>
      <c r="V234" s="421"/>
      <c r="W234" s="421"/>
      <c r="X234" s="421"/>
      <c r="Y234" s="421"/>
      <c r="Z234" s="421"/>
      <c r="AA234" s="421"/>
      <c r="AB234" s="421"/>
      <c r="AC234" s="421"/>
      <c r="AD234" s="421"/>
      <c r="AE234" s="421"/>
      <c r="AF234" s="421"/>
      <c r="AG234" s="421"/>
      <c r="AH234" s="421"/>
      <c r="AI234" s="421"/>
      <c r="AJ234" s="421"/>
      <c r="AK234" s="421"/>
      <c r="AL234" s="421"/>
    </row>
    <row r="235" spans="1:38">
      <c r="A235" s="410">
        <v>5468</v>
      </c>
      <c r="B235" s="407"/>
      <c r="C235" s="408"/>
      <c r="D235" s="410" t="s">
        <v>1813</v>
      </c>
      <c r="E235" s="410" t="s">
        <v>1405</v>
      </c>
      <c r="F235" s="410" t="s">
        <v>1591</v>
      </c>
      <c r="G235" s="68" t="str">
        <f t="shared" si="16"/>
        <v>SINGLE</v>
      </c>
      <c r="H235" s="197">
        <f t="shared" si="15"/>
        <v>9</v>
      </c>
      <c r="I235" s="408">
        <f t="shared" si="18"/>
        <v>2</v>
      </c>
      <c r="J235" s="408">
        <f t="shared" si="19"/>
        <v>26</v>
      </c>
      <c r="K235" s="411">
        <v>45714</v>
      </c>
      <c r="L235" s="408"/>
      <c r="M235" s="408"/>
      <c r="N235" s="3" t="str">
        <f t="shared" si="17"/>
        <v/>
      </c>
      <c r="O235" s="408"/>
      <c r="P235" s="408"/>
      <c r="Q235" s="408"/>
      <c r="R235" s="408"/>
      <c r="S235" s="408"/>
      <c r="T235" s="408"/>
      <c r="U235" s="408"/>
      <c r="V235" s="421"/>
      <c r="W235" s="421"/>
      <c r="X235" s="421"/>
      <c r="Y235" s="421"/>
      <c r="Z235" s="421"/>
      <c r="AA235" s="421"/>
      <c r="AB235" s="421"/>
      <c r="AC235" s="421"/>
      <c r="AD235" s="421"/>
      <c r="AE235" s="421"/>
      <c r="AF235" s="421"/>
      <c r="AG235" s="421"/>
      <c r="AH235" s="421"/>
      <c r="AI235" s="421"/>
      <c r="AJ235" s="421"/>
      <c r="AK235" s="421"/>
      <c r="AL235" s="421"/>
    </row>
    <row r="236" spans="1:38">
      <c r="A236" s="410">
        <v>5468</v>
      </c>
      <c r="B236" s="407"/>
      <c r="C236" s="408"/>
      <c r="D236" s="410" t="s">
        <v>1814</v>
      </c>
      <c r="E236" s="410" t="s">
        <v>1405</v>
      </c>
      <c r="F236" s="410" t="s">
        <v>1591</v>
      </c>
      <c r="G236" s="68" t="str">
        <f t="shared" si="16"/>
        <v>SINGLE</v>
      </c>
      <c r="H236" s="197">
        <f t="shared" si="15"/>
        <v>9</v>
      </c>
      <c r="I236" s="408">
        <f t="shared" si="18"/>
        <v>2</v>
      </c>
      <c r="J236" s="408">
        <f t="shared" si="19"/>
        <v>26</v>
      </c>
      <c r="K236" s="411">
        <v>45714</v>
      </c>
      <c r="L236" s="408"/>
      <c r="M236" s="408"/>
      <c r="N236" s="3" t="str">
        <f t="shared" si="17"/>
        <v/>
      </c>
      <c r="O236" s="408"/>
      <c r="P236" s="408"/>
      <c r="Q236" s="408"/>
      <c r="R236" s="408"/>
      <c r="S236" s="408"/>
      <c r="T236" s="408"/>
      <c r="U236" s="408"/>
      <c r="V236" s="421"/>
      <c r="W236" s="421"/>
      <c r="X236" s="421"/>
      <c r="Y236" s="421"/>
      <c r="Z236" s="421"/>
      <c r="AA236" s="421"/>
      <c r="AB236" s="421"/>
      <c r="AC236" s="421"/>
      <c r="AD236" s="421"/>
      <c r="AE236" s="421"/>
      <c r="AF236" s="421"/>
      <c r="AG236" s="421"/>
      <c r="AH236" s="421"/>
      <c r="AI236" s="421"/>
      <c r="AJ236" s="421"/>
      <c r="AK236" s="421"/>
      <c r="AL236" s="421"/>
    </row>
    <row r="237" spans="1:38">
      <c r="A237" s="410">
        <v>5468</v>
      </c>
      <c r="B237" s="407"/>
      <c r="C237" s="408"/>
      <c r="D237" s="410" t="s">
        <v>1815</v>
      </c>
      <c r="E237" s="410" t="s">
        <v>1405</v>
      </c>
      <c r="F237" s="410" t="s">
        <v>1591</v>
      </c>
      <c r="G237" s="68" t="str">
        <f t="shared" si="16"/>
        <v>SINGLE</v>
      </c>
      <c r="H237" s="197">
        <f t="shared" si="15"/>
        <v>9</v>
      </c>
      <c r="I237" s="408">
        <f t="shared" si="18"/>
        <v>2</v>
      </c>
      <c r="J237" s="408">
        <f t="shared" si="19"/>
        <v>26</v>
      </c>
      <c r="K237" s="411">
        <v>45714</v>
      </c>
      <c r="L237" s="408"/>
      <c r="M237" s="408"/>
      <c r="N237" s="3" t="str">
        <f t="shared" si="17"/>
        <v/>
      </c>
      <c r="O237" s="408"/>
      <c r="P237" s="408"/>
      <c r="Q237" s="408"/>
      <c r="R237" s="408"/>
      <c r="S237" s="408"/>
      <c r="T237" s="408"/>
      <c r="U237" s="408"/>
      <c r="V237" s="421"/>
      <c r="W237" s="421"/>
      <c r="X237" s="421"/>
      <c r="Y237" s="421"/>
      <c r="Z237" s="421"/>
      <c r="AA237" s="421"/>
      <c r="AB237" s="421"/>
      <c r="AC237" s="421"/>
      <c r="AD237" s="421"/>
      <c r="AE237" s="421"/>
      <c r="AF237" s="421"/>
      <c r="AG237" s="421"/>
      <c r="AH237" s="421"/>
      <c r="AI237" s="421"/>
      <c r="AJ237" s="421"/>
      <c r="AK237" s="421"/>
      <c r="AL237" s="421"/>
    </row>
    <row r="238" spans="1:38">
      <c r="A238" s="410">
        <v>5459</v>
      </c>
      <c r="B238" s="407"/>
      <c r="C238" s="408"/>
      <c r="D238" s="410" t="s">
        <v>1816</v>
      </c>
      <c r="E238" s="410" t="s">
        <v>1405</v>
      </c>
      <c r="F238" s="410" t="s">
        <v>1477</v>
      </c>
      <c r="G238" s="68" t="str">
        <f t="shared" si="16"/>
        <v>SINGLE</v>
      </c>
      <c r="H238" s="197">
        <f t="shared" si="15"/>
        <v>9</v>
      </c>
      <c r="I238" s="408">
        <f t="shared" si="18"/>
        <v>2</v>
      </c>
      <c r="J238" s="408">
        <f t="shared" si="19"/>
        <v>26</v>
      </c>
      <c r="K238" s="411">
        <v>45714</v>
      </c>
      <c r="L238" s="408"/>
      <c r="M238" s="408"/>
      <c r="N238" s="3" t="str">
        <f t="shared" si="17"/>
        <v/>
      </c>
      <c r="O238" s="408"/>
      <c r="P238" s="408"/>
      <c r="Q238" s="408"/>
      <c r="R238" s="408"/>
      <c r="S238" s="408"/>
      <c r="T238" s="408"/>
      <c r="U238" s="408"/>
      <c r="V238" s="421"/>
      <c r="W238" s="421"/>
      <c r="X238" s="421"/>
      <c r="Y238" s="421"/>
      <c r="Z238" s="421"/>
      <c r="AA238" s="421"/>
      <c r="AB238" s="421"/>
      <c r="AC238" s="421"/>
      <c r="AD238" s="421"/>
      <c r="AE238" s="421"/>
      <c r="AF238" s="421"/>
      <c r="AG238" s="421"/>
      <c r="AH238" s="421"/>
      <c r="AI238" s="421"/>
      <c r="AJ238" s="421"/>
      <c r="AK238" s="421"/>
      <c r="AL238" s="421"/>
    </row>
    <row r="239" spans="1:38">
      <c r="A239" s="410">
        <v>5459</v>
      </c>
      <c r="B239" s="407"/>
      <c r="C239" s="408"/>
      <c r="D239" s="410" t="s">
        <v>1817</v>
      </c>
      <c r="E239" s="410" t="s">
        <v>1405</v>
      </c>
      <c r="F239" s="410" t="s">
        <v>1477</v>
      </c>
      <c r="G239" s="68" t="str">
        <f t="shared" si="16"/>
        <v>SINGLE</v>
      </c>
      <c r="H239" s="197">
        <f t="shared" si="15"/>
        <v>9</v>
      </c>
      <c r="I239" s="408">
        <f t="shared" si="18"/>
        <v>2</v>
      </c>
      <c r="J239" s="408">
        <f t="shared" si="19"/>
        <v>26</v>
      </c>
      <c r="K239" s="411">
        <v>45714</v>
      </c>
      <c r="L239" s="408"/>
      <c r="M239" s="408"/>
      <c r="N239" s="3" t="str">
        <f t="shared" si="17"/>
        <v/>
      </c>
      <c r="O239" s="408"/>
      <c r="P239" s="408"/>
      <c r="Q239" s="408"/>
      <c r="R239" s="408"/>
      <c r="S239" s="408"/>
      <c r="T239" s="408"/>
      <c r="U239" s="408"/>
      <c r="V239" s="421"/>
      <c r="W239" s="421"/>
      <c r="X239" s="421"/>
      <c r="Y239" s="421"/>
      <c r="Z239" s="421"/>
      <c r="AA239" s="421"/>
      <c r="AB239" s="421"/>
      <c r="AC239" s="421"/>
      <c r="AD239" s="421"/>
      <c r="AE239" s="421"/>
      <c r="AF239" s="421"/>
      <c r="AG239" s="421"/>
      <c r="AH239" s="421"/>
      <c r="AI239" s="421"/>
      <c r="AJ239" s="421"/>
      <c r="AK239" s="421"/>
      <c r="AL239" s="421"/>
    </row>
    <row r="240" spans="1:38">
      <c r="A240" s="410">
        <v>5459</v>
      </c>
      <c r="B240" s="407"/>
      <c r="C240" s="408"/>
      <c r="D240" s="410" t="s">
        <v>1818</v>
      </c>
      <c r="E240" s="410" t="s">
        <v>1405</v>
      </c>
      <c r="F240" s="410" t="s">
        <v>1477</v>
      </c>
      <c r="G240" s="68" t="str">
        <f t="shared" si="16"/>
        <v>SINGLE</v>
      </c>
      <c r="H240" s="197">
        <f t="shared" si="15"/>
        <v>9</v>
      </c>
      <c r="I240" s="408">
        <f t="shared" si="18"/>
        <v>2</v>
      </c>
      <c r="J240" s="408">
        <f t="shared" si="19"/>
        <v>26</v>
      </c>
      <c r="K240" s="411">
        <v>45714</v>
      </c>
      <c r="L240" s="408"/>
      <c r="M240" s="408"/>
      <c r="N240" s="3" t="str">
        <f t="shared" si="17"/>
        <v/>
      </c>
      <c r="O240" s="408"/>
      <c r="P240" s="408"/>
      <c r="Q240" s="408"/>
      <c r="R240" s="408"/>
      <c r="S240" s="408"/>
      <c r="T240" s="408"/>
      <c r="U240" s="408"/>
      <c r="V240" s="421"/>
      <c r="W240" s="421"/>
      <c r="X240" s="421"/>
      <c r="Y240" s="421"/>
      <c r="Z240" s="421"/>
      <c r="AA240" s="421"/>
      <c r="AB240" s="421"/>
      <c r="AC240" s="421"/>
      <c r="AD240" s="421"/>
      <c r="AE240" s="421"/>
      <c r="AF240" s="421"/>
      <c r="AG240" s="421"/>
      <c r="AH240" s="421"/>
      <c r="AI240" s="421"/>
      <c r="AJ240" s="421"/>
      <c r="AK240" s="421"/>
      <c r="AL240" s="421"/>
    </row>
    <row r="241" spans="1:38">
      <c r="A241" s="410">
        <v>5459</v>
      </c>
      <c r="B241" s="407"/>
      <c r="C241" s="408"/>
      <c r="D241" s="410" t="s">
        <v>1819</v>
      </c>
      <c r="E241" s="410" t="s">
        <v>1405</v>
      </c>
      <c r="F241" s="410" t="s">
        <v>1477</v>
      </c>
      <c r="G241" s="68" t="str">
        <f t="shared" si="16"/>
        <v>SINGLE</v>
      </c>
      <c r="H241" s="197">
        <f t="shared" si="15"/>
        <v>9</v>
      </c>
      <c r="I241" s="408">
        <f t="shared" si="18"/>
        <v>2</v>
      </c>
      <c r="J241" s="408">
        <f t="shared" si="19"/>
        <v>26</v>
      </c>
      <c r="K241" s="411">
        <v>45714</v>
      </c>
      <c r="L241" s="408"/>
      <c r="M241" s="408"/>
      <c r="N241" s="3" t="str">
        <f t="shared" si="17"/>
        <v/>
      </c>
      <c r="O241" s="408"/>
      <c r="P241" s="408"/>
      <c r="Q241" s="408"/>
      <c r="R241" s="408"/>
      <c r="S241" s="408"/>
      <c r="T241" s="408"/>
      <c r="U241" s="408"/>
      <c r="V241" s="421"/>
      <c r="W241" s="421"/>
      <c r="X241" s="421"/>
      <c r="Y241" s="421"/>
      <c r="Z241" s="421"/>
      <c r="AA241" s="421"/>
      <c r="AB241" s="421"/>
      <c r="AC241" s="421"/>
      <c r="AD241" s="421"/>
      <c r="AE241" s="421"/>
      <c r="AF241" s="421"/>
      <c r="AG241" s="421"/>
      <c r="AH241" s="421"/>
      <c r="AI241" s="421"/>
      <c r="AJ241" s="421"/>
      <c r="AK241" s="421"/>
      <c r="AL241" s="421"/>
    </row>
    <row r="242" spans="1:38">
      <c r="A242" s="410">
        <v>5449</v>
      </c>
      <c r="B242" s="407"/>
      <c r="C242" s="408"/>
      <c r="D242" s="410" t="s">
        <v>1820</v>
      </c>
      <c r="E242" s="410" t="s">
        <v>1399</v>
      </c>
      <c r="F242" s="410" t="s">
        <v>1591</v>
      </c>
      <c r="G242" s="68" t="str">
        <f t="shared" si="16"/>
        <v>SINGLE</v>
      </c>
      <c r="H242" s="197">
        <f t="shared" si="15"/>
        <v>9</v>
      </c>
      <c r="I242" s="408">
        <f t="shared" si="18"/>
        <v>2</v>
      </c>
      <c r="J242" s="408">
        <f t="shared" si="19"/>
        <v>26</v>
      </c>
      <c r="K242" s="411">
        <v>45714</v>
      </c>
      <c r="L242" s="408"/>
      <c r="M242" s="408"/>
      <c r="N242" s="3" t="str">
        <f t="shared" si="17"/>
        <v/>
      </c>
      <c r="O242" s="408"/>
      <c r="P242" s="408"/>
      <c r="Q242" s="408"/>
      <c r="R242" s="408"/>
      <c r="S242" s="408"/>
      <c r="T242" s="408"/>
      <c r="U242" s="408"/>
      <c r="V242" s="421"/>
      <c r="W242" s="421"/>
      <c r="X242" s="421"/>
      <c r="Y242" s="421"/>
      <c r="Z242" s="421"/>
      <c r="AA242" s="421"/>
      <c r="AB242" s="421"/>
      <c r="AC242" s="421"/>
      <c r="AD242" s="421"/>
      <c r="AE242" s="421"/>
      <c r="AF242" s="421"/>
      <c r="AG242" s="421"/>
      <c r="AH242" s="421"/>
      <c r="AI242" s="421"/>
      <c r="AJ242" s="421"/>
      <c r="AK242" s="421"/>
      <c r="AL242" s="421"/>
    </row>
    <row r="243" spans="1:38">
      <c r="A243" s="410">
        <v>5459</v>
      </c>
      <c r="B243" s="407"/>
      <c r="C243" s="408"/>
      <c r="D243" s="410" t="s">
        <v>1821</v>
      </c>
      <c r="E243" s="410" t="s">
        <v>1405</v>
      </c>
      <c r="F243" s="410" t="s">
        <v>1477</v>
      </c>
      <c r="G243" s="68" t="str">
        <f t="shared" si="16"/>
        <v>SINGLE</v>
      </c>
      <c r="H243" s="197">
        <f t="shared" si="15"/>
        <v>9</v>
      </c>
      <c r="I243" s="408">
        <f t="shared" si="18"/>
        <v>2</v>
      </c>
      <c r="J243" s="408">
        <f t="shared" si="19"/>
        <v>27</v>
      </c>
      <c r="K243" s="411">
        <v>45715</v>
      </c>
      <c r="L243" s="408"/>
      <c r="M243" s="408"/>
      <c r="N243" s="3" t="str">
        <f t="shared" si="17"/>
        <v/>
      </c>
      <c r="O243" s="408"/>
      <c r="P243" s="408"/>
      <c r="Q243" s="408"/>
      <c r="R243" s="408"/>
      <c r="S243" s="408"/>
      <c r="T243" s="408"/>
      <c r="U243" s="408"/>
      <c r="V243" s="421"/>
      <c r="W243" s="421"/>
      <c r="X243" s="421"/>
      <c r="Y243" s="421"/>
      <c r="Z243" s="421"/>
      <c r="AA243" s="421"/>
      <c r="AB243" s="421"/>
      <c r="AC243" s="421"/>
      <c r="AD243" s="421"/>
      <c r="AE243" s="421"/>
      <c r="AF243" s="421"/>
      <c r="AG243" s="421"/>
      <c r="AH243" s="421"/>
      <c r="AI243" s="421"/>
      <c r="AJ243" s="421"/>
      <c r="AK243" s="421"/>
      <c r="AL243" s="421"/>
    </row>
    <row r="244" spans="1:38">
      <c r="A244" s="410">
        <v>5459</v>
      </c>
      <c r="B244" s="407"/>
      <c r="C244" s="408"/>
      <c r="D244" s="410" t="s">
        <v>1822</v>
      </c>
      <c r="E244" s="410" t="s">
        <v>1405</v>
      </c>
      <c r="F244" s="410" t="s">
        <v>1477</v>
      </c>
      <c r="G244" s="68" t="str">
        <f t="shared" si="16"/>
        <v>SINGLE</v>
      </c>
      <c r="H244" s="197">
        <f t="shared" si="15"/>
        <v>9</v>
      </c>
      <c r="I244" s="408">
        <f t="shared" si="18"/>
        <v>2</v>
      </c>
      <c r="J244" s="408">
        <f t="shared" si="19"/>
        <v>27</v>
      </c>
      <c r="K244" s="411">
        <v>45715</v>
      </c>
      <c r="L244" s="408"/>
      <c r="M244" s="408"/>
      <c r="N244" s="3" t="str">
        <f t="shared" si="17"/>
        <v/>
      </c>
      <c r="O244" s="408"/>
      <c r="P244" s="408"/>
      <c r="Q244" s="408"/>
      <c r="R244" s="408"/>
      <c r="S244" s="408"/>
      <c r="T244" s="408"/>
      <c r="U244" s="408"/>
      <c r="V244" s="421"/>
      <c r="W244" s="421"/>
      <c r="X244" s="421"/>
      <c r="Y244" s="421"/>
      <c r="Z244" s="421"/>
      <c r="AA244" s="421"/>
      <c r="AB244" s="421"/>
      <c r="AC244" s="421"/>
      <c r="AD244" s="421"/>
      <c r="AE244" s="421"/>
      <c r="AF244" s="421"/>
      <c r="AG244" s="421"/>
      <c r="AH244" s="421"/>
      <c r="AI244" s="421"/>
      <c r="AJ244" s="421"/>
      <c r="AK244" s="421"/>
      <c r="AL244" s="421"/>
    </row>
    <row r="245" spans="1:38">
      <c r="A245" s="410">
        <v>5468</v>
      </c>
      <c r="B245" s="407"/>
      <c r="C245" s="408"/>
      <c r="D245" s="410" t="s">
        <v>1823</v>
      </c>
      <c r="E245" s="410" t="s">
        <v>1405</v>
      </c>
      <c r="F245" s="410" t="s">
        <v>1591</v>
      </c>
      <c r="G245" s="68" t="str">
        <f t="shared" si="16"/>
        <v>SINGLE</v>
      </c>
      <c r="H245" s="197">
        <f t="shared" si="15"/>
        <v>9</v>
      </c>
      <c r="I245" s="408">
        <f t="shared" si="18"/>
        <v>2</v>
      </c>
      <c r="J245" s="408">
        <f t="shared" si="19"/>
        <v>27</v>
      </c>
      <c r="K245" s="411">
        <v>45715</v>
      </c>
      <c r="L245" s="408"/>
      <c r="M245" s="408"/>
      <c r="N245" s="3" t="str">
        <f t="shared" si="17"/>
        <v/>
      </c>
      <c r="O245" s="408"/>
      <c r="P245" s="408"/>
      <c r="Q245" s="408"/>
      <c r="R245" s="408"/>
      <c r="S245" s="408"/>
      <c r="T245" s="408"/>
      <c r="U245" s="408"/>
      <c r="V245" s="421"/>
      <c r="W245" s="421"/>
      <c r="X245" s="421"/>
      <c r="Y245" s="421"/>
      <c r="Z245" s="421"/>
      <c r="AA245" s="421"/>
      <c r="AB245" s="421"/>
      <c r="AC245" s="421"/>
      <c r="AD245" s="421"/>
      <c r="AE245" s="421"/>
      <c r="AF245" s="421"/>
      <c r="AG245" s="421"/>
      <c r="AH245" s="421"/>
      <c r="AI245" s="421"/>
      <c r="AJ245" s="421"/>
      <c r="AK245" s="421"/>
      <c r="AL245" s="421"/>
    </row>
    <row r="246" spans="1:38">
      <c r="A246" s="410">
        <v>5468</v>
      </c>
      <c r="B246" s="407"/>
      <c r="C246" s="408"/>
      <c r="D246" s="410" t="s">
        <v>1824</v>
      </c>
      <c r="E246" s="410" t="s">
        <v>1405</v>
      </c>
      <c r="F246" s="410" t="s">
        <v>1591</v>
      </c>
      <c r="G246" s="68" t="str">
        <f t="shared" si="16"/>
        <v>SINGLE</v>
      </c>
      <c r="H246" s="197">
        <f t="shared" si="15"/>
        <v>9</v>
      </c>
      <c r="I246" s="408">
        <f t="shared" si="18"/>
        <v>2</v>
      </c>
      <c r="J246" s="408">
        <f t="shared" si="19"/>
        <v>27</v>
      </c>
      <c r="K246" s="411">
        <v>45715</v>
      </c>
      <c r="L246" s="408"/>
      <c r="M246" s="408"/>
      <c r="N246" s="3" t="str">
        <f t="shared" si="17"/>
        <v/>
      </c>
      <c r="O246" s="408"/>
      <c r="P246" s="408"/>
      <c r="Q246" s="408"/>
      <c r="R246" s="408"/>
      <c r="S246" s="408"/>
      <c r="T246" s="408"/>
      <c r="U246" s="408"/>
      <c r="V246" s="421"/>
      <c r="W246" s="421"/>
      <c r="X246" s="421"/>
      <c r="Y246" s="421"/>
      <c r="Z246" s="421"/>
      <c r="AA246" s="421"/>
      <c r="AB246" s="421"/>
      <c r="AC246" s="421"/>
      <c r="AD246" s="421"/>
      <c r="AE246" s="421"/>
      <c r="AF246" s="421"/>
      <c r="AG246" s="421"/>
      <c r="AH246" s="421"/>
      <c r="AI246" s="421"/>
      <c r="AJ246" s="421"/>
      <c r="AK246" s="421"/>
      <c r="AL246" s="421"/>
    </row>
    <row r="247" spans="1:38">
      <c r="A247" s="410">
        <v>5468</v>
      </c>
      <c r="B247" s="407"/>
      <c r="C247" s="408"/>
      <c r="D247" s="410" t="s">
        <v>1825</v>
      </c>
      <c r="E247" s="410" t="s">
        <v>1405</v>
      </c>
      <c r="F247" s="410" t="s">
        <v>1591</v>
      </c>
      <c r="G247" s="68" t="str">
        <f t="shared" si="16"/>
        <v>SINGLE</v>
      </c>
      <c r="H247" s="197">
        <f t="shared" si="15"/>
        <v>9</v>
      </c>
      <c r="I247" s="408">
        <f t="shared" si="18"/>
        <v>2</v>
      </c>
      <c r="J247" s="408">
        <f t="shared" si="19"/>
        <v>27</v>
      </c>
      <c r="K247" s="411">
        <v>45715</v>
      </c>
      <c r="L247" s="408"/>
      <c r="M247" s="408"/>
      <c r="N247" s="3" t="str">
        <f t="shared" si="17"/>
        <v/>
      </c>
      <c r="O247" s="408"/>
      <c r="P247" s="408"/>
      <c r="Q247" s="408"/>
      <c r="R247" s="408"/>
      <c r="S247" s="408"/>
      <c r="T247" s="408"/>
      <c r="U247" s="408"/>
      <c r="V247" s="421"/>
      <c r="W247" s="421"/>
      <c r="X247" s="421"/>
      <c r="Y247" s="421"/>
      <c r="Z247" s="421"/>
      <c r="AA247" s="421"/>
      <c r="AB247" s="421"/>
      <c r="AC247" s="421"/>
      <c r="AD247" s="421"/>
      <c r="AE247" s="421"/>
      <c r="AF247" s="421"/>
      <c r="AG247" s="421"/>
      <c r="AH247" s="421"/>
      <c r="AI247" s="421"/>
      <c r="AJ247" s="421"/>
      <c r="AK247" s="421"/>
      <c r="AL247" s="421"/>
    </row>
    <row r="248" spans="1:38">
      <c r="A248" s="410">
        <v>5355</v>
      </c>
      <c r="B248" s="407"/>
      <c r="C248" s="408"/>
      <c r="D248" s="410" t="s">
        <v>1826</v>
      </c>
      <c r="E248" s="410" t="s">
        <v>1585</v>
      </c>
      <c r="F248" s="410" t="s">
        <v>1476</v>
      </c>
      <c r="G248" s="68" t="str">
        <f t="shared" si="16"/>
        <v>DUAL</v>
      </c>
      <c r="H248" s="197">
        <f t="shared" si="15"/>
        <v>9</v>
      </c>
      <c r="I248" s="408">
        <f t="shared" si="18"/>
        <v>2</v>
      </c>
      <c r="J248" s="408">
        <f t="shared" si="19"/>
        <v>27</v>
      </c>
      <c r="K248" s="411">
        <v>45715</v>
      </c>
      <c r="L248" s="408"/>
      <c r="M248" s="408"/>
      <c r="N248" s="3" t="str">
        <f t="shared" si="17"/>
        <v/>
      </c>
      <c r="O248" s="408"/>
      <c r="P248" s="408"/>
      <c r="Q248" s="408"/>
      <c r="R248" s="408"/>
      <c r="S248" s="408"/>
      <c r="T248" s="408"/>
      <c r="U248" s="408"/>
      <c r="V248" s="421"/>
      <c r="W248" s="421"/>
      <c r="X248" s="421"/>
      <c r="Y248" s="421"/>
      <c r="Z248" s="421"/>
      <c r="AA248" s="421"/>
      <c r="AB248" s="421"/>
      <c r="AC248" s="421"/>
      <c r="AD248" s="421"/>
      <c r="AE248" s="421"/>
      <c r="AF248" s="421"/>
      <c r="AG248" s="421"/>
      <c r="AH248" s="421"/>
      <c r="AI248" s="421"/>
      <c r="AJ248" s="421"/>
      <c r="AK248" s="421"/>
      <c r="AL248" s="421"/>
    </row>
    <row r="249" spans="1:38">
      <c r="A249" s="410">
        <v>5441</v>
      </c>
      <c r="B249" s="407"/>
      <c r="C249" s="408"/>
      <c r="D249" s="410" t="s">
        <v>1827</v>
      </c>
      <c r="E249" s="410" t="s">
        <v>1409</v>
      </c>
      <c r="F249" s="410" t="s">
        <v>1479</v>
      </c>
      <c r="G249" s="68" t="str">
        <f t="shared" si="16"/>
        <v>SINGLE</v>
      </c>
      <c r="H249" s="197">
        <f t="shared" si="15"/>
        <v>9</v>
      </c>
      <c r="I249" s="408">
        <f t="shared" si="18"/>
        <v>2</v>
      </c>
      <c r="J249" s="408">
        <f t="shared" si="19"/>
        <v>27</v>
      </c>
      <c r="K249" s="411">
        <v>45715</v>
      </c>
      <c r="L249" s="408"/>
      <c r="M249" s="408"/>
      <c r="N249" s="3" t="str">
        <f t="shared" si="17"/>
        <v/>
      </c>
      <c r="O249" s="408"/>
      <c r="P249" s="408"/>
      <c r="Q249" s="408"/>
      <c r="R249" s="408"/>
      <c r="S249" s="408"/>
      <c r="T249" s="408"/>
      <c r="U249" s="408"/>
      <c r="V249" s="421"/>
      <c r="W249" s="421"/>
      <c r="X249" s="421"/>
      <c r="Y249" s="421"/>
      <c r="Z249" s="421"/>
      <c r="AA249" s="421"/>
      <c r="AB249" s="421"/>
      <c r="AC249" s="421"/>
      <c r="AD249" s="421"/>
      <c r="AE249" s="421"/>
      <c r="AF249" s="421"/>
      <c r="AG249" s="421"/>
      <c r="AH249" s="421"/>
      <c r="AI249" s="421"/>
      <c r="AJ249" s="421"/>
      <c r="AK249" s="421"/>
      <c r="AL249" s="421"/>
    </row>
    <row r="250" spans="1:38">
      <c r="A250" s="410">
        <v>5441</v>
      </c>
      <c r="B250" s="407"/>
      <c r="C250" s="408"/>
      <c r="D250" s="410" t="s">
        <v>1828</v>
      </c>
      <c r="E250" s="410" t="s">
        <v>1409</v>
      </c>
      <c r="F250" s="410" t="s">
        <v>1479</v>
      </c>
      <c r="G250" s="68" t="str">
        <f t="shared" si="16"/>
        <v>SINGLE</v>
      </c>
      <c r="H250" s="197">
        <f t="shared" si="15"/>
        <v>9</v>
      </c>
      <c r="I250" s="408">
        <f t="shared" si="18"/>
        <v>2</v>
      </c>
      <c r="J250" s="408">
        <f t="shared" si="19"/>
        <v>27</v>
      </c>
      <c r="K250" s="411">
        <v>45715</v>
      </c>
      <c r="L250" s="408"/>
      <c r="M250" s="408"/>
      <c r="N250" s="3" t="str">
        <f t="shared" si="17"/>
        <v/>
      </c>
      <c r="O250" s="408"/>
      <c r="P250" s="408"/>
      <c r="Q250" s="408"/>
      <c r="R250" s="408"/>
      <c r="S250" s="408"/>
      <c r="T250" s="408"/>
      <c r="U250" s="408"/>
      <c r="V250" s="421"/>
      <c r="W250" s="421"/>
      <c r="X250" s="421"/>
      <c r="Y250" s="421"/>
      <c r="Z250" s="421"/>
      <c r="AA250" s="421"/>
      <c r="AB250" s="421"/>
      <c r="AC250" s="421"/>
      <c r="AD250" s="421"/>
      <c r="AE250" s="421"/>
      <c r="AF250" s="421"/>
      <c r="AG250" s="421"/>
      <c r="AH250" s="421"/>
      <c r="AI250" s="421"/>
      <c r="AJ250" s="421"/>
      <c r="AK250" s="421"/>
      <c r="AL250" s="421"/>
    </row>
    <row r="251" spans="1:38">
      <c r="A251" s="410">
        <v>5441</v>
      </c>
      <c r="B251" s="407"/>
      <c r="C251" s="408"/>
      <c r="D251" s="410" t="s">
        <v>1829</v>
      </c>
      <c r="E251" s="410" t="s">
        <v>1409</v>
      </c>
      <c r="F251" s="410" t="s">
        <v>1479</v>
      </c>
      <c r="G251" s="68" t="str">
        <f t="shared" si="16"/>
        <v>SINGLE</v>
      </c>
      <c r="H251" s="197">
        <f t="shared" si="15"/>
        <v>9</v>
      </c>
      <c r="I251" s="408">
        <f t="shared" si="18"/>
        <v>2</v>
      </c>
      <c r="J251" s="408">
        <f t="shared" si="19"/>
        <v>27</v>
      </c>
      <c r="K251" s="411">
        <v>45715</v>
      </c>
      <c r="L251" s="408"/>
      <c r="M251" s="408"/>
      <c r="N251" s="3" t="str">
        <f t="shared" si="17"/>
        <v/>
      </c>
      <c r="O251" s="408"/>
      <c r="P251" s="408"/>
      <c r="Q251" s="408"/>
      <c r="R251" s="408"/>
      <c r="S251" s="408"/>
      <c r="T251" s="408"/>
      <c r="U251" s="408"/>
      <c r="V251" s="421"/>
      <c r="W251" s="421"/>
      <c r="X251" s="421"/>
      <c r="Y251" s="421"/>
      <c r="Z251" s="421"/>
      <c r="AA251" s="421"/>
      <c r="AB251" s="421"/>
      <c r="AC251" s="421"/>
      <c r="AD251" s="421"/>
      <c r="AE251" s="421"/>
      <c r="AF251" s="421"/>
      <c r="AG251" s="421"/>
      <c r="AH251" s="421"/>
      <c r="AI251" s="421"/>
      <c r="AJ251" s="421"/>
      <c r="AK251" s="421"/>
      <c r="AL251" s="421"/>
    </row>
    <row r="252" spans="1:38">
      <c r="A252" s="410">
        <v>5485</v>
      </c>
      <c r="B252" s="407"/>
      <c r="C252" s="408"/>
      <c r="D252" s="410" t="s">
        <v>1830</v>
      </c>
      <c r="E252" s="410" t="s">
        <v>1831</v>
      </c>
      <c r="F252" s="410" t="s">
        <v>1476</v>
      </c>
      <c r="G252" s="68" t="str">
        <f t="shared" si="16"/>
        <v>DUAL</v>
      </c>
      <c r="H252" s="197">
        <f t="shared" si="15"/>
        <v>9</v>
      </c>
      <c r="I252" s="408">
        <f t="shared" si="18"/>
        <v>2</v>
      </c>
      <c r="J252" s="408">
        <f t="shared" si="19"/>
        <v>27</v>
      </c>
      <c r="K252" s="411">
        <v>45715</v>
      </c>
      <c r="L252" s="408"/>
      <c r="M252" s="408"/>
      <c r="N252" s="3" t="str">
        <f t="shared" si="17"/>
        <v/>
      </c>
      <c r="O252" s="408"/>
      <c r="P252" s="408"/>
      <c r="Q252" s="408"/>
      <c r="R252" s="408"/>
      <c r="S252" s="408"/>
      <c r="T252" s="408"/>
      <c r="U252" s="408"/>
      <c r="V252" s="421"/>
      <c r="W252" s="421"/>
      <c r="X252" s="421"/>
      <c r="Y252" s="421"/>
      <c r="Z252" s="421"/>
      <c r="AA252" s="421"/>
      <c r="AB252" s="421"/>
      <c r="AC252" s="421"/>
      <c r="AD252" s="421"/>
      <c r="AE252" s="421"/>
      <c r="AF252" s="421"/>
      <c r="AG252" s="421"/>
      <c r="AH252" s="421"/>
      <c r="AI252" s="421"/>
      <c r="AJ252" s="421"/>
      <c r="AK252" s="421"/>
      <c r="AL252" s="421"/>
    </row>
    <row r="253" spans="1:38">
      <c r="A253" s="410">
        <v>5449</v>
      </c>
      <c r="B253" s="407"/>
      <c r="C253" s="408"/>
      <c r="D253" s="410" t="s">
        <v>1832</v>
      </c>
      <c r="E253" s="410" t="s">
        <v>1399</v>
      </c>
      <c r="F253" s="410" t="s">
        <v>1591</v>
      </c>
      <c r="G253" s="68" t="str">
        <f t="shared" si="16"/>
        <v>SINGLE</v>
      </c>
      <c r="H253" s="197">
        <f t="shared" si="15"/>
        <v>9</v>
      </c>
      <c r="I253" s="408">
        <f t="shared" si="18"/>
        <v>2</v>
      </c>
      <c r="J253" s="408">
        <f t="shared" si="19"/>
        <v>28</v>
      </c>
      <c r="K253" s="411">
        <v>45716</v>
      </c>
      <c r="L253" s="408"/>
      <c r="M253" s="408"/>
      <c r="N253" s="3" t="str">
        <f t="shared" si="17"/>
        <v/>
      </c>
      <c r="O253" s="408"/>
      <c r="P253" s="408"/>
      <c r="Q253" s="408"/>
      <c r="R253" s="408"/>
      <c r="S253" s="408"/>
      <c r="T253" s="408"/>
      <c r="U253" s="408"/>
      <c r="V253" s="421"/>
      <c r="W253" s="421"/>
      <c r="X253" s="421"/>
      <c r="Y253" s="421"/>
      <c r="Z253" s="421"/>
      <c r="AA253" s="421"/>
      <c r="AB253" s="421"/>
      <c r="AC253" s="421"/>
      <c r="AD253" s="421"/>
      <c r="AE253" s="421"/>
      <c r="AF253" s="421"/>
      <c r="AG253" s="421"/>
      <c r="AH253" s="421"/>
      <c r="AI253" s="421"/>
      <c r="AJ253" s="421"/>
      <c r="AK253" s="421"/>
      <c r="AL253" s="421"/>
    </row>
    <row r="254" spans="1:38">
      <c r="A254" s="410">
        <v>5449</v>
      </c>
      <c r="B254" s="407"/>
      <c r="C254" s="408"/>
      <c r="D254" s="410" t="s">
        <v>1833</v>
      </c>
      <c r="E254" s="410" t="s">
        <v>1399</v>
      </c>
      <c r="F254" s="410" t="s">
        <v>1591</v>
      </c>
      <c r="G254" s="68" t="str">
        <f t="shared" si="16"/>
        <v>SINGLE</v>
      </c>
      <c r="H254" s="197">
        <f t="shared" si="15"/>
        <v>9</v>
      </c>
      <c r="I254" s="408">
        <f t="shared" si="18"/>
        <v>2</v>
      </c>
      <c r="J254" s="408">
        <f t="shared" si="19"/>
        <v>28</v>
      </c>
      <c r="K254" s="411">
        <v>45716</v>
      </c>
      <c r="L254" s="408"/>
      <c r="M254" s="408"/>
      <c r="N254" s="3" t="str">
        <f t="shared" si="17"/>
        <v/>
      </c>
      <c r="O254" s="408"/>
      <c r="P254" s="408"/>
      <c r="Q254" s="408"/>
      <c r="R254" s="408"/>
      <c r="S254" s="408"/>
      <c r="T254" s="408"/>
      <c r="U254" s="408"/>
      <c r="V254" s="421"/>
      <c r="W254" s="421"/>
      <c r="X254" s="421"/>
      <c r="Y254" s="421"/>
      <c r="Z254" s="421"/>
      <c r="AA254" s="421"/>
      <c r="AB254" s="421"/>
      <c r="AC254" s="421"/>
      <c r="AD254" s="421"/>
      <c r="AE254" s="421"/>
      <c r="AF254" s="421"/>
      <c r="AG254" s="421"/>
      <c r="AH254" s="421"/>
      <c r="AI254" s="421"/>
      <c r="AJ254" s="421"/>
      <c r="AK254" s="421"/>
      <c r="AL254" s="421"/>
    </row>
    <row r="255" spans="1:38">
      <c r="A255" s="410">
        <v>5449</v>
      </c>
      <c r="B255" s="407"/>
      <c r="C255" s="408"/>
      <c r="D255" s="410" t="s">
        <v>1834</v>
      </c>
      <c r="E255" s="410" t="s">
        <v>1399</v>
      </c>
      <c r="F255" s="410" t="s">
        <v>1591</v>
      </c>
      <c r="G255" s="68" t="str">
        <f t="shared" si="16"/>
        <v>SINGLE</v>
      </c>
      <c r="H255" s="197">
        <f t="shared" si="15"/>
        <v>9</v>
      </c>
      <c r="I255" s="408">
        <f t="shared" si="18"/>
        <v>2</v>
      </c>
      <c r="J255" s="408">
        <f t="shared" si="19"/>
        <v>28</v>
      </c>
      <c r="K255" s="411">
        <v>45716</v>
      </c>
      <c r="L255" s="408"/>
      <c r="M255" s="408"/>
      <c r="N255" s="3" t="str">
        <f t="shared" si="17"/>
        <v/>
      </c>
      <c r="O255" s="408"/>
      <c r="P255" s="408"/>
      <c r="Q255" s="408"/>
      <c r="R255" s="408"/>
      <c r="S255" s="408"/>
      <c r="T255" s="408"/>
      <c r="U255" s="408"/>
      <c r="V255" s="421"/>
      <c r="W255" s="421"/>
      <c r="X255" s="421"/>
      <c r="Y255" s="421"/>
      <c r="Z255" s="421"/>
      <c r="AA255" s="421"/>
      <c r="AB255" s="421"/>
      <c r="AC255" s="421"/>
      <c r="AD255" s="421"/>
      <c r="AE255" s="421"/>
      <c r="AF255" s="421"/>
      <c r="AG255" s="421"/>
      <c r="AH255" s="421"/>
      <c r="AI255" s="421"/>
      <c r="AJ255" s="421"/>
      <c r="AK255" s="421"/>
      <c r="AL255" s="421"/>
    </row>
    <row r="256" spans="1:38">
      <c r="A256" s="410">
        <v>5351</v>
      </c>
      <c r="B256" s="407"/>
      <c r="C256" s="408"/>
      <c r="D256" s="410" t="s">
        <v>1835</v>
      </c>
      <c r="E256" s="410" t="s">
        <v>1585</v>
      </c>
      <c r="F256" s="410" t="s">
        <v>1476</v>
      </c>
      <c r="G256" s="68" t="str">
        <f t="shared" si="16"/>
        <v>DUAL</v>
      </c>
      <c r="H256" s="197">
        <f t="shared" si="15"/>
        <v>9</v>
      </c>
      <c r="I256" s="408">
        <f t="shared" si="18"/>
        <v>2</v>
      </c>
      <c r="J256" s="408">
        <f t="shared" si="19"/>
        <v>28</v>
      </c>
      <c r="K256" s="411">
        <v>45716</v>
      </c>
      <c r="L256" s="408"/>
      <c r="M256" s="408"/>
      <c r="N256" s="3" t="str">
        <f t="shared" si="17"/>
        <v/>
      </c>
      <c r="O256" s="408"/>
      <c r="P256" s="408"/>
      <c r="Q256" s="408"/>
      <c r="R256" s="408"/>
      <c r="S256" s="408"/>
      <c r="T256" s="408"/>
      <c r="U256" s="408"/>
      <c r="V256" s="421"/>
      <c r="W256" s="421"/>
      <c r="X256" s="421"/>
      <c r="Y256" s="421"/>
      <c r="Z256" s="421"/>
      <c r="AA256" s="421"/>
      <c r="AB256" s="421"/>
      <c r="AC256" s="421"/>
      <c r="AD256" s="421"/>
      <c r="AE256" s="421"/>
      <c r="AF256" s="421"/>
      <c r="AG256" s="421"/>
      <c r="AH256" s="421"/>
      <c r="AI256" s="421"/>
      <c r="AJ256" s="421"/>
      <c r="AK256" s="421"/>
      <c r="AL256" s="421"/>
    </row>
    <row r="257" spans="1:38">
      <c r="A257" s="410">
        <v>5247</v>
      </c>
      <c r="B257" s="407"/>
      <c r="C257" s="408"/>
      <c r="D257" s="410" t="s">
        <v>1836</v>
      </c>
      <c r="E257" s="410" t="s">
        <v>1405</v>
      </c>
      <c r="F257" s="410" t="s">
        <v>1581</v>
      </c>
      <c r="G257" s="68" t="str">
        <f t="shared" si="16"/>
        <v>DUAL</v>
      </c>
      <c r="H257" s="197">
        <f t="shared" ref="H257:H320" si="20">WEEKNUM(K257)</f>
        <v>9</v>
      </c>
      <c r="I257" s="408">
        <f t="shared" si="18"/>
        <v>2</v>
      </c>
      <c r="J257" s="408">
        <f t="shared" si="19"/>
        <v>28</v>
      </c>
      <c r="K257" s="411">
        <v>45716</v>
      </c>
      <c r="L257" s="408"/>
      <c r="M257" s="408"/>
      <c r="N257" s="3" t="str">
        <f t="shared" si="17"/>
        <v/>
      </c>
      <c r="O257" s="408"/>
      <c r="P257" s="408"/>
      <c r="Q257" s="408"/>
      <c r="R257" s="408"/>
      <c r="S257" s="408"/>
      <c r="T257" s="408"/>
      <c r="U257" s="408"/>
      <c r="V257" s="421"/>
      <c r="W257" s="421"/>
      <c r="X257" s="421"/>
      <c r="Y257" s="421"/>
      <c r="Z257" s="421"/>
      <c r="AA257" s="421"/>
      <c r="AB257" s="421"/>
      <c r="AC257" s="421"/>
      <c r="AD257" s="421"/>
      <c r="AE257" s="421"/>
      <c r="AF257" s="421"/>
      <c r="AG257" s="421"/>
      <c r="AH257" s="421"/>
      <c r="AI257" s="421"/>
      <c r="AJ257" s="421"/>
      <c r="AK257" s="421"/>
      <c r="AL257" s="421"/>
    </row>
    <row r="258" spans="1:38">
      <c r="A258" s="410">
        <v>5443</v>
      </c>
      <c r="B258" s="407"/>
      <c r="C258" s="408"/>
      <c r="D258" s="410" t="s">
        <v>1837</v>
      </c>
      <c r="E258" s="410" t="s">
        <v>1585</v>
      </c>
      <c r="F258" s="410" t="s">
        <v>1476</v>
      </c>
      <c r="G258" s="68" t="str">
        <f t="shared" ref="G258:G321" si="21">IF(OR(ISNUMBER(SEARCH("DUAL",F258)), ISNUMBER(SEARCH("IVAS",F258))), "DUAL", "SINGLE")</f>
        <v>DUAL</v>
      </c>
      <c r="H258" s="197">
        <f t="shared" si="20"/>
        <v>9</v>
      </c>
      <c r="I258" s="408">
        <f t="shared" si="18"/>
        <v>2</v>
      </c>
      <c r="J258" s="408">
        <f t="shared" si="19"/>
        <v>28</v>
      </c>
      <c r="K258" s="411">
        <v>45716</v>
      </c>
      <c r="L258" s="408"/>
      <c r="M258" s="408"/>
      <c r="N258" s="3" t="str">
        <f t="shared" ref="N258:N321" si="22">IF(O258&lt;&gt;"", "NG", "")</f>
        <v/>
      </c>
      <c r="O258" s="408"/>
      <c r="P258" s="408"/>
      <c r="Q258" s="408"/>
      <c r="R258" s="408"/>
      <c r="S258" s="408"/>
      <c r="T258" s="408"/>
      <c r="U258" s="408"/>
      <c r="V258" s="421"/>
      <c r="W258" s="421"/>
      <c r="X258" s="421"/>
      <c r="Y258" s="421"/>
      <c r="Z258" s="421"/>
      <c r="AA258" s="421"/>
      <c r="AB258" s="421"/>
      <c r="AC258" s="421"/>
      <c r="AD258" s="421"/>
      <c r="AE258" s="421"/>
      <c r="AF258" s="421"/>
      <c r="AG258" s="421"/>
      <c r="AH258" s="421"/>
      <c r="AI258" s="421"/>
      <c r="AJ258" s="421"/>
      <c r="AK258" s="421"/>
      <c r="AL258" s="421"/>
    </row>
    <row r="259" spans="1:38">
      <c r="A259" s="410">
        <v>5487</v>
      </c>
      <c r="B259" s="407"/>
      <c r="C259" s="408"/>
      <c r="D259" s="410" t="s">
        <v>1838</v>
      </c>
      <c r="E259" s="410" t="s">
        <v>1405</v>
      </c>
      <c r="F259" s="410" t="s">
        <v>1581</v>
      </c>
      <c r="G259" s="68" t="str">
        <f t="shared" si="21"/>
        <v>DUAL</v>
      </c>
      <c r="H259" s="197">
        <f t="shared" si="20"/>
        <v>9</v>
      </c>
      <c r="I259" s="408">
        <f t="shared" ref="I259:I322" si="23">MONTH(K259)</f>
        <v>2</v>
      </c>
      <c r="J259" s="408">
        <f t="shared" ref="J259:J322" si="24">DAY(K259)</f>
        <v>28</v>
      </c>
      <c r="K259" s="411">
        <v>45716</v>
      </c>
      <c r="L259" s="408"/>
      <c r="M259" s="408"/>
      <c r="N259" s="3" t="str">
        <f t="shared" si="22"/>
        <v/>
      </c>
      <c r="O259" s="408"/>
      <c r="P259" s="408"/>
      <c r="Q259" s="408"/>
      <c r="R259" s="408"/>
      <c r="S259" s="408"/>
      <c r="T259" s="408"/>
      <c r="U259" s="408"/>
      <c r="V259" s="421"/>
      <c r="W259" s="421"/>
      <c r="X259" s="421"/>
      <c r="Y259" s="421"/>
      <c r="Z259" s="421"/>
      <c r="AA259" s="421"/>
      <c r="AB259" s="421"/>
      <c r="AC259" s="421"/>
      <c r="AD259" s="421"/>
      <c r="AE259" s="421"/>
      <c r="AF259" s="421"/>
      <c r="AG259" s="421"/>
      <c r="AH259" s="421"/>
      <c r="AI259" s="421"/>
      <c r="AJ259" s="421"/>
      <c r="AK259" s="421"/>
      <c r="AL259" s="421"/>
    </row>
    <row r="260" spans="1:38">
      <c r="A260" s="410">
        <v>5449</v>
      </c>
      <c r="B260" s="407"/>
      <c r="C260" s="408"/>
      <c r="D260" s="410" t="s">
        <v>1839</v>
      </c>
      <c r="E260" s="410" t="s">
        <v>1399</v>
      </c>
      <c r="F260" s="410" t="s">
        <v>1591</v>
      </c>
      <c r="G260" s="68" t="str">
        <f t="shared" si="21"/>
        <v>SINGLE</v>
      </c>
      <c r="H260" s="197">
        <f t="shared" si="20"/>
        <v>9</v>
      </c>
      <c r="I260" s="408">
        <f t="shared" si="23"/>
        <v>2</v>
      </c>
      <c r="J260" s="408">
        <f t="shared" si="24"/>
        <v>28</v>
      </c>
      <c r="K260" s="411">
        <v>45716</v>
      </c>
      <c r="L260" s="408"/>
      <c r="M260" s="408"/>
      <c r="N260" s="3" t="str">
        <f t="shared" si="22"/>
        <v/>
      </c>
      <c r="O260" s="408"/>
      <c r="P260" s="408"/>
      <c r="Q260" s="408"/>
      <c r="R260" s="408"/>
      <c r="S260" s="408"/>
      <c r="T260" s="408"/>
      <c r="U260" s="408"/>
      <c r="V260" s="421"/>
      <c r="W260" s="421"/>
      <c r="X260" s="421"/>
      <c r="Y260" s="421"/>
      <c r="Z260" s="421"/>
      <c r="AA260" s="421"/>
      <c r="AB260" s="421"/>
      <c r="AC260" s="421"/>
      <c r="AD260" s="421"/>
      <c r="AE260" s="421"/>
      <c r="AF260" s="421"/>
      <c r="AG260" s="421"/>
      <c r="AH260" s="421"/>
      <c r="AI260" s="421"/>
      <c r="AJ260" s="421"/>
      <c r="AK260" s="421"/>
      <c r="AL260" s="421"/>
    </row>
    <row r="261" spans="1:38">
      <c r="A261" s="410">
        <v>5449</v>
      </c>
      <c r="B261" s="407"/>
      <c r="C261" s="408"/>
      <c r="D261" s="410" t="s">
        <v>1840</v>
      </c>
      <c r="E261" s="410" t="s">
        <v>1399</v>
      </c>
      <c r="F261" s="410" t="s">
        <v>1591</v>
      </c>
      <c r="G261" s="68" t="str">
        <f t="shared" si="21"/>
        <v>SINGLE</v>
      </c>
      <c r="H261" s="197">
        <f t="shared" si="20"/>
        <v>9</v>
      </c>
      <c r="I261" s="408">
        <f t="shared" si="23"/>
        <v>2</v>
      </c>
      <c r="J261" s="408">
        <f t="shared" si="24"/>
        <v>28</v>
      </c>
      <c r="K261" s="411">
        <v>45716</v>
      </c>
      <c r="L261" s="408"/>
      <c r="M261" s="408"/>
      <c r="N261" s="3" t="str">
        <f t="shared" si="22"/>
        <v/>
      </c>
      <c r="O261" s="408"/>
      <c r="P261" s="408"/>
      <c r="Q261" s="408"/>
      <c r="R261" s="408"/>
      <c r="S261" s="408"/>
      <c r="T261" s="408"/>
      <c r="U261" s="408"/>
      <c r="V261" s="421"/>
      <c r="W261" s="421"/>
      <c r="X261" s="421"/>
      <c r="Y261" s="421"/>
      <c r="Z261" s="421"/>
      <c r="AA261" s="421"/>
      <c r="AB261" s="421"/>
      <c r="AC261" s="421"/>
      <c r="AD261" s="421"/>
      <c r="AE261" s="421"/>
      <c r="AF261" s="421"/>
      <c r="AG261" s="421"/>
      <c r="AH261" s="421"/>
      <c r="AI261" s="421"/>
      <c r="AJ261" s="421"/>
      <c r="AK261" s="421"/>
      <c r="AL261" s="421"/>
    </row>
    <row r="262" spans="1:38">
      <c r="A262" s="410">
        <v>5449</v>
      </c>
      <c r="B262" s="407"/>
      <c r="C262" s="408"/>
      <c r="D262" s="410" t="s">
        <v>1841</v>
      </c>
      <c r="E262" s="410" t="s">
        <v>1399</v>
      </c>
      <c r="F262" s="410" t="s">
        <v>1591</v>
      </c>
      <c r="G262" s="68" t="str">
        <f t="shared" si="21"/>
        <v>SINGLE</v>
      </c>
      <c r="H262" s="197">
        <f t="shared" si="20"/>
        <v>10</v>
      </c>
      <c r="I262" s="408">
        <f t="shared" si="23"/>
        <v>3</v>
      </c>
      <c r="J262" s="408">
        <f t="shared" si="24"/>
        <v>4</v>
      </c>
      <c r="K262" s="411">
        <v>45720</v>
      </c>
      <c r="L262" s="408"/>
      <c r="M262" s="408"/>
      <c r="N262" s="3" t="str">
        <f t="shared" si="22"/>
        <v/>
      </c>
      <c r="O262" s="408"/>
      <c r="P262" s="408"/>
      <c r="Q262" s="408"/>
      <c r="R262" s="408"/>
      <c r="S262" s="408"/>
      <c r="T262" s="408"/>
      <c r="U262" s="408"/>
      <c r="V262" s="421"/>
      <c r="W262" s="421"/>
      <c r="X262" s="421"/>
      <c r="Y262" s="421"/>
      <c r="Z262" s="421"/>
      <c r="AA262" s="421"/>
      <c r="AB262" s="421"/>
      <c r="AC262" s="421"/>
      <c r="AD262" s="421"/>
      <c r="AE262" s="421"/>
      <c r="AF262" s="421"/>
      <c r="AG262" s="421"/>
      <c r="AH262" s="421"/>
      <c r="AI262" s="421"/>
      <c r="AJ262" s="421"/>
      <c r="AK262" s="421"/>
      <c r="AL262" s="421"/>
    </row>
    <row r="263" spans="1:38">
      <c r="A263" s="410">
        <v>5449</v>
      </c>
      <c r="B263" s="407"/>
      <c r="C263" s="408"/>
      <c r="D263" s="410" t="s">
        <v>1842</v>
      </c>
      <c r="E263" s="410" t="s">
        <v>1399</v>
      </c>
      <c r="F263" s="410" t="s">
        <v>1591</v>
      </c>
      <c r="G263" s="68" t="str">
        <f t="shared" si="21"/>
        <v>SINGLE</v>
      </c>
      <c r="H263" s="197">
        <f t="shared" si="20"/>
        <v>10</v>
      </c>
      <c r="I263" s="408">
        <f t="shared" si="23"/>
        <v>3</v>
      </c>
      <c r="J263" s="408">
        <f t="shared" si="24"/>
        <v>4</v>
      </c>
      <c r="K263" s="411">
        <v>45720</v>
      </c>
      <c r="L263" s="408"/>
      <c r="M263" s="408"/>
      <c r="N263" s="3" t="str">
        <f t="shared" si="22"/>
        <v/>
      </c>
      <c r="O263" s="408"/>
      <c r="P263" s="408"/>
      <c r="Q263" s="408"/>
      <c r="R263" s="408"/>
      <c r="S263" s="408"/>
      <c r="T263" s="408"/>
      <c r="U263" s="408"/>
      <c r="V263" s="421"/>
      <c r="W263" s="421"/>
      <c r="X263" s="421"/>
      <c r="Y263" s="421"/>
      <c r="Z263" s="421"/>
      <c r="AA263" s="421"/>
      <c r="AB263" s="421"/>
      <c r="AC263" s="421"/>
      <c r="AD263" s="421"/>
      <c r="AE263" s="421"/>
      <c r="AF263" s="421"/>
      <c r="AG263" s="421"/>
      <c r="AH263" s="421"/>
      <c r="AI263" s="421"/>
      <c r="AJ263" s="421"/>
      <c r="AK263" s="421"/>
      <c r="AL263" s="421"/>
    </row>
    <row r="264" spans="1:38">
      <c r="A264" s="410">
        <v>5450</v>
      </c>
      <c r="B264" s="407"/>
      <c r="C264" s="408"/>
      <c r="D264" s="410" t="s">
        <v>1843</v>
      </c>
      <c r="E264" s="410" t="s">
        <v>1399</v>
      </c>
      <c r="F264" s="410" t="s">
        <v>1477</v>
      </c>
      <c r="G264" s="68" t="str">
        <f t="shared" si="21"/>
        <v>SINGLE</v>
      </c>
      <c r="H264" s="197">
        <f t="shared" si="20"/>
        <v>10</v>
      </c>
      <c r="I264" s="408">
        <f t="shared" si="23"/>
        <v>3</v>
      </c>
      <c r="J264" s="408">
        <f t="shared" si="24"/>
        <v>4</v>
      </c>
      <c r="K264" s="411">
        <v>45720</v>
      </c>
      <c r="L264" s="408"/>
      <c r="M264" s="408"/>
      <c r="N264" s="3" t="str">
        <f t="shared" si="22"/>
        <v/>
      </c>
      <c r="O264" s="408"/>
      <c r="P264" s="408"/>
      <c r="Q264" s="408"/>
      <c r="R264" s="408"/>
      <c r="S264" s="408"/>
      <c r="T264" s="408"/>
      <c r="U264" s="408"/>
      <c r="V264" s="421"/>
      <c r="W264" s="421"/>
      <c r="X264" s="421"/>
      <c r="Y264" s="421"/>
      <c r="Z264" s="421"/>
      <c r="AA264" s="421"/>
      <c r="AB264" s="421"/>
      <c r="AC264" s="421"/>
      <c r="AD264" s="421"/>
      <c r="AE264" s="421"/>
      <c r="AF264" s="421"/>
      <c r="AG264" s="421"/>
      <c r="AH264" s="421"/>
      <c r="AI264" s="421"/>
      <c r="AJ264" s="421"/>
      <c r="AK264" s="421"/>
      <c r="AL264" s="421"/>
    </row>
    <row r="265" spans="1:38">
      <c r="A265" s="410">
        <v>5450</v>
      </c>
      <c r="B265" s="407"/>
      <c r="C265" s="408"/>
      <c r="D265" s="410" t="s">
        <v>1844</v>
      </c>
      <c r="E265" s="410" t="s">
        <v>1399</v>
      </c>
      <c r="F265" s="410" t="s">
        <v>1477</v>
      </c>
      <c r="G265" s="68" t="str">
        <f t="shared" si="21"/>
        <v>SINGLE</v>
      </c>
      <c r="H265" s="197">
        <f t="shared" si="20"/>
        <v>10</v>
      </c>
      <c r="I265" s="408">
        <f t="shared" si="23"/>
        <v>3</v>
      </c>
      <c r="J265" s="408">
        <f t="shared" si="24"/>
        <v>4</v>
      </c>
      <c r="K265" s="411">
        <v>45720</v>
      </c>
      <c r="L265" s="408"/>
      <c r="M265" s="408"/>
      <c r="N265" s="3" t="str">
        <f t="shared" si="22"/>
        <v/>
      </c>
      <c r="O265" s="408"/>
      <c r="P265" s="408"/>
      <c r="Q265" s="408"/>
      <c r="R265" s="408"/>
      <c r="S265" s="408"/>
      <c r="T265" s="408"/>
      <c r="U265" s="408"/>
      <c r="V265" s="421"/>
      <c r="W265" s="421"/>
      <c r="X265" s="421"/>
      <c r="Y265" s="421"/>
      <c r="Z265" s="421"/>
      <c r="AA265" s="421"/>
      <c r="AB265" s="421"/>
      <c r="AC265" s="421"/>
      <c r="AD265" s="421"/>
      <c r="AE265" s="421"/>
      <c r="AF265" s="421"/>
      <c r="AG265" s="421"/>
      <c r="AH265" s="421"/>
      <c r="AI265" s="421"/>
      <c r="AJ265" s="421"/>
      <c r="AK265" s="421"/>
      <c r="AL265" s="421"/>
    </row>
    <row r="266" spans="1:38">
      <c r="A266" s="410">
        <v>5450</v>
      </c>
      <c r="B266" s="407"/>
      <c r="C266" s="408"/>
      <c r="D266" s="410" t="s">
        <v>1845</v>
      </c>
      <c r="E266" s="410" t="s">
        <v>1399</v>
      </c>
      <c r="F266" s="410" t="s">
        <v>1477</v>
      </c>
      <c r="G266" s="68" t="str">
        <f t="shared" si="21"/>
        <v>SINGLE</v>
      </c>
      <c r="H266" s="197">
        <f t="shared" si="20"/>
        <v>10</v>
      </c>
      <c r="I266" s="408">
        <f t="shared" si="23"/>
        <v>3</v>
      </c>
      <c r="J266" s="408">
        <f t="shared" si="24"/>
        <v>4</v>
      </c>
      <c r="K266" s="411">
        <v>45720</v>
      </c>
      <c r="L266" s="408"/>
      <c r="M266" s="408"/>
      <c r="N266" s="3" t="str">
        <f t="shared" si="22"/>
        <v/>
      </c>
      <c r="O266" s="408"/>
      <c r="P266" s="408"/>
      <c r="Q266" s="408"/>
      <c r="R266" s="408"/>
      <c r="S266" s="408"/>
      <c r="T266" s="408"/>
      <c r="U266" s="408"/>
      <c r="V266" s="421"/>
      <c r="W266" s="421"/>
      <c r="X266" s="421"/>
      <c r="Y266" s="421"/>
      <c r="Z266" s="421"/>
      <c r="AA266" s="421"/>
      <c r="AB266" s="421"/>
      <c r="AC266" s="421"/>
      <c r="AD266" s="421"/>
      <c r="AE266" s="421"/>
      <c r="AF266" s="421"/>
      <c r="AG266" s="421"/>
      <c r="AH266" s="421"/>
      <c r="AI266" s="421"/>
      <c r="AJ266" s="421"/>
      <c r="AK266" s="421"/>
      <c r="AL266" s="421"/>
    </row>
    <row r="267" spans="1:38">
      <c r="A267" s="410">
        <v>5450</v>
      </c>
      <c r="B267" s="407"/>
      <c r="C267" s="408"/>
      <c r="D267" s="410" t="s">
        <v>1846</v>
      </c>
      <c r="E267" s="410" t="s">
        <v>1399</v>
      </c>
      <c r="F267" s="410" t="s">
        <v>1477</v>
      </c>
      <c r="G267" s="68" t="str">
        <f t="shared" si="21"/>
        <v>SINGLE</v>
      </c>
      <c r="H267" s="197">
        <f t="shared" si="20"/>
        <v>10</v>
      </c>
      <c r="I267" s="408">
        <f t="shared" si="23"/>
        <v>3</v>
      </c>
      <c r="J267" s="408">
        <f t="shared" si="24"/>
        <v>4</v>
      </c>
      <c r="K267" s="411">
        <v>45720</v>
      </c>
      <c r="L267" s="408"/>
      <c r="M267" s="408"/>
      <c r="N267" s="3" t="str">
        <f t="shared" si="22"/>
        <v/>
      </c>
      <c r="O267" s="408"/>
      <c r="P267" s="408"/>
      <c r="Q267" s="408"/>
      <c r="R267" s="408"/>
      <c r="S267" s="408"/>
      <c r="T267" s="408"/>
      <c r="U267" s="408"/>
      <c r="V267" s="421"/>
      <c r="W267" s="421"/>
      <c r="X267" s="421"/>
      <c r="Y267" s="421"/>
      <c r="Z267" s="421"/>
      <c r="AA267" s="421"/>
      <c r="AB267" s="421"/>
      <c r="AC267" s="421"/>
      <c r="AD267" s="421"/>
      <c r="AE267" s="421"/>
      <c r="AF267" s="421"/>
      <c r="AG267" s="421"/>
      <c r="AH267" s="421"/>
      <c r="AI267" s="421"/>
      <c r="AJ267" s="421"/>
      <c r="AK267" s="421"/>
      <c r="AL267" s="421"/>
    </row>
    <row r="268" spans="1:38">
      <c r="A268" s="410">
        <v>5441</v>
      </c>
      <c r="B268" s="407"/>
      <c r="C268" s="408"/>
      <c r="D268" s="410" t="s">
        <v>1847</v>
      </c>
      <c r="E268" s="410" t="s">
        <v>1409</v>
      </c>
      <c r="F268" s="410" t="s">
        <v>1479</v>
      </c>
      <c r="G268" s="68" t="str">
        <f t="shared" si="21"/>
        <v>SINGLE</v>
      </c>
      <c r="H268" s="197">
        <f t="shared" si="20"/>
        <v>10</v>
      </c>
      <c r="I268" s="408">
        <f t="shared" si="23"/>
        <v>3</v>
      </c>
      <c r="J268" s="408">
        <f t="shared" si="24"/>
        <v>4</v>
      </c>
      <c r="K268" s="411">
        <v>45720</v>
      </c>
      <c r="L268" s="408"/>
      <c r="M268" s="408"/>
      <c r="N268" s="3" t="str">
        <f t="shared" si="22"/>
        <v/>
      </c>
      <c r="O268" s="408"/>
      <c r="P268" s="408"/>
      <c r="Q268" s="408"/>
      <c r="R268" s="408"/>
      <c r="S268" s="408"/>
      <c r="T268" s="408"/>
      <c r="U268" s="408"/>
      <c r="V268" s="421"/>
      <c r="W268" s="421"/>
      <c r="X268" s="421"/>
      <c r="Y268" s="421"/>
      <c r="Z268" s="421"/>
      <c r="AA268" s="421"/>
      <c r="AB268" s="421"/>
      <c r="AC268" s="421"/>
      <c r="AD268" s="421"/>
      <c r="AE268" s="421"/>
      <c r="AF268" s="421"/>
      <c r="AG268" s="421"/>
      <c r="AH268" s="421"/>
      <c r="AI268" s="421"/>
      <c r="AJ268" s="421"/>
      <c r="AK268" s="421"/>
      <c r="AL268" s="421"/>
    </row>
    <row r="269" spans="1:38">
      <c r="A269" s="410">
        <v>5441</v>
      </c>
      <c r="B269" s="407"/>
      <c r="C269" s="408"/>
      <c r="D269" s="410" t="s">
        <v>1848</v>
      </c>
      <c r="E269" s="410" t="s">
        <v>1409</v>
      </c>
      <c r="F269" s="410" t="s">
        <v>1479</v>
      </c>
      <c r="G269" s="68" t="str">
        <f t="shared" si="21"/>
        <v>SINGLE</v>
      </c>
      <c r="H269" s="197">
        <f t="shared" si="20"/>
        <v>10</v>
      </c>
      <c r="I269" s="408">
        <f t="shared" si="23"/>
        <v>3</v>
      </c>
      <c r="J269" s="408">
        <f t="shared" si="24"/>
        <v>4</v>
      </c>
      <c r="K269" s="411">
        <v>45720</v>
      </c>
      <c r="L269" s="408"/>
      <c r="M269" s="408"/>
      <c r="N269" s="3" t="str">
        <f t="shared" si="22"/>
        <v/>
      </c>
      <c r="O269" s="408"/>
      <c r="P269" s="408"/>
      <c r="Q269" s="408"/>
      <c r="R269" s="408"/>
      <c r="S269" s="408"/>
      <c r="T269" s="408"/>
      <c r="U269" s="408"/>
      <c r="V269" s="421"/>
      <c r="W269" s="421"/>
      <c r="X269" s="421"/>
      <c r="Y269" s="421"/>
      <c r="Z269" s="421"/>
      <c r="AA269" s="421"/>
      <c r="AB269" s="421"/>
      <c r="AC269" s="421"/>
      <c r="AD269" s="421"/>
      <c r="AE269" s="421"/>
      <c r="AF269" s="421"/>
      <c r="AG269" s="421"/>
      <c r="AH269" s="421"/>
      <c r="AI269" s="421"/>
      <c r="AJ269" s="421"/>
      <c r="AK269" s="421"/>
      <c r="AL269" s="421"/>
    </row>
    <row r="270" spans="1:38">
      <c r="A270" s="410">
        <v>5469</v>
      </c>
      <c r="B270" s="407"/>
      <c r="C270" s="408"/>
      <c r="D270" s="410" t="s">
        <v>1849</v>
      </c>
      <c r="E270" s="410" t="s">
        <v>1405</v>
      </c>
      <c r="F270" s="410" t="s">
        <v>1480</v>
      </c>
      <c r="G270" s="68" t="str">
        <f t="shared" si="21"/>
        <v>DUAL</v>
      </c>
      <c r="H270" s="197">
        <f t="shared" si="20"/>
        <v>10</v>
      </c>
      <c r="I270" s="408">
        <f t="shared" si="23"/>
        <v>3</v>
      </c>
      <c r="J270" s="408">
        <f t="shared" si="24"/>
        <v>4</v>
      </c>
      <c r="K270" s="411">
        <v>45720</v>
      </c>
      <c r="L270" s="408"/>
      <c r="M270" s="408"/>
      <c r="N270" s="3" t="str">
        <f t="shared" si="22"/>
        <v/>
      </c>
      <c r="O270" s="408"/>
      <c r="P270" s="408"/>
      <c r="Q270" s="408"/>
      <c r="R270" s="408"/>
      <c r="S270" s="408"/>
      <c r="T270" s="408"/>
      <c r="U270" s="408"/>
      <c r="V270" s="421"/>
      <c r="W270" s="421"/>
      <c r="X270" s="421"/>
      <c r="Y270" s="421"/>
      <c r="Z270" s="421"/>
      <c r="AA270" s="421"/>
      <c r="AB270" s="421"/>
      <c r="AC270" s="421"/>
      <c r="AD270" s="421"/>
      <c r="AE270" s="421"/>
      <c r="AF270" s="421"/>
      <c r="AG270" s="421"/>
      <c r="AH270" s="421"/>
      <c r="AI270" s="421"/>
      <c r="AJ270" s="421"/>
      <c r="AK270" s="421"/>
      <c r="AL270" s="421"/>
    </row>
    <row r="271" spans="1:38">
      <c r="A271" s="410">
        <v>5469</v>
      </c>
      <c r="B271" s="407"/>
      <c r="C271" s="408"/>
      <c r="D271" s="410" t="s">
        <v>1850</v>
      </c>
      <c r="E271" s="410" t="s">
        <v>1405</v>
      </c>
      <c r="F271" s="410" t="s">
        <v>1480</v>
      </c>
      <c r="G271" s="68" t="str">
        <f t="shared" si="21"/>
        <v>DUAL</v>
      </c>
      <c r="H271" s="197">
        <f t="shared" si="20"/>
        <v>10</v>
      </c>
      <c r="I271" s="408">
        <f t="shared" si="23"/>
        <v>3</v>
      </c>
      <c r="J271" s="408">
        <f t="shared" si="24"/>
        <v>4</v>
      </c>
      <c r="K271" s="411">
        <v>45720</v>
      </c>
      <c r="L271" s="408"/>
      <c r="M271" s="408"/>
      <c r="N271" s="3" t="str">
        <f t="shared" si="22"/>
        <v/>
      </c>
      <c r="O271" s="408"/>
      <c r="P271" s="408"/>
      <c r="Q271" s="408"/>
      <c r="R271" s="408"/>
      <c r="S271" s="408"/>
      <c r="T271" s="408"/>
      <c r="U271" s="408"/>
      <c r="V271" s="421"/>
      <c r="W271" s="421"/>
      <c r="X271" s="421"/>
      <c r="Y271" s="421"/>
      <c r="Z271" s="421"/>
      <c r="AA271" s="421"/>
      <c r="AB271" s="421"/>
      <c r="AC271" s="421"/>
      <c r="AD271" s="421"/>
      <c r="AE271" s="421"/>
      <c r="AF271" s="421"/>
      <c r="AG271" s="421"/>
      <c r="AH271" s="421"/>
      <c r="AI271" s="421"/>
      <c r="AJ271" s="421"/>
      <c r="AK271" s="421"/>
      <c r="AL271" s="421"/>
    </row>
    <row r="272" spans="1:38">
      <c r="A272" s="410">
        <v>5496</v>
      </c>
      <c r="B272" s="407"/>
      <c r="C272" s="408"/>
      <c r="D272" s="410" t="s">
        <v>1851</v>
      </c>
      <c r="E272" s="410" t="s">
        <v>1405</v>
      </c>
      <c r="F272" s="410" t="s">
        <v>1478</v>
      </c>
      <c r="G272" s="68" t="str">
        <f t="shared" si="21"/>
        <v>DUAL</v>
      </c>
      <c r="H272" s="197">
        <f t="shared" si="20"/>
        <v>10</v>
      </c>
      <c r="I272" s="408">
        <f t="shared" si="23"/>
        <v>3</v>
      </c>
      <c r="J272" s="408">
        <f t="shared" si="24"/>
        <v>5</v>
      </c>
      <c r="K272" s="411">
        <v>45721</v>
      </c>
      <c r="L272" s="408"/>
      <c r="M272" s="408"/>
      <c r="N272" s="3" t="str">
        <f t="shared" si="22"/>
        <v/>
      </c>
      <c r="O272" s="408"/>
      <c r="P272" s="408"/>
      <c r="Q272" s="408"/>
      <c r="R272" s="408"/>
      <c r="S272" s="408"/>
      <c r="T272" s="408"/>
      <c r="U272" s="408"/>
      <c r="V272" s="421"/>
      <c r="W272" s="421"/>
      <c r="X272" s="421"/>
      <c r="Y272" s="421"/>
      <c r="Z272" s="421"/>
      <c r="AA272" s="421"/>
      <c r="AB272" s="421"/>
      <c r="AC272" s="421"/>
      <c r="AD272" s="421"/>
      <c r="AE272" s="421"/>
      <c r="AF272" s="421"/>
      <c r="AG272" s="421"/>
      <c r="AH272" s="421"/>
      <c r="AI272" s="421"/>
      <c r="AJ272" s="421"/>
      <c r="AK272" s="421"/>
      <c r="AL272" s="421"/>
    </row>
    <row r="273" spans="1:38">
      <c r="A273" s="410">
        <v>5496</v>
      </c>
      <c r="B273" s="407"/>
      <c r="C273" s="408"/>
      <c r="D273" s="410" t="s">
        <v>1852</v>
      </c>
      <c r="E273" s="410" t="s">
        <v>1405</v>
      </c>
      <c r="F273" s="410" t="s">
        <v>1478</v>
      </c>
      <c r="G273" s="68" t="str">
        <f t="shared" si="21"/>
        <v>DUAL</v>
      </c>
      <c r="H273" s="197">
        <f t="shared" si="20"/>
        <v>10</v>
      </c>
      <c r="I273" s="408">
        <f t="shared" si="23"/>
        <v>3</v>
      </c>
      <c r="J273" s="408">
        <f t="shared" si="24"/>
        <v>5</v>
      </c>
      <c r="K273" s="411">
        <v>45721</v>
      </c>
      <c r="L273" s="408"/>
      <c r="M273" s="408"/>
      <c r="N273" s="3" t="str">
        <f t="shared" si="22"/>
        <v/>
      </c>
      <c r="O273" s="408"/>
      <c r="P273" s="408"/>
      <c r="Q273" s="408"/>
      <c r="R273" s="408"/>
      <c r="S273" s="408"/>
      <c r="T273" s="408"/>
      <c r="U273" s="408"/>
      <c r="V273" s="421"/>
      <c r="W273" s="421"/>
      <c r="X273" s="421"/>
      <c r="Y273" s="421"/>
      <c r="Z273" s="421"/>
      <c r="AA273" s="421"/>
      <c r="AB273" s="421"/>
      <c r="AC273" s="421"/>
      <c r="AD273" s="421"/>
      <c r="AE273" s="421"/>
      <c r="AF273" s="421"/>
      <c r="AG273" s="421"/>
      <c r="AH273" s="421"/>
      <c r="AI273" s="421"/>
      <c r="AJ273" s="421"/>
      <c r="AK273" s="421"/>
      <c r="AL273" s="421"/>
    </row>
    <row r="274" spans="1:38">
      <c r="A274" s="410">
        <v>5464</v>
      </c>
      <c r="B274" s="407"/>
      <c r="C274" s="408"/>
      <c r="D274" s="410" t="s">
        <v>1853</v>
      </c>
      <c r="E274" s="410" t="s">
        <v>1405</v>
      </c>
      <c r="F274" s="410" t="s">
        <v>1616</v>
      </c>
      <c r="G274" s="68" t="str">
        <f t="shared" si="21"/>
        <v>SINGLE</v>
      </c>
      <c r="H274" s="197">
        <f t="shared" si="20"/>
        <v>10</v>
      </c>
      <c r="I274" s="408">
        <f t="shared" si="23"/>
        <v>3</v>
      </c>
      <c r="J274" s="408">
        <f t="shared" si="24"/>
        <v>5</v>
      </c>
      <c r="K274" s="411">
        <v>45721</v>
      </c>
      <c r="L274" s="408"/>
      <c r="M274" s="408"/>
      <c r="N274" s="3" t="str">
        <f t="shared" si="22"/>
        <v/>
      </c>
      <c r="O274" s="408"/>
      <c r="P274" s="408"/>
      <c r="Q274" s="408"/>
      <c r="R274" s="408"/>
      <c r="S274" s="408"/>
      <c r="T274" s="408"/>
      <c r="U274" s="408"/>
      <c r="V274" s="421"/>
      <c r="W274" s="421"/>
      <c r="X274" s="421"/>
      <c r="Y274" s="421"/>
      <c r="Z274" s="421"/>
      <c r="AA274" s="421"/>
      <c r="AB274" s="421"/>
      <c r="AC274" s="421"/>
      <c r="AD274" s="421"/>
      <c r="AE274" s="421"/>
      <c r="AF274" s="421"/>
      <c r="AG274" s="421"/>
      <c r="AH274" s="421"/>
      <c r="AI274" s="421"/>
      <c r="AJ274" s="421"/>
      <c r="AK274" s="421"/>
      <c r="AL274" s="421"/>
    </row>
    <row r="275" spans="1:38">
      <c r="A275" s="410">
        <v>5464</v>
      </c>
      <c r="B275" s="407"/>
      <c r="C275" s="408"/>
      <c r="D275" s="410" t="s">
        <v>1854</v>
      </c>
      <c r="E275" s="410" t="s">
        <v>1405</v>
      </c>
      <c r="F275" s="410" t="s">
        <v>1616</v>
      </c>
      <c r="G275" s="68" t="str">
        <f t="shared" si="21"/>
        <v>SINGLE</v>
      </c>
      <c r="H275" s="197">
        <f t="shared" si="20"/>
        <v>10</v>
      </c>
      <c r="I275" s="408">
        <f t="shared" si="23"/>
        <v>3</v>
      </c>
      <c r="J275" s="408">
        <f t="shared" si="24"/>
        <v>5</v>
      </c>
      <c r="K275" s="411">
        <v>45721</v>
      </c>
      <c r="L275" s="408"/>
      <c r="M275" s="408"/>
      <c r="N275" s="3" t="str">
        <f t="shared" si="22"/>
        <v/>
      </c>
      <c r="O275" s="408"/>
      <c r="P275" s="408"/>
      <c r="Q275" s="408"/>
      <c r="R275" s="408"/>
      <c r="S275" s="408"/>
      <c r="T275" s="408"/>
      <c r="U275" s="408"/>
      <c r="V275" s="421"/>
      <c r="W275" s="421"/>
      <c r="X275" s="421"/>
      <c r="Y275" s="421"/>
      <c r="Z275" s="421"/>
      <c r="AA275" s="421"/>
      <c r="AB275" s="421"/>
      <c r="AC275" s="421"/>
      <c r="AD275" s="421"/>
      <c r="AE275" s="421"/>
      <c r="AF275" s="421"/>
      <c r="AG275" s="421"/>
      <c r="AH275" s="421"/>
      <c r="AI275" s="421"/>
      <c r="AJ275" s="421"/>
      <c r="AK275" s="421"/>
      <c r="AL275" s="421"/>
    </row>
    <row r="276" spans="1:38">
      <c r="A276" s="410">
        <v>5464</v>
      </c>
      <c r="B276" s="407"/>
      <c r="C276" s="408"/>
      <c r="D276" s="410" t="s">
        <v>1855</v>
      </c>
      <c r="E276" s="410" t="s">
        <v>1405</v>
      </c>
      <c r="F276" s="410" t="s">
        <v>1616</v>
      </c>
      <c r="G276" s="68" t="str">
        <f t="shared" si="21"/>
        <v>SINGLE</v>
      </c>
      <c r="H276" s="197">
        <f t="shared" si="20"/>
        <v>10</v>
      </c>
      <c r="I276" s="408">
        <f t="shared" si="23"/>
        <v>3</v>
      </c>
      <c r="J276" s="408">
        <f t="shared" si="24"/>
        <v>5</v>
      </c>
      <c r="K276" s="411">
        <v>45721</v>
      </c>
      <c r="L276" s="408"/>
      <c r="M276" s="408"/>
      <c r="N276" s="3" t="str">
        <f t="shared" si="22"/>
        <v/>
      </c>
      <c r="O276" s="408"/>
      <c r="P276" s="408"/>
      <c r="Q276" s="408"/>
      <c r="R276" s="408"/>
      <c r="S276" s="408"/>
      <c r="T276" s="408"/>
      <c r="U276" s="408"/>
      <c r="V276" s="421"/>
      <c r="W276" s="421"/>
      <c r="X276" s="421"/>
      <c r="Y276" s="421"/>
      <c r="Z276" s="421"/>
      <c r="AA276" s="421"/>
      <c r="AB276" s="421"/>
      <c r="AC276" s="421"/>
      <c r="AD276" s="421"/>
      <c r="AE276" s="421"/>
      <c r="AF276" s="421"/>
      <c r="AG276" s="421"/>
      <c r="AH276" s="421"/>
      <c r="AI276" s="421"/>
      <c r="AJ276" s="421"/>
      <c r="AK276" s="421"/>
      <c r="AL276" s="421"/>
    </row>
    <row r="277" spans="1:38">
      <c r="A277" s="410">
        <v>5464</v>
      </c>
      <c r="B277" s="407"/>
      <c r="C277" s="408"/>
      <c r="D277" s="410" t="s">
        <v>1856</v>
      </c>
      <c r="E277" s="410" t="s">
        <v>1405</v>
      </c>
      <c r="F277" s="410" t="s">
        <v>1616</v>
      </c>
      <c r="G277" s="68" t="str">
        <f t="shared" si="21"/>
        <v>SINGLE</v>
      </c>
      <c r="H277" s="197">
        <f t="shared" si="20"/>
        <v>10</v>
      </c>
      <c r="I277" s="408">
        <f t="shared" si="23"/>
        <v>3</v>
      </c>
      <c r="J277" s="408">
        <f t="shared" si="24"/>
        <v>5</v>
      </c>
      <c r="K277" s="411">
        <v>45721</v>
      </c>
      <c r="L277" s="408"/>
      <c r="M277" s="408"/>
      <c r="N277" s="3" t="str">
        <f t="shared" si="22"/>
        <v/>
      </c>
      <c r="O277" s="408"/>
      <c r="P277" s="408"/>
      <c r="Q277" s="408"/>
      <c r="R277" s="408"/>
      <c r="S277" s="408"/>
      <c r="T277" s="408"/>
      <c r="U277" s="408"/>
      <c r="V277" s="421"/>
      <c r="W277" s="421"/>
      <c r="X277" s="421"/>
      <c r="Y277" s="421"/>
      <c r="Z277" s="421"/>
      <c r="AA277" s="421"/>
      <c r="AB277" s="421"/>
      <c r="AC277" s="421"/>
      <c r="AD277" s="421"/>
      <c r="AE277" s="421"/>
      <c r="AF277" s="421"/>
      <c r="AG277" s="421"/>
      <c r="AH277" s="421"/>
      <c r="AI277" s="421"/>
      <c r="AJ277" s="421"/>
      <c r="AK277" s="421"/>
      <c r="AL277" s="421"/>
    </row>
    <row r="278" spans="1:38">
      <c r="A278" s="410">
        <v>5470</v>
      </c>
      <c r="B278" s="407"/>
      <c r="C278" s="408"/>
      <c r="D278" s="410" t="s">
        <v>1857</v>
      </c>
      <c r="E278" s="410" t="s">
        <v>1405</v>
      </c>
      <c r="F278" s="410" t="s">
        <v>1581</v>
      </c>
      <c r="G278" s="68" t="str">
        <f t="shared" si="21"/>
        <v>DUAL</v>
      </c>
      <c r="H278" s="197">
        <f t="shared" si="20"/>
        <v>10</v>
      </c>
      <c r="I278" s="408">
        <f t="shared" si="23"/>
        <v>3</v>
      </c>
      <c r="J278" s="408">
        <f t="shared" si="24"/>
        <v>6</v>
      </c>
      <c r="K278" s="411">
        <v>45722</v>
      </c>
      <c r="L278" s="408"/>
      <c r="M278" s="408"/>
      <c r="N278" s="3" t="str">
        <f t="shared" si="22"/>
        <v/>
      </c>
      <c r="O278" s="408"/>
      <c r="P278" s="408"/>
      <c r="Q278" s="408"/>
      <c r="R278" s="408"/>
      <c r="S278" s="408"/>
      <c r="T278" s="408"/>
      <c r="U278" s="408"/>
      <c r="V278" s="421"/>
      <c r="W278" s="421"/>
      <c r="X278" s="421"/>
      <c r="Y278" s="421"/>
      <c r="Z278" s="421"/>
      <c r="AA278" s="421"/>
      <c r="AB278" s="421"/>
      <c r="AC278" s="421"/>
      <c r="AD278" s="421"/>
      <c r="AE278" s="421"/>
      <c r="AF278" s="421"/>
      <c r="AG278" s="421"/>
      <c r="AH278" s="421"/>
      <c r="AI278" s="421"/>
      <c r="AJ278" s="421"/>
      <c r="AK278" s="421"/>
      <c r="AL278" s="421"/>
    </row>
    <row r="279" spans="1:38">
      <c r="A279" s="410">
        <v>5350</v>
      </c>
      <c r="B279" s="407"/>
      <c r="C279" s="408"/>
      <c r="D279" s="410" t="s">
        <v>1858</v>
      </c>
      <c r="E279" s="410" t="s">
        <v>1585</v>
      </c>
      <c r="F279" s="410" t="s">
        <v>1476</v>
      </c>
      <c r="G279" s="68" t="str">
        <f t="shared" si="21"/>
        <v>DUAL</v>
      </c>
      <c r="H279" s="197">
        <f t="shared" si="20"/>
        <v>10</v>
      </c>
      <c r="I279" s="408">
        <f t="shared" si="23"/>
        <v>3</v>
      </c>
      <c r="J279" s="408">
        <f t="shared" si="24"/>
        <v>6</v>
      </c>
      <c r="K279" s="411">
        <v>45722</v>
      </c>
      <c r="L279" s="408"/>
      <c r="M279" s="408"/>
      <c r="N279" s="3" t="str">
        <f t="shared" si="22"/>
        <v/>
      </c>
      <c r="O279" s="408"/>
      <c r="P279" s="408"/>
      <c r="Q279" s="408"/>
      <c r="R279" s="408"/>
      <c r="S279" s="408"/>
      <c r="T279" s="408"/>
      <c r="U279" s="408"/>
      <c r="V279" s="421"/>
      <c r="W279" s="421"/>
      <c r="X279" s="421"/>
      <c r="Y279" s="421"/>
      <c r="Z279" s="421"/>
      <c r="AA279" s="421"/>
      <c r="AB279" s="421"/>
      <c r="AC279" s="421"/>
      <c r="AD279" s="421"/>
      <c r="AE279" s="421"/>
      <c r="AF279" s="421"/>
      <c r="AG279" s="421"/>
      <c r="AH279" s="421"/>
      <c r="AI279" s="421"/>
      <c r="AJ279" s="421"/>
      <c r="AK279" s="421"/>
      <c r="AL279" s="421"/>
    </row>
    <row r="280" spans="1:38" s="180" customFormat="1">
      <c r="A280" s="412">
        <v>5350</v>
      </c>
      <c r="B280" s="413"/>
      <c r="C280" s="414"/>
      <c r="D280" s="412" t="s">
        <v>1859</v>
      </c>
      <c r="E280" s="412" t="s">
        <v>1585</v>
      </c>
      <c r="F280" s="412" t="s">
        <v>1476</v>
      </c>
      <c r="G280" s="68" t="str">
        <f t="shared" si="21"/>
        <v>DUAL</v>
      </c>
      <c r="H280" s="197">
        <f t="shared" si="20"/>
        <v>10</v>
      </c>
      <c r="I280" s="414">
        <f t="shared" si="23"/>
        <v>3</v>
      </c>
      <c r="J280" s="414">
        <f t="shared" si="24"/>
        <v>6</v>
      </c>
      <c r="K280" s="415">
        <v>45722</v>
      </c>
      <c r="L280" s="414"/>
      <c r="M280" s="414"/>
      <c r="N280" s="3" t="str">
        <f t="shared" si="22"/>
        <v/>
      </c>
      <c r="O280" s="414"/>
      <c r="P280" s="414"/>
      <c r="Q280" s="414"/>
      <c r="R280" s="414"/>
      <c r="S280" s="414"/>
      <c r="T280" s="414"/>
      <c r="U280" s="414"/>
      <c r="V280" s="419"/>
      <c r="W280" s="419"/>
      <c r="X280" s="419"/>
      <c r="Y280" s="419"/>
      <c r="Z280" s="419"/>
      <c r="AA280" s="419"/>
      <c r="AB280" s="419"/>
      <c r="AC280" s="419"/>
      <c r="AD280" s="419"/>
      <c r="AE280" s="419"/>
      <c r="AF280" s="419"/>
      <c r="AG280" s="419"/>
      <c r="AH280" s="419"/>
      <c r="AI280" s="419"/>
      <c r="AJ280" s="419"/>
      <c r="AK280" s="419"/>
      <c r="AL280" s="419"/>
    </row>
    <row r="281" spans="1:38">
      <c r="A281" s="410">
        <v>5465</v>
      </c>
      <c r="B281" s="407"/>
      <c r="C281" s="408"/>
      <c r="D281" s="410" t="s">
        <v>1860</v>
      </c>
      <c r="E281" s="410" t="s">
        <v>1405</v>
      </c>
      <c r="F281" s="410" t="s">
        <v>1480</v>
      </c>
      <c r="G281" s="68" t="str">
        <f t="shared" si="21"/>
        <v>DUAL</v>
      </c>
      <c r="H281" s="197">
        <f t="shared" si="20"/>
        <v>10</v>
      </c>
      <c r="I281" s="408">
        <f t="shared" si="23"/>
        <v>3</v>
      </c>
      <c r="J281" s="408">
        <f t="shared" si="24"/>
        <v>6</v>
      </c>
      <c r="K281" s="411">
        <v>45722</v>
      </c>
      <c r="L281" s="408"/>
      <c r="M281" s="408"/>
      <c r="N281" s="3" t="str">
        <f t="shared" si="22"/>
        <v/>
      </c>
      <c r="O281" s="408"/>
      <c r="P281" s="408"/>
      <c r="Q281" s="408"/>
      <c r="R281" s="408"/>
      <c r="S281" s="408"/>
      <c r="T281" s="408"/>
      <c r="U281" s="408"/>
      <c r="V281" s="421"/>
      <c r="W281" s="421"/>
      <c r="X281" s="421"/>
      <c r="Y281" s="421"/>
      <c r="Z281" s="421"/>
      <c r="AA281" s="421"/>
      <c r="AB281" s="421"/>
      <c r="AC281" s="421"/>
      <c r="AD281" s="421"/>
      <c r="AE281" s="421"/>
      <c r="AF281" s="421"/>
      <c r="AG281" s="421"/>
      <c r="AH281" s="421"/>
      <c r="AI281" s="421"/>
      <c r="AJ281" s="421"/>
      <c r="AK281" s="421"/>
      <c r="AL281" s="421"/>
    </row>
    <row r="282" spans="1:38">
      <c r="A282" s="410">
        <v>5465</v>
      </c>
      <c r="B282" s="407"/>
      <c r="C282" s="408"/>
      <c r="D282" s="410" t="s">
        <v>1861</v>
      </c>
      <c r="E282" s="410" t="s">
        <v>1405</v>
      </c>
      <c r="F282" s="410" t="s">
        <v>1480</v>
      </c>
      <c r="G282" s="68" t="str">
        <f t="shared" si="21"/>
        <v>DUAL</v>
      </c>
      <c r="H282" s="197">
        <f t="shared" si="20"/>
        <v>10</v>
      </c>
      <c r="I282" s="408">
        <f t="shared" si="23"/>
        <v>3</v>
      </c>
      <c r="J282" s="408">
        <f t="shared" si="24"/>
        <v>6</v>
      </c>
      <c r="K282" s="411">
        <v>45722</v>
      </c>
      <c r="L282" s="408"/>
      <c r="M282" s="408"/>
      <c r="N282" s="3" t="str">
        <f t="shared" si="22"/>
        <v/>
      </c>
      <c r="O282" s="408"/>
      <c r="P282" s="408"/>
      <c r="Q282" s="408"/>
      <c r="R282" s="408"/>
      <c r="S282" s="408"/>
      <c r="T282" s="408"/>
      <c r="U282" s="408"/>
      <c r="V282" s="421"/>
      <c r="W282" s="421"/>
      <c r="X282" s="421"/>
      <c r="Y282" s="421"/>
      <c r="Z282" s="421"/>
      <c r="AA282" s="421"/>
      <c r="AB282" s="421"/>
      <c r="AC282" s="421"/>
      <c r="AD282" s="421"/>
      <c r="AE282" s="421"/>
      <c r="AF282" s="421"/>
      <c r="AG282" s="421"/>
      <c r="AH282" s="421"/>
      <c r="AI282" s="421"/>
      <c r="AJ282" s="421"/>
      <c r="AK282" s="421"/>
      <c r="AL282" s="421"/>
    </row>
    <row r="283" spans="1:38">
      <c r="A283" s="410">
        <v>5465</v>
      </c>
      <c r="B283" s="407"/>
      <c r="C283" s="408"/>
      <c r="D283" s="410" t="s">
        <v>1862</v>
      </c>
      <c r="E283" s="410" t="s">
        <v>1405</v>
      </c>
      <c r="F283" s="410" t="s">
        <v>1480</v>
      </c>
      <c r="G283" s="68" t="str">
        <f t="shared" si="21"/>
        <v>DUAL</v>
      </c>
      <c r="H283" s="197">
        <f t="shared" si="20"/>
        <v>10</v>
      </c>
      <c r="I283" s="408">
        <f t="shared" si="23"/>
        <v>3</v>
      </c>
      <c r="J283" s="408">
        <f t="shared" si="24"/>
        <v>6</v>
      </c>
      <c r="K283" s="411">
        <v>45722</v>
      </c>
      <c r="L283" s="408"/>
      <c r="M283" s="408"/>
      <c r="N283" s="3" t="str">
        <f t="shared" si="22"/>
        <v/>
      </c>
      <c r="O283" s="408"/>
      <c r="P283" s="408"/>
      <c r="Q283" s="408"/>
      <c r="R283" s="408"/>
      <c r="S283" s="408"/>
      <c r="T283" s="408"/>
      <c r="U283" s="408"/>
      <c r="V283" s="421"/>
      <c r="W283" s="421"/>
      <c r="X283" s="421"/>
      <c r="Y283" s="421"/>
      <c r="Z283" s="421"/>
      <c r="AA283" s="421"/>
      <c r="AB283" s="421"/>
      <c r="AC283" s="421"/>
      <c r="AD283" s="421"/>
      <c r="AE283" s="421"/>
      <c r="AF283" s="421"/>
      <c r="AG283" s="421"/>
      <c r="AH283" s="421"/>
      <c r="AI283" s="421"/>
      <c r="AJ283" s="421"/>
      <c r="AK283" s="421"/>
      <c r="AL283" s="421"/>
    </row>
    <row r="284" spans="1:38">
      <c r="A284" s="410">
        <v>5465</v>
      </c>
      <c r="B284" s="407"/>
      <c r="C284" s="408"/>
      <c r="D284" s="410" t="s">
        <v>1863</v>
      </c>
      <c r="E284" s="410" t="s">
        <v>1405</v>
      </c>
      <c r="F284" s="410" t="s">
        <v>1480</v>
      </c>
      <c r="G284" s="68" t="str">
        <f t="shared" si="21"/>
        <v>DUAL</v>
      </c>
      <c r="H284" s="197">
        <f t="shared" si="20"/>
        <v>10</v>
      </c>
      <c r="I284" s="408">
        <f t="shared" si="23"/>
        <v>3</v>
      </c>
      <c r="J284" s="408">
        <f t="shared" si="24"/>
        <v>6</v>
      </c>
      <c r="K284" s="411">
        <v>45722</v>
      </c>
      <c r="L284" s="408"/>
      <c r="M284" s="408"/>
      <c r="N284" s="3" t="str">
        <f t="shared" si="22"/>
        <v/>
      </c>
      <c r="O284" s="408"/>
      <c r="P284" s="408"/>
      <c r="Q284" s="408"/>
      <c r="R284" s="408"/>
      <c r="S284" s="408"/>
      <c r="T284" s="408"/>
      <c r="U284" s="408"/>
      <c r="V284" s="421"/>
      <c r="W284" s="421"/>
      <c r="X284" s="421"/>
      <c r="Y284" s="421"/>
      <c r="Z284" s="421"/>
      <c r="AA284" s="421"/>
      <c r="AB284" s="421"/>
      <c r="AC284" s="421"/>
      <c r="AD284" s="421"/>
      <c r="AE284" s="421"/>
      <c r="AF284" s="421"/>
      <c r="AG284" s="421"/>
      <c r="AH284" s="421"/>
      <c r="AI284" s="421"/>
      <c r="AJ284" s="421"/>
      <c r="AK284" s="421"/>
      <c r="AL284" s="421"/>
    </row>
    <row r="285" spans="1:38">
      <c r="A285" s="410">
        <v>5473</v>
      </c>
      <c r="B285" s="407"/>
      <c r="C285" s="408"/>
      <c r="D285" s="410" t="s">
        <v>1864</v>
      </c>
      <c r="E285" s="410" t="s">
        <v>1399</v>
      </c>
      <c r="F285" s="410" t="s">
        <v>1480</v>
      </c>
      <c r="G285" s="68" t="str">
        <f t="shared" si="21"/>
        <v>DUAL</v>
      </c>
      <c r="H285" s="197">
        <f t="shared" si="20"/>
        <v>10</v>
      </c>
      <c r="I285" s="408">
        <f t="shared" si="23"/>
        <v>3</v>
      </c>
      <c r="J285" s="408">
        <f t="shared" si="24"/>
        <v>7</v>
      </c>
      <c r="K285" s="411">
        <v>45723</v>
      </c>
      <c r="L285" s="408"/>
      <c r="M285" s="408"/>
      <c r="N285" s="3" t="str">
        <f t="shared" si="22"/>
        <v/>
      </c>
      <c r="O285" s="408"/>
      <c r="P285" s="408"/>
      <c r="Q285" s="408"/>
      <c r="R285" s="408"/>
      <c r="S285" s="408"/>
      <c r="T285" s="408"/>
      <c r="U285" s="408"/>
      <c r="V285" s="421"/>
      <c r="W285" s="421"/>
      <c r="X285" s="421"/>
      <c r="Y285" s="421"/>
      <c r="Z285" s="421"/>
      <c r="AA285" s="421"/>
      <c r="AB285" s="421"/>
      <c r="AC285" s="421"/>
      <c r="AD285" s="421"/>
      <c r="AE285" s="421"/>
      <c r="AF285" s="421"/>
      <c r="AG285" s="421"/>
      <c r="AH285" s="421"/>
      <c r="AI285" s="421"/>
      <c r="AJ285" s="421"/>
      <c r="AK285" s="421"/>
      <c r="AL285" s="421"/>
    </row>
    <row r="286" spans="1:38">
      <c r="A286" s="410">
        <v>5473</v>
      </c>
      <c r="B286" s="407"/>
      <c r="C286" s="408"/>
      <c r="D286" s="410" t="s">
        <v>1865</v>
      </c>
      <c r="E286" s="410" t="s">
        <v>1399</v>
      </c>
      <c r="F286" s="410" t="s">
        <v>1480</v>
      </c>
      <c r="G286" s="68" t="str">
        <f t="shared" si="21"/>
        <v>DUAL</v>
      </c>
      <c r="H286" s="197">
        <f t="shared" si="20"/>
        <v>10</v>
      </c>
      <c r="I286" s="408">
        <f t="shared" si="23"/>
        <v>3</v>
      </c>
      <c r="J286" s="408">
        <f t="shared" si="24"/>
        <v>7</v>
      </c>
      <c r="K286" s="411">
        <v>45723</v>
      </c>
      <c r="L286" s="408"/>
      <c r="M286" s="408"/>
      <c r="N286" s="3" t="str">
        <f t="shared" si="22"/>
        <v/>
      </c>
      <c r="O286" s="408"/>
      <c r="P286" s="408"/>
      <c r="Q286" s="408"/>
      <c r="R286" s="408"/>
      <c r="S286" s="408"/>
      <c r="T286" s="408"/>
      <c r="U286" s="408"/>
      <c r="V286" s="421"/>
      <c r="W286" s="421"/>
      <c r="X286" s="421"/>
      <c r="Y286" s="421"/>
      <c r="Z286" s="421"/>
      <c r="AA286" s="421"/>
      <c r="AB286" s="421"/>
      <c r="AC286" s="421"/>
      <c r="AD286" s="421"/>
      <c r="AE286" s="421"/>
      <c r="AF286" s="421"/>
      <c r="AG286" s="421"/>
      <c r="AH286" s="421"/>
      <c r="AI286" s="421"/>
      <c r="AJ286" s="421"/>
      <c r="AK286" s="421"/>
      <c r="AL286" s="421"/>
    </row>
    <row r="287" spans="1:38">
      <c r="A287" s="410">
        <v>5504</v>
      </c>
      <c r="B287" s="407"/>
      <c r="C287" s="408"/>
      <c r="D287" s="410" t="s">
        <v>1866</v>
      </c>
      <c r="E287" s="410" t="s">
        <v>1409</v>
      </c>
      <c r="F287" s="410" t="s">
        <v>1479</v>
      </c>
      <c r="G287" s="68" t="str">
        <f t="shared" si="21"/>
        <v>SINGLE</v>
      </c>
      <c r="H287" s="197">
        <f t="shared" si="20"/>
        <v>10</v>
      </c>
      <c r="I287" s="408">
        <f t="shared" si="23"/>
        <v>3</v>
      </c>
      <c r="J287" s="408">
        <f t="shared" si="24"/>
        <v>7</v>
      </c>
      <c r="K287" s="411">
        <v>45723</v>
      </c>
      <c r="L287" s="408"/>
      <c r="M287" s="408"/>
      <c r="N287" s="3" t="str">
        <f t="shared" si="22"/>
        <v/>
      </c>
      <c r="O287" s="408"/>
      <c r="P287" s="408"/>
      <c r="Q287" s="408"/>
      <c r="R287" s="408"/>
      <c r="S287" s="408"/>
      <c r="T287" s="408"/>
      <c r="U287" s="408"/>
      <c r="V287" s="421"/>
      <c r="W287" s="421"/>
      <c r="X287" s="421"/>
      <c r="Y287" s="421"/>
      <c r="Z287" s="421"/>
      <c r="AA287" s="421"/>
      <c r="AB287" s="421"/>
      <c r="AC287" s="421"/>
      <c r="AD287" s="421"/>
      <c r="AE287" s="421"/>
      <c r="AF287" s="421"/>
      <c r="AG287" s="421"/>
      <c r="AH287" s="421"/>
      <c r="AI287" s="421"/>
      <c r="AJ287" s="421"/>
      <c r="AK287" s="421"/>
      <c r="AL287" s="421"/>
    </row>
    <row r="288" spans="1:38">
      <c r="A288" s="410">
        <v>5504</v>
      </c>
      <c r="B288" s="407"/>
      <c r="C288" s="408"/>
      <c r="D288" s="410" t="s">
        <v>1867</v>
      </c>
      <c r="E288" s="410" t="s">
        <v>1409</v>
      </c>
      <c r="F288" s="410" t="s">
        <v>1479</v>
      </c>
      <c r="G288" s="68" t="str">
        <f t="shared" si="21"/>
        <v>SINGLE</v>
      </c>
      <c r="H288" s="197">
        <f t="shared" si="20"/>
        <v>10</v>
      </c>
      <c r="I288" s="408">
        <f t="shared" si="23"/>
        <v>3</v>
      </c>
      <c r="J288" s="408">
        <f t="shared" si="24"/>
        <v>7</v>
      </c>
      <c r="K288" s="411">
        <v>45723</v>
      </c>
      <c r="L288" s="408"/>
      <c r="M288" s="408"/>
      <c r="N288" s="3" t="str">
        <f t="shared" si="22"/>
        <v/>
      </c>
      <c r="O288" s="408"/>
      <c r="P288" s="408"/>
      <c r="Q288" s="408"/>
      <c r="R288" s="408"/>
      <c r="S288" s="408"/>
      <c r="T288" s="408"/>
      <c r="U288" s="408"/>
      <c r="V288" s="421"/>
      <c r="W288" s="421"/>
      <c r="X288" s="421"/>
      <c r="Y288" s="421"/>
      <c r="Z288" s="421"/>
      <c r="AA288" s="421"/>
      <c r="AB288" s="421"/>
      <c r="AC288" s="421"/>
      <c r="AD288" s="421"/>
      <c r="AE288" s="421"/>
      <c r="AF288" s="421"/>
      <c r="AG288" s="421"/>
      <c r="AH288" s="421"/>
      <c r="AI288" s="421"/>
      <c r="AJ288" s="421"/>
      <c r="AK288" s="421"/>
      <c r="AL288" s="421"/>
    </row>
    <row r="289" spans="1:38">
      <c r="A289" s="410">
        <v>5504</v>
      </c>
      <c r="B289" s="407"/>
      <c r="C289" s="408"/>
      <c r="D289" s="410" t="s">
        <v>1868</v>
      </c>
      <c r="E289" s="410" t="s">
        <v>1409</v>
      </c>
      <c r="F289" s="410" t="s">
        <v>1479</v>
      </c>
      <c r="G289" s="68" t="str">
        <f t="shared" si="21"/>
        <v>SINGLE</v>
      </c>
      <c r="H289" s="197">
        <f t="shared" si="20"/>
        <v>10</v>
      </c>
      <c r="I289" s="408">
        <f t="shared" si="23"/>
        <v>3</v>
      </c>
      <c r="J289" s="408">
        <f t="shared" si="24"/>
        <v>7</v>
      </c>
      <c r="K289" s="411">
        <v>45723</v>
      </c>
      <c r="L289" s="408"/>
      <c r="M289" s="408"/>
      <c r="N289" s="3" t="str">
        <f t="shared" si="22"/>
        <v/>
      </c>
      <c r="O289" s="408"/>
      <c r="P289" s="408"/>
      <c r="Q289" s="408"/>
      <c r="R289" s="408"/>
      <c r="S289" s="408"/>
      <c r="T289" s="408"/>
      <c r="U289" s="408"/>
      <c r="V289" s="421"/>
      <c r="W289" s="421"/>
      <c r="X289" s="421"/>
      <c r="Y289" s="421"/>
      <c r="Z289" s="421"/>
      <c r="AA289" s="421"/>
      <c r="AB289" s="421"/>
      <c r="AC289" s="421"/>
      <c r="AD289" s="421"/>
      <c r="AE289" s="421"/>
      <c r="AF289" s="421"/>
      <c r="AG289" s="421"/>
      <c r="AH289" s="421"/>
      <c r="AI289" s="421"/>
      <c r="AJ289" s="421"/>
      <c r="AK289" s="421"/>
      <c r="AL289" s="421"/>
    </row>
    <row r="290" spans="1:38">
      <c r="A290" s="410">
        <v>5462</v>
      </c>
      <c r="B290" s="407"/>
      <c r="C290" s="408"/>
      <c r="D290" s="410" t="s">
        <v>1869</v>
      </c>
      <c r="E290" s="410" t="s">
        <v>1409</v>
      </c>
      <c r="F290" s="410" t="s">
        <v>1479</v>
      </c>
      <c r="G290" s="68" t="str">
        <f t="shared" si="21"/>
        <v>SINGLE</v>
      </c>
      <c r="H290" s="197">
        <f t="shared" si="20"/>
        <v>11</v>
      </c>
      <c r="I290" s="408">
        <f t="shared" si="23"/>
        <v>3</v>
      </c>
      <c r="J290" s="408">
        <f t="shared" si="24"/>
        <v>10</v>
      </c>
      <c r="K290" s="411">
        <v>45726</v>
      </c>
      <c r="L290" s="408"/>
      <c r="M290" s="408"/>
      <c r="N290" s="3" t="str">
        <f t="shared" si="22"/>
        <v/>
      </c>
      <c r="O290" s="408"/>
      <c r="P290" s="408"/>
      <c r="Q290" s="408"/>
      <c r="R290" s="408"/>
      <c r="S290" s="408"/>
      <c r="T290" s="408"/>
      <c r="U290" s="408"/>
      <c r="V290" s="421"/>
      <c r="W290" s="421"/>
      <c r="X290" s="421"/>
      <c r="Y290" s="421"/>
      <c r="Z290" s="421"/>
      <c r="AA290" s="421"/>
      <c r="AB290" s="421"/>
      <c r="AC290" s="421"/>
      <c r="AD290" s="421"/>
      <c r="AE290" s="421"/>
      <c r="AF290" s="421"/>
      <c r="AG290" s="421"/>
      <c r="AH290" s="421"/>
      <c r="AI290" s="421"/>
      <c r="AJ290" s="421"/>
      <c r="AK290" s="421"/>
      <c r="AL290" s="421"/>
    </row>
    <row r="291" spans="1:38">
      <c r="A291" s="410">
        <v>5462</v>
      </c>
      <c r="B291" s="407"/>
      <c r="C291" s="408"/>
      <c r="D291" s="410" t="s">
        <v>1870</v>
      </c>
      <c r="E291" s="410" t="s">
        <v>1409</v>
      </c>
      <c r="F291" s="410" t="s">
        <v>1479</v>
      </c>
      <c r="G291" s="68" t="str">
        <f t="shared" si="21"/>
        <v>SINGLE</v>
      </c>
      <c r="H291" s="197">
        <f t="shared" si="20"/>
        <v>11</v>
      </c>
      <c r="I291" s="408">
        <f t="shared" si="23"/>
        <v>3</v>
      </c>
      <c r="J291" s="408">
        <f t="shared" si="24"/>
        <v>10</v>
      </c>
      <c r="K291" s="411">
        <v>45726</v>
      </c>
      <c r="L291" s="408"/>
      <c r="M291" s="408"/>
      <c r="N291" s="3" t="str">
        <f t="shared" si="22"/>
        <v/>
      </c>
      <c r="O291" s="408"/>
      <c r="P291" s="408"/>
      <c r="Q291" s="408"/>
      <c r="R291" s="408"/>
      <c r="S291" s="408"/>
      <c r="T291" s="408"/>
      <c r="U291" s="408"/>
      <c r="V291" s="421"/>
      <c r="W291" s="421"/>
      <c r="X291" s="421"/>
      <c r="Y291" s="421"/>
      <c r="Z291" s="421"/>
      <c r="AA291" s="421"/>
      <c r="AB291" s="421"/>
      <c r="AC291" s="421"/>
      <c r="AD291" s="421"/>
      <c r="AE291" s="421"/>
      <c r="AF291" s="421"/>
      <c r="AG291" s="421"/>
      <c r="AH291" s="421"/>
      <c r="AI291" s="421"/>
      <c r="AJ291" s="421"/>
      <c r="AK291" s="421"/>
      <c r="AL291" s="421"/>
    </row>
    <row r="292" spans="1:38">
      <c r="A292" s="410">
        <v>5462</v>
      </c>
      <c r="B292" s="407"/>
      <c r="C292" s="408"/>
      <c r="D292" s="410" t="s">
        <v>1871</v>
      </c>
      <c r="E292" s="410" t="s">
        <v>1409</v>
      </c>
      <c r="F292" s="410" t="s">
        <v>1479</v>
      </c>
      <c r="G292" s="68" t="str">
        <f t="shared" si="21"/>
        <v>SINGLE</v>
      </c>
      <c r="H292" s="197">
        <f t="shared" si="20"/>
        <v>11</v>
      </c>
      <c r="I292" s="408">
        <f t="shared" si="23"/>
        <v>3</v>
      </c>
      <c r="J292" s="408">
        <f t="shared" si="24"/>
        <v>10</v>
      </c>
      <c r="K292" s="411">
        <v>45726</v>
      </c>
      <c r="L292" s="408"/>
      <c r="M292" s="408"/>
      <c r="N292" s="3" t="str">
        <f t="shared" si="22"/>
        <v/>
      </c>
      <c r="O292" s="408"/>
      <c r="P292" s="408"/>
      <c r="Q292" s="408"/>
      <c r="R292" s="408"/>
      <c r="S292" s="408"/>
      <c r="T292" s="408"/>
      <c r="U292" s="408"/>
      <c r="V292" s="421"/>
      <c r="W292" s="421"/>
      <c r="X292" s="421"/>
      <c r="Y292" s="421"/>
      <c r="Z292" s="421"/>
      <c r="AA292" s="421"/>
      <c r="AB292" s="421"/>
      <c r="AC292" s="421"/>
      <c r="AD292" s="421"/>
      <c r="AE292" s="421"/>
      <c r="AF292" s="421"/>
      <c r="AG292" s="421"/>
      <c r="AH292" s="421"/>
      <c r="AI292" s="421"/>
      <c r="AJ292" s="421"/>
      <c r="AK292" s="421"/>
      <c r="AL292" s="421"/>
    </row>
    <row r="293" spans="1:38">
      <c r="A293" s="410">
        <v>5462</v>
      </c>
      <c r="B293" s="407"/>
      <c r="C293" s="408"/>
      <c r="D293" s="410" t="s">
        <v>1872</v>
      </c>
      <c r="E293" s="410" t="s">
        <v>1409</v>
      </c>
      <c r="F293" s="410" t="s">
        <v>1479</v>
      </c>
      <c r="G293" s="68" t="str">
        <f t="shared" si="21"/>
        <v>SINGLE</v>
      </c>
      <c r="H293" s="197">
        <f t="shared" si="20"/>
        <v>11</v>
      </c>
      <c r="I293" s="408">
        <f t="shared" si="23"/>
        <v>3</v>
      </c>
      <c r="J293" s="408">
        <f t="shared" si="24"/>
        <v>10</v>
      </c>
      <c r="K293" s="411">
        <v>45726</v>
      </c>
      <c r="L293" s="408"/>
      <c r="M293" s="408"/>
      <c r="N293" s="3" t="str">
        <f t="shared" si="22"/>
        <v/>
      </c>
      <c r="O293" s="408"/>
      <c r="P293" s="408"/>
      <c r="Q293" s="408"/>
      <c r="R293" s="408"/>
      <c r="S293" s="408"/>
      <c r="T293" s="408"/>
      <c r="U293" s="408"/>
      <c r="V293" s="421"/>
      <c r="W293" s="421"/>
      <c r="X293" s="421"/>
      <c r="Y293" s="421"/>
      <c r="Z293" s="421"/>
      <c r="AA293" s="421"/>
      <c r="AB293" s="421"/>
      <c r="AC293" s="421"/>
      <c r="AD293" s="421"/>
      <c r="AE293" s="421"/>
      <c r="AF293" s="421"/>
      <c r="AG293" s="421"/>
      <c r="AH293" s="421"/>
      <c r="AI293" s="421"/>
      <c r="AJ293" s="421"/>
      <c r="AK293" s="421"/>
      <c r="AL293" s="421"/>
    </row>
    <row r="294" spans="1:38" s="180" customFormat="1">
      <c r="A294" s="412">
        <v>5350</v>
      </c>
      <c r="B294" s="413"/>
      <c r="C294" s="414"/>
      <c r="D294" s="412" t="s">
        <v>1859</v>
      </c>
      <c r="E294" s="412" t="s">
        <v>1585</v>
      </c>
      <c r="F294" s="412" t="s">
        <v>1476</v>
      </c>
      <c r="G294" s="68" t="str">
        <f t="shared" si="21"/>
        <v>DUAL</v>
      </c>
      <c r="H294" s="197">
        <f t="shared" si="20"/>
        <v>11</v>
      </c>
      <c r="I294" s="414">
        <f t="shared" si="23"/>
        <v>3</v>
      </c>
      <c r="J294" s="414">
        <f t="shared" si="24"/>
        <v>10</v>
      </c>
      <c r="K294" s="415">
        <v>45726</v>
      </c>
      <c r="L294" s="414"/>
      <c r="M294" s="414"/>
      <c r="N294" s="3" t="str">
        <f t="shared" si="22"/>
        <v/>
      </c>
      <c r="O294" s="414"/>
      <c r="P294" s="414"/>
      <c r="Q294" s="414"/>
      <c r="R294" s="414"/>
      <c r="S294" s="414"/>
      <c r="T294" s="414"/>
      <c r="U294" s="414"/>
      <c r="V294" s="419"/>
      <c r="W294" s="419"/>
      <c r="X294" s="419"/>
      <c r="Y294" s="419"/>
      <c r="Z294" s="419"/>
      <c r="AA294" s="419"/>
      <c r="AB294" s="419"/>
      <c r="AC294" s="419"/>
      <c r="AD294" s="419"/>
      <c r="AE294" s="419"/>
      <c r="AF294" s="419"/>
      <c r="AG294" s="419"/>
      <c r="AH294" s="419"/>
      <c r="AI294" s="419"/>
      <c r="AJ294" s="419"/>
      <c r="AK294" s="419"/>
      <c r="AL294" s="419"/>
    </row>
    <row r="295" spans="1:38">
      <c r="A295" s="410">
        <v>5504</v>
      </c>
      <c r="B295" s="407"/>
      <c r="C295" s="408"/>
      <c r="D295" s="410" t="s">
        <v>1873</v>
      </c>
      <c r="E295" s="410" t="s">
        <v>1409</v>
      </c>
      <c r="F295" s="410" t="s">
        <v>1479</v>
      </c>
      <c r="G295" s="68" t="str">
        <f t="shared" si="21"/>
        <v>SINGLE</v>
      </c>
      <c r="H295" s="197">
        <f t="shared" si="20"/>
        <v>11</v>
      </c>
      <c r="I295" s="408">
        <f t="shared" si="23"/>
        <v>3</v>
      </c>
      <c r="J295" s="408">
        <f t="shared" si="24"/>
        <v>10</v>
      </c>
      <c r="K295" s="411">
        <v>45726</v>
      </c>
      <c r="L295" s="408"/>
      <c r="M295" s="408"/>
      <c r="N295" s="3" t="str">
        <f t="shared" si="22"/>
        <v/>
      </c>
      <c r="O295" s="408"/>
      <c r="P295" s="408"/>
      <c r="Q295" s="408"/>
      <c r="R295" s="408"/>
      <c r="S295" s="408"/>
      <c r="T295" s="408"/>
      <c r="U295" s="408"/>
      <c r="V295" s="421"/>
      <c r="W295" s="421"/>
      <c r="X295" s="421"/>
      <c r="Y295" s="421"/>
      <c r="Z295" s="421"/>
      <c r="AA295" s="421"/>
      <c r="AB295" s="421"/>
      <c r="AC295" s="421"/>
      <c r="AD295" s="421"/>
      <c r="AE295" s="421"/>
      <c r="AF295" s="421"/>
      <c r="AG295" s="421"/>
      <c r="AH295" s="421"/>
      <c r="AI295" s="421"/>
      <c r="AJ295" s="421"/>
      <c r="AK295" s="421"/>
      <c r="AL295" s="421"/>
    </row>
    <row r="296" spans="1:38">
      <c r="A296" s="410">
        <v>5504</v>
      </c>
      <c r="B296" s="407"/>
      <c r="C296" s="408"/>
      <c r="D296" s="410" t="s">
        <v>1874</v>
      </c>
      <c r="E296" s="410" t="s">
        <v>1409</v>
      </c>
      <c r="F296" s="410" t="s">
        <v>1479</v>
      </c>
      <c r="G296" s="68" t="str">
        <f t="shared" si="21"/>
        <v>SINGLE</v>
      </c>
      <c r="H296" s="197">
        <f t="shared" si="20"/>
        <v>11</v>
      </c>
      <c r="I296" s="408">
        <f t="shared" si="23"/>
        <v>3</v>
      </c>
      <c r="J296" s="408">
        <f t="shared" si="24"/>
        <v>10</v>
      </c>
      <c r="K296" s="411">
        <v>45726</v>
      </c>
      <c r="L296" s="408"/>
      <c r="M296" s="408"/>
      <c r="N296" s="3" t="str">
        <f t="shared" si="22"/>
        <v/>
      </c>
      <c r="O296" s="408"/>
      <c r="P296" s="408"/>
      <c r="Q296" s="408"/>
      <c r="R296" s="408"/>
      <c r="S296" s="408"/>
      <c r="T296" s="408"/>
      <c r="U296" s="408"/>
      <c r="V296" s="421"/>
      <c r="W296" s="421"/>
      <c r="X296" s="421"/>
      <c r="Y296" s="421"/>
      <c r="Z296" s="421"/>
      <c r="AA296" s="421"/>
      <c r="AB296" s="421"/>
      <c r="AC296" s="421"/>
      <c r="AD296" s="421"/>
      <c r="AE296" s="421"/>
      <c r="AF296" s="421"/>
      <c r="AG296" s="421"/>
      <c r="AH296" s="421"/>
      <c r="AI296" s="421"/>
      <c r="AJ296" s="421"/>
      <c r="AK296" s="421"/>
      <c r="AL296" s="421"/>
    </row>
    <row r="297" spans="1:38">
      <c r="A297" s="410">
        <v>5349</v>
      </c>
      <c r="B297" s="407"/>
      <c r="C297" s="408"/>
      <c r="D297" s="410" t="s">
        <v>1875</v>
      </c>
      <c r="E297" s="410" t="s">
        <v>1585</v>
      </c>
      <c r="F297" s="410" t="s">
        <v>1476</v>
      </c>
      <c r="G297" s="68" t="str">
        <f t="shared" si="21"/>
        <v>DUAL</v>
      </c>
      <c r="H297" s="197">
        <f t="shared" si="20"/>
        <v>11</v>
      </c>
      <c r="I297" s="408">
        <f t="shared" si="23"/>
        <v>3</v>
      </c>
      <c r="J297" s="408">
        <f t="shared" si="24"/>
        <v>10</v>
      </c>
      <c r="K297" s="411">
        <v>45726</v>
      </c>
      <c r="L297" s="408"/>
      <c r="M297" s="408"/>
      <c r="N297" s="3" t="str">
        <f t="shared" si="22"/>
        <v/>
      </c>
      <c r="O297" s="408"/>
      <c r="P297" s="408"/>
      <c r="Q297" s="408"/>
      <c r="R297" s="408"/>
      <c r="S297" s="408"/>
      <c r="T297" s="408"/>
      <c r="U297" s="408"/>
      <c r="V297" s="421"/>
      <c r="W297" s="421"/>
      <c r="X297" s="421"/>
      <c r="Y297" s="421"/>
      <c r="Z297" s="421"/>
      <c r="AA297" s="421"/>
      <c r="AB297" s="421"/>
      <c r="AC297" s="421"/>
      <c r="AD297" s="421"/>
      <c r="AE297" s="421"/>
      <c r="AF297" s="421"/>
      <c r="AG297" s="421"/>
      <c r="AH297" s="421"/>
      <c r="AI297" s="421"/>
      <c r="AJ297" s="421"/>
      <c r="AK297" s="421"/>
      <c r="AL297" s="421"/>
    </row>
    <row r="298" spans="1:38" s="180" customFormat="1">
      <c r="A298" s="412">
        <v>5462</v>
      </c>
      <c r="B298" s="413"/>
      <c r="C298" s="414"/>
      <c r="D298" s="412" t="s">
        <v>1876</v>
      </c>
      <c r="E298" s="412" t="s">
        <v>1409</v>
      </c>
      <c r="F298" s="412" t="s">
        <v>1479</v>
      </c>
      <c r="G298" s="68" t="str">
        <f t="shared" si="21"/>
        <v>SINGLE</v>
      </c>
      <c r="H298" s="197">
        <f t="shared" si="20"/>
        <v>11</v>
      </c>
      <c r="I298" s="414">
        <f t="shared" si="23"/>
        <v>3</v>
      </c>
      <c r="J298" s="414">
        <f t="shared" si="24"/>
        <v>11</v>
      </c>
      <c r="K298" s="415">
        <v>45727</v>
      </c>
      <c r="L298" s="414"/>
      <c r="M298" s="414"/>
      <c r="N298" s="3" t="str">
        <f t="shared" si="22"/>
        <v/>
      </c>
      <c r="O298" s="414"/>
      <c r="P298" s="414"/>
      <c r="Q298" s="414"/>
      <c r="R298" s="414"/>
      <c r="S298" s="414"/>
      <c r="T298" s="414"/>
      <c r="U298" s="414"/>
      <c r="V298" s="419"/>
      <c r="W298" s="419"/>
      <c r="X298" s="419"/>
      <c r="Y298" s="419"/>
      <c r="Z298" s="419"/>
      <c r="AA298" s="419"/>
      <c r="AB298" s="419"/>
      <c r="AC298" s="419"/>
      <c r="AD298" s="419"/>
      <c r="AE298" s="419"/>
      <c r="AF298" s="419"/>
      <c r="AG298" s="419"/>
      <c r="AH298" s="419"/>
      <c r="AI298" s="419"/>
      <c r="AJ298" s="419"/>
      <c r="AK298" s="419"/>
      <c r="AL298" s="419"/>
    </row>
    <row r="299" spans="1:38" s="180" customFormat="1">
      <c r="A299" s="412">
        <v>5462</v>
      </c>
      <c r="B299" s="413"/>
      <c r="C299" s="414"/>
      <c r="D299" s="412" t="s">
        <v>1877</v>
      </c>
      <c r="E299" s="412" t="s">
        <v>1409</v>
      </c>
      <c r="F299" s="412" t="s">
        <v>1479</v>
      </c>
      <c r="G299" s="68" t="str">
        <f t="shared" si="21"/>
        <v>SINGLE</v>
      </c>
      <c r="H299" s="197">
        <f t="shared" si="20"/>
        <v>11</v>
      </c>
      <c r="I299" s="414">
        <f t="shared" si="23"/>
        <v>3</v>
      </c>
      <c r="J299" s="414">
        <f t="shared" si="24"/>
        <v>11</v>
      </c>
      <c r="K299" s="415">
        <v>45727</v>
      </c>
      <c r="L299" s="414"/>
      <c r="M299" s="414"/>
      <c r="N299" s="3" t="str">
        <f t="shared" si="22"/>
        <v/>
      </c>
      <c r="O299" s="414"/>
      <c r="P299" s="414"/>
      <c r="Q299" s="414"/>
      <c r="R299" s="414"/>
      <c r="S299" s="414"/>
      <c r="T299" s="414"/>
      <c r="U299" s="414"/>
      <c r="V299" s="419"/>
      <c r="W299" s="419"/>
      <c r="X299" s="419"/>
      <c r="Y299" s="419"/>
      <c r="Z299" s="419"/>
      <c r="AA299" s="419"/>
      <c r="AB299" s="419"/>
      <c r="AC299" s="419"/>
      <c r="AD299" s="419"/>
      <c r="AE299" s="419"/>
      <c r="AF299" s="419"/>
      <c r="AG299" s="419"/>
      <c r="AH299" s="419"/>
      <c r="AI299" s="419"/>
      <c r="AJ299" s="419"/>
      <c r="AK299" s="419"/>
      <c r="AL299" s="419"/>
    </row>
    <row r="300" spans="1:38" s="180" customFormat="1">
      <c r="A300" s="412">
        <v>5462</v>
      </c>
      <c r="B300" s="413"/>
      <c r="C300" s="414"/>
      <c r="D300" s="412" t="s">
        <v>1878</v>
      </c>
      <c r="E300" s="412" t="s">
        <v>1409</v>
      </c>
      <c r="F300" s="412" t="s">
        <v>1479</v>
      </c>
      <c r="G300" s="68" t="str">
        <f t="shared" si="21"/>
        <v>SINGLE</v>
      </c>
      <c r="H300" s="197">
        <f t="shared" si="20"/>
        <v>11</v>
      </c>
      <c r="I300" s="414">
        <f t="shared" si="23"/>
        <v>3</v>
      </c>
      <c r="J300" s="414">
        <f t="shared" si="24"/>
        <v>11</v>
      </c>
      <c r="K300" s="415">
        <v>45727</v>
      </c>
      <c r="L300" s="414"/>
      <c r="M300" s="414"/>
      <c r="N300" s="3" t="str">
        <f t="shared" si="22"/>
        <v/>
      </c>
      <c r="O300" s="414"/>
      <c r="P300" s="414"/>
      <c r="Q300" s="414"/>
      <c r="R300" s="414"/>
      <c r="S300" s="414"/>
      <c r="T300" s="414"/>
      <c r="U300" s="414"/>
      <c r="V300" s="419"/>
      <c r="W300" s="419"/>
      <c r="X300" s="419"/>
      <c r="Y300" s="419"/>
      <c r="Z300" s="419"/>
      <c r="AA300" s="419"/>
      <c r="AB300" s="419"/>
      <c r="AC300" s="419"/>
      <c r="AD300" s="419"/>
      <c r="AE300" s="419"/>
      <c r="AF300" s="419"/>
      <c r="AG300" s="419"/>
      <c r="AH300" s="419"/>
      <c r="AI300" s="419"/>
      <c r="AJ300" s="419"/>
      <c r="AK300" s="419"/>
      <c r="AL300" s="419"/>
    </row>
    <row r="301" spans="1:38" s="180" customFormat="1">
      <c r="A301" s="412">
        <v>5462</v>
      </c>
      <c r="B301" s="413"/>
      <c r="C301" s="414"/>
      <c r="D301" s="412" t="s">
        <v>1879</v>
      </c>
      <c r="E301" s="412" t="s">
        <v>1409</v>
      </c>
      <c r="F301" s="412" t="s">
        <v>1479</v>
      </c>
      <c r="G301" s="68" t="str">
        <f t="shared" si="21"/>
        <v>SINGLE</v>
      </c>
      <c r="H301" s="197">
        <f t="shared" si="20"/>
        <v>11</v>
      </c>
      <c r="I301" s="414">
        <f t="shared" si="23"/>
        <v>3</v>
      </c>
      <c r="J301" s="414">
        <f t="shared" si="24"/>
        <v>11</v>
      </c>
      <c r="K301" s="415">
        <v>45727</v>
      </c>
      <c r="L301" s="414"/>
      <c r="M301" s="414"/>
      <c r="N301" s="3" t="str">
        <f t="shared" si="22"/>
        <v/>
      </c>
      <c r="O301" s="414"/>
      <c r="P301" s="414"/>
      <c r="Q301" s="414"/>
      <c r="R301" s="414"/>
      <c r="S301" s="414"/>
      <c r="T301" s="414"/>
      <c r="U301" s="414"/>
      <c r="V301" s="419"/>
      <c r="W301" s="419"/>
      <c r="X301" s="419"/>
      <c r="Y301" s="419"/>
      <c r="Z301" s="419"/>
      <c r="AA301" s="419"/>
      <c r="AB301" s="419"/>
      <c r="AC301" s="419"/>
      <c r="AD301" s="419"/>
      <c r="AE301" s="419"/>
      <c r="AF301" s="419"/>
      <c r="AG301" s="419"/>
      <c r="AH301" s="419"/>
      <c r="AI301" s="419"/>
      <c r="AJ301" s="419"/>
      <c r="AK301" s="419"/>
      <c r="AL301" s="419"/>
    </row>
    <row r="302" spans="1:38">
      <c r="A302" s="410">
        <v>5355</v>
      </c>
      <c r="B302" s="407"/>
      <c r="C302" s="408"/>
      <c r="D302" s="410" t="s">
        <v>1880</v>
      </c>
      <c r="E302" s="410" t="s">
        <v>1585</v>
      </c>
      <c r="F302" s="410" t="s">
        <v>1476</v>
      </c>
      <c r="G302" s="68" t="str">
        <f t="shared" si="21"/>
        <v>DUAL</v>
      </c>
      <c r="H302" s="197">
        <f t="shared" si="20"/>
        <v>11</v>
      </c>
      <c r="I302" s="408">
        <f t="shared" si="23"/>
        <v>3</v>
      </c>
      <c r="J302" s="408">
        <f t="shared" si="24"/>
        <v>11</v>
      </c>
      <c r="K302" s="411">
        <v>45727</v>
      </c>
      <c r="L302" s="408"/>
      <c r="M302" s="408"/>
      <c r="N302" s="3" t="str">
        <f t="shared" si="22"/>
        <v/>
      </c>
      <c r="O302" s="408"/>
      <c r="P302" s="408"/>
      <c r="Q302" s="408"/>
      <c r="R302" s="408"/>
      <c r="S302" s="408"/>
      <c r="T302" s="408"/>
      <c r="U302" s="408"/>
      <c r="V302" s="421"/>
      <c r="W302" s="421"/>
      <c r="X302" s="421"/>
      <c r="Y302" s="421"/>
      <c r="Z302" s="421"/>
      <c r="AA302" s="421"/>
      <c r="AB302" s="421"/>
      <c r="AC302" s="421"/>
      <c r="AD302" s="421"/>
      <c r="AE302" s="421"/>
      <c r="AF302" s="421"/>
      <c r="AG302" s="421"/>
      <c r="AH302" s="421"/>
      <c r="AI302" s="421"/>
      <c r="AJ302" s="421"/>
      <c r="AK302" s="421"/>
      <c r="AL302" s="421"/>
    </row>
    <row r="303" spans="1:38">
      <c r="A303" s="410">
        <v>5355</v>
      </c>
      <c r="B303" s="407"/>
      <c r="C303" s="408"/>
      <c r="D303" s="410" t="s">
        <v>1881</v>
      </c>
      <c r="E303" s="410" t="s">
        <v>1585</v>
      </c>
      <c r="F303" s="410" t="s">
        <v>1476</v>
      </c>
      <c r="G303" s="68" t="str">
        <f t="shared" si="21"/>
        <v>DUAL</v>
      </c>
      <c r="H303" s="197">
        <f t="shared" si="20"/>
        <v>11</v>
      </c>
      <c r="I303" s="408">
        <f t="shared" si="23"/>
        <v>3</v>
      </c>
      <c r="J303" s="408">
        <f t="shared" si="24"/>
        <v>11</v>
      </c>
      <c r="K303" s="411">
        <v>45727</v>
      </c>
      <c r="L303" s="408"/>
      <c r="M303" s="408"/>
      <c r="N303" s="3" t="str">
        <f t="shared" si="22"/>
        <v/>
      </c>
      <c r="O303" s="408"/>
      <c r="P303" s="408"/>
      <c r="Q303" s="408"/>
      <c r="R303" s="408"/>
      <c r="S303" s="408"/>
      <c r="T303" s="408"/>
      <c r="U303" s="408"/>
      <c r="V303" s="421"/>
      <c r="W303" s="421"/>
      <c r="X303" s="421"/>
      <c r="Y303" s="421"/>
      <c r="Z303" s="421"/>
      <c r="AA303" s="421"/>
      <c r="AB303" s="421"/>
      <c r="AC303" s="421"/>
      <c r="AD303" s="421"/>
      <c r="AE303" s="421"/>
      <c r="AF303" s="421"/>
      <c r="AG303" s="421"/>
      <c r="AH303" s="421"/>
      <c r="AI303" s="421"/>
      <c r="AJ303" s="421"/>
      <c r="AK303" s="421"/>
      <c r="AL303" s="421"/>
    </row>
    <row r="304" spans="1:38">
      <c r="A304" s="410">
        <v>5355</v>
      </c>
      <c r="B304" s="407"/>
      <c r="C304" s="408"/>
      <c r="D304" s="410" t="s">
        <v>1882</v>
      </c>
      <c r="E304" s="410" t="s">
        <v>1585</v>
      </c>
      <c r="F304" s="410" t="s">
        <v>1476</v>
      </c>
      <c r="G304" s="68" t="str">
        <f t="shared" si="21"/>
        <v>DUAL</v>
      </c>
      <c r="H304" s="197">
        <f t="shared" si="20"/>
        <v>11</v>
      </c>
      <c r="I304" s="408">
        <f t="shared" si="23"/>
        <v>3</v>
      </c>
      <c r="J304" s="408">
        <f t="shared" si="24"/>
        <v>11</v>
      </c>
      <c r="K304" s="411">
        <v>45727</v>
      </c>
      <c r="L304" s="408"/>
      <c r="M304" s="408"/>
      <c r="N304" s="3" t="str">
        <f t="shared" si="22"/>
        <v/>
      </c>
      <c r="O304" s="408"/>
      <c r="P304" s="408"/>
      <c r="Q304" s="408"/>
      <c r="R304" s="408"/>
      <c r="S304" s="408"/>
      <c r="T304" s="408"/>
      <c r="U304" s="408"/>
      <c r="V304" s="421"/>
      <c r="W304" s="421"/>
      <c r="X304" s="421"/>
      <c r="Y304" s="421"/>
      <c r="Z304" s="421"/>
      <c r="AA304" s="421"/>
      <c r="AB304" s="421"/>
      <c r="AC304" s="421"/>
      <c r="AD304" s="421"/>
      <c r="AE304" s="421"/>
      <c r="AF304" s="421"/>
      <c r="AG304" s="421"/>
      <c r="AH304" s="421"/>
      <c r="AI304" s="421"/>
      <c r="AJ304" s="421"/>
      <c r="AK304" s="421"/>
      <c r="AL304" s="421"/>
    </row>
    <row r="305" spans="1:38">
      <c r="A305" s="410">
        <v>5466</v>
      </c>
      <c r="B305" s="407"/>
      <c r="C305" s="408"/>
      <c r="D305" s="410" t="s">
        <v>1883</v>
      </c>
      <c r="E305" s="410" t="s">
        <v>1405</v>
      </c>
      <c r="F305" s="410" t="s">
        <v>1476</v>
      </c>
      <c r="G305" s="68" t="str">
        <f t="shared" si="21"/>
        <v>DUAL</v>
      </c>
      <c r="H305" s="197">
        <f t="shared" si="20"/>
        <v>11</v>
      </c>
      <c r="I305" s="408">
        <f t="shared" si="23"/>
        <v>3</v>
      </c>
      <c r="J305" s="408">
        <f t="shared" si="24"/>
        <v>12</v>
      </c>
      <c r="K305" s="411">
        <v>45728</v>
      </c>
      <c r="L305" s="408"/>
      <c r="M305" s="408"/>
      <c r="N305" s="3" t="str">
        <f t="shared" si="22"/>
        <v/>
      </c>
      <c r="O305" s="408"/>
      <c r="P305" s="408"/>
      <c r="Q305" s="408"/>
      <c r="R305" s="408"/>
      <c r="S305" s="408"/>
      <c r="T305" s="408"/>
      <c r="U305" s="408"/>
      <c r="V305" s="421"/>
      <c r="W305" s="421"/>
      <c r="X305" s="421"/>
      <c r="Y305" s="421"/>
      <c r="Z305" s="421"/>
      <c r="AA305" s="421"/>
      <c r="AB305" s="421"/>
      <c r="AC305" s="421"/>
      <c r="AD305" s="421"/>
      <c r="AE305" s="421"/>
      <c r="AF305" s="421"/>
      <c r="AG305" s="421"/>
      <c r="AH305" s="421"/>
      <c r="AI305" s="421"/>
      <c r="AJ305" s="421"/>
      <c r="AK305" s="421"/>
      <c r="AL305" s="421"/>
    </row>
    <row r="306" spans="1:38">
      <c r="A306" s="410">
        <v>5466</v>
      </c>
      <c r="B306" s="407"/>
      <c r="C306" s="408"/>
      <c r="D306" s="410" t="s">
        <v>1884</v>
      </c>
      <c r="E306" s="410" t="s">
        <v>1405</v>
      </c>
      <c r="F306" s="410" t="s">
        <v>1476</v>
      </c>
      <c r="G306" s="68" t="str">
        <f t="shared" si="21"/>
        <v>DUAL</v>
      </c>
      <c r="H306" s="197">
        <f t="shared" si="20"/>
        <v>11</v>
      </c>
      <c r="I306" s="408">
        <f t="shared" si="23"/>
        <v>3</v>
      </c>
      <c r="J306" s="408">
        <f t="shared" si="24"/>
        <v>12</v>
      </c>
      <c r="K306" s="411">
        <v>45728</v>
      </c>
      <c r="L306" s="408"/>
      <c r="M306" s="408"/>
      <c r="N306" s="3" t="str">
        <f t="shared" si="22"/>
        <v/>
      </c>
      <c r="O306" s="408"/>
      <c r="P306" s="408"/>
      <c r="Q306" s="408"/>
      <c r="R306" s="408"/>
      <c r="S306" s="408"/>
      <c r="T306" s="408"/>
      <c r="U306" s="408"/>
      <c r="V306" s="421"/>
      <c r="W306" s="421"/>
      <c r="X306" s="421"/>
      <c r="Y306" s="421"/>
      <c r="Z306" s="421"/>
      <c r="AA306" s="421"/>
      <c r="AB306" s="421"/>
      <c r="AC306" s="421"/>
      <c r="AD306" s="421"/>
      <c r="AE306" s="421"/>
      <c r="AF306" s="421"/>
      <c r="AG306" s="421"/>
      <c r="AH306" s="421"/>
      <c r="AI306" s="421"/>
      <c r="AJ306" s="421"/>
      <c r="AK306" s="421"/>
      <c r="AL306" s="421"/>
    </row>
    <row r="307" spans="1:38">
      <c r="A307" s="410">
        <v>5515</v>
      </c>
      <c r="B307" s="407"/>
      <c r="C307" s="408"/>
      <c r="D307" s="410" t="s">
        <v>1885</v>
      </c>
      <c r="E307" s="410" t="s">
        <v>1426</v>
      </c>
      <c r="F307" s="410" t="s">
        <v>1476</v>
      </c>
      <c r="G307" s="68" t="str">
        <f t="shared" si="21"/>
        <v>DUAL</v>
      </c>
      <c r="H307" s="197">
        <f t="shared" si="20"/>
        <v>11</v>
      </c>
      <c r="I307" s="408">
        <f t="shared" si="23"/>
        <v>3</v>
      </c>
      <c r="J307" s="408">
        <f t="shared" si="24"/>
        <v>12</v>
      </c>
      <c r="K307" s="411">
        <v>45728</v>
      </c>
      <c r="L307" s="408"/>
      <c r="M307" s="408"/>
      <c r="N307" s="3" t="str">
        <f t="shared" si="22"/>
        <v/>
      </c>
      <c r="O307" s="408"/>
      <c r="P307" s="408"/>
      <c r="Q307" s="408"/>
      <c r="R307" s="408"/>
      <c r="S307" s="408"/>
      <c r="T307" s="408"/>
      <c r="U307" s="408"/>
      <c r="V307" s="421"/>
      <c r="W307" s="421"/>
      <c r="X307" s="421"/>
      <c r="Y307" s="421"/>
      <c r="Z307" s="421"/>
      <c r="AA307" s="421"/>
      <c r="AB307" s="421"/>
      <c r="AC307" s="421"/>
      <c r="AD307" s="421"/>
      <c r="AE307" s="421"/>
      <c r="AF307" s="421"/>
      <c r="AG307" s="421"/>
      <c r="AH307" s="421"/>
      <c r="AI307" s="421"/>
      <c r="AJ307" s="421"/>
      <c r="AK307" s="421"/>
      <c r="AL307" s="421"/>
    </row>
    <row r="308" spans="1:38">
      <c r="A308" s="410">
        <v>5515</v>
      </c>
      <c r="B308" s="407"/>
      <c r="C308" s="408"/>
      <c r="D308" s="410" t="s">
        <v>1886</v>
      </c>
      <c r="E308" s="410" t="s">
        <v>1426</v>
      </c>
      <c r="F308" s="410" t="s">
        <v>1476</v>
      </c>
      <c r="G308" s="68" t="str">
        <f t="shared" si="21"/>
        <v>DUAL</v>
      </c>
      <c r="H308" s="197">
        <f t="shared" si="20"/>
        <v>11</v>
      </c>
      <c r="I308" s="408">
        <f t="shared" si="23"/>
        <v>3</v>
      </c>
      <c r="J308" s="408">
        <f t="shared" si="24"/>
        <v>12</v>
      </c>
      <c r="K308" s="411">
        <v>45728</v>
      </c>
      <c r="L308" s="408"/>
      <c r="M308" s="408"/>
      <c r="N308" s="3" t="str">
        <f t="shared" si="22"/>
        <v/>
      </c>
      <c r="O308" s="408"/>
      <c r="P308" s="408"/>
      <c r="Q308" s="408"/>
      <c r="R308" s="408"/>
      <c r="S308" s="408"/>
      <c r="T308" s="408"/>
      <c r="U308" s="408"/>
      <c r="V308" s="421"/>
      <c r="W308" s="421"/>
      <c r="X308" s="421"/>
      <c r="Y308" s="421"/>
      <c r="Z308" s="421"/>
      <c r="AA308" s="421"/>
      <c r="AB308" s="421"/>
      <c r="AC308" s="421"/>
      <c r="AD308" s="421"/>
      <c r="AE308" s="421"/>
      <c r="AF308" s="421"/>
      <c r="AG308" s="421"/>
      <c r="AH308" s="421"/>
      <c r="AI308" s="421"/>
      <c r="AJ308" s="421"/>
      <c r="AK308" s="421"/>
      <c r="AL308" s="421"/>
    </row>
    <row r="309" spans="1:38">
      <c r="A309" s="410">
        <v>5515</v>
      </c>
      <c r="B309" s="407"/>
      <c r="C309" s="408"/>
      <c r="D309" s="410" t="s">
        <v>1887</v>
      </c>
      <c r="E309" s="410" t="s">
        <v>1426</v>
      </c>
      <c r="F309" s="410" t="s">
        <v>1476</v>
      </c>
      <c r="G309" s="68" t="str">
        <f t="shared" si="21"/>
        <v>DUAL</v>
      </c>
      <c r="H309" s="197">
        <f t="shared" si="20"/>
        <v>11</v>
      </c>
      <c r="I309" s="408">
        <f t="shared" si="23"/>
        <v>3</v>
      </c>
      <c r="J309" s="408">
        <f t="shared" si="24"/>
        <v>12</v>
      </c>
      <c r="K309" s="411">
        <v>45728</v>
      </c>
      <c r="L309" s="408"/>
      <c r="M309" s="408"/>
      <c r="N309" s="3" t="str">
        <f t="shared" si="22"/>
        <v/>
      </c>
      <c r="O309" s="408"/>
      <c r="P309" s="408"/>
      <c r="Q309" s="408"/>
      <c r="R309" s="408"/>
      <c r="S309" s="408"/>
      <c r="T309" s="408"/>
      <c r="U309" s="408"/>
      <c r="V309" s="421"/>
      <c r="W309" s="421"/>
      <c r="X309" s="421"/>
      <c r="Y309" s="421"/>
      <c r="Z309" s="421"/>
      <c r="AA309" s="421"/>
      <c r="AB309" s="421"/>
      <c r="AC309" s="421"/>
      <c r="AD309" s="421"/>
      <c r="AE309" s="421"/>
      <c r="AF309" s="421"/>
      <c r="AG309" s="421"/>
      <c r="AH309" s="421"/>
      <c r="AI309" s="421"/>
      <c r="AJ309" s="421"/>
      <c r="AK309" s="421"/>
      <c r="AL309" s="421"/>
    </row>
    <row r="310" spans="1:38">
      <c r="A310" s="410">
        <v>5504</v>
      </c>
      <c r="B310" s="407"/>
      <c r="C310" s="408"/>
      <c r="D310" s="410" t="s">
        <v>1888</v>
      </c>
      <c r="E310" s="410" t="s">
        <v>1409</v>
      </c>
      <c r="F310" s="410" t="s">
        <v>1479</v>
      </c>
      <c r="G310" s="68" t="str">
        <f t="shared" si="21"/>
        <v>SINGLE</v>
      </c>
      <c r="H310" s="197">
        <f t="shared" si="20"/>
        <v>11</v>
      </c>
      <c r="I310" s="408">
        <f t="shared" si="23"/>
        <v>3</v>
      </c>
      <c r="J310" s="408">
        <f t="shared" si="24"/>
        <v>12</v>
      </c>
      <c r="K310" s="411">
        <v>45728</v>
      </c>
      <c r="L310" s="408"/>
      <c r="M310" s="408"/>
      <c r="N310" s="3" t="str">
        <f t="shared" si="22"/>
        <v/>
      </c>
      <c r="O310" s="408"/>
      <c r="P310" s="408"/>
      <c r="Q310" s="408"/>
      <c r="R310" s="408"/>
      <c r="S310" s="408"/>
      <c r="T310" s="408"/>
      <c r="U310" s="408"/>
      <c r="V310" s="421"/>
      <c r="W310" s="421"/>
      <c r="X310" s="421"/>
      <c r="Y310" s="421"/>
      <c r="Z310" s="421"/>
      <c r="AA310" s="421"/>
      <c r="AB310" s="421"/>
      <c r="AC310" s="421"/>
      <c r="AD310" s="421"/>
      <c r="AE310" s="421"/>
      <c r="AF310" s="421"/>
      <c r="AG310" s="421"/>
      <c r="AH310" s="421"/>
      <c r="AI310" s="421"/>
      <c r="AJ310" s="421"/>
      <c r="AK310" s="421"/>
      <c r="AL310" s="421"/>
    </row>
    <row r="311" spans="1:38">
      <c r="A311" s="410">
        <v>5504</v>
      </c>
      <c r="B311" s="407"/>
      <c r="C311" s="408"/>
      <c r="D311" s="410" t="s">
        <v>1889</v>
      </c>
      <c r="E311" s="410" t="s">
        <v>1409</v>
      </c>
      <c r="F311" s="410" t="s">
        <v>1479</v>
      </c>
      <c r="G311" s="68" t="str">
        <f t="shared" si="21"/>
        <v>SINGLE</v>
      </c>
      <c r="H311" s="197">
        <f t="shared" si="20"/>
        <v>11</v>
      </c>
      <c r="I311" s="408">
        <f t="shared" si="23"/>
        <v>3</v>
      </c>
      <c r="J311" s="408">
        <f t="shared" si="24"/>
        <v>12</v>
      </c>
      <c r="K311" s="411">
        <v>45728</v>
      </c>
      <c r="L311" s="408"/>
      <c r="M311" s="408"/>
      <c r="N311" s="3" t="str">
        <f t="shared" si="22"/>
        <v/>
      </c>
      <c r="O311" s="408"/>
      <c r="P311" s="408"/>
      <c r="Q311" s="408"/>
      <c r="R311" s="408"/>
      <c r="S311" s="408"/>
      <c r="T311" s="408"/>
      <c r="U311" s="408"/>
      <c r="V311" s="421"/>
      <c r="W311" s="421"/>
      <c r="X311" s="421"/>
      <c r="Y311" s="421"/>
      <c r="Z311" s="421"/>
      <c r="AA311" s="421"/>
      <c r="AB311" s="421"/>
      <c r="AC311" s="421"/>
      <c r="AD311" s="421"/>
      <c r="AE311" s="421"/>
      <c r="AF311" s="421"/>
      <c r="AG311" s="421"/>
      <c r="AH311" s="421"/>
      <c r="AI311" s="421"/>
      <c r="AJ311" s="421"/>
      <c r="AK311" s="421"/>
      <c r="AL311" s="421"/>
    </row>
    <row r="312" spans="1:38">
      <c r="A312" s="410">
        <v>5504</v>
      </c>
      <c r="B312" s="407"/>
      <c r="C312" s="408"/>
      <c r="D312" s="410" t="s">
        <v>1890</v>
      </c>
      <c r="E312" s="410" t="s">
        <v>1409</v>
      </c>
      <c r="F312" s="410" t="s">
        <v>1479</v>
      </c>
      <c r="G312" s="68" t="str">
        <f t="shared" si="21"/>
        <v>SINGLE</v>
      </c>
      <c r="H312" s="197">
        <f t="shared" si="20"/>
        <v>11</v>
      </c>
      <c r="I312" s="408">
        <f t="shared" si="23"/>
        <v>3</v>
      </c>
      <c r="J312" s="408">
        <f t="shared" si="24"/>
        <v>12</v>
      </c>
      <c r="K312" s="411">
        <v>45728</v>
      </c>
      <c r="L312" s="408"/>
      <c r="M312" s="408"/>
      <c r="N312" s="3" t="str">
        <f t="shared" si="22"/>
        <v/>
      </c>
      <c r="O312" s="408"/>
      <c r="P312" s="408"/>
      <c r="Q312" s="408"/>
      <c r="R312" s="408"/>
      <c r="S312" s="408"/>
      <c r="T312" s="408"/>
      <c r="U312" s="408"/>
      <c r="V312" s="421"/>
      <c r="W312" s="421"/>
      <c r="X312" s="421"/>
      <c r="Y312" s="421"/>
      <c r="Z312" s="421"/>
      <c r="AA312" s="421"/>
      <c r="AB312" s="421"/>
      <c r="AC312" s="421"/>
      <c r="AD312" s="421"/>
      <c r="AE312" s="421"/>
      <c r="AF312" s="421"/>
      <c r="AG312" s="421"/>
      <c r="AH312" s="421"/>
      <c r="AI312" s="421"/>
      <c r="AJ312" s="421"/>
      <c r="AK312" s="421"/>
      <c r="AL312" s="421"/>
    </row>
    <row r="313" spans="1:38">
      <c r="A313" s="410">
        <v>5504</v>
      </c>
      <c r="B313" s="407"/>
      <c r="C313" s="408"/>
      <c r="D313" s="410" t="s">
        <v>1891</v>
      </c>
      <c r="E313" s="410" t="s">
        <v>1409</v>
      </c>
      <c r="F313" s="410" t="s">
        <v>1479</v>
      </c>
      <c r="G313" s="68" t="str">
        <f t="shared" si="21"/>
        <v>SINGLE</v>
      </c>
      <c r="H313" s="197">
        <f t="shared" si="20"/>
        <v>11</v>
      </c>
      <c r="I313" s="408">
        <f t="shared" si="23"/>
        <v>3</v>
      </c>
      <c r="J313" s="408">
        <f t="shared" si="24"/>
        <v>12</v>
      </c>
      <c r="K313" s="411">
        <v>45728</v>
      </c>
      <c r="L313" s="408"/>
      <c r="M313" s="408"/>
      <c r="N313" s="3" t="str">
        <f t="shared" si="22"/>
        <v/>
      </c>
      <c r="O313" s="408"/>
      <c r="P313" s="408"/>
      <c r="Q313" s="408"/>
      <c r="R313" s="408"/>
      <c r="S313" s="408"/>
      <c r="T313" s="408"/>
      <c r="U313" s="408"/>
      <c r="V313" s="421"/>
      <c r="W313" s="421"/>
      <c r="X313" s="421"/>
      <c r="Y313" s="421"/>
      <c r="Z313" s="421"/>
      <c r="AA313" s="421"/>
      <c r="AB313" s="421"/>
      <c r="AC313" s="421"/>
      <c r="AD313" s="421"/>
      <c r="AE313" s="421"/>
      <c r="AF313" s="421"/>
      <c r="AG313" s="421"/>
      <c r="AH313" s="421"/>
      <c r="AI313" s="421"/>
      <c r="AJ313" s="421"/>
      <c r="AK313" s="421"/>
      <c r="AL313" s="421"/>
    </row>
    <row r="314" spans="1:38">
      <c r="A314" s="410">
        <v>5462</v>
      </c>
      <c r="B314" s="407"/>
      <c r="C314" s="408"/>
      <c r="D314" s="410" t="s">
        <v>1892</v>
      </c>
      <c r="E314" s="410" t="s">
        <v>1409</v>
      </c>
      <c r="F314" s="410" t="s">
        <v>1479</v>
      </c>
      <c r="G314" s="68" t="str">
        <f t="shared" si="21"/>
        <v>SINGLE</v>
      </c>
      <c r="H314" s="197">
        <f t="shared" si="20"/>
        <v>11</v>
      </c>
      <c r="I314" s="408">
        <f t="shared" si="23"/>
        <v>3</v>
      </c>
      <c r="J314" s="408">
        <f t="shared" si="24"/>
        <v>13</v>
      </c>
      <c r="K314" s="411">
        <v>45729</v>
      </c>
      <c r="L314" s="408"/>
      <c r="M314" s="408"/>
      <c r="N314" s="3" t="str">
        <f t="shared" si="22"/>
        <v/>
      </c>
      <c r="O314" s="408"/>
      <c r="P314" s="408"/>
      <c r="Q314" s="408"/>
      <c r="R314" s="408"/>
      <c r="S314" s="408"/>
      <c r="T314" s="408"/>
      <c r="U314" s="408"/>
      <c r="V314" s="421"/>
      <c r="W314" s="421"/>
      <c r="X314" s="421"/>
      <c r="Y314" s="421"/>
      <c r="Z314" s="421"/>
      <c r="AA314" s="421"/>
      <c r="AB314" s="421"/>
      <c r="AC314" s="421"/>
      <c r="AD314" s="421"/>
      <c r="AE314" s="421"/>
      <c r="AF314" s="421"/>
      <c r="AG314" s="421"/>
      <c r="AH314" s="421"/>
      <c r="AI314" s="421"/>
      <c r="AJ314" s="421"/>
      <c r="AK314" s="421"/>
      <c r="AL314" s="421"/>
    </row>
    <row r="315" spans="1:38" s="180" customFormat="1">
      <c r="A315" s="412">
        <v>5462</v>
      </c>
      <c r="B315" s="413"/>
      <c r="C315" s="414"/>
      <c r="D315" s="412" t="s">
        <v>1893</v>
      </c>
      <c r="E315" s="412" t="s">
        <v>1409</v>
      </c>
      <c r="F315" s="412" t="s">
        <v>1479</v>
      </c>
      <c r="G315" s="68" t="str">
        <f t="shared" si="21"/>
        <v>SINGLE</v>
      </c>
      <c r="H315" s="197">
        <f t="shared" si="20"/>
        <v>11</v>
      </c>
      <c r="I315" s="414">
        <f t="shared" si="23"/>
        <v>3</v>
      </c>
      <c r="J315" s="414">
        <f t="shared" si="24"/>
        <v>13</v>
      </c>
      <c r="K315" s="415">
        <v>45729</v>
      </c>
      <c r="L315" s="414"/>
      <c r="M315" s="414"/>
      <c r="N315" s="3" t="str">
        <f t="shared" si="22"/>
        <v/>
      </c>
      <c r="O315" s="414"/>
      <c r="P315" s="414"/>
      <c r="Q315" s="414"/>
      <c r="R315" s="414"/>
      <c r="S315" s="414"/>
      <c r="T315" s="414"/>
      <c r="U315" s="414"/>
      <c r="V315" s="419"/>
      <c r="W315" s="419"/>
      <c r="X315" s="419"/>
      <c r="Y315" s="419"/>
      <c r="Z315" s="419"/>
      <c r="AA315" s="419"/>
      <c r="AB315" s="419"/>
      <c r="AC315" s="419"/>
      <c r="AD315" s="419"/>
      <c r="AE315" s="419"/>
      <c r="AF315" s="419"/>
      <c r="AG315" s="419"/>
      <c r="AH315" s="419"/>
      <c r="AI315" s="419"/>
      <c r="AJ315" s="419"/>
      <c r="AK315" s="419"/>
      <c r="AL315" s="419"/>
    </row>
    <row r="316" spans="1:38">
      <c r="A316" s="410">
        <v>5467</v>
      </c>
      <c r="B316" s="407"/>
      <c r="C316" s="408"/>
      <c r="D316" s="410" t="s">
        <v>1894</v>
      </c>
      <c r="E316" s="410" t="s">
        <v>1405</v>
      </c>
      <c r="F316" s="410" t="s">
        <v>1591</v>
      </c>
      <c r="G316" s="68" t="str">
        <f t="shared" si="21"/>
        <v>SINGLE</v>
      </c>
      <c r="H316" s="197">
        <f t="shared" si="20"/>
        <v>11</v>
      </c>
      <c r="I316" s="408">
        <f t="shared" si="23"/>
        <v>3</v>
      </c>
      <c r="J316" s="408">
        <f t="shared" si="24"/>
        <v>13</v>
      </c>
      <c r="K316" s="411">
        <v>45729</v>
      </c>
      <c r="L316" s="408"/>
      <c r="M316" s="408"/>
      <c r="N316" s="3" t="str">
        <f t="shared" si="22"/>
        <v/>
      </c>
      <c r="O316" s="408"/>
      <c r="P316" s="408"/>
      <c r="Q316" s="408"/>
      <c r="R316" s="408"/>
      <c r="S316" s="408"/>
      <c r="T316" s="408"/>
      <c r="U316" s="408"/>
      <c r="V316" s="421"/>
      <c r="W316" s="421"/>
      <c r="X316" s="421"/>
      <c r="Y316" s="421"/>
      <c r="Z316" s="421"/>
      <c r="AA316" s="421"/>
      <c r="AB316" s="421"/>
      <c r="AC316" s="421"/>
      <c r="AD316" s="421"/>
      <c r="AE316" s="421"/>
      <c r="AF316" s="421"/>
      <c r="AG316" s="421"/>
      <c r="AH316" s="421"/>
      <c r="AI316" s="421"/>
      <c r="AJ316" s="421"/>
      <c r="AK316" s="421"/>
      <c r="AL316" s="421"/>
    </row>
    <row r="317" spans="1:38">
      <c r="A317" s="410">
        <v>5467</v>
      </c>
      <c r="B317" s="407"/>
      <c r="C317" s="408"/>
      <c r="D317" s="410" t="s">
        <v>1895</v>
      </c>
      <c r="E317" s="410" t="s">
        <v>1405</v>
      </c>
      <c r="F317" s="410" t="s">
        <v>1591</v>
      </c>
      <c r="G317" s="68" t="str">
        <f t="shared" si="21"/>
        <v>SINGLE</v>
      </c>
      <c r="H317" s="197">
        <f t="shared" si="20"/>
        <v>11</v>
      </c>
      <c r="I317" s="408">
        <f t="shared" si="23"/>
        <v>3</v>
      </c>
      <c r="J317" s="408">
        <f t="shared" si="24"/>
        <v>13</v>
      </c>
      <c r="K317" s="411">
        <v>45729</v>
      </c>
      <c r="L317" s="408"/>
      <c r="M317" s="408"/>
      <c r="N317" s="3" t="str">
        <f t="shared" si="22"/>
        <v/>
      </c>
      <c r="O317" s="408"/>
      <c r="P317" s="408"/>
      <c r="Q317" s="408"/>
      <c r="R317" s="408"/>
      <c r="S317" s="408"/>
      <c r="T317" s="408"/>
      <c r="U317" s="408"/>
      <c r="V317" s="421"/>
      <c r="W317" s="421"/>
      <c r="X317" s="421"/>
      <c r="Y317" s="421"/>
      <c r="Z317" s="421"/>
      <c r="AA317" s="421"/>
      <c r="AB317" s="421"/>
      <c r="AC317" s="421"/>
      <c r="AD317" s="421"/>
      <c r="AE317" s="421"/>
      <c r="AF317" s="421"/>
      <c r="AG317" s="421"/>
      <c r="AH317" s="421"/>
      <c r="AI317" s="421"/>
      <c r="AJ317" s="421"/>
      <c r="AK317" s="421"/>
      <c r="AL317" s="421"/>
    </row>
    <row r="318" spans="1:38">
      <c r="A318" s="410">
        <v>5351</v>
      </c>
      <c r="B318" s="407"/>
      <c r="C318" s="408"/>
      <c r="D318" s="410" t="s">
        <v>1896</v>
      </c>
      <c r="E318" s="410" t="s">
        <v>1585</v>
      </c>
      <c r="F318" s="410" t="s">
        <v>1476</v>
      </c>
      <c r="G318" s="68" t="str">
        <f t="shared" si="21"/>
        <v>DUAL</v>
      </c>
      <c r="H318" s="197">
        <f t="shared" si="20"/>
        <v>11</v>
      </c>
      <c r="I318" s="408">
        <f t="shared" si="23"/>
        <v>3</v>
      </c>
      <c r="J318" s="408">
        <f t="shared" si="24"/>
        <v>13</v>
      </c>
      <c r="K318" s="411">
        <v>45729</v>
      </c>
      <c r="L318" s="408"/>
      <c r="M318" s="408"/>
      <c r="N318" s="3" t="str">
        <f t="shared" si="22"/>
        <v/>
      </c>
      <c r="O318" s="408"/>
      <c r="P318" s="408"/>
      <c r="Q318" s="408"/>
      <c r="R318" s="408"/>
      <c r="S318" s="408"/>
      <c r="T318" s="408"/>
      <c r="U318" s="408"/>
      <c r="V318" s="421"/>
      <c r="W318" s="421"/>
      <c r="X318" s="421"/>
      <c r="Y318" s="421"/>
      <c r="Z318" s="421"/>
      <c r="AA318" s="421"/>
      <c r="AB318" s="421"/>
      <c r="AC318" s="421"/>
      <c r="AD318" s="421"/>
      <c r="AE318" s="421"/>
      <c r="AF318" s="421"/>
      <c r="AG318" s="421"/>
      <c r="AH318" s="421"/>
      <c r="AI318" s="421"/>
      <c r="AJ318" s="421"/>
      <c r="AK318" s="421"/>
      <c r="AL318" s="421"/>
    </row>
    <row r="319" spans="1:38">
      <c r="A319" s="410">
        <v>5351</v>
      </c>
      <c r="B319" s="407"/>
      <c r="C319" s="408"/>
      <c r="D319" s="410" t="s">
        <v>1897</v>
      </c>
      <c r="E319" s="410" t="s">
        <v>1585</v>
      </c>
      <c r="F319" s="410" t="s">
        <v>1476</v>
      </c>
      <c r="G319" s="68" t="str">
        <f t="shared" si="21"/>
        <v>DUAL</v>
      </c>
      <c r="H319" s="197">
        <f t="shared" si="20"/>
        <v>11</v>
      </c>
      <c r="I319" s="408">
        <f t="shared" si="23"/>
        <v>3</v>
      </c>
      <c r="J319" s="408">
        <f t="shared" si="24"/>
        <v>13</v>
      </c>
      <c r="K319" s="411">
        <v>45729</v>
      </c>
      <c r="L319" s="408"/>
      <c r="M319" s="408"/>
      <c r="N319" s="3" t="str">
        <f t="shared" si="22"/>
        <v/>
      </c>
      <c r="O319" s="408"/>
      <c r="P319" s="408"/>
      <c r="Q319" s="408"/>
      <c r="R319" s="408"/>
      <c r="S319" s="408"/>
      <c r="T319" s="408"/>
      <c r="U319" s="408"/>
      <c r="V319" s="421"/>
      <c r="W319" s="421"/>
      <c r="X319" s="421"/>
      <c r="Y319" s="421"/>
      <c r="Z319" s="421"/>
      <c r="AA319" s="421"/>
      <c r="AB319" s="421"/>
      <c r="AC319" s="421"/>
      <c r="AD319" s="421"/>
      <c r="AE319" s="421"/>
      <c r="AF319" s="421"/>
      <c r="AG319" s="421"/>
      <c r="AH319" s="421"/>
      <c r="AI319" s="421"/>
      <c r="AJ319" s="421"/>
      <c r="AK319" s="421"/>
      <c r="AL319" s="421"/>
    </row>
    <row r="320" spans="1:38">
      <c r="A320" s="410">
        <v>5488</v>
      </c>
      <c r="B320" s="407"/>
      <c r="C320" s="408"/>
      <c r="D320" s="410" t="s">
        <v>1898</v>
      </c>
      <c r="E320" s="410" t="s">
        <v>1422</v>
      </c>
      <c r="F320" s="410" t="s">
        <v>1476</v>
      </c>
      <c r="G320" s="68" t="str">
        <f t="shared" si="21"/>
        <v>DUAL</v>
      </c>
      <c r="H320" s="197">
        <f t="shared" si="20"/>
        <v>11</v>
      </c>
      <c r="I320" s="408">
        <f t="shared" si="23"/>
        <v>3</v>
      </c>
      <c r="J320" s="408">
        <f t="shared" si="24"/>
        <v>13</v>
      </c>
      <c r="K320" s="411">
        <v>45729</v>
      </c>
      <c r="L320" s="408"/>
      <c r="M320" s="408"/>
      <c r="N320" s="3" t="str">
        <f t="shared" si="22"/>
        <v/>
      </c>
      <c r="O320" s="408"/>
      <c r="P320" s="408"/>
      <c r="Q320" s="408"/>
      <c r="R320" s="408"/>
      <c r="S320" s="408"/>
      <c r="T320" s="408"/>
      <c r="U320" s="408"/>
      <c r="V320" s="421"/>
      <c r="W320" s="421"/>
      <c r="X320" s="421"/>
      <c r="Y320" s="421"/>
      <c r="Z320" s="421"/>
      <c r="AA320" s="421"/>
      <c r="AB320" s="421"/>
      <c r="AC320" s="421"/>
      <c r="AD320" s="421"/>
      <c r="AE320" s="421"/>
      <c r="AF320" s="421"/>
      <c r="AG320" s="421"/>
      <c r="AH320" s="421"/>
      <c r="AI320" s="421"/>
      <c r="AJ320" s="421"/>
      <c r="AK320" s="421"/>
      <c r="AL320" s="421"/>
    </row>
    <row r="321" spans="1:38">
      <c r="A321" s="410">
        <v>5351</v>
      </c>
      <c r="B321" s="407"/>
      <c r="C321" s="408"/>
      <c r="D321" s="410" t="s">
        <v>1899</v>
      </c>
      <c r="E321" s="410" t="s">
        <v>1585</v>
      </c>
      <c r="F321" s="410" t="s">
        <v>1476</v>
      </c>
      <c r="G321" s="68" t="str">
        <f t="shared" si="21"/>
        <v>DUAL</v>
      </c>
      <c r="H321" s="197">
        <f t="shared" ref="H321:H384" si="25">WEEKNUM(K321)</f>
        <v>11</v>
      </c>
      <c r="I321" s="408">
        <f t="shared" si="23"/>
        <v>3</v>
      </c>
      <c r="J321" s="408">
        <f t="shared" si="24"/>
        <v>14</v>
      </c>
      <c r="K321" s="411">
        <v>45730</v>
      </c>
      <c r="L321" s="408"/>
      <c r="M321" s="408"/>
      <c r="N321" s="3" t="str">
        <f t="shared" si="22"/>
        <v/>
      </c>
      <c r="O321" s="408"/>
      <c r="P321" s="408"/>
      <c r="Q321" s="408"/>
      <c r="R321" s="408"/>
      <c r="S321" s="408"/>
      <c r="T321" s="408"/>
      <c r="U321" s="408"/>
      <c r="V321" s="421"/>
      <c r="W321" s="421"/>
      <c r="X321" s="421"/>
      <c r="Y321" s="421"/>
      <c r="Z321" s="421"/>
      <c r="AA321" s="421"/>
      <c r="AB321" s="421"/>
      <c r="AC321" s="421"/>
      <c r="AD321" s="421"/>
      <c r="AE321" s="421"/>
      <c r="AF321" s="421"/>
      <c r="AG321" s="421"/>
      <c r="AH321" s="421"/>
      <c r="AI321" s="421"/>
      <c r="AJ321" s="421"/>
      <c r="AK321" s="421"/>
      <c r="AL321" s="421"/>
    </row>
    <row r="322" spans="1:38">
      <c r="A322" s="410">
        <v>5351</v>
      </c>
      <c r="B322" s="407"/>
      <c r="C322" s="408"/>
      <c r="D322" s="410" t="s">
        <v>1900</v>
      </c>
      <c r="E322" s="410" t="s">
        <v>1585</v>
      </c>
      <c r="F322" s="410" t="s">
        <v>1476</v>
      </c>
      <c r="G322" s="68" t="str">
        <f t="shared" ref="G322:G385" si="26">IF(OR(ISNUMBER(SEARCH("DUAL",F322)), ISNUMBER(SEARCH("IVAS",F322))), "DUAL", "SINGLE")</f>
        <v>DUAL</v>
      </c>
      <c r="H322" s="197">
        <f t="shared" si="25"/>
        <v>11</v>
      </c>
      <c r="I322" s="408">
        <f t="shared" si="23"/>
        <v>3</v>
      </c>
      <c r="J322" s="408">
        <f t="shared" si="24"/>
        <v>14</v>
      </c>
      <c r="K322" s="411">
        <v>45730</v>
      </c>
      <c r="L322" s="408"/>
      <c r="M322" s="408"/>
      <c r="N322" s="3" t="str">
        <f t="shared" ref="N322:N385" si="27">IF(O322&lt;&gt;"", "NG", "")</f>
        <v/>
      </c>
      <c r="O322" s="408"/>
      <c r="P322" s="408"/>
      <c r="Q322" s="408"/>
      <c r="R322" s="408"/>
      <c r="S322" s="408"/>
      <c r="T322" s="408"/>
      <c r="U322" s="408"/>
      <c r="V322" s="421"/>
      <c r="W322" s="421"/>
      <c r="X322" s="421"/>
      <c r="Y322" s="421"/>
      <c r="Z322" s="421"/>
      <c r="AA322" s="421"/>
      <c r="AB322" s="421"/>
      <c r="AC322" s="421"/>
      <c r="AD322" s="421"/>
      <c r="AE322" s="421"/>
      <c r="AF322" s="421"/>
      <c r="AG322" s="421"/>
      <c r="AH322" s="421"/>
      <c r="AI322" s="421"/>
      <c r="AJ322" s="421"/>
      <c r="AK322" s="421"/>
      <c r="AL322" s="421"/>
    </row>
    <row r="323" spans="1:38">
      <c r="A323" s="410">
        <v>5462</v>
      </c>
      <c r="B323" s="407"/>
      <c r="C323" s="408"/>
      <c r="D323" s="410" t="s">
        <v>1901</v>
      </c>
      <c r="E323" s="410" t="s">
        <v>1409</v>
      </c>
      <c r="F323" s="410" t="s">
        <v>1479</v>
      </c>
      <c r="G323" s="68" t="str">
        <f t="shared" si="26"/>
        <v>SINGLE</v>
      </c>
      <c r="H323" s="197">
        <f t="shared" si="25"/>
        <v>11</v>
      </c>
      <c r="I323" s="408">
        <f t="shared" ref="I323:I386" si="28">MONTH(K323)</f>
        <v>3</v>
      </c>
      <c r="J323" s="408">
        <f t="shared" ref="J323:J386" si="29">DAY(K323)</f>
        <v>14</v>
      </c>
      <c r="K323" s="411">
        <v>45730</v>
      </c>
      <c r="L323" s="408"/>
      <c r="M323" s="408"/>
      <c r="N323" s="3" t="str">
        <f t="shared" si="27"/>
        <v/>
      </c>
      <c r="O323" s="408"/>
      <c r="P323" s="408"/>
      <c r="Q323" s="408"/>
      <c r="R323" s="408"/>
      <c r="S323" s="408"/>
      <c r="T323" s="408"/>
      <c r="U323" s="408"/>
      <c r="V323" s="421"/>
      <c r="W323" s="421"/>
      <c r="X323" s="421"/>
      <c r="Y323" s="421"/>
      <c r="Z323" s="421"/>
      <c r="AA323" s="421"/>
      <c r="AB323" s="421"/>
      <c r="AC323" s="421"/>
      <c r="AD323" s="421"/>
      <c r="AE323" s="421"/>
      <c r="AF323" s="421"/>
      <c r="AG323" s="421"/>
      <c r="AH323" s="421"/>
      <c r="AI323" s="421"/>
      <c r="AJ323" s="421"/>
      <c r="AK323" s="421"/>
      <c r="AL323" s="421"/>
    </row>
    <row r="324" spans="1:38">
      <c r="A324" s="410">
        <v>5462</v>
      </c>
      <c r="B324" s="407"/>
      <c r="C324" s="408"/>
      <c r="D324" s="410" t="s">
        <v>1902</v>
      </c>
      <c r="E324" s="410" t="s">
        <v>1409</v>
      </c>
      <c r="F324" s="410" t="s">
        <v>1479</v>
      </c>
      <c r="G324" s="68" t="str">
        <f t="shared" si="26"/>
        <v>SINGLE</v>
      </c>
      <c r="H324" s="197">
        <f t="shared" si="25"/>
        <v>11</v>
      </c>
      <c r="I324" s="408">
        <f t="shared" si="28"/>
        <v>3</v>
      </c>
      <c r="J324" s="408">
        <f t="shared" si="29"/>
        <v>14</v>
      </c>
      <c r="K324" s="411">
        <v>45730</v>
      </c>
      <c r="L324" s="408"/>
      <c r="M324" s="408"/>
      <c r="N324" s="3" t="str">
        <f t="shared" si="27"/>
        <v/>
      </c>
      <c r="O324" s="408"/>
      <c r="P324" s="408"/>
      <c r="Q324" s="408"/>
      <c r="R324" s="408"/>
      <c r="S324" s="408"/>
      <c r="T324" s="408"/>
      <c r="U324" s="408"/>
      <c r="V324" s="421"/>
      <c r="W324" s="421"/>
      <c r="X324" s="421"/>
      <c r="Y324" s="421"/>
      <c r="Z324" s="421"/>
      <c r="AA324" s="421"/>
      <c r="AB324" s="421"/>
      <c r="AC324" s="421"/>
      <c r="AD324" s="421"/>
      <c r="AE324" s="421"/>
      <c r="AF324" s="421"/>
      <c r="AG324" s="421"/>
      <c r="AH324" s="421"/>
      <c r="AI324" s="421"/>
      <c r="AJ324" s="421"/>
      <c r="AK324" s="421"/>
      <c r="AL324" s="421"/>
    </row>
    <row r="325" spans="1:38">
      <c r="A325" s="410">
        <v>5517</v>
      </c>
      <c r="B325" s="407"/>
      <c r="C325" s="408"/>
      <c r="D325" s="410" t="s">
        <v>1903</v>
      </c>
      <c r="E325" s="410" t="s">
        <v>1405</v>
      </c>
      <c r="F325" s="410" t="s">
        <v>1478</v>
      </c>
      <c r="G325" s="68" t="str">
        <f t="shared" si="26"/>
        <v>DUAL</v>
      </c>
      <c r="H325" s="197">
        <f t="shared" si="25"/>
        <v>11</v>
      </c>
      <c r="I325" s="408">
        <f t="shared" si="28"/>
        <v>3</v>
      </c>
      <c r="J325" s="408">
        <f t="shared" si="29"/>
        <v>14</v>
      </c>
      <c r="K325" s="411">
        <v>45730</v>
      </c>
      <c r="L325" s="408"/>
      <c r="M325" s="408"/>
      <c r="N325" s="3" t="str">
        <f t="shared" si="27"/>
        <v/>
      </c>
      <c r="O325" s="408"/>
      <c r="P325" s="408"/>
      <c r="Q325" s="408"/>
      <c r="R325" s="408"/>
      <c r="S325" s="408"/>
      <c r="T325" s="408"/>
      <c r="U325" s="408"/>
      <c r="V325" s="421"/>
      <c r="W325" s="421"/>
      <c r="X325" s="421"/>
      <c r="Y325" s="421"/>
      <c r="Z325" s="421"/>
      <c r="AA325" s="421"/>
      <c r="AB325" s="421"/>
      <c r="AC325" s="421"/>
      <c r="AD325" s="421"/>
      <c r="AE325" s="421"/>
      <c r="AF325" s="421"/>
      <c r="AG325" s="421"/>
      <c r="AH325" s="421"/>
      <c r="AI325" s="421"/>
      <c r="AJ325" s="421"/>
      <c r="AK325" s="421"/>
      <c r="AL325" s="421"/>
    </row>
    <row r="326" spans="1:38">
      <c r="A326" s="410">
        <v>5494</v>
      </c>
      <c r="B326" s="407"/>
      <c r="C326" s="408"/>
      <c r="D326" s="410" t="s">
        <v>1904</v>
      </c>
      <c r="E326" s="410" t="s">
        <v>1405</v>
      </c>
      <c r="F326" s="410" t="s">
        <v>1581</v>
      </c>
      <c r="G326" s="68" t="str">
        <f t="shared" si="26"/>
        <v>DUAL</v>
      </c>
      <c r="H326" s="197">
        <f t="shared" si="25"/>
        <v>12</v>
      </c>
      <c r="I326" s="408">
        <f t="shared" si="28"/>
        <v>3</v>
      </c>
      <c r="J326" s="408">
        <f t="shared" si="29"/>
        <v>17</v>
      </c>
      <c r="K326" s="411">
        <v>45733</v>
      </c>
      <c r="L326" s="408"/>
      <c r="M326" s="408"/>
      <c r="N326" s="3" t="str">
        <f t="shared" si="27"/>
        <v/>
      </c>
      <c r="O326" s="408"/>
      <c r="P326" s="408"/>
      <c r="Q326" s="408"/>
      <c r="R326" s="408"/>
      <c r="S326" s="408"/>
      <c r="T326" s="408"/>
      <c r="U326" s="408"/>
      <c r="V326" s="421"/>
      <c r="W326" s="421"/>
      <c r="X326" s="421"/>
      <c r="Y326" s="421"/>
      <c r="Z326" s="421"/>
      <c r="AA326" s="421"/>
      <c r="AB326" s="421"/>
      <c r="AC326" s="421"/>
      <c r="AD326" s="421"/>
      <c r="AE326" s="421"/>
      <c r="AF326" s="421"/>
      <c r="AG326" s="421"/>
      <c r="AH326" s="421"/>
      <c r="AI326" s="421"/>
      <c r="AJ326" s="421"/>
      <c r="AK326" s="421"/>
      <c r="AL326" s="421"/>
    </row>
    <row r="327" spans="1:38">
      <c r="A327" s="410">
        <v>5486</v>
      </c>
      <c r="B327" s="407"/>
      <c r="C327" s="408"/>
      <c r="D327" s="410" t="s">
        <v>1905</v>
      </c>
      <c r="E327" s="410" t="s">
        <v>1424</v>
      </c>
      <c r="F327" s="410" t="s">
        <v>1476</v>
      </c>
      <c r="G327" s="68" t="str">
        <f t="shared" si="26"/>
        <v>DUAL</v>
      </c>
      <c r="H327" s="197">
        <f t="shared" si="25"/>
        <v>12</v>
      </c>
      <c r="I327" s="408">
        <f t="shared" si="28"/>
        <v>3</v>
      </c>
      <c r="J327" s="408">
        <f t="shared" si="29"/>
        <v>17</v>
      </c>
      <c r="K327" s="411">
        <v>45733</v>
      </c>
      <c r="L327" s="408"/>
      <c r="M327" s="408"/>
      <c r="N327" s="3" t="str">
        <f t="shared" si="27"/>
        <v/>
      </c>
      <c r="O327" s="408"/>
      <c r="P327" s="408"/>
      <c r="Q327" s="408"/>
      <c r="R327" s="408"/>
      <c r="S327" s="408"/>
      <c r="T327" s="408"/>
      <c r="U327" s="408"/>
      <c r="V327" s="421"/>
      <c r="W327" s="421"/>
      <c r="X327" s="421"/>
      <c r="Y327" s="421"/>
      <c r="Z327" s="421"/>
      <c r="AA327" s="421"/>
      <c r="AB327" s="421"/>
      <c r="AC327" s="421"/>
      <c r="AD327" s="421"/>
      <c r="AE327" s="421"/>
      <c r="AF327" s="421"/>
      <c r="AG327" s="421"/>
      <c r="AH327" s="421"/>
      <c r="AI327" s="421"/>
      <c r="AJ327" s="421"/>
      <c r="AK327" s="421"/>
      <c r="AL327" s="421"/>
    </row>
    <row r="328" spans="1:38">
      <c r="A328" s="410">
        <v>5527</v>
      </c>
      <c r="B328" s="407"/>
      <c r="C328" s="408"/>
      <c r="D328" s="410" t="s">
        <v>1906</v>
      </c>
      <c r="E328" s="410" t="s">
        <v>1585</v>
      </c>
      <c r="F328" s="410" t="s">
        <v>1476</v>
      </c>
      <c r="G328" s="68" t="str">
        <f t="shared" si="26"/>
        <v>DUAL</v>
      </c>
      <c r="H328" s="197">
        <f t="shared" si="25"/>
        <v>12</v>
      </c>
      <c r="I328" s="408">
        <f t="shared" si="28"/>
        <v>3</v>
      </c>
      <c r="J328" s="408">
        <f t="shared" si="29"/>
        <v>17</v>
      </c>
      <c r="K328" s="411">
        <v>45733</v>
      </c>
      <c r="L328" s="408"/>
      <c r="M328" s="408"/>
      <c r="N328" s="3" t="str">
        <f t="shared" si="27"/>
        <v/>
      </c>
      <c r="O328" s="408"/>
      <c r="P328" s="408"/>
      <c r="Q328" s="408"/>
      <c r="R328" s="408"/>
      <c r="S328" s="408"/>
      <c r="T328" s="408"/>
      <c r="U328" s="408"/>
      <c r="V328" s="421"/>
      <c r="W328" s="421"/>
      <c r="X328" s="421"/>
      <c r="Y328" s="421"/>
      <c r="Z328" s="421"/>
      <c r="AA328" s="421"/>
      <c r="AB328" s="421"/>
      <c r="AC328" s="421"/>
      <c r="AD328" s="421"/>
      <c r="AE328" s="421"/>
      <c r="AF328" s="421"/>
      <c r="AG328" s="421"/>
      <c r="AH328" s="421"/>
      <c r="AI328" s="421"/>
      <c r="AJ328" s="421"/>
      <c r="AK328" s="421"/>
      <c r="AL328" s="421"/>
    </row>
    <row r="329" spans="1:38">
      <c r="A329" s="410">
        <v>5527</v>
      </c>
      <c r="B329" s="407"/>
      <c r="C329" s="408"/>
      <c r="D329" s="410" t="s">
        <v>1907</v>
      </c>
      <c r="E329" s="410" t="s">
        <v>1585</v>
      </c>
      <c r="F329" s="410" t="s">
        <v>1476</v>
      </c>
      <c r="G329" s="68" t="str">
        <f t="shared" si="26"/>
        <v>DUAL</v>
      </c>
      <c r="H329" s="197">
        <f t="shared" si="25"/>
        <v>12</v>
      </c>
      <c r="I329" s="408">
        <f t="shared" si="28"/>
        <v>3</v>
      </c>
      <c r="J329" s="408">
        <f t="shared" si="29"/>
        <v>17</v>
      </c>
      <c r="K329" s="411">
        <v>45733</v>
      </c>
      <c r="L329" s="408"/>
      <c r="M329" s="408"/>
      <c r="N329" s="3" t="str">
        <f t="shared" si="27"/>
        <v/>
      </c>
      <c r="O329" s="408"/>
      <c r="P329" s="408"/>
      <c r="Q329" s="408"/>
      <c r="R329" s="408"/>
      <c r="S329" s="408"/>
      <c r="T329" s="408"/>
      <c r="U329" s="408"/>
      <c r="V329" s="421"/>
      <c r="W329" s="421"/>
      <c r="X329" s="421"/>
      <c r="Y329" s="421"/>
      <c r="Z329" s="421"/>
      <c r="AA329" s="421"/>
      <c r="AB329" s="421"/>
      <c r="AC329" s="421"/>
      <c r="AD329" s="421"/>
      <c r="AE329" s="421"/>
      <c r="AF329" s="421"/>
      <c r="AG329" s="421"/>
      <c r="AH329" s="421"/>
      <c r="AI329" s="421"/>
      <c r="AJ329" s="421"/>
      <c r="AK329" s="421"/>
      <c r="AL329" s="421"/>
    </row>
    <row r="330" spans="1:38">
      <c r="A330" s="410">
        <v>5527</v>
      </c>
      <c r="B330" s="407"/>
      <c r="C330" s="408"/>
      <c r="D330" s="410" t="s">
        <v>1908</v>
      </c>
      <c r="E330" s="410" t="s">
        <v>1585</v>
      </c>
      <c r="F330" s="410" t="s">
        <v>1476</v>
      </c>
      <c r="G330" s="68" t="str">
        <f t="shared" si="26"/>
        <v>DUAL</v>
      </c>
      <c r="H330" s="197">
        <f t="shared" si="25"/>
        <v>12</v>
      </c>
      <c r="I330" s="408">
        <f t="shared" si="28"/>
        <v>3</v>
      </c>
      <c r="J330" s="408">
        <f t="shared" si="29"/>
        <v>17</v>
      </c>
      <c r="K330" s="411">
        <v>45733</v>
      </c>
      <c r="L330" s="408"/>
      <c r="M330" s="408"/>
      <c r="N330" s="3" t="str">
        <f t="shared" si="27"/>
        <v/>
      </c>
      <c r="O330" s="408"/>
      <c r="P330" s="408"/>
      <c r="Q330" s="408"/>
      <c r="R330" s="408"/>
      <c r="S330" s="408"/>
      <c r="T330" s="408"/>
      <c r="U330" s="408"/>
      <c r="V330" s="421"/>
      <c r="W330" s="421"/>
      <c r="X330" s="421"/>
      <c r="Y330" s="421"/>
      <c r="Z330" s="421"/>
      <c r="AA330" s="421"/>
      <c r="AB330" s="421"/>
      <c r="AC330" s="421"/>
      <c r="AD330" s="421"/>
      <c r="AE330" s="421"/>
      <c r="AF330" s="421"/>
      <c r="AG330" s="421"/>
      <c r="AH330" s="421"/>
      <c r="AI330" s="421"/>
      <c r="AJ330" s="421"/>
      <c r="AK330" s="421"/>
      <c r="AL330" s="421"/>
    </row>
    <row r="331" spans="1:38">
      <c r="A331" s="410">
        <v>5446</v>
      </c>
      <c r="B331" s="407"/>
      <c r="C331" s="408"/>
      <c r="D331" s="410" t="s">
        <v>1909</v>
      </c>
      <c r="E331" s="410" t="s">
        <v>1585</v>
      </c>
      <c r="F331" s="410" t="s">
        <v>1482</v>
      </c>
      <c r="G331" s="68" t="str">
        <f t="shared" si="26"/>
        <v>SINGLE</v>
      </c>
      <c r="H331" s="197">
        <f t="shared" si="25"/>
        <v>12</v>
      </c>
      <c r="I331" s="408">
        <f t="shared" si="28"/>
        <v>3</v>
      </c>
      <c r="J331" s="408">
        <f t="shared" si="29"/>
        <v>18</v>
      </c>
      <c r="K331" s="411">
        <v>45734</v>
      </c>
      <c r="L331" s="408"/>
      <c r="M331" s="408"/>
      <c r="N331" s="3" t="str">
        <f t="shared" si="27"/>
        <v/>
      </c>
      <c r="O331" s="408"/>
      <c r="P331" s="408"/>
      <c r="Q331" s="408"/>
      <c r="R331" s="408"/>
      <c r="S331" s="408"/>
      <c r="T331" s="408"/>
      <c r="U331" s="408"/>
      <c r="V331" s="421"/>
      <c r="W331" s="421"/>
      <c r="X331" s="421"/>
      <c r="Y331" s="421"/>
      <c r="Z331" s="421"/>
      <c r="AA331" s="421"/>
      <c r="AB331" s="421"/>
      <c r="AC331" s="421"/>
      <c r="AD331" s="421"/>
      <c r="AE331" s="421"/>
      <c r="AF331" s="421"/>
      <c r="AG331" s="421"/>
      <c r="AH331" s="421"/>
      <c r="AI331" s="421"/>
      <c r="AJ331" s="421"/>
      <c r="AK331" s="421"/>
      <c r="AL331" s="421"/>
    </row>
    <row r="332" spans="1:38">
      <c r="A332" s="410">
        <v>5514</v>
      </c>
      <c r="B332" s="407"/>
      <c r="C332" s="408"/>
      <c r="D332" s="410" t="s">
        <v>1910</v>
      </c>
      <c r="E332" s="410" t="s">
        <v>1831</v>
      </c>
      <c r="F332" s="410" t="s">
        <v>1911</v>
      </c>
      <c r="G332" s="68" t="str">
        <f t="shared" si="26"/>
        <v>DUAL</v>
      </c>
      <c r="H332" s="197">
        <f t="shared" si="25"/>
        <v>12</v>
      </c>
      <c r="I332" s="408">
        <f t="shared" si="28"/>
        <v>3</v>
      </c>
      <c r="J332" s="408">
        <f t="shared" si="29"/>
        <v>18</v>
      </c>
      <c r="K332" s="411">
        <v>45734</v>
      </c>
      <c r="L332" s="408"/>
      <c r="M332" s="408"/>
      <c r="N332" s="3" t="str">
        <f t="shared" si="27"/>
        <v/>
      </c>
      <c r="O332" s="408"/>
      <c r="P332" s="408"/>
      <c r="Q332" s="408"/>
      <c r="R332" s="408"/>
      <c r="S332" s="408"/>
      <c r="T332" s="408"/>
      <c r="U332" s="408"/>
      <c r="V332" s="421"/>
      <c r="W332" s="421"/>
      <c r="X332" s="421"/>
      <c r="Y332" s="421"/>
      <c r="Z332" s="421"/>
      <c r="AA332" s="421"/>
      <c r="AB332" s="421"/>
      <c r="AC332" s="421"/>
      <c r="AD332" s="421"/>
      <c r="AE332" s="421"/>
      <c r="AF332" s="421"/>
      <c r="AG332" s="421"/>
      <c r="AH332" s="421"/>
      <c r="AI332" s="421"/>
      <c r="AJ332" s="421"/>
      <c r="AK332" s="421"/>
      <c r="AL332" s="421"/>
    </row>
    <row r="333" spans="1:38">
      <c r="A333" s="410">
        <v>5514</v>
      </c>
      <c r="B333" s="407"/>
      <c r="C333" s="408"/>
      <c r="D333" s="410" t="s">
        <v>1912</v>
      </c>
      <c r="E333" s="410" t="s">
        <v>1831</v>
      </c>
      <c r="F333" s="410" t="s">
        <v>1911</v>
      </c>
      <c r="G333" s="68" t="str">
        <f t="shared" si="26"/>
        <v>DUAL</v>
      </c>
      <c r="H333" s="197">
        <f t="shared" si="25"/>
        <v>12</v>
      </c>
      <c r="I333" s="408">
        <f t="shared" si="28"/>
        <v>3</v>
      </c>
      <c r="J333" s="408">
        <f t="shared" si="29"/>
        <v>18</v>
      </c>
      <c r="K333" s="411">
        <v>45734</v>
      </c>
      <c r="L333" s="408"/>
      <c r="M333" s="408"/>
      <c r="N333" s="3" t="str">
        <f t="shared" si="27"/>
        <v/>
      </c>
      <c r="O333" s="408"/>
      <c r="P333" s="408"/>
      <c r="Q333" s="408"/>
      <c r="R333" s="408"/>
      <c r="S333" s="408"/>
      <c r="T333" s="408"/>
      <c r="U333" s="408"/>
      <c r="V333" s="421"/>
      <c r="W333" s="421"/>
      <c r="X333" s="421"/>
      <c r="Y333" s="421"/>
      <c r="Z333" s="421"/>
      <c r="AA333" s="421"/>
      <c r="AB333" s="421"/>
      <c r="AC333" s="421"/>
      <c r="AD333" s="421"/>
      <c r="AE333" s="421"/>
      <c r="AF333" s="421"/>
      <c r="AG333" s="421"/>
      <c r="AH333" s="421"/>
      <c r="AI333" s="421"/>
      <c r="AJ333" s="421"/>
      <c r="AK333" s="421"/>
      <c r="AL333" s="421"/>
    </row>
    <row r="334" spans="1:38">
      <c r="A334" s="410">
        <v>5462</v>
      </c>
      <c r="B334" s="407"/>
      <c r="C334" s="408"/>
      <c r="D334" s="410" t="s">
        <v>1913</v>
      </c>
      <c r="E334" s="410" t="s">
        <v>1409</v>
      </c>
      <c r="F334" s="410" t="s">
        <v>1479</v>
      </c>
      <c r="G334" s="68" t="str">
        <f t="shared" si="26"/>
        <v>SINGLE</v>
      </c>
      <c r="H334" s="197">
        <f t="shared" si="25"/>
        <v>12</v>
      </c>
      <c r="I334" s="408">
        <f t="shared" si="28"/>
        <v>3</v>
      </c>
      <c r="J334" s="408">
        <f t="shared" si="29"/>
        <v>18</v>
      </c>
      <c r="K334" s="411">
        <v>45734</v>
      </c>
      <c r="L334" s="408"/>
      <c r="M334" s="408"/>
      <c r="N334" s="3" t="str">
        <f t="shared" si="27"/>
        <v/>
      </c>
      <c r="O334" s="408"/>
      <c r="P334" s="408"/>
      <c r="Q334" s="408"/>
      <c r="R334" s="408"/>
      <c r="S334" s="408"/>
      <c r="T334" s="408"/>
      <c r="U334" s="408"/>
      <c r="V334" s="421"/>
      <c r="W334" s="421"/>
      <c r="X334" s="421"/>
      <c r="Y334" s="421"/>
      <c r="Z334" s="421"/>
      <c r="AA334" s="421"/>
      <c r="AB334" s="421"/>
      <c r="AC334" s="421"/>
      <c r="AD334" s="421"/>
      <c r="AE334" s="421"/>
      <c r="AF334" s="421"/>
      <c r="AG334" s="421"/>
      <c r="AH334" s="421"/>
      <c r="AI334" s="421"/>
      <c r="AJ334" s="421"/>
      <c r="AK334" s="421"/>
      <c r="AL334" s="421"/>
    </row>
    <row r="335" spans="1:38">
      <c r="A335" s="410">
        <v>5462</v>
      </c>
      <c r="B335" s="407"/>
      <c r="C335" s="408"/>
      <c r="D335" s="410" t="s">
        <v>1914</v>
      </c>
      <c r="E335" s="410" t="s">
        <v>1409</v>
      </c>
      <c r="F335" s="410" t="s">
        <v>1479</v>
      </c>
      <c r="G335" s="68" t="str">
        <f t="shared" si="26"/>
        <v>SINGLE</v>
      </c>
      <c r="H335" s="197">
        <f t="shared" si="25"/>
        <v>12</v>
      </c>
      <c r="I335" s="408">
        <f t="shared" si="28"/>
        <v>3</v>
      </c>
      <c r="J335" s="408">
        <f t="shared" si="29"/>
        <v>18</v>
      </c>
      <c r="K335" s="411">
        <v>45734</v>
      </c>
      <c r="L335" s="408"/>
      <c r="M335" s="408"/>
      <c r="N335" s="3" t="str">
        <f t="shared" si="27"/>
        <v/>
      </c>
      <c r="O335" s="408"/>
      <c r="P335" s="408"/>
      <c r="Q335" s="408"/>
      <c r="R335" s="408"/>
      <c r="S335" s="408"/>
      <c r="T335" s="408"/>
      <c r="U335" s="408"/>
      <c r="V335" s="421"/>
      <c r="W335" s="421"/>
      <c r="X335" s="421"/>
      <c r="Y335" s="421"/>
      <c r="Z335" s="421"/>
      <c r="AA335" s="421"/>
      <c r="AB335" s="421"/>
      <c r="AC335" s="421"/>
      <c r="AD335" s="421"/>
      <c r="AE335" s="421"/>
      <c r="AF335" s="421"/>
      <c r="AG335" s="421"/>
      <c r="AH335" s="421"/>
      <c r="AI335" s="421"/>
      <c r="AJ335" s="421"/>
      <c r="AK335" s="421"/>
      <c r="AL335" s="421"/>
    </row>
    <row r="336" spans="1:38">
      <c r="A336" s="410">
        <v>5516</v>
      </c>
      <c r="B336" s="407"/>
      <c r="C336" s="408"/>
      <c r="D336" s="410" t="s">
        <v>1915</v>
      </c>
      <c r="E336" s="410" t="s">
        <v>1429</v>
      </c>
      <c r="F336" s="410" t="s">
        <v>1476</v>
      </c>
      <c r="G336" s="68" t="str">
        <f t="shared" si="26"/>
        <v>DUAL</v>
      </c>
      <c r="H336" s="197">
        <f t="shared" si="25"/>
        <v>12</v>
      </c>
      <c r="I336" s="408">
        <f t="shared" si="28"/>
        <v>3</v>
      </c>
      <c r="J336" s="408">
        <f t="shared" si="29"/>
        <v>18</v>
      </c>
      <c r="K336" s="411">
        <v>45734</v>
      </c>
      <c r="L336" s="408"/>
      <c r="M336" s="408"/>
      <c r="N336" s="3" t="str">
        <f t="shared" si="27"/>
        <v/>
      </c>
      <c r="O336" s="408"/>
      <c r="P336" s="408"/>
      <c r="Q336" s="408"/>
      <c r="R336" s="408"/>
      <c r="S336" s="408"/>
      <c r="T336" s="408"/>
      <c r="U336" s="408"/>
      <c r="V336" s="421"/>
      <c r="W336" s="421"/>
      <c r="X336" s="421"/>
      <c r="Y336" s="421"/>
      <c r="Z336" s="421"/>
      <c r="AA336" s="421"/>
      <c r="AB336" s="421"/>
      <c r="AC336" s="421"/>
      <c r="AD336" s="421"/>
      <c r="AE336" s="421"/>
      <c r="AF336" s="421"/>
      <c r="AG336" s="421"/>
      <c r="AH336" s="421"/>
      <c r="AI336" s="421"/>
      <c r="AJ336" s="421"/>
      <c r="AK336" s="421"/>
      <c r="AL336" s="421"/>
    </row>
    <row r="337" spans="1:38">
      <c r="A337" s="410">
        <v>5526</v>
      </c>
      <c r="B337" s="407"/>
      <c r="C337" s="408"/>
      <c r="D337" s="410" t="s">
        <v>1916</v>
      </c>
      <c r="E337" s="410" t="s">
        <v>1585</v>
      </c>
      <c r="F337" s="410" t="s">
        <v>1591</v>
      </c>
      <c r="G337" s="68" t="str">
        <f t="shared" si="26"/>
        <v>SINGLE</v>
      </c>
      <c r="H337" s="197">
        <f t="shared" si="25"/>
        <v>12</v>
      </c>
      <c r="I337" s="408">
        <f t="shared" si="28"/>
        <v>3</v>
      </c>
      <c r="J337" s="408">
        <f t="shared" si="29"/>
        <v>18</v>
      </c>
      <c r="K337" s="411">
        <v>45734</v>
      </c>
      <c r="L337" s="408"/>
      <c r="M337" s="408"/>
      <c r="N337" s="3" t="str">
        <f t="shared" si="27"/>
        <v/>
      </c>
      <c r="O337" s="408"/>
      <c r="P337" s="408"/>
      <c r="Q337" s="408"/>
      <c r="R337" s="408"/>
      <c r="S337" s="408"/>
      <c r="T337" s="408"/>
      <c r="U337" s="408"/>
      <c r="V337" s="421"/>
      <c r="W337" s="421"/>
      <c r="X337" s="421"/>
      <c r="Y337" s="421"/>
      <c r="Z337" s="421"/>
      <c r="AA337" s="421"/>
      <c r="AB337" s="421"/>
      <c r="AC337" s="421"/>
      <c r="AD337" s="421"/>
      <c r="AE337" s="421"/>
      <c r="AF337" s="421"/>
      <c r="AG337" s="421"/>
      <c r="AH337" s="421"/>
      <c r="AI337" s="421"/>
      <c r="AJ337" s="421"/>
      <c r="AK337" s="421"/>
      <c r="AL337" s="421"/>
    </row>
    <row r="338" spans="1:38">
      <c r="A338" s="410">
        <v>5526</v>
      </c>
      <c r="B338" s="407"/>
      <c r="C338" s="408"/>
      <c r="D338" s="410" t="s">
        <v>1917</v>
      </c>
      <c r="E338" s="410" t="s">
        <v>1585</v>
      </c>
      <c r="F338" s="410" t="s">
        <v>1591</v>
      </c>
      <c r="G338" s="68" t="str">
        <f t="shared" si="26"/>
        <v>SINGLE</v>
      </c>
      <c r="H338" s="197">
        <f t="shared" si="25"/>
        <v>12</v>
      </c>
      <c r="I338" s="408">
        <f t="shared" si="28"/>
        <v>3</v>
      </c>
      <c r="J338" s="408">
        <f t="shared" si="29"/>
        <v>18</v>
      </c>
      <c r="K338" s="411">
        <v>45734</v>
      </c>
      <c r="L338" s="408"/>
      <c r="M338" s="408"/>
      <c r="N338" s="3" t="str">
        <f t="shared" si="27"/>
        <v/>
      </c>
      <c r="O338" s="408"/>
      <c r="P338" s="408"/>
      <c r="Q338" s="408"/>
      <c r="R338" s="408"/>
      <c r="S338" s="408"/>
      <c r="T338" s="408"/>
      <c r="U338" s="408"/>
      <c r="V338" s="421"/>
      <c r="W338" s="421"/>
      <c r="X338" s="421"/>
      <c r="Y338" s="421"/>
      <c r="Z338" s="421"/>
      <c r="AA338" s="421"/>
      <c r="AB338" s="421"/>
      <c r="AC338" s="421"/>
      <c r="AD338" s="421"/>
      <c r="AE338" s="421"/>
      <c r="AF338" s="421"/>
      <c r="AG338" s="421"/>
      <c r="AH338" s="421"/>
      <c r="AI338" s="421"/>
      <c r="AJ338" s="421"/>
      <c r="AK338" s="421"/>
      <c r="AL338" s="421"/>
    </row>
    <row r="339" spans="1:38">
      <c r="A339" s="410">
        <v>5355</v>
      </c>
      <c r="B339" s="407"/>
      <c r="C339" s="408"/>
      <c r="D339" s="410" t="s">
        <v>1918</v>
      </c>
      <c r="E339" s="410" t="s">
        <v>1585</v>
      </c>
      <c r="F339" s="410" t="s">
        <v>1476</v>
      </c>
      <c r="G339" s="68" t="str">
        <f t="shared" si="26"/>
        <v>DUAL</v>
      </c>
      <c r="H339" s="197">
        <f t="shared" si="25"/>
        <v>12</v>
      </c>
      <c r="I339" s="408">
        <f t="shared" si="28"/>
        <v>3</v>
      </c>
      <c r="J339" s="408">
        <f t="shared" si="29"/>
        <v>18</v>
      </c>
      <c r="K339" s="411">
        <v>45734</v>
      </c>
      <c r="L339" s="408"/>
      <c r="M339" s="408"/>
      <c r="N339" s="3" t="str">
        <f t="shared" si="27"/>
        <v/>
      </c>
      <c r="O339" s="408"/>
      <c r="P339" s="408"/>
      <c r="Q339" s="408"/>
      <c r="R339" s="408"/>
      <c r="S339" s="408"/>
      <c r="T339" s="408"/>
      <c r="U339" s="408"/>
      <c r="V339" s="421"/>
      <c r="W339" s="421"/>
      <c r="X339" s="421"/>
      <c r="Y339" s="421"/>
      <c r="Z339" s="421"/>
      <c r="AA339" s="421"/>
      <c r="AB339" s="421"/>
      <c r="AC339" s="421"/>
      <c r="AD339" s="421"/>
      <c r="AE339" s="421"/>
      <c r="AF339" s="421"/>
      <c r="AG339" s="421"/>
      <c r="AH339" s="421"/>
      <c r="AI339" s="421"/>
      <c r="AJ339" s="421"/>
      <c r="AK339" s="421"/>
      <c r="AL339" s="421"/>
    </row>
    <row r="340" spans="1:38">
      <c r="A340" s="410">
        <v>5462</v>
      </c>
      <c r="B340" s="407"/>
      <c r="C340" s="408"/>
      <c r="D340" s="410" t="s">
        <v>1919</v>
      </c>
      <c r="E340" s="410" t="s">
        <v>1409</v>
      </c>
      <c r="F340" s="410" t="s">
        <v>1479</v>
      </c>
      <c r="G340" s="68" t="str">
        <f t="shared" si="26"/>
        <v>SINGLE</v>
      </c>
      <c r="H340" s="197">
        <f t="shared" si="25"/>
        <v>12</v>
      </c>
      <c r="I340" s="408">
        <f t="shared" si="28"/>
        <v>3</v>
      </c>
      <c r="J340" s="408">
        <f t="shared" si="29"/>
        <v>19</v>
      </c>
      <c r="K340" s="411">
        <v>45735</v>
      </c>
      <c r="L340" s="408"/>
      <c r="M340" s="408"/>
      <c r="N340" s="3" t="str">
        <f t="shared" si="27"/>
        <v/>
      </c>
      <c r="O340" s="408"/>
      <c r="P340" s="408"/>
      <c r="Q340" s="408"/>
      <c r="R340" s="408"/>
      <c r="S340" s="408"/>
      <c r="T340" s="408"/>
      <c r="U340" s="408"/>
      <c r="V340" s="421"/>
      <c r="W340" s="421"/>
      <c r="X340" s="421"/>
      <c r="Y340" s="421"/>
      <c r="Z340" s="421"/>
      <c r="AA340" s="421"/>
      <c r="AB340" s="421"/>
      <c r="AC340" s="421"/>
      <c r="AD340" s="421"/>
      <c r="AE340" s="421"/>
      <c r="AF340" s="421"/>
      <c r="AG340" s="421"/>
      <c r="AH340" s="421"/>
      <c r="AI340" s="421"/>
      <c r="AJ340" s="421"/>
      <c r="AK340" s="421"/>
      <c r="AL340" s="421"/>
    </row>
    <row r="341" spans="1:38">
      <c r="A341" s="410">
        <v>5499</v>
      </c>
      <c r="B341" s="407"/>
      <c r="C341" s="408"/>
      <c r="D341" s="410" t="s">
        <v>1920</v>
      </c>
      <c r="E341" s="410" t="s">
        <v>1405</v>
      </c>
      <c r="F341" s="410" t="s">
        <v>1591</v>
      </c>
      <c r="G341" s="68" t="str">
        <f t="shared" si="26"/>
        <v>SINGLE</v>
      </c>
      <c r="H341" s="197">
        <f t="shared" si="25"/>
        <v>12</v>
      </c>
      <c r="I341" s="408">
        <f t="shared" si="28"/>
        <v>3</v>
      </c>
      <c r="J341" s="408">
        <f t="shared" si="29"/>
        <v>19</v>
      </c>
      <c r="K341" s="411">
        <v>45735</v>
      </c>
      <c r="L341" s="408"/>
      <c r="M341" s="408"/>
      <c r="N341" s="3" t="str">
        <f t="shared" si="27"/>
        <v/>
      </c>
      <c r="O341" s="408"/>
      <c r="P341" s="408"/>
      <c r="Q341" s="408"/>
      <c r="R341" s="408"/>
      <c r="S341" s="408"/>
      <c r="T341" s="408"/>
      <c r="U341" s="408"/>
      <c r="V341" s="421"/>
      <c r="W341" s="421"/>
      <c r="X341" s="421"/>
      <c r="Y341" s="421"/>
      <c r="Z341" s="421"/>
      <c r="AA341" s="421"/>
      <c r="AB341" s="421"/>
      <c r="AC341" s="421"/>
      <c r="AD341" s="421"/>
      <c r="AE341" s="421"/>
      <c r="AF341" s="421"/>
      <c r="AG341" s="421"/>
      <c r="AH341" s="421"/>
      <c r="AI341" s="421"/>
      <c r="AJ341" s="421"/>
      <c r="AK341" s="421"/>
      <c r="AL341" s="421"/>
    </row>
    <row r="342" spans="1:38">
      <c r="A342" s="410">
        <v>5499</v>
      </c>
      <c r="B342" s="407"/>
      <c r="C342" s="408"/>
      <c r="D342" s="410" t="s">
        <v>1921</v>
      </c>
      <c r="E342" s="410" t="s">
        <v>1405</v>
      </c>
      <c r="F342" s="410" t="s">
        <v>1591</v>
      </c>
      <c r="G342" s="68" t="str">
        <f t="shared" si="26"/>
        <v>SINGLE</v>
      </c>
      <c r="H342" s="197">
        <f t="shared" si="25"/>
        <v>12</v>
      </c>
      <c r="I342" s="408">
        <f t="shared" si="28"/>
        <v>3</v>
      </c>
      <c r="J342" s="408">
        <f t="shared" si="29"/>
        <v>19</v>
      </c>
      <c r="K342" s="411">
        <v>45735</v>
      </c>
      <c r="L342" s="408"/>
      <c r="M342" s="408"/>
      <c r="N342" s="3" t="str">
        <f t="shared" si="27"/>
        <v/>
      </c>
      <c r="O342" s="408"/>
      <c r="P342" s="408"/>
      <c r="Q342" s="408"/>
      <c r="R342" s="408"/>
      <c r="S342" s="408"/>
      <c r="T342" s="408"/>
      <c r="U342" s="408"/>
      <c r="V342" s="421"/>
      <c r="W342" s="421"/>
      <c r="X342" s="421"/>
      <c r="Y342" s="421"/>
      <c r="Z342" s="421"/>
      <c r="AA342" s="421"/>
      <c r="AB342" s="421"/>
      <c r="AC342" s="421"/>
      <c r="AD342" s="421"/>
      <c r="AE342" s="421"/>
      <c r="AF342" s="421"/>
      <c r="AG342" s="421"/>
      <c r="AH342" s="421"/>
      <c r="AI342" s="421"/>
      <c r="AJ342" s="421"/>
      <c r="AK342" s="421"/>
      <c r="AL342" s="421"/>
    </row>
    <row r="343" spans="1:38">
      <c r="A343" s="410">
        <v>5528</v>
      </c>
      <c r="B343" s="407"/>
      <c r="C343" s="408"/>
      <c r="D343" s="410" t="s">
        <v>1922</v>
      </c>
      <c r="E343" s="410" t="s">
        <v>1426</v>
      </c>
      <c r="F343" s="410" t="s">
        <v>1476</v>
      </c>
      <c r="G343" s="68" t="str">
        <f t="shared" si="26"/>
        <v>DUAL</v>
      </c>
      <c r="H343" s="197">
        <f t="shared" si="25"/>
        <v>12</v>
      </c>
      <c r="I343" s="408">
        <f t="shared" si="28"/>
        <v>3</v>
      </c>
      <c r="J343" s="408">
        <f t="shared" si="29"/>
        <v>19</v>
      </c>
      <c r="K343" s="411">
        <v>45735</v>
      </c>
      <c r="L343" s="408"/>
      <c r="M343" s="408"/>
      <c r="N343" s="3" t="str">
        <f t="shared" si="27"/>
        <v/>
      </c>
      <c r="O343" s="408"/>
      <c r="P343" s="408"/>
      <c r="Q343" s="408"/>
      <c r="R343" s="408"/>
      <c r="S343" s="408"/>
      <c r="T343" s="408"/>
      <c r="U343" s="408"/>
      <c r="V343" s="421"/>
      <c r="W343" s="421"/>
      <c r="X343" s="421"/>
      <c r="Y343" s="421"/>
      <c r="Z343" s="421"/>
      <c r="AA343" s="421"/>
      <c r="AB343" s="421"/>
      <c r="AC343" s="421"/>
      <c r="AD343" s="421"/>
      <c r="AE343" s="421"/>
      <c r="AF343" s="421"/>
      <c r="AG343" s="421"/>
      <c r="AH343" s="421"/>
      <c r="AI343" s="421"/>
      <c r="AJ343" s="421"/>
      <c r="AK343" s="421"/>
      <c r="AL343" s="421"/>
    </row>
    <row r="344" spans="1:38">
      <c r="A344" s="410">
        <v>5528</v>
      </c>
      <c r="B344" s="407"/>
      <c r="C344" s="408"/>
      <c r="D344" s="410" t="s">
        <v>1923</v>
      </c>
      <c r="E344" s="410" t="s">
        <v>1426</v>
      </c>
      <c r="F344" s="410" t="s">
        <v>1476</v>
      </c>
      <c r="G344" s="68" t="str">
        <f t="shared" si="26"/>
        <v>DUAL</v>
      </c>
      <c r="H344" s="197">
        <f t="shared" si="25"/>
        <v>12</v>
      </c>
      <c r="I344" s="408">
        <f t="shared" si="28"/>
        <v>3</v>
      </c>
      <c r="J344" s="408">
        <f t="shared" si="29"/>
        <v>19</v>
      </c>
      <c r="K344" s="411">
        <v>45735</v>
      </c>
      <c r="L344" s="408"/>
      <c r="M344" s="408"/>
      <c r="N344" s="3" t="str">
        <f t="shared" si="27"/>
        <v/>
      </c>
      <c r="O344" s="408"/>
      <c r="P344" s="408"/>
      <c r="Q344" s="408"/>
      <c r="R344" s="408"/>
      <c r="S344" s="408"/>
      <c r="T344" s="408"/>
      <c r="U344" s="408"/>
      <c r="V344" s="421"/>
      <c r="W344" s="421"/>
      <c r="X344" s="421"/>
      <c r="Y344" s="421"/>
      <c r="Z344" s="421"/>
      <c r="AA344" s="421"/>
      <c r="AB344" s="421"/>
      <c r="AC344" s="421"/>
      <c r="AD344" s="421"/>
      <c r="AE344" s="421"/>
      <c r="AF344" s="421"/>
      <c r="AG344" s="421"/>
      <c r="AH344" s="421"/>
      <c r="AI344" s="421"/>
      <c r="AJ344" s="421"/>
      <c r="AK344" s="421"/>
      <c r="AL344" s="421"/>
    </row>
    <row r="345" spans="1:38">
      <c r="A345" s="410">
        <v>5528</v>
      </c>
      <c r="B345" s="407"/>
      <c r="C345" s="408"/>
      <c r="D345" s="410" t="s">
        <v>1924</v>
      </c>
      <c r="E345" s="410" t="s">
        <v>1426</v>
      </c>
      <c r="F345" s="410" t="s">
        <v>1476</v>
      </c>
      <c r="G345" s="68" t="str">
        <f t="shared" si="26"/>
        <v>DUAL</v>
      </c>
      <c r="H345" s="197">
        <f t="shared" si="25"/>
        <v>12</v>
      </c>
      <c r="I345" s="408">
        <f t="shared" si="28"/>
        <v>3</v>
      </c>
      <c r="J345" s="408">
        <f t="shared" si="29"/>
        <v>19</v>
      </c>
      <c r="K345" s="411">
        <v>45735</v>
      </c>
      <c r="L345" s="408"/>
      <c r="M345" s="408"/>
      <c r="N345" s="3" t="str">
        <f t="shared" si="27"/>
        <v/>
      </c>
      <c r="O345" s="408"/>
      <c r="P345" s="408"/>
      <c r="Q345" s="408"/>
      <c r="R345" s="408"/>
      <c r="S345" s="408"/>
      <c r="T345" s="408"/>
      <c r="U345" s="408"/>
      <c r="V345" s="421"/>
      <c r="W345" s="421"/>
      <c r="X345" s="421"/>
      <c r="Y345" s="421"/>
      <c r="Z345" s="421"/>
      <c r="AA345" s="421"/>
      <c r="AB345" s="421"/>
      <c r="AC345" s="421"/>
      <c r="AD345" s="421"/>
      <c r="AE345" s="421"/>
      <c r="AF345" s="421"/>
      <c r="AG345" s="421"/>
      <c r="AH345" s="421"/>
      <c r="AI345" s="421"/>
      <c r="AJ345" s="421"/>
      <c r="AK345" s="421"/>
      <c r="AL345" s="421"/>
    </row>
    <row r="346" spans="1:38">
      <c r="A346" s="410">
        <v>5528</v>
      </c>
      <c r="B346" s="407"/>
      <c r="C346" s="408"/>
      <c r="D346" s="410" t="s">
        <v>1925</v>
      </c>
      <c r="E346" s="410" t="s">
        <v>1426</v>
      </c>
      <c r="F346" s="410" t="s">
        <v>1476</v>
      </c>
      <c r="G346" s="68" t="str">
        <f t="shared" si="26"/>
        <v>DUAL</v>
      </c>
      <c r="H346" s="197">
        <f t="shared" si="25"/>
        <v>12</v>
      </c>
      <c r="I346" s="408">
        <f t="shared" si="28"/>
        <v>3</v>
      </c>
      <c r="J346" s="408">
        <f t="shared" si="29"/>
        <v>19</v>
      </c>
      <c r="K346" s="411">
        <v>45735</v>
      </c>
      <c r="L346" s="408"/>
      <c r="M346" s="408"/>
      <c r="N346" s="3" t="str">
        <f t="shared" si="27"/>
        <v/>
      </c>
      <c r="O346" s="408"/>
      <c r="P346" s="408"/>
      <c r="Q346" s="408"/>
      <c r="R346" s="408"/>
      <c r="S346" s="408"/>
      <c r="T346" s="408"/>
      <c r="U346" s="408"/>
      <c r="V346" s="421"/>
      <c r="W346" s="421"/>
      <c r="X346" s="421"/>
      <c r="Y346" s="421"/>
      <c r="Z346" s="421"/>
      <c r="AA346" s="421"/>
      <c r="AB346" s="421"/>
      <c r="AC346" s="421"/>
      <c r="AD346" s="421"/>
      <c r="AE346" s="421"/>
      <c r="AF346" s="421"/>
      <c r="AG346" s="421"/>
      <c r="AH346" s="421"/>
      <c r="AI346" s="421"/>
      <c r="AJ346" s="421"/>
      <c r="AK346" s="421"/>
      <c r="AL346" s="421"/>
    </row>
    <row r="347" spans="1:38">
      <c r="A347" s="410">
        <v>5563</v>
      </c>
      <c r="B347" s="407"/>
      <c r="C347" s="408"/>
      <c r="D347" s="410" t="s">
        <v>1926</v>
      </c>
      <c r="E347" s="410" t="s">
        <v>1585</v>
      </c>
      <c r="F347" s="410" t="s">
        <v>1482</v>
      </c>
      <c r="G347" s="68" t="str">
        <f t="shared" si="26"/>
        <v>SINGLE</v>
      </c>
      <c r="H347" s="197">
        <f t="shared" si="25"/>
        <v>12</v>
      </c>
      <c r="I347" s="408">
        <f t="shared" si="28"/>
        <v>3</v>
      </c>
      <c r="J347" s="408">
        <f t="shared" si="29"/>
        <v>20</v>
      </c>
      <c r="K347" s="411">
        <v>45736</v>
      </c>
      <c r="L347" s="408"/>
      <c r="M347" s="408"/>
      <c r="N347" s="3" t="str">
        <f t="shared" si="27"/>
        <v/>
      </c>
      <c r="O347" s="408"/>
      <c r="P347" s="408"/>
      <c r="Q347" s="408"/>
      <c r="R347" s="408"/>
      <c r="S347" s="408"/>
      <c r="T347" s="408"/>
      <c r="U347" s="408"/>
      <c r="V347" s="421"/>
      <c r="W347" s="421"/>
      <c r="X347" s="421"/>
      <c r="Y347" s="421"/>
      <c r="Z347" s="421"/>
      <c r="AA347" s="421"/>
      <c r="AB347" s="421"/>
      <c r="AC347" s="421"/>
      <c r="AD347" s="421"/>
      <c r="AE347" s="421"/>
      <c r="AF347" s="421"/>
      <c r="AG347" s="421"/>
      <c r="AH347" s="421"/>
      <c r="AI347" s="421"/>
      <c r="AJ347" s="421"/>
      <c r="AK347" s="421"/>
      <c r="AL347" s="421"/>
    </row>
    <row r="348" spans="1:38">
      <c r="A348" s="410">
        <v>5563</v>
      </c>
      <c r="B348" s="407"/>
      <c r="C348" s="408"/>
      <c r="D348" s="410" t="s">
        <v>1927</v>
      </c>
      <c r="E348" s="410" t="s">
        <v>1585</v>
      </c>
      <c r="F348" s="410" t="s">
        <v>1482</v>
      </c>
      <c r="G348" s="68" t="str">
        <f t="shared" si="26"/>
        <v>SINGLE</v>
      </c>
      <c r="H348" s="197">
        <f t="shared" si="25"/>
        <v>12</v>
      </c>
      <c r="I348" s="408">
        <f t="shared" si="28"/>
        <v>3</v>
      </c>
      <c r="J348" s="408">
        <f t="shared" si="29"/>
        <v>20</v>
      </c>
      <c r="K348" s="411">
        <v>45736</v>
      </c>
      <c r="L348" s="408"/>
      <c r="M348" s="408"/>
      <c r="N348" s="3" t="str">
        <f t="shared" si="27"/>
        <v/>
      </c>
      <c r="O348" s="408"/>
      <c r="P348" s="408"/>
      <c r="Q348" s="408"/>
      <c r="R348" s="408"/>
      <c r="S348" s="408"/>
      <c r="T348" s="408"/>
      <c r="U348" s="408"/>
      <c r="V348" s="421"/>
      <c r="W348" s="421"/>
      <c r="X348" s="421"/>
      <c r="Y348" s="421"/>
      <c r="Z348" s="421"/>
      <c r="AA348" s="421"/>
      <c r="AB348" s="421"/>
      <c r="AC348" s="421"/>
      <c r="AD348" s="421"/>
      <c r="AE348" s="421"/>
      <c r="AF348" s="421"/>
      <c r="AG348" s="421"/>
      <c r="AH348" s="421"/>
      <c r="AI348" s="421"/>
      <c r="AJ348" s="421"/>
      <c r="AK348" s="421"/>
      <c r="AL348" s="421"/>
    </row>
    <row r="349" spans="1:38">
      <c r="A349" s="410">
        <v>5529</v>
      </c>
      <c r="B349" s="407"/>
      <c r="C349" s="408"/>
      <c r="D349" s="410" t="s">
        <v>1928</v>
      </c>
      <c r="E349" s="410" t="s">
        <v>1405</v>
      </c>
      <c r="F349" s="410" t="s">
        <v>1591</v>
      </c>
      <c r="G349" s="68" t="str">
        <f t="shared" si="26"/>
        <v>SINGLE</v>
      </c>
      <c r="H349" s="197">
        <f t="shared" si="25"/>
        <v>12</v>
      </c>
      <c r="I349" s="408">
        <f t="shared" si="28"/>
        <v>3</v>
      </c>
      <c r="J349" s="408">
        <f t="shared" si="29"/>
        <v>20</v>
      </c>
      <c r="K349" s="411">
        <v>45736</v>
      </c>
      <c r="L349" s="408"/>
      <c r="M349" s="408"/>
      <c r="N349" s="3" t="str">
        <f t="shared" si="27"/>
        <v/>
      </c>
      <c r="O349" s="408"/>
      <c r="P349" s="408"/>
      <c r="Q349" s="408"/>
      <c r="R349" s="408"/>
      <c r="S349" s="408"/>
      <c r="T349" s="408"/>
      <c r="U349" s="408"/>
      <c r="V349" s="421"/>
      <c r="W349" s="421"/>
      <c r="X349" s="421"/>
      <c r="Y349" s="421"/>
      <c r="Z349" s="421"/>
      <c r="AA349" s="421"/>
      <c r="AB349" s="421"/>
      <c r="AC349" s="421"/>
      <c r="AD349" s="421"/>
      <c r="AE349" s="421"/>
      <c r="AF349" s="421"/>
      <c r="AG349" s="421"/>
      <c r="AH349" s="421"/>
      <c r="AI349" s="421"/>
      <c r="AJ349" s="421"/>
      <c r="AK349" s="421"/>
      <c r="AL349" s="421"/>
    </row>
    <row r="350" spans="1:38">
      <c r="A350" s="410">
        <v>5529</v>
      </c>
      <c r="B350" s="407"/>
      <c r="C350" s="408"/>
      <c r="D350" s="410" t="s">
        <v>1929</v>
      </c>
      <c r="E350" s="410" t="s">
        <v>1405</v>
      </c>
      <c r="F350" s="410" t="s">
        <v>1591</v>
      </c>
      <c r="G350" s="68" t="str">
        <f t="shared" si="26"/>
        <v>SINGLE</v>
      </c>
      <c r="H350" s="197">
        <f t="shared" si="25"/>
        <v>12</v>
      </c>
      <c r="I350" s="408">
        <f t="shared" si="28"/>
        <v>3</v>
      </c>
      <c r="J350" s="408">
        <f t="shared" si="29"/>
        <v>20</v>
      </c>
      <c r="K350" s="411">
        <v>45736</v>
      </c>
      <c r="L350" s="408"/>
      <c r="M350" s="408"/>
      <c r="N350" s="3" t="str">
        <f t="shared" si="27"/>
        <v/>
      </c>
      <c r="O350" s="408"/>
      <c r="P350" s="408"/>
      <c r="Q350" s="408"/>
      <c r="R350" s="408"/>
      <c r="S350" s="408"/>
      <c r="T350" s="408"/>
      <c r="U350" s="408"/>
      <c r="V350" s="421"/>
      <c r="W350" s="421"/>
      <c r="X350" s="421"/>
      <c r="Y350" s="421"/>
      <c r="Z350" s="421"/>
      <c r="AA350" s="421"/>
      <c r="AB350" s="421"/>
      <c r="AC350" s="421"/>
      <c r="AD350" s="421"/>
      <c r="AE350" s="421"/>
      <c r="AF350" s="421"/>
      <c r="AG350" s="421"/>
      <c r="AH350" s="421"/>
      <c r="AI350" s="421"/>
      <c r="AJ350" s="421"/>
      <c r="AK350" s="421"/>
      <c r="AL350" s="421"/>
    </row>
    <row r="351" spans="1:38">
      <c r="A351" s="410">
        <v>5441</v>
      </c>
      <c r="B351" s="407"/>
      <c r="C351" s="408"/>
      <c r="D351" s="410" t="s">
        <v>1930</v>
      </c>
      <c r="E351" s="410" t="s">
        <v>1409</v>
      </c>
      <c r="F351" s="410" t="s">
        <v>1479</v>
      </c>
      <c r="G351" s="68" t="str">
        <f t="shared" si="26"/>
        <v>SINGLE</v>
      </c>
      <c r="H351" s="197">
        <f t="shared" si="25"/>
        <v>12</v>
      </c>
      <c r="I351" s="408">
        <f t="shared" si="28"/>
        <v>3</v>
      </c>
      <c r="J351" s="408">
        <f t="shared" si="29"/>
        <v>20</v>
      </c>
      <c r="K351" s="411">
        <v>45736</v>
      </c>
      <c r="L351" s="408"/>
      <c r="M351" s="408"/>
      <c r="N351" s="3" t="str">
        <f t="shared" si="27"/>
        <v/>
      </c>
      <c r="O351" s="408"/>
      <c r="P351" s="408"/>
      <c r="Q351" s="408"/>
      <c r="R351" s="408"/>
      <c r="S351" s="408"/>
      <c r="T351" s="408"/>
      <c r="U351" s="408"/>
      <c r="V351" s="421"/>
      <c r="W351" s="421"/>
      <c r="X351" s="421"/>
      <c r="Y351" s="421"/>
      <c r="Z351" s="421"/>
      <c r="AA351" s="421"/>
      <c r="AB351" s="421"/>
      <c r="AC351" s="421"/>
      <c r="AD351" s="421"/>
      <c r="AE351" s="421"/>
      <c r="AF351" s="421"/>
      <c r="AG351" s="421"/>
      <c r="AH351" s="421"/>
      <c r="AI351" s="421"/>
      <c r="AJ351" s="421"/>
      <c r="AK351" s="421"/>
      <c r="AL351" s="421"/>
    </row>
    <row r="352" spans="1:38">
      <c r="A352" s="410">
        <v>5441</v>
      </c>
      <c r="B352" s="407"/>
      <c r="C352" s="408"/>
      <c r="D352" s="410" t="s">
        <v>1931</v>
      </c>
      <c r="E352" s="410" t="s">
        <v>1409</v>
      </c>
      <c r="F352" s="410" t="s">
        <v>1479</v>
      </c>
      <c r="G352" s="68" t="str">
        <f t="shared" si="26"/>
        <v>SINGLE</v>
      </c>
      <c r="H352" s="197">
        <f t="shared" si="25"/>
        <v>12</v>
      </c>
      <c r="I352" s="408">
        <f t="shared" si="28"/>
        <v>3</v>
      </c>
      <c r="J352" s="408">
        <f t="shared" si="29"/>
        <v>20</v>
      </c>
      <c r="K352" s="411">
        <v>45736</v>
      </c>
      <c r="L352" s="408"/>
      <c r="M352" s="408"/>
      <c r="N352" s="3" t="str">
        <f t="shared" si="27"/>
        <v/>
      </c>
      <c r="O352" s="408"/>
      <c r="P352" s="408"/>
      <c r="Q352" s="408"/>
      <c r="R352" s="408"/>
      <c r="S352" s="408"/>
      <c r="T352" s="408"/>
      <c r="U352" s="408"/>
      <c r="V352" s="421"/>
      <c r="W352" s="421"/>
      <c r="X352" s="421"/>
      <c r="Y352" s="421"/>
      <c r="Z352" s="421"/>
      <c r="AA352" s="421"/>
      <c r="AB352" s="421"/>
      <c r="AC352" s="421"/>
      <c r="AD352" s="421"/>
      <c r="AE352" s="421"/>
      <c r="AF352" s="421"/>
      <c r="AG352" s="421"/>
      <c r="AH352" s="421"/>
      <c r="AI352" s="421"/>
      <c r="AJ352" s="421"/>
      <c r="AK352" s="421"/>
      <c r="AL352" s="421"/>
    </row>
    <row r="353" spans="1:38">
      <c r="A353" s="410">
        <v>5441</v>
      </c>
      <c r="B353" s="407"/>
      <c r="C353" s="408"/>
      <c r="D353" s="410" t="s">
        <v>1932</v>
      </c>
      <c r="E353" s="410" t="s">
        <v>1409</v>
      </c>
      <c r="F353" s="410" t="s">
        <v>1479</v>
      </c>
      <c r="G353" s="68" t="str">
        <f t="shared" si="26"/>
        <v>SINGLE</v>
      </c>
      <c r="H353" s="197">
        <f t="shared" si="25"/>
        <v>12</v>
      </c>
      <c r="I353" s="408">
        <f t="shared" si="28"/>
        <v>3</v>
      </c>
      <c r="J353" s="408">
        <f t="shared" si="29"/>
        <v>20</v>
      </c>
      <c r="K353" s="411">
        <v>45736</v>
      </c>
      <c r="L353" s="408"/>
      <c r="M353" s="408"/>
      <c r="N353" s="3" t="str">
        <f t="shared" si="27"/>
        <v/>
      </c>
      <c r="O353" s="408"/>
      <c r="P353" s="408"/>
      <c r="Q353" s="408"/>
      <c r="R353" s="408"/>
      <c r="S353" s="408"/>
      <c r="T353" s="408"/>
      <c r="U353" s="408"/>
      <c r="V353" s="421"/>
      <c r="W353" s="421"/>
      <c r="X353" s="421"/>
      <c r="Y353" s="421"/>
      <c r="Z353" s="421"/>
      <c r="AA353" s="421"/>
      <c r="AB353" s="421"/>
      <c r="AC353" s="421"/>
      <c r="AD353" s="421"/>
      <c r="AE353" s="421"/>
      <c r="AF353" s="421"/>
      <c r="AG353" s="421"/>
      <c r="AH353" s="421"/>
      <c r="AI353" s="421"/>
      <c r="AJ353" s="421"/>
      <c r="AK353" s="421"/>
      <c r="AL353" s="421"/>
    </row>
    <row r="354" spans="1:38">
      <c r="A354" s="410">
        <v>5565</v>
      </c>
      <c r="B354" s="407"/>
      <c r="C354" s="408"/>
      <c r="D354" s="410" t="s">
        <v>1933</v>
      </c>
      <c r="E354" s="410" t="s">
        <v>1585</v>
      </c>
      <c r="F354" s="410" t="s">
        <v>1476</v>
      </c>
      <c r="G354" s="68" t="str">
        <f t="shared" si="26"/>
        <v>DUAL</v>
      </c>
      <c r="H354" s="197">
        <f t="shared" si="25"/>
        <v>12</v>
      </c>
      <c r="I354" s="408">
        <f t="shared" si="28"/>
        <v>3</v>
      </c>
      <c r="J354" s="408">
        <f t="shared" si="29"/>
        <v>20</v>
      </c>
      <c r="K354" s="411">
        <v>45736</v>
      </c>
      <c r="L354" s="408"/>
      <c r="M354" s="408"/>
      <c r="N354" s="3" t="str">
        <f t="shared" si="27"/>
        <v/>
      </c>
      <c r="O354" s="408"/>
      <c r="P354" s="408"/>
      <c r="Q354" s="408"/>
      <c r="R354" s="408"/>
      <c r="S354" s="408"/>
      <c r="T354" s="408"/>
      <c r="U354" s="408"/>
      <c r="V354" s="421"/>
      <c r="W354" s="421"/>
      <c r="X354" s="421"/>
      <c r="Y354" s="421"/>
      <c r="Z354" s="421"/>
      <c r="AA354" s="421"/>
      <c r="AB354" s="421"/>
      <c r="AC354" s="421"/>
      <c r="AD354" s="421"/>
      <c r="AE354" s="421"/>
      <c r="AF354" s="421"/>
      <c r="AG354" s="421"/>
      <c r="AH354" s="421"/>
      <c r="AI354" s="421"/>
      <c r="AJ354" s="421"/>
      <c r="AK354" s="421"/>
      <c r="AL354" s="421"/>
    </row>
    <row r="355" spans="1:38">
      <c r="A355" s="410">
        <v>5390</v>
      </c>
      <c r="B355" s="407"/>
      <c r="C355" s="408"/>
      <c r="D355" s="410" t="s">
        <v>1934</v>
      </c>
      <c r="E355" s="410" t="s">
        <v>1405</v>
      </c>
      <c r="F355" s="410" t="s">
        <v>1616</v>
      </c>
      <c r="G355" s="68" t="str">
        <f t="shared" si="26"/>
        <v>SINGLE</v>
      </c>
      <c r="H355" s="197">
        <f t="shared" si="25"/>
        <v>12</v>
      </c>
      <c r="I355" s="408">
        <f t="shared" si="28"/>
        <v>3</v>
      </c>
      <c r="J355" s="408">
        <f t="shared" si="29"/>
        <v>21</v>
      </c>
      <c r="K355" s="411">
        <v>45737</v>
      </c>
      <c r="L355" s="408"/>
      <c r="M355" s="408"/>
      <c r="N355" s="3" t="str">
        <f t="shared" si="27"/>
        <v/>
      </c>
      <c r="O355" s="408"/>
      <c r="P355" s="408"/>
      <c r="Q355" s="408"/>
      <c r="R355" s="408"/>
      <c r="S355" s="408"/>
      <c r="T355" s="408"/>
      <c r="U355" s="408"/>
      <c r="V355" s="421"/>
      <c r="W355" s="421"/>
      <c r="X355" s="421"/>
      <c r="Y355" s="421"/>
      <c r="Z355" s="421"/>
      <c r="AA355" s="421"/>
      <c r="AB355" s="421"/>
      <c r="AC355" s="421"/>
      <c r="AD355" s="421"/>
      <c r="AE355" s="421"/>
      <c r="AF355" s="421"/>
      <c r="AG355" s="421"/>
      <c r="AH355" s="421"/>
      <c r="AI355" s="421"/>
      <c r="AJ355" s="421"/>
      <c r="AK355" s="421"/>
      <c r="AL355" s="421"/>
    </row>
    <row r="356" spans="1:38">
      <c r="A356" s="410">
        <v>5390</v>
      </c>
      <c r="B356" s="407"/>
      <c r="C356" s="408"/>
      <c r="D356" s="410" t="s">
        <v>1935</v>
      </c>
      <c r="E356" s="410" t="s">
        <v>1405</v>
      </c>
      <c r="F356" s="410" t="s">
        <v>1616</v>
      </c>
      <c r="G356" s="68" t="str">
        <f t="shared" si="26"/>
        <v>SINGLE</v>
      </c>
      <c r="H356" s="197">
        <f t="shared" si="25"/>
        <v>12</v>
      </c>
      <c r="I356" s="408">
        <f t="shared" si="28"/>
        <v>3</v>
      </c>
      <c r="J356" s="408">
        <f t="shared" si="29"/>
        <v>21</v>
      </c>
      <c r="K356" s="411">
        <v>45737</v>
      </c>
      <c r="L356" s="408"/>
      <c r="M356" s="408"/>
      <c r="N356" s="3" t="str">
        <f t="shared" si="27"/>
        <v/>
      </c>
      <c r="O356" s="408"/>
      <c r="P356" s="408"/>
      <c r="Q356" s="408"/>
      <c r="R356" s="408"/>
      <c r="S356" s="408"/>
      <c r="T356" s="408"/>
      <c r="U356" s="408"/>
      <c r="V356" s="421"/>
      <c r="W356" s="421"/>
      <c r="X356" s="421"/>
      <c r="Y356" s="421"/>
      <c r="Z356" s="421"/>
      <c r="AA356" s="421"/>
      <c r="AB356" s="421"/>
      <c r="AC356" s="421"/>
      <c r="AD356" s="421"/>
      <c r="AE356" s="421"/>
      <c r="AF356" s="421"/>
      <c r="AG356" s="421"/>
      <c r="AH356" s="421"/>
      <c r="AI356" s="421"/>
      <c r="AJ356" s="421"/>
      <c r="AK356" s="421"/>
      <c r="AL356" s="421"/>
    </row>
    <row r="357" spans="1:38">
      <c r="A357" s="410">
        <v>5529</v>
      </c>
      <c r="B357" s="407"/>
      <c r="C357" s="408"/>
      <c r="D357" s="410" t="s">
        <v>1936</v>
      </c>
      <c r="E357" s="410" t="s">
        <v>1405</v>
      </c>
      <c r="F357" s="410" t="s">
        <v>1591</v>
      </c>
      <c r="G357" s="68" t="str">
        <f t="shared" si="26"/>
        <v>SINGLE</v>
      </c>
      <c r="H357" s="197">
        <f t="shared" si="25"/>
        <v>12</v>
      </c>
      <c r="I357" s="408">
        <f t="shared" si="28"/>
        <v>3</v>
      </c>
      <c r="J357" s="408">
        <f t="shared" si="29"/>
        <v>21</v>
      </c>
      <c r="K357" s="411">
        <v>45737</v>
      </c>
      <c r="L357" s="408"/>
      <c r="M357" s="408"/>
      <c r="N357" s="3" t="str">
        <f t="shared" si="27"/>
        <v/>
      </c>
      <c r="O357" s="408"/>
      <c r="P357" s="408"/>
      <c r="Q357" s="408"/>
      <c r="R357" s="408"/>
      <c r="S357" s="408"/>
      <c r="T357" s="408"/>
      <c r="U357" s="408"/>
      <c r="V357" s="421"/>
      <c r="W357" s="421"/>
      <c r="X357" s="421"/>
      <c r="Y357" s="421"/>
      <c r="Z357" s="421"/>
      <c r="AA357" s="421"/>
      <c r="AB357" s="421"/>
      <c r="AC357" s="421"/>
      <c r="AD357" s="421"/>
      <c r="AE357" s="421"/>
      <c r="AF357" s="421"/>
      <c r="AG357" s="421"/>
      <c r="AH357" s="421"/>
      <c r="AI357" s="421"/>
      <c r="AJ357" s="421"/>
      <c r="AK357" s="421"/>
      <c r="AL357" s="421"/>
    </row>
    <row r="358" spans="1:38">
      <c r="A358" s="410">
        <v>5529</v>
      </c>
      <c r="B358" s="407"/>
      <c r="C358" s="408"/>
      <c r="D358" s="410" t="s">
        <v>1937</v>
      </c>
      <c r="E358" s="410" t="s">
        <v>1405</v>
      </c>
      <c r="F358" s="410" t="s">
        <v>1591</v>
      </c>
      <c r="G358" s="68" t="str">
        <f t="shared" si="26"/>
        <v>SINGLE</v>
      </c>
      <c r="H358" s="197">
        <f t="shared" si="25"/>
        <v>12</v>
      </c>
      <c r="I358" s="408">
        <f t="shared" si="28"/>
        <v>3</v>
      </c>
      <c r="J358" s="408">
        <f t="shared" si="29"/>
        <v>21</v>
      </c>
      <c r="K358" s="411">
        <v>45737</v>
      </c>
      <c r="L358" s="408"/>
      <c r="M358" s="408"/>
      <c r="N358" s="3" t="str">
        <f t="shared" si="27"/>
        <v/>
      </c>
      <c r="O358" s="408"/>
      <c r="P358" s="408"/>
      <c r="Q358" s="408"/>
      <c r="R358" s="408"/>
      <c r="S358" s="408"/>
      <c r="T358" s="408"/>
      <c r="U358" s="408"/>
      <c r="V358" s="421"/>
      <c r="W358" s="421"/>
      <c r="X358" s="421"/>
      <c r="Y358" s="421"/>
      <c r="Z358" s="421"/>
      <c r="AA358" s="421"/>
      <c r="AB358" s="421"/>
      <c r="AC358" s="421"/>
      <c r="AD358" s="421"/>
      <c r="AE358" s="421"/>
      <c r="AF358" s="421"/>
      <c r="AG358" s="421"/>
      <c r="AH358" s="421"/>
      <c r="AI358" s="421"/>
      <c r="AJ358" s="421"/>
      <c r="AK358" s="421"/>
      <c r="AL358" s="421"/>
    </row>
    <row r="359" spans="1:38">
      <c r="A359" s="410">
        <v>5441</v>
      </c>
      <c r="B359" s="407"/>
      <c r="C359" s="408"/>
      <c r="D359" s="410" t="s">
        <v>1938</v>
      </c>
      <c r="E359" s="410" t="s">
        <v>1409</v>
      </c>
      <c r="F359" s="410" t="s">
        <v>1479</v>
      </c>
      <c r="G359" s="68" t="str">
        <f t="shared" si="26"/>
        <v>SINGLE</v>
      </c>
      <c r="H359" s="197">
        <f t="shared" si="25"/>
        <v>12</v>
      </c>
      <c r="I359" s="408">
        <f t="shared" si="28"/>
        <v>3</v>
      </c>
      <c r="J359" s="408">
        <f t="shared" si="29"/>
        <v>21</v>
      </c>
      <c r="K359" s="411">
        <v>45737</v>
      </c>
      <c r="L359" s="408"/>
      <c r="M359" s="408"/>
      <c r="N359" s="3" t="str">
        <f t="shared" si="27"/>
        <v/>
      </c>
      <c r="O359" s="408"/>
      <c r="P359" s="408"/>
      <c r="Q359" s="408"/>
      <c r="R359" s="408"/>
      <c r="S359" s="408"/>
      <c r="T359" s="408"/>
      <c r="U359" s="408"/>
      <c r="V359" s="421"/>
      <c r="W359" s="421"/>
      <c r="X359" s="421"/>
      <c r="Y359" s="421"/>
      <c r="Z359" s="421"/>
      <c r="AA359" s="421"/>
      <c r="AB359" s="421"/>
      <c r="AC359" s="421"/>
      <c r="AD359" s="421"/>
      <c r="AE359" s="421"/>
      <c r="AF359" s="421"/>
      <c r="AG359" s="421"/>
      <c r="AH359" s="421"/>
      <c r="AI359" s="421"/>
      <c r="AJ359" s="421"/>
      <c r="AK359" s="421"/>
      <c r="AL359" s="421"/>
    </row>
    <row r="360" spans="1:38">
      <c r="A360" s="410">
        <v>5351</v>
      </c>
      <c r="B360" s="407"/>
      <c r="C360" s="408"/>
      <c r="D360" s="410" t="s">
        <v>1939</v>
      </c>
      <c r="E360" s="410" t="s">
        <v>1585</v>
      </c>
      <c r="F360" s="410" t="s">
        <v>1476</v>
      </c>
      <c r="G360" s="68" t="str">
        <f t="shared" si="26"/>
        <v>DUAL</v>
      </c>
      <c r="H360" s="197">
        <f t="shared" si="25"/>
        <v>12</v>
      </c>
      <c r="I360" s="408">
        <f t="shared" si="28"/>
        <v>3</v>
      </c>
      <c r="J360" s="408">
        <f t="shared" si="29"/>
        <v>21</v>
      </c>
      <c r="K360" s="411">
        <v>45737</v>
      </c>
      <c r="L360" s="408"/>
      <c r="M360" s="408"/>
      <c r="N360" s="3" t="str">
        <f t="shared" si="27"/>
        <v/>
      </c>
      <c r="O360" s="408"/>
      <c r="P360" s="408"/>
      <c r="Q360" s="408"/>
      <c r="R360" s="408"/>
      <c r="S360" s="408"/>
      <c r="T360" s="408"/>
      <c r="U360" s="408"/>
      <c r="V360" s="421"/>
      <c r="W360" s="421"/>
      <c r="X360" s="421"/>
      <c r="Y360" s="421"/>
      <c r="Z360" s="421"/>
      <c r="AA360" s="421"/>
      <c r="AB360" s="421"/>
      <c r="AC360" s="421"/>
      <c r="AD360" s="421"/>
      <c r="AE360" s="421"/>
      <c r="AF360" s="421"/>
      <c r="AG360" s="421"/>
      <c r="AH360" s="421"/>
      <c r="AI360" s="421"/>
      <c r="AJ360" s="421"/>
      <c r="AK360" s="421"/>
      <c r="AL360" s="421"/>
    </row>
    <row r="361" spans="1:38">
      <c r="A361" s="410">
        <v>5493</v>
      </c>
      <c r="B361" s="407"/>
      <c r="C361" s="408"/>
      <c r="D361" s="410" t="s">
        <v>1940</v>
      </c>
      <c r="E361" s="410" t="s">
        <v>1405</v>
      </c>
      <c r="F361" s="410" t="s">
        <v>1581</v>
      </c>
      <c r="G361" s="68" t="str">
        <f t="shared" si="26"/>
        <v>DUAL</v>
      </c>
      <c r="H361" s="197">
        <f t="shared" si="25"/>
        <v>13</v>
      </c>
      <c r="I361" s="408">
        <f t="shared" si="28"/>
        <v>3</v>
      </c>
      <c r="J361" s="408">
        <f t="shared" si="29"/>
        <v>24</v>
      </c>
      <c r="K361" s="411">
        <v>45740</v>
      </c>
      <c r="L361" s="408"/>
      <c r="M361" s="408"/>
      <c r="N361" s="3" t="str">
        <f t="shared" si="27"/>
        <v/>
      </c>
      <c r="O361" s="408"/>
      <c r="P361" s="408"/>
      <c r="Q361" s="408"/>
      <c r="R361" s="408"/>
      <c r="S361" s="408"/>
      <c r="T361" s="408"/>
      <c r="U361" s="408"/>
      <c r="V361" s="421"/>
      <c r="W361" s="421"/>
      <c r="X361" s="421"/>
      <c r="Y361" s="421"/>
      <c r="Z361" s="421"/>
      <c r="AA361" s="421"/>
      <c r="AB361" s="421"/>
      <c r="AC361" s="421"/>
      <c r="AD361" s="421"/>
      <c r="AE361" s="421"/>
      <c r="AF361" s="421"/>
      <c r="AG361" s="421"/>
      <c r="AH361" s="421"/>
      <c r="AI361" s="421"/>
      <c r="AJ361" s="421"/>
      <c r="AK361" s="421"/>
      <c r="AL361" s="421"/>
    </row>
    <row r="362" spans="1:38">
      <c r="A362" s="410">
        <v>5484</v>
      </c>
      <c r="B362" s="407"/>
      <c r="C362" s="408"/>
      <c r="D362" s="410" t="s">
        <v>1941</v>
      </c>
      <c r="E362" s="410" t="s">
        <v>1400</v>
      </c>
      <c r="F362" s="410" t="s">
        <v>1476</v>
      </c>
      <c r="G362" s="68" t="str">
        <f t="shared" si="26"/>
        <v>DUAL</v>
      </c>
      <c r="H362" s="197">
        <f t="shared" si="25"/>
        <v>13</v>
      </c>
      <c r="I362" s="408">
        <f t="shared" si="28"/>
        <v>3</v>
      </c>
      <c r="J362" s="408">
        <f t="shared" si="29"/>
        <v>24</v>
      </c>
      <c r="K362" s="411">
        <v>45740</v>
      </c>
      <c r="L362" s="408"/>
      <c r="M362" s="408"/>
      <c r="N362" s="3" t="str">
        <f t="shared" si="27"/>
        <v/>
      </c>
      <c r="O362" s="408"/>
      <c r="P362" s="408"/>
      <c r="Q362" s="408"/>
      <c r="R362" s="408"/>
      <c r="S362" s="408"/>
      <c r="T362" s="408"/>
      <c r="U362" s="408"/>
      <c r="V362" s="421"/>
      <c r="W362" s="421"/>
      <c r="X362" s="421"/>
      <c r="Y362" s="421"/>
      <c r="Z362" s="421"/>
      <c r="AA362" s="421"/>
      <c r="AB362" s="421"/>
      <c r="AC362" s="421"/>
      <c r="AD362" s="421"/>
      <c r="AE362" s="421"/>
      <c r="AF362" s="421"/>
      <c r="AG362" s="421"/>
      <c r="AH362" s="421"/>
      <c r="AI362" s="421"/>
      <c r="AJ362" s="421"/>
      <c r="AK362" s="421"/>
      <c r="AL362" s="421"/>
    </row>
    <row r="363" spans="1:38">
      <c r="A363" s="410">
        <v>5523</v>
      </c>
      <c r="B363" s="407"/>
      <c r="C363" s="408"/>
      <c r="D363" s="410" t="s">
        <v>1942</v>
      </c>
      <c r="E363" s="410" t="s">
        <v>1426</v>
      </c>
      <c r="F363" s="410" t="s">
        <v>1476</v>
      </c>
      <c r="G363" s="68" t="str">
        <f t="shared" si="26"/>
        <v>DUAL</v>
      </c>
      <c r="H363" s="197">
        <f t="shared" si="25"/>
        <v>13</v>
      </c>
      <c r="I363" s="408">
        <f t="shared" si="28"/>
        <v>3</v>
      </c>
      <c r="J363" s="408">
        <f t="shared" si="29"/>
        <v>24</v>
      </c>
      <c r="K363" s="411">
        <v>45740</v>
      </c>
      <c r="L363" s="408"/>
      <c r="M363" s="408"/>
      <c r="N363" s="3" t="str">
        <f t="shared" si="27"/>
        <v/>
      </c>
      <c r="O363" s="408"/>
      <c r="P363" s="408"/>
      <c r="Q363" s="408"/>
      <c r="R363" s="408"/>
      <c r="S363" s="408"/>
      <c r="T363" s="408"/>
      <c r="U363" s="408"/>
      <c r="V363" s="421"/>
      <c r="W363" s="421"/>
      <c r="X363" s="421"/>
      <c r="Y363" s="421"/>
      <c r="Z363" s="421"/>
      <c r="AA363" s="421"/>
      <c r="AB363" s="421"/>
      <c r="AC363" s="421"/>
      <c r="AD363" s="421"/>
      <c r="AE363" s="421"/>
      <c r="AF363" s="421"/>
      <c r="AG363" s="421"/>
      <c r="AH363" s="421"/>
      <c r="AI363" s="421"/>
      <c r="AJ363" s="421"/>
      <c r="AK363" s="421"/>
      <c r="AL363" s="421"/>
    </row>
    <row r="364" spans="1:38">
      <c r="A364" s="410">
        <v>5523</v>
      </c>
      <c r="B364" s="407"/>
      <c r="C364" s="408"/>
      <c r="D364" s="410" t="s">
        <v>1943</v>
      </c>
      <c r="E364" s="410" t="s">
        <v>1426</v>
      </c>
      <c r="F364" s="410" t="s">
        <v>1476</v>
      </c>
      <c r="G364" s="68" t="str">
        <f t="shared" si="26"/>
        <v>DUAL</v>
      </c>
      <c r="H364" s="197">
        <f t="shared" si="25"/>
        <v>13</v>
      </c>
      <c r="I364" s="408">
        <f t="shared" si="28"/>
        <v>3</v>
      </c>
      <c r="J364" s="408">
        <f t="shared" si="29"/>
        <v>24</v>
      </c>
      <c r="K364" s="411">
        <v>45740</v>
      </c>
      <c r="L364" s="408"/>
      <c r="M364" s="408"/>
      <c r="N364" s="3" t="str">
        <f t="shared" si="27"/>
        <v/>
      </c>
      <c r="O364" s="408"/>
      <c r="P364" s="408"/>
      <c r="Q364" s="408"/>
      <c r="R364" s="408"/>
      <c r="S364" s="408"/>
      <c r="T364" s="408"/>
      <c r="U364" s="408"/>
      <c r="V364" s="421"/>
      <c r="W364" s="421"/>
      <c r="X364" s="421"/>
      <c r="Y364" s="421"/>
      <c r="Z364" s="421"/>
      <c r="AA364" s="421"/>
      <c r="AB364" s="421"/>
      <c r="AC364" s="421"/>
      <c r="AD364" s="421"/>
      <c r="AE364" s="421"/>
      <c r="AF364" s="421"/>
      <c r="AG364" s="421"/>
      <c r="AH364" s="421"/>
      <c r="AI364" s="421"/>
      <c r="AJ364" s="421"/>
      <c r="AK364" s="421"/>
      <c r="AL364" s="421"/>
    </row>
    <row r="365" spans="1:38">
      <c r="A365" s="410">
        <v>5523</v>
      </c>
      <c r="B365" s="407"/>
      <c r="C365" s="408"/>
      <c r="D365" s="410" t="s">
        <v>1944</v>
      </c>
      <c r="E365" s="410" t="s">
        <v>1426</v>
      </c>
      <c r="F365" s="410" t="s">
        <v>1476</v>
      </c>
      <c r="G365" s="68" t="str">
        <f t="shared" si="26"/>
        <v>DUAL</v>
      </c>
      <c r="H365" s="197">
        <f t="shared" si="25"/>
        <v>13</v>
      </c>
      <c r="I365" s="408">
        <f t="shared" si="28"/>
        <v>3</v>
      </c>
      <c r="J365" s="408">
        <f t="shared" si="29"/>
        <v>24</v>
      </c>
      <c r="K365" s="411">
        <v>45740</v>
      </c>
      <c r="L365" s="408"/>
      <c r="M365" s="408"/>
      <c r="N365" s="3" t="str">
        <f t="shared" si="27"/>
        <v/>
      </c>
      <c r="O365" s="408"/>
      <c r="P365" s="408"/>
      <c r="Q365" s="408"/>
      <c r="R365" s="408"/>
      <c r="S365" s="408"/>
      <c r="T365" s="408"/>
      <c r="U365" s="408"/>
      <c r="V365" s="421"/>
      <c r="W365" s="421"/>
      <c r="X365" s="421"/>
      <c r="Y365" s="421"/>
      <c r="Z365" s="421"/>
      <c r="AA365" s="421"/>
      <c r="AB365" s="421"/>
      <c r="AC365" s="421"/>
      <c r="AD365" s="421"/>
      <c r="AE365" s="421"/>
      <c r="AF365" s="421"/>
      <c r="AG365" s="421"/>
      <c r="AH365" s="421"/>
      <c r="AI365" s="421"/>
      <c r="AJ365" s="421"/>
      <c r="AK365" s="421"/>
      <c r="AL365" s="421"/>
    </row>
    <row r="366" spans="1:38">
      <c r="A366" s="410">
        <v>5523</v>
      </c>
      <c r="B366" s="407"/>
      <c r="C366" s="408"/>
      <c r="D366" s="410" t="s">
        <v>1945</v>
      </c>
      <c r="E366" s="410" t="s">
        <v>1426</v>
      </c>
      <c r="F366" s="410" t="s">
        <v>1476</v>
      </c>
      <c r="G366" s="68" t="str">
        <f t="shared" si="26"/>
        <v>DUAL</v>
      </c>
      <c r="H366" s="197">
        <f t="shared" si="25"/>
        <v>13</v>
      </c>
      <c r="I366" s="408">
        <f t="shared" si="28"/>
        <v>3</v>
      </c>
      <c r="J366" s="408">
        <f t="shared" si="29"/>
        <v>24</v>
      </c>
      <c r="K366" s="411">
        <v>45740</v>
      </c>
      <c r="L366" s="408"/>
      <c r="M366" s="408"/>
      <c r="N366" s="3" t="str">
        <f t="shared" si="27"/>
        <v/>
      </c>
      <c r="O366" s="408"/>
      <c r="P366" s="408"/>
      <c r="Q366" s="408"/>
      <c r="R366" s="408"/>
      <c r="S366" s="408"/>
      <c r="T366" s="408"/>
      <c r="U366" s="408"/>
      <c r="V366" s="421"/>
      <c r="W366" s="421"/>
      <c r="X366" s="421"/>
      <c r="Y366" s="421"/>
      <c r="Z366" s="421"/>
      <c r="AA366" s="421"/>
      <c r="AB366" s="421"/>
      <c r="AC366" s="421"/>
      <c r="AD366" s="421"/>
      <c r="AE366" s="421"/>
      <c r="AF366" s="421"/>
      <c r="AG366" s="421"/>
      <c r="AH366" s="421"/>
      <c r="AI366" s="421"/>
      <c r="AJ366" s="421"/>
      <c r="AK366" s="421"/>
      <c r="AL366" s="421"/>
    </row>
    <row r="367" spans="1:38">
      <c r="A367" s="410">
        <v>5518</v>
      </c>
      <c r="B367" s="407"/>
      <c r="C367" s="408"/>
      <c r="D367" s="410" t="s">
        <v>1946</v>
      </c>
      <c r="E367" s="410" t="s">
        <v>1430</v>
      </c>
      <c r="F367" s="410" t="s">
        <v>1479</v>
      </c>
      <c r="G367" s="68" t="str">
        <f t="shared" si="26"/>
        <v>SINGLE</v>
      </c>
      <c r="H367" s="197">
        <f t="shared" si="25"/>
        <v>13</v>
      </c>
      <c r="I367" s="408">
        <f t="shared" si="28"/>
        <v>3</v>
      </c>
      <c r="J367" s="408">
        <f t="shared" si="29"/>
        <v>24</v>
      </c>
      <c r="K367" s="411">
        <v>45740</v>
      </c>
      <c r="L367" s="408"/>
      <c r="M367" s="408"/>
      <c r="N367" s="3" t="str">
        <f t="shared" si="27"/>
        <v/>
      </c>
      <c r="O367" s="408"/>
      <c r="P367" s="408"/>
      <c r="Q367" s="408"/>
      <c r="R367" s="408"/>
      <c r="S367" s="408"/>
      <c r="T367" s="408"/>
      <c r="U367" s="408"/>
      <c r="V367" s="421"/>
      <c r="W367" s="421"/>
      <c r="X367" s="421"/>
      <c r="Y367" s="421"/>
      <c r="Z367" s="421"/>
      <c r="AA367" s="421"/>
      <c r="AB367" s="421"/>
      <c r="AC367" s="421"/>
      <c r="AD367" s="421"/>
      <c r="AE367" s="421"/>
      <c r="AF367" s="421"/>
      <c r="AG367" s="421"/>
      <c r="AH367" s="421"/>
      <c r="AI367" s="421"/>
      <c r="AJ367" s="421"/>
      <c r="AK367" s="421"/>
      <c r="AL367" s="421"/>
    </row>
    <row r="368" spans="1:38">
      <c r="A368" s="410">
        <v>5441</v>
      </c>
      <c r="B368" s="407"/>
      <c r="C368" s="408"/>
      <c r="D368" s="410" t="s">
        <v>1947</v>
      </c>
      <c r="E368" s="410" t="s">
        <v>1409</v>
      </c>
      <c r="F368" s="410" t="s">
        <v>1479</v>
      </c>
      <c r="G368" s="68" t="str">
        <f t="shared" si="26"/>
        <v>SINGLE</v>
      </c>
      <c r="H368" s="197">
        <f t="shared" si="25"/>
        <v>13</v>
      </c>
      <c r="I368" s="408">
        <f t="shared" si="28"/>
        <v>3</v>
      </c>
      <c r="J368" s="408">
        <f t="shared" si="29"/>
        <v>24</v>
      </c>
      <c r="K368" s="411">
        <v>45740</v>
      </c>
      <c r="L368" s="408"/>
      <c r="M368" s="408"/>
      <c r="N368" s="3" t="str">
        <f t="shared" si="27"/>
        <v/>
      </c>
      <c r="O368" s="408"/>
      <c r="P368" s="408"/>
      <c r="Q368" s="408"/>
      <c r="R368" s="408"/>
      <c r="S368" s="408"/>
      <c r="T368" s="408"/>
      <c r="U368" s="408"/>
      <c r="V368" s="421"/>
      <c r="W368" s="421"/>
      <c r="X368" s="421"/>
      <c r="Y368" s="421"/>
      <c r="Z368" s="421"/>
      <c r="AA368" s="421"/>
      <c r="AB368" s="421"/>
      <c r="AC368" s="421"/>
      <c r="AD368" s="421"/>
      <c r="AE368" s="421"/>
      <c r="AF368" s="421"/>
      <c r="AG368" s="421"/>
      <c r="AH368" s="421"/>
      <c r="AI368" s="421"/>
      <c r="AJ368" s="421"/>
      <c r="AK368" s="421"/>
      <c r="AL368" s="421"/>
    </row>
    <row r="369" spans="1:38">
      <c r="A369" s="410">
        <v>5504</v>
      </c>
      <c r="B369" s="407"/>
      <c r="C369" s="408"/>
      <c r="D369" s="410" t="s">
        <v>1948</v>
      </c>
      <c r="E369" s="410" t="s">
        <v>1409</v>
      </c>
      <c r="F369" s="410" t="s">
        <v>1479</v>
      </c>
      <c r="G369" s="68" t="str">
        <f t="shared" si="26"/>
        <v>SINGLE</v>
      </c>
      <c r="H369" s="197">
        <f t="shared" si="25"/>
        <v>13</v>
      </c>
      <c r="I369" s="408">
        <f t="shared" si="28"/>
        <v>3</v>
      </c>
      <c r="J369" s="408">
        <f t="shared" si="29"/>
        <v>24</v>
      </c>
      <c r="K369" s="411">
        <v>45740</v>
      </c>
      <c r="L369" s="408"/>
      <c r="M369" s="408"/>
      <c r="N369" s="3" t="str">
        <f t="shared" si="27"/>
        <v/>
      </c>
      <c r="O369" s="408"/>
      <c r="P369" s="408"/>
      <c r="Q369" s="408"/>
      <c r="R369" s="408"/>
      <c r="S369" s="408"/>
      <c r="T369" s="408"/>
      <c r="U369" s="408"/>
      <c r="V369" s="421"/>
      <c r="W369" s="421"/>
      <c r="X369" s="421"/>
      <c r="Y369" s="421"/>
      <c r="Z369" s="421"/>
      <c r="AA369" s="421"/>
      <c r="AB369" s="421"/>
      <c r="AC369" s="421"/>
      <c r="AD369" s="421"/>
      <c r="AE369" s="421"/>
      <c r="AF369" s="421"/>
      <c r="AG369" s="421"/>
      <c r="AH369" s="421"/>
      <c r="AI369" s="421"/>
      <c r="AJ369" s="421"/>
      <c r="AK369" s="421"/>
      <c r="AL369" s="421"/>
    </row>
    <row r="370" spans="1:38">
      <c r="A370" s="410">
        <v>5532</v>
      </c>
      <c r="B370" s="407"/>
      <c r="C370" s="408"/>
      <c r="D370" s="410" t="s">
        <v>1949</v>
      </c>
      <c r="E370" s="410" t="s">
        <v>1405</v>
      </c>
      <c r="F370" s="410" t="s">
        <v>1476</v>
      </c>
      <c r="G370" s="68" t="str">
        <f t="shared" si="26"/>
        <v>DUAL</v>
      </c>
      <c r="H370" s="197">
        <f t="shared" si="25"/>
        <v>13</v>
      </c>
      <c r="I370" s="408">
        <f t="shared" si="28"/>
        <v>3</v>
      </c>
      <c r="J370" s="408">
        <f t="shared" si="29"/>
        <v>25</v>
      </c>
      <c r="K370" s="411">
        <v>45741</v>
      </c>
      <c r="L370" s="408"/>
      <c r="M370" s="408"/>
      <c r="N370" s="3" t="str">
        <f t="shared" si="27"/>
        <v/>
      </c>
      <c r="O370" s="408"/>
      <c r="P370" s="408"/>
      <c r="Q370" s="408"/>
      <c r="R370" s="408"/>
      <c r="S370" s="408"/>
      <c r="T370" s="408"/>
      <c r="U370" s="408"/>
      <c r="V370" s="421"/>
      <c r="W370" s="421"/>
      <c r="X370" s="421"/>
      <c r="Y370" s="421"/>
      <c r="Z370" s="421"/>
      <c r="AA370" s="421"/>
      <c r="AB370" s="421"/>
      <c r="AC370" s="421"/>
      <c r="AD370" s="421"/>
      <c r="AE370" s="421"/>
      <c r="AF370" s="421"/>
      <c r="AG370" s="421"/>
      <c r="AH370" s="421"/>
      <c r="AI370" s="421"/>
      <c r="AJ370" s="421"/>
      <c r="AK370" s="421"/>
      <c r="AL370" s="421"/>
    </row>
    <row r="371" spans="1:38">
      <c r="A371" s="410">
        <v>5565</v>
      </c>
      <c r="B371" s="407"/>
      <c r="C371" s="408"/>
      <c r="D371" s="410" t="s">
        <v>1950</v>
      </c>
      <c r="E371" s="410" t="s">
        <v>1585</v>
      </c>
      <c r="F371" s="410" t="s">
        <v>1476</v>
      </c>
      <c r="G371" s="68" t="str">
        <f t="shared" si="26"/>
        <v>DUAL</v>
      </c>
      <c r="H371" s="197">
        <f t="shared" si="25"/>
        <v>13</v>
      </c>
      <c r="I371" s="408">
        <f t="shared" si="28"/>
        <v>3</v>
      </c>
      <c r="J371" s="408">
        <f t="shared" si="29"/>
        <v>25</v>
      </c>
      <c r="K371" s="411">
        <v>45741</v>
      </c>
      <c r="L371" s="408"/>
      <c r="M371" s="408"/>
      <c r="N371" s="3" t="str">
        <f t="shared" si="27"/>
        <v/>
      </c>
      <c r="O371" s="408"/>
      <c r="P371" s="408"/>
      <c r="Q371" s="408"/>
      <c r="R371" s="408"/>
      <c r="S371" s="408"/>
      <c r="T371" s="408"/>
      <c r="U371" s="408"/>
      <c r="V371" s="421"/>
      <c r="W371" s="421"/>
      <c r="X371" s="421"/>
      <c r="Y371" s="421"/>
      <c r="Z371" s="421"/>
      <c r="AA371" s="421"/>
      <c r="AB371" s="421"/>
      <c r="AC371" s="421"/>
      <c r="AD371" s="421"/>
      <c r="AE371" s="421"/>
      <c r="AF371" s="421"/>
      <c r="AG371" s="421"/>
      <c r="AH371" s="421"/>
      <c r="AI371" s="421"/>
      <c r="AJ371" s="421"/>
      <c r="AK371" s="421"/>
      <c r="AL371" s="421"/>
    </row>
    <row r="372" spans="1:38">
      <c r="A372" s="410">
        <v>5504</v>
      </c>
      <c r="B372" s="407"/>
      <c r="C372" s="408"/>
      <c r="D372" s="410" t="s">
        <v>1951</v>
      </c>
      <c r="E372" s="410" t="s">
        <v>1409</v>
      </c>
      <c r="F372" s="410" t="s">
        <v>1479</v>
      </c>
      <c r="G372" s="68" t="str">
        <f t="shared" si="26"/>
        <v>SINGLE</v>
      </c>
      <c r="H372" s="197">
        <f t="shared" si="25"/>
        <v>13</v>
      </c>
      <c r="I372" s="408">
        <f t="shared" si="28"/>
        <v>3</v>
      </c>
      <c r="J372" s="408">
        <f t="shared" si="29"/>
        <v>25</v>
      </c>
      <c r="K372" s="411">
        <v>45741</v>
      </c>
      <c r="L372" s="408"/>
      <c r="M372" s="408"/>
      <c r="N372" s="3" t="str">
        <f t="shared" si="27"/>
        <v/>
      </c>
      <c r="O372" s="408"/>
      <c r="P372" s="408"/>
      <c r="Q372" s="408"/>
      <c r="R372" s="408"/>
      <c r="S372" s="408"/>
      <c r="T372" s="408"/>
      <c r="U372" s="408"/>
      <c r="V372" s="421"/>
      <c r="W372" s="421"/>
      <c r="X372" s="421"/>
      <c r="Y372" s="421"/>
      <c r="Z372" s="421"/>
      <c r="AA372" s="421"/>
      <c r="AB372" s="421"/>
      <c r="AC372" s="421"/>
      <c r="AD372" s="421"/>
      <c r="AE372" s="421"/>
      <c r="AF372" s="421"/>
      <c r="AG372" s="421"/>
      <c r="AH372" s="421"/>
      <c r="AI372" s="421"/>
      <c r="AJ372" s="421"/>
      <c r="AK372" s="421"/>
      <c r="AL372" s="421"/>
    </row>
    <row r="373" spans="1:38">
      <c r="A373" s="410">
        <v>5504</v>
      </c>
      <c r="B373" s="407"/>
      <c r="C373" s="408"/>
      <c r="D373" s="410" t="s">
        <v>1952</v>
      </c>
      <c r="E373" s="410" t="s">
        <v>1409</v>
      </c>
      <c r="F373" s="410" t="s">
        <v>1479</v>
      </c>
      <c r="G373" s="68" t="str">
        <f t="shared" si="26"/>
        <v>SINGLE</v>
      </c>
      <c r="H373" s="197">
        <f t="shared" si="25"/>
        <v>13</v>
      </c>
      <c r="I373" s="408">
        <f t="shared" si="28"/>
        <v>3</v>
      </c>
      <c r="J373" s="408">
        <f t="shared" si="29"/>
        <v>25</v>
      </c>
      <c r="K373" s="411">
        <v>45741</v>
      </c>
      <c r="L373" s="408"/>
      <c r="M373" s="408"/>
      <c r="N373" s="3" t="str">
        <f t="shared" si="27"/>
        <v/>
      </c>
      <c r="O373" s="408"/>
      <c r="P373" s="408"/>
      <c r="Q373" s="408"/>
      <c r="R373" s="408"/>
      <c r="S373" s="408"/>
      <c r="T373" s="408"/>
      <c r="U373" s="408"/>
      <c r="V373" s="421"/>
      <c r="W373" s="421"/>
      <c r="X373" s="421"/>
      <c r="Y373" s="421"/>
      <c r="Z373" s="421"/>
      <c r="AA373" s="421"/>
      <c r="AB373" s="421"/>
      <c r="AC373" s="421"/>
      <c r="AD373" s="421"/>
      <c r="AE373" s="421"/>
      <c r="AF373" s="421"/>
      <c r="AG373" s="421"/>
      <c r="AH373" s="421"/>
      <c r="AI373" s="421"/>
      <c r="AJ373" s="421"/>
      <c r="AK373" s="421"/>
      <c r="AL373" s="421"/>
    </row>
    <row r="374" spans="1:38">
      <c r="A374" s="410">
        <v>5504</v>
      </c>
      <c r="B374" s="407"/>
      <c r="C374" s="408"/>
      <c r="D374" s="410" t="s">
        <v>1953</v>
      </c>
      <c r="E374" s="410" t="s">
        <v>1409</v>
      </c>
      <c r="F374" s="410" t="s">
        <v>1479</v>
      </c>
      <c r="G374" s="68" t="str">
        <f t="shared" si="26"/>
        <v>SINGLE</v>
      </c>
      <c r="H374" s="197">
        <f t="shared" si="25"/>
        <v>13</v>
      </c>
      <c r="I374" s="408">
        <f t="shared" si="28"/>
        <v>3</v>
      </c>
      <c r="J374" s="408">
        <f t="shared" si="29"/>
        <v>25</v>
      </c>
      <c r="K374" s="411">
        <v>45741</v>
      </c>
      <c r="L374" s="408"/>
      <c r="M374" s="408"/>
      <c r="N374" s="3" t="str">
        <f t="shared" si="27"/>
        <v/>
      </c>
      <c r="O374" s="408"/>
      <c r="P374" s="408"/>
      <c r="Q374" s="408"/>
      <c r="R374" s="408"/>
      <c r="S374" s="408"/>
      <c r="T374" s="408"/>
      <c r="U374" s="408"/>
      <c r="V374" s="421"/>
      <c r="W374" s="421"/>
      <c r="X374" s="421"/>
      <c r="Y374" s="421"/>
      <c r="Z374" s="421"/>
      <c r="AA374" s="421"/>
      <c r="AB374" s="421"/>
      <c r="AC374" s="421"/>
      <c r="AD374" s="421"/>
      <c r="AE374" s="421"/>
      <c r="AF374" s="421"/>
      <c r="AG374" s="421"/>
      <c r="AH374" s="421"/>
      <c r="AI374" s="421"/>
      <c r="AJ374" s="421"/>
      <c r="AK374" s="421"/>
      <c r="AL374" s="421"/>
    </row>
    <row r="375" spans="1:38">
      <c r="A375" s="410">
        <v>5540</v>
      </c>
      <c r="B375" s="407"/>
      <c r="C375" s="408"/>
      <c r="D375" s="410" t="s">
        <v>1954</v>
      </c>
      <c r="E375" s="410" t="s">
        <v>1405</v>
      </c>
      <c r="F375" s="410" t="s">
        <v>1616</v>
      </c>
      <c r="G375" s="68" t="str">
        <f t="shared" si="26"/>
        <v>SINGLE</v>
      </c>
      <c r="H375" s="197">
        <f t="shared" si="25"/>
        <v>13</v>
      </c>
      <c r="I375" s="408">
        <f t="shared" si="28"/>
        <v>3</v>
      </c>
      <c r="J375" s="408">
        <f t="shared" si="29"/>
        <v>25</v>
      </c>
      <c r="K375" s="411">
        <v>45741</v>
      </c>
      <c r="L375" s="408"/>
      <c r="M375" s="408"/>
      <c r="N375" s="3" t="str">
        <f t="shared" si="27"/>
        <v/>
      </c>
      <c r="O375" s="408"/>
      <c r="P375" s="408"/>
      <c r="Q375" s="408"/>
      <c r="R375" s="408"/>
      <c r="S375" s="408"/>
      <c r="T375" s="408"/>
      <c r="U375" s="408"/>
      <c r="V375" s="421"/>
      <c r="W375" s="421"/>
      <c r="X375" s="421"/>
      <c r="Y375" s="421"/>
      <c r="Z375" s="421"/>
      <c r="AA375" s="421"/>
      <c r="AB375" s="421"/>
      <c r="AC375" s="421"/>
      <c r="AD375" s="421"/>
      <c r="AE375" s="421"/>
      <c r="AF375" s="421"/>
      <c r="AG375" s="421"/>
      <c r="AH375" s="421"/>
      <c r="AI375" s="421"/>
      <c r="AJ375" s="421"/>
      <c r="AK375" s="421"/>
      <c r="AL375" s="421"/>
    </row>
    <row r="376" spans="1:38">
      <c r="A376" s="410">
        <v>5540</v>
      </c>
      <c r="B376" s="407"/>
      <c r="C376" s="408"/>
      <c r="D376" s="410" t="s">
        <v>1955</v>
      </c>
      <c r="E376" s="410" t="s">
        <v>1405</v>
      </c>
      <c r="F376" s="410" t="s">
        <v>1616</v>
      </c>
      <c r="G376" s="68" t="str">
        <f t="shared" si="26"/>
        <v>SINGLE</v>
      </c>
      <c r="H376" s="197">
        <f t="shared" si="25"/>
        <v>13</v>
      </c>
      <c r="I376" s="408">
        <f t="shared" si="28"/>
        <v>3</v>
      </c>
      <c r="J376" s="408">
        <f t="shared" si="29"/>
        <v>25</v>
      </c>
      <c r="K376" s="411">
        <v>45741</v>
      </c>
      <c r="L376" s="408"/>
      <c r="M376" s="408"/>
      <c r="N376" s="3" t="str">
        <f t="shared" si="27"/>
        <v/>
      </c>
      <c r="O376" s="408"/>
      <c r="P376" s="408"/>
      <c r="Q376" s="408"/>
      <c r="R376" s="408"/>
      <c r="S376" s="408"/>
      <c r="T376" s="408"/>
      <c r="U376" s="408"/>
      <c r="V376" s="421"/>
      <c r="W376" s="421"/>
      <c r="X376" s="421"/>
      <c r="Y376" s="421"/>
      <c r="Z376" s="421"/>
      <c r="AA376" s="421"/>
      <c r="AB376" s="421"/>
      <c r="AC376" s="421"/>
      <c r="AD376" s="421"/>
      <c r="AE376" s="421"/>
      <c r="AF376" s="421"/>
      <c r="AG376" s="421"/>
      <c r="AH376" s="421"/>
      <c r="AI376" s="421"/>
      <c r="AJ376" s="421"/>
      <c r="AK376" s="421"/>
      <c r="AL376" s="421"/>
    </row>
    <row r="377" spans="1:38">
      <c r="A377" s="410">
        <v>5483</v>
      </c>
      <c r="B377" s="407"/>
      <c r="C377" s="408"/>
      <c r="D377" s="410" t="s">
        <v>1956</v>
      </c>
      <c r="E377" s="410" t="s">
        <v>1400</v>
      </c>
      <c r="F377" s="410" t="s">
        <v>1476</v>
      </c>
      <c r="G377" s="68" t="str">
        <f t="shared" si="26"/>
        <v>DUAL</v>
      </c>
      <c r="H377" s="197">
        <f t="shared" si="25"/>
        <v>13</v>
      </c>
      <c r="I377" s="408">
        <f t="shared" si="28"/>
        <v>3</v>
      </c>
      <c r="J377" s="408">
        <f t="shared" si="29"/>
        <v>26</v>
      </c>
      <c r="K377" s="411">
        <v>45742</v>
      </c>
      <c r="L377" s="408"/>
      <c r="M377" s="408"/>
      <c r="N377" s="3" t="str">
        <f t="shared" si="27"/>
        <v/>
      </c>
      <c r="O377" s="408"/>
      <c r="P377" s="408"/>
      <c r="Q377" s="408"/>
      <c r="R377" s="408"/>
      <c r="S377" s="408"/>
      <c r="T377" s="408"/>
      <c r="U377" s="408"/>
      <c r="V377" s="421"/>
      <c r="W377" s="421"/>
      <c r="X377" s="421"/>
      <c r="Y377" s="421"/>
      <c r="Z377" s="421"/>
      <c r="AA377" s="421"/>
      <c r="AB377" s="421"/>
      <c r="AC377" s="421"/>
      <c r="AD377" s="421"/>
      <c r="AE377" s="421"/>
      <c r="AF377" s="421"/>
      <c r="AG377" s="421"/>
      <c r="AH377" s="421"/>
      <c r="AI377" s="421"/>
      <c r="AJ377" s="421"/>
      <c r="AK377" s="421"/>
      <c r="AL377" s="421"/>
    </row>
    <row r="378" spans="1:38">
      <c r="A378" s="410">
        <v>5558</v>
      </c>
      <c r="B378" s="407"/>
      <c r="C378" s="408"/>
      <c r="D378" s="410" t="s">
        <v>1957</v>
      </c>
      <c r="E378" s="410" t="s">
        <v>1585</v>
      </c>
      <c r="F378" s="410" t="s">
        <v>1482</v>
      </c>
      <c r="G378" s="68" t="str">
        <f t="shared" si="26"/>
        <v>SINGLE</v>
      </c>
      <c r="H378" s="197">
        <f t="shared" si="25"/>
        <v>13</v>
      </c>
      <c r="I378" s="408">
        <f t="shared" si="28"/>
        <v>3</v>
      </c>
      <c r="J378" s="408">
        <f t="shared" si="29"/>
        <v>26</v>
      </c>
      <c r="K378" s="411">
        <v>45742</v>
      </c>
      <c r="L378" s="408"/>
      <c r="M378" s="408"/>
      <c r="N378" s="3" t="str">
        <f t="shared" si="27"/>
        <v/>
      </c>
      <c r="O378" s="408"/>
      <c r="P378" s="408"/>
      <c r="Q378" s="408"/>
      <c r="R378" s="408"/>
      <c r="S378" s="408"/>
      <c r="T378" s="408"/>
      <c r="U378" s="408"/>
      <c r="V378" s="421"/>
      <c r="W378" s="421"/>
      <c r="X378" s="421"/>
      <c r="Y378" s="421"/>
      <c r="Z378" s="421"/>
      <c r="AA378" s="421"/>
      <c r="AB378" s="421"/>
      <c r="AC378" s="421"/>
      <c r="AD378" s="421"/>
      <c r="AE378" s="421"/>
      <c r="AF378" s="421"/>
      <c r="AG378" s="421"/>
      <c r="AH378" s="421"/>
      <c r="AI378" s="421"/>
      <c r="AJ378" s="421"/>
      <c r="AK378" s="421"/>
      <c r="AL378" s="421"/>
    </row>
    <row r="379" spans="1:38">
      <c r="A379" s="410">
        <v>5355</v>
      </c>
      <c r="B379" s="407"/>
      <c r="C379" s="408"/>
      <c r="D379" s="410" t="s">
        <v>1958</v>
      </c>
      <c r="E379" s="410" t="s">
        <v>1585</v>
      </c>
      <c r="F379" s="410" t="s">
        <v>1476</v>
      </c>
      <c r="G379" s="68" t="str">
        <f t="shared" si="26"/>
        <v>DUAL</v>
      </c>
      <c r="H379" s="197">
        <f t="shared" si="25"/>
        <v>13</v>
      </c>
      <c r="I379" s="408">
        <f t="shared" si="28"/>
        <v>3</v>
      </c>
      <c r="J379" s="408">
        <f t="shared" si="29"/>
        <v>26</v>
      </c>
      <c r="K379" s="411">
        <v>45742</v>
      </c>
      <c r="L379" s="408"/>
      <c r="M379" s="408"/>
      <c r="N379" s="3" t="str">
        <f t="shared" si="27"/>
        <v/>
      </c>
      <c r="O379" s="408"/>
      <c r="P379" s="408"/>
      <c r="Q379" s="408"/>
      <c r="R379" s="408"/>
      <c r="S379" s="408"/>
      <c r="T379" s="408"/>
      <c r="U379" s="408"/>
      <c r="V379" s="421"/>
      <c r="W379" s="421"/>
      <c r="X379" s="421"/>
      <c r="Y379" s="421"/>
      <c r="Z379" s="421"/>
      <c r="AA379" s="421"/>
      <c r="AB379" s="421"/>
      <c r="AC379" s="421"/>
      <c r="AD379" s="421"/>
      <c r="AE379" s="421"/>
      <c r="AF379" s="421"/>
      <c r="AG379" s="421"/>
      <c r="AH379" s="421"/>
      <c r="AI379" s="421"/>
      <c r="AJ379" s="421"/>
      <c r="AK379" s="421"/>
      <c r="AL379" s="421"/>
    </row>
    <row r="380" spans="1:38">
      <c r="A380" s="410">
        <v>5355</v>
      </c>
      <c r="B380" s="407"/>
      <c r="C380" s="408"/>
      <c r="D380" s="410" t="s">
        <v>1959</v>
      </c>
      <c r="E380" s="410" t="s">
        <v>1585</v>
      </c>
      <c r="F380" s="410" t="s">
        <v>1476</v>
      </c>
      <c r="G380" s="68" t="str">
        <f t="shared" si="26"/>
        <v>DUAL</v>
      </c>
      <c r="H380" s="197">
        <f t="shared" si="25"/>
        <v>13</v>
      </c>
      <c r="I380" s="408">
        <f t="shared" si="28"/>
        <v>3</v>
      </c>
      <c r="J380" s="408">
        <f t="shared" si="29"/>
        <v>26</v>
      </c>
      <c r="K380" s="411">
        <v>45742</v>
      </c>
      <c r="L380" s="408"/>
      <c r="M380" s="408"/>
      <c r="N380" s="3" t="str">
        <f t="shared" si="27"/>
        <v/>
      </c>
      <c r="O380" s="408"/>
      <c r="P380" s="408"/>
      <c r="Q380" s="408"/>
      <c r="R380" s="408"/>
      <c r="S380" s="408"/>
      <c r="T380" s="408"/>
      <c r="U380" s="408"/>
      <c r="V380" s="421"/>
      <c r="W380" s="421"/>
      <c r="X380" s="421"/>
      <c r="Y380" s="421"/>
      <c r="Z380" s="421"/>
      <c r="AA380" s="421"/>
      <c r="AB380" s="421"/>
      <c r="AC380" s="421"/>
      <c r="AD380" s="421"/>
      <c r="AE380" s="421"/>
      <c r="AF380" s="421"/>
      <c r="AG380" s="421"/>
      <c r="AH380" s="421"/>
      <c r="AI380" s="421"/>
      <c r="AJ380" s="421"/>
      <c r="AK380" s="421"/>
      <c r="AL380" s="421"/>
    </row>
    <row r="381" spans="1:38">
      <c r="A381" s="410">
        <v>5350</v>
      </c>
      <c r="B381" s="407"/>
      <c r="C381" s="408"/>
      <c r="D381" s="410" t="s">
        <v>1960</v>
      </c>
      <c r="E381" s="410" t="s">
        <v>1585</v>
      </c>
      <c r="F381" s="410" t="s">
        <v>1476</v>
      </c>
      <c r="G381" s="68" t="str">
        <f t="shared" si="26"/>
        <v>DUAL</v>
      </c>
      <c r="H381" s="197">
        <f t="shared" si="25"/>
        <v>13</v>
      </c>
      <c r="I381" s="408">
        <f t="shared" si="28"/>
        <v>3</v>
      </c>
      <c r="J381" s="408">
        <f t="shared" si="29"/>
        <v>26</v>
      </c>
      <c r="K381" s="411">
        <v>45742</v>
      </c>
      <c r="L381" s="408"/>
      <c r="M381" s="408"/>
      <c r="N381" s="3" t="str">
        <f t="shared" si="27"/>
        <v/>
      </c>
      <c r="O381" s="408"/>
      <c r="P381" s="408"/>
      <c r="Q381" s="408"/>
      <c r="R381" s="408"/>
      <c r="S381" s="408"/>
      <c r="T381" s="408"/>
      <c r="U381" s="408"/>
      <c r="V381" s="421"/>
      <c r="W381" s="421"/>
      <c r="X381" s="421"/>
      <c r="Y381" s="421"/>
      <c r="Z381" s="421"/>
      <c r="AA381" s="421"/>
      <c r="AB381" s="421"/>
      <c r="AC381" s="421"/>
      <c r="AD381" s="421"/>
      <c r="AE381" s="421"/>
      <c r="AF381" s="421"/>
      <c r="AG381" s="421"/>
      <c r="AH381" s="421"/>
      <c r="AI381" s="421"/>
      <c r="AJ381" s="421"/>
      <c r="AK381" s="421"/>
      <c r="AL381" s="421"/>
    </row>
    <row r="382" spans="1:38">
      <c r="A382" s="410">
        <v>5433</v>
      </c>
      <c r="B382" s="407"/>
      <c r="C382" s="408"/>
      <c r="D382" s="410" t="s">
        <v>1961</v>
      </c>
      <c r="E382" s="410" t="s">
        <v>1419</v>
      </c>
      <c r="F382" s="410" t="s">
        <v>1479</v>
      </c>
      <c r="G382" s="68" t="str">
        <f t="shared" si="26"/>
        <v>SINGLE</v>
      </c>
      <c r="H382" s="197">
        <f t="shared" si="25"/>
        <v>13</v>
      </c>
      <c r="I382" s="408">
        <f t="shared" si="28"/>
        <v>3</v>
      </c>
      <c r="J382" s="408">
        <f t="shared" si="29"/>
        <v>27</v>
      </c>
      <c r="K382" s="411">
        <v>45743</v>
      </c>
      <c r="L382" s="408"/>
      <c r="M382" s="408"/>
      <c r="N382" s="3" t="str">
        <f t="shared" si="27"/>
        <v/>
      </c>
      <c r="O382" s="408"/>
      <c r="P382" s="408"/>
      <c r="Q382" s="408"/>
      <c r="R382" s="408"/>
      <c r="S382" s="408"/>
      <c r="T382" s="408"/>
      <c r="U382" s="408"/>
      <c r="V382" s="421"/>
      <c r="W382" s="421"/>
      <c r="X382" s="421"/>
      <c r="Y382" s="421"/>
      <c r="Z382" s="421"/>
      <c r="AA382" s="421"/>
      <c r="AB382" s="421"/>
      <c r="AC382" s="421"/>
      <c r="AD382" s="421"/>
      <c r="AE382" s="421"/>
      <c r="AF382" s="421"/>
      <c r="AG382" s="421"/>
      <c r="AH382" s="421"/>
      <c r="AI382" s="421"/>
      <c r="AJ382" s="421"/>
      <c r="AK382" s="421"/>
      <c r="AL382" s="421"/>
    </row>
    <row r="383" spans="1:38">
      <c r="A383" s="410">
        <v>5355</v>
      </c>
      <c r="B383" s="407"/>
      <c r="C383" s="408"/>
      <c r="D383" s="410" t="s">
        <v>1962</v>
      </c>
      <c r="E383" s="410" t="s">
        <v>1585</v>
      </c>
      <c r="F383" s="410" t="s">
        <v>1476</v>
      </c>
      <c r="G383" s="68" t="str">
        <f t="shared" si="26"/>
        <v>DUAL</v>
      </c>
      <c r="H383" s="197">
        <f t="shared" si="25"/>
        <v>13</v>
      </c>
      <c r="I383" s="408">
        <f t="shared" si="28"/>
        <v>3</v>
      </c>
      <c r="J383" s="408">
        <f t="shared" si="29"/>
        <v>27</v>
      </c>
      <c r="K383" s="411">
        <v>45743</v>
      </c>
      <c r="L383" s="408"/>
      <c r="M383" s="408"/>
      <c r="N383" s="3" t="str">
        <f t="shared" si="27"/>
        <v/>
      </c>
      <c r="O383" s="408"/>
      <c r="P383" s="408"/>
      <c r="Q383" s="408"/>
      <c r="R383" s="408"/>
      <c r="S383" s="408"/>
      <c r="T383" s="408"/>
      <c r="U383" s="408"/>
      <c r="V383" s="421"/>
      <c r="W383" s="421"/>
      <c r="X383" s="421"/>
      <c r="Y383" s="421"/>
      <c r="Z383" s="421"/>
      <c r="AA383" s="421"/>
      <c r="AB383" s="421"/>
      <c r="AC383" s="421"/>
      <c r="AD383" s="421"/>
      <c r="AE383" s="421"/>
      <c r="AF383" s="421"/>
      <c r="AG383" s="421"/>
      <c r="AH383" s="421"/>
      <c r="AI383" s="421"/>
      <c r="AJ383" s="421"/>
      <c r="AK383" s="421"/>
      <c r="AL383" s="421"/>
    </row>
    <row r="384" spans="1:38">
      <c r="A384" s="410">
        <v>5355</v>
      </c>
      <c r="B384" s="407"/>
      <c r="C384" s="408"/>
      <c r="D384" s="410" t="s">
        <v>1963</v>
      </c>
      <c r="E384" s="410" t="s">
        <v>1585</v>
      </c>
      <c r="F384" s="410" t="s">
        <v>1476</v>
      </c>
      <c r="G384" s="68" t="str">
        <f t="shared" si="26"/>
        <v>DUAL</v>
      </c>
      <c r="H384" s="197">
        <f t="shared" si="25"/>
        <v>13</v>
      </c>
      <c r="I384" s="408">
        <f t="shared" si="28"/>
        <v>3</v>
      </c>
      <c r="J384" s="408">
        <f t="shared" si="29"/>
        <v>27</v>
      </c>
      <c r="K384" s="411">
        <v>45743</v>
      </c>
      <c r="L384" s="408"/>
      <c r="M384" s="408"/>
      <c r="N384" s="3" t="str">
        <f t="shared" si="27"/>
        <v/>
      </c>
      <c r="O384" s="408"/>
      <c r="P384" s="408"/>
      <c r="Q384" s="408"/>
      <c r="R384" s="408"/>
      <c r="S384" s="408"/>
      <c r="T384" s="408"/>
      <c r="U384" s="408"/>
      <c r="V384" s="421"/>
      <c r="W384" s="421"/>
      <c r="X384" s="421"/>
      <c r="Y384" s="421"/>
      <c r="Z384" s="421"/>
      <c r="AA384" s="421"/>
      <c r="AB384" s="421"/>
      <c r="AC384" s="421"/>
      <c r="AD384" s="421"/>
      <c r="AE384" s="421"/>
      <c r="AF384" s="421"/>
      <c r="AG384" s="421"/>
      <c r="AH384" s="421"/>
      <c r="AI384" s="421"/>
      <c r="AJ384" s="421"/>
      <c r="AK384" s="421"/>
      <c r="AL384" s="421"/>
    </row>
    <row r="385" spans="1:38">
      <c r="A385" s="410">
        <v>5355</v>
      </c>
      <c r="B385" s="407"/>
      <c r="C385" s="408"/>
      <c r="D385" s="410" t="s">
        <v>1964</v>
      </c>
      <c r="E385" s="410" t="s">
        <v>1585</v>
      </c>
      <c r="F385" s="410" t="s">
        <v>1476</v>
      </c>
      <c r="G385" s="68" t="str">
        <f t="shared" si="26"/>
        <v>DUAL</v>
      </c>
      <c r="H385" s="197">
        <f t="shared" ref="H385:H448" si="30">WEEKNUM(K385)</f>
        <v>13</v>
      </c>
      <c r="I385" s="408">
        <f t="shared" si="28"/>
        <v>3</v>
      </c>
      <c r="J385" s="408">
        <f t="shared" si="29"/>
        <v>27</v>
      </c>
      <c r="K385" s="411">
        <v>45743</v>
      </c>
      <c r="L385" s="408"/>
      <c r="M385" s="408"/>
      <c r="N385" s="3" t="str">
        <f t="shared" si="27"/>
        <v/>
      </c>
      <c r="O385" s="408"/>
      <c r="P385" s="408"/>
      <c r="Q385" s="408"/>
      <c r="R385" s="408"/>
      <c r="S385" s="408"/>
      <c r="T385" s="408"/>
      <c r="U385" s="408"/>
      <c r="V385" s="421"/>
      <c r="W385" s="421"/>
      <c r="X385" s="421"/>
      <c r="Y385" s="421"/>
      <c r="Z385" s="421"/>
      <c r="AA385" s="421"/>
      <c r="AB385" s="421"/>
      <c r="AC385" s="421"/>
      <c r="AD385" s="421"/>
      <c r="AE385" s="421"/>
      <c r="AF385" s="421"/>
      <c r="AG385" s="421"/>
      <c r="AH385" s="421"/>
      <c r="AI385" s="421"/>
      <c r="AJ385" s="421"/>
      <c r="AK385" s="421"/>
      <c r="AL385" s="421"/>
    </row>
    <row r="386" spans="1:38">
      <c r="A386" s="410">
        <v>5441</v>
      </c>
      <c r="B386" s="407"/>
      <c r="C386" s="408"/>
      <c r="D386" s="410" t="s">
        <v>1965</v>
      </c>
      <c r="E386" s="410" t="s">
        <v>1409</v>
      </c>
      <c r="F386" s="410" t="s">
        <v>1479</v>
      </c>
      <c r="G386" s="68" t="str">
        <f t="shared" ref="G386:G449" si="31">IF(OR(ISNUMBER(SEARCH("DUAL",F386)), ISNUMBER(SEARCH("IVAS",F386))), "DUAL", "SINGLE")</f>
        <v>SINGLE</v>
      </c>
      <c r="H386" s="197">
        <f t="shared" si="30"/>
        <v>13</v>
      </c>
      <c r="I386" s="408">
        <f t="shared" si="28"/>
        <v>3</v>
      </c>
      <c r="J386" s="408">
        <f t="shared" si="29"/>
        <v>27</v>
      </c>
      <c r="K386" s="411">
        <v>45743</v>
      </c>
      <c r="L386" s="408"/>
      <c r="M386" s="408"/>
      <c r="N386" s="3" t="str">
        <f t="shared" ref="N386:N449" si="32">IF(O386&lt;&gt;"", "NG", "")</f>
        <v/>
      </c>
      <c r="O386" s="408"/>
      <c r="P386" s="408"/>
      <c r="Q386" s="408"/>
      <c r="R386" s="408"/>
      <c r="S386" s="408"/>
      <c r="T386" s="408"/>
      <c r="U386" s="408"/>
      <c r="V386" s="421"/>
      <c r="W386" s="421"/>
      <c r="X386" s="421"/>
      <c r="Y386" s="421"/>
      <c r="Z386" s="421"/>
      <c r="AA386" s="421"/>
      <c r="AB386" s="421"/>
      <c r="AC386" s="421"/>
      <c r="AD386" s="421"/>
      <c r="AE386" s="421"/>
      <c r="AF386" s="421"/>
      <c r="AG386" s="421"/>
      <c r="AH386" s="421"/>
      <c r="AI386" s="421"/>
      <c r="AJ386" s="421"/>
      <c r="AK386" s="421"/>
      <c r="AL386" s="421"/>
    </row>
    <row r="387" spans="1:38">
      <c r="A387" s="410">
        <v>5441</v>
      </c>
      <c r="B387" s="407"/>
      <c r="C387" s="408"/>
      <c r="D387" s="410" t="s">
        <v>1966</v>
      </c>
      <c r="E387" s="410" t="s">
        <v>1409</v>
      </c>
      <c r="F387" s="410" t="s">
        <v>1479</v>
      </c>
      <c r="G387" s="68" t="str">
        <f t="shared" si="31"/>
        <v>SINGLE</v>
      </c>
      <c r="H387" s="197">
        <f t="shared" si="30"/>
        <v>13</v>
      </c>
      <c r="I387" s="408">
        <f t="shared" ref="I387:I450" si="33">MONTH(K387)</f>
        <v>3</v>
      </c>
      <c r="J387" s="408">
        <f t="shared" ref="J387:J450" si="34">DAY(K387)</f>
        <v>27</v>
      </c>
      <c r="K387" s="411">
        <v>45743</v>
      </c>
      <c r="L387" s="408"/>
      <c r="M387" s="408"/>
      <c r="N387" s="3" t="str">
        <f t="shared" si="32"/>
        <v/>
      </c>
      <c r="O387" s="408"/>
      <c r="P387" s="408"/>
      <c r="Q387" s="408"/>
      <c r="R387" s="408"/>
      <c r="S387" s="408"/>
      <c r="T387" s="408"/>
      <c r="U387" s="408"/>
      <c r="V387" s="421"/>
      <c r="W387" s="421"/>
      <c r="X387" s="421"/>
      <c r="Y387" s="421"/>
      <c r="Z387" s="421"/>
      <c r="AA387" s="421"/>
      <c r="AB387" s="421"/>
      <c r="AC387" s="421"/>
      <c r="AD387" s="421"/>
      <c r="AE387" s="421"/>
      <c r="AF387" s="421"/>
      <c r="AG387" s="421"/>
      <c r="AH387" s="421"/>
      <c r="AI387" s="421"/>
      <c r="AJ387" s="421"/>
      <c r="AK387" s="421"/>
      <c r="AL387" s="421"/>
    </row>
    <row r="388" spans="1:38">
      <c r="A388" s="410">
        <v>5351</v>
      </c>
      <c r="B388" s="407"/>
      <c r="C388" s="408"/>
      <c r="D388" s="410" t="s">
        <v>1967</v>
      </c>
      <c r="E388" s="410" t="s">
        <v>1585</v>
      </c>
      <c r="F388" s="410" t="s">
        <v>1476</v>
      </c>
      <c r="G388" s="68" t="str">
        <f t="shared" si="31"/>
        <v>DUAL</v>
      </c>
      <c r="H388" s="197">
        <f t="shared" si="30"/>
        <v>13</v>
      </c>
      <c r="I388" s="408">
        <f t="shared" si="33"/>
        <v>3</v>
      </c>
      <c r="J388" s="408">
        <f t="shared" si="34"/>
        <v>27</v>
      </c>
      <c r="K388" s="411">
        <v>45743</v>
      </c>
      <c r="L388" s="408"/>
      <c r="M388" s="408"/>
      <c r="N388" s="3" t="str">
        <f t="shared" si="32"/>
        <v/>
      </c>
      <c r="O388" s="408"/>
      <c r="P388" s="408"/>
      <c r="Q388" s="408"/>
      <c r="R388" s="408"/>
      <c r="S388" s="408"/>
      <c r="T388" s="408"/>
      <c r="U388" s="408"/>
      <c r="V388" s="421"/>
      <c r="W388" s="421"/>
      <c r="X388" s="421"/>
      <c r="Y388" s="421"/>
      <c r="Z388" s="421"/>
      <c r="AA388" s="421"/>
      <c r="AB388" s="421"/>
      <c r="AC388" s="421"/>
      <c r="AD388" s="421"/>
      <c r="AE388" s="421"/>
      <c r="AF388" s="421"/>
      <c r="AG388" s="421"/>
      <c r="AH388" s="421"/>
      <c r="AI388" s="421"/>
      <c r="AJ388" s="421"/>
      <c r="AK388" s="421"/>
      <c r="AL388" s="421"/>
    </row>
    <row r="389" spans="1:38">
      <c r="A389" s="410">
        <v>5355</v>
      </c>
      <c r="B389" s="407"/>
      <c r="C389" s="408"/>
      <c r="D389" s="410" t="s">
        <v>1968</v>
      </c>
      <c r="E389" s="410" t="s">
        <v>1585</v>
      </c>
      <c r="F389" s="410" t="s">
        <v>1476</v>
      </c>
      <c r="G389" s="68" t="str">
        <f t="shared" si="31"/>
        <v>DUAL</v>
      </c>
      <c r="H389" s="197">
        <f t="shared" si="30"/>
        <v>13</v>
      </c>
      <c r="I389" s="408">
        <f t="shared" si="33"/>
        <v>3</v>
      </c>
      <c r="J389" s="408">
        <f t="shared" si="34"/>
        <v>27</v>
      </c>
      <c r="K389" s="411">
        <v>45743</v>
      </c>
      <c r="L389" s="408"/>
      <c r="M389" s="408"/>
      <c r="N389" s="3" t="str">
        <f t="shared" si="32"/>
        <v/>
      </c>
      <c r="O389" s="408"/>
      <c r="P389" s="408"/>
      <c r="Q389" s="408"/>
      <c r="R389" s="408"/>
      <c r="S389" s="408"/>
      <c r="T389" s="408"/>
      <c r="U389" s="408"/>
      <c r="V389" s="421"/>
      <c r="W389" s="421"/>
      <c r="X389" s="421"/>
      <c r="Y389" s="421"/>
      <c r="Z389" s="421"/>
      <c r="AA389" s="421"/>
      <c r="AB389" s="421"/>
      <c r="AC389" s="421"/>
      <c r="AD389" s="421"/>
      <c r="AE389" s="421"/>
      <c r="AF389" s="421"/>
      <c r="AG389" s="421"/>
      <c r="AH389" s="421"/>
      <c r="AI389" s="421"/>
      <c r="AJ389" s="421"/>
      <c r="AK389" s="421"/>
      <c r="AL389" s="421"/>
    </row>
    <row r="390" spans="1:38">
      <c r="A390" s="410">
        <v>5355</v>
      </c>
      <c r="B390" s="407"/>
      <c r="C390" s="408"/>
      <c r="D390" s="410" t="s">
        <v>1969</v>
      </c>
      <c r="E390" s="410" t="s">
        <v>1585</v>
      </c>
      <c r="F390" s="410" t="s">
        <v>1476</v>
      </c>
      <c r="G390" s="68" t="str">
        <f t="shared" si="31"/>
        <v>DUAL</v>
      </c>
      <c r="H390" s="197">
        <f t="shared" si="30"/>
        <v>13</v>
      </c>
      <c r="I390" s="408">
        <f t="shared" si="33"/>
        <v>3</v>
      </c>
      <c r="J390" s="408">
        <f t="shared" si="34"/>
        <v>27</v>
      </c>
      <c r="K390" s="411">
        <v>45743</v>
      </c>
      <c r="L390" s="408"/>
      <c r="M390" s="408"/>
      <c r="N390" s="3" t="str">
        <f t="shared" si="32"/>
        <v/>
      </c>
      <c r="O390" s="408"/>
      <c r="P390" s="408"/>
      <c r="Q390" s="408"/>
      <c r="R390" s="408"/>
      <c r="S390" s="408"/>
      <c r="T390" s="408"/>
      <c r="U390" s="408"/>
      <c r="V390" s="421"/>
      <c r="W390" s="421"/>
      <c r="X390" s="421"/>
      <c r="Y390" s="421"/>
      <c r="Z390" s="421"/>
      <c r="AA390" s="421"/>
      <c r="AB390" s="421"/>
      <c r="AC390" s="421"/>
      <c r="AD390" s="421"/>
      <c r="AE390" s="421"/>
      <c r="AF390" s="421"/>
      <c r="AG390" s="421"/>
      <c r="AH390" s="421"/>
      <c r="AI390" s="421"/>
      <c r="AJ390" s="421"/>
      <c r="AK390" s="421"/>
      <c r="AL390" s="421"/>
    </row>
    <row r="391" spans="1:38">
      <c r="A391" s="410">
        <v>5498</v>
      </c>
      <c r="B391" s="407"/>
      <c r="C391" s="408"/>
      <c r="D391" s="410" t="s">
        <v>1970</v>
      </c>
      <c r="E391" s="410" t="s">
        <v>1405</v>
      </c>
      <c r="F391" s="410" t="s">
        <v>1476</v>
      </c>
      <c r="G391" s="68" t="str">
        <f t="shared" si="31"/>
        <v>DUAL</v>
      </c>
      <c r="H391" s="197">
        <f t="shared" si="30"/>
        <v>13</v>
      </c>
      <c r="I391" s="408">
        <f t="shared" si="33"/>
        <v>3</v>
      </c>
      <c r="J391" s="408">
        <f t="shared" si="34"/>
        <v>28</v>
      </c>
      <c r="K391" s="411">
        <v>45744</v>
      </c>
      <c r="L391" s="408"/>
      <c r="M391" s="408"/>
      <c r="N391" s="3" t="str">
        <f t="shared" si="32"/>
        <v/>
      </c>
      <c r="O391" s="408"/>
      <c r="P391" s="408"/>
      <c r="Q391" s="408"/>
      <c r="R391" s="408"/>
      <c r="S391" s="408"/>
      <c r="T391" s="408"/>
      <c r="U391" s="408"/>
      <c r="V391" s="421"/>
      <c r="W391" s="421"/>
      <c r="X391" s="421"/>
      <c r="Y391" s="421"/>
      <c r="Z391" s="421"/>
      <c r="AA391" s="421"/>
      <c r="AB391" s="421"/>
      <c r="AC391" s="421"/>
      <c r="AD391" s="421"/>
      <c r="AE391" s="421"/>
      <c r="AF391" s="421"/>
      <c r="AG391" s="421"/>
      <c r="AH391" s="421"/>
      <c r="AI391" s="421"/>
      <c r="AJ391" s="421"/>
      <c r="AK391" s="421"/>
      <c r="AL391" s="421"/>
    </row>
    <row r="392" spans="1:38">
      <c r="A392" s="410">
        <v>5498</v>
      </c>
      <c r="B392" s="407"/>
      <c r="C392" s="408"/>
      <c r="D392" s="410" t="s">
        <v>1971</v>
      </c>
      <c r="E392" s="410" t="s">
        <v>1405</v>
      </c>
      <c r="F392" s="410" t="s">
        <v>1476</v>
      </c>
      <c r="G392" s="68" t="str">
        <f t="shared" si="31"/>
        <v>DUAL</v>
      </c>
      <c r="H392" s="197">
        <f t="shared" si="30"/>
        <v>13</v>
      </c>
      <c r="I392" s="408">
        <f t="shared" si="33"/>
        <v>3</v>
      </c>
      <c r="J392" s="408">
        <f t="shared" si="34"/>
        <v>28</v>
      </c>
      <c r="K392" s="411">
        <v>45744</v>
      </c>
      <c r="L392" s="408"/>
      <c r="M392" s="408"/>
      <c r="N392" s="3" t="str">
        <f t="shared" si="32"/>
        <v/>
      </c>
      <c r="O392" s="408"/>
      <c r="P392" s="408"/>
      <c r="Q392" s="408"/>
      <c r="R392" s="408"/>
      <c r="S392" s="408"/>
      <c r="T392" s="408"/>
      <c r="U392" s="408"/>
      <c r="V392" s="421"/>
      <c r="W392" s="421"/>
      <c r="X392" s="421"/>
      <c r="Y392" s="421"/>
      <c r="Z392" s="421"/>
      <c r="AA392" s="421"/>
      <c r="AB392" s="421"/>
      <c r="AC392" s="421"/>
      <c r="AD392" s="421"/>
      <c r="AE392" s="421"/>
      <c r="AF392" s="421"/>
      <c r="AG392" s="421"/>
      <c r="AH392" s="421"/>
      <c r="AI392" s="421"/>
      <c r="AJ392" s="421"/>
      <c r="AK392" s="421"/>
      <c r="AL392" s="421"/>
    </row>
    <row r="393" spans="1:38">
      <c r="A393" s="410">
        <v>5545</v>
      </c>
      <c r="B393" s="407"/>
      <c r="C393" s="408"/>
      <c r="D393" s="410" t="s">
        <v>1972</v>
      </c>
      <c r="E393" s="410" t="s">
        <v>1585</v>
      </c>
      <c r="F393" s="410" t="s">
        <v>1476</v>
      </c>
      <c r="G393" s="68" t="str">
        <f t="shared" si="31"/>
        <v>DUAL</v>
      </c>
      <c r="H393" s="197">
        <f t="shared" si="30"/>
        <v>13</v>
      </c>
      <c r="I393" s="408">
        <f t="shared" si="33"/>
        <v>3</v>
      </c>
      <c r="J393" s="408">
        <f t="shared" si="34"/>
        <v>28</v>
      </c>
      <c r="K393" s="411">
        <v>45744</v>
      </c>
      <c r="L393" s="408"/>
      <c r="M393" s="408"/>
      <c r="N393" s="3" t="str">
        <f t="shared" si="32"/>
        <v/>
      </c>
      <c r="O393" s="408"/>
      <c r="P393" s="408"/>
      <c r="Q393" s="408"/>
      <c r="R393" s="408"/>
      <c r="S393" s="408"/>
      <c r="T393" s="408"/>
      <c r="U393" s="408"/>
      <c r="V393" s="421"/>
      <c r="W393" s="421"/>
      <c r="X393" s="421"/>
      <c r="Y393" s="421"/>
      <c r="Z393" s="421"/>
      <c r="AA393" s="421"/>
      <c r="AB393" s="421"/>
      <c r="AC393" s="421"/>
      <c r="AD393" s="421"/>
      <c r="AE393" s="421"/>
      <c r="AF393" s="421"/>
      <c r="AG393" s="421"/>
      <c r="AH393" s="421"/>
      <c r="AI393" s="421"/>
      <c r="AJ393" s="421"/>
      <c r="AK393" s="421"/>
      <c r="AL393" s="421"/>
    </row>
    <row r="394" spans="1:38">
      <c r="A394" s="410">
        <v>5545</v>
      </c>
      <c r="B394" s="407"/>
      <c r="C394" s="408"/>
      <c r="D394" s="410" t="s">
        <v>1973</v>
      </c>
      <c r="E394" s="410" t="s">
        <v>1585</v>
      </c>
      <c r="F394" s="410" t="s">
        <v>1476</v>
      </c>
      <c r="G394" s="68" t="str">
        <f t="shared" si="31"/>
        <v>DUAL</v>
      </c>
      <c r="H394" s="197">
        <f t="shared" si="30"/>
        <v>13</v>
      </c>
      <c r="I394" s="408">
        <f t="shared" si="33"/>
        <v>3</v>
      </c>
      <c r="J394" s="408">
        <f t="shared" si="34"/>
        <v>28</v>
      </c>
      <c r="K394" s="411">
        <v>45744</v>
      </c>
      <c r="L394" s="408"/>
      <c r="M394" s="408"/>
      <c r="N394" s="3" t="str">
        <f t="shared" si="32"/>
        <v/>
      </c>
      <c r="O394" s="408"/>
      <c r="P394" s="408"/>
      <c r="Q394" s="408"/>
      <c r="R394" s="408"/>
      <c r="S394" s="408"/>
      <c r="T394" s="408"/>
      <c r="U394" s="408"/>
      <c r="V394" s="421"/>
      <c r="W394" s="421"/>
      <c r="X394" s="421"/>
      <c r="Y394" s="421"/>
      <c r="Z394" s="421"/>
      <c r="AA394" s="421"/>
      <c r="AB394" s="421"/>
      <c r="AC394" s="421"/>
      <c r="AD394" s="421"/>
      <c r="AE394" s="421"/>
      <c r="AF394" s="421"/>
      <c r="AG394" s="421"/>
      <c r="AH394" s="421"/>
      <c r="AI394" s="421"/>
      <c r="AJ394" s="421"/>
      <c r="AK394" s="421"/>
      <c r="AL394" s="421"/>
    </row>
    <row r="395" spans="1:38" s="180" customFormat="1">
      <c r="A395" s="412">
        <v>5441</v>
      </c>
      <c r="B395" s="413"/>
      <c r="C395" s="414"/>
      <c r="D395" s="412" t="s">
        <v>1974</v>
      </c>
      <c r="E395" s="412" t="s">
        <v>1409</v>
      </c>
      <c r="F395" s="412" t="s">
        <v>1479</v>
      </c>
      <c r="G395" s="68" t="str">
        <f t="shared" si="31"/>
        <v>SINGLE</v>
      </c>
      <c r="H395" s="197">
        <f t="shared" si="30"/>
        <v>13</v>
      </c>
      <c r="I395" s="414">
        <f t="shared" si="33"/>
        <v>3</v>
      </c>
      <c r="J395" s="414">
        <f t="shared" si="34"/>
        <v>28</v>
      </c>
      <c r="K395" s="415">
        <v>45744</v>
      </c>
      <c r="L395" s="414"/>
      <c r="M395" s="414"/>
      <c r="N395" s="3" t="str">
        <f t="shared" si="32"/>
        <v/>
      </c>
      <c r="O395" s="414"/>
      <c r="P395" s="414"/>
      <c r="Q395" s="414"/>
      <c r="R395" s="414"/>
      <c r="S395" s="414"/>
      <c r="T395" s="414"/>
      <c r="U395" s="414"/>
      <c r="V395" s="419"/>
      <c r="W395" s="419"/>
      <c r="X395" s="419"/>
      <c r="Y395" s="419"/>
      <c r="Z395" s="419"/>
      <c r="AA395" s="419"/>
      <c r="AB395" s="419"/>
      <c r="AC395" s="419"/>
      <c r="AD395" s="419"/>
      <c r="AE395" s="419"/>
      <c r="AF395" s="419"/>
      <c r="AG395" s="419"/>
      <c r="AH395" s="419"/>
      <c r="AI395" s="419"/>
      <c r="AJ395" s="419"/>
      <c r="AK395" s="419"/>
      <c r="AL395" s="419"/>
    </row>
    <row r="396" spans="1:38" s="180" customFormat="1">
      <c r="A396" s="412">
        <v>5441</v>
      </c>
      <c r="B396" s="413"/>
      <c r="C396" s="414"/>
      <c r="D396" s="412" t="s">
        <v>1975</v>
      </c>
      <c r="E396" s="412" t="s">
        <v>1409</v>
      </c>
      <c r="F396" s="412" t="s">
        <v>1479</v>
      </c>
      <c r="G396" s="68" t="str">
        <f t="shared" si="31"/>
        <v>SINGLE</v>
      </c>
      <c r="H396" s="197">
        <f t="shared" si="30"/>
        <v>13</v>
      </c>
      <c r="I396" s="414">
        <f t="shared" si="33"/>
        <v>3</v>
      </c>
      <c r="J396" s="414">
        <f t="shared" si="34"/>
        <v>28</v>
      </c>
      <c r="K396" s="415">
        <v>45744</v>
      </c>
      <c r="L396" s="414"/>
      <c r="M396" s="414"/>
      <c r="N396" s="3" t="str">
        <f t="shared" si="32"/>
        <v/>
      </c>
      <c r="O396" s="414"/>
      <c r="P396" s="414"/>
      <c r="Q396" s="414"/>
      <c r="R396" s="414"/>
      <c r="S396" s="414"/>
      <c r="T396" s="414"/>
      <c r="U396" s="414"/>
      <c r="V396" s="419"/>
      <c r="W396" s="419"/>
      <c r="X396" s="419"/>
      <c r="Y396" s="419"/>
      <c r="Z396" s="419"/>
      <c r="AA396" s="419"/>
      <c r="AB396" s="419"/>
      <c r="AC396" s="419"/>
      <c r="AD396" s="419"/>
      <c r="AE396" s="419"/>
      <c r="AF396" s="419"/>
      <c r="AG396" s="419"/>
      <c r="AH396" s="419"/>
      <c r="AI396" s="419"/>
      <c r="AJ396" s="419"/>
      <c r="AK396" s="419"/>
      <c r="AL396" s="419"/>
    </row>
    <row r="397" spans="1:38" s="180" customFormat="1">
      <c r="A397" s="412">
        <v>5441</v>
      </c>
      <c r="B397" s="413"/>
      <c r="C397" s="414"/>
      <c r="D397" s="412" t="s">
        <v>1976</v>
      </c>
      <c r="E397" s="412" t="s">
        <v>1409</v>
      </c>
      <c r="F397" s="412" t="s">
        <v>1479</v>
      </c>
      <c r="G397" s="68" t="str">
        <f t="shared" si="31"/>
        <v>SINGLE</v>
      </c>
      <c r="H397" s="197">
        <f t="shared" si="30"/>
        <v>13</v>
      </c>
      <c r="I397" s="414">
        <f t="shared" si="33"/>
        <v>3</v>
      </c>
      <c r="J397" s="414">
        <f t="shared" si="34"/>
        <v>28</v>
      </c>
      <c r="K397" s="415">
        <v>45744</v>
      </c>
      <c r="L397" s="414"/>
      <c r="M397" s="414"/>
      <c r="N397" s="3" t="str">
        <f t="shared" si="32"/>
        <v/>
      </c>
      <c r="O397" s="414"/>
      <c r="P397" s="414"/>
      <c r="Q397" s="414"/>
      <c r="R397" s="414"/>
      <c r="S397" s="414"/>
      <c r="T397" s="414"/>
      <c r="U397" s="414"/>
      <c r="V397" s="419"/>
      <c r="W397" s="419"/>
      <c r="X397" s="419"/>
      <c r="Y397" s="419"/>
      <c r="Z397" s="419"/>
      <c r="AA397" s="419"/>
      <c r="AB397" s="419"/>
      <c r="AC397" s="419"/>
      <c r="AD397" s="419"/>
      <c r="AE397" s="419"/>
      <c r="AF397" s="419"/>
      <c r="AG397" s="419"/>
      <c r="AH397" s="419"/>
      <c r="AI397" s="419"/>
      <c r="AJ397" s="419"/>
      <c r="AK397" s="419"/>
      <c r="AL397" s="419"/>
    </row>
    <row r="398" spans="1:38">
      <c r="A398" s="410">
        <v>5522</v>
      </c>
      <c r="B398" s="407"/>
      <c r="C398" s="408"/>
      <c r="D398" s="410" t="s">
        <v>1977</v>
      </c>
      <c r="E398" s="410" t="s">
        <v>1426</v>
      </c>
      <c r="F398" s="410" t="s">
        <v>1476</v>
      </c>
      <c r="G398" s="68" t="str">
        <f t="shared" si="31"/>
        <v>DUAL</v>
      </c>
      <c r="H398" s="197">
        <f t="shared" si="30"/>
        <v>13</v>
      </c>
      <c r="I398" s="408">
        <f t="shared" si="33"/>
        <v>3</v>
      </c>
      <c r="J398" s="408">
        <f t="shared" si="34"/>
        <v>28</v>
      </c>
      <c r="K398" s="411">
        <v>45744</v>
      </c>
      <c r="L398" s="408"/>
      <c r="M398" s="408"/>
      <c r="N398" s="3" t="str">
        <f t="shared" si="32"/>
        <v/>
      </c>
      <c r="O398" s="408"/>
      <c r="P398" s="408"/>
      <c r="Q398" s="408"/>
      <c r="R398" s="408"/>
      <c r="S398" s="408"/>
      <c r="T398" s="408"/>
      <c r="U398" s="408"/>
      <c r="V398" s="421"/>
      <c r="W398" s="421"/>
      <c r="X398" s="421"/>
      <c r="Y398" s="421"/>
      <c r="Z398" s="421"/>
      <c r="AA398" s="421"/>
      <c r="AB398" s="421"/>
      <c r="AC398" s="421"/>
      <c r="AD398" s="421"/>
      <c r="AE398" s="421"/>
      <c r="AF398" s="421"/>
      <c r="AG398" s="421"/>
      <c r="AH398" s="421"/>
      <c r="AI398" s="421"/>
      <c r="AJ398" s="421"/>
      <c r="AK398" s="421"/>
      <c r="AL398" s="421"/>
    </row>
    <row r="399" spans="1:38">
      <c r="A399" s="410">
        <v>5520</v>
      </c>
      <c r="B399" s="407"/>
      <c r="C399" s="408"/>
      <c r="D399" s="410" t="s">
        <v>1978</v>
      </c>
      <c r="E399" s="410" t="s">
        <v>1426</v>
      </c>
      <c r="F399" s="410" t="s">
        <v>1476</v>
      </c>
      <c r="G399" s="68" t="str">
        <f t="shared" si="31"/>
        <v>DUAL</v>
      </c>
      <c r="H399" s="197">
        <f t="shared" si="30"/>
        <v>13</v>
      </c>
      <c r="I399" s="408">
        <f t="shared" si="33"/>
        <v>3</v>
      </c>
      <c r="J399" s="408">
        <f t="shared" si="34"/>
        <v>28</v>
      </c>
      <c r="K399" s="411">
        <v>45744</v>
      </c>
      <c r="L399" s="408"/>
      <c r="M399" s="408"/>
      <c r="N399" s="3" t="str">
        <f t="shared" si="32"/>
        <v/>
      </c>
      <c r="O399" s="408"/>
      <c r="P399" s="408"/>
      <c r="Q399" s="408"/>
      <c r="R399" s="408"/>
      <c r="S399" s="408"/>
      <c r="T399" s="408"/>
      <c r="U399" s="408"/>
      <c r="V399" s="421"/>
      <c r="W399" s="421"/>
      <c r="X399" s="421"/>
      <c r="Y399" s="421"/>
      <c r="Z399" s="421"/>
      <c r="AA399" s="421"/>
      <c r="AB399" s="421"/>
      <c r="AC399" s="421"/>
      <c r="AD399" s="421"/>
      <c r="AE399" s="421"/>
      <c r="AF399" s="421"/>
      <c r="AG399" s="421"/>
      <c r="AH399" s="421"/>
      <c r="AI399" s="421"/>
      <c r="AJ399" s="421"/>
      <c r="AK399" s="421"/>
      <c r="AL399" s="421"/>
    </row>
    <row r="400" spans="1:38">
      <c r="A400" s="410">
        <v>5523</v>
      </c>
      <c r="B400" s="407"/>
      <c r="C400" s="408"/>
      <c r="D400" s="410" t="s">
        <v>1979</v>
      </c>
      <c r="E400" s="410" t="s">
        <v>1426</v>
      </c>
      <c r="F400" s="410" t="s">
        <v>1476</v>
      </c>
      <c r="G400" s="68" t="str">
        <f t="shared" si="31"/>
        <v>DUAL</v>
      </c>
      <c r="H400" s="197">
        <f t="shared" si="30"/>
        <v>13</v>
      </c>
      <c r="I400" s="408">
        <f t="shared" si="33"/>
        <v>3</v>
      </c>
      <c r="J400" s="408">
        <f t="shared" si="34"/>
        <v>28</v>
      </c>
      <c r="K400" s="411">
        <v>45744</v>
      </c>
      <c r="L400" s="408"/>
      <c r="M400" s="408"/>
      <c r="N400" s="3" t="str">
        <f t="shared" si="32"/>
        <v/>
      </c>
      <c r="O400" s="408"/>
      <c r="P400" s="408"/>
      <c r="Q400" s="408"/>
      <c r="R400" s="408"/>
      <c r="S400" s="408"/>
      <c r="T400" s="408"/>
      <c r="U400" s="408"/>
      <c r="V400" s="421"/>
      <c r="W400" s="421"/>
      <c r="X400" s="421"/>
      <c r="Y400" s="421"/>
      <c r="Z400" s="421"/>
      <c r="AA400" s="421"/>
      <c r="AB400" s="421"/>
      <c r="AC400" s="421"/>
      <c r="AD400" s="421"/>
      <c r="AE400" s="421"/>
      <c r="AF400" s="421"/>
      <c r="AG400" s="421"/>
      <c r="AH400" s="421"/>
      <c r="AI400" s="421"/>
      <c r="AJ400" s="421"/>
      <c r="AK400" s="421"/>
      <c r="AL400" s="421"/>
    </row>
    <row r="401" spans="1:38">
      <c r="A401" s="410">
        <v>5465</v>
      </c>
      <c r="B401" s="407"/>
      <c r="C401" s="408"/>
      <c r="D401" s="410" t="s">
        <v>1980</v>
      </c>
      <c r="E401" s="410" t="s">
        <v>1405</v>
      </c>
      <c r="F401" s="410" t="s">
        <v>1480</v>
      </c>
      <c r="G401" s="68" t="str">
        <f t="shared" si="31"/>
        <v>DUAL</v>
      </c>
      <c r="H401" s="197">
        <f t="shared" si="30"/>
        <v>14</v>
      </c>
      <c r="I401" s="408">
        <f t="shared" si="33"/>
        <v>3</v>
      </c>
      <c r="J401" s="408">
        <f t="shared" si="34"/>
        <v>31</v>
      </c>
      <c r="K401" s="411">
        <v>45747</v>
      </c>
      <c r="L401" s="408"/>
      <c r="M401" s="408"/>
      <c r="N401" s="3" t="str">
        <f t="shared" si="32"/>
        <v/>
      </c>
      <c r="O401" s="408"/>
      <c r="P401" s="408"/>
      <c r="Q401" s="408"/>
      <c r="R401" s="408"/>
      <c r="S401" s="408"/>
      <c r="T401" s="408"/>
      <c r="U401" s="408"/>
      <c r="V401" s="421"/>
      <c r="W401" s="421"/>
      <c r="X401" s="421"/>
      <c r="Y401" s="421"/>
      <c r="Z401" s="421"/>
      <c r="AA401" s="421"/>
      <c r="AB401" s="421"/>
      <c r="AC401" s="421"/>
      <c r="AD401" s="421"/>
      <c r="AE401" s="421"/>
      <c r="AF401" s="421"/>
      <c r="AG401" s="421"/>
      <c r="AH401" s="421"/>
      <c r="AI401" s="421"/>
      <c r="AJ401" s="421"/>
      <c r="AK401" s="421"/>
      <c r="AL401" s="421"/>
    </row>
    <row r="402" spans="1:38">
      <c r="A402" s="410">
        <v>5465</v>
      </c>
      <c r="B402" s="407"/>
      <c r="C402" s="408"/>
      <c r="D402" s="410" t="s">
        <v>1981</v>
      </c>
      <c r="E402" s="410" t="s">
        <v>1405</v>
      </c>
      <c r="F402" s="410" t="s">
        <v>1480</v>
      </c>
      <c r="G402" s="68" t="str">
        <f t="shared" si="31"/>
        <v>DUAL</v>
      </c>
      <c r="H402" s="197">
        <f t="shared" si="30"/>
        <v>14</v>
      </c>
      <c r="I402" s="408">
        <f t="shared" si="33"/>
        <v>3</v>
      </c>
      <c r="J402" s="408">
        <f t="shared" si="34"/>
        <v>31</v>
      </c>
      <c r="K402" s="411">
        <v>45747</v>
      </c>
      <c r="L402" s="408"/>
      <c r="M402" s="408"/>
      <c r="N402" s="3" t="str">
        <f t="shared" si="32"/>
        <v/>
      </c>
      <c r="O402" s="408"/>
      <c r="P402" s="408"/>
      <c r="Q402" s="408"/>
      <c r="R402" s="408"/>
      <c r="S402" s="408"/>
      <c r="T402" s="408"/>
      <c r="U402" s="408"/>
      <c r="V402" s="421"/>
      <c r="W402" s="421"/>
      <c r="X402" s="421"/>
      <c r="Y402" s="421"/>
      <c r="Z402" s="421"/>
      <c r="AA402" s="421"/>
      <c r="AB402" s="421"/>
      <c r="AC402" s="421"/>
      <c r="AD402" s="421"/>
      <c r="AE402" s="421"/>
      <c r="AF402" s="421"/>
      <c r="AG402" s="421"/>
      <c r="AH402" s="421"/>
      <c r="AI402" s="421"/>
      <c r="AJ402" s="421"/>
      <c r="AK402" s="421"/>
      <c r="AL402" s="421"/>
    </row>
    <row r="403" spans="1:38">
      <c r="A403" s="410">
        <v>5523</v>
      </c>
      <c r="B403" s="407"/>
      <c r="C403" s="408"/>
      <c r="D403" s="410" t="s">
        <v>1982</v>
      </c>
      <c r="E403" s="410" t="s">
        <v>1426</v>
      </c>
      <c r="F403" s="410" t="s">
        <v>1476</v>
      </c>
      <c r="G403" s="68" t="str">
        <f t="shared" si="31"/>
        <v>DUAL</v>
      </c>
      <c r="H403" s="197">
        <f t="shared" si="30"/>
        <v>14</v>
      </c>
      <c r="I403" s="408">
        <f t="shared" si="33"/>
        <v>3</v>
      </c>
      <c r="J403" s="408">
        <f t="shared" si="34"/>
        <v>31</v>
      </c>
      <c r="K403" s="411">
        <v>45747</v>
      </c>
      <c r="L403" s="408"/>
      <c r="M403" s="408"/>
      <c r="N403" s="3" t="str">
        <f t="shared" si="32"/>
        <v/>
      </c>
      <c r="O403" s="408"/>
      <c r="P403" s="408"/>
      <c r="Q403" s="408"/>
      <c r="R403" s="408"/>
      <c r="S403" s="408"/>
      <c r="T403" s="408"/>
      <c r="U403" s="408"/>
      <c r="V403" s="421"/>
      <c r="W403" s="421"/>
      <c r="X403" s="421"/>
      <c r="Y403" s="421"/>
      <c r="Z403" s="421"/>
      <c r="AA403" s="421"/>
      <c r="AB403" s="421"/>
      <c r="AC403" s="421"/>
      <c r="AD403" s="421"/>
      <c r="AE403" s="421"/>
      <c r="AF403" s="421"/>
      <c r="AG403" s="421"/>
      <c r="AH403" s="421"/>
      <c r="AI403" s="421"/>
      <c r="AJ403" s="421"/>
      <c r="AK403" s="421"/>
      <c r="AL403" s="421"/>
    </row>
    <row r="404" spans="1:38">
      <c r="A404" s="410">
        <v>5523</v>
      </c>
      <c r="B404" s="407"/>
      <c r="C404" s="408"/>
      <c r="D404" s="410" t="s">
        <v>1983</v>
      </c>
      <c r="E404" s="410" t="s">
        <v>1426</v>
      </c>
      <c r="F404" s="410" t="s">
        <v>1476</v>
      </c>
      <c r="G404" s="68" t="str">
        <f t="shared" si="31"/>
        <v>DUAL</v>
      </c>
      <c r="H404" s="197">
        <f t="shared" si="30"/>
        <v>14</v>
      </c>
      <c r="I404" s="408">
        <f t="shared" si="33"/>
        <v>3</v>
      </c>
      <c r="J404" s="408">
        <f t="shared" si="34"/>
        <v>31</v>
      </c>
      <c r="K404" s="411">
        <v>45747</v>
      </c>
      <c r="L404" s="408"/>
      <c r="M404" s="408"/>
      <c r="N404" s="3" t="str">
        <f t="shared" si="32"/>
        <v/>
      </c>
      <c r="O404" s="408"/>
      <c r="P404" s="408"/>
      <c r="Q404" s="408"/>
      <c r="R404" s="408"/>
      <c r="S404" s="408"/>
      <c r="T404" s="408"/>
      <c r="U404" s="408"/>
      <c r="V404" s="421"/>
      <c r="W404" s="421"/>
      <c r="X404" s="421"/>
      <c r="Y404" s="421"/>
      <c r="Z404" s="421"/>
      <c r="AA404" s="421"/>
      <c r="AB404" s="421"/>
      <c r="AC404" s="421"/>
      <c r="AD404" s="421"/>
      <c r="AE404" s="421"/>
      <c r="AF404" s="421"/>
      <c r="AG404" s="421"/>
      <c r="AH404" s="421"/>
      <c r="AI404" s="421"/>
      <c r="AJ404" s="421"/>
      <c r="AK404" s="421"/>
      <c r="AL404" s="421"/>
    </row>
    <row r="405" spans="1:38">
      <c r="A405" s="410">
        <v>5523</v>
      </c>
      <c r="B405" s="407"/>
      <c r="C405" s="408"/>
      <c r="D405" s="410" t="s">
        <v>1984</v>
      </c>
      <c r="E405" s="410" t="s">
        <v>1426</v>
      </c>
      <c r="F405" s="410" t="s">
        <v>1476</v>
      </c>
      <c r="G405" s="68" t="str">
        <f t="shared" si="31"/>
        <v>DUAL</v>
      </c>
      <c r="H405" s="197">
        <f t="shared" si="30"/>
        <v>14</v>
      </c>
      <c r="I405" s="408">
        <f t="shared" si="33"/>
        <v>3</v>
      </c>
      <c r="J405" s="408">
        <f t="shared" si="34"/>
        <v>31</v>
      </c>
      <c r="K405" s="411">
        <v>45747</v>
      </c>
      <c r="L405" s="408"/>
      <c r="M405" s="408"/>
      <c r="N405" s="3" t="str">
        <f t="shared" si="32"/>
        <v/>
      </c>
      <c r="O405" s="408"/>
      <c r="P405" s="408"/>
      <c r="Q405" s="408"/>
      <c r="R405" s="408"/>
      <c r="S405" s="408"/>
      <c r="T405" s="408"/>
      <c r="U405" s="408"/>
      <c r="V405" s="421"/>
      <c r="W405" s="421"/>
      <c r="X405" s="421"/>
      <c r="Y405" s="421"/>
      <c r="Z405" s="421"/>
      <c r="AA405" s="421"/>
      <c r="AB405" s="421"/>
      <c r="AC405" s="421"/>
      <c r="AD405" s="421"/>
      <c r="AE405" s="421"/>
      <c r="AF405" s="421"/>
      <c r="AG405" s="421"/>
      <c r="AH405" s="421"/>
      <c r="AI405" s="421"/>
      <c r="AJ405" s="421"/>
      <c r="AK405" s="421"/>
      <c r="AL405" s="421"/>
    </row>
    <row r="406" spans="1:38">
      <c r="A406" s="410">
        <v>5541</v>
      </c>
      <c r="B406" s="407"/>
      <c r="C406" s="408"/>
      <c r="D406" s="410" t="s">
        <v>1985</v>
      </c>
      <c r="E406" s="410" t="s">
        <v>1405</v>
      </c>
      <c r="F406" s="410" t="s">
        <v>1581</v>
      </c>
      <c r="G406" s="68" t="str">
        <f t="shared" si="31"/>
        <v>DUAL</v>
      </c>
      <c r="H406" s="197">
        <f t="shared" si="30"/>
        <v>14</v>
      </c>
      <c r="I406" s="408">
        <f t="shared" si="33"/>
        <v>3</v>
      </c>
      <c r="J406" s="408">
        <f t="shared" si="34"/>
        <v>31</v>
      </c>
      <c r="K406" s="411">
        <v>45747</v>
      </c>
      <c r="L406" s="408"/>
      <c r="M406" s="408"/>
      <c r="N406" s="3" t="str">
        <f t="shared" si="32"/>
        <v/>
      </c>
      <c r="O406" s="408"/>
      <c r="P406" s="408"/>
      <c r="Q406" s="408"/>
      <c r="R406" s="408"/>
      <c r="S406" s="408"/>
      <c r="T406" s="408"/>
      <c r="U406" s="408"/>
      <c r="V406" s="421"/>
      <c r="W406" s="421"/>
      <c r="X406" s="421"/>
      <c r="Y406" s="421"/>
      <c r="Z406" s="421"/>
      <c r="AA406" s="421"/>
      <c r="AB406" s="421"/>
      <c r="AC406" s="421"/>
      <c r="AD406" s="421"/>
      <c r="AE406" s="421"/>
      <c r="AF406" s="421"/>
      <c r="AG406" s="421"/>
      <c r="AH406" s="421"/>
      <c r="AI406" s="421"/>
      <c r="AJ406" s="421"/>
      <c r="AK406" s="421"/>
      <c r="AL406" s="421"/>
    </row>
    <row r="407" spans="1:38">
      <c r="A407" s="410">
        <v>5491</v>
      </c>
      <c r="B407" s="407"/>
      <c r="C407" s="408"/>
      <c r="D407" s="410" t="s">
        <v>1986</v>
      </c>
      <c r="E407" s="410" t="s">
        <v>1403</v>
      </c>
      <c r="F407" s="410" t="s">
        <v>1479</v>
      </c>
      <c r="G407" s="68" t="str">
        <f t="shared" si="31"/>
        <v>SINGLE</v>
      </c>
      <c r="H407" s="197">
        <f t="shared" si="30"/>
        <v>14</v>
      </c>
      <c r="I407" s="408">
        <f t="shared" si="33"/>
        <v>3</v>
      </c>
      <c r="J407" s="408">
        <f t="shared" si="34"/>
        <v>31</v>
      </c>
      <c r="K407" s="411">
        <v>45747</v>
      </c>
      <c r="L407" s="408"/>
      <c r="M407" s="408"/>
      <c r="N407" s="3" t="str">
        <f t="shared" si="32"/>
        <v/>
      </c>
      <c r="O407" s="408"/>
      <c r="P407" s="408"/>
      <c r="Q407" s="408"/>
      <c r="R407" s="408"/>
      <c r="S407" s="408"/>
      <c r="T407" s="408"/>
      <c r="U407" s="408"/>
      <c r="V407" s="421"/>
      <c r="W407" s="421"/>
      <c r="X407" s="421"/>
      <c r="Y407" s="421"/>
      <c r="Z407" s="421"/>
      <c r="AA407" s="421"/>
      <c r="AB407" s="421"/>
      <c r="AC407" s="421"/>
      <c r="AD407" s="421"/>
      <c r="AE407" s="421"/>
      <c r="AF407" s="421"/>
      <c r="AG407" s="421"/>
      <c r="AH407" s="421"/>
      <c r="AI407" s="421"/>
      <c r="AJ407" s="421"/>
      <c r="AK407" s="421"/>
      <c r="AL407" s="421"/>
    </row>
    <row r="408" spans="1:38" s="180" customFormat="1">
      <c r="A408" s="412">
        <v>5564</v>
      </c>
      <c r="B408" s="413"/>
      <c r="C408" s="414"/>
      <c r="D408" s="412" t="s">
        <v>1628</v>
      </c>
      <c r="E408" s="412" t="s">
        <v>1585</v>
      </c>
      <c r="F408" s="412" t="s">
        <v>1476</v>
      </c>
      <c r="G408" s="68" t="str">
        <f t="shared" si="31"/>
        <v>DUAL</v>
      </c>
      <c r="H408" s="197">
        <f t="shared" si="30"/>
        <v>14</v>
      </c>
      <c r="I408" s="414">
        <f t="shared" si="33"/>
        <v>4</v>
      </c>
      <c r="J408" s="414">
        <f t="shared" si="34"/>
        <v>1</v>
      </c>
      <c r="K408" s="415">
        <v>45748</v>
      </c>
      <c r="L408" s="414"/>
      <c r="M408" s="414"/>
      <c r="N408" s="3" t="str">
        <f t="shared" si="32"/>
        <v/>
      </c>
      <c r="O408" s="414"/>
      <c r="P408" s="414"/>
      <c r="Q408" s="414"/>
      <c r="R408" s="414"/>
      <c r="S408" s="414"/>
      <c r="T408" s="414"/>
      <c r="U408" s="414"/>
      <c r="V408" s="419"/>
      <c r="W408" s="419"/>
      <c r="X408" s="419"/>
      <c r="Y408" s="419"/>
      <c r="Z408" s="419"/>
      <c r="AA408" s="419"/>
      <c r="AB408" s="419"/>
      <c r="AC408" s="419"/>
      <c r="AD408" s="419"/>
      <c r="AE408" s="419"/>
      <c r="AF408" s="419"/>
      <c r="AG408" s="419"/>
      <c r="AH408" s="419"/>
      <c r="AI408" s="419"/>
      <c r="AJ408" s="419"/>
      <c r="AK408" s="419"/>
      <c r="AL408" s="419"/>
    </row>
    <row r="409" spans="1:38" s="180" customFormat="1">
      <c r="A409" s="412">
        <v>5564</v>
      </c>
      <c r="B409" s="413"/>
      <c r="C409" s="414"/>
      <c r="D409" s="412" t="s">
        <v>1704</v>
      </c>
      <c r="E409" s="412" t="s">
        <v>1585</v>
      </c>
      <c r="F409" s="412" t="s">
        <v>1476</v>
      </c>
      <c r="G409" s="68" t="str">
        <f t="shared" si="31"/>
        <v>DUAL</v>
      </c>
      <c r="H409" s="197">
        <f t="shared" si="30"/>
        <v>14</v>
      </c>
      <c r="I409" s="414">
        <f t="shared" si="33"/>
        <v>4</v>
      </c>
      <c r="J409" s="414">
        <f t="shared" si="34"/>
        <v>1</v>
      </c>
      <c r="K409" s="415">
        <v>45748</v>
      </c>
      <c r="L409" s="414"/>
      <c r="M409" s="414"/>
      <c r="N409" s="3" t="str">
        <f t="shared" si="32"/>
        <v/>
      </c>
      <c r="O409" s="414"/>
      <c r="P409" s="414"/>
      <c r="Q409" s="414"/>
      <c r="R409" s="414"/>
      <c r="S409" s="414"/>
      <c r="T409" s="414"/>
      <c r="U409" s="414"/>
      <c r="V409" s="419"/>
      <c r="W409" s="419"/>
      <c r="X409" s="419"/>
      <c r="Y409" s="419"/>
      <c r="Z409" s="419"/>
      <c r="AA409" s="419"/>
      <c r="AB409" s="419"/>
      <c r="AC409" s="419"/>
      <c r="AD409" s="419"/>
      <c r="AE409" s="419"/>
      <c r="AF409" s="419"/>
      <c r="AG409" s="419"/>
      <c r="AH409" s="419"/>
      <c r="AI409" s="419"/>
      <c r="AJ409" s="419"/>
      <c r="AK409" s="419"/>
      <c r="AL409" s="419"/>
    </row>
    <row r="410" spans="1:38" s="180" customFormat="1">
      <c r="A410" s="412">
        <v>5564</v>
      </c>
      <c r="B410" s="413"/>
      <c r="C410" s="414"/>
      <c r="D410" s="412" t="s">
        <v>1603</v>
      </c>
      <c r="E410" s="412" t="s">
        <v>1585</v>
      </c>
      <c r="F410" s="412" t="s">
        <v>1476</v>
      </c>
      <c r="G410" s="68" t="str">
        <f t="shared" si="31"/>
        <v>DUAL</v>
      </c>
      <c r="H410" s="197">
        <f t="shared" si="30"/>
        <v>14</v>
      </c>
      <c r="I410" s="414">
        <f t="shared" si="33"/>
        <v>4</v>
      </c>
      <c r="J410" s="414">
        <f t="shared" si="34"/>
        <v>1</v>
      </c>
      <c r="K410" s="415">
        <v>45748</v>
      </c>
      <c r="L410" s="414"/>
      <c r="M410" s="414"/>
      <c r="N410" s="3" t="str">
        <f t="shared" si="32"/>
        <v/>
      </c>
      <c r="O410" s="414"/>
      <c r="P410" s="414"/>
      <c r="Q410" s="414"/>
      <c r="R410" s="414"/>
      <c r="S410" s="414"/>
      <c r="T410" s="414"/>
      <c r="U410" s="414"/>
      <c r="V410" s="419"/>
      <c r="W410" s="419"/>
      <c r="X410" s="419"/>
      <c r="Y410" s="419"/>
      <c r="Z410" s="419"/>
      <c r="AA410" s="419"/>
      <c r="AB410" s="419"/>
      <c r="AC410" s="419"/>
      <c r="AD410" s="419"/>
      <c r="AE410" s="419"/>
      <c r="AF410" s="419"/>
      <c r="AG410" s="419"/>
      <c r="AH410" s="419"/>
      <c r="AI410" s="419"/>
      <c r="AJ410" s="419"/>
      <c r="AK410" s="419"/>
      <c r="AL410" s="419"/>
    </row>
    <row r="411" spans="1:38">
      <c r="A411" s="410">
        <v>5274</v>
      </c>
      <c r="B411" s="407"/>
      <c r="C411" s="408"/>
      <c r="D411" s="410" t="s">
        <v>1987</v>
      </c>
      <c r="E411" s="410" t="s">
        <v>1585</v>
      </c>
      <c r="F411" s="410" t="s">
        <v>1476</v>
      </c>
      <c r="G411" s="68" t="str">
        <f t="shared" si="31"/>
        <v>DUAL</v>
      </c>
      <c r="H411" s="197">
        <f t="shared" si="30"/>
        <v>14</v>
      </c>
      <c r="I411" s="408">
        <f t="shared" si="33"/>
        <v>4</v>
      </c>
      <c r="J411" s="408">
        <f t="shared" si="34"/>
        <v>1</v>
      </c>
      <c r="K411" s="411">
        <v>45748</v>
      </c>
      <c r="L411" s="408"/>
      <c r="M411" s="408"/>
      <c r="N411" s="3" t="str">
        <f t="shared" si="32"/>
        <v/>
      </c>
      <c r="O411" s="408"/>
      <c r="P411" s="408"/>
      <c r="Q411" s="408"/>
      <c r="R411" s="408"/>
      <c r="S411" s="408"/>
      <c r="T411" s="408"/>
      <c r="U411" s="408"/>
      <c r="V411" s="421"/>
      <c r="W411" s="421"/>
      <c r="X411" s="421"/>
      <c r="Y411" s="421"/>
      <c r="Z411" s="421"/>
      <c r="AA411" s="421"/>
      <c r="AB411" s="421"/>
      <c r="AC411" s="421"/>
      <c r="AD411" s="421"/>
      <c r="AE411" s="421"/>
      <c r="AF411" s="421"/>
      <c r="AG411" s="421"/>
      <c r="AH411" s="421"/>
      <c r="AI411" s="421"/>
      <c r="AJ411" s="421"/>
      <c r="AK411" s="421"/>
      <c r="AL411" s="421"/>
    </row>
    <row r="412" spans="1:38">
      <c r="A412" s="410">
        <v>5504</v>
      </c>
      <c r="B412" s="407"/>
      <c r="C412" s="408"/>
      <c r="D412" s="410" t="s">
        <v>1988</v>
      </c>
      <c r="E412" s="410" t="s">
        <v>1409</v>
      </c>
      <c r="F412" s="410" t="s">
        <v>1479</v>
      </c>
      <c r="G412" s="68" t="str">
        <f t="shared" si="31"/>
        <v>SINGLE</v>
      </c>
      <c r="H412" s="197">
        <f t="shared" si="30"/>
        <v>14</v>
      </c>
      <c r="I412" s="408">
        <f t="shared" si="33"/>
        <v>4</v>
      </c>
      <c r="J412" s="408">
        <f t="shared" si="34"/>
        <v>1</v>
      </c>
      <c r="K412" s="411">
        <v>45748</v>
      </c>
      <c r="L412" s="408"/>
      <c r="M412" s="408"/>
      <c r="N412" s="3" t="str">
        <f t="shared" si="32"/>
        <v/>
      </c>
      <c r="O412" s="408"/>
      <c r="P412" s="408"/>
      <c r="Q412" s="408"/>
      <c r="R412" s="408"/>
      <c r="S412" s="408"/>
      <c r="T412" s="408"/>
      <c r="U412" s="408"/>
      <c r="V412" s="421"/>
      <c r="W412" s="421"/>
      <c r="X412" s="421"/>
      <c r="Y412" s="421"/>
      <c r="Z412" s="421"/>
      <c r="AA412" s="421"/>
      <c r="AB412" s="421"/>
      <c r="AC412" s="421"/>
      <c r="AD412" s="421"/>
      <c r="AE412" s="421"/>
      <c r="AF412" s="421"/>
      <c r="AG412" s="421"/>
      <c r="AH412" s="421"/>
      <c r="AI412" s="421"/>
      <c r="AJ412" s="421"/>
      <c r="AK412" s="421"/>
      <c r="AL412" s="421"/>
    </row>
    <row r="413" spans="1:38">
      <c r="A413" s="410">
        <v>5504</v>
      </c>
      <c r="B413" s="407"/>
      <c r="C413" s="408"/>
      <c r="D413" s="410" t="s">
        <v>1989</v>
      </c>
      <c r="E413" s="410" t="s">
        <v>1409</v>
      </c>
      <c r="F413" s="410" t="s">
        <v>1479</v>
      </c>
      <c r="G413" s="68" t="str">
        <f t="shared" si="31"/>
        <v>SINGLE</v>
      </c>
      <c r="H413" s="197">
        <f t="shared" si="30"/>
        <v>14</v>
      </c>
      <c r="I413" s="408">
        <f t="shared" si="33"/>
        <v>4</v>
      </c>
      <c r="J413" s="408">
        <f t="shared" si="34"/>
        <v>1</v>
      </c>
      <c r="K413" s="411">
        <v>45748</v>
      </c>
      <c r="L413" s="408"/>
      <c r="M413" s="408"/>
      <c r="N413" s="3" t="str">
        <f t="shared" si="32"/>
        <v/>
      </c>
      <c r="O413" s="408"/>
      <c r="P413" s="408"/>
      <c r="Q413" s="408"/>
      <c r="R413" s="408"/>
      <c r="S413" s="408"/>
      <c r="T413" s="408"/>
      <c r="U413" s="408"/>
      <c r="V413" s="421"/>
      <c r="W413" s="421"/>
      <c r="X413" s="421"/>
      <c r="Y413" s="421"/>
      <c r="Z413" s="421"/>
      <c r="AA413" s="421"/>
      <c r="AB413" s="421"/>
      <c r="AC413" s="421"/>
      <c r="AD413" s="421"/>
      <c r="AE413" s="421"/>
      <c r="AF413" s="421"/>
      <c r="AG413" s="421"/>
      <c r="AH413" s="421"/>
      <c r="AI413" s="421"/>
      <c r="AJ413" s="421"/>
      <c r="AK413" s="421"/>
      <c r="AL413" s="421"/>
    </row>
    <row r="414" spans="1:38">
      <c r="A414" s="410">
        <v>5504</v>
      </c>
      <c r="B414" s="407"/>
      <c r="C414" s="408"/>
      <c r="D414" s="410" t="s">
        <v>1990</v>
      </c>
      <c r="E414" s="410" t="s">
        <v>1409</v>
      </c>
      <c r="F414" s="410" t="s">
        <v>1479</v>
      </c>
      <c r="G414" s="68" t="str">
        <f t="shared" si="31"/>
        <v>SINGLE</v>
      </c>
      <c r="H414" s="197">
        <f t="shared" si="30"/>
        <v>14</v>
      </c>
      <c r="I414" s="408">
        <f t="shared" si="33"/>
        <v>4</v>
      </c>
      <c r="J414" s="408">
        <f t="shared" si="34"/>
        <v>1</v>
      </c>
      <c r="K414" s="411">
        <v>45748</v>
      </c>
      <c r="L414" s="408"/>
      <c r="M414" s="408"/>
      <c r="N414" s="3" t="str">
        <f t="shared" si="32"/>
        <v/>
      </c>
      <c r="O414" s="408"/>
      <c r="P414" s="408"/>
      <c r="Q414" s="408"/>
      <c r="R414" s="408"/>
      <c r="S414" s="408"/>
      <c r="T414" s="408"/>
      <c r="U414" s="408"/>
      <c r="V414" s="421"/>
      <c r="W414" s="421"/>
      <c r="X414" s="421"/>
      <c r="Y414" s="421"/>
      <c r="Z414" s="421"/>
      <c r="AA414" s="421"/>
      <c r="AB414" s="421"/>
      <c r="AC414" s="421"/>
      <c r="AD414" s="421"/>
      <c r="AE414" s="421"/>
      <c r="AF414" s="421"/>
      <c r="AG414" s="421"/>
      <c r="AH414" s="421"/>
      <c r="AI414" s="421"/>
      <c r="AJ414" s="421"/>
      <c r="AK414" s="421"/>
      <c r="AL414" s="421"/>
    </row>
    <row r="415" spans="1:38">
      <c r="A415" s="410">
        <v>5504</v>
      </c>
      <c r="B415" s="407"/>
      <c r="C415" s="408"/>
      <c r="D415" s="410" t="s">
        <v>1991</v>
      </c>
      <c r="E415" s="410" t="s">
        <v>1409</v>
      </c>
      <c r="F415" s="410" t="s">
        <v>1479</v>
      </c>
      <c r="G415" s="68" t="str">
        <f t="shared" si="31"/>
        <v>SINGLE</v>
      </c>
      <c r="H415" s="197">
        <f t="shared" si="30"/>
        <v>14</v>
      </c>
      <c r="I415" s="408">
        <f t="shared" si="33"/>
        <v>4</v>
      </c>
      <c r="J415" s="408">
        <f t="shared" si="34"/>
        <v>1</v>
      </c>
      <c r="K415" s="411">
        <v>45748</v>
      </c>
      <c r="L415" s="408"/>
      <c r="M415" s="408"/>
      <c r="N415" s="3" t="str">
        <f t="shared" si="32"/>
        <v/>
      </c>
      <c r="O415" s="408"/>
      <c r="P415" s="408"/>
      <c r="Q415" s="408"/>
      <c r="R415" s="408"/>
      <c r="S415" s="408"/>
      <c r="T415" s="408"/>
      <c r="U415" s="408"/>
      <c r="V415" s="421"/>
      <c r="W415" s="421"/>
      <c r="X415" s="421"/>
      <c r="Y415" s="421"/>
      <c r="Z415" s="421"/>
      <c r="AA415" s="421"/>
      <c r="AB415" s="421"/>
      <c r="AC415" s="421"/>
      <c r="AD415" s="421"/>
      <c r="AE415" s="421"/>
      <c r="AF415" s="421"/>
      <c r="AG415" s="421"/>
      <c r="AH415" s="421"/>
      <c r="AI415" s="421"/>
      <c r="AJ415" s="421"/>
      <c r="AK415" s="421"/>
      <c r="AL415" s="421"/>
    </row>
    <row r="416" spans="1:38">
      <c r="A416" s="410">
        <v>5561</v>
      </c>
      <c r="B416" s="407"/>
      <c r="C416" s="408"/>
      <c r="D416" s="410" t="s">
        <v>1992</v>
      </c>
      <c r="E416" s="410" t="s">
        <v>1405</v>
      </c>
      <c r="F416" s="410" t="s">
        <v>1581</v>
      </c>
      <c r="G416" s="68" t="str">
        <f t="shared" si="31"/>
        <v>DUAL</v>
      </c>
      <c r="H416" s="197">
        <f t="shared" si="30"/>
        <v>14</v>
      </c>
      <c r="I416" s="408">
        <f t="shared" si="33"/>
        <v>4</v>
      </c>
      <c r="J416" s="408">
        <f t="shared" si="34"/>
        <v>2</v>
      </c>
      <c r="K416" s="411">
        <v>45749</v>
      </c>
      <c r="L416" s="408"/>
      <c r="M416" s="408"/>
      <c r="N416" s="3" t="str">
        <f t="shared" si="32"/>
        <v/>
      </c>
      <c r="O416" s="408"/>
      <c r="P416" s="408"/>
      <c r="Q416" s="408"/>
      <c r="R416" s="408"/>
      <c r="S416" s="408"/>
      <c r="T416" s="408"/>
      <c r="U416" s="408"/>
      <c r="V416" s="421"/>
      <c r="W416" s="421"/>
      <c r="X416" s="421"/>
      <c r="Y416" s="421"/>
      <c r="Z416" s="421"/>
      <c r="AA416" s="421"/>
      <c r="AB416" s="421"/>
      <c r="AC416" s="421"/>
      <c r="AD416" s="421"/>
      <c r="AE416" s="421"/>
      <c r="AF416" s="421"/>
      <c r="AG416" s="421"/>
      <c r="AH416" s="421"/>
      <c r="AI416" s="421"/>
      <c r="AJ416" s="421"/>
      <c r="AK416" s="421"/>
      <c r="AL416" s="421"/>
    </row>
    <row r="417" spans="1:38">
      <c r="A417" s="410">
        <v>5465</v>
      </c>
      <c r="B417" s="407"/>
      <c r="C417" s="408"/>
      <c r="D417" s="410" t="s">
        <v>1993</v>
      </c>
      <c r="E417" s="410" t="s">
        <v>1405</v>
      </c>
      <c r="F417" s="410" t="s">
        <v>1480</v>
      </c>
      <c r="G417" s="68" t="str">
        <f t="shared" si="31"/>
        <v>DUAL</v>
      </c>
      <c r="H417" s="197">
        <f t="shared" si="30"/>
        <v>14</v>
      </c>
      <c r="I417" s="408">
        <f t="shared" si="33"/>
        <v>4</v>
      </c>
      <c r="J417" s="408">
        <f t="shared" si="34"/>
        <v>2</v>
      </c>
      <c r="K417" s="411">
        <v>45749</v>
      </c>
      <c r="L417" s="408"/>
      <c r="M417" s="408"/>
      <c r="N417" s="3" t="str">
        <f t="shared" si="32"/>
        <v/>
      </c>
      <c r="O417" s="408"/>
      <c r="P417" s="408"/>
      <c r="Q417" s="408"/>
      <c r="R417" s="408"/>
      <c r="S417" s="408"/>
      <c r="T417" s="408"/>
      <c r="U417" s="408"/>
      <c r="V417" s="421"/>
      <c r="W417" s="421"/>
      <c r="X417" s="421"/>
      <c r="Y417" s="421"/>
      <c r="Z417" s="421"/>
      <c r="AA417" s="421"/>
      <c r="AB417" s="421"/>
      <c r="AC417" s="421"/>
      <c r="AD417" s="421"/>
      <c r="AE417" s="421"/>
      <c r="AF417" s="421"/>
      <c r="AG417" s="421"/>
      <c r="AH417" s="421"/>
      <c r="AI417" s="421"/>
      <c r="AJ417" s="421"/>
      <c r="AK417" s="421"/>
      <c r="AL417" s="421"/>
    </row>
    <row r="418" spans="1:38">
      <c r="A418" s="410">
        <v>5504</v>
      </c>
      <c r="B418" s="407"/>
      <c r="C418" s="408"/>
      <c r="D418" s="410" t="s">
        <v>1994</v>
      </c>
      <c r="E418" s="410" t="s">
        <v>1409</v>
      </c>
      <c r="F418" s="410" t="s">
        <v>1479</v>
      </c>
      <c r="G418" s="68" t="str">
        <f t="shared" si="31"/>
        <v>SINGLE</v>
      </c>
      <c r="H418" s="197">
        <f t="shared" si="30"/>
        <v>14</v>
      </c>
      <c r="I418" s="408">
        <f t="shared" si="33"/>
        <v>4</v>
      </c>
      <c r="J418" s="408">
        <f t="shared" si="34"/>
        <v>2</v>
      </c>
      <c r="K418" s="411">
        <v>45749</v>
      </c>
      <c r="L418" s="408"/>
      <c r="M418" s="408"/>
      <c r="N418" s="3" t="str">
        <f t="shared" si="32"/>
        <v/>
      </c>
      <c r="O418" s="408"/>
      <c r="P418" s="408"/>
      <c r="Q418" s="408"/>
      <c r="R418" s="408"/>
      <c r="S418" s="408"/>
      <c r="T418" s="408"/>
      <c r="U418" s="408"/>
      <c r="V418" s="421"/>
      <c r="W418" s="421"/>
      <c r="X418" s="421"/>
      <c r="Y418" s="421"/>
      <c r="Z418" s="421"/>
      <c r="AA418" s="421"/>
      <c r="AB418" s="421"/>
      <c r="AC418" s="421"/>
      <c r="AD418" s="421"/>
      <c r="AE418" s="421"/>
      <c r="AF418" s="421"/>
      <c r="AG418" s="421"/>
      <c r="AH418" s="421"/>
      <c r="AI418" s="421"/>
      <c r="AJ418" s="421"/>
      <c r="AK418" s="421"/>
      <c r="AL418" s="421"/>
    </row>
    <row r="419" spans="1:38">
      <c r="A419" s="410">
        <v>5504</v>
      </c>
      <c r="B419" s="407"/>
      <c r="C419" s="408"/>
      <c r="D419" s="410" t="s">
        <v>1995</v>
      </c>
      <c r="E419" s="410" t="s">
        <v>1409</v>
      </c>
      <c r="F419" s="410" t="s">
        <v>1479</v>
      </c>
      <c r="G419" s="68" t="str">
        <f t="shared" si="31"/>
        <v>SINGLE</v>
      </c>
      <c r="H419" s="197">
        <f t="shared" si="30"/>
        <v>14</v>
      </c>
      <c r="I419" s="408">
        <f t="shared" si="33"/>
        <v>4</v>
      </c>
      <c r="J419" s="408">
        <f t="shared" si="34"/>
        <v>2</v>
      </c>
      <c r="K419" s="411">
        <v>45749</v>
      </c>
      <c r="L419" s="408"/>
      <c r="M419" s="408"/>
      <c r="N419" s="3" t="str">
        <f t="shared" si="32"/>
        <v/>
      </c>
      <c r="O419" s="408"/>
      <c r="P419" s="408"/>
      <c r="Q419" s="408"/>
      <c r="R419" s="408"/>
      <c r="S419" s="408"/>
      <c r="T419" s="408"/>
      <c r="U419" s="408"/>
      <c r="V419" s="421"/>
      <c r="W419" s="421"/>
      <c r="X419" s="421"/>
      <c r="Y419" s="421"/>
      <c r="Z419" s="421"/>
      <c r="AA419" s="421"/>
      <c r="AB419" s="421"/>
      <c r="AC419" s="421"/>
      <c r="AD419" s="421"/>
      <c r="AE419" s="421"/>
      <c r="AF419" s="421"/>
      <c r="AG419" s="421"/>
      <c r="AH419" s="421"/>
      <c r="AI419" s="421"/>
      <c r="AJ419" s="421"/>
      <c r="AK419" s="421"/>
      <c r="AL419" s="421"/>
    </row>
    <row r="420" spans="1:38">
      <c r="A420" s="410">
        <v>5560</v>
      </c>
      <c r="B420" s="407"/>
      <c r="C420" s="408"/>
      <c r="D420" s="410" t="s">
        <v>1996</v>
      </c>
      <c r="E420" s="410" t="s">
        <v>1433</v>
      </c>
      <c r="F420" s="410" t="s">
        <v>1476</v>
      </c>
      <c r="G420" s="68" t="str">
        <f t="shared" si="31"/>
        <v>DUAL</v>
      </c>
      <c r="H420" s="197">
        <f t="shared" si="30"/>
        <v>14</v>
      </c>
      <c r="I420" s="408">
        <f t="shared" si="33"/>
        <v>4</v>
      </c>
      <c r="J420" s="408">
        <f t="shared" si="34"/>
        <v>2</v>
      </c>
      <c r="K420" s="411">
        <v>45749</v>
      </c>
      <c r="L420" s="408"/>
      <c r="M420" s="408"/>
      <c r="N420" s="3" t="str">
        <f t="shared" si="32"/>
        <v/>
      </c>
      <c r="O420" s="408"/>
      <c r="P420" s="408"/>
      <c r="Q420" s="408"/>
      <c r="R420" s="408"/>
      <c r="S420" s="408"/>
      <c r="T420" s="408"/>
      <c r="U420" s="408"/>
      <c r="V420" s="421"/>
      <c r="W420" s="421"/>
      <c r="X420" s="421"/>
      <c r="Y420" s="421"/>
      <c r="Z420" s="421"/>
      <c r="AA420" s="421"/>
      <c r="AB420" s="421"/>
      <c r="AC420" s="421"/>
      <c r="AD420" s="421"/>
      <c r="AE420" s="421"/>
      <c r="AF420" s="421"/>
      <c r="AG420" s="421"/>
      <c r="AH420" s="421"/>
      <c r="AI420" s="421"/>
      <c r="AJ420" s="421"/>
      <c r="AK420" s="421"/>
      <c r="AL420" s="421"/>
    </row>
    <row r="421" spans="1:38">
      <c r="A421" s="410">
        <v>5560</v>
      </c>
      <c r="B421" s="407"/>
      <c r="C421" s="408"/>
      <c r="D421" s="410" t="s">
        <v>1997</v>
      </c>
      <c r="E421" s="410" t="s">
        <v>1433</v>
      </c>
      <c r="F421" s="410" t="s">
        <v>1476</v>
      </c>
      <c r="G421" s="68" t="str">
        <f t="shared" si="31"/>
        <v>DUAL</v>
      </c>
      <c r="H421" s="197">
        <f t="shared" si="30"/>
        <v>14</v>
      </c>
      <c r="I421" s="408">
        <f t="shared" si="33"/>
        <v>4</v>
      </c>
      <c r="J421" s="408">
        <f t="shared" si="34"/>
        <v>2</v>
      </c>
      <c r="K421" s="411">
        <v>45749</v>
      </c>
      <c r="L421" s="408"/>
      <c r="M421" s="408"/>
      <c r="N421" s="3" t="str">
        <f t="shared" si="32"/>
        <v/>
      </c>
      <c r="O421" s="408"/>
      <c r="P421" s="408"/>
      <c r="Q421" s="408"/>
      <c r="R421" s="408"/>
      <c r="S421" s="408"/>
      <c r="T421" s="408"/>
      <c r="U421" s="408"/>
      <c r="V421" s="421"/>
      <c r="W421" s="421"/>
      <c r="X421" s="421"/>
      <c r="Y421" s="421"/>
      <c r="Z421" s="421"/>
      <c r="AA421" s="421"/>
      <c r="AB421" s="421"/>
      <c r="AC421" s="421"/>
      <c r="AD421" s="421"/>
      <c r="AE421" s="421"/>
      <c r="AF421" s="421"/>
      <c r="AG421" s="421"/>
      <c r="AH421" s="421"/>
      <c r="AI421" s="421"/>
      <c r="AJ421" s="421"/>
      <c r="AK421" s="421"/>
      <c r="AL421" s="421"/>
    </row>
    <row r="422" spans="1:38">
      <c r="A422" s="410">
        <v>5500</v>
      </c>
      <c r="B422" s="407"/>
      <c r="C422" s="408"/>
      <c r="D422" s="410" t="s">
        <v>1998</v>
      </c>
      <c r="E422" s="410" t="s">
        <v>1405</v>
      </c>
      <c r="F422" s="410" t="s">
        <v>1480</v>
      </c>
      <c r="G422" s="68" t="str">
        <f t="shared" si="31"/>
        <v>DUAL</v>
      </c>
      <c r="H422" s="197">
        <f t="shared" si="30"/>
        <v>14</v>
      </c>
      <c r="I422" s="408">
        <f t="shared" si="33"/>
        <v>4</v>
      </c>
      <c r="J422" s="408">
        <f t="shared" si="34"/>
        <v>2</v>
      </c>
      <c r="K422" s="411">
        <v>45749</v>
      </c>
      <c r="L422" s="408"/>
      <c r="M422" s="408"/>
      <c r="N422" s="3" t="str">
        <f t="shared" si="32"/>
        <v/>
      </c>
      <c r="O422" s="408"/>
      <c r="P422" s="408"/>
      <c r="Q422" s="408"/>
      <c r="R422" s="408"/>
      <c r="S422" s="408"/>
      <c r="T422" s="408"/>
      <c r="U422" s="408"/>
      <c r="V422" s="421"/>
      <c r="W422" s="421"/>
      <c r="X422" s="421"/>
      <c r="Y422" s="421"/>
      <c r="Z422" s="421"/>
      <c r="AA422" s="421"/>
      <c r="AB422" s="421"/>
      <c r="AC422" s="421"/>
      <c r="AD422" s="421"/>
      <c r="AE422" s="421"/>
      <c r="AF422" s="421"/>
      <c r="AG422" s="421"/>
      <c r="AH422" s="421"/>
      <c r="AI422" s="421"/>
      <c r="AJ422" s="421"/>
      <c r="AK422" s="421"/>
      <c r="AL422" s="421"/>
    </row>
    <row r="423" spans="1:38" s="180" customFormat="1">
      <c r="A423" s="412">
        <v>5441</v>
      </c>
      <c r="B423" s="413"/>
      <c r="C423" s="414"/>
      <c r="D423" s="412" t="s">
        <v>1974</v>
      </c>
      <c r="E423" s="412" t="s">
        <v>1409</v>
      </c>
      <c r="F423" s="412" t="s">
        <v>1479</v>
      </c>
      <c r="G423" s="68" t="str">
        <f t="shared" si="31"/>
        <v>SINGLE</v>
      </c>
      <c r="H423" s="197">
        <f t="shared" si="30"/>
        <v>14</v>
      </c>
      <c r="I423" s="414">
        <f t="shared" si="33"/>
        <v>4</v>
      </c>
      <c r="J423" s="414">
        <f t="shared" si="34"/>
        <v>2</v>
      </c>
      <c r="K423" s="415">
        <v>45749</v>
      </c>
      <c r="L423" s="414"/>
      <c r="M423" s="414"/>
      <c r="N423" s="3" t="str">
        <f t="shared" si="32"/>
        <v/>
      </c>
      <c r="O423" s="414"/>
      <c r="P423" s="414"/>
      <c r="Q423" s="414"/>
      <c r="R423" s="414"/>
      <c r="S423" s="414"/>
      <c r="T423" s="414"/>
      <c r="U423" s="414"/>
      <c r="V423" s="419"/>
      <c r="W423" s="419"/>
      <c r="X423" s="419"/>
      <c r="Y423" s="419"/>
      <c r="Z423" s="419"/>
      <c r="AA423" s="419"/>
      <c r="AB423" s="419"/>
      <c r="AC423" s="419"/>
      <c r="AD423" s="419"/>
      <c r="AE423" s="419"/>
      <c r="AF423" s="419"/>
      <c r="AG423" s="419"/>
      <c r="AH423" s="419"/>
      <c r="AI423" s="419"/>
      <c r="AJ423" s="419"/>
      <c r="AK423" s="419"/>
      <c r="AL423" s="419"/>
    </row>
    <row r="424" spans="1:38">
      <c r="A424" s="410">
        <v>5537</v>
      </c>
      <c r="B424" s="407"/>
      <c r="C424" s="408"/>
      <c r="D424" s="410" t="s">
        <v>1999</v>
      </c>
      <c r="E424" s="410" t="s">
        <v>1585</v>
      </c>
      <c r="F424" s="410" t="s">
        <v>1476</v>
      </c>
      <c r="G424" s="68" t="str">
        <f t="shared" si="31"/>
        <v>DUAL</v>
      </c>
      <c r="H424" s="197">
        <f t="shared" si="30"/>
        <v>14</v>
      </c>
      <c r="I424" s="408">
        <f t="shared" si="33"/>
        <v>4</v>
      </c>
      <c r="J424" s="408">
        <f t="shared" si="34"/>
        <v>3</v>
      </c>
      <c r="K424" s="411">
        <v>45750</v>
      </c>
      <c r="L424" s="408"/>
      <c r="M424" s="408"/>
      <c r="N424" s="3" t="str">
        <f t="shared" si="32"/>
        <v/>
      </c>
      <c r="O424" s="408"/>
      <c r="P424" s="408"/>
      <c r="Q424" s="408"/>
      <c r="R424" s="408"/>
      <c r="S424" s="408"/>
      <c r="T424" s="408"/>
      <c r="U424" s="408"/>
      <c r="V424" s="421"/>
      <c r="W424" s="421"/>
      <c r="X424" s="421"/>
      <c r="Y424" s="421"/>
      <c r="Z424" s="421"/>
      <c r="AA424" s="421"/>
      <c r="AB424" s="421"/>
      <c r="AC424" s="421"/>
      <c r="AD424" s="421"/>
      <c r="AE424" s="421"/>
      <c r="AF424" s="421"/>
      <c r="AG424" s="421"/>
      <c r="AH424" s="421"/>
      <c r="AI424" s="421"/>
      <c r="AJ424" s="421"/>
      <c r="AK424" s="421"/>
      <c r="AL424" s="421"/>
    </row>
    <row r="425" spans="1:38">
      <c r="A425" s="410">
        <v>5560</v>
      </c>
      <c r="B425" s="407"/>
      <c r="C425" s="408"/>
      <c r="D425" s="410" t="s">
        <v>2000</v>
      </c>
      <c r="E425" s="410" t="s">
        <v>1433</v>
      </c>
      <c r="F425" s="410" t="s">
        <v>1476</v>
      </c>
      <c r="G425" s="68" t="str">
        <f t="shared" si="31"/>
        <v>DUAL</v>
      </c>
      <c r="H425" s="197">
        <f t="shared" si="30"/>
        <v>14</v>
      </c>
      <c r="I425" s="408">
        <f t="shared" si="33"/>
        <v>4</v>
      </c>
      <c r="J425" s="408">
        <f t="shared" si="34"/>
        <v>3</v>
      </c>
      <c r="K425" s="411">
        <v>45750</v>
      </c>
      <c r="L425" s="408"/>
      <c r="M425" s="408"/>
      <c r="N425" s="3" t="str">
        <f t="shared" si="32"/>
        <v/>
      </c>
      <c r="O425" s="408"/>
      <c r="P425" s="408"/>
      <c r="Q425" s="408"/>
      <c r="R425" s="408"/>
      <c r="S425" s="408"/>
      <c r="T425" s="408"/>
      <c r="U425" s="408"/>
      <c r="V425" s="421"/>
      <c r="W425" s="421"/>
      <c r="X425" s="421"/>
      <c r="Y425" s="421"/>
      <c r="Z425" s="421"/>
      <c r="AA425" s="421"/>
      <c r="AB425" s="421"/>
      <c r="AC425" s="421"/>
      <c r="AD425" s="421"/>
      <c r="AE425" s="421"/>
      <c r="AF425" s="421"/>
      <c r="AG425" s="421"/>
      <c r="AH425" s="421"/>
      <c r="AI425" s="421"/>
      <c r="AJ425" s="421"/>
      <c r="AK425" s="421"/>
      <c r="AL425" s="421"/>
    </row>
    <row r="426" spans="1:38">
      <c r="A426" s="410">
        <v>5560</v>
      </c>
      <c r="B426" s="407"/>
      <c r="C426" s="408"/>
      <c r="D426" s="410" t="s">
        <v>2001</v>
      </c>
      <c r="E426" s="410" t="s">
        <v>1433</v>
      </c>
      <c r="F426" s="410" t="s">
        <v>1476</v>
      </c>
      <c r="G426" s="68" t="str">
        <f t="shared" si="31"/>
        <v>DUAL</v>
      </c>
      <c r="H426" s="197">
        <f t="shared" si="30"/>
        <v>14</v>
      </c>
      <c r="I426" s="408">
        <f t="shared" si="33"/>
        <v>4</v>
      </c>
      <c r="J426" s="408">
        <f t="shared" si="34"/>
        <v>3</v>
      </c>
      <c r="K426" s="411">
        <v>45750</v>
      </c>
      <c r="L426" s="408"/>
      <c r="M426" s="408"/>
      <c r="N426" s="3" t="str">
        <f t="shared" si="32"/>
        <v/>
      </c>
      <c r="O426" s="408"/>
      <c r="P426" s="408"/>
      <c r="Q426" s="408"/>
      <c r="R426" s="408"/>
      <c r="S426" s="408"/>
      <c r="T426" s="408"/>
      <c r="U426" s="408"/>
      <c r="V426" s="421"/>
      <c r="W426" s="421"/>
      <c r="X426" s="421"/>
      <c r="Y426" s="421"/>
      <c r="Z426" s="421"/>
      <c r="AA426" s="421"/>
      <c r="AB426" s="421"/>
      <c r="AC426" s="421"/>
      <c r="AD426" s="421"/>
      <c r="AE426" s="421"/>
      <c r="AF426" s="421"/>
      <c r="AG426" s="421"/>
      <c r="AH426" s="421"/>
      <c r="AI426" s="421"/>
      <c r="AJ426" s="421"/>
      <c r="AK426" s="421"/>
      <c r="AL426" s="421"/>
    </row>
    <row r="427" spans="1:38">
      <c r="A427" s="410">
        <v>5560</v>
      </c>
      <c r="B427" s="407"/>
      <c r="C427" s="408"/>
      <c r="D427" s="410" t="s">
        <v>2002</v>
      </c>
      <c r="E427" s="410" t="s">
        <v>1433</v>
      </c>
      <c r="F427" s="410" t="s">
        <v>1476</v>
      </c>
      <c r="G427" s="68" t="str">
        <f t="shared" si="31"/>
        <v>DUAL</v>
      </c>
      <c r="H427" s="197">
        <f t="shared" si="30"/>
        <v>14</v>
      </c>
      <c r="I427" s="408">
        <f t="shared" si="33"/>
        <v>4</v>
      </c>
      <c r="J427" s="408">
        <f t="shared" si="34"/>
        <v>3</v>
      </c>
      <c r="K427" s="411">
        <v>45750</v>
      </c>
      <c r="L427" s="408"/>
      <c r="M427" s="408"/>
      <c r="N427" s="3" t="str">
        <f t="shared" si="32"/>
        <v/>
      </c>
      <c r="O427" s="408"/>
      <c r="P427" s="408"/>
      <c r="Q427" s="408"/>
      <c r="R427" s="408"/>
      <c r="S427" s="408"/>
      <c r="T427" s="408"/>
      <c r="U427" s="408"/>
      <c r="V427" s="421"/>
      <c r="W427" s="421"/>
      <c r="X427" s="421"/>
      <c r="Y427" s="421"/>
      <c r="Z427" s="421"/>
      <c r="AA427" s="421"/>
      <c r="AB427" s="421"/>
      <c r="AC427" s="421"/>
      <c r="AD427" s="421"/>
      <c r="AE427" s="421"/>
      <c r="AF427" s="421"/>
      <c r="AG427" s="421"/>
      <c r="AH427" s="421"/>
      <c r="AI427" s="421"/>
      <c r="AJ427" s="421"/>
      <c r="AK427" s="421"/>
      <c r="AL427" s="421"/>
    </row>
    <row r="428" spans="1:38" s="180" customFormat="1">
      <c r="A428" s="412">
        <v>5564</v>
      </c>
      <c r="B428" s="413"/>
      <c r="C428" s="414"/>
      <c r="D428" s="412" t="s">
        <v>1734</v>
      </c>
      <c r="E428" s="412" t="s">
        <v>1585</v>
      </c>
      <c r="F428" s="412" t="s">
        <v>1476</v>
      </c>
      <c r="G428" s="68" t="str">
        <f t="shared" si="31"/>
        <v>DUAL</v>
      </c>
      <c r="H428" s="197">
        <f t="shared" si="30"/>
        <v>14</v>
      </c>
      <c r="I428" s="414">
        <f t="shared" si="33"/>
        <v>4</v>
      </c>
      <c r="J428" s="414">
        <f t="shared" si="34"/>
        <v>3</v>
      </c>
      <c r="K428" s="415">
        <v>45750</v>
      </c>
      <c r="L428" s="414"/>
      <c r="M428" s="414"/>
      <c r="N428" s="3" t="str">
        <f t="shared" si="32"/>
        <v/>
      </c>
      <c r="O428" s="414"/>
      <c r="P428" s="414"/>
      <c r="Q428" s="414"/>
      <c r="R428" s="414"/>
      <c r="S428" s="414"/>
      <c r="T428" s="414"/>
      <c r="U428" s="414"/>
      <c r="V428" s="419"/>
      <c r="W428" s="419"/>
      <c r="X428" s="419"/>
      <c r="Y428" s="419"/>
      <c r="Z428" s="419"/>
      <c r="AA428" s="419"/>
      <c r="AB428" s="419"/>
      <c r="AC428" s="419"/>
      <c r="AD428" s="419"/>
      <c r="AE428" s="419"/>
      <c r="AF428" s="419"/>
      <c r="AG428" s="419"/>
      <c r="AH428" s="419"/>
      <c r="AI428" s="419"/>
      <c r="AJ428" s="419"/>
      <c r="AK428" s="419"/>
      <c r="AL428" s="419"/>
    </row>
    <row r="429" spans="1:38" s="180" customFormat="1">
      <c r="A429" s="412">
        <v>5564</v>
      </c>
      <c r="B429" s="413"/>
      <c r="C429" s="414"/>
      <c r="D429" s="412" t="s">
        <v>1735</v>
      </c>
      <c r="E429" s="412" t="s">
        <v>1585</v>
      </c>
      <c r="F429" s="412" t="s">
        <v>1476</v>
      </c>
      <c r="G429" s="68" t="str">
        <f t="shared" si="31"/>
        <v>DUAL</v>
      </c>
      <c r="H429" s="197">
        <f t="shared" si="30"/>
        <v>14</v>
      </c>
      <c r="I429" s="414">
        <f t="shared" si="33"/>
        <v>4</v>
      </c>
      <c r="J429" s="414">
        <f t="shared" si="34"/>
        <v>3</v>
      </c>
      <c r="K429" s="415">
        <v>45750</v>
      </c>
      <c r="L429" s="414"/>
      <c r="M429" s="414"/>
      <c r="N429" s="3" t="str">
        <f t="shared" si="32"/>
        <v/>
      </c>
      <c r="O429" s="414"/>
      <c r="P429" s="414"/>
      <c r="Q429" s="414"/>
      <c r="R429" s="414"/>
      <c r="S429" s="414"/>
      <c r="T429" s="414"/>
      <c r="U429" s="414"/>
      <c r="V429" s="419"/>
      <c r="W429" s="419"/>
      <c r="X429" s="419"/>
      <c r="Y429" s="419"/>
      <c r="Z429" s="419"/>
      <c r="AA429" s="419"/>
      <c r="AB429" s="419"/>
      <c r="AC429" s="419"/>
      <c r="AD429" s="419"/>
      <c r="AE429" s="419"/>
      <c r="AF429" s="419"/>
      <c r="AG429" s="419"/>
      <c r="AH429" s="419"/>
      <c r="AI429" s="419"/>
      <c r="AJ429" s="419"/>
      <c r="AK429" s="419"/>
      <c r="AL429" s="419"/>
    </row>
    <row r="430" spans="1:38">
      <c r="A430" s="410">
        <v>5497</v>
      </c>
      <c r="B430" s="407"/>
      <c r="C430" s="408"/>
      <c r="D430" s="410" t="s">
        <v>2003</v>
      </c>
      <c r="E430" s="410" t="s">
        <v>1405</v>
      </c>
      <c r="F430" s="410" t="s">
        <v>1616</v>
      </c>
      <c r="G430" s="68" t="str">
        <f t="shared" si="31"/>
        <v>SINGLE</v>
      </c>
      <c r="H430" s="197">
        <f t="shared" si="30"/>
        <v>14</v>
      </c>
      <c r="I430" s="408">
        <f t="shared" si="33"/>
        <v>4</v>
      </c>
      <c r="J430" s="408">
        <f t="shared" si="34"/>
        <v>4</v>
      </c>
      <c r="K430" s="411">
        <v>45751</v>
      </c>
      <c r="L430" s="408"/>
      <c r="M430" s="408"/>
      <c r="N430" s="3" t="str">
        <f t="shared" si="32"/>
        <v/>
      </c>
      <c r="O430" s="408"/>
      <c r="P430" s="408"/>
      <c r="Q430" s="408"/>
      <c r="R430" s="408"/>
      <c r="S430" s="408"/>
      <c r="T430" s="408"/>
      <c r="U430" s="408"/>
      <c r="V430" s="421"/>
      <c r="W430" s="421"/>
      <c r="X430" s="421"/>
      <c r="Y430" s="421"/>
      <c r="Z430" s="421"/>
      <c r="AA430" s="421"/>
      <c r="AB430" s="421"/>
      <c r="AC430" s="421"/>
      <c r="AD430" s="421"/>
      <c r="AE430" s="421"/>
      <c r="AF430" s="421"/>
      <c r="AG430" s="421"/>
      <c r="AH430" s="421"/>
      <c r="AI430" s="421"/>
      <c r="AJ430" s="421"/>
      <c r="AK430" s="421"/>
      <c r="AL430" s="421"/>
    </row>
    <row r="431" spans="1:38">
      <c r="A431" s="410">
        <v>5497</v>
      </c>
      <c r="B431" s="407"/>
      <c r="C431" s="408"/>
      <c r="D431" s="410" t="s">
        <v>2004</v>
      </c>
      <c r="E431" s="410" t="s">
        <v>1405</v>
      </c>
      <c r="F431" s="410" t="s">
        <v>1616</v>
      </c>
      <c r="G431" s="68" t="str">
        <f t="shared" si="31"/>
        <v>SINGLE</v>
      </c>
      <c r="H431" s="197">
        <f t="shared" si="30"/>
        <v>14</v>
      </c>
      <c r="I431" s="408">
        <f t="shared" si="33"/>
        <v>4</v>
      </c>
      <c r="J431" s="408">
        <f t="shared" si="34"/>
        <v>4</v>
      </c>
      <c r="K431" s="411">
        <v>45751</v>
      </c>
      <c r="L431" s="408"/>
      <c r="M431" s="408"/>
      <c r="N431" s="3" t="str">
        <f t="shared" si="32"/>
        <v/>
      </c>
      <c r="O431" s="408"/>
      <c r="P431" s="408"/>
      <c r="Q431" s="408"/>
      <c r="R431" s="408"/>
      <c r="S431" s="408"/>
      <c r="T431" s="408"/>
      <c r="U431" s="408"/>
      <c r="V431" s="421"/>
      <c r="W431" s="421"/>
      <c r="X431" s="421"/>
      <c r="Y431" s="421"/>
      <c r="Z431" s="421"/>
      <c r="AA431" s="421"/>
      <c r="AB431" s="421"/>
      <c r="AC431" s="421"/>
      <c r="AD431" s="421"/>
      <c r="AE431" s="421"/>
      <c r="AF431" s="421"/>
      <c r="AG431" s="421"/>
      <c r="AH431" s="421"/>
      <c r="AI431" s="421"/>
      <c r="AJ431" s="421"/>
      <c r="AK431" s="421"/>
      <c r="AL431" s="421"/>
    </row>
    <row r="432" spans="1:38">
      <c r="A432" s="410">
        <v>5497</v>
      </c>
      <c r="B432" s="407"/>
      <c r="C432" s="408"/>
      <c r="D432" s="410" t="s">
        <v>2005</v>
      </c>
      <c r="E432" s="410" t="s">
        <v>1405</v>
      </c>
      <c r="F432" s="410" t="s">
        <v>1616</v>
      </c>
      <c r="G432" s="68" t="str">
        <f t="shared" si="31"/>
        <v>SINGLE</v>
      </c>
      <c r="H432" s="197">
        <f t="shared" si="30"/>
        <v>14</v>
      </c>
      <c r="I432" s="408">
        <f t="shared" si="33"/>
        <v>4</v>
      </c>
      <c r="J432" s="408">
        <f t="shared" si="34"/>
        <v>4</v>
      </c>
      <c r="K432" s="411">
        <v>45751</v>
      </c>
      <c r="L432" s="408"/>
      <c r="M432" s="408"/>
      <c r="N432" s="3" t="str">
        <f t="shared" si="32"/>
        <v/>
      </c>
      <c r="O432" s="408"/>
      <c r="P432" s="408"/>
      <c r="Q432" s="408"/>
      <c r="R432" s="408"/>
      <c r="S432" s="408"/>
      <c r="T432" s="408"/>
      <c r="U432" s="408"/>
      <c r="V432" s="421"/>
      <c r="W432" s="421"/>
      <c r="X432" s="421"/>
      <c r="Y432" s="421"/>
      <c r="Z432" s="421"/>
      <c r="AA432" s="421"/>
      <c r="AB432" s="421"/>
      <c r="AC432" s="421"/>
      <c r="AD432" s="421"/>
      <c r="AE432" s="421"/>
      <c r="AF432" s="421"/>
      <c r="AG432" s="421"/>
      <c r="AH432" s="421"/>
      <c r="AI432" s="421"/>
      <c r="AJ432" s="421"/>
      <c r="AK432" s="421"/>
      <c r="AL432" s="421"/>
    </row>
    <row r="433" spans="1:38">
      <c r="A433" s="410">
        <v>5497</v>
      </c>
      <c r="B433" s="407"/>
      <c r="C433" s="408"/>
      <c r="D433" s="410" t="s">
        <v>2006</v>
      </c>
      <c r="E433" s="410" t="s">
        <v>1405</v>
      </c>
      <c r="F433" s="410" t="s">
        <v>1616</v>
      </c>
      <c r="G433" s="68" t="str">
        <f t="shared" si="31"/>
        <v>SINGLE</v>
      </c>
      <c r="H433" s="197">
        <f t="shared" si="30"/>
        <v>14</v>
      </c>
      <c r="I433" s="408">
        <f t="shared" si="33"/>
        <v>4</v>
      </c>
      <c r="J433" s="408">
        <f t="shared" si="34"/>
        <v>4</v>
      </c>
      <c r="K433" s="411">
        <v>45751</v>
      </c>
      <c r="L433" s="408"/>
      <c r="M433" s="408"/>
      <c r="N433" s="3" t="str">
        <f t="shared" si="32"/>
        <v/>
      </c>
      <c r="O433" s="408"/>
      <c r="P433" s="408"/>
      <c r="Q433" s="408"/>
      <c r="R433" s="408"/>
      <c r="S433" s="408"/>
      <c r="T433" s="408"/>
      <c r="U433" s="408"/>
      <c r="V433" s="421"/>
      <c r="W433" s="421"/>
      <c r="X433" s="421"/>
      <c r="Y433" s="421"/>
      <c r="Z433" s="421"/>
      <c r="AA433" s="421"/>
      <c r="AB433" s="421"/>
      <c r="AC433" s="421"/>
      <c r="AD433" s="421"/>
      <c r="AE433" s="421"/>
      <c r="AF433" s="421"/>
      <c r="AG433" s="421"/>
      <c r="AH433" s="421"/>
      <c r="AI433" s="421"/>
      <c r="AJ433" s="421"/>
      <c r="AK433" s="421"/>
      <c r="AL433" s="421"/>
    </row>
    <row r="434" spans="1:38">
      <c r="A434" s="410">
        <v>5523</v>
      </c>
      <c r="B434" s="407"/>
      <c r="C434" s="408"/>
      <c r="D434" s="410" t="s">
        <v>2007</v>
      </c>
      <c r="E434" s="410" t="s">
        <v>1426</v>
      </c>
      <c r="F434" s="410" t="s">
        <v>1476</v>
      </c>
      <c r="G434" s="68" t="str">
        <f t="shared" si="31"/>
        <v>DUAL</v>
      </c>
      <c r="H434" s="197">
        <f t="shared" si="30"/>
        <v>14</v>
      </c>
      <c r="I434" s="408">
        <f t="shared" si="33"/>
        <v>4</v>
      </c>
      <c r="J434" s="408">
        <f t="shared" si="34"/>
        <v>4</v>
      </c>
      <c r="K434" s="411">
        <v>45751</v>
      </c>
      <c r="L434" s="408"/>
      <c r="M434" s="408"/>
      <c r="N434" s="3" t="str">
        <f t="shared" si="32"/>
        <v/>
      </c>
      <c r="O434" s="408"/>
      <c r="P434" s="408"/>
      <c r="Q434" s="408"/>
      <c r="R434" s="408"/>
      <c r="S434" s="408"/>
      <c r="T434" s="408"/>
      <c r="U434" s="408"/>
      <c r="V434" s="421"/>
      <c r="W434" s="421"/>
      <c r="X434" s="421"/>
      <c r="Y434" s="421"/>
      <c r="Z434" s="421"/>
      <c r="AA434" s="421"/>
      <c r="AB434" s="421"/>
      <c r="AC434" s="421"/>
      <c r="AD434" s="421"/>
      <c r="AE434" s="421"/>
      <c r="AF434" s="421"/>
      <c r="AG434" s="421"/>
      <c r="AH434" s="421"/>
      <c r="AI434" s="421"/>
      <c r="AJ434" s="421"/>
      <c r="AK434" s="421"/>
      <c r="AL434" s="421"/>
    </row>
    <row r="435" spans="1:38">
      <c r="A435" s="410">
        <v>5523</v>
      </c>
      <c r="B435" s="407"/>
      <c r="C435" s="408"/>
      <c r="D435" s="410" t="s">
        <v>2008</v>
      </c>
      <c r="E435" s="410" t="s">
        <v>1426</v>
      </c>
      <c r="F435" s="410" t="s">
        <v>1476</v>
      </c>
      <c r="G435" s="68" t="str">
        <f t="shared" si="31"/>
        <v>DUAL</v>
      </c>
      <c r="H435" s="197">
        <f t="shared" si="30"/>
        <v>14</v>
      </c>
      <c r="I435" s="408">
        <f t="shared" si="33"/>
        <v>4</v>
      </c>
      <c r="J435" s="408">
        <f t="shared" si="34"/>
        <v>4</v>
      </c>
      <c r="K435" s="411">
        <v>45751</v>
      </c>
      <c r="L435" s="408"/>
      <c r="M435" s="408"/>
      <c r="N435" s="3" t="str">
        <f t="shared" si="32"/>
        <v/>
      </c>
      <c r="O435" s="408"/>
      <c r="P435" s="408"/>
      <c r="Q435" s="408"/>
      <c r="R435" s="408"/>
      <c r="S435" s="408"/>
      <c r="T435" s="408"/>
      <c r="U435" s="408"/>
      <c r="V435" s="421"/>
      <c r="W435" s="421"/>
      <c r="X435" s="421"/>
      <c r="Y435" s="421"/>
      <c r="Z435" s="421"/>
      <c r="AA435" s="421"/>
      <c r="AB435" s="421"/>
      <c r="AC435" s="421"/>
      <c r="AD435" s="421"/>
      <c r="AE435" s="421"/>
      <c r="AF435" s="421"/>
      <c r="AG435" s="421"/>
      <c r="AH435" s="421"/>
      <c r="AI435" s="421"/>
      <c r="AJ435" s="421"/>
      <c r="AK435" s="421"/>
      <c r="AL435" s="421"/>
    </row>
    <row r="436" spans="1:38">
      <c r="A436" s="410">
        <v>5610</v>
      </c>
      <c r="B436" s="407"/>
      <c r="C436" s="408"/>
      <c r="D436" s="410" t="s">
        <v>2009</v>
      </c>
      <c r="E436" s="410" t="s">
        <v>1409</v>
      </c>
      <c r="F436" s="410" t="s">
        <v>1479</v>
      </c>
      <c r="G436" s="68" t="str">
        <f t="shared" si="31"/>
        <v>SINGLE</v>
      </c>
      <c r="H436" s="197">
        <f t="shared" si="30"/>
        <v>14</v>
      </c>
      <c r="I436" s="408">
        <f t="shared" si="33"/>
        <v>4</v>
      </c>
      <c r="J436" s="408">
        <f t="shared" si="34"/>
        <v>4</v>
      </c>
      <c r="K436" s="411">
        <v>45751</v>
      </c>
      <c r="L436" s="408"/>
      <c r="M436" s="408"/>
      <c r="N436" s="3" t="str">
        <f t="shared" si="32"/>
        <v/>
      </c>
      <c r="O436" s="408"/>
      <c r="P436" s="408"/>
      <c r="Q436" s="408"/>
      <c r="R436" s="408"/>
      <c r="S436" s="408"/>
      <c r="T436" s="408"/>
      <c r="U436" s="408"/>
      <c r="V436" s="421"/>
      <c r="W436" s="421"/>
      <c r="X436" s="421"/>
      <c r="Y436" s="421"/>
      <c r="Z436" s="421"/>
      <c r="AA436" s="421"/>
      <c r="AB436" s="421"/>
      <c r="AC436" s="421"/>
      <c r="AD436" s="421"/>
      <c r="AE436" s="421"/>
      <c r="AF436" s="421"/>
      <c r="AG436" s="421"/>
      <c r="AH436" s="421"/>
      <c r="AI436" s="421"/>
      <c r="AJ436" s="421"/>
      <c r="AK436" s="421"/>
      <c r="AL436" s="421"/>
    </row>
    <row r="437" spans="1:38">
      <c r="A437" s="410">
        <v>5610</v>
      </c>
      <c r="B437" s="407"/>
      <c r="C437" s="408"/>
      <c r="D437" s="410" t="s">
        <v>2010</v>
      </c>
      <c r="E437" s="410" t="s">
        <v>1409</v>
      </c>
      <c r="F437" s="410" t="s">
        <v>1479</v>
      </c>
      <c r="G437" s="68" t="str">
        <f t="shared" si="31"/>
        <v>SINGLE</v>
      </c>
      <c r="H437" s="197">
        <f t="shared" si="30"/>
        <v>14</v>
      </c>
      <c r="I437" s="408">
        <f t="shared" si="33"/>
        <v>4</v>
      </c>
      <c r="J437" s="408">
        <f t="shared" si="34"/>
        <v>4</v>
      </c>
      <c r="K437" s="411">
        <v>45751</v>
      </c>
      <c r="L437" s="408"/>
      <c r="M437" s="408"/>
      <c r="N437" s="3" t="str">
        <f t="shared" si="32"/>
        <v/>
      </c>
      <c r="O437" s="408"/>
      <c r="P437" s="408"/>
      <c r="Q437" s="408"/>
      <c r="R437" s="408"/>
      <c r="S437" s="408"/>
      <c r="T437" s="408"/>
      <c r="U437" s="408"/>
      <c r="V437" s="421"/>
      <c r="W437" s="421"/>
      <c r="X437" s="421"/>
      <c r="Y437" s="421"/>
      <c r="Z437" s="421"/>
      <c r="AA437" s="421"/>
      <c r="AB437" s="421"/>
      <c r="AC437" s="421"/>
      <c r="AD437" s="421"/>
      <c r="AE437" s="421"/>
      <c r="AF437" s="421"/>
      <c r="AG437" s="421"/>
      <c r="AH437" s="421"/>
      <c r="AI437" s="421"/>
      <c r="AJ437" s="421"/>
      <c r="AK437" s="421"/>
      <c r="AL437" s="421"/>
    </row>
    <row r="438" spans="1:38">
      <c r="A438" s="410">
        <v>5610</v>
      </c>
      <c r="B438" s="407"/>
      <c r="C438" s="408"/>
      <c r="D438" s="410" t="s">
        <v>2011</v>
      </c>
      <c r="E438" s="410" t="s">
        <v>1409</v>
      </c>
      <c r="F438" s="410" t="s">
        <v>1479</v>
      </c>
      <c r="G438" s="68" t="str">
        <f t="shared" si="31"/>
        <v>SINGLE</v>
      </c>
      <c r="H438" s="197">
        <f t="shared" si="30"/>
        <v>14</v>
      </c>
      <c r="I438" s="408">
        <f t="shared" si="33"/>
        <v>4</v>
      </c>
      <c r="J438" s="408">
        <f t="shared" si="34"/>
        <v>4</v>
      </c>
      <c r="K438" s="411">
        <v>45751</v>
      </c>
      <c r="L438" s="408"/>
      <c r="M438" s="408"/>
      <c r="N438" s="3" t="str">
        <f t="shared" si="32"/>
        <v/>
      </c>
      <c r="O438" s="408"/>
      <c r="P438" s="408"/>
      <c r="Q438" s="408"/>
      <c r="R438" s="408"/>
      <c r="S438" s="408"/>
      <c r="T438" s="408"/>
      <c r="U438" s="408"/>
      <c r="V438" s="421"/>
      <c r="W438" s="421"/>
      <c r="X438" s="421"/>
      <c r="Y438" s="421"/>
      <c r="Z438" s="421"/>
      <c r="AA438" s="421"/>
      <c r="AB438" s="421"/>
      <c r="AC438" s="421"/>
      <c r="AD438" s="421"/>
      <c r="AE438" s="421"/>
      <c r="AF438" s="421"/>
      <c r="AG438" s="421"/>
      <c r="AH438" s="421"/>
      <c r="AI438" s="421"/>
      <c r="AJ438" s="421"/>
      <c r="AK438" s="421"/>
      <c r="AL438" s="421"/>
    </row>
    <row r="439" spans="1:38">
      <c r="A439" s="410">
        <v>5504</v>
      </c>
      <c r="B439" s="407"/>
      <c r="C439" s="408"/>
      <c r="D439" s="410" t="s">
        <v>2012</v>
      </c>
      <c r="E439" s="410" t="s">
        <v>1409</v>
      </c>
      <c r="F439" s="410" t="s">
        <v>1479</v>
      </c>
      <c r="G439" s="68" t="str">
        <f t="shared" si="31"/>
        <v>SINGLE</v>
      </c>
      <c r="H439" s="197">
        <f t="shared" si="30"/>
        <v>14</v>
      </c>
      <c r="I439" s="408">
        <f t="shared" si="33"/>
        <v>4</v>
      </c>
      <c r="J439" s="408">
        <f t="shared" si="34"/>
        <v>4</v>
      </c>
      <c r="K439" s="411">
        <v>45751</v>
      </c>
      <c r="L439" s="408"/>
      <c r="M439" s="408"/>
      <c r="N439" s="3" t="str">
        <f t="shared" si="32"/>
        <v/>
      </c>
      <c r="O439" s="408"/>
      <c r="P439" s="408"/>
      <c r="Q439" s="408"/>
      <c r="R439" s="408"/>
      <c r="S439" s="408"/>
      <c r="T439" s="408"/>
      <c r="U439" s="408"/>
      <c r="V439" s="421"/>
      <c r="W439" s="421"/>
      <c r="X439" s="421"/>
      <c r="Y439" s="421"/>
      <c r="Z439" s="421"/>
      <c r="AA439" s="421"/>
      <c r="AB439" s="421"/>
      <c r="AC439" s="421"/>
      <c r="AD439" s="421"/>
      <c r="AE439" s="421"/>
      <c r="AF439" s="421"/>
      <c r="AG439" s="421"/>
      <c r="AH439" s="421"/>
      <c r="AI439" s="421"/>
      <c r="AJ439" s="421"/>
      <c r="AK439" s="421"/>
      <c r="AL439" s="421"/>
    </row>
    <row r="440" spans="1:38">
      <c r="A440" s="410">
        <v>5570</v>
      </c>
      <c r="B440" s="407"/>
      <c r="C440" s="408"/>
      <c r="D440" s="410" t="s">
        <v>2013</v>
      </c>
      <c r="E440" s="410" t="s">
        <v>1414</v>
      </c>
      <c r="F440" s="410" t="s">
        <v>1476</v>
      </c>
      <c r="G440" s="68" t="str">
        <f t="shared" si="31"/>
        <v>DUAL</v>
      </c>
      <c r="H440" s="197">
        <f t="shared" si="30"/>
        <v>15</v>
      </c>
      <c r="I440" s="408">
        <f t="shared" si="33"/>
        <v>4</v>
      </c>
      <c r="J440" s="408">
        <f t="shared" si="34"/>
        <v>7</v>
      </c>
      <c r="K440" s="411">
        <v>45754</v>
      </c>
      <c r="L440" s="408"/>
      <c r="M440" s="408"/>
      <c r="N440" s="3" t="str">
        <f t="shared" si="32"/>
        <v/>
      </c>
      <c r="O440" s="408"/>
      <c r="P440" s="408"/>
      <c r="Q440" s="408"/>
      <c r="R440" s="408"/>
      <c r="S440" s="408"/>
      <c r="T440" s="408"/>
      <c r="U440" s="408"/>
      <c r="V440" s="421"/>
      <c r="W440" s="421"/>
      <c r="X440" s="421"/>
      <c r="Y440" s="421"/>
      <c r="Z440" s="421"/>
      <c r="AA440" s="421"/>
      <c r="AB440" s="421"/>
      <c r="AC440" s="421"/>
      <c r="AD440" s="421"/>
      <c r="AE440" s="421"/>
      <c r="AF440" s="421"/>
      <c r="AG440" s="421"/>
      <c r="AH440" s="421"/>
      <c r="AI440" s="421"/>
      <c r="AJ440" s="421"/>
      <c r="AK440" s="421"/>
      <c r="AL440" s="421"/>
    </row>
    <row r="441" spans="1:38">
      <c r="A441" s="410">
        <v>5570</v>
      </c>
      <c r="B441" s="407"/>
      <c r="C441" s="408"/>
      <c r="D441" s="410" t="s">
        <v>2014</v>
      </c>
      <c r="E441" s="410" t="s">
        <v>1414</v>
      </c>
      <c r="F441" s="410" t="s">
        <v>1476</v>
      </c>
      <c r="G441" s="68" t="str">
        <f t="shared" si="31"/>
        <v>DUAL</v>
      </c>
      <c r="H441" s="197">
        <f t="shared" si="30"/>
        <v>15</v>
      </c>
      <c r="I441" s="408">
        <f t="shared" si="33"/>
        <v>4</v>
      </c>
      <c r="J441" s="408">
        <f t="shared" si="34"/>
        <v>7</v>
      </c>
      <c r="K441" s="411">
        <v>45754</v>
      </c>
      <c r="L441" s="408"/>
      <c r="M441" s="408"/>
      <c r="N441" s="3" t="str">
        <f t="shared" si="32"/>
        <v/>
      </c>
      <c r="O441" s="408"/>
      <c r="P441" s="408"/>
      <c r="Q441" s="408"/>
      <c r="R441" s="408"/>
      <c r="S441" s="408"/>
      <c r="T441" s="408"/>
      <c r="U441" s="408"/>
      <c r="V441" s="421"/>
      <c r="W441" s="421"/>
      <c r="X441" s="421"/>
      <c r="Y441" s="421"/>
      <c r="Z441" s="421"/>
      <c r="AA441" s="421"/>
      <c r="AB441" s="421"/>
      <c r="AC441" s="421"/>
      <c r="AD441" s="421"/>
      <c r="AE441" s="421"/>
      <c r="AF441" s="421"/>
      <c r="AG441" s="421"/>
      <c r="AH441" s="421"/>
      <c r="AI441" s="421"/>
      <c r="AJ441" s="421"/>
      <c r="AK441" s="421"/>
      <c r="AL441" s="421"/>
    </row>
    <row r="442" spans="1:38">
      <c r="A442" s="410">
        <v>5519</v>
      </c>
      <c r="B442" s="407"/>
      <c r="C442" s="408"/>
      <c r="D442" s="410" t="s">
        <v>2015</v>
      </c>
      <c r="E442" s="410" t="s">
        <v>1426</v>
      </c>
      <c r="F442" s="410" t="s">
        <v>1476</v>
      </c>
      <c r="G442" s="68" t="str">
        <f t="shared" si="31"/>
        <v>DUAL</v>
      </c>
      <c r="H442" s="197">
        <f t="shared" si="30"/>
        <v>15</v>
      </c>
      <c r="I442" s="408">
        <f t="shared" si="33"/>
        <v>4</v>
      </c>
      <c r="J442" s="408">
        <f t="shared" si="34"/>
        <v>7</v>
      </c>
      <c r="K442" s="411">
        <v>45754</v>
      </c>
      <c r="L442" s="408"/>
      <c r="M442" s="408"/>
      <c r="N442" s="3" t="str">
        <f t="shared" si="32"/>
        <v/>
      </c>
      <c r="O442" s="408"/>
      <c r="P442" s="408"/>
      <c r="Q442" s="408"/>
      <c r="R442" s="408"/>
      <c r="S442" s="408"/>
      <c r="T442" s="408"/>
      <c r="U442" s="408"/>
      <c r="V442" s="421"/>
      <c r="W442" s="421"/>
      <c r="X442" s="421"/>
      <c r="Y442" s="421"/>
      <c r="Z442" s="421"/>
      <c r="AA442" s="421"/>
      <c r="AB442" s="421"/>
      <c r="AC442" s="421"/>
      <c r="AD442" s="421"/>
      <c r="AE442" s="421"/>
      <c r="AF442" s="421"/>
      <c r="AG442" s="421"/>
      <c r="AH442" s="421"/>
      <c r="AI442" s="421"/>
      <c r="AJ442" s="421"/>
      <c r="AK442" s="421"/>
      <c r="AL442" s="421"/>
    </row>
    <row r="443" spans="1:38">
      <c r="A443" s="410">
        <v>5519</v>
      </c>
      <c r="B443" s="407"/>
      <c r="C443" s="408"/>
      <c r="D443" s="410" t="s">
        <v>2016</v>
      </c>
      <c r="E443" s="410" t="s">
        <v>1426</v>
      </c>
      <c r="F443" s="410" t="s">
        <v>1476</v>
      </c>
      <c r="G443" s="68" t="str">
        <f t="shared" si="31"/>
        <v>DUAL</v>
      </c>
      <c r="H443" s="197">
        <f t="shared" si="30"/>
        <v>15</v>
      </c>
      <c r="I443" s="408">
        <f t="shared" si="33"/>
        <v>4</v>
      </c>
      <c r="J443" s="408">
        <f t="shared" si="34"/>
        <v>7</v>
      </c>
      <c r="K443" s="411">
        <v>45754</v>
      </c>
      <c r="L443" s="408"/>
      <c r="M443" s="408"/>
      <c r="N443" s="3" t="str">
        <f t="shared" si="32"/>
        <v/>
      </c>
      <c r="O443" s="408"/>
      <c r="P443" s="408"/>
      <c r="Q443" s="408"/>
      <c r="R443" s="408"/>
      <c r="S443" s="408"/>
      <c r="T443" s="408"/>
      <c r="U443" s="408"/>
      <c r="V443" s="421"/>
      <c r="W443" s="421"/>
      <c r="X443" s="421"/>
      <c r="Y443" s="421"/>
      <c r="Z443" s="421"/>
      <c r="AA443" s="421"/>
      <c r="AB443" s="421"/>
      <c r="AC443" s="421"/>
      <c r="AD443" s="421"/>
      <c r="AE443" s="421"/>
      <c r="AF443" s="421"/>
      <c r="AG443" s="421"/>
      <c r="AH443" s="421"/>
      <c r="AI443" s="421"/>
      <c r="AJ443" s="421"/>
      <c r="AK443" s="421"/>
      <c r="AL443" s="421"/>
    </row>
    <row r="444" spans="1:38">
      <c r="A444" s="410">
        <v>5609</v>
      </c>
      <c r="B444" s="407"/>
      <c r="C444" s="408"/>
      <c r="D444" s="410" t="s">
        <v>2017</v>
      </c>
      <c r="E444" s="410" t="s">
        <v>1409</v>
      </c>
      <c r="F444" s="410" t="s">
        <v>1479</v>
      </c>
      <c r="G444" s="68" t="str">
        <f t="shared" si="31"/>
        <v>SINGLE</v>
      </c>
      <c r="H444" s="197">
        <f t="shared" si="30"/>
        <v>15</v>
      </c>
      <c r="I444" s="408">
        <f t="shared" si="33"/>
        <v>4</v>
      </c>
      <c r="J444" s="408">
        <f t="shared" si="34"/>
        <v>7</v>
      </c>
      <c r="K444" s="411">
        <v>45754</v>
      </c>
      <c r="L444" s="408"/>
      <c r="M444" s="408"/>
      <c r="N444" s="3" t="str">
        <f t="shared" si="32"/>
        <v/>
      </c>
      <c r="O444" s="408"/>
      <c r="P444" s="408"/>
      <c r="Q444" s="408"/>
      <c r="R444" s="408"/>
      <c r="S444" s="408"/>
      <c r="T444" s="408"/>
      <c r="U444" s="408"/>
      <c r="V444" s="421"/>
      <c r="W444" s="421"/>
      <c r="X444" s="421"/>
      <c r="Y444" s="421"/>
      <c r="Z444" s="421"/>
      <c r="AA444" s="421"/>
      <c r="AB444" s="421"/>
      <c r="AC444" s="421"/>
      <c r="AD444" s="421"/>
      <c r="AE444" s="421"/>
      <c r="AF444" s="421"/>
      <c r="AG444" s="421"/>
      <c r="AH444" s="421"/>
      <c r="AI444" s="421"/>
      <c r="AJ444" s="421"/>
      <c r="AK444" s="421"/>
      <c r="AL444" s="421"/>
    </row>
    <row r="445" spans="1:38">
      <c r="A445" s="410">
        <v>5609</v>
      </c>
      <c r="B445" s="407"/>
      <c r="C445" s="408"/>
      <c r="D445" s="410" t="s">
        <v>2018</v>
      </c>
      <c r="E445" s="410" t="s">
        <v>1409</v>
      </c>
      <c r="F445" s="410" t="s">
        <v>1479</v>
      </c>
      <c r="G445" s="68" t="str">
        <f t="shared" si="31"/>
        <v>SINGLE</v>
      </c>
      <c r="H445" s="197">
        <f t="shared" si="30"/>
        <v>15</v>
      </c>
      <c r="I445" s="408">
        <f t="shared" si="33"/>
        <v>4</v>
      </c>
      <c r="J445" s="408">
        <f t="shared" si="34"/>
        <v>7</v>
      </c>
      <c r="K445" s="411">
        <v>45754</v>
      </c>
      <c r="L445" s="408"/>
      <c r="M445" s="408"/>
      <c r="N445" s="3" t="str">
        <f t="shared" si="32"/>
        <v/>
      </c>
      <c r="O445" s="408"/>
      <c r="P445" s="408"/>
      <c r="Q445" s="408"/>
      <c r="R445" s="408"/>
      <c r="S445" s="408"/>
      <c r="T445" s="408"/>
      <c r="U445" s="408"/>
      <c r="V445" s="421"/>
      <c r="W445" s="421"/>
      <c r="X445" s="421"/>
      <c r="Y445" s="421"/>
      <c r="Z445" s="421"/>
      <c r="AA445" s="421"/>
      <c r="AB445" s="421"/>
      <c r="AC445" s="421"/>
      <c r="AD445" s="421"/>
      <c r="AE445" s="421"/>
      <c r="AF445" s="421"/>
      <c r="AG445" s="421"/>
      <c r="AH445" s="421"/>
      <c r="AI445" s="421"/>
      <c r="AJ445" s="421"/>
      <c r="AK445" s="421"/>
      <c r="AL445" s="421"/>
    </row>
    <row r="446" spans="1:38">
      <c r="A446" s="410">
        <v>5600</v>
      </c>
      <c r="B446" s="407"/>
      <c r="C446" s="408"/>
      <c r="D446" s="410" t="s">
        <v>2019</v>
      </c>
      <c r="E446" s="410" t="s">
        <v>1405</v>
      </c>
      <c r="F446" s="410" t="s">
        <v>1581</v>
      </c>
      <c r="G446" s="68" t="str">
        <f t="shared" si="31"/>
        <v>DUAL</v>
      </c>
      <c r="H446" s="197">
        <f t="shared" si="30"/>
        <v>15</v>
      </c>
      <c r="I446" s="408">
        <f t="shared" si="33"/>
        <v>4</v>
      </c>
      <c r="J446" s="408">
        <f t="shared" si="34"/>
        <v>7</v>
      </c>
      <c r="K446" s="411">
        <v>45754</v>
      </c>
      <c r="L446" s="408"/>
      <c r="M446" s="408"/>
      <c r="N446" s="3" t="str">
        <f t="shared" si="32"/>
        <v/>
      </c>
      <c r="O446" s="408"/>
      <c r="P446" s="408"/>
      <c r="Q446" s="408"/>
      <c r="R446" s="408"/>
      <c r="S446" s="408"/>
      <c r="T446" s="408"/>
      <c r="U446" s="408"/>
      <c r="V446" s="421"/>
      <c r="W446" s="421"/>
      <c r="X446" s="421"/>
      <c r="Y446" s="421"/>
      <c r="Z446" s="421"/>
      <c r="AA446" s="421"/>
      <c r="AB446" s="421"/>
      <c r="AC446" s="421"/>
      <c r="AD446" s="421"/>
      <c r="AE446" s="421"/>
      <c r="AF446" s="421"/>
      <c r="AG446" s="421"/>
      <c r="AH446" s="421"/>
      <c r="AI446" s="421"/>
      <c r="AJ446" s="421"/>
      <c r="AK446" s="421"/>
      <c r="AL446" s="421"/>
    </row>
    <row r="447" spans="1:38">
      <c r="A447" s="410">
        <v>5583</v>
      </c>
      <c r="B447" s="407"/>
      <c r="C447" s="408"/>
      <c r="D447" s="410" t="s">
        <v>2020</v>
      </c>
      <c r="E447" s="410" t="s">
        <v>1429</v>
      </c>
      <c r="F447" s="410" t="s">
        <v>1476</v>
      </c>
      <c r="G447" s="68" t="str">
        <f t="shared" si="31"/>
        <v>DUAL</v>
      </c>
      <c r="H447" s="197">
        <f t="shared" si="30"/>
        <v>15</v>
      </c>
      <c r="I447" s="408">
        <f t="shared" si="33"/>
        <v>4</v>
      </c>
      <c r="J447" s="408">
        <f t="shared" si="34"/>
        <v>7</v>
      </c>
      <c r="K447" s="411">
        <v>45754</v>
      </c>
      <c r="L447" s="408"/>
      <c r="M447" s="408"/>
      <c r="N447" s="3" t="str">
        <f t="shared" si="32"/>
        <v/>
      </c>
      <c r="O447" s="408"/>
      <c r="P447" s="408"/>
      <c r="Q447" s="408"/>
      <c r="R447" s="408"/>
      <c r="S447" s="408"/>
      <c r="T447" s="408"/>
      <c r="U447" s="408"/>
      <c r="V447" s="421"/>
      <c r="W447" s="421"/>
      <c r="X447" s="421"/>
      <c r="Y447" s="421"/>
      <c r="Z447" s="421"/>
      <c r="AA447" s="421"/>
      <c r="AB447" s="421"/>
      <c r="AC447" s="421"/>
      <c r="AD447" s="421"/>
      <c r="AE447" s="421"/>
      <c r="AF447" s="421"/>
      <c r="AG447" s="421"/>
      <c r="AH447" s="421"/>
      <c r="AI447" s="421"/>
      <c r="AJ447" s="421"/>
      <c r="AK447" s="421"/>
      <c r="AL447" s="421"/>
    </row>
    <row r="448" spans="1:38">
      <c r="A448" s="410">
        <v>5584</v>
      </c>
      <c r="B448" s="407"/>
      <c r="C448" s="408"/>
      <c r="D448" s="410" t="s">
        <v>2021</v>
      </c>
      <c r="E448" s="410" t="s">
        <v>1405</v>
      </c>
      <c r="F448" s="410" t="s">
        <v>1581</v>
      </c>
      <c r="G448" s="68" t="str">
        <f t="shared" si="31"/>
        <v>DUAL</v>
      </c>
      <c r="H448" s="197">
        <f t="shared" si="30"/>
        <v>15</v>
      </c>
      <c r="I448" s="408">
        <f t="shared" si="33"/>
        <v>4</v>
      </c>
      <c r="J448" s="408">
        <f t="shared" si="34"/>
        <v>7</v>
      </c>
      <c r="K448" s="411">
        <v>45754</v>
      </c>
      <c r="L448" s="408"/>
      <c r="M448" s="408"/>
      <c r="N448" s="3" t="str">
        <f t="shared" si="32"/>
        <v/>
      </c>
      <c r="O448" s="408"/>
      <c r="P448" s="408"/>
      <c r="Q448" s="408"/>
      <c r="R448" s="408"/>
      <c r="S448" s="408"/>
      <c r="T448" s="408"/>
      <c r="U448" s="408"/>
      <c r="V448" s="421"/>
      <c r="W448" s="421"/>
      <c r="X448" s="421"/>
      <c r="Y448" s="421"/>
      <c r="Z448" s="421"/>
      <c r="AA448" s="421"/>
      <c r="AB448" s="421"/>
      <c r="AC448" s="421"/>
      <c r="AD448" s="421"/>
      <c r="AE448" s="421"/>
      <c r="AF448" s="421"/>
      <c r="AG448" s="421"/>
      <c r="AH448" s="421"/>
      <c r="AI448" s="421"/>
      <c r="AJ448" s="421"/>
      <c r="AK448" s="421"/>
      <c r="AL448" s="421"/>
    </row>
    <row r="449" spans="1:38">
      <c r="A449" s="410">
        <v>5527</v>
      </c>
      <c r="B449" s="407"/>
      <c r="C449" s="408"/>
      <c r="D449" s="410" t="s">
        <v>2022</v>
      </c>
      <c r="E449" s="410" t="s">
        <v>1426</v>
      </c>
      <c r="F449" s="410" t="s">
        <v>1476</v>
      </c>
      <c r="G449" s="68" t="str">
        <f t="shared" si="31"/>
        <v>DUAL</v>
      </c>
      <c r="H449" s="197">
        <f t="shared" ref="H449:H512" si="35">WEEKNUM(K449)</f>
        <v>15</v>
      </c>
      <c r="I449" s="408">
        <f t="shared" si="33"/>
        <v>4</v>
      </c>
      <c r="J449" s="408">
        <f t="shared" si="34"/>
        <v>8</v>
      </c>
      <c r="K449" s="411">
        <v>45755</v>
      </c>
      <c r="L449" s="408"/>
      <c r="M449" s="408"/>
      <c r="N449" s="3" t="str">
        <f t="shared" si="32"/>
        <v/>
      </c>
      <c r="O449" s="408"/>
      <c r="P449" s="408"/>
      <c r="Q449" s="408"/>
      <c r="R449" s="408"/>
      <c r="S449" s="408"/>
      <c r="T449" s="408"/>
      <c r="U449" s="408"/>
      <c r="V449" s="421"/>
      <c r="W449" s="421"/>
      <c r="X449" s="421"/>
      <c r="Y449" s="421"/>
      <c r="Z449" s="421"/>
      <c r="AA449" s="421"/>
      <c r="AB449" s="421"/>
      <c r="AC449" s="421"/>
      <c r="AD449" s="421"/>
      <c r="AE449" s="421"/>
      <c r="AF449" s="421"/>
      <c r="AG449" s="421"/>
      <c r="AH449" s="421"/>
      <c r="AI449" s="421"/>
      <c r="AJ449" s="421"/>
      <c r="AK449" s="421"/>
      <c r="AL449" s="421"/>
    </row>
    <row r="450" spans="1:38">
      <c r="A450" s="410">
        <v>5527</v>
      </c>
      <c r="B450" s="407"/>
      <c r="C450" s="408"/>
      <c r="D450" s="410" t="s">
        <v>2023</v>
      </c>
      <c r="E450" s="410" t="s">
        <v>1426</v>
      </c>
      <c r="F450" s="410" t="s">
        <v>1476</v>
      </c>
      <c r="G450" s="68" t="str">
        <f t="shared" ref="G450:G513" si="36">IF(OR(ISNUMBER(SEARCH("DUAL",F450)), ISNUMBER(SEARCH("IVAS",F450))), "DUAL", "SINGLE")</f>
        <v>DUAL</v>
      </c>
      <c r="H450" s="197">
        <f t="shared" si="35"/>
        <v>15</v>
      </c>
      <c r="I450" s="408">
        <f t="shared" si="33"/>
        <v>4</v>
      </c>
      <c r="J450" s="408">
        <f t="shared" si="34"/>
        <v>8</v>
      </c>
      <c r="K450" s="411">
        <v>45755</v>
      </c>
      <c r="L450" s="408"/>
      <c r="M450" s="408"/>
      <c r="N450" s="3" t="str">
        <f t="shared" ref="N450:N513" si="37">IF(O450&lt;&gt;"", "NG", "")</f>
        <v/>
      </c>
      <c r="O450" s="408"/>
      <c r="P450" s="408"/>
      <c r="Q450" s="408"/>
      <c r="R450" s="408"/>
      <c r="S450" s="408"/>
      <c r="T450" s="408"/>
      <c r="U450" s="408"/>
      <c r="V450" s="421"/>
      <c r="W450" s="421"/>
      <c r="X450" s="421"/>
      <c r="Y450" s="421"/>
      <c r="Z450" s="421"/>
      <c r="AA450" s="421"/>
      <c r="AB450" s="421"/>
      <c r="AC450" s="421"/>
      <c r="AD450" s="421"/>
      <c r="AE450" s="421"/>
      <c r="AF450" s="421"/>
      <c r="AG450" s="421"/>
      <c r="AH450" s="421"/>
      <c r="AI450" s="421"/>
      <c r="AJ450" s="421"/>
      <c r="AK450" s="421"/>
      <c r="AL450" s="421"/>
    </row>
    <row r="451" spans="1:38">
      <c r="A451" s="410">
        <v>5521</v>
      </c>
      <c r="B451" s="407"/>
      <c r="C451" s="408"/>
      <c r="D451" s="410" t="s">
        <v>2024</v>
      </c>
      <c r="E451" s="410" t="s">
        <v>1426</v>
      </c>
      <c r="F451" s="410" t="s">
        <v>1476</v>
      </c>
      <c r="G451" s="68" t="str">
        <f t="shared" si="36"/>
        <v>DUAL</v>
      </c>
      <c r="H451" s="197">
        <f t="shared" si="35"/>
        <v>15</v>
      </c>
      <c r="I451" s="408">
        <f t="shared" ref="I451:I514" si="38">MONTH(K451)</f>
        <v>4</v>
      </c>
      <c r="J451" s="408">
        <f t="shared" ref="J451:J514" si="39">DAY(K451)</f>
        <v>8</v>
      </c>
      <c r="K451" s="411">
        <v>45755</v>
      </c>
      <c r="L451" s="408"/>
      <c r="M451" s="408"/>
      <c r="N451" s="3" t="str">
        <f t="shared" si="37"/>
        <v/>
      </c>
      <c r="O451" s="408"/>
      <c r="P451" s="408"/>
      <c r="Q451" s="408"/>
      <c r="R451" s="408"/>
      <c r="S451" s="408"/>
      <c r="T451" s="408"/>
      <c r="U451" s="408"/>
      <c r="V451" s="421"/>
      <c r="W451" s="421"/>
      <c r="X451" s="421"/>
      <c r="Y451" s="421"/>
      <c r="Z451" s="421"/>
      <c r="AA451" s="421"/>
      <c r="AB451" s="421"/>
      <c r="AC451" s="421"/>
      <c r="AD451" s="421"/>
      <c r="AE451" s="421"/>
      <c r="AF451" s="421"/>
      <c r="AG451" s="421"/>
      <c r="AH451" s="421"/>
      <c r="AI451" s="421"/>
      <c r="AJ451" s="421"/>
      <c r="AK451" s="421"/>
      <c r="AL451" s="421"/>
    </row>
    <row r="452" spans="1:38">
      <c r="A452" s="410">
        <v>5549</v>
      </c>
      <c r="B452" s="407"/>
      <c r="C452" s="408"/>
      <c r="D452" s="410" t="s">
        <v>2025</v>
      </c>
      <c r="E452" s="410" t="s">
        <v>1585</v>
      </c>
      <c r="F452" s="410" t="s">
        <v>1476</v>
      </c>
      <c r="G452" s="68" t="str">
        <f t="shared" si="36"/>
        <v>DUAL</v>
      </c>
      <c r="H452" s="197">
        <f t="shared" si="35"/>
        <v>15</v>
      </c>
      <c r="I452" s="408">
        <f t="shared" si="38"/>
        <v>4</v>
      </c>
      <c r="J452" s="408">
        <f t="shared" si="39"/>
        <v>8</v>
      </c>
      <c r="K452" s="411">
        <v>45755</v>
      </c>
      <c r="L452" s="408"/>
      <c r="M452" s="408"/>
      <c r="N452" s="3" t="str">
        <f t="shared" si="37"/>
        <v/>
      </c>
      <c r="O452" s="408"/>
      <c r="P452" s="408"/>
      <c r="Q452" s="408"/>
      <c r="R452" s="408"/>
      <c r="S452" s="408"/>
      <c r="T452" s="408"/>
      <c r="U452" s="408"/>
      <c r="V452" s="421"/>
      <c r="W452" s="421"/>
      <c r="X452" s="421"/>
      <c r="Y452" s="421"/>
      <c r="Z452" s="421"/>
      <c r="AA452" s="421"/>
      <c r="AB452" s="421"/>
      <c r="AC452" s="421"/>
      <c r="AD452" s="421"/>
      <c r="AE452" s="421"/>
      <c r="AF452" s="421"/>
      <c r="AG452" s="421"/>
      <c r="AH452" s="421"/>
      <c r="AI452" s="421"/>
      <c r="AJ452" s="421"/>
      <c r="AK452" s="421"/>
      <c r="AL452" s="421"/>
    </row>
    <row r="453" spans="1:38">
      <c r="A453" s="410">
        <v>5549</v>
      </c>
      <c r="B453" s="407"/>
      <c r="C453" s="408"/>
      <c r="D453" s="410" t="s">
        <v>2026</v>
      </c>
      <c r="E453" s="410" t="s">
        <v>1585</v>
      </c>
      <c r="F453" s="410" t="s">
        <v>1476</v>
      </c>
      <c r="G453" s="68" t="str">
        <f t="shared" si="36"/>
        <v>DUAL</v>
      </c>
      <c r="H453" s="197">
        <f t="shared" si="35"/>
        <v>15</v>
      </c>
      <c r="I453" s="408">
        <f t="shared" si="38"/>
        <v>4</v>
      </c>
      <c r="J453" s="408">
        <f t="shared" si="39"/>
        <v>8</v>
      </c>
      <c r="K453" s="411">
        <v>45755</v>
      </c>
      <c r="L453" s="408"/>
      <c r="M453" s="408"/>
      <c r="N453" s="3" t="str">
        <f t="shared" si="37"/>
        <v/>
      </c>
      <c r="O453" s="408"/>
      <c r="P453" s="408"/>
      <c r="Q453" s="408"/>
      <c r="R453" s="408"/>
      <c r="S453" s="408"/>
      <c r="T453" s="408"/>
      <c r="U453" s="408"/>
      <c r="V453" s="421"/>
      <c r="W453" s="421"/>
      <c r="X453" s="421"/>
      <c r="Y453" s="421"/>
      <c r="Z453" s="421"/>
      <c r="AA453" s="421"/>
      <c r="AB453" s="421"/>
      <c r="AC453" s="421"/>
      <c r="AD453" s="421"/>
      <c r="AE453" s="421"/>
      <c r="AF453" s="421"/>
      <c r="AG453" s="421"/>
      <c r="AH453" s="421"/>
      <c r="AI453" s="421"/>
      <c r="AJ453" s="421"/>
      <c r="AK453" s="421"/>
      <c r="AL453" s="421"/>
    </row>
    <row r="454" spans="1:38">
      <c r="A454" s="410">
        <v>5400</v>
      </c>
      <c r="B454" s="407"/>
      <c r="C454" s="408"/>
      <c r="D454" s="410" t="s">
        <v>2027</v>
      </c>
      <c r="E454" s="410" t="s">
        <v>1405</v>
      </c>
      <c r="F454" s="410" t="s">
        <v>1591</v>
      </c>
      <c r="G454" s="68" t="str">
        <f t="shared" si="36"/>
        <v>SINGLE</v>
      </c>
      <c r="H454" s="197">
        <f t="shared" si="35"/>
        <v>15</v>
      </c>
      <c r="I454" s="408">
        <f t="shared" si="38"/>
        <v>4</v>
      </c>
      <c r="J454" s="408">
        <f t="shared" si="39"/>
        <v>8</v>
      </c>
      <c r="K454" s="411">
        <v>45755</v>
      </c>
      <c r="L454" s="408"/>
      <c r="M454" s="408"/>
      <c r="N454" s="3" t="str">
        <f t="shared" si="37"/>
        <v/>
      </c>
      <c r="O454" s="408"/>
      <c r="P454" s="408"/>
      <c r="Q454" s="408"/>
      <c r="R454" s="408"/>
      <c r="S454" s="408"/>
      <c r="T454" s="408"/>
      <c r="U454" s="408"/>
      <c r="V454" s="421"/>
      <c r="W454" s="421"/>
      <c r="X454" s="421"/>
      <c r="Y454" s="421"/>
      <c r="Z454" s="421"/>
      <c r="AA454" s="421"/>
      <c r="AB454" s="421"/>
      <c r="AC454" s="421"/>
      <c r="AD454" s="421"/>
      <c r="AE454" s="421"/>
      <c r="AF454" s="421"/>
      <c r="AG454" s="421"/>
      <c r="AH454" s="421"/>
      <c r="AI454" s="421"/>
      <c r="AJ454" s="421"/>
      <c r="AK454" s="421"/>
      <c r="AL454" s="421"/>
    </row>
    <row r="455" spans="1:38">
      <c r="A455" s="410">
        <v>5400</v>
      </c>
      <c r="B455" s="407"/>
      <c r="C455" s="408"/>
      <c r="D455" s="410" t="s">
        <v>2028</v>
      </c>
      <c r="E455" s="410" t="s">
        <v>1405</v>
      </c>
      <c r="F455" s="410" t="s">
        <v>1591</v>
      </c>
      <c r="G455" s="68" t="str">
        <f t="shared" si="36"/>
        <v>SINGLE</v>
      </c>
      <c r="H455" s="197">
        <f t="shared" si="35"/>
        <v>15</v>
      </c>
      <c r="I455" s="408">
        <f t="shared" si="38"/>
        <v>4</v>
      </c>
      <c r="J455" s="408">
        <f t="shared" si="39"/>
        <v>8</v>
      </c>
      <c r="K455" s="411">
        <v>45755</v>
      </c>
      <c r="L455" s="408"/>
      <c r="M455" s="408"/>
      <c r="N455" s="3" t="str">
        <f t="shared" si="37"/>
        <v/>
      </c>
      <c r="O455" s="408"/>
      <c r="P455" s="408"/>
      <c r="Q455" s="408"/>
      <c r="R455" s="408"/>
      <c r="S455" s="408"/>
      <c r="T455" s="408"/>
      <c r="U455" s="408"/>
      <c r="V455" s="421"/>
      <c r="W455" s="421"/>
      <c r="X455" s="421"/>
      <c r="Y455" s="421"/>
      <c r="Z455" s="421"/>
      <c r="AA455" s="421"/>
      <c r="AB455" s="421"/>
      <c r="AC455" s="421"/>
      <c r="AD455" s="421"/>
      <c r="AE455" s="421"/>
      <c r="AF455" s="421"/>
      <c r="AG455" s="421"/>
      <c r="AH455" s="421"/>
      <c r="AI455" s="421"/>
      <c r="AJ455" s="421"/>
      <c r="AK455" s="421"/>
      <c r="AL455" s="421"/>
    </row>
    <row r="456" spans="1:38">
      <c r="A456" s="410">
        <v>5499</v>
      </c>
      <c r="B456" s="407"/>
      <c r="C456" s="408"/>
      <c r="D456" s="410" t="s">
        <v>2029</v>
      </c>
      <c r="E456" s="410" t="s">
        <v>1405</v>
      </c>
      <c r="F456" s="410" t="s">
        <v>1591</v>
      </c>
      <c r="G456" s="68" t="str">
        <f t="shared" si="36"/>
        <v>SINGLE</v>
      </c>
      <c r="H456" s="197">
        <f t="shared" si="35"/>
        <v>15</v>
      </c>
      <c r="I456" s="408">
        <f t="shared" si="38"/>
        <v>4</v>
      </c>
      <c r="J456" s="408">
        <f t="shared" si="39"/>
        <v>8</v>
      </c>
      <c r="K456" s="411">
        <v>45755</v>
      </c>
      <c r="L456" s="408"/>
      <c r="M456" s="408"/>
      <c r="N456" s="3" t="str">
        <f t="shared" si="37"/>
        <v/>
      </c>
      <c r="O456" s="408"/>
      <c r="P456" s="408"/>
      <c r="Q456" s="408"/>
      <c r="R456" s="408"/>
      <c r="S456" s="408"/>
      <c r="T456" s="408"/>
      <c r="U456" s="408"/>
      <c r="V456" s="421"/>
      <c r="W456" s="421"/>
      <c r="X456" s="421"/>
      <c r="Y456" s="421"/>
      <c r="Z456" s="421"/>
      <c r="AA456" s="421"/>
      <c r="AB456" s="421"/>
      <c r="AC456" s="421"/>
      <c r="AD456" s="421"/>
      <c r="AE456" s="421"/>
      <c r="AF456" s="421"/>
      <c r="AG456" s="421"/>
      <c r="AH456" s="421"/>
      <c r="AI456" s="421"/>
      <c r="AJ456" s="421"/>
      <c r="AK456" s="421"/>
      <c r="AL456" s="421"/>
    </row>
    <row r="457" spans="1:38">
      <c r="A457" s="410">
        <v>5499</v>
      </c>
      <c r="B457" s="407"/>
      <c r="C457" s="408"/>
      <c r="D457" s="410" t="s">
        <v>2030</v>
      </c>
      <c r="E457" s="410" t="s">
        <v>1405</v>
      </c>
      <c r="F457" s="410" t="s">
        <v>1591</v>
      </c>
      <c r="G457" s="68" t="str">
        <f t="shared" si="36"/>
        <v>SINGLE</v>
      </c>
      <c r="H457" s="197">
        <f t="shared" si="35"/>
        <v>15</v>
      </c>
      <c r="I457" s="408">
        <f t="shared" si="38"/>
        <v>4</v>
      </c>
      <c r="J457" s="408">
        <f t="shared" si="39"/>
        <v>8</v>
      </c>
      <c r="K457" s="411">
        <v>45755</v>
      </c>
      <c r="L457" s="408"/>
      <c r="M457" s="408"/>
      <c r="N457" s="3" t="str">
        <f t="shared" si="37"/>
        <v/>
      </c>
      <c r="O457" s="408"/>
      <c r="P457" s="408"/>
      <c r="Q457" s="408"/>
      <c r="R457" s="408"/>
      <c r="S457" s="408"/>
      <c r="T457" s="408"/>
      <c r="U457" s="408"/>
      <c r="V457" s="421"/>
      <c r="W457" s="421"/>
      <c r="X457" s="421"/>
      <c r="Y457" s="421"/>
      <c r="Z457" s="421"/>
      <c r="AA457" s="421"/>
      <c r="AB457" s="421"/>
      <c r="AC457" s="421"/>
      <c r="AD457" s="421"/>
      <c r="AE457" s="421"/>
      <c r="AF457" s="421"/>
      <c r="AG457" s="421"/>
      <c r="AH457" s="421"/>
      <c r="AI457" s="421"/>
      <c r="AJ457" s="421"/>
      <c r="AK457" s="421"/>
      <c r="AL457" s="421"/>
    </row>
    <row r="458" spans="1:38">
      <c r="A458" s="410">
        <v>5547</v>
      </c>
      <c r="B458" s="407"/>
      <c r="C458" s="408"/>
      <c r="D458" s="410" t="s">
        <v>2031</v>
      </c>
      <c r="E458" s="410" t="s">
        <v>1585</v>
      </c>
      <c r="F458" s="410" t="s">
        <v>1476</v>
      </c>
      <c r="G458" s="68" t="str">
        <f t="shared" si="36"/>
        <v>DUAL</v>
      </c>
      <c r="H458" s="197">
        <f t="shared" si="35"/>
        <v>15</v>
      </c>
      <c r="I458" s="408">
        <f t="shared" si="38"/>
        <v>4</v>
      </c>
      <c r="J458" s="408">
        <f t="shared" si="39"/>
        <v>9</v>
      </c>
      <c r="K458" s="411">
        <v>45756</v>
      </c>
      <c r="L458" s="408"/>
      <c r="M458" s="408"/>
      <c r="N458" s="3" t="str">
        <f t="shared" si="37"/>
        <v/>
      </c>
      <c r="O458" s="408"/>
      <c r="P458" s="408"/>
      <c r="Q458" s="408"/>
      <c r="R458" s="408"/>
      <c r="S458" s="408"/>
      <c r="T458" s="408"/>
      <c r="U458" s="408"/>
      <c r="V458" s="421"/>
      <c r="W458" s="421"/>
      <c r="X458" s="421"/>
      <c r="Y458" s="421"/>
      <c r="Z458" s="421"/>
      <c r="AA458" s="421"/>
      <c r="AB458" s="421"/>
      <c r="AC458" s="421"/>
      <c r="AD458" s="421"/>
      <c r="AE458" s="421"/>
      <c r="AF458" s="421"/>
      <c r="AG458" s="421"/>
      <c r="AH458" s="421"/>
      <c r="AI458" s="421"/>
      <c r="AJ458" s="421"/>
      <c r="AK458" s="421"/>
      <c r="AL458" s="421"/>
    </row>
    <row r="459" spans="1:38">
      <c r="A459" s="410">
        <v>5522</v>
      </c>
      <c r="B459" s="407"/>
      <c r="C459" s="408"/>
      <c r="D459" s="410" t="s">
        <v>2032</v>
      </c>
      <c r="E459" s="410" t="s">
        <v>1426</v>
      </c>
      <c r="F459" s="410" t="s">
        <v>1476</v>
      </c>
      <c r="G459" s="68" t="str">
        <f t="shared" si="36"/>
        <v>DUAL</v>
      </c>
      <c r="H459" s="197">
        <f t="shared" si="35"/>
        <v>15</v>
      </c>
      <c r="I459" s="408">
        <f t="shared" si="38"/>
        <v>4</v>
      </c>
      <c r="J459" s="408">
        <f t="shared" si="39"/>
        <v>9</v>
      </c>
      <c r="K459" s="411">
        <v>45756</v>
      </c>
      <c r="L459" s="408"/>
      <c r="M459" s="408"/>
      <c r="N459" s="3" t="str">
        <f t="shared" si="37"/>
        <v/>
      </c>
      <c r="O459" s="408"/>
      <c r="P459" s="408"/>
      <c r="Q459" s="408"/>
      <c r="R459" s="408"/>
      <c r="S459" s="408"/>
      <c r="T459" s="408"/>
      <c r="U459" s="408"/>
      <c r="V459" s="421"/>
      <c r="W459" s="421"/>
      <c r="X459" s="421"/>
      <c r="Y459" s="421"/>
      <c r="Z459" s="421"/>
      <c r="AA459" s="421"/>
      <c r="AB459" s="421"/>
      <c r="AC459" s="421"/>
      <c r="AD459" s="421"/>
      <c r="AE459" s="421"/>
      <c r="AF459" s="421"/>
      <c r="AG459" s="421"/>
      <c r="AH459" s="421"/>
      <c r="AI459" s="421"/>
      <c r="AJ459" s="421"/>
      <c r="AK459" s="421"/>
      <c r="AL459" s="421"/>
    </row>
    <row r="460" spans="1:38">
      <c r="A460" s="410">
        <v>5524</v>
      </c>
      <c r="B460" s="407"/>
      <c r="C460" s="408"/>
      <c r="D460" s="410" t="s">
        <v>2033</v>
      </c>
      <c r="E460" s="410" t="s">
        <v>1426</v>
      </c>
      <c r="F460" s="410" t="s">
        <v>1476</v>
      </c>
      <c r="G460" s="68" t="str">
        <f t="shared" si="36"/>
        <v>DUAL</v>
      </c>
      <c r="H460" s="197">
        <f t="shared" si="35"/>
        <v>15</v>
      </c>
      <c r="I460" s="408">
        <f t="shared" si="38"/>
        <v>4</v>
      </c>
      <c r="J460" s="408">
        <f t="shared" si="39"/>
        <v>9</v>
      </c>
      <c r="K460" s="411">
        <v>45756</v>
      </c>
      <c r="L460" s="408"/>
      <c r="M460" s="408"/>
      <c r="N460" s="3" t="str">
        <f t="shared" si="37"/>
        <v/>
      </c>
      <c r="O460" s="408"/>
      <c r="P460" s="408"/>
      <c r="Q460" s="408"/>
      <c r="R460" s="408"/>
      <c r="S460" s="408"/>
      <c r="T460" s="408"/>
      <c r="U460" s="408"/>
      <c r="V460" s="421"/>
      <c r="W460" s="421"/>
      <c r="X460" s="421"/>
      <c r="Y460" s="421"/>
      <c r="Z460" s="421"/>
      <c r="AA460" s="421"/>
      <c r="AB460" s="421"/>
      <c r="AC460" s="421"/>
      <c r="AD460" s="421"/>
      <c r="AE460" s="421"/>
      <c r="AF460" s="421"/>
      <c r="AG460" s="421"/>
      <c r="AH460" s="421"/>
      <c r="AI460" s="421"/>
      <c r="AJ460" s="421"/>
      <c r="AK460" s="421"/>
      <c r="AL460" s="421"/>
    </row>
    <row r="461" spans="1:38">
      <c r="A461" s="410">
        <v>5548</v>
      </c>
      <c r="B461" s="407"/>
      <c r="C461" s="408"/>
      <c r="D461" s="410" t="s">
        <v>2034</v>
      </c>
      <c r="E461" s="410" t="s">
        <v>1585</v>
      </c>
      <c r="F461" s="410" t="s">
        <v>1476</v>
      </c>
      <c r="G461" s="68" t="str">
        <f t="shared" si="36"/>
        <v>DUAL</v>
      </c>
      <c r="H461" s="197">
        <f t="shared" si="35"/>
        <v>15</v>
      </c>
      <c r="I461" s="408">
        <f t="shared" si="38"/>
        <v>4</v>
      </c>
      <c r="J461" s="408">
        <f t="shared" si="39"/>
        <v>9</v>
      </c>
      <c r="K461" s="411">
        <v>45756</v>
      </c>
      <c r="L461" s="408"/>
      <c r="M461" s="408"/>
      <c r="N461" s="3" t="str">
        <f t="shared" si="37"/>
        <v/>
      </c>
      <c r="O461" s="408"/>
      <c r="P461" s="408"/>
      <c r="Q461" s="408"/>
      <c r="R461" s="408"/>
      <c r="S461" s="408"/>
      <c r="T461" s="408"/>
      <c r="U461" s="408"/>
      <c r="V461" s="421"/>
      <c r="W461" s="421"/>
      <c r="X461" s="421"/>
      <c r="Y461" s="421"/>
      <c r="Z461" s="421"/>
      <c r="AA461" s="421"/>
      <c r="AB461" s="421"/>
      <c r="AC461" s="421"/>
      <c r="AD461" s="421"/>
      <c r="AE461" s="421"/>
      <c r="AF461" s="421"/>
      <c r="AG461" s="421"/>
      <c r="AH461" s="421"/>
      <c r="AI461" s="421"/>
      <c r="AJ461" s="421"/>
      <c r="AK461" s="421"/>
      <c r="AL461" s="421"/>
    </row>
    <row r="462" spans="1:38">
      <c r="A462" s="410">
        <v>5548</v>
      </c>
      <c r="B462" s="407"/>
      <c r="C462" s="408"/>
      <c r="D462" s="410" t="s">
        <v>2035</v>
      </c>
      <c r="E462" s="410" t="s">
        <v>1585</v>
      </c>
      <c r="F462" s="410" t="s">
        <v>1476</v>
      </c>
      <c r="G462" s="68" t="str">
        <f t="shared" si="36"/>
        <v>DUAL</v>
      </c>
      <c r="H462" s="197">
        <f t="shared" si="35"/>
        <v>15</v>
      </c>
      <c r="I462" s="408">
        <f t="shared" si="38"/>
        <v>4</v>
      </c>
      <c r="J462" s="408">
        <f t="shared" si="39"/>
        <v>9</v>
      </c>
      <c r="K462" s="411">
        <v>45756</v>
      </c>
      <c r="L462" s="408"/>
      <c r="M462" s="408"/>
      <c r="N462" s="3" t="str">
        <f t="shared" si="37"/>
        <v/>
      </c>
      <c r="O462" s="408"/>
      <c r="P462" s="408"/>
      <c r="Q462" s="408"/>
      <c r="R462" s="408"/>
      <c r="S462" s="408"/>
      <c r="T462" s="408"/>
      <c r="U462" s="408"/>
      <c r="V462" s="421"/>
      <c r="W462" s="421"/>
      <c r="X462" s="421"/>
      <c r="Y462" s="421"/>
      <c r="Z462" s="421"/>
      <c r="AA462" s="421"/>
      <c r="AB462" s="421"/>
      <c r="AC462" s="421"/>
      <c r="AD462" s="421"/>
      <c r="AE462" s="421"/>
      <c r="AF462" s="421"/>
      <c r="AG462" s="421"/>
      <c r="AH462" s="421"/>
      <c r="AI462" s="421"/>
      <c r="AJ462" s="421"/>
      <c r="AK462" s="421"/>
      <c r="AL462" s="421"/>
    </row>
    <row r="463" spans="1:38">
      <c r="A463" s="410">
        <v>5351</v>
      </c>
      <c r="B463" s="407"/>
      <c r="C463" s="408"/>
      <c r="D463" s="410" t="s">
        <v>2036</v>
      </c>
      <c r="E463" s="410" t="s">
        <v>1585</v>
      </c>
      <c r="F463" s="410" t="s">
        <v>1476</v>
      </c>
      <c r="G463" s="68" t="str">
        <f t="shared" si="36"/>
        <v>DUAL</v>
      </c>
      <c r="H463" s="197">
        <f t="shared" si="35"/>
        <v>15</v>
      </c>
      <c r="I463" s="408">
        <f t="shared" si="38"/>
        <v>4</v>
      </c>
      <c r="J463" s="408">
        <f t="shared" si="39"/>
        <v>10</v>
      </c>
      <c r="K463" s="411">
        <v>45757</v>
      </c>
      <c r="L463" s="408"/>
      <c r="M463" s="408"/>
      <c r="N463" s="3" t="str">
        <f t="shared" si="37"/>
        <v/>
      </c>
      <c r="O463" s="408"/>
      <c r="P463" s="408"/>
      <c r="Q463" s="408"/>
      <c r="R463" s="408"/>
      <c r="S463" s="408"/>
      <c r="T463" s="408"/>
      <c r="U463" s="408"/>
      <c r="V463" s="421"/>
      <c r="W463" s="421"/>
      <c r="X463" s="421"/>
      <c r="Y463" s="421"/>
      <c r="Z463" s="421"/>
      <c r="AA463" s="421"/>
      <c r="AB463" s="421"/>
      <c r="AC463" s="421"/>
      <c r="AD463" s="421"/>
      <c r="AE463" s="421"/>
      <c r="AF463" s="421"/>
      <c r="AG463" s="421"/>
      <c r="AH463" s="421"/>
      <c r="AI463" s="421"/>
      <c r="AJ463" s="421"/>
      <c r="AK463" s="421"/>
      <c r="AL463" s="421"/>
    </row>
    <row r="464" spans="1:38">
      <c r="A464" s="410">
        <v>5504</v>
      </c>
      <c r="B464" s="407"/>
      <c r="C464" s="408"/>
      <c r="D464" s="410" t="s">
        <v>2037</v>
      </c>
      <c r="E464" s="410" t="s">
        <v>1409</v>
      </c>
      <c r="F464" s="410" t="s">
        <v>1479</v>
      </c>
      <c r="G464" s="68" t="str">
        <f t="shared" si="36"/>
        <v>SINGLE</v>
      </c>
      <c r="H464" s="197">
        <f t="shared" si="35"/>
        <v>15</v>
      </c>
      <c r="I464" s="408">
        <f t="shared" si="38"/>
        <v>4</v>
      </c>
      <c r="J464" s="408">
        <f t="shared" si="39"/>
        <v>10</v>
      </c>
      <c r="K464" s="411">
        <v>45757</v>
      </c>
      <c r="L464" s="408"/>
      <c r="M464" s="408"/>
      <c r="N464" s="3" t="str">
        <f t="shared" si="37"/>
        <v/>
      </c>
      <c r="O464" s="408"/>
      <c r="P464" s="408"/>
      <c r="Q464" s="408"/>
      <c r="R464" s="408"/>
      <c r="S464" s="408"/>
      <c r="T464" s="408"/>
      <c r="U464" s="408"/>
      <c r="V464" s="421"/>
      <c r="W464" s="421"/>
      <c r="X464" s="421"/>
      <c r="Y464" s="421"/>
      <c r="Z464" s="421"/>
      <c r="AA464" s="421"/>
      <c r="AB464" s="421"/>
      <c r="AC464" s="421"/>
      <c r="AD464" s="421"/>
      <c r="AE464" s="421"/>
      <c r="AF464" s="421"/>
      <c r="AG464" s="421"/>
      <c r="AH464" s="421"/>
      <c r="AI464" s="421"/>
      <c r="AJ464" s="421"/>
      <c r="AK464" s="421"/>
      <c r="AL464" s="421"/>
    </row>
    <row r="465" spans="1:38">
      <c r="A465" s="410">
        <v>5504</v>
      </c>
      <c r="B465" s="407"/>
      <c r="C465" s="408"/>
      <c r="D465" s="410" t="s">
        <v>2038</v>
      </c>
      <c r="E465" s="410" t="s">
        <v>1409</v>
      </c>
      <c r="F465" s="410" t="s">
        <v>1479</v>
      </c>
      <c r="G465" s="68" t="str">
        <f t="shared" si="36"/>
        <v>SINGLE</v>
      </c>
      <c r="H465" s="197">
        <f t="shared" si="35"/>
        <v>15</v>
      </c>
      <c r="I465" s="408">
        <f t="shared" si="38"/>
        <v>4</v>
      </c>
      <c r="J465" s="408">
        <f t="shared" si="39"/>
        <v>10</v>
      </c>
      <c r="K465" s="411">
        <v>45757</v>
      </c>
      <c r="L465" s="408"/>
      <c r="M465" s="408"/>
      <c r="N465" s="3" t="str">
        <f t="shared" si="37"/>
        <v/>
      </c>
      <c r="O465" s="408"/>
      <c r="P465" s="408"/>
      <c r="Q465" s="408"/>
      <c r="R465" s="408"/>
      <c r="S465" s="408"/>
      <c r="T465" s="408"/>
      <c r="U465" s="408"/>
      <c r="V465" s="421"/>
      <c r="W465" s="421"/>
      <c r="X465" s="421"/>
      <c r="Y465" s="421"/>
      <c r="Z465" s="421"/>
      <c r="AA465" s="421"/>
      <c r="AB465" s="421"/>
      <c r="AC465" s="421"/>
      <c r="AD465" s="421"/>
      <c r="AE465" s="421"/>
      <c r="AF465" s="421"/>
      <c r="AG465" s="421"/>
      <c r="AH465" s="421"/>
      <c r="AI465" s="421"/>
      <c r="AJ465" s="421"/>
      <c r="AK465" s="421"/>
      <c r="AL465" s="421"/>
    </row>
    <row r="466" spans="1:38">
      <c r="A466" s="410">
        <v>5504</v>
      </c>
      <c r="B466" s="407"/>
      <c r="C466" s="408"/>
      <c r="D466" s="410" t="s">
        <v>2039</v>
      </c>
      <c r="E466" s="410" t="s">
        <v>1409</v>
      </c>
      <c r="F466" s="410" t="s">
        <v>1479</v>
      </c>
      <c r="G466" s="68" t="str">
        <f t="shared" si="36"/>
        <v>SINGLE</v>
      </c>
      <c r="H466" s="197">
        <f t="shared" si="35"/>
        <v>15</v>
      </c>
      <c r="I466" s="408">
        <f t="shared" si="38"/>
        <v>4</v>
      </c>
      <c r="J466" s="408">
        <f t="shared" si="39"/>
        <v>10</v>
      </c>
      <c r="K466" s="411">
        <v>45757</v>
      </c>
      <c r="L466" s="408"/>
      <c r="M466" s="408"/>
      <c r="N466" s="3" t="str">
        <f t="shared" si="37"/>
        <v/>
      </c>
      <c r="O466" s="408"/>
      <c r="P466" s="408"/>
      <c r="Q466" s="408"/>
      <c r="R466" s="408"/>
      <c r="S466" s="408"/>
      <c r="T466" s="408"/>
      <c r="U466" s="408"/>
      <c r="V466" s="421"/>
      <c r="W466" s="421"/>
      <c r="X466" s="421"/>
      <c r="Y466" s="421"/>
      <c r="Z466" s="421"/>
      <c r="AA466" s="421"/>
      <c r="AB466" s="421"/>
      <c r="AC466" s="421"/>
      <c r="AD466" s="421"/>
      <c r="AE466" s="421"/>
      <c r="AF466" s="421"/>
      <c r="AG466" s="421"/>
      <c r="AH466" s="421"/>
      <c r="AI466" s="421"/>
      <c r="AJ466" s="421"/>
      <c r="AK466" s="421"/>
      <c r="AL466" s="421"/>
    </row>
    <row r="467" spans="1:38">
      <c r="A467" s="410">
        <v>5491</v>
      </c>
      <c r="B467" s="407"/>
      <c r="C467" s="408"/>
      <c r="D467" s="410" t="s">
        <v>2040</v>
      </c>
      <c r="E467" s="410" t="s">
        <v>1403</v>
      </c>
      <c r="F467" s="410" t="s">
        <v>1479</v>
      </c>
      <c r="G467" s="68" t="str">
        <f t="shared" si="36"/>
        <v>SINGLE</v>
      </c>
      <c r="H467" s="197">
        <f t="shared" si="35"/>
        <v>15</v>
      </c>
      <c r="I467" s="408">
        <f t="shared" si="38"/>
        <v>4</v>
      </c>
      <c r="J467" s="408">
        <f t="shared" si="39"/>
        <v>10</v>
      </c>
      <c r="K467" s="411">
        <v>45757</v>
      </c>
      <c r="L467" s="408"/>
      <c r="M467" s="408"/>
      <c r="N467" s="3" t="str">
        <f t="shared" si="37"/>
        <v/>
      </c>
      <c r="O467" s="408"/>
      <c r="P467" s="408"/>
      <c r="Q467" s="408"/>
      <c r="R467" s="408"/>
      <c r="S467" s="408"/>
      <c r="T467" s="408"/>
      <c r="U467" s="408"/>
      <c r="V467" s="421"/>
      <c r="W467" s="421"/>
      <c r="X467" s="421"/>
      <c r="Y467" s="421"/>
      <c r="Z467" s="421"/>
      <c r="AA467" s="421"/>
      <c r="AB467" s="421"/>
      <c r="AC467" s="421"/>
      <c r="AD467" s="421"/>
      <c r="AE467" s="421"/>
      <c r="AF467" s="421"/>
      <c r="AG467" s="421"/>
      <c r="AH467" s="421"/>
      <c r="AI467" s="421"/>
      <c r="AJ467" s="421"/>
      <c r="AK467" s="421"/>
      <c r="AL467" s="421"/>
    </row>
    <row r="468" spans="1:38">
      <c r="A468" s="410">
        <v>5491</v>
      </c>
      <c r="B468" s="407"/>
      <c r="C468" s="408"/>
      <c r="D468" s="410" t="s">
        <v>2041</v>
      </c>
      <c r="E468" s="410" t="s">
        <v>1403</v>
      </c>
      <c r="F468" s="410" t="s">
        <v>1479</v>
      </c>
      <c r="G468" s="68" t="str">
        <f t="shared" si="36"/>
        <v>SINGLE</v>
      </c>
      <c r="H468" s="197">
        <f t="shared" si="35"/>
        <v>15</v>
      </c>
      <c r="I468" s="408">
        <f t="shared" si="38"/>
        <v>4</v>
      </c>
      <c r="J468" s="408">
        <f t="shared" si="39"/>
        <v>10</v>
      </c>
      <c r="K468" s="411">
        <v>45757</v>
      </c>
      <c r="L468" s="408"/>
      <c r="M468" s="408"/>
      <c r="N468" s="3" t="str">
        <f t="shared" si="37"/>
        <v/>
      </c>
      <c r="O468" s="408"/>
      <c r="P468" s="408"/>
      <c r="Q468" s="408"/>
      <c r="R468" s="408"/>
      <c r="S468" s="408"/>
      <c r="T468" s="408"/>
      <c r="U468" s="408"/>
      <c r="V468" s="421"/>
      <c r="W468" s="421"/>
      <c r="X468" s="421"/>
      <c r="Y468" s="421"/>
      <c r="Z468" s="421"/>
      <c r="AA468" s="421"/>
      <c r="AB468" s="421"/>
      <c r="AC468" s="421"/>
      <c r="AD468" s="421"/>
      <c r="AE468" s="421"/>
      <c r="AF468" s="421"/>
      <c r="AG468" s="421"/>
      <c r="AH468" s="421"/>
      <c r="AI468" s="421"/>
      <c r="AJ468" s="421"/>
      <c r="AK468" s="421"/>
      <c r="AL468" s="421"/>
    </row>
    <row r="469" spans="1:38">
      <c r="A469" s="410">
        <v>5491</v>
      </c>
      <c r="B469" s="407"/>
      <c r="C469" s="408"/>
      <c r="D469" s="410" t="s">
        <v>2042</v>
      </c>
      <c r="E469" s="410" t="s">
        <v>1403</v>
      </c>
      <c r="F469" s="410" t="s">
        <v>1479</v>
      </c>
      <c r="G469" s="68" t="str">
        <f t="shared" si="36"/>
        <v>SINGLE</v>
      </c>
      <c r="H469" s="197">
        <f t="shared" si="35"/>
        <v>15</v>
      </c>
      <c r="I469" s="408">
        <f t="shared" si="38"/>
        <v>4</v>
      </c>
      <c r="J469" s="408">
        <f t="shared" si="39"/>
        <v>10</v>
      </c>
      <c r="K469" s="411">
        <v>45757</v>
      </c>
      <c r="L469" s="408"/>
      <c r="M469" s="408"/>
      <c r="N469" s="3" t="str">
        <f t="shared" si="37"/>
        <v/>
      </c>
      <c r="O469" s="408"/>
      <c r="P469" s="408"/>
      <c r="Q469" s="408"/>
      <c r="R469" s="408"/>
      <c r="S469" s="408"/>
      <c r="T469" s="408"/>
      <c r="U469" s="408"/>
      <c r="V469" s="421"/>
      <c r="W469" s="421"/>
      <c r="X469" s="421"/>
      <c r="Y469" s="421"/>
      <c r="Z469" s="421"/>
      <c r="AA469" s="421"/>
      <c r="AB469" s="421"/>
      <c r="AC469" s="421"/>
      <c r="AD469" s="421"/>
      <c r="AE469" s="421"/>
      <c r="AF469" s="421"/>
      <c r="AG469" s="421"/>
      <c r="AH469" s="421"/>
      <c r="AI469" s="421"/>
      <c r="AJ469" s="421"/>
      <c r="AK469" s="421"/>
      <c r="AL469" s="421"/>
    </row>
    <row r="470" spans="1:38">
      <c r="A470" s="410">
        <v>5548</v>
      </c>
      <c r="B470" s="407"/>
      <c r="C470" s="408"/>
      <c r="D470" s="410" t="s">
        <v>2043</v>
      </c>
      <c r="E470" s="410" t="s">
        <v>1585</v>
      </c>
      <c r="F470" s="410" t="s">
        <v>1476</v>
      </c>
      <c r="G470" s="68" t="str">
        <f t="shared" si="36"/>
        <v>DUAL</v>
      </c>
      <c r="H470" s="197">
        <f t="shared" si="35"/>
        <v>15</v>
      </c>
      <c r="I470" s="408">
        <f t="shared" si="38"/>
        <v>4</v>
      </c>
      <c r="J470" s="408">
        <f t="shared" si="39"/>
        <v>10</v>
      </c>
      <c r="K470" s="411">
        <v>45757</v>
      </c>
      <c r="L470" s="408"/>
      <c r="M470" s="408"/>
      <c r="N470" s="3" t="str">
        <f t="shared" si="37"/>
        <v/>
      </c>
      <c r="O470" s="408"/>
      <c r="P470" s="408"/>
      <c r="Q470" s="408"/>
      <c r="R470" s="408"/>
      <c r="S470" s="408"/>
      <c r="T470" s="408"/>
      <c r="U470" s="408"/>
      <c r="V470" s="421"/>
      <c r="W470" s="421"/>
      <c r="X470" s="421"/>
      <c r="Y470" s="421"/>
      <c r="Z470" s="421"/>
      <c r="AA470" s="421"/>
      <c r="AB470" s="421"/>
      <c r="AC470" s="421"/>
      <c r="AD470" s="421"/>
      <c r="AE470" s="421"/>
      <c r="AF470" s="421"/>
      <c r="AG470" s="421"/>
      <c r="AH470" s="421"/>
      <c r="AI470" s="421"/>
      <c r="AJ470" s="421"/>
      <c r="AK470" s="421"/>
      <c r="AL470" s="421"/>
    </row>
    <row r="471" spans="1:38">
      <c r="A471" s="410">
        <v>5548</v>
      </c>
      <c r="B471" s="407"/>
      <c r="C471" s="408"/>
      <c r="D471" s="410" t="s">
        <v>2044</v>
      </c>
      <c r="E471" s="410" t="s">
        <v>1585</v>
      </c>
      <c r="F471" s="410" t="s">
        <v>1476</v>
      </c>
      <c r="G471" s="68" t="str">
        <f t="shared" si="36"/>
        <v>DUAL</v>
      </c>
      <c r="H471" s="197">
        <f t="shared" si="35"/>
        <v>15</v>
      </c>
      <c r="I471" s="408">
        <f t="shared" si="38"/>
        <v>4</v>
      </c>
      <c r="J471" s="408">
        <f t="shared" si="39"/>
        <v>10</v>
      </c>
      <c r="K471" s="411">
        <v>45757</v>
      </c>
      <c r="L471" s="408"/>
      <c r="M471" s="408"/>
      <c r="N471" s="3" t="str">
        <f t="shared" si="37"/>
        <v/>
      </c>
      <c r="O471" s="408"/>
      <c r="P471" s="408"/>
      <c r="Q471" s="408"/>
      <c r="R471" s="408"/>
      <c r="S471" s="408"/>
      <c r="T471" s="408"/>
      <c r="U471" s="408"/>
      <c r="V471" s="421"/>
      <c r="W471" s="421"/>
      <c r="X471" s="421"/>
      <c r="Y471" s="421"/>
      <c r="Z471" s="421"/>
      <c r="AA471" s="421"/>
      <c r="AB471" s="421"/>
      <c r="AC471" s="421"/>
      <c r="AD471" s="421"/>
      <c r="AE471" s="421"/>
      <c r="AF471" s="421"/>
      <c r="AG471" s="421"/>
      <c r="AH471" s="421"/>
      <c r="AI471" s="421"/>
      <c r="AJ471" s="421"/>
      <c r="AK471" s="421"/>
      <c r="AL471" s="421"/>
    </row>
    <row r="472" spans="1:38">
      <c r="A472" s="410">
        <v>5491</v>
      </c>
      <c r="B472" s="407"/>
      <c r="C472" s="408"/>
      <c r="D472" s="410" t="s">
        <v>2045</v>
      </c>
      <c r="E472" s="410" t="s">
        <v>1403</v>
      </c>
      <c r="F472" s="410" t="s">
        <v>1479</v>
      </c>
      <c r="G472" s="68" t="str">
        <f t="shared" si="36"/>
        <v>SINGLE</v>
      </c>
      <c r="H472" s="197">
        <f t="shared" si="35"/>
        <v>15</v>
      </c>
      <c r="I472" s="408">
        <f t="shared" si="38"/>
        <v>4</v>
      </c>
      <c r="J472" s="408">
        <f t="shared" si="39"/>
        <v>11</v>
      </c>
      <c r="K472" s="411">
        <v>45758</v>
      </c>
      <c r="L472" s="408"/>
      <c r="M472" s="408"/>
      <c r="N472" s="3" t="str">
        <f t="shared" si="37"/>
        <v/>
      </c>
      <c r="O472" s="408"/>
      <c r="P472" s="408"/>
      <c r="Q472" s="408"/>
      <c r="R472" s="408"/>
      <c r="S472" s="408"/>
      <c r="T472" s="408"/>
      <c r="U472" s="408"/>
      <c r="V472" s="421"/>
      <c r="W472" s="421"/>
      <c r="X472" s="421"/>
      <c r="Y472" s="421"/>
      <c r="Z472" s="421"/>
      <c r="AA472" s="421"/>
      <c r="AB472" s="421"/>
      <c r="AC472" s="421"/>
      <c r="AD472" s="421"/>
      <c r="AE472" s="421"/>
      <c r="AF472" s="421"/>
      <c r="AG472" s="421"/>
      <c r="AH472" s="421"/>
      <c r="AI472" s="421"/>
      <c r="AJ472" s="421"/>
      <c r="AK472" s="421"/>
      <c r="AL472" s="421"/>
    </row>
    <row r="473" spans="1:38">
      <c r="A473" s="410">
        <v>5491</v>
      </c>
      <c r="B473" s="407"/>
      <c r="C473" s="408"/>
      <c r="D473" s="410" t="s">
        <v>2046</v>
      </c>
      <c r="E473" s="410" t="s">
        <v>1403</v>
      </c>
      <c r="F473" s="410" t="s">
        <v>1479</v>
      </c>
      <c r="G473" s="68" t="str">
        <f t="shared" si="36"/>
        <v>SINGLE</v>
      </c>
      <c r="H473" s="197">
        <f t="shared" si="35"/>
        <v>15</v>
      </c>
      <c r="I473" s="408">
        <f t="shared" si="38"/>
        <v>4</v>
      </c>
      <c r="J473" s="408">
        <f t="shared" si="39"/>
        <v>11</v>
      </c>
      <c r="K473" s="411">
        <v>45758</v>
      </c>
      <c r="L473" s="408"/>
      <c r="M473" s="408"/>
      <c r="N473" s="3" t="str">
        <f t="shared" si="37"/>
        <v/>
      </c>
      <c r="O473" s="408"/>
      <c r="P473" s="408"/>
      <c r="Q473" s="408"/>
      <c r="R473" s="408"/>
      <c r="S473" s="408"/>
      <c r="T473" s="408"/>
      <c r="U473" s="408"/>
      <c r="V473" s="421"/>
      <c r="W473" s="421"/>
      <c r="X473" s="421"/>
      <c r="Y473" s="421"/>
      <c r="Z473" s="421"/>
      <c r="AA473" s="421"/>
      <c r="AB473" s="421"/>
      <c r="AC473" s="421"/>
      <c r="AD473" s="421"/>
      <c r="AE473" s="421"/>
      <c r="AF473" s="421"/>
      <c r="AG473" s="421"/>
      <c r="AH473" s="421"/>
      <c r="AI473" s="421"/>
      <c r="AJ473" s="421"/>
      <c r="AK473" s="421"/>
      <c r="AL473" s="421"/>
    </row>
    <row r="474" spans="1:38">
      <c r="A474" s="410">
        <v>5491</v>
      </c>
      <c r="B474" s="407"/>
      <c r="C474" s="408"/>
      <c r="D474" s="410" t="s">
        <v>2047</v>
      </c>
      <c r="E474" s="410" t="s">
        <v>1403</v>
      </c>
      <c r="F474" s="410" t="s">
        <v>1479</v>
      </c>
      <c r="G474" s="68" t="str">
        <f t="shared" si="36"/>
        <v>SINGLE</v>
      </c>
      <c r="H474" s="197">
        <f t="shared" si="35"/>
        <v>15</v>
      </c>
      <c r="I474" s="408">
        <f t="shared" si="38"/>
        <v>4</v>
      </c>
      <c r="J474" s="408">
        <f t="shared" si="39"/>
        <v>11</v>
      </c>
      <c r="K474" s="411">
        <v>45758</v>
      </c>
      <c r="L474" s="408"/>
      <c r="M474" s="408"/>
      <c r="N474" s="3" t="str">
        <f t="shared" si="37"/>
        <v/>
      </c>
      <c r="O474" s="408"/>
      <c r="P474" s="408"/>
      <c r="Q474" s="408"/>
      <c r="R474" s="408"/>
      <c r="S474" s="408"/>
      <c r="T474" s="408"/>
      <c r="U474" s="408"/>
      <c r="V474" s="421"/>
      <c r="W474" s="421"/>
      <c r="X474" s="421"/>
      <c r="Y474" s="421"/>
      <c r="Z474" s="421"/>
      <c r="AA474" s="421"/>
      <c r="AB474" s="421"/>
      <c r="AC474" s="421"/>
      <c r="AD474" s="421"/>
      <c r="AE474" s="421"/>
      <c r="AF474" s="421"/>
      <c r="AG474" s="421"/>
      <c r="AH474" s="421"/>
      <c r="AI474" s="421"/>
      <c r="AJ474" s="421"/>
      <c r="AK474" s="421"/>
      <c r="AL474" s="421"/>
    </row>
    <row r="475" spans="1:38">
      <c r="A475" s="410">
        <v>5562</v>
      </c>
      <c r="B475" s="407"/>
      <c r="C475" s="408"/>
      <c r="D475" s="410" t="s">
        <v>2048</v>
      </c>
      <c r="E475" s="410" t="s">
        <v>1424</v>
      </c>
      <c r="F475" s="410" t="s">
        <v>1476</v>
      </c>
      <c r="G475" s="68" t="str">
        <f t="shared" si="36"/>
        <v>DUAL</v>
      </c>
      <c r="H475" s="197">
        <f t="shared" si="35"/>
        <v>15</v>
      </c>
      <c r="I475" s="408">
        <f t="shared" si="38"/>
        <v>4</v>
      </c>
      <c r="J475" s="408">
        <f t="shared" si="39"/>
        <v>11</v>
      </c>
      <c r="K475" s="411">
        <v>45758</v>
      </c>
      <c r="L475" s="408"/>
      <c r="M475" s="408"/>
      <c r="N475" s="3" t="str">
        <f t="shared" si="37"/>
        <v/>
      </c>
      <c r="O475" s="408"/>
      <c r="P475" s="408"/>
      <c r="Q475" s="408"/>
      <c r="R475" s="408"/>
      <c r="S475" s="408"/>
      <c r="T475" s="408"/>
      <c r="U475" s="408"/>
      <c r="V475" s="421"/>
      <c r="W475" s="421"/>
      <c r="X475" s="421"/>
      <c r="Y475" s="421"/>
      <c r="Z475" s="421"/>
      <c r="AA475" s="421"/>
      <c r="AB475" s="421"/>
      <c r="AC475" s="421"/>
      <c r="AD475" s="421"/>
      <c r="AE475" s="421"/>
      <c r="AF475" s="421"/>
      <c r="AG475" s="421"/>
      <c r="AH475" s="421"/>
      <c r="AI475" s="421"/>
      <c r="AJ475" s="421"/>
      <c r="AK475" s="421"/>
      <c r="AL475" s="421"/>
    </row>
    <row r="476" spans="1:38">
      <c r="A476" s="410">
        <v>5599</v>
      </c>
      <c r="B476" s="407"/>
      <c r="C476" s="408"/>
      <c r="D476" s="410" t="s">
        <v>2049</v>
      </c>
      <c r="E476" s="410" t="s">
        <v>1585</v>
      </c>
      <c r="F476" s="410" t="s">
        <v>1476</v>
      </c>
      <c r="G476" s="68" t="str">
        <f t="shared" si="36"/>
        <v>DUAL</v>
      </c>
      <c r="H476" s="197">
        <f t="shared" si="35"/>
        <v>15</v>
      </c>
      <c r="I476" s="408">
        <f t="shared" si="38"/>
        <v>4</v>
      </c>
      <c r="J476" s="408">
        <f t="shared" si="39"/>
        <v>11</v>
      </c>
      <c r="K476" s="411">
        <v>45758</v>
      </c>
      <c r="L476" s="408"/>
      <c r="M476" s="408"/>
      <c r="N476" s="3" t="str">
        <f t="shared" si="37"/>
        <v/>
      </c>
      <c r="O476" s="408"/>
      <c r="P476" s="408"/>
      <c r="Q476" s="408"/>
      <c r="R476" s="408"/>
      <c r="S476" s="408"/>
      <c r="T476" s="408"/>
      <c r="U476" s="408"/>
      <c r="V476" s="421"/>
      <c r="W476" s="421"/>
      <c r="X476" s="421"/>
      <c r="Y476" s="421"/>
      <c r="Z476" s="421"/>
      <c r="AA476" s="421"/>
      <c r="AB476" s="421"/>
      <c r="AC476" s="421"/>
      <c r="AD476" s="421"/>
      <c r="AE476" s="421"/>
      <c r="AF476" s="421"/>
      <c r="AG476" s="421"/>
      <c r="AH476" s="421"/>
      <c r="AI476" s="421"/>
      <c r="AJ476" s="421"/>
      <c r="AK476" s="421"/>
      <c r="AL476" s="421"/>
    </row>
    <row r="477" spans="1:38">
      <c r="A477" s="410">
        <v>5603</v>
      </c>
      <c r="B477" s="407"/>
      <c r="C477" s="408"/>
      <c r="D477" s="410" t="s">
        <v>2050</v>
      </c>
      <c r="E477" s="410" t="s">
        <v>1405</v>
      </c>
      <c r="F477" s="410" t="s">
        <v>1581</v>
      </c>
      <c r="G477" s="68" t="str">
        <f t="shared" si="36"/>
        <v>DUAL</v>
      </c>
      <c r="H477" s="197">
        <f t="shared" si="35"/>
        <v>15</v>
      </c>
      <c r="I477" s="408">
        <f t="shared" si="38"/>
        <v>4</v>
      </c>
      <c r="J477" s="408">
        <f t="shared" si="39"/>
        <v>11</v>
      </c>
      <c r="K477" s="411">
        <v>45758</v>
      </c>
      <c r="L477" s="408"/>
      <c r="M477" s="408"/>
      <c r="N477" s="3" t="str">
        <f t="shared" si="37"/>
        <v/>
      </c>
      <c r="O477" s="408"/>
      <c r="P477" s="408"/>
      <c r="Q477" s="408"/>
      <c r="R477" s="408"/>
      <c r="S477" s="408"/>
      <c r="T477" s="408"/>
      <c r="U477" s="408"/>
      <c r="V477" s="421"/>
      <c r="W477" s="421"/>
      <c r="X477" s="421"/>
      <c r="Y477" s="421"/>
      <c r="Z477" s="421"/>
      <c r="AA477" s="421"/>
      <c r="AB477" s="421"/>
      <c r="AC477" s="421"/>
      <c r="AD477" s="421"/>
      <c r="AE477" s="421"/>
      <c r="AF477" s="421"/>
      <c r="AG477" s="421"/>
      <c r="AH477" s="421"/>
      <c r="AI477" s="421"/>
      <c r="AJ477" s="421"/>
      <c r="AK477" s="421"/>
      <c r="AL477" s="421"/>
    </row>
    <row r="478" spans="1:38">
      <c r="A478" s="410">
        <v>5603</v>
      </c>
      <c r="B478" s="407"/>
      <c r="C478" s="408"/>
      <c r="D478" s="410" t="s">
        <v>2051</v>
      </c>
      <c r="E478" s="410" t="s">
        <v>1405</v>
      </c>
      <c r="F478" s="410" t="s">
        <v>1581</v>
      </c>
      <c r="G478" s="68" t="str">
        <f t="shared" si="36"/>
        <v>DUAL</v>
      </c>
      <c r="H478" s="197">
        <f t="shared" si="35"/>
        <v>15</v>
      </c>
      <c r="I478" s="408">
        <f t="shared" si="38"/>
        <v>4</v>
      </c>
      <c r="J478" s="408">
        <f t="shared" si="39"/>
        <v>11</v>
      </c>
      <c r="K478" s="411">
        <v>45758</v>
      </c>
      <c r="L478" s="408"/>
      <c r="M478" s="408"/>
      <c r="N478" s="3" t="str">
        <f t="shared" si="37"/>
        <v/>
      </c>
      <c r="O478" s="408"/>
      <c r="P478" s="408"/>
      <c r="Q478" s="408"/>
      <c r="R478" s="408"/>
      <c r="S478" s="408"/>
      <c r="T478" s="408"/>
      <c r="U478" s="408"/>
      <c r="V478" s="421"/>
      <c r="W478" s="421"/>
      <c r="X478" s="421"/>
      <c r="Y478" s="421"/>
      <c r="Z478" s="421"/>
      <c r="AA478" s="421"/>
      <c r="AB478" s="421"/>
      <c r="AC478" s="421"/>
      <c r="AD478" s="421"/>
      <c r="AE478" s="421"/>
      <c r="AF478" s="421"/>
      <c r="AG478" s="421"/>
      <c r="AH478" s="421"/>
      <c r="AI478" s="421"/>
      <c r="AJ478" s="421"/>
      <c r="AK478" s="421"/>
      <c r="AL478" s="421"/>
    </row>
    <row r="479" spans="1:38">
      <c r="A479" s="410">
        <v>5491</v>
      </c>
      <c r="B479" s="407"/>
      <c r="C479" s="408"/>
      <c r="D479" s="410" t="s">
        <v>2052</v>
      </c>
      <c r="E479" s="410" t="s">
        <v>1403</v>
      </c>
      <c r="F479" s="410" t="s">
        <v>1479</v>
      </c>
      <c r="G479" s="68" t="str">
        <f t="shared" si="36"/>
        <v>SINGLE</v>
      </c>
      <c r="H479" s="197">
        <f t="shared" si="35"/>
        <v>16</v>
      </c>
      <c r="I479" s="408">
        <f t="shared" si="38"/>
        <v>4</v>
      </c>
      <c r="J479" s="408">
        <f t="shared" si="39"/>
        <v>14</v>
      </c>
      <c r="K479" s="411">
        <v>45761</v>
      </c>
      <c r="L479" s="408"/>
      <c r="M479" s="408"/>
      <c r="N479" s="3" t="str">
        <f t="shared" si="37"/>
        <v/>
      </c>
      <c r="O479" s="408"/>
      <c r="P479" s="408"/>
      <c r="Q479" s="408"/>
      <c r="R479" s="408"/>
      <c r="S479" s="408"/>
      <c r="T479" s="408"/>
      <c r="U479" s="408"/>
      <c r="V479" s="421"/>
      <c r="W479" s="421"/>
      <c r="X479" s="421"/>
      <c r="Y479" s="421"/>
      <c r="Z479" s="421"/>
      <c r="AA479" s="421"/>
      <c r="AB479" s="421"/>
      <c r="AC479" s="421"/>
      <c r="AD479" s="421"/>
      <c r="AE479" s="421"/>
      <c r="AF479" s="421"/>
      <c r="AG479" s="421"/>
      <c r="AH479" s="421"/>
      <c r="AI479" s="421"/>
      <c r="AJ479" s="421"/>
      <c r="AK479" s="421"/>
      <c r="AL479" s="421"/>
    </row>
    <row r="480" spans="1:38">
      <c r="A480" s="410">
        <v>5351</v>
      </c>
      <c r="B480" s="407"/>
      <c r="C480" s="408"/>
      <c r="D480" s="410" t="s">
        <v>2053</v>
      </c>
      <c r="E480" s="410" t="s">
        <v>1585</v>
      </c>
      <c r="F480" s="410" t="s">
        <v>1476</v>
      </c>
      <c r="G480" s="68" t="str">
        <f t="shared" si="36"/>
        <v>DUAL</v>
      </c>
      <c r="H480" s="197">
        <f t="shared" si="35"/>
        <v>16</v>
      </c>
      <c r="I480" s="408">
        <f t="shared" si="38"/>
        <v>4</v>
      </c>
      <c r="J480" s="408">
        <f t="shared" si="39"/>
        <v>14</v>
      </c>
      <c r="K480" s="411">
        <v>45761</v>
      </c>
      <c r="L480" s="408"/>
      <c r="M480" s="408"/>
      <c r="N480" s="3" t="str">
        <f t="shared" si="37"/>
        <v/>
      </c>
      <c r="O480" s="408"/>
      <c r="P480" s="408"/>
      <c r="Q480" s="408"/>
      <c r="R480" s="408"/>
      <c r="S480" s="408"/>
      <c r="T480" s="408"/>
      <c r="U480" s="408"/>
      <c r="V480" s="421"/>
      <c r="W480" s="421"/>
      <c r="X480" s="421"/>
      <c r="Y480" s="421"/>
      <c r="Z480" s="421"/>
      <c r="AA480" s="421"/>
      <c r="AB480" s="421"/>
      <c r="AC480" s="421"/>
      <c r="AD480" s="421"/>
      <c r="AE480" s="421"/>
      <c r="AF480" s="421"/>
      <c r="AG480" s="421"/>
      <c r="AH480" s="421"/>
      <c r="AI480" s="421"/>
      <c r="AJ480" s="421"/>
      <c r="AK480" s="421"/>
      <c r="AL480" s="421"/>
    </row>
    <row r="481" spans="1:38">
      <c r="A481" s="410">
        <v>5519</v>
      </c>
      <c r="B481" s="407"/>
      <c r="C481" s="408"/>
      <c r="D481" s="410" t="s">
        <v>2054</v>
      </c>
      <c r="E481" s="410" t="s">
        <v>1426</v>
      </c>
      <c r="F481" s="410" t="s">
        <v>1476</v>
      </c>
      <c r="G481" s="68" t="str">
        <f t="shared" si="36"/>
        <v>DUAL</v>
      </c>
      <c r="H481" s="197">
        <f t="shared" si="35"/>
        <v>16</v>
      </c>
      <c r="I481" s="408">
        <f t="shared" si="38"/>
        <v>4</v>
      </c>
      <c r="J481" s="408">
        <f t="shared" si="39"/>
        <v>14</v>
      </c>
      <c r="K481" s="411">
        <v>45761</v>
      </c>
      <c r="L481" s="408"/>
      <c r="M481" s="408"/>
      <c r="N481" s="3" t="str">
        <f t="shared" si="37"/>
        <v/>
      </c>
      <c r="O481" s="408"/>
      <c r="P481" s="408"/>
      <c r="Q481" s="408"/>
      <c r="R481" s="408"/>
      <c r="S481" s="408"/>
      <c r="T481" s="408"/>
      <c r="U481" s="408"/>
      <c r="V481" s="421"/>
      <c r="W481" s="421"/>
      <c r="X481" s="421"/>
      <c r="Y481" s="421"/>
      <c r="Z481" s="421"/>
      <c r="AA481" s="421"/>
      <c r="AB481" s="421"/>
      <c r="AC481" s="421"/>
      <c r="AD481" s="421"/>
      <c r="AE481" s="421"/>
      <c r="AF481" s="421"/>
      <c r="AG481" s="421"/>
      <c r="AH481" s="421"/>
      <c r="AI481" s="421"/>
      <c r="AJ481" s="421"/>
      <c r="AK481" s="421"/>
      <c r="AL481" s="421"/>
    </row>
    <row r="482" spans="1:38" s="180" customFormat="1">
      <c r="A482" s="412">
        <v>5441</v>
      </c>
      <c r="B482" s="413"/>
      <c r="C482" s="414"/>
      <c r="D482" s="412" t="s">
        <v>1975</v>
      </c>
      <c r="E482" s="412" t="s">
        <v>1409</v>
      </c>
      <c r="F482" s="412" t="s">
        <v>1479</v>
      </c>
      <c r="G482" s="68" t="str">
        <f t="shared" si="36"/>
        <v>SINGLE</v>
      </c>
      <c r="H482" s="197">
        <f t="shared" si="35"/>
        <v>16</v>
      </c>
      <c r="I482" s="414">
        <f t="shared" si="38"/>
        <v>4</v>
      </c>
      <c r="J482" s="414">
        <f t="shared" si="39"/>
        <v>14</v>
      </c>
      <c r="K482" s="415">
        <v>45761</v>
      </c>
      <c r="L482" s="414"/>
      <c r="M482" s="414"/>
      <c r="N482" s="3" t="str">
        <f t="shared" si="37"/>
        <v/>
      </c>
      <c r="O482" s="414"/>
      <c r="P482" s="414"/>
      <c r="Q482" s="414"/>
      <c r="R482" s="414"/>
      <c r="S482" s="414"/>
      <c r="T482" s="414"/>
      <c r="U482" s="414"/>
      <c r="V482" s="419"/>
      <c r="W482" s="419"/>
      <c r="X482" s="419"/>
      <c r="Y482" s="419"/>
      <c r="Z482" s="419"/>
      <c r="AA482" s="419"/>
      <c r="AB482" s="419"/>
      <c r="AC482" s="419"/>
      <c r="AD482" s="419"/>
      <c r="AE482" s="419"/>
      <c r="AF482" s="419"/>
      <c r="AG482" s="419"/>
      <c r="AH482" s="419"/>
      <c r="AI482" s="419"/>
      <c r="AJ482" s="419"/>
      <c r="AK482" s="419"/>
      <c r="AL482" s="419"/>
    </row>
    <row r="483" spans="1:38">
      <c r="A483" s="410">
        <v>5537</v>
      </c>
      <c r="B483" s="407"/>
      <c r="C483" s="408"/>
      <c r="D483" s="410" t="s">
        <v>2055</v>
      </c>
      <c r="E483" s="410" t="s">
        <v>1585</v>
      </c>
      <c r="F483" s="410" t="s">
        <v>1476</v>
      </c>
      <c r="G483" s="68" t="str">
        <f t="shared" si="36"/>
        <v>DUAL</v>
      </c>
      <c r="H483" s="197">
        <f t="shared" si="35"/>
        <v>16</v>
      </c>
      <c r="I483" s="408">
        <f t="shared" si="38"/>
        <v>4</v>
      </c>
      <c r="J483" s="408">
        <f t="shared" si="39"/>
        <v>14</v>
      </c>
      <c r="K483" s="411">
        <v>45761</v>
      </c>
      <c r="L483" s="408"/>
      <c r="M483" s="408"/>
      <c r="N483" s="3" t="str">
        <f t="shared" si="37"/>
        <v/>
      </c>
      <c r="O483" s="408"/>
      <c r="P483" s="408"/>
      <c r="Q483" s="408"/>
      <c r="R483" s="408"/>
      <c r="S483" s="408"/>
      <c r="T483" s="408"/>
      <c r="U483" s="408"/>
      <c r="V483" s="421"/>
      <c r="W483" s="421"/>
      <c r="X483" s="421"/>
      <c r="Y483" s="421"/>
      <c r="Z483" s="421"/>
      <c r="AA483" s="421"/>
      <c r="AB483" s="421"/>
      <c r="AC483" s="421"/>
      <c r="AD483" s="421"/>
      <c r="AE483" s="421"/>
      <c r="AF483" s="421"/>
      <c r="AG483" s="421"/>
      <c r="AH483" s="421"/>
      <c r="AI483" s="421"/>
      <c r="AJ483" s="421"/>
      <c r="AK483" s="421"/>
      <c r="AL483" s="421"/>
    </row>
    <row r="484" spans="1:38">
      <c r="A484" s="410">
        <v>5537</v>
      </c>
      <c r="B484" s="407"/>
      <c r="C484" s="408"/>
      <c r="D484" s="410" t="s">
        <v>2056</v>
      </c>
      <c r="E484" s="410" t="s">
        <v>1585</v>
      </c>
      <c r="F484" s="410" t="s">
        <v>1476</v>
      </c>
      <c r="G484" s="68" t="str">
        <f t="shared" si="36"/>
        <v>DUAL</v>
      </c>
      <c r="H484" s="197">
        <f t="shared" si="35"/>
        <v>16</v>
      </c>
      <c r="I484" s="408">
        <f t="shared" si="38"/>
        <v>4</v>
      </c>
      <c r="J484" s="408">
        <f t="shared" si="39"/>
        <v>14</v>
      </c>
      <c r="K484" s="411">
        <v>45761</v>
      </c>
      <c r="L484" s="408"/>
      <c r="M484" s="408"/>
      <c r="N484" s="3" t="str">
        <f t="shared" si="37"/>
        <v/>
      </c>
      <c r="O484" s="408"/>
      <c r="P484" s="408"/>
      <c r="Q484" s="408"/>
      <c r="R484" s="408"/>
      <c r="S484" s="408"/>
      <c r="T484" s="408"/>
      <c r="U484" s="408"/>
      <c r="V484" s="421"/>
      <c r="W484" s="421"/>
      <c r="X484" s="421"/>
      <c r="Y484" s="421"/>
      <c r="Z484" s="421"/>
      <c r="AA484" s="421"/>
      <c r="AB484" s="421"/>
      <c r="AC484" s="421"/>
      <c r="AD484" s="421"/>
      <c r="AE484" s="421"/>
      <c r="AF484" s="421"/>
      <c r="AG484" s="421"/>
      <c r="AH484" s="421"/>
      <c r="AI484" s="421"/>
      <c r="AJ484" s="421"/>
      <c r="AK484" s="421"/>
      <c r="AL484" s="421"/>
    </row>
    <row r="485" spans="1:38">
      <c r="A485" s="410">
        <v>5274</v>
      </c>
      <c r="B485" s="407"/>
      <c r="C485" s="408"/>
      <c r="D485" s="410" t="s">
        <v>2057</v>
      </c>
      <c r="E485" s="410" t="s">
        <v>1585</v>
      </c>
      <c r="F485" s="410" t="s">
        <v>1476</v>
      </c>
      <c r="G485" s="68" t="str">
        <f t="shared" si="36"/>
        <v>DUAL</v>
      </c>
      <c r="H485" s="197">
        <f t="shared" si="35"/>
        <v>16</v>
      </c>
      <c r="I485" s="408">
        <f t="shared" si="38"/>
        <v>4</v>
      </c>
      <c r="J485" s="408">
        <f t="shared" si="39"/>
        <v>14</v>
      </c>
      <c r="K485" s="411">
        <v>45761</v>
      </c>
      <c r="L485" s="408"/>
      <c r="M485" s="408"/>
      <c r="N485" s="3" t="str">
        <f t="shared" si="37"/>
        <v/>
      </c>
      <c r="O485" s="408"/>
      <c r="P485" s="408"/>
      <c r="Q485" s="408"/>
      <c r="R485" s="408"/>
      <c r="S485" s="408"/>
      <c r="T485" s="408"/>
      <c r="U485" s="408"/>
      <c r="V485" s="421"/>
      <c r="W485" s="421"/>
      <c r="X485" s="421"/>
      <c r="Y485" s="421"/>
      <c r="Z485" s="421"/>
      <c r="AA485" s="421"/>
      <c r="AB485" s="421"/>
      <c r="AC485" s="421"/>
      <c r="AD485" s="421"/>
      <c r="AE485" s="421"/>
      <c r="AF485" s="421"/>
      <c r="AG485" s="421"/>
      <c r="AH485" s="421"/>
      <c r="AI485" s="421"/>
      <c r="AJ485" s="421"/>
      <c r="AK485" s="421"/>
      <c r="AL485" s="421"/>
    </row>
    <row r="486" spans="1:38">
      <c r="A486" s="410">
        <v>5549</v>
      </c>
      <c r="B486" s="407"/>
      <c r="C486" s="408"/>
      <c r="D486" s="410" t="s">
        <v>2058</v>
      </c>
      <c r="E486" s="410" t="s">
        <v>1585</v>
      </c>
      <c r="F486" s="410" t="s">
        <v>1476</v>
      </c>
      <c r="G486" s="68" t="str">
        <f t="shared" si="36"/>
        <v>DUAL</v>
      </c>
      <c r="H486" s="197">
        <f t="shared" si="35"/>
        <v>16</v>
      </c>
      <c r="I486" s="408">
        <f t="shared" si="38"/>
        <v>4</v>
      </c>
      <c r="J486" s="408">
        <f t="shared" si="39"/>
        <v>14</v>
      </c>
      <c r="K486" s="411">
        <v>45761</v>
      </c>
      <c r="L486" s="408"/>
      <c r="M486" s="408"/>
      <c r="N486" s="3" t="str">
        <f t="shared" si="37"/>
        <v/>
      </c>
      <c r="O486" s="408"/>
      <c r="P486" s="408"/>
      <c r="Q486" s="408"/>
      <c r="R486" s="408"/>
      <c r="S486" s="408"/>
      <c r="T486" s="408"/>
      <c r="U486" s="408"/>
      <c r="V486" s="421"/>
      <c r="W486" s="421"/>
      <c r="X486" s="421"/>
      <c r="Y486" s="421"/>
      <c r="Z486" s="421"/>
      <c r="AA486" s="421"/>
      <c r="AB486" s="421"/>
      <c r="AC486" s="421"/>
      <c r="AD486" s="421"/>
      <c r="AE486" s="421"/>
      <c r="AF486" s="421"/>
      <c r="AG486" s="421"/>
      <c r="AH486" s="421"/>
      <c r="AI486" s="421"/>
      <c r="AJ486" s="421"/>
      <c r="AK486" s="421"/>
      <c r="AL486" s="421"/>
    </row>
    <row r="487" spans="1:38">
      <c r="A487" s="410">
        <v>5545</v>
      </c>
      <c r="B487" s="407"/>
      <c r="C487" s="408"/>
      <c r="D487" s="410" t="s">
        <v>2059</v>
      </c>
      <c r="E487" s="410" t="s">
        <v>1585</v>
      </c>
      <c r="F487" s="410" t="s">
        <v>1476</v>
      </c>
      <c r="G487" s="68" t="str">
        <f t="shared" si="36"/>
        <v>DUAL</v>
      </c>
      <c r="H487" s="197">
        <f t="shared" si="35"/>
        <v>16</v>
      </c>
      <c r="I487" s="408">
        <f t="shared" si="38"/>
        <v>4</v>
      </c>
      <c r="J487" s="408">
        <f t="shared" si="39"/>
        <v>15</v>
      </c>
      <c r="K487" s="411">
        <v>45762</v>
      </c>
      <c r="L487" s="408"/>
      <c r="M487" s="408"/>
      <c r="N487" s="3" t="str">
        <f t="shared" si="37"/>
        <v/>
      </c>
      <c r="O487" s="408"/>
      <c r="P487" s="408"/>
      <c r="Q487" s="408"/>
      <c r="R487" s="408"/>
      <c r="S487" s="408"/>
      <c r="T487" s="408"/>
      <c r="U487" s="408"/>
      <c r="V487" s="421"/>
      <c r="W487" s="421"/>
      <c r="X487" s="421"/>
      <c r="Y487" s="421"/>
      <c r="Z487" s="421"/>
      <c r="AA487" s="421"/>
      <c r="AB487" s="421"/>
      <c r="AC487" s="421"/>
      <c r="AD487" s="421"/>
      <c r="AE487" s="421"/>
      <c r="AF487" s="421"/>
      <c r="AG487" s="421"/>
      <c r="AH487" s="421"/>
      <c r="AI487" s="421"/>
      <c r="AJ487" s="421"/>
      <c r="AK487" s="421"/>
      <c r="AL487" s="421"/>
    </row>
    <row r="488" spans="1:38">
      <c r="A488" s="410">
        <v>5491</v>
      </c>
      <c r="B488" s="407"/>
      <c r="C488" s="408"/>
      <c r="D488" s="410" t="s">
        <v>2060</v>
      </c>
      <c r="E488" s="410" t="s">
        <v>1403</v>
      </c>
      <c r="F488" s="410" t="s">
        <v>1479</v>
      </c>
      <c r="G488" s="68" t="str">
        <f t="shared" si="36"/>
        <v>SINGLE</v>
      </c>
      <c r="H488" s="197">
        <f t="shared" si="35"/>
        <v>16</v>
      </c>
      <c r="I488" s="408">
        <f t="shared" si="38"/>
        <v>4</v>
      </c>
      <c r="J488" s="408">
        <f t="shared" si="39"/>
        <v>15</v>
      </c>
      <c r="K488" s="411">
        <v>45762</v>
      </c>
      <c r="L488" s="408"/>
      <c r="M488" s="408"/>
      <c r="N488" s="3" t="str">
        <f t="shared" si="37"/>
        <v/>
      </c>
      <c r="O488" s="408"/>
      <c r="P488" s="408"/>
      <c r="Q488" s="408"/>
      <c r="R488" s="408"/>
      <c r="S488" s="408"/>
      <c r="T488" s="408"/>
      <c r="U488" s="408"/>
      <c r="V488" s="421"/>
      <c r="W488" s="421"/>
      <c r="X488" s="421"/>
      <c r="Y488" s="421"/>
      <c r="Z488" s="421"/>
      <c r="AA488" s="421"/>
      <c r="AB488" s="421"/>
      <c r="AC488" s="421"/>
      <c r="AD488" s="421"/>
      <c r="AE488" s="421"/>
      <c r="AF488" s="421"/>
      <c r="AG488" s="421"/>
      <c r="AH488" s="421"/>
      <c r="AI488" s="421"/>
      <c r="AJ488" s="421"/>
      <c r="AK488" s="421"/>
      <c r="AL488" s="421"/>
    </row>
    <row r="489" spans="1:38" s="180" customFormat="1">
      <c r="A489" s="412">
        <v>5441</v>
      </c>
      <c r="B489" s="413"/>
      <c r="C489" s="414"/>
      <c r="D489" s="412" t="s">
        <v>1976</v>
      </c>
      <c r="E489" s="412" t="s">
        <v>1409</v>
      </c>
      <c r="F489" s="412" t="s">
        <v>1479</v>
      </c>
      <c r="G489" s="68" t="str">
        <f t="shared" si="36"/>
        <v>SINGLE</v>
      </c>
      <c r="H489" s="197">
        <f t="shared" si="35"/>
        <v>16</v>
      </c>
      <c r="I489" s="414">
        <f t="shared" si="38"/>
        <v>4</v>
      </c>
      <c r="J489" s="414">
        <f t="shared" si="39"/>
        <v>15</v>
      </c>
      <c r="K489" s="415">
        <v>45762</v>
      </c>
      <c r="L489" s="414"/>
      <c r="M489" s="414"/>
      <c r="N489" s="3" t="str">
        <f t="shared" si="37"/>
        <v/>
      </c>
      <c r="O489" s="414"/>
      <c r="P489" s="414"/>
      <c r="Q489" s="414"/>
      <c r="R489" s="414"/>
      <c r="S489" s="414"/>
      <c r="T489" s="414"/>
      <c r="U489" s="414"/>
      <c r="V489" s="419"/>
      <c r="W489" s="419"/>
      <c r="X489" s="419"/>
      <c r="Y489" s="419"/>
      <c r="Z489" s="419"/>
      <c r="AA489" s="419"/>
      <c r="AB489" s="419"/>
      <c r="AC489" s="419"/>
      <c r="AD489" s="419"/>
      <c r="AE489" s="419"/>
      <c r="AF489" s="419"/>
      <c r="AG489" s="419"/>
      <c r="AH489" s="419"/>
      <c r="AI489" s="419"/>
      <c r="AJ489" s="419"/>
      <c r="AK489" s="419"/>
      <c r="AL489" s="419"/>
    </row>
    <row r="490" spans="1:38">
      <c r="A490" s="410">
        <v>5539</v>
      </c>
      <c r="B490" s="407"/>
      <c r="C490" s="408"/>
      <c r="D490" s="410" t="s">
        <v>2061</v>
      </c>
      <c r="E490" s="410" t="s">
        <v>1585</v>
      </c>
      <c r="F490" s="410" t="s">
        <v>1476</v>
      </c>
      <c r="G490" s="68" t="str">
        <f t="shared" si="36"/>
        <v>DUAL</v>
      </c>
      <c r="H490" s="197">
        <f t="shared" si="35"/>
        <v>16</v>
      </c>
      <c r="I490" s="408">
        <f t="shared" si="38"/>
        <v>4</v>
      </c>
      <c r="J490" s="408">
        <f t="shared" si="39"/>
        <v>15</v>
      </c>
      <c r="K490" s="411">
        <v>45762</v>
      </c>
      <c r="L490" s="408"/>
      <c r="M490" s="408"/>
      <c r="N490" s="3" t="str">
        <f t="shared" si="37"/>
        <v/>
      </c>
      <c r="O490" s="408"/>
      <c r="P490" s="408"/>
      <c r="Q490" s="408"/>
      <c r="R490" s="408"/>
      <c r="S490" s="408"/>
      <c r="T490" s="408"/>
      <c r="U490" s="408"/>
      <c r="V490" s="421"/>
      <c r="W490" s="421"/>
      <c r="X490" s="421"/>
      <c r="Y490" s="421"/>
      <c r="Z490" s="421"/>
      <c r="AA490" s="421"/>
      <c r="AB490" s="421"/>
      <c r="AC490" s="421"/>
      <c r="AD490" s="421"/>
      <c r="AE490" s="421"/>
      <c r="AF490" s="421"/>
      <c r="AG490" s="421"/>
      <c r="AH490" s="421"/>
      <c r="AI490" s="421"/>
      <c r="AJ490" s="421"/>
      <c r="AK490" s="421"/>
      <c r="AL490" s="421"/>
    </row>
    <row r="491" spans="1:38">
      <c r="A491" s="410">
        <v>5546</v>
      </c>
      <c r="B491" s="407"/>
      <c r="C491" s="408"/>
      <c r="D491" s="410" t="s">
        <v>2062</v>
      </c>
      <c r="E491" s="410" t="s">
        <v>1585</v>
      </c>
      <c r="F491" s="410" t="s">
        <v>1476</v>
      </c>
      <c r="G491" s="68" t="str">
        <f t="shared" si="36"/>
        <v>DUAL</v>
      </c>
      <c r="H491" s="197">
        <f t="shared" si="35"/>
        <v>16</v>
      </c>
      <c r="I491" s="408">
        <f t="shared" si="38"/>
        <v>4</v>
      </c>
      <c r="J491" s="408">
        <f t="shared" si="39"/>
        <v>16</v>
      </c>
      <c r="K491" s="411">
        <v>45763</v>
      </c>
      <c r="L491" s="408"/>
      <c r="M491" s="408"/>
      <c r="N491" s="3" t="str">
        <f t="shared" si="37"/>
        <v/>
      </c>
      <c r="O491" s="408"/>
      <c r="P491" s="408"/>
      <c r="Q491" s="408"/>
      <c r="R491" s="408"/>
      <c r="S491" s="408"/>
      <c r="T491" s="408"/>
      <c r="U491" s="408"/>
      <c r="V491" s="421"/>
      <c r="W491" s="421"/>
      <c r="X491" s="421"/>
      <c r="Y491" s="421"/>
      <c r="Z491" s="421"/>
      <c r="AA491" s="421"/>
      <c r="AB491" s="421"/>
      <c r="AC491" s="421"/>
      <c r="AD491" s="421"/>
      <c r="AE491" s="421"/>
      <c r="AF491" s="421"/>
      <c r="AG491" s="421"/>
      <c r="AH491" s="421"/>
      <c r="AI491" s="421"/>
      <c r="AJ491" s="421"/>
      <c r="AK491" s="421"/>
      <c r="AL491" s="421"/>
    </row>
    <row r="492" spans="1:38">
      <c r="A492" s="410">
        <v>5491</v>
      </c>
      <c r="B492" s="407"/>
      <c r="C492" s="408"/>
      <c r="D492" s="410" t="s">
        <v>2063</v>
      </c>
      <c r="E492" s="410" t="s">
        <v>1403</v>
      </c>
      <c r="F492" s="410" t="s">
        <v>1479</v>
      </c>
      <c r="G492" s="68" t="str">
        <f t="shared" si="36"/>
        <v>SINGLE</v>
      </c>
      <c r="H492" s="197">
        <f t="shared" si="35"/>
        <v>16</v>
      </c>
      <c r="I492" s="408">
        <f t="shared" si="38"/>
        <v>4</v>
      </c>
      <c r="J492" s="408">
        <f t="shared" si="39"/>
        <v>16</v>
      </c>
      <c r="K492" s="411">
        <v>45763</v>
      </c>
      <c r="L492" s="408"/>
      <c r="M492" s="408"/>
      <c r="N492" s="3" t="str">
        <f t="shared" si="37"/>
        <v/>
      </c>
      <c r="O492" s="408"/>
      <c r="P492" s="408"/>
      <c r="Q492" s="408"/>
      <c r="R492" s="408"/>
      <c r="S492" s="408"/>
      <c r="T492" s="408"/>
      <c r="U492" s="408"/>
      <c r="V492" s="421"/>
      <c r="W492" s="421"/>
      <c r="X492" s="421"/>
      <c r="Y492" s="421"/>
      <c r="Z492" s="421"/>
      <c r="AA492" s="421"/>
      <c r="AB492" s="421"/>
      <c r="AC492" s="421"/>
      <c r="AD492" s="421"/>
      <c r="AE492" s="421"/>
      <c r="AF492" s="421"/>
      <c r="AG492" s="421"/>
      <c r="AH492" s="421"/>
      <c r="AI492" s="421"/>
      <c r="AJ492" s="421"/>
      <c r="AK492" s="421"/>
      <c r="AL492" s="421"/>
    </row>
    <row r="493" spans="1:38">
      <c r="A493" s="410">
        <v>5491</v>
      </c>
      <c r="B493" s="407"/>
      <c r="C493" s="408"/>
      <c r="D493" s="410" t="s">
        <v>2064</v>
      </c>
      <c r="E493" s="410" t="s">
        <v>1403</v>
      </c>
      <c r="F493" s="410" t="s">
        <v>1479</v>
      </c>
      <c r="G493" s="68" t="str">
        <f t="shared" si="36"/>
        <v>SINGLE</v>
      </c>
      <c r="H493" s="197">
        <f t="shared" si="35"/>
        <v>16</v>
      </c>
      <c r="I493" s="408">
        <f t="shared" si="38"/>
        <v>4</v>
      </c>
      <c r="J493" s="408">
        <f t="shared" si="39"/>
        <v>16</v>
      </c>
      <c r="K493" s="411">
        <v>45763</v>
      </c>
      <c r="L493" s="408"/>
      <c r="M493" s="408"/>
      <c r="N493" s="3" t="str">
        <f t="shared" si="37"/>
        <v/>
      </c>
      <c r="O493" s="408"/>
      <c r="P493" s="408"/>
      <c r="Q493" s="408"/>
      <c r="R493" s="408"/>
      <c r="S493" s="408"/>
      <c r="T493" s="408"/>
      <c r="U493" s="408"/>
      <c r="V493" s="421"/>
      <c r="W493" s="421"/>
      <c r="X493" s="421"/>
      <c r="Y493" s="421"/>
      <c r="Z493" s="421"/>
      <c r="AA493" s="421"/>
      <c r="AB493" s="421"/>
      <c r="AC493" s="421"/>
      <c r="AD493" s="421"/>
      <c r="AE493" s="421"/>
      <c r="AF493" s="421"/>
      <c r="AG493" s="421"/>
      <c r="AH493" s="421"/>
      <c r="AI493" s="421"/>
      <c r="AJ493" s="421"/>
      <c r="AK493" s="421"/>
      <c r="AL493" s="421"/>
    </row>
    <row r="494" spans="1:38">
      <c r="A494" s="410">
        <v>5576</v>
      </c>
      <c r="B494" s="407"/>
      <c r="C494" s="408"/>
      <c r="D494" s="410" t="s">
        <v>2065</v>
      </c>
      <c r="E494" s="410" t="s">
        <v>1426</v>
      </c>
      <c r="F494" s="410" t="s">
        <v>1476</v>
      </c>
      <c r="G494" s="68" t="str">
        <f t="shared" si="36"/>
        <v>DUAL</v>
      </c>
      <c r="H494" s="197">
        <f t="shared" si="35"/>
        <v>16</v>
      </c>
      <c r="I494" s="408">
        <f t="shared" si="38"/>
        <v>4</v>
      </c>
      <c r="J494" s="408">
        <f t="shared" si="39"/>
        <v>16</v>
      </c>
      <c r="K494" s="411">
        <v>45763</v>
      </c>
      <c r="L494" s="408"/>
      <c r="M494" s="408"/>
      <c r="N494" s="3" t="str">
        <f t="shared" si="37"/>
        <v/>
      </c>
      <c r="O494" s="408"/>
      <c r="P494" s="408"/>
      <c r="Q494" s="408"/>
      <c r="R494" s="408"/>
      <c r="S494" s="408"/>
      <c r="T494" s="408"/>
      <c r="U494" s="408"/>
      <c r="V494" s="421"/>
      <c r="W494" s="421"/>
      <c r="X494" s="421"/>
      <c r="Y494" s="421"/>
      <c r="Z494" s="421"/>
      <c r="AA494" s="421"/>
      <c r="AB494" s="421"/>
      <c r="AC494" s="421"/>
      <c r="AD494" s="421"/>
      <c r="AE494" s="421"/>
      <c r="AF494" s="421"/>
      <c r="AG494" s="421"/>
      <c r="AH494" s="421"/>
      <c r="AI494" s="421"/>
      <c r="AJ494" s="421"/>
      <c r="AK494" s="421"/>
      <c r="AL494" s="421"/>
    </row>
    <row r="495" spans="1:38">
      <c r="A495" s="410">
        <v>5576</v>
      </c>
      <c r="B495" s="407"/>
      <c r="C495" s="408"/>
      <c r="D495" s="410" t="s">
        <v>2066</v>
      </c>
      <c r="E495" s="410" t="s">
        <v>1426</v>
      </c>
      <c r="F495" s="410" t="s">
        <v>1476</v>
      </c>
      <c r="G495" s="68" t="str">
        <f t="shared" si="36"/>
        <v>DUAL</v>
      </c>
      <c r="H495" s="197">
        <f t="shared" si="35"/>
        <v>16</v>
      </c>
      <c r="I495" s="408">
        <f t="shared" si="38"/>
        <v>4</v>
      </c>
      <c r="J495" s="408">
        <f t="shared" si="39"/>
        <v>16</v>
      </c>
      <c r="K495" s="411">
        <v>45763</v>
      </c>
      <c r="L495" s="408"/>
      <c r="M495" s="408"/>
      <c r="N495" s="3" t="str">
        <f t="shared" si="37"/>
        <v/>
      </c>
      <c r="O495" s="408"/>
      <c r="P495" s="408"/>
      <c r="Q495" s="408"/>
      <c r="R495" s="408"/>
      <c r="S495" s="408"/>
      <c r="T495" s="408"/>
      <c r="U495" s="408"/>
      <c r="V495" s="421"/>
      <c r="W495" s="421"/>
      <c r="X495" s="421"/>
      <c r="Y495" s="421"/>
      <c r="Z495" s="421"/>
      <c r="AA495" s="421"/>
      <c r="AB495" s="421"/>
      <c r="AC495" s="421"/>
      <c r="AD495" s="421"/>
      <c r="AE495" s="421"/>
      <c r="AF495" s="421"/>
      <c r="AG495" s="421"/>
      <c r="AH495" s="421"/>
      <c r="AI495" s="421"/>
      <c r="AJ495" s="421"/>
      <c r="AK495" s="421"/>
      <c r="AL495" s="421"/>
    </row>
    <row r="496" spans="1:38">
      <c r="A496" s="410">
        <v>5350</v>
      </c>
      <c r="B496" s="407"/>
      <c r="C496" s="408"/>
      <c r="D496" s="410" t="s">
        <v>2067</v>
      </c>
      <c r="E496" s="410" t="s">
        <v>1585</v>
      </c>
      <c r="F496" s="410" t="s">
        <v>1476</v>
      </c>
      <c r="G496" s="68" t="str">
        <f t="shared" si="36"/>
        <v>DUAL</v>
      </c>
      <c r="H496" s="197">
        <f t="shared" si="35"/>
        <v>16</v>
      </c>
      <c r="I496" s="408">
        <f t="shared" si="38"/>
        <v>4</v>
      </c>
      <c r="J496" s="408">
        <f t="shared" si="39"/>
        <v>17</v>
      </c>
      <c r="K496" s="411">
        <v>45764</v>
      </c>
      <c r="L496" s="408"/>
      <c r="M496" s="408"/>
      <c r="N496" s="3" t="str">
        <f t="shared" si="37"/>
        <v/>
      </c>
      <c r="O496" s="408"/>
      <c r="P496" s="408"/>
      <c r="Q496" s="408"/>
      <c r="R496" s="408"/>
      <c r="S496" s="408"/>
      <c r="T496" s="408"/>
      <c r="U496" s="408"/>
      <c r="V496" s="421"/>
      <c r="W496" s="421"/>
      <c r="X496" s="421"/>
      <c r="Y496" s="421"/>
      <c r="Z496" s="421"/>
      <c r="AA496" s="421"/>
      <c r="AB496" s="421"/>
      <c r="AC496" s="421"/>
      <c r="AD496" s="421"/>
      <c r="AE496" s="421"/>
      <c r="AF496" s="421"/>
      <c r="AG496" s="421"/>
      <c r="AH496" s="421"/>
      <c r="AI496" s="421"/>
      <c r="AJ496" s="421"/>
      <c r="AK496" s="421"/>
      <c r="AL496" s="421"/>
    </row>
    <row r="497" spans="1:38">
      <c r="A497" s="410">
        <v>5491</v>
      </c>
      <c r="B497" s="407"/>
      <c r="C497" s="408"/>
      <c r="D497" s="410" t="s">
        <v>2068</v>
      </c>
      <c r="E497" s="410" t="s">
        <v>1403</v>
      </c>
      <c r="F497" s="410" t="s">
        <v>1479</v>
      </c>
      <c r="G497" s="68" t="str">
        <f t="shared" si="36"/>
        <v>SINGLE</v>
      </c>
      <c r="H497" s="197">
        <f t="shared" si="35"/>
        <v>16</v>
      </c>
      <c r="I497" s="408">
        <f t="shared" si="38"/>
        <v>4</v>
      </c>
      <c r="J497" s="408">
        <f t="shared" si="39"/>
        <v>17</v>
      </c>
      <c r="K497" s="411">
        <v>45764</v>
      </c>
      <c r="L497" s="408"/>
      <c r="M497" s="408"/>
      <c r="N497" s="3" t="str">
        <f t="shared" si="37"/>
        <v/>
      </c>
      <c r="O497" s="408"/>
      <c r="P497" s="408"/>
      <c r="Q497" s="408"/>
      <c r="R497" s="408"/>
      <c r="S497" s="408"/>
      <c r="T497" s="408"/>
      <c r="U497" s="408"/>
      <c r="V497" s="421"/>
      <c r="W497" s="421"/>
      <c r="X497" s="421"/>
      <c r="Y497" s="421"/>
      <c r="Z497" s="421"/>
      <c r="AA497" s="421"/>
      <c r="AB497" s="421"/>
      <c r="AC497" s="421"/>
      <c r="AD497" s="421"/>
      <c r="AE497" s="421"/>
      <c r="AF497" s="421"/>
      <c r="AG497" s="421"/>
      <c r="AH497" s="421"/>
      <c r="AI497" s="421"/>
      <c r="AJ497" s="421"/>
      <c r="AK497" s="421"/>
      <c r="AL497" s="421"/>
    </row>
    <row r="498" spans="1:38">
      <c r="A498" s="410">
        <v>5491</v>
      </c>
      <c r="B498" s="407"/>
      <c r="C498" s="408"/>
      <c r="D498" s="410" t="s">
        <v>2069</v>
      </c>
      <c r="E498" s="410" t="s">
        <v>1403</v>
      </c>
      <c r="F498" s="410" t="s">
        <v>1479</v>
      </c>
      <c r="G498" s="68" t="str">
        <f t="shared" si="36"/>
        <v>SINGLE</v>
      </c>
      <c r="H498" s="197">
        <f t="shared" si="35"/>
        <v>16</v>
      </c>
      <c r="I498" s="408">
        <f t="shared" si="38"/>
        <v>4</v>
      </c>
      <c r="J498" s="408">
        <f t="shared" si="39"/>
        <v>17</v>
      </c>
      <c r="K498" s="411">
        <v>45764</v>
      </c>
      <c r="L498" s="408"/>
      <c r="M498" s="408"/>
      <c r="N498" s="3" t="str">
        <f t="shared" si="37"/>
        <v/>
      </c>
      <c r="O498" s="408"/>
      <c r="P498" s="408"/>
      <c r="Q498" s="408"/>
      <c r="R498" s="408"/>
      <c r="S498" s="408"/>
      <c r="T498" s="408"/>
      <c r="U498" s="408"/>
      <c r="V498" s="421"/>
      <c r="W498" s="421"/>
      <c r="X498" s="421"/>
      <c r="Y498" s="421"/>
      <c r="Z498" s="421"/>
      <c r="AA498" s="421"/>
      <c r="AB498" s="421"/>
      <c r="AC498" s="421"/>
      <c r="AD498" s="421"/>
      <c r="AE498" s="421"/>
      <c r="AF498" s="421"/>
      <c r="AG498" s="421"/>
      <c r="AH498" s="421"/>
      <c r="AI498" s="421"/>
      <c r="AJ498" s="421"/>
      <c r="AK498" s="421"/>
      <c r="AL498" s="421"/>
    </row>
    <row r="499" spans="1:38">
      <c r="A499" s="410">
        <v>5576</v>
      </c>
      <c r="B499" s="407"/>
      <c r="C499" s="408"/>
      <c r="D499" s="410" t="s">
        <v>2070</v>
      </c>
      <c r="E499" s="410" t="s">
        <v>1426</v>
      </c>
      <c r="F499" s="410" t="s">
        <v>1476</v>
      </c>
      <c r="G499" s="68" t="str">
        <f t="shared" si="36"/>
        <v>DUAL</v>
      </c>
      <c r="H499" s="197">
        <f t="shared" si="35"/>
        <v>16</v>
      </c>
      <c r="I499" s="408">
        <f t="shared" si="38"/>
        <v>4</v>
      </c>
      <c r="J499" s="408">
        <f t="shared" si="39"/>
        <v>17</v>
      </c>
      <c r="K499" s="411">
        <v>45764</v>
      </c>
      <c r="L499" s="408"/>
      <c r="M499" s="408"/>
      <c r="N499" s="3" t="str">
        <f t="shared" si="37"/>
        <v/>
      </c>
      <c r="O499" s="408"/>
      <c r="P499" s="408"/>
      <c r="Q499" s="408"/>
      <c r="R499" s="408"/>
      <c r="S499" s="408"/>
      <c r="T499" s="408"/>
      <c r="U499" s="408"/>
      <c r="V499" s="421"/>
      <c r="W499" s="421"/>
      <c r="X499" s="421"/>
      <c r="Y499" s="421"/>
      <c r="Z499" s="421"/>
      <c r="AA499" s="421"/>
      <c r="AB499" s="421"/>
      <c r="AC499" s="421"/>
      <c r="AD499" s="421"/>
      <c r="AE499" s="421"/>
      <c r="AF499" s="421"/>
      <c r="AG499" s="421"/>
      <c r="AH499" s="421"/>
      <c r="AI499" s="421"/>
      <c r="AJ499" s="421"/>
      <c r="AK499" s="421"/>
      <c r="AL499" s="421"/>
    </row>
    <row r="500" spans="1:38">
      <c r="A500" s="410">
        <v>5576</v>
      </c>
      <c r="B500" s="407"/>
      <c r="C500" s="408"/>
      <c r="D500" s="410" t="s">
        <v>2071</v>
      </c>
      <c r="E500" s="410" t="s">
        <v>1426</v>
      </c>
      <c r="F500" s="410" t="s">
        <v>1476</v>
      </c>
      <c r="G500" s="68" t="str">
        <f t="shared" si="36"/>
        <v>DUAL</v>
      </c>
      <c r="H500" s="197">
        <f t="shared" si="35"/>
        <v>16</v>
      </c>
      <c r="I500" s="408">
        <f t="shared" si="38"/>
        <v>4</v>
      </c>
      <c r="J500" s="408">
        <f t="shared" si="39"/>
        <v>17</v>
      </c>
      <c r="K500" s="411">
        <v>45764</v>
      </c>
      <c r="L500" s="408"/>
      <c r="M500" s="408"/>
      <c r="N500" s="3" t="str">
        <f t="shared" si="37"/>
        <v/>
      </c>
      <c r="O500" s="408"/>
      <c r="P500" s="408"/>
      <c r="Q500" s="408"/>
      <c r="R500" s="408"/>
      <c r="S500" s="408"/>
      <c r="T500" s="408"/>
      <c r="U500" s="408"/>
      <c r="V500" s="421"/>
      <c r="W500" s="421"/>
      <c r="X500" s="421"/>
      <c r="Y500" s="421"/>
      <c r="Z500" s="421"/>
      <c r="AA500" s="421"/>
      <c r="AB500" s="421"/>
      <c r="AC500" s="421"/>
      <c r="AD500" s="421"/>
      <c r="AE500" s="421"/>
      <c r="AF500" s="421"/>
      <c r="AG500" s="421"/>
      <c r="AH500" s="421"/>
      <c r="AI500" s="421"/>
      <c r="AJ500" s="421"/>
      <c r="AK500" s="421"/>
      <c r="AL500" s="421"/>
    </row>
    <row r="501" spans="1:38">
      <c r="A501" s="410">
        <v>5491</v>
      </c>
      <c r="B501" s="407"/>
      <c r="C501" s="408"/>
      <c r="D501" s="410" t="s">
        <v>2072</v>
      </c>
      <c r="E501" s="410" t="s">
        <v>1403</v>
      </c>
      <c r="F501" s="410" t="s">
        <v>1479</v>
      </c>
      <c r="G501" s="68" t="str">
        <f t="shared" si="36"/>
        <v>SINGLE</v>
      </c>
      <c r="H501" s="197">
        <f t="shared" si="35"/>
        <v>16</v>
      </c>
      <c r="I501" s="408">
        <f t="shared" si="38"/>
        <v>4</v>
      </c>
      <c r="J501" s="408">
        <f t="shared" si="39"/>
        <v>17</v>
      </c>
      <c r="K501" s="411">
        <v>45764</v>
      </c>
      <c r="L501" s="408"/>
      <c r="M501" s="408"/>
      <c r="N501" s="3" t="str">
        <f t="shared" si="37"/>
        <v/>
      </c>
      <c r="O501" s="408"/>
      <c r="P501" s="408"/>
      <c r="Q501" s="408"/>
      <c r="R501" s="408"/>
      <c r="S501" s="408"/>
      <c r="T501" s="408"/>
      <c r="U501" s="408"/>
      <c r="V501" s="421"/>
      <c r="W501" s="421"/>
      <c r="X501" s="421"/>
      <c r="Y501" s="421"/>
      <c r="Z501" s="421"/>
      <c r="AA501" s="421"/>
      <c r="AB501" s="421"/>
      <c r="AC501" s="421"/>
      <c r="AD501" s="421"/>
      <c r="AE501" s="421"/>
      <c r="AF501" s="421"/>
      <c r="AG501" s="421"/>
      <c r="AH501" s="421"/>
      <c r="AI501" s="421"/>
      <c r="AJ501" s="421"/>
      <c r="AK501" s="421"/>
      <c r="AL501" s="421"/>
    </row>
    <row r="502" spans="1:38">
      <c r="A502" s="410">
        <v>5491</v>
      </c>
      <c r="B502" s="407"/>
      <c r="C502" s="408"/>
      <c r="D502" s="410" t="s">
        <v>2073</v>
      </c>
      <c r="E502" s="410" t="s">
        <v>1403</v>
      </c>
      <c r="F502" s="410" t="s">
        <v>1479</v>
      </c>
      <c r="G502" s="68" t="str">
        <f t="shared" si="36"/>
        <v>SINGLE</v>
      </c>
      <c r="H502" s="197">
        <f t="shared" si="35"/>
        <v>16</v>
      </c>
      <c r="I502" s="408">
        <f t="shared" si="38"/>
        <v>4</v>
      </c>
      <c r="J502" s="408">
        <f t="shared" si="39"/>
        <v>17</v>
      </c>
      <c r="K502" s="411">
        <v>45764</v>
      </c>
      <c r="L502" s="408"/>
      <c r="M502" s="408"/>
      <c r="N502" s="3" t="str">
        <f t="shared" si="37"/>
        <v/>
      </c>
      <c r="O502" s="408"/>
      <c r="P502" s="408"/>
      <c r="Q502" s="408"/>
      <c r="R502" s="408"/>
      <c r="S502" s="408"/>
      <c r="T502" s="408"/>
      <c r="U502" s="408"/>
      <c r="V502" s="421"/>
      <c r="W502" s="421"/>
      <c r="X502" s="421"/>
      <c r="Y502" s="421"/>
      <c r="Z502" s="421"/>
      <c r="AA502" s="421"/>
      <c r="AB502" s="421"/>
      <c r="AC502" s="421"/>
      <c r="AD502" s="421"/>
      <c r="AE502" s="421"/>
      <c r="AF502" s="421"/>
      <c r="AG502" s="421"/>
      <c r="AH502" s="421"/>
      <c r="AI502" s="421"/>
      <c r="AJ502" s="421"/>
      <c r="AK502" s="421"/>
      <c r="AL502" s="421"/>
    </row>
    <row r="503" spans="1:38">
      <c r="A503" s="410">
        <v>5576</v>
      </c>
      <c r="B503" s="407"/>
      <c r="C503" s="408"/>
      <c r="D503" s="410" t="s">
        <v>2074</v>
      </c>
      <c r="E503" s="410" t="s">
        <v>1426</v>
      </c>
      <c r="F503" s="410" t="s">
        <v>1476</v>
      </c>
      <c r="G503" s="68" t="str">
        <f t="shared" si="36"/>
        <v>DUAL</v>
      </c>
      <c r="H503" s="197">
        <f t="shared" si="35"/>
        <v>16</v>
      </c>
      <c r="I503" s="408">
        <f t="shared" si="38"/>
        <v>4</v>
      </c>
      <c r="J503" s="408">
        <f t="shared" si="39"/>
        <v>18</v>
      </c>
      <c r="K503" s="411">
        <v>45765</v>
      </c>
      <c r="L503" s="408"/>
      <c r="M503" s="408"/>
      <c r="N503" s="3" t="str">
        <f t="shared" si="37"/>
        <v/>
      </c>
      <c r="O503" s="408"/>
      <c r="P503" s="408"/>
      <c r="Q503" s="408"/>
      <c r="R503" s="408"/>
      <c r="S503" s="408"/>
      <c r="T503" s="408"/>
      <c r="U503" s="408"/>
      <c r="V503" s="421"/>
      <c r="W503" s="421"/>
      <c r="X503" s="421"/>
      <c r="Y503" s="421"/>
      <c r="Z503" s="421"/>
      <c r="AA503" s="421"/>
      <c r="AB503" s="421"/>
      <c r="AC503" s="421"/>
      <c r="AD503" s="421"/>
      <c r="AE503" s="421"/>
      <c r="AF503" s="421"/>
      <c r="AG503" s="421"/>
      <c r="AH503" s="421"/>
      <c r="AI503" s="421"/>
      <c r="AJ503" s="421"/>
      <c r="AK503" s="421"/>
      <c r="AL503" s="421"/>
    </row>
    <row r="504" spans="1:38">
      <c r="A504" s="410">
        <v>5576</v>
      </c>
      <c r="B504" s="407"/>
      <c r="C504" s="408"/>
      <c r="D504" s="410" t="s">
        <v>2075</v>
      </c>
      <c r="E504" s="410" t="s">
        <v>1426</v>
      </c>
      <c r="F504" s="410" t="s">
        <v>1476</v>
      </c>
      <c r="G504" s="68" t="str">
        <f t="shared" si="36"/>
        <v>DUAL</v>
      </c>
      <c r="H504" s="197">
        <f t="shared" si="35"/>
        <v>16</v>
      </c>
      <c r="I504" s="408">
        <f t="shared" si="38"/>
        <v>4</v>
      </c>
      <c r="J504" s="408">
        <f t="shared" si="39"/>
        <v>18</v>
      </c>
      <c r="K504" s="411">
        <v>45765</v>
      </c>
      <c r="L504" s="408"/>
      <c r="M504" s="408"/>
      <c r="N504" s="3" t="str">
        <f t="shared" si="37"/>
        <v/>
      </c>
      <c r="O504" s="408"/>
      <c r="P504" s="408"/>
      <c r="Q504" s="408"/>
      <c r="R504" s="408"/>
      <c r="S504" s="408"/>
      <c r="T504" s="408"/>
      <c r="U504" s="408"/>
      <c r="V504" s="421"/>
      <c r="W504" s="421"/>
      <c r="X504" s="421"/>
      <c r="Y504" s="421"/>
      <c r="Z504" s="421"/>
      <c r="AA504" s="421"/>
      <c r="AB504" s="421"/>
      <c r="AC504" s="421"/>
      <c r="AD504" s="421"/>
      <c r="AE504" s="421"/>
      <c r="AF504" s="421"/>
      <c r="AG504" s="421"/>
      <c r="AH504" s="421"/>
      <c r="AI504" s="421"/>
      <c r="AJ504" s="421"/>
      <c r="AK504" s="421"/>
      <c r="AL504" s="421"/>
    </row>
    <row r="505" spans="1:38">
      <c r="A505" s="410">
        <v>5576</v>
      </c>
      <c r="B505" s="407"/>
      <c r="C505" s="408"/>
      <c r="D505" s="410" t="s">
        <v>2076</v>
      </c>
      <c r="E505" s="410" t="s">
        <v>1426</v>
      </c>
      <c r="F505" s="410" t="s">
        <v>1476</v>
      </c>
      <c r="G505" s="68" t="str">
        <f t="shared" si="36"/>
        <v>DUAL</v>
      </c>
      <c r="H505" s="197">
        <f t="shared" si="35"/>
        <v>16</v>
      </c>
      <c r="I505" s="408">
        <f t="shared" si="38"/>
        <v>4</v>
      </c>
      <c r="J505" s="408">
        <f t="shared" si="39"/>
        <v>18</v>
      </c>
      <c r="K505" s="411">
        <v>45765</v>
      </c>
      <c r="L505" s="408"/>
      <c r="M505" s="408"/>
      <c r="N505" s="3" t="str">
        <f t="shared" si="37"/>
        <v/>
      </c>
      <c r="O505" s="408"/>
      <c r="P505" s="408"/>
      <c r="Q505" s="408"/>
      <c r="R505" s="408"/>
      <c r="S505" s="408"/>
      <c r="T505" s="408"/>
      <c r="U505" s="408"/>
      <c r="V505" s="421"/>
      <c r="W505" s="421"/>
      <c r="X505" s="421"/>
      <c r="Y505" s="421"/>
      <c r="Z505" s="421"/>
      <c r="AA505" s="421"/>
      <c r="AB505" s="421"/>
      <c r="AC505" s="421"/>
      <c r="AD505" s="421"/>
      <c r="AE505" s="421"/>
      <c r="AF505" s="421"/>
      <c r="AG505" s="421"/>
      <c r="AH505" s="421"/>
      <c r="AI505" s="421"/>
      <c r="AJ505" s="421"/>
      <c r="AK505" s="421"/>
      <c r="AL505" s="421"/>
    </row>
    <row r="506" spans="1:38">
      <c r="A506" s="410">
        <v>5504</v>
      </c>
      <c r="B506" s="407"/>
      <c r="C506" s="408"/>
      <c r="D506" s="410" t="s">
        <v>2077</v>
      </c>
      <c r="E506" s="410" t="s">
        <v>1409</v>
      </c>
      <c r="F506" s="410" t="s">
        <v>1479</v>
      </c>
      <c r="G506" s="68" t="str">
        <f t="shared" si="36"/>
        <v>SINGLE</v>
      </c>
      <c r="H506" s="197">
        <f t="shared" si="35"/>
        <v>16</v>
      </c>
      <c r="I506" s="408">
        <f t="shared" si="38"/>
        <v>4</v>
      </c>
      <c r="J506" s="408">
        <f t="shared" si="39"/>
        <v>18</v>
      </c>
      <c r="K506" s="411">
        <v>45765</v>
      </c>
      <c r="L506" s="408"/>
      <c r="M506" s="408"/>
      <c r="N506" s="3" t="str">
        <f t="shared" si="37"/>
        <v/>
      </c>
      <c r="O506" s="408"/>
      <c r="P506" s="408"/>
      <c r="Q506" s="408"/>
      <c r="R506" s="408"/>
      <c r="S506" s="408"/>
      <c r="T506" s="408"/>
      <c r="U506" s="408"/>
      <c r="V506" s="421"/>
      <c r="W506" s="421"/>
      <c r="X506" s="421"/>
      <c r="Y506" s="421"/>
      <c r="Z506" s="421"/>
      <c r="AA506" s="421"/>
      <c r="AB506" s="421"/>
      <c r="AC506" s="421"/>
      <c r="AD506" s="421"/>
      <c r="AE506" s="421"/>
      <c r="AF506" s="421"/>
      <c r="AG506" s="421"/>
      <c r="AH506" s="421"/>
      <c r="AI506" s="421"/>
      <c r="AJ506" s="421"/>
      <c r="AK506" s="421"/>
      <c r="AL506" s="421"/>
    </row>
    <row r="507" spans="1:38">
      <c r="A507" s="410">
        <v>5621</v>
      </c>
      <c r="B507" s="407"/>
      <c r="C507" s="408"/>
      <c r="D507" s="410" t="s">
        <v>2078</v>
      </c>
      <c r="E507" s="410" t="s">
        <v>1433</v>
      </c>
      <c r="F507" s="410" t="s">
        <v>1616</v>
      </c>
      <c r="G507" s="68" t="str">
        <f t="shared" si="36"/>
        <v>SINGLE</v>
      </c>
      <c r="H507" s="197">
        <f t="shared" si="35"/>
        <v>16</v>
      </c>
      <c r="I507" s="408">
        <f t="shared" si="38"/>
        <v>4</v>
      </c>
      <c r="J507" s="408">
        <f t="shared" si="39"/>
        <v>18</v>
      </c>
      <c r="K507" s="411">
        <v>45765</v>
      </c>
      <c r="L507" s="408"/>
      <c r="M507" s="408"/>
      <c r="N507" s="3" t="str">
        <f t="shared" si="37"/>
        <v/>
      </c>
      <c r="O507" s="408"/>
      <c r="P507" s="408"/>
      <c r="Q507" s="408"/>
      <c r="R507" s="408"/>
      <c r="S507" s="408"/>
      <c r="T507" s="408"/>
      <c r="U507" s="408"/>
      <c r="V507" s="421"/>
      <c r="W507" s="421"/>
      <c r="X507" s="421"/>
      <c r="Y507" s="421"/>
      <c r="Z507" s="421"/>
      <c r="AA507" s="421"/>
      <c r="AB507" s="421"/>
      <c r="AC507" s="421"/>
      <c r="AD507" s="421"/>
      <c r="AE507" s="421"/>
      <c r="AF507" s="421"/>
      <c r="AG507" s="421"/>
      <c r="AH507" s="421"/>
      <c r="AI507" s="421"/>
      <c r="AJ507" s="421"/>
      <c r="AK507" s="421"/>
      <c r="AL507" s="421"/>
    </row>
    <row r="508" spans="1:38">
      <c r="A508" s="410">
        <v>5621</v>
      </c>
      <c r="B508" s="407"/>
      <c r="C508" s="408"/>
      <c r="D508" s="410" t="s">
        <v>2079</v>
      </c>
      <c r="E508" s="410" t="s">
        <v>1433</v>
      </c>
      <c r="F508" s="410" t="s">
        <v>1616</v>
      </c>
      <c r="G508" s="68" t="str">
        <f t="shared" si="36"/>
        <v>SINGLE</v>
      </c>
      <c r="H508" s="197">
        <f t="shared" si="35"/>
        <v>16</v>
      </c>
      <c r="I508" s="408">
        <f t="shared" si="38"/>
        <v>4</v>
      </c>
      <c r="J508" s="408">
        <f t="shared" si="39"/>
        <v>18</v>
      </c>
      <c r="K508" s="411">
        <v>45765</v>
      </c>
      <c r="L508" s="408"/>
      <c r="M508" s="408"/>
      <c r="N508" s="3" t="str">
        <f t="shared" si="37"/>
        <v/>
      </c>
      <c r="O508" s="408"/>
      <c r="P508" s="408"/>
      <c r="Q508" s="408"/>
      <c r="R508" s="408"/>
      <c r="S508" s="408"/>
      <c r="T508" s="408"/>
      <c r="U508" s="408"/>
      <c r="V508" s="421"/>
      <c r="W508" s="421"/>
      <c r="X508" s="421"/>
      <c r="Y508" s="421"/>
      <c r="Z508" s="421"/>
      <c r="AA508" s="421"/>
      <c r="AB508" s="421"/>
      <c r="AC508" s="421"/>
      <c r="AD508" s="421"/>
      <c r="AE508" s="421"/>
      <c r="AF508" s="421"/>
      <c r="AG508" s="421"/>
      <c r="AH508" s="421"/>
      <c r="AI508" s="421"/>
      <c r="AJ508" s="421"/>
      <c r="AK508" s="421"/>
      <c r="AL508" s="421"/>
    </row>
    <row r="509" spans="1:38">
      <c r="A509" s="410">
        <v>5536</v>
      </c>
      <c r="B509" s="407"/>
      <c r="C509" s="408"/>
      <c r="D509" s="410" t="s">
        <v>2080</v>
      </c>
      <c r="E509" s="410" t="s">
        <v>1585</v>
      </c>
      <c r="F509" s="410" t="s">
        <v>1476</v>
      </c>
      <c r="G509" s="68" t="str">
        <f t="shared" si="36"/>
        <v>DUAL</v>
      </c>
      <c r="H509" s="197">
        <f t="shared" si="35"/>
        <v>16</v>
      </c>
      <c r="I509" s="408">
        <f t="shared" si="38"/>
        <v>4</v>
      </c>
      <c r="J509" s="408">
        <f t="shared" si="39"/>
        <v>18</v>
      </c>
      <c r="K509" s="411">
        <v>45765</v>
      </c>
      <c r="L509" s="408"/>
      <c r="M509" s="408"/>
      <c r="N509" s="3" t="str">
        <f t="shared" si="37"/>
        <v/>
      </c>
      <c r="O509" s="408"/>
      <c r="P509" s="408"/>
      <c r="Q509" s="408"/>
      <c r="R509" s="408"/>
      <c r="S509" s="408"/>
      <c r="T509" s="408"/>
      <c r="U509" s="408"/>
      <c r="V509" s="421"/>
      <c r="W509" s="421"/>
      <c r="X509" s="421"/>
      <c r="Y509" s="421"/>
      <c r="Z509" s="421"/>
      <c r="AA509" s="421"/>
      <c r="AB509" s="421"/>
      <c r="AC509" s="421"/>
      <c r="AD509" s="421"/>
      <c r="AE509" s="421"/>
      <c r="AF509" s="421"/>
      <c r="AG509" s="421"/>
      <c r="AH509" s="421"/>
      <c r="AI509" s="421"/>
      <c r="AJ509" s="421"/>
      <c r="AK509" s="421"/>
      <c r="AL509" s="421"/>
    </row>
    <row r="510" spans="1:38">
      <c r="A510" s="410">
        <v>5549</v>
      </c>
      <c r="B510" s="407"/>
      <c r="C510" s="408"/>
      <c r="D510" s="410" t="s">
        <v>2081</v>
      </c>
      <c r="E510" s="410" t="s">
        <v>1585</v>
      </c>
      <c r="F510" s="410" t="s">
        <v>1476</v>
      </c>
      <c r="G510" s="68" t="str">
        <f t="shared" si="36"/>
        <v>DUAL</v>
      </c>
      <c r="H510" s="197">
        <f t="shared" si="35"/>
        <v>17</v>
      </c>
      <c r="I510" s="408">
        <f t="shared" si="38"/>
        <v>4</v>
      </c>
      <c r="J510" s="408">
        <f t="shared" si="39"/>
        <v>21</v>
      </c>
      <c r="K510" s="411">
        <v>45768</v>
      </c>
      <c r="L510" s="408"/>
      <c r="M510" s="408"/>
      <c r="N510" s="3" t="str">
        <f t="shared" si="37"/>
        <v/>
      </c>
      <c r="O510" s="408"/>
      <c r="P510" s="408"/>
      <c r="Q510" s="408"/>
      <c r="R510" s="408"/>
      <c r="S510" s="408"/>
      <c r="T510" s="408"/>
      <c r="U510" s="408"/>
      <c r="V510" s="421"/>
      <c r="W510" s="421"/>
      <c r="X510" s="421"/>
      <c r="Y510" s="421"/>
      <c r="Z510" s="421"/>
      <c r="AA510" s="421"/>
      <c r="AB510" s="421"/>
      <c r="AC510" s="421"/>
      <c r="AD510" s="421"/>
      <c r="AE510" s="421"/>
      <c r="AF510" s="421"/>
      <c r="AG510" s="421"/>
      <c r="AH510" s="421"/>
      <c r="AI510" s="421"/>
      <c r="AJ510" s="421"/>
      <c r="AK510" s="421"/>
      <c r="AL510" s="421"/>
    </row>
    <row r="511" spans="1:38">
      <c r="A511" s="410">
        <v>5576</v>
      </c>
      <c r="B511" s="407"/>
      <c r="C511" s="408"/>
      <c r="D511" s="410" t="s">
        <v>2082</v>
      </c>
      <c r="E511" s="410" t="s">
        <v>1426</v>
      </c>
      <c r="F511" s="410" t="s">
        <v>1476</v>
      </c>
      <c r="G511" s="68" t="str">
        <f t="shared" si="36"/>
        <v>DUAL</v>
      </c>
      <c r="H511" s="197">
        <f t="shared" si="35"/>
        <v>17</v>
      </c>
      <c r="I511" s="408">
        <f t="shared" si="38"/>
        <v>4</v>
      </c>
      <c r="J511" s="408">
        <f t="shared" si="39"/>
        <v>21</v>
      </c>
      <c r="K511" s="411">
        <v>45768</v>
      </c>
      <c r="L511" s="408"/>
      <c r="M511" s="408"/>
      <c r="N511" s="3" t="str">
        <f t="shared" si="37"/>
        <v/>
      </c>
      <c r="O511" s="408"/>
      <c r="P511" s="408"/>
      <c r="Q511" s="408"/>
      <c r="R511" s="408"/>
      <c r="S511" s="408"/>
      <c r="T511" s="408"/>
      <c r="U511" s="408"/>
      <c r="V511" s="421"/>
      <c r="W511" s="421"/>
      <c r="X511" s="421"/>
      <c r="Y511" s="421"/>
      <c r="Z511" s="421"/>
      <c r="AA511" s="421"/>
      <c r="AB511" s="421"/>
      <c r="AC511" s="421"/>
      <c r="AD511" s="421"/>
      <c r="AE511" s="421"/>
      <c r="AF511" s="421"/>
      <c r="AG511" s="421"/>
      <c r="AH511" s="421"/>
      <c r="AI511" s="421"/>
      <c r="AJ511" s="421"/>
      <c r="AK511" s="421"/>
      <c r="AL511" s="421"/>
    </row>
    <row r="512" spans="1:38">
      <c r="A512" s="410">
        <v>5604</v>
      </c>
      <c r="B512" s="407"/>
      <c r="C512" s="408"/>
      <c r="D512" s="410" t="s">
        <v>2083</v>
      </c>
      <c r="E512" s="410" t="s">
        <v>1426</v>
      </c>
      <c r="F512" s="410" t="s">
        <v>1476</v>
      </c>
      <c r="G512" s="68" t="str">
        <f t="shared" si="36"/>
        <v>DUAL</v>
      </c>
      <c r="H512" s="197">
        <f t="shared" si="35"/>
        <v>17</v>
      </c>
      <c r="I512" s="408">
        <f t="shared" si="38"/>
        <v>4</v>
      </c>
      <c r="J512" s="408">
        <f t="shared" si="39"/>
        <v>21</v>
      </c>
      <c r="K512" s="411">
        <v>45768</v>
      </c>
      <c r="L512" s="408"/>
      <c r="M512" s="408"/>
      <c r="N512" s="3" t="str">
        <f t="shared" si="37"/>
        <v/>
      </c>
      <c r="O512" s="408"/>
      <c r="P512" s="408"/>
      <c r="Q512" s="408"/>
      <c r="R512" s="408"/>
      <c r="S512" s="408"/>
      <c r="T512" s="408"/>
      <c r="U512" s="408"/>
      <c r="V512" s="421"/>
      <c r="W512" s="421"/>
      <c r="X512" s="421"/>
      <c r="Y512" s="421"/>
      <c r="Z512" s="421"/>
      <c r="AA512" s="421"/>
      <c r="AB512" s="421"/>
      <c r="AC512" s="421"/>
      <c r="AD512" s="421"/>
      <c r="AE512" s="421"/>
      <c r="AF512" s="421"/>
      <c r="AG512" s="421"/>
      <c r="AH512" s="421"/>
      <c r="AI512" s="421"/>
      <c r="AJ512" s="421"/>
      <c r="AK512" s="421"/>
      <c r="AL512" s="421"/>
    </row>
    <row r="513" spans="1:38">
      <c r="A513" s="410">
        <v>5604</v>
      </c>
      <c r="B513" s="407"/>
      <c r="C513" s="408"/>
      <c r="D513" s="410" t="s">
        <v>2084</v>
      </c>
      <c r="E513" s="410" t="s">
        <v>1426</v>
      </c>
      <c r="F513" s="410" t="s">
        <v>1476</v>
      </c>
      <c r="G513" s="68" t="str">
        <f t="shared" si="36"/>
        <v>DUAL</v>
      </c>
      <c r="H513" s="197">
        <f t="shared" ref="H513:H576" si="40">WEEKNUM(K513)</f>
        <v>17</v>
      </c>
      <c r="I513" s="408">
        <f t="shared" si="38"/>
        <v>4</v>
      </c>
      <c r="J513" s="408">
        <f t="shared" si="39"/>
        <v>21</v>
      </c>
      <c r="K513" s="411">
        <v>45768</v>
      </c>
      <c r="L513" s="408"/>
      <c r="M513" s="408"/>
      <c r="N513" s="3" t="str">
        <f t="shared" si="37"/>
        <v/>
      </c>
      <c r="O513" s="408"/>
      <c r="P513" s="408"/>
      <c r="Q513" s="408"/>
      <c r="R513" s="408"/>
      <c r="S513" s="408"/>
      <c r="T513" s="408"/>
      <c r="U513" s="408"/>
      <c r="V513" s="421"/>
      <c r="W513" s="421"/>
      <c r="X513" s="421"/>
      <c r="Y513" s="421"/>
      <c r="Z513" s="421"/>
      <c r="AA513" s="421"/>
      <c r="AB513" s="421"/>
      <c r="AC513" s="421"/>
      <c r="AD513" s="421"/>
      <c r="AE513" s="421"/>
      <c r="AF513" s="421"/>
      <c r="AG513" s="421"/>
      <c r="AH513" s="421"/>
      <c r="AI513" s="421"/>
      <c r="AJ513" s="421"/>
      <c r="AK513" s="421"/>
      <c r="AL513" s="421"/>
    </row>
    <row r="514" spans="1:38">
      <c r="A514" s="410">
        <v>5604</v>
      </c>
      <c r="B514" s="407"/>
      <c r="C514" s="408"/>
      <c r="D514" s="410" t="s">
        <v>2085</v>
      </c>
      <c r="E514" s="410" t="s">
        <v>1426</v>
      </c>
      <c r="F514" s="410" t="s">
        <v>1476</v>
      </c>
      <c r="G514" s="68" t="str">
        <f t="shared" ref="G514:G577" si="41">IF(OR(ISNUMBER(SEARCH("DUAL",F514)), ISNUMBER(SEARCH("IVAS",F514))), "DUAL", "SINGLE")</f>
        <v>DUAL</v>
      </c>
      <c r="H514" s="197">
        <f t="shared" si="40"/>
        <v>17</v>
      </c>
      <c r="I514" s="408">
        <f t="shared" si="38"/>
        <v>4</v>
      </c>
      <c r="J514" s="408">
        <f t="shared" si="39"/>
        <v>21</v>
      </c>
      <c r="K514" s="411">
        <v>45768</v>
      </c>
      <c r="L514" s="408"/>
      <c r="M514" s="408"/>
      <c r="N514" s="3" t="str">
        <f t="shared" ref="N514:N577" si="42">IF(O514&lt;&gt;"", "NG", "")</f>
        <v/>
      </c>
      <c r="O514" s="408"/>
      <c r="P514" s="408"/>
      <c r="Q514" s="408"/>
      <c r="R514" s="408"/>
      <c r="S514" s="408"/>
      <c r="T514" s="408"/>
      <c r="U514" s="408"/>
      <c r="V514" s="421"/>
      <c r="W514" s="421"/>
      <c r="X514" s="421"/>
      <c r="Y514" s="421"/>
      <c r="Z514" s="421"/>
      <c r="AA514" s="421"/>
      <c r="AB514" s="421"/>
      <c r="AC514" s="421"/>
      <c r="AD514" s="421"/>
      <c r="AE514" s="421"/>
      <c r="AF514" s="421"/>
      <c r="AG514" s="421"/>
      <c r="AH514" s="421"/>
      <c r="AI514" s="421"/>
      <c r="AJ514" s="421"/>
      <c r="AK514" s="421"/>
      <c r="AL514" s="421"/>
    </row>
    <row r="515" spans="1:38">
      <c r="A515" s="410">
        <v>5588</v>
      </c>
      <c r="B515" s="407"/>
      <c r="C515" s="408"/>
      <c r="D515" s="410" t="s">
        <v>2086</v>
      </c>
      <c r="E515" s="410" t="s">
        <v>1405</v>
      </c>
      <c r="F515" s="410" t="s">
        <v>1477</v>
      </c>
      <c r="G515" s="68" t="str">
        <f t="shared" si="41"/>
        <v>SINGLE</v>
      </c>
      <c r="H515" s="197">
        <f t="shared" si="40"/>
        <v>17</v>
      </c>
      <c r="I515" s="408">
        <f t="shared" ref="I515:I577" si="43">MONTH(K515)</f>
        <v>4</v>
      </c>
      <c r="J515" s="408">
        <f t="shared" ref="J515:J577" si="44">DAY(K515)</f>
        <v>21</v>
      </c>
      <c r="K515" s="411">
        <v>45768</v>
      </c>
      <c r="L515" s="408"/>
      <c r="M515" s="408"/>
      <c r="N515" s="3" t="str">
        <f t="shared" si="42"/>
        <v/>
      </c>
      <c r="O515" s="408"/>
      <c r="P515" s="408"/>
      <c r="Q515" s="408"/>
      <c r="R515" s="408"/>
      <c r="S515" s="408"/>
      <c r="T515" s="408"/>
      <c r="U515" s="408"/>
      <c r="V515" s="421"/>
      <c r="W515" s="421"/>
      <c r="X515" s="421"/>
      <c r="Y515" s="421"/>
      <c r="Z515" s="421"/>
      <c r="AA515" s="421"/>
      <c r="AB515" s="421"/>
      <c r="AC515" s="421"/>
      <c r="AD515" s="421"/>
      <c r="AE515" s="421"/>
      <c r="AF515" s="421"/>
      <c r="AG515" s="421"/>
      <c r="AH515" s="421"/>
      <c r="AI515" s="421"/>
      <c r="AJ515" s="421"/>
      <c r="AK515" s="421"/>
      <c r="AL515" s="421"/>
    </row>
    <row r="516" spans="1:38">
      <c r="A516" s="410">
        <v>5588</v>
      </c>
      <c r="B516" s="407"/>
      <c r="C516" s="408"/>
      <c r="D516" s="410" t="s">
        <v>2087</v>
      </c>
      <c r="E516" s="410" t="s">
        <v>1405</v>
      </c>
      <c r="F516" s="410" t="s">
        <v>1477</v>
      </c>
      <c r="G516" s="68" t="str">
        <f t="shared" si="41"/>
        <v>SINGLE</v>
      </c>
      <c r="H516" s="197">
        <f t="shared" si="40"/>
        <v>17</v>
      </c>
      <c r="I516" s="408">
        <f t="shared" si="43"/>
        <v>4</v>
      </c>
      <c r="J516" s="408">
        <f t="shared" si="44"/>
        <v>21</v>
      </c>
      <c r="K516" s="411">
        <v>45768</v>
      </c>
      <c r="L516" s="408"/>
      <c r="M516" s="408"/>
      <c r="N516" s="3" t="str">
        <f t="shared" si="42"/>
        <v/>
      </c>
      <c r="O516" s="408"/>
      <c r="P516" s="408"/>
      <c r="Q516" s="408"/>
      <c r="R516" s="408"/>
      <c r="S516" s="408"/>
      <c r="T516" s="408"/>
      <c r="U516" s="408"/>
      <c r="V516" s="421"/>
      <c r="W516" s="421"/>
      <c r="X516" s="421"/>
      <c r="Y516" s="421"/>
      <c r="Z516" s="421"/>
      <c r="AA516" s="421"/>
      <c r="AB516" s="421"/>
      <c r="AC516" s="421"/>
      <c r="AD516" s="421"/>
      <c r="AE516" s="421"/>
      <c r="AF516" s="421"/>
      <c r="AG516" s="421"/>
      <c r="AH516" s="421"/>
      <c r="AI516" s="421"/>
      <c r="AJ516" s="421"/>
      <c r="AK516" s="421"/>
      <c r="AL516" s="421"/>
    </row>
    <row r="517" spans="1:38">
      <c r="A517" s="410">
        <v>5622</v>
      </c>
      <c r="B517" s="407"/>
      <c r="C517" s="408"/>
      <c r="D517" s="410" t="s">
        <v>2088</v>
      </c>
      <c r="E517" s="410" t="s">
        <v>1433</v>
      </c>
      <c r="F517" s="410" t="s">
        <v>1581</v>
      </c>
      <c r="G517" s="68" t="str">
        <f t="shared" si="41"/>
        <v>DUAL</v>
      </c>
      <c r="H517" s="197">
        <f t="shared" si="40"/>
        <v>17</v>
      </c>
      <c r="I517" s="408">
        <f t="shared" si="43"/>
        <v>4</v>
      </c>
      <c r="J517" s="408">
        <f t="shared" si="44"/>
        <v>22</v>
      </c>
      <c r="K517" s="411">
        <v>45769</v>
      </c>
      <c r="L517" s="408"/>
      <c r="M517" s="408"/>
      <c r="N517" s="3" t="str">
        <f t="shared" si="42"/>
        <v/>
      </c>
      <c r="O517" s="408"/>
      <c r="P517" s="408"/>
      <c r="Q517" s="408"/>
      <c r="R517" s="408"/>
      <c r="S517" s="408"/>
      <c r="T517" s="408"/>
      <c r="U517" s="408"/>
      <c r="V517" s="421"/>
      <c r="W517" s="421"/>
      <c r="X517" s="421"/>
      <c r="Y517" s="421"/>
      <c r="Z517" s="421"/>
      <c r="AA517" s="421"/>
      <c r="AB517" s="421"/>
      <c r="AC517" s="421"/>
      <c r="AD517" s="421"/>
      <c r="AE517" s="421"/>
      <c r="AF517" s="421"/>
      <c r="AG517" s="421"/>
      <c r="AH517" s="421"/>
      <c r="AI517" s="421"/>
      <c r="AJ517" s="421"/>
      <c r="AK517" s="421"/>
      <c r="AL517" s="421"/>
    </row>
    <row r="518" spans="1:38">
      <c r="A518" s="410">
        <v>5622</v>
      </c>
      <c r="B518" s="407"/>
      <c r="C518" s="408"/>
      <c r="D518" s="410" t="s">
        <v>2089</v>
      </c>
      <c r="E518" s="410" t="s">
        <v>1433</v>
      </c>
      <c r="F518" s="410" t="s">
        <v>1581</v>
      </c>
      <c r="G518" s="68" t="str">
        <f t="shared" si="41"/>
        <v>DUAL</v>
      </c>
      <c r="H518" s="197">
        <f t="shared" si="40"/>
        <v>17</v>
      </c>
      <c r="I518" s="408">
        <f t="shared" si="43"/>
        <v>4</v>
      </c>
      <c r="J518" s="408">
        <f t="shared" si="44"/>
        <v>22</v>
      </c>
      <c r="K518" s="411">
        <v>45769</v>
      </c>
      <c r="L518" s="408"/>
      <c r="M518" s="408"/>
      <c r="N518" s="3" t="str">
        <f t="shared" si="42"/>
        <v/>
      </c>
      <c r="O518" s="408"/>
      <c r="P518" s="408"/>
      <c r="Q518" s="408"/>
      <c r="R518" s="408"/>
      <c r="S518" s="408"/>
      <c r="T518" s="408"/>
      <c r="U518" s="408"/>
      <c r="V518" s="421"/>
      <c r="W518" s="421"/>
      <c r="X518" s="421"/>
      <c r="Y518" s="421"/>
      <c r="Z518" s="421"/>
      <c r="AA518" s="421"/>
      <c r="AB518" s="421"/>
      <c r="AC518" s="421"/>
      <c r="AD518" s="421"/>
      <c r="AE518" s="421"/>
      <c r="AF518" s="421"/>
      <c r="AG518" s="421"/>
      <c r="AH518" s="421"/>
      <c r="AI518" s="421"/>
      <c r="AJ518" s="421"/>
      <c r="AK518" s="421"/>
      <c r="AL518" s="421"/>
    </row>
    <row r="519" spans="1:38">
      <c r="A519" s="410">
        <v>5620</v>
      </c>
      <c r="B519" s="407"/>
      <c r="C519" s="408"/>
      <c r="D519" s="410" t="s">
        <v>2090</v>
      </c>
      <c r="E519" s="410" t="s">
        <v>1433</v>
      </c>
      <c r="F519" s="410" t="s">
        <v>1476</v>
      </c>
      <c r="G519" s="68" t="str">
        <f t="shared" si="41"/>
        <v>DUAL</v>
      </c>
      <c r="H519" s="197">
        <f t="shared" si="40"/>
        <v>17</v>
      </c>
      <c r="I519" s="408">
        <f t="shared" si="43"/>
        <v>4</v>
      </c>
      <c r="J519" s="408">
        <f t="shared" si="44"/>
        <v>22</v>
      </c>
      <c r="K519" s="411">
        <v>45769</v>
      </c>
      <c r="L519" s="408"/>
      <c r="M519" s="408"/>
      <c r="N519" s="3" t="str">
        <f t="shared" si="42"/>
        <v/>
      </c>
      <c r="O519" s="408"/>
      <c r="P519" s="408"/>
      <c r="Q519" s="408"/>
      <c r="R519" s="408"/>
      <c r="S519" s="408"/>
      <c r="T519" s="408"/>
      <c r="U519" s="408"/>
      <c r="V519" s="421"/>
      <c r="W519" s="421"/>
      <c r="X519" s="421"/>
      <c r="Y519" s="421"/>
      <c r="Z519" s="421"/>
      <c r="AA519" s="421"/>
      <c r="AB519" s="421"/>
      <c r="AC519" s="421"/>
      <c r="AD519" s="421"/>
      <c r="AE519" s="421"/>
      <c r="AF519" s="421"/>
      <c r="AG519" s="421"/>
      <c r="AH519" s="421"/>
      <c r="AI519" s="421"/>
      <c r="AJ519" s="421"/>
      <c r="AK519" s="421"/>
      <c r="AL519" s="421"/>
    </row>
    <row r="520" spans="1:38">
      <c r="A520" s="410">
        <v>5621</v>
      </c>
      <c r="B520" s="407"/>
      <c r="C520" s="408"/>
      <c r="D520" s="410" t="s">
        <v>2091</v>
      </c>
      <c r="E520" s="410" t="s">
        <v>1433</v>
      </c>
      <c r="F520" s="410" t="s">
        <v>1616</v>
      </c>
      <c r="G520" s="68" t="str">
        <f t="shared" si="41"/>
        <v>SINGLE</v>
      </c>
      <c r="H520" s="197">
        <f t="shared" si="40"/>
        <v>17</v>
      </c>
      <c r="I520" s="408">
        <f t="shared" si="43"/>
        <v>4</v>
      </c>
      <c r="J520" s="408">
        <f t="shared" si="44"/>
        <v>22</v>
      </c>
      <c r="K520" s="411">
        <v>45769</v>
      </c>
      <c r="L520" s="408"/>
      <c r="M520" s="408"/>
      <c r="N520" s="3" t="str">
        <f t="shared" si="42"/>
        <v/>
      </c>
      <c r="O520" s="408"/>
      <c r="P520" s="408"/>
      <c r="Q520" s="408"/>
      <c r="R520" s="408"/>
      <c r="S520" s="408"/>
      <c r="T520" s="408"/>
      <c r="U520" s="408"/>
      <c r="V520" s="421"/>
      <c r="W520" s="421"/>
      <c r="X520" s="421"/>
      <c r="Y520" s="421"/>
      <c r="Z520" s="421"/>
      <c r="AA520" s="421"/>
      <c r="AB520" s="421"/>
      <c r="AC520" s="421"/>
      <c r="AD520" s="421"/>
      <c r="AE520" s="421"/>
      <c r="AF520" s="421"/>
      <c r="AG520" s="421"/>
      <c r="AH520" s="421"/>
      <c r="AI520" s="421"/>
      <c r="AJ520" s="421"/>
      <c r="AK520" s="421"/>
      <c r="AL520" s="421"/>
    </row>
    <row r="521" spans="1:38">
      <c r="A521" s="410">
        <v>5621</v>
      </c>
      <c r="B521" s="407"/>
      <c r="C521" s="408"/>
      <c r="D521" s="410" t="s">
        <v>2092</v>
      </c>
      <c r="E521" s="410" t="s">
        <v>1433</v>
      </c>
      <c r="F521" s="410" t="s">
        <v>1616</v>
      </c>
      <c r="G521" s="68" t="str">
        <f t="shared" si="41"/>
        <v>SINGLE</v>
      </c>
      <c r="H521" s="197">
        <f t="shared" si="40"/>
        <v>17</v>
      </c>
      <c r="I521" s="408">
        <f t="shared" si="43"/>
        <v>4</v>
      </c>
      <c r="J521" s="408">
        <f t="shared" si="44"/>
        <v>22</v>
      </c>
      <c r="K521" s="411">
        <v>45769</v>
      </c>
      <c r="L521" s="408"/>
      <c r="M521" s="408"/>
      <c r="N521" s="3" t="str">
        <f t="shared" si="42"/>
        <v/>
      </c>
      <c r="O521" s="408"/>
      <c r="P521" s="408"/>
      <c r="Q521" s="408"/>
      <c r="R521" s="408"/>
      <c r="S521" s="408"/>
      <c r="T521" s="408"/>
      <c r="U521" s="408"/>
      <c r="V521" s="421"/>
      <c r="W521" s="421"/>
      <c r="X521" s="421"/>
      <c r="Y521" s="421"/>
      <c r="Z521" s="421"/>
      <c r="AA521" s="421"/>
      <c r="AB521" s="421"/>
      <c r="AC521" s="421"/>
      <c r="AD521" s="421"/>
      <c r="AE521" s="421"/>
      <c r="AF521" s="421"/>
      <c r="AG521" s="421"/>
      <c r="AH521" s="421"/>
      <c r="AI521" s="421"/>
      <c r="AJ521" s="421"/>
      <c r="AK521" s="421"/>
      <c r="AL521" s="421"/>
    </row>
    <row r="522" spans="1:38">
      <c r="A522" s="410">
        <v>5587</v>
      </c>
      <c r="B522" s="407"/>
      <c r="C522" s="408"/>
      <c r="D522" s="410" t="s">
        <v>2093</v>
      </c>
      <c r="E522" s="410" t="s">
        <v>1405</v>
      </c>
      <c r="F522" s="410" t="s">
        <v>1477</v>
      </c>
      <c r="G522" s="68" t="str">
        <f t="shared" si="41"/>
        <v>SINGLE</v>
      </c>
      <c r="H522" s="197">
        <f t="shared" si="40"/>
        <v>17</v>
      </c>
      <c r="I522" s="408">
        <f t="shared" si="43"/>
        <v>4</v>
      </c>
      <c r="J522" s="408">
        <f t="shared" si="44"/>
        <v>22</v>
      </c>
      <c r="K522" s="411">
        <v>45769</v>
      </c>
      <c r="L522" s="408"/>
      <c r="M522" s="408"/>
      <c r="N522" s="3" t="str">
        <f t="shared" si="42"/>
        <v/>
      </c>
      <c r="O522" s="408"/>
      <c r="P522" s="408"/>
      <c r="Q522" s="408"/>
      <c r="R522" s="408"/>
      <c r="S522" s="408"/>
      <c r="T522" s="408"/>
      <c r="U522" s="408"/>
      <c r="V522" s="421"/>
      <c r="W522" s="421"/>
      <c r="X522" s="421"/>
      <c r="Y522" s="421"/>
      <c r="Z522" s="421"/>
      <c r="AA522" s="421"/>
      <c r="AB522" s="421"/>
      <c r="AC522" s="421"/>
      <c r="AD522" s="421"/>
      <c r="AE522" s="421"/>
      <c r="AF522" s="421"/>
      <c r="AG522" s="421"/>
      <c r="AH522" s="421"/>
      <c r="AI522" s="421"/>
      <c r="AJ522" s="421"/>
      <c r="AK522" s="421"/>
      <c r="AL522" s="421"/>
    </row>
    <row r="523" spans="1:38">
      <c r="A523" s="410">
        <v>5587</v>
      </c>
      <c r="B523" s="407"/>
      <c r="C523" s="408"/>
      <c r="D523" s="410" t="s">
        <v>2094</v>
      </c>
      <c r="E523" s="410" t="s">
        <v>1405</v>
      </c>
      <c r="F523" s="410" t="s">
        <v>1477</v>
      </c>
      <c r="G523" s="68" t="str">
        <f t="shared" si="41"/>
        <v>SINGLE</v>
      </c>
      <c r="H523" s="197">
        <f t="shared" si="40"/>
        <v>17</v>
      </c>
      <c r="I523" s="408">
        <f t="shared" si="43"/>
        <v>4</v>
      </c>
      <c r="J523" s="408">
        <f t="shared" si="44"/>
        <v>22</v>
      </c>
      <c r="K523" s="411">
        <v>45769</v>
      </c>
      <c r="L523" s="408"/>
      <c r="M523" s="408"/>
      <c r="N523" s="3" t="str">
        <f t="shared" si="42"/>
        <v/>
      </c>
      <c r="O523" s="408"/>
      <c r="P523" s="408"/>
      <c r="Q523" s="408"/>
      <c r="R523" s="408"/>
      <c r="S523" s="408"/>
      <c r="T523" s="408"/>
      <c r="U523" s="408"/>
      <c r="V523" s="421"/>
      <c r="W523" s="421"/>
      <c r="X523" s="421"/>
      <c r="Y523" s="421"/>
      <c r="Z523" s="421"/>
      <c r="AA523" s="421"/>
      <c r="AB523" s="421"/>
      <c r="AC523" s="421"/>
      <c r="AD523" s="421"/>
      <c r="AE523" s="421"/>
      <c r="AF523" s="421"/>
      <c r="AG523" s="421"/>
      <c r="AH523" s="421"/>
      <c r="AI523" s="421"/>
      <c r="AJ523" s="421"/>
      <c r="AK523" s="421"/>
      <c r="AL523" s="421"/>
    </row>
    <row r="524" spans="1:38">
      <c r="A524" s="410">
        <v>5602</v>
      </c>
      <c r="B524" s="407"/>
      <c r="C524" s="408"/>
      <c r="D524" s="410" t="s">
        <v>2095</v>
      </c>
      <c r="E524" s="410" t="s">
        <v>1399</v>
      </c>
      <c r="F524" s="410" t="s">
        <v>1480</v>
      </c>
      <c r="G524" s="68" t="str">
        <f t="shared" si="41"/>
        <v>DUAL</v>
      </c>
      <c r="H524" s="197">
        <f t="shared" si="40"/>
        <v>17</v>
      </c>
      <c r="I524" s="408">
        <f t="shared" si="43"/>
        <v>4</v>
      </c>
      <c r="J524" s="408">
        <f t="shared" si="44"/>
        <v>23</v>
      </c>
      <c r="K524" s="411">
        <v>45770</v>
      </c>
      <c r="L524" s="408"/>
      <c r="M524" s="408"/>
      <c r="N524" s="3" t="str">
        <f t="shared" si="42"/>
        <v/>
      </c>
      <c r="O524" s="408"/>
      <c r="P524" s="408"/>
      <c r="Q524" s="408"/>
      <c r="R524" s="408"/>
      <c r="S524" s="408"/>
      <c r="T524" s="408"/>
      <c r="U524" s="408"/>
      <c r="V524" s="421"/>
      <c r="W524" s="421"/>
      <c r="X524" s="421"/>
      <c r="Y524" s="421"/>
      <c r="Z524" s="421"/>
      <c r="AA524" s="421"/>
      <c r="AB524" s="421"/>
      <c r="AC524" s="421"/>
      <c r="AD524" s="421"/>
      <c r="AE524" s="421"/>
      <c r="AF524" s="421"/>
      <c r="AG524" s="421"/>
      <c r="AH524" s="421"/>
      <c r="AI524" s="421"/>
      <c r="AJ524" s="421"/>
      <c r="AK524" s="421"/>
      <c r="AL524" s="421"/>
    </row>
    <row r="525" spans="1:38">
      <c r="A525" s="410">
        <v>5588</v>
      </c>
      <c r="B525" s="407"/>
      <c r="C525" s="408"/>
      <c r="D525" s="410" t="s">
        <v>2096</v>
      </c>
      <c r="E525" s="410" t="s">
        <v>1405</v>
      </c>
      <c r="F525" s="410" t="s">
        <v>1477</v>
      </c>
      <c r="G525" s="68" t="str">
        <f t="shared" si="41"/>
        <v>SINGLE</v>
      </c>
      <c r="H525" s="197">
        <f t="shared" si="40"/>
        <v>17</v>
      </c>
      <c r="I525" s="408">
        <f t="shared" si="43"/>
        <v>4</v>
      </c>
      <c r="J525" s="408">
        <f t="shared" si="44"/>
        <v>23</v>
      </c>
      <c r="K525" s="411">
        <v>45770</v>
      </c>
      <c r="L525" s="408"/>
      <c r="M525" s="408"/>
      <c r="N525" s="3" t="str">
        <f t="shared" si="42"/>
        <v/>
      </c>
      <c r="O525" s="408"/>
      <c r="P525" s="408"/>
      <c r="Q525" s="408"/>
      <c r="R525" s="408"/>
      <c r="S525" s="408"/>
      <c r="T525" s="408"/>
      <c r="U525" s="408"/>
      <c r="V525" s="421"/>
      <c r="W525" s="421"/>
      <c r="X525" s="421"/>
      <c r="Y525" s="421"/>
      <c r="Z525" s="421"/>
      <c r="AA525" s="421"/>
      <c r="AB525" s="421"/>
      <c r="AC525" s="421"/>
      <c r="AD525" s="421"/>
      <c r="AE525" s="421"/>
      <c r="AF525" s="421"/>
      <c r="AG525" s="421"/>
      <c r="AH525" s="421"/>
      <c r="AI525" s="421"/>
      <c r="AJ525" s="421"/>
      <c r="AK525" s="421"/>
      <c r="AL525" s="421"/>
    </row>
    <row r="526" spans="1:38">
      <c r="A526" s="410">
        <v>5588</v>
      </c>
      <c r="B526" s="407"/>
      <c r="C526" s="408"/>
      <c r="D526" s="410" t="s">
        <v>2097</v>
      </c>
      <c r="E526" s="410" t="s">
        <v>1405</v>
      </c>
      <c r="F526" s="410" t="s">
        <v>1477</v>
      </c>
      <c r="G526" s="68" t="str">
        <f t="shared" si="41"/>
        <v>SINGLE</v>
      </c>
      <c r="H526" s="197">
        <f t="shared" si="40"/>
        <v>17</v>
      </c>
      <c r="I526" s="408">
        <f t="shared" si="43"/>
        <v>4</v>
      </c>
      <c r="J526" s="408">
        <f t="shared" si="44"/>
        <v>23</v>
      </c>
      <c r="K526" s="411">
        <v>45770</v>
      </c>
      <c r="L526" s="408"/>
      <c r="M526" s="408"/>
      <c r="N526" s="3" t="str">
        <f t="shared" si="42"/>
        <v/>
      </c>
      <c r="O526" s="408"/>
      <c r="P526" s="408"/>
      <c r="Q526" s="408"/>
      <c r="R526" s="408"/>
      <c r="S526" s="408"/>
      <c r="T526" s="408"/>
      <c r="U526" s="408"/>
      <c r="V526" s="421"/>
      <c r="W526" s="421"/>
      <c r="X526" s="421"/>
      <c r="Y526" s="421"/>
      <c r="Z526" s="421"/>
      <c r="AA526" s="421"/>
      <c r="AB526" s="421"/>
      <c r="AC526" s="421"/>
      <c r="AD526" s="421"/>
      <c r="AE526" s="421"/>
      <c r="AF526" s="421"/>
      <c r="AG526" s="421"/>
      <c r="AH526" s="421"/>
      <c r="AI526" s="421"/>
      <c r="AJ526" s="421"/>
      <c r="AK526" s="421"/>
      <c r="AL526" s="421"/>
    </row>
    <row r="527" spans="1:38">
      <c r="A527" s="410">
        <v>5575</v>
      </c>
      <c r="B527" s="407"/>
      <c r="C527" s="408"/>
      <c r="D527" s="410" t="s">
        <v>2098</v>
      </c>
      <c r="E527" s="410" t="s">
        <v>1426</v>
      </c>
      <c r="F527" s="410" t="s">
        <v>1476</v>
      </c>
      <c r="G527" s="68" t="str">
        <f t="shared" si="41"/>
        <v>DUAL</v>
      </c>
      <c r="H527" s="197">
        <f t="shared" si="40"/>
        <v>17</v>
      </c>
      <c r="I527" s="408">
        <f t="shared" si="43"/>
        <v>4</v>
      </c>
      <c r="J527" s="408">
        <f t="shared" si="44"/>
        <v>23</v>
      </c>
      <c r="K527" s="411">
        <v>45770</v>
      </c>
      <c r="L527" s="408"/>
      <c r="M527" s="408"/>
      <c r="N527" s="3" t="str">
        <f t="shared" si="42"/>
        <v/>
      </c>
      <c r="O527" s="408"/>
      <c r="P527" s="408"/>
      <c r="Q527" s="408"/>
      <c r="R527" s="408"/>
      <c r="S527" s="408"/>
      <c r="T527" s="408"/>
      <c r="U527" s="408"/>
      <c r="V527" s="421"/>
      <c r="W527" s="421"/>
      <c r="X527" s="421"/>
      <c r="Y527" s="421"/>
      <c r="Z527" s="421"/>
      <c r="AA527" s="421"/>
      <c r="AB527" s="421"/>
      <c r="AC527" s="421"/>
      <c r="AD527" s="421"/>
      <c r="AE527" s="421"/>
      <c r="AF527" s="421"/>
      <c r="AG527" s="421"/>
      <c r="AH527" s="421"/>
      <c r="AI527" s="421"/>
      <c r="AJ527" s="421"/>
      <c r="AK527" s="421"/>
      <c r="AL527" s="421"/>
    </row>
    <row r="528" spans="1:38">
      <c r="A528" s="410">
        <v>5575</v>
      </c>
      <c r="B528" s="407"/>
      <c r="C528" s="408"/>
      <c r="D528" s="410" t="s">
        <v>2099</v>
      </c>
      <c r="E528" s="410" t="s">
        <v>1426</v>
      </c>
      <c r="F528" s="410" t="s">
        <v>1476</v>
      </c>
      <c r="G528" s="68" t="str">
        <f t="shared" si="41"/>
        <v>DUAL</v>
      </c>
      <c r="H528" s="197">
        <f t="shared" si="40"/>
        <v>17</v>
      </c>
      <c r="I528" s="408">
        <f t="shared" si="43"/>
        <v>4</v>
      </c>
      <c r="J528" s="408">
        <f t="shared" si="44"/>
        <v>23</v>
      </c>
      <c r="K528" s="411">
        <v>45770</v>
      </c>
      <c r="L528" s="408"/>
      <c r="M528" s="408"/>
      <c r="N528" s="3" t="str">
        <f t="shared" si="42"/>
        <v/>
      </c>
      <c r="O528" s="408"/>
      <c r="P528" s="408"/>
      <c r="Q528" s="408"/>
      <c r="R528" s="408"/>
      <c r="S528" s="408"/>
      <c r="T528" s="408"/>
      <c r="U528" s="408"/>
      <c r="V528" s="421"/>
      <c r="W528" s="421"/>
      <c r="X528" s="421"/>
      <c r="Y528" s="421"/>
      <c r="Z528" s="421"/>
      <c r="AA528" s="421"/>
      <c r="AB528" s="421"/>
      <c r="AC528" s="421"/>
      <c r="AD528" s="421"/>
      <c r="AE528" s="421"/>
      <c r="AF528" s="421"/>
      <c r="AG528" s="421"/>
      <c r="AH528" s="421"/>
      <c r="AI528" s="421"/>
      <c r="AJ528" s="421"/>
      <c r="AK528" s="421"/>
      <c r="AL528" s="421"/>
    </row>
    <row r="529" spans="1:38">
      <c r="A529" s="410">
        <v>5594</v>
      </c>
      <c r="B529" s="407"/>
      <c r="C529" s="408"/>
      <c r="D529" s="410" t="s">
        <v>2100</v>
      </c>
      <c r="E529" s="410" t="s">
        <v>1399</v>
      </c>
      <c r="F529" s="410" t="s">
        <v>1591</v>
      </c>
      <c r="G529" s="68" t="str">
        <f t="shared" si="41"/>
        <v>SINGLE</v>
      </c>
      <c r="H529" s="197">
        <f t="shared" si="40"/>
        <v>17</v>
      </c>
      <c r="I529" s="408">
        <f t="shared" si="43"/>
        <v>4</v>
      </c>
      <c r="J529" s="408">
        <f t="shared" si="44"/>
        <v>23</v>
      </c>
      <c r="K529" s="411">
        <v>45770</v>
      </c>
      <c r="L529" s="408"/>
      <c r="M529" s="408"/>
      <c r="N529" s="3" t="str">
        <f t="shared" si="42"/>
        <v/>
      </c>
      <c r="O529" s="408"/>
      <c r="P529" s="408"/>
      <c r="Q529" s="408"/>
      <c r="R529" s="408"/>
      <c r="S529" s="408"/>
      <c r="T529" s="408"/>
      <c r="U529" s="408"/>
      <c r="V529" s="421"/>
      <c r="W529" s="421"/>
      <c r="X529" s="421"/>
      <c r="Y529" s="421"/>
      <c r="Z529" s="421"/>
      <c r="AA529" s="421"/>
      <c r="AB529" s="421"/>
      <c r="AC529" s="421"/>
      <c r="AD529" s="421"/>
      <c r="AE529" s="421"/>
      <c r="AF529" s="421"/>
      <c r="AG529" s="421"/>
      <c r="AH529" s="421"/>
      <c r="AI529" s="421"/>
      <c r="AJ529" s="421"/>
      <c r="AK529" s="421"/>
      <c r="AL529" s="421"/>
    </row>
    <row r="530" spans="1:38">
      <c r="A530" s="410">
        <v>5594</v>
      </c>
      <c r="B530" s="407"/>
      <c r="C530" s="408"/>
      <c r="D530" s="410" t="s">
        <v>2101</v>
      </c>
      <c r="E530" s="410" t="s">
        <v>1399</v>
      </c>
      <c r="F530" s="410" t="s">
        <v>1591</v>
      </c>
      <c r="G530" s="68" t="str">
        <f t="shared" si="41"/>
        <v>SINGLE</v>
      </c>
      <c r="H530" s="197">
        <f t="shared" si="40"/>
        <v>17</v>
      </c>
      <c r="I530" s="408">
        <f t="shared" si="43"/>
        <v>4</v>
      </c>
      <c r="J530" s="408">
        <f t="shared" si="44"/>
        <v>23</v>
      </c>
      <c r="K530" s="411">
        <v>45770</v>
      </c>
      <c r="L530" s="408"/>
      <c r="M530" s="408"/>
      <c r="N530" s="3" t="str">
        <f t="shared" si="42"/>
        <v/>
      </c>
      <c r="O530" s="408"/>
      <c r="P530" s="408"/>
      <c r="Q530" s="408"/>
      <c r="R530" s="408"/>
      <c r="S530" s="408"/>
      <c r="T530" s="408"/>
      <c r="U530" s="408"/>
      <c r="V530" s="421"/>
      <c r="W530" s="421"/>
      <c r="X530" s="421"/>
      <c r="Y530" s="421"/>
      <c r="Z530" s="421"/>
      <c r="AA530" s="421"/>
      <c r="AB530" s="421"/>
      <c r="AC530" s="421"/>
      <c r="AD530" s="421"/>
      <c r="AE530" s="421"/>
      <c r="AF530" s="421"/>
      <c r="AG530" s="421"/>
      <c r="AH530" s="421"/>
      <c r="AI530" s="421"/>
      <c r="AJ530" s="421"/>
      <c r="AK530" s="421"/>
      <c r="AL530" s="421"/>
    </row>
    <row r="531" spans="1:38">
      <c r="A531" s="410">
        <v>5578</v>
      </c>
      <c r="B531" s="407"/>
      <c r="C531" s="408"/>
      <c r="D531" s="410" t="s">
        <v>2102</v>
      </c>
      <c r="E531" s="410" t="s">
        <v>1426</v>
      </c>
      <c r="F531" s="410" t="s">
        <v>1476</v>
      </c>
      <c r="G531" s="68" t="str">
        <f t="shared" si="41"/>
        <v>DUAL</v>
      </c>
      <c r="H531" s="197">
        <f t="shared" si="40"/>
        <v>17</v>
      </c>
      <c r="I531" s="408">
        <f t="shared" si="43"/>
        <v>4</v>
      </c>
      <c r="J531" s="408">
        <f t="shared" si="44"/>
        <v>23</v>
      </c>
      <c r="K531" s="411">
        <v>45770</v>
      </c>
      <c r="L531" s="408"/>
      <c r="M531" s="408"/>
      <c r="N531" s="3" t="str">
        <f t="shared" si="42"/>
        <v/>
      </c>
      <c r="O531" s="408"/>
      <c r="P531" s="408"/>
      <c r="Q531" s="408"/>
      <c r="R531" s="408"/>
      <c r="S531" s="408"/>
      <c r="T531" s="408"/>
      <c r="U531" s="408"/>
      <c r="V531" s="421"/>
      <c r="W531" s="421"/>
      <c r="X531" s="421"/>
      <c r="Y531" s="421"/>
      <c r="Z531" s="421"/>
      <c r="AA531" s="421"/>
      <c r="AB531" s="421"/>
      <c r="AC531" s="421"/>
      <c r="AD531" s="421"/>
      <c r="AE531" s="421"/>
      <c r="AF531" s="421"/>
      <c r="AG531" s="421"/>
      <c r="AH531" s="421"/>
      <c r="AI531" s="421"/>
      <c r="AJ531" s="421"/>
      <c r="AK531" s="421"/>
      <c r="AL531" s="421"/>
    </row>
    <row r="532" spans="1:38">
      <c r="A532" s="410">
        <v>5573</v>
      </c>
      <c r="B532" s="407"/>
      <c r="C532" s="408"/>
      <c r="D532" s="410" t="s">
        <v>2103</v>
      </c>
      <c r="E532" s="410" t="s">
        <v>1426</v>
      </c>
      <c r="F532" s="410" t="s">
        <v>1476</v>
      </c>
      <c r="G532" s="68" t="str">
        <f t="shared" si="41"/>
        <v>DUAL</v>
      </c>
      <c r="H532" s="197">
        <f t="shared" si="40"/>
        <v>17</v>
      </c>
      <c r="I532" s="408">
        <f t="shared" si="43"/>
        <v>4</v>
      </c>
      <c r="J532" s="408">
        <f t="shared" si="44"/>
        <v>24</v>
      </c>
      <c r="K532" s="411">
        <v>45771</v>
      </c>
      <c r="L532" s="408"/>
      <c r="M532" s="408"/>
      <c r="N532" s="3" t="str">
        <f t="shared" si="42"/>
        <v/>
      </c>
      <c r="O532" s="408"/>
      <c r="P532" s="408"/>
      <c r="Q532" s="408"/>
      <c r="R532" s="408"/>
      <c r="S532" s="408"/>
      <c r="T532" s="408"/>
      <c r="U532" s="408"/>
      <c r="V532" s="421"/>
      <c r="W532" s="421"/>
      <c r="X532" s="421"/>
      <c r="Y532" s="421"/>
      <c r="Z532" s="421"/>
      <c r="AA532" s="421"/>
      <c r="AB532" s="421"/>
      <c r="AC532" s="421"/>
      <c r="AD532" s="421"/>
      <c r="AE532" s="421"/>
      <c r="AF532" s="421"/>
      <c r="AG532" s="421"/>
      <c r="AH532" s="421"/>
      <c r="AI532" s="421"/>
      <c r="AJ532" s="421"/>
      <c r="AK532" s="421"/>
      <c r="AL532" s="421"/>
    </row>
    <row r="533" spans="1:38">
      <c r="A533" s="410">
        <v>5620</v>
      </c>
      <c r="B533" s="407"/>
      <c r="C533" s="408"/>
      <c r="D533" s="410" t="s">
        <v>2104</v>
      </c>
      <c r="E533" s="410" t="s">
        <v>1433</v>
      </c>
      <c r="F533" s="410" t="s">
        <v>1476</v>
      </c>
      <c r="G533" s="68" t="str">
        <f t="shared" si="41"/>
        <v>DUAL</v>
      </c>
      <c r="H533" s="197">
        <f t="shared" si="40"/>
        <v>17</v>
      </c>
      <c r="I533" s="408">
        <f t="shared" si="43"/>
        <v>4</v>
      </c>
      <c r="J533" s="408">
        <f t="shared" si="44"/>
        <v>24</v>
      </c>
      <c r="K533" s="411">
        <v>45771</v>
      </c>
      <c r="L533" s="408"/>
      <c r="M533" s="408"/>
      <c r="N533" s="3" t="str">
        <f t="shared" si="42"/>
        <v/>
      </c>
      <c r="O533" s="408"/>
      <c r="P533" s="408"/>
      <c r="Q533" s="408"/>
      <c r="R533" s="408"/>
      <c r="S533" s="408"/>
      <c r="T533" s="408"/>
      <c r="U533" s="408"/>
      <c r="V533" s="421"/>
      <c r="W533" s="421"/>
      <c r="X533" s="421"/>
      <c r="Y533" s="421"/>
      <c r="Z533" s="421"/>
      <c r="AA533" s="421"/>
      <c r="AB533" s="421"/>
      <c r="AC533" s="421"/>
      <c r="AD533" s="421"/>
      <c r="AE533" s="421"/>
      <c r="AF533" s="421"/>
      <c r="AG533" s="421"/>
      <c r="AH533" s="421"/>
      <c r="AI533" s="421"/>
      <c r="AJ533" s="421"/>
      <c r="AK533" s="421"/>
      <c r="AL533" s="421"/>
    </row>
    <row r="534" spans="1:38">
      <c r="A534" s="410">
        <v>5620</v>
      </c>
      <c r="B534" s="407"/>
      <c r="C534" s="408"/>
      <c r="D534" s="410" t="s">
        <v>2105</v>
      </c>
      <c r="E534" s="410" t="s">
        <v>1433</v>
      </c>
      <c r="F534" s="410" t="s">
        <v>1476</v>
      </c>
      <c r="G534" s="68" t="str">
        <f t="shared" si="41"/>
        <v>DUAL</v>
      </c>
      <c r="H534" s="197">
        <f t="shared" si="40"/>
        <v>17</v>
      </c>
      <c r="I534" s="408">
        <f t="shared" si="43"/>
        <v>4</v>
      </c>
      <c r="J534" s="408">
        <f t="shared" si="44"/>
        <v>24</v>
      </c>
      <c r="K534" s="411">
        <v>45771</v>
      </c>
      <c r="L534" s="408"/>
      <c r="M534" s="408"/>
      <c r="N534" s="3" t="str">
        <f t="shared" si="42"/>
        <v/>
      </c>
      <c r="O534" s="408"/>
      <c r="P534" s="408"/>
      <c r="Q534" s="408"/>
      <c r="R534" s="408"/>
      <c r="S534" s="408"/>
      <c r="T534" s="408"/>
      <c r="U534" s="408"/>
      <c r="V534" s="421"/>
      <c r="W534" s="421"/>
      <c r="X534" s="421"/>
      <c r="Y534" s="421"/>
      <c r="Z534" s="421"/>
      <c r="AA534" s="421"/>
      <c r="AB534" s="421"/>
      <c r="AC534" s="421"/>
      <c r="AD534" s="421"/>
      <c r="AE534" s="421"/>
      <c r="AF534" s="421"/>
      <c r="AG534" s="421"/>
      <c r="AH534" s="421"/>
      <c r="AI534" s="421"/>
      <c r="AJ534" s="421"/>
      <c r="AK534" s="421"/>
      <c r="AL534" s="421"/>
    </row>
    <row r="535" spans="1:38">
      <c r="A535" s="410">
        <v>5570</v>
      </c>
      <c r="B535" s="407"/>
      <c r="C535" s="408"/>
      <c r="D535" s="410" t="s">
        <v>2106</v>
      </c>
      <c r="E535" s="410" t="s">
        <v>1414</v>
      </c>
      <c r="F535" s="410" t="s">
        <v>1476</v>
      </c>
      <c r="G535" s="68" t="str">
        <f t="shared" si="41"/>
        <v>DUAL</v>
      </c>
      <c r="H535" s="197">
        <f t="shared" si="40"/>
        <v>17</v>
      </c>
      <c r="I535" s="408">
        <f t="shared" si="43"/>
        <v>4</v>
      </c>
      <c r="J535" s="408">
        <f t="shared" si="44"/>
        <v>24</v>
      </c>
      <c r="K535" s="411">
        <v>45771</v>
      </c>
      <c r="L535" s="408"/>
      <c r="M535" s="408"/>
      <c r="N535" s="3" t="str">
        <f t="shared" si="42"/>
        <v/>
      </c>
      <c r="O535" s="408"/>
      <c r="P535" s="408"/>
      <c r="Q535" s="408"/>
      <c r="R535" s="408"/>
      <c r="S535" s="408"/>
      <c r="T535" s="408"/>
      <c r="U535" s="408"/>
      <c r="V535" s="421"/>
      <c r="W535" s="421"/>
      <c r="X535" s="421"/>
      <c r="Y535" s="421"/>
      <c r="Z535" s="421"/>
      <c r="AA535" s="421"/>
      <c r="AB535" s="421"/>
      <c r="AC535" s="421"/>
      <c r="AD535" s="421"/>
      <c r="AE535" s="421"/>
      <c r="AF535" s="421"/>
      <c r="AG535" s="421"/>
      <c r="AH535" s="421"/>
      <c r="AI535" s="421"/>
      <c r="AJ535" s="421"/>
      <c r="AK535" s="421"/>
      <c r="AL535" s="421"/>
    </row>
    <row r="536" spans="1:38">
      <c r="A536" s="410">
        <v>5570</v>
      </c>
      <c r="B536" s="407"/>
      <c r="C536" s="408"/>
      <c r="D536" s="410" t="s">
        <v>2107</v>
      </c>
      <c r="E536" s="410" t="s">
        <v>1414</v>
      </c>
      <c r="F536" s="410" t="s">
        <v>1476</v>
      </c>
      <c r="G536" s="68" t="str">
        <f t="shared" si="41"/>
        <v>DUAL</v>
      </c>
      <c r="H536" s="197">
        <f t="shared" si="40"/>
        <v>17</v>
      </c>
      <c r="I536" s="408">
        <f t="shared" si="43"/>
        <v>4</v>
      </c>
      <c r="J536" s="408">
        <f t="shared" si="44"/>
        <v>24</v>
      </c>
      <c r="K536" s="411">
        <v>45771</v>
      </c>
      <c r="L536" s="408"/>
      <c r="M536" s="408"/>
      <c r="N536" s="3" t="str">
        <f t="shared" si="42"/>
        <v/>
      </c>
      <c r="O536" s="408"/>
      <c r="P536" s="408"/>
      <c r="Q536" s="408"/>
      <c r="R536" s="408"/>
      <c r="S536" s="408"/>
      <c r="T536" s="408"/>
      <c r="U536" s="408"/>
      <c r="V536" s="421"/>
      <c r="W536" s="421"/>
      <c r="X536" s="421"/>
      <c r="Y536" s="421"/>
      <c r="Z536" s="421"/>
      <c r="AA536" s="421"/>
      <c r="AB536" s="421"/>
      <c r="AC536" s="421"/>
      <c r="AD536" s="421"/>
      <c r="AE536" s="421"/>
      <c r="AF536" s="421"/>
      <c r="AG536" s="421"/>
      <c r="AH536" s="421"/>
      <c r="AI536" s="421"/>
      <c r="AJ536" s="421"/>
      <c r="AK536" s="421"/>
      <c r="AL536" s="421"/>
    </row>
    <row r="537" spans="1:38">
      <c r="A537" s="410">
        <v>5575</v>
      </c>
      <c r="B537" s="407"/>
      <c r="C537" s="408"/>
      <c r="D537" s="410" t="s">
        <v>2108</v>
      </c>
      <c r="E537" s="410" t="s">
        <v>1426</v>
      </c>
      <c r="F537" s="410" t="s">
        <v>1476</v>
      </c>
      <c r="G537" s="68" t="str">
        <f t="shared" si="41"/>
        <v>DUAL</v>
      </c>
      <c r="H537" s="197">
        <f t="shared" si="40"/>
        <v>17</v>
      </c>
      <c r="I537" s="408">
        <f t="shared" si="43"/>
        <v>4</v>
      </c>
      <c r="J537" s="408">
        <f t="shared" si="44"/>
        <v>24</v>
      </c>
      <c r="K537" s="411">
        <v>45771</v>
      </c>
      <c r="L537" s="408"/>
      <c r="M537" s="408"/>
      <c r="N537" s="3" t="str">
        <f t="shared" si="42"/>
        <v/>
      </c>
      <c r="O537" s="408"/>
      <c r="P537" s="408"/>
      <c r="Q537" s="408"/>
      <c r="R537" s="408"/>
      <c r="S537" s="408"/>
      <c r="T537" s="408"/>
      <c r="U537" s="408"/>
      <c r="V537" s="421"/>
      <c r="W537" s="421"/>
      <c r="X537" s="421"/>
      <c r="Y537" s="421"/>
      <c r="Z537" s="421"/>
      <c r="AA537" s="421"/>
      <c r="AB537" s="421"/>
      <c r="AC537" s="421"/>
      <c r="AD537" s="421"/>
      <c r="AE537" s="421"/>
      <c r="AF537" s="421"/>
      <c r="AG537" s="421"/>
      <c r="AH537" s="421"/>
      <c r="AI537" s="421"/>
      <c r="AJ537" s="421"/>
      <c r="AK537" s="421"/>
      <c r="AL537" s="421"/>
    </row>
    <row r="538" spans="1:38">
      <c r="A538" s="410">
        <v>5575</v>
      </c>
      <c r="B538" s="407"/>
      <c r="C538" s="408"/>
      <c r="D538" s="410" t="s">
        <v>2109</v>
      </c>
      <c r="E538" s="410" t="s">
        <v>1426</v>
      </c>
      <c r="F538" s="410" t="s">
        <v>1476</v>
      </c>
      <c r="G538" s="68" t="str">
        <f t="shared" si="41"/>
        <v>DUAL</v>
      </c>
      <c r="H538" s="197">
        <f t="shared" si="40"/>
        <v>17</v>
      </c>
      <c r="I538" s="408">
        <f t="shared" si="43"/>
        <v>4</v>
      </c>
      <c r="J538" s="408">
        <f t="shared" si="44"/>
        <v>24</v>
      </c>
      <c r="K538" s="411">
        <v>45771</v>
      </c>
      <c r="L538" s="408"/>
      <c r="M538" s="408"/>
      <c r="N538" s="3" t="str">
        <f t="shared" si="42"/>
        <v/>
      </c>
      <c r="O538" s="408"/>
      <c r="P538" s="408"/>
      <c r="Q538" s="408"/>
      <c r="R538" s="408"/>
      <c r="S538" s="408"/>
      <c r="T538" s="408"/>
      <c r="U538" s="408"/>
      <c r="V538" s="421"/>
      <c r="W538" s="421"/>
      <c r="X538" s="421"/>
      <c r="Y538" s="421"/>
      <c r="Z538" s="421"/>
      <c r="AA538" s="421"/>
      <c r="AB538" s="421"/>
      <c r="AC538" s="421"/>
      <c r="AD538" s="421"/>
      <c r="AE538" s="421"/>
      <c r="AF538" s="421"/>
      <c r="AG538" s="421"/>
      <c r="AH538" s="421"/>
      <c r="AI538" s="421"/>
      <c r="AJ538" s="421"/>
      <c r="AK538" s="421"/>
      <c r="AL538" s="421"/>
    </row>
    <row r="539" spans="1:38">
      <c r="A539" s="410">
        <v>5614</v>
      </c>
      <c r="B539" s="407"/>
      <c r="C539" s="408"/>
      <c r="D539" s="410" t="s">
        <v>2110</v>
      </c>
      <c r="E539" s="410" t="s">
        <v>1405</v>
      </c>
      <c r="F539" s="410" t="s">
        <v>1480</v>
      </c>
      <c r="G539" s="68" t="str">
        <f t="shared" si="41"/>
        <v>DUAL</v>
      </c>
      <c r="H539" s="197">
        <f t="shared" si="40"/>
        <v>17</v>
      </c>
      <c r="I539" s="408">
        <f t="shared" si="43"/>
        <v>4</v>
      </c>
      <c r="J539" s="408">
        <f t="shared" si="44"/>
        <v>25</v>
      </c>
      <c r="K539" s="411">
        <v>45772</v>
      </c>
      <c r="L539" s="408"/>
      <c r="M539" s="408"/>
      <c r="N539" s="3" t="str">
        <f t="shared" si="42"/>
        <v/>
      </c>
      <c r="O539" s="408"/>
      <c r="P539" s="408"/>
      <c r="Q539" s="408"/>
      <c r="R539" s="408"/>
      <c r="S539" s="408"/>
      <c r="T539" s="408"/>
      <c r="U539" s="408"/>
      <c r="V539" s="421"/>
      <c r="W539" s="421"/>
      <c r="X539" s="421"/>
      <c r="Y539" s="421"/>
      <c r="Z539" s="421"/>
      <c r="AA539" s="421"/>
      <c r="AB539" s="421"/>
      <c r="AC539" s="421"/>
      <c r="AD539" s="421"/>
      <c r="AE539" s="421"/>
      <c r="AF539" s="421"/>
      <c r="AG539" s="421"/>
      <c r="AH539" s="421"/>
      <c r="AI539" s="421"/>
      <c r="AJ539" s="421"/>
      <c r="AK539" s="421"/>
      <c r="AL539" s="421"/>
    </row>
    <row r="540" spans="1:38">
      <c r="A540" s="410">
        <v>5620</v>
      </c>
      <c r="B540" s="407"/>
      <c r="C540" s="408"/>
      <c r="D540" s="410" t="s">
        <v>2111</v>
      </c>
      <c r="E540" s="410" t="s">
        <v>1433</v>
      </c>
      <c r="F540" s="410" t="s">
        <v>1476</v>
      </c>
      <c r="G540" s="68" t="str">
        <f t="shared" si="41"/>
        <v>DUAL</v>
      </c>
      <c r="H540" s="197">
        <f t="shared" si="40"/>
        <v>17</v>
      </c>
      <c r="I540" s="408">
        <f t="shared" si="43"/>
        <v>4</v>
      </c>
      <c r="J540" s="408">
        <f t="shared" si="44"/>
        <v>25</v>
      </c>
      <c r="K540" s="411">
        <v>45772</v>
      </c>
      <c r="L540" s="408"/>
      <c r="M540" s="408"/>
      <c r="N540" s="3" t="str">
        <f t="shared" si="42"/>
        <v/>
      </c>
      <c r="O540" s="408"/>
      <c r="P540" s="408"/>
      <c r="Q540" s="408"/>
      <c r="R540" s="408"/>
      <c r="S540" s="408"/>
      <c r="T540" s="408"/>
      <c r="U540" s="408"/>
      <c r="V540" s="421"/>
      <c r="W540" s="421"/>
      <c r="X540" s="421"/>
      <c r="Y540" s="421"/>
      <c r="Z540" s="421"/>
      <c r="AA540" s="421"/>
      <c r="AB540" s="421"/>
      <c r="AC540" s="421"/>
      <c r="AD540" s="421"/>
      <c r="AE540" s="421"/>
      <c r="AF540" s="421"/>
      <c r="AG540" s="421"/>
      <c r="AH540" s="421"/>
      <c r="AI540" s="421"/>
      <c r="AJ540" s="421"/>
      <c r="AK540" s="421"/>
      <c r="AL540" s="421"/>
    </row>
    <row r="541" spans="1:38">
      <c r="A541" s="410">
        <v>5620</v>
      </c>
      <c r="B541" s="407"/>
      <c r="C541" s="408"/>
      <c r="D541" s="410" t="s">
        <v>2112</v>
      </c>
      <c r="E541" s="410" t="s">
        <v>1433</v>
      </c>
      <c r="F541" s="410" t="s">
        <v>1476</v>
      </c>
      <c r="G541" s="68" t="str">
        <f t="shared" si="41"/>
        <v>DUAL</v>
      </c>
      <c r="H541" s="197">
        <f t="shared" si="40"/>
        <v>17</v>
      </c>
      <c r="I541" s="408">
        <f t="shared" si="43"/>
        <v>4</v>
      </c>
      <c r="J541" s="408">
        <f t="shared" si="44"/>
        <v>25</v>
      </c>
      <c r="K541" s="411">
        <v>45772</v>
      </c>
      <c r="L541" s="408"/>
      <c r="M541" s="408"/>
      <c r="N541" s="3" t="str">
        <f t="shared" si="42"/>
        <v/>
      </c>
      <c r="O541" s="408"/>
      <c r="P541" s="408"/>
      <c r="Q541" s="408"/>
      <c r="R541" s="408"/>
      <c r="S541" s="408"/>
      <c r="T541" s="408"/>
      <c r="U541" s="408"/>
      <c r="V541" s="421"/>
      <c r="W541" s="421"/>
      <c r="X541" s="421"/>
      <c r="Y541" s="421"/>
      <c r="Z541" s="421"/>
      <c r="AA541" s="421"/>
      <c r="AB541" s="421"/>
      <c r="AC541" s="421"/>
      <c r="AD541" s="421"/>
      <c r="AE541" s="421"/>
      <c r="AF541" s="421"/>
      <c r="AG541" s="421"/>
      <c r="AH541" s="421"/>
      <c r="AI541" s="421"/>
      <c r="AJ541" s="421"/>
      <c r="AK541" s="421"/>
      <c r="AL541" s="421"/>
    </row>
    <row r="542" spans="1:38">
      <c r="A542" s="410">
        <v>5620</v>
      </c>
      <c r="B542" s="407"/>
      <c r="C542" s="408"/>
      <c r="D542" s="410" t="s">
        <v>2113</v>
      </c>
      <c r="E542" s="410" t="s">
        <v>1433</v>
      </c>
      <c r="F542" s="410" t="s">
        <v>1476</v>
      </c>
      <c r="G542" s="68" t="str">
        <f t="shared" si="41"/>
        <v>DUAL</v>
      </c>
      <c r="H542" s="197">
        <f t="shared" si="40"/>
        <v>17</v>
      </c>
      <c r="I542" s="408">
        <f t="shared" si="43"/>
        <v>4</v>
      </c>
      <c r="J542" s="408">
        <f t="shared" si="44"/>
        <v>25</v>
      </c>
      <c r="K542" s="411">
        <v>45772</v>
      </c>
      <c r="L542" s="408"/>
      <c r="M542" s="408"/>
      <c r="N542" s="3" t="str">
        <f t="shared" si="42"/>
        <v/>
      </c>
      <c r="O542" s="408"/>
      <c r="P542" s="408"/>
      <c r="Q542" s="408"/>
      <c r="R542" s="408"/>
      <c r="S542" s="408"/>
      <c r="T542" s="408"/>
      <c r="U542" s="408"/>
      <c r="V542" s="421"/>
      <c r="W542" s="421"/>
      <c r="X542" s="421"/>
      <c r="Y542" s="421"/>
      <c r="Z542" s="421"/>
      <c r="AA542" s="421"/>
      <c r="AB542" s="421"/>
      <c r="AC542" s="421"/>
      <c r="AD542" s="421"/>
      <c r="AE542" s="421"/>
      <c r="AF542" s="421"/>
      <c r="AG542" s="421"/>
      <c r="AH542" s="421"/>
      <c r="AI542" s="421"/>
      <c r="AJ542" s="421"/>
      <c r="AK542" s="421"/>
      <c r="AL542" s="421"/>
    </row>
    <row r="543" spans="1:38">
      <c r="A543" s="410">
        <v>5578</v>
      </c>
      <c r="B543" s="407"/>
      <c r="C543" s="408"/>
      <c r="D543" s="410" t="s">
        <v>2114</v>
      </c>
      <c r="E543" s="410" t="s">
        <v>1426</v>
      </c>
      <c r="F543" s="410" t="s">
        <v>1476</v>
      </c>
      <c r="G543" s="68" t="str">
        <f t="shared" si="41"/>
        <v>DUAL</v>
      </c>
      <c r="H543" s="197">
        <f t="shared" si="40"/>
        <v>17</v>
      </c>
      <c r="I543" s="408">
        <f t="shared" si="43"/>
        <v>4</v>
      </c>
      <c r="J543" s="408">
        <f t="shared" si="44"/>
        <v>25</v>
      </c>
      <c r="K543" s="411">
        <v>45772</v>
      </c>
      <c r="L543" s="408"/>
      <c r="M543" s="408"/>
      <c r="N543" s="3" t="str">
        <f t="shared" si="42"/>
        <v/>
      </c>
      <c r="O543" s="408"/>
      <c r="P543" s="408"/>
      <c r="Q543" s="408"/>
      <c r="R543" s="408"/>
      <c r="S543" s="408"/>
      <c r="T543" s="408"/>
      <c r="U543" s="408"/>
      <c r="V543" s="421"/>
      <c r="W543" s="421"/>
      <c r="X543" s="421"/>
      <c r="Y543" s="421"/>
      <c r="Z543" s="421"/>
      <c r="AA543" s="421"/>
      <c r="AB543" s="421"/>
      <c r="AC543" s="421"/>
      <c r="AD543" s="421"/>
      <c r="AE543" s="421"/>
      <c r="AF543" s="421"/>
      <c r="AG543" s="421"/>
      <c r="AH543" s="421"/>
      <c r="AI543" s="421"/>
      <c r="AJ543" s="421"/>
      <c r="AK543" s="421"/>
      <c r="AL543" s="421"/>
    </row>
    <row r="544" spans="1:38" s="180" customFormat="1">
      <c r="A544" s="412">
        <v>5589</v>
      </c>
      <c r="B544" s="413"/>
      <c r="C544" s="414"/>
      <c r="D544" s="412" t="s">
        <v>2115</v>
      </c>
      <c r="E544" s="412" t="s">
        <v>1405</v>
      </c>
      <c r="F544" s="412" t="s">
        <v>1591</v>
      </c>
      <c r="G544" s="68" t="str">
        <f t="shared" si="41"/>
        <v>SINGLE</v>
      </c>
      <c r="H544" s="197">
        <f t="shared" si="40"/>
        <v>17</v>
      </c>
      <c r="I544" s="414">
        <f t="shared" si="43"/>
        <v>4</v>
      </c>
      <c r="J544" s="414">
        <f t="shared" si="44"/>
        <v>25</v>
      </c>
      <c r="K544" s="415">
        <v>45772</v>
      </c>
      <c r="L544" s="414"/>
      <c r="M544" s="414"/>
      <c r="N544" s="3" t="str">
        <f t="shared" si="42"/>
        <v/>
      </c>
      <c r="O544" s="414"/>
      <c r="P544" s="414"/>
      <c r="Q544" s="414"/>
      <c r="R544" s="414"/>
      <c r="S544" s="414"/>
      <c r="T544" s="414"/>
      <c r="U544" s="414"/>
      <c r="V544" s="419"/>
      <c r="W544" s="419"/>
      <c r="X544" s="419"/>
      <c r="Y544" s="419"/>
      <c r="Z544" s="419"/>
      <c r="AA544" s="419"/>
      <c r="AB544" s="419"/>
      <c r="AC544" s="419"/>
      <c r="AD544" s="419"/>
      <c r="AE544" s="419"/>
      <c r="AF544" s="419"/>
      <c r="AG544" s="419"/>
      <c r="AH544" s="419"/>
      <c r="AI544" s="419"/>
      <c r="AJ544" s="419"/>
      <c r="AK544" s="419"/>
      <c r="AL544" s="419"/>
    </row>
    <row r="545" spans="1:38">
      <c r="A545" s="410">
        <v>5572</v>
      </c>
      <c r="B545" s="407"/>
      <c r="C545" s="408"/>
      <c r="D545" s="410" t="s">
        <v>2116</v>
      </c>
      <c r="E545" s="410" t="s">
        <v>1426</v>
      </c>
      <c r="F545" s="410" t="s">
        <v>1476</v>
      </c>
      <c r="G545" s="68" t="str">
        <f t="shared" si="41"/>
        <v>DUAL</v>
      </c>
      <c r="H545" s="197">
        <f t="shared" si="40"/>
        <v>17</v>
      </c>
      <c r="I545" s="408">
        <f t="shared" si="43"/>
        <v>4</v>
      </c>
      <c r="J545" s="408">
        <f t="shared" si="44"/>
        <v>25</v>
      </c>
      <c r="K545" s="411">
        <v>45772</v>
      </c>
      <c r="L545" s="408"/>
      <c r="M545" s="408"/>
      <c r="N545" s="3" t="str">
        <f t="shared" si="42"/>
        <v/>
      </c>
      <c r="O545" s="408"/>
      <c r="P545" s="408"/>
      <c r="Q545" s="408"/>
      <c r="R545" s="408"/>
      <c r="S545" s="408"/>
      <c r="T545" s="408"/>
      <c r="U545" s="408"/>
      <c r="V545" s="421"/>
      <c r="W545" s="421"/>
      <c r="X545" s="421"/>
      <c r="Y545" s="421"/>
      <c r="Z545" s="421"/>
      <c r="AA545" s="421"/>
      <c r="AB545" s="421"/>
      <c r="AC545" s="421"/>
      <c r="AD545" s="421"/>
      <c r="AE545" s="421"/>
      <c r="AF545" s="421"/>
      <c r="AG545" s="421"/>
      <c r="AH545" s="421"/>
      <c r="AI545" s="421"/>
      <c r="AJ545" s="421"/>
      <c r="AK545" s="421"/>
      <c r="AL545" s="421"/>
    </row>
    <row r="546" spans="1:38">
      <c r="A546" s="410">
        <v>5545</v>
      </c>
      <c r="B546" s="407"/>
      <c r="C546" s="408"/>
      <c r="D546" s="410" t="s">
        <v>2117</v>
      </c>
      <c r="E546" s="410" t="s">
        <v>1585</v>
      </c>
      <c r="F546" s="410" t="s">
        <v>1476</v>
      </c>
      <c r="G546" s="68" t="str">
        <f t="shared" si="41"/>
        <v>DUAL</v>
      </c>
      <c r="H546" s="197">
        <f t="shared" si="40"/>
        <v>18</v>
      </c>
      <c r="I546" s="408">
        <f t="shared" si="43"/>
        <v>4</v>
      </c>
      <c r="J546" s="408">
        <f t="shared" si="44"/>
        <v>28</v>
      </c>
      <c r="K546" s="411">
        <v>45775</v>
      </c>
      <c r="L546" s="408"/>
      <c r="M546" s="408"/>
      <c r="N546" s="3" t="str">
        <f t="shared" si="42"/>
        <v/>
      </c>
      <c r="O546" s="408"/>
      <c r="P546" s="408"/>
      <c r="Q546" s="408"/>
      <c r="R546" s="408"/>
      <c r="S546" s="408"/>
      <c r="T546" s="408"/>
      <c r="U546" s="408"/>
      <c r="V546" s="421"/>
      <c r="W546" s="421"/>
      <c r="X546" s="421"/>
      <c r="Y546" s="421"/>
      <c r="Z546" s="421"/>
      <c r="AA546" s="421"/>
      <c r="AB546" s="421"/>
      <c r="AC546" s="421"/>
      <c r="AD546" s="421"/>
      <c r="AE546" s="421"/>
      <c r="AF546" s="421"/>
      <c r="AG546" s="421"/>
      <c r="AH546" s="421"/>
      <c r="AI546" s="421"/>
      <c r="AJ546" s="421"/>
      <c r="AK546" s="421"/>
      <c r="AL546" s="421"/>
    </row>
    <row r="547" spans="1:38">
      <c r="A547" s="410">
        <v>5548</v>
      </c>
      <c r="B547" s="407"/>
      <c r="C547" s="408"/>
      <c r="D547" s="410" t="s">
        <v>2118</v>
      </c>
      <c r="E547" s="410" t="s">
        <v>1585</v>
      </c>
      <c r="F547" s="410" t="s">
        <v>1476</v>
      </c>
      <c r="G547" s="68" t="str">
        <f t="shared" si="41"/>
        <v>DUAL</v>
      </c>
      <c r="H547" s="197">
        <f t="shared" si="40"/>
        <v>18</v>
      </c>
      <c r="I547" s="408">
        <f t="shared" si="43"/>
        <v>4</v>
      </c>
      <c r="J547" s="408">
        <f t="shared" si="44"/>
        <v>28</v>
      </c>
      <c r="K547" s="411">
        <v>45775</v>
      </c>
      <c r="L547" s="408"/>
      <c r="M547" s="408"/>
      <c r="N547" s="3" t="str">
        <f t="shared" si="42"/>
        <v/>
      </c>
      <c r="O547" s="408"/>
      <c r="P547" s="408"/>
      <c r="Q547" s="408"/>
      <c r="R547" s="408"/>
      <c r="S547" s="408"/>
      <c r="T547" s="408"/>
      <c r="U547" s="408"/>
      <c r="V547" s="421"/>
      <c r="W547" s="421"/>
      <c r="X547" s="421"/>
      <c r="Y547" s="421"/>
      <c r="Z547" s="421"/>
      <c r="AA547" s="421"/>
      <c r="AB547" s="421"/>
      <c r="AC547" s="421"/>
      <c r="AD547" s="421"/>
      <c r="AE547" s="421"/>
      <c r="AF547" s="421"/>
      <c r="AG547" s="421"/>
      <c r="AH547" s="421"/>
      <c r="AI547" s="421"/>
      <c r="AJ547" s="421"/>
      <c r="AK547" s="421"/>
      <c r="AL547" s="421"/>
    </row>
    <row r="548" spans="1:38">
      <c r="A548" s="410">
        <v>5577</v>
      </c>
      <c r="B548" s="407"/>
      <c r="C548" s="408"/>
      <c r="D548" s="410" t="s">
        <v>2119</v>
      </c>
      <c r="E548" s="410" t="s">
        <v>1426</v>
      </c>
      <c r="F548" s="410" t="s">
        <v>1476</v>
      </c>
      <c r="G548" s="68" t="str">
        <f t="shared" si="41"/>
        <v>DUAL</v>
      </c>
      <c r="H548" s="197">
        <f t="shared" si="40"/>
        <v>18</v>
      </c>
      <c r="I548" s="408">
        <f t="shared" si="43"/>
        <v>4</v>
      </c>
      <c r="J548" s="408">
        <f t="shared" si="44"/>
        <v>28</v>
      </c>
      <c r="K548" s="411">
        <v>45775</v>
      </c>
      <c r="L548" s="408"/>
      <c r="M548" s="408"/>
      <c r="N548" s="3" t="str">
        <f t="shared" si="42"/>
        <v/>
      </c>
      <c r="O548" s="408"/>
      <c r="P548" s="408"/>
      <c r="Q548" s="408"/>
      <c r="R548" s="408"/>
      <c r="S548" s="408"/>
      <c r="T548" s="408"/>
      <c r="U548" s="408"/>
      <c r="V548" s="421"/>
      <c r="W548" s="421"/>
      <c r="X548" s="421"/>
      <c r="Y548" s="421"/>
      <c r="Z548" s="421"/>
      <c r="AA548" s="421"/>
      <c r="AB548" s="421"/>
      <c r="AC548" s="421"/>
      <c r="AD548" s="421"/>
      <c r="AE548" s="421"/>
      <c r="AF548" s="421"/>
      <c r="AG548" s="421"/>
      <c r="AH548" s="421"/>
      <c r="AI548" s="421"/>
      <c r="AJ548" s="421"/>
      <c r="AK548" s="421"/>
      <c r="AL548" s="421"/>
    </row>
    <row r="549" spans="1:38">
      <c r="A549" s="410">
        <v>5577</v>
      </c>
      <c r="B549" s="407"/>
      <c r="C549" s="408"/>
      <c r="D549" s="410" t="s">
        <v>2120</v>
      </c>
      <c r="E549" s="410" t="s">
        <v>1426</v>
      </c>
      <c r="F549" s="410" t="s">
        <v>1476</v>
      </c>
      <c r="G549" s="68" t="str">
        <f t="shared" si="41"/>
        <v>DUAL</v>
      </c>
      <c r="H549" s="197">
        <f t="shared" si="40"/>
        <v>18</v>
      </c>
      <c r="I549" s="408">
        <f t="shared" si="43"/>
        <v>4</v>
      </c>
      <c r="J549" s="408">
        <f t="shared" si="44"/>
        <v>28</v>
      </c>
      <c r="K549" s="411">
        <v>45775</v>
      </c>
      <c r="L549" s="408"/>
      <c r="M549" s="408"/>
      <c r="N549" s="3" t="str">
        <f t="shared" si="42"/>
        <v/>
      </c>
      <c r="O549" s="408"/>
      <c r="P549" s="408"/>
      <c r="Q549" s="408"/>
      <c r="R549" s="408"/>
      <c r="S549" s="408"/>
      <c r="T549" s="408"/>
      <c r="U549" s="408"/>
      <c r="V549" s="421"/>
      <c r="W549" s="421"/>
      <c r="X549" s="421"/>
      <c r="Y549" s="421"/>
      <c r="Z549" s="421"/>
      <c r="AA549" s="421"/>
      <c r="AB549" s="421"/>
      <c r="AC549" s="421"/>
      <c r="AD549" s="421"/>
      <c r="AE549" s="421"/>
      <c r="AF549" s="421"/>
      <c r="AG549" s="421"/>
      <c r="AH549" s="421"/>
      <c r="AI549" s="421"/>
      <c r="AJ549" s="421"/>
      <c r="AK549" s="421"/>
      <c r="AL549" s="421"/>
    </row>
    <row r="550" spans="1:38">
      <c r="A550" s="410">
        <v>5590</v>
      </c>
      <c r="B550" s="407"/>
      <c r="C550" s="408"/>
      <c r="D550" s="410" t="s">
        <v>2121</v>
      </c>
      <c r="E550" s="410" t="s">
        <v>1405</v>
      </c>
      <c r="F550" s="410" t="s">
        <v>1581</v>
      </c>
      <c r="G550" s="68" t="str">
        <f t="shared" si="41"/>
        <v>DUAL</v>
      </c>
      <c r="H550" s="197">
        <f t="shared" si="40"/>
        <v>18</v>
      </c>
      <c r="I550" s="408">
        <f t="shared" si="43"/>
        <v>4</v>
      </c>
      <c r="J550" s="408">
        <f t="shared" si="44"/>
        <v>28</v>
      </c>
      <c r="K550" s="411">
        <v>45775</v>
      </c>
      <c r="L550" s="408"/>
      <c r="M550" s="408"/>
      <c r="N550" s="3" t="str">
        <f t="shared" si="42"/>
        <v/>
      </c>
      <c r="O550" s="408"/>
      <c r="P550" s="408"/>
      <c r="Q550" s="408"/>
      <c r="R550" s="408"/>
      <c r="S550" s="408"/>
      <c r="T550" s="408"/>
      <c r="U550" s="408"/>
      <c r="V550" s="421"/>
      <c r="W550" s="421"/>
      <c r="X550" s="421"/>
      <c r="Y550" s="421"/>
      <c r="Z550" s="421"/>
      <c r="AA550" s="421"/>
      <c r="AB550" s="421"/>
      <c r="AC550" s="421"/>
      <c r="AD550" s="421"/>
      <c r="AE550" s="421"/>
      <c r="AF550" s="421"/>
      <c r="AG550" s="421"/>
      <c r="AH550" s="421"/>
      <c r="AI550" s="421"/>
      <c r="AJ550" s="421"/>
      <c r="AK550" s="421"/>
      <c r="AL550" s="421"/>
    </row>
    <row r="551" spans="1:38">
      <c r="A551" s="410">
        <v>5590</v>
      </c>
      <c r="B551" s="407"/>
      <c r="C551" s="408"/>
      <c r="D551" s="410" t="s">
        <v>2122</v>
      </c>
      <c r="E551" s="410" t="s">
        <v>1405</v>
      </c>
      <c r="F551" s="410" t="s">
        <v>1581</v>
      </c>
      <c r="G551" s="68" t="str">
        <f t="shared" si="41"/>
        <v>DUAL</v>
      </c>
      <c r="H551" s="197">
        <f t="shared" si="40"/>
        <v>18</v>
      </c>
      <c r="I551" s="408">
        <f t="shared" si="43"/>
        <v>4</v>
      </c>
      <c r="J551" s="408">
        <f t="shared" si="44"/>
        <v>28</v>
      </c>
      <c r="K551" s="411">
        <v>45775</v>
      </c>
      <c r="L551" s="408"/>
      <c r="M551" s="408"/>
      <c r="N551" s="3" t="str">
        <f t="shared" si="42"/>
        <v/>
      </c>
      <c r="O551" s="408"/>
      <c r="P551" s="408"/>
      <c r="Q551" s="408"/>
      <c r="R551" s="408"/>
      <c r="S551" s="408"/>
      <c r="T551" s="408"/>
      <c r="U551" s="408"/>
      <c r="V551" s="421"/>
      <c r="W551" s="421"/>
      <c r="X551" s="421"/>
      <c r="Y551" s="421"/>
      <c r="Z551" s="421"/>
      <c r="AA551" s="421"/>
      <c r="AB551" s="421"/>
      <c r="AC551" s="421"/>
      <c r="AD551" s="421"/>
      <c r="AE551" s="421"/>
      <c r="AF551" s="421"/>
      <c r="AG551" s="421"/>
      <c r="AH551" s="421"/>
      <c r="AI551" s="421"/>
      <c r="AJ551" s="421"/>
      <c r="AK551" s="421"/>
      <c r="AL551" s="421"/>
    </row>
    <row r="552" spans="1:38">
      <c r="A552" s="410">
        <v>5558</v>
      </c>
      <c r="B552" s="407"/>
      <c r="C552" s="408"/>
      <c r="D552" s="410" t="s">
        <v>2123</v>
      </c>
      <c r="E552" s="410" t="s">
        <v>1585</v>
      </c>
      <c r="F552" s="410" t="s">
        <v>1482</v>
      </c>
      <c r="G552" s="68" t="str">
        <f t="shared" si="41"/>
        <v>SINGLE</v>
      </c>
      <c r="H552" s="197">
        <f t="shared" si="40"/>
        <v>18</v>
      </c>
      <c r="I552" s="408">
        <f t="shared" si="43"/>
        <v>4</v>
      </c>
      <c r="J552" s="408">
        <f t="shared" si="44"/>
        <v>28</v>
      </c>
      <c r="K552" s="411">
        <v>45775</v>
      </c>
      <c r="L552" s="408"/>
      <c r="M552" s="408"/>
      <c r="N552" s="3" t="str">
        <f t="shared" si="42"/>
        <v/>
      </c>
      <c r="O552" s="408"/>
      <c r="P552" s="408"/>
      <c r="Q552" s="408"/>
      <c r="R552" s="408"/>
      <c r="S552" s="408"/>
      <c r="T552" s="408"/>
      <c r="U552" s="408"/>
      <c r="V552" s="421"/>
      <c r="W552" s="421"/>
      <c r="X552" s="421"/>
      <c r="Y552" s="421"/>
      <c r="Z552" s="421"/>
      <c r="AA552" s="421"/>
      <c r="AB552" s="421"/>
      <c r="AC552" s="421"/>
      <c r="AD552" s="421"/>
      <c r="AE552" s="421"/>
      <c r="AF552" s="421"/>
      <c r="AG552" s="421"/>
      <c r="AH552" s="421"/>
      <c r="AI552" s="421"/>
      <c r="AJ552" s="421"/>
      <c r="AK552" s="421"/>
      <c r="AL552" s="421"/>
    </row>
    <row r="553" spans="1:38">
      <c r="A553" s="410">
        <v>5589</v>
      </c>
      <c r="B553" s="407"/>
      <c r="C553" s="408"/>
      <c r="D553" s="410" t="s">
        <v>2124</v>
      </c>
      <c r="E553" s="410" t="s">
        <v>1405</v>
      </c>
      <c r="F553" s="410" t="s">
        <v>1591</v>
      </c>
      <c r="G553" s="68" t="str">
        <f t="shared" si="41"/>
        <v>SINGLE</v>
      </c>
      <c r="H553" s="197">
        <f t="shared" si="40"/>
        <v>18</v>
      </c>
      <c r="I553" s="408">
        <f t="shared" si="43"/>
        <v>4</v>
      </c>
      <c r="J553" s="408">
        <f t="shared" si="44"/>
        <v>28</v>
      </c>
      <c r="K553" s="411">
        <v>45775</v>
      </c>
      <c r="L553" s="408"/>
      <c r="M553" s="408"/>
      <c r="N553" s="3" t="str">
        <f t="shared" si="42"/>
        <v/>
      </c>
      <c r="O553" s="408"/>
      <c r="P553" s="408"/>
      <c r="Q553" s="408"/>
      <c r="R553" s="408"/>
      <c r="S553" s="408"/>
      <c r="T553" s="408"/>
      <c r="U553" s="408"/>
      <c r="V553" s="421"/>
      <c r="W553" s="421"/>
      <c r="X553" s="421"/>
      <c r="Y553" s="421"/>
      <c r="Z553" s="421"/>
      <c r="AA553" s="421"/>
      <c r="AB553" s="421"/>
      <c r="AC553" s="421"/>
      <c r="AD553" s="421"/>
      <c r="AE553" s="421"/>
      <c r="AF553" s="421"/>
      <c r="AG553" s="421"/>
      <c r="AH553" s="421"/>
      <c r="AI553" s="421"/>
      <c r="AJ553" s="421"/>
      <c r="AK553" s="421"/>
      <c r="AL553" s="421"/>
    </row>
    <row r="554" spans="1:38">
      <c r="A554" s="410">
        <v>5573</v>
      </c>
      <c r="B554" s="407"/>
      <c r="C554" s="408"/>
      <c r="D554" s="410" t="s">
        <v>2125</v>
      </c>
      <c r="E554" s="410" t="s">
        <v>1426</v>
      </c>
      <c r="F554" s="410" t="s">
        <v>1476</v>
      </c>
      <c r="G554" s="68" t="str">
        <f t="shared" si="41"/>
        <v>DUAL</v>
      </c>
      <c r="H554" s="197">
        <f t="shared" si="40"/>
        <v>18</v>
      </c>
      <c r="I554" s="408">
        <f t="shared" si="43"/>
        <v>4</v>
      </c>
      <c r="J554" s="408">
        <f t="shared" si="44"/>
        <v>29</v>
      </c>
      <c r="K554" s="411">
        <v>45776</v>
      </c>
      <c r="L554" s="408"/>
      <c r="M554" s="408"/>
      <c r="N554" s="3" t="str">
        <f t="shared" si="42"/>
        <v/>
      </c>
      <c r="O554" s="408"/>
      <c r="P554" s="408"/>
      <c r="Q554" s="408"/>
      <c r="R554" s="408"/>
      <c r="S554" s="408"/>
      <c r="T554" s="408"/>
      <c r="U554" s="408"/>
      <c r="V554" s="421"/>
      <c r="W554" s="421"/>
      <c r="X554" s="421"/>
      <c r="Y554" s="421"/>
      <c r="Z554" s="421"/>
      <c r="AA554" s="421"/>
      <c r="AB554" s="421"/>
      <c r="AC554" s="421"/>
      <c r="AD554" s="421"/>
      <c r="AE554" s="421"/>
      <c r="AF554" s="421"/>
      <c r="AG554" s="421"/>
      <c r="AH554" s="421"/>
      <c r="AI554" s="421"/>
      <c r="AJ554" s="421"/>
      <c r="AK554" s="421"/>
      <c r="AL554" s="421"/>
    </row>
    <row r="555" spans="1:38" s="180" customFormat="1">
      <c r="A555" s="412">
        <v>5589</v>
      </c>
      <c r="B555" s="413"/>
      <c r="C555" s="414"/>
      <c r="D555" s="412" t="s">
        <v>2115</v>
      </c>
      <c r="E555" s="412" t="s">
        <v>1405</v>
      </c>
      <c r="F555" s="412" t="s">
        <v>1591</v>
      </c>
      <c r="G555" s="68" t="str">
        <f t="shared" si="41"/>
        <v>SINGLE</v>
      </c>
      <c r="H555" s="197">
        <f t="shared" si="40"/>
        <v>18</v>
      </c>
      <c r="I555" s="414">
        <f t="shared" si="43"/>
        <v>4</v>
      </c>
      <c r="J555" s="414">
        <f t="shared" si="44"/>
        <v>29</v>
      </c>
      <c r="K555" s="415">
        <v>45776</v>
      </c>
      <c r="L555" s="414"/>
      <c r="M555" s="414"/>
      <c r="N555" s="3" t="str">
        <f t="shared" si="42"/>
        <v/>
      </c>
      <c r="O555" s="414"/>
      <c r="P555" s="414"/>
      <c r="Q555" s="414"/>
      <c r="R555" s="414"/>
      <c r="S555" s="414"/>
      <c r="T555" s="414"/>
      <c r="U555" s="414"/>
      <c r="V555" s="419"/>
      <c r="W555" s="419"/>
      <c r="X555" s="419"/>
      <c r="Y555" s="419"/>
      <c r="Z555" s="419"/>
      <c r="AA555" s="419"/>
      <c r="AB555" s="419"/>
      <c r="AC555" s="419"/>
      <c r="AD555" s="419"/>
      <c r="AE555" s="419"/>
      <c r="AF555" s="419"/>
      <c r="AG555" s="419"/>
      <c r="AH555" s="419"/>
      <c r="AI555" s="419"/>
      <c r="AJ555" s="419"/>
      <c r="AK555" s="419"/>
      <c r="AL555" s="419"/>
    </row>
    <row r="556" spans="1:38">
      <c r="A556" s="410">
        <v>5498</v>
      </c>
      <c r="B556" s="407"/>
      <c r="C556" s="408"/>
      <c r="D556" s="410" t="s">
        <v>2126</v>
      </c>
      <c r="E556" s="410" t="s">
        <v>1405</v>
      </c>
      <c r="F556" s="410" t="s">
        <v>1476</v>
      </c>
      <c r="G556" s="68" t="str">
        <f t="shared" si="41"/>
        <v>DUAL</v>
      </c>
      <c r="H556" s="197">
        <f t="shared" si="40"/>
        <v>18</v>
      </c>
      <c r="I556" s="408">
        <f t="shared" si="43"/>
        <v>4</v>
      </c>
      <c r="J556" s="408">
        <f t="shared" si="44"/>
        <v>29</v>
      </c>
      <c r="K556" s="411">
        <v>45776</v>
      </c>
      <c r="L556" s="408"/>
      <c r="M556" s="408"/>
      <c r="N556" s="3" t="str">
        <f t="shared" si="42"/>
        <v/>
      </c>
      <c r="O556" s="408"/>
      <c r="P556" s="408"/>
      <c r="Q556" s="408"/>
      <c r="R556" s="408"/>
      <c r="S556" s="408"/>
      <c r="T556" s="408"/>
      <c r="U556" s="408"/>
      <c r="V556" s="421"/>
      <c r="W556" s="421"/>
      <c r="X556" s="421"/>
      <c r="Y556" s="421"/>
      <c r="Z556" s="421"/>
      <c r="AA556" s="421"/>
      <c r="AB556" s="421"/>
      <c r="AC556" s="421"/>
      <c r="AD556" s="421"/>
      <c r="AE556" s="421"/>
      <c r="AF556" s="421"/>
      <c r="AG556" s="421"/>
      <c r="AH556" s="421"/>
      <c r="AI556" s="421"/>
      <c r="AJ556" s="421"/>
      <c r="AK556" s="421"/>
      <c r="AL556" s="421"/>
    </row>
    <row r="557" spans="1:38">
      <c r="A557" s="410">
        <v>5498</v>
      </c>
      <c r="B557" s="407"/>
      <c r="C557" s="408"/>
      <c r="D557" s="410" t="s">
        <v>2127</v>
      </c>
      <c r="E557" s="410" t="s">
        <v>1405</v>
      </c>
      <c r="F557" s="410" t="s">
        <v>1476</v>
      </c>
      <c r="G557" s="68" t="str">
        <f t="shared" si="41"/>
        <v>DUAL</v>
      </c>
      <c r="H557" s="197">
        <f t="shared" si="40"/>
        <v>18</v>
      </c>
      <c r="I557" s="408">
        <f t="shared" si="43"/>
        <v>4</v>
      </c>
      <c r="J557" s="408">
        <f t="shared" si="44"/>
        <v>29</v>
      </c>
      <c r="K557" s="411">
        <v>45776</v>
      </c>
      <c r="L557" s="408"/>
      <c r="M557" s="408"/>
      <c r="N557" s="3" t="str">
        <f t="shared" si="42"/>
        <v/>
      </c>
      <c r="O557" s="408"/>
      <c r="P557" s="408"/>
      <c r="Q557" s="408"/>
      <c r="R557" s="408"/>
      <c r="S557" s="408"/>
      <c r="T557" s="408"/>
      <c r="U557" s="408"/>
      <c r="V557" s="421"/>
      <c r="W557" s="421"/>
      <c r="X557" s="421"/>
      <c r="Y557" s="421"/>
      <c r="Z557" s="421"/>
      <c r="AA557" s="421"/>
      <c r="AB557" s="421"/>
      <c r="AC557" s="421"/>
      <c r="AD557" s="421"/>
      <c r="AE557" s="421"/>
      <c r="AF557" s="421"/>
      <c r="AG557" s="421"/>
      <c r="AH557" s="421"/>
      <c r="AI557" s="421"/>
      <c r="AJ557" s="421"/>
      <c r="AK557" s="421"/>
      <c r="AL557" s="421"/>
    </row>
    <row r="558" spans="1:38">
      <c r="A558" s="410">
        <v>5549</v>
      </c>
      <c r="B558" s="407"/>
      <c r="C558" s="408"/>
      <c r="D558" s="410" t="s">
        <v>2128</v>
      </c>
      <c r="E558" s="410" t="s">
        <v>1585</v>
      </c>
      <c r="F558" s="410" t="s">
        <v>1476</v>
      </c>
      <c r="G558" s="68" t="str">
        <f t="shared" si="41"/>
        <v>DUAL</v>
      </c>
      <c r="H558" s="197">
        <f t="shared" si="40"/>
        <v>18</v>
      </c>
      <c r="I558" s="408">
        <f t="shared" si="43"/>
        <v>4</v>
      </c>
      <c r="J558" s="408">
        <f t="shared" si="44"/>
        <v>29</v>
      </c>
      <c r="K558" s="411">
        <v>45776</v>
      </c>
      <c r="L558" s="408"/>
      <c r="M558" s="408"/>
      <c r="N558" s="3" t="str">
        <f t="shared" si="42"/>
        <v/>
      </c>
      <c r="O558" s="408"/>
      <c r="P558" s="408"/>
      <c r="Q558" s="408"/>
      <c r="R558" s="408"/>
      <c r="S558" s="408"/>
      <c r="T558" s="408"/>
      <c r="U558" s="408"/>
      <c r="V558" s="421"/>
      <c r="W558" s="421"/>
      <c r="X558" s="421"/>
      <c r="Y558" s="421"/>
      <c r="Z558" s="421"/>
      <c r="AA558" s="421"/>
      <c r="AB558" s="421"/>
      <c r="AC558" s="421"/>
      <c r="AD558" s="421"/>
      <c r="AE558" s="421"/>
      <c r="AF558" s="421"/>
      <c r="AG558" s="421"/>
      <c r="AH558" s="421"/>
      <c r="AI558" s="421"/>
      <c r="AJ558" s="421"/>
      <c r="AK558" s="421"/>
      <c r="AL558" s="421"/>
    </row>
    <row r="559" spans="1:38">
      <c r="A559" s="410">
        <v>5573</v>
      </c>
      <c r="B559" s="407"/>
      <c r="C559" s="408"/>
      <c r="D559" s="410" t="s">
        <v>2129</v>
      </c>
      <c r="E559" s="410" t="s">
        <v>1426</v>
      </c>
      <c r="F559" s="410" t="s">
        <v>1476</v>
      </c>
      <c r="G559" s="68" t="str">
        <f t="shared" si="41"/>
        <v>DUAL</v>
      </c>
      <c r="H559" s="197">
        <f t="shared" si="40"/>
        <v>18</v>
      </c>
      <c r="I559" s="408">
        <f t="shared" si="43"/>
        <v>4</v>
      </c>
      <c r="J559" s="408">
        <f t="shared" si="44"/>
        <v>29</v>
      </c>
      <c r="K559" s="411">
        <v>45776</v>
      </c>
      <c r="L559" s="408"/>
      <c r="M559" s="408"/>
      <c r="N559" s="3" t="str">
        <f t="shared" si="42"/>
        <v/>
      </c>
      <c r="O559" s="408"/>
      <c r="P559" s="408"/>
      <c r="Q559" s="408"/>
      <c r="R559" s="408"/>
      <c r="S559" s="408"/>
      <c r="T559" s="408"/>
      <c r="U559" s="408"/>
      <c r="V559" s="421"/>
      <c r="W559" s="421"/>
      <c r="X559" s="421"/>
      <c r="Y559" s="421"/>
      <c r="Z559" s="421"/>
      <c r="AA559" s="421"/>
      <c r="AB559" s="421"/>
      <c r="AC559" s="421"/>
      <c r="AD559" s="421"/>
      <c r="AE559" s="421"/>
      <c r="AF559" s="421"/>
      <c r="AG559" s="421"/>
      <c r="AH559" s="421"/>
      <c r="AI559" s="421"/>
      <c r="AJ559" s="421"/>
      <c r="AK559" s="421"/>
      <c r="AL559" s="421"/>
    </row>
    <row r="560" spans="1:38">
      <c r="A560" s="410">
        <v>5534</v>
      </c>
      <c r="B560" s="407"/>
      <c r="C560" s="408"/>
      <c r="D560" s="410" t="s">
        <v>2130</v>
      </c>
      <c r="E560" s="410" t="s">
        <v>1585</v>
      </c>
      <c r="F560" s="410" t="s">
        <v>1591</v>
      </c>
      <c r="G560" s="68" t="str">
        <f t="shared" si="41"/>
        <v>SINGLE</v>
      </c>
      <c r="H560" s="197">
        <f t="shared" si="40"/>
        <v>18</v>
      </c>
      <c r="I560" s="408">
        <f t="shared" si="43"/>
        <v>4</v>
      </c>
      <c r="J560" s="408">
        <f t="shared" si="44"/>
        <v>29</v>
      </c>
      <c r="K560" s="411">
        <v>45776</v>
      </c>
      <c r="L560" s="408"/>
      <c r="M560" s="408"/>
      <c r="N560" s="3" t="str">
        <f t="shared" si="42"/>
        <v/>
      </c>
      <c r="O560" s="408"/>
      <c r="P560" s="408"/>
      <c r="Q560" s="408"/>
      <c r="R560" s="408"/>
      <c r="S560" s="408"/>
      <c r="T560" s="408"/>
      <c r="U560" s="408"/>
      <c r="V560" s="421"/>
      <c r="W560" s="421"/>
      <c r="X560" s="421"/>
      <c r="Y560" s="421"/>
      <c r="Z560" s="421"/>
      <c r="AA560" s="421"/>
      <c r="AB560" s="421"/>
      <c r="AC560" s="421"/>
      <c r="AD560" s="421"/>
      <c r="AE560" s="421"/>
      <c r="AF560" s="421"/>
      <c r="AG560" s="421"/>
      <c r="AH560" s="421"/>
      <c r="AI560" s="421"/>
      <c r="AJ560" s="421"/>
      <c r="AK560" s="421"/>
      <c r="AL560" s="421"/>
    </row>
    <row r="561" spans="1:38">
      <c r="A561" s="410">
        <v>5534</v>
      </c>
      <c r="B561" s="407"/>
      <c r="C561" s="408"/>
      <c r="D561" s="410" t="s">
        <v>2131</v>
      </c>
      <c r="E561" s="410" t="s">
        <v>1585</v>
      </c>
      <c r="F561" s="410" t="s">
        <v>1591</v>
      </c>
      <c r="G561" s="68" t="str">
        <f t="shared" si="41"/>
        <v>SINGLE</v>
      </c>
      <c r="H561" s="197">
        <f t="shared" si="40"/>
        <v>18</v>
      </c>
      <c r="I561" s="408">
        <f t="shared" si="43"/>
        <v>4</v>
      </c>
      <c r="J561" s="408">
        <f t="shared" si="44"/>
        <v>29</v>
      </c>
      <c r="K561" s="411">
        <v>45776</v>
      </c>
      <c r="L561" s="408"/>
      <c r="M561" s="408"/>
      <c r="N561" s="3" t="str">
        <f t="shared" si="42"/>
        <v/>
      </c>
      <c r="O561" s="408"/>
      <c r="P561" s="408"/>
      <c r="Q561" s="408"/>
      <c r="R561" s="408"/>
      <c r="S561" s="408"/>
      <c r="T561" s="408"/>
      <c r="U561" s="408"/>
      <c r="V561" s="421"/>
      <c r="W561" s="421"/>
      <c r="X561" s="421"/>
      <c r="Y561" s="421"/>
      <c r="Z561" s="421"/>
      <c r="AA561" s="421"/>
      <c r="AB561" s="421"/>
      <c r="AC561" s="421"/>
      <c r="AD561" s="421"/>
      <c r="AE561" s="421"/>
      <c r="AF561" s="421"/>
      <c r="AG561" s="421"/>
      <c r="AH561" s="421"/>
      <c r="AI561" s="421"/>
      <c r="AJ561" s="421"/>
      <c r="AK561" s="421"/>
      <c r="AL561" s="421"/>
    </row>
    <row r="562" spans="1:38">
      <c r="A562" s="410">
        <v>5574</v>
      </c>
      <c r="B562" s="407"/>
      <c r="C562" s="408"/>
      <c r="D562" s="410" t="s">
        <v>2132</v>
      </c>
      <c r="E562" s="410" t="s">
        <v>1426</v>
      </c>
      <c r="F562" s="410" t="s">
        <v>1476</v>
      </c>
      <c r="G562" s="68" t="str">
        <f t="shared" si="41"/>
        <v>DUAL</v>
      </c>
      <c r="H562" s="197">
        <f t="shared" si="40"/>
        <v>18</v>
      </c>
      <c r="I562" s="408">
        <f t="shared" si="43"/>
        <v>4</v>
      </c>
      <c r="J562" s="408">
        <f t="shared" si="44"/>
        <v>30</v>
      </c>
      <c r="K562" s="411">
        <v>45777</v>
      </c>
      <c r="L562" s="408"/>
      <c r="M562" s="408"/>
      <c r="N562" s="3" t="str">
        <f t="shared" si="42"/>
        <v/>
      </c>
      <c r="O562" s="408"/>
      <c r="P562" s="408"/>
      <c r="Q562" s="408"/>
      <c r="R562" s="408"/>
      <c r="S562" s="408"/>
      <c r="T562" s="408"/>
      <c r="U562" s="408"/>
      <c r="V562" s="421"/>
      <c r="W562" s="421"/>
      <c r="X562" s="421"/>
      <c r="Y562" s="421"/>
      <c r="Z562" s="421"/>
      <c r="AA562" s="421"/>
      <c r="AB562" s="421"/>
      <c r="AC562" s="421"/>
      <c r="AD562" s="421"/>
      <c r="AE562" s="421"/>
      <c r="AF562" s="421"/>
      <c r="AG562" s="421"/>
      <c r="AH562" s="421"/>
      <c r="AI562" s="421"/>
      <c r="AJ562" s="421"/>
      <c r="AK562" s="421"/>
      <c r="AL562" s="421"/>
    </row>
    <row r="563" spans="1:38">
      <c r="A563" s="410">
        <v>5574</v>
      </c>
      <c r="B563" s="407"/>
      <c r="C563" s="408"/>
      <c r="D563" s="410" t="s">
        <v>2133</v>
      </c>
      <c r="E563" s="410" t="s">
        <v>1426</v>
      </c>
      <c r="F563" s="410" t="s">
        <v>1476</v>
      </c>
      <c r="G563" s="68" t="str">
        <f t="shared" si="41"/>
        <v>DUAL</v>
      </c>
      <c r="H563" s="197">
        <f t="shared" si="40"/>
        <v>18</v>
      </c>
      <c r="I563" s="408">
        <f t="shared" si="43"/>
        <v>4</v>
      </c>
      <c r="J563" s="408">
        <f t="shared" si="44"/>
        <v>30</v>
      </c>
      <c r="K563" s="411">
        <v>45777</v>
      </c>
      <c r="L563" s="408"/>
      <c r="M563" s="408"/>
      <c r="N563" s="3" t="str">
        <f t="shared" si="42"/>
        <v/>
      </c>
      <c r="O563" s="408"/>
      <c r="P563" s="408"/>
      <c r="Q563" s="408"/>
      <c r="R563" s="408"/>
      <c r="S563" s="408"/>
      <c r="T563" s="408"/>
      <c r="U563" s="408"/>
      <c r="V563" s="421"/>
      <c r="W563" s="421"/>
      <c r="X563" s="421"/>
      <c r="Y563" s="421"/>
      <c r="Z563" s="421"/>
      <c r="AA563" s="421"/>
      <c r="AB563" s="421"/>
      <c r="AC563" s="421"/>
      <c r="AD563" s="421"/>
      <c r="AE563" s="421"/>
      <c r="AF563" s="421"/>
      <c r="AG563" s="421"/>
      <c r="AH563" s="421"/>
      <c r="AI563" s="421"/>
      <c r="AJ563" s="421"/>
      <c r="AK563" s="421"/>
      <c r="AL563" s="421"/>
    </row>
    <row r="564" spans="1:38">
      <c r="A564" s="410">
        <v>5574</v>
      </c>
      <c r="B564" s="407"/>
      <c r="C564" s="408"/>
      <c r="D564" s="410" t="s">
        <v>2134</v>
      </c>
      <c r="E564" s="410" t="s">
        <v>1426</v>
      </c>
      <c r="F564" s="410" t="s">
        <v>1476</v>
      </c>
      <c r="G564" s="68" t="str">
        <f t="shared" si="41"/>
        <v>DUAL</v>
      </c>
      <c r="H564" s="197">
        <f t="shared" si="40"/>
        <v>18</v>
      </c>
      <c r="I564" s="408">
        <f t="shared" si="43"/>
        <v>4</v>
      </c>
      <c r="J564" s="408">
        <f t="shared" si="44"/>
        <v>30</v>
      </c>
      <c r="K564" s="411">
        <v>45777</v>
      </c>
      <c r="L564" s="408"/>
      <c r="M564" s="408"/>
      <c r="N564" s="3" t="str">
        <f t="shared" si="42"/>
        <v/>
      </c>
      <c r="O564" s="408"/>
      <c r="P564" s="408"/>
      <c r="Q564" s="408"/>
      <c r="R564" s="408"/>
      <c r="S564" s="408"/>
      <c r="T564" s="408"/>
      <c r="U564" s="408"/>
      <c r="V564" s="421"/>
      <c r="W564" s="421"/>
      <c r="X564" s="421"/>
      <c r="Y564" s="421"/>
      <c r="Z564" s="421"/>
      <c r="AA564" s="421"/>
      <c r="AB564" s="421"/>
      <c r="AC564" s="421"/>
      <c r="AD564" s="421"/>
      <c r="AE564" s="421"/>
      <c r="AF564" s="421"/>
      <c r="AG564" s="421"/>
      <c r="AH564" s="421"/>
      <c r="AI564" s="421"/>
      <c r="AJ564" s="421"/>
      <c r="AK564" s="421"/>
      <c r="AL564" s="421"/>
    </row>
    <row r="565" spans="1:38">
      <c r="A565" s="410">
        <v>5587</v>
      </c>
      <c r="B565" s="407"/>
      <c r="C565" s="408"/>
      <c r="D565" s="410" t="s">
        <v>2135</v>
      </c>
      <c r="E565" s="410" t="s">
        <v>1405</v>
      </c>
      <c r="F565" s="410" t="s">
        <v>1477</v>
      </c>
      <c r="G565" s="68" t="str">
        <f t="shared" si="41"/>
        <v>SINGLE</v>
      </c>
      <c r="H565" s="197">
        <f t="shared" si="40"/>
        <v>18</v>
      </c>
      <c r="I565" s="408">
        <f t="shared" si="43"/>
        <v>4</v>
      </c>
      <c r="J565" s="408">
        <f t="shared" si="44"/>
        <v>30</v>
      </c>
      <c r="K565" s="411">
        <v>45777</v>
      </c>
      <c r="L565" s="408"/>
      <c r="M565" s="408"/>
      <c r="N565" s="3" t="str">
        <f t="shared" si="42"/>
        <v/>
      </c>
      <c r="O565" s="408"/>
      <c r="P565" s="408"/>
      <c r="Q565" s="408"/>
      <c r="R565" s="408"/>
      <c r="S565" s="408"/>
      <c r="T565" s="408"/>
      <c r="U565" s="408"/>
      <c r="V565" s="421"/>
      <c r="W565" s="421"/>
      <c r="X565" s="421"/>
      <c r="Y565" s="421"/>
      <c r="Z565" s="421"/>
      <c r="AA565" s="421"/>
      <c r="AB565" s="421"/>
      <c r="AC565" s="421"/>
      <c r="AD565" s="421"/>
      <c r="AE565" s="421"/>
      <c r="AF565" s="421"/>
      <c r="AG565" s="421"/>
      <c r="AH565" s="421"/>
      <c r="AI565" s="421"/>
      <c r="AJ565" s="421"/>
      <c r="AK565" s="421"/>
      <c r="AL565" s="421"/>
    </row>
    <row r="566" spans="1:38">
      <c r="A566" s="410">
        <v>5613</v>
      </c>
      <c r="B566" s="407"/>
      <c r="C566" s="408"/>
      <c r="D566" s="410" t="s">
        <v>2136</v>
      </c>
      <c r="E566" s="410" t="s">
        <v>1405</v>
      </c>
      <c r="F566" s="410" t="s">
        <v>1476</v>
      </c>
      <c r="G566" s="68" t="str">
        <f t="shared" si="41"/>
        <v>DUAL</v>
      </c>
      <c r="H566" s="197">
        <f t="shared" si="40"/>
        <v>18</v>
      </c>
      <c r="I566" s="408">
        <f t="shared" si="43"/>
        <v>4</v>
      </c>
      <c r="J566" s="408">
        <f t="shared" si="44"/>
        <v>30</v>
      </c>
      <c r="K566" s="411">
        <v>45777</v>
      </c>
      <c r="L566" s="408"/>
      <c r="M566" s="408"/>
      <c r="N566" s="3" t="str">
        <f t="shared" si="42"/>
        <v/>
      </c>
      <c r="O566" s="408"/>
      <c r="P566" s="408"/>
      <c r="Q566" s="408"/>
      <c r="R566" s="408"/>
      <c r="S566" s="408"/>
      <c r="T566" s="408"/>
      <c r="U566" s="408"/>
      <c r="V566" s="421"/>
      <c r="W566" s="421"/>
      <c r="X566" s="421"/>
      <c r="Y566" s="421"/>
      <c r="Z566" s="421"/>
      <c r="AA566" s="421"/>
      <c r="AB566" s="421"/>
      <c r="AC566" s="421"/>
      <c r="AD566" s="421"/>
      <c r="AE566" s="421"/>
      <c r="AF566" s="421"/>
      <c r="AG566" s="421"/>
      <c r="AH566" s="421"/>
      <c r="AI566" s="421"/>
      <c r="AJ566" s="421"/>
      <c r="AK566" s="421"/>
      <c r="AL566" s="421"/>
    </row>
    <row r="567" spans="1:38">
      <c r="A567" s="410">
        <v>5640</v>
      </c>
      <c r="B567" s="407"/>
      <c r="C567" s="408"/>
      <c r="D567" s="410" t="s">
        <v>2137</v>
      </c>
      <c r="E567" s="410" t="s">
        <v>1429</v>
      </c>
      <c r="F567" s="410" t="s">
        <v>1476</v>
      </c>
      <c r="G567" s="68" t="str">
        <f t="shared" si="41"/>
        <v>DUAL</v>
      </c>
      <c r="H567" s="197">
        <f t="shared" si="40"/>
        <v>18</v>
      </c>
      <c r="I567" s="408">
        <f t="shared" si="43"/>
        <v>4</v>
      </c>
      <c r="J567" s="408">
        <f t="shared" si="44"/>
        <v>30</v>
      </c>
      <c r="K567" s="411">
        <v>45777</v>
      </c>
      <c r="L567" s="408"/>
      <c r="M567" s="408"/>
      <c r="N567" s="3" t="str">
        <f t="shared" si="42"/>
        <v/>
      </c>
      <c r="O567" s="408"/>
      <c r="P567" s="408"/>
      <c r="Q567" s="408"/>
      <c r="R567" s="408"/>
      <c r="S567" s="408"/>
      <c r="T567" s="408"/>
      <c r="U567" s="408"/>
      <c r="V567" s="421"/>
      <c r="W567" s="421"/>
      <c r="X567" s="421"/>
      <c r="Y567" s="421"/>
      <c r="Z567" s="421"/>
      <c r="AA567" s="421"/>
      <c r="AB567" s="421"/>
      <c r="AC567" s="421"/>
      <c r="AD567" s="421"/>
      <c r="AE567" s="421"/>
      <c r="AF567" s="421"/>
      <c r="AG567" s="421"/>
      <c r="AH567" s="421"/>
      <c r="AI567" s="421"/>
      <c r="AJ567" s="421"/>
      <c r="AK567" s="421"/>
      <c r="AL567" s="421"/>
    </row>
    <row r="568" spans="1:38">
      <c r="A568" s="410">
        <v>5538</v>
      </c>
      <c r="B568" s="407"/>
      <c r="C568" s="408"/>
      <c r="D568" s="410" t="s">
        <v>2138</v>
      </c>
      <c r="E568" s="410" t="s">
        <v>1585</v>
      </c>
      <c r="F568" s="410" t="s">
        <v>1476</v>
      </c>
      <c r="G568" s="68" t="str">
        <f t="shared" si="41"/>
        <v>DUAL</v>
      </c>
      <c r="H568" s="197">
        <f t="shared" si="40"/>
        <v>18</v>
      </c>
      <c r="I568" s="408">
        <f t="shared" si="43"/>
        <v>4</v>
      </c>
      <c r="J568" s="408">
        <f t="shared" si="44"/>
        <v>30</v>
      </c>
      <c r="K568" s="411">
        <v>45777</v>
      </c>
      <c r="L568" s="408"/>
      <c r="M568" s="408"/>
      <c r="N568" s="3" t="str">
        <f t="shared" si="42"/>
        <v/>
      </c>
      <c r="O568" s="408"/>
      <c r="P568" s="408"/>
      <c r="Q568" s="408"/>
      <c r="R568" s="408"/>
      <c r="S568" s="408"/>
      <c r="T568" s="408"/>
      <c r="U568" s="408"/>
      <c r="V568" s="421"/>
      <c r="W568" s="421"/>
      <c r="X568" s="421"/>
      <c r="Y568" s="421"/>
      <c r="Z568" s="421"/>
      <c r="AA568" s="421"/>
      <c r="AB568" s="421"/>
      <c r="AC568" s="421"/>
      <c r="AD568" s="421"/>
      <c r="AE568" s="421"/>
      <c r="AF568" s="421"/>
      <c r="AG568" s="421"/>
      <c r="AH568" s="421"/>
      <c r="AI568" s="421"/>
      <c r="AJ568" s="421"/>
      <c r="AK568" s="421"/>
      <c r="AL568" s="421"/>
    </row>
    <row r="569" spans="1:38">
      <c r="A569" s="410">
        <v>5574</v>
      </c>
      <c r="B569" s="407"/>
      <c r="C569" s="408"/>
      <c r="D569" s="410" t="s">
        <v>2139</v>
      </c>
      <c r="E569" s="410" t="s">
        <v>1426</v>
      </c>
      <c r="F569" s="410" t="s">
        <v>1476</v>
      </c>
      <c r="G569" s="68" t="str">
        <f t="shared" si="41"/>
        <v>DUAL</v>
      </c>
      <c r="H569" s="197">
        <f t="shared" si="40"/>
        <v>19</v>
      </c>
      <c r="I569" s="408">
        <f t="shared" si="43"/>
        <v>5</v>
      </c>
      <c r="J569" s="408">
        <f t="shared" si="44"/>
        <v>7</v>
      </c>
      <c r="K569" s="411">
        <v>45784</v>
      </c>
      <c r="L569" s="408"/>
      <c r="M569" s="408"/>
      <c r="N569" s="3" t="str">
        <f t="shared" si="42"/>
        <v/>
      </c>
      <c r="O569" s="408"/>
      <c r="P569" s="408"/>
      <c r="Q569" s="408"/>
      <c r="R569" s="408"/>
      <c r="S569" s="408"/>
      <c r="T569" s="408"/>
      <c r="U569" s="408"/>
      <c r="V569" s="421"/>
      <c r="W569" s="421"/>
      <c r="X569" s="421"/>
      <c r="Y569" s="421"/>
      <c r="Z569" s="421"/>
      <c r="AA569" s="421"/>
      <c r="AB569" s="421"/>
      <c r="AC569" s="421"/>
      <c r="AD569" s="421"/>
      <c r="AE569" s="421"/>
      <c r="AF569" s="421"/>
      <c r="AG569" s="421"/>
      <c r="AH569" s="421"/>
      <c r="AI569" s="421"/>
      <c r="AJ569" s="421"/>
      <c r="AK569" s="421"/>
      <c r="AL569" s="421"/>
    </row>
    <row r="570" spans="1:38">
      <c r="A570" s="410">
        <v>5574</v>
      </c>
      <c r="B570" s="407"/>
      <c r="C570" s="408"/>
      <c r="D570" s="410" t="s">
        <v>2140</v>
      </c>
      <c r="E570" s="410" t="s">
        <v>1426</v>
      </c>
      <c r="F570" s="410" t="s">
        <v>1476</v>
      </c>
      <c r="G570" s="68" t="str">
        <f t="shared" si="41"/>
        <v>DUAL</v>
      </c>
      <c r="H570" s="197">
        <f t="shared" si="40"/>
        <v>19</v>
      </c>
      <c r="I570" s="408">
        <f t="shared" si="43"/>
        <v>5</v>
      </c>
      <c r="J570" s="408">
        <f t="shared" si="44"/>
        <v>7</v>
      </c>
      <c r="K570" s="411">
        <v>45784</v>
      </c>
      <c r="L570" s="408"/>
      <c r="M570" s="408"/>
      <c r="N570" s="3" t="str">
        <f t="shared" si="42"/>
        <v/>
      </c>
      <c r="O570" s="408"/>
      <c r="P570" s="408"/>
      <c r="Q570" s="408"/>
      <c r="R570" s="408"/>
      <c r="S570" s="408"/>
      <c r="T570" s="408"/>
      <c r="U570" s="408"/>
      <c r="V570" s="421"/>
      <c r="W570" s="421"/>
      <c r="X570" s="421"/>
      <c r="Y570" s="421"/>
      <c r="Z570" s="421"/>
      <c r="AA570" s="421"/>
      <c r="AB570" s="421"/>
      <c r="AC570" s="421"/>
      <c r="AD570" s="421"/>
      <c r="AE570" s="421"/>
      <c r="AF570" s="421"/>
      <c r="AG570" s="421"/>
      <c r="AH570" s="421"/>
      <c r="AI570" s="421"/>
      <c r="AJ570" s="421"/>
      <c r="AK570" s="421"/>
      <c r="AL570" s="421"/>
    </row>
    <row r="571" spans="1:38">
      <c r="A571" s="410">
        <v>5572</v>
      </c>
      <c r="B571" s="407"/>
      <c r="C571" s="408"/>
      <c r="D571" s="410" t="s">
        <v>2141</v>
      </c>
      <c r="E571" s="410" t="s">
        <v>1426</v>
      </c>
      <c r="F571" s="410" t="s">
        <v>1476</v>
      </c>
      <c r="G571" s="68" t="str">
        <f t="shared" si="41"/>
        <v>DUAL</v>
      </c>
      <c r="H571" s="197">
        <f t="shared" si="40"/>
        <v>19</v>
      </c>
      <c r="I571" s="408">
        <f t="shared" si="43"/>
        <v>5</v>
      </c>
      <c r="J571" s="408">
        <f t="shared" si="44"/>
        <v>7</v>
      </c>
      <c r="K571" s="411">
        <v>45784</v>
      </c>
      <c r="L571" s="408"/>
      <c r="M571" s="408"/>
      <c r="N571" s="3" t="str">
        <f t="shared" si="42"/>
        <v/>
      </c>
      <c r="O571" s="408"/>
      <c r="P571" s="408"/>
      <c r="Q571" s="408"/>
      <c r="R571" s="408"/>
      <c r="S571" s="408"/>
      <c r="T571" s="408"/>
      <c r="U571" s="408"/>
      <c r="V571" s="421"/>
      <c r="W571" s="421"/>
      <c r="X571" s="421"/>
      <c r="Y571" s="421"/>
      <c r="Z571" s="421"/>
      <c r="AA571" s="421"/>
      <c r="AB571" s="421"/>
      <c r="AC571" s="421"/>
      <c r="AD571" s="421"/>
      <c r="AE571" s="421"/>
      <c r="AF571" s="421"/>
      <c r="AG571" s="421"/>
      <c r="AH571" s="421"/>
      <c r="AI571" s="421"/>
      <c r="AJ571" s="421"/>
      <c r="AK571" s="421"/>
      <c r="AL571" s="421"/>
    </row>
    <row r="572" spans="1:38">
      <c r="A572" s="410">
        <v>5586</v>
      </c>
      <c r="B572" s="407"/>
      <c r="C572" s="408"/>
      <c r="D572" s="410" t="s">
        <v>2142</v>
      </c>
      <c r="E572" s="410" t="s">
        <v>1405</v>
      </c>
      <c r="F572" s="410" t="s">
        <v>1581</v>
      </c>
      <c r="G572" s="68" t="str">
        <f t="shared" si="41"/>
        <v>DUAL</v>
      </c>
      <c r="H572" s="197">
        <f t="shared" si="40"/>
        <v>19</v>
      </c>
      <c r="I572" s="408">
        <f t="shared" si="43"/>
        <v>5</v>
      </c>
      <c r="J572" s="408">
        <f t="shared" si="44"/>
        <v>7</v>
      </c>
      <c r="K572" s="411">
        <v>45784</v>
      </c>
      <c r="L572" s="408"/>
      <c r="M572" s="408"/>
      <c r="N572" s="3" t="str">
        <f t="shared" si="42"/>
        <v/>
      </c>
      <c r="O572" s="408"/>
      <c r="P572" s="408"/>
      <c r="Q572" s="408"/>
      <c r="R572" s="408"/>
      <c r="S572" s="408"/>
      <c r="T572" s="408"/>
      <c r="U572" s="408"/>
      <c r="V572" s="421"/>
      <c r="W572" s="421"/>
      <c r="X572" s="421"/>
      <c r="Y572" s="421"/>
      <c r="Z572" s="421"/>
      <c r="AA572" s="421"/>
      <c r="AB572" s="421"/>
      <c r="AC572" s="421"/>
      <c r="AD572" s="421"/>
      <c r="AE572" s="421"/>
      <c r="AF572" s="421"/>
      <c r="AG572" s="421"/>
      <c r="AH572" s="421"/>
      <c r="AI572" s="421"/>
      <c r="AJ572" s="421"/>
      <c r="AK572" s="421"/>
      <c r="AL572" s="421"/>
    </row>
    <row r="573" spans="1:38">
      <c r="A573" s="410">
        <v>5533</v>
      </c>
      <c r="B573" s="407"/>
      <c r="C573" s="408"/>
      <c r="D573" s="410" t="s">
        <v>2143</v>
      </c>
      <c r="E573" s="410" t="s">
        <v>1585</v>
      </c>
      <c r="F573" s="410" t="s">
        <v>1482</v>
      </c>
      <c r="G573" s="68" t="str">
        <f t="shared" si="41"/>
        <v>SINGLE</v>
      </c>
      <c r="H573" s="197">
        <f t="shared" si="40"/>
        <v>19</v>
      </c>
      <c r="I573" s="408">
        <f t="shared" si="43"/>
        <v>5</v>
      </c>
      <c r="J573" s="408">
        <f t="shared" si="44"/>
        <v>8</v>
      </c>
      <c r="K573" s="411">
        <v>45785</v>
      </c>
      <c r="L573" s="408"/>
      <c r="M573" s="408"/>
      <c r="N573" s="3" t="str">
        <f t="shared" si="42"/>
        <v/>
      </c>
      <c r="O573" s="408"/>
      <c r="P573" s="408"/>
      <c r="Q573" s="408"/>
      <c r="R573" s="408"/>
      <c r="S573" s="408"/>
      <c r="T573" s="408"/>
      <c r="U573" s="408"/>
      <c r="V573" s="421"/>
      <c r="W573" s="421"/>
      <c r="X573" s="421"/>
      <c r="Y573" s="421"/>
      <c r="Z573" s="421"/>
      <c r="AA573" s="421"/>
      <c r="AB573" s="421"/>
      <c r="AC573" s="421"/>
      <c r="AD573" s="421"/>
      <c r="AE573" s="421"/>
      <c r="AF573" s="421"/>
      <c r="AG573" s="421"/>
      <c r="AH573" s="421"/>
      <c r="AI573" s="421"/>
      <c r="AJ573" s="421"/>
      <c r="AK573" s="421"/>
      <c r="AL573" s="421"/>
    </row>
    <row r="574" spans="1:38" s="180" customFormat="1">
      <c r="A574" s="412">
        <v>5607</v>
      </c>
      <c r="B574" s="413"/>
      <c r="C574" s="414"/>
      <c r="D574" s="412" t="s">
        <v>1876</v>
      </c>
      <c r="E574" s="412" t="s">
        <v>1409</v>
      </c>
      <c r="F574" s="412" t="s">
        <v>1479</v>
      </c>
      <c r="G574" s="68" t="str">
        <f t="shared" si="41"/>
        <v>SINGLE</v>
      </c>
      <c r="H574" s="197">
        <f t="shared" si="40"/>
        <v>19</v>
      </c>
      <c r="I574" s="414">
        <f t="shared" si="43"/>
        <v>5</v>
      </c>
      <c r="J574" s="414">
        <f t="shared" si="44"/>
        <v>8</v>
      </c>
      <c r="K574" s="415">
        <v>45785</v>
      </c>
      <c r="L574" s="414"/>
      <c r="M574" s="414"/>
      <c r="N574" s="3" t="str">
        <f t="shared" si="42"/>
        <v/>
      </c>
      <c r="O574" s="414"/>
      <c r="P574" s="414"/>
      <c r="Q574" s="414"/>
      <c r="R574" s="414"/>
      <c r="S574" s="414"/>
      <c r="T574" s="414"/>
      <c r="U574" s="414"/>
      <c r="V574" s="419"/>
      <c r="W574" s="419"/>
      <c r="X574" s="419"/>
      <c r="Y574" s="419"/>
      <c r="Z574" s="419"/>
      <c r="AA574" s="419"/>
      <c r="AB574" s="419"/>
      <c r="AC574" s="419"/>
      <c r="AD574" s="419"/>
      <c r="AE574" s="419"/>
      <c r="AF574" s="419"/>
      <c r="AG574" s="419"/>
      <c r="AH574" s="419"/>
      <c r="AI574" s="419"/>
      <c r="AJ574" s="419"/>
      <c r="AK574" s="419"/>
      <c r="AL574" s="419"/>
    </row>
    <row r="575" spans="1:38" s="180" customFormat="1">
      <c r="A575" s="412">
        <v>5607</v>
      </c>
      <c r="B575" s="413"/>
      <c r="C575" s="414"/>
      <c r="D575" s="412" t="s">
        <v>1877</v>
      </c>
      <c r="E575" s="412" t="s">
        <v>1409</v>
      </c>
      <c r="F575" s="412" t="s">
        <v>1479</v>
      </c>
      <c r="G575" s="68" t="str">
        <f t="shared" si="41"/>
        <v>SINGLE</v>
      </c>
      <c r="H575" s="197">
        <f t="shared" si="40"/>
        <v>19</v>
      </c>
      <c r="I575" s="414">
        <f t="shared" si="43"/>
        <v>5</v>
      </c>
      <c r="J575" s="414">
        <f t="shared" si="44"/>
        <v>8</v>
      </c>
      <c r="K575" s="415">
        <v>45785</v>
      </c>
      <c r="L575" s="414"/>
      <c r="M575" s="414"/>
      <c r="N575" s="3" t="str">
        <f t="shared" si="42"/>
        <v/>
      </c>
      <c r="O575" s="414"/>
      <c r="P575" s="414"/>
      <c r="Q575" s="414"/>
      <c r="R575" s="414"/>
      <c r="S575" s="414"/>
      <c r="T575" s="414"/>
      <c r="U575" s="414"/>
      <c r="V575" s="419"/>
      <c r="W575" s="419"/>
      <c r="X575" s="419"/>
      <c r="Y575" s="419"/>
      <c r="Z575" s="419"/>
      <c r="AA575" s="419"/>
      <c r="AB575" s="419"/>
      <c r="AC575" s="419"/>
      <c r="AD575" s="419"/>
      <c r="AE575" s="419"/>
      <c r="AF575" s="419"/>
      <c r="AG575" s="419"/>
      <c r="AH575" s="419"/>
      <c r="AI575" s="419"/>
      <c r="AJ575" s="419"/>
      <c r="AK575" s="419"/>
      <c r="AL575" s="419"/>
    </row>
    <row r="576" spans="1:38" s="180" customFormat="1">
      <c r="A576" s="412">
        <v>5608</v>
      </c>
      <c r="B576" s="413"/>
      <c r="C576" s="414"/>
      <c r="D576" s="412" t="s">
        <v>1893</v>
      </c>
      <c r="E576" s="412" t="s">
        <v>1409</v>
      </c>
      <c r="F576" s="412" t="s">
        <v>1479</v>
      </c>
      <c r="G576" s="68" t="str">
        <f t="shared" si="41"/>
        <v>SINGLE</v>
      </c>
      <c r="H576" s="197">
        <f t="shared" si="40"/>
        <v>19</v>
      </c>
      <c r="I576" s="414">
        <f t="shared" si="43"/>
        <v>5</v>
      </c>
      <c r="J576" s="414">
        <f t="shared" si="44"/>
        <v>8</v>
      </c>
      <c r="K576" s="415">
        <v>45785</v>
      </c>
      <c r="L576" s="414"/>
      <c r="M576" s="414"/>
      <c r="N576" s="3" t="str">
        <f t="shared" si="42"/>
        <v/>
      </c>
      <c r="O576" s="414"/>
      <c r="P576" s="414"/>
      <c r="Q576" s="414"/>
      <c r="R576" s="414"/>
      <c r="S576" s="414"/>
      <c r="T576" s="414"/>
      <c r="U576" s="414"/>
      <c r="V576" s="419"/>
      <c r="W576" s="419"/>
      <c r="X576" s="419"/>
      <c r="Y576" s="419"/>
      <c r="Z576" s="419"/>
      <c r="AA576" s="419"/>
      <c r="AB576" s="419"/>
      <c r="AC576" s="419"/>
      <c r="AD576" s="419"/>
      <c r="AE576" s="419"/>
      <c r="AF576" s="419"/>
      <c r="AG576" s="419"/>
      <c r="AH576" s="419"/>
      <c r="AI576" s="419"/>
      <c r="AJ576" s="419"/>
      <c r="AK576" s="419"/>
      <c r="AL576" s="419"/>
    </row>
    <row r="577" spans="1:38">
      <c r="A577" s="410">
        <v>5621</v>
      </c>
      <c r="B577" s="407"/>
      <c r="C577" s="408"/>
      <c r="D577" s="410" t="s">
        <v>2144</v>
      </c>
      <c r="E577" s="410" t="s">
        <v>1433</v>
      </c>
      <c r="F577" s="410" t="s">
        <v>1616</v>
      </c>
      <c r="G577" s="68" t="str">
        <f t="shared" si="41"/>
        <v>SINGLE</v>
      </c>
      <c r="H577" s="197">
        <f t="shared" ref="H577:H640" si="45">WEEKNUM(K577)</f>
        <v>19</v>
      </c>
      <c r="I577" s="408">
        <f t="shared" si="43"/>
        <v>5</v>
      </c>
      <c r="J577" s="408">
        <f t="shared" si="44"/>
        <v>8</v>
      </c>
      <c r="K577" s="411">
        <v>45785</v>
      </c>
      <c r="L577" s="408"/>
      <c r="M577" s="408"/>
      <c r="N577" s="3" t="str">
        <f t="shared" si="42"/>
        <v/>
      </c>
      <c r="O577" s="408"/>
      <c r="P577" s="408"/>
      <c r="Q577" s="408"/>
      <c r="R577" s="408"/>
      <c r="S577" s="408"/>
      <c r="T577" s="408"/>
      <c r="U577" s="408"/>
      <c r="V577" s="421"/>
      <c r="W577" s="421"/>
      <c r="X577" s="421"/>
      <c r="Y577" s="421"/>
      <c r="Z577" s="421"/>
      <c r="AA577" s="421"/>
      <c r="AB577" s="421"/>
      <c r="AC577" s="421"/>
      <c r="AD577" s="421"/>
      <c r="AE577" s="421"/>
      <c r="AF577" s="421"/>
      <c r="AG577" s="421"/>
      <c r="AH577" s="421"/>
      <c r="AI577" s="421"/>
      <c r="AJ577" s="421"/>
      <c r="AK577" s="421"/>
      <c r="AL577" s="421"/>
    </row>
    <row r="578" spans="1:38">
      <c r="A578" s="410">
        <v>5621</v>
      </c>
      <c r="B578" s="407"/>
      <c r="C578" s="408"/>
      <c r="D578" s="410" t="s">
        <v>2145</v>
      </c>
      <c r="E578" s="410" t="s">
        <v>1433</v>
      </c>
      <c r="F578" s="410" t="s">
        <v>1616</v>
      </c>
      <c r="G578" s="68" t="str">
        <f t="shared" ref="G578:G641" si="46">IF(OR(ISNUMBER(SEARCH("DUAL",F578)), ISNUMBER(SEARCH("IVAS",F578))), "DUAL", "SINGLE")</f>
        <v>SINGLE</v>
      </c>
      <c r="H578" s="197">
        <f t="shared" si="45"/>
        <v>19</v>
      </c>
      <c r="I578" s="408">
        <f t="shared" ref="I578:I641" si="47">MONTH(K578)</f>
        <v>5</v>
      </c>
      <c r="J578" s="408">
        <f t="shared" ref="J578:J641" si="48">DAY(K578)</f>
        <v>8</v>
      </c>
      <c r="K578" s="411">
        <v>45785</v>
      </c>
      <c r="L578" s="408"/>
      <c r="M578" s="408"/>
      <c r="N578" s="3" t="str">
        <f t="shared" ref="N578:N641" si="49">IF(O578&lt;&gt;"", "NG", "")</f>
        <v/>
      </c>
      <c r="O578" s="408"/>
      <c r="P578" s="408"/>
      <c r="Q578" s="408"/>
      <c r="R578" s="408"/>
      <c r="S578" s="408"/>
      <c r="T578" s="408"/>
      <c r="U578" s="408"/>
      <c r="V578" s="421"/>
      <c r="W578" s="421"/>
      <c r="X578" s="421"/>
      <c r="Y578" s="421"/>
      <c r="Z578" s="421"/>
      <c r="AA578" s="421"/>
      <c r="AB578" s="421"/>
      <c r="AC578" s="421"/>
      <c r="AD578" s="421"/>
      <c r="AE578" s="421"/>
      <c r="AF578" s="421"/>
      <c r="AG578" s="421"/>
      <c r="AH578" s="421"/>
      <c r="AI578" s="421"/>
      <c r="AJ578" s="421"/>
      <c r="AK578" s="421"/>
      <c r="AL578" s="421"/>
    </row>
    <row r="579" spans="1:38">
      <c r="A579" s="410">
        <v>5654</v>
      </c>
      <c r="B579" s="407"/>
      <c r="C579" s="408"/>
      <c r="D579" s="410" t="s">
        <v>2146</v>
      </c>
      <c r="E579" s="410" t="s">
        <v>1585</v>
      </c>
      <c r="F579" s="410" t="s">
        <v>1476</v>
      </c>
      <c r="G579" s="68" t="str">
        <f t="shared" si="46"/>
        <v>DUAL</v>
      </c>
      <c r="H579" s="197">
        <f t="shared" si="45"/>
        <v>19</v>
      </c>
      <c r="I579" s="408">
        <f t="shared" si="47"/>
        <v>5</v>
      </c>
      <c r="J579" s="408">
        <f t="shared" si="48"/>
        <v>8</v>
      </c>
      <c r="K579" s="411">
        <v>45785</v>
      </c>
      <c r="L579" s="408"/>
      <c r="M579" s="408"/>
      <c r="N579" s="3" t="str">
        <f t="shared" si="49"/>
        <v/>
      </c>
      <c r="O579" s="408"/>
      <c r="P579" s="408"/>
      <c r="Q579" s="408"/>
      <c r="R579" s="408"/>
      <c r="S579" s="408"/>
      <c r="T579" s="408"/>
      <c r="U579" s="408"/>
      <c r="V579" s="421"/>
      <c r="W579" s="421"/>
      <c r="X579" s="421"/>
      <c r="Y579" s="421"/>
      <c r="Z579" s="421"/>
      <c r="AA579" s="421"/>
      <c r="AB579" s="421"/>
      <c r="AC579" s="421"/>
      <c r="AD579" s="421"/>
      <c r="AE579" s="421"/>
      <c r="AF579" s="421"/>
      <c r="AG579" s="421"/>
      <c r="AH579" s="421"/>
      <c r="AI579" s="421"/>
      <c r="AJ579" s="421"/>
      <c r="AK579" s="421"/>
      <c r="AL579" s="421"/>
    </row>
    <row r="580" spans="1:38">
      <c r="A580" s="410">
        <v>5535</v>
      </c>
      <c r="B580" s="407"/>
      <c r="C580" s="408"/>
      <c r="D580" s="410" t="s">
        <v>2147</v>
      </c>
      <c r="E580" s="410" t="s">
        <v>1585</v>
      </c>
      <c r="F580" s="410" t="s">
        <v>1591</v>
      </c>
      <c r="G580" s="68" t="str">
        <f t="shared" si="46"/>
        <v>SINGLE</v>
      </c>
      <c r="H580" s="197">
        <f t="shared" si="45"/>
        <v>19</v>
      </c>
      <c r="I580" s="408">
        <f t="shared" si="47"/>
        <v>5</v>
      </c>
      <c r="J580" s="408">
        <f t="shared" si="48"/>
        <v>8</v>
      </c>
      <c r="K580" s="411">
        <v>45785</v>
      </c>
      <c r="L580" s="408"/>
      <c r="M580" s="408"/>
      <c r="N580" s="3" t="str">
        <f t="shared" si="49"/>
        <v/>
      </c>
      <c r="O580" s="408"/>
      <c r="P580" s="408"/>
      <c r="Q580" s="408"/>
      <c r="R580" s="408"/>
      <c r="S580" s="408"/>
      <c r="T580" s="408"/>
      <c r="U580" s="408"/>
      <c r="V580" s="421"/>
      <c r="W580" s="421"/>
      <c r="X580" s="421"/>
      <c r="Y580" s="421"/>
      <c r="Z580" s="421"/>
      <c r="AA580" s="421"/>
      <c r="AB580" s="421"/>
      <c r="AC580" s="421"/>
      <c r="AD580" s="421"/>
      <c r="AE580" s="421"/>
      <c r="AF580" s="421"/>
      <c r="AG580" s="421"/>
      <c r="AH580" s="421"/>
      <c r="AI580" s="421"/>
      <c r="AJ580" s="421"/>
      <c r="AK580" s="421"/>
      <c r="AL580" s="421"/>
    </row>
    <row r="581" spans="1:38">
      <c r="A581" s="410">
        <v>5535</v>
      </c>
      <c r="B581" s="407"/>
      <c r="C581" s="408"/>
      <c r="D581" s="410" t="s">
        <v>2148</v>
      </c>
      <c r="E581" s="410" t="s">
        <v>1585</v>
      </c>
      <c r="F581" s="410" t="s">
        <v>1591</v>
      </c>
      <c r="G581" s="68" t="str">
        <f t="shared" si="46"/>
        <v>SINGLE</v>
      </c>
      <c r="H581" s="197">
        <f t="shared" si="45"/>
        <v>19</v>
      </c>
      <c r="I581" s="408">
        <f t="shared" si="47"/>
        <v>5</v>
      </c>
      <c r="J581" s="408">
        <f t="shared" si="48"/>
        <v>8</v>
      </c>
      <c r="K581" s="411">
        <v>45785</v>
      </c>
      <c r="L581" s="408"/>
      <c r="M581" s="408"/>
      <c r="N581" s="3" t="str">
        <f t="shared" si="49"/>
        <v/>
      </c>
      <c r="O581" s="408"/>
      <c r="P581" s="408"/>
      <c r="Q581" s="408"/>
      <c r="R581" s="408"/>
      <c r="S581" s="408"/>
      <c r="T581" s="408"/>
      <c r="U581" s="408"/>
      <c r="V581" s="421"/>
      <c r="W581" s="421"/>
      <c r="X581" s="421"/>
      <c r="Y581" s="421"/>
      <c r="Z581" s="421"/>
      <c r="AA581" s="421"/>
      <c r="AB581" s="421"/>
      <c r="AC581" s="421"/>
      <c r="AD581" s="421"/>
      <c r="AE581" s="421"/>
      <c r="AF581" s="421"/>
      <c r="AG581" s="421"/>
      <c r="AH581" s="421"/>
      <c r="AI581" s="421"/>
      <c r="AJ581" s="421"/>
      <c r="AK581" s="421"/>
      <c r="AL581" s="421"/>
    </row>
    <row r="582" spans="1:38">
      <c r="A582" s="410">
        <v>5576</v>
      </c>
      <c r="B582" s="407"/>
      <c r="C582" s="408"/>
      <c r="D582" s="410" t="s">
        <v>2149</v>
      </c>
      <c r="E582" s="410" t="s">
        <v>1426</v>
      </c>
      <c r="F582" s="410" t="s">
        <v>1476</v>
      </c>
      <c r="G582" s="68" t="str">
        <f t="shared" si="46"/>
        <v>DUAL</v>
      </c>
      <c r="H582" s="197">
        <f t="shared" si="45"/>
        <v>19</v>
      </c>
      <c r="I582" s="408">
        <f t="shared" si="47"/>
        <v>5</v>
      </c>
      <c r="J582" s="408">
        <f t="shared" si="48"/>
        <v>9</v>
      </c>
      <c r="K582" s="411">
        <v>45786</v>
      </c>
      <c r="L582" s="408"/>
      <c r="M582" s="408"/>
      <c r="N582" s="3" t="str">
        <f t="shared" si="49"/>
        <v/>
      </c>
      <c r="O582" s="408"/>
      <c r="P582" s="408"/>
      <c r="Q582" s="408"/>
      <c r="R582" s="408"/>
      <c r="S582" s="408"/>
      <c r="T582" s="408"/>
      <c r="U582" s="408"/>
      <c r="V582" s="421"/>
      <c r="W582" s="421"/>
      <c r="X582" s="421"/>
      <c r="Y582" s="421"/>
      <c r="Z582" s="421"/>
      <c r="AA582" s="421"/>
      <c r="AB582" s="421"/>
      <c r="AC582" s="421"/>
      <c r="AD582" s="421"/>
      <c r="AE582" s="421"/>
      <c r="AF582" s="421"/>
      <c r="AG582" s="421"/>
      <c r="AH582" s="421"/>
      <c r="AI582" s="421"/>
      <c r="AJ582" s="421"/>
      <c r="AK582" s="421"/>
      <c r="AL582" s="421"/>
    </row>
    <row r="583" spans="1:38">
      <c r="A583" s="410">
        <v>5576</v>
      </c>
      <c r="B583" s="407"/>
      <c r="C583" s="408"/>
      <c r="D583" s="410" t="s">
        <v>2150</v>
      </c>
      <c r="E583" s="410" t="s">
        <v>1426</v>
      </c>
      <c r="F583" s="410" t="s">
        <v>1476</v>
      </c>
      <c r="G583" s="68" t="str">
        <f t="shared" si="46"/>
        <v>DUAL</v>
      </c>
      <c r="H583" s="197">
        <f t="shared" si="45"/>
        <v>19</v>
      </c>
      <c r="I583" s="408">
        <f t="shared" si="47"/>
        <v>5</v>
      </c>
      <c r="J583" s="408">
        <f t="shared" si="48"/>
        <v>9</v>
      </c>
      <c r="K583" s="411">
        <v>45786</v>
      </c>
      <c r="L583" s="408"/>
      <c r="M583" s="408"/>
      <c r="N583" s="3" t="str">
        <f t="shared" si="49"/>
        <v/>
      </c>
      <c r="O583" s="408"/>
      <c r="P583" s="408"/>
      <c r="Q583" s="408"/>
      <c r="R583" s="408"/>
      <c r="S583" s="408"/>
      <c r="T583" s="408"/>
      <c r="U583" s="408"/>
      <c r="V583" s="421"/>
      <c r="W583" s="421"/>
      <c r="X583" s="421"/>
      <c r="Y583" s="421"/>
      <c r="Z583" s="421"/>
      <c r="AA583" s="421"/>
      <c r="AB583" s="421"/>
      <c r="AC583" s="421"/>
      <c r="AD583" s="421"/>
      <c r="AE583" s="421"/>
      <c r="AF583" s="421"/>
      <c r="AG583" s="421"/>
      <c r="AH583" s="421"/>
      <c r="AI583" s="421"/>
      <c r="AJ583" s="421"/>
      <c r="AK583" s="421"/>
      <c r="AL583" s="421"/>
    </row>
    <row r="584" spans="1:38">
      <c r="A584" s="410">
        <v>5576</v>
      </c>
      <c r="B584" s="407"/>
      <c r="C584" s="408"/>
      <c r="D584" s="410" t="s">
        <v>2151</v>
      </c>
      <c r="E584" s="410" t="s">
        <v>1426</v>
      </c>
      <c r="F584" s="410" t="s">
        <v>1476</v>
      </c>
      <c r="G584" s="68" t="str">
        <f t="shared" si="46"/>
        <v>DUAL</v>
      </c>
      <c r="H584" s="197">
        <f t="shared" si="45"/>
        <v>19</v>
      </c>
      <c r="I584" s="408">
        <f t="shared" si="47"/>
        <v>5</v>
      </c>
      <c r="J584" s="408">
        <f t="shared" si="48"/>
        <v>9</v>
      </c>
      <c r="K584" s="411">
        <v>45786</v>
      </c>
      <c r="L584" s="408"/>
      <c r="M584" s="408"/>
      <c r="N584" s="3" t="str">
        <f t="shared" si="49"/>
        <v/>
      </c>
      <c r="O584" s="408"/>
      <c r="P584" s="408"/>
      <c r="Q584" s="408"/>
      <c r="R584" s="408"/>
      <c r="S584" s="408"/>
      <c r="T584" s="408"/>
      <c r="U584" s="408"/>
      <c r="V584" s="421"/>
      <c r="W584" s="421"/>
      <c r="X584" s="421"/>
      <c r="Y584" s="421"/>
      <c r="Z584" s="421"/>
      <c r="AA584" s="421"/>
      <c r="AB584" s="421"/>
      <c r="AC584" s="421"/>
      <c r="AD584" s="421"/>
      <c r="AE584" s="421"/>
      <c r="AF584" s="421"/>
      <c r="AG584" s="421"/>
      <c r="AH584" s="421"/>
      <c r="AI584" s="421"/>
      <c r="AJ584" s="421"/>
      <c r="AK584" s="421"/>
      <c r="AL584" s="421"/>
    </row>
    <row r="585" spans="1:38">
      <c r="A585" s="410">
        <v>5576</v>
      </c>
      <c r="B585" s="407"/>
      <c r="C585" s="408"/>
      <c r="D585" s="410" t="s">
        <v>2152</v>
      </c>
      <c r="E585" s="410" t="s">
        <v>1426</v>
      </c>
      <c r="F585" s="410" t="s">
        <v>1476</v>
      </c>
      <c r="G585" s="68" t="str">
        <f t="shared" si="46"/>
        <v>DUAL</v>
      </c>
      <c r="H585" s="197">
        <f t="shared" si="45"/>
        <v>19</v>
      </c>
      <c r="I585" s="408">
        <f t="shared" si="47"/>
        <v>5</v>
      </c>
      <c r="J585" s="408">
        <f t="shared" si="48"/>
        <v>9</v>
      </c>
      <c r="K585" s="411">
        <v>45786</v>
      </c>
      <c r="L585" s="408"/>
      <c r="M585" s="408"/>
      <c r="N585" s="3" t="str">
        <f t="shared" si="49"/>
        <v/>
      </c>
      <c r="O585" s="408"/>
      <c r="P585" s="408"/>
      <c r="Q585" s="408"/>
      <c r="R585" s="408"/>
      <c r="S585" s="408"/>
      <c r="T585" s="408"/>
      <c r="U585" s="408"/>
      <c r="V585" s="421"/>
      <c r="W585" s="421"/>
      <c r="X585" s="421"/>
      <c r="Y585" s="421"/>
      <c r="Z585" s="421"/>
      <c r="AA585" s="421"/>
      <c r="AB585" s="421"/>
      <c r="AC585" s="421"/>
      <c r="AD585" s="421"/>
      <c r="AE585" s="421"/>
      <c r="AF585" s="421"/>
      <c r="AG585" s="421"/>
      <c r="AH585" s="421"/>
      <c r="AI585" s="421"/>
      <c r="AJ585" s="421"/>
      <c r="AK585" s="421"/>
      <c r="AL585" s="421"/>
    </row>
    <row r="586" spans="1:38">
      <c r="A586" s="410">
        <v>5633</v>
      </c>
      <c r="B586" s="407"/>
      <c r="C586" s="408"/>
      <c r="D586" s="410" t="s">
        <v>2153</v>
      </c>
      <c r="E586" s="410" t="s">
        <v>1405</v>
      </c>
      <c r="F586" s="410" t="s">
        <v>1581</v>
      </c>
      <c r="G586" s="68" t="str">
        <f t="shared" si="46"/>
        <v>DUAL</v>
      </c>
      <c r="H586" s="197">
        <f t="shared" si="45"/>
        <v>19</v>
      </c>
      <c r="I586" s="408">
        <f t="shared" si="47"/>
        <v>5</v>
      </c>
      <c r="J586" s="408">
        <f t="shared" si="48"/>
        <v>9</v>
      </c>
      <c r="K586" s="411">
        <v>45786</v>
      </c>
      <c r="L586" s="408"/>
      <c r="M586" s="408"/>
      <c r="N586" s="3" t="str">
        <f t="shared" si="49"/>
        <v/>
      </c>
      <c r="O586" s="408"/>
      <c r="P586" s="408"/>
      <c r="Q586" s="408"/>
      <c r="R586" s="408"/>
      <c r="S586" s="408"/>
      <c r="T586" s="408"/>
      <c r="U586" s="408"/>
      <c r="V586" s="421"/>
      <c r="W586" s="421"/>
      <c r="X586" s="421"/>
      <c r="Y586" s="421"/>
      <c r="Z586" s="421"/>
      <c r="AA586" s="421"/>
      <c r="AB586" s="421"/>
      <c r="AC586" s="421"/>
      <c r="AD586" s="421"/>
      <c r="AE586" s="421"/>
      <c r="AF586" s="421"/>
      <c r="AG586" s="421"/>
      <c r="AH586" s="421"/>
      <c r="AI586" s="421"/>
      <c r="AJ586" s="421"/>
      <c r="AK586" s="421"/>
      <c r="AL586" s="421"/>
    </row>
    <row r="587" spans="1:38" s="180" customFormat="1">
      <c r="A587" s="412">
        <v>5608</v>
      </c>
      <c r="B587" s="413"/>
      <c r="C587" s="414"/>
      <c r="D587" s="412" t="s">
        <v>1878</v>
      </c>
      <c r="E587" s="412" t="s">
        <v>1409</v>
      </c>
      <c r="F587" s="412" t="s">
        <v>1479</v>
      </c>
      <c r="G587" s="68" t="str">
        <f t="shared" si="46"/>
        <v>SINGLE</v>
      </c>
      <c r="H587" s="197">
        <f t="shared" si="45"/>
        <v>19</v>
      </c>
      <c r="I587" s="414">
        <f t="shared" si="47"/>
        <v>5</v>
      </c>
      <c r="J587" s="414">
        <f t="shared" si="48"/>
        <v>9</v>
      </c>
      <c r="K587" s="415">
        <v>45786</v>
      </c>
      <c r="L587" s="414"/>
      <c r="M587" s="414"/>
      <c r="N587" s="3" t="str">
        <f t="shared" si="49"/>
        <v/>
      </c>
      <c r="O587" s="414"/>
      <c r="P587" s="414"/>
      <c r="Q587" s="414"/>
      <c r="R587" s="414"/>
      <c r="S587" s="414"/>
      <c r="T587" s="414"/>
      <c r="U587" s="414"/>
      <c r="V587" s="419"/>
      <c r="W587" s="419"/>
      <c r="X587" s="419"/>
      <c r="Y587" s="419"/>
      <c r="Z587" s="419"/>
      <c r="AA587" s="419"/>
      <c r="AB587" s="419"/>
      <c r="AC587" s="419"/>
      <c r="AD587" s="419"/>
      <c r="AE587" s="419"/>
      <c r="AF587" s="419"/>
      <c r="AG587" s="419"/>
      <c r="AH587" s="419"/>
      <c r="AI587" s="419"/>
      <c r="AJ587" s="419"/>
      <c r="AK587" s="419"/>
      <c r="AL587" s="419"/>
    </row>
    <row r="588" spans="1:38" s="180" customFormat="1">
      <c r="A588" s="412">
        <v>5608</v>
      </c>
      <c r="B588" s="413"/>
      <c r="C588" s="414"/>
      <c r="D588" s="412" t="s">
        <v>1879</v>
      </c>
      <c r="E588" s="412" t="s">
        <v>1409</v>
      </c>
      <c r="F588" s="412" t="s">
        <v>1479</v>
      </c>
      <c r="G588" s="68" t="str">
        <f t="shared" si="46"/>
        <v>SINGLE</v>
      </c>
      <c r="H588" s="197">
        <f t="shared" si="45"/>
        <v>19</v>
      </c>
      <c r="I588" s="414">
        <f t="shared" si="47"/>
        <v>5</v>
      </c>
      <c r="J588" s="414">
        <f t="shared" si="48"/>
        <v>9</v>
      </c>
      <c r="K588" s="415">
        <v>45786</v>
      </c>
      <c r="L588" s="414"/>
      <c r="M588" s="414"/>
      <c r="N588" s="3" t="str">
        <f t="shared" si="49"/>
        <v/>
      </c>
      <c r="O588" s="414"/>
      <c r="P588" s="414"/>
      <c r="Q588" s="414"/>
      <c r="R588" s="414"/>
      <c r="S588" s="414"/>
      <c r="T588" s="414"/>
      <c r="U588" s="414"/>
      <c r="V588" s="419"/>
      <c r="W588" s="419"/>
      <c r="X588" s="419"/>
      <c r="Y588" s="419"/>
      <c r="Z588" s="419"/>
      <c r="AA588" s="419"/>
      <c r="AB588" s="419"/>
      <c r="AC588" s="419"/>
      <c r="AD588" s="419"/>
      <c r="AE588" s="419"/>
      <c r="AF588" s="419"/>
      <c r="AG588" s="419"/>
      <c r="AH588" s="419"/>
      <c r="AI588" s="419"/>
      <c r="AJ588" s="419"/>
      <c r="AK588" s="419"/>
      <c r="AL588" s="419"/>
    </row>
    <row r="589" spans="1:38">
      <c r="A589" s="410">
        <v>5653</v>
      </c>
      <c r="B589" s="407"/>
      <c r="C589" s="408"/>
      <c r="D589" s="410" t="s">
        <v>2154</v>
      </c>
      <c r="E589" s="410" t="s">
        <v>1585</v>
      </c>
      <c r="F589" s="410" t="s">
        <v>1476</v>
      </c>
      <c r="G589" s="68" t="str">
        <f t="shared" si="46"/>
        <v>DUAL</v>
      </c>
      <c r="H589" s="197">
        <f t="shared" si="45"/>
        <v>19</v>
      </c>
      <c r="I589" s="408">
        <f t="shared" si="47"/>
        <v>5</v>
      </c>
      <c r="J589" s="408">
        <f t="shared" si="48"/>
        <v>9</v>
      </c>
      <c r="K589" s="411">
        <v>45786</v>
      </c>
      <c r="L589" s="408"/>
      <c r="M589" s="408"/>
      <c r="N589" s="3" t="str">
        <f t="shared" si="49"/>
        <v/>
      </c>
      <c r="O589" s="408"/>
      <c r="P589" s="408"/>
      <c r="Q589" s="408"/>
      <c r="R589" s="408"/>
      <c r="S589" s="408"/>
      <c r="T589" s="408"/>
      <c r="U589" s="408"/>
      <c r="V589" s="421"/>
      <c r="W589" s="421"/>
      <c r="X589" s="421"/>
      <c r="Y589" s="421"/>
      <c r="Z589" s="421"/>
      <c r="AA589" s="421"/>
      <c r="AB589" s="421"/>
      <c r="AC589" s="421"/>
      <c r="AD589" s="421"/>
      <c r="AE589" s="421"/>
      <c r="AF589" s="421"/>
      <c r="AG589" s="421"/>
      <c r="AH589" s="421"/>
      <c r="AI589" s="421"/>
      <c r="AJ589" s="421"/>
      <c r="AK589" s="421"/>
      <c r="AL589" s="421"/>
    </row>
    <row r="590" spans="1:38">
      <c r="A590" s="410">
        <v>5663</v>
      </c>
      <c r="B590" s="407"/>
      <c r="C590" s="408"/>
      <c r="D590" s="410" t="s">
        <v>2155</v>
      </c>
      <c r="E590" s="410" t="s">
        <v>1585</v>
      </c>
      <c r="F590" s="410" t="s">
        <v>1476</v>
      </c>
      <c r="G590" s="68" t="str">
        <f t="shared" si="46"/>
        <v>DUAL</v>
      </c>
      <c r="H590" s="197">
        <f t="shared" si="45"/>
        <v>20</v>
      </c>
      <c r="I590" s="408">
        <f t="shared" si="47"/>
        <v>5</v>
      </c>
      <c r="J590" s="408">
        <f t="shared" si="48"/>
        <v>12</v>
      </c>
      <c r="K590" s="411">
        <v>45789</v>
      </c>
      <c r="L590" s="408"/>
      <c r="M590" s="408"/>
      <c r="N590" s="3" t="str">
        <f t="shared" si="49"/>
        <v/>
      </c>
      <c r="O590" s="408"/>
      <c r="P590" s="408"/>
      <c r="Q590" s="408"/>
      <c r="R590" s="408"/>
      <c r="S590" s="408"/>
      <c r="T590" s="408"/>
      <c r="U590" s="408"/>
      <c r="V590" s="421"/>
      <c r="W590" s="421"/>
      <c r="X590" s="421"/>
      <c r="Y590" s="421"/>
      <c r="Z590" s="421"/>
      <c r="AA590" s="421"/>
      <c r="AB590" s="421"/>
      <c r="AC590" s="421"/>
      <c r="AD590" s="421"/>
      <c r="AE590" s="421"/>
      <c r="AF590" s="421"/>
      <c r="AG590" s="421"/>
      <c r="AH590" s="421"/>
      <c r="AI590" s="421"/>
      <c r="AJ590" s="421"/>
      <c r="AK590" s="421"/>
      <c r="AL590" s="421"/>
    </row>
    <row r="591" spans="1:38">
      <c r="A591" s="410">
        <v>5574</v>
      </c>
      <c r="B591" s="407"/>
      <c r="C591" s="408"/>
      <c r="D591" s="410" t="s">
        <v>2156</v>
      </c>
      <c r="E591" s="410" t="s">
        <v>1426</v>
      </c>
      <c r="F591" s="410" t="s">
        <v>1476</v>
      </c>
      <c r="G591" s="68" t="str">
        <f t="shared" si="46"/>
        <v>DUAL</v>
      </c>
      <c r="H591" s="197">
        <f t="shared" si="45"/>
        <v>20</v>
      </c>
      <c r="I591" s="408">
        <f t="shared" si="47"/>
        <v>5</v>
      </c>
      <c r="J591" s="408">
        <f t="shared" si="48"/>
        <v>12</v>
      </c>
      <c r="K591" s="411">
        <v>45789</v>
      </c>
      <c r="L591" s="408"/>
      <c r="M591" s="408"/>
      <c r="N591" s="3" t="str">
        <f t="shared" si="49"/>
        <v/>
      </c>
      <c r="O591" s="408"/>
      <c r="P591" s="408"/>
      <c r="Q591" s="408"/>
      <c r="R591" s="408"/>
      <c r="S591" s="408"/>
      <c r="T591" s="408"/>
      <c r="U591" s="408"/>
      <c r="V591" s="421"/>
      <c r="W591" s="421"/>
      <c r="X591" s="421"/>
      <c r="Y591" s="421"/>
      <c r="Z591" s="421"/>
      <c r="AA591" s="421"/>
      <c r="AB591" s="421"/>
      <c r="AC591" s="421"/>
      <c r="AD591" s="421"/>
      <c r="AE591" s="421"/>
      <c r="AF591" s="421"/>
      <c r="AG591" s="421"/>
      <c r="AH591" s="421"/>
      <c r="AI591" s="421"/>
      <c r="AJ591" s="421"/>
      <c r="AK591" s="421"/>
      <c r="AL591" s="421"/>
    </row>
    <row r="592" spans="1:38">
      <c r="A592" s="410">
        <v>5350</v>
      </c>
      <c r="B592" s="407"/>
      <c r="C592" s="408"/>
      <c r="D592" s="410" t="s">
        <v>2157</v>
      </c>
      <c r="E592" s="410" t="s">
        <v>1585</v>
      </c>
      <c r="F592" s="410" t="s">
        <v>1476</v>
      </c>
      <c r="G592" s="68" t="str">
        <f t="shared" si="46"/>
        <v>DUAL</v>
      </c>
      <c r="H592" s="197">
        <f t="shared" si="45"/>
        <v>20</v>
      </c>
      <c r="I592" s="408">
        <f t="shared" si="47"/>
        <v>5</v>
      </c>
      <c r="J592" s="408">
        <f t="shared" si="48"/>
        <v>12</v>
      </c>
      <c r="K592" s="411">
        <v>45789</v>
      </c>
      <c r="L592" s="408"/>
      <c r="M592" s="408"/>
      <c r="N592" s="3" t="str">
        <f t="shared" si="49"/>
        <v/>
      </c>
      <c r="O592" s="408"/>
      <c r="P592" s="408"/>
      <c r="Q592" s="408"/>
      <c r="R592" s="408"/>
      <c r="S592" s="408"/>
      <c r="T592" s="408"/>
      <c r="U592" s="408"/>
      <c r="V592" s="421"/>
      <c r="W592" s="421"/>
      <c r="X592" s="421"/>
      <c r="Y592" s="421"/>
      <c r="Z592" s="421"/>
      <c r="AA592" s="421"/>
      <c r="AB592" s="421"/>
      <c r="AC592" s="421"/>
      <c r="AD592" s="421"/>
      <c r="AE592" s="421"/>
      <c r="AF592" s="421"/>
      <c r="AG592" s="421"/>
      <c r="AH592" s="421"/>
      <c r="AI592" s="421"/>
      <c r="AJ592" s="421"/>
      <c r="AK592" s="421"/>
      <c r="AL592" s="421"/>
    </row>
    <row r="593" spans="1:38">
      <c r="A593" s="410">
        <v>5588</v>
      </c>
      <c r="B593" s="407"/>
      <c r="C593" s="408"/>
      <c r="D593" s="410" t="s">
        <v>2158</v>
      </c>
      <c r="E593" s="410" t="s">
        <v>1405</v>
      </c>
      <c r="F593" s="410" t="s">
        <v>1477</v>
      </c>
      <c r="G593" s="68" t="str">
        <f t="shared" si="46"/>
        <v>SINGLE</v>
      </c>
      <c r="H593" s="197">
        <f t="shared" si="45"/>
        <v>20</v>
      </c>
      <c r="I593" s="408">
        <f t="shared" si="47"/>
        <v>5</v>
      </c>
      <c r="J593" s="408">
        <f t="shared" si="48"/>
        <v>12</v>
      </c>
      <c r="K593" s="411">
        <v>45789</v>
      </c>
      <c r="L593" s="408"/>
      <c r="M593" s="408"/>
      <c r="N593" s="3" t="str">
        <f t="shared" si="49"/>
        <v/>
      </c>
      <c r="O593" s="408"/>
      <c r="P593" s="408"/>
      <c r="Q593" s="408"/>
      <c r="R593" s="408"/>
      <c r="S593" s="408"/>
      <c r="T593" s="408"/>
      <c r="U593" s="408"/>
      <c r="V593" s="421"/>
      <c r="W593" s="421"/>
      <c r="X593" s="421"/>
      <c r="Y593" s="421"/>
      <c r="Z593" s="421"/>
      <c r="AA593" s="421"/>
      <c r="AB593" s="421"/>
      <c r="AC593" s="421"/>
      <c r="AD593" s="421"/>
      <c r="AE593" s="421"/>
      <c r="AF593" s="421"/>
      <c r="AG593" s="421"/>
      <c r="AH593" s="421"/>
      <c r="AI593" s="421"/>
      <c r="AJ593" s="421"/>
      <c r="AK593" s="421"/>
      <c r="AL593" s="421"/>
    </row>
    <row r="594" spans="1:38">
      <c r="A594" s="410">
        <v>5588</v>
      </c>
      <c r="B594" s="407"/>
      <c r="C594" s="408"/>
      <c r="D594" s="410" t="s">
        <v>2159</v>
      </c>
      <c r="E594" s="410" t="s">
        <v>1405</v>
      </c>
      <c r="F594" s="410" t="s">
        <v>1477</v>
      </c>
      <c r="G594" s="68" t="str">
        <f t="shared" si="46"/>
        <v>SINGLE</v>
      </c>
      <c r="H594" s="197">
        <f t="shared" si="45"/>
        <v>20</v>
      </c>
      <c r="I594" s="408">
        <f t="shared" si="47"/>
        <v>5</v>
      </c>
      <c r="J594" s="408">
        <f t="shared" si="48"/>
        <v>12</v>
      </c>
      <c r="K594" s="411">
        <v>45789</v>
      </c>
      <c r="L594" s="408"/>
      <c r="M594" s="408"/>
      <c r="N594" s="3" t="str">
        <f t="shared" si="49"/>
        <v/>
      </c>
      <c r="O594" s="408"/>
      <c r="P594" s="408"/>
      <c r="Q594" s="408"/>
      <c r="R594" s="408"/>
      <c r="S594" s="408"/>
      <c r="T594" s="408"/>
      <c r="U594" s="408"/>
      <c r="V594" s="421"/>
      <c r="W594" s="421"/>
      <c r="X594" s="421"/>
      <c r="Y594" s="421"/>
      <c r="Z594" s="421"/>
      <c r="AA594" s="421"/>
      <c r="AB594" s="421"/>
      <c r="AC594" s="421"/>
      <c r="AD594" s="421"/>
      <c r="AE594" s="421"/>
      <c r="AF594" s="421"/>
      <c r="AG594" s="421"/>
      <c r="AH594" s="421"/>
      <c r="AI594" s="421"/>
      <c r="AJ594" s="421"/>
      <c r="AK594" s="421"/>
      <c r="AL594" s="421"/>
    </row>
    <row r="595" spans="1:38">
      <c r="A595" s="410">
        <v>5622</v>
      </c>
      <c r="B595" s="407"/>
      <c r="C595" s="408"/>
      <c r="D595" s="410" t="s">
        <v>2160</v>
      </c>
      <c r="E595" s="410" t="s">
        <v>1433</v>
      </c>
      <c r="F595" s="410" t="s">
        <v>1581</v>
      </c>
      <c r="G595" s="68" t="str">
        <f t="shared" si="46"/>
        <v>DUAL</v>
      </c>
      <c r="H595" s="197">
        <f t="shared" si="45"/>
        <v>20</v>
      </c>
      <c r="I595" s="408">
        <f t="shared" si="47"/>
        <v>5</v>
      </c>
      <c r="J595" s="408">
        <f t="shared" si="48"/>
        <v>12</v>
      </c>
      <c r="K595" s="411">
        <v>45789</v>
      </c>
      <c r="L595" s="408"/>
      <c r="M595" s="408"/>
      <c r="N595" s="3" t="str">
        <f t="shared" si="49"/>
        <v/>
      </c>
      <c r="O595" s="408"/>
      <c r="P595" s="408"/>
      <c r="Q595" s="408"/>
      <c r="R595" s="408"/>
      <c r="S595" s="408"/>
      <c r="T595" s="408"/>
      <c r="U595" s="408"/>
      <c r="V595" s="421"/>
      <c r="W595" s="421"/>
      <c r="X595" s="421"/>
      <c r="Y595" s="421"/>
      <c r="Z595" s="421"/>
      <c r="AA595" s="421"/>
      <c r="AB595" s="421"/>
      <c r="AC595" s="421"/>
      <c r="AD595" s="421"/>
      <c r="AE595" s="421"/>
      <c r="AF595" s="421"/>
      <c r="AG595" s="421"/>
      <c r="AH595" s="421"/>
      <c r="AI595" s="421"/>
      <c r="AJ595" s="421"/>
      <c r="AK595" s="421"/>
      <c r="AL595" s="421"/>
    </row>
    <row r="596" spans="1:38">
      <c r="A596" s="410">
        <v>5622</v>
      </c>
      <c r="B596" s="407"/>
      <c r="C596" s="408"/>
      <c r="D596" s="410" t="s">
        <v>2161</v>
      </c>
      <c r="E596" s="410" t="s">
        <v>1433</v>
      </c>
      <c r="F596" s="410" t="s">
        <v>1581</v>
      </c>
      <c r="G596" s="68" t="str">
        <f t="shared" si="46"/>
        <v>DUAL</v>
      </c>
      <c r="H596" s="197">
        <f t="shared" si="45"/>
        <v>20</v>
      </c>
      <c r="I596" s="408">
        <f t="shared" si="47"/>
        <v>5</v>
      </c>
      <c r="J596" s="408">
        <f t="shared" si="48"/>
        <v>12</v>
      </c>
      <c r="K596" s="411">
        <v>45789</v>
      </c>
      <c r="L596" s="408"/>
      <c r="M596" s="408"/>
      <c r="N596" s="3" t="str">
        <f t="shared" si="49"/>
        <v/>
      </c>
      <c r="O596" s="408"/>
      <c r="P596" s="408"/>
      <c r="Q596" s="408"/>
      <c r="R596" s="408"/>
      <c r="S596" s="408"/>
      <c r="T596" s="408"/>
      <c r="U596" s="408"/>
      <c r="V596" s="421"/>
      <c r="W596" s="421"/>
      <c r="X596" s="421"/>
      <c r="Y596" s="421"/>
      <c r="Z596" s="421"/>
      <c r="AA596" s="421"/>
      <c r="AB596" s="421"/>
      <c r="AC596" s="421"/>
      <c r="AD596" s="421"/>
      <c r="AE596" s="421"/>
      <c r="AF596" s="421"/>
      <c r="AG596" s="421"/>
      <c r="AH596" s="421"/>
      <c r="AI596" s="421"/>
      <c r="AJ596" s="421"/>
      <c r="AK596" s="421"/>
      <c r="AL596" s="421"/>
    </row>
    <row r="597" spans="1:38">
      <c r="A597" s="410">
        <v>5622</v>
      </c>
      <c r="B597" s="407"/>
      <c r="C597" s="408"/>
      <c r="D597" s="410" t="s">
        <v>2162</v>
      </c>
      <c r="E597" s="410" t="s">
        <v>1433</v>
      </c>
      <c r="F597" s="410" t="s">
        <v>1581</v>
      </c>
      <c r="G597" s="68" t="str">
        <f t="shared" si="46"/>
        <v>DUAL</v>
      </c>
      <c r="H597" s="197">
        <f t="shared" si="45"/>
        <v>20</v>
      </c>
      <c r="I597" s="408">
        <f t="shared" si="47"/>
        <v>5</v>
      </c>
      <c r="J597" s="408">
        <f t="shared" si="48"/>
        <v>12</v>
      </c>
      <c r="K597" s="411">
        <v>45789</v>
      </c>
      <c r="L597" s="408"/>
      <c r="M597" s="408"/>
      <c r="N597" s="3" t="str">
        <f t="shared" si="49"/>
        <v/>
      </c>
      <c r="O597" s="408"/>
      <c r="P597" s="408"/>
      <c r="Q597" s="408"/>
      <c r="R597" s="408"/>
      <c r="S597" s="408"/>
      <c r="T597" s="408"/>
      <c r="U597" s="408"/>
      <c r="V597" s="421"/>
      <c r="W597" s="421"/>
      <c r="X597" s="421"/>
      <c r="Y597" s="421"/>
      <c r="Z597" s="421"/>
      <c r="AA597" s="421"/>
      <c r="AB597" s="421"/>
      <c r="AC597" s="421"/>
      <c r="AD597" s="421"/>
      <c r="AE597" s="421"/>
      <c r="AF597" s="421"/>
      <c r="AG597" s="421"/>
      <c r="AH597" s="421"/>
      <c r="AI597" s="421"/>
      <c r="AJ597" s="421"/>
      <c r="AK597" s="421"/>
      <c r="AL597" s="421"/>
    </row>
    <row r="598" spans="1:38">
      <c r="A598" s="410">
        <v>5645</v>
      </c>
      <c r="B598" s="407"/>
      <c r="C598" s="408"/>
      <c r="D598" s="410" t="s">
        <v>2163</v>
      </c>
      <c r="E598" s="410" t="s">
        <v>1408</v>
      </c>
      <c r="F598" s="410" t="s">
        <v>1479</v>
      </c>
      <c r="G598" s="68" t="str">
        <f t="shared" si="46"/>
        <v>SINGLE</v>
      </c>
      <c r="H598" s="197">
        <f t="shared" si="45"/>
        <v>20</v>
      </c>
      <c r="I598" s="408">
        <f t="shared" si="47"/>
        <v>5</v>
      </c>
      <c r="J598" s="408">
        <f t="shared" si="48"/>
        <v>13</v>
      </c>
      <c r="K598" s="411">
        <v>45790</v>
      </c>
      <c r="L598" s="408"/>
      <c r="M598" s="408"/>
      <c r="N598" s="3" t="str">
        <f t="shared" si="49"/>
        <v/>
      </c>
      <c r="O598" s="408"/>
      <c r="P598" s="408"/>
      <c r="Q598" s="408"/>
      <c r="R598" s="408"/>
      <c r="S598" s="408"/>
      <c r="T598" s="408"/>
      <c r="U598" s="408"/>
      <c r="V598" s="421"/>
      <c r="W598" s="421"/>
      <c r="X598" s="421"/>
      <c r="Y598" s="421"/>
      <c r="Z598" s="421"/>
      <c r="AA598" s="421"/>
      <c r="AB598" s="421"/>
      <c r="AC598" s="421"/>
      <c r="AD598" s="421"/>
      <c r="AE598" s="421"/>
      <c r="AF598" s="421"/>
      <c r="AG598" s="421"/>
      <c r="AH598" s="421"/>
      <c r="AI598" s="421"/>
      <c r="AJ598" s="421"/>
      <c r="AK598" s="421"/>
      <c r="AL598" s="421"/>
    </row>
    <row r="599" spans="1:38">
      <c r="A599" s="410">
        <v>5642</v>
      </c>
      <c r="B599" s="407"/>
      <c r="C599" s="408"/>
      <c r="D599" s="410" t="s">
        <v>2164</v>
      </c>
      <c r="E599" s="410" t="s">
        <v>1405</v>
      </c>
      <c r="F599" s="410" t="s">
        <v>1581</v>
      </c>
      <c r="G599" s="68" t="str">
        <f t="shared" si="46"/>
        <v>DUAL</v>
      </c>
      <c r="H599" s="197">
        <f t="shared" si="45"/>
        <v>20</v>
      </c>
      <c r="I599" s="408">
        <f t="shared" si="47"/>
        <v>5</v>
      </c>
      <c r="J599" s="408">
        <f t="shared" si="48"/>
        <v>13</v>
      </c>
      <c r="K599" s="411">
        <v>45790</v>
      </c>
      <c r="L599" s="408"/>
      <c r="M599" s="408"/>
      <c r="N599" s="3" t="str">
        <f t="shared" si="49"/>
        <v/>
      </c>
      <c r="O599" s="408"/>
      <c r="P599" s="408"/>
      <c r="Q599" s="408"/>
      <c r="R599" s="408"/>
      <c r="S599" s="408"/>
      <c r="T599" s="408"/>
      <c r="U599" s="408"/>
      <c r="V599" s="421"/>
      <c r="W599" s="421"/>
      <c r="X599" s="421"/>
      <c r="Y599" s="421"/>
      <c r="Z599" s="421"/>
      <c r="AA599" s="421"/>
      <c r="AB599" s="421"/>
      <c r="AC599" s="421"/>
      <c r="AD599" s="421"/>
      <c r="AE599" s="421"/>
      <c r="AF599" s="421"/>
      <c r="AG599" s="421"/>
      <c r="AH599" s="421"/>
      <c r="AI599" s="421"/>
      <c r="AJ599" s="421"/>
      <c r="AK599" s="421"/>
      <c r="AL599" s="421"/>
    </row>
    <row r="600" spans="1:38">
      <c r="A600" s="410">
        <v>5642</v>
      </c>
      <c r="B600" s="407"/>
      <c r="C600" s="408"/>
      <c r="D600" s="410" t="s">
        <v>2165</v>
      </c>
      <c r="E600" s="410" t="s">
        <v>1405</v>
      </c>
      <c r="F600" s="410" t="s">
        <v>1581</v>
      </c>
      <c r="G600" s="68" t="str">
        <f t="shared" si="46"/>
        <v>DUAL</v>
      </c>
      <c r="H600" s="197">
        <f t="shared" si="45"/>
        <v>20</v>
      </c>
      <c r="I600" s="408">
        <f t="shared" si="47"/>
        <v>5</v>
      </c>
      <c r="J600" s="408">
        <f t="shared" si="48"/>
        <v>13</v>
      </c>
      <c r="K600" s="411">
        <v>45790</v>
      </c>
      <c r="L600" s="408"/>
      <c r="M600" s="408"/>
      <c r="N600" s="3" t="str">
        <f t="shared" si="49"/>
        <v/>
      </c>
      <c r="O600" s="408"/>
      <c r="P600" s="408"/>
      <c r="Q600" s="408"/>
      <c r="R600" s="408"/>
      <c r="S600" s="408"/>
      <c r="T600" s="408"/>
      <c r="U600" s="408"/>
      <c r="V600" s="421"/>
      <c r="W600" s="421"/>
      <c r="X600" s="421"/>
      <c r="Y600" s="421"/>
      <c r="Z600" s="421"/>
      <c r="AA600" s="421"/>
      <c r="AB600" s="421"/>
      <c r="AC600" s="421"/>
      <c r="AD600" s="421"/>
      <c r="AE600" s="421"/>
      <c r="AF600" s="421"/>
      <c r="AG600" s="421"/>
      <c r="AH600" s="421"/>
      <c r="AI600" s="421"/>
      <c r="AJ600" s="421"/>
      <c r="AK600" s="421"/>
      <c r="AL600" s="421"/>
    </row>
    <row r="601" spans="1:38">
      <c r="A601" s="410">
        <v>5634</v>
      </c>
      <c r="B601" s="407"/>
      <c r="C601" s="408"/>
      <c r="D601" s="410" t="s">
        <v>2166</v>
      </c>
      <c r="E601" s="410" t="s">
        <v>1405</v>
      </c>
      <c r="F601" s="410" t="s">
        <v>1581</v>
      </c>
      <c r="G601" s="68" t="str">
        <f t="shared" si="46"/>
        <v>DUAL</v>
      </c>
      <c r="H601" s="197">
        <f t="shared" si="45"/>
        <v>20</v>
      </c>
      <c r="I601" s="408">
        <f t="shared" si="47"/>
        <v>5</v>
      </c>
      <c r="J601" s="408">
        <f t="shared" si="48"/>
        <v>13</v>
      </c>
      <c r="K601" s="411">
        <v>45790</v>
      </c>
      <c r="L601" s="408"/>
      <c r="M601" s="408"/>
      <c r="N601" s="3" t="str">
        <f t="shared" si="49"/>
        <v/>
      </c>
      <c r="O601" s="408"/>
      <c r="P601" s="408"/>
      <c r="Q601" s="408"/>
      <c r="R601" s="408"/>
      <c r="S601" s="408"/>
      <c r="T601" s="408"/>
      <c r="U601" s="408"/>
      <c r="V601" s="421"/>
      <c r="W601" s="421"/>
      <c r="X601" s="421"/>
      <c r="Y601" s="421"/>
      <c r="Z601" s="421"/>
      <c r="AA601" s="421"/>
      <c r="AB601" s="421"/>
      <c r="AC601" s="421"/>
      <c r="AD601" s="421"/>
      <c r="AE601" s="421"/>
      <c r="AF601" s="421"/>
      <c r="AG601" s="421"/>
      <c r="AH601" s="421"/>
      <c r="AI601" s="421"/>
      <c r="AJ601" s="421"/>
      <c r="AK601" s="421"/>
      <c r="AL601" s="421"/>
    </row>
    <row r="602" spans="1:38">
      <c r="A602" s="410">
        <v>5634</v>
      </c>
      <c r="B602" s="407"/>
      <c r="C602" s="408"/>
      <c r="D602" s="410" t="s">
        <v>2167</v>
      </c>
      <c r="E602" s="410" t="s">
        <v>1405</v>
      </c>
      <c r="F602" s="410" t="s">
        <v>1581</v>
      </c>
      <c r="G602" s="68" t="str">
        <f t="shared" si="46"/>
        <v>DUAL</v>
      </c>
      <c r="H602" s="197">
        <f t="shared" si="45"/>
        <v>20</v>
      </c>
      <c r="I602" s="408">
        <f t="shared" si="47"/>
        <v>5</v>
      </c>
      <c r="J602" s="408">
        <f t="shared" si="48"/>
        <v>13</v>
      </c>
      <c r="K602" s="411">
        <v>45790</v>
      </c>
      <c r="L602" s="408"/>
      <c r="M602" s="408"/>
      <c r="N602" s="3" t="str">
        <f t="shared" si="49"/>
        <v/>
      </c>
      <c r="O602" s="408"/>
      <c r="P602" s="408"/>
      <c r="Q602" s="408"/>
      <c r="R602" s="408"/>
      <c r="S602" s="408"/>
      <c r="T602" s="408"/>
      <c r="U602" s="408"/>
      <c r="V602" s="421"/>
      <c r="W602" s="421"/>
      <c r="X602" s="421"/>
      <c r="Y602" s="421"/>
      <c r="Z602" s="421"/>
      <c r="AA602" s="421"/>
      <c r="AB602" s="421"/>
      <c r="AC602" s="421"/>
      <c r="AD602" s="421"/>
      <c r="AE602" s="421"/>
      <c r="AF602" s="421"/>
      <c r="AG602" s="421"/>
      <c r="AH602" s="421"/>
      <c r="AI602" s="421"/>
      <c r="AJ602" s="421"/>
      <c r="AK602" s="421"/>
      <c r="AL602" s="421"/>
    </row>
    <row r="603" spans="1:38">
      <c r="A603" s="410">
        <v>5644</v>
      </c>
      <c r="B603" s="407"/>
      <c r="C603" s="408"/>
      <c r="D603" s="410" t="s">
        <v>2168</v>
      </c>
      <c r="E603" s="410" t="s">
        <v>1405</v>
      </c>
      <c r="F603" s="410" t="s">
        <v>1581</v>
      </c>
      <c r="G603" s="68" t="str">
        <f t="shared" si="46"/>
        <v>DUAL</v>
      </c>
      <c r="H603" s="197">
        <f t="shared" si="45"/>
        <v>20</v>
      </c>
      <c r="I603" s="408">
        <f t="shared" si="47"/>
        <v>5</v>
      </c>
      <c r="J603" s="408">
        <f t="shared" si="48"/>
        <v>13</v>
      </c>
      <c r="K603" s="411">
        <v>45790</v>
      </c>
      <c r="L603" s="408"/>
      <c r="M603" s="408"/>
      <c r="N603" s="3" t="str">
        <f t="shared" si="49"/>
        <v/>
      </c>
      <c r="O603" s="408"/>
      <c r="P603" s="408"/>
      <c r="Q603" s="408"/>
      <c r="R603" s="408"/>
      <c r="S603" s="408"/>
      <c r="T603" s="408"/>
      <c r="U603" s="408"/>
      <c r="V603" s="421"/>
      <c r="W603" s="421"/>
      <c r="X603" s="421"/>
      <c r="Y603" s="421"/>
      <c r="Z603" s="421"/>
      <c r="AA603" s="421"/>
      <c r="AB603" s="421"/>
      <c r="AC603" s="421"/>
      <c r="AD603" s="421"/>
      <c r="AE603" s="421"/>
      <c r="AF603" s="421"/>
      <c r="AG603" s="421"/>
      <c r="AH603" s="421"/>
      <c r="AI603" s="421"/>
      <c r="AJ603" s="421"/>
      <c r="AK603" s="421"/>
      <c r="AL603" s="421"/>
    </row>
    <row r="604" spans="1:38">
      <c r="A604" s="410">
        <v>5643</v>
      </c>
      <c r="B604" s="407"/>
      <c r="C604" s="408"/>
      <c r="D604" s="410" t="s">
        <v>2169</v>
      </c>
      <c r="E604" s="410" t="s">
        <v>1405</v>
      </c>
      <c r="F604" s="410" t="s">
        <v>1480</v>
      </c>
      <c r="G604" s="68" t="str">
        <f t="shared" si="46"/>
        <v>DUAL</v>
      </c>
      <c r="H604" s="197">
        <f t="shared" si="45"/>
        <v>20</v>
      </c>
      <c r="I604" s="408">
        <f t="shared" si="47"/>
        <v>5</v>
      </c>
      <c r="J604" s="408">
        <f t="shared" si="48"/>
        <v>14</v>
      </c>
      <c r="K604" s="411">
        <v>45791</v>
      </c>
      <c r="L604" s="408"/>
      <c r="M604" s="408"/>
      <c r="N604" s="3" t="str">
        <f t="shared" si="49"/>
        <v/>
      </c>
      <c r="O604" s="408"/>
      <c r="P604" s="408"/>
      <c r="Q604" s="408"/>
      <c r="R604" s="408"/>
      <c r="S604" s="408"/>
      <c r="T604" s="408"/>
      <c r="U604" s="408"/>
      <c r="V604" s="421"/>
      <c r="W604" s="421"/>
      <c r="X604" s="421"/>
      <c r="Y604" s="421"/>
      <c r="Z604" s="421"/>
      <c r="AA604" s="421"/>
      <c r="AB604" s="421"/>
      <c r="AC604" s="421"/>
      <c r="AD604" s="421"/>
      <c r="AE604" s="421"/>
      <c r="AF604" s="421"/>
      <c r="AG604" s="421"/>
      <c r="AH604" s="421"/>
      <c r="AI604" s="421"/>
      <c r="AJ604" s="421"/>
      <c r="AK604" s="421"/>
      <c r="AL604" s="421"/>
    </row>
    <row r="605" spans="1:38">
      <c r="A605" s="410">
        <v>5643</v>
      </c>
      <c r="B605" s="407"/>
      <c r="C605" s="408"/>
      <c r="D605" s="410" t="s">
        <v>2170</v>
      </c>
      <c r="E605" s="410" t="s">
        <v>1405</v>
      </c>
      <c r="F605" s="410" t="s">
        <v>1480</v>
      </c>
      <c r="G605" s="68" t="str">
        <f t="shared" si="46"/>
        <v>DUAL</v>
      </c>
      <c r="H605" s="197">
        <f t="shared" si="45"/>
        <v>20</v>
      </c>
      <c r="I605" s="408">
        <f t="shared" si="47"/>
        <v>5</v>
      </c>
      <c r="J605" s="408">
        <f t="shared" si="48"/>
        <v>14</v>
      </c>
      <c r="K605" s="411">
        <v>45791</v>
      </c>
      <c r="L605" s="408"/>
      <c r="M605" s="408"/>
      <c r="N605" s="3" t="str">
        <f t="shared" si="49"/>
        <v/>
      </c>
      <c r="O605" s="408"/>
      <c r="P605" s="408"/>
      <c r="Q605" s="408"/>
      <c r="R605" s="408"/>
      <c r="S605" s="408"/>
      <c r="T605" s="408"/>
      <c r="U605" s="408"/>
      <c r="V605" s="421"/>
      <c r="W605" s="421"/>
      <c r="X605" s="421"/>
      <c r="Y605" s="421"/>
      <c r="Z605" s="421"/>
      <c r="AA605" s="421"/>
      <c r="AB605" s="421"/>
      <c r="AC605" s="421"/>
      <c r="AD605" s="421"/>
      <c r="AE605" s="421"/>
      <c r="AF605" s="421"/>
      <c r="AG605" s="421"/>
      <c r="AH605" s="421"/>
      <c r="AI605" s="421"/>
      <c r="AJ605" s="421"/>
      <c r="AK605" s="421"/>
      <c r="AL605" s="421"/>
    </row>
    <row r="606" spans="1:38">
      <c r="A606" s="410">
        <v>5573</v>
      </c>
      <c r="B606" s="407"/>
      <c r="C606" s="408"/>
      <c r="D606" s="410" t="s">
        <v>2171</v>
      </c>
      <c r="E606" s="410" t="s">
        <v>1426</v>
      </c>
      <c r="F606" s="410" t="s">
        <v>1476</v>
      </c>
      <c r="G606" s="68" t="str">
        <f t="shared" si="46"/>
        <v>DUAL</v>
      </c>
      <c r="H606" s="197">
        <f t="shared" si="45"/>
        <v>20</v>
      </c>
      <c r="I606" s="408">
        <f t="shared" si="47"/>
        <v>5</v>
      </c>
      <c r="J606" s="408">
        <f t="shared" si="48"/>
        <v>14</v>
      </c>
      <c r="K606" s="411">
        <v>45791</v>
      </c>
      <c r="L606" s="408"/>
      <c r="M606" s="408"/>
      <c r="N606" s="3" t="str">
        <f t="shared" si="49"/>
        <v/>
      </c>
      <c r="O606" s="408"/>
      <c r="P606" s="408"/>
      <c r="Q606" s="408"/>
      <c r="R606" s="408"/>
      <c r="S606" s="408"/>
      <c r="T606" s="408"/>
      <c r="U606" s="408"/>
      <c r="V606" s="421"/>
      <c r="W606" s="421"/>
      <c r="X606" s="421"/>
      <c r="Y606" s="421"/>
      <c r="Z606" s="421"/>
      <c r="AA606" s="421"/>
      <c r="AB606" s="421"/>
      <c r="AC606" s="421"/>
      <c r="AD606" s="421"/>
      <c r="AE606" s="421"/>
      <c r="AF606" s="421"/>
      <c r="AG606" s="421"/>
      <c r="AH606" s="421"/>
      <c r="AI606" s="421"/>
      <c r="AJ606" s="421"/>
      <c r="AK606" s="421"/>
      <c r="AL606" s="421"/>
    </row>
    <row r="607" spans="1:38">
      <c r="A607" s="410">
        <v>5539</v>
      </c>
      <c r="B607" s="407"/>
      <c r="C607" s="408"/>
      <c r="D607" s="410" t="s">
        <v>2172</v>
      </c>
      <c r="E607" s="410" t="s">
        <v>1585</v>
      </c>
      <c r="F607" s="410" t="s">
        <v>1476</v>
      </c>
      <c r="G607" s="68" t="str">
        <f t="shared" si="46"/>
        <v>DUAL</v>
      </c>
      <c r="H607" s="197">
        <f t="shared" si="45"/>
        <v>20</v>
      </c>
      <c r="I607" s="408">
        <f t="shared" si="47"/>
        <v>5</v>
      </c>
      <c r="J607" s="408">
        <f t="shared" si="48"/>
        <v>14</v>
      </c>
      <c r="K607" s="411">
        <v>45791</v>
      </c>
      <c r="L607" s="408"/>
      <c r="M607" s="408"/>
      <c r="N607" s="3" t="str">
        <f t="shared" si="49"/>
        <v/>
      </c>
      <c r="O607" s="408"/>
      <c r="P607" s="408"/>
      <c r="Q607" s="408"/>
      <c r="R607" s="408"/>
      <c r="S607" s="408"/>
      <c r="T607" s="408"/>
      <c r="U607" s="408"/>
      <c r="V607" s="421"/>
      <c r="W607" s="421"/>
      <c r="X607" s="421"/>
      <c r="Y607" s="421"/>
      <c r="Z607" s="421"/>
      <c r="AA607" s="421"/>
      <c r="AB607" s="421"/>
      <c r="AC607" s="421"/>
      <c r="AD607" s="421"/>
      <c r="AE607" s="421"/>
      <c r="AF607" s="421"/>
      <c r="AG607" s="421"/>
      <c r="AH607" s="421"/>
      <c r="AI607" s="421"/>
      <c r="AJ607" s="421"/>
      <c r="AK607" s="421"/>
      <c r="AL607" s="421"/>
    </row>
    <row r="608" spans="1:38">
      <c r="A608" s="410">
        <v>5644</v>
      </c>
      <c r="B608" s="407"/>
      <c r="C608" s="408"/>
      <c r="D608" s="410" t="s">
        <v>2173</v>
      </c>
      <c r="E608" s="410" t="s">
        <v>1405</v>
      </c>
      <c r="F608" s="410" t="s">
        <v>1581</v>
      </c>
      <c r="G608" s="68" t="str">
        <f t="shared" si="46"/>
        <v>DUAL</v>
      </c>
      <c r="H608" s="197">
        <f t="shared" si="45"/>
        <v>20</v>
      </c>
      <c r="I608" s="408">
        <f t="shared" si="47"/>
        <v>5</v>
      </c>
      <c r="J608" s="408">
        <f t="shared" si="48"/>
        <v>14</v>
      </c>
      <c r="K608" s="411">
        <v>45791</v>
      </c>
      <c r="L608" s="408"/>
      <c r="M608" s="408"/>
      <c r="N608" s="3" t="str">
        <f t="shared" si="49"/>
        <v/>
      </c>
      <c r="O608" s="408"/>
      <c r="P608" s="408"/>
      <c r="Q608" s="408"/>
      <c r="R608" s="408"/>
      <c r="S608" s="408"/>
      <c r="T608" s="408"/>
      <c r="U608" s="408"/>
      <c r="V608" s="421"/>
      <c r="W608" s="421"/>
      <c r="X608" s="421"/>
      <c r="Y608" s="421"/>
      <c r="Z608" s="421"/>
      <c r="AA608" s="421"/>
      <c r="AB608" s="421"/>
      <c r="AC608" s="421"/>
      <c r="AD608" s="421"/>
      <c r="AE608" s="421"/>
      <c r="AF608" s="421"/>
      <c r="AG608" s="421"/>
      <c r="AH608" s="421"/>
      <c r="AI608" s="421"/>
      <c r="AJ608" s="421"/>
      <c r="AK608" s="421"/>
      <c r="AL608" s="421"/>
    </row>
    <row r="609" spans="1:38">
      <c r="A609" s="410">
        <v>5574</v>
      </c>
      <c r="B609" s="407"/>
      <c r="C609" s="408"/>
      <c r="D609" s="410" t="s">
        <v>2174</v>
      </c>
      <c r="E609" s="410" t="s">
        <v>1426</v>
      </c>
      <c r="F609" s="410" t="s">
        <v>1476</v>
      </c>
      <c r="G609" s="68" t="str">
        <f t="shared" si="46"/>
        <v>DUAL</v>
      </c>
      <c r="H609" s="197">
        <f t="shared" si="45"/>
        <v>20</v>
      </c>
      <c r="I609" s="408">
        <f t="shared" si="47"/>
        <v>5</v>
      </c>
      <c r="J609" s="408">
        <f t="shared" si="48"/>
        <v>15</v>
      </c>
      <c r="K609" s="411">
        <v>45792</v>
      </c>
      <c r="L609" s="408"/>
      <c r="M609" s="408"/>
      <c r="N609" s="3" t="str">
        <f t="shared" si="49"/>
        <v/>
      </c>
      <c r="O609" s="408"/>
      <c r="P609" s="408"/>
      <c r="Q609" s="408"/>
      <c r="R609" s="408"/>
      <c r="S609" s="408"/>
      <c r="T609" s="408"/>
      <c r="U609" s="408"/>
      <c r="V609" s="421"/>
      <c r="W609" s="421"/>
      <c r="X609" s="421"/>
      <c r="Y609" s="421"/>
      <c r="Z609" s="421"/>
      <c r="AA609" s="421"/>
      <c r="AB609" s="421"/>
      <c r="AC609" s="421"/>
      <c r="AD609" s="421"/>
      <c r="AE609" s="421"/>
      <c r="AF609" s="421"/>
      <c r="AG609" s="421"/>
      <c r="AH609" s="421"/>
      <c r="AI609" s="421"/>
      <c r="AJ609" s="421"/>
      <c r="AK609" s="421"/>
      <c r="AL609" s="421"/>
    </row>
    <row r="610" spans="1:38">
      <c r="A610" s="410">
        <v>5574</v>
      </c>
      <c r="B610" s="407"/>
      <c r="C610" s="408"/>
      <c r="D610" s="410" t="s">
        <v>2175</v>
      </c>
      <c r="E610" s="410" t="s">
        <v>1426</v>
      </c>
      <c r="F610" s="410" t="s">
        <v>1476</v>
      </c>
      <c r="G610" s="68" t="str">
        <f t="shared" si="46"/>
        <v>DUAL</v>
      </c>
      <c r="H610" s="197">
        <f t="shared" si="45"/>
        <v>20</v>
      </c>
      <c r="I610" s="408">
        <f t="shared" si="47"/>
        <v>5</v>
      </c>
      <c r="J610" s="408">
        <f t="shared" si="48"/>
        <v>15</v>
      </c>
      <c r="K610" s="411">
        <v>45792</v>
      </c>
      <c r="L610" s="408"/>
      <c r="M610" s="408"/>
      <c r="N610" s="3" t="str">
        <f t="shared" si="49"/>
        <v/>
      </c>
      <c r="O610" s="408"/>
      <c r="P610" s="408"/>
      <c r="Q610" s="408"/>
      <c r="R610" s="408"/>
      <c r="S610" s="408"/>
      <c r="T610" s="408"/>
      <c r="U610" s="408"/>
      <c r="V610" s="421"/>
      <c r="W610" s="421"/>
      <c r="X610" s="421"/>
      <c r="Y610" s="421"/>
      <c r="Z610" s="421"/>
      <c r="AA610" s="421"/>
      <c r="AB610" s="421"/>
      <c r="AC610" s="421"/>
      <c r="AD610" s="421"/>
      <c r="AE610" s="421"/>
      <c r="AF610" s="421"/>
      <c r="AG610" s="421"/>
      <c r="AH610" s="421"/>
      <c r="AI610" s="421"/>
      <c r="AJ610" s="421"/>
      <c r="AK610" s="421"/>
      <c r="AL610" s="421"/>
    </row>
    <row r="611" spans="1:38">
      <c r="A611" s="410">
        <v>5574</v>
      </c>
      <c r="B611" s="407"/>
      <c r="C611" s="408"/>
      <c r="D611" s="410" t="s">
        <v>2176</v>
      </c>
      <c r="E611" s="410" t="s">
        <v>1426</v>
      </c>
      <c r="F611" s="410" t="s">
        <v>1476</v>
      </c>
      <c r="G611" s="68" t="str">
        <f t="shared" si="46"/>
        <v>DUAL</v>
      </c>
      <c r="H611" s="197">
        <f t="shared" si="45"/>
        <v>20</v>
      </c>
      <c r="I611" s="408">
        <f t="shared" si="47"/>
        <v>5</v>
      </c>
      <c r="J611" s="408">
        <f t="shared" si="48"/>
        <v>15</v>
      </c>
      <c r="K611" s="411">
        <v>45792</v>
      </c>
      <c r="L611" s="408"/>
      <c r="M611" s="408"/>
      <c r="N611" s="3" t="str">
        <f t="shared" si="49"/>
        <v/>
      </c>
      <c r="O611" s="408"/>
      <c r="P611" s="408"/>
      <c r="Q611" s="408"/>
      <c r="R611" s="408"/>
      <c r="S611" s="408"/>
      <c r="T611" s="408"/>
      <c r="U611" s="408"/>
      <c r="V611" s="421"/>
      <c r="W611" s="421"/>
      <c r="X611" s="421"/>
      <c r="Y611" s="421"/>
      <c r="Z611" s="421"/>
      <c r="AA611" s="421"/>
      <c r="AB611" s="421"/>
      <c r="AC611" s="421"/>
      <c r="AD611" s="421"/>
      <c r="AE611" s="421"/>
      <c r="AF611" s="421"/>
      <c r="AG611" s="421"/>
      <c r="AH611" s="421"/>
      <c r="AI611" s="421"/>
      <c r="AJ611" s="421"/>
      <c r="AK611" s="421"/>
      <c r="AL611" s="421"/>
    </row>
    <row r="612" spans="1:38">
      <c r="A612" s="410">
        <v>5679</v>
      </c>
      <c r="B612" s="407"/>
      <c r="C612" s="408"/>
      <c r="D612" s="410" t="s">
        <v>2177</v>
      </c>
      <c r="E612" s="410" t="s">
        <v>1431</v>
      </c>
      <c r="F612" s="410" t="s">
        <v>1476</v>
      </c>
      <c r="G612" s="68" t="str">
        <f t="shared" si="46"/>
        <v>DUAL</v>
      </c>
      <c r="H612" s="197">
        <f t="shared" si="45"/>
        <v>20</v>
      </c>
      <c r="I612" s="408">
        <f t="shared" si="47"/>
        <v>5</v>
      </c>
      <c r="J612" s="408">
        <f t="shared" si="48"/>
        <v>15</v>
      </c>
      <c r="K612" s="411">
        <v>45792</v>
      </c>
      <c r="L612" s="408"/>
      <c r="M612" s="408"/>
      <c r="N612" s="3" t="str">
        <f t="shared" si="49"/>
        <v/>
      </c>
      <c r="O612" s="408"/>
      <c r="P612" s="408"/>
      <c r="Q612" s="408"/>
      <c r="R612" s="408"/>
      <c r="S612" s="408"/>
      <c r="T612" s="408"/>
      <c r="U612" s="408"/>
      <c r="V612" s="421"/>
      <c r="W612" s="421"/>
      <c r="X612" s="421"/>
      <c r="Y612" s="421"/>
      <c r="Z612" s="421"/>
      <c r="AA612" s="421"/>
      <c r="AB612" s="421"/>
      <c r="AC612" s="421"/>
      <c r="AD612" s="421"/>
      <c r="AE612" s="421"/>
      <c r="AF612" s="421"/>
      <c r="AG612" s="421"/>
      <c r="AH612" s="421"/>
      <c r="AI612" s="421"/>
      <c r="AJ612" s="421"/>
      <c r="AK612" s="421"/>
      <c r="AL612" s="421"/>
    </row>
    <row r="613" spans="1:38">
      <c r="A613" s="410">
        <v>5611</v>
      </c>
      <c r="B613" s="407"/>
      <c r="C613" s="408"/>
      <c r="D613" s="410" t="s">
        <v>2178</v>
      </c>
      <c r="E613" s="410" t="s">
        <v>1426</v>
      </c>
      <c r="F613" s="410" t="s">
        <v>1476</v>
      </c>
      <c r="G613" s="68" t="str">
        <f t="shared" si="46"/>
        <v>DUAL</v>
      </c>
      <c r="H613" s="197">
        <f t="shared" si="45"/>
        <v>20</v>
      </c>
      <c r="I613" s="408">
        <f t="shared" si="47"/>
        <v>5</v>
      </c>
      <c r="J613" s="408">
        <f t="shared" si="48"/>
        <v>15</v>
      </c>
      <c r="K613" s="411">
        <v>45792</v>
      </c>
      <c r="L613" s="408"/>
      <c r="M613" s="408"/>
      <c r="N613" s="3" t="str">
        <f t="shared" si="49"/>
        <v/>
      </c>
      <c r="O613" s="408"/>
      <c r="P613" s="408"/>
      <c r="Q613" s="408"/>
      <c r="R613" s="408"/>
      <c r="S613" s="408"/>
      <c r="T613" s="408"/>
      <c r="U613" s="408"/>
      <c r="V613" s="421"/>
      <c r="W613" s="421"/>
      <c r="X613" s="421"/>
      <c r="Y613" s="421"/>
      <c r="Z613" s="421"/>
      <c r="AA613" s="421"/>
      <c r="AB613" s="421"/>
      <c r="AC613" s="421"/>
      <c r="AD613" s="421"/>
      <c r="AE613" s="421"/>
      <c r="AF613" s="421"/>
      <c r="AG613" s="421"/>
      <c r="AH613" s="421"/>
      <c r="AI613" s="421"/>
      <c r="AJ613" s="421"/>
      <c r="AK613" s="421"/>
      <c r="AL613" s="421"/>
    </row>
    <row r="614" spans="1:38">
      <c r="A614" s="410">
        <v>5611</v>
      </c>
      <c r="B614" s="407"/>
      <c r="C614" s="408"/>
      <c r="D614" s="410" t="s">
        <v>2179</v>
      </c>
      <c r="E614" s="410" t="s">
        <v>1426</v>
      </c>
      <c r="F614" s="410" t="s">
        <v>1476</v>
      </c>
      <c r="G614" s="68" t="str">
        <f t="shared" si="46"/>
        <v>DUAL</v>
      </c>
      <c r="H614" s="197">
        <f t="shared" si="45"/>
        <v>20</v>
      </c>
      <c r="I614" s="408">
        <f t="shared" si="47"/>
        <v>5</v>
      </c>
      <c r="J614" s="408">
        <f t="shared" si="48"/>
        <v>15</v>
      </c>
      <c r="K614" s="411">
        <v>45792</v>
      </c>
      <c r="L614" s="408"/>
      <c r="M614" s="408"/>
      <c r="N614" s="3" t="str">
        <f t="shared" si="49"/>
        <v/>
      </c>
      <c r="O614" s="408"/>
      <c r="P614" s="408"/>
      <c r="Q614" s="408"/>
      <c r="R614" s="408"/>
      <c r="S614" s="408"/>
      <c r="T614" s="408"/>
      <c r="U614" s="408"/>
      <c r="V614" s="421"/>
      <c r="W614" s="421"/>
      <c r="X614" s="421"/>
      <c r="Y614" s="421"/>
      <c r="Z614" s="421"/>
      <c r="AA614" s="421"/>
      <c r="AB614" s="421"/>
      <c r="AC614" s="421"/>
      <c r="AD614" s="421"/>
      <c r="AE614" s="421"/>
      <c r="AF614" s="421"/>
      <c r="AG614" s="421"/>
      <c r="AH614" s="421"/>
      <c r="AI614" s="421"/>
      <c r="AJ614" s="421"/>
      <c r="AK614" s="421"/>
      <c r="AL614" s="421"/>
    </row>
    <row r="615" spans="1:38">
      <c r="A615" s="410">
        <v>5538</v>
      </c>
      <c r="B615" s="407"/>
      <c r="C615" s="408"/>
      <c r="D615" s="410" t="s">
        <v>2180</v>
      </c>
      <c r="E615" s="410" t="s">
        <v>1585</v>
      </c>
      <c r="F615" s="410" t="s">
        <v>1476</v>
      </c>
      <c r="G615" s="68" t="str">
        <f t="shared" si="46"/>
        <v>DUAL</v>
      </c>
      <c r="H615" s="197">
        <f t="shared" si="45"/>
        <v>20</v>
      </c>
      <c r="I615" s="408">
        <f t="shared" si="47"/>
        <v>5</v>
      </c>
      <c r="J615" s="408">
        <f t="shared" si="48"/>
        <v>16</v>
      </c>
      <c r="K615" s="411">
        <v>45793</v>
      </c>
      <c r="L615" s="408"/>
      <c r="M615" s="408"/>
      <c r="N615" s="3" t="str">
        <f t="shared" si="49"/>
        <v/>
      </c>
      <c r="O615" s="408"/>
      <c r="P615" s="408"/>
      <c r="Q615" s="408"/>
      <c r="R615" s="408"/>
      <c r="S615" s="408"/>
      <c r="T615" s="408"/>
      <c r="U615" s="408"/>
      <c r="V615" s="421"/>
      <c r="W615" s="421"/>
      <c r="X615" s="421"/>
      <c r="Y615" s="421"/>
      <c r="Z615" s="421"/>
      <c r="AA615" s="421"/>
      <c r="AB615" s="421"/>
      <c r="AC615" s="421"/>
      <c r="AD615" s="421"/>
      <c r="AE615" s="421"/>
      <c r="AF615" s="421"/>
      <c r="AG615" s="421"/>
      <c r="AH615" s="421"/>
      <c r="AI615" s="421"/>
      <c r="AJ615" s="421"/>
      <c r="AK615" s="421"/>
      <c r="AL615" s="421"/>
    </row>
    <row r="616" spans="1:38" s="180" customFormat="1">
      <c r="A616" s="412">
        <v>5576</v>
      </c>
      <c r="B616" s="413"/>
      <c r="C616" s="414"/>
      <c r="D616" s="412" t="s">
        <v>2181</v>
      </c>
      <c r="E616" s="412" t="s">
        <v>1426</v>
      </c>
      <c r="F616" s="412" t="s">
        <v>1476</v>
      </c>
      <c r="G616" s="68" t="str">
        <f t="shared" si="46"/>
        <v>DUAL</v>
      </c>
      <c r="H616" s="197">
        <f t="shared" si="45"/>
        <v>20</v>
      </c>
      <c r="I616" s="414">
        <f t="shared" si="47"/>
        <v>5</v>
      </c>
      <c r="J616" s="414">
        <f t="shared" si="48"/>
        <v>16</v>
      </c>
      <c r="K616" s="415">
        <v>45793</v>
      </c>
      <c r="L616" s="414"/>
      <c r="M616" s="414"/>
      <c r="N616" s="3" t="str">
        <f t="shared" si="49"/>
        <v/>
      </c>
      <c r="O616" s="414"/>
      <c r="P616" s="414"/>
      <c r="Q616" s="414"/>
      <c r="R616" s="414"/>
      <c r="S616" s="414"/>
      <c r="T616" s="414"/>
      <c r="U616" s="414"/>
      <c r="V616" s="419"/>
      <c r="W616" s="419"/>
      <c r="X616" s="419"/>
      <c r="Y616" s="419"/>
      <c r="Z616" s="419"/>
      <c r="AA616" s="419"/>
      <c r="AB616" s="419"/>
      <c r="AC616" s="419"/>
      <c r="AD616" s="419"/>
      <c r="AE616" s="419"/>
      <c r="AF616" s="419"/>
      <c r="AG616" s="419"/>
      <c r="AH616" s="419"/>
      <c r="AI616" s="419"/>
      <c r="AJ616" s="419"/>
      <c r="AK616" s="419"/>
      <c r="AL616" s="419"/>
    </row>
    <row r="617" spans="1:38">
      <c r="A617" s="410">
        <v>5696</v>
      </c>
      <c r="B617" s="407"/>
      <c r="C617" s="408"/>
      <c r="D617" s="410" t="s">
        <v>2182</v>
      </c>
      <c r="E617" s="410" t="s">
        <v>2183</v>
      </c>
      <c r="F617" s="410" t="s">
        <v>2184</v>
      </c>
      <c r="G617" s="68" t="str">
        <f t="shared" si="46"/>
        <v>SINGLE</v>
      </c>
      <c r="H617" s="197">
        <f t="shared" si="45"/>
        <v>20</v>
      </c>
      <c r="I617" s="408">
        <f t="shared" si="47"/>
        <v>5</v>
      </c>
      <c r="J617" s="408">
        <f t="shared" si="48"/>
        <v>16</v>
      </c>
      <c r="K617" s="411">
        <v>45793</v>
      </c>
      <c r="L617" s="408"/>
      <c r="M617" s="408"/>
      <c r="N617" s="3" t="str">
        <f t="shared" si="49"/>
        <v/>
      </c>
      <c r="O617" s="408"/>
      <c r="P617" s="408"/>
      <c r="Q617" s="408"/>
      <c r="R617" s="408"/>
      <c r="S617" s="408"/>
      <c r="T617" s="408"/>
      <c r="U617" s="408"/>
      <c r="V617" s="421"/>
      <c r="W617" s="421"/>
      <c r="X617" s="421"/>
      <c r="Y617" s="421"/>
      <c r="Z617" s="421"/>
      <c r="AA617" s="421"/>
      <c r="AB617" s="421"/>
      <c r="AC617" s="421"/>
      <c r="AD617" s="421"/>
      <c r="AE617" s="421"/>
      <c r="AF617" s="421"/>
      <c r="AG617" s="421"/>
      <c r="AH617" s="421"/>
      <c r="AI617" s="421"/>
      <c r="AJ617" s="421"/>
      <c r="AK617" s="421"/>
      <c r="AL617" s="421"/>
    </row>
    <row r="618" spans="1:38">
      <c r="A618" s="410">
        <v>5662</v>
      </c>
      <c r="B618" s="407"/>
      <c r="C618" s="408"/>
      <c r="D618" s="410" t="s">
        <v>2185</v>
      </c>
      <c r="E618" s="410" t="s">
        <v>1431</v>
      </c>
      <c r="F618" s="410" t="s">
        <v>1591</v>
      </c>
      <c r="G618" s="68" t="str">
        <f t="shared" si="46"/>
        <v>SINGLE</v>
      </c>
      <c r="H618" s="197">
        <f t="shared" si="45"/>
        <v>21</v>
      </c>
      <c r="I618" s="408">
        <f t="shared" si="47"/>
        <v>5</v>
      </c>
      <c r="J618" s="408">
        <f t="shared" si="48"/>
        <v>19</v>
      </c>
      <c r="K618" s="411">
        <v>45796</v>
      </c>
      <c r="L618" s="408"/>
      <c r="M618" s="408"/>
      <c r="N618" s="3" t="str">
        <f t="shared" si="49"/>
        <v/>
      </c>
      <c r="O618" s="408"/>
      <c r="P618" s="408"/>
      <c r="Q618" s="408"/>
      <c r="R618" s="408"/>
      <c r="S618" s="408"/>
      <c r="T618" s="408"/>
      <c r="U618" s="408"/>
      <c r="V618" s="421"/>
      <c r="W618" s="421"/>
      <c r="X618" s="421"/>
      <c r="Y618" s="421"/>
      <c r="Z618" s="421"/>
      <c r="AA618" s="421"/>
      <c r="AB618" s="421"/>
      <c r="AC618" s="421"/>
      <c r="AD618" s="421"/>
      <c r="AE618" s="421"/>
      <c r="AF618" s="421"/>
      <c r="AG618" s="421"/>
      <c r="AH618" s="421"/>
      <c r="AI618" s="421"/>
      <c r="AJ618" s="421"/>
      <c r="AK618" s="421"/>
      <c r="AL618" s="421"/>
    </row>
    <row r="619" spans="1:38">
      <c r="A619" s="410">
        <v>5662</v>
      </c>
      <c r="B619" s="407"/>
      <c r="C619" s="408"/>
      <c r="D619" s="410" t="s">
        <v>2186</v>
      </c>
      <c r="E619" s="410" t="s">
        <v>1431</v>
      </c>
      <c r="F619" s="410" t="s">
        <v>1591</v>
      </c>
      <c r="G619" s="68" t="str">
        <f t="shared" si="46"/>
        <v>SINGLE</v>
      </c>
      <c r="H619" s="197">
        <f t="shared" si="45"/>
        <v>21</v>
      </c>
      <c r="I619" s="408">
        <f t="shared" si="47"/>
        <v>5</v>
      </c>
      <c r="J619" s="408">
        <f t="shared" si="48"/>
        <v>19</v>
      </c>
      <c r="K619" s="411">
        <v>45796</v>
      </c>
      <c r="L619" s="408"/>
      <c r="M619" s="408"/>
      <c r="N619" s="3" t="str">
        <f t="shared" si="49"/>
        <v/>
      </c>
      <c r="O619" s="408"/>
      <c r="P619" s="408"/>
      <c r="Q619" s="408"/>
      <c r="R619" s="408"/>
      <c r="S619" s="408"/>
      <c r="T619" s="408"/>
      <c r="U619" s="408"/>
      <c r="V619" s="421"/>
      <c r="W619" s="421"/>
      <c r="X619" s="421"/>
      <c r="Y619" s="421"/>
      <c r="Z619" s="421"/>
      <c r="AA619" s="421"/>
      <c r="AB619" s="421"/>
      <c r="AC619" s="421"/>
      <c r="AD619" s="421"/>
      <c r="AE619" s="421"/>
      <c r="AF619" s="421"/>
      <c r="AG619" s="421"/>
      <c r="AH619" s="421"/>
      <c r="AI619" s="421"/>
      <c r="AJ619" s="421"/>
      <c r="AK619" s="421"/>
      <c r="AL619" s="421"/>
    </row>
    <row r="620" spans="1:38">
      <c r="A620" s="410">
        <v>5662</v>
      </c>
      <c r="B620" s="407"/>
      <c r="C620" s="408"/>
      <c r="D620" s="410" t="s">
        <v>2187</v>
      </c>
      <c r="E620" s="410" t="s">
        <v>1431</v>
      </c>
      <c r="F620" s="410" t="s">
        <v>1591</v>
      </c>
      <c r="G620" s="68" t="str">
        <f t="shared" si="46"/>
        <v>SINGLE</v>
      </c>
      <c r="H620" s="197">
        <f t="shared" si="45"/>
        <v>21</v>
      </c>
      <c r="I620" s="408">
        <f t="shared" si="47"/>
        <v>5</v>
      </c>
      <c r="J620" s="408">
        <f t="shared" si="48"/>
        <v>19</v>
      </c>
      <c r="K620" s="411">
        <v>45796</v>
      </c>
      <c r="L620" s="408"/>
      <c r="M620" s="408"/>
      <c r="N620" s="3" t="str">
        <f t="shared" si="49"/>
        <v/>
      </c>
      <c r="O620" s="408"/>
      <c r="P620" s="408"/>
      <c r="Q620" s="408"/>
      <c r="R620" s="408"/>
      <c r="S620" s="408"/>
      <c r="T620" s="408"/>
      <c r="U620" s="408"/>
      <c r="V620" s="421"/>
      <c r="W620" s="421"/>
      <c r="X620" s="421"/>
      <c r="Y620" s="421"/>
      <c r="Z620" s="421"/>
      <c r="AA620" s="421"/>
      <c r="AB620" s="421"/>
      <c r="AC620" s="421"/>
      <c r="AD620" s="421"/>
      <c r="AE620" s="421"/>
      <c r="AF620" s="421"/>
      <c r="AG620" s="421"/>
      <c r="AH620" s="421"/>
      <c r="AI620" s="421"/>
      <c r="AJ620" s="421"/>
      <c r="AK620" s="421"/>
      <c r="AL620" s="421"/>
    </row>
    <row r="621" spans="1:38" s="180" customFormat="1">
      <c r="A621" s="412">
        <v>5576</v>
      </c>
      <c r="B621" s="413"/>
      <c r="C621" s="414"/>
      <c r="D621" s="412" t="s">
        <v>2181</v>
      </c>
      <c r="E621" s="412" t="s">
        <v>1426</v>
      </c>
      <c r="F621" s="412" t="s">
        <v>1476</v>
      </c>
      <c r="G621" s="68" t="str">
        <f t="shared" si="46"/>
        <v>DUAL</v>
      </c>
      <c r="H621" s="197">
        <f t="shared" si="45"/>
        <v>21</v>
      </c>
      <c r="I621" s="414">
        <f t="shared" si="47"/>
        <v>5</v>
      </c>
      <c r="J621" s="414">
        <f t="shared" si="48"/>
        <v>19</v>
      </c>
      <c r="K621" s="415">
        <v>45796</v>
      </c>
      <c r="L621" s="414"/>
      <c r="M621" s="414"/>
      <c r="N621" s="3" t="str">
        <f t="shared" si="49"/>
        <v/>
      </c>
      <c r="O621" s="414"/>
      <c r="P621" s="414"/>
      <c r="Q621" s="414"/>
      <c r="R621" s="414"/>
      <c r="S621" s="414"/>
      <c r="T621" s="414"/>
      <c r="U621" s="414"/>
      <c r="V621" s="419"/>
      <c r="W621" s="419"/>
      <c r="X621" s="419"/>
      <c r="Y621" s="419"/>
      <c r="Z621" s="419"/>
      <c r="AA621" s="419"/>
      <c r="AB621" s="419"/>
      <c r="AC621" s="419"/>
      <c r="AD621" s="419"/>
      <c r="AE621" s="419"/>
      <c r="AF621" s="419"/>
      <c r="AG621" s="419"/>
      <c r="AH621" s="419"/>
      <c r="AI621" s="419"/>
      <c r="AJ621" s="419"/>
      <c r="AK621" s="419"/>
      <c r="AL621" s="419"/>
    </row>
    <row r="622" spans="1:38">
      <c r="A622" s="410">
        <v>5572</v>
      </c>
      <c r="B622" s="407"/>
      <c r="C622" s="408"/>
      <c r="D622" s="410" t="s">
        <v>2188</v>
      </c>
      <c r="E622" s="410" t="s">
        <v>1426</v>
      </c>
      <c r="F622" s="410" t="s">
        <v>1476</v>
      </c>
      <c r="G622" s="68" t="str">
        <f t="shared" si="46"/>
        <v>DUAL</v>
      </c>
      <c r="H622" s="197">
        <f t="shared" si="45"/>
        <v>21</v>
      </c>
      <c r="I622" s="408">
        <f t="shared" si="47"/>
        <v>5</v>
      </c>
      <c r="J622" s="408">
        <f t="shared" si="48"/>
        <v>19</v>
      </c>
      <c r="K622" s="411">
        <v>45796</v>
      </c>
      <c r="L622" s="408"/>
      <c r="M622" s="408"/>
      <c r="N622" s="3" t="str">
        <f t="shared" si="49"/>
        <v/>
      </c>
      <c r="O622" s="408"/>
      <c r="P622" s="408"/>
      <c r="Q622" s="408"/>
      <c r="R622" s="408"/>
      <c r="S622" s="408"/>
      <c r="T622" s="408"/>
      <c r="U622" s="408"/>
      <c r="V622" s="421"/>
      <c r="W622" s="421"/>
      <c r="X622" s="421"/>
      <c r="Y622" s="421"/>
      <c r="Z622" s="421"/>
      <c r="AA622" s="421"/>
      <c r="AB622" s="421"/>
      <c r="AC622" s="421"/>
      <c r="AD622" s="421"/>
      <c r="AE622" s="421"/>
      <c r="AF622" s="421"/>
      <c r="AG622" s="421"/>
      <c r="AH622" s="421"/>
      <c r="AI622" s="421"/>
      <c r="AJ622" s="421"/>
      <c r="AK622" s="421"/>
      <c r="AL622" s="421"/>
    </row>
    <row r="623" spans="1:38">
      <c r="A623" s="410">
        <v>5572</v>
      </c>
      <c r="B623" s="407"/>
      <c r="C623" s="408"/>
      <c r="D623" s="410" t="s">
        <v>2189</v>
      </c>
      <c r="E623" s="410" t="s">
        <v>1426</v>
      </c>
      <c r="F623" s="410" t="s">
        <v>1476</v>
      </c>
      <c r="G623" s="68" t="str">
        <f t="shared" si="46"/>
        <v>DUAL</v>
      </c>
      <c r="H623" s="197">
        <f t="shared" si="45"/>
        <v>21</v>
      </c>
      <c r="I623" s="408">
        <f t="shared" si="47"/>
        <v>5</v>
      </c>
      <c r="J623" s="408">
        <f t="shared" si="48"/>
        <v>19</v>
      </c>
      <c r="K623" s="411">
        <v>45796</v>
      </c>
      <c r="L623" s="408"/>
      <c r="M623" s="408"/>
      <c r="N623" s="3" t="str">
        <f t="shared" si="49"/>
        <v/>
      </c>
      <c r="O623" s="408"/>
      <c r="P623" s="408"/>
      <c r="Q623" s="408"/>
      <c r="R623" s="408"/>
      <c r="S623" s="408"/>
      <c r="T623" s="408"/>
      <c r="U623" s="408"/>
      <c r="V623" s="421"/>
      <c r="W623" s="421"/>
      <c r="X623" s="421"/>
      <c r="Y623" s="421"/>
      <c r="Z623" s="421"/>
      <c r="AA623" s="421"/>
      <c r="AB623" s="421"/>
      <c r="AC623" s="421"/>
      <c r="AD623" s="421"/>
      <c r="AE623" s="421"/>
      <c r="AF623" s="421"/>
      <c r="AG623" s="421"/>
      <c r="AH623" s="421"/>
      <c r="AI623" s="421"/>
      <c r="AJ623" s="421"/>
      <c r="AK623" s="421"/>
      <c r="AL623" s="421"/>
    </row>
    <row r="624" spans="1:38">
      <c r="A624" s="410">
        <v>5513</v>
      </c>
      <c r="B624" s="407"/>
      <c r="C624" s="408"/>
      <c r="D624" s="410" t="s">
        <v>2190</v>
      </c>
      <c r="E624" s="410" t="s">
        <v>1400</v>
      </c>
      <c r="F624" s="410" t="s">
        <v>1476</v>
      </c>
      <c r="G624" s="68" t="str">
        <f t="shared" si="46"/>
        <v>DUAL</v>
      </c>
      <c r="H624" s="197">
        <f t="shared" si="45"/>
        <v>21</v>
      </c>
      <c r="I624" s="408">
        <f t="shared" si="47"/>
        <v>5</v>
      </c>
      <c r="J624" s="408">
        <f t="shared" si="48"/>
        <v>19</v>
      </c>
      <c r="K624" s="411">
        <v>45796</v>
      </c>
      <c r="L624" s="408"/>
      <c r="M624" s="408"/>
      <c r="N624" s="3" t="str">
        <f t="shared" si="49"/>
        <v/>
      </c>
      <c r="O624" s="408"/>
      <c r="P624" s="408"/>
      <c r="Q624" s="408"/>
      <c r="R624" s="408"/>
      <c r="S624" s="408"/>
      <c r="T624" s="408"/>
      <c r="U624" s="408"/>
      <c r="V624" s="421"/>
      <c r="W624" s="421"/>
      <c r="X624" s="421"/>
      <c r="Y624" s="421"/>
      <c r="Z624" s="421"/>
      <c r="AA624" s="421"/>
      <c r="AB624" s="421"/>
      <c r="AC624" s="421"/>
      <c r="AD624" s="421"/>
      <c r="AE624" s="421"/>
      <c r="AF624" s="421"/>
      <c r="AG624" s="421"/>
      <c r="AH624" s="421"/>
      <c r="AI624" s="421"/>
      <c r="AJ624" s="421"/>
      <c r="AK624" s="421"/>
      <c r="AL624" s="421"/>
    </row>
    <row r="625" spans="1:38" s="180" customFormat="1">
      <c r="A625" s="410">
        <v>5587</v>
      </c>
      <c r="B625" s="407"/>
      <c r="C625" s="408"/>
      <c r="D625" s="410" t="s">
        <v>2191</v>
      </c>
      <c r="E625" s="410" t="s">
        <v>1405</v>
      </c>
      <c r="F625" s="410" t="s">
        <v>1477</v>
      </c>
      <c r="G625" s="68" t="str">
        <f t="shared" si="46"/>
        <v>SINGLE</v>
      </c>
      <c r="H625" s="197">
        <f t="shared" si="45"/>
        <v>21</v>
      </c>
      <c r="I625" s="408">
        <f t="shared" si="47"/>
        <v>5</v>
      </c>
      <c r="J625" s="408">
        <f t="shared" si="48"/>
        <v>19</v>
      </c>
      <c r="K625" s="411">
        <v>45796</v>
      </c>
      <c r="L625" s="408"/>
      <c r="M625" s="408"/>
      <c r="N625" s="3" t="str">
        <f t="shared" si="49"/>
        <v/>
      </c>
      <c r="O625" s="408"/>
      <c r="P625" s="408"/>
      <c r="Q625" s="408"/>
      <c r="R625" s="408"/>
      <c r="S625" s="408"/>
      <c r="T625" s="408"/>
      <c r="U625" s="408"/>
      <c r="V625" s="419"/>
      <c r="W625" s="419"/>
      <c r="X625" s="419"/>
      <c r="Y625" s="419"/>
      <c r="Z625" s="419"/>
      <c r="AA625" s="419"/>
      <c r="AB625" s="419"/>
      <c r="AC625" s="419"/>
      <c r="AD625" s="419"/>
      <c r="AE625" s="419"/>
      <c r="AF625" s="419"/>
      <c r="AG625" s="419"/>
      <c r="AH625" s="419"/>
      <c r="AI625" s="419"/>
      <c r="AJ625" s="419"/>
      <c r="AK625" s="419"/>
      <c r="AL625" s="419"/>
    </row>
    <row r="626" spans="1:38">
      <c r="A626" s="410">
        <v>5575</v>
      </c>
      <c r="B626" s="407"/>
      <c r="C626" s="408"/>
      <c r="D626" s="410" t="s">
        <v>2192</v>
      </c>
      <c r="E626" s="410" t="s">
        <v>1426</v>
      </c>
      <c r="F626" s="410" t="s">
        <v>1476</v>
      </c>
      <c r="G626" s="68" t="str">
        <f t="shared" si="46"/>
        <v>DUAL</v>
      </c>
      <c r="H626" s="197">
        <f t="shared" si="45"/>
        <v>21</v>
      </c>
      <c r="I626" s="408">
        <f t="shared" si="47"/>
        <v>5</v>
      </c>
      <c r="J626" s="408">
        <f t="shared" si="48"/>
        <v>20</v>
      </c>
      <c r="K626" s="411">
        <v>45797</v>
      </c>
      <c r="L626" s="408"/>
      <c r="M626" s="408"/>
      <c r="N626" s="3" t="str">
        <f t="shared" si="49"/>
        <v/>
      </c>
      <c r="O626" s="408"/>
      <c r="P626" s="408"/>
      <c r="Q626" s="408"/>
      <c r="R626" s="408"/>
      <c r="S626" s="408"/>
      <c r="T626" s="408"/>
      <c r="U626" s="408"/>
      <c r="V626" s="421"/>
      <c r="W626" s="421"/>
      <c r="X626" s="421"/>
      <c r="Y626" s="421"/>
      <c r="Z626" s="421"/>
      <c r="AA626" s="421"/>
      <c r="AB626" s="421"/>
      <c r="AC626" s="421"/>
      <c r="AD626" s="421"/>
      <c r="AE626" s="421"/>
      <c r="AF626" s="421"/>
      <c r="AG626" s="421"/>
      <c r="AH626" s="421"/>
      <c r="AI626" s="421"/>
      <c r="AJ626" s="421"/>
      <c r="AK626" s="421"/>
      <c r="AL626" s="421"/>
    </row>
    <row r="627" spans="1:38">
      <c r="A627" s="410">
        <v>5641</v>
      </c>
      <c r="B627" s="407"/>
      <c r="C627" s="408"/>
      <c r="D627" s="410" t="s">
        <v>2193</v>
      </c>
      <c r="E627" s="410" t="s">
        <v>1422</v>
      </c>
      <c r="F627" s="410" t="s">
        <v>1476</v>
      </c>
      <c r="G627" s="68" t="str">
        <f t="shared" si="46"/>
        <v>DUAL</v>
      </c>
      <c r="H627" s="197">
        <f t="shared" si="45"/>
        <v>21</v>
      </c>
      <c r="I627" s="408">
        <f t="shared" si="47"/>
        <v>5</v>
      </c>
      <c r="J627" s="408">
        <f t="shared" si="48"/>
        <v>20</v>
      </c>
      <c r="K627" s="411">
        <v>45797</v>
      </c>
      <c r="L627" s="408"/>
      <c r="M627" s="408"/>
      <c r="N627" s="3" t="str">
        <f t="shared" si="49"/>
        <v/>
      </c>
      <c r="O627" s="408"/>
      <c r="P627" s="408"/>
      <c r="Q627" s="408"/>
      <c r="R627" s="408"/>
      <c r="S627" s="408"/>
      <c r="T627" s="408"/>
      <c r="U627" s="408"/>
      <c r="V627" s="421"/>
      <c r="W627" s="421"/>
      <c r="X627" s="421"/>
      <c r="Y627" s="421"/>
      <c r="Z627" s="421"/>
      <c r="AA627" s="421"/>
      <c r="AB627" s="421"/>
      <c r="AC627" s="421"/>
      <c r="AD627" s="421"/>
      <c r="AE627" s="421"/>
      <c r="AF627" s="421"/>
      <c r="AG627" s="421"/>
      <c r="AH627" s="421"/>
      <c r="AI627" s="421"/>
      <c r="AJ627" s="421"/>
      <c r="AK627" s="421"/>
      <c r="AL627" s="421"/>
    </row>
    <row r="628" spans="1:38">
      <c r="A628" s="410">
        <v>5576</v>
      </c>
      <c r="B628" s="407"/>
      <c r="C628" s="408"/>
      <c r="D628" s="410" t="s">
        <v>2194</v>
      </c>
      <c r="E628" s="410" t="s">
        <v>1426</v>
      </c>
      <c r="F628" s="410" t="s">
        <v>1476</v>
      </c>
      <c r="G628" s="68" t="str">
        <f t="shared" si="46"/>
        <v>DUAL</v>
      </c>
      <c r="H628" s="197">
        <f t="shared" si="45"/>
        <v>21</v>
      </c>
      <c r="I628" s="408">
        <f t="shared" si="47"/>
        <v>5</v>
      </c>
      <c r="J628" s="408">
        <f t="shared" si="48"/>
        <v>20</v>
      </c>
      <c r="K628" s="411">
        <v>45797</v>
      </c>
      <c r="L628" s="408"/>
      <c r="M628" s="408"/>
      <c r="N628" s="3" t="str">
        <f t="shared" si="49"/>
        <v/>
      </c>
      <c r="O628" s="408"/>
      <c r="P628" s="408"/>
      <c r="Q628" s="408"/>
      <c r="R628" s="408"/>
      <c r="S628" s="408"/>
      <c r="T628" s="408"/>
      <c r="U628" s="408"/>
      <c r="V628" s="421"/>
      <c r="W628" s="421"/>
      <c r="X628" s="421"/>
      <c r="Y628" s="421"/>
      <c r="Z628" s="421"/>
      <c r="AA628" s="421"/>
      <c r="AB628" s="421"/>
      <c r="AC628" s="421"/>
      <c r="AD628" s="421"/>
      <c r="AE628" s="421"/>
      <c r="AF628" s="421"/>
      <c r="AG628" s="421"/>
      <c r="AH628" s="421"/>
      <c r="AI628" s="421"/>
      <c r="AJ628" s="421"/>
      <c r="AK628" s="421"/>
      <c r="AL628" s="421"/>
    </row>
    <row r="629" spans="1:38">
      <c r="A629" s="410">
        <v>5576</v>
      </c>
      <c r="B629" s="407"/>
      <c r="C629" s="408"/>
      <c r="D629" s="410" t="s">
        <v>2195</v>
      </c>
      <c r="E629" s="410" t="s">
        <v>1426</v>
      </c>
      <c r="F629" s="410" t="s">
        <v>1476</v>
      </c>
      <c r="G629" s="68" t="str">
        <f t="shared" si="46"/>
        <v>DUAL</v>
      </c>
      <c r="H629" s="197">
        <f t="shared" si="45"/>
        <v>21</v>
      </c>
      <c r="I629" s="408">
        <f t="shared" si="47"/>
        <v>5</v>
      </c>
      <c r="J629" s="408">
        <f t="shared" si="48"/>
        <v>20</v>
      </c>
      <c r="K629" s="411">
        <v>45797</v>
      </c>
      <c r="L629" s="408"/>
      <c r="M629" s="408"/>
      <c r="N629" s="3" t="str">
        <f t="shared" si="49"/>
        <v/>
      </c>
      <c r="O629" s="408"/>
      <c r="P629" s="408"/>
      <c r="Q629" s="408"/>
      <c r="R629" s="408"/>
      <c r="S629" s="408"/>
      <c r="T629" s="408"/>
      <c r="U629" s="408"/>
      <c r="V629" s="421"/>
      <c r="W629" s="421"/>
      <c r="X629" s="421"/>
      <c r="Y629" s="421"/>
      <c r="Z629" s="421"/>
      <c r="AA629" s="421"/>
      <c r="AB629" s="421"/>
      <c r="AC629" s="421"/>
      <c r="AD629" s="421"/>
      <c r="AE629" s="421"/>
      <c r="AF629" s="421"/>
      <c r="AG629" s="421"/>
      <c r="AH629" s="421"/>
      <c r="AI629" s="421"/>
      <c r="AJ629" s="421"/>
      <c r="AK629" s="421"/>
      <c r="AL629" s="421"/>
    </row>
    <row r="630" spans="1:38">
      <c r="A630" s="410">
        <v>5576</v>
      </c>
      <c r="B630" s="407"/>
      <c r="C630" s="408"/>
      <c r="D630" s="410" t="s">
        <v>2196</v>
      </c>
      <c r="E630" s="410" t="s">
        <v>1426</v>
      </c>
      <c r="F630" s="410" t="s">
        <v>1476</v>
      </c>
      <c r="G630" s="68" t="str">
        <f t="shared" si="46"/>
        <v>DUAL</v>
      </c>
      <c r="H630" s="197">
        <f t="shared" si="45"/>
        <v>21</v>
      </c>
      <c r="I630" s="408">
        <f t="shared" si="47"/>
        <v>5</v>
      </c>
      <c r="J630" s="408">
        <f t="shared" si="48"/>
        <v>20</v>
      </c>
      <c r="K630" s="411">
        <v>45797</v>
      </c>
      <c r="L630" s="408"/>
      <c r="M630" s="408"/>
      <c r="N630" s="3" t="str">
        <f t="shared" si="49"/>
        <v/>
      </c>
      <c r="O630" s="408"/>
      <c r="P630" s="408"/>
      <c r="Q630" s="408"/>
      <c r="R630" s="408"/>
      <c r="S630" s="408"/>
      <c r="T630" s="408"/>
      <c r="U630" s="408"/>
      <c r="V630" s="421"/>
      <c r="W630" s="421"/>
      <c r="X630" s="421"/>
      <c r="Y630" s="421"/>
      <c r="Z630" s="421"/>
      <c r="AA630" s="421"/>
      <c r="AB630" s="421"/>
      <c r="AC630" s="421"/>
      <c r="AD630" s="421"/>
      <c r="AE630" s="421"/>
      <c r="AF630" s="421"/>
      <c r="AG630" s="421"/>
      <c r="AH630" s="421"/>
      <c r="AI630" s="421"/>
      <c r="AJ630" s="421"/>
      <c r="AK630" s="421"/>
      <c r="AL630" s="421"/>
    </row>
    <row r="631" spans="1:38">
      <c r="A631" s="410">
        <v>5647</v>
      </c>
      <c r="B631" s="407"/>
      <c r="C631" s="408"/>
      <c r="D631" s="410" t="s">
        <v>2197</v>
      </c>
      <c r="E631" s="410" t="s">
        <v>1405</v>
      </c>
      <c r="F631" s="410" t="s">
        <v>1581</v>
      </c>
      <c r="G631" s="68" t="str">
        <f t="shared" si="46"/>
        <v>DUAL</v>
      </c>
      <c r="H631" s="197">
        <f t="shared" si="45"/>
        <v>21</v>
      </c>
      <c r="I631" s="408">
        <f t="shared" si="47"/>
        <v>5</v>
      </c>
      <c r="J631" s="408">
        <f t="shared" si="48"/>
        <v>21</v>
      </c>
      <c r="K631" s="411">
        <v>45798</v>
      </c>
      <c r="L631" s="408"/>
      <c r="M631" s="408"/>
      <c r="N631" s="3" t="str">
        <f t="shared" si="49"/>
        <v/>
      </c>
      <c r="O631" s="408"/>
      <c r="P631" s="408"/>
      <c r="Q631" s="408"/>
      <c r="R631" s="408"/>
      <c r="S631" s="408"/>
      <c r="T631" s="408"/>
      <c r="U631" s="408"/>
      <c r="V631" s="421"/>
      <c r="W631" s="421"/>
      <c r="X631" s="421"/>
      <c r="Y631" s="421"/>
      <c r="Z631" s="421"/>
      <c r="AA631" s="421"/>
      <c r="AB631" s="421"/>
      <c r="AC631" s="421"/>
      <c r="AD631" s="421"/>
      <c r="AE631" s="421"/>
      <c r="AF631" s="421"/>
      <c r="AG631" s="421"/>
      <c r="AH631" s="421"/>
      <c r="AI631" s="421"/>
      <c r="AJ631" s="421"/>
      <c r="AK631" s="421"/>
      <c r="AL631" s="421"/>
    </row>
    <row r="632" spans="1:38">
      <c r="A632" s="410">
        <v>5538</v>
      </c>
      <c r="B632" s="407"/>
      <c r="C632" s="408"/>
      <c r="D632" s="410" t="s">
        <v>2198</v>
      </c>
      <c r="E632" s="410" t="s">
        <v>1585</v>
      </c>
      <c r="F632" s="410" t="s">
        <v>1476</v>
      </c>
      <c r="G632" s="68" t="str">
        <f t="shared" si="46"/>
        <v>DUAL</v>
      </c>
      <c r="H632" s="197">
        <f t="shared" si="45"/>
        <v>21</v>
      </c>
      <c r="I632" s="408">
        <f t="shared" si="47"/>
        <v>5</v>
      </c>
      <c r="J632" s="408">
        <f t="shared" si="48"/>
        <v>21</v>
      </c>
      <c r="K632" s="411">
        <v>45798</v>
      </c>
      <c r="L632" s="408"/>
      <c r="M632" s="408"/>
      <c r="N632" s="3" t="str">
        <f t="shared" si="49"/>
        <v/>
      </c>
      <c r="O632" s="408"/>
      <c r="P632" s="408"/>
      <c r="Q632" s="408"/>
      <c r="R632" s="408"/>
      <c r="S632" s="408"/>
      <c r="T632" s="408"/>
      <c r="U632" s="408"/>
      <c r="V632" s="421"/>
      <c r="W632" s="421"/>
      <c r="X632" s="421"/>
      <c r="Y632" s="421"/>
      <c r="Z632" s="421"/>
      <c r="AA632" s="421"/>
      <c r="AB632" s="421"/>
      <c r="AC632" s="421"/>
      <c r="AD632" s="421"/>
      <c r="AE632" s="421"/>
      <c r="AF632" s="421"/>
      <c r="AG632" s="421"/>
      <c r="AH632" s="421"/>
      <c r="AI632" s="421"/>
      <c r="AJ632" s="421"/>
      <c r="AK632" s="421"/>
      <c r="AL632" s="421"/>
    </row>
    <row r="633" spans="1:38">
      <c r="A633" s="410">
        <v>5549</v>
      </c>
      <c r="B633" s="407"/>
      <c r="C633" s="408"/>
      <c r="D633" s="410" t="s">
        <v>2199</v>
      </c>
      <c r="E633" s="410" t="s">
        <v>1585</v>
      </c>
      <c r="F633" s="410" t="s">
        <v>1476</v>
      </c>
      <c r="G633" s="68" t="str">
        <f t="shared" si="46"/>
        <v>DUAL</v>
      </c>
      <c r="H633" s="197">
        <f t="shared" si="45"/>
        <v>21</v>
      </c>
      <c r="I633" s="408">
        <f t="shared" si="47"/>
        <v>5</v>
      </c>
      <c r="J633" s="408">
        <f t="shared" si="48"/>
        <v>21</v>
      </c>
      <c r="K633" s="411">
        <v>45798</v>
      </c>
      <c r="L633" s="408"/>
      <c r="M633" s="408"/>
      <c r="N633" s="3" t="str">
        <f t="shared" si="49"/>
        <v/>
      </c>
      <c r="O633" s="408"/>
      <c r="P633" s="408"/>
      <c r="Q633" s="408"/>
      <c r="R633" s="408"/>
      <c r="S633" s="408"/>
      <c r="T633" s="408"/>
      <c r="U633" s="408"/>
      <c r="V633" s="421"/>
      <c r="W633" s="421"/>
      <c r="X633" s="421"/>
      <c r="Y633" s="421"/>
      <c r="Z633" s="421"/>
      <c r="AA633" s="421"/>
      <c r="AB633" s="421"/>
      <c r="AC633" s="421"/>
      <c r="AD633" s="421"/>
      <c r="AE633" s="421"/>
      <c r="AF633" s="421"/>
      <c r="AG633" s="421"/>
      <c r="AH633" s="421"/>
      <c r="AI633" s="421"/>
      <c r="AJ633" s="421"/>
      <c r="AK633" s="421"/>
      <c r="AL633" s="421"/>
    </row>
    <row r="634" spans="1:38">
      <c r="A634" s="410">
        <v>5572</v>
      </c>
      <c r="B634" s="407"/>
      <c r="C634" s="408"/>
      <c r="D634" s="410" t="s">
        <v>2200</v>
      </c>
      <c r="E634" s="410" t="s">
        <v>1426</v>
      </c>
      <c r="F634" s="410" t="s">
        <v>1476</v>
      </c>
      <c r="G634" s="68" t="str">
        <f t="shared" si="46"/>
        <v>DUAL</v>
      </c>
      <c r="H634" s="197">
        <f t="shared" si="45"/>
        <v>21</v>
      </c>
      <c r="I634" s="408">
        <f t="shared" si="47"/>
        <v>5</v>
      </c>
      <c r="J634" s="408">
        <f t="shared" si="48"/>
        <v>21</v>
      </c>
      <c r="K634" s="411">
        <v>45798</v>
      </c>
      <c r="L634" s="408"/>
      <c r="M634" s="408"/>
      <c r="N634" s="3" t="str">
        <f t="shared" si="49"/>
        <v/>
      </c>
      <c r="O634" s="408"/>
      <c r="P634" s="408"/>
      <c r="Q634" s="408"/>
      <c r="R634" s="408"/>
      <c r="S634" s="408"/>
      <c r="T634" s="408"/>
      <c r="U634" s="408"/>
      <c r="V634" s="421"/>
      <c r="W634" s="421"/>
      <c r="X634" s="421"/>
      <c r="Y634" s="421"/>
      <c r="Z634" s="421"/>
      <c r="AA634" s="421"/>
      <c r="AB634" s="421"/>
      <c r="AC634" s="421"/>
      <c r="AD634" s="421"/>
      <c r="AE634" s="421"/>
      <c r="AF634" s="421"/>
      <c r="AG634" s="421"/>
      <c r="AH634" s="421"/>
      <c r="AI634" s="421"/>
      <c r="AJ634" s="421"/>
      <c r="AK634" s="421"/>
      <c r="AL634" s="421"/>
    </row>
    <row r="635" spans="1:38">
      <c r="A635" s="410">
        <v>5576</v>
      </c>
      <c r="B635" s="407"/>
      <c r="C635" s="408"/>
      <c r="D635" s="410" t="s">
        <v>2201</v>
      </c>
      <c r="E635" s="410" t="s">
        <v>1426</v>
      </c>
      <c r="F635" s="410" t="s">
        <v>1476</v>
      </c>
      <c r="G635" s="68" t="str">
        <f t="shared" si="46"/>
        <v>DUAL</v>
      </c>
      <c r="H635" s="197">
        <f t="shared" si="45"/>
        <v>21</v>
      </c>
      <c r="I635" s="408">
        <f t="shared" si="47"/>
        <v>5</v>
      </c>
      <c r="J635" s="408">
        <f t="shared" si="48"/>
        <v>21</v>
      </c>
      <c r="K635" s="411">
        <v>45798</v>
      </c>
      <c r="L635" s="408"/>
      <c r="M635" s="408"/>
      <c r="N635" s="3" t="str">
        <f t="shared" si="49"/>
        <v/>
      </c>
      <c r="O635" s="408"/>
      <c r="P635" s="408"/>
      <c r="Q635" s="408"/>
      <c r="R635" s="408"/>
      <c r="S635" s="408"/>
      <c r="T635" s="408"/>
      <c r="U635" s="408"/>
      <c r="V635" s="421"/>
      <c r="W635" s="421"/>
      <c r="X635" s="421"/>
      <c r="Y635" s="421"/>
      <c r="Z635" s="421"/>
      <c r="AA635" s="421"/>
      <c r="AB635" s="421"/>
      <c r="AC635" s="421"/>
      <c r="AD635" s="421"/>
      <c r="AE635" s="421"/>
      <c r="AF635" s="421"/>
      <c r="AG635" s="421"/>
      <c r="AH635" s="421"/>
      <c r="AI635" s="421"/>
      <c r="AJ635" s="421"/>
      <c r="AK635" s="421"/>
      <c r="AL635" s="421"/>
    </row>
    <row r="636" spans="1:38">
      <c r="A636" s="410">
        <v>5576</v>
      </c>
      <c r="B636" s="407"/>
      <c r="C636" s="408"/>
      <c r="D636" s="410" t="s">
        <v>2202</v>
      </c>
      <c r="E636" s="410" t="s">
        <v>1426</v>
      </c>
      <c r="F636" s="410" t="s">
        <v>1476</v>
      </c>
      <c r="G636" s="68" t="str">
        <f t="shared" si="46"/>
        <v>DUAL</v>
      </c>
      <c r="H636" s="197">
        <f t="shared" si="45"/>
        <v>21</v>
      </c>
      <c r="I636" s="408">
        <f t="shared" si="47"/>
        <v>5</v>
      </c>
      <c r="J636" s="408">
        <f t="shared" si="48"/>
        <v>21</v>
      </c>
      <c r="K636" s="411">
        <v>45798</v>
      </c>
      <c r="L636" s="408"/>
      <c r="M636" s="408"/>
      <c r="N636" s="3" t="str">
        <f t="shared" si="49"/>
        <v/>
      </c>
      <c r="O636" s="408"/>
      <c r="P636" s="408"/>
      <c r="Q636" s="408"/>
      <c r="R636" s="408"/>
      <c r="S636" s="408"/>
      <c r="T636" s="408"/>
      <c r="U636" s="408"/>
      <c r="V636" s="421"/>
      <c r="W636" s="421"/>
      <c r="X636" s="421"/>
      <c r="Y636" s="421"/>
      <c r="Z636" s="421"/>
      <c r="AA636" s="421"/>
      <c r="AB636" s="421"/>
      <c r="AC636" s="421"/>
      <c r="AD636" s="421"/>
      <c r="AE636" s="421"/>
      <c r="AF636" s="421"/>
      <c r="AG636" s="421"/>
      <c r="AH636" s="421"/>
      <c r="AI636" s="421"/>
      <c r="AJ636" s="421"/>
      <c r="AK636" s="421"/>
      <c r="AL636" s="421"/>
    </row>
    <row r="637" spans="1:38">
      <c r="A637" s="410">
        <v>5639</v>
      </c>
      <c r="B637" s="407"/>
      <c r="C637" s="408"/>
      <c r="D637" s="410" t="s">
        <v>2203</v>
      </c>
      <c r="E637" s="410" t="s">
        <v>1426</v>
      </c>
      <c r="F637" s="410" t="s">
        <v>1476</v>
      </c>
      <c r="G637" s="68" t="str">
        <f t="shared" si="46"/>
        <v>DUAL</v>
      </c>
      <c r="H637" s="197">
        <f t="shared" si="45"/>
        <v>21</v>
      </c>
      <c r="I637" s="408">
        <f t="shared" si="47"/>
        <v>5</v>
      </c>
      <c r="J637" s="408">
        <f t="shared" si="48"/>
        <v>22</v>
      </c>
      <c r="K637" s="411">
        <v>45799</v>
      </c>
      <c r="L637" s="408"/>
      <c r="M637" s="408"/>
      <c r="N637" s="3" t="str">
        <f t="shared" si="49"/>
        <v/>
      </c>
      <c r="O637" s="408"/>
      <c r="P637" s="408"/>
      <c r="Q637" s="408"/>
      <c r="R637" s="408"/>
      <c r="S637" s="408"/>
      <c r="T637" s="408"/>
      <c r="U637" s="408"/>
      <c r="V637" s="421"/>
      <c r="W637" s="421"/>
      <c r="X637" s="421"/>
      <c r="Y637" s="421"/>
      <c r="Z637" s="421"/>
      <c r="AA637" s="421"/>
      <c r="AB637" s="421"/>
      <c r="AC637" s="421"/>
      <c r="AD637" s="421"/>
      <c r="AE637" s="421"/>
      <c r="AF637" s="421"/>
      <c r="AG637" s="421"/>
      <c r="AH637" s="421"/>
      <c r="AI637" s="421"/>
      <c r="AJ637" s="421"/>
      <c r="AK637" s="421"/>
      <c r="AL637" s="421"/>
    </row>
    <row r="638" spans="1:38">
      <c r="A638" s="410">
        <v>5698</v>
      </c>
      <c r="B638" s="407"/>
      <c r="C638" s="408"/>
      <c r="D638" s="410" t="s">
        <v>2204</v>
      </c>
      <c r="E638" s="410" t="s">
        <v>2205</v>
      </c>
      <c r="F638" s="410" t="s">
        <v>1911</v>
      </c>
      <c r="G638" s="68" t="str">
        <f t="shared" si="46"/>
        <v>DUAL</v>
      </c>
      <c r="H638" s="197">
        <f t="shared" si="45"/>
        <v>21</v>
      </c>
      <c r="I638" s="408">
        <f t="shared" si="47"/>
        <v>5</v>
      </c>
      <c r="J638" s="408">
        <f t="shared" si="48"/>
        <v>22</v>
      </c>
      <c r="K638" s="411">
        <v>45799</v>
      </c>
      <c r="L638" s="408"/>
      <c r="M638" s="408"/>
      <c r="N638" s="3" t="str">
        <f t="shared" si="49"/>
        <v/>
      </c>
      <c r="O638" s="408"/>
      <c r="P638" s="408"/>
      <c r="Q638" s="408"/>
      <c r="R638" s="408"/>
      <c r="S638" s="408"/>
      <c r="T638" s="408"/>
      <c r="U638" s="408"/>
      <c r="V638" s="421"/>
      <c r="W638" s="421"/>
      <c r="X638" s="421"/>
      <c r="Y638" s="421"/>
      <c r="Z638" s="421"/>
      <c r="AA638" s="421"/>
      <c r="AB638" s="421"/>
      <c r="AC638" s="421"/>
      <c r="AD638" s="421"/>
      <c r="AE638" s="421"/>
      <c r="AF638" s="421"/>
      <c r="AG638" s="421"/>
      <c r="AH638" s="421"/>
      <c r="AI638" s="421"/>
      <c r="AJ638" s="421"/>
      <c r="AK638" s="421"/>
      <c r="AL638" s="421"/>
    </row>
    <row r="639" spans="1:38">
      <c r="A639" s="410">
        <v>5642</v>
      </c>
      <c r="B639" s="407"/>
      <c r="C639" s="408"/>
      <c r="D639" s="410" t="s">
        <v>2206</v>
      </c>
      <c r="E639" s="410" t="s">
        <v>1405</v>
      </c>
      <c r="F639" s="410" t="s">
        <v>1581</v>
      </c>
      <c r="G639" s="68" t="str">
        <f t="shared" si="46"/>
        <v>DUAL</v>
      </c>
      <c r="H639" s="197">
        <f t="shared" si="45"/>
        <v>21</v>
      </c>
      <c r="I639" s="408">
        <f t="shared" si="47"/>
        <v>5</v>
      </c>
      <c r="J639" s="408">
        <f t="shared" si="48"/>
        <v>22</v>
      </c>
      <c r="K639" s="411">
        <v>45799</v>
      </c>
      <c r="L639" s="408"/>
      <c r="M639" s="408"/>
      <c r="N639" s="3" t="str">
        <f t="shared" si="49"/>
        <v/>
      </c>
      <c r="O639" s="408"/>
      <c r="P639" s="408"/>
      <c r="Q639" s="408"/>
      <c r="R639" s="408"/>
      <c r="S639" s="408"/>
      <c r="T639" s="408"/>
      <c r="U639" s="408"/>
      <c r="V639" s="421"/>
      <c r="W639" s="421"/>
      <c r="X639" s="421"/>
      <c r="Y639" s="421"/>
      <c r="Z639" s="421"/>
      <c r="AA639" s="421"/>
      <c r="AB639" s="421"/>
      <c r="AC639" s="421"/>
      <c r="AD639" s="421"/>
      <c r="AE639" s="421"/>
      <c r="AF639" s="421"/>
      <c r="AG639" s="421"/>
      <c r="AH639" s="421"/>
      <c r="AI639" s="421"/>
      <c r="AJ639" s="421"/>
      <c r="AK639" s="421"/>
      <c r="AL639" s="421"/>
    </row>
    <row r="640" spans="1:38">
      <c r="A640" s="410">
        <v>5642</v>
      </c>
      <c r="B640" s="407"/>
      <c r="C640" s="408"/>
      <c r="D640" s="410" t="s">
        <v>2207</v>
      </c>
      <c r="E640" s="410" t="s">
        <v>1405</v>
      </c>
      <c r="F640" s="410" t="s">
        <v>1581</v>
      </c>
      <c r="G640" s="68" t="str">
        <f t="shared" si="46"/>
        <v>DUAL</v>
      </c>
      <c r="H640" s="197">
        <f t="shared" si="45"/>
        <v>21</v>
      </c>
      <c r="I640" s="408">
        <f t="shared" si="47"/>
        <v>5</v>
      </c>
      <c r="J640" s="408">
        <f t="shared" si="48"/>
        <v>22</v>
      </c>
      <c r="K640" s="411">
        <v>45799</v>
      </c>
      <c r="L640" s="408"/>
      <c r="M640" s="408"/>
      <c r="N640" s="3" t="str">
        <f t="shared" si="49"/>
        <v/>
      </c>
      <c r="O640" s="408"/>
      <c r="P640" s="408"/>
      <c r="Q640" s="408"/>
      <c r="R640" s="408"/>
      <c r="S640" s="408"/>
      <c r="T640" s="408"/>
      <c r="U640" s="408"/>
      <c r="V640" s="421"/>
      <c r="W640" s="421"/>
      <c r="X640" s="421"/>
      <c r="Y640" s="421"/>
      <c r="Z640" s="421"/>
      <c r="AA640" s="421"/>
      <c r="AB640" s="421"/>
      <c r="AC640" s="421"/>
      <c r="AD640" s="421"/>
      <c r="AE640" s="421"/>
      <c r="AF640" s="421"/>
      <c r="AG640" s="421"/>
      <c r="AH640" s="421"/>
      <c r="AI640" s="421"/>
      <c r="AJ640" s="421"/>
      <c r="AK640" s="421"/>
      <c r="AL640" s="421"/>
    </row>
    <row r="641" spans="1:38">
      <c r="A641" s="410">
        <v>5573</v>
      </c>
      <c r="B641" s="407"/>
      <c r="C641" s="408"/>
      <c r="D641" s="410" t="s">
        <v>2208</v>
      </c>
      <c r="E641" s="410" t="s">
        <v>1426</v>
      </c>
      <c r="F641" s="410" t="s">
        <v>1476</v>
      </c>
      <c r="G641" s="68" t="str">
        <f t="shared" si="46"/>
        <v>DUAL</v>
      </c>
      <c r="H641" s="197">
        <f t="shared" ref="H641:H704" si="50">WEEKNUM(K641)</f>
        <v>21</v>
      </c>
      <c r="I641" s="408">
        <f t="shared" si="47"/>
        <v>5</v>
      </c>
      <c r="J641" s="408">
        <f t="shared" si="48"/>
        <v>22</v>
      </c>
      <c r="K641" s="411">
        <v>45799</v>
      </c>
      <c r="L641" s="408"/>
      <c r="M641" s="408"/>
      <c r="N641" s="3" t="str">
        <f t="shared" si="49"/>
        <v/>
      </c>
      <c r="O641" s="408"/>
      <c r="P641" s="408"/>
      <c r="Q641" s="408"/>
      <c r="R641" s="408"/>
      <c r="S641" s="408"/>
      <c r="T641" s="408"/>
      <c r="U641" s="408"/>
      <c r="V641" s="421"/>
      <c r="W641" s="421"/>
      <c r="X641" s="421"/>
      <c r="Y641" s="421"/>
      <c r="Z641" s="421"/>
      <c r="AA641" s="421"/>
      <c r="AB641" s="421"/>
      <c r="AC641" s="421"/>
      <c r="AD641" s="421"/>
      <c r="AE641" s="421"/>
      <c r="AF641" s="421"/>
      <c r="AG641" s="421"/>
      <c r="AH641" s="421"/>
      <c r="AI641" s="421"/>
      <c r="AJ641" s="421"/>
      <c r="AK641" s="421"/>
      <c r="AL641" s="421"/>
    </row>
    <row r="642" spans="1:38">
      <c r="A642" s="410">
        <v>5670</v>
      </c>
      <c r="B642" s="407"/>
      <c r="C642" s="408"/>
      <c r="D642" s="410" t="s">
        <v>2209</v>
      </c>
      <c r="E642" s="410" t="s">
        <v>1426</v>
      </c>
      <c r="F642" s="410" t="s">
        <v>1476</v>
      </c>
      <c r="G642" s="68" t="str">
        <f t="shared" ref="G642:G705" si="51">IF(OR(ISNUMBER(SEARCH("DUAL",F642)), ISNUMBER(SEARCH("IVAS",F642))), "DUAL", "SINGLE")</f>
        <v>DUAL</v>
      </c>
      <c r="H642" s="197">
        <f t="shared" si="50"/>
        <v>21</v>
      </c>
      <c r="I642" s="408">
        <f t="shared" ref="I642:I705" si="52">MONTH(K642)</f>
        <v>5</v>
      </c>
      <c r="J642" s="408">
        <f t="shared" ref="J642:J705" si="53">DAY(K642)</f>
        <v>22</v>
      </c>
      <c r="K642" s="411">
        <v>45799</v>
      </c>
      <c r="L642" s="408"/>
      <c r="M642" s="408"/>
      <c r="N642" s="3" t="str">
        <f t="shared" ref="N642:N705" si="54">IF(O642&lt;&gt;"", "NG", "")</f>
        <v/>
      </c>
      <c r="O642" s="408"/>
      <c r="P642" s="408"/>
      <c r="Q642" s="408"/>
      <c r="R642" s="408"/>
      <c r="S642" s="408"/>
      <c r="T642" s="408"/>
      <c r="U642" s="408"/>
      <c r="V642" s="421"/>
      <c r="W642" s="421"/>
      <c r="X642" s="421"/>
      <c r="Y642" s="421"/>
      <c r="Z642" s="421"/>
      <c r="AA642" s="421"/>
      <c r="AB642" s="421"/>
      <c r="AC642" s="421"/>
      <c r="AD642" s="421"/>
      <c r="AE642" s="421"/>
      <c r="AF642" s="421"/>
      <c r="AG642" s="421"/>
      <c r="AH642" s="421"/>
      <c r="AI642" s="421"/>
      <c r="AJ642" s="421"/>
      <c r="AK642" s="421"/>
      <c r="AL642" s="421"/>
    </row>
    <row r="643" spans="1:38">
      <c r="A643" s="410">
        <v>5670</v>
      </c>
      <c r="B643" s="407"/>
      <c r="C643" s="408"/>
      <c r="D643" s="410" t="s">
        <v>2210</v>
      </c>
      <c r="E643" s="410" t="s">
        <v>1426</v>
      </c>
      <c r="F643" s="410" t="s">
        <v>1476</v>
      </c>
      <c r="G643" s="68" t="str">
        <f t="shared" si="51"/>
        <v>DUAL</v>
      </c>
      <c r="H643" s="197">
        <f t="shared" si="50"/>
        <v>21</v>
      </c>
      <c r="I643" s="408">
        <f t="shared" si="52"/>
        <v>5</v>
      </c>
      <c r="J643" s="408">
        <f t="shared" si="53"/>
        <v>22</v>
      </c>
      <c r="K643" s="411">
        <v>45799</v>
      </c>
      <c r="L643" s="408"/>
      <c r="M643" s="408"/>
      <c r="N643" s="3" t="str">
        <f t="shared" si="54"/>
        <v/>
      </c>
      <c r="O643" s="408"/>
      <c r="P643" s="408"/>
      <c r="Q643" s="408"/>
      <c r="R643" s="408"/>
      <c r="S643" s="408"/>
      <c r="T643" s="408"/>
      <c r="U643" s="408"/>
      <c r="V643" s="421"/>
      <c r="W643" s="421"/>
      <c r="X643" s="421"/>
      <c r="Y643" s="421"/>
      <c r="Z643" s="421"/>
      <c r="AA643" s="421"/>
      <c r="AB643" s="421"/>
      <c r="AC643" s="421"/>
      <c r="AD643" s="421"/>
      <c r="AE643" s="421"/>
      <c r="AF643" s="421"/>
      <c r="AG643" s="421"/>
      <c r="AH643" s="421"/>
      <c r="AI643" s="421"/>
      <c r="AJ643" s="421"/>
      <c r="AK643" s="421"/>
      <c r="AL643" s="421"/>
    </row>
    <row r="644" spans="1:38">
      <c r="A644" s="410">
        <v>5699</v>
      </c>
      <c r="B644" s="407"/>
      <c r="C644" s="408"/>
      <c r="D644" s="410" t="s">
        <v>2211</v>
      </c>
      <c r="E644" s="410" t="s">
        <v>1405</v>
      </c>
      <c r="F644" s="410" t="s">
        <v>1476</v>
      </c>
      <c r="G644" s="68" t="str">
        <f t="shared" si="51"/>
        <v>DUAL</v>
      </c>
      <c r="H644" s="197">
        <f t="shared" si="50"/>
        <v>21</v>
      </c>
      <c r="I644" s="408">
        <f t="shared" si="52"/>
        <v>5</v>
      </c>
      <c r="J644" s="408">
        <f t="shared" si="53"/>
        <v>23</v>
      </c>
      <c r="K644" s="411">
        <v>45800</v>
      </c>
      <c r="L644" s="408"/>
      <c r="M644" s="408"/>
      <c r="N644" s="3" t="str">
        <f t="shared" si="54"/>
        <v/>
      </c>
      <c r="O644" s="408"/>
      <c r="P644" s="408"/>
      <c r="Q644" s="408"/>
      <c r="R644" s="408"/>
      <c r="S644" s="408"/>
      <c r="T644" s="408"/>
      <c r="U644" s="408"/>
      <c r="V644" s="421"/>
      <c r="W644" s="421"/>
      <c r="X644" s="421"/>
      <c r="Y644" s="421"/>
      <c r="Z644" s="421"/>
      <c r="AA644" s="421"/>
      <c r="AB644" s="421"/>
      <c r="AC644" s="421"/>
      <c r="AD644" s="421"/>
      <c r="AE644" s="421"/>
      <c r="AF644" s="421"/>
      <c r="AG644" s="421"/>
      <c r="AH644" s="421"/>
      <c r="AI644" s="421"/>
      <c r="AJ644" s="421"/>
      <c r="AK644" s="421"/>
      <c r="AL644" s="421"/>
    </row>
    <row r="645" spans="1:38">
      <c r="A645" s="410">
        <v>5372</v>
      </c>
      <c r="B645" s="407"/>
      <c r="C645" s="408"/>
      <c r="D645" s="410" t="s">
        <v>2212</v>
      </c>
      <c r="E645" s="410" t="s">
        <v>1424</v>
      </c>
      <c r="F645" s="410" t="s">
        <v>1476</v>
      </c>
      <c r="G645" s="68" t="str">
        <f t="shared" si="51"/>
        <v>DUAL</v>
      </c>
      <c r="H645" s="197">
        <f t="shared" si="50"/>
        <v>21</v>
      </c>
      <c r="I645" s="408">
        <f t="shared" si="52"/>
        <v>5</v>
      </c>
      <c r="J645" s="408">
        <f t="shared" si="53"/>
        <v>23</v>
      </c>
      <c r="K645" s="411">
        <v>45800</v>
      </c>
      <c r="L645" s="408"/>
      <c r="M645" s="408"/>
      <c r="N645" s="3" t="str">
        <f t="shared" si="54"/>
        <v/>
      </c>
      <c r="O645" s="408"/>
      <c r="P645" s="408"/>
      <c r="Q645" s="408"/>
      <c r="R645" s="408"/>
      <c r="S645" s="408"/>
      <c r="T645" s="408"/>
      <c r="U645" s="408"/>
      <c r="V645" s="421"/>
      <c r="W645" s="421"/>
      <c r="X645" s="421"/>
      <c r="Y645" s="421"/>
      <c r="Z645" s="421"/>
      <c r="AA645" s="421"/>
      <c r="AB645" s="421"/>
      <c r="AC645" s="421"/>
      <c r="AD645" s="421"/>
      <c r="AE645" s="421"/>
      <c r="AF645" s="421"/>
      <c r="AG645" s="421"/>
      <c r="AH645" s="421"/>
      <c r="AI645" s="421"/>
      <c r="AJ645" s="421"/>
      <c r="AK645" s="421"/>
      <c r="AL645" s="421"/>
    </row>
    <row r="646" spans="1:38">
      <c r="A646" s="410">
        <v>5670</v>
      </c>
      <c r="B646" s="407"/>
      <c r="C646" s="408"/>
      <c r="D646" s="410" t="s">
        <v>2213</v>
      </c>
      <c r="E646" s="410" t="s">
        <v>1426</v>
      </c>
      <c r="F646" s="410" t="s">
        <v>1476</v>
      </c>
      <c r="G646" s="68" t="str">
        <f t="shared" si="51"/>
        <v>DUAL</v>
      </c>
      <c r="H646" s="197">
        <f t="shared" si="50"/>
        <v>21</v>
      </c>
      <c r="I646" s="408">
        <f t="shared" si="52"/>
        <v>5</v>
      </c>
      <c r="J646" s="408">
        <f t="shared" si="53"/>
        <v>23</v>
      </c>
      <c r="K646" s="411">
        <v>45800</v>
      </c>
      <c r="L646" s="408"/>
      <c r="M646" s="408"/>
      <c r="N646" s="3" t="str">
        <f t="shared" si="54"/>
        <v/>
      </c>
      <c r="O646" s="408"/>
      <c r="P646" s="408"/>
      <c r="Q646" s="408"/>
      <c r="R646" s="408"/>
      <c r="S646" s="408"/>
      <c r="T646" s="408"/>
      <c r="U646" s="408"/>
      <c r="V646" s="421"/>
      <c r="W646" s="421"/>
      <c r="X646" s="421"/>
      <c r="Y646" s="421"/>
      <c r="Z646" s="421"/>
      <c r="AA646" s="421"/>
      <c r="AB646" s="421"/>
      <c r="AC646" s="421"/>
      <c r="AD646" s="421"/>
      <c r="AE646" s="421"/>
      <c r="AF646" s="421"/>
      <c r="AG646" s="421"/>
      <c r="AH646" s="421"/>
      <c r="AI646" s="421"/>
      <c r="AJ646" s="421"/>
      <c r="AK646" s="421"/>
      <c r="AL646" s="421"/>
    </row>
    <row r="647" spans="1:38">
      <c r="A647" s="410">
        <v>5670</v>
      </c>
      <c r="B647" s="407"/>
      <c r="C647" s="408"/>
      <c r="D647" s="410" t="s">
        <v>2214</v>
      </c>
      <c r="E647" s="410" t="s">
        <v>1426</v>
      </c>
      <c r="F647" s="410" t="s">
        <v>1476</v>
      </c>
      <c r="G647" s="68" t="str">
        <f t="shared" si="51"/>
        <v>DUAL</v>
      </c>
      <c r="H647" s="197">
        <f t="shared" si="50"/>
        <v>21</v>
      </c>
      <c r="I647" s="408">
        <f t="shared" si="52"/>
        <v>5</v>
      </c>
      <c r="J647" s="408">
        <f t="shared" si="53"/>
        <v>23</v>
      </c>
      <c r="K647" s="411">
        <v>45800</v>
      </c>
      <c r="L647" s="408"/>
      <c r="M647" s="408"/>
      <c r="N647" s="3" t="str">
        <f t="shared" si="54"/>
        <v/>
      </c>
      <c r="O647" s="408"/>
      <c r="P647" s="408"/>
      <c r="Q647" s="408"/>
      <c r="R647" s="408"/>
      <c r="S647" s="408"/>
      <c r="T647" s="408"/>
      <c r="U647" s="408"/>
      <c r="V647" s="421"/>
      <c r="W647" s="421"/>
      <c r="X647" s="421"/>
      <c r="Y647" s="421"/>
      <c r="Z647" s="421"/>
      <c r="AA647" s="421"/>
      <c r="AB647" s="421"/>
      <c r="AC647" s="421"/>
      <c r="AD647" s="421"/>
      <c r="AE647" s="421"/>
      <c r="AF647" s="421"/>
      <c r="AG647" s="421"/>
      <c r="AH647" s="421"/>
      <c r="AI647" s="421"/>
      <c r="AJ647" s="421"/>
      <c r="AK647" s="421"/>
      <c r="AL647" s="421"/>
    </row>
    <row r="648" spans="1:38">
      <c r="A648" s="410">
        <v>5666</v>
      </c>
      <c r="B648" s="407"/>
      <c r="C648" s="408"/>
      <c r="D648" s="410" t="s">
        <v>2215</v>
      </c>
      <c r="E648" s="410" t="s">
        <v>1426</v>
      </c>
      <c r="F648" s="410" t="s">
        <v>1476</v>
      </c>
      <c r="G648" s="68" t="str">
        <f t="shared" si="51"/>
        <v>DUAL</v>
      </c>
      <c r="H648" s="197">
        <f t="shared" si="50"/>
        <v>22</v>
      </c>
      <c r="I648" s="408">
        <f t="shared" si="52"/>
        <v>5</v>
      </c>
      <c r="J648" s="408">
        <f t="shared" si="53"/>
        <v>26</v>
      </c>
      <c r="K648" s="411">
        <v>45803</v>
      </c>
      <c r="L648" s="408"/>
      <c r="M648" s="408"/>
      <c r="N648" s="3" t="str">
        <f t="shared" si="54"/>
        <v/>
      </c>
      <c r="O648" s="408"/>
      <c r="P648" s="408"/>
      <c r="Q648" s="408"/>
      <c r="R648" s="408"/>
      <c r="S648" s="408"/>
      <c r="T648" s="408"/>
      <c r="U648" s="408"/>
      <c r="V648" s="421"/>
      <c r="W648" s="421"/>
      <c r="X648" s="421"/>
      <c r="Y648" s="421"/>
      <c r="Z648" s="421"/>
      <c r="AA648" s="421"/>
      <c r="AB648" s="421"/>
      <c r="AC648" s="421"/>
      <c r="AD648" s="421"/>
      <c r="AE648" s="421"/>
      <c r="AF648" s="421"/>
      <c r="AG648" s="421"/>
      <c r="AH648" s="421"/>
      <c r="AI648" s="421"/>
      <c r="AJ648" s="421"/>
      <c r="AK648" s="421"/>
      <c r="AL648" s="421"/>
    </row>
    <row r="649" spans="1:38">
      <c r="A649" s="410">
        <v>5687</v>
      </c>
      <c r="B649" s="407"/>
      <c r="C649" s="408"/>
      <c r="D649" s="410" t="s">
        <v>2216</v>
      </c>
      <c r="E649" s="410" t="s">
        <v>1585</v>
      </c>
      <c r="F649" s="410" t="s">
        <v>1476</v>
      </c>
      <c r="G649" s="68" t="str">
        <f t="shared" si="51"/>
        <v>DUAL</v>
      </c>
      <c r="H649" s="197">
        <f t="shared" si="50"/>
        <v>22</v>
      </c>
      <c r="I649" s="408">
        <f t="shared" si="52"/>
        <v>5</v>
      </c>
      <c r="J649" s="408">
        <f t="shared" si="53"/>
        <v>26</v>
      </c>
      <c r="K649" s="411">
        <v>45803</v>
      </c>
      <c r="L649" s="408"/>
      <c r="M649" s="408"/>
      <c r="N649" s="3" t="str">
        <f t="shared" si="54"/>
        <v/>
      </c>
      <c r="O649" s="408"/>
      <c r="P649" s="408"/>
      <c r="Q649" s="408"/>
      <c r="R649" s="408"/>
      <c r="S649" s="408"/>
      <c r="T649" s="408"/>
      <c r="U649" s="408"/>
      <c r="V649" s="421"/>
      <c r="W649" s="421"/>
      <c r="X649" s="421"/>
      <c r="Y649" s="421"/>
      <c r="Z649" s="421"/>
      <c r="AA649" s="421"/>
      <c r="AB649" s="421"/>
      <c r="AC649" s="421"/>
      <c r="AD649" s="421"/>
      <c r="AE649" s="421"/>
      <c r="AF649" s="421"/>
      <c r="AG649" s="421"/>
      <c r="AH649" s="421"/>
      <c r="AI649" s="421"/>
      <c r="AJ649" s="421"/>
      <c r="AK649" s="421"/>
      <c r="AL649" s="421"/>
    </row>
    <row r="650" spans="1:38">
      <c r="A650" s="410">
        <v>5668</v>
      </c>
      <c r="B650" s="407"/>
      <c r="C650" s="408"/>
      <c r="D650" s="410" t="s">
        <v>2217</v>
      </c>
      <c r="E650" s="410" t="s">
        <v>1426</v>
      </c>
      <c r="F650" s="410" t="s">
        <v>1476</v>
      </c>
      <c r="G650" s="68" t="str">
        <f t="shared" si="51"/>
        <v>DUAL</v>
      </c>
      <c r="H650" s="197">
        <f t="shared" si="50"/>
        <v>22</v>
      </c>
      <c r="I650" s="408">
        <f t="shared" si="52"/>
        <v>5</v>
      </c>
      <c r="J650" s="408">
        <f t="shared" si="53"/>
        <v>26</v>
      </c>
      <c r="K650" s="411">
        <v>45803</v>
      </c>
      <c r="L650" s="408"/>
      <c r="M650" s="408"/>
      <c r="N650" s="3" t="str">
        <f t="shared" si="54"/>
        <v/>
      </c>
      <c r="O650" s="408"/>
      <c r="P650" s="408"/>
      <c r="Q650" s="408"/>
      <c r="R650" s="408"/>
      <c r="S650" s="408"/>
      <c r="T650" s="408"/>
      <c r="U650" s="408"/>
      <c r="V650" s="421"/>
      <c r="W650" s="421"/>
      <c r="X650" s="421"/>
      <c r="Y650" s="421"/>
      <c r="Z650" s="421"/>
      <c r="AA650" s="421"/>
      <c r="AB650" s="421"/>
      <c r="AC650" s="421"/>
      <c r="AD650" s="421"/>
      <c r="AE650" s="421"/>
      <c r="AF650" s="421"/>
      <c r="AG650" s="421"/>
      <c r="AH650" s="421"/>
      <c r="AI650" s="421"/>
      <c r="AJ650" s="421"/>
      <c r="AK650" s="421"/>
      <c r="AL650" s="421"/>
    </row>
    <row r="651" spans="1:38">
      <c r="A651" s="410">
        <v>5668</v>
      </c>
      <c r="B651" s="407"/>
      <c r="C651" s="408"/>
      <c r="D651" s="410" t="s">
        <v>2218</v>
      </c>
      <c r="E651" s="410" t="s">
        <v>1426</v>
      </c>
      <c r="F651" s="410" t="s">
        <v>1476</v>
      </c>
      <c r="G651" s="68" t="str">
        <f t="shared" si="51"/>
        <v>DUAL</v>
      </c>
      <c r="H651" s="197">
        <f t="shared" si="50"/>
        <v>22</v>
      </c>
      <c r="I651" s="408">
        <f t="shared" si="52"/>
        <v>5</v>
      </c>
      <c r="J651" s="408">
        <f t="shared" si="53"/>
        <v>26</v>
      </c>
      <c r="K651" s="411">
        <v>45803</v>
      </c>
      <c r="L651" s="408"/>
      <c r="M651" s="408"/>
      <c r="N651" s="3" t="str">
        <f t="shared" si="54"/>
        <v/>
      </c>
      <c r="O651" s="408"/>
      <c r="P651" s="408"/>
      <c r="Q651" s="408"/>
      <c r="R651" s="408"/>
      <c r="S651" s="408"/>
      <c r="T651" s="408"/>
      <c r="U651" s="408"/>
      <c r="V651" s="421"/>
      <c r="W651" s="421"/>
      <c r="X651" s="421"/>
      <c r="Y651" s="421"/>
      <c r="Z651" s="421"/>
      <c r="AA651" s="421"/>
      <c r="AB651" s="421"/>
      <c r="AC651" s="421"/>
      <c r="AD651" s="421"/>
      <c r="AE651" s="421"/>
      <c r="AF651" s="421"/>
      <c r="AG651" s="421"/>
      <c r="AH651" s="421"/>
      <c r="AI651" s="421"/>
      <c r="AJ651" s="421"/>
      <c r="AK651" s="421"/>
      <c r="AL651" s="421"/>
    </row>
    <row r="652" spans="1:38">
      <c r="A652" s="410">
        <v>5722</v>
      </c>
      <c r="B652" s="407"/>
      <c r="C652" s="408"/>
      <c r="D652" s="410" t="s">
        <v>2219</v>
      </c>
      <c r="E652" s="410" t="s">
        <v>1405</v>
      </c>
      <c r="F652" s="410" t="s">
        <v>1616</v>
      </c>
      <c r="G652" s="68" t="str">
        <f t="shared" si="51"/>
        <v>SINGLE</v>
      </c>
      <c r="H652" s="197">
        <f t="shared" si="50"/>
        <v>22</v>
      </c>
      <c r="I652" s="408">
        <f t="shared" si="52"/>
        <v>5</v>
      </c>
      <c r="J652" s="408">
        <f t="shared" si="53"/>
        <v>27</v>
      </c>
      <c r="K652" s="411">
        <v>45804</v>
      </c>
      <c r="L652" s="408"/>
      <c r="M652" s="408"/>
      <c r="N652" s="3" t="str">
        <f t="shared" si="54"/>
        <v/>
      </c>
      <c r="O652" s="408"/>
      <c r="P652" s="408"/>
      <c r="Q652" s="408"/>
      <c r="R652" s="408"/>
      <c r="S652" s="408"/>
      <c r="T652" s="408"/>
      <c r="U652" s="408"/>
      <c r="V652" s="421"/>
      <c r="W652" s="421"/>
      <c r="X652" s="421"/>
      <c r="Y652" s="421"/>
      <c r="Z652" s="421"/>
      <c r="AA652" s="421"/>
      <c r="AB652" s="421"/>
      <c r="AC652" s="421"/>
      <c r="AD652" s="421"/>
      <c r="AE652" s="421"/>
      <c r="AF652" s="421"/>
      <c r="AG652" s="421"/>
      <c r="AH652" s="421"/>
      <c r="AI652" s="421"/>
      <c r="AJ652" s="421"/>
      <c r="AK652" s="421"/>
      <c r="AL652" s="421"/>
    </row>
    <row r="653" spans="1:38">
      <c r="A653" s="410">
        <v>5722</v>
      </c>
      <c r="B653" s="407"/>
      <c r="C653" s="408"/>
      <c r="D653" s="410" t="s">
        <v>2220</v>
      </c>
      <c r="E653" s="410" t="s">
        <v>1405</v>
      </c>
      <c r="F653" s="410" t="s">
        <v>1616</v>
      </c>
      <c r="G653" s="68" t="str">
        <f t="shared" si="51"/>
        <v>SINGLE</v>
      </c>
      <c r="H653" s="197">
        <f t="shared" si="50"/>
        <v>22</v>
      </c>
      <c r="I653" s="408">
        <f t="shared" si="52"/>
        <v>5</v>
      </c>
      <c r="J653" s="408">
        <f t="shared" si="53"/>
        <v>27</v>
      </c>
      <c r="K653" s="411">
        <v>45804</v>
      </c>
      <c r="L653" s="408"/>
      <c r="M653" s="408"/>
      <c r="N653" s="3" t="str">
        <f t="shared" si="54"/>
        <v/>
      </c>
      <c r="O653" s="408"/>
      <c r="P653" s="408"/>
      <c r="Q653" s="408"/>
      <c r="R653" s="408"/>
      <c r="S653" s="408"/>
      <c r="T653" s="408"/>
      <c r="U653" s="408"/>
      <c r="V653" s="421"/>
      <c r="W653" s="421"/>
      <c r="X653" s="421"/>
      <c r="Y653" s="421"/>
      <c r="Z653" s="421"/>
      <c r="AA653" s="421"/>
      <c r="AB653" s="421"/>
      <c r="AC653" s="421"/>
      <c r="AD653" s="421"/>
      <c r="AE653" s="421"/>
      <c r="AF653" s="421"/>
      <c r="AG653" s="421"/>
      <c r="AH653" s="421"/>
      <c r="AI653" s="421"/>
      <c r="AJ653" s="421"/>
      <c r="AK653" s="421"/>
      <c r="AL653" s="421"/>
    </row>
    <row r="654" spans="1:38">
      <c r="A654" s="410">
        <v>5670</v>
      </c>
      <c r="B654" s="407"/>
      <c r="C654" s="408"/>
      <c r="D654" s="410" t="s">
        <v>2221</v>
      </c>
      <c r="E654" s="410" t="s">
        <v>1426</v>
      </c>
      <c r="F654" s="410" t="s">
        <v>1476</v>
      </c>
      <c r="G654" s="68" t="str">
        <f t="shared" si="51"/>
        <v>DUAL</v>
      </c>
      <c r="H654" s="197">
        <f t="shared" si="50"/>
        <v>22</v>
      </c>
      <c r="I654" s="408">
        <f t="shared" si="52"/>
        <v>5</v>
      </c>
      <c r="J654" s="408">
        <f t="shared" si="53"/>
        <v>27</v>
      </c>
      <c r="K654" s="411">
        <v>45804</v>
      </c>
      <c r="L654" s="408"/>
      <c r="M654" s="408"/>
      <c r="N654" s="3" t="str">
        <f t="shared" si="54"/>
        <v/>
      </c>
      <c r="O654" s="408"/>
      <c r="P654" s="408"/>
      <c r="Q654" s="408"/>
      <c r="R654" s="408"/>
      <c r="S654" s="408"/>
      <c r="T654" s="408"/>
      <c r="U654" s="408"/>
      <c r="V654" s="421"/>
      <c r="W654" s="421"/>
      <c r="X654" s="421"/>
      <c r="Y654" s="421"/>
      <c r="Z654" s="421"/>
      <c r="AA654" s="421"/>
      <c r="AB654" s="421"/>
      <c r="AC654" s="421"/>
      <c r="AD654" s="421"/>
      <c r="AE654" s="421"/>
      <c r="AF654" s="421"/>
      <c r="AG654" s="421"/>
      <c r="AH654" s="421"/>
      <c r="AI654" s="421"/>
      <c r="AJ654" s="421"/>
      <c r="AK654" s="421"/>
      <c r="AL654" s="421"/>
    </row>
    <row r="655" spans="1:38">
      <c r="A655" s="410">
        <v>5670</v>
      </c>
      <c r="B655" s="407"/>
      <c r="C655" s="408"/>
      <c r="D655" s="410" t="s">
        <v>2222</v>
      </c>
      <c r="E655" s="410" t="s">
        <v>1426</v>
      </c>
      <c r="F655" s="410" t="s">
        <v>1476</v>
      </c>
      <c r="G655" s="68" t="str">
        <f t="shared" si="51"/>
        <v>DUAL</v>
      </c>
      <c r="H655" s="197">
        <f t="shared" si="50"/>
        <v>22</v>
      </c>
      <c r="I655" s="408">
        <f t="shared" si="52"/>
        <v>5</v>
      </c>
      <c r="J655" s="408">
        <f t="shared" si="53"/>
        <v>27</v>
      </c>
      <c r="K655" s="411">
        <v>45804</v>
      </c>
      <c r="L655" s="408"/>
      <c r="M655" s="408"/>
      <c r="N655" s="3" t="str">
        <f t="shared" si="54"/>
        <v/>
      </c>
      <c r="O655" s="408"/>
      <c r="P655" s="408"/>
      <c r="Q655" s="408"/>
      <c r="R655" s="408"/>
      <c r="S655" s="408"/>
      <c r="T655" s="408"/>
      <c r="U655" s="408"/>
      <c r="V655" s="421"/>
      <c r="W655" s="421"/>
      <c r="X655" s="421"/>
      <c r="Y655" s="421"/>
      <c r="Z655" s="421"/>
      <c r="AA655" s="421"/>
      <c r="AB655" s="421"/>
      <c r="AC655" s="421"/>
      <c r="AD655" s="421"/>
      <c r="AE655" s="421"/>
      <c r="AF655" s="421"/>
      <c r="AG655" s="421"/>
      <c r="AH655" s="421"/>
      <c r="AI655" s="421"/>
      <c r="AJ655" s="421"/>
      <c r="AK655" s="421"/>
      <c r="AL655" s="421"/>
    </row>
    <row r="656" spans="1:38">
      <c r="A656" s="410">
        <v>5685</v>
      </c>
      <c r="B656" s="407"/>
      <c r="C656" s="408"/>
      <c r="D656" s="410" t="s">
        <v>2223</v>
      </c>
      <c r="E656" s="410" t="s">
        <v>1585</v>
      </c>
      <c r="F656" s="410" t="s">
        <v>1476</v>
      </c>
      <c r="G656" s="68" t="str">
        <f t="shared" si="51"/>
        <v>DUAL</v>
      </c>
      <c r="H656" s="197">
        <f t="shared" si="50"/>
        <v>22</v>
      </c>
      <c r="I656" s="408">
        <f t="shared" si="52"/>
        <v>5</v>
      </c>
      <c r="J656" s="408">
        <f t="shared" si="53"/>
        <v>27</v>
      </c>
      <c r="K656" s="411">
        <v>45804</v>
      </c>
      <c r="L656" s="408"/>
      <c r="M656" s="408"/>
      <c r="N656" s="3" t="str">
        <f t="shared" si="54"/>
        <v/>
      </c>
      <c r="O656" s="408"/>
      <c r="P656" s="408"/>
      <c r="Q656" s="408"/>
      <c r="R656" s="408"/>
      <c r="S656" s="408"/>
      <c r="T656" s="408"/>
      <c r="U656" s="408"/>
      <c r="V656" s="421"/>
      <c r="W656" s="421"/>
      <c r="X656" s="421"/>
      <c r="Y656" s="421"/>
      <c r="Z656" s="421"/>
      <c r="AA656" s="421"/>
      <c r="AB656" s="421"/>
      <c r="AC656" s="421"/>
      <c r="AD656" s="421"/>
      <c r="AE656" s="421"/>
      <c r="AF656" s="421"/>
      <c r="AG656" s="421"/>
      <c r="AH656" s="421"/>
      <c r="AI656" s="421"/>
      <c r="AJ656" s="421"/>
      <c r="AK656" s="421"/>
      <c r="AL656" s="421"/>
    </row>
    <row r="657" spans="1:38">
      <c r="A657" s="410">
        <v>5685</v>
      </c>
      <c r="B657" s="407"/>
      <c r="C657" s="408"/>
      <c r="D657" s="410" t="s">
        <v>2224</v>
      </c>
      <c r="E657" s="410" t="s">
        <v>1585</v>
      </c>
      <c r="F657" s="410" t="s">
        <v>1476</v>
      </c>
      <c r="G657" s="68" t="str">
        <f t="shared" si="51"/>
        <v>DUAL</v>
      </c>
      <c r="H657" s="197">
        <f t="shared" si="50"/>
        <v>22</v>
      </c>
      <c r="I657" s="408">
        <f t="shared" si="52"/>
        <v>5</v>
      </c>
      <c r="J657" s="408">
        <f t="shared" si="53"/>
        <v>27</v>
      </c>
      <c r="K657" s="411">
        <v>45804</v>
      </c>
      <c r="L657" s="408"/>
      <c r="M657" s="408"/>
      <c r="N657" s="3" t="str">
        <f t="shared" si="54"/>
        <v/>
      </c>
      <c r="O657" s="408"/>
      <c r="P657" s="408"/>
      <c r="Q657" s="408"/>
      <c r="R657" s="408"/>
      <c r="S657" s="408"/>
      <c r="T657" s="408"/>
      <c r="U657" s="408"/>
      <c r="V657" s="421"/>
      <c r="W657" s="421"/>
      <c r="X657" s="421"/>
      <c r="Y657" s="421"/>
      <c r="Z657" s="421"/>
      <c r="AA657" s="421"/>
      <c r="AB657" s="421"/>
      <c r="AC657" s="421"/>
      <c r="AD657" s="421"/>
      <c r="AE657" s="421"/>
      <c r="AF657" s="421"/>
      <c r="AG657" s="421"/>
      <c r="AH657" s="421"/>
      <c r="AI657" s="421"/>
      <c r="AJ657" s="421"/>
      <c r="AK657" s="421"/>
      <c r="AL657" s="421"/>
    </row>
    <row r="658" spans="1:38">
      <c r="A658" s="410">
        <v>5686</v>
      </c>
      <c r="B658" s="407"/>
      <c r="C658" s="408"/>
      <c r="D658" s="410" t="s">
        <v>2225</v>
      </c>
      <c r="E658" s="410" t="s">
        <v>1585</v>
      </c>
      <c r="F658" s="410" t="s">
        <v>1476</v>
      </c>
      <c r="G658" s="68" t="str">
        <f t="shared" si="51"/>
        <v>DUAL</v>
      </c>
      <c r="H658" s="197">
        <f t="shared" si="50"/>
        <v>22</v>
      </c>
      <c r="I658" s="408">
        <f t="shared" si="52"/>
        <v>5</v>
      </c>
      <c r="J658" s="408">
        <f t="shared" si="53"/>
        <v>27</v>
      </c>
      <c r="K658" s="411">
        <v>45804</v>
      </c>
      <c r="L658" s="408"/>
      <c r="M658" s="408"/>
      <c r="N658" s="3" t="str">
        <f t="shared" si="54"/>
        <v/>
      </c>
      <c r="O658" s="408"/>
      <c r="P658" s="408"/>
      <c r="Q658" s="408"/>
      <c r="R658" s="408"/>
      <c r="S658" s="408"/>
      <c r="T658" s="408"/>
      <c r="U658" s="408"/>
      <c r="V658" s="421"/>
      <c r="W658" s="421"/>
      <c r="X658" s="421"/>
      <c r="Y658" s="421"/>
      <c r="Z658" s="421"/>
      <c r="AA658" s="421"/>
      <c r="AB658" s="421"/>
      <c r="AC658" s="421"/>
      <c r="AD658" s="421"/>
      <c r="AE658" s="421"/>
      <c r="AF658" s="421"/>
      <c r="AG658" s="421"/>
      <c r="AH658" s="421"/>
      <c r="AI658" s="421"/>
      <c r="AJ658" s="421"/>
      <c r="AK658" s="421"/>
      <c r="AL658" s="421"/>
    </row>
    <row r="659" spans="1:38">
      <c r="A659" s="410">
        <v>5695</v>
      </c>
      <c r="B659" s="407"/>
      <c r="C659" s="408"/>
      <c r="D659" s="410" t="s">
        <v>2226</v>
      </c>
      <c r="E659" s="410" t="s">
        <v>1414</v>
      </c>
      <c r="F659" s="410" t="s">
        <v>1476</v>
      </c>
      <c r="G659" s="68" t="str">
        <f t="shared" si="51"/>
        <v>DUAL</v>
      </c>
      <c r="H659" s="197">
        <f t="shared" si="50"/>
        <v>22</v>
      </c>
      <c r="I659" s="408">
        <f t="shared" si="52"/>
        <v>5</v>
      </c>
      <c r="J659" s="408">
        <f t="shared" si="53"/>
        <v>28</v>
      </c>
      <c r="K659" s="411">
        <v>45805</v>
      </c>
      <c r="L659" s="408"/>
      <c r="M659" s="408"/>
      <c r="N659" s="3" t="str">
        <f t="shared" si="54"/>
        <v/>
      </c>
      <c r="O659" s="408"/>
      <c r="P659" s="408"/>
      <c r="Q659" s="408"/>
      <c r="R659" s="408"/>
      <c r="S659" s="408"/>
      <c r="T659" s="408"/>
      <c r="U659" s="408"/>
      <c r="V659" s="421"/>
      <c r="W659" s="421"/>
      <c r="X659" s="421"/>
      <c r="Y659" s="421"/>
      <c r="Z659" s="421"/>
      <c r="AA659" s="421"/>
      <c r="AB659" s="421"/>
      <c r="AC659" s="421"/>
      <c r="AD659" s="421"/>
      <c r="AE659" s="421"/>
      <c r="AF659" s="421"/>
      <c r="AG659" s="421"/>
      <c r="AH659" s="421"/>
      <c r="AI659" s="421"/>
      <c r="AJ659" s="421"/>
      <c r="AK659" s="421"/>
      <c r="AL659" s="421"/>
    </row>
    <row r="660" spans="1:38">
      <c r="A660" s="410">
        <v>5705</v>
      </c>
      <c r="B660" s="407"/>
      <c r="C660" s="408"/>
      <c r="D660" s="410" t="s">
        <v>2227</v>
      </c>
      <c r="E660" s="410" t="s">
        <v>1424</v>
      </c>
      <c r="F660" s="410" t="s">
        <v>1476</v>
      </c>
      <c r="G660" s="68" t="str">
        <f t="shared" si="51"/>
        <v>DUAL</v>
      </c>
      <c r="H660" s="197">
        <f t="shared" si="50"/>
        <v>22</v>
      </c>
      <c r="I660" s="408">
        <f t="shared" si="52"/>
        <v>5</v>
      </c>
      <c r="J660" s="408">
        <f t="shared" si="53"/>
        <v>28</v>
      </c>
      <c r="K660" s="411">
        <v>45805</v>
      </c>
      <c r="L660" s="408"/>
      <c r="M660" s="408"/>
      <c r="N660" s="3" t="str">
        <f t="shared" si="54"/>
        <v/>
      </c>
      <c r="O660" s="408"/>
      <c r="P660" s="408"/>
      <c r="Q660" s="408"/>
      <c r="R660" s="408"/>
      <c r="S660" s="408"/>
      <c r="T660" s="408"/>
      <c r="U660" s="408"/>
      <c r="V660" s="421"/>
      <c r="W660" s="421"/>
      <c r="X660" s="421"/>
      <c r="Y660" s="421"/>
      <c r="Z660" s="421"/>
      <c r="AA660" s="421"/>
      <c r="AB660" s="421"/>
      <c r="AC660" s="421"/>
      <c r="AD660" s="421"/>
      <c r="AE660" s="421"/>
      <c r="AF660" s="421"/>
      <c r="AG660" s="421"/>
      <c r="AH660" s="421"/>
      <c r="AI660" s="421"/>
      <c r="AJ660" s="421"/>
      <c r="AK660" s="421"/>
      <c r="AL660" s="421"/>
    </row>
    <row r="661" spans="1:38">
      <c r="A661" s="410">
        <v>5665</v>
      </c>
      <c r="B661" s="407"/>
      <c r="C661" s="408"/>
      <c r="D661" s="410" t="s">
        <v>2228</v>
      </c>
      <c r="E661" s="410" t="s">
        <v>1426</v>
      </c>
      <c r="F661" s="410" t="s">
        <v>1476</v>
      </c>
      <c r="G661" s="68" t="str">
        <f t="shared" si="51"/>
        <v>DUAL</v>
      </c>
      <c r="H661" s="197">
        <f t="shared" si="50"/>
        <v>22</v>
      </c>
      <c r="I661" s="408">
        <f t="shared" si="52"/>
        <v>5</v>
      </c>
      <c r="J661" s="408">
        <f t="shared" si="53"/>
        <v>28</v>
      </c>
      <c r="K661" s="411">
        <v>45805</v>
      </c>
      <c r="L661" s="408"/>
      <c r="M661" s="408"/>
      <c r="N661" s="3" t="str">
        <f t="shared" si="54"/>
        <v/>
      </c>
      <c r="O661" s="408"/>
      <c r="P661" s="408"/>
      <c r="Q661" s="408"/>
      <c r="R661" s="408"/>
      <c r="S661" s="408"/>
      <c r="T661" s="408"/>
      <c r="U661" s="408"/>
      <c r="V661" s="421"/>
      <c r="W661" s="421"/>
      <c r="X661" s="421"/>
      <c r="Y661" s="421"/>
      <c r="Z661" s="421"/>
      <c r="AA661" s="421"/>
      <c r="AB661" s="421"/>
      <c r="AC661" s="421"/>
      <c r="AD661" s="421"/>
      <c r="AE661" s="421"/>
      <c r="AF661" s="421"/>
      <c r="AG661" s="421"/>
      <c r="AH661" s="421"/>
      <c r="AI661" s="421"/>
      <c r="AJ661" s="421"/>
      <c r="AK661" s="421"/>
      <c r="AL661" s="421"/>
    </row>
    <row r="662" spans="1:38">
      <c r="A662" s="410">
        <v>5668</v>
      </c>
      <c r="B662" s="407"/>
      <c r="C662" s="408"/>
      <c r="D662" s="410" t="s">
        <v>2229</v>
      </c>
      <c r="E662" s="410" t="s">
        <v>1426</v>
      </c>
      <c r="F662" s="410" t="s">
        <v>1476</v>
      </c>
      <c r="G662" s="68" t="str">
        <f t="shared" si="51"/>
        <v>DUAL</v>
      </c>
      <c r="H662" s="197">
        <f t="shared" si="50"/>
        <v>22</v>
      </c>
      <c r="I662" s="408">
        <f t="shared" si="52"/>
        <v>5</v>
      </c>
      <c r="J662" s="408">
        <f t="shared" si="53"/>
        <v>28</v>
      </c>
      <c r="K662" s="411">
        <v>45805</v>
      </c>
      <c r="L662" s="408"/>
      <c r="M662" s="408"/>
      <c r="N662" s="3" t="str">
        <f t="shared" si="54"/>
        <v/>
      </c>
      <c r="O662" s="408"/>
      <c r="P662" s="408"/>
      <c r="Q662" s="408"/>
      <c r="R662" s="408"/>
      <c r="S662" s="408"/>
      <c r="T662" s="408"/>
      <c r="U662" s="408"/>
      <c r="V662" s="421"/>
      <c r="W662" s="421"/>
      <c r="X662" s="421"/>
      <c r="Y662" s="421"/>
      <c r="Z662" s="421"/>
      <c r="AA662" s="421"/>
      <c r="AB662" s="421"/>
      <c r="AC662" s="421"/>
      <c r="AD662" s="421"/>
      <c r="AE662" s="421"/>
      <c r="AF662" s="421"/>
      <c r="AG662" s="421"/>
      <c r="AH662" s="421"/>
      <c r="AI662" s="421"/>
      <c r="AJ662" s="421"/>
      <c r="AK662" s="421"/>
      <c r="AL662" s="421"/>
    </row>
    <row r="663" spans="1:38">
      <c r="A663" s="410">
        <v>5668</v>
      </c>
      <c r="B663" s="407"/>
      <c r="C663" s="408"/>
      <c r="D663" s="410" t="s">
        <v>2230</v>
      </c>
      <c r="E663" s="410" t="s">
        <v>1426</v>
      </c>
      <c r="F663" s="410" t="s">
        <v>1476</v>
      </c>
      <c r="G663" s="68" t="str">
        <f t="shared" si="51"/>
        <v>DUAL</v>
      </c>
      <c r="H663" s="197">
        <f t="shared" si="50"/>
        <v>22</v>
      </c>
      <c r="I663" s="408">
        <f t="shared" si="52"/>
        <v>5</v>
      </c>
      <c r="J663" s="408">
        <f t="shared" si="53"/>
        <v>28</v>
      </c>
      <c r="K663" s="411">
        <v>45805</v>
      </c>
      <c r="L663" s="408"/>
      <c r="M663" s="408"/>
      <c r="N663" s="3" t="str">
        <f t="shared" si="54"/>
        <v/>
      </c>
      <c r="O663" s="408"/>
      <c r="P663" s="408"/>
      <c r="Q663" s="408"/>
      <c r="R663" s="408"/>
      <c r="S663" s="408"/>
      <c r="T663" s="408"/>
      <c r="U663" s="408"/>
      <c r="V663" s="421"/>
      <c r="W663" s="421"/>
      <c r="X663" s="421"/>
      <c r="Y663" s="421"/>
      <c r="Z663" s="421"/>
      <c r="AA663" s="421"/>
      <c r="AB663" s="421"/>
      <c r="AC663" s="421"/>
      <c r="AD663" s="421"/>
      <c r="AE663" s="421"/>
      <c r="AF663" s="421"/>
      <c r="AG663" s="421"/>
      <c r="AH663" s="421"/>
      <c r="AI663" s="421"/>
      <c r="AJ663" s="421"/>
      <c r="AK663" s="421"/>
      <c r="AL663" s="421"/>
    </row>
    <row r="664" spans="1:38">
      <c r="A664" s="410">
        <v>5692</v>
      </c>
      <c r="B664" s="407"/>
      <c r="C664" s="408"/>
      <c r="D664" s="410" t="s">
        <v>2231</v>
      </c>
      <c r="E664" s="410" t="s">
        <v>1585</v>
      </c>
      <c r="F664" s="410" t="s">
        <v>1476</v>
      </c>
      <c r="G664" s="68" t="str">
        <f t="shared" si="51"/>
        <v>DUAL</v>
      </c>
      <c r="H664" s="197">
        <f t="shared" si="50"/>
        <v>22</v>
      </c>
      <c r="I664" s="408">
        <f t="shared" si="52"/>
        <v>5</v>
      </c>
      <c r="J664" s="408">
        <f t="shared" si="53"/>
        <v>29</v>
      </c>
      <c r="K664" s="411">
        <v>45806</v>
      </c>
      <c r="L664" s="408"/>
      <c r="M664" s="408"/>
      <c r="N664" s="3" t="str">
        <f t="shared" si="54"/>
        <v/>
      </c>
      <c r="O664" s="408"/>
      <c r="P664" s="408"/>
      <c r="Q664" s="408"/>
      <c r="R664" s="408"/>
      <c r="S664" s="408"/>
      <c r="T664" s="408"/>
      <c r="U664" s="408"/>
      <c r="V664" s="421"/>
      <c r="W664" s="421"/>
      <c r="X664" s="421"/>
      <c r="Y664" s="421"/>
      <c r="Z664" s="421"/>
      <c r="AA664" s="421"/>
      <c r="AB664" s="421"/>
      <c r="AC664" s="421"/>
      <c r="AD664" s="421"/>
      <c r="AE664" s="421"/>
      <c r="AF664" s="421"/>
      <c r="AG664" s="421"/>
      <c r="AH664" s="421"/>
      <c r="AI664" s="421"/>
      <c r="AJ664" s="421"/>
      <c r="AK664" s="421"/>
      <c r="AL664" s="421"/>
    </row>
    <row r="665" spans="1:38">
      <c r="A665" s="410">
        <v>5612</v>
      </c>
      <c r="B665" s="407"/>
      <c r="C665" s="408"/>
      <c r="D665" s="410" t="s">
        <v>2232</v>
      </c>
      <c r="E665" s="410" t="s">
        <v>1426</v>
      </c>
      <c r="F665" s="410" t="s">
        <v>1476</v>
      </c>
      <c r="G665" s="68" t="str">
        <f t="shared" si="51"/>
        <v>DUAL</v>
      </c>
      <c r="H665" s="197">
        <f t="shared" si="50"/>
        <v>22</v>
      </c>
      <c r="I665" s="408">
        <f t="shared" si="52"/>
        <v>5</v>
      </c>
      <c r="J665" s="408">
        <f t="shared" si="53"/>
        <v>29</v>
      </c>
      <c r="K665" s="411">
        <v>45806</v>
      </c>
      <c r="L665" s="408"/>
      <c r="M665" s="408"/>
      <c r="N665" s="3" t="str">
        <f t="shared" si="54"/>
        <v/>
      </c>
      <c r="O665" s="408"/>
      <c r="P665" s="408"/>
      <c r="Q665" s="408"/>
      <c r="R665" s="408"/>
      <c r="S665" s="408"/>
      <c r="T665" s="408"/>
      <c r="U665" s="408"/>
      <c r="V665" s="421"/>
      <c r="W665" s="421"/>
      <c r="X665" s="421"/>
      <c r="Y665" s="421"/>
      <c r="Z665" s="421"/>
      <c r="AA665" s="421"/>
      <c r="AB665" s="421"/>
      <c r="AC665" s="421"/>
      <c r="AD665" s="421"/>
      <c r="AE665" s="421"/>
      <c r="AF665" s="421"/>
      <c r="AG665" s="421"/>
      <c r="AH665" s="421"/>
      <c r="AI665" s="421"/>
      <c r="AJ665" s="421"/>
      <c r="AK665" s="421"/>
      <c r="AL665" s="421"/>
    </row>
    <row r="666" spans="1:38">
      <c r="A666" s="410">
        <v>5669</v>
      </c>
      <c r="B666" s="407"/>
      <c r="C666" s="408"/>
      <c r="D666" s="410" t="s">
        <v>2233</v>
      </c>
      <c r="E666" s="410" t="s">
        <v>1426</v>
      </c>
      <c r="F666" s="410" t="s">
        <v>1476</v>
      </c>
      <c r="G666" s="68" t="str">
        <f t="shared" si="51"/>
        <v>DUAL</v>
      </c>
      <c r="H666" s="197">
        <f t="shared" si="50"/>
        <v>22</v>
      </c>
      <c r="I666" s="408">
        <f t="shared" si="52"/>
        <v>5</v>
      </c>
      <c r="J666" s="408">
        <f t="shared" si="53"/>
        <v>29</v>
      </c>
      <c r="K666" s="411">
        <v>45806</v>
      </c>
      <c r="L666" s="408"/>
      <c r="M666" s="408"/>
      <c r="N666" s="3" t="str">
        <f t="shared" si="54"/>
        <v/>
      </c>
      <c r="O666" s="408"/>
      <c r="P666" s="408"/>
      <c r="Q666" s="408"/>
      <c r="R666" s="408"/>
      <c r="S666" s="408"/>
      <c r="T666" s="408"/>
      <c r="U666" s="408"/>
      <c r="V666" s="421"/>
      <c r="W666" s="421"/>
      <c r="X666" s="421"/>
      <c r="Y666" s="421"/>
      <c r="Z666" s="421"/>
      <c r="AA666" s="421"/>
      <c r="AB666" s="421"/>
      <c r="AC666" s="421"/>
      <c r="AD666" s="421"/>
      <c r="AE666" s="421"/>
      <c r="AF666" s="421"/>
      <c r="AG666" s="421"/>
      <c r="AH666" s="421"/>
      <c r="AI666" s="421"/>
      <c r="AJ666" s="421"/>
      <c r="AK666" s="421"/>
      <c r="AL666" s="421"/>
    </row>
    <row r="667" spans="1:38">
      <c r="A667" s="410">
        <v>5591</v>
      </c>
      <c r="B667" s="407"/>
      <c r="C667" s="408"/>
      <c r="D667" s="410" t="s">
        <v>2234</v>
      </c>
      <c r="E667" s="410" t="s">
        <v>1585</v>
      </c>
      <c r="F667" s="410" t="s">
        <v>1476</v>
      </c>
      <c r="G667" s="68" t="str">
        <f t="shared" si="51"/>
        <v>DUAL</v>
      </c>
      <c r="H667" s="197">
        <f t="shared" si="50"/>
        <v>22</v>
      </c>
      <c r="I667" s="408">
        <f t="shared" si="52"/>
        <v>5</v>
      </c>
      <c r="J667" s="408">
        <f t="shared" si="53"/>
        <v>29</v>
      </c>
      <c r="K667" s="411">
        <v>45806</v>
      </c>
      <c r="L667" s="408"/>
      <c r="M667" s="408"/>
      <c r="N667" s="3" t="str">
        <f t="shared" si="54"/>
        <v/>
      </c>
      <c r="O667" s="408"/>
      <c r="P667" s="408"/>
      <c r="Q667" s="408"/>
      <c r="R667" s="408"/>
      <c r="S667" s="408"/>
      <c r="T667" s="408"/>
      <c r="U667" s="408"/>
      <c r="V667" s="421"/>
      <c r="W667" s="421"/>
      <c r="X667" s="421"/>
      <c r="Y667" s="421"/>
      <c r="Z667" s="421"/>
      <c r="AA667" s="421"/>
      <c r="AB667" s="421"/>
      <c r="AC667" s="421"/>
      <c r="AD667" s="421"/>
      <c r="AE667" s="421"/>
      <c r="AF667" s="421"/>
      <c r="AG667" s="421"/>
      <c r="AH667" s="421"/>
      <c r="AI667" s="421"/>
      <c r="AJ667" s="421"/>
      <c r="AK667" s="421"/>
      <c r="AL667" s="421"/>
    </row>
    <row r="668" spans="1:38">
      <c r="A668" s="410">
        <v>5615</v>
      </c>
      <c r="B668" s="407"/>
      <c r="C668" s="408"/>
      <c r="D668" s="410" t="s">
        <v>2235</v>
      </c>
      <c r="E668" s="410" t="s">
        <v>1585</v>
      </c>
      <c r="F668" s="410" t="s">
        <v>1591</v>
      </c>
      <c r="G668" s="68" t="str">
        <f t="shared" si="51"/>
        <v>SINGLE</v>
      </c>
      <c r="H668" s="197">
        <f t="shared" si="50"/>
        <v>22</v>
      </c>
      <c r="I668" s="408">
        <f t="shared" si="52"/>
        <v>5</v>
      </c>
      <c r="J668" s="408">
        <f t="shared" si="53"/>
        <v>29</v>
      </c>
      <c r="K668" s="411">
        <v>45806</v>
      </c>
      <c r="L668" s="408"/>
      <c r="M668" s="408"/>
      <c r="N668" s="3" t="str">
        <f t="shared" si="54"/>
        <v/>
      </c>
      <c r="O668" s="408"/>
      <c r="P668" s="408"/>
      <c r="Q668" s="408"/>
      <c r="R668" s="408"/>
      <c r="S668" s="408"/>
      <c r="T668" s="408"/>
      <c r="U668" s="408"/>
      <c r="V668" s="421"/>
      <c r="W668" s="421"/>
      <c r="X668" s="421"/>
      <c r="Y668" s="421"/>
      <c r="Z668" s="421"/>
      <c r="AA668" s="421"/>
      <c r="AB668" s="421"/>
      <c r="AC668" s="421"/>
      <c r="AD668" s="421"/>
      <c r="AE668" s="421"/>
      <c r="AF668" s="421"/>
      <c r="AG668" s="421"/>
      <c r="AH668" s="421"/>
      <c r="AI668" s="421"/>
      <c r="AJ668" s="421"/>
      <c r="AK668" s="421"/>
      <c r="AL668" s="421"/>
    </row>
    <row r="669" spans="1:38">
      <c r="A669" s="410">
        <v>5615</v>
      </c>
      <c r="B669" s="407"/>
      <c r="C669" s="408"/>
      <c r="D669" s="410" t="s">
        <v>2236</v>
      </c>
      <c r="E669" s="410" t="s">
        <v>1585</v>
      </c>
      <c r="F669" s="410" t="s">
        <v>1591</v>
      </c>
      <c r="G669" s="68" t="str">
        <f t="shared" si="51"/>
        <v>SINGLE</v>
      </c>
      <c r="H669" s="197">
        <f t="shared" si="50"/>
        <v>22</v>
      </c>
      <c r="I669" s="408">
        <f t="shared" si="52"/>
        <v>5</v>
      </c>
      <c r="J669" s="408">
        <f t="shared" si="53"/>
        <v>29</v>
      </c>
      <c r="K669" s="411">
        <v>45806</v>
      </c>
      <c r="L669" s="408"/>
      <c r="M669" s="408"/>
      <c r="N669" s="3" t="str">
        <f t="shared" si="54"/>
        <v/>
      </c>
      <c r="O669" s="408"/>
      <c r="P669" s="408"/>
      <c r="Q669" s="408"/>
      <c r="R669" s="408"/>
      <c r="S669" s="408"/>
      <c r="T669" s="408"/>
      <c r="U669" s="408"/>
      <c r="V669" s="421"/>
      <c r="W669" s="421"/>
      <c r="X669" s="421"/>
      <c r="Y669" s="421"/>
      <c r="Z669" s="421"/>
      <c r="AA669" s="421"/>
      <c r="AB669" s="421"/>
      <c r="AC669" s="421"/>
      <c r="AD669" s="421"/>
      <c r="AE669" s="421"/>
      <c r="AF669" s="421"/>
      <c r="AG669" s="421"/>
      <c r="AH669" s="421"/>
      <c r="AI669" s="421"/>
      <c r="AJ669" s="421"/>
      <c r="AK669" s="421"/>
      <c r="AL669" s="421"/>
    </row>
    <row r="670" spans="1:38">
      <c r="A670" s="410">
        <v>5669</v>
      </c>
      <c r="B670" s="407"/>
      <c r="C670" s="408"/>
      <c r="D670" s="410" t="s">
        <v>2237</v>
      </c>
      <c r="E670" s="410" t="s">
        <v>1426</v>
      </c>
      <c r="F670" s="410" t="s">
        <v>1476</v>
      </c>
      <c r="G670" s="68" t="str">
        <f t="shared" si="51"/>
        <v>DUAL</v>
      </c>
      <c r="H670" s="197">
        <f t="shared" si="50"/>
        <v>22</v>
      </c>
      <c r="I670" s="408">
        <f t="shared" si="52"/>
        <v>5</v>
      </c>
      <c r="J670" s="408">
        <f t="shared" si="53"/>
        <v>29</v>
      </c>
      <c r="K670" s="411">
        <v>45806</v>
      </c>
      <c r="L670" s="408"/>
      <c r="M670" s="408"/>
      <c r="N670" s="3" t="str">
        <f t="shared" si="54"/>
        <v/>
      </c>
      <c r="O670" s="408"/>
      <c r="P670" s="408"/>
      <c r="Q670" s="408"/>
      <c r="R670" s="408"/>
      <c r="S670" s="408"/>
      <c r="T670" s="408"/>
      <c r="U670" s="408"/>
      <c r="V670" s="421"/>
      <c r="W670" s="421"/>
      <c r="X670" s="421"/>
      <c r="Y670" s="421"/>
      <c r="Z670" s="421"/>
      <c r="AA670" s="421"/>
      <c r="AB670" s="421"/>
      <c r="AC670" s="421"/>
      <c r="AD670" s="421"/>
      <c r="AE670" s="421"/>
      <c r="AF670" s="421"/>
      <c r="AG670" s="421"/>
      <c r="AH670" s="421"/>
      <c r="AI670" s="421"/>
      <c r="AJ670" s="421"/>
      <c r="AK670" s="421"/>
      <c r="AL670" s="421"/>
    </row>
    <row r="671" spans="1:38">
      <c r="A671" s="410">
        <v>5564</v>
      </c>
      <c r="B671" s="407"/>
      <c r="C671" s="408"/>
      <c r="D671" s="410" t="s">
        <v>2238</v>
      </c>
      <c r="E671" s="410" t="s">
        <v>1585</v>
      </c>
      <c r="F671" s="410" t="s">
        <v>1476</v>
      </c>
      <c r="G671" s="68" t="str">
        <f t="shared" si="51"/>
        <v>DUAL</v>
      </c>
      <c r="H671" s="197">
        <f t="shared" si="50"/>
        <v>22</v>
      </c>
      <c r="I671" s="408">
        <f t="shared" si="52"/>
        <v>5</v>
      </c>
      <c r="J671" s="408">
        <f t="shared" si="53"/>
        <v>30</v>
      </c>
      <c r="K671" s="411">
        <v>45807</v>
      </c>
      <c r="L671" s="408"/>
      <c r="M671" s="408"/>
      <c r="N671" s="3" t="str">
        <f t="shared" si="54"/>
        <v/>
      </c>
      <c r="O671" s="408"/>
      <c r="P671" s="408"/>
      <c r="Q671" s="408"/>
      <c r="R671" s="408"/>
      <c r="S671" s="408"/>
      <c r="T671" s="408"/>
      <c r="U671" s="408"/>
      <c r="V671" s="421"/>
      <c r="W671" s="421"/>
      <c r="X671" s="421"/>
      <c r="Y671" s="421"/>
      <c r="Z671" s="421"/>
      <c r="AA671" s="421"/>
      <c r="AB671" s="421"/>
      <c r="AC671" s="421"/>
      <c r="AD671" s="421"/>
      <c r="AE671" s="421"/>
      <c r="AF671" s="421"/>
      <c r="AG671" s="421"/>
      <c r="AH671" s="421"/>
      <c r="AI671" s="421"/>
      <c r="AJ671" s="421"/>
      <c r="AK671" s="421"/>
      <c r="AL671" s="421"/>
    </row>
    <row r="672" spans="1:38">
      <c r="A672" s="410">
        <v>5671</v>
      </c>
      <c r="B672" s="407"/>
      <c r="C672" s="408"/>
      <c r="D672" s="410" t="s">
        <v>2239</v>
      </c>
      <c r="E672" s="410" t="s">
        <v>1426</v>
      </c>
      <c r="F672" s="410" t="s">
        <v>1476</v>
      </c>
      <c r="G672" s="68" t="str">
        <f t="shared" si="51"/>
        <v>DUAL</v>
      </c>
      <c r="H672" s="197">
        <f t="shared" si="50"/>
        <v>22</v>
      </c>
      <c r="I672" s="408">
        <f t="shared" si="52"/>
        <v>5</v>
      </c>
      <c r="J672" s="408">
        <f t="shared" si="53"/>
        <v>30</v>
      </c>
      <c r="K672" s="411">
        <v>45807</v>
      </c>
      <c r="L672" s="408"/>
      <c r="M672" s="408"/>
      <c r="N672" s="3" t="str">
        <f t="shared" si="54"/>
        <v/>
      </c>
      <c r="O672" s="408"/>
      <c r="P672" s="408"/>
      <c r="Q672" s="408"/>
      <c r="R672" s="408"/>
      <c r="S672" s="408"/>
      <c r="T672" s="408"/>
      <c r="U672" s="408"/>
      <c r="V672" s="421"/>
      <c r="W672" s="421"/>
      <c r="X672" s="421"/>
      <c r="Y672" s="421"/>
      <c r="Z672" s="421"/>
      <c r="AA672" s="421"/>
      <c r="AB672" s="421"/>
      <c r="AC672" s="421"/>
      <c r="AD672" s="421"/>
      <c r="AE672" s="421"/>
      <c r="AF672" s="421"/>
      <c r="AG672" s="421"/>
      <c r="AH672" s="421"/>
      <c r="AI672" s="421"/>
      <c r="AJ672" s="421"/>
      <c r="AK672" s="421"/>
      <c r="AL672" s="421"/>
    </row>
    <row r="673" spans="1:38">
      <c r="A673" s="410">
        <v>5671</v>
      </c>
      <c r="B673" s="407"/>
      <c r="C673" s="408"/>
      <c r="D673" s="410" t="s">
        <v>2240</v>
      </c>
      <c r="E673" s="410" t="s">
        <v>1426</v>
      </c>
      <c r="F673" s="410" t="s">
        <v>1476</v>
      </c>
      <c r="G673" s="68" t="str">
        <f t="shared" si="51"/>
        <v>DUAL</v>
      </c>
      <c r="H673" s="197">
        <f t="shared" si="50"/>
        <v>22</v>
      </c>
      <c r="I673" s="408">
        <f t="shared" si="52"/>
        <v>5</v>
      </c>
      <c r="J673" s="408">
        <f t="shared" si="53"/>
        <v>30</v>
      </c>
      <c r="K673" s="411">
        <v>45807</v>
      </c>
      <c r="L673" s="408"/>
      <c r="M673" s="408"/>
      <c r="N673" s="3" t="str">
        <f t="shared" si="54"/>
        <v/>
      </c>
      <c r="O673" s="408"/>
      <c r="P673" s="408"/>
      <c r="Q673" s="408"/>
      <c r="R673" s="408"/>
      <c r="S673" s="408"/>
      <c r="T673" s="408"/>
      <c r="U673" s="408"/>
      <c r="V673" s="421"/>
      <c r="W673" s="421"/>
      <c r="X673" s="421"/>
      <c r="Y673" s="421"/>
      <c r="Z673" s="421"/>
      <c r="AA673" s="421"/>
      <c r="AB673" s="421"/>
      <c r="AC673" s="421"/>
      <c r="AD673" s="421"/>
      <c r="AE673" s="421"/>
      <c r="AF673" s="421"/>
      <c r="AG673" s="421"/>
      <c r="AH673" s="421"/>
      <c r="AI673" s="421"/>
      <c r="AJ673" s="421"/>
      <c r="AK673" s="421"/>
      <c r="AL673" s="421"/>
    </row>
    <row r="674" spans="1:38">
      <c r="A674" s="410">
        <v>5718</v>
      </c>
      <c r="B674" s="407"/>
      <c r="C674" s="408"/>
      <c r="D674" s="410" t="s">
        <v>2241</v>
      </c>
      <c r="E674" s="410" t="s">
        <v>1431</v>
      </c>
      <c r="F674" s="410" t="s">
        <v>1476</v>
      </c>
      <c r="G674" s="68" t="str">
        <f t="shared" si="51"/>
        <v>DUAL</v>
      </c>
      <c r="H674" s="197">
        <f t="shared" si="50"/>
        <v>22</v>
      </c>
      <c r="I674" s="408">
        <f t="shared" si="52"/>
        <v>5</v>
      </c>
      <c r="J674" s="408">
        <f t="shared" si="53"/>
        <v>30</v>
      </c>
      <c r="K674" s="411">
        <v>45807</v>
      </c>
      <c r="L674" s="408"/>
      <c r="M674" s="408"/>
      <c r="N674" s="3" t="str">
        <f t="shared" si="54"/>
        <v/>
      </c>
      <c r="O674" s="408"/>
      <c r="P674" s="408"/>
      <c r="Q674" s="408"/>
      <c r="R674" s="408"/>
      <c r="S674" s="408"/>
      <c r="T674" s="408"/>
      <c r="U674" s="408"/>
      <c r="V674" s="421"/>
      <c r="W674" s="421"/>
      <c r="X674" s="421"/>
      <c r="Y674" s="421"/>
      <c r="Z674" s="421"/>
      <c r="AA674" s="421"/>
      <c r="AB674" s="421"/>
      <c r="AC674" s="421"/>
      <c r="AD674" s="421"/>
      <c r="AE674" s="421"/>
      <c r="AF674" s="421"/>
      <c r="AG674" s="421"/>
      <c r="AH674" s="421"/>
      <c r="AI674" s="421"/>
      <c r="AJ674" s="421"/>
      <c r="AK674" s="421"/>
      <c r="AL674" s="421"/>
    </row>
    <row r="675" spans="1:38">
      <c r="A675" s="410">
        <v>5748</v>
      </c>
      <c r="B675" s="407"/>
      <c r="C675" s="408"/>
      <c r="D675" s="410" t="s">
        <v>2242</v>
      </c>
      <c r="E675" s="410" t="s">
        <v>1585</v>
      </c>
      <c r="F675" s="410" t="s">
        <v>1476</v>
      </c>
      <c r="G675" s="68" t="str">
        <f t="shared" si="51"/>
        <v>DUAL</v>
      </c>
      <c r="H675" s="197">
        <f t="shared" si="50"/>
        <v>22</v>
      </c>
      <c r="I675" s="408">
        <f t="shared" si="52"/>
        <v>5</v>
      </c>
      <c r="J675" s="408">
        <f t="shared" si="53"/>
        <v>30</v>
      </c>
      <c r="K675" s="411">
        <v>45807</v>
      </c>
      <c r="L675" s="408"/>
      <c r="M675" s="408"/>
      <c r="N675" s="3" t="str">
        <f t="shared" si="54"/>
        <v/>
      </c>
      <c r="O675" s="408"/>
      <c r="P675" s="408"/>
      <c r="Q675" s="408"/>
      <c r="R675" s="408"/>
      <c r="S675" s="408"/>
      <c r="T675" s="408"/>
      <c r="U675" s="408"/>
      <c r="V675" s="421"/>
      <c r="W675" s="421"/>
      <c r="X675" s="421"/>
      <c r="Y675" s="421"/>
      <c r="Z675" s="421"/>
      <c r="AA675" s="421"/>
      <c r="AB675" s="421"/>
      <c r="AC675" s="421"/>
      <c r="AD675" s="421"/>
      <c r="AE675" s="421"/>
      <c r="AF675" s="421"/>
      <c r="AG675" s="421"/>
      <c r="AH675" s="421"/>
      <c r="AI675" s="421"/>
      <c r="AJ675" s="421"/>
      <c r="AK675" s="421"/>
      <c r="AL675" s="421"/>
    </row>
    <row r="676" spans="1:38">
      <c r="A676" s="410">
        <v>5666</v>
      </c>
      <c r="B676" s="407"/>
      <c r="C676" s="408"/>
      <c r="D676" s="410" t="s">
        <v>2243</v>
      </c>
      <c r="E676" s="410" t="s">
        <v>1426</v>
      </c>
      <c r="F676" s="410" t="s">
        <v>1476</v>
      </c>
      <c r="G676" s="68" t="str">
        <f t="shared" si="51"/>
        <v>DUAL</v>
      </c>
      <c r="H676" s="197">
        <f t="shared" si="50"/>
        <v>22</v>
      </c>
      <c r="I676" s="408">
        <f t="shared" si="52"/>
        <v>5</v>
      </c>
      <c r="J676" s="408">
        <f t="shared" si="53"/>
        <v>30</v>
      </c>
      <c r="K676" s="411">
        <v>45807</v>
      </c>
      <c r="L676" s="408"/>
      <c r="M676" s="408"/>
      <c r="N676" s="3" t="str">
        <f t="shared" si="54"/>
        <v/>
      </c>
      <c r="O676" s="408"/>
      <c r="P676" s="408"/>
      <c r="Q676" s="408"/>
      <c r="R676" s="408"/>
      <c r="S676" s="408"/>
      <c r="T676" s="408"/>
      <c r="U676" s="408"/>
      <c r="V676" s="421"/>
      <c r="W676" s="421"/>
      <c r="X676" s="421"/>
      <c r="Y676" s="421"/>
      <c r="Z676" s="421"/>
      <c r="AA676" s="421"/>
      <c r="AB676" s="421"/>
      <c r="AC676" s="421"/>
      <c r="AD676" s="421"/>
      <c r="AE676" s="421"/>
      <c r="AF676" s="421"/>
      <c r="AG676" s="421"/>
      <c r="AH676" s="421"/>
      <c r="AI676" s="421"/>
      <c r="AJ676" s="421"/>
      <c r="AK676" s="421"/>
      <c r="AL676" s="421"/>
    </row>
    <row r="677" spans="1:38">
      <c r="A677" s="410">
        <v>5723</v>
      </c>
      <c r="B677" s="407"/>
      <c r="C677" s="408"/>
      <c r="D677" s="410" t="s">
        <v>2244</v>
      </c>
      <c r="E677" s="410" t="s">
        <v>1405</v>
      </c>
      <c r="F677" s="410" t="s">
        <v>1591</v>
      </c>
      <c r="G677" s="68" t="str">
        <f t="shared" si="51"/>
        <v>SINGLE</v>
      </c>
      <c r="H677" s="197">
        <f t="shared" si="50"/>
        <v>22</v>
      </c>
      <c r="I677" s="408">
        <f t="shared" si="52"/>
        <v>5</v>
      </c>
      <c r="J677" s="408">
        <f t="shared" si="53"/>
        <v>30</v>
      </c>
      <c r="K677" s="411">
        <v>45807</v>
      </c>
      <c r="L677" s="408"/>
      <c r="M677" s="408"/>
      <c r="N677" s="3" t="str">
        <f t="shared" si="54"/>
        <v/>
      </c>
      <c r="O677" s="408"/>
      <c r="P677" s="408"/>
      <c r="Q677" s="408"/>
      <c r="R677" s="408"/>
      <c r="S677" s="408"/>
      <c r="T677" s="408"/>
      <c r="U677" s="408"/>
      <c r="V677" s="421"/>
      <c r="W677" s="421"/>
      <c r="X677" s="421"/>
      <c r="Y677" s="421"/>
      <c r="Z677" s="421"/>
      <c r="AA677" s="421"/>
      <c r="AB677" s="421"/>
      <c r="AC677" s="421"/>
      <c r="AD677" s="421"/>
      <c r="AE677" s="421"/>
      <c r="AF677" s="421"/>
      <c r="AG677" s="421"/>
      <c r="AH677" s="421"/>
      <c r="AI677" s="421"/>
      <c r="AJ677" s="421"/>
      <c r="AK677" s="421"/>
      <c r="AL677" s="421"/>
    </row>
    <row r="678" spans="1:38">
      <c r="A678" s="410">
        <v>5669</v>
      </c>
      <c r="B678" s="407"/>
      <c r="C678" s="408"/>
      <c r="D678" s="410" t="s">
        <v>2245</v>
      </c>
      <c r="E678" s="410" t="s">
        <v>1426</v>
      </c>
      <c r="F678" s="410" t="s">
        <v>1476</v>
      </c>
      <c r="G678" s="68" t="str">
        <f t="shared" si="51"/>
        <v>DUAL</v>
      </c>
      <c r="H678" s="197">
        <f t="shared" si="50"/>
        <v>23</v>
      </c>
      <c r="I678" s="408">
        <f t="shared" si="52"/>
        <v>6</v>
      </c>
      <c r="J678" s="408">
        <f t="shared" si="53"/>
        <v>2</v>
      </c>
      <c r="K678" s="411">
        <v>45810</v>
      </c>
      <c r="L678" s="408"/>
      <c r="M678" s="408"/>
      <c r="N678" s="3" t="str">
        <f t="shared" si="54"/>
        <v/>
      </c>
      <c r="O678" s="408"/>
      <c r="P678" s="408"/>
      <c r="Q678" s="408"/>
      <c r="R678" s="408"/>
      <c r="S678" s="408"/>
      <c r="T678" s="408"/>
      <c r="U678" s="408"/>
      <c r="V678" s="421"/>
      <c r="W678" s="421"/>
      <c r="X678" s="421"/>
      <c r="Y678" s="421"/>
      <c r="Z678" s="421"/>
      <c r="AA678" s="421"/>
      <c r="AB678" s="421"/>
      <c r="AC678" s="421"/>
      <c r="AD678" s="421"/>
      <c r="AE678" s="421"/>
      <c r="AF678" s="421"/>
      <c r="AG678" s="421"/>
      <c r="AH678" s="421"/>
      <c r="AI678" s="421"/>
      <c r="AJ678" s="421"/>
      <c r="AK678" s="421"/>
      <c r="AL678" s="421"/>
    </row>
    <row r="679" spans="1:38">
      <c r="A679" s="410">
        <v>5720</v>
      </c>
      <c r="B679" s="407"/>
      <c r="C679" s="408"/>
      <c r="D679" s="410" t="s">
        <v>2246</v>
      </c>
      <c r="E679" s="410" t="s">
        <v>1431</v>
      </c>
      <c r="F679" s="410" t="s">
        <v>1476</v>
      </c>
      <c r="G679" s="68" t="str">
        <f t="shared" si="51"/>
        <v>DUAL</v>
      </c>
      <c r="H679" s="197">
        <f t="shared" si="50"/>
        <v>23</v>
      </c>
      <c r="I679" s="408">
        <f t="shared" si="52"/>
        <v>6</v>
      </c>
      <c r="J679" s="408">
        <f t="shared" si="53"/>
        <v>2</v>
      </c>
      <c r="K679" s="411">
        <v>45810</v>
      </c>
      <c r="L679" s="408"/>
      <c r="M679" s="408"/>
      <c r="N679" s="3" t="str">
        <f t="shared" si="54"/>
        <v/>
      </c>
      <c r="O679" s="408"/>
      <c r="P679" s="408"/>
      <c r="Q679" s="408"/>
      <c r="R679" s="408"/>
      <c r="S679" s="408"/>
      <c r="T679" s="408"/>
      <c r="U679" s="408"/>
      <c r="V679" s="421"/>
      <c r="W679" s="421"/>
      <c r="X679" s="421"/>
      <c r="Y679" s="421"/>
      <c r="Z679" s="421"/>
      <c r="AA679" s="421"/>
      <c r="AB679" s="421"/>
      <c r="AC679" s="421"/>
      <c r="AD679" s="421"/>
      <c r="AE679" s="421"/>
      <c r="AF679" s="421"/>
      <c r="AG679" s="421"/>
      <c r="AH679" s="421"/>
      <c r="AI679" s="421"/>
      <c r="AJ679" s="421"/>
      <c r="AK679" s="421"/>
      <c r="AL679" s="421"/>
    </row>
    <row r="680" spans="1:38">
      <c r="A680" s="410">
        <v>5683</v>
      </c>
      <c r="B680" s="407"/>
      <c r="C680" s="408"/>
      <c r="D680" s="410" t="s">
        <v>2247</v>
      </c>
      <c r="E680" s="410" t="s">
        <v>1405</v>
      </c>
      <c r="F680" s="410" t="s">
        <v>1581</v>
      </c>
      <c r="G680" s="68" t="str">
        <f t="shared" si="51"/>
        <v>DUAL</v>
      </c>
      <c r="H680" s="197">
        <f t="shared" si="50"/>
        <v>23</v>
      </c>
      <c r="I680" s="408">
        <f t="shared" si="52"/>
        <v>6</v>
      </c>
      <c r="J680" s="408">
        <f t="shared" si="53"/>
        <v>2</v>
      </c>
      <c r="K680" s="411">
        <v>45810</v>
      </c>
      <c r="L680" s="408"/>
      <c r="M680" s="408"/>
      <c r="N680" s="3" t="str">
        <f t="shared" si="54"/>
        <v/>
      </c>
      <c r="O680" s="408"/>
      <c r="P680" s="408"/>
      <c r="Q680" s="408"/>
      <c r="R680" s="408"/>
      <c r="S680" s="408"/>
      <c r="T680" s="408"/>
      <c r="U680" s="408"/>
      <c r="V680" s="421"/>
      <c r="W680" s="421"/>
      <c r="X680" s="421"/>
      <c r="Y680" s="421"/>
      <c r="Z680" s="421"/>
      <c r="AA680" s="421"/>
      <c r="AB680" s="421"/>
      <c r="AC680" s="421"/>
      <c r="AD680" s="421"/>
      <c r="AE680" s="421"/>
      <c r="AF680" s="421"/>
      <c r="AG680" s="421"/>
      <c r="AH680" s="421"/>
      <c r="AI680" s="421"/>
      <c r="AJ680" s="421"/>
      <c r="AK680" s="421"/>
      <c r="AL680" s="421"/>
    </row>
    <row r="681" spans="1:38">
      <c r="A681" s="410">
        <v>5723</v>
      </c>
      <c r="B681" s="407"/>
      <c r="C681" s="408"/>
      <c r="D681" s="410" t="s">
        <v>2248</v>
      </c>
      <c r="E681" s="410" t="s">
        <v>1405</v>
      </c>
      <c r="F681" s="410" t="s">
        <v>1591</v>
      </c>
      <c r="G681" s="68" t="str">
        <f t="shared" si="51"/>
        <v>SINGLE</v>
      </c>
      <c r="H681" s="197">
        <f t="shared" si="50"/>
        <v>23</v>
      </c>
      <c r="I681" s="408">
        <f t="shared" si="52"/>
        <v>6</v>
      </c>
      <c r="J681" s="408">
        <f t="shared" si="53"/>
        <v>2</v>
      </c>
      <c r="K681" s="411">
        <v>45810</v>
      </c>
      <c r="L681" s="408"/>
      <c r="M681" s="408"/>
      <c r="N681" s="3" t="str">
        <f t="shared" si="54"/>
        <v/>
      </c>
      <c r="O681" s="408"/>
      <c r="P681" s="408"/>
      <c r="Q681" s="408"/>
      <c r="R681" s="408"/>
      <c r="S681" s="408"/>
      <c r="T681" s="408"/>
      <c r="U681" s="408"/>
      <c r="V681" s="421"/>
      <c r="W681" s="421"/>
      <c r="X681" s="421"/>
      <c r="Y681" s="421"/>
      <c r="Z681" s="421"/>
      <c r="AA681" s="421"/>
      <c r="AB681" s="421"/>
      <c r="AC681" s="421"/>
      <c r="AD681" s="421"/>
      <c r="AE681" s="421"/>
      <c r="AF681" s="421"/>
      <c r="AG681" s="421"/>
      <c r="AH681" s="421"/>
      <c r="AI681" s="421"/>
      <c r="AJ681" s="421"/>
      <c r="AK681" s="421"/>
      <c r="AL681" s="421"/>
    </row>
    <row r="682" spans="1:38">
      <c r="A682" s="410">
        <v>5591</v>
      </c>
      <c r="B682" s="407"/>
      <c r="C682" s="408"/>
      <c r="D682" s="410" t="s">
        <v>2249</v>
      </c>
      <c r="E682" s="410" t="s">
        <v>1585</v>
      </c>
      <c r="F682" s="410" t="s">
        <v>1476</v>
      </c>
      <c r="G682" s="68" t="str">
        <f t="shared" si="51"/>
        <v>DUAL</v>
      </c>
      <c r="H682" s="197">
        <f t="shared" si="50"/>
        <v>23</v>
      </c>
      <c r="I682" s="408">
        <f t="shared" si="52"/>
        <v>6</v>
      </c>
      <c r="J682" s="408">
        <f t="shared" si="53"/>
        <v>2</v>
      </c>
      <c r="K682" s="411">
        <v>45810</v>
      </c>
      <c r="L682" s="408"/>
      <c r="M682" s="408"/>
      <c r="N682" s="3" t="str">
        <f t="shared" si="54"/>
        <v/>
      </c>
      <c r="O682" s="408"/>
      <c r="P682" s="408"/>
      <c r="Q682" s="408"/>
      <c r="R682" s="408"/>
      <c r="S682" s="408"/>
      <c r="T682" s="408"/>
      <c r="U682" s="408"/>
      <c r="V682" s="421"/>
      <c r="W682" s="421"/>
      <c r="X682" s="421"/>
      <c r="Y682" s="421"/>
      <c r="Z682" s="421"/>
      <c r="AA682" s="421"/>
      <c r="AB682" s="421"/>
      <c r="AC682" s="421"/>
      <c r="AD682" s="421"/>
      <c r="AE682" s="421"/>
      <c r="AF682" s="421"/>
      <c r="AG682" s="421"/>
      <c r="AH682" s="421"/>
      <c r="AI682" s="421"/>
      <c r="AJ682" s="421"/>
      <c r="AK682" s="421"/>
      <c r="AL682" s="421"/>
    </row>
    <row r="683" spans="1:38">
      <c r="A683" s="410">
        <v>5682</v>
      </c>
      <c r="B683" s="407"/>
      <c r="C683" s="408"/>
      <c r="D683" s="410" t="s">
        <v>2250</v>
      </c>
      <c r="E683" s="410" t="s">
        <v>1405</v>
      </c>
      <c r="F683" s="410" t="s">
        <v>1476</v>
      </c>
      <c r="G683" s="68" t="str">
        <f t="shared" si="51"/>
        <v>DUAL</v>
      </c>
      <c r="H683" s="197">
        <f t="shared" si="50"/>
        <v>23</v>
      </c>
      <c r="I683" s="408">
        <f t="shared" si="52"/>
        <v>6</v>
      </c>
      <c r="J683" s="408">
        <f t="shared" si="53"/>
        <v>2</v>
      </c>
      <c r="K683" s="411">
        <v>45810</v>
      </c>
      <c r="L683" s="408"/>
      <c r="M683" s="408"/>
      <c r="N683" s="3" t="str">
        <f t="shared" si="54"/>
        <v/>
      </c>
      <c r="O683" s="408"/>
      <c r="P683" s="408"/>
      <c r="Q683" s="408"/>
      <c r="R683" s="408"/>
      <c r="S683" s="408"/>
      <c r="T683" s="408"/>
      <c r="U683" s="408"/>
      <c r="V683" s="421"/>
      <c r="W683" s="421"/>
      <c r="X683" s="421"/>
      <c r="Y683" s="421"/>
      <c r="Z683" s="421"/>
      <c r="AA683" s="421"/>
      <c r="AB683" s="421"/>
      <c r="AC683" s="421"/>
      <c r="AD683" s="421"/>
      <c r="AE683" s="421"/>
      <c r="AF683" s="421"/>
      <c r="AG683" s="421"/>
      <c r="AH683" s="421"/>
      <c r="AI683" s="421"/>
      <c r="AJ683" s="421"/>
      <c r="AK683" s="421"/>
      <c r="AL683" s="421"/>
    </row>
    <row r="684" spans="1:38">
      <c r="A684" s="410">
        <v>5724</v>
      </c>
      <c r="B684" s="407"/>
      <c r="C684" s="408"/>
      <c r="D684" s="410" t="s">
        <v>2251</v>
      </c>
      <c r="E684" s="410" t="s">
        <v>1405</v>
      </c>
      <c r="F684" s="410" t="s">
        <v>1477</v>
      </c>
      <c r="G684" s="68" t="str">
        <f t="shared" si="51"/>
        <v>SINGLE</v>
      </c>
      <c r="H684" s="197">
        <f t="shared" si="50"/>
        <v>23</v>
      </c>
      <c r="I684" s="408">
        <f t="shared" si="52"/>
        <v>6</v>
      </c>
      <c r="J684" s="408">
        <f t="shared" si="53"/>
        <v>4</v>
      </c>
      <c r="K684" s="411">
        <v>45812</v>
      </c>
      <c r="L684" s="408"/>
      <c r="M684" s="408"/>
      <c r="N684" s="3" t="str">
        <f t="shared" si="54"/>
        <v/>
      </c>
      <c r="O684" s="408"/>
      <c r="P684" s="408"/>
      <c r="Q684" s="408"/>
      <c r="R684" s="408"/>
      <c r="S684" s="408"/>
      <c r="T684" s="408"/>
      <c r="U684" s="408"/>
      <c r="V684" s="421"/>
      <c r="W684" s="421"/>
      <c r="X684" s="421"/>
      <c r="Y684" s="421"/>
      <c r="Z684" s="421"/>
      <c r="AA684" s="421"/>
      <c r="AB684" s="421"/>
      <c r="AC684" s="421"/>
      <c r="AD684" s="421"/>
      <c r="AE684" s="421"/>
      <c r="AF684" s="421"/>
      <c r="AG684" s="421"/>
      <c r="AH684" s="421"/>
      <c r="AI684" s="421"/>
      <c r="AJ684" s="421"/>
      <c r="AK684" s="421"/>
      <c r="AL684" s="421"/>
    </row>
    <row r="685" spans="1:38">
      <c r="A685" s="410">
        <v>5724</v>
      </c>
      <c r="B685" s="407"/>
      <c r="C685" s="408"/>
      <c r="D685" s="410" t="s">
        <v>2252</v>
      </c>
      <c r="E685" s="410" t="s">
        <v>1405</v>
      </c>
      <c r="F685" s="410" t="s">
        <v>1477</v>
      </c>
      <c r="G685" s="68" t="str">
        <f t="shared" si="51"/>
        <v>SINGLE</v>
      </c>
      <c r="H685" s="197">
        <f t="shared" si="50"/>
        <v>23</v>
      </c>
      <c r="I685" s="408">
        <f t="shared" si="52"/>
        <v>6</v>
      </c>
      <c r="J685" s="408">
        <f t="shared" si="53"/>
        <v>4</v>
      </c>
      <c r="K685" s="411">
        <v>45812</v>
      </c>
      <c r="L685" s="408"/>
      <c r="M685" s="408"/>
      <c r="N685" s="3" t="str">
        <f t="shared" si="54"/>
        <v/>
      </c>
      <c r="O685" s="408"/>
      <c r="P685" s="408"/>
      <c r="Q685" s="408"/>
      <c r="R685" s="408"/>
      <c r="S685" s="408"/>
      <c r="T685" s="408"/>
      <c r="U685" s="408"/>
      <c r="V685" s="421"/>
      <c r="W685" s="421"/>
      <c r="X685" s="421"/>
      <c r="Y685" s="421"/>
      <c r="Z685" s="421"/>
      <c r="AA685" s="421"/>
      <c r="AB685" s="421"/>
      <c r="AC685" s="421"/>
      <c r="AD685" s="421"/>
      <c r="AE685" s="421"/>
      <c r="AF685" s="421"/>
      <c r="AG685" s="421"/>
      <c r="AH685" s="421"/>
      <c r="AI685" s="421"/>
      <c r="AJ685" s="421"/>
      <c r="AK685" s="421"/>
      <c r="AL685" s="421"/>
    </row>
    <row r="686" spans="1:38">
      <c r="A686" s="410">
        <v>5748</v>
      </c>
      <c r="B686" s="407"/>
      <c r="C686" s="408"/>
      <c r="D686" s="410" t="s">
        <v>2253</v>
      </c>
      <c r="E686" s="410" t="s">
        <v>1585</v>
      </c>
      <c r="F686" s="410" t="s">
        <v>1476</v>
      </c>
      <c r="G686" s="68" t="str">
        <f t="shared" si="51"/>
        <v>DUAL</v>
      </c>
      <c r="H686" s="197">
        <f t="shared" si="50"/>
        <v>23</v>
      </c>
      <c r="I686" s="408">
        <f t="shared" si="52"/>
        <v>6</v>
      </c>
      <c r="J686" s="408">
        <f t="shared" si="53"/>
        <v>4</v>
      </c>
      <c r="K686" s="411">
        <v>45812</v>
      </c>
      <c r="L686" s="408"/>
      <c r="M686" s="408"/>
      <c r="N686" s="3" t="str">
        <f t="shared" si="54"/>
        <v/>
      </c>
      <c r="O686" s="408"/>
      <c r="P686" s="408"/>
      <c r="Q686" s="408"/>
      <c r="R686" s="408"/>
      <c r="S686" s="408"/>
      <c r="T686" s="408"/>
      <c r="U686" s="408"/>
      <c r="V686" s="421"/>
      <c r="W686" s="421"/>
      <c r="X686" s="421"/>
      <c r="Y686" s="421"/>
      <c r="Z686" s="421"/>
      <c r="AA686" s="421"/>
      <c r="AB686" s="421"/>
      <c r="AC686" s="421"/>
      <c r="AD686" s="421"/>
      <c r="AE686" s="421"/>
      <c r="AF686" s="421"/>
      <c r="AG686" s="421"/>
      <c r="AH686" s="421"/>
      <c r="AI686" s="421"/>
      <c r="AJ686" s="421"/>
      <c r="AK686" s="421"/>
      <c r="AL686" s="421"/>
    </row>
    <row r="687" spans="1:38">
      <c r="A687" s="410">
        <v>5723</v>
      </c>
      <c r="B687" s="407"/>
      <c r="C687" s="408"/>
      <c r="D687" s="410" t="s">
        <v>2254</v>
      </c>
      <c r="E687" s="410" t="s">
        <v>1405</v>
      </c>
      <c r="F687" s="410" t="s">
        <v>1591</v>
      </c>
      <c r="G687" s="68" t="str">
        <f t="shared" si="51"/>
        <v>SINGLE</v>
      </c>
      <c r="H687" s="197">
        <f t="shared" si="50"/>
        <v>23</v>
      </c>
      <c r="I687" s="408">
        <f t="shared" si="52"/>
        <v>6</v>
      </c>
      <c r="J687" s="408">
        <f t="shared" si="53"/>
        <v>4</v>
      </c>
      <c r="K687" s="411">
        <v>45812</v>
      </c>
      <c r="L687" s="408"/>
      <c r="M687" s="408"/>
      <c r="N687" s="3" t="str">
        <f t="shared" si="54"/>
        <v/>
      </c>
      <c r="O687" s="408"/>
      <c r="P687" s="408"/>
      <c r="Q687" s="408"/>
      <c r="R687" s="408"/>
      <c r="S687" s="408"/>
      <c r="T687" s="408"/>
      <c r="U687" s="408"/>
      <c r="V687" s="421"/>
      <c r="W687" s="421"/>
      <c r="X687" s="421"/>
      <c r="Y687" s="421"/>
      <c r="Z687" s="421"/>
      <c r="AA687" s="421"/>
      <c r="AB687" s="421"/>
      <c r="AC687" s="421"/>
      <c r="AD687" s="421"/>
      <c r="AE687" s="421"/>
      <c r="AF687" s="421"/>
      <c r="AG687" s="421"/>
      <c r="AH687" s="421"/>
      <c r="AI687" s="421"/>
      <c r="AJ687" s="421"/>
      <c r="AK687" s="421"/>
      <c r="AL687" s="421"/>
    </row>
    <row r="688" spans="1:38">
      <c r="A688" s="410">
        <v>5723</v>
      </c>
      <c r="B688" s="407"/>
      <c r="C688" s="408"/>
      <c r="D688" s="410" t="s">
        <v>2255</v>
      </c>
      <c r="E688" s="410" t="s">
        <v>1405</v>
      </c>
      <c r="F688" s="410" t="s">
        <v>1591</v>
      </c>
      <c r="G688" s="68" t="str">
        <f t="shared" si="51"/>
        <v>SINGLE</v>
      </c>
      <c r="H688" s="197">
        <f t="shared" si="50"/>
        <v>23</v>
      </c>
      <c r="I688" s="408">
        <f t="shared" si="52"/>
        <v>6</v>
      </c>
      <c r="J688" s="408">
        <f t="shared" si="53"/>
        <v>4</v>
      </c>
      <c r="K688" s="411">
        <v>45812</v>
      </c>
      <c r="L688" s="408"/>
      <c r="M688" s="408"/>
      <c r="N688" s="3" t="str">
        <f t="shared" si="54"/>
        <v/>
      </c>
      <c r="O688" s="408"/>
      <c r="P688" s="408"/>
      <c r="Q688" s="408"/>
      <c r="R688" s="408"/>
      <c r="S688" s="408"/>
      <c r="T688" s="408"/>
      <c r="U688" s="408"/>
      <c r="V688" s="421"/>
      <c r="W688" s="421"/>
      <c r="X688" s="421"/>
      <c r="Y688" s="421"/>
      <c r="Z688" s="421"/>
      <c r="AA688" s="421"/>
      <c r="AB688" s="421"/>
      <c r="AC688" s="421"/>
      <c r="AD688" s="421"/>
      <c r="AE688" s="421"/>
      <c r="AF688" s="421"/>
      <c r="AG688" s="421"/>
      <c r="AH688" s="421"/>
      <c r="AI688" s="421"/>
      <c r="AJ688" s="421"/>
      <c r="AK688" s="421"/>
      <c r="AL688" s="421"/>
    </row>
    <row r="689" spans="1:38">
      <c r="A689" s="410">
        <v>5593</v>
      </c>
      <c r="B689" s="407"/>
      <c r="C689" s="408"/>
      <c r="D689" s="410" t="s">
        <v>2256</v>
      </c>
      <c r="E689" s="410" t="s">
        <v>1585</v>
      </c>
      <c r="F689" s="410" t="s">
        <v>1476</v>
      </c>
      <c r="G689" s="68" t="str">
        <f t="shared" si="51"/>
        <v>DUAL</v>
      </c>
      <c r="H689" s="197">
        <f t="shared" si="50"/>
        <v>23</v>
      </c>
      <c r="I689" s="408">
        <f t="shared" si="52"/>
        <v>6</v>
      </c>
      <c r="J689" s="408">
        <f t="shared" si="53"/>
        <v>4</v>
      </c>
      <c r="K689" s="411">
        <v>45812</v>
      </c>
      <c r="L689" s="408"/>
      <c r="M689" s="408"/>
      <c r="N689" s="3" t="str">
        <f t="shared" si="54"/>
        <v/>
      </c>
      <c r="O689" s="408"/>
      <c r="P689" s="408"/>
      <c r="Q689" s="408"/>
      <c r="R689" s="408"/>
      <c r="S689" s="408"/>
      <c r="T689" s="408"/>
      <c r="U689" s="408"/>
      <c r="V689" s="421"/>
      <c r="W689" s="421"/>
      <c r="X689" s="421"/>
      <c r="Y689" s="421"/>
      <c r="Z689" s="421"/>
      <c r="AA689" s="421"/>
      <c r="AB689" s="421"/>
      <c r="AC689" s="421"/>
      <c r="AD689" s="421"/>
      <c r="AE689" s="421"/>
      <c r="AF689" s="421"/>
      <c r="AG689" s="421"/>
      <c r="AH689" s="421"/>
      <c r="AI689" s="421"/>
      <c r="AJ689" s="421"/>
      <c r="AK689" s="421"/>
      <c r="AL689" s="421"/>
    </row>
    <row r="690" spans="1:38">
      <c r="A690" s="410">
        <v>5371</v>
      </c>
      <c r="B690" s="407"/>
      <c r="C690" s="408"/>
      <c r="D690" s="410" t="s">
        <v>2257</v>
      </c>
      <c r="E690" s="410" t="s">
        <v>1424</v>
      </c>
      <c r="F690" s="410" t="s">
        <v>1476</v>
      </c>
      <c r="G690" s="68" t="str">
        <f t="shared" si="51"/>
        <v>DUAL</v>
      </c>
      <c r="H690" s="197">
        <f t="shared" si="50"/>
        <v>23</v>
      </c>
      <c r="I690" s="408">
        <f t="shared" si="52"/>
        <v>6</v>
      </c>
      <c r="J690" s="408">
        <f t="shared" si="53"/>
        <v>4</v>
      </c>
      <c r="K690" s="411">
        <v>45812</v>
      </c>
      <c r="L690" s="408"/>
      <c r="M690" s="408"/>
      <c r="N690" s="3" t="str">
        <f t="shared" si="54"/>
        <v/>
      </c>
      <c r="O690" s="408"/>
      <c r="P690" s="408"/>
      <c r="Q690" s="408"/>
      <c r="R690" s="408"/>
      <c r="S690" s="408"/>
      <c r="T690" s="408"/>
      <c r="U690" s="408"/>
      <c r="V690" s="421"/>
      <c r="W690" s="421"/>
      <c r="X690" s="421"/>
      <c r="Y690" s="421"/>
      <c r="Z690" s="421"/>
      <c r="AA690" s="421"/>
      <c r="AB690" s="421"/>
      <c r="AC690" s="421"/>
      <c r="AD690" s="421"/>
      <c r="AE690" s="421"/>
      <c r="AF690" s="421"/>
      <c r="AG690" s="421"/>
      <c r="AH690" s="421"/>
      <c r="AI690" s="421"/>
      <c r="AJ690" s="421"/>
      <c r="AK690" s="421"/>
      <c r="AL690" s="421"/>
    </row>
    <row r="691" spans="1:38">
      <c r="A691" s="410">
        <v>5717</v>
      </c>
      <c r="B691" s="407"/>
      <c r="C691" s="408"/>
      <c r="D691" s="410" t="s">
        <v>2258</v>
      </c>
      <c r="E691" s="410" t="s">
        <v>1424</v>
      </c>
      <c r="F691" s="410" t="s">
        <v>1476</v>
      </c>
      <c r="G691" s="68" t="str">
        <f t="shared" si="51"/>
        <v>DUAL</v>
      </c>
      <c r="H691" s="197">
        <f t="shared" si="50"/>
        <v>23</v>
      </c>
      <c r="I691" s="408">
        <f t="shared" si="52"/>
        <v>6</v>
      </c>
      <c r="J691" s="408">
        <f t="shared" si="53"/>
        <v>4</v>
      </c>
      <c r="K691" s="411">
        <v>45812</v>
      </c>
      <c r="L691" s="408"/>
      <c r="M691" s="408"/>
      <c r="N691" s="3" t="str">
        <f t="shared" si="54"/>
        <v/>
      </c>
      <c r="O691" s="408"/>
      <c r="P691" s="408"/>
      <c r="Q691" s="408"/>
      <c r="R691" s="408"/>
      <c r="S691" s="408"/>
      <c r="T691" s="408"/>
      <c r="U691" s="408"/>
      <c r="V691" s="421"/>
      <c r="W691" s="421"/>
      <c r="X691" s="421"/>
      <c r="Y691" s="421"/>
      <c r="Z691" s="421"/>
      <c r="AA691" s="421"/>
      <c r="AB691" s="421"/>
      <c r="AC691" s="421"/>
      <c r="AD691" s="421"/>
      <c r="AE691" s="421"/>
      <c r="AF691" s="421"/>
      <c r="AG691" s="421"/>
      <c r="AH691" s="421"/>
      <c r="AI691" s="421"/>
      <c r="AJ691" s="421"/>
      <c r="AK691" s="421"/>
      <c r="AL691" s="421"/>
    </row>
    <row r="692" spans="1:38">
      <c r="A692" s="410">
        <v>5736</v>
      </c>
      <c r="B692" s="407"/>
      <c r="C692" s="408"/>
      <c r="D692" s="410" t="s">
        <v>2259</v>
      </c>
      <c r="E692" s="410" t="s">
        <v>1426</v>
      </c>
      <c r="F692" s="410" t="s">
        <v>1476</v>
      </c>
      <c r="G692" s="68" t="str">
        <f t="shared" si="51"/>
        <v>DUAL</v>
      </c>
      <c r="H692" s="197">
        <f t="shared" si="50"/>
        <v>23</v>
      </c>
      <c r="I692" s="408">
        <f t="shared" si="52"/>
        <v>6</v>
      </c>
      <c r="J692" s="408">
        <f t="shared" si="53"/>
        <v>5</v>
      </c>
      <c r="K692" s="411">
        <v>45813</v>
      </c>
      <c r="L692" s="408"/>
      <c r="M692" s="408"/>
      <c r="N692" s="3" t="str">
        <f t="shared" si="54"/>
        <v/>
      </c>
      <c r="O692" s="408"/>
      <c r="P692" s="408"/>
      <c r="Q692" s="408"/>
      <c r="R692" s="408"/>
      <c r="S692" s="408"/>
      <c r="T692" s="408"/>
      <c r="U692" s="408"/>
      <c r="V692" s="421"/>
      <c r="W692" s="421"/>
      <c r="X692" s="421"/>
      <c r="Y692" s="421"/>
      <c r="Z692" s="421"/>
      <c r="AA692" s="421"/>
      <c r="AB692" s="421"/>
      <c r="AC692" s="421"/>
      <c r="AD692" s="421"/>
      <c r="AE692" s="421"/>
      <c r="AF692" s="421"/>
      <c r="AG692" s="421"/>
      <c r="AH692" s="421"/>
      <c r="AI692" s="421"/>
      <c r="AJ692" s="421"/>
      <c r="AK692" s="421"/>
      <c r="AL692" s="421"/>
    </row>
    <row r="693" spans="1:38">
      <c r="A693" s="410">
        <v>5736</v>
      </c>
      <c r="B693" s="407"/>
      <c r="C693" s="408"/>
      <c r="D693" s="410" t="s">
        <v>2260</v>
      </c>
      <c r="E693" s="410" t="s">
        <v>1426</v>
      </c>
      <c r="F693" s="410" t="s">
        <v>1476</v>
      </c>
      <c r="G693" s="68" t="str">
        <f t="shared" si="51"/>
        <v>DUAL</v>
      </c>
      <c r="H693" s="197">
        <f t="shared" si="50"/>
        <v>23</v>
      </c>
      <c r="I693" s="408">
        <f t="shared" si="52"/>
        <v>6</v>
      </c>
      <c r="J693" s="408">
        <f t="shared" si="53"/>
        <v>5</v>
      </c>
      <c r="K693" s="411">
        <v>45813</v>
      </c>
      <c r="L693" s="408"/>
      <c r="M693" s="408"/>
      <c r="N693" s="3" t="str">
        <f t="shared" si="54"/>
        <v/>
      </c>
      <c r="O693" s="408"/>
      <c r="P693" s="408"/>
      <c r="Q693" s="408"/>
      <c r="R693" s="408"/>
      <c r="S693" s="408"/>
      <c r="T693" s="408"/>
      <c r="U693" s="408"/>
      <c r="V693" s="421"/>
      <c r="W693" s="421"/>
      <c r="X693" s="421"/>
      <c r="Y693" s="421"/>
      <c r="Z693" s="421"/>
      <c r="AA693" s="421"/>
      <c r="AB693" s="421"/>
      <c r="AC693" s="421"/>
      <c r="AD693" s="421"/>
      <c r="AE693" s="421"/>
      <c r="AF693" s="421"/>
      <c r="AG693" s="421"/>
      <c r="AH693" s="421"/>
      <c r="AI693" s="421"/>
      <c r="AJ693" s="421"/>
      <c r="AK693" s="421"/>
      <c r="AL693" s="421"/>
    </row>
    <row r="694" spans="1:38">
      <c r="A694" s="410">
        <v>5758</v>
      </c>
      <c r="B694" s="407"/>
      <c r="C694" s="408"/>
      <c r="D694" s="410" t="s">
        <v>2261</v>
      </c>
      <c r="E694" s="410" t="s">
        <v>1405</v>
      </c>
      <c r="F694" s="410" t="s">
        <v>1478</v>
      </c>
      <c r="G694" s="68" t="str">
        <f t="shared" si="51"/>
        <v>DUAL</v>
      </c>
      <c r="H694" s="197">
        <f t="shared" si="50"/>
        <v>23</v>
      </c>
      <c r="I694" s="408">
        <f t="shared" si="52"/>
        <v>6</v>
      </c>
      <c r="J694" s="408">
        <f t="shared" si="53"/>
        <v>5</v>
      </c>
      <c r="K694" s="411">
        <v>45813</v>
      </c>
      <c r="L694" s="408"/>
      <c r="M694" s="408"/>
      <c r="N694" s="3" t="str">
        <f t="shared" si="54"/>
        <v/>
      </c>
      <c r="O694" s="408"/>
      <c r="P694" s="408"/>
      <c r="Q694" s="408"/>
      <c r="R694" s="408"/>
      <c r="S694" s="408"/>
      <c r="T694" s="408"/>
      <c r="U694" s="408"/>
      <c r="V694" s="421"/>
      <c r="W694" s="421"/>
      <c r="X694" s="421"/>
      <c r="Y694" s="421"/>
      <c r="Z694" s="421"/>
      <c r="AA694" s="421"/>
      <c r="AB694" s="421"/>
      <c r="AC694" s="421"/>
      <c r="AD694" s="421"/>
      <c r="AE694" s="421"/>
      <c r="AF694" s="421"/>
      <c r="AG694" s="421"/>
      <c r="AH694" s="421"/>
      <c r="AI694" s="421"/>
      <c r="AJ694" s="421"/>
      <c r="AK694" s="421"/>
      <c r="AL694" s="421"/>
    </row>
    <row r="695" spans="1:38">
      <c r="A695" s="410">
        <v>5745</v>
      </c>
      <c r="B695" s="407"/>
      <c r="C695" s="408"/>
      <c r="D695" s="410" t="s">
        <v>2262</v>
      </c>
      <c r="E695" s="410" t="s">
        <v>1405</v>
      </c>
      <c r="F695" s="410" t="s">
        <v>1480</v>
      </c>
      <c r="G695" s="68" t="str">
        <f t="shared" si="51"/>
        <v>DUAL</v>
      </c>
      <c r="H695" s="197">
        <f t="shared" si="50"/>
        <v>23</v>
      </c>
      <c r="I695" s="408">
        <f t="shared" si="52"/>
        <v>6</v>
      </c>
      <c r="J695" s="408">
        <f t="shared" si="53"/>
        <v>5</v>
      </c>
      <c r="K695" s="411">
        <v>45813</v>
      </c>
      <c r="L695" s="408"/>
      <c r="M695" s="408"/>
      <c r="N695" s="3" t="str">
        <f t="shared" si="54"/>
        <v/>
      </c>
      <c r="O695" s="408"/>
      <c r="P695" s="408"/>
      <c r="Q695" s="408"/>
      <c r="R695" s="408"/>
      <c r="S695" s="408"/>
      <c r="T695" s="408"/>
      <c r="U695" s="408"/>
      <c r="V695" s="421"/>
      <c r="W695" s="421"/>
      <c r="X695" s="421"/>
      <c r="Y695" s="421"/>
      <c r="Z695" s="421"/>
      <c r="AA695" s="421"/>
      <c r="AB695" s="421"/>
      <c r="AC695" s="421"/>
      <c r="AD695" s="421"/>
      <c r="AE695" s="421"/>
      <c r="AF695" s="421"/>
      <c r="AG695" s="421"/>
      <c r="AH695" s="421"/>
      <c r="AI695" s="421"/>
      <c r="AJ695" s="421"/>
      <c r="AK695" s="421"/>
      <c r="AL695" s="421"/>
    </row>
    <row r="696" spans="1:38">
      <c r="A696" s="410">
        <v>5759</v>
      </c>
      <c r="B696" s="407"/>
      <c r="C696" s="408"/>
      <c r="D696" s="410" t="s">
        <v>2263</v>
      </c>
      <c r="E696" s="410" t="s">
        <v>1405</v>
      </c>
      <c r="F696" s="410" t="s">
        <v>1591</v>
      </c>
      <c r="G696" s="68" t="str">
        <f t="shared" si="51"/>
        <v>SINGLE</v>
      </c>
      <c r="H696" s="197">
        <f t="shared" si="50"/>
        <v>23</v>
      </c>
      <c r="I696" s="408">
        <f t="shared" si="52"/>
        <v>6</v>
      </c>
      <c r="J696" s="408">
        <f t="shared" si="53"/>
        <v>5</v>
      </c>
      <c r="K696" s="411">
        <v>45813</v>
      </c>
      <c r="L696" s="408"/>
      <c r="M696" s="408"/>
      <c r="N696" s="3" t="str">
        <f t="shared" si="54"/>
        <v/>
      </c>
      <c r="O696" s="408"/>
      <c r="P696" s="408"/>
      <c r="Q696" s="408"/>
      <c r="R696" s="408"/>
      <c r="S696" s="408"/>
      <c r="T696" s="408"/>
      <c r="U696" s="408"/>
      <c r="V696" s="421"/>
      <c r="W696" s="421"/>
      <c r="X696" s="421"/>
      <c r="Y696" s="421"/>
      <c r="Z696" s="421"/>
      <c r="AA696" s="421"/>
      <c r="AB696" s="421"/>
      <c r="AC696" s="421"/>
      <c r="AD696" s="421"/>
      <c r="AE696" s="421"/>
      <c r="AF696" s="421"/>
      <c r="AG696" s="421"/>
      <c r="AH696" s="421"/>
      <c r="AI696" s="421"/>
      <c r="AJ696" s="421"/>
      <c r="AK696" s="421"/>
      <c r="AL696" s="421"/>
    </row>
    <row r="697" spans="1:38">
      <c r="A697" s="410">
        <v>5759</v>
      </c>
      <c r="B697" s="407"/>
      <c r="C697" s="408"/>
      <c r="D697" s="410" t="s">
        <v>2264</v>
      </c>
      <c r="E697" s="410" t="s">
        <v>1405</v>
      </c>
      <c r="F697" s="410" t="s">
        <v>1591</v>
      </c>
      <c r="G697" s="68" t="str">
        <f t="shared" si="51"/>
        <v>SINGLE</v>
      </c>
      <c r="H697" s="197">
        <f t="shared" si="50"/>
        <v>23</v>
      </c>
      <c r="I697" s="408">
        <f t="shared" si="52"/>
        <v>6</v>
      </c>
      <c r="J697" s="408">
        <f t="shared" si="53"/>
        <v>5</v>
      </c>
      <c r="K697" s="411">
        <v>45813</v>
      </c>
      <c r="L697" s="408"/>
      <c r="M697" s="408"/>
      <c r="N697" s="3" t="str">
        <f t="shared" si="54"/>
        <v/>
      </c>
      <c r="O697" s="408"/>
      <c r="P697" s="408"/>
      <c r="Q697" s="408"/>
      <c r="R697" s="408"/>
      <c r="S697" s="408"/>
      <c r="T697" s="408"/>
      <c r="U697" s="408"/>
      <c r="V697" s="421"/>
      <c r="W697" s="421"/>
      <c r="X697" s="421"/>
      <c r="Y697" s="421"/>
      <c r="Z697" s="421"/>
      <c r="AA697" s="421"/>
      <c r="AB697" s="421"/>
      <c r="AC697" s="421"/>
      <c r="AD697" s="421"/>
      <c r="AE697" s="421"/>
      <c r="AF697" s="421"/>
      <c r="AG697" s="421"/>
      <c r="AH697" s="421"/>
      <c r="AI697" s="421"/>
      <c r="AJ697" s="421"/>
      <c r="AK697" s="421"/>
      <c r="AL697" s="421"/>
    </row>
    <row r="698" spans="1:38">
      <c r="A698" s="410">
        <v>5732</v>
      </c>
      <c r="B698" s="407"/>
      <c r="C698" s="408"/>
      <c r="D698" s="410" t="s">
        <v>2265</v>
      </c>
      <c r="E698" s="410" t="s">
        <v>2266</v>
      </c>
      <c r="F698" s="410" t="s">
        <v>1591</v>
      </c>
      <c r="G698" s="68" t="str">
        <f t="shared" si="51"/>
        <v>SINGLE</v>
      </c>
      <c r="H698" s="197">
        <f t="shared" si="50"/>
        <v>23</v>
      </c>
      <c r="I698" s="408">
        <f t="shared" si="52"/>
        <v>6</v>
      </c>
      <c r="J698" s="408">
        <f t="shared" si="53"/>
        <v>5</v>
      </c>
      <c r="K698" s="411">
        <v>45813</v>
      </c>
      <c r="L698" s="408"/>
      <c r="M698" s="408"/>
      <c r="N698" s="3" t="str">
        <f t="shared" si="54"/>
        <v/>
      </c>
      <c r="O698" s="408"/>
      <c r="P698" s="408"/>
      <c r="Q698" s="408"/>
      <c r="R698" s="408"/>
      <c r="S698" s="408"/>
      <c r="T698" s="408"/>
      <c r="U698" s="408"/>
      <c r="V698" s="421"/>
      <c r="W698" s="421"/>
      <c r="X698" s="421"/>
      <c r="Y698" s="421"/>
      <c r="Z698" s="421"/>
      <c r="AA698" s="421"/>
      <c r="AB698" s="421"/>
      <c r="AC698" s="421"/>
      <c r="AD698" s="421"/>
      <c r="AE698" s="421"/>
      <c r="AF698" s="421"/>
      <c r="AG698" s="421"/>
      <c r="AH698" s="421"/>
      <c r="AI698" s="421"/>
      <c r="AJ698" s="421"/>
      <c r="AK698" s="421"/>
      <c r="AL698" s="421"/>
    </row>
    <row r="699" spans="1:38">
      <c r="A699" s="410">
        <v>5732</v>
      </c>
      <c r="B699" s="407"/>
      <c r="C699" s="408"/>
      <c r="D699" s="410" t="s">
        <v>2267</v>
      </c>
      <c r="E699" s="410" t="s">
        <v>2266</v>
      </c>
      <c r="F699" s="410" t="s">
        <v>1591</v>
      </c>
      <c r="G699" s="68" t="str">
        <f t="shared" si="51"/>
        <v>SINGLE</v>
      </c>
      <c r="H699" s="197">
        <f t="shared" si="50"/>
        <v>23</v>
      </c>
      <c r="I699" s="408">
        <f t="shared" si="52"/>
        <v>6</v>
      </c>
      <c r="J699" s="408">
        <f t="shared" si="53"/>
        <v>5</v>
      </c>
      <c r="K699" s="411">
        <v>45813</v>
      </c>
      <c r="L699" s="408"/>
      <c r="M699" s="408"/>
      <c r="N699" s="3" t="str">
        <f t="shared" si="54"/>
        <v/>
      </c>
      <c r="O699" s="408"/>
      <c r="P699" s="408"/>
      <c r="Q699" s="408"/>
      <c r="R699" s="408"/>
      <c r="S699" s="408"/>
      <c r="T699" s="408"/>
      <c r="U699" s="408"/>
      <c r="V699" s="421"/>
      <c r="W699" s="421"/>
      <c r="X699" s="421"/>
      <c r="Y699" s="421"/>
      <c r="Z699" s="421"/>
      <c r="AA699" s="421"/>
      <c r="AB699" s="421"/>
      <c r="AC699" s="421"/>
      <c r="AD699" s="421"/>
      <c r="AE699" s="421"/>
      <c r="AF699" s="421"/>
      <c r="AG699" s="421"/>
      <c r="AH699" s="421"/>
      <c r="AI699" s="421"/>
      <c r="AJ699" s="421"/>
      <c r="AK699" s="421"/>
      <c r="AL699" s="421"/>
    </row>
    <row r="700" spans="1:38">
      <c r="A700" s="410">
        <v>5692</v>
      </c>
      <c r="B700" s="407"/>
      <c r="C700" s="408"/>
      <c r="D700" s="410" t="s">
        <v>2268</v>
      </c>
      <c r="E700" s="410" t="s">
        <v>1585</v>
      </c>
      <c r="F700" s="410" t="s">
        <v>1476</v>
      </c>
      <c r="G700" s="68" t="str">
        <f t="shared" si="51"/>
        <v>DUAL</v>
      </c>
      <c r="H700" s="197">
        <f t="shared" si="50"/>
        <v>23</v>
      </c>
      <c r="I700" s="408">
        <f t="shared" si="52"/>
        <v>6</v>
      </c>
      <c r="J700" s="408">
        <f t="shared" si="53"/>
        <v>5</v>
      </c>
      <c r="K700" s="411">
        <v>45813</v>
      </c>
      <c r="L700" s="408"/>
      <c r="M700" s="408"/>
      <c r="N700" s="3" t="str">
        <f t="shared" si="54"/>
        <v/>
      </c>
      <c r="O700" s="408"/>
      <c r="P700" s="408"/>
      <c r="Q700" s="408"/>
      <c r="R700" s="408"/>
      <c r="S700" s="408"/>
      <c r="T700" s="408"/>
      <c r="U700" s="408"/>
      <c r="V700" s="421"/>
      <c r="W700" s="421"/>
      <c r="X700" s="421"/>
      <c r="Y700" s="421"/>
      <c r="Z700" s="421"/>
      <c r="AA700" s="421"/>
      <c r="AB700" s="421"/>
      <c r="AC700" s="421"/>
      <c r="AD700" s="421"/>
      <c r="AE700" s="421"/>
      <c r="AF700" s="421"/>
      <c r="AG700" s="421"/>
      <c r="AH700" s="421"/>
      <c r="AI700" s="421"/>
      <c r="AJ700" s="421"/>
      <c r="AK700" s="421"/>
      <c r="AL700" s="421"/>
    </row>
    <row r="701" spans="1:38">
      <c r="A701" s="410">
        <v>5745</v>
      </c>
      <c r="B701" s="407"/>
      <c r="C701" s="408"/>
      <c r="D701" s="410" t="s">
        <v>2269</v>
      </c>
      <c r="E701" s="410" t="s">
        <v>1405</v>
      </c>
      <c r="F701" s="410" t="s">
        <v>1480</v>
      </c>
      <c r="G701" s="68" t="str">
        <f t="shared" si="51"/>
        <v>DUAL</v>
      </c>
      <c r="H701" s="197">
        <f t="shared" si="50"/>
        <v>24</v>
      </c>
      <c r="I701" s="408">
        <f t="shared" si="52"/>
        <v>6</v>
      </c>
      <c r="J701" s="408">
        <f t="shared" si="53"/>
        <v>9</v>
      </c>
      <c r="K701" s="411">
        <v>45817</v>
      </c>
      <c r="L701" s="408"/>
      <c r="M701" s="408"/>
      <c r="N701" s="3" t="str">
        <f t="shared" si="54"/>
        <v/>
      </c>
      <c r="O701" s="408"/>
      <c r="P701" s="408"/>
      <c r="Q701" s="408"/>
      <c r="R701" s="408"/>
      <c r="S701" s="408"/>
      <c r="T701" s="408"/>
      <c r="U701" s="408"/>
      <c r="V701" s="421"/>
      <c r="W701" s="421"/>
      <c r="X701" s="421"/>
      <c r="Y701" s="421"/>
      <c r="Z701" s="421"/>
      <c r="AA701" s="421"/>
      <c r="AB701" s="421"/>
      <c r="AC701" s="421"/>
      <c r="AD701" s="421"/>
      <c r="AE701" s="421"/>
      <c r="AF701" s="421"/>
      <c r="AG701" s="421"/>
      <c r="AH701" s="421"/>
      <c r="AI701" s="421"/>
      <c r="AJ701" s="421"/>
      <c r="AK701" s="421"/>
      <c r="AL701" s="421"/>
    </row>
    <row r="702" spans="1:38">
      <c r="A702" s="410">
        <v>5745</v>
      </c>
      <c r="B702" s="407"/>
      <c r="C702" s="408"/>
      <c r="D702" s="410" t="s">
        <v>2270</v>
      </c>
      <c r="E702" s="410" t="s">
        <v>1405</v>
      </c>
      <c r="F702" s="410" t="s">
        <v>1480</v>
      </c>
      <c r="G702" s="68" t="str">
        <f t="shared" si="51"/>
        <v>DUAL</v>
      </c>
      <c r="H702" s="197">
        <f t="shared" si="50"/>
        <v>24</v>
      </c>
      <c r="I702" s="408">
        <f t="shared" si="52"/>
        <v>6</v>
      </c>
      <c r="J702" s="408">
        <f t="shared" si="53"/>
        <v>9</v>
      </c>
      <c r="K702" s="411">
        <v>45817</v>
      </c>
      <c r="L702" s="408"/>
      <c r="M702" s="408"/>
      <c r="N702" s="3" t="str">
        <f t="shared" si="54"/>
        <v/>
      </c>
      <c r="O702" s="408"/>
      <c r="P702" s="408"/>
      <c r="Q702" s="408"/>
      <c r="R702" s="408"/>
      <c r="S702" s="408"/>
      <c r="T702" s="408"/>
      <c r="U702" s="408"/>
      <c r="V702" s="421"/>
      <c r="W702" s="421"/>
      <c r="X702" s="421"/>
      <c r="Y702" s="421"/>
      <c r="Z702" s="421"/>
      <c r="AA702" s="421"/>
      <c r="AB702" s="421"/>
      <c r="AC702" s="421"/>
      <c r="AD702" s="421"/>
      <c r="AE702" s="421"/>
      <c r="AF702" s="421"/>
      <c r="AG702" s="421"/>
      <c r="AH702" s="421"/>
      <c r="AI702" s="421"/>
      <c r="AJ702" s="421"/>
      <c r="AK702" s="421"/>
      <c r="AL702" s="421"/>
    </row>
    <row r="703" spans="1:38">
      <c r="A703" s="410">
        <v>5587</v>
      </c>
      <c r="B703" s="407"/>
      <c r="C703" s="408"/>
      <c r="D703" s="410" t="s">
        <v>2271</v>
      </c>
      <c r="E703" s="410" t="s">
        <v>1405</v>
      </c>
      <c r="F703" s="410" t="s">
        <v>1477</v>
      </c>
      <c r="G703" s="68" t="str">
        <f t="shared" si="51"/>
        <v>SINGLE</v>
      </c>
      <c r="H703" s="197">
        <f t="shared" si="50"/>
        <v>24</v>
      </c>
      <c r="I703" s="408">
        <f t="shared" si="52"/>
        <v>6</v>
      </c>
      <c r="J703" s="408">
        <f t="shared" si="53"/>
        <v>9</v>
      </c>
      <c r="K703" s="411">
        <v>45817</v>
      </c>
      <c r="L703" s="408"/>
      <c r="M703" s="408"/>
      <c r="N703" s="3" t="str">
        <f t="shared" si="54"/>
        <v/>
      </c>
      <c r="O703" s="408"/>
      <c r="P703" s="408"/>
      <c r="Q703" s="408"/>
      <c r="R703" s="408"/>
      <c r="S703" s="408"/>
      <c r="T703" s="408"/>
      <c r="U703" s="408"/>
      <c r="V703" s="421"/>
      <c r="W703" s="421"/>
      <c r="X703" s="421"/>
      <c r="Y703" s="421"/>
      <c r="Z703" s="421"/>
      <c r="AA703" s="421"/>
      <c r="AB703" s="421"/>
      <c r="AC703" s="421"/>
      <c r="AD703" s="421"/>
      <c r="AE703" s="421"/>
      <c r="AF703" s="421"/>
      <c r="AG703" s="421"/>
      <c r="AH703" s="421"/>
      <c r="AI703" s="421"/>
      <c r="AJ703" s="421"/>
      <c r="AK703" s="421"/>
      <c r="AL703" s="421"/>
    </row>
    <row r="704" spans="1:38">
      <c r="A704" s="410">
        <v>5587</v>
      </c>
      <c r="B704" s="407"/>
      <c r="C704" s="408"/>
      <c r="D704" s="410" t="s">
        <v>2272</v>
      </c>
      <c r="E704" s="410" t="s">
        <v>1405</v>
      </c>
      <c r="F704" s="410" t="s">
        <v>1477</v>
      </c>
      <c r="G704" s="68" t="str">
        <f t="shared" si="51"/>
        <v>SINGLE</v>
      </c>
      <c r="H704" s="197">
        <f t="shared" si="50"/>
        <v>24</v>
      </c>
      <c r="I704" s="408">
        <f t="shared" si="52"/>
        <v>6</v>
      </c>
      <c r="J704" s="408">
        <f t="shared" si="53"/>
        <v>9</v>
      </c>
      <c r="K704" s="411">
        <v>45817</v>
      </c>
      <c r="L704" s="408"/>
      <c r="M704" s="408"/>
      <c r="N704" s="3" t="str">
        <f t="shared" si="54"/>
        <v/>
      </c>
      <c r="O704" s="408"/>
      <c r="P704" s="408"/>
      <c r="Q704" s="408"/>
      <c r="R704" s="408"/>
      <c r="S704" s="408"/>
      <c r="T704" s="408"/>
      <c r="U704" s="408"/>
      <c r="V704" s="421"/>
      <c r="W704" s="421"/>
      <c r="X704" s="421"/>
      <c r="Y704" s="421"/>
      <c r="Z704" s="421"/>
      <c r="AA704" s="421"/>
      <c r="AB704" s="421"/>
      <c r="AC704" s="421"/>
      <c r="AD704" s="421"/>
      <c r="AE704" s="421"/>
      <c r="AF704" s="421"/>
      <c r="AG704" s="421"/>
      <c r="AH704" s="421"/>
      <c r="AI704" s="421"/>
      <c r="AJ704" s="421"/>
      <c r="AK704" s="421"/>
      <c r="AL704" s="421"/>
    </row>
    <row r="705" spans="1:38">
      <c r="A705" s="410">
        <v>5587</v>
      </c>
      <c r="B705" s="407"/>
      <c r="C705" s="408"/>
      <c r="D705" s="410" t="s">
        <v>2273</v>
      </c>
      <c r="E705" s="410" t="s">
        <v>1405</v>
      </c>
      <c r="F705" s="410" t="s">
        <v>1477</v>
      </c>
      <c r="G705" s="68" t="str">
        <f t="shared" si="51"/>
        <v>SINGLE</v>
      </c>
      <c r="H705" s="197">
        <f t="shared" ref="H705:H768" si="55">WEEKNUM(K705)</f>
        <v>24</v>
      </c>
      <c r="I705" s="408">
        <f t="shared" si="52"/>
        <v>6</v>
      </c>
      <c r="J705" s="408">
        <f t="shared" si="53"/>
        <v>9</v>
      </c>
      <c r="K705" s="411">
        <v>45817</v>
      </c>
      <c r="L705" s="408"/>
      <c r="M705" s="408"/>
      <c r="N705" s="3" t="str">
        <f t="shared" si="54"/>
        <v/>
      </c>
      <c r="O705" s="408"/>
      <c r="P705" s="408"/>
      <c r="Q705" s="408"/>
      <c r="R705" s="408"/>
      <c r="S705" s="408"/>
      <c r="T705" s="408"/>
      <c r="U705" s="408"/>
      <c r="V705" s="421"/>
      <c r="W705" s="421"/>
      <c r="X705" s="421"/>
      <c r="Y705" s="421"/>
      <c r="Z705" s="421"/>
      <c r="AA705" s="421"/>
      <c r="AB705" s="421"/>
      <c r="AC705" s="421"/>
      <c r="AD705" s="421"/>
      <c r="AE705" s="421"/>
      <c r="AF705" s="421"/>
      <c r="AG705" s="421"/>
      <c r="AH705" s="421"/>
      <c r="AI705" s="421"/>
      <c r="AJ705" s="421"/>
      <c r="AK705" s="421"/>
      <c r="AL705" s="421"/>
    </row>
    <row r="706" spans="1:38">
      <c r="A706" s="410">
        <v>5587</v>
      </c>
      <c r="B706" s="407"/>
      <c r="C706" s="408"/>
      <c r="D706" s="410" t="s">
        <v>2274</v>
      </c>
      <c r="E706" s="410" t="s">
        <v>1405</v>
      </c>
      <c r="F706" s="410" t="s">
        <v>1477</v>
      </c>
      <c r="G706" s="68" t="str">
        <f t="shared" ref="G706:G769" si="56">IF(OR(ISNUMBER(SEARCH("DUAL",F706)), ISNUMBER(SEARCH("IVAS",F706))), "DUAL", "SINGLE")</f>
        <v>SINGLE</v>
      </c>
      <c r="H706" s="197">
        <f t="shared" si="55"/>
        <v>24</v>
      </c>
      <c r="I706" s="408">
        <f t="shared" ref="I706:I769" si="57">MONTH(K706)</f>
        <v>6</v>
      </c>
      <c r="J706" s="408">
        <f t="shared" ref="J706:J769" si="58">DAY(K706)</f>
        <v>9</v>
      </c>
      <c r="K706" s="411">
        <v>45817</v>
      </c>
      <c r="L706" s="408"/>
      <c r="M706" s="408"/>
      <c r="N706" s="3" t="str">
        <f t="shared" ref="N706:N769" si="59">IF(O706&lt;&gt;"", "NG", "")</f>
        <v/>
      </c>
      <c r="O706" s="408"/>
      <c r="P706" s="408"/>
      <c r="Q706" s="408"/>
      <c r="R706" s="408"/>
      <c r="S706" s="408"/>
      <c r="T706" s="408"/>
      <c r="U706" s="408"/>
      <c r="V706" s="421"/>
      <c r="W706" s="421"/>
      <c r="X706" s="421"/>
      <c r="Y706" s="421"/>
      <c r="Z706" s="421"/>
      <c r="AA706" s="421"/>
      <c r="AB706" s="421"/>
      <c r="AC706" s="421"/>
      <c r="AD706" s="421"/>
      <c r="AE706" s="421"/>
      <c r="AF706" s="421"/>
      <c r="AG706" s="421"/>
      <c r="AH706" s="421"/>
      <c r="AI706" s="421"/>
      <c r="AJ706" s="421"/>
      <c r="AK706" s="421"/>
      <c r="AL706" s="421"/>
    </row>
    <row r="707" spans="1:38">
      <c r="A707" s="410">
        <v>5741</v>
      </c>
      <c r="B707" s="407"/>
      <c r="C707" s="408"/>
      <c r="D707" s="410" t="s">
        <v>2275</v>
      </c>
      <c r="E707" s="410" t="s">
        <v>1431</v>
      </c>
      <c r="F707" s="410" t="s">
        <v>1591</v>
      </c>
      <c r="G707" s="68" t="str">
        <f t="shared" si="56"/>
        <v>SINGLE</v>
      </c>
      <c r="H707" s="197">
        <f t="shared" si="55"/>
        <v>24</v>
      </c>
      <c r="I707" s="408">
        <f t="shared" si="57"/>
        <v>6</v>
      </c>
      <c r="J707" s="408">
        <f t="shared" si="58"/>
        <v>9</v>
      </c>
      <c r="K707" s="411">
        <v>45817</v>
      </c>
      <c r="L707" s="408"/>
      <c r="M707" s="408"/>
      <c r="N707" s="3" t="str">
        <f t="shared" si="59"/>
        <v/>
      </c>
      <c r="O707" s="408"/>
      <c r="P707" s="408"/>
      <c r="Q707" s="408"/>
      <c r="R707" s="408"/>
      <c r="S707" s="408"/>
      <c r="T707" s="408"/>
      <c r="U707" s="408"/>
      <c r="V707" s="421"/>
      <c r="W707" s="421"/>
      <c r="X707" s="421"/>
      <c r="Y707" s="421"/>
      <c r="Z707" s="421"/>
      <c r="AA707" s="421"/>
      <c r="AB707" s="421"/>
      <c r="AC707" s="421"/>
      <c r="AD707" s="421"/>
      <c r="AE707" s="421"/>
      <c r="AF707" s="421"/>
      <c r="AG707" s="421"/>
      <c r="AH707" s="421"/>
      <c r="AI707" s="421"/>
      <c r="AJ707" s="421"/>
      <c r="AK707" s="421"/>
      <c r="AL707" s="421"/>
    </row>
    <row r="708" spans="1:38">
      <c r="A708" s="410">
        <v>5668</v>
      </c>
      <c r="B708" s="407"/>
      <c r="C708" s="408"/>
      <c r="D708" s="410" t="s">
        <v>2276</v>
      </c>
      <c r="E708" s="410" t="s">
        <v>1426</v>
      </c>
      <c r="F708" s="410" t="s">
        <v>1476</v>
      </c>
      <c r="G708" s="68" t="str">
        <f t="shared" si="56"/>
        <v>DUAL</v>
      </c>
      <c r="H708" s="197">
        <f t="shared" si="55"/>
        <v>24</v>
      </c>
      <c r="I708" s="408">
        <f t="shared" si="57"/>
        <v>6</v>
      </c>
      <c r="J708" s="408">
        <f t="shared" si="58"/>
        <v>9</v>
      </c>
      <c r="K708" s="411">
        <v>45817</v>
      </c>
      <c r="L708" s="408"/>
      <c r="M708" s="408"/>
      <c r="N708" s="3" t="str">
        <f t="shared" si="59"/>
        <v/>
      </c>
      <c r="O708" s="408"/>
      <c r="P708" s="408"/>
      <c r="Q708" s="408"/>
      <c r="R708" s="408"/>
      <c r="S708" s="408"/>
      <c r="T708" s="408"/>
      <c r="U708" s="408"/>
      <c r="V708" s="421"/>
      <c r="W708" s="421"/>
      <c r="X708" s="421"/>
      <c r="Y708" s="421"/>
      <c r="Z708" s="421"/>
      <c r="AA708" s="421"/>
      <c r="AB708" s="421"/>
      <c r="AC708" s="421"/>
      <c r="AD708" s="421"/>
      <c r="AE708" s="421"/>
      <c r="AF708" s="421"/>
      <c r="AG708" s="421"/>
      <c r="AH708" s="421"/>
      <c r="AI708" s="421"/>
      <c r="AJ708" s="421"/>
      <c r="AK708" s="421"/>
      <c r="AL708" s="421"/>
    </row>
    <row r="709" spans="1:38">
      <c r="A709" s="410">
        <v>5733</v>
      </c>
      <c r="B709" s="407"/>
      <c r="C709" s="408"/>
      <c r="D709" s="410" t="s">
        <v>2277</v>
      </c>
      <c r="E709" s="410" t="s">
        <v>1415</v>
      </c>
      <c r="F709" s="410" t="s">
        <v>1911</v>
      </c>
      <c r="G709" s="68" t="str">
        <f t="shared" si="56"/>
        <v>DUAL</v>
      </c>
      <c r="H709" s="197">
        <f t="shared" si="55"/>
        <v>24</v>
      </c>
      <c r="I709" s="408">
        <f t="shared" si="57"/>
        <v>6</v>
      </c>
      <c r="J709" s="408">
        <f t="shared" si="58"/>
        <v>9</v>
      </c>
      <c r="K709" s="411">
        <v>45817</v>
      </c>
      <c r="L709" s="408"/>
      <c r="M709" s="408"/>
      <c r="N709" s="3" t="str">
        <f t="shared" si="59"/>
        <v/>
      </c>
      <c r="O709" s="408"/>
      <c r="P709" s="408"/>
      <c r="Q709" s="408"/>
      <c r="R709" s="408"/>
      <c r="S709" s="408"/>
      <c r="T709" s="408"/>
      <c r="U709" s="408"/>
      <c r="V709" s="421"/>
      <c r="W709" s="421"/>
      <c r="X709" s="421"/>
      <c r="Y709" s="421"/>
      <c r="Z709" s="421"/>
      <c r="AA709" s="421"/>
      <c r="AB709" s="421"/>
      <c r="AC709" s="421"/>
      <c r="AD709" s="421"/>
      <c r="AE709" s="421"/>
      <c r="AF709" s="421"/>
      <c r="AG709" s="421"/>
      <c r="AH709" s="421"/>
      <c r="AI709" s="421"/>
      <c r="AJ709" s="421"/>
      <c r="AK709" s="421"/>
      <c r="AL709" s="421"/>
    </row>
    <row r="710" spans="1:38">
      <c r="A710" s="410">
        <v>5745</v>
      </c>
      <c r="B710" s="407"/>
      <c r="C710" s="408"/>
      <c r="D710" s="410" t="s">
        <v>2278</v>
      </c>
      <c r="E710" s="410" t="s">
        <v>1405</v>
      </c>
      <c r="F710" s="410" t="s">
        <v>1480</v>
      </c>
      <c r="G710" s="68" t="str">
        <f t="shared" si="56"/>
        <v>DUAL</v>
      </c>
      <c r="H710" s="197">
        <f t="shared" si="55"/>
        <v>24</v>
      </c>
      <c r="I710" s="408">
        <f t="shared" si="57"/>
        <v>6</v>
      </c>
      <c r="J710" s="408">
        <f t="shared" si="58"/>
        <v>10</v>
      </c>
      <c r="K710" s="411">
        <v>45818</v>
      </c>
      <c r="L710" s="408"/>
      <c r="M710" s="408"/>
      <c r="N710" s="3" t="str">
        <f t="shared" si="59"/>
        <v/>
      </c>
      <c r="O710" s="408"/>
      <c r="P710" s="408"/>
      <c r="Q710" s="408"/>
      <c r="R710" s="408"/>
      <c r="S710" s="408"/>
      <c r="T710" s="408"/>
      <c r="U710" s="408"/>
      <c r="V710" s="421"/>
      <c r="W710" s="421"/>
      <c r="X710" s="421"/>
      <c r="Y710" s="421"/>
      <c r="Z710" s="421"/>
      <c r="AA710" s="421"/>
      <c r="AB710" s="421"/>
      <c r="AC710" s="421"/>
      <c r="AD710" s="421"/>
      <c r="AE710" s="421"/>
      <c r="AF710" s="421"/>
      <c r="AG710" s="421"/>
      <c r="AH710" s="421"/>
      <c r="AI710" s="421"/>
      <c r="AJ710" s="421"/>
      <c r="AK710" s="421"/>
      <c r="AL710" s="421"/>
    </row>
    <row r="711" spans="1:38">
      <c r="A711" s="410">
        <v>5670</v>
      </c>
      <c r="B711" s="407"/>
      <c r="C711" s="408"/>
      <c r="D711" s="410" t="s">
        <v>2279</v>
      </c>
      <c r="E711" s="410" t="s">
        <v>1426</v>
      </c>
      <c r="F711" s="410" t="s">
        <v>1476</v>
      </c>
      <c r="G711" s="68" t="str">
        <f t="shared" si="56"/>
        <v>DUAL</v>
      </c>
      <c r="H711" s="197">
        <f t="shared" si="55"/>
        <v>24</v>
      </c>
      <c r="I711" s="408">
        <f t="shared" si="57"/>
        <v>6</v>
      </c>
      <c r="J711" s="408">
        <f t="shared" si="58"/>
        <v>10</v>
      </c>
      <c r="K711" s="411">
        <v>45818</v>
      </c>
      <c r="L711" s="408"/>
      <c r="M711" s="408"/>
      <c r="N711" s="3" t="str">
        <f t="shared" si="59"/>
        <v/>
      </c>
      <c r="O711" s="408"/>
      <c r="P711" s="408"/>
      <c r="Q711" s="408"/>
      <c r="R711" s="408"/>
      <c r="S711" s="408"/>
      <c r="T711" s="408"/>
      <c r="U711" s="408"/>
      <c r="V711" s="421"/>
      <c r="W711" s="421"/>
      <c r="X711" s="421"/>
      <c r="Y711" s="421"/>
      <c r="Z711" s="421"/>
      <c r="AA711" s="421"/>
      <c r="AB711" s="421"/>
      <c r="AC711" s="421"/>
      <c r="AD711" s="421"/>
      <c r="AE711" s="421"/>
      <c r="AF711" s="421"/>
      <c r="AG711" s="421"/>
      <c r="AH711" s="421"/>
      <c r="AI711" s="421"/>
      <c r="AJ711" s="421"/>
      <c r="AK711" s="421"/>
      <c r="AL711" s="421"/>
    </row>
    <row r="712" spans="1:38">
      <c r="A712" s="410">
        <v>5729</v>
      </c>
      <c r="B712" s="407"/>
      <c r="C712" s="408"/>
      <c r="D712" s="410" t="s">
        <v>2280</v>
      </c>
      <c r="E712" s="410" t="s">
        <v>1413</v>
      </c>
      <c r="F712" s="410" t="s">
        <v>1476</v>
      </c>
      <c r="G712" s="68" t="str">
        <f t="shared" si="56"/>
        <v>DUAL</v>
      </c>
      <c r="H712" s="197">
        <f t="shared" si="55"/>
        <v>24</v>
      </c>
      <c r="I712" s="408">
        <f t="shared" si="57"/>
        <v>6</v>
      </c>
      <c r="J712" s="408">
        <f t="shared" si="58"/>
        <v>10</v>
      </c>
      <c r="K712" s="411">
        <v>45818</v>
      </c>
      <c r="L712" s="408"/>
      <c r="M712" s="408"/>
      <c r="N712" s="3" t="str">
        <f t="shared" si="59"/>
        <v/>
      </c>
      <c r="O712" s="408"/>
      <c r="P712" s="408"/>
      <c r="Q712" s="408"/>
      <c r="R712" s="408"/>
      <c r="S712" s="408"/>
      <c r="T712" s="408"/>
      <c r="U712" s="408"/>
      <c r="V712" s="421"/>
      <c r="W712" s="421"/>
      <c r="X712" s="421"/>
      <c r="Y712" s="421"/>
      <c r="Z712" s="421"/>
      <c r="AA712" s="421"/>
      <c r="AB712" s="421"/>
      <c r="AC712" s="421"/>
      <c r="AD712" s="421"/>
      <c r="AE712" s="421"/>
      <c r="AF712" s="421"/>
      <c r="AG712" s="421"/>
      <c r="AH712" s="421"/>
      <c r="AI712" s="421"/>
      <c r="AJ712" s="421"/>
      <c r="AK712" s="421"/>
      <c r="AL712" s="421"/>
    </row>
    <row r="713" spans="1:38">
      <c r="A713" s="410">
        <v>5766</v>
      </c>
      <c r="B713" s="407"/>
      <c r="C713" s="408"/>
      <c r="D713" s="410" t="s">
        <v>2281</v>
      </c>
      <c r="E713" s="410" t="s">
        <v>1405</v>
      </c>
      <c r="F713" s="410" t="s">
        <v>1591</v>
      </c>
      <c r="G713" s="68" t="str">
        <f t="shared" si="56"/>
        <v>SINGLE</v>
      </c>
      <c r="H713" s="197">
        <f t="shared" si="55"/>
        <v>24</v>
      </c>
      <c r="I713" s="408">
        <f t="shared" si="57"/>
        <v>6</v>
      </c>
      <c r="J713" s="408">
        <f t="shared" si="58"/>
        <v>10</v>
      </c>
      <c r="K713" s="411">
        <v>45818</v>
      </c>
      <c r="L713" s="408"/>
      <c r="M713" s="408"/>
      <c r="N713" s="3" t="str">
        <f t="shared" si="59"/>
        <v/>
      </c>
      <c r="O713" s="408"/>
      <c r="P713" s="408"/>
      <c r="Q713" s="408"/>
      <c r="R713" s="408"/>
      <c r="S713" s="408"/>
      <c r="T713" s="408"/>
      <c r="U713" s="408"/>
      <c r="V713" s="421"/>
      <c r="W713" s="421"/>
      <c r="X713" s="421"/>
      <c r="Y713" s="421"/>
      <c r="Z713" s="421"/>
      <c r="AA713" s="421"/>
      <c r="AB713" s="421"/>
      <c r="AC713" s="421"/>
      <c r="AD713" s="421"/>
      <c r="AE713" s="421"/>
      <c r="AF713" s="421"/>
      <c r="AG713" s="421"/>
      <c r="AH713" s="421"/>
      <c r="AI713" s="421"/>
      <c r="AJ713" s="421"/>
      <c r="AK713" s="421"/>
      <c r="AL713" s="421"/>
    </row>
    <row r="714" spans="1:38">
      <c r="A714" s="410">
        <v>5766</v>
      </c>
      <c r="B714" s="407"/>
      <c r="C714" s="408"/>
      <c r="D714" s="410" t="s">
        <v>2282</v>
      </c>
      <c r="E714" s="410" t="s">
        <v>1405</v>
      </c>
      <c r="F714" s="410" t="s">
        <v>1591</v>
      </c>
      <c r="G714" s="68" t="str">
        <f t="shared" si="56"/>
        <v>SINGLE</v>
      </c>
      <c r="H714" s="197">
        <f t="shared" si="55"/>
        <v>24</v>
      </c>
      <c r="I714" s="408">
        <f t="shared" si="57"/>
        <v>6</v>
      </c>
      <c r="J714" s="408">
        <f t="shared" si="58"/>
        <v>10</v>
      </c>
      <c r="K714" s="411">
        <v>45818</v>
      </c>
      <c r="L714" s="408"/>
      <c r="M714" s="408"/>
      <c r="N714" s="3" t="str">
        <f t="shared" si="59"/>
        <v/>
      </c>
      <c r="O714" s="408"/>
      <c r="P714" s="408"/>
      <c r="Q714" s="408"/>
      <c r="R714" s="408"/>
      <c r="S714" s="408"/>
      <c r="T714" s="408"/>
      <c r="U714" s="408"/>
      <c r="V714" s="421"/>
      <c r="W714" s="421"/>
      <c r="X714" s="421"/>
      <c r="Y714" s="421"/>
      <c r="Z714" s="421"/>
      <c r="AA714" s="421"/>
      <c r="AB714" s="421"/>
      <c r="AC714" s="421"/>
      <c r="AD714" s="421"/>
      <c r="AE714" s="421"/>
      <c r="AF714" s="421"/>
      <c r="AG714" s="421"/>
      <c r="AH714" s="421"/>
      <c r="AI714" s="421"/>
      <c r="AJ714" s="421"/>
      <c r="AK714" s="421"/>
      <c r="AL714" s="421"/>
    </row>
    <row r="715" spans="1:38">
      <c r="A715" s="410">
        <v>5669</v>
      </c>
      <c r="B715" s="407"/>
      <c r="C715" s="408"/>
      <c r="D715" s="410" t="s">
        <v>2283</v>
      </c>
      <c r="E715" s="410" t="s">
        <v>1426</v>
      </c>
      <c r="F715" s="410" t="s">
        <v>1476</v>
      </c>
      <c r="G715" s="68" t="str">
        <f t="shared" si="56"/>
        <v>DUAL</v>
      </c>
      <c r="H715" s="197">
        <f t="shared" si="55"/>
        <v>24</v>
      </c>
      <c r="I715" s="408">
        <f t="shared" si="57"/>
        <v>6</v>
      </c>
      <c r="J715" s="408">
        <f t="shared" si="58"/>
        <v>10</v>
      </c>
      <c r="K715" s="411">
        <v>45818</v>
      </c>
      <c r="L715" s="408"/>
      <c r="M715" s="408"/>
      <c r="N715" s="3" t="str">
        <f t="shared" si="59"/>
        <v/>
      </c>
      <c r="O715" s="408"/>
      <c r="P715" s="408"/>
      <c r="Q715" s="408"/>
      <c r="R715" s="408"/>
      <c r="S715" s="408"/>
      <c r="T715" s="408"/>
      <c r="U715" s="408"/>
      <c r="V715" s="421"/>
      <c r="W715" s="421"/>
      <c r="X715" s="421"/>
      <c r="Y715" s="421"/>
      <c r="Z715" s="421"/>
      <c r="AA715" s="421"/>
      <c r="AB715" s="421"/>
      <c r="AC715" s="421"/>
      <c r="AD715" s="421"/>
      <c r="AE715" s="421"/>
      <c r="AF715" s="421"/>
      <c r="AG715" s="421"/>
      <c r="AH715" s="421"/>
      <c r="AI715" s="421"/>
      <c r="AJ715" s="421"/>
      <c r="AK715" s="421"/>
      <c r="AL715" s="421"/>
    </row>
    <row r="716" spans="1:38">
      <c r="A716" s="410">
        <v>5739</v>
      </c>
      <c r="B716" s="407"/>
      <c r="C716" s="408"/>
      <c r="D716" s="410" t="s">
        <v>2284</v>
      </c>
      <c r="E716" s="410" t="s">
        <v>1431</v>
      </c>
      <c r="F716" s="410" t="s">
        <v>1591</v>
      </c>
      <c r="G716" s="68" t="str">
        <f t="shared" si="56"/>
        <v>SINGLE</v>
      </c>
      <c r="H716" s="197">
        <f t="shared" si="55"/>
        <v>24</v>
      </c>
      <c r="I716" s="408">
        <f t="shared" si="57"/>
        <v>6</v>
      </c>
      <c r="J716" s="408">
        <f t="shared" si="58"/>
        <v>10</v>
      </c>
      <c r="K716" s="411">
        <v>45818</v>
      </c>
      <c r="L716" s="408"/>
      <c r="M716" s="408"/>
      <c r="N716" s="3" t="str">
        <f t="shared" si="59"/>
        <v/>
      </c>
      <c r="O716" s="408"/>
      <c r="P716" s="408"/>
      <c r="Q716" s="408"/>
      <c r="R716" s="408"/>
      <c r="S716" s="408"/>
      <c r="T716" s="408"/>
      <c r="U716" s="408"/>
      <c r="V716" s="421"/>
      <c r="W716" s="421"/>
      <c r="X716" s="421"/>
      <c r="Y716" s="421"/>
      <c r="Z716" s="421"/>
      <c r="AA716" s="421"/>
      <c r="AB716" s="421"/>
      <c r="AC716" s="421"/>
      <c r="AD716" s="421"/>
      <c r="AE716" s="421"/>
      <c r="AF716" s="421"/>
      <c r="AG716" s="421"/>
      <c r="AH716" s="421"/>
      <c r="AI716" s="421"/>
      <c r="AJ716" s="421"/>
      <c r="AK716" s="421"/>
      <c r="AL716" s="421"/>
    </row>
    <row r="717" spans="1:38">
      <c r="A717" s="410">
        <v>5739</v>
      </c>
      <c r="B717" s="407"/>
      <c r="C717" s="408"/>
      <c r="D717" s="410" t="s">
        <v>2285</v>
      </c>
      <c r="E717" s="410" t="s">
        <v>1431</v>
      </c>
      <c r="F717" s="410" t="s">
        <v>1591</v>
      </c>
      <c r="G717" s="68" t="str">
        <f t="shared" si="56"/>
        <v>SINGLE</v>
      </c>
      <c r="H717" s="197">
        <f t="shared" si="55"/>
        <v>24</v>
      </c>
      <c r="I717" s="408">
        <f t="shared" si="57"/>
        <v>6</v>
      </c>
      <c r="J717" s="408">
        <f t="shared" si="58"/>
        <v>10</v>
      </c>
      <c r="K717" s="411">
        <v>45818</v>
      </c>
      <c r="L717" s="408"/>
      <c r="M717" s="408"/>
      <c r="N717" s="3" t="str">
        <f t="shared" si="59"/>
        <v/>
      </c>
      <c r="O717" s="408"/>
      <c r="P717" s="408"/>
      <c r="Q717" s="408"/>
      <c r="R717" s="408"/>
      <c r="S717" s="408"/>
      <c r="T717" s="408"/>
      <c r="U717" s="408"/>
      <c r="V717" s="421"/>
      <c r="W717" s="421"/>
      <c r="X717" s="421"/>
      <c r="Y717" s="421"/>
      <c r="Z717" s="421"/>
      <c r="AA717" s="421"/>
      <c r="AB717" s="421"/>
      <c r="AC717" s="421"/>
      <c r="AD717" s="421"/>
      <c r="AE717" s="421"/>
      <c r="AF717" s="421"/>
      <c r="AG717" s="421"/>
      <c r="AH717" s="421"/>
      <c r="AI717" s="421"/>
      <c r="AJ717" s="421"/>
      <c r="AK717" s="421"/>
      <c r="AL717" s="421"/>
    </row>
    <row r="718" spans="1:38">
      <c r="A718" s="410">
        <v>5538</v>
      </c>
      <c r="B718" s="407"/>
      <c r="C718" s="408"/>
      <c r="D718" s="410" t="s">
        <v>2286</v>
      </c>
      <c r="E718" s="410" t="s">
        <v>1585</v>
      </c>
      <c r="F718" s="410" t="s">
        <v>1476</v>
      </c>
      <c r="G718" s="68" t="str">
        <f t="shared" si="56"/>
        <v>DUAL</v>
      </c>
      <c r="H718" s="197">
        <f t="shared" si="55"/>
        <v>24</v>
      </c>
      <c r="I718" s="408">
        <f t="shared" si="57"/>
        <v>6</v>
      </c>
      <c r="J718" s="408">
        <f t="shared" si="58"/>
        <v>11</v>
      </c>
      <c r="K718" s="411">
        <v>45819</v>
      </c>
      <c r="L718" s="408"/>
      <c r="M718" s="408"/>
      <c r="N718" s="3" t="str">
        <f t="shared" si="59"/>
        <v/>
      </c>
      <c r="O718" s="408"/>
      <c r="P718" s="408"/>
      <c r="Q718" s="408"/>
      <c r="R718" s="408"/>
      <c r="S718" s="408"/>
      <c r="T718" s="408"/>
      <c r="U718" s="408"/>
      <c r="V718" s="421"/>
      <c r="W718" s="421"/>
      <c r="X718" s="421"/>
      <c r="Y718" s="421"/>
      <c r="Z718" s="421"/>
      <c r="AA718" s="421"/>
      <c r="AB718" s="421"/>
      <c r="AC718" s="421"/>
      <c r="AD718" s="421"/>
      <c r="AE718" s="421"/>
      <c r="AF718" s="421"/>
      <c r="AG718" s="421"/>
      <c r="AH718" s="421"/>
      <c r="AI718" s="421"/>
      <c r="AJ718" s="421"/>
      <c r="AK718" s="421"/>
      <c r="AL718" s="421"/>
    </row>
    <row r="719" spans="1:38">
      <c r="A719" s="410">
        <v>5719</v>
      </c>
      <c r="B719" s="407"/>
      <c r="C719" s="408"/>
      <c r="D719" s="410" t="s">
        <v>2287</v>
      </c>
      <c r="E719" s="410" t="s">
        <v>1431</v>
      </c>
      <c r="F719" s="410" t="s">
        <v>1591</v>
      </c>
      <c r="G719" s="68" t="str">
        <f t="shared" si="56"/>
        <v>SINGLE</v>
      </c>
      <c r="H719" s="197">
        <f t="shared" si="55"/>
        <v>24</v>
      </c>
      <c r="I719" s="408">
        <f t="shared" si="57"/>
        <v>6</v>
      </c>
      <c r="J719" s="408">
        <f t="shared" si="58"/>
        <v>11</v>
      </c>
      <c r="K719" s="411">
        <v>45819</v>
      </c>
      <c r="L719" s="408"/>
      <c r="M719" s="408"/>
      <c r="N719" s="3" t="str">
        <f t="shared" si="59"/>
        <v/>
      </c>
      <c r="O719" s="408"/>
      <c r="P719" s="408"/>
      <c r="Q719" s="408"/>
      <c r="R719" s="408"/>
      <c r="S719" s="408"/>
      <c r="T719" s="408"/>
      <c r="U719" s="408"/>
      <c r="V719" s="421"/>
      <c r="W719" s="421"/>
      <c r="X719" s="421"/>
      <c r="Y719" s="421"/>
      <c r="Z719" s="421"/>
      <c r="AA719" s="421"/>
      <c r="AB719" s="421"/>
      <c r="AC719" s="421"/>
      <c r="AD719" s="421"/>
      <c r="AE719" s="421"/>
      <c r="AF719" s="421"/>
      <c r="AG719" s="421"/>
      <c r="AH719" s="421"/>
      <c r="AI719" s="421"/>
      <c r="AJ719" s="421"/>
      <c r="AK719" s="421"/>
      <c r="AL719" s="421"/>
    </row>
    <row r="720" spans="1:38">
      <c r="A720" s="410">
        <v>5719</v>
      </c>
      <c r="B720" s="407"/>
      <c r="C720" s="408"/>
      <c r="D720" s="410" t="s">
        <v>2288</v>
      </c>
      <c r="E720" s="410" t="s">
        <v>1431</v>
      </c>
      <c r="F720" s="410" t="s">
        <v>1591</v>
      </c>
      <c r="G720" s="68" t="str">
        <f t="shared" si="56"/>
        <v>SINGLE</v>
      </c>
      <c r="H720" s="197">
        <f t="shared" si="55"/>
        <v>24</v>
      </c>
      <c r="I720" s="408">
        <f t="shared" si="57"/>
        <v>6</v>
      </c>
      <c r="J720" s="408">
        <f t="shared" si="58"/>
        <v>11</v>
      </c>
      <c r="K720" s="411">
        <v>45819</v>
      </c>
      <c r="L720" s="408"/>
      <c r="M720" s="408"/>
      <c r="N720" s="3" t="str">
        <f t="shared" si="59"/>
        <v/>
      </c>
      <c r="O720" s="408"/>
      <c r="P720" s="408"/>
      <c r="Q720" s="408"/>
      <c r="R720" s="408"/>
      <c r="S720" s="408"/>
      <c r="T720" s="408"/>
      <c r="U720" s="408"/>
      <c r="V720" s="421"/>
      <c r="W720" s="421"/>
      <c r="X720" s="421"/>
      <c r="Y720" s="421"/>
      <c r="Z720" s="421"/>
      <c r="AA720" s="421"/>
      <c r="AB720" s="421"/>
      <c r="AC720" s="421"/>
      <c r="AD720" s="421"/>
      <c r="AE720" s="421"/>
      <c r="AF720" s="421"/>
      <c r="AG720" s="421"/>
      <c r="AH720" s="421"/>
      <c r="AI720" s="421"/>
      <c r="AJ720" s="421"/>
      <c r="AK720" s="421"/>
      <c r="AL720" s="421"/>
    </row>
    <row r="721" spans="1:38">
      <c r="A721" s="410">
        <v>5670</v>
      </c>
      <c r="B721" s="407"/>
      <c r="C721" s="408"/>
      <c r="D721" s="410" t="s">
        <v>2289</v>
      </c>
      <c r="E721" s="410" t="s">
        <v>1426</v>
      </c>
      <c r="F721" s="410" t="s">
        <v>1476</v>
      </c>
      <c r="G721" s="68" t="str">
        <f t="shared" si="56"/>
        <v>DUAL</v>
      </c>
      <c r="H721" s="197">
        <f t="shared" si="55"/>
        <v>24</v>
      </c>
      <c r="I721" s="408">
        <f t="shared" si="57"/>
        <v>6</v>
      </c>
      <c r="J721" s="408">
        <f t="shared" si="58"/>
        <v>11</v>
      </c>
      <c r="K721" s="411">
        <v>45819</v>
      </c>
      <c r="L721" s="408"/>
      <c r="M721" s="408"/>
      <c r="N721" s="3" t="str">
        <f t="shared" si="59"/>
        <v/>
      </c>
      <c r="O721" s="408"/>
      <c r="P721" s="408"/>
      <c r="Q721" s="408"/>
      <c r="R721" s="408"/>
      <c r="S721" s="408"/>
      <c r="T721" s="408"/>
      <c r="U721" s="408"/>
      <c r="V721" s="421"/>
      <c r="W721" s="421"/>
      <c r="X721" s="421"/>
      <c r="Y721" s="421"/>
      <c r="Z721" s="421"/>
      <c r="AA721" s="421"/>
      <c r="AB721" s="421"/>
      <c r="AC721" s="421"/>
      <c r="AD721" s="421"/>
      <c r="AE721" s="421"/>
      <c r="AF721" s="421"/>
      <c r="AG721" s="421"/>
      <c r="AH721" s="421"/>
      <c r="AI721" s="421"/>
      <c r="AJ721" s="421"/>
      <c r="AK721" s="421"/>
      <c r="AL721" s="421"/>
    </row>
    <row r="722" spans="1:38">
      <c r="A722" s="410">
        <v>5670</v>
      </c>
      <c r="B722" s="407"/>
      <c r="C722" s="408"/>
      <c r="D722" s="410" t="s">
        <v>2290</v>
      </c>
      <c r="E722" s="410" t="s">
        <v>1426</v>
      </c>
      <c r="F722" s="410" t="s">
        <v>1476</v>
      </c>
      <c r="G722" s="68" t="str">
        <f t="shared" si="56"/>
        <v>DUAL</v>
      </c>
      <c r="H722" s="197">
        <f t="shared" si="55"/>
        <v>24</v>
      </c>
      <c r="I722" s="408">
        <f t="shared" si="57"/>
        <v>6</v>
      </c>
      <c r="J722" s="408">
        <f t="shared" si="58"/>
        <v>11</v>
      </c>
      <c r="K722" s="411">
        <v>45819</v>
      </c>
      <c r="L722" s="408"/>
      <c r="M722" s="408"/>
      <c r="N722" s="3" t="str">
        <f t="shared" si="59"/>
        <v/>
      </c>
      <c r="O722" s="408"/>
      <c r="P722" s="408"/>
      <c r="Q722" s="408"/>
      <c r="R722" s="408"/>
      <c r="S722" s="408"/>
      <c r="T722" s="408"/>
      <c r="U722" s="408"/>
      <c r="V722" s="421"/>
      <c r="W722" s="421"/>
      <c r="X722" s="421"/>
      <c r="Y722" s="421"/>
      <c r="Z722" s="421"/>
      <c r="AA722" s="421"/>
      <c r="AB722" s="421"/>
      <c r="AC722" s="421"/>
      <c r="AD722" s="421"/>
      <c r="AE722" s="421"/>
      <c r="AF722" s="421"/>
      <c r="AG722" s="421"/>
      <c r="AH722" s="421"/>
      <c r="AI722" s="421"/>
      <c r="AJ722" s="421"/>
      <c r="AK722" s="421"/>
      <c r="AL722" s="421"/>
    </row>
    <row r="723" spans="1:38">
      <c r="A723" s="410">
        <v>5668</v>
      </c>
      <c r="B723" s="407"/>
      <c r="C723" s="408"/>
      <c r="D723" s="410" t="s">
        <v>2291</v>
      </c>
      <c r="E723" s="410" t="s">
        <v>1426</v>
      </c>
      <c r="F723" s="410" t="s">
        <v>1476</v>
      </c>
      <c r="G723" s="68" t="str">
        <f t="shared" si="56"/>
        <v>DUAL</v>
      </c>
      <c r="H723" s="197">
        <f t="shared" si="55"/>
        <v>24</v>
      </c>
      <c r="I723" s="408">
        <f t="shared" si="57"/>
        <v>6</v>
      </c>
      <c r="J723" s="408">
        <f t="shared" si="58"/>
        <v>11</v>
      </c>
      <c r="K723" s="411">
        <v>45819</v>
      </c>
      <c r="L723" s="408"/>
      <c r="M723" s="408"/>
      <c r="N723" s="3" t="str">
        <f t="shared" si="59"/>
        <v/>
      </c>
      <c r="O723" s="408"/>
      <c r="P723" s="408"/>
      <c r="Q723" s="408"/>
      <c r="R723" s="408"/>
      <c r="S723" s="408"/>
      <c r="T723" s="408"/>
      <c r="U723" s="408"/>
      <c r="V723" s="421"/>
      <c r="W723" s="421"/>
      <c r="X723" s="421"/>
      <c r="Y723" s="421"/>
      <c r="Z723" s="421"/>
      <c r="AA723" s="421"/>
      <c r="AB723" s="421"/>
      <c r="AC723" s="421"/>
      <c r="AD723" s="421"/>
      <c r="AE723" s="421"/>
      <c r="AF723" s="421"/>
      <c r="AG723" s="421"/>
      <c r="AH723" s="421"/>
      <c r="AI723" s="421"/>
      <c r="AJ723" s="421"/>
      <c r="AK723" s="421"/>
      <c r="AL723" s="421"/>
    </row>
    <row r="724" spans="1:38">
      <c r="A724" s="410">
        <v>5611</v>
      </c>
      <c r="B724" s="407"/>
      <c r="C724" s="408"/>
      <c r="D724" s="410" t="s">
        <v>2292</v>
      </c>
      <c r="E724" s="410" t="s">
        <v>1426</v>
      </c>
      <c r="F724" s="410" t="s">
        <v>1476</v>
      </c>
      <c r="G724" s="68" t="str">
        <f t="shared" si="56"/>
        <v>DUAL</v>
      </c>
      <c r="H724" s="197">
        <f t="shared" si="55"/>
        <v>24</v>
      </c>
      <c r="I724" s="408">
        <f t="shared" si="57"/>
        <v>6</v>
      </c>
      <c r="J724" s="408">
        <f t="shared" si="58"/>
        <v>11</v>
      </c>
      <c r="K724" s="411">
        <v>45819</v>
      </c>
      <c r="L724" s="408"/>
      <c r="M724" s="408"/>
      <c r="N724" s="3" t="str">
        <f t="shared" si="59"/>
        <v/>
      </c>
      <c r="O724" s="408"/>
      <c r="P724" s="408"/>
      <c r="Q724" s="408"/>
      <c r="R724" s="408"/>
      <c r="S724" s="408"/>
      <c r="T724" s="408"/>
      <c r="U724" s="408"/>
      <c r="V724" s="421"/>
      <c r="W724" s="421"/>
      <c r="X724" s="421"/>
      <c r="Y724" s="421"/>
      <c r="Z724" s="421"/>
      <c r="AA724" s="421"/>
      <c r="AB724" s="421"/>
      <c r="AC724" s="421"/>
      <c r="AD724" s="421"/>
      <c r="AE724" s="421"/>
      <c r="AF724" s="421"/>
      <c r="AG724" s="421"/>
      <c r="AH724" s="421"/>
      <c r="AI724" s="421"/>
      <c r="AJ724" s="421"/>
      <c r="AK724" s="421"/>
      <c r="AL724" s="421"/>
    </row>
    <row r="725" spans="1:38">
      <c r="A725" s="410">
        <v>5611</v>
      </c>
      <c r="B725" s="407"/>
      <c r="C725" s="408"/>
      <c r="D725" s="410" t="s">
        <v>2293</v>
      </c>
      <c r="E725" s="410" t="s">
        <v>1426</v>
      </c>
      <c r="F725" s="410" t="s">
        <v>1476</v>
      </c>
      <c r="G725" s="68" t="str">
        <f t="shared" si="56"/>
        <v>DUAL</v>
      </c>
      <c r="H725" s="197">
        <f t="shared" si="55"/>
        <v>24</v>
      </c>
      <c r="I725" s="408">
        <f t="shared" si="57"/>
        <v>6</v>
      </c>
      <c r="J725" s="408">
        <f t="shared" si="58"/>
        <v>11</v>
      </c>
      <c r="K725" s="411">
        <v>45819</v>
      </c>
      <c r="L725" s="408"/>
      <c r="M725" s="408"/>
      <c r="N725" s="3" t="str">
        <f t="shared" si="59"/>
        <v/>
      </c>
      <c r="O725" s="408"/>
      <c r="P725" s="408"/>
      <c r="Q725" s="408"/>
      <c r="R725" s="408"/>
      <c r="S725" s="408"/>
      <c r="T725" s="408"/>
      <c r="U725" s="408"/>
      <c r="V725" s="421"/>
      <c r="W725" s="421"/>
      <c r="X725" s="421"/>
      <c r="Y725" s="421"/>
      <c r="Z725" s="421"/>
      <c r="AA725" s="421"/>
      <c r="AB725" s="421"/>
      <c r="AC725" s="421"/>
      <c r="AD725" s="421"/>
      <c r="AE725" s="421"/>
      <c r="AF725" s="421"/>
      <c r="AG725" s="421"/>
      <c r="AH725" s="421"/>
      <c r="AI725" s="421"/>
      <c r="AJ725" s="421"/>
      <c r="AK725" s="421"/>
      <c r="AL725" s="421"/>
    </row>
    <row r="726" spans="1:38">
      <c r="A726" s="410">
        <v>5719</v>
      </c>
      <c r="B726" s="407"/>
      <c r="C726" s="408"/>
      <c r="D726" s="410" t="s">
        <v>2294</v>
      </c>
      <c r="E726" s="410" t="s">
        <v>1431</v>
      </c>
      <c r="F726" s="410" t="s">
        <v>1591</v>
      </c>
      <c r="G726" s="68" t="str">
        <f t="shared" si="56"/>
        <v>SINGLE</v>
      </c>
      <c r="H726" s="197">
        <f t="shared" si="55"/>
        <v>24</v>
      </c>
      <c r="I726" s="408">
        <f t="shared" si="57"/>
        <v>6</v>
      </c>
      <c r="J726" s="408">
        <f t="shared" si="58"/>
        <v>11</v>
      </c>
      <c r="K726" s="411">
        <v>45819</v>
      </c>
      <c r="L726" s="408"/>
      <c r="M726" s="408"/>
      <c r="N726" s="3" t="str">
        <f t="shared" si="59"/>
        <v/>
      </c>
      <c r="O726" s="408"/>
      <c r="P726" s="408"/>
      <c r="Q726" s="408"/>
      <c r="R726" s="408"/>
      <c r="S726" s="408"/>
      <c r="T726" s="408"/>
      <c r="U726" s="408"/>
      <c r="V726" s="421"/>
      <c r="W726" s="421"/>
      <c r="X726" s="421"/>
      <c r="Y726" s="421"/>
      <c r="Z726" s="421"/>
      <c r="AA726" s="421"/>
      <c r="AB726" s="421"/>
      <c r="AC726" s="421"/>
      <c r="AD726" s="421"/>
      <c r="AE726" s="421"/>
      <c r="AF726" s="421"/>
      <c r="AG726" s="421"/>
      <c r="AH726" s="421"/>
      <c r="AI726" s="421"/>
      <c r="AJ726" s="421"/>
      <c r="AK726" s="421"/>
      <c r="AL726" s="421"/>
    </row>
    <row r="727" spans="1:38">
      <c r="A727" s="410">
        <v>5670</v>
      </c>
      <c r="B727" s="407"/>
      <c r="C727" s="408"/>
      <c r="D727" s="410" t="s">
        <v>2295</v>
      </c>
      <c r="E727" s="410" t="s">
        <v>1426</v>
      </c>
      <c r="F727" s="410" t="s">
        <v>1476</v>
      </c>
      <c r="G727" s="68" t="str">
        <f t="shared" si="56"/>
        <v>DUAL</v>
      </c>
      <c r="H727" s="197">
        <f t="shared" si="55"/>
        <v>24</v>
      </c>
      <c r="I727" s="408">
        <f t="shared" si="57"/>
        <v>6</v>
      </c>
      <c r="J727" s="408">
        <f t="shared" si="58"/>
        <v>12</v>
      </c>
      <c r="K727" s="411">
        <v>45820</v>
      </c>
      <c r="L727" s="408"/>
      <c r="M727" s="408"/>
      <c r="N727" s="3" t="str">
        <f t="shared" si="59"/>
        <v/>
      </c>
      <c r="O727" s="408"/>
      <c r="P727" s="408"/>
      <c r="Q727" s="408"/>
      <c r="R727" s="408"/>
      <c r="S727" s="408"/>
      <c r="T727" s="408"/>
      <c r="U727" s="408"/>
      <c r="V727" s="421"/>
      <c r="W727" s="421"/>
      <c r="X727" s="421"/>
      <c r="Y727" s="421"/>
      <c r="Z727" s="421"/>
      <c r="AA727" s="421"/>
      <c r="AB727" s="421"/>
      <c r="AC727" s="421"/>
      <c r="AD727" s="421"/>
      <c r="AE727" s="421"/>
      <c r="AF727" s="421"/>
      <c r="AG727" s="421"/>
      <c r="AH727" s="421"/>
      <c r="AI727" s="421"/>
      <c r="AJ727" s="421"/>
      <c r="AK727" s="421"/>
      <c r="AL727" s="421"/>
    </row>
    <row r="728" spans="1:38">
      <c r="A728" s="410">
        <v>5670</v>
      </c>
      <c r="B728" s="407"/>
      <c r="C728" s="408"/>
      <c r="D728" s="410" t="s">
        <v>2296</v>
      </c>
      <c r="E728" s="410" t="s">
        <v>1426</v>
      </c>
      <c r="F728" s="410" t="s">
        <v>1476</v>
      </c>
      <c r="G728" s="68" t="str">
        <f t="shared" si="56"/>
        <v>DUAL</v>
      </c>
      <c r="H728" s="197">
        <f t="shared" si="55"/>
        <v>24</v>
      </c>
      <c r="I728" s="408">
        <f t="shared" si="57"/>
        <v>6</v>
      </c>
      <c r="J728" s="408">
        <f t="shared" si="58"/>
        <v>12</v>
      </c>
      <c r="K728" s="411">
        <v>45820</v>
      </c>
      <c r="L728" s="408"/>
      <c r="M728" s="408"/>
      <c r="N728" s="3" t="str">
        <f t="shared" si="59"/>
        <v/>
      </c>
      <c r="O728" s="408"/>
      <c r="P728" s="408"/>
      <c r="Q728" s="408"/>
      <c r="R728" s="408"/>
      <c r="S728" s="408"/>
      <c r="T728" s="408"/>
      <c r="U728" s="408"/>
      <c r="V728" s="421"/>
      <c r="W728" s="421"/>
      <c r="X728" s="421"/>
      <c r="Y728" s="421"/>
      <c r="Z728" s="421"/>
      <c r="AA728" s="421"/>
      <c r="AB728" s="421"/>
      <c r="AC728" s="421"/>
      <c r="AD728" s="421"/>
      <c r="AE728" s="421"/>
      <c r="AF728" s="421"/>
      <c r="AG728" s="421"/>
      <c r="AH728" s="421"/>
      <c r="AI728" s="421"/>
      <c r="AJ728" s="421"/>
      <c r="AK728" s="421"/>
      <c r="AL728" s="421"/>
    </row>
    <row r="729" spans="1:38">
      <c r="A729" s="410">
        <v>5668</v>
      </c>
      <c r="B729" s="407"/>
      <c r="C729" s="408"/>
      <c r="D729" s="410" t="s">
        <v>2297</v>
      </c>
      <c r="E729" s="410" t="s">
        <v>1426</v>
      </c>
      <c r="F729" s="410" t="s">
        <v>1476</v>
      </c>
      <c r="G729" s="68" t="str">
        <f t="shared" si="56"/>
        <v>DUAL</v>
      </c>
      <c r="H729" s="197">
        <f t="shared" si="55"/>
        <v>24</v>
      </c>
      <c r="I729" s="408">
        <f t="shared" si="57"/>
        <v>6</v>
      </c>
      <c r="J729" s="408">
        <f t="shared" si="58"/>
        <v>12</v>
      </c>
      <c r="K729" s="411">
        <v>45820</v>
      </c>
      <c r="L729" s="408"/>
      <c r="M729" s="408"/>
      <c r="N729" s="3" t="str">
        <f t="shared" si="59"/>
        <v/>
      </c>
      <c r="O729" s="408"/>
      <c r="P729" s="408"/>
      <c r="Q729" s="408"/>
      <c r="R729" s="408"/>
      <c r="S729" s="408"/>
      <c r="T729" s="408"/>
      <c r="U729" s="408"/>
      <c r="V729" s="421"/>
      <c r="W729" s="421"/>
      <c r="X729" s="421"/>
      <c r="Y729" s="421"/>
      <c r="Z729" s="421"/>
      <c r="AA729" s="421"/>
      <c r="AB729" s="421"/>
      <c r="AC729" s="421"/>
      <c r="AD729" s="421"/>
      <c r="AE729" s="421"/>
      <c r="AF729" s="421"/>
      <c r="AG729" s="421"/>
      <c r="AH729" s="421"/>
      <c r="AI729" s="421"/>
      <c r="AJ729" s="421"/>
      <c r="AK729" s="421"/>
      <c r="AL729" s="421"/>
    </row>
    <row r="730" spans="1:38">
      <c r="A730" s="410">
        <v>5668</v>
      </c>
      <c r="B730" s="407"/>
      <c r="C730" s="408"/>
      <c r="D730" s="410" t="s">
        <v>2298</v>
      </c>
      <c r="E730" s="410" t="s">
        <v>1426</v>
      </c>
      <c r="F730" s="410" t="s">
        <v>1476</v>
      </c>
      <c r="G730" s="68" t="str">
        <f t="shared" si="56"/>
        <v>DUAL</v>
      </c>
      <c r="H730" s="197">
        <f t="shared" si="55"/>
        <v>24</v>
      </c>
      <c r="I730" s="408">
        <f t="shared" si="57"/>
        <v>6</v>
      </c>
      <c r="J730" s="408">
        <f t="shared" si="58"/>
        <v>12</v>
      </c>
      <c r="K730" s="411">
        <v>45820</v>
      </c>
      <c r="L730" s="408"/>
      <c r="M730" s="408"/>
      <c r="N730" s="3" t="str">
        <f t="shared" si="59"/>
        <v/>
      </c>
      <c r="O730" s="408"/>
      <c r="P730" s="408"/>
      <c r="Q730" s="408"/>
      <c r="R730" s="408"/>
      <c r="S730" s="408"/>
      <c r="T730" s="408"/>
      <c r="U730" s="408"/>
      <c r="V730" s="421"/>
      <c r="W730" s="421"/>
      <c r="X730" s="421"/>
      <c r="Y730" s="421"/>
      <c r="Z730" s="421"/>
      <c r="AA730" s="421"/>
      <c r="AB730" s="421"/>
      <c r="AC730" s="421"/>
      <c r="AD730" s="421"/>
      <c r="AE730" s="421"/>
      <c r="AF730" s="421"/>
      <c r="AG730" s="421"/>
      <c r="AH730" s="421"/>
      <c r="AI730" s="421"/>
      <c r="AJ730" s="421"/>
      <c r="AK730" s="421"/>
      <c r="AL730" s="421"/>
    </row>
    <row r="731" spans="1:38">
      <c r="A731" s="410">
        <v>5670</v>
      </c>
      <c r="B731" s="407"/>
      <c r="C731" s="408"/>
      <c r="D731" s="410" t="s">
        <v>2299</v>
      </c>
      <c r="E731" s="410" t="s">
        <v>1426</v>
      </c>
      <c r="F731" s="410" t="s">
        <v>1476</v>
      </c>
      <c r="G731" s="68" t="str">
        <f t="shared" si="56"/>
        <v>DUAL</v>
      </c>
      <c r="H731" s="197">
        <f t="shared" si="55"/>
        <v>24</v>
      </c>
      <c r="I731" s="408">
        <f t="shared" si="57"/>
        <v>6</v>
      </c>
      <c r="J731" s="408">
        <f t="shared" si="58"/>
        <v>12</v>
      </c>
      <c r="K731" s="411">
        <v>45820</v>
      </c>
      <c r="L731" s="408"/>
      <c r="M731" s="408"/>
      <c r="N731" s="3" t="str">
        <f t="shared" si="59"/>
        <v/>
      </c>
      <c r="O731" s="408"/>
      <c r="P731" s="408"/>
      <c r="Q731" s="408"/>
      <c r="R731" s="408"/>
      <c r="S731" s="408"/>
      <c r="T731" s="408"/>
      <c r="U731" s="408"/>
      <c r="V731" s="421"/>
      <c r="W731" s="421"/>
      <c r="X731" s="421"/>
      <c r="Y731" s="421"/>
      <c r="Z731" s="421"/>
      <c r="AA731" s="421"/>
      <c r="AB731" s="421"/>
      <c r="AC731" s="421"/>
      <c r="AD731" s="421"/>
      <c r="AE731" s="421"/>
      <c r="AF731" s="421"/>
      <c r="AG731" s="421"/>
      <c r="AH731" s="421"/>
      <c r="AI731" s="421"/>
      <c r="AJ731" s="421"/>
      <c r="AK731" s="421"/>
      <c r="AL731" s="421"/>
    </row>
    <row r="732" spans="1:38">
      <c r="A732" s="410">
        <v>5730</v>
      </c>
      <c r="B732" s="407"/>
      <c r="C732" s="408"/>
      <c r="D732" s="410" t="s">
        <v>2300</v>
      </c>
      <c r="E732" s="410" t="s">
        <v>1405</v>
      </c>
      <c r="F732" s="410" t="s">
        <v>1477</v>
      </c>
      <c r="G732" s="68" t="str">
        <f t="shared" si="56"/>
        <v>SINGLE</v>
      </c>
      <c r="H732" s="197">
        <f t="shared" si="55"/>
        <v>24</v>
      </c>
      <c r="I732" s="408">
        <f t="shared" si="57"/>
        <v>6</v>
      </c>
      <c r="J732" s="408">
        <f t="shared" si="58"/>
        <v>12</v>
      </c>
      <c r="K732" s="411">
        <v>45820</v>
      </c>
      <c r="L732" s="408"/>
      <c r="M732" s="408"/>
      <c r="N732" s="3" t="str">
        <f t="shared" si="59"/>
        <v/>
      </c>
      <c r="O732" s="408"/>
      <c r="P732" s="408"/>
      <c r="Q732" s="408"/>
      <c r="R732" s="408"/>
      <c r="S732" s="408"/>
      <c r="T732" s="408"/>
      <c r="U732" s="408"/>
      <c r="V732" s="421"/>
      <c r="W732" s="421"/>
      <c r="X732" s="421"/>
      <c r="Y732" s="421"/>
      <c r="Z732" s="421"/>
      <c r="AA732" s="421"/>
      <c r="AB732" s="421"/>
      <c r="AC732" s="421"/>
      <c r="AD732" s="421"/>
      <c r="AE732" s="421"/>
      <c r="AF732" s="421"/>
      <c r="AG732" s="421"/>
      <c r="AH732" s="421"/>
      <c r="AI732" s="421"/>
      <c r="AJ732" s="421"/>
      <c r="AK732" s="421"/>
      <c r="AL732" s="421"/>
    </row>
    <row r="733" spans="1:38">
      <c r="A733" s="410">
        <v>5730</v>
      </c>
      <c r="B733" s="407"/>
      <c r="C733" s="408"/>
      <c r="D733" s="410" t="s">
        <v>2301</v>
      </c>
      <c r="E733" s="410" t="s">
        <v>1405</v>
      </c>
      <c r="F733" s="410" t="s">
        <v>1477</v>
      </c>
      <c r="G733" s="68" t="str">
        <f t="shared" si="56"/>
        <v>SINGLE</v>
      </c>
      <c r="H733" s="197">
        <f t="shared" si="55"/>
        <v>24</v>
      </c>
      <c r="I733" s="408">
        <f t="shared" si="57"/>
        <v>6</v>
      </c>
      <c r="J733" s="408">
        <f t="shared" si="58"/>
        <v>12</v>
      </c>
      <c r="K733" s="411">
        <v>45820</v>
      </c>
      <c r="L733" s="408"/>
      <c r="M733" s="408"/>
      <c r="N733" s="3" t="str">
        <f t="shared" si="59"/>
        <v/>
      </c>
      <c r="O733" s="408"/>
      <c r="P733" s="408"/>
      <c r="Q733" s="408"/>
      <c r="R733" s="408"/>
      <c r="S733" s="408"/>
      <c r="T733" s="408"/>
      <c r="U733" s="408"/>
      <c r="V733" s="421"/>
      <c r="W733" s="421"/>
      <c r="X733" s="421"/>
      <c r="Y733" s="421"/>
      <c r="Z733" s="421"/>
      <c r="AA733" s="421"/>
      <c r="AB733" s="421"/>
      <c r="AC733" s="421"/>
      <c r="AD733" s="421"/>
      <c r="AE733" s="421"/>
      <c r="AF733" s="421"/>
      <c r="AG733" s="421"/>
      <c r="AH733" s="421"/>
      <c r="AI733" s="421"/>
      <c r="AJ733" s="421"/>
      <c r="AK733" s="421"/>
      <c r="AL733" s="421"/>
    </row>
    <row r="734" spans="1:38">
      <c r="A734" s="410">
        <v>5766</v>
      </c>
      <c r="B734" s="407"/>
      <c r="C734" s="408"/>
      <c r="D734" s="410" t="s">
        <v>2302</v>
      </c>
      <c r="E734" s="410" t="s">
        <v>1405</v>
      </c>
      <c r="F734" s="410" t="s">
        <v>1591</v>
      </c>
      <c r="G734" s="68" t="str">
        <f t="shared" si="56"/>
        <v>SINGLE</v>
      </c>
      <c r="H734" s="197">
        <f t="shared" si="55"/>
        <v>24</v>
      </c>
      <c r="I734" s="408">
        <f t="shared" si="57"/>
        <v>6</v>
      </c>
      <c r="J734" s="408">
        <f t="shared" si="58"/>
        <v>13</v>
      </c>
      <c r="K734" s="411">
        <v>45821</v>
      </c>
      <c r="L734" s="408"/>
      <c r="M734" s="408"/>
      <c r="N734" s="3" t="str">
        <f t="shared" si="59"/>
        <v/>
      </c>
      <c r="O734" s="408"/>
      <c r="P734" s="408"/>
      <c r="Q734" s="408"/>
      <c r="R734" s="408"/>
      <c r="S734" s="408"/>
      <c r="T734" s="408"/>
      <c r="U734" s="408"/>
      <c r="V734" s="421"/>
      <c r="W734" s="421"/>
      <c r="X734" s="421"/>
      <c r="Y734" s="421"/>
      <c r="Z734" s="421"/>
      <c r="AA734" s="421"/>
      <c r="AB734" s="421"/>
      <c r="AC734" s="421"/>
      <c r="AD734" s="421"/>
      <c r="AE734" s="421"/>
      <c r="AF734" s="421"/>
      <c r="AG734" s="421"/>
      <c r="AH734" s="421"/>
      <c r="AI734" s="421"/>
      <c r="AJ734" s="421"/>
      <c r="AK734" s="421"/>
      <c r="AL734" s="421"/>
    </row>
    <row r="735" spans="1:38">
      <c r="A735" s="410">
        <v>5766</v>
      </c>
      <c r="B735" s="407"/>
      <c r="C735" s="408"/>
      <c r="D735" s="410" t="s">
        <v>2303</v>
      </c>
      <c r="E735" s="410" t="s">
        <v>1405</v>
      </c>
      <c r="F735" s="410" t="s">
        <v>1591</v>
      </c>
      <c r="G735" s="68" t="str">
        <f t="shared" si="56"/>
        <v>SINGLE</v>
      </c>
      <c r="H735" s="197">
        <f t="shared" si="55"/>
        <v>24</v>
      </c>
      <c r="I735" s="408">
        <f t="shared" si="57"/>
        <v>6</v>
      </c>
      <c r="J735" s="408">
        <f t="shared" si="58"/>
        <v>13</v>
      </c>
      <c r="K735" s="411">
        <v>45821</v>
      </c>
      <c r="L735" s="408"/>
      <c r="M735" s="408"/>
      <c r="N735" s="3" t="str">
        <f t="shared" si="59"/>
        <v/>
      </c>
      <c r="O735" s="408"/>
      <c r="P735" s="408"/>
      <c r="Q735" s="408"/>
      <c r="R735" s="408"/>
      <c r="S735" s="408"/>
      <c r="T735" s="408"/>
      <c r="U735" s="408"/>
      <c r="V735" s="421"/>
      <c r="W735" s="421"/>
      <c r="X735" s="421"/>
      <c r="Y735" s="421"/>
      <c r="Z735" s="421"/>
      <c r="AA735" s="421"/>
      <c r="AB735" s="421"/>
      <c r="AC735" s="421"/>
      <c r="AD735" s="421"/>
      <c r="AE735" s="421"/>
      <c r="AF735" s="421"/>
      <c r="AG735" s="421"/>
      <c r="AH735" s="421"/>
      <c r="AI735" s="421"/>
      <c r="AJ735" s="421"/>
      <c r="AK735" s="421"/>
      <c r="AL735" s="421"/>
    </row>
    <row r="736" spans="1:38">
      <c r="A736" s="410">
        <v>5616</v>
      </c>
      <c r="B736" s="407"/>
      <c r="C736" s="408"/>
      <c r="D736" s="410" t="s">
        <v>2304</v>
      </c>
      <c r="E736" s="410" t="s">
        <v>1585</v>
      </c>
      <c r="F736" s="410" t="s">
        <v>1482</v>
      </c>
      <c r="G736" s="68" t="str">
        <f t="shared" si="56"/>
        <v>SINGLE</v>
      </c>
      <c r="H736" s="197">
        <f t="shared" si="55"/>
        <v>24</v>
      </c>
      <c r="I736" s="408">
        <f t="shared" si="57"/>
        <v>6</v>
      </c>
      <c r="J736" s="408">
        <f t="shared" si="58"/>
        <v>13</v>
      </c>
      <c r="K736" s="411">
        <v>45821</v>
      </c>
      <c r="L736" s="408"/>
      <c r="M736" s="408"/>
      <c r="N736" s="3" t="str">
        <f t="shared" si="59"/>
        <v/>
      </c>
      <c r="O736" s="408"/>
      <c r="P736" s="408"/>
      <c r="Q736" s="408"/>
      <c r="R736" s="408"/>
      <c r="S736" s="408"/>
      <c r="T736" s="408"/>
      <c r="U736" s="408"/>
      <c r="V736" s="421"/>
      <c r="W736" s="421"/>
      <c r="X736" s="421"/>
      <c r="Y736" s="421"/>
      <c r="Z736" s="421"/>
      <c r="AA736" s="421"/>
      <c r="AB736" s="421"/>
      <c r="AC736" s="421"/>
      <c r="AD736" s="421"/>
      <c r="AE736" s="421"/>
      <c r="AF736" s="421"/>
      <c r="AG736" s="421"/>
      <c r="AH736" s="421"/>
      <c r="AI736" s="421"/>
      <c r="AJ736" s="421"/>
      <c r="AK736" s="421"/>
      <c r="AL736" s="421"/>
    </row>
    <row r="737" spans="1:38">
      <c r="A737" s="410">
        <v>5735</v>
      </c>
      <c r="B737" s="407"/>
      <c r="C737" s="408"/>
      <c r="D737" s="410" t="s">
        <v>2305</v>
      </c>
      <c r="E737" s="410" t="s">
        <v>1585</v>
      </c>
      <c r="F737" s="410" t="s">
        <v>1482</v>
      </c>
      <c r="G737" s="68" t="str">
        <f t="shared" si="56"/>
        <v>SINGLE</v>
      </c>
      <c r="H737" s="197">
        <f t="shared" si="55"/>
        <v>24</v>
      </c>
      <c r="I737" s="408">
        <f t="shared" si="57"/>
        <v>6</v>
      </c>
      <c r="J737" s="408">
        <f t="shared" si="58"/>
        <v>13</v>
      </c>
      <c r="K737" s="411">
        <v>45821</v>
      </c>
      <c r="L737" s="408"/>
      <c r="M737" s="408"/>
      <c r="N737" s="3" t="str">
        <f t="shared" si="59"/>
        <v/>
      </c>
      <c r="O737" s="408"/>
      <c r="P737" s="408"/>
      <c r="Q737" s="408"/>
      <c r="R737" s="408"/>
      <c r="S737" s="408"/>
      <c r="T737" s="408"/>
      <c r="U737" s="408"/>
      <c r="V737" s="421"/>
      <c r="W737" s="421"/>
      <c r="X737" s="421"/>
      <c r="Y737" s="421"/>
      <c r="Z737" s="421"/>
      <c r="AA737" s="421"/>
      <c r="AB737" s="421"/>
      <c r="AC737" s="421"/>
      <c r="AD737" s="421"/>
      <c r="AE737" s="421"/>
      <c r="AF737" s="421"/>
      <c r="AG737" s="421"/>
      <c r="AH737" s="421"/>
      <c r="AI737" s="421"/>
      <c r="AJ737" s="421"/>
      <c r="AK737" s="421"/>
      <c r="AL737" s="421"/>
    </row>
    <row r="738" spans="1:38">
      <c r="A738" s="410">
        <v>5680</v>
      </c>
      <c r="B738" s="407"/>
      <c r="C738" s="408"/>
      <c r="D738" s="410" t="s">
        <v>2306</v>
      </c>
      <c r="E738" s="410" t="s">
        <v>1585</v>
      </c>
      <c r="F738" s="410" t="s">
        <v>1476</v>
      </c>
      <c r="G738" s="68" t="str">
        <f t="shared" si="56"/>
        <v>DUAL</v>
      </c>
      <c r="H738" s="197">
        <f t="shared" si="55"/>
        <v>24</v>
      </c>
      <c r="I738" s="408">
        <f t="shared" si="57"/>
        <v>6</v>
      </c>
      <c r="J738" s="408">
        <f t="shared" si="58"/>
        <v>13</v>
      </c>
      <c r="K738" s="411">
        <v>45821</v>
      </c>
      <c r="L738" s="408"/>
      <c r="M738" s="408"/>
      <c r="N738" s="3" t="str">
        <f t="shared" si="59"/>
        <v/>
      </c>
      <c r="O738" s="408"/>
      <c r="P738" s="408"/>
      <c r="Q738" s="408"/>
      <c r="R738" s="408"/>
      <c r="S738" s="408"/>
      <c r="T738" s="408"/>
      <c r="U738" s="408"/>
      <c r="V738" s="421"/>
      <c r="W738" s="421"/>
      <c r="X738" s="421"/>
      <c r="Y738" s="421"/>
      <c r="Z738" s="421"/>
      <c r="AA738" s="421"/>
      <c r="AB738" s="421"/>
      <c r="AC738" s="421"/>
      <c r="AD738" s="421"/>
      <c r="AE738" s="421"/>
      <c r="AF738" s="421"/>
      <c r="AG738" s="421"/>
      <c r="AH738" s="421"/>
      <c r="AI738" s="421"/>
      <c r="AJ738" s="421"/>
      <c r="AK738" s="421"/>
      <c r="AL738" s="421"/>
    </row>
    <row r="739" spans="1:38">
      <c r="A739" s="410">
        <v>5702</v>
      </c>
      <c r="B739" s="407"/>
      <c r="C739" s="408"/>
      <c r="D739" s="410" t="s">
        <v>2307</v>
      </c>
      <c r="E739" s="410" t="s">
        <v>1431</v>
      </c>
      <c r="F739" s="410" t="s">
        <v>1591</v>
      </c>
      <c r="G739" s="68" t="str">
        <f t="shared" si="56"/>
        <v>SINGLE</v>
      </c>
      <c r="H739" s="197">
        <f t="shared" si="55"/>
        <v>24</v>
      </c>
      <c r="I739" s="408">
        <f t="shared" si="57"/>
        <v>6</v>
      </c>
      <c r="J739" s="408">
        <f t="shared" si="58"/>
        <v>13</v>
      </c>
      <c r="K739" s="411">
        <v>45821</v>
      </c>
      <c r="L739" s="408"/>
      <c r="M739" s="408"/>
      <c r="N739" s="3" t="str">
        <f t="shared" si="59"/>
        <v/>
      </c>
      <c r="O739" s="408"/>
      <c r="P739" s="408"/>
      <c r="Q739" s="408"/>
      <c r="R739" s="408"/>
      <c r="S739" s="408"/>
      <c r="T739" s="408"/>
      <c r="U739" s="408"/>
      <c r="V739" s="421"/>
      <c r="W739" s="421"/>
      <c r="X739" s="421"/>
      <c r="Y739" s="421"/>
      <c r="Z739" s="421"/>
      <c r="AA739" s="421"/>
      <c r="AB739" s="421"/>
      <c r="AC739" s="421"/>
      <c r="AD739" s="421"/>
      <c r="AE739" s="421"/>
      <c r="AF739" s="421"/>
      <c r="AG739" s="421"/>
      <c r="AH739" s="421"/>
      <c r="AI739" s="421"/>
      <c r="AJ739" s="421"/>
      <c r="AK739" s="421"/>
      <c r="AL739" s="421"/>
    </row>
    <row r="740" spans="1:38">
      <c r="A740" s="410">
        <v>5702</v>
      </c>
      <c r="B740" s="407"/>
      <c r="C740" s="408"/>
      <c r="D740" s="410" t="s">
        <v>2308</v>
      </c>
      <c r="E740" s="410" t="s">
        <v>1431</v>
      </c>
      <c r="F740" s="410" t="s">
        <v>1591</v>
      </c>
      <c r="G740" s="68" t="str">
        <f t="shared" si="56"/>
        <v>SINGLE</v>
      </c>
      <c r="H740" s="197">
        <f t="shared" si="55"/>
        <v>24</v>
      </c>
      <c r="I740" s="408">
        <f t="shared" si="57"/>
        <v>6</v>
      </c>
      <c r="J740" s="408">
        <f t="shared" si="58"/>
        <v>13</v>
      </c>
      <c r="K740" s="411">
        <v>45821</v>
      </c>
      <c r="L740" s="408"/>
      <c r="M740" s="408"/>
      <c r="N740" s="3" t="str">
        <f t="shared" si="59"/>
        <v/>
      </c>
      <c r="O740" s="408"/>
      <c r="P740" s="408"/>
      <c r="Q740" s="408"/>
      <c r="R740" s="408"/>
      <c r="S740" s="408"/>
      <c r="T740" s="408"/>
      <c r="U740" s="408"/>
      <c r="V740" s="421"/>
      <c r="W740" s="421"/>
      <c r="X740" s="421"/>
      <c r="Y740" s="421"/>
      <c r="Z740" s="421"/>
      <c r="AA740" s="421"/>
      <c r="AB740" s="421"/>
      <c r="AC740" s="421"/>
      <c r="AD740" s="421"/>
      <c r="AE740" s="421"/>
      <c r="AF740" s="421"/>
      <c r="AG740" s="421"/>
      <c r="AH740" s="421"/>
      <c r="AI740" s="421"/>
      <c r="AJ740" s="421"/>
      <c r="AK740" s="421"/>
      <c r="AL740" s="421"/>
    </row>
    <row r="741" spans="1:38">
      <c r="A741" s="410">
        <v>5702</v>
      </c>
      <c r="B741" s="407"/>
      <c r="C741" s="408"/>
      <c r="D741" s="410" t="s">
        <v>2309</v>
      </c>
      <c r="E741" s="410" t="s">
        <v>1431</v>
      </c>
      <c r="F741" s="410" t="s">
        <v>1591</v>
      </c>
      <c r="G741" s="68" t="str">
        <f t="shared" si="56"/>
        <v>SINGLE</v>
      </c>
      <c r="H741" s="197">
        <f t="shared" si="55"/>
        <v>24</v>
      </c>
      <c r="I741" s="408">
        <f t="shared" si="57"/>
        <v>6</v>
      </c>
      <c r="J741" s="408">
        <f t="shared" si="58"/>
        <v>13</v>
      </c>
      <c r="K741" s="411">
        <v>45821</v>
      </c>
      <c r="L741" s="408"/>
      <c r="M741" s="408"/>
      <c r="N741" s="3" t="str">
        <f t="shared" si="59"/>
        <v/>
      </c>
      <c r="O741" s="408"/>
      <c r="P741" s="408"/>
      <c r="Q741" s="408"/>
      <c r="R741" s="408"/>
      <c r="S741" s="408"/>
      <c r="T741" s="408"/>
      <c r="U741" s="408"/>
      <c r="V741" s="421"/>
      <c r="W741" s="421"/>
      <c r="X741" s="421"/>
      <c r="Y741" s="421"/>
      <c r="Z741" s="421"/>
      <c r="AA741" s="421"/>
      <c r="AB741" s="421"/>
      <c r="AC741" s="421"/>
      <c r="AD741" s="421"/>
      <c r="AE741" s="421"/>
      <c r="AF741" s="421"/>
      <c r="AG741" s="421"/>
      <c r="AH741" s="421"/>
      <c r="AI741" s="421"/>
      <c r="AJ741" s="421"/>
      <c r="AK741" s="421"/>
      <c r="AL741" s="421"/>
    </row>
    <row r="742" spans="1:38">
      <c r="A742" s="410">
        <v>5769</v>
      </c>
      <c r="B742" s="407"/>
      <c r="C742" s="408"/>
      <c r="D742" s="410" t="s">
        <v>2310</v>
      </c>
      <c r="E742" s="410" t="s">
        <v>1405</v>
      </c>
      <c r="F742" s="410" t="s">
        <v>1581</v>
      </c>
      <c r="G742" s="68" t="str">
        <f t="shared" si="56"/>
        <v>DUAL</v>
      </c>
      <c r="H742" s="197">
        <f t="shared" si="55"/>
        <v>24</v>
      </c>
      <c r="I742" s="408">
        <f t="shared" si="57"/>
        <v>6</v>
      </c>
      <c r="J742" s="408">
        <f t="shared" si="58"/>
        <v>13</v>
      </c>
      <c r="K742" s="411">
        <v>45821</v>
      </c>
      <c r="L742" s="408"/>
      <c r="M742" s="408"/>
      <c r="N742" s="3" t="str">
        <f t="shared" si="59"/>
        <v/>
      </c>
      <c r="O742" s="408"/>
      <c r="P742" s="408"/>
      <c r="Q742" s="408"/>
      <c r="R742" s="408"/>
      <c r="S742" s="408"/>
      <c r="T742" s="408"/>
      <c r="U742" s="408"/>
      <c r="V742" s="421"/>
      <c r="W742" s="421"/>
      <c r="X742" s="421"/>
      <c r="Y742" s="421"/>
      <c r="Z742" s="421"/>
      <c r="AA742" s="421"/>
      <c r="AB742" s="421"/>
      <c r="AC742" s="421"/>
      <c r="AD742" s="421"/>
      <c r="AE742" s="421"/>
      <c r="AF742" s="421"/>
      <c r="AG742" s="421"/>
      <c r="AH742" s="421"/>
      <c r="AI742" s="421"/>
      <c r="AJ742" s="421"/>
      <c r="AK742" s="421"/>
      <c r="AL742" s="421"/>
    </row>
    <row r="743" spans="1:38">
      <c r="A743" s="410">
        <v>5706</v>
      </c>
      <c r="B743" s="407"/>
      <c r="C743" s="408"/>
      <c r="D743" s="410" t="s">
        <v>2311</v>
      </c>
      <c r="E743" s="410" t="s">
        <v>1424</v>
      </c>
      <c r="F743" s="410" t="s">
        <v>1476</v>
      </c>
      <c r="G743" s="68" t="str">
        <f t="shared" si="56"/>
        <v>DUAL</v>
      </c>
      <c r="H743" s="197">
        <f t="shared" si="55"/>
        <v>25</v>
      </c>
      <c r="I743" s="408">
        <f t="shared" si="57"/>
        <v>6</v>
      </c>
      <c r="J743" s="408">
        <f t="shared" si="58"/>
        <v>16</v>
      </c>
      <c r="K743" s="411">
        <v>45824</v>
      </c>
      <c r="L743" s="408"/>
      <c r="M743" s="408"/>
      <c r="N743" s="3" t="str">
        <f t="shared" si="59"/>
        <v/>
      </c>
      <c r="O743" s="408"/>
      <c r="P743" s="408"/>
      <c r="Q743" s="408"/>
      <c r="R743" s="408"/>
      <c r="S743" s="408"/>
      <c r="T743" s="408"/>
      <c r="U743" s="408"/>
      <c r="V743" s="421"/>
      <c r="W743" s="421"/>
      <c r="X743" s="421"/>
      <c r="Y743" s="421"/>
      <c r="Z743" s="421"/>
      <c r="AA743" s="421"/>
      <c r="AB743" s="421"/>
      <c r="AC743" s="421"/>
      <c r="AD743" s="421"/>
      <c r="AE743" s="421"/>
      <c r="AF743" s="421"/>
      <c r="AG743" s="421"/>
      <c r="AH743" s="421"/>
      <c r="AI743" s="421"/>
      <c r="AJ743" s="421"/>
      <c r="AK743" s="421"/>
      <c r="AL743" s="421"/>
    </row>
    <row r="744" spans="1:38">
      <c r="A744" s="410">
        <v>5749</v>
      </c>
      <c r="B744" s="407"/>
      <c r="C744" s="408"/>
      <c r="D744" s="410" t="s">
        <v>2312</v>
      </c>
      <c r="E744" s="410" t="s">
        <v>1431</v>
      </c>
      <c r="F744" s="410" t="s">
        <v>1482</v>
      </c>
      <c r="G744" s="68" t="str">
        <f t="shared" si="56"/>
        <v>SINGLE</v>
      </c>
      <c r="H744" s="197">
        <f t="shared" si="55"/>
        <v>25</v>
      </c>
      <c r="I744" s="408">
        <f t="shared" si="57"/>
        <v>6</v>
      </c>
      <c r="J744" s="408">
        <f t="shared" si="58"/>
        <v>16</v>
      </c>
      <c r="K744" s="411">
        <v>45824</v>
      </c>
      <c r="L744" s="408"/>
      <c r="M744" s="408"/>
      <c r="N744" s="3" t="str">
        <f t="shared" si="59"/>
        <v/>
      </c>
      <c r="O744" s="408"/>
      <c r="P744" s="408"/>
      <c r="Q744" s="408"/>
      <c r="R744" s="408"/>
      <c r="S744" s="408"/>
      <c r="T744" s="408"/>
      <c r="U744" s="408"/>
      <c r="V744" s="421"/>
      <c r="W744" s="421"/>
      <c r="X744" s="421"/>
      <c r="Y744" s="421"/>
      <c r="Z744" s="421"/>
      <c r="AA744" s="421"/>
      <c r="AB744" s="421"/>
      <c r="AC744" s="421"/>
      <c r="AD744" s="421"/>
      <c r="AE744" s="421"/>
      <c r="AF744" s="421"/>
      <c r="AG744" s="421"/>
      <c r="AH744" s="421"/>
      <c r="AI744" s="421"/>
      <c r="AJ744" s="421"/>
      <c r="AK744" s="421"/>
      <c r="AL744" s="421"/>
    </row>
    <row r="745" spans="1:38">
      <c r="A745" s="410">
        <v>5766</v>
      </c>
      <c r="B745" s="407"/>
      <c r="C745" s="408"/>
      <c r="D745" s="410" t="s">
        <v>2313</v>
      </c>
      <c r="E745" s="410" t="s">
        <v>1405</v>
      </c>
      <c r="F745" s="410" t="s">
        <v>1591</v>
      </c>
      <c r="G745" s="68" t="str">
        <f t="shared" si="56"/>
        <v>SINGLE</v>
      </c>
      <c r="H745" s="197">
        <f t="shared" si="55"/>
        <v>25</v>
      </c>
      <c r="I745" s="408">
        <f t="shared" si="57"/>
        <v>6</v>
      </c>
      <c r="J745" s="408">
        <f t="shared" si="58"/>
        <v>16</v>
      </c>
      <c r="K745" s="411">
        <v>45824</v>
      </c>
      <c r="L745" s="408"/>
      <c r="M745" s="408"/>
      <c r="N745" s="3" t="str">
        <f t="shared" si="59"/>
        <v/>
      </c>
      <c r="O745" s="408"/>
      <c r="P745" s="408"/>
      <c r="Q745" s="408"/>
      <c r="R745" s="408"/>
      <c r="S745" s="408"/>
      <c r="T745" s="408"/>
      <c r="U745" s="408"/>
      <c r="V745" s="421"/>
      <c r="W745" s="421"/>
      <c r="X745" s="421"/>
      <c r="Y745" s="421"/>
      <c r="Z745" s="421"/>
      <c r="AA745" s="421"/>
      <c r="AB745" s="421"/>
      <c r="AC745" s="421"/>
      <c r="AD745" s="421"/>
      <c r="AE745" s="421"/>
      <c r="AF745" s="421"/>
      <c r="AG745" s="421"/>
      <c r="AH745" s="421"/>
      <c r="AI745" s="421"/>
      <c r="AJ745" s="421"/>
      <c r="AK745" s="421"/>
      <c r="AL745" s="421"/>
    </row>
    <row r="746" spans="1:38">
      <c r="A746" s="410">
        <v>5766</v>
      </c>
      <c r="B746" s="407"/>
      <c r="C746" s="408"/>
      <c r="D746" s="410" t="s">
        <v>2314</v>
      </c>
      <c r="E746" s="410" t="s">
        <v>1405</v>
      </c>
      <c r="F746" s="410" t="s">
        <v>1591</v>
      </c>
      <c r="G746" s="68" t="str">
        <f t="shared" si="56"/>
        <v>SINGLE</v>
      </c>
      <c r="H746" s="197">
        <f t="shared" si="55"/>
        <v>25</v>
      </c>
      <c r="I746" s="408">
        <f t="shared" si="57"/>
        <v>6</v>
      </c>
      <c r="J746" s="408">
        <f t="shared" si="58"/>
        <v>16</v>
      </c>
      <c r="K746" s="411">
        <v>45824</v>
      </c>
      <c r="L746" s="408"/>
      <c r="M746" s="408"/>
      <c r="N746" s="3" t="str">
        <f t="shared" si="59"/>
        <v/>
      </c>
      <c r="O746" s="408"/>
      <c r="P746" s="408"/>
      <c r="Q746" s="408"/>
      <c r="R746" s="408"/>
      <c r="S746" s="408"/>
      <c r="T746" s="408"/>
      <c r="U746" s="408"/>
      <c r="V746" s="421"/>
      <c r="W746" s="421"/>
      <c r="X746" s="421"/>
      <c r="Y746" s="421"/>
      <c r="Z746" s="421"/>
      <c r="AA746" s="421"/>
      <c r="AB746" s="421"/>
      <c r="AC746" s="421"/>
      <c r="AD746" s="421"/>
      <c r="AE746" s="421"/>
      <c r="AF746" s="421"/>
      <c r="AG746" s="421"/>
      <c r="AH746" s="421"/>
      <c r="AI746" s="421"/>
      <c r="AJ746" s="421"/>
      <c r="AK746" s="421"/>
      <c r="AL746" s="421"/>
    </row>
    <row r="747" spans="1:38">
      <c r="A747" s="410">
        <v>5766</v>
      </c>
      <c r="B747" s="407"/>
      <c r="C747" s="408"/>
      <c r="D747" s="410" t="s">
        <v>2315</v>
      </c>
      <c r="E747" s="410" t="s">
        <v>1405</v>
      </c>
      <c r="F747" s="410" t="s">
        <v>1591</v>
      </c>
      <c r="G747" s="68" t="str">
        <f t="shared" si="56"/>
        <v>SINGLE</v>
      </c>
      <c r="H747" s="197">
        <f t="shared" si="55"/>
        <v>25</v>
      </c>
      <c r="I747" s="408">
        <f t="shared" si="57"/>
        <v>6</v>
      </c>
      <c r="J747" s="408">
        <f t="shared" si="58"/>
        <v>16</v>
      </c>
      <c r="K747" s="411">
        <v>45824</v>
      </c>
      <c r="L747" s="408"/>
      <c r="M747" s="408"/>
      <c r="N747" s="3" t="str">
        <f t="shared" si="59"/>
        <v/>
      </c>
      <c r="O747" s="408"/>
      <c r="P747" s="408"/>
      <c r="Q747" s="408"/>
      <c r="R747" s="408"/>
      <c r="S747" s="408"/>
      <c r="T747" s="408"/>
      <c r="U747" s="408"/>
      <c r="V747" s="421"/>
      <c r="W747" s="421"/>
      <c r="X747" s="421"/>
      <c r="Y747" s="421"/>
      <c r="Z747" s="421"/>
      <c r="AA747" s="421"/>
      <c r="AB747" s="421"/>
      <c r="AC747" s="421"/>
      <c r="AD747" s="421"/>
      <c r="AE747" s="421"/>
      <c r="AF747" s="421"/>
      <c r="AG747" s="421"/>
      <c r="AH747" s="421"/>
      <c r="AI747" s="421"/>
      <c r="AJ747" s="421"/>
      <c r="AK747" s="421"/>
      <c r="AL747" s="421"/>
    </row>
    <row r="748" spans="1:38">
      <c r="A748" s="410">
        <v>5766</v>
      </c>
      <c r="B748" s="407"/>
      <c r="C748" s="408"/>
      <c r="D748" s="410" t="s">
        <v>2316</v>
      </c>
      <c r="E748" s="410" t="s">
        <v>1405</v>
      </c>
      <c r="F748" s="410" t="s">
        <v>1591</v>
      </c>
      <c r="G748" s="68" t="str">
        <f t="shared" si="56"/>
        <v>SINGLE</v>
      </c>
      <c r="H748" s="197">
        <f t="shared" si="55"/>
        <v>25</v>
      </c>
      <c r="I748" s="408">
        <f t="shared" si="57"/>
        <v>6</v>
      </c>
      <c r="J748" s="408">
        <f t="shared" si="58"/>
        <v>16</v>
      </c>
      <c r="K748" s="411">
        <v>45824</v>
      </c>
      <c r="L748" s="408"/>
      <c r="M748" s="408"/>
      <c r="N748" s="3" t="str">
        <f t="shared" si="59"/>
        <v/>
      </c>
      <c r="O748" s="408"/>
      <c r="P748" s="408"/>
      <c r="Q748" s="408"/>
      <c r="R748" s="408"/>
      <c r="S748" s="408"/>
      <c r="T748" s="408"/>
      <c r="U748" s="408"/>
      <c r="V748" s="421"/>
      <c r="W748" s="421"/>
      <c r="X748" s="421"/>
      <c r="Y748" s="421"/>
      <c r="Z748" s="421"/>
      <c r="AA748" s="421"/>
      <c r="AB748" s="421"/>
      <c r="AC748" s="421"/>
      <c r="AD748" s="421"/>
      <c r="AE748" s="421"/>
      <c r="AF748" s="421"/>
      <c r="AG748" s="421"/>
      <c r="AH748" s="421"/>
      <c r="AI748" s="421"/>
      <c r="AJ748" s="421"/>
      <c r="AK748" s="421"/>
      <c r="AL748" s="421"/>
    </row>
    <row r="749" spans="1:38">
      <c r="A749" s="410">
        <v>5689</v>
      </c>
      <c r="B749" s="407"/>
      <c r="C749" s="408"/>
      <c r="D749" s="410" t="s">
        <v>2317</v>
      </c>
      <c r="E749" s="410" t="s">
        <v>1429</v>
      </c>
      <c r="F749" s="410" t="s">
        <v>1476</v>
      </c>
      <c r="G749" s="68" t="str">
        <f t="shared" si="56"/>
        <v>DUAL</v>
      </c>
      <c r="H749" s="197">
        <f t="shared" si="55"/>
        <v>25</v>
      </c>
      <c r="I749" s="408">
        <f t="shared" si="57"/>
        <v>6</v>
      </c>
      <c r="J749" s="408">
        <f t="shared" si="58"/>
        <v>16</v>
      </c>
      <c r="K749" s="411">
        <v>45824</v>
      </c>
      <c r="L749" s="408"/>
      <c r="M749" s="408"/>
      <c r="N749" s="3" t="str">
        <f t="shared" si="59"/>
        <v/>
      </c>
      <c r="O749" s="408"/>
      <c r="P749" s="408"/>
      <c r="Q749" s="408"/>
      <c r="R749" s="408"/>
      <c r="S749" s="408"/>
      <c r="T749" s="408"/>
      <c r="U749" s="408"/>
      <c r="V749" s="421"/>
      <c r="W749" s="421"/>
      <c r="X749" s="421"/>
      <c r="Y749" s="421"/>
      <c r="Z749" s="421"/>
      <c r="AA749" s="421"/>
      <c r="AB749" s="421"/>
      <c r="AC749" s="421"/>
      <c r="AD749" s="421"/>
      <c r="AE749" s="421"/>
      <c r="AF749" s="421"/>
      <c r="AG749" s="421"/>
      <c r="AH749" s="421"/>
      <c r="AI749" s="421"/>
      <c r="AJ749" s="421"/>
      <c r="AK749" s="421"/>
      <c r="AL749" s="421"/>
    </row>
    <row r="750" spans="1:38">
      <c r="A750" s="410">
        <v>5766</v>
      </c>
      <c r="B750" s="407"/>
      <c r="C750" s="408"/>
      <c r="D750" s="410" t="s">
        <v>2318</v>
      </c>
      <c r="E750" s="410" t="s">
        <v>1405</v>
      </c>
      <c r="F750" s="410" t="s">
        <v>1591</v>
      </c>
      <c r="G750" s="68" t="str">
        <f t="shared" si="56"/>
        <v>SINGLE</v>
      </c>
      <c r="H750" s="197">
        <f t="shared" si="55"/>
        <v>25</v>
      </c>
      <c r="I750" s="408">
        <f t="shared" si="57"/>
        <v>6</v>
      </c>
      <c r="J750" s="408">
        <f t="shared" si="58"/>
        <v>17</v>
      </c>
      <c r="K750" s="411">
        <v>45825</v>
      </c>
      <c r="L750" s="408"/>
      <c r="M750" s="408"/>
      <c r="N750" s="3" t="str">
        <f t="shared" si="59"/>
        <v/>
      </c>
      <c r="O750" s="408"/>
      <c r="P750" s="408"/>
      <c r="Q750" s="408"/>
      <c r="R750" s="408"/>
      <c r="S750" s="408"/>
      <c r="T750" s="408"/>
      <c r="U750" s="408"/>
      <c r="V750" s="421"/>
      <c r="W750" s="421"/>
      <c r="X750" s="421"/>
      <c r="Y750" s="421"/>
      <c r="Z750" s="421"/>
      <c r="AA750" s="421"/>
      <c r="AB750" s="421"/>
      <c r="AC750" s="421"/>
      <c r="AD750" s="421"/>
      <c r="AE750" s="421"/>
      <c r="AF750" s="421"/>
      <c r="AG750" s="421"/>
      <c r="AH750" s="421"/>
      <c r="AI750" s="421"/>
      <c r="AJ750" s="421"/>
      <c r="AK750" s="421"/>
      <c r="AL750" s="421"/>
    </row>
    <row r="751" spans="1:38">
      <c r="A751" s="410">
        <v>5766</v>
      </c>
      <c r="B751" s="407"/>
      <c r="C751" s="408"/>
      <c r="D751" s="410" t="s">
        <v>2319</v>
      </c>
      <c r="E751" s="410" t="s">
        <v>1405</v>
      </c>
      <c r="F751" s="410" t="s">
        <v>1591</v>
      </c>
      <c r="G751" s="68" t="str">
        <f t="shared" si="56"/>
        <v>SINGLE</v>
      </c>
      <c r="H751" s="197">
        <f t="shared" si="55"/>
        <v>25</v>
      </c>
      <c r="I751" s="408">
        <f t="shared" si="57"/>
        <v>6</v>
      </c>
      <c r="J751" s="408">
        <f t="shared" si="58"/>
        <v>17</v>
      </c>
      <c r="K751" s="411">
        <v>45825</v>
      </c>
      <c r="L751" s="408"/>
      <c r="M751" s="408"/>
      <c r="N751" s="3" t="str">
        <f t="shared" si="59"/>
        <v/>
      </c>
      <c r="O751" s="408"/>
      <c r="P751" s="408"/>
      <c r="Q751" s="408"/>
      <c r="R751" s="408"/>
      <c r="S751" s="408"/>
      <c r="T751" s="408"/>
      <c r="U751" s="408"/>
      <c r="V751" s="421"/>
      <c r="W751" s="421"/>
      <c r="X751" s="421"/>
      <c r="Y751" s="421"/>
      <c r="Z751" s="421"/>
      <c r="AA751" s="421"/>
      <c r="AB751" s="421"/>
      <c r="AC751" s="421"/>
      <c r="AD751" s="421"/>
      <c r="AE751" s="421"/>
      <c r="AF751" s="421"/>
      <c r="AG751" s="421"/>
      <c r="AH751" s="421"/>
      <c r="AI751" s="421"/>
      <c r="AJ751" s="421"/>
      <c r="AK751" s="421"/>
      <c r="AL751" s="421"/>
    </row>
    <row r="752" spans="1:38">
      <c r="A752" s="410">
        <v>5616</v>
      </c>
      <c r="B752" s="407"/>
      <c r="C752" s="408"/>
      <c r="D752" s="410" t="s">
        <v>2320</v>
      </c>
      <c r="E752" s="410" t="s">
        <v>1585</v>
      </c>
      <c r="F752" s="410" t="s">
        <v>1482</v>
      </c>
      <c r="G752" s="68" t="str">
        <f t="shared" si="56"/>
        <v>SINGLE</v>
      </c>
      <c r="H752" s="197">
        <f t="shared" si="55"/>
        <v>25</v>
      </c>
      <c r="I752" s="408">
        <f t="shared" si="57"/>
        <v>6</v>
      </c>
      <c r="J752" s="408">
        <f t="shared" si="58"/>
        <v>17</v>
      </c>
      <c r="K752" s="411">
        <v>45825</v>
      </c>
      <c r="L752" s="408"/>
      <c r="M752" s="408"/>
      <c r="N752" s="3" t="str">
        <f t="shared" si="59"/>
        <v/>
      </c>
      <c r="O752" s="408"/>
      <c r="P752" s="408"/>
      <c r="Q752" s="408"/>
      <c r="R752" s="408"/>
      <c r="S752" s="408"/>
      <c r="T752" s="408"/>
      <c r="U752" s="408"/>
      <c r="V752" s="421"/>
      <c r="W752" s="421"/>
      <c r="X752" s="421"/>
      <c r="Y752" s="421"/>
      <c r="Z752" s="421"/>
      <c r="AA752" s="421"/>
      <c r="AB752" s="421"/>
      <c r="AC752" s="421"/>
      <c r="AD752" s="421"/>
      <c r="AE752" s="421"/>
      <c r="AF752" s="421"/>
      <c r="AG752" s="421"/>
      <c r="AH752" s="421"/>
      <c r="AI752" s="421"/>
      <c r="AJ752" s="421"/>
      <c r="AK752" s="421"/>
      <c r="AL752" s="421"/>
    </row>
    <row r="753" spans="1:38">
      <c r="A753" s="410">
        <v>5743</v>
      </c>
      <c r="B753" s="407"/>
      <c r="C753" s="408"/>
      <c r="D753" s="410" t="s">
        <v>2321</v>
      </c>
      <c r="E753" s="410" t="s">
        <v>1585</v>
      </c>
      <c r="F753" s="410" t="s">
        <v>1482</v>
      </c>
      <c r="G753" s="68" t="str">
        <f t="shared" si="56"/>
        <v>SINGLE</v>
      </c>
      <c r="H753" s="197">
        <f t="shared" si="55"/>
        <v>25</v>
      </c>
      <c r="I753" s="408">
        <f t="shared" si="57"/>
        <v>6</v>
      </c>
      <c r="J753" s="408">
        <f t="shared" si="58"/>
        <v>17</v>
      </c>
      <c r="K753" s="411">
        <v>45825</v>
      </c>
      <c r="L753" s="408"/>
      <c r="M753" s="408"/>
      <c r="N753" s="3" t="str">
        <f t="shared" si="59"/>
        <v/>
      </c>
      <c r="O753" s="408"/>
      <c r="P753" s="408"/>
      <c r="Q753" s="408"/>
      <c r="R753" s="408"/>
      <c r="S753" s="408"/>
      <c r="T753" s="408"/>
      <c r="U753" s="408"/>
      <c r="V753" s="421"/>
      <c r="W753" s="421"/>
      <c r="X753" s="421"/>
      <c r="Y753" s="421"/>
      <c r="Z753" s="421"/>
      <c r="AA753" s="421"/>
      <c r="AB753" s="421"/>
      <c r="AC753" s="421"/>
      <c r="AD753" s="421"/>
      <c r="AE753" s="421"/>
      <c r="AF753" s="421"/>
      <c r="AG753" s="421"/>
      <c r="AH753" s="421"/>
      <c r="AI753" s="421"/>
      <c r="AJ753" s="421"/>
      <c r="AK753" s="421"/>
      <c r="AL753" s="421"/>
    </row>
    <row r="754" spans="1:38">
      <c r="A754" s="410">
        <v>5758</v>
      </c>
      <c r="B754" s="407"/>
      <c r="C754" s="408"/>
      <c r="D754" s="410" t="s">
        <v>2322</v>
      </c>
      <c r="E754" s="410" t="s">
        <v>1405</v>
      </c>
      <c r="F754" s="410" t="s">
        <v>1478</v>
      </c>
      <c r="G754" s="68" t="str">
        <f t="shared" si="56"/>
        <v>DUAL</v>
      </c>
      <c r="H754" s="197">
        <f t="shared" si="55"/>
        <v>25</v>
      </c>
      <c r="I754" s="408">
        <f t="shared" si="57"/>
        <v>6</v>
      </c>
      <c r="J754" s="408">
        <f t="shared" si="58"/>
        <v>17</v>
      </c>
      <c r="K754" s="411">
        <v>45825</v>
      </c>
      <c r="L754" s="408"/>
      <c r="M754" s="408"/>
      <c r="N754" s="3" t="str">
        <f t="shared" si="59"/>
        <v/>
      </c>
      <c r="O754" s="408"/>
      <c r="P754" s="408"/>
      <c r="Q754" s="408"/>
      <c r="R754" s="408"/>
      <c r="S754" s="408"/>
      <c r="T754" s="408"/>
      <c r="U754" s="408"/>
      <c r="V754" s="421"/>
      <c r="W754" s="421"/>
      <c r="X754" s="421"/>
      <c r="Y754" s="421"/>
      <c r="Z754" s="421"/>
      <c r="AA754" s="421"/>
      <c r="AB754" s="421"/>
      <c r="AC754" s="421"/>
      <c r="AD754" s="421"/>
      <c r="AE754" s="421"/>
      <c r="AF754" s="421"/>
      <c r="AG754" s="421"/>
      <c r="AH754" s="421"/>
      <c r="AI754" s="421"/>
      <c r="AJ754" s="421"/>
      <c r="AK754" s="421"/>
      <c r="AL754" s="421"/>
    </row>
    <row r="755" spans="1:38">
      <c r="A755" s="410">
        <v>5692</v>
      </c>
      <c r="B755" s="407"/>
      <c r="C755" s="408"/>
      <c r="D755" s="410" t="s">
        <v>2323</v>
      </c>
      <c r="E755" s="410" t="s">
        <v>1585</v>
      </c>
      <c r="F755" s="410" t="s">
        <v>1476</v>
      </c>
      <c r="G755" s="68" t="str">
        <f t="shared" si="56"/>
        <v>DUAL</v>
      </c>
      <c r="H755" s="197">
        <f t="shared" si="55"/>
        <v>25</v>
      </c>
      <c r="I755" s="408">
        <f t="shared" si="57"/>
        <v>6</v>
      </c>
      <c r="J755" s="408">
        <f t="shared" si="58"/>
        <v>18</v>
      </c>
      <c r="K755" s="411">
        <v>45826</v>
      </c>
      <c r="L755" s="408"/>
      <c r="M755" s="408"/>
      <c r="N755" s="3" t="str">
        <f t="shared" si="59"/>
        <v/>
      </c>
      <c r="O755" s="408"/>
      <c r="P755" s="408"/>
      <c r="Q755" s="408"/>
      <c r="R755" s="408"/>
      <c r="S755" s="408"/>
      <c r="T755" s="408"/>
      <c r="U755" s="408"/>
      <c r="V755" s="421"/>
      <c r="W755" s="421"/>
      <c r="X755" s="421"/>
      <c r="Y755" s="421"/>
      <c r="Z755" s="421"/>
      <c r="AA755" s="421"/>
      <c r="AB755" s="421"/>
      <c r="AC755" s="421"/>
      <c r="AD755" s="421"/>
      <c r="AE755" s="421"/>
      <c r="AF755" s="421"/>
      <c r="AG755" s="421"/>
      <c r="AH755" s="421"/>
      <c r="AI755" s="421"/>
      <c r="AJ755" s="421"/>
      <c r="AK755" s="421"/>
      <c r="AL755" s="421"/>
    </row>
    <row r="756" spans="1:38">
      <c r="A756" s="410">
        <v>5700</v>
      </c>
      <c r="B756" s="407"/>
      <c r="C756" s="408"/>
      <c r="D756" s="410" t="s">
        <v>2324</v>
      </c>
      <c r="E756" s="410" t="s">
        <v>1424</v>
      </c>
      <c r="F756" s="410" t="s">
        <v>1476</v>
      </c>
      <c r="G756" s="68" t="str">
        <f t="shared" si="56"/>
        <v>DUAL</v>
      </c>
      <c r="H756" s="197">
        <f t="shared" si="55"/>
        <v>25</v>
      </c>
      <c r="I756" s="408">
        <f t="shared" si="57"/>
        <v>6</v>
      </c>
      <c r="J756" s="408">
        <f t="shared" si="58"/>
        <v>18</v>
      </c>
      <c r="K756" s="411">
        <v>45826</v>
      </c>
      <c r="L756" s="408"/>
      <c r="M756" s="408"/>
      <c r="N756" s="3" t="str">
        <f t="shared" si="59"/>
        <v/>
      </c>
      <c r="O756" s="408"/>
      <c r="P756" s="408"/>
      <c r="Q756" s="408"/>
      <c r="R756" s="408"/>
      <c r="S756" s="408"/>
      <c r="T756" s="408"/>
      <c r="U756" s="408"/>
      <c r="V756" s="421"/>
      <c r="W756" s="421"/>
      <c r="X756" s="421"/>
      <c r="Y756" s="421"/>
      <c r="Z756" s="421"/>
      <c r="AA756" s="421"/>
      <c r="AB756" s="421"/>
      <c r="AC756" s="421"/>
      <c r="AD756" s="421"/>
      <c r="AE756" s="421"/>
      <c r="AF756" s="421"/>
      <c r="AG756" s="421"/>
      <c r="AH756" s="421"/>
      <c r="AI756" s="421"/>
      <c r="AJ756" s="421"/>
      <c r="AK756" s="421"/>
      <c r="AL756" s="421"/>
    </row>
    <row r="757" spans="1:38">
      <c r="A757" s="410">
        <v>5766</v>
      </c>
      <c r="B757" s="407"/>
      <c r="C757" s="408"/>
      <c r="D757" s="410" t="s">
        <v>2325</v>
      </c>
      <c r="E757" s="410" t="s">
        <v>1405</v>
      </c>
      <c r="F757" s="410" t="s">
        <v>1591</v>
      </c>
      <c r="G757" s="68" t="str">
        <f t="shared" si="56"/>
        <v>SINGLE</v>
      </c>
      <c r="H757" s="197">
        <f t="shared" si="55"/>
        <v>25</v>
      </c>
      <c r="I757" s="408">
        <f t="shared" si="57"/>
        <v>6</v>
      </c>
      <c r="J757" s="408">
        <f t="shared" si="58"/>
        <v>18</v>
      </c>
      <c r="K757" s="411">
        <v>45826</v>
      </c>
      <c r="L757" s="408"/>
      <c r="M757" s="408"/>
      <c r="N757" s="3" t="str">
        <f t="shared" si="59"/>
        <v/>
      </c>
      <c r="O757" s="408"/>
      <c r="P757" s="408"/>
      <c r="Q757" s="408"/>
      <c r="R757" s="408"/>
      <c r="S757" s="408"/>
      <c r="T757" s="408"/>
      <c r="U757" s="408"/>
      <c r="V757" s="421"/>
      <c r="W757" s="421"/>
      <c r="X757" s="421"/>
      <c r="Y757" s="421"/>
      <c r="Z757" s="421"/>
      <c r="AA757" s="421"/>
      <c r="AB757" s="421"/>
      <c r="AC757" s="421"/>
      <c r="AD757" s="421"/>
      <c r="AE757" s="421"/>
      <c r="AF757" s="421"/>
      <c r="AG757" s="421"/>
      <c r="AH757" s="421"/>
      <c r="AI757" s="421"/>
      <c r="AJ757" s="421"/>
      <c r="AK757" s="421"/>
      <c r="AL757" s="421"/>
    </row>
    <row r="758" spans="1:38">
      <c r="A758" s="410">
        <v>5766</v>
      </c>
      <c r="B758" s="407"/>
      <c r="C758" s="408"/>
      <c r="D758" s="410" t="s">
        <v>2326</v>
      </c>
      <c r="E758" s="410" t="s">
        <v>1405</v>
      </c>
      <c r="F758" s="410" t="s">
        <v>1591</v>
      </c>
      <c r="G758" s="68" t="str">
        <f t="shared" si="56"/>
        <v>SINGLE</v>
      </c>
      <c r="H758" s="197">
        <f t="shared" si="55"/>
        <v>25</v>
      </c>
      <c r="I758" s="408">
        <f t="shared" si="57"/>
        <v>6</v>
      </c>
      <c r="J758" s="408">
        <f t="shared" si="58"/>
        <v>18</v>
      </c>
      <c r="K758" s="411">
        <v>45826</v>
      </c>
      <c r="L758" s="408"/>
      <c r="M758" s="408"/>
      <c r="N758" s="3" t="str">
        <f t="shared" si="59"/>
        <v/>
      </c>
      <c r="O758" s="408"/>
      <c r="P758" s="408"/>
      <c r="Q758" s="408"/>
      <c r="R758" s="408"/>
      <c r="S758" s="408"/>
      <c r="T758" s="408"/>
      <c r="U758" s="408"/>
      <c r="V758" s="421"/>
      <c r="W758" s="421"/>
      <c r="X758" s="421"/>
      <c r="Y758" s="421"/>
      <c r="Z758" s="421"/>
      <c r="AA758" s="421"/>
      <c r="AB758" s="421"/>
      <c r="AC758" s="421"/>
      <c r="AD758" s="421"/>
      <c r="AE758" s="421"/>
      <c r="AF758" s="421"/>
      <c r="AG758" s="421"/>
      <c r="AH758" s="421"/>
      <c r="AI758" s="421"/>
      <c r="AJ758" s="421"/>
      <c r="AK758" s="421"/>
      <c r="AL758" s="421"/>
    </row>
    <row r="759" spans="1:38">
      <c r="A759" s="410">
        <v>5731</v>
      </c>
      <c r="B759" s="407"/>
      <c r="C759" s="408"/>
      <c r="D759" s="410" t="s">
        <v>2327</v>
      </c>
      <c r="E759" s="410" t="s">
        <v>1405</v>
      </c>
      <c r="F759" s="410" t="s">
        <v>1591</v>
      </c>
      <c r="G759" s="68" t="str">
        <f t="shared" si="56"/>
        <v>SINGLE</v>
      </c>
      <c r="H759" s="197">
        <f t="shared" si="55"/>
        <v>25</v>
      </c>
      <c r="I759" s="408">
        <f t="shared" si="57"/>
        <v>6</v>
      </c>
      <c r="J759" s="408">
        <f t="shared" si="58"/>
        <v>18</v>
      </c>
      <c r="K759" s="411">
        <v>45826</v>
      </c>
      <c r="L759" s="408"/>
      <c r="M759" s="408"/>
      <c r="N759" s="3" t="str">
        <f t="shared" si="59"/>
        <v/>
      </c>
      <c r="O759" s="408"/>
      <c r="P759" s="408"/>
      <c r="Q759" s="408"/>
      <c r="R759" s="408"/>
      <c r="S759" s="408"/>
      <c r="T759" s="408"/>
      <c r="U759" s="408"/>
      <c r="V759" s="421"/>
      <c r="W759" s="421"/>
      <c r="X759" s="421"/>
      <c r="Y759" s="421"/>
      <c r="Z759" s="421"/>
      <c r="AA759" s="421"/>
      <c r="AB759" s="421"/>
      <c r="AC759" s="421"/>
      <c r="AD759" s="421"/>
      <c r="AE759" s="421"/>
      <c r="AF759" s="421"/>
      <c r="AG759" s="421"/>
      <c r="AH759" s="421"/>
      <c r="AI759" s="421"/>
      <c r="AJ759" s="421"/>
      <c r="AK759" s="421"/>
      <c r="AL759" s="421"/>
    </row>
    <row r="760" spans="1:38">
      <c r="A760" s="410">
        <v>5731</v>
      </c>
      <c r="B760" s="407"/>
      <c r="C760" s="408"/>
      <c r="D760" s="410" t="s">
        <v>2328</v>
      </c>
      <c r="E760" s="410" t="s">
        <v>1405</v>
      </c>
      <c r="F760" s="410" t="s">
        <v>1591</v>
      </c>
      <c r="G760" s="68" t="str">
        <f t="shared" si="56"/>
        <v>SINGLE</v>
      </c>
      <c r="H760" s="197">
        <f t="shared" si="55"/>
        <v>25</v>
      </c>
      <c r="I760" s="408">
        <f t="shared" si="57"/>
        <v>6</v>
      </c>
      <c r="J760" s="408">
        <f t="shared" si="58"/>
        <v>18</v>
      </c>
      <c r="K760" s="411">
        <v>45826</v>
      </c>
      <c r="L760" s="408"/>
      <c r="M760" s="408"/>
      <c r="N760" s="3" t="str">
        <f t="shared" si="59"/>
        <v/>
      </c>
      <c r="O760" s="408"/>
      <c r="P760" s="408"/>
      <c r="Q760" s="408"/>
      <c r="R760" s="408"/>
      <c r="S760" s="408"/>
      <c r="T760" s="408"/>
      <c r="U760" s="408"/>
      <c r="V760" s="421"/>
      <c r="W760" s="421"/>
      <c r="X760" s="421"/>
      <c r="Y760" s="421"/>
      <c r="Z760" s="421"/>
      <c r="AA760" s="421"/>
      <c r="AB760" s="421"/>
      <c r="AC760" s="421"/>
      <c r="AD760" s="421"/>
      <c r="AE760" s="421"/>
      <c r="AF760" s="421"/>
      <c r="AG760" s="421"/>
      <c r="AH760" s="421"/>
      <c r="AI760" s="421"/>
      <c r="AJ760" s="421"/>
      <c r="AK760" s="421"/>
      <c r="AL760" s="421"/>
    </row>
    <row r="761" spans="1:38">
      <c r="A761" s="410">
        <v>5768</v>
      </c>
      <c r="B761" s="407"/>
      <c r="C761" s="408"/>
      <c r="D761" s="410" t="s">
        <v>2329</v>
      </c>
      <c r="E761" s="410" t="s">
        <v>1405</v>
      </c>
      <c r="F761" s="410" t="s">
        <v>1480</v>
      </c>
      <c r="G761" s="68" t="str">
        <f t="shared" si="56"/>
        <v>DUAL</v>
      </c>
      <c r="H761" s="197">
        <f t="shared" si="55"/>
        <v>25</v>
      </c>
      <c r="I761" s="408">
        <f t="shared" si="57"/>
        <v>6</v>
      </c>
      <c r="J761" s="408">
        <f t="shared" si="58"/>
        <v>18</v>
      </c>
      <c r="K761" s="411">
        <v>45826</v>
      </c>
      <c r="L761" s="408"/>
      <c r="M761" s="408"/>
      <c r="N761" s="3" t="str">
        <f t="shared" si="59"/>
        <v/>
      </c>
      <c r="O761" s="408"/>
      <c r="P761" s="408"/>
      <c r="Q761" s="408"/>
      <c r="R761" s="408"/>
      <c r="S761" s="408"/>
      <c r="T761" s="408"/>
      <c r="U761" s="408"/>
      <c r="V761" s="421"/>
      <c r="W761" s="421"/>
      <c r="X761" s="421"/>
      <c r="Y761" s="421"/>
      <c r="Z761" s="421"/>
      <c r="AA761" s="421"/>
      <c r="AB761" s="421"/>
      <c r="AC761" s="421"/>
      <c r="AD761" s="421"/>
      <c r="AE761" s="421"/>
      <c r="AF761" s="421"/>
      <c r="AG761" s="421"/>
      <c r="AH761" s="421"/>
      <c r="AI761" s="421"/>
      <c r="AJ761" s="421"/>
      <c r="AK761" s="421"/>
      <c r="AL761" s="421"/>
    </row>
    <row r="762" spans="1:38">
      <c r="A762" s="410">
        <v>5692</v>
      </c>
      <c r="B762" s="407"/>
      <c r="C762" s="408"/>
      <c r="D762" s="410" t="s">
        <v>2330</v>
      </c>
      <c r="E762" s="410" t="s">
        <v>1585</v>
      </c>
      <c r="F762" s="410" t="s">
        <v>1476</v>
      </c>
      <c r="G762" s="68" t="str">
        <f t="shared" si="56"/>
        <v>DUAL</v>
      </c>
      <c r="H762" s="197">
        <f t="shared" si="55"/>
        <v>25</v>
      </c>
      <c r="I762" s="408">
        <f t="shared" si="57"/>
        <v>6</v>
      </c>
      <c r="J762" s="408">
        <f t="shared" si="58"/>
        <v>19</v>
      </c>
      <c r="K762" s="411">
        <v>45827</v>
      </c>
      <c r="L762" s="408"/>
      <c r="M762" s="408"/>
      <c r="N762" s="3" t="str">
        <f t="shared" si="59"/>
        <v/>
      </c>
      <c r="O762" s="408"/>
      <c r="P762" s="408"/>
      <c r="Q762" s="408"/>
      <c r="R762" s="408"/>
      <c r="S762" s="408"/>
      <c r="T762" s="408"/>
      <c r="U762" s="408"/>
      <c r="V762" s="421"/>
      <c r="W762" s="421"/>
      <c r="X762" s="421"/>
      <c r="Y762" s="421"/>
      <c r="Z762" s="421"/>
      <c r="AA762" s="421"/>
      <c r="AB762" s="421"/>
      <c r="AC762" s="421"/>
      <c r="AD762" s="421"/>
      <c r="AE762" s="421"/>
      <c r="AF762" s="421"/>
      <c r="AG762" s="421"/>
      <c r="AH762" s="421"/>
      <c r="AI762" s="421"/>
      <c r="AJ762" s="421"/>
      <c r="AK762" s="421"/>
      <c r="AL762" s="421"/>
    </row>
    <row r="763" spans="1:38">
      <c r="A763" s="410">
        <v>5779</v>
      </c>
      <c r="B763" s="407"/>
      <c r="C763" s="408"/>
      <c r="D763" s="410" t="s">
        <v>2331</v>
      </c>
      <c r="E763" s="410" t="s">
        <v>1414</v>
      </c>
      <c r="F763" s="410" t="s">
        <v>1476</v>
      </c>
      <c r="G763" s="68" t="str">
        <f t="shared" si="56"/>
        <v>DUAL</v>
      </c>
      <c r="H763" s="197">
        <f t="shared" si="55"/>
        <v>25</v>
      </c>
      <c r="I763" s="408">
        <f t="shared" si="57"/>
        <v>6</v>
      </c>
      <c r="J763" s="408">
        <f t="shared" si="58"/>
        <v>19</v>
      </c>
      <c r="K763" s="411">
        <v>45827</v>
      </c>
      <c r="L763" s="408"/>
      <c r="M763" s="408"/>
      <c r="N763" s="3" t="str">
        <f t="shared" si="59"/>
        <v/>
      </c>
      <c r="O763" s="408"/>
      <c r="P763" s="408"/>
      <c r="Q763" s="408"/>
      <c r="R763" s="408"/>
      <c r="S763" s="408"/>
      <c r="T763" s="408"/>
      <c r="U763" s="408"/>
      <c r="V763" s="421"/>
      <c r="W763" s="421"/>
      <c r="X763" s="421"/>
      <c r="Y763" s="421"/>
      <c r="Z763" s="421"/>
      <c r="AA763" s="421"/>
      <c r="AB763" s="421"/>
      <c r="AC763" s="421"/>
      <c r="AD763" s="421"/>
      <c r="AE763" s="421"/>
      <c r="AF763" s="421"/>
      <c r="AG763" s="421"/>
      <c r="AH763" s="421"/>
      <c r="AI763" s="421"/>
      <c r="AJ763" s="421"/>
      <c r="AK763" s="421"/>
      <c r="AL763" s="421"/>
    </row>
    <row r="764" spans="1:38">
      <c r="A764" s="410">
        <v>5781</v>
      </c>
      <c r="B764" s="407"/>
      <c r="C764" s="408"/>
      <c r="D764" s="410" t="s">
        <v>2332</v>
      </c>
      <c r="E764" s="410" t="s">
        <v>1405</v>
      </c>
      <c r="F764" s="410" t="s">
        <v>1591</v>
      </c>
      <c r="G764" s="68" t="str">
        <f t="shared" si="56"/>
        <v>SINGLE</v>
      </c>
      <c r="H764" s="197">
        <f t="shared" si="55"/>
        <v>26</v>
      </c>
      <c r="I764" s="408">
        <f t="shared" si="57"/>
        <v>6</v>
      </c>
      <c r="J764" s="408">
        <f t="shared" si="58"/>
        <v>23</v>
      </c>
      <c r="K764" s="411">
        <v>45831</v>
      </c>
      <c r="L764" s="408"/>
      <c r="M764" s="408"/>
      <c r="N764" s="3" t="str">
        <f t="shared" si="59"/>
        <v/>
      </c>
      <c r="O764" s="408"/>
      <c r="P764" s="408"/>
      <c r="Q764" s="408"/>
      <c r="R764" s="408"/>
      <c r="S764" s="408"/>
      <c r="T764" s="408"/>
      <c r="U764" s="408"/>
      <c r="V764" s="421"/>
      <c r="W764" s="421"/>
      <c r="X764" s="421"/>
      <c r="Y764" s="421"/>
      <c r="Z764" s="421"/>
      <c r="AA764" s="421"/>
      <c r="AB764" s="421"/>
      <c r="AC764" s="421"/>
      <c r="AD764" s="421"/>
      <c r="AE764" s="421"/>
      <c r="AF764" s="421"/>
      <c r="AG764" s="421"/>
      <c r="AH764" s="421"/>
      <c r="AI764" s="421"/>
      <c r="AJ764" s="421"/>
      <c r="AK764" s="421"/>
      <c r="AL764" s="421"/>
    </row>
    <row r="765" spans="1:38">
      <c r="A765" s="410">
        <v>5781</v>
      </c>
      <c r="B765" s="407"/>
      <c r="C765" s="408"/>
      <c r="D765" s="410" t="s">
        <v>2333</v>
      </c>
      <c r="E765" s="410" t="s">
        <v>1405</v>
      </c>
      <c r="F765" s="410" t="s">
        <v>1591</v>
      </c>
      <c r="G765" s="68" t="str">
        <f t="shared" si="56"/>
        <v>SINGLE</v>
      </c>
      <c r="H765" s="197">
        <f t="shared" si="55"/>
        <v>26</v>
      </c>
      <c r="I765" s="408">
        <f t="shared" si="57"/>
        <v>6</v>
      </c>
      <c r="J765" s="408">
        <f t="shared" si="58"/>
        <v>23</v>
      </c>
      <c r="K765" s="411">
        <v>45831</v>
      </c>
      <c r="L765" s="408"/>
      <c r="M765" s="408"/>
      <c r="N765" s="3" t="str">
        <f t="shared" si="59"/>
        <v/>
      </c>
      <c r="O765" s="408"/>
      <c r="P765" s="408"/>
      <c r="Q765" s="408"/>
      <c r="R765" s="408"/>
      <c r="S765" s="408"/>
      <c r="T765" s="408"/>
      <c r="U765" s="408"/>
      <c r="V765" s="421"/>
      <c r="W765" s="421"/>
      <c r="X765" s="421"/>
      <c r="Y765" s="421"/>
      <c r="Z765" s="421"/>
      <c r="AA765" s="421"/>
      <c r="AB765" s="421"/>
      <c r="AC765" s="421"/>
      <c r="AD765" s="421"/>
      <c r="AE765" s="421"/>
      <c r="AF765" s="421"/>
      <c r="AG765" s="421"/>
      <c r="AH765" s="421"/>
      <c r="AI765" s="421"/>
      <c r="AJ765" s="421"/>
      <c r="AK765" s="421"/>
      <c r="AL765" s="421"/>
    </row>
    <row r="766" spans="1:38">
      <c r="A766" s="410">
        <v>5798</v>
      </c>
      <c r="B766" s="407"/>
      <c r="C766" s="408"/>
      <c r="D766" s="410" t="s">
        <v>2334</v>
      </c>
      <c r="E766" s="410" t="s">
        <v>1414</v>
      </c>
      <c r="F766" s="410" t="s">
        <v>1476</v>
      </c>
      <c r="G766" s="68" t="str">
        <f t="shared" si="56"/>
        <v>DUAL</v>
      </c>
      <c r="H766" s="197">
        <f t="shared" si="55"/>
        <v>26</v>
      </c>
      <c r="I766" s="408">
        <f t="shared" si="57"/>
        <v>6</v>
      </c>
      <c r="J766" s="408">
        <f t="shared" si="58"/>
        <v>23</v>
      </c>
      <c r="K766" s="411">
        <v>45831</v>
      </c>
      <c r="L766" s="408"/>
      <c r="M766" s="408"/>
      <c r="N766" s="3" t="str">
        <f t="shared" si="59"/>
        <v/>
      </c>
      <c r="O766" s="408"/>
      <c r="P766" s="408"/>
      <c r="Q766" s="408"/>
      <c r="R766" s="408"/>
      <c r="S766" s="408"/>
      <c r="T766" s="408"/>
      <c r="U766" s="408"/>
      <c r="V766" s="421"/>
      <c r="W766" s="421"/>
      <c r="X766" s="421"/>
      <c r="Y766" s="421"/>
      <c r="Z766" s="421"/>
      <c r="AA766" s="421"/>
      <c r="AB766" s="421"/>
      <c r="AC766" s="421"/>
      <c r="AD766" s="421"/>
      <c r="AE766" s="421"/>
      <c r="AF766" s="421"/>
      <c r="AG766" s="421"/>
      <c r="AH766" s="421"/>
      <c r="AI766" s="421"/>
      <c r="AJ766" s="421"/>
      <c r="AK766" s="421"/>
      <c r="AL766" s="421"/>
    </row>
    <row r="767" spans="1:38">
      <c r="A767" s="410">
        <v>5758</v>
      </c>
      <c r="B767" s="407"/>
      <c r="C767" s="408"/>
      <c r="D767" s="410" t="s">
        <v>2335</v>
      </c>
      <c r="E767" s="410" t="s">
        <v>1405</v>
      </c>
      <c r="F767" s="410" t="s">
        <v>1478</v>
      </c>
      <c r="G767" s="68" t="str">
        <f t="shared" si="56"/>
        <v>DUAL</v>
      </c>
      <c r="H767" s="197">
        <f t="shared" si="55"/>
        <v>26</v>
      </c>
      <c r="I767" s="408">
        <f t="shared" si="57"/>
        <v>6</v>
      </c>
      <c r="J767" s="408">
        <f t="shared" si="58"/>
        <v>23</v>
      </c>
      <c r="K767" s="411">
        <v>45831</v>
      </c>
      <c r="L767" s="408"/>
      <c r="M767" s="408"/>
      <c r="N767" s="3" t="str">
        <f t="shared" si="59"/>
        <v/>
      </c>
      <c r="O767" s="408"/>
      <c r="P767" s="408"/>
      <c r="Q767" s="408"/>
      <c r="R767" s="408"/>
      <c r="S767" s="408"/>
      <c r="T767" s="408"/>
      <c r="U767" s="408"/>
      <c r="V767" s="421"/>
      <c r="W767" s="421"/>
      <c r="X767" s="421"/>
      <c r="Y767" s="421"/>
      <c r="Z767" s="421"/>
      <c r="AA767" s="421"/>
      <c r="AB767" s="421"/>
      <c r="AC767" s="421"/>
      <c r="AD767" s="421"/>
      <c r="AE767" s="421"/>
      <c r="AF767" s="421"/>
      <c r="AG767" s="421"/>
      <c r="AH767" s="421"/>
      <c r="AI767" s="421"/>
      <c r="AJ767" s="421"/>
      <c r="AK767" s="421"/>
      <c r="AL767" s="421"/>
    </row>
    <row r="768" spans="1:38">
      <c r="A768" s="410">
        <v>5592</v>
      </c>
      <c r="B768" s="407"/>
      <c r="C768" s="408"/>
      <c r="D768" s="410" t="s">
        <v>2336</v>
      </c>
      <c r="E768" s="410" t="s">
        <v>1585</v>
      </c>
      <c r="F768" s="410" t="s">
        <v>1476</v>
      </c>
      <c r="G768" s="68" t="str">
        <f t="shared" si="56"/>
        <v>DUAL</v>
      </c>
      <c r="H768" s="197">
        <f t="shared" si="55"/>
        <v>26</v>
      </c>
      <c r="I768" s="408">
        <f t="shared" si="57"/>
        <v>6</v>
      </c>
      <c r="J768" s="408">
        <f t="shared" si="58"/>
        <v>24</v>
      </c>
      <c r="K768" s="411">
        <v>45832</v>
      </c>
      <c r="L768" s="408"/>
      <c r="M768" s="408"/>
      <c r="N768" s="3" t="str">
        <f t="shared" si="59"/>
        <v/>
      </c>
      <c r="O768" s="408"/>
      <c r="P768" s="408"/>
      <c r="Q768" s="408"/>
      <c r="R768" s="408"/>
      <c r="S768" s="408"/>
      <c r="T768" s="408"/>
      <c r="U768" s="408"/>
      <c r="V768" s="421"/>
      <c r="W768" s="421"/>
      <c r="X768" s="421"/>
      <c r="Y768" s="421"/>
      <c r="Z768" s="421"/>
      <c r="AA768" s="421"/>
      <c r="AB768" s="421"/>
      <c r="AC768" s="421"/>
      <c r="AD768" s="421"/>
      <c r="AE768" s="421"/>
      <c r="AF768" s="421"/>
      <c r="AG768" s="421"/>
      <c r="AH768" s="421"/>
      <c r="AI768" s="421"/>
      <c r="AJ768" s="421"/>
      <c r="AK768" s="421"/>
      <c r="AL768" s="421"/>
    </row>
    <row r="769" spans="1:38">
      <c r="A769" s="410">
        <v>5668</v>
      </c>
      <c r="B769" s="407"/>
      <c r="C769" s="408"/>
      <c r="D769" s="410" t="s">
        <v>2337</v>
      </c>
      <c r="E769" s="410" t="s">
        <v>1426</v>
      </c>
      <c r="F769" s="410" t="s">
        <v>1476</v>
      </c>
      <c r="G769" s="68" t="str">
        <f t="shared" si="56"/>
        <v>DUAL</v>
      </c>
      <c r="H769" s="197">
        <f t="shared" ref="H769:H832" si="60">WEEKNUM(K769)</f>
        <v>26</v>
      </c>
      <c r="I769" s="408">
        <f t="shared" si="57"/>
        <v>6</v>
      </c>
      <c r="J769" s="408">
        <f t="shared" si="58"/>
        <v>24</v>
      </c>
      <c r="K769" s="411">
        <v>45832</v>
      </c>
      <c r="L769" s="408"/>
      <c r="M769" s="408"/>
      <c r="N769" s="3" t="str">
        <f t="shared" si="59"/>
        <v/>
      </c>
      <c r="O769" s="408"/>
      <c r="P769" s="408"/>
      <c r="Q769" s="408"/>
      <c r="R769" s="408"/>
      <c r="S769" s="408"/>
      <c r="T769" s="408"/>
      <c r="U769" s="408"/>
      <c r="V769" s="421"/>
      <c r="W769" s="421"/>
      <c r="X769" s="421"/>
      <c r="Y769" s="421"/>
      <c r="Z769" s="421"/>
      <c r="AA769" s="421"/>
      <c r="AB769" s="421"/>
      <c r="AC769" s="421"/>
      <c r="AD769" s="421"/>
      <c r="AE769" s="421"/>
      <c r="AF769" s="421"/>
      <c r="AG769" s="421"/>
      <c r="AH769" s="421"/>
      <c r="AI769" s="421"/>
      <c r="AJ769" s="421"/>
      <c r="AK769" s="421"/>
      <c r="AL769" s="421"/>
    </row>
    <row r="770" spans="1:38">
      <c r="A770" s="410">
        <v>5668</v>
      </c>
      <c r="B770" s="407"/>
      <c r="C770" s="408"/>
      <c r="D770" s="410" t="s">
        <v>2338</v>
      </c>
      <c r="E770" s="410" t="s">
        <v>1426</v>
      </c>
      <c r="F770" s="410" t="s">
        <v>1476</v>
      </c>
      <c r="G770" s="68" t="str">
        <f t="shared" ref="G770:G833" si="61">IF(OR(ISNUMBER(SEARCH("DUAL",F770)), ISNUMBER(SEARCH("IVAS",F770))), "DUAL", "SINGLE")</f>
        <v>DUAL</v>
      </c>
      <c r="H770" s="197">
        <f t="shared" si="60"/>
        <v>26</v>
      </c>
      <c r="I770" s="408">
        <f t="shared" ref="I770:I795" si="62">MONTH(K770)</f>
        <v>6</v>
      </c>
      <c r="J770" s="408">
        <f t="shared" ref="J770:J795" si="63">DAY(K770)</f>
        <v>24</v>
      </c>
      <c r="K770" s="411">
        <v>45832</v>
      </c>
      <c r="L770" s="408"/>
      <c r="M770" s="408"/>
      <c r="N770" s="3" t="str">
        <f t="shared" ref="N770:N833" si="64">IF(O770&lt;&gt;"", "NG", "")</f>
        <v/>
      </c>
      <c r="O770" s="408"/>
      <c r="P770" s="408"/>
      <c r="Q770" s="408"/>
      <c r="R770" s="408"/>
      <c r="S770" s="408"/>
      <c r="T770" s="408"/>
      <c r="U770" s="408"/>
      <c r="V770" s="421"/>
      <c r="W770" s="421"/>
      <c r="X770" s="421"/>
      <c r="Y770" s="421"/>
      <c r="Z770" s="421"/>
      <c r="AA770" s="421"/>
      <c r="AB770" s="421"/>
      <c r="AC770" s="421"/>
      <c r="AD770" s="421"/>
      <c r="AE770" s="421"/>
      <c r="AF770" s="421"/>
      <c r="AG770" s="421"/>
      <c r="AH770" s="421"/>
      <c r="AI770" s="421"/>
      <c r="AJ770" s="421"/>
      <c r="AK770" s="421"/>
      <c r="AL770" s="421"/>
    </row>
    <row r="771" spans="1:38">
      <c r="A771" s="410">
        <v>5816</v>
      </c>
      <c r="B771" s="407"/>
      <c r="C771" s="408"/>
      <c r="D771" s="410" t="s">
        <v>2339</v>
      </c>
      <c r="E771" s="410" t="s">
        <v>1431</v>
      </c>
      <c r="F771" s="410" t="s">
        <v>1482</v>
      </c>
      <c r="G771" s="68" t="str">
        <f t="shared" si="61"/>
        <v>SINGLE</v>
      </c>
      <c r="H771" s="197">
        <f t="shared" si="60"/>
        <v>26</v>
      </c>
      <c r="I771" s="408">
        <f t="shared" si="62"/>
        <v>6</v>
      </c>
      <c r="J771" s="408">
        <f t="shared" si="63"/>
        <v>24</v>
      </c>
      <c r="K771" s="411">
        <v>45832</v>
      </c>
      <c r="L771" s="408"/>
      <c r="M771" s="408"/>
      <c r="N771" s="3" t="str">
        <f t="shared" si="64"/>
        <v/>
      </c>
      <c r="O771" s="408"/>
      <c r="P771" s="408"/>
      <c r="Q771" s="408"/>
      <c r="R771" s="408"/>
      <c r="S771" s="408"/>
      <c r="T771" s="408"/>
      <c r="U771" s="408"/>
      <c r="V771" s="421"/>
      <c r="W771" s="421"/>
      <c r="X771" s="421"/>
      <c r="Y771" s="421"/>
      <c r="Z771" s="421"/>
      <c r="AA771" s="421"/>
      <c r="AB771" s="421"/>
      <c r="AC771" s="421"/>
      <c r="AD771" s="421"/>
      <c r="AE771" s="421"/>
      <c r="AF771" s="421"/>
      <c r="AG771" s="421"/>
      <c r="AH771" s="421"/>
      <c r="AI771" s="421"/>
      <c r="AJ771" s="421"/>
      <c r="AK771" s="421"/>
      <c r="AL771" s="421"/>
    </row>
    <row r="772" spans="1:38">
      <c r="A772" s="410">
        <v>5538</v>
      </c>
      <c r="B772" s="407"/>
      <c r="C772" s="408"/>
      <c r="D772" s="410" t="s">
        <v>2340</v>
      </c>
      <c r="E772" s="410" t="s">
        <v>1585</v>
      </c>
      <c r="F772" s="410" t="s">
        <v>1476</v>
      </c>
      <c r="G772" s="68" t="str">
        <f t="shared" si="61"/>
        <v>DUAL</v>
      </c>
      <c r="H772" s="197">
        <f t="shared" si="60"/>
        <v>26</v>
      </c>
      <c r="I772" s="408">
        <f t="shared" si="62"/>
        <v>6</v>
      </c>
      <c r="J772" s="408">
        <f t="shared" si="63"/>
        <v>24</v>
      </c>
      <c r="K772" s="411">
        <v>45832</v>
      </c>
      <c r="L772" s="408"/>
      <c r="M772" s="408"/>
      <c r="N772" s="3" t="str">
        <f t="shared" si="64"/>
        <v/>
      </c>
      <c r="O772" s="408"/>
      <c r="P772" s="408"/>
      <c r="Q772" s="408"/>
      <c r="R772" s="408"/>
      <c r="S772" s="408"/>
      <c r="T772" s="408"/>
      <c r="U772" s="408"/>
      <c r="V772" s="421"/>
      <c r="W772" s="421"/>
      <c r="X772" s="421"/>
      <c r="Y772" s="421"/>
      <c r="Z772" s="421"/>
      <c r="AA772" s="421"/>
      <c r="AB772" s="421"/>
      <c r="AC772" s="421"/>
      <c r="AD772" s="421"/>
      <c r="AE772" s="421"/>
      <c r="AF772" s="421"/>
      <c r="AG772" s="421"/>
      <c r="AH772" s="421"/>
      <c r="AI772" s="421"/>
      <c r="AJ772" s="421"/>
      <c r="AK772" s="421"/>
      <c r="AL772" s="421"/>
    </row>
    <row r="773" spans="1:38">
      <c r="A773" s="410">
        <v>5680</v>
      </c>
      <c r="B773" s="407"/>
      <c r="C773" s="408"/>
      <c r="D773" s="410" t="s">
        <v>2341</v>
      </c>
      <c r="E773" s="410" t="s">
        <v>1426</v>
      </c>
      <c r="F773" s="410" t="s">
        <v>1476</v>
      </c>
      <c r="G773" s="68" t="str">
        <f t="shared" si="61"/>
        <v>DUAL</v>
      </c>
      <c r="H773" s="197">
        <f t="shared" si="60"/>
        <v>26</v>
      </c>
      <c r="I773" s="408">
        <f t="shared" si="62"/>
        <v>6</v>
      </c>
      <c r="J773" s="408">
        <f t="shared" si="63"/>
        <v>24</v>
      </c>
      <c r="K773" s="411">
        <v>45832</v>
      </c>
      <c r="L773" s="408"/>
      <c r="M773" s="408"/>
      <c r="N773" s="3" t="str">
        <f t="shared" si="64"/>
        <v/>
      </c>
      <c r="O773" s="408"/>
      <c r="P773" s="408"/>
      <c r="Q773" s="408"/>
      <c r="R773" s="408"/>
      <c r="S773" s="408"/>
      <c r="T773" s="408"/>
      <c r="U773" s="408"/>
      <c r="V773" s="421"/>
      <c r="W773" s="421"/>
      <c r="X773" s="421"/>
      <c r="Y773" s="421"/>
      <c r="Z773" s="421"/>
      <c r="AA773" s="421"/>
      <c r="AB773" s="421"/>
      <c r="AC773" s="421"/>
      <c r="AD773" s="421"/>
      <c r="AE773" s="421"/>
      <c r="AF773" s="421"/>
      <c r="AG773" s="421"/>
      <c r="AH773" s="421"/>
      <c r="AI773" s="421"/>
      <c r="AJ773" s="421"/>
      <c r="AK773" s="421"/>
      <c r="AL773" s="421"/>
    </row>
    <row r="774" spans="1:38">
      <c r="A774" s="410">
        <v>5783</v>
      </c>
      <c r="B774" s="407"/>
      <c r="C774" s="408"/>
      <c r="D774" s="410" t="s">
        <v>2342</v>
      </c>
      <c r="E774" s="410" t="s">
        <v>1405</v>
      </c>
      <c r="F774" s="410" t="s">
        <v>1616</v>
      </c>
      <c r="G774" s="68" t="str">
        <f t="shared" si="61"/>
        <v>SINGLE</v>
      </c>
      <c r="H774" s="197">
        <f t="shared" si="60"/>
        <v>26</v>
      </c>
      <c r="I774" s="408">
        <f t="shared" si="62"/>
        <v>6</v>
      </c>
      <c r="J774" s="408">
        <f t="shared" si="63"/>
        <v>24</v>
      </c>
      <c r="K774" s="411">
        <v>45832</v>
      </c>
      <c r="L774" s="408"/>
      <c r="M774" s="408"/>
      <c r="N774" s="3" t="str">
        <f t="shared" si="64"/>
        <v/>
      </c>
      <c r="O774" s="408"/>
      <c r="P774" s="408"/>
      <c r="Q774" s="408"/>
      <c r="R774" s="408"/>
      <c r="S774" s="408"/>
      <c r="T774" s="408"/>
      <c r="U774" s="408"/>
      <c r="V774" s="421"/>
      <c r="W774" s="421"/>
      <c r="X774" s="421"/>
      <c r="Y774" s="421"/>
      <c r="Z774" s="421"/>
      <c r="AA774" s="421"/>
      <c r="AB774" s="421"/>
      <c r="AC774" s="421"/>
      <c r="AD774" s="421"/>
      <c r="AE774" s="421"/>
      <c r="AF774" s="421"/>
      <c r="AG774" s="421"/>
      <c r="AH774" s="421"/>
      <c r="AI774" s="421"/>
      <c r="AJ774" s="421"/>
      <c r="AK774" s="421"/>
      <c r="AL774" s="421"/>
    </row>
    <row r="775" spans="1:38">
      <c r="A775" s="410">
        <v>5783</v>
      </c>
      <c r="B775" s="407"/>
      <c r="C775" s="408"/>
      <c r="D775" s="410" t="s">
        <v>2343</v>
      </c>
      <c r="E775" s="410" t="s">
        <v>1405</v>
      </c>
      <c r="F775" s="410" t="s">
        <v>1616</v>
      </c>
      <c r="G775" s="68" t="str">
        <f t="shared" si="61"/>
        <v>SINGLE</v>
      </c>
      <c r="H775" s="197">
        <f t="shared" si="60"/>
        <v>26</v>
      </c>
      <c r="I775" s="408">
        <f t="shared" si="62"/>
        <v>6</v>
      </c>
      <c r="J775" s="408">
        <f t="shared" si="63"/>
        <v>24</v>
      </c>
      <c r="K775" s="411">
        <v>45832</v>
      </c>
      <c r="L775" s="408"/>
      <c r="M775" s="408"/>
      <c r="N775" s="3" t="str">
        <f t="shared" si="64"/>
        <v/>
      </c>
      <c r="O775" s="408"/>
      <c r="P775" s="408"/>
      <c r="Q775" s="408"/>
      <c r="R775" s="408"/>
      <c r="S775" s="408"/>
      <c r="T775" s="408"/>
      <c r="U775" s="408"/>
      <c r="V775" s="421"/>
      <c r="W775" s="421"/>
      <c r="X775" s="421"/>
      <c r="Y775" s="421"/>
      <c r="Z775" s="421"/>
      <c r="AA775" s="421"/>
      <c r="AB775" s="421"/>
      <c r="AC775" s="421"/>
      <c r="AD775" s="421"/>
      <c r="AE775" s="421"/>
      <c r="AF775" s="421"/>
      <c r="AG775" s="421"/>
      <c r="AH775" s="421"/>
      <c r="AI775" s="421"/>
      <c r="AJ775" s="421"/>
      <c r="AK775" s="421"/>
      <c r="AL775" s="421"/>
    </row>
    <row r="776" spans="1:38">
      <c r="A776" s="410">
        <v>5766</v>
      </c>
      <c r="B776" s="407"/>
      <c r="C776" s="408"/>
      <c r="D776" s="410" t="s">
        <v>2344</v>
      </c>
      <c r="E776" s="410" t="s">
        <v>1405</v>
      </c>
      <c r="F776" s="410" t="s">
        <v>1591</v>
      </c>
      <c r="G776" s="68" t="str">
        <f t="shared" si="61"/>
        <v>SINGLE</v>
      </c>
      <c r="H776" s="197">
        <f t="shared" si="60"/>
        <v>26</v>
      </c>
      <c r="I776" s="408">
        <f t="shared" si="62"/>
        <v>6</v>
      </c>
      <c r="J776" s="408">
        <f t="shared" si="63"/>
        <v>25</v>
      </c>
      <c r="K776" s="411">
        <v>45833</v>
      </c>
      <c r="L776" s="408"/>
      <c r="M776" s="408"/>
      <c r="N776" s="3" t="str">
        <f t="shared" si="64"/>
        <v/>
      </c>
      <c r="O776" s="408"/>
      <c r="P776" s="408"/>
      <c r="Q776" s="408"/>
      <c r="R776" s="408"/>
      <c r="S776" s="408"/>
      <c r="T776" s="408"/>
      <c r="U776" s="408"/>
      <c r="V776" s="421"/>
      <c r="W776" s="421"/>
      <c r="X776" s="421"/>
      <c r="Y776" s="421"/>
      <c r="Z776" s="421"/>
      <c r="AA776" s="421"/>
      <c r="AB776" s="421"/>
      <c r="AC776" s="421"/>
      <c r="AD776" s="421"/>
      <c r="AE776" s="421"/>
      <c r="AF776" s="421"/>
      <c r="AG776" s="421"/>
      <c r="AH776" s="421"/>
      <c r="AI776" s="421"/>
      <c r="AJ776" s="421"/>
      <c r="AK776" s="421"/>
      <c r="AL776" s="421"/>
    </row>
    <row r="777" spans="1:38">
      <c r="A777" s="410">
        <v>5766</v>
      </c>
      <c r="B777" s="407"/>
      <c r="C777" s="408"/>
      <c r="D777" s="410" t="s">
        <v>2345</v>
      </c>
      <c r="E777" s="410" t="s">
        <v>1405</v>
      </c>
      <c r="F777" s="410" t="s">
        <v>1591</v>
      </c>
      <c r="G777" s="68" t="str">
        <f t="shared" si="61"/>
        <v>SINGLE</v>
      </c>
      <c r="H777" s="197">
        <f t="shared" si="60"/>
        <v>26</v>
      </c>
      <c r="I777" s="408">
        <f t="shared" si="62"/>
        <v>6</v>
      </c>
      <c r="J777" s="408">
        <f t="shared" si="63"/>
        <v>25</v>
      </c>
      <c r="K777" s="411">
        <v>45833</v>
      </c>
      <c r="L777" s="408"/>
      <c r="M777" s="408"/>
      <c r="N777" s="3" t="str">
        <f t="shared" si="64"/>
        <v/>
      </c>
      <c r="O777" s="408"/>
      <c r="P777" s="408"/>
      <c r="Q777" s="408"/>
      <c r="R777" s="408"/>
      <c r="S777" s="408"/>
      <c r="T777" s="408"/>
      <c r="U777" s="408"/>
      <c r="V777" s="421"/>
      <c r="W777" s="421"/>
      <c r="X777" s="421"/>
      <c r="Y777" s="421"/>
      <c r="Z777" s="421"/>
      <c r="AA777" s="421"/>
      <c r="AB777" s="421"/>
      <c r="AC777" s="421"/>
      <c r="AD777" s="421"/>
      <c r="AE777" s="421"/>
      <c r="AF777" s="421"/>
      <c r="AG777" s="421"/>
      <c r="AH777" s="421"/>
      <c r="AI777" s="421"/>
      <c r="AJ777" s="421"/>
      <c r="AK777" s="421"/>
      <c r="AL777" s="421"/>
    </row>
    <row r="778" spans="1:38">
      <c r="A778" s="410">
        <v>5727</v>
      </c>
      <c r="B778" s="407"/>
      <c r="C778" s="408"/>
      <c r="D778" s="410" t="s">
        <v>2346</v>
      </c>
      <c r="E778" s="410" t="s">
        <v>1424</v>
      </c>
      <c r="F778" s="410" t="s">
        <v>1476</v>
      </c>
      <c r="G778" s="68" t="str">
        <f t="shared" si="61"/>
        <v>DUAL</v>
      </c>
      <c r="H778" s="197">
        <f t="shared" si="60"/>
        <v>26</v>
      </c>
      <c r="I778" s="408">
        <f t="shared" si="62"/>
        <v>6</v>
      </c>
      <c r="J778" s="408">
        <f t="shared" si="63"/>
        <v>25</v>
      </c>
      <c r="K778" s="411">
        <v>45833</v>
      </c>
      <c r="L778" s="408"/>
      <c r="M778" s="408"/>
      <c r="N778" s="3" t="str">
        <f t="shared" si="64"/>
        <v/>
      </c>
      <c r="O778" s="408"/>
      <c r="P778" s="408"/>
      <c r="Q778" s="408"/>
      <c r="R778" s="408"/>
      <c r="S778" s="408"/>
      <c r="T778" s="408"/>
      <c r="U778" s="408"/>
      <c r="V778" s="421"/>
      <c r="W778" s="421"/>
      <c r="X778" s="421"/>
      <c r="Y778" s="421"/>
      <c r="Z778" s="421"/>
      <c r="AA778" s="421"/>
      <c r="AB778" s="421"/>
      <c r="AC778" s="421"/>
      <c r="AD778" s="421"/>
      <c r="AE778" s="421"/>
      <c r="AF778" s="421"/>
      <c r="AG778" s="421"/>
      <c r="AH778" s="421"/>
      <c r="AI778" s="421"/>
      <c r="AJ778" s="421"/>
      <c r="AK778" s="421"/>
      <c r="AL778" s="421"/>
    </row>
    <row r="779" spans="1:38">
      <c r="A779" s="410">
        <v>5784</v>
      </c>
      <c r="B779" s="407"/>
      <c r="C779" s="408"/>
      <c r="D779" s="410" t="s">
        <v>2347</v>
      </c>
      <c r="E779" s="410" t="s">
        <v>1422</v>
      </c>
      <c r="F779" s="410" t="s">
        <v>1476</v>
      </c>
      <c r="G779" s="68" t="str">
        <f t="shared" si="61"/>
        <v>DUAL</v>
      </c>
      <c r="H779" s="197">
        <f t="shared" si="60"/>
        <v>26</v>
      </c>
      <c r="I779" s="408">
        <f t="shared" si="62"/>
        <v>6</v>
      </c>
      <c r="J779" s="408">
        <f t="shared" si="63"/>
        <v>25</v>
      </c>
      <c r="K779" s="411">
        <v>45833</v>
      </c>
      <c r="L779" s="408"/>
      <c r="M779" s="408"/>
      <c r="N779" s="3" t="str">
        <f t="shared" si="64"/>
        <v/>
      </c>
      <c r="O779" s="408"/>
      <c r="P779" s="408"/>
      <c r="Q779" s="408"/>
      <c r="R779" s="408"/>
      <c r="S779" s="408"/>
      <c r="T779" s="408"/>
      <c r="U779" s="408"/>
      <c r="V779" s="421"/>
      <c r="W779" s="421"/>
      <c r="X779" s="421"/>
      <c r="Y779" s="421"/>
      <c r="Z779" s="421"/>
      <c r="AA779" s="421"/>
      <c r="AB779" s="421"/>
      <c r="AC779" s="421"/>
      <c r="AD779" s="421"/>
      <c r="AE779" s="421"/>
      <c r="AF779" s="421"/>
      <c r="AG779" s="421"/>
      <c r="AH779" s="421"/>
      <c r="AI779" s="421"/>
      <c r="AJ779" s="421"/>
      <c r="AK779" s="421"/>
      <c r="AL779" s="421"/>
    </row>
    <row r="780" spans="1:38">
      <c r="A780" s="410">
        <v>5764</v>
      </c>
      <c r="B780" s="407"/>
      <c r="C780" s="408"/>
      <c r="D780" s="410" t="s">
        <v>2348</v>
      </c>
      <c r="E780" s="410" t="s">
        <v>1424</v>
      </c>
      <c r="F780" s="410" t="s">
        <v>1476</v>
      </c>
      <c r="G780" s="68" t="str">
        <f t="shared" si="61"/>
        <v>DUAL</v>
      </c>
      <c r="H780" s="197">
        <f t="shared" si="60"/>
        <v>26</v>
      </c>
      <c r="I780" s="408">
        <f t="shared" si="62"/>
        <v>6</v>
      </c>
      <c r="J780" s="408">
        <f t="shared" si="63"/>
        <v>25</v>
      </c>
      <c r="K780" s="411">
        <v>45833</v>
      </c>
      <c r="L780" s="408"/>
      <c r="M780" s="408"/>
      <c r="N780" s="3" t="str">
        <f t="shared" si="64"/>
        <v/>
      </c>
      <c r="O780" s="408"/>
      <c r="P780" s="408"/>
      <c r="Q780" s="408"/>
      <c r="R780" s="408"/>
      <c r="S780" s="408"/>
      <c r="T780" s="408"/>
      <c r="U780" s="408"/>
      <c r="V780" s="421"/>
      <c r="W780" s="421"/>
      <c r="X780" s="421"/>
      <c r="Y780" s="421"/>
      <c r="Z780" s="421"/>
      <c r="AA780" s="421"/>
      <c r="AB780" s="421"/>
      <c r="AC780" s="421"/>
      <c r="AD780" s="421"/>
      <c r="AE780" s="421"/>
      <c r="AF780" s="421"/>
      <c r="AG780" s="421"/>
      <c r="AH780" s="421"/>
      <c r="AI780" s="421"/>
      <c r="AJ780" s="421"/>
      <c r="AK780" s="421"/>
      <c r="AL780" s="421"/>
    </row>
    <row r="781" spans="1:38">
      <c r="A781" s="410">
        <v>5673</v>
      </c>
      <c r="B781" s="407"/>
      <c r="C781" s="408"/>
      <c r="D781" s="410" t="s">
        <v>2349</v>
      </c>
      <c r="E781" s="410" t="s">
        <v>1585</v>
      </c>
      <c r="F781" s="410" t="s">
        <v>1591</v>
      </c>
      <c r="G781" s="68" t="str">
        <f t="shared" si="61"/>
        <v>SINGLE</v>
      </c>
      <c r="H781" s="197">
        <f t="shared" si="60"/>
        <v>26</v>
      </c>
      <c r="I781" s="408">
        <f t="shared" si="62"/>
        <v>6</v>
      </c>
      <c r="J781" s="408">
        <f t="shared" si="63"/>
        <v>26</v>
      </c>
      <c r="K781" s="411">
        <v>45834</v>
      </c>
      <c r="L781" s="408"/>
      <c r="M781" s="408"/>
      <c r="N781" s="3" t="str">
        <f t="shared" si="64"/>
        <v/>
      </c>
      <c r="O781" s="408"/>
      <c r="P781" s="408"/>
      <c r="Q781" s="408"/>
      <c r="R781" s="408"/>
      <c r="S781" s="408"/>
      <c r="T781" s="408"/>
      <c r="U781" s="408"/>
      <c r="V781" s="421"/>
      <c r="W781" s="421"/>
      <c r="X781" s="421"/>
      <c r="Y781" s="421"/>
      <c r="Z781" s="421"/>
      <c r="AA781" s="421"/>
      <c r="AB781" s="421"/>
      <c r="AC781" s="421"/>
      <c r="AD781" s="421"/>
      <c r="AE781" s="421"/>
      <c r="AF781" s="421"/>
      <c r="AG781" s="421"/>
      <c r="AH781" s="421"/>
      <c r="AI781" s="421"/>
      <c r="AJ781" s="421"/>
      <c r="AK781" s="421"/>
      <c r="AL781" s="421"/>
    </row>
    <row r="782" spans="1:38">
      <c r="A782" s="410">
        <v>5722</v>
      </c>
      <c r="B782" s="407"/>
      <c r="C782" s="408"/>
      <c r="D782" s="410" t="s">
        <v>2350</v>
      </c>
      <c r="E782" s="410" t="s">
        <v>1405</v>
      </c>
      <c r="F782" s="410" t="s">
        <v>1616</v>
      </c>
      <c r="G782" s="68" t="str">
        <f t="shared" si="61"/>
        <v>SINGLE</v>
      </c>
      <c r="H782" s="197">
        <f t="shared" si="60"/>
        <v>26</v>
      </c>
      <c r="I782" s="408">
        <f t="shared" si="62"/>
        <v>6</v>
      </c>
      <c r="J782" s="408">
        <f t="shared" si="63"/>
        <v>26</v>
      </c>
      <c r="K782" s="411">
        <v>45834</v>
      </c>
      <c r="L782" s="408"/>
      <c r="M782" s="408"/>
      <c r="N782" s="3" t="str">
        <f t="shared" si="64"/>
        <v/>
      </c>
      <c r="O782" s="408"/>
      <c r="P782" s="408"/>
      <c r="Q782" s="408"/>
      <c r="R782" s="408"/>
      <c r="S782" s="408"/>
      <c r="T782" s="408"/>
      <c r="U782" s="408"/>
      <c r="V782" s="421"/>
      <c r="W782" s="421"/>
      <c r="X782" s="421"/>
      <c r="Y782" s="421"/>
      <c r="Z782" s="421"/>
      <c r="AA782" s="421"/>
      <c r="AB782" s="421"/>
      <c r="AC782" s="421"/>
      <c r="AD782" s="421"/>
      <c r="AE782" s="421"/>
      <c r="AF782" s="421"/>
      <c r="AG782" s="421"/>
      <c r="AH782" s="421"/>
      <c r="AI782" s="421"/>
      <c r="AJ782" s="421"/>
      <c r="AK782" s="421"/>
      <c r="AL782" s="421"/>
    </row>
    <row r="783" spans="1:38">
      <c r="A783" s="410">
        <v>5722</v>
      </c>
      <c r="B783" s="407"/>
      <c r="C783" s="408"/>
      <c r="D783" s="410" t="s">
        <v>2351</v>
      </c>
      <c r="E783" s="410" t="s">
        <v>1405</v>
      </c>
      <c r="F783" s="410" t="s">
        <v>1616</v>
      </c>
      <c r="G783" s="68" t="str">
        <f t="shared" si="61"/>
        <v>SINGLE</v>
      </c>
      <c r="H783" s="197">
        <f t="shared" si="60"/>
        <v>26</v>
      </c>
      <c r="I783" s="408">
        <f t="shared" si="62"/>
        <v>6</v>
      </c>
      <c r="J783" s="408">
        <f t="shared" si="63"/>
        <v>26</v>
      </c>
      <c r="K783" s="411">
        <v>45834</v>
      </c>
      <c r="L783" s="408"/>
      <c r="M783" s="408"/>
      <c r="N783" s="3" t="str">
        <f t="shared" si="64"/>
        <v/>
      </c>
      <c r="O783" s="408"/>
      <c r="P783" s="408"/>
      <c r="Q783" s="408"/>
      <c r="R783" s="408"/>
      <c r="S783" s="408"/>
      <c r="T783" s="408"/>
      <c r="U783" s="408"/>
      <c r="V783" s="421"/>
      <c r="W783" s="421"/>
      <c r="X783" s="421"/>
      <c r="Y783" s="421"/>
      <c r="Z783" s="421"/>
      <c r="AA783" s="421"/>
      <c r="AB783" s="421"/>
      <c r="AC783" s="421"/>
      <c r="AD783" s="421"/>
      <c r="AE783" s="421"/>
      <c r="AF783" s="421"/>
      <c r="AG783" s="421"/>
      <c r="AH783" s="421"/>
      <c r="AI783" s="421"/>
      <c r="AJ783" s="421"/>
      <c r="AK783" s="421"/>
      <c r="AL783" s="421"/>
    </row>
    <row r="784" spans="1:38">
      <c r="A784" s="410">
        <v>5801</v>
      </c>
      <c r="B784" s="407"/>
      <c r="C784" s="408"/>
      <c r="D784" s="410" t="s">
        <v>2352</v>
      </c>
      <c r="E784" s="410" t="s">
        <v>1426</v>
      </c>
      <c r="F784" s="410" t="s">
        <v>1476</v>
      </c>
      <c r="G784" s="68" t="str">
        <f t="shared" si="61"/>
        <v>DUAL</v>
      </c>
      <c r="H784" s="197">
        <f t="shared" si="60"/>
        <v>26</v>
      </c>
      <c r="I784" s="408">
        <f t="shared" si="62"/>
        <v>6</v>
      </c>
      <c r="J784" s="408">
        <f t="shared" si="63"/>
        <v>26</v>
      </c>
      <c r="K784" s="411">
        <v>45834</v>
      </c>
      <c r="L784" s="408"/>
      <c r="M784" s="408"/>
      <c r="N784" s="3" t="str">
        <f t="shared" si="64"/>
        <v/>
      </c>
      <c r="O784" s="408"/>
      <c r="P784" s="408"/>
      <c r="Q784" s="408"/>
      <c r="R784" s="408"/>
      <c r="S784" s="408"/>
      <c r="T784" s="408"/>
      <c r="U784" s="408"/>
      <c r="V784" s="421"/>
      <c r="W784" s="421"/>
      <c r="X784" s="421"/>
      <c r="Y784" s="421"/>
      <c r="Z784" s="421"/>
      <c r="AA784" s="421"/>
      <c r="AB784" s="421"/>
      <c r="AC784" s="421"/>
      <c r="AD784" s="421"/>
      <c r="AE784" s="421"/>
      <c r="AF784" s="421"/>
      <c r="AG784" s="421"/>
      <c r="AH784" s="421"/>
      <c r="AI784" s="421"/>
      <c r="AJ784" s="421"/>
      <c r="AK784" s="421"/>
      <c r="AL784" s="421"/>
    </row>
    <row r="785" spans="1:38">
      <c r="A785" s="410">
        <v>5707</v>
      </c>
      <c r="B785" s="407"/>
      <c r="C785" s="408"/>
      <c r="D785" s="410" t="s">
        <v>2353</v>
      </c>
      <c r="E785" s="410" t="s">
        <v>1424</v>
      </c>
      <c r="F785" s="410" t="s">
        <v>1476</v>
      </c>
      <c r="G785" s="68" t="str">
        <f t="shared" si="61"/>
        <v>DUAL</v>
      </c>
      <c r="H785" s="197">
        <f t="shared" si="60"/>
        <v>26</v>
      </c>
      <c r="I785" s="408">
        <f t="shared" si="62"/>
        <v>6</v>
      </c>
      <c r="J785" s="408">
        <f t="shared" si="63"/>
        <v>26</v>
      </c>
      <c r="K785" s="411">
        <v>45834</v>
      </c>
      <c r="L785" s="408"/>
      <c r="M785" s="408"/>
      <c r="N785" s="3" t="str">
        <f t="shared" si="64"/>
        <v/>
      </c>
      <c r="O785" s="408"/>
      <c r="P785" s="408"/>
      <c r="Q785" s="408"/>
      <c r="R785" s="408"/>
      <c r="S785" s="408"/>
      <c r="T785" s="408"/>
      <c r="U785" s="408"/>
      <c r="V785" s="421"/>
      <c r="W785" s="421"/>
      <c r="X785" s="421"/>
      <c r="Y785" s="421"/>
      <c r="Z785" s="421"/>
      <c r="AA785" s="421"/>
      <c r="AB785" s="421"/>
      <c r="AC785" s="421"/>
      <c r="AD785" s="421"/>
      <c r="AE785" s="421"/>
      <c r="AF785" s="421"/>
      <c r="AG785" s="421"/>
      <c r="AH785" s="421"/>
      <c r="AI785" s="421"/>
      <c r="AJ785" s="421"/>
      <c r="AK785" s="421"/>
      <c r="AL785" s="421"/>
    </row>
    <row r="786" spans="1:38">
      <c r="A786" s="410">
        <v>5351</v>
      </c>
      <c r="B786" s="407"/>
      <c r="C786" s="408"/>
      <c r="D786" s="410" t="s">
        <v>2354</v>
      </c>
      <c r="E786" s="410" t="s">
        <v>1585</v>
      </c>
      <c r="F786" s="410" t="s">
        <v>1476</v>
      </c>
      <c r="G786" s="68" t="str">
        <f t="shared" si="61"/>
        <v>DUAL</v>
      </c>
      <c r="H786" s="197">
        <f t="shared" si="60"/>
        <v>26</v>
      </c>
      <c r="I786" s="408">
        <f t="shared" si="62"/>
        <v>6</v>
      </c>
      <c r="J786" s="408">
        <f t="shared" si="63"/>
        <v>26</v>
      </c>
      <c r="K786" s="411">
        <v>45834</v>
      </c>
      <c r="L786" s="408"/>
      <c r="M786" s="408"/>
      <c r="N786" s="3" t="str">
        <f t="shared" si="64"/>
        <v/>
      </c>
      <c r="O786" s="408"/>
      <c r="P786" s="408"/>
      <c r="Q786" s="408"/>
      <c r="R786" s="408"/>
      <c r="S786" s="408"/>
      <c r="T786" s="408"/>
      <c r="U786" s="408"/>
      <c r="V786" s="421"/>
      <c r="W786" s="421"/>
      <c r="X786" s="421"/>
      <c r="Y786" s="421"/>
      <c r="Z786" s="421"/>
      <c r="AA786" s="421"/>
      <c r="AB786" s="421"/>
      <c r="AC786" s="421"/>
      <c r="AD786" s="421"/>
      <c r="AE786" s="421"/>
      <c r="AF786" s="421"/>
      <c r="AG786" s="421"/>
      <c r="AH786" s="421"/>
      <c r="AI786" s="421"/>
      <c r="AJ786" s="421"/>
      <c r="AK786" s="421"/>
      <c r="AL786" s="421"/>
    </row>
    <row r="787" spans="1:38">
      <c r="A787" s="410">
        <v>5802</v>
      </c>
      <c r="B787" s="407"/>
      <c r="C787" s="408"/>
      <c r="D787" s="410" t="s">
        <v>2355</v>
      </c>
      <c r="E787" s="410" t="s">
        <v>1426</v>
      </c>
      <c r="F787" s="410" t="s">
        <v>1476</v>
      </c>
      <c r="G787" s="68" t="str">
        <f t="shared" si="61"/>
        <v>DUAL</v>
      </c>
      <c r="H787" s="197">
        <f t="shared" si="60"/>
        <v>26</v>
      </c>
      <c r="I787" s="408">
        <f t="shared" si="62"/>
        <v>6</v>
      </c>
      <c r="J787" s="408">
        <f t="shared" si="63"/>
        <v>27</v>
      </c>
      <c r="K787" s="411">
        <v>45835</v>
      </c>
      <c r="L787" s="408"/>
      <c r="M787" s="408"/>
      <c r="N787" s="3" t="str">
        <f t="shared" si="64"/>
        <v/>
      </c>
      <c r="O787" s="408"/>
      <c r="P787" s="408"/>
      <c r="Q787" s="408"/>
      <c r="R787" s="408"/>
      <c r="S787" s="408"/>
      <c r="T787" s="408"/>
      <c r="U787" s="408"/>
      <c r="V787" s="421"/>
      <c r="W787" s="421"/>
      <c r="X787" s="421"/>
      <c r="Y787" s="421"/>
      <c r="Z787" s="421"/>
      <c r="AA787" s="421"/>
      <c r="AB787" s="421"/>
      <c r="AC787" s="421"/>
      <c r="AD787" s="421"/>
      <c r="AE787" s="421"/>
      <c r="AF787" s="421"/>
      <c r="AG787" s="421"/>
      <c r="AH787" s="421"/>
      <c r="AI787" s="421"/>
      <c r="AJ787" s="421"/>
      <c r="AK787" s="421"/>
      <c r="AL787" s="421"/>
    </row>
    <row r="788" spans="1:38">
      <c r="A788" s="410">
        <v>5708</v>
      </c>
      <c r="B788" s="407"/>
      <c r="C788" s="408"/>
      <c r="D788" s="410" t="s">
        <v>2356</v>
      </c>
      <c r="E788" s="410" t="s">
        <v>1424</v>
      </c>
      <c r="F788" s="410" t="s">
        <v>1476</v>
      </c>
      <c r="G788" s="68" t="str">
        <f t="shared" si="61"/>
        <v>DUAL</v>
      </c>
      <c r="H788" s="197">
        <f t="shared" si="60"/>
        <v>26</v>
      </c>
      <c r="I788" s="408">
        <f t="shared" si="62"/>
        <v>6</v>
      </c>
      <c r="J788" s="408">
        <f t="shared" si="63"/>
        <v>27</v>
      </c>
      <c r="K788" s="411">
        <v>45835</v>
      </c>
      <c r="L788" s="408"/>
      <c r="M788" s="408"/>
      <c r="N788" s="3" t="str">
        <f t="shared" si="64"/>
        <v/>
      </c>
      <c r="O788" s="408"/>
      <c r="P788" s="408"/>
      <c r="Q788" s="408"/>
      <c r="R788" s="408"/>
      <c r="S788" s="408"/>
      <c r="T788" s="408"/>
      <c r="U788" s="408"/>
      <c r="V788" s="421"/>
      <c r="W788" s="421"/>
      <c r="X788" s="421"/>
      <c r="Y788" s="421"/>
      <c r="Z788" s="421"/>
      <c r="AA788" s="421"/>
      <c r="AB788" s="421"/>
      <c r="AC788" s="421"/>
      <c r="AD788" s="421"/>
      <c r="AE788" s="421"/>
      <c r="AF788" s="421"/>
      <c r="AG788" s="421"/>
      <c r="AH788" s="421"/>
      <c r="AI788" s="421"/>
      <c r="AJ788" s="421"/>
      <c r="AK788" s="421"/>
      <c r="AL788" s="421"/>
    </row>
    <row r="789" spans="1:38">
      <c r="A789" s="410">
        <v>5654</v>
      </c>
      <c r="B789" s="407"/>
      <c r="C789" s="408"/>
      <c r="D789" s="410" t="s">
        <v>2357</v>
      </c>
      <c r="E789" s="410" t="s">
        <v>1585</v>
      </c>
      <c r="F789" s="410" t="s">
        <v>1476</v>
      </c>
      <c r="G789" s="68" t="str">
        <f t="shared" si="61"/>
        <v>DUAL</v>
      </c>
      <c r="H789" s="197">
        <f t="shared" si="60"/>
        <v>26</v>
      </c>
      <c r="I789" s="408">
        <f t="shared" si="62"/>
        <v>6</v>
      </c>
      <c r="J789" s="408">
        <f t="shared" si="63"/>
        <v>27</v>
      </c>
      <c r="K789" s="411">
        <v>45835</v>
      </c>
      <c r="L789" s="408"/>
      <c r="M789" s="408"/>
      <c r="N789" s="3" t="str">
        <f t="shared" si="64"/>
        <v/>
      </c>
      <c r="O789" s="408"/>
      <c r="P789" s="408"/>
      <c r="Q789" s="408"/>
      <c r="R789" s="408"/>
      <c r="S789" s="408"/>
      <c r="T789" s="408"/>
      <c r="U789" s="408"/>
      <c r="V789" s="421"/>
      <c r="W789" s="421"/>
      <c r="X789" s="421"/>
      <c r="Y789" s="421"/>
      <c r="Z789" s="421"/>
      <c r="AA789" s="421"/>
      <c r="AB789" s="421"/>
      <c r="AC789" s="421"/>
      <c r="AD789" s="421"/>
      <c r="AE789" s="421"/>
      <c r="AF789" s="421"/>
      <c r="AG789" s="421"/>
      <c r="AH789" s="421"/>
      <c r="AI789" s="421"/>
      <c r="AJ789" s="421"/>
      <c r="AK789" s="421"/>
      <c r="AL789" s="421"/>
    </row>
    <row r="790" spans="1:38">
      <c r="A790" s="410">
        <v>5673</v>
      </c>
      <c r="B790" s="407"/>
      <c r="C790" s="408"/>
      <c r="D790" s="410" t="s">
        <v>2358</v>
      </c>
      <c r="E790" s="410" t="s">
        <v>1585</v>
      </c>
      <c r="F790" s="410" t="s">
        <v>1591</v>
      </c>
      <c r="G790" s="68" t="str">
        <f t="shared" si="61"/>
        <v>SINGLE</v>
      </c>
      <c r="H790" s="197">
        <f t="shared" si="60"/>
        <v>26</v>
      </c>
      <c r="I790" s="408">
        <f t="shared" si="62"/>
        <v>6</v>
      </c>
      <c r="J790" s="408">
        <f t="shared" si="63"/>
        <v>27</v>
      </c>
      <c r="K790" s="411">
        <v>45835</v>
      </c>
      <c r="L790" s="408"/>
      <c r="M790" s="408"/>
      <c r="N790" s="3" t="str">
        <f t="shared" si="64"/>
        <v/>
      </c>
      <c r="O790" s="408"/>
      <c r="P790" s="408"/>
      <c r="Q790" s="408"/>
      <c r="R790" s="408"/>
      <c r="S790" s="408"/>
      <c r="T790" s="408"/>
      <c r="U790" s="408"/>
      <c r="V790" s="421"/>
      <c r="W790" s="421"/>
      <c r="X790" s="421"/>
      <c r="Y790" s="421"/>
      <c r="Z790" s="421"/>
      <c r="AA790" s="421"/>
      <c r="AB790" s="421"/>
      <c r="AC790" s="421"/>
      <c r="AD790" s="421"/>
      <c r="AE790" s="421"/>
      <c r="AF790" s="421"/>
      <c r="AG790" s="421"/>
      <c r="AH790" s="421"/>
      <c r="AI790" s="421"/>
      <c r="AJ790" s="421"/>
      <c r="AK790" s="421"/>
      <c r="AL790" s="421"/>
    </row>
    <row r="791" spans="1:38">
      <c r="A791" s="410">
        <v>5820</v>
      </c>
      <c r="B791" s="407"/>
      <c r="C791" s="408"/>
      <c r="D791" s="410" t="s">
        <v>2359</v>
      </c>
      <c r="E791" s="410" t="s">
        <v>1405</v>
      </c>
      <c r="F791" s="410" t="s">
        <v>1616</v>
      </c>
      <c r="G791" s="68" t="str">
        <f t="shared" si="61"/>
        <v>SINGLE</v>
      </c>
      <c r="H791" s="197">
        <f t="shared" si="60"/>
        <v>27</v>
      </c>
      <c r="I791" s="408">
        <f t="shared" si="62"/>
        <v>6</v>
      </c>
      <c r="J791" s="408">
        <f t="shared" si="63"/>
        <v>30</v>
      </c>
      <c r="K791" s="411">
        <v>45838</v>
      </c>
      <c r="L791" s="408"/>
      <c r="M791" s="408"/>
      <c r="N791" s="3" t="str">
        <f t="shared" si="64"/>
        <v/>
      </c>
      <c r="O791" s="408"/>
      <c r="P791" s="408"/>
      <c r="Q791" s="408"/>
      <c r="R791" s="408"/>
      <c r="S791" s="408"/>
      <c r="T791" s="408"/>
      <c r="U791" s="408"/>
      <c r="V791" s="421"/>
      <c r="W791" s="421"/>
      <c r="X791" s="421"/>
      <c r="Y791" s="421"/>
      <c r="Z791" s="421"/>
      <c r="AA791" s="421"/>
      <c r="AB791" s="421"/>
      <c r="AC791" s="421"/>
      <c r="AD791" s="421"/>
      <c r="AE791" s="421"/>
      <c r="AF791" s="421"/>
      <c r="AG791" s="421"/>
      <c r="AH791" s="421"/>
      <c r="AI791" s="421"/>
      <c r="AJ791" s="421"/>
      <c r="AK791" s="421"/>
      <c r="AL791" s="421"/>
    </row>
    <row r="792" spans="1:38">
      <c r="A792" s="410">
        <v>5820</v>
      </c>
      <c r="B792" s="407"/>
      <c r="C792" s="408"/>
      <c r="D792" s="410" t="s">
        <v>2360</v>
      </c>
      <c r="E792" s="410" t="s">
        <v>1405</v>
      </c>
      <c r="F792" s="410" t="s">
        <v>1616</v>
      </c>
      <c r="G792" s="68" t="str">
        <f t="shared" si="61"/>
        <v>SINGLE</v>
      </c>
      <c r="H792" s="197">
        <f t="shared" si="60"/>
        <v>27</v>
      </c>
      <c r="I792" s="408">
        <f t="shared" si="62"/>
        <v>6</v>
      </c>
      <c r="J792" s="408">
        <f t="shared" si="63"/>
        <v>30</v>
      </c>
      <c r="K792" s="411">
        <v>45838</v>
      </c>
      <c r="L792" s="408"/>
      <c r="M792" s="408"/>
      <c r="N792" s="3" t="str">
        <f t="shared" si="64"/>
        <v/>
      </c>
      <c r="O792" s="408"/>
      <c r="P792" s="408"/>
      <c r="Q792" s="408"/>
      <c r="R792" s="408"/>
      <c r="S792" s="408"/>
      <c r="T792" s="408"/>
      <c r="U792" s="408"/>
      <c r="V792" s="421"/>
      <c r="W792" s="421"/>
      <c r="X792" s="421"/>
      <c r="Y792" s="421"/>
      <c r="Z792" s="421"/>
      <c r="AA792" s="421"/>
      <c r="AB792" s="421"/>
      <c r="AC792" s="421"/>
      <c r="AD792" s="421"/>
      <c r="AE792" s="421"/>
      <c r="AF792" s="421"/>
      <c r="AG792" s="421"/>
      <c r="AH792" s="421"/>
      <c r="AI792" s="421"/>
      <c r="AJ792" s="421"/>
      <c r="AK792" s="421"/>
      <c r="AL792" s="421"/>
    </row>
    <row r="793" spans="1:38">
      <c r="A793" s="410">
        <v>5801</v>
      </c>
      <c r="B793" s="407"/>
      <c r="C793" s="408"/>
      <c r="D793" s="410" t="s">
        <v>2361</v>
      </c>
      <c r="E793" s="410" t="s">
        <v>1426</v>
      </c>
      <c r="F793" s="410" t="s">
        <v>1476</v>
      </c>
      <c r="G793" s="68" t="str">
        <f t="shared" si="61"/>
        <v>DUAL</v>
      </c>
      <c r="H793" s="197">
        <f t="shared" si="60"/>
        <v>27</v>
      </c>
      <c r="I793" s="408">
        <f t="shared" si="62"/>
        <v>6</v>
      </c>
      <c r="J793" s="408">
        <f t="shared" si="63"/>
        <v>30</v>
      </c>
      <c r="K793" s="411">
        <v>45838</v>
      </c>
      <c r="L793" s="408"/>
      <c r="M793" s="408"/>
      <c r="N793" s="3" t="str">
        <f t="shared" si="64"/>
        <v/>
      </c>
      <c r="O793" s="408"/>
      <c r="P793" s="408"/>
      <c r="Q793" s="408"/>
      <c r="R793" s="408"/>
      <c r="S793" s="408"/>
      <c r="T793" s="408"/>
      <c r="U793" s="408"/>
      <c r="V793" s="421"/>
      <c r="W793" s="421"/>
      <c r="X793" s="421"/>
      <c r="Y793" s="421"/>
      <c r="Z793" s="421"/>
      <c r="AA793" s="421"/>
      <c r="AB793" s="421"/>
      <c r="AC793" s="421"/>
      <c r="AD793" s="421"/>
      <c r="AE793" s="421"/>
      <c r="AF793" s="421"/>
      <c r="AG793" s="421"/>
      <c r="AH793" s="421"/>
      <c r="AI793" s="421"/>
      <c r="AJ793" s="421"/>
      <c r="AK793" s="421"/>
      <c r="AL793" s="421"/>
    </row>
    <row r="794" spans="1:38">
      <c r="A794" s="410">
        <v>5801</v>
      </c>
      <c r="B794" s="407"/>
      <c r="C794" s="408"/>
      <c r="D794" s="410" t="s">
        <v>2362</v>
      </c>
      <c r="E794" s="410" t="s">
        <v>1426</v>
      </c>
      <c r="F794" s="410" t="s">
        <v>1476</v>
      </c>
      <c r="G794" s="68" t="str">
        <f t="shared" si="61"/>
        <v>DUAL</v>
      </c>
      <c r="H794" s="197">
        <f t="shared" si="60"/>
        <v>27</v>
      </c>
      <c r="I794" s="408">
        <f t="shared" si="62"/>
        <v>6</v>
      </c>
      <c r="J794" s="408">
        <f t="shared" si="63"/>
        <v>30</v>
      </c>
      <c r="K794" s="411">
        <v>45838</v>
      </c>
      <c r="L794" s="408"/>
      <c r="M794" s="408"/>
      <c r="N794" s="3" t="str">
        <f t="shared" si="64"/>
        <v/>
      </c>
      <c r="O794" s="408"/>
      <c r="P794" s="408"/>
      <c r="Q794" s="408"/>
      <c r="R794" s="408"/>
      <c r="S794" s="408"/>
      <c r="T794" s="408"/>
      <c r="U794" s="408"/>
      <c r="V794" s="421"/>
      <c r="W794" s="421"/>
      <c r="X794" s="421"/>
      <c r="Y794" s="421"/>
      <c r="Z794" s="421"/>
      <c r="AA794" s="421"/>
      <c r="AB794" s="421"/>
      <c r="AC794" s="421"/>
      <c r="AD794" s="421"/>
      <c r="AE794" s="421"/>
      <c r="AF794" s="421"/>
      <c r="AG794" s="421"/>
      <c r="AH794" s="421"/>
      <c r="AI794" s="421"/>
      <c r="AJ794" s="421"/>
      <c r="AK794" s="421"/>
      <c r="AL794" s="421"/>
    </row>
    <row r="795" spans="1:38">
      <c r="A795" s="410">
        <v>5801</v>
      </c>
      <c r="B795" s="407"/>
      <c r="C795" s="408"/>
      <c r="D795" s="410" t="s">
        <v>2363</v>
      </c>
      <c r="E795" s="410" t="s">
        <v>1426</v>
      </c>
      <c r="F795" s="410" t="s">
        <v>1476</v>
      </c>
      <c r="G795" s="68" t="str">
        <f t="shared" si="61"/>
        <v>DUAL</v>
      </c>
      <c r="H795" s="197">
        <f t="shared" si="60"/>
        <v>27</v>
      </c>
      <c r="I795" s="408">
        <f t="shared" si="62"/>
        <v>6</v>
      </c>
      <c r="J795" s="408">
        <f t="shared" si="63"/>
        <v>30</v>
      </c>
      <c r="K795" s="411">
        <v>45838</v>
      </c>
      <c r="L795" s="408"/>
      <c r="M795" s="408"/>
      <c r="N795" s="3" t="str">
        <f t="shared" si="64"/>
        <v/>
      </c>
      <c r="O795" s="408"/>
      <c r="P795" s="408"/>
      <c r="Q795" s="408"/>
      <c r="R795" s="408"/>
      <c r="S795" s="408"/>
      <c r="T795" s="408"/>
      <c r="U795" s="408"/>
      <c r="V795" s="421"/>
      <c r="W795" s="421"/>
      <c r="X795" s="421"/>
      <c r="Y795" s="421"/>
      <c r="Z795" s="421"/>
      <c r="AA795" s="421"/>
      <c r="AB795" s="421"/>
      <c r="AC795" s="421"/>
      <c r="AD795" s="421"/>
      <c r="AE795" s="421"/>
      <c r="AF795" s="421"/>
      <c r="AG795" s="421"/>
      <c r="AH795" s="421"/>
      <c r="AI795" s="421"/>
      <c r="AJ795" s="421"/>
      <c r="AK795" s="421"/>
      <c r="AL795" s="421"/>
    </row>
    <row r="796" spans="1:38" s="180" customFormat="1">
      <c r="A796" s="41">
        <v>5767</v>
      </c>
      <c r="B796" s="123" cm="1">
        <f t="array" ref="B796">SUM(--(FREQUENCY(IF(C$2:C$3087=C796, MATCH(D$2:D$3087, D$2:D$3087, 0)), ROW(D$2:D$3087)-ROW(D$2)+1) &gt; 0))</f>
        <v>20</v>
      </c>
      <c r="C796" s="41">
        <v>41200074</v>
      </c>
      <c r="D796" s="41" t="s">
        <v>2364</v>
      </c>
      <c r="E796" s="41" t="s">
        <v>2365</v>
      </c>
      <c r="F796" s="41" t="s">
        <v>2366</v>
      </c>
      <c r="G796" s="68" t="str">
        <f t="shared" si="61"/>
        <v>DUAL</v>
      </c>
      <c r="H796" s="197">
        <f t="shared" si="60"/>
        <v>27</v>
      </c>
      <c r="I796" s="41">
        <v>7</v>
      </c>
      <c r="J796" s="41">
        <v>1</v>
      </c>
      <c r="K796" s="186">
        <f t="shared" ref="K796:K859" si="65">DATE(2025, I796, J796)</f>
        <v>45839</v>
      </c>
      <c r="L796" s="41" t="s">
        <v>1465</v>
      </c>
      <c r="M796" s="41" t="s">
        <v>2367</v>
      </c>
      <c r="N796" s="3" t="str">
        <f t="shared" si="64"/>
        <v>NG</v>
      </c>
      <c r="O796" s="41" t="s">
        <v>2368</v>
      </c>
      <c r="P796" s="41" t="s">
        <v>2369</v>
      </c>
      <c r="Q796" s="41"/>
      <c r="R796" s="41"/>
      <c r="S796" s="41" t="s">
        <v>2370</v>
      </c>
      <c r="T796" s="414"/>
      <c r="U796" s="414"/>
      <c r="V796" s="419"/>
      <c r="W796" s="419"/>
      <c r="X796" s="419"/>
      <c r="Y796" s="419"/>
      <c r="Z796" s="419"/>
      <c r="AA796" s="419"/>
      <c r="AB796" s="419"/>
      <c r="AC796" s="419"/>
      <c r="AD796" s="419"/>
      <c r="AE796" s="419"/>
      <c r="AF796" s="419"/>
      <c r="AG796" s="419"/>
      <c r="AH796" s="419"/>
      <c r="AI796" s="419"/>
      <c r="AJ796" s="419"/>
      <c r="AK796" s="419"/>
      <c r="AL796" s="419"/>
    </row>
    <row r="797" spans="1:38" s="180" customFormat="1">
      <c r="A797" s="41">
        <v>5767</v>
      </c>
      <c r="B797" s="123" cm="1">
        <f t="array" ref="B797">SUM(--(FREQUENCY(IF(C$2:C$3087=C797, MATCH(D$2:D$3087, D$2:D$3087, 0)), ROW(D$2:D$3087)-ROW(D$2)+1) &gt; 0))</f>
        <v>20</v>
      </c>
      <c r="C797" s="41">
        <v>41200074</v>
      </c>
      <c r="D797" s="41" t="s">
        <v>2364</v>
      </c>
      <c r="E797" s="41" t="s">
        <v>2365</v>
      </c>
      <c r="F797" s="41" t="s">
        <v>2366</v>
      </c>
      <c r="G797" s="68" t="str">
        <f t="shared" si="61"/>
        <v>DUAL</v>
      </c>
      <c r="H797" s="197">
        <f t="shared" si="60"/>
        <v>27</v>
      </c>
      <c r="I797" s="41">
        <v>7</v>
      </c>
      <c r="J797" s="41">
        <v>1</v>
      </c>
      <c r="K797" s="186">
        <f t="shared" si="65"/>
        <v>45839</v>
      </c>
      <c r="L797" s="41" t="s">
        <v>1465</v>
      </c>
      <c r="M797" s="41" t="s">
        <v>2367</v>
      </c>
      <c r="N797" s="3" t="str">
        <f t="shared" si="64"/>
        <v>NG</v>
      </c>
      <c r="O797" s="41" t="s">
        <v>2368</v>
      </c>
      <c r="P797" s="41" t="s">
        <v>2371</v>
      </c>
      <c r="Q797" s="41"/>
      <c r="R797" s="41"/>
      <c r="S797" s="41" t="s">
        <v>2372</v>
      </c>
      <c r="T797" s="414"/>
      <c r="U797" s="414"/>
      <c r="V797" s="419"/>
      <c r="W797" s="419"/>
      <c r="X797" s="419"/>
      <c r="Y797" s="419"/>
      <c r="Z797" s="419"/>
      <c r="AA797" s="419"/>
      <c r="AB797" s="419"/>
      <c r="AC797" s="419"/>
      <c r="AD797" s="419"/>
      <c r="AE797" s="419"/>
      <c r="AF797" s="419"/>
      <c r="AG797" s="419"/>
      <c r="AH797" s="419"/>
      <c r="AI797" s="419"/>
      <c r="AJ797" s="419"/>
      <c r="AK797" s="419"/>
      <c r="AL797" s="419"/>
    </row>
    <row r="798" spans="1:38" s="180" customFormat="1">
      <c r="A798" s="11">
        <v>5767</v>
      </c>
      <c r="B798" s="123">
        <f t="array" ref="B798">SUM(--(FREQUENCY(IF(C$2:C$3087=C798, MATCH(D$2:D$3087, D$2:D$3087, 0)), ROW(D$2:D$3087)-ROW(D$2)+1) &gt; 0))</f>
        <v>20</v>
      </c>
      <c r="C798" s="41">
        <v>41200074</v>
      </c>
      <c r="D798" s="41" t="s">
        <v>2373</v>
      </c>
      <c r="E798" s="41" t="s">
        <v>2365</v>
      </c>
      <c r="F798" s="41" t="s">
        <v>2366</v>
      </c>
      <c r="G798" s="68" t="str">
        <f t="shared" si="61"/>
        <v>DUAL</v>
      </c>
      <c r="H798" s="197">
        <f t="shared" si="60"/>
        <v>27</v>
      </c>
      <c r="I798" s="41">
        <v>7</v>
      </c>
      <c r="J798" s="41">
        <v>1</v>
      </c>
      <c r="K798" s="186">
        <f t="shared" si="65"/>
        <v>45839</v>
      </c>
      <c r="L798" s="41" t="s">
        <v>1465</v>
      </c>
      <c r="M798" s="41" t="s">
        <v>2367</v>
      </c>
      <c r="N798" s="3" t="str">
        <f t="shared" si="64"/>
        <v>NG</v>
      </c>
      <c r="O798" s="41" t="s">
        <v>2368</v>
      </c>
      <c r="P798" s="41" t="s">
        <v>2374</v>
      </c>
      <c r="Q798" s="41"/>
      <c r="R798" s="41"/>
      <c r="S798" s="41" t="s">
        <v>2375</v>
      </c>
      <c r="T798" s="414"/>
      <c r="U798" s="414"/>
      <c r="V798" s="419"/>
      <c r="W798" s="419"/>
      <c r="X798" s="419"/>
      <c r="Y798" s="419"/>
      <c r="Z798" s="419"/>
      <c r="AA798" s="419"/>
      <c r="AB798" s="419"/>
      <c r="AC798" s="419"/>
      <c r="AD798" s="419"/>
      <c r="AE798" s="419"/>
      <c r="AF798" s="419"/>
      <c r="AG798" s="419"/>
      <c r="AH798" s="419"/>
      <c r="AI798" s="419"/>
      <c r="AJ798" s="419"/>
      <c r="AK798" s="419"/>
      <c r="AL798" s="419"/>
    </row>
    <row r="799" spans="1:38" s="180" customFormat="1">
      <c r="A799" s="11">
        <v>5767</v>
      </c>
      <c r="B799" s="123">
        <f t="array" ref="B799">SUM(--(FREQUENCY(IF(C$2:C$3087=C799, MATCH(D$2:D$3087, D$2:D$3087, 0)), ROW(D$2:D$3087)-ROW(D$2)+1) &gt; 0))</f>
        <v>20</v>
      </c>
      <c r="C799" s="41">
        <v>41200074</v>
      </c>
      <c r="D799" s="41" t="s">
        <v>2373</v>
      </c>
      <c r="E799" s="41" t="s">
        <v>2365</v>
      </c>
      <c r="F799" s="41" t="s">
        <v>2366</v>
      </c>
      <c r="G799" s="68" t="str">
        <f t="shared" si="61"/>
        <v>DUAL</v>
      </c>
      <c r="H799" s="197">
        <f t="shared" si="60"/>
        <v>27</v>
      </c>
      <c r="I799" s="41">
        <v>7</v>
      </c>
      <c r="J799" s="41">
        <v>1</v>
      </c>
      <c r="K799" s="186">
        <f t="shared" si="65"/>
        <v>45839</v>
      </c>
      <c r="L799" s="41" t="s">
        <v>1465</v>
      </c>
      <c r="M799" s="41" t="s">
        <v>2367</v>
      </c>
      <c r="N799" s="3" t="str">
        <f t="shared" si="64"/>
        <v>NG</v>
      </c>
      <c r="O799" s="11" t="s">
        <v>2368</v>
      </c>
      <c r="P799" s="11" t="s">
        <v>2376</v>
      </c>
      <c r="Q799" s="11"/>
      <c r="R799" s="11"/>
      <c r="S799" s="11" t="s">
        <v>2377</v>
      </c>
      <c r="T799" s="414"/>
      <c r="U799" s="414"/>
      <c r="V799" s="419"/>
      <c r="W799" s="419"/>
      <c r="X799" s="419"/>
      <c r="Y799" s="419"/>
      <c r="Z799" s="419"/>
      <c r="AA799" s="419"/>
      <c r="AB799" s="419"/>
      <c r="AC799" s="419"/>
      <c r="AD799" s="419"/>
      <c r="AE799" s="419"/>
      <c r="AF799" s="419"/>
      <c r="AG799" s="419"/>
      <c r="AH799" s="419"/>
      <c r="AI799" s="419"/>
      <c r="AJ799" s="419"/>
      <c r="AK799" s="419"/>
      <c r="AL799" s="419"/>
    </row>
    <row r="800" spans="1:38">
      <c r="A800" s="68">
        <v>5818</v>
      </c>
      <c r="B800" s="83">
        <f t="array" ref="B800">SUM(--(FREQUENCY(IF(C$2:C$3087=C800, MATCH(D$2:D$3087, D$2:D$3087, 0)), ROW(D$2:D$3087)-ROW(D$2)+1) &gt; 0))</f>
        <v>29</v>
      </c>
      <c r="C800" s="68">
        <v>41200127</v>
      </c>
      <c r="D800" s="68" t="s">
        <v>2378</v>
      </c>
      <c r="E800" s="68" t="s">
        <v>2379</v>
      </c>
      <c r="F800" s="68" t="s">
        <v>2380</v>
      </c>
      <c r="G800" s="68" t="str">
        <f t="shared" si="61"/>
        <v>SINGLE</v>
      </c>
      <c r="H800" s="197">
        <f t="shared" si="60"/>
        <v>27</v>
      </c>
      <c r="I800" s="68">
        <v>7</v>
      </c>
      <c r="J800" s="68">
        <v>1</v>
      </c>
      <c r="K800" s="186">
        <f t="shared" si="65"/>
        <v>45839</v>
      </c>
      <c r="L800" s="68" t="s">
        <v>2381</v>
      </c>
      <c r="M800" s="68" t="s">
        <v>2367</v>
      </c>
      <c r="N800" s="3" t="str">
        <f t="shared" si="64"/>
        <v/>
      </c>
      <c r="O800" s="3"/>
      <c r="P800" s="3"/>
      <c r="Q800" s="3"/>
      <c r="R800" s="3"/>
      <c r="S800" s="3"/>
      <c r="T800" s="408"/>
      <c r="U800" s="408"/>
      <c r="V800" s="421"/>
      <c r="W800" s="421"/>
      <c r="X800" s="421"/>
      <c r="Y800" s="421"/>
      <c r="Z800" s="421"/>
      <c r="AA800" s="421"/>
      <c r="AB800" s="421"/>
      <c r="AC800" s="421"/>
      <c r="AD800" s="421"/>
      <c r="AE800" s="421"/>
      <c r="AF800" s="421"/>
      <c r="AG800" s="421"/>
      <c r="AH800" s="421"/>
      <c r="AI800" s="421"/>
      <c r="AJ800" s="421"/>
      <c r="AK800" s="421"/>
      <c r="AL800" s="421"/>
    </row>
    <row r="801" spans="1:38" s="180" customFormat="1">
      <c r="A801" s="41">
        <v>5818</v>
      </c>
      <c r="B801" s="123">
        <f t="array" ref="B801">SUM(--(FREQUENCY(IF(C$2:C$3087=C801, MATCH(D$2:D$3087, D$2:D$3087, 0)), ROW(D$2:D$3087)-ROW(D$2)+1) &gt; 0))</f>
        <v>29</v>
      </c>
      <c r="C801" s="41">
        <v>41200127</v>
      </c>
      <c r="D801" s="41" t="s">
        <v>2382</v>
      </c>
      <c r="E801" s="41" t="s">
        <v>2379</v>
      </c>
      <c r="F801" s="41" t="s">
        <v>2380</v>
      </c>
      <c r="G801" s="68" t="str">
        <f t="shared" si="61"/>
        <v>SINGLE</v>
      </c>
      <c r="H801" s="197">
        <f t="shared" si="60"/>
        <v>27</v>
      </c>
      <c r="I801" s="41">
        <v>7</v>
      </c>
      <c r="J801" s="41">
        <v>1</v>
      </c>
      <c r="K801" s="186">
        <f t="shared" si="65"/>
        <v>45839</v>
      </c>
      <c r="L801" s="41" t="s">
        <v>2381</v>
      </c>
      <c r="M801" s="41" t="s">
        <v>2383</v>
      </c>
      <c r="N801" s="3" t="str">
        <f t="shared" si="64"/>
        <v>NG</v>
      </c>
      <c r="O801" s="11" t="s">
        <v>2368</v>
      </c>
      <c r="P801" s="11" t="s">
        <v>1385</v>
      </c>
      <c r="Q801" s="11"/>
      <c r="R801" s="11"/>
      <c r="S801" s="11" t="s">
        <v>2384</v>
      </c>
      <c r="T801" s="414"/>
      <c r="U801" s="414"/>
      <c r="V801" s="419"/>
      <c r="W801" s="419"/>
      <c r="X801" s="419"/>
      <c r="Y801" s="419"/>
      <c r="Z801" s="419"/>
      <c r="AA801" s="419"/>
      <c r="AB801" s="419"/>
      <c r="AC801" s="419"/>
      <c r="AD801" s="419"/>
      <c r="AE801" s="419"/>
      <c r="AF801" s="419"/>
      <c r="AG801" s="419"/>
      <c r="AH801" s="419"/>
      <c r="AI801" s="419"/>
      <c r="AJ801" s="419"/>
      <c r="AK801" s="419"/>
      <c r="AL801" s="419"/>
    </row>
    <row r="802" spans="1:38" s="180" customFormat="1">
      <c r="A802" s="41">
        <v>5818</v>
      </c>
      <c r="B802" s="123">
        <f t="array" ref="B802">SUM(--(FREQUENCY(IF(C$2:C$3087=C802, MATCH(D$2:D$3087, D$2:D$3087, 0)), ROW(D$2:D$3087)-ROW(D$2)+1) &gt; 0))</f>
        <v>29</v>
      </c>
      <c r="C802" s="41">
        <v>41200127</v>
      </c>
      <c r="D802" s="41" t="s">
        <v>2382</v>
      </c>
      <c r="E802" s="41" t="s">
        <v>2379</v>
      </c>
      <c r="F802" s="41" t="s">
        <v>2380</v>
      </c>
      <c r="G802" s="68" t="str">
        <f t="shared" si="61"/>
        <v>SINGLE</v>
      </c>
      <c r="H802" s="197">
        <f t="shared" si="60"/>
        <v>27</v>
      </c>
      <c r="I802" s="41">
        <v>7</v>
      </c>
      <c r="J802" s="41">
        <v>1</v>
      </c>
      <c r="K802" s="186">
        <f t="shared" si="65"/>
        <v>45839</v>
      </c>
      <c r="L802" s="41" t="s">
        <v>2381</v>
      </c>
      <c r="M802" s="41" t="s">
        <v>2383</v>
      </c>
      <c r="N802" s="3" t="str">
        <f t="shared" si="64"/>
        <v>NG</v>
      </c>
      <c r="O802" s="11" t="s">
        <v>2368</v>
      </c>
      <c r="P802" s="11"/>
      <c r="Q802" s="11"/>
      <c r="R802" s="11"/>
      <c r="S802" s="11" t="s">
        <v>2385</v>
      </c>
      <c r="T802" s="414"/>
      <c r="U802" s="414"/>
      <c r="V802" s="419"/>
      <c r="W802" s="419"/>
      <c r="X802" s="419"/>
      <c r="Y802" s="419"/>
      <c r="Z802" s="419"/>
      <c r="AA802" s="419"/>
      <c r="AB802" s="419"/>
      <c r="AC802" s="419"/>
      <c r="AD802" s="419"/>
      <c r="AE802" s="419"/>
      <c r="AF802" s="419"/>
      <c r="AG802" s="419"/>
      <c r="AH802" s="419"/>
      <c r="AI802" s="419"/>
      <c r="AJ802" s="419"/>
      <c r="AK802" s="419"/>
      <c r="AL802" s="419"/>
    </row>
    <row r="803" spans="1:38">
      <c r="A803" s="68">
        <v>5818</v>
      </c>
      <c r="B803" s="83">
        <f t="array" ref="B803">SUM(--(FREQUENCY(IF(C$2:C$3087=C803, MATCH(D$2:D$3087, D$2:D$3087, 0)), ROW(D$2:D$3087)-ROW(D$2)+1) &gt; 0))</f>
        <v>29</v>
      </c>
      <c r="C803" s="68">
        <v>41200127</v>
      </c>
      <c r="D803" s="68" t="s">
        <v>2386</v>
      </c>
      <c r="E803" s="68" t="s">
        <v>2379</v>
      </c>
      <c r="F803" s="68" t="s">
        <v>2380</v>
      </c>
      <c r="G803" s="68" t="str">
        <f t="shared" si="61"/>
        <v>SINGLE</v>
      </c>
      <c r="H803" s="197">
        <f t="shared" si="60"/>
        <v>27</v>
      </c>
      <c r="I803" s="68">
        <v>7</v>
      </c>
      <c r="J803" s="68">
        <v>1</v>
      </c>
      <c r="K803" s="186">
        <f t="shared" si="65"/>
        <v>45839</v>
      </c>
      <c r="L803" s="68" t="s">
        <v>2381</v>
      </c>
      <c r="M803" s="68" t="s">
        <v>2383</v>
      </c>
      <c r="N803" s="3" t="str">
        <f t="shared" si="64"/>
        <v/>
      </c>
      <c r="O803" s="3"/>
      <c r="P803" s="3"/>
      <c r="Q803" s="3"/>
      <c r="R803" s="3"/>
      <c r="S803" s="3"/>
      <c r="T803" s="408"/>
      <c r="U803" s="408"/>
      <c r="V803" s="421"/>
      <c r="W803" s="421"/>
      <c r="X803" s="421"/>
      <c r="Y803" s="421"/>
      <c r="Z803" s="421"/>
      <c r="AA803" s="421"/>
      <c r="AB803" s="421"/>
      <c r="AC803" s="421"/>
      <c r="AD803" s="421"/>
      <c r="AE803" s="421"/>
      <c r="AF803" s="421"/>
      <c r="AG803" s="421"/>
      <c r="AH803" s="421"/>
      <c r="AI803" s="421"/>
      <c r="AJ803" s="421"/>
      <c r="AK803" s="421"/>
      <c r="AL803" s="421"/>
    </row>
    <row r="804" spans="1:38">
      <c r="A804" s="68">
        <v>5815</v>
      </c>
      <c r="B804" s="83" cm="1">
        <f t="array" ref="B804">SUM(--(FREQUENCY(IF(C$2:C$3087=C804, MATCH(D$2:D$3087, D$2:D$3087, 0)), ROW(D$2:D$3087)-ROW(D$2)+1) &gt; 0))</f>
        <v>18</v>
      </c>
      <c r="C804" s="68">
        <v>41200128</v>
      </c>
      <c r="D804" s="68" t="s">
        <v>2387</v>
      </c>
      <c r="E804" s="68" t="s">
        <v>2379</v>
      </c>
      <c r="F804" s="68" t="s">
        <v>1591</v>
      </c>
      <c r="G804" s="68" t="str">
        <f t="shared" si="61"/>
        <v>SINGLE</v>
      </c>
      <c r="H804" s="197">
        <f t="shared" si="60"/>
        <v>27</v>
      </c>
      <c r="I804" s="68">
        <v>7</v>
      </c>
      <c r="J804" s="68">
        <v>1</v>
      </c>
      <c r="K804" s="186">
        <f t="shared" si="65"/>
        <v>45839</v>
      </c>
      <c r="L804" s="68" t="s">
        <v>1465</v>
      </c>
      <c r="M804" s="68" t="s">
        <v>2388</v>
      </c>
      <c r="N804" s="3" t="str">
        <f t="shared" si="64"/>
        <v/>
      </c>
      <c r="O804" s="3"/>
      <c r="P804" s="3"/>
      <c r="Q804" s="3"/>
      <c r="R804" s="3"/>
      <c r="S804" s="3"/>
      <c r="T804" s="408"/>
      <c r="U804" s="408"/>
      <c r="V804" s="421"/>
      <c r="W804" s="421"/>
      <c r="X804" s="421"/>
      <c r="Y804" s="421"/>
      <c r="Z804" s="421"/>
      <c r="AA804" s="421"/>
      <c r="AB804" s="421"/>
      <c r="AC804" s="421"/>
      <c r="AD804" s="421"/>
      <c r="AE804" s="421"/>
      <c r="AF804" s="421"/>
      <c r="AG804" s="421"/>
      <c r="AH804" s="421"/>
      <c r="AI804" s="421"/>
      <c r="AJ804" s="421"/>
      <c r="AK804" s="421"/>
      <c r="AL804" s="421"/>
    </row>
    <row r="805" spans="1:38">
      <c r="A805" s="68">
        <v>5815</v>
      </c>
      <c r="B805" s="83">
        <f t="array" ref="B805">SUM(--(FREQUENCY(IF(C$2:C$3087=C805, MATCH(D$2:D$3087, D$2:D$3087, 0)), ROW(D$2:D$3087)-ROW(D$2)+1) &gt; 0))</f>
        <v>18</v>
      </c>
      <c r="C805" s="68">
        <v>41200128</v>
      </c>
      <c r="D805" s="68" t="s">
        <v>2389</v>
      </c>
      <c r="E805" s="68" t="s">
        <v>2379</v>
      </c>
      <c r="F805" s="68" t="s">
        <v>2380</v>
      </c>
      <c r="G805" s="68" t="str">
        <f t="shared" si="61"/>
        <v>SINGLE</v>
      </c>
      <c r="H805" s="197">
        <f t="shared" si="60"/>
        <v>27</v>
      </c>
      <c r="I805" s="68">
        <v>7</v>
      </c>
      <c r="J805" s="68">
        <v>1</v>
      </c>
      <c r="K805" s="186">
        <f t="shared" si="65"/>
        <v>45839</v>
      </c>
      <c r="L805" s="68" t="s">
        <v>1465</v>
      </c>
      <c r="M805" s="68" t="s">
        <v>2388</v>
      </c>
      <c r="N805" s="3" t="str">
        <f t="shared" si="64"/>
        <v/>
      </c>
      <c r="O805" s="3"/>
      <c r="P805" s="3"/>
      <c r="Q805" s="3"/>
      <c r="R805" s="3"/>
      <c r="S805" s="3"/>
      <c r="T805" s="408"/>
      <c r="U805" s="408"/>
      <c r="V805" s="421"/>
      <c r="W805" s="421"/>
      <c r="X805" s="421"/>
      <c r="Y805" s="421"/>
      <c r="Z805" s="421"/>
      <c r="AA805" s="421"/>
      <c r="AB805" s="421"/>
      <c r="AC805" s="421"/>
      <c r="AD805" s="421"/>
      <c r="AE805" s="421"/>
      <c r="AF805" s="421"/>
      <c r="AG805" s="421"/>
      <c r="AH805" s="421"/>
      <c r="AI805" s="421"/>
      <c r="AJ805" s="421"/>
      <c r="AK805" s="421"/>
      <c r="AL805" s="421"/>
    </row>
    <row r="806" spans="1:38">
      <c r="A806" s="3">
        <v>5672</v>
      </c>
      <c r="B806" s="83">
        <f t="array" ref="B806">SUM(--(FREQUENCY(IF(C$2:C$3087=C806, MATCH(D$2:D$3087, D$2:D$3087, 0)), ROW(D$2:D$3087)-ROW(D$2)+1) &gt; 0))</f>
        <v>30</v>
      </c>
      <c r="C806" s="3">
        <v>41200109</v>
      </c>
      <c r="D806" s="6" t="s">
        <v>2390</v>
      </c>
      <c r="E806" s="3" t="s">
        <v>1585</v>
      </c>
      <c r="F806" s="3" t="s">
        <v>1591</v>
      </c>
      <c r="G806" s="68" t="str">
        <f t="shared" si="61"/>
        <v>SINGLE</v>
      </c>
      <c r="H806" s="197">
        <f t="shared" si="60"/>
        <v>27</v>
      </c>
      <c r="I806" s="3">
        <v>7</v>
      </c>
      <c r="J806" s="3">
        <v>2</v>
      </c>
      <c r="K806" s="186">
        <f t="shared" si="65"/>
        <v>45840</v>
      </c>
      <c r="L806" s="3" t="s">
        <v>2391</v>
      </c>
      <c r="M806" s="3" t="s">
        <v>2392</v>
      </c>
      <c r="N806" s="3" t="str">
        <f t="shared" si="64"/>
        <v/>
      </c>
      <c r="O806" s="3"/>
      <c r="P806" s="3"/>
      <c r="Q806" s="3"/>
      <c r="R806" s="3"/>
      <c r="S806" s="3"/>
      <c r="T806" s="408"/>
      <c r="U806" s="408"/>
      <c r="V806" s="421"/>
      <c r="W806" s="421"/>
      <c r="X806" s="421"/>
      <c r="Y806" s="421"/>
      <c r="Z806" s="421"/>
      <c r="AA806" s="421"/>
      <c r="AB806" s="421"/>
      <c r="AC806" s="421"/>
      <c r="AD806" s="421"/>
      <c r="AE806" s="421"/>
      <c r="AF806" s="421"/>
      <c r="AG806" s="421"/>
      <c r="AH806" s="421"/>
      <c r="AI806" s="421"/>
      <c r="AJ806" s="421"/>
      <c r="AK806" s="421"/>
      <c r="AL806" s="421"/>
    </row>
    <row r="807" spans="1:38">
      <c r="A807" s="3">
        <v>5672</v>
      </c>
      <c r="B807" s="83">
        <f t="array" ref="B807">SUM(--(FREQUENCY(IF(C$2:C$3087=C807, MATCH(D$2:D$3087, D$2:D$3087, 0)), ROW(D$2:D$3087)-ROW(D$2)+1) &gt; 0))</f>
        <v>30</v>
      </c>
      <c r="C807" s="3">
        <v>41200109</v>
      </c>
      <c r="D807" s="6" t="s">
        <v>2393</v>
      </c>
      <c r="E807" s="3" t="s">
        <v>1585</v>
      </c>
      <c r="F807" s="3" t="s">
        <v>1591</v>
      </c>
      <c r="G807" s="68" t="str">
        <f t="shared" si="61"/>
        <v>SINGLE</v>
      </c>
      <c r="H807" s="197">
        <f t="shared" si="60"/>
        <v>27</v>
      </c>
      <c r="I807" s="3">
        <v>7</v>
      </c>
      <c r="J807" s="3">
        <v>2</v>
      </c>
      <c r="K807" s="186">
        <f t="shared" si="65"/>
        <v>45840</v>
      </c>
      <c r="L807" s="3" t="s">
        <v>2391</v>
      </c>
      <c r="M807" s="3" t="s">
        <v>2392</v>
      </c>
      <c r="N807" s="3" t="str">
        <f t="shared" si="64"/>
        <v/>
      </c>
      <c r="O807" s="3"/>
      <c r="P807" s="3"/>
      <c r="Q807" s="3"/>
      <c r="R807" s="3"/>
      <c r="S807" s="3"/>
      <c r="T807" s="408"/>
      <c r="U807" s="408"/>
      <c r="V807" s="421"/>
      <c r="W807" s="421"/>
      <c r="X807" s="421"/>
      <c r="Y807" s="421"/>
      <c r="Z807" s="421"/>
      <c r="AA807" s="421"/>
      <c r="AB807" s="421"/>
      <c r="AC807" s="421"/>
      <c r="AD807" s="421"/>
      <c r="AE807" s="421"/>
      <c r="AF807" s="421"/>
      <c r="AG807" s="421"/>
      <c r="AH807" s="421"/>
      <c r="AI807" s="421"/>
      <c r="AJ807" s="421"/>
      <c r="AK807" s="421"/>
      <c r="AL807" s="421"/>
    </row>
    <row r="808" spans="1:38">
      <c r="A808" s="3">
        <v>5790</v>
      </c>
      <c r="B808" s="83">
        <f t="array" ref="B808">SUM(--(FREQUENCY(IF(C$2:C$3087=C808, MATCH(D$2:D$3087, D$2:D$3087, 0)), ROW(D$2:D$3087)-ROW(D$2)+1) &gt; 0))</f>
        <v>2</v>
      </c>
      <c r="C808" s="3">
        <v>41200150</v>
      </c>
      <c r="D808" s="6" t="s">
        <v>2394</v>
      </c>
      <c r="E808" s="3" t="s">
        <v>1424</v>
      </c>
      <c r="F808" s="3" t="s">
        <v>1476</v>
      </c>
      <c r="G808" s="68" t="str">
        <f t="shared" si="61"/>
        <v>DUAL</v>
      </c>
      <c r="H808" s="197">
        <f t="shared" si="60"/>
        <v>27</v>
      </c>
      <c r="I808" s="3">
        <v>7</v>
      </c>
      <c r="J808" s="3">
        <v>2</v>
      </c>
      <c r="K808" s="186">
        <f t="shared" si="65"/>
        <v>45840</v>
      </c>
      <c r="L808" s="3" t="s">
        <v>2395</v>
      </c>
      <c r="M808" s="3" t="s">
        <v>2392</v>
      </c>
      <c r="N808" s="3" t="str">
        <f t="shared" si="64"/>
        <v/>
      </c>
      <c r="O808" s="3"/>
      <c r="P808" s="3"/>
      <c r="Q808" s="3"/>
      <c r="R808" s="3"/>
      <c r="S808" s="3"/>
      <c r="T808" s="408"/>
      <c r="U808" s="408"/>
      <c r="V808" s="421"/>
      <c r="W808" s="421"/>
      <c r="X808" s="421"/>
      <c r="Y808" s="421"/>
      <c r="Z808" s="421"/>
      <c r="AA808" s="421"/>
      <c r="AB808" s="421"/>
      <c r="AC808" s="421"/>
      <c r="AD808" s="421"/>
      <c r="AE808" s="421"/>
      <c r="AF808" s="421"/>
      <c r="AG808" s="421"/>
      <c r="AH808" s="421"/>
      <c r="AI808" s="421"/>
      <c r="AJ808" s="421"/>
      <c r="AK808" s="421"/>
      <c r="AL808" s="421"/>
    </row>
    <row r="809" spans="1:38">
      <c r="A809" s="3">
        <v>5787</v>
      </c>
      <c r="B809" s="83">
        <f t="array" ref="B809">SUM(--(FREQUENCY(IF(C$2:C$3087=C809, MATCH(D$2:D$3087, D$2:D$3087, 0)), ROW(D$2:D$3087)-ROW(D$2)+1) &gt; 0))</f>
        <v>25</v>
      </c>
      <c r="C809" s="3">
        <v>41200034</v>
      </c>
      <c r="D809" s="6" t="s">
        <v>2396</v>
      </c>
      <c r="E809" s="3" t="s">
        <v>1426</v>
      </c>
      <c r="F809" s="3" t="s">
        <v>1476</v>
      </c>
      <c r="G809" s="68" t="str">
        <f t="shared" si="61"/>
        <v>DUAL</v>
      </c>
      <c r="H809" s="197">
        <f t="shared" si="60"/>
        <v>27</v>
      </c>
      <c r="I809" s="3">
        <v>7</v>
      </c>
      <c r="J809" s="3">
        <v>2</v>
      </c>
      <c r="K809" s="186">
        <f t="shared" si="65"/>
        <v>45840</v>
      </c>
      <c r="L809" s="3" t="s">
        <v>2395</v>
      </c>
      <c r="M809" s="3" t="s">
        <v>1469</v>
      </c>
      <c r="N809" s="3" t="str">
        <f t="shared" si="64"/>
        <v/>
      </c>
      <c r="O809" s="3"/>
      <c r="P809" s="3"/>
      <c r="Q809" s="3"/>
      <c r="R809" s="3"/>
      <c r="S809" s="3"/>
      <c r="T809" s="408"/>
      <c r="U809" s="408"/>
      <c r="V809" s="421"/>
      <c r="W809" s="421"/>
      <c r="X809" s="421"/>
      <c r="Y809" s="421"/>
      <c r="Z809" s="421"/>
      <c r="AA809" s="421"/>
      <c r="AB809" s="421"/>
      <c r="AC809" s="421"/>
      <c r="AD809" s="421"/>
      <c r="AE809" s="421"/>
      <c r="AF809" s="421"/>
      <c r="AG809" s="421"/>
      <c r="AH809" s="421"/>
      <c r="AI809" s="421"/>
      <c r="AJ809" s="421"/>
      <c r="AK809" s="421"/>
      <c r="AL809" s="421"/>
    </row>
    <row r="810" spans="1:38">
      <c r="A810" s="3">
        <v>5787</v>
      </c>
      <c r="B810" s="83">
        <f t="array" ref="B810">SUM(--(FREQUENCY(IF(C$2:C$3087=C810, MATCH(D$2:D$3087, D$2:D$3087, 0)), ROW(D$2:D$3087)-ROW(D$2)+1) &gt; 0))</f>
        <v>25</v>
      </c>
      <c r="C810" s="3">
        <v>41200034</v>
      </c>
      <c r="D810" s="6" t="s">
        <v>2397</v>
      </c>
      <c r="E810" s="3" t="s">
        <v>1426</v>
      </c>
      <c r="F810" s="3" t="s">
        <v>1476</v>
      </c>
      <c r="G810" s="68" t="str">
        <f t="shared" si="61"/>
        <v>DUAL</v>
      </c>
      <c r="H810" s="197">
        <f t="shared" si="60"/>
        <v>27</v>
      </c>
      <c r="I810" s="3">
        <v>7</v>
      </c>
      <c r="J810" s="3">
        <v>2</v>
      </c>
      <c r="K810" s="186">
        <f t="shared" si="65"/>
        <v>45840</v>
      </c>
      <c r="L810" s="3" t="s">
        <v>2395</v>
      </c>
      <c r="M810" s="3" t="s">
        <v>1469</v>
      </c>
      <c r="N810" s="3" t="str">
        <f t="shared" si="64"/>
        <v/>
      </c>
      <c r="O810" s="3"/>
      <c r="P810" s="3"/>
      <c r="Q810" s="3"/>
      <c r="R810" s="3"/>
      <c r="S810" s="3"/>
      <c r="T810" s="408"/>
      <c r="U810" s="408"/>
      <c r="V810" s="421"/>
      <c r="W810" s="421"/>
      <c r="X810" s="421"/>
      <c r="Y810" s="421"/>
      <c r="Z810" s="421"/>
      <c r="AA810" s="421"/>
      <c r="AB810" s="421"/>
      <c r="AC810" s="421"/>
      <c r="AD810" s="421"/>
      <c r="AE810" s="421"/>
      <c r="AF810" s="421"/>
      <c r="AG810" s="421"/>
      <c r="AH810" s="421"/>
      <c r="AI810" s="421"/>
      <c r="AJ810" s="421"/>
      <c r="AK810" s="421"/>
      <c r="AL810" s="421"/>
    </row>
    <row r="811" spans="1:38">
      <c r="A811" s="3">
        <v>5782</v>
      </c>
      <c r="B811" s="83">
        <f t="array" ref="B811">SUM(--(FREQUENCY(IF(C$2:C$3087=C811, MATCH(D$2:D$3087, D$2:D$3087, 0)), ROW(D$2:D$3087)-ROW(D$2)+1) &gt; 0))</f>
        <v>10</v>
      </c>
      <c r="C811" s="3">
        <v>41200119</v>
      </c>
      <c r="D811" s="6" t="s">
        <v>2398</v>
      </c>
      <c r="E811" s="3" t="s">
        <v>1422</v>
      </c>
      <c r="F811" s="3" t="s">
        <v>1476</v>
      </c>
      <c r="G811" s="68" t="str">
        <f t="shared" si="61"/>
        <v>DUAL</v>
      </c>
      <c r="H811" s="197">
        <f t="shared" si="60"/>
        <v>27</v>
      </c>
      <c r="I811" s="3">
        <v>7</v>
      </c>
      <c r="J811" s="3">
        <v>2</v>
      </c>
      <c r="K811" s="186">
        <f t="shared" si="65"/>
        <v>45840</v>
      </c>
      <c r="L811" s="3" t="s">
        <v>2395</v>
      </c>
      <c r="M811" s="3" t="s">
        <v>1469</v>
      </c>
      <c r="N811" s="3" t="str">
        <f t="shared" si="64"/>
        <v>NG</v>
      </c>
      <c r="O811" s="3" t="s">
        <v>2368</v>
      </c>
      <c r="P811" s="3" t="s">
        <v>1385</v>
      </c>
      <c r="Q811" s="3">
        <v>11001962</v>
      </c>
      <c r="R811" s="3" t="s">
        <v>562</v>
      </c>
      <c r="S811" s="3" t="s">
        <v>2399</v>
      </c>
      <c r="T811" s="408"/>
      <c r="U811" s="408"/>
      <c r="V811" s="421"/>
      <c r="W811" s="421"/>
      <c r="X811" s="421"/>
      <c r="Y811" s="421"/>
      <c r="Z811" s="421"/>
      <c r="AA811" s="421"/>
      <c r="AB811" s="421"/>
      <c r="AC811" s="421"/>
      <c r="AD811" s="421"/>
      <c r="AE811" s="421"/>
      <c r="AF811" s="421"/>
      <c r="AG811" s="421"/>
      <c r="AH811" s="421"/>
      <c r="AI811" s="421"/>
      <c r="AJ811" s="421"/>
      <c r="AK811" s="421"/>
      <c r="AL811" s="421"/>
    </row>
    <row r="812" spans="1:38">
      <c r="A812" s="3">
        <v>5782</v>
      </c>
      <c r="B812" s="83">
        <f t="array" ref="B812">SUM(--(FREQUENCY(IF(C$2:C$3087=C812, MATCH(D$2:D$3087, D$2:D$3087, 0)), ROW(D$2:D$3087)-ROW(D$2)+1) &gt; 0))</f>
        <v>10</v>
      </c>
      <c r="C812" s="3">
        <v>41200119</v>
      </c>
      <c r="D812" s="6" t="s">
        <v>2400</v>
      </c>
      <c r="E812" s="3" t="s">
        <v>1422</v>
      </c>
      <c r="F812" s="3" t="s">
        <v>1476</v>
      </c>
      <c r="G812" s="68" t="str">
        <f t="shared" si="61"/>
        <v>DUAL</v>
      </c>
      <c r="H812" s="197">
        <f t="shared" si="60"/>
        <v>27</v>
      </c>
      <c r="I812" s="3">
        <v>7</v>
      </c>
      <c r="J812" s="3">
        <v>2</v>
      </c>
      <c r="K812" s="186">
        <f t="shared" si="65"/>
        <v>45840</v>
      </c>
      <c r="L812" s="3" t="s">
        <v>2395</v>
      </c>
      <c r="M812" s="3" t="s">
        <v>1469</v>
      </c>
      <c r="N812" s="3" t="str">
        <f t="shared" si="64"/>
        <v>NG</v>
      </c>
      <c r="O812" s="3" t="s">
        <v>2368</v>
      </c>
      <c r="P812" s="3" t="s">
        <v>1385</v>
      </c>
      <c r="Q812" s="3">
        <v>11001962</v>
      </c>
      <c r="R812" s="3" t="s">
        <v>562</v>
      </c>
      <c r="S812" s="3" t="s">
        <v>2399</v>
      </c>
      <c r="T812" s="408"/>
      <c r="U812" s="408"/>
      <c r="V812" s="421"/>
      <c r="W812" s="421"/>
      <c r="X812" s="421"/>
      <c r="Y812" s="421"/>
      <c r="Z812" s="421"/>
      <c r="AA812" s="421"/>
      <c r="AB812" s="421"/>
      <c r="AC812" s="421"/>
      <c r="AD812" s="421"/>
      <c r="AE812" s="421"/>
      <c r="AF812" s="421"/>
      <c r="AG812" s="421"/>
      <c r="AH812" s="421"/>
      <c r="AI812" s="421"/>
      <c r="AJ812" s="421"/>
      <c r="AK812" s="421"/>
      <c r="AL812" s="421"/>
    </row>
    <row r="813" spans="1:38">
      <c r="A813" s="3">
        <v>5709</v>
      </c>
      <c r="B813" s="83">
        <f t="array" ref="B813">SUM(--(FREQUENCY(IF(C$2:C$3087=C813, MATCH(D$2:D$3087, D$2:D$3087, 0)), ROW(D$2:D$3087)-ROW(D$2)+1) &gt; 0))</f>
        <v>3</v>
      </c>
      <c r="C813" s="3">
        <v>41200066</v>
      </c>
      <c r="D813" s="6" t="s">
        <v>2401</v>
      </c>
      <c r="E813" s="3" t="s">
        <v>1424</v>
      </c>
      <c r="F813" s="3" t="s">
        <v>1476</v>
      </c>
      <c r="G813" s="68" t="str">
        <f t="shared" si="61"/>
        <v>DUAL</v>
      </c>
      <c r="H813" s="197">
        <f t="shared" si="60"/>
        <v>27</v>
      </c>
      <c r="I813" s="3">
        <v>7</v>
      </c>
      <c r="J813" s="3">
        <v>3</v>
      </c>
      <c r="K813" s="186">
        <f t="shared" si="65"/>
        <v>45841</v>
      </c>
      <c r="L813" s="3" t="s">
        <v>2391</v>
      </c>
      <c r="M813" s="3" t="s">
        <v>2392</v>
      </c>
      <c r="N813" s="3" t="str">
        <f t="shared" si="64"/>
        <v/>
      </c>
      <c r="O813" s="3"/>
      <c r="P813" s="3"/>
      <c r="Q813" s="3"/>
      <c r="R813" s="3"/>
      <c r="S813" s="3"/>
      <c r="T813" s="408"/>
      <c r="U813" s="408"/>
      <c r="V813" s="421"/>
      <c r="W813" s="421"/>
      <c r="X813" s="421"/>
      <c r="Y813" s="421"/>
      <c r="Z813" s="421"/>
      <c r="AA813" s="421"/>
      <c r="AB813" s="421"/>
      <c r="AC813" s="421"/>
      <c r="AD813" s="421"/>
      <c r="AE813" s="421"/>
      <c r="AF813" s="421"/>
      <c r="AG813" s="421"/>
      <c r="AH813" s="421"/>
      <c r="AI813" s="421"/>
      <c r="AJ813" s="421"/>
      <c r="AK813" s="421"/>
      <c r="AL813" s="421"/>
    </row>
    <row r="814" spans="1:38">
      <c r="A814" s="3">
        <v>5675</v>
      </c>
      <c r="B814" s="83">
        <f t="array" ref="B814">SUM(--(FREQUENCY(IF(C$2:C$3087=C814, MATCH(D$2:D$3087, D$2:D$3087, 0)), ROW(D$2:D$3087)-ROW(D$2)+1) &gt; 0))</f>
        <v>20</v>
      </c>
      <c r="C814" s="3">
        <v>41100435</v>
      </c>
      <c r="D814" s="6" t="s">
        <v>2402</v>
      </c>
      <c r="E814" s="3" t="s">
        <v>1585</v>
      </c>
      <c r="F814" s="3" t="s">
        <v>1482</v>
      </c>
      <c r="G814" s="68" t="str">
        <f t="shared" si="61"/>
        <v>SINGLE</v>
      </c>
      <c r="H814" s="197">
        <f t="shared" si="60"/>
        <v>27</v>
      </c>
      <c r="I814" s="3">
        <v>7</v>
      </c>
      <c r="J814" s="3">
        <v>3</v>
      </c>
      <c r="K814" s="186">
        <f t="shared" si="65"/>
        <v>45841</v>
      </c>
      <c r="L814" s="3" t="s">
        <v>2391</v>
      </c>
      <c r="M814" s="3" t="s">
        <v>2392</v>
      </c>
      <c r="N814" s="3" t="str">
        <f t="shared" si="64"/>
        <v/>
      </c>
      <c r="O814" s="3"/>
      <c r="P814" s="3"/>
      <c r="Q814" s="3"/>
      <c r="R814" s="3"/>
      <c r="S814" s="3"/>
      <c r="T814" s="408"/>
      <c r="U814" s="408"/>
      <c r="V814" s="421"/>
      <c r="W814" s="421"/>
      <c r="X814" s="421"/>
      <c r="Y814" s="421"/>
      <c r="Z814" s="421"/>
      <c r="AA814" s="421"/>
      <c r="AB814" s="421"/>
      <c r="AC814" s="421"/>
      <c r="AD814" s="421"/>
      <c r="AE814" s="421"/>
      <c r="AF814" s="421"/>
      <c r="AG814" s="421"/>
      <c r="AH814" s="421"/>
      <c r="AI814" s="421"/>
      <c r="AJ814" s="421"/>
      <c r="AK814" s="421"/>
      <c r="AL814" s="421"/>
    </row>
    <row r="815" spans="1:38">
      <c r="A815" s="3">
        <v>5781</v>
      </c>
      <c r="B815" s="83">
        <f t="array" ref="B815">SUM(--(FREQUENCY(IF(C$2:C$3087=C815, MATCH(D$2:D$3087, D$2:D$3087, 0)), ROW(D$2:D$3087)-ROW(D$2)+1) &gt; 0))</f>
        <v>76</v>
      </c>
      <c r="C815" s="3">
        <v>41200007</v>
      </c>
      <c r="D815" s="124" t="s">
        <v>2403</v>
      </c>
      <c r="E815" s="3" t="s">
        <v>1405</v>
      </c>
      <c r="F815" s="3" t="s">
        <v>1591</v>
      </c>
      <c r="G815" s="68" t="str">
        <f t="shared" si="61"/>
        <v>SINGLE</v>
      </c>
      <c r="H815" s="197">
        <f t="shared" si="60"/>
        <v>27</v>
      </c>
      <c r="I815" s="3">
        <v>7</v>
      </c>
      <c r="J815" s="3">
        <v>3</v>
      </c>
      <c r="K815" s="186">
        <f t="shared" si="65"/>
        <v>45841</v>
      </c>
      <c r="L815" s="3" t="s">
        <v>2395</v>
      </c>
      <c r="M815" s="3" t="s">
        <v>2392</v>
      </c>
      <c r="N815" s="3" t="str">
        <f t="shared" si="64"/>
        <v/>
      </c>
      <c r="O815" s="3"/>
      <c r="P815" s="3"/>
      <c r="Q815" s="3"/>
      <c r="R815" s="3"/>
      <c r="S815" s="3"/>
      <c r="T815" s="408"/>
      <c r="U815" s="408"/>
      <c r="V815" s="421"/>
      <c r="W815" s="421"/>
      <c r="X815" s="421"/>
      <c r="Y815" s="421"/>
      <c r="Z815" s="421"/>
      <c r="AA815" s="421"/>
      <c r="AB815" s="421"/>
      <c r="AC815" s="421"/>
      <c r="AD815" s="421"/>
      <c r="AE815" s="421"/>
      <c r="AF815" s="421"/>
      <c r="AG815" s="421"/>
      <c r="AH815" s="421"/>
      <c r="AI815" s="421"/>
      <c r="AJ815" s="421"/>
      <c r="AK815" s="421"/>
      <c r="AL815" s="421"/>
    </row>
    <row r="816" spans="1:38">
      <c r="A816" s="3">
        <v>5781</v>
      </c>
      <c r="B816" s="83">
        <f t="array" ref="B816">SUM(--(FREQUENCY(IF(C$2:C$3087=C816, MATCH(D$2:D$3087, D$2:D$3087, 0)), ROW(D$2:D$3087)-ROW(D$2)+1) &gt; 0))</f>
        <v>76</v>
      </c>
      <c r="C816" s="3">
        <v>41200007</v>
      </c>
      <c r="D816" s="6" t="s">
        <v>2404</v>
      </c>
      <c r="E816" s="3" t="s">
        <v>1405</v>
      </c>
      <c r="F816" s="3" t="s">
        <v>1591</v>
      </c>
      <c r="G816" s="68" t="str">
        <f t="shared" si="61"/>
        <v>SINGLE</v>
      </c>
      <c r="H816" s="197">
        <f t="shared" si="60"/>
        <v>27</v>
      </c>
      <c r="I816" s="3">
        <v>7</v>
      </c>
      <c r="J816" s="3">
        <v>3</v>
      </c>
      <c r="K816" s="186">
        <f t="shared" si="65"/>
        <v>45841</v>
      </c>
      <c r="L816" s="3" t="s">
        <v>2395</v>
      </c>
      <c r="M816" s="3" t="s">
        <v>2392</v>
      </c>
      <c r="N816" s="3" t="str">
        <f t="shared" si="64"/>
        <v/>
      </c>
      <c r="O816" s="3"/>
      <c r="P816" s="3"/>
      <c r="Q816" s="3"/>
      <c r="R816" s="3"/>
      <c r="S816" s="3"/>
      <c r="T816" s="408"/>
      <c r="U816" s="408"/>
      <c r="V816" s="421"/>
      <c r="W816" s="421"/>
      <c r="X816" s="421"/>
      <c r="Y816" s="421"/>
      <c r="Z816" s="421"/>
      <c r="AA816" s="421"/>
      <c r="AB816" s="421"/>
      <c r="AC816" s="421"/>
      <c r="AD816" s="421"/>
      <c r="AE816" s="421"/>
      <c r="AF816" s="421"/>
      <c r="AG816" s="421"/>
      <c r="AH816" s="421"/>
      <c r="AI816" s="421"/>
      <c r="AJ816" s="421"/>
      <c r="AK816" s="421"/>
      <c r="AL816" s="421"/>
    </row>
    <row r="817" spans="1:38">
      <c r="A817" s="3">
        <v>5814</v>
      </c>
      <c r="B817" s="83">
        <f t="array" ref="B817">SUM(--(FREQUENCY(IF(C$2:C$3087=C817, MATCH(D$2:D$3087, D$2:D$3087, 0)), ROW(D$2:D$3087)-ROW(D$2)+1) &gt; 0))</f>
        <v>11</v>
      </c>
      <c r="C817" s="3">
        <v>41200129</v>
      </c>
      <c r="D817" s="6" t="s">
        <v>2405</v>
      </c>
      <c r="E817" s="3" t="s">
        <v>1431</v>
      </c>
      <c r="F817" s="3" t="s">
        <v>1591</v>
      </c>
      <c r="G817" s="68" t="str">
        <f t="shared" si="61"/>
        <v>SINGLE</v>
      </c>
      <c r="H817" s="197">
        <f t="shared" si="60"/>
        <v>27</v>
      </c>
      <c r="I817" s="3">
        <v>7</v>
      </c>
      <c r="J817" s="3">
        <v>3</v>
      </c>
      <c r="K817" s="186">
        <f t="shared" si="65"/>
        <v>45841</v>
      </c>
      <c r="L817" s="3" t="s">
        <v>2395</v>
      </c>
      <c r="M817" s="3" t="s">
        <v>2392</v>
      </c>
      <c r="N817" s="3" t="str">
        <f t="shared" si="64"/>
        <v/>
      </c>
      <c r="O817" s="3"/>
      <c r="P817" s="3"/>
      <c r="Q817" s="3"/>
      <c r="R817" s="3"/>
      <c r="S817" s="3"/>
      <c r="T817" s="408"/>
      <c r="U817" s="408"/>
      <c r="V817" s="421"/>
      <c r="W817" s="421"/>
      <c r="X817" s="421"/>
      <c r="Y817" s="421"/>
      <c r="Z817" s="421"/>
      <c r="AA817" s="421"/>
      <c r="AB817" s="421"/>
      <c r="AC817" s="421"/>
      <c r="AD817" s="421"/>
      <c r="AE817" s="421"/>
      <c r="AF817" s="421"/>
      <c r="AG817" s="421"/>
      <c r="AH817" s="421"/>
      <c r="AI817" s="421"/>
      <c r="AJ817" s="421"/>
      <c r="AK817" s="421"/>
      <c r="AL817" s="421"/>
    </row>
    <row r="818" spans="1:38">
      <c r="A818" s="3">
        <v>5715</v>
      </c>
      <c r="B818" s="83">
        <f t="array" ref="B818">SUM(--(FREQUENCY(IF(C$2:C$3087=C818, MATCH(D$2:D$3087, D$2:D$3087, 0)), ROW(D$2:D$3087)-ROW(D$2)+1) &gt; 0))</f>
        <v>9</v>
      </c>
      <c r="C818" s="3">
        <v>41200105</v>
      </c>
      <c r="D818" s="6" t="s">
        <v>2406</v>
      </c>
      <c r="E818" s="3" t="s">
        <v>1424</v>
      </c>
      <c r="F818" s="3" t="s">
        <v>1476</v>
      </c>
      <c r="G818" s="68" t="str">
        <f t="shared" si="61"/>
        <v>DUAL</v>
      </c>
      <c r="H818" s="197">
        <f t="shared" si="60"/>
        <v>27</v>
      </c>
      <c r="I818" s="3">
        <v>7</v>
      </c>
      <c r="J818" s="3">
        <v>3</v>
      </c>
      <c r="K818" s="186">
        <f t="shared" si="65"/>
        <v>45841</v>
      </c>
      <c r="L818" s="3" t="s">
        <v>2395</v>
      </c>
      <c r="M818" s="3" t="s">
        <v>1469</v>
      </c>
      <c r="N818" s="3" t="str">
        <f t="shared" si="64"/>
        <v/>
      </c>
      <c r="O818" s="3"/>
      <c r="P818" s="3"/>
      <c r="Q818" s="3"/>
      <c r="R818" s="3"/>
      <c r="S818" s="3"/>
      <c r="T818" s="408"/>
      <c r="U818" s="408"/>
      <c r="V818" s="421"/>
      <c r="W818" s="421"/>
      <c r="X818" s="421"/>
      <c r="Y818" s="421"/>
      <c r="Z818" s="421"/>
      <c r="AA818" s="421"/>
      <c r="AB818" s="421"/>
      <c r="AC818" s="421"/>
      <c r="AD818" s="421"/>
      <c r="AE818" s="421"/>
      <c r="AF818" s="421"/>
      <c r="AG818" s="421"/>
      <c r="AH818" s="421"/>
      <c r="AI818" s="421"/>
      <c r="AJ818" s="421"/>
      <c r="AK818" s="421"/>
      <c r="AL818" s="421"/>
    </row>
    <row r="819" spans="1:38">
      <c r="A819" s="3">
        <v>5760</v>
      </c>
      <c r="B819" s="83">
        <f t="array" ref="B819">SUM(--(FREQUENCY(IF(C$2:C$3087=C819, MATCH(D$2:D$3087, D$2:D$3087, 0)), ROW(D$2:D$3087)-ROW(D$2)+1) &gt; 0))</f>
        <v>1</v>
      </c>
      <c r="C819" s="3">
        <v>41100206</v>
      </c>
      <c r="D819" s="6" t="s">
        <v>2407</v>
      </c>
      <c r="E819" s="3" t="s">
        <v>1585</v>
      </c>
      <c r="F819" s="3" t="s">
        <v>1591</v>
      </c>
      <c r="G819" s="68" t="str">
        <f t="shared" si="61"/>
        <v>SINGLE</v>
      </c>
      <c r="H819" s="197">
        <f t="shared" si="60"/>
        <v>27</v>
      </c>
      <c r="I819" s="3">
        <v>7</v>
      </c>
      <c r="J819" s="3">
        <v>4</v>
      </c>
      <c r="K819" s="186">
        <f t="shared" si="65"/>
        <v>45842</v>
      </c>
      <c r="L819" s="3" t="s">
        <v>2391</v>
      </c>
      <c r="M819" s="3" t="s">
        <v>2392</v>
      </c>
      <c r="N819" s="3" t="str">
        <f t="shared" si="64"/>
        <v/>
      </c>
      <c r="O819" s="3"/>
      <c r="P819" s="3"/>
      <c r="Q819" s="3"/>
      <c r="R819" s="3"/>
      <c r="S819" s="3"/>
      <c r="T819" s="408"/>
      <c r="U819" s="408"/>
      <c r="V819" s="421"/>
      <c r="W819" s="421"/>
      <c r="X819" s="421"/>
      <c r="Y819" s="421"/>
      <c r="Z819" s="421"/>
      <c r="AA819" s="421"/>
      <c r="AB819" s="421"/>
      <c r="AC819" s="421"/>
      <c r="AD819" s="421"/>
      <c r="AE819" s="421"/>
      <c r="AF819" s="421"/>
      <c r="AG819" s="421"/>
      <c r="AH819" s="421"/>
      <c r="AI819" s="421"/>
      <c r="AJ819" s="421"/>
      <c r="AK819" s="421"/>
      <c r="AL819" s="421"/>
    </row>
    <row r="820" spans="1:38">
      <c r="A820" s="3">
        <v>5761</v>
      </c>
      <c r="B820" s="83">
        <f t="array" ref="B820">SUM(--(FREQUENCY(IF(C$2:C$3087=C820, MATCH(D$2:D$3087, D$2:D$3087, 0)), ROW(D$2:D$3087)-ROW(D$2)+1) &gt; 0))</f>
        <v>1</v>
      </c>
      <c r="C820" s="3">
        <v>41100207</v>
      </c>
      <c r="D820" s="6" t="s">
        <v>2408</v>
      </c>
      <c r="E820" s="3" t="s">
        <v>1585</v>
      </c>
      <c r="F820" s="3" t="s">
        <v>1591</v>
      </c>
      <c r="G820" s="68" t="str">
        <f t="shared" si="61"/>
        <v>SINGLE</v>
      </c>
      <c r="H820" s="197">
        <f t="shared" si="60"/>
        <v>27</v>
      </c>
      <c r="I820" s="3">
        <v>7</v>
      </c>
      <c r="J820" s="3">
        <v>4</v>
      </c>
      <c r="K820" s="186">
        <f t="shared" si="65"/>
        <v>45842</v>
      </c>
      <c r="L820" s="3" t="s">
        <v>2395</v>
      </c>
      <c r="M820" s="3" t="s">
        <v>2392</v>
      </c>
      <c r="N820" s="3" t="str">
        <f t="shared" si="64"/>
        <v/>
      </c>
      <c r="O820" s="3"/>
      <c r="P820" s="3"/>
      <c r="Q820" s="3"/>
      <c r="R820" s="3"/>
      <c r="S820" s="3"/>
      <c r="T820" s="408"/>
      <c r="U820" s="408"/>
      <c r="V820" s="421"/>
      <c r="W820" s="421"/>
      <c r="X820" s="421"/>
      <c r="Y820" s="421"/>
      <c r="Z820" s="421"/>
      <c r="AA820" s="421"/>
      <c r="AB820" s="421"/>
      <c r="AC820" s="421"/>
      <c r="AD820" s="421"/>
      <c r="AE820" s="421"/>
      <c r="AF820" s="421"/>
      <c r="AG820" s="421"/>
      <c r="AH820" s="421"/>
      <c r="AI820" s="421"/>
      <c r="AJ820" s="421"/>
      <c r="AK820" s="421"/>
      <c r="AL820" s="421"/>
    </row>
    <row r="821" spans="1:38">
      <c r="A821" s="3">
        <v>5789</v>
      </c>
      <c r="B821" s="83">
        <f t="array" ref="B821">SUM(--(FREQUENCY(IF(C$2:C$3087=C821, MATCH(D$2:D$3087, D$2:D$3087, 0)), ROW(D$2:D$3087)-ROW(D$2)+1) &gt; 0))</f>
        <v>2</v>
      </c>
      <c r="C821" s="3">
        <v>41100319</v>
      </c>
      <c r="D821" s="6" t="s">
        <v>2409</v>
      </c>
      <c r="E821" s="3" t="s">
        <v>1585</v>
      </c>
      <c r="F821" s="3" t="s">
        <v>1476</v>
      </c>
      <c r="G821" s="68" t="str">
        <f t="shared" si="61"/>
        <v>DUAL</v>
      </c>
      <c r="H821" s="197">
        <f t="shared" si="60"/>
        <v>27</v>
      </c>
      <c r="I821" s="3">
        <v>7</v>
      </c>
      <c r="J821" s="3">
        <v>4</v>
      </c>
      <c r="K821" s="186">
        <f t="shared" si="65"/>
        <v>45842</v>
      </c>
      <c r="L821" s="3" t="s">
        <v>2395</v>
      </c>
      <c r="M821" s="3" t="s">
        <v>2392</v>
      </c>
      <c r="N821" s="3" t="str">
        <f t="shared" si="64"/>
        <v>NG</v>
      </c>
      <c r="O821" s="3" t="s">
        <v>1569</v>
      </c>
      <c r="P821" s="3"/>
      <c r="Q821" s="3"/>
      <c r="R821" s="3"/>
      <c r="S821" s="3" t="s">
        <v>2410</v>
      </c>
      <c r="T821" s="408"/>
      <c r="U821" s="408"/>
      <c r="V821" s="421"/>
      <c r="W821" s="421"/>
      <c r="X821" s="421"/>
      <c r="Y821" s="421"/>
      <c r="Z821" s="421"/>
      <c r="AA821" s="421"/>
      <c r="AB821" s="421"/>
      <c r="AC821" s="421"/>
      <c r="AD821" s="421"/>
      <c r="AE821" s="421"/>
      <c r="AF821" s="421"/>
      <c r="AG821" s="421"/>
      <c r="AH821" s="421"/>
      <c r="AI821" s="421"/>
      <c r="AJ821" s="421"/>
      <c r="AK821" s="421"/>
      <c r="AL821" s="421"/>
    </row>
    <row r="822" spans="1:38">
      <c r="A822" s="3">
        <v>5710</v>
      </c>
      <c r="B822" s="83">
        <f t="array" ref="B822">SUM(--(FREQUENCY(IF(C$2:C$3087=C822, MATCH(D$2:D$3087, D$2:D$3087, 0)), ROW(D$2:D$3087)-ROW(D$2)+1) &gt; 0))</f>
        <v>9</v>
      </c>
      <c r="C822" s="3">
        <v>41200105</v>
      </c>
      <c r="D822" s="6" t="s">
        <v>2411</v>
      </c>
      <c r="E822" s="3" t="s">
        <v>1424</v>
      </c>
      <c r="F822" s="3" t="s">
        <v>1476</v>
      </c>
      <c r="G822" s="68" t="str">
        <f t="shared" si="61"/>
        <v>DUAL</v>
      </c>
      <c r="H822" s="197">
        <f t="shared" si="60"/>
        <v>27</v>
      </c>
      <c r="I822" s="3">
        <v>7</v>
      </c>
      <c r="J822" s="3">
        <v>4</v>
      </c>
      <c r="K822" s="186">
        <f t="shared" si="65"/>
        <v>45842</v>
      </c>
      <c r="L822" s="3" t="s">
        <v>2395</v>
      </c>
      <c r="M822" s="3" t="s">
        <v>1469</v>
      </c>
      <c r="N822" s="3" t="str">
        <f t="shared" si="64"/>
        <v/>
      </c>
      <c r="O822" s="3"/>
      <c r="P822" s="3"/>
      <c r="Q822" s="3"/>
      <c r="R822" s="3"/>
      <c r="S822" s="3"/>
      <c r="T822" s="408"/>
      <c r="U822" s="408"/>
      <c r="V822" s="421"/>
      <c r="W822" s="421"/>
      <c r="X822" s="421"/>
      <c r="Y822" s="421"/>
      <c r="Z822" s="421"/>
      <c r="AA822" s="421"/>
      <c r="AB822" s="421"/>
      <c r="AC822" s="421"/>
      <c r="AD822" s="421"/>
      <c r="AE822" s="421"/>
      <c r="AF822" s="421"/>
      <c r="AG822" s="421"/>
      <c r="AH822" s="421"/>
      <c r="AI822" s="421"/>
      <c r="AJ822" s="421"/>
      <c r="AK822" s="421"/>
      <c r="AL822" s="421"/>
    </row>
    <row r="823" spans="1:38">
      <c r="A823" s="3">
        <v>5824</v>
      </c>
      <c r="B823" s="83">
        <f t="array" ref="B823">SUM(--(FREQUENCY(IF(C$2:C$3087=C823, MATCH(D$2:D$3087, D$2:D$3087, 0)), ROW(D$2:D$3087)-ROW(D$2)+1) &gt; 0))</f>
        <v>1</v>
      </c>
      <c r="C823" s="3">
        <v>41100564</v>
      </c>
      <c r="D823" s="6" t="s">
        <v>2412</v>
      </c>
      <c r="E823" s="3" t="s">
        <v>1414</v>
      </c>
      <c r="F823" s="3" t="s">
        <v>1476</v>
      </c>
      <c r="G823" s="68" t="str">
        <f t="shared" si="61"/>
        <v>DUAL</v>
      </c>
      <c r="H823" s="197">
        <f t="shared" si="60"/>
        <v>27</v>
      </c>
      <c r="I823" s="3">
        <v>7</v>
      </c>
      <c r="J823" s="3">
        <v>4</v>
      </c>
      <c r="K823" s="186">
        <f t="shared" si="65"/>
        <v>45842</v>
      </c>
      <c r="L823" s="3" t="s">
        <v>2395</v>
      </c>
      <c r="M823" s="3" t="s">
        <v>1469</v>
      </c>
      <c r="N823" s="3" t="str">
        <f t="shared" si="64"/>
        <v/>
      </c>
      <c r="O823" s="3"/>
      <c r="P823" s="3"/>
      <c r="Q823" s="3"/>
      <c r="R823" s="3"/>
      <c r="S823" s="3"/>
      <c r="T823" s="408"/>
      <c r="U823" s="408"/>
      <c r="V823" s="421"/>
      <c r="W823" s="421"/>
      <c r="X823" s="421"/>
      <c r="Y823" s="421"/>
      <c r="Z823" s="421"/>
      <c r="AA823" s="421"/>
      <c r="AB823" s="421"/>
      <c r="AC823" s="421"/>
      <c r="AD823" s="421"/>
      <c r="AE823" s="421"/>
      <c r="AF823" s="421"/>
      <c r="AG823" s="421"/>
      <c r="AH823" s="421"/>
      <c r="AI823" s="421"/>
      <c r="AJ823" s="421"/>
      <c r="AK823" s="421"/>
      <c r="AL823" s="421"/>
    </row>
    <row r="824" spans="1:38" s="180" customFormat="1">
      <c r="A824" s="11">
        <v>5826</v>
      </c>
      <c r="B824" s="123">
        <f t="array" ref="B824">SUM(--(FREQUENCY(IF(C$2:C$3087=C824, MATCH(D$2:D$3087, D$2:D$3087, 0)), ROW(D$2:D$3087)-ROW(D$2)+1) &gt; 0))</f>
        <v>76</v>
      </c>
      <c r="C824" s="11">
        <v>41200007</v>
      </c>
      <c r="D824" s="11" t="s">
        <v>2413</v>
      </c>
      <c r="E824" s="11" t="s">
        <v>1405</v>
      </c>
      <c r="F824" s="11" t="s">
        <v>1591</v>
      </c>
      <c r="G824" s="68" t="str">
        <f t="shared" si="61"/>
        <v>SINGLE</v>
      </c>
      <c r="H824" s="197">
        <f t="shared" si="60"/>
        <v>28</v>
      </c>
      <c r="I824" s="11">
        <v>7</v>
      </c>
      <c r="J824" s="11">
        <v>7</v>
      </c>
      <c r="K824" s="186">
        <f t="shared" si="65"/>
        <v>45845</v>
      </c>
      <c r="L824" s="11" t="s">
        <v>2395</v>
      </c>
      <c r="M824" s="11" t="s">
        <v>2392</v>
      </c>
      <c r="N824" s="3" t="str">
        <f t="shared" si="64"/>
        <v>NG</v>
      </c>
      <c r="O824" s="11" t="s">
        <v>2368</v>
      </c>
      <c r="P824" s="11" t="s">
        <v>2414</v>
      </c>
      <c r="Q824" s="11">
        <v>11101544</v>
      </c>
      <c r="R824" s="11" t="s">
        <v>2415</v>
      </c>
      <c r="S824" s="11" t="s">
        <v>2416</v>
      </c>
      <c r="T824" s="414"/>
      <c r="U824" s="414"/>
      <c r="V824" s="419"/>
      <c r="W824" s="419"/>
      <c r="X824" s="419"/>
      <c r="Y824" s="419"/>
      <c r="Z824" s="419"/>
      <c r="AA824" s="419"/>
      <c r="AB824" s="419"/>
      <c r="AC824" s="419"/>
      <c r="AD824" s="419"/>
      <c r="AE824" s="419"/>
      <c r="AF824" s="419"/>
      <c r="AG824" s="419"/>
      <c r="AH824" s="419"/>
      <c r="AI824" s="419"/>
      <c r="AJ824" s="419"/>
      <c r="AK824" s="419"/>
      <c r="AL824" s="419"/>
    </row>
    <row r="825" spans="1:38" s="180" customFormat="1">
      <c r="A825" s="11">
        <v>5826</v>
      </c>
      <c r="B825" s="123">
        <f t="array" ref="B825">SUM(--(FREQUENCY(IF(C$2:C$3087=C825, MATCH(D$2:D$3087, D$2:D$3087, 0)), ROW(D$2:D$3087)-ROW(D$2)+1) &gt; 0))</f>
        <v>76</v>
      </c>
      <c r="C825" s="11">
        <v>41200007</v>
      </c>
      <c r="D825" s="11" t="s">
        <v>2413</v>
      </c>
      <c r="E825" s="11" t="s">
        <v>1405</v>
      </c>
      <c r="F825" s="11" t="s">
        <v>1591</v>
      </c>
      <c r="G825" s="68" t="str">
        <f t="shared" si="61"/>
        <v>SINGLE</v>
      </c>
      <c r="H825" s="197">
        <f t="shared" si="60"/>
        <v>28</v>
      </c>
      <c r="I825" s="11">
        <v>7</v>
      </c>
      <c r="J825" s="11">
        <v>7</v>
      </c>
      <c r="K825" s="186">
        <f t="shared" si="65"/>
        <v>45845</v>
      </c>
      <c r="L825" s="11" t="s">
        <v>2395</v>
      </c>
      <c r="M825" s="11" t="s">
        <v>2392</v>
      </c>
      <c r="N825" s="3" t="str">
        <f t="shared" si="64"/>
        <v>NG</v>
      </c>
      <c r="O825" s="11" t="s">
        <v>2368</v>
      </c>
      <c r="P825" s="11" t="s">
        <v>1385</v>
      </c>
      <c r="Q825" s="11">
        <v>11000028</v>
      </c>
      <c r="R825" s="11" t="s">
        <v>386</v>
      </c>
      <c r="S825" s="11" t="s">
        <v>2417</v>
      </c>
      <c r="T825" s="414"/>
      <c r="U825" s="414"/>
      <c r="V825" s="419"/>
      <c r="W825" s="419"/>
      <c r="X825" s="419"/>
      <c r="Y825" s="419"/>
      <c r="Z825" s="419"/>
      <c r="AA825" s="419"/>
      <c r="AB825" s="419"/>
      <c r="AC825" s="419"/>
      <c r="AD825" s="419"/>
      <c r="AE825" s="419"/>
      <c r="AF825" s="419"/>
      <c r="AG825" s="419"/>
      <c r="AH825" s="419"/>
      <c r="AI825" s="419"/>
      <c r="AJ825" s="419"/>
      <c r="AK825" s="419"/>
      <c r="AL825" s="419"/>
    </row>
    <row r="826" spans="1:38">
      <c r="A826" s="3">
        <v>5826</v>
      </c>
      <c r="B826" s="83">
        <f t="array" ref="B826">SUM(--(FREQUENCY(IF(C$2:C$3087=C826, MATCH(D$2:D$3087, D$2:D$3087, 0)), ROW(D$2:D$3087)-ROW(D$2)+1) &gt; 0))</f>
        <v>76</v>
      </c>
      <c r="C826" s="3">
        <v>41200007</v>
      </c>
      <c r="D826" s="6" t="s">
        <v>2418</v>
      </c>
      <c r="E826" s="3" t="s">
        <v>1405</v>
      </c>
      <c r="F826" s="3" t="s">
        <v>1591</v>
      </c>
      <c r="G826" s="68" t="str">
        <f t="shared" si="61"/>
        <v>SINGLE</v>
      </c>
      <c r="H826" s="197">
        <f t="shared" si="60"/>
        <v>28</v>
      </c>
      <c r="I826" s="3">
        <v>7</v>
      </c>
      <c r="J826" s="3">
        <v>7</v>
      </c>
      <c r="K826" s="186">
        <f t="shared" si="65"/>
        <v>45845</v>
      </c>
      <c r="L826" s="3" t="s">
        <v>2395</v>
      </c>
      <c r="M826" s="3" t="s">
        <v>2392</v>
      </c>
      <c r="N826" s="3" t="str">
        <f t="shared" si="64"/>
        <v/>
      </c>
      <c r="O826" s="3"/>
      <c r="P826" s="3"/>
      <c r="Q826" s="3"/>
      <c r="R826" s="3"/>
      <c r="S826" s="3"/>
      <c r="T826" s="408"/>
      <c r="U826" s="408"/>
      <c r="V826" s="421"/>
      <c r="W826" s="421"/>
      <c r="X826" s="421"/>
      <c r="Y826" s="421"/>
      <c r="Z826" s="421"/>
      <c r="AA826" s="421"/>
      <c r="AB826" s="421"/>
      <c r="AC826" s="421"/>
      <c r="AD826" s="421"/>
      <c r="AE826" s="421"/>
      <c r="AF826" s="421"/>
      <c r="AG826" s="421"/>
      <c r="AH826" s="421"/>
      <c r="AI826" s="421"/>
      <c r="AJ826" s="421"/>
      <c r="AK826" s="421"/>
      <c r="AL826" s="421"/>
    </row>
    <row r="827" spans="1:38">
      <c r="A827" s="3">
        <v>5832</v>
      </c>
      <c r="B827" s="83">
        <f t="array" ref="B827">SUM(--(FREQUENCY(IF(C$2:C$3087=C827, MATCH(D$2:D$3087, D$2:D$3087, 0)), ROW(D$2:D$3087)-ROW(D$2)+1) &gt; 0))</f>
        <v>5</v>
      </c>
      <c r="C827" s="3">
        <v>41100696</v>
      </c>
      <c r="D827" s="6" t="s">
        <v>2419</v>
      </c>
      <c r="E827" s="3" t="s">
        <v>1433</v>
      </c>
      <c r="F827" s="3" t="s">
        <v>1581</v>
      </c>
      <c r="G827" s="68" t="str">
        <f t="shared" si="61"/>
        <v>DUAL</v>
      </c>
      <c r="H827" s="197">
        <f t="shared" si="60"/>
        <v>28</v>
      </c>
      <c r="I827" s="3">
        <v>7</v>
      </c>
      <c r="J827" s="3">
        <v>7</v>
      </c>
      <c r="K827" s="186">
        <f t="shared" si="65"/>
        <v>45845</v>
      </c>
      <c r="L827" s="3" t="s">
        <v>2392</v>
      </c>
      <c r="M827" s="3" t="s">
        <v>2392</v>
      </c>
      <c r="N827" s="3" t="str">
        <f t="shared" si="64"/>
        <v>NG</v>
      </c>
      <c r="O827" s="3" t="s">
        <v>2368</v>
      </c>
      <c r="P827" s="3" t="s">
        <v>1385</v>
      </c>
      <c r="Q827" s="3">
        <v>11001964</v>
      </c>
      <c r="R827" s="3" t="s">
        <v>562</v>
      </c>
      <c r="S827" s="3" t="s">
        <v>2420</v>
      </c>
      <c r="T827" s="408"/>
      <c r="U827" s="408"/>
      <c r="V827" s="421"/>
      <c r="W827" s="421"/>
      <c r="X827" s="421"/>
      <c r="Y827" s="421"/>
      <c r="Z827" s="421"/>
      <c r="AA827" s="421"/>
      <c r="AB827" s="421"/>
      <c r="AC827" s="421"/>
      <c r="AD827" s="421"/>
      <c r="AE827" s="421"/>
      <c r="AF827" s="421"/>
      <c r="AG827" s="421"/>
      <c r="AH827" s="421"/>
      <c r="AI827" s="421"/>
      <c r="AJ827" s="421"/>
      <c r="AK827" s="421"/>
      <c r="AL827" s="421"/>
    </row>
    <row r="828" spans="1:38">
      <c r="A828" s="3">
        <v>5653</v>
      </c>
      <c r="B828" s="83">
        <f t="array" ref="B828">SUM(--(FREQUENCY(IF(C$2:C$3087=C828, MATCH(D$2:D$3087, D$2:D$3087, 0)), ROW(D$2:D$3087)-ROW(D$2)+1) &gt; 0))</f>
        <v>37</v>
      </c>
      <c r="C828" s="3">
        <v>41200076</v>
      </c>
      <c r="D828" s="6" t="s">
        <v>2421</v>
      </c>
      <c r="E828" s="3" t="s">
        <v>1585</v>
      </c>
      <c r="F828" s="3" t="s">
        <v>1476</v>
      </c>
      <c r="G828" s="68" t="str">
        <f t="shared" si="61"/>
        <v>DUAL</v>
      </c>
      <c r="H828" s="197">
        <f t="shared" si="60"/>
        <v>28</v>
      </c>
      <c r="I828" s="3">
        <v>7</v>
      </c>
      <c r="J828" s="3">
        <v>7</v>
      </c>
      <c r="K828" s="186">
        <f t="shared" si="65"/>
        <v>45845</v>
      </c>
      <c r="L828" s="3" t="s">
        <v>2391</v>
      </c>
      <c r="M828" s="3" t="s">
        <v>1468</v>
      </c>
      <c r="N828" s="3" t="str">
        <f t="shared" si="64"/>
        <v/>
      </c>
      <c r="O828" s="3"/>
      <c r="P828" s="3"/>
      <c r="Q828" s="3"/>
      <c r="R828" s="3"/>
      <c r="S828" s="3"/>
      <c r="T828" s="408"/>
      <c r="U828" s="408"/>
      <c r="V828" s="421"/>
      <c r="W828" s="421"/>
      <c r="X828" s="421"/>
      <c r="Y828" s="421"/>
      <c r="Z828" s="421"/>
      <c r="AA828" s="421"/>
      <c r="AB828" s="421"/>
      <c r="AC828" s="421"/>
      <c r="AD828" s="421"/>
      <c r="AE828" s="421"/>
      <c r="AF828" s="421"/>
      <c r="AG828" s="421"/>
      <c r="AH828" s="421"/>
      <c r="AI828" s="421"/>
      <c r="AJ828" s="421"/>
      <c r="AK828" s="421"/>
      <c r="AL828" s="421"/>
    </row>
    <row r="829" spans="1:38">
      <c r="A829" s="3">
        <v>5674</v>
      </c>
      <c r="B829" s="83">
        <f t="array" ref="B829">SUM(--(FREQUENCY(IF(C$2:C$3087=C829, MATCH(D$2:D$3087, D$2:D$3087, 0)), ROW(D$2:D$3087)-ROW(D$2)+1) &gt; 0))</f>
        <v>4</v>
      </c>
      <c r="C829" s="3">
        <v>41200082</v>
      </c>
      <c r="D829" s="6" t="s">
        <v>2422</v>
      </c>
      <c r="E829" s="3" t="s">
        <v>1585</v>
      </c>
      <c r="F829" s="3" t="s">
        <v>1591</v>
      </c>
      <c r="G829" s="68" t="str">
        <f t="shared" si="61"/>
        <v>SINGLE</v>
      </c>
      <c r="H829" s="197">
        <f t="shared" si="60"/>
        <v>28</v>
      </c>
      <c r="I829" s="3">
        <v>7</v>
      </c>
      <c r="J829" s="3">
        <v>7</v>
      </c>
      <c r="K829" s="186">
        <f t="shared" si="65"/>
        <v>45845</v>
      </c>
      <c r="L829" s="3" t="s">
        <v>2395</v>
      </c>
      <c r="M829" s="3" t="s">
        <v>1469</v>
      </c>
      <c r="N829" s="3" t="str">
        <f t="shared" si="64"/>
        <v/>
      </c>
      <c r="O829" s="3"/>
      <c r="P829" s="3"/>
      <c r="Q829" s="3"/>
      <c r="R829" s="3"/>
      <c r="S829" s="3"/>
      <c r="T829" s="408"/>
      <c r="U829" s="408"/>
      <c r="V829" s="421"/>
      <c r="W829" s="421"/>
      <c r="X829" s="421"/>
      <c r="Y829" s="421"/>
      <c r="Z829" s="421"/>
      <c r="AA829" s="421"/>
      <c r="AB829" s="421"/>
      <c r="AC829" s="421"/>
      <c r="AD829" s="421"/>
      <c r="AE829" s="421"/>
      <c r="AF829" s="421"/>
      <c r="AG829" s="421"/>
      <c r="AH829" s="421"/>
      <c r="AI829" s="421"/>
      <c r="AJ829" s="421"/>
      <c r="AK829" s="421"/>
      <c r="AL829" s="421"/>
    </row>
    <row r="830" spans="1:38">
      <c r="A830" s="3">
        <v>5674</v>
      </c>
      <c r="B830" s="83">
        <f t="array" ref="B830">SUM(--(FREQUENCY(IF(C$2:C$3087=C830, MATCH(D$2:D$3087, D$2:D$3087, 0)), ROW(D$2:D$3087)-ROW(D$2)+1) &gt; 0))</f>
        <v>4</v>
      </c>
      <c r="C830" s="3">
        <v>41200082</v>
      </c>
      <c r="D830" s="6" t="s">
        <v>2423</v>
      </c>
      <c r="E830" s="3" t="s">
        <v>1585</v>
      </c>
      <c r="F830" s="3" t="s">
        <v>1591</v>
      </c>
      <c r="G830" s="68" t="str">
        <f t="shared" si="61"/>
        <v>SINGLE</v>
      </c>
      <c r="H830" s="197">
        <f t="shared" si="60"/>
        <v>28</v>
      </c>
      <c r="I830" s="3">
        <v>7</v>
      </c>
      <c r="J830" s="3">
        <v>7</v>
      </c>
      <c r="K830" s="186">
        <f t="shared" si="65"/>
        <v>45845</v>
      </c>
      <c r="L830" s="3" t="s">
        <v>2395</v>
      </c>
      <c r="M830" s="3" t="s">
        <v>1469</v>
      </c>
      <c r="N830" s="3" t="str">
        <f t="shared" si="64"/>
        <v/>
      </c>
      <c r="O830" s="3"/>
      <c r="P830" s="3"/>
      <c r="Q830" s="3"/>
      <c r="R830" s="3"/>
      <c r="S830" s="3"/>
      <c r="T830" s="408"/>
      <c r="U830" s="408"/>
      <c r="V830" s="421"/>
      <c r="W830" s="421"/>
      <c r="X830" s="421"/>
      <c r="Y830" s="421"/>
      <c r="Z830" s="421"/>
      <c r="AA830" s="421"/>
      <c r="AB830" s="421"/>
      <c r="AC830" s="421"/>
      <c r="AD830" s="421"/>
      <c r="AE830" s="421"/>
      <c r="AF830" s="421"/>
      <c r="AG830" s="421"/>
      <c r="AH830" s="421"/>
      <c r="AI830" s="421"/>
      <c r="AJ830" s="421"/>
      <c r="AK830" s="421"/>
      <c r="AL830" s="421"/>
    </row>
    <row r="831" spans="1:38">
      <c r="A831" s="3">
        <v>5688</v>
      </c>
      <c r="B831" s="83">
        <f t="array" ref="B831">SUM(--(FREQUENCY(IF(C$2:C$3087=C831, MATCH(D$2:D$3087, D$2:D$3087, 0)), ROW(D$2:D$3087)-ROW(D$2)+1) &gt; 0))</f>
        <v>4</v>
      </c>
      <c r="C831" s="3">
        <v>41100374</v>
      </c>
      <c r="D831" s="6" t="s">
        <v>2424</v>
      </c>
      <c r="E831" s="3" t="s">
        <v>1585</v>
      </c>
      <c r="F831" s="3" t="s">
        <v>1476</v>
      </c>
      <c r="G831" s="68" t="str">
        <f t="shared" si="61"/>
        <v>DUAL</v>
      </c>
      <c r="H831" s="197">
        <f t="shared" si="60"/>
        <v>28</v>
      </c>
      <c r="I831" s="3">
        <v>7</v>
      </c>
      <c r="J831" s="3">
        <v>7</v>
      </c>
      <c r="K831" s="186">
        <f t="shared" si="65"/>
        <v>45845</v>
      </c>
      <c r="L831" s="3" t="s">
        <v>2395</v>
      </c>
      <c r="M831" s="3" t="s">
        <v>1469</v>
      </c>
      <c r="N831" s="3" t="str">
        <f t="shared" si="64"/>
        <v/>
      </c>
      <c r="O831" s="3"/>
      <c r="P831" s="3"/>
      <c r="Q831" s="3"/>
      <c r="R831" s="3"/>
      <c r="S831" s="3"/>
      <c r="T831" s="408"/>
      <c r="U831" s="408"/>
      <c r="V831" s="421"/>
      <c r="W831" s="421"/>
      <c r="X831" s="421"/>
      <c r="Y831" s="421"/>
      <c r="Z831" s="421"/>
      <c r="AA831" s="421"/>
      <c r="AB831" s="421"/>
      <c r="AC831" s="421"/>
      <c r="AD831" s="421"/>
      <c r="AE831" s="421"/>
      <c r="AF831" s="421"/>
      <c r="AG831" s="421"/>
      <c r="AH831" s="421"/>
      <c r="AI831" s="421"/>
      <c r="AJ831" s="421"/>
      <c r="AK831" s="421"/>
      <c r="AL831" s="421"/>
    </row>
    <row r="832" spans="1:38" s="180" customFormat="1">
      <c r="A832" s="11">
        <v>5716</v>
      </c>
      <c r="B832" s="123">
        <f t="array" ref="B832">SUM(--(FREQUENCY(IF(C$2:C$3088=C832, MATCH(D$2:D$3088, D$2:D$3088, 0)), ROW(D$2:D$3088)-ROW(D$2)+1) &gt; 0))</f>
        <v>9</v>
      </c>
      <c r="C832" s="11">
        <v>41200105</v>
      </c>
      <c r="D832" s="11" t="s">
        <v>2425</v>
      </c>
      <c r="E832" s="11" t="s">
        <v>1424</v>
      </c>
      <c r="F832" s="11" t="s">
        <v>1476</v>
      </c>
      <c r="G832" s="68" t="str">
        <f t="shared" si="61"/>
        <v>DUAL</v>
      </c>
      <c r="H832" s="197">
        <f t="shared" si="60"/>
        <v>28</v>
      </c>
      <c r="I832" s="11">
        <v>7</v>
      </c>
      <c r="J832" s="11">
        <v>8</v>
      </c>
      <c r="K832" s="186">
        <f t="shared" si="65"/>
        <v>45846</v>
      </c>
      <c r="L832" s="11" t="s">
        <v>2391</v>
      </c>
      <c r="M832" s="11" t="s">
        <v>2392</v>
      </c>
      <c r="N832" s="3" t="str">
        <f t="shared" si="64"/>
        <v>NG</v>
      </c>
      <c r="O832" s="11" t="s">
        <v>2368</v>
      </c>
      <c r="P832" s="11"/>
      <c r="Q832" s="11"/>
      <c r="R832" s="11"/>
      <c r="S832" s="11"/>
      <c r="T832" s="414"/>
      <c r="U832" s="414"/>
      <c r="V832" s="419"/>
      <c r="W832" s="419"/>
      <c r="X832" s="419"/>
      <c r="Y832" s="419"/>
      <c r="Z832" s="419"/>
      <c r="AA832" s="419"/>
      <c r="AB832" s="419"/>
      <c r="AC832" s="419"/>
      <c r="AD832" s="419"/>
      <c r="AE832" s="419"/>
      <c r="AF832" s="419"/>
      <c r="AG832" s="419"/>
      <c r="AH832" s="419"/>
      <c r="AI832" s="419"/>
      <c r="AJ832" s="419"/>
      <c r="AK832" s="419"/>
      <c r="AL832" s="419"/>
    </row>
    <row r="833" spans="1:38" s="180" customFormat="1">
      <c r="A833" s="11">
        <v>5716</v>
      </c>
      <c r="B833" s="123">
        <f t="array" ref="B833">SUM(--(FREQUENCY(IF(C$2:C$3088=C833, MATCH(D$2:D$3088, D$2:D$3088, 0)), ROW(D$2:D$3088)-ROW(D$2)+1) &gt; 0))</f>
        <v>9</v>
      </c>
      <c r="C833" s="11">
        <v>41200105</v>
      </c>
      <c r="D833" s="11" t="s">
        <v>2425</v>
      </c>
      <c r="E833" s="11" t="s">
        <v>1424</v>
      </c>
      <c r="F833" s="11" t="s">
        <v>1476</v>
      </c>
      <c r="G833" s="68" t="str">
        <f t="shared" si="61"/>
        <v>DUAL</v>
      </c>
      <c r="H833" s="197">
        <f t="shared" ref="H833:H896" si="66">WEEKNUM(K833)</f>
        <v>28</v>
      </c>
      <c r="I833" s="11">
        <v>7</v>
      </c>
      <c r="J833" s="11">
        <v>8</v>
      </c>
      <c r="K833" s="186">
        <f t="shared" si="65"/>
        <v>45846</v>
      </c>
      <c r="L833" s="11" t="s">
        <v>2391</v>
      </c>
      <c r="M833" s="11" t="s">
        <v>2392</v>
      </c>
      <c r="N833" s="3" t="str">
        <f t="shared" si="64"/>
        <v>NG</v>
      </c>
      <c r="O833" s="11" t="s">
        <v>2368</v>
      </c>
      <c r="P833" s="11"/>
      <c r="Q833" s="11"/>
      <c r="R833" s="11"/>
      <c r="S833" s="11"/>
      <c r="T833" s="414"/>
      <c r="U833" s="414"/>
      <c r="V833" s="419"/>
      <c r="W833" s="419"/>
      <c r="X833" s="419"/>
      <c r="Y833" s="419"/>
      <c r="Z833" s="419"/>
      <c r="AA833" s="419"/>
      <c r="AB833" s="419"/>
      <c r="AC833" s="419"/>
      <c r="AD833" s="419"/>
      <c r="AE833" s="419"/>
      <c r="AF833" s="419"/>
      <c r="AG833" s="419"/>
      <c r="AH833" s="419"/>
      <c r="AI833" s="419"/>
      <c r="AJ833" s="419"/>
      <c r="AK833" s="419"/>
      <c r="AL833" s="419"/>
    </row>
    <row r="834" spans="1:38">
      <c r="A834" s="3">
        <v>5826</v>
      </c>
      <c r="B834" s="83">
        <f t="array" ref="B834">SUM(--(FREQUENCY(IF(C$2:C$3088=C834, MATCH(D$2:D$3088, D$2:D$3088, 0)), ROW(D$2:D$3088)-ROW(D$2)+1) &gt; 0))</f>
        <v>76</v>
      </c>
      <c r="C834" s="3">
        <v>41200007</v>
      </c>
      <c r="D834" s="6" t="s">
        <v>2426</v>
      </c>
      <c r="E834" s="3" t="s">
        <v>1405</v>
      </c>
      <c r="F834" s="3" t="s">
        <v>1591</v>
      </c>
      <c r="G834" s="68" t="str">
        <f t="shared" ref="G834:G864" si="67">IF(OR(ISNUMBER(SEARCH("DUAL",F834)), ISNUMBER(SEARCH("IVAS",F834))), "DUAL", "SINGLE")</f>
        <v>SINGLE</v>
      </c>
      <c r="H834" s="197">
        <f t="shared" si="66"/>
        <v>28</v>
      </c>
      <c r="I834" s="3">
        <v>7</v>
      </c>
      <c r="J834" s="3">
        <v>8</v>
      </c>
      <c r="K834" s="186">
        <f t="shared" si="65"/>
        <v>45846</v>
      </c>
      <c r="L834" s="3" t="s">
        <v>2395</v>
      </c>
      <c r="M834" s="3" t="s">
        <v>2392</v>
      </c>
      <c r="N834" s="3" t="str">
        <f t="shared" ref="N834:N899" si="68">IF(O834&lt;&gt;"", "NG", "")</f>
        <v/>
      </c>
      <c r="O834" s="3"/>
      <c r="P834" s="3"/>
      <c r="Q834" s="3"/>
      <c r="R834" s="3"/>
      <c r="S834" s="3"/>
      <c r="T834" s="408"/>
      <c r="U834" s="408"/>
      <c r="V834" s="421"/>
      <c r="W834" s="421"/>
      <c r="X834" s="421"/>
      <c r="Y834" s="421"/>
      <c r="Z834" s="421"/>
      <c r="AA834" s="421"/>
      <c r="AB834" s="421"/>
      <c r="AC834" s="421"/>
      <c r="AD834" s="421"/>
      <c r="AE834" s="421"/>
      <c r="AF834" s="421"/>
      <c r="AG834" s="421"/>
      <c r="AH834" s="421"/>
      <c r="AI834" s="421"/>
      <c r="AJ834" s="421"/>
      <c r="AK834" s="421"/>
      <c r="AL834" s="421"/>
    </row>
    <row r="835" spans="1:38">
      <c r="A835" s="3">
        <v>5826</v>
      </c>
      <c r="B835" s="83">
        <f t="array" ref="B835">SUM(--(FREQUENCY(IF(C$2:C$3088=C835, MATCH(D$2:D$3088, D$2:D$3088, 0)), ROW(D$2:D$3088)-ROW(D$2)+1) &gt; 0))</f>
        <v>76</v>
      </c>
      <c r="C835" s="3">
        <v>41200007</v>
      </c>
      <c r="D835" s="6" t="s">
        <v>2427</v>
      </c>
      <c r="E835" s="3" t="s">
        <v>1405</v>
      </c>
      <c r="F835" s="3" t="s">
        <v>1591</v>
      </c>
      <c r="G835" s="68" t="str">
        <f t="shared" si="67"/>
        <v>SINGLE</v>
      </c>
      <c r="H835" s="197">
        <f t="shared" si="66"/>
        <v>28</v>
      </c>
      <c r="I835" s="3">
        <v>7</v>
      </c>
      <c r="J835" s="3">
        <v>8</v>
      </c>
      <c r="K835" s="186">
        <f t="shared" si="65"/>
        <v>45846</v>
      </c>
      <c r="L835" s="3" t="s">
        <v>2395</v>
      </c>
      <c r="M835" s="3" t="s">
        <v>2392</v>
      </c>
      <c r="N835" s="3" t="str">
        <f t="shared" si="68"/>
        <v/>
      </c>
      <c r="O835" s="3"/>
      <c r="P835" s="3"/>
      <c r="Q835" s="3"/>
      <c r="R835" s="3"/>
      <c r="S835" s="3"/>
      <c r="T835" s="408"/>
      <c r="U835" s="408"/>
      <c r="V835" s="421"/>
      <c r="W835" s="421"/>
      <c r="X835" s="421"/>
      <c r="Y835" s="421"/>
      <c r="Z835" s="421"/>
      <c r="AA835" s="421"/>
      <c r="AB835" s="421"/>
      <c r="AC835" s="421"/>
      <c r="AD835" s="421"/>
      <c r="AE835" s="421"/>
      <c r="AF835" s="421"/>
      <c r="AG835" s="421"/>
      <c r="AH835" s="421"/>
      <c r="AI835" s="421"/>
      <c r="AJ835" s="421"/>
      <c r="AK835" s="421"/>
      <c r="AL835" s="421"/>
    </row>
    <row r="836" spans="1:38">
      <c r="A836" s="3">
        <v>5768</v>
      </c>
      <c r="B836" s="83">
        <f t="array" ref="B836">SUM(--(FREQUENCY(IF(C$2:C$3088=C836, MATCH(D$2:D$3088, D$2:D$3088, 0)), ROW(D$2:D$3088)-ROW(D$2)+1) &gt; 0))</f>
        <v>6</v>
      </c>
      <c r="C836" s="3">
        <v>41000598</v>
      </c>
      <c r="D836" s="6" t="s">
        <v>2428</v>
      </c>
      <c r="E836" s="3" t="s">
        <v>1405</v>
      </c>
      <c r="F836" s="3" t="s">
        <v>1480</v>
      </c>
      <c r="G836" s="68" t="str">
        <f t="shared" si="67"/>
        <v>DUAL</v>
      </c>
      <c r="H836" s="197">
        <f t="shared" si="66"/>
        <v>28</v>
      </c>
      <c r="I836" s="3">
        <v>7</v>
      </c>
      <c r="J836" s="3">
        <v>8</v>
      </c>
      <c r="K836" s="186">
        <f t="shared" si="65"/>
        <v>45846</v>
      </c>
      <c r="L836" s="3" t="s">
        <v>2391</v>
      </c>
      <c r="M836" s="3" t="s">
        <v>1468</v>
      </c>
      <c r="N836" s="3" t="str">
        <f t="shared" si="68"/>
        <v/>
      </c>
      <c r="O836" s="3"/>
      <c r="P836" s="3"/>
      <c r="Q836" s="3"/>
      <c r="R836" s="3"/>
      <c r="S836" s="3"/>
      <c r="T836" s="408"/>
      <c r="U836" s="408"/>
      <c r="V836" s="421"/>
      <c r="W836" s="421"/>
      <c r="X836" s="421"/>
      <c r="Y836" s="421"/>
      <c r="Z836" s="421"/>
      <c r="AA836" s="421"/>
      <c r="AB836" s="421"/>
      <c r="AC836" s="421"/>
      <c r="AD836" s="421"/>
      <c r="AE836" s="421"/>
      <c r="AF836" s="421"/>
      <c r="AG836" s="421"/>
      <c r="AH836" s="421"/>
      <c r="AI836" s="421"/>
      <c r="AJ836" s="421"/>
      <c r="AK836" s="421"/>
      <c r="AL836" s="421"/>
    </row>
    <row r="837" spans="1:38">
      <c r="A837" s="3">
        <v>5829</v>
      </c>
      <c r="B837" s="83">
        <f t="array" ref="B837">SUM(--(FREQUENCY(IF(C$2:C$3088=C837, MATCH(D$2:D$3088, D$2:D$3088, 0)), ROW(D$2:D$3088)-ROW(D$2)+1) &gt; 0))</f>
        <v>29</v>
      </c>
      <c r="C837" s="3">
        <v>41200127</v>
      </c>
      <c r="D837" s="6" t="s">
        <v>2429</v>
      </c>
      <c r="E837" s="3" t="s">
        <v>1431</v>
      </c>
      <c r="F837" s="3" t="s">
        <v>1591</v>
      </c>
      <c r="G837" s="68" t="str">
        <f t="shared" si="67"/>
        <v>SINGLE</v>
      </c>
      <c r="H837" s="197">
        <f t="shared" si="66"/>
        <v>28</v>
      </c>
      <c r="I837" s="3">
        <v>7</v>
      </c>
      <c r="J837" s="3">
        <v>8</v>
      </c>
      <c r="K837" s="186">
        <f t="shared" si="65"/>
        <v>45846</v>
      </c>
      <c r="L837" s="3" t="s">
        <v>2391</v>
      </c>
      <c r="M837" s="3" t="s">
        <v>1469</v>
      </c>
      <c r="N837" s="3" t="str">
        <f t="shared" si="68"/>
        <v/>
      </c>
      <c r="O837" s="3"/>
      <c r="P837" s="3"/>
      <c r="Q837" s="3"/>
      <c r="R837" s="3"/>
      <c r="S837" s="3"/>
      <c r="T837" s="408"/>
      <c r="U837" s="408"/>
      <c r="V837" s="421"/>
      <c r="W837" s="421"/>
      <c r="X837" s="421"/>
      <c r="Y837" s="421"/>
      <c r="Z837" s="421"/>
      <c r="AA837" s="421"/>
      <c r="AB837" s="421"/>
      <c r="AC837" s="421"/>
      <c r="AD837" s="421"/>
      <c r="AE837" s="421"/>
      <c r="AF837" s="421"/>
      <c r="AG837" s="421"/>
      <c r="AH837" s="421"/>
      <c r="AI837" s="421"/>
      <c r="AJ837" s="421"/>
      <c r="AK837" s="421"/>
      <c r="AL837" s="421"/>
    </row>
    <row r="838" spans="1:38">
      <c r="A838" s="3">
        <v>5829</v>
      </c>
      <c r="B838" s="83">
        <f t="array" ref="B838">SUM(--(FREQUENCY(IF(C$2:C$3088=C838, MATCH(D$2:D$3088, D$2:D$3088, 0)), ROW(D$2:D$3088)-ROW(D$2)+1) &gt; 0))</f>
        <v>29</v>
      </c>
      <c r="C838" s="3">
        <v>41200127</v>
      </c>
      <c r="D838" s="6" t="s">
        <v>2430</v>
      </c>
      <c r="E838" s="3" t="s">
        <v>1431</v>
      </c>
      <c r="F838" s="3" t="s">
        <v>1591</v>
      </c>
      <c r="G838" s="68" t="str">
        <f t="shared" si="67"/>
        <v>SINGLE</v>
      </c>
      <c r="H838" s="197">
        <f t="shared" si="66"/>
        <v>28</v>
      </c>
      <c r="I838" s="3">
        <v>7</v>
      </c>
      <c r="J838" s="3">
        <v>8</v>
      </c>
      <c r="K838" s="186">
        <f t="shared" si="65"/>
        <v>45846</v>
      </c>
      <c r="L838" s="3" t="s">
        <v>2391</v>
      </c>
      <c r="M838" s="3" t="s">
        <v>1469</v>
      </c>
      <c r="N838" s="3" t="str">
        <f t="shared" si="68"/>
        <v/>
      </c>
      <c r="O838" s="3"/>
      <c r="P838" s="3"/>
      <c r="Q838" s="3"/>
      <c r="R838" s="3"/>
      <c r="S838" s="3"/>
      <c r="T838" s="408"/>
      <c r="U838" s="408"/>
      <c r="V838" s="421"/>
      <c r="W838" s="421"/>
      <c r="X838" s="421"/>
      <c r="Y838" s="421"/>
      <c r="Z838" s="421"/>
      <c r="AA838" s="421"/>
      <c r="AB838" s="421"/>
      <c r="AC838" s="421"/>
      <c r="AD838" s="421"/>
      <c r="AE838" s="421"/>
      <c r="AF838" s="421"/>
      <c r="AG838" s="421"/>
      <c r="AH838" s="421"/>
      <c r="AI838" s="421"/>
      <c r="AJ838" s="421"/>
      <c r="AK838" s="421"/>
      <c r="AL838" s="421"/>
    </row>
    <row r="839" spans="1:38">
      <c r="A839" s="3">
        <v>5664</v>
      </c>
      <c r="B839" s="83">
        <f t="array" ref="B839">SUM(--(FREQUENCY(IF(C$2:C$3088=C839, MATCH(D$2:D$3088, D$2:D$3088, 0)), ROW(D$2:D$3088)-ROW(D$2)+1) &gt; 0))</f>
        <v>19</v>
      </c>
      <c r="C839" s="3">
        <v>41200033</v>
      </c>
      <c r="D839" s="6" t="s">
        <v>2431</v>
      </c>
      <c r="E839" s="3" t="s">
        <v>1426</v>
      </c>
      <c r="F839" s="3" t="s">
        <v>1476</v>
      </c>
      <c r="G839" s="68" t="str">
        <f t="shared" si="67"/>
        <v>DUAL</v>
      </c>
      <c r="H839" s="197">
        <f t="shared" si="66"/>
        <v>28</v>
      </c>
      <c r="I839" s="3">
        <v>7</v>
      </c>
      <c r="J839" s="3">
        <v>9</v>
      </c>
      <c r="K839" s="186">
        <f t="shared" si="65"/>
        <v>45847</v>
      </c>
      <c r="L839" s="3" t="s">
        <v>2395</v>
      </c>
      <c r="M839" s="3" t="s">
        <v>2392</v>
      </c>
      <c r="N839" s="3" t="str">
        <f t="shared" si="68"/>
        <v/>
      </c>
      <c r="O839" s="3"/>
      <c r="P839" s="3"/>
      <c r="Q839" s="3"/>
      <c r="R839" s="3"/>
      <c r="S839" s="3"/>
      <c r="T839" s="408"/>
      <c r="U839" s="408"/>
      <c r="V839" s="421"/>
      <c r="W839" s="421"/>
      <c r="X839" s="421"/>
      <c r="Y839" s="421"/>
      <c r="Z839" s="421"/>
      <c r="AA839" s="421"/>
      <c r="AB839" s="421"/>
      <c r="AC839" s="421"/>
      <c r="AD839" s="421"/>
      <c r="AE839" s="421"/>
      <c r="AF839" s="421"/>
      <c r="AG839" s="421"/>
      <c r="AH839" s="421"/>
      <c r="AI839" s="421"/>
      <c r="AJ839" s="421"/>
      <c r="AK839" s="421"/>
      <c r="AL839" s="421"/>
    </row>
    <row r="840" spans="1:38">
      <c r="A840" s="3">
        <v>5837</v>
      </c>
      <c r="B840" s="83">
        <f t="array" ref="B840">SUM(--(FREQUENCY(IF(C$2:C$3088=C840, MATCH(D$2:D$3088, D$2:D$3088, 0)), ROW(D$2:D$3088)-ROW(D$2)+1) &gt; 0))</f>
        <v>25</v>
      </c>
      <c r="C840" s="3">
        <v>41200034</v>
      </c>
      <c r="D840" s="6" t="s">
        <v>2432</v>
      </c>
      <c r="E840" s="3" t="s">
        <v>1426</v>
      </c>
      <c r="F840" s="3" t="s">
        <v>1476</v>
      </c>
      <c r="G840" s="68" t="str">
        <f t="shared" si="67"/>
        <v>DUAL</v>
      </c>
      <c r="H840" s="197">
        <f t="shared" si="66"/>
        <v>28</v>
      </c>
      <c r="I840" s="3">
        <v>7</v>
      </c>
      <c r="J840" s="3">
        <v>9</v>
      </c>
      <c r="K840" s="186">
        <f t="shared" si="65"/>
        <v>45847</v>
      </c>
      <c r="L840" s="3" t="s">
        <v>2395</v>
      </c>
      <c r="M840" s="3" t="s">
        <v>2392</v>
      </c>
      <c r="N840" s="3" t="str">
        <f t="shared" si="68"/>
        <v/>
      </c>
      <c r="O840" s="3"/>
      <c r="P840" s="3"/>
      <c r="Q840" s="3"/>
      <c r="R840" s="3"/>
      <c r="S840" s="3"/>
      <c r="T840" s="408"/>
      <c r="U840" s="408"/>
      <c r="V840" s="421"/>
      <c r="W840" s="421"/>
      <c r="X840" s="421"/>
      <c r="Y840" s="421"/>
      <c r="Z840" s="421"/>
      <c r="AA840" s="421"/>
      <c r="AB840" s="421"/>
      <c r="AC840" s="421"/>
      <c r="AD840" s="421"/>
      <c r="AE840" s="421"/>
      <c r="AF840" s="421"/>
      <c r="AG840" s="421"/>
      <c r="AH840" s="421"/>
      <c r="AI840" s="421"/>
      <c r="AJ840" s="421"/>
      <c r="AK840" s="421"/>
      <c r="AL840" s="421"/>
    </row>
    <row r="841" spans="1:38">
      <c r="A841" s="3">
        <v>5838</v>
      </c>
      <c r="B841" s="83">
        <f t="array" ref="B841">SUM(--(FREQUENCY(IF(C$2:C$3088=C841, MATCH(D$2:D$3088, D$2:D$3088, 0)), ROW(D$2:D$3088)-ROW(D$2)+1) &gt; 0))</f>
        <v>22</v>
      </c>
      <c r="C841" s="3">
        <v>41200047</v>
      </c>
      <c r="D841" s="6" t="s">
        <v>2433</v>
      </c>
      <c r="E841" s="3" t="s">
        <v>1426</v>
      </c>
      <c r="F841" s="3" t="s">
        <v>1476</v>
      </c>
      <c r="G841" s="68" t="str">
        <f t="shared" si="67"/>
        <v>DUAL</v>
      </c>
      <c r="H841" s="197">
        <f t="shared" si="66"/>
        <v>28</v>
      </c>
      <c r="I841" s="3">
        <v>7</v>
      </c>
      <c r="J841" s="3">
        <v>9</v>
      </c>
      <c r="K841" s="186">
        <f t="shared" si="65"/>
        <v>45847</v>
      </c>
      <c r="L841" s="3" t="s">
        <v>2395</v>
      </c>
      <c r="M841" s="3" t="s">
        <v>2392</v>
      </c>
      <c r="N841" s="3" t="str">
        <f t="shared" si="68"/>
        <v/>
      </c>
      <c r="O841" s="3"/>
      <c r="P841" s="3"/>
      <c r="Q841" s="3"/>
      <c r="R841" s="3"/>
      <c r="S841" s="3"/>
      <c r="T841" s="408"/>
      <c r="U841" s="408"/>
      <c r="V841" s="421"/>
      <c r="W841" s="421"/>
      <c r="X841" s="421"/>
      <c r="Y841" s="421"/>
      <c r="Z841" s="421"/>
      <c r="AA841" s="421"/>
      <c r="AB841" s="421"/>
      <c r="AC841" s="421"/>
      <c r="AD841" s="421"/>
      <c r="AE841" s="421"/>
      <c r="AF841" s="421"/>
      <c r="AG841" s="421"/>
      <c r="AH841" s="421"/>
      <c r="AI841" s="421"/>
      <c r="AJ841" s="421"/>
      <c r="AK841" s="421"/>
      <c r="AL841" s="421"/>
    </row>
    <row r="842" spans="1:38">
      <c r="A842" s="3">
        <v>5802</v>
      </c>
      <c r="B842" s="83">
        <f t="array" ref="B842">SUM(--(FREQUENCY(IF(C$2:C$3088=C842, MATCH(D$2:D$3088, D$2:D$3088, 0)), ROW(D$2:D$3088)-ROW(D$2)+1) &gt; 0))</f>
        <v>25</v>
      </c>
      <c r="C842" s="3">
        <v>41200034</v>
      </c>
      <c r="D842" s="6" t="s">
        <v>2434</v>
      </c>
      <c r="E842" s="3" t="s">
        <v>1426</v>
      </c>
      <c r="F842" s="3" t="s">
        <v>1476</v>
      </c>
      <c r="G842" s="68" t="str">
        <f t="shared" si="67"/>
        <v>DUAL</v>
      </c>
      <c r="H842" s="197">
        <f t="shared" si="66"/>
        <v>28</v>
      </c>
      <c r="I842" s="3">
        <v>7</v>
      </c>
      <c r="J842" s="3">
        <v>9</v>
      </c>
      <c r="K842" s="186">
        <f t="shared" si="65"/>
        <v>45847</v>
      </c>
      <c r="L842" s="3" t="s">
        <v>2391</v>
      </c>
      <c r="M842" s="3" t="s">
        <v>2392</v>
      </c>
      <c r="N842" s="3" t="str">
        <f t="shared" si="68"/>
        <v/>
      </c>
      <c r="O842" s="3"/>
      <c r="P842" s="3"/>
      <c r="Q842" s="3"/>
      <c r="R842" s="3"/>
      <c r="S842" s="3"/>
      <c r="T842" s="408"/>
      <c r="U842" s="408"/>
      <c r="V842" s="421"/>
      <c r="W842" s="421"/>
      <c r="X842" s="421"/>
      <c r="Y842" s="421"/>
      <c r="Z842" s="421"/>
      <c r="AA842" s="421"/>
      <c r="AB842" s="421"/>
      <c r="AC842" s="421"/>
      <c r="AD842" s="421"/>
      <c r="AE842" s="421"/>
      <c r="AF842" s="421"/>
      <c r="AG842" s="421"/>
      <c r="AH842" s="421"/>
      <c r="AI842" s="421"/>
      <c r="AJ842" s="421"/>
      <c r="AK842" s="421"/>
      <c r="AL842" s="421"/>
    </row>
    <row r="843" spans="1:38">
      <c r="A843" s="3">
        <v>5802</v>
      </c>
      <c r="B843" s="83">
        <f t="array" ref="B843">SUM(--(FREQUENCY(IF(C$2:C$3088=C843, MATCH(D$2:D$3088, D$2:D$3088, 0)), ROW(D$2:D$3088)-ROW(D$2)+1) &gt; 0))</f>
        <v>25</v>
      </c>
      <c r="C843" s="3">
        <v>41200034</v>
      </c>
      <c r="D843" s="6" t="s">
        <v>2435</v>
      </c>
      <c r="E843" s="3" t="s">
        <v>1426</v>
      </c>
      <c r="F843" s="3" t="s">
        <v>1476</v>
      </c>
      <c r="G843" s="68" t="str">
        <f t="shared" si="67"/>
        <v>DUAL</v>
      </c>
      <c r="H843" s="197">
        <f t="shared" si="66"/>
        <v>28</v>
      </c>
      <c r="I843" s="3">
        <v>7</v>
      </c>
      <c r="J843" s="3">
        <v>9</v>
      </c>
      <c r="K843" s="186">
        <f t="shared" si="65"/>
        <v>45847</v>
      </c>
      <c r="L843" s="3" t="s">
        <v>2391</v>
      </c>
      <c r="M843" s="3" t="s">
        <v>1468</v>
      </c>
      <c r="N843" s="3" t="str">
        <f t="shared" si="68"/>
        <v/>
      </c>
      <c r="O843" s="3"/>
      <c r="P843" s="3"/>
      <c r="Q843" s="3"/>
      <c r="R843" s="3"/>
      <c r="S843" s="3"/>
      <c r="T843" s="408"/>
      <c r="U843" s="408"/>
      <c r="V843" s="421"/>
      <c r="W843" s="421"/>
      <c r="X843" s="421"/>
      <c r="Y843" s="421"/>
      <c r="Z843" s="421"/>
      <c r="AA843" s="421"/>
      <c r="AB843" s="421"/>
      <c r="AC843" s="421"/>
      <c r="AD843" s="421"/>
      <c r="AE843" s="421"/>
      <c r="AF843" s="421"/>
      <c r="AG843" s="421"/>
      <c r="AH843" s="421"/>
      <c r="AI843" s="421"/>
      <c r="AJ843" s="421"/>
      <c r="AK843" s="421"/>
      <c r="AL843" s="421"/>
    </row>
    <row r="844" spans="1:38">
      <c r="A844" s="3">
        <v>5822</v>
      </c>
      <c r="B844" s="83">
        <f t="array" ref="B844">SUM(--(FREQUENCY(IF(C$2:C$3088=C844, MATCH(D$2:D$3088, D$2:D$3088, 0)), ROW(D$2:D$3088)-ROW(D$2)+1) &gt; 0))</f>
        <v>63</v>
      </c>
      <c r="C844" s="3">
        <v>41200006</v>
      </c>
      <c r="D844" s="6" t="s">
        <v>2436</v>
      </c>
      <c r="E844" s="3" t="s">
        <v>1405</v>
      </c>
      <c r="F844" s="3" t="s">
        <v>1477</v>
      </c>
      <c r="G844" s="68" t="str">
        <f t="shared" si="67"/>
        <v>SINGLE</v>
      </c>
      <c r="H844" s="197">
        <f t="shared" si="66"/>
        <v>28</v>
      </c>
      <c r="I844" s="3">
        <v>7</v>
      </c>
      <c r="J844" s="3">
        <v>9</v>
      </c>
      <c r="K844" s="186">
        <f t="shared" si="65"/>
        <v>45847</v>
      </c>
      <c r="L844" s="3" t="s">
        <v>2395</v>
      </c>
      <c r="M844" s="3" t="s">
        <v>1469</v>
      </c>
      <c r="N844" s="3" t="str">
        <f t="shared" si="68"/>
        <v/>
      </c>
      <c r="O844" s="3"/>
      <c r="P844" s="3"/>
      <c r="Q844" s="3"/>
      <c r="R844" s="3"/>
      <c r="S844" s="3"/>
      <c r="T844" s="408"/>
      <c r="U844" s="408"/>
      <c r="V844" s="421"/>
      <c r="W844" s="421"/>
      <c r="X844" s="421"/>
      <c r="Y844" s="421"/>
      <c r="Z844" s="421"/>
      <c r="AA844" s="421"/>
      <c r="AB844" s="421"/>
      <c r="AC844" s="421"/>
      <c r="AD844" s="421"/>
      <c r="AE844" s="421"/>
      <c r="AF844" s="421"/>
      <c r="AG844" s="421"/>
      <c r="AH844" s="421"/>
      <c r="AI844" s="421"/>
      <c r="AJ844" s="421"/>
      <c r="AK844" s="421"/>
      <c r="AL844" s="421"/>
    </row>
    <row r="845" spans="1:38">
      <c r="A845" s="3">
        <v>5822</v>
      </c>
      <c r="B845" s="83">
        <f t="array" ref="B845">SUM(--(FREQUENCY(IF(C$2:C$3088=C845, MATCH(D$2:D$3088, D$2:D$3088, 0)), ROW(D$2:D$3088)-ROW(D$2)+1) &gt; 0))</f>
        <v>63</v>
      </c>
      <c r="C845" s="3">
        <v>41200006</v>
      </c>
      <c r="D845" s="6" t="s">
        <v>2437</v>
      </c>
      <c r="E845" s="3" t="s">
        <v>1405</v>
      </c>
      <c r="F845" s="3" t="s">
        <v>1477</v>
      </c>
      <c r="G845" s="68" t="str">
        <f t="shared" si="67"/>
        <v>SINGLE</v>
      </c>
      <c r="H845" s="197">
        <f t="shared" si="66"/>
        <v>28</v>
      </c>
      <c r="I845" s="3">
        <v>7</v>
      </c>
      <c r="J845" s="3">
        <v>9</v>
      </c>
      <c r="K845" s="186">
        <f t="shared" si="65"/>
        <v>45847</v>
      </c>
      <c r="L845" s="3" t="s">
        <v>2395</v>
      </c>
      <c r="M845" s="3" t="s">
        <v>1469</v>
      </c>
      <c r="N845" s="3" t="str">
        <f t="shared" si="68"/>
        <v/>
      </c>
      <c r="O845" s="3"/>
      <c r="P845" s="3"/>
      <c r="Q845" s="3"/>
      <c r="R845" s="3"/>
      <c r="S845" s="3"/>
      <c r="T845" s="408"/>
      <c r="U845" s="408"/>
      <c r="V845" s="421"/>
      <c r="W845" s="421"/>
      <c r="X845" s="421"/>
      <c r="Y845" s="421"/>
      <c r="Z845" s="421"/>
      <c r="AA845" s="421"/>
      <c r="AB845" s="421"/>
      <c r="AC845" s="421"/>
      <c r="AD845" s="421"/>
      <c r="AE845" s="421"/>
      <c r="AF845" s="421"/>
      <c r="AG845" s="421"/>
      <c r="AH845" s="421"/>
      <c r="AI845" s="421"/>
      <c r="AJ845" s="421"/>
      <c r="AK845" s="421"/>
      <c r="AL845" s="421"/>
    </row>
    <row r="846" spans="1:38">
      <c r="A846" s="3">
        <v>5621</v>
      </c>
      <c r="B846" s="83">
        <f t="array" ref="B846">SUM(--(FREQUENCY(IF(C$2:C$3088=C846, MATCH(D$2:D$3088, D$2:D$3088, 0)), ROW(D$2:D$3088)-ROW(D$2)+1) &gt; 0))</f>
        <v>4</v>
      </c>
      <c r="C846" s="3">
        <v>41100695</v>
      </c>
      <c r="D846" s="6" t="s">
        <v>2438</v>
      </c>
      <c r="E846" s="3" t="s">
        <v>1433</v>
      </c>
      <c r="F846" s="3" t="s">
        <v>1616</v>
      </c>
      <c r="G846" s="68" t="str">
        <f t="shared" si="67"/>
        <v>SINGLE</v>
      </c>
      <c r="H846" s="197">
        <f t="shared" si="66"/>
        <v>28</v>
      </c>
      <c r="I846" s="3">
        <v>7</v>
      </c>
      <c r="J846" s="3">
        <v>10</v>
      </c>
      <c r="K846" s="186">
        <f t="shared" si="65"/>
        <v>45848</v>
      </c>
      <c r="L846" s="3" t="s">
        <v>2392</v>
      </c>
      <c r="M846" s="3" t="s">
        <v>2392</v>
      </c>
      <c r="N846" s="3" t="str">
        <f t="shared" si="68"/>
        <v/>
      </c>
      <c r="O846" s="3"/>
      <c r="P846" s="3"/>
      <c r="Q846" s="3"/>
      <c r="R846" s="3"/>
      <c r="S846" s="3"/>
      <c r="T846" s="408"/>
      <c r="U846" s="408"/>
      <c r="V846" s="421"/>
      <c r="W846" s="421"/>
      <c r="X846" s="421"/>
      <c r="Y846" s="421"/>
      <c r="Z846" s="421"/>
      <c r="AA846" s="421"/>
      <c r="AB846" s="421"/>
      <c r="AC846" s="421"/>
      <c r="AD846" s="421"/>
      <c r="AE846" s="421"/>
      <c r="AF846" s="421"/>
      <c r="AG846" s="421"/>
      <c r="AH846" s="421"/>
      <c r="AI846" s="421"/>
      <c r="AJ846" s="421"/>
      <c r="AK846" s="421"/>
      <c r="AL846" s="421"/>
    </row>
    <row r="847" spans="1:38">
      <c r="A847" s="3">
        <v>5621</v>
      </c>
      <c r="B847" s="83">
        <f t="array" ref="B847">SUM(--(FREQUENCY(IF(C$2:C$3088=C847, MATCH(D$2:D$3088, D$2:D$3088, 0)), ROW(D$2:D$3088)-ROW(D$2)+1) &gt; 0))</f>
        <v>4</v>
      </c>
      <c r="C847" s="3">
        <v>41100695</v>
      </c>
      <c r="D847" s="6" t="s">
        <v>2439</v>
      </c>
      <c r="E847" s="3" t="s">
        <v>1433</v>
      </c>
      <c r="F847" s="3" t="s">
        <v>1616</v>
      </c>
      <c r="G847" s="68" t="str">
        <f t="shared" si="67"/>
        <v>SINGLE</v>
      </c>
      <c r="H847" s="197">
        <f t="shared" si="66"/>
        <v>28</v>
      </c>
      <c r="I847" s="3">
        <v>7</v>
      </c>
      <c r="J847" s="3">
        <v>10</v>
      </c>
      <c r="K847" s="186">
        <f t="shared" si="65"/>
        <v>45848</v>
      </c>
      <c r="L847" s="3" t="s">
        <v>2392</v>
      </c>
      <c r="M847" s="3" t="s">
        <v>2392</v>
      </c>
      <c r="N847" s="3" t="str">
        <f t="shared" si="68"/>
        <v/>
      </c>
      <c r="O847" s="3"/>
      <c r="P847" s="3"/>
      <c r="Q847" s="3"/>
      <c r="R847" s="3"/>
      <c r="S847" s="3"/>
      <c r="T847" s="408"/>
      <c r="U847" s="408"/>
      <c r="V847" s="421"/>
      <c r="W847" s="421"/>
      <c r="X847" s="421"/>
      <c r="Y847" s="421"/>
      <c r="Z847" s="421"/>
      <c r="AA847" s="421"/>
      <c r="AB847" s="421"/>
      <c r="AC847" s="421"/>
      <c r="AD847" s="421"/>
      <c r="AE847" s="421"/>
      <c r="AF847" s="421"/>
      <c r="AG847" s="421"/>
      <c r="AH847" s="421"/>
      <c r="AI847" s="421"/>
      <c r="AJ847" s="421"/>
      <c r="AK847" s="421"/>
      <c r="AL847" s="421"/>
    </row>
    <row r="848" spans="1:38">
      <c r="A848" s="3">
        <v>5801</v>
      </c>
      <c r="B848" s="83">
        <f t="array" ref="B848">SUM(--(FREQUENCY(IF(C$2:C$3088=C848, MATCH(D$2:D$3088, D$2:D$3088, 0)), ROW(D$2:D$3088)-ROW(D$2)+1) &gt; 0))</f>
        <v>8</v>
      </c>
      <c r="C848" s="3">
        <v>41200046</v>
      </c>
      <c r="D848" s="6" t="s">
        <v>2440</v>
      </c>
      <c r="E848" s="3" t="s">
        <v>1426</v>
      </c>
      <c r="F848" s="3" t="s">
        <v>1476</v>
      </c>
      <c r="G848" s="68" t="str">
        <f t="shared" si="67"/>
        <v>DUAL</v>
      </c>
      <c r="H848" s="197">
        <f t="shared" si="66"/>
        <v>28</v>
      </c>
      <c r="I848" s="3">
        <v>7</v>
      </c>
      <c r="J848" s="3">
        <v>10</v>
      </c>
      <c r="K848" s="186">
        <f t="shared" si="65"/>
        <v>45848</v>
      </c>
      <c r="L848" s="3" t="s">
        <v>2395</v>
      </c>
      <c r="M848" s="3" t="s">
        <v>2392</v>
      </c>
      <c r="N848" s="3" t="str">
        <f t="shared" si="68"/>
        <v>NG</v>
      </c>
      <c r="O848" s="3" t="s">
        <v>2368</v>
      </c>
      <c r="P848" s="3" t="s">
        <v>2414</v>
      </c>
      <c r="Q848" s="3">
        <v>11001895</v>
      </c>
      <c r="R848" s="3" t="s">
        <v>2441</v>
      </c>
      <c r="S848" s="3" t="s">
        <v>2442</v>
      </c>
      <c r="T848" s="408"/>
      <c r="U848" s="408"/>
      <c r="V848" s="421"/>
      <c r="W848" s="421"/>
      <c r="X848" s="421"/>
      <c r="Y848" s="421"/>
      <c r="Z848" s="421"/>
      <c r="AA848" s="421"/>
      <c r="AB848" s="421"/>
      <c r="AC848" s="421"/>
      <c r="AD848" s="421"/>
      <c r="AE848" s="421"/>
      <c r="AF848" s="421"/>
      <c r="AG848" s="421"/>
      <c r="AH848" s="421"/>
      <c r="AI848" s="421"/>
      <c r="AJ848" s="421"/>
      <c r="AK848" s="421"/>
      <c r="AL848" s="421"/>
    </row>
    <row r="849" spans="1:38">
      <c r="A849" s="3">
        <v>5801</v>
      </c>
      <c r="B849" s="83">
        <f t="array" ref="B849">SUM(--(FREQUENCY(IF(C$2:C$3088=C849, MATCH(D$2:D$3088, D$2:D$3088, 0)), ROW(D$2:D$3088)-ROW(D$2)+1) &gt; 0))</f>
        <v>8</v>
      </c>
      <c r="C849" s="3">
        <v>41200046</v>
      </c>
      <c r="D849" s="6" t="s">
        <v>2443</v>
      </c>
      <c r="E849" s="3" t="s">
        <v>1426</v>
      </c>
      <c r="F849" s="3" t="s">
        <v>1476</v>
      </c>
      <c r="G849" s="68" t="str">
        <f t="shared" si="67"/>
        <v>DUAL</v>
      </c>
      <c r="H849" s="197">
        <f t="shared" si="66"/>
        <v>28</v>
      </c>
      <c r="I849" s="3">
        <v>7</v>
      </c>
      <c r="J849" s="3">
        <v>10</v>
      </c>
      <c r="K849" s="186">
        <f t="shared" si="65"/>
        <v>45848</v>
      </c>
      <c r="L849" s="3" t="s">
        <v>2395</v>
      </c>
      <c r="M849" s="3" t="s">
        <v>2392</v>
      </c>
      <c r="N849" s="3" t="str">
        <f t="shared" si="68"/>
        <v>NG</v>
      </c>
      <c r="O849" s="3" t="s">
        <v>2368</v>
      </c>
      <c r="P849" s="3" t="s">
        <v>2414</v>
      </c>
      <c r="Q849" s="3">
        <v>11001895</v>
      </c>
      <c r="R849" s="3" t="s">
        <v>2441</v>
      </c>
      <c r="S849" s="3" t="s">
        <v>2442</v>
      </c>
      <c r="T849" s="408"/>
      <c r="U849" s="408"/>
      <c r="V849" s="421"/>
      <c r="W849" s="421"/>
      <c r="X849" s="421"/>
      <c r="Y849" s="421"/>
      <c r="Z849" s="421"/>
      <c r="AA849" s="421"/>
      <c r="AB849" s="421"/>
      <c r="AC849" s="421"/>
      <c r="AD849" s="421"/>
      <c r="AE849" s="421"/>
      <c r="AF849" s="421"/>
      <c r="AG849" s="421"/>
      <c r="AH849" s="421"/>
      <c r="AI849" s="421"/>
      <c r="AJ849" s="421"/>
      <c r="AK849" s="421"/>
      <c r="AL849" s="421"/>
    </row>
    <row r="850" spans="1:38">
      <c r="A850" s="3">
        <v>5711</v>
      </c>
      <c r="B850" s="83">
        <f t="array" ref="B850">SUM(--(FREQUENCY(IF(C$2:C$3088=C850, MATCH(D$2:D$3088, D$2:D$3088, 0)), ROW(D$2:D$3088)-ROW(D$2)+1) &gt; 0))</f>
        <v>4</v>
      </c>
      <c r="C850" s="3">
        <v>41200113</v>
      </c>
      <c r="D850" s="6" t="s">
        <v>2444</v>
      </c>
      <c r="E850" s="3" t="s">
        <v>1424</v>
      </c>
      <c r="F850" s="3" t="s">
        <v>1476</v>
      </c>
      <c r="G850" s="68" t="str">
        <f t="shared" si="67"/>
        <v>DUAL</v>
      </c>
      <c r="H850" s="197">
        <f t="shared" si="66"/>
        <v>28</v>
      </c>
      <c r="I850" s="3">
        <v>7</v>
      </c>
      <c r="J850" s="3">
        <v>10</v>
      </c>
      <c r="K850" s="186">
        <f t="shared" si="65"/>
        <v>45848</v>
      </c>
      <c r="L850" s="3" t="s">
        <v>2391</v>
      </c>
      <c r="M850" s="3" t="s">
        <v>1468</v>
      </c>
      <c r="N850" s="3" t="str">
        <f t="shared" si="68"/>
        <v/>
      </c>
      <c r="O850" s="3"/>
      <c r="P850" s="3"/>
      <c r="Q850" s="3"/>
      <c r="R850" s="3"/>
      <c r="S850" s="3"/>
      <c r="T850" s="408"/>
      <c r="U850" s="408"/>
      <c r="V850" s="421"/>
      <c r="W850" s="421"/>
      <c r="X850" s="421"/>
      <c r="Y850" s="421"/>
      <c r="Z850" s="421"/>
      <c r="AA850" s="421"/>
      <c r="AB850" s="421"/>
      <c r="AC850" s="421"/>
      <c r="AD850" s="421"/>
      <c r="AE850" s="421"/>
      <c r="AF850" s="421"/>
      <c r="AG850" s="421"/>
      <c r="AH850" s="421"/>
      <c r="AI850" s="421"/>
      <c r="AJ850" s="421"/>
      <c r="AK850" s="421"/>
      <c r="AL850" s="421"/>
    </row>
    <row r="851" spans="1:38">
      <c r="A851" s="3">
        <v>5713</v>
      </c>
      <c r="B851" s="83">
        <f t="array" ref="B851">SUM(--(FREQUENCY(IF(C$2:C$3088=C851, MATCH(D$2:D$3088, D$2:D$3088, 0)), ROW(D$2:D$3088)-ROW(D$2)+1) &gt; 0))</f>
        <v>4</v>
      </c>
      <c r="C851" s="3">
        <v>41200113</v>
      </c>
      <c r="D851" s="6" t="s">
        <v>2445</v>
      </c>
      <c r="E851" s="3" t="s">
        <v>1424</v>
      </c>
      <c r="F851" s="3" t="s">
        <v>1476</v>
      </c>
      <c r="G851" s="68" t="str">
        <f t="shared" si="67"/>
        <v>DUAL</v>
      </c>
      <c r="H851" s="197">
        <f t="shared" si="66"/>
        <v>28</v>
      </c>
      <c r="I851" s="3">
        <v>7</v>
      </c>
      <c r="J851" s="3">
        <v>10</v>
      </c>
      <c r="K851" s="186">
        <f t="shared" si="65"/>
        <v>45848</v>
      </c>
      <c r="L851" s="3" t="s">
        <v>2391</v>
      </c>
      <c r="M851" s="3" t="s">
        <v>1468</v>
      </c>
      <c r="N851" s="3" t="str">
        <f t="shared" si="68"/>
        <v>NG</v>
      </c>
      <c r="O851" s="3" t="s">
        <v>2368</v>
      </c>
      <c r="P851" s="3" t="s">
        <v>2446</v>
      </c>
      <c r="Q851" s="3">
        <v>11003822</v>
      </c>
      <c r="R851" s="3" t="s">
        <v>103</v>
      </c>
      <c r="S851" s="3" t="s">
        <v>2447</v>
      </c>
      <c r="T851" s="408"/>
      <c r="U851" s="408"/>
      <c r="V851" s="421"/>
      <c r="W851" s="421"/>
      <c r="X851" s="421"/>
      <c r="Y851" s="421"/>
      <c r="Z851" s="421"/>
      <c r="AA851" s="421"/>
      <c r="AB851" s="421"/>
      <c r="AC851" s="421"/>
      <c r="AD851" s="421"/>
      <c r="AE851" s="421"/>
      <c r="AF851" s="421"/>
      <c r="AG851" s="421"/>
      <c r="AH851" s="421"/>
      <c r="AI851" s="421"/>
      <c r="AJ851" s="421"/>
      <c r="AK851" s="421"/>
      <c r="AL851" s="421"/>
    </row>
    <row r="852" spans="1:38">
      <c r="A852" s="3">
        <v>5791</v>
      </c>
      <c r="B852" s="83">
        <f t="array" ref="B852">SUM(--(FREQUENCY(IF(C$2:C$3083=C852, MATCH(D$2:D$3083, D$2:D$3083, 0)), ROW(D$2:D$3083)-ROW(D$2)+1) &gt; 0))</f>
        <v>2</v>
      </c>
      <c r="C852" s="3">
        <v>41200079</v>
      </c>
      <c r="D852" s="6" t="s">
        <v>2448</v>
      </c>
      <c r="E852" s="3" t="s">
        <v>1405</v>
      </c>
      <c r="F852" s="3" t="s">
        <v>1480</v>
      </c>
      <c r="G852" s="68" t="str">
        <f t="shared" si="67"/>
        <v>DUAL</v>
      </c>
      <c r="H852" s="197">
        <f t="shared" si="66"/>
        <v>28</v>
      </c>
      <c r="I852" s="3">
        <v>7</v>
      </c>
      <c r="J852" s="3">
        <v>11</v>
      </c>
      <c r="K852" s="186">
        <f t="shared" si="65"/>
        <v>45849</v>
      </c>
      <c r="L852" s="3" t="s">
        <v>2395</v>
      </c>
      <c r="M852" s="3" t="s">
        <v>2392</v>
      </c>
      <c r="N852" s="3" t="str">
        <f t="shared" si="68"/>
        <v>NG</v>
      </c>
      <c r="O852" s="3" t="s">
        <v>2368</v>
      </c>
      <c r="P852" s="3" t="s">
        <v>2376</v>
      </c>
      <c r="Q852" s="3">
        <v>11000090</v>
      </c>
      <c r="R852" s="3" t="s">
        <v>143</v>
      </c>
      <c r="S852" s="3" t="s">
        <v>2449</v>
      </c>
      <c r="T852" s="408"/>
      <c r="U852" s="408"/>
      <c r="V852" s="421"/>
      <c r="W852" s="421"/>
      <c r="X852" s="421"/>
      <c r="Y852" s="421"/>
      <c r="Z852" s="421"/>
      <c r="AA852" s="421"/>
      <c r="AB852" s="421"/>
      <c r="AC852" s="421"/>
      <c r="AD852" s="421"/>
      <c r="AE852" s="421"/>
      <c r="AF852" s="421"/>
      <c r="AG852" s="421"/>
      <c r="AH852" s="421"/>
      <c r="AI852" s="421"/>
      <c r="AJ852" s="421"/>
      <c r="AK852" s="421"/>
      <c r="AL852" s="421"/>
    </row>
    <row r="853" spans="1:38">
      <c r="A853" s="3">
        <v>5664</v>
      </c>
      <c r="B853" s="83">
        <f t="array" ref="B853">SUM(--(FREQUENCY(IF(C$2:C$3083=C853, MATCH(D$2:D$3083, D$2:D$3083, 0)), ROW(D$2:D$3083)-ROW(D$2)+1) &gt; 0))</f>
        <v>19</v>
      </c>
      <c r="C853" s="3">
        <v>41200033</v>
      </c>
      <c r="D853" s="6" t="s">
        <v>2450</v>
      </c>
      <c r="E853" s="3" t="s">
        <v>1426</v>
      </c>
      <c r="F853" s="3" t="s">
        <v>1476</v>
      </c>
      <c r="G853" s="68" t="str">
        <f t="shared" si="67"/>
        <v>DUAL</v>
      </c>
      <c r="H853" s="197">
        <f t="shared" si="66"/>
        <v>28</v>
      </c>
      <c r="I853" s="3">
        <v>7</v>
      </c>
      <c r="J853" s="3">
        <v>11</v>
      </c>
      <c r="K853" s="186">
        <f t="shared" si="65"/>
        <v>45849</v>
      </c>
      <c r="L853" s="3" t="s">
        <v>2395</v>
      </c>
      <c r="M853" s="3" t="s">
        <v>2392</v>
      </c>
      <c r="N853" s="3"/>
      <c r="O853" s="3"/>
      <c r="P853" s="3"/>
      <c r="Q853" s="3"/>
      <c r="R853" s="3"/>
      <c r="S853" s="3"/>
      <c r="T853" s="408"/>
      <c r="U853" s="408"/>
      <c r="V853" s="421"/>
      <c r="W853" s="421"/>
      <c r="X853" s="421"/>
      <c r="Y853" s="421"/>
      <c r="Z853" s="421"/>
      <c r="AA853" s="421"/>
      <c r="AB853" s="421"/>
      <c r="AC853" s="421"/>
      <c r="AD853" s="421"/>
      <c r="AE853" s="421"/>
      <c r="AF853" s="421"/>
      <c r="AG853" s="421"/>
      <c r="AH853" s="421"/>
      <c r="AI853" s="421"/>
      <c r="AJ853" s="421"/>
      <c r="AK853" s="421"/>
      <c r="AL853" s="421"/>
    </row>
    <row r="854" spans="1:38">
      <c r="A854" s="3">
        <v>5664</v>
      </c>
      <c r="B854" s="83">
        <f t="array" ref="B854">SUM(--(FREQUENCY(IF(C$2:C$3083=C854, MATCH(D$2:D$3083, D$2:D$3083, 0)), ROW(D$2:D$3083)-ROW(D$2)+1) &gt; 0))</f>
        <v>19</v>
      </c>
      <c r="C854" s="3">
        <v>41200033</v>
      </c>
      <c r="D854" s="6" t="s">
        <v>2451</v>
      </c>
      <c r="E854" s="3" t="s">
        <v>1426</v>
      </c>
      <c r="F854" s="3" t="s">
        <v>1476</v>
      </c>
      <c r="G854" s="68" t="str">
        <f t="shared" si="67"/>
        <v>DUAL</v>
      </c>
      <c r="H854" s="197">
        <f t="shared" si="66"/>
        <v>28</v>
      </c>
      <c r="I854" s="3">
        <v>7</v>
      </c>
      <c r="J854" s="3">
        <v>11</v>
      </c>
      <c r="K854" s="186">
        <f t="shared" si="65"/>
        <v>45849</v>
      </c>
      <c r="L854" s="3" t="s">
        <v>2395</v>
      </c>
      <c r="M854" s="3" t="s">
        <v>2392</v>
      </c>
      <c r="N854" s="3" t="str">
        <f t="shared" si="68"/>
        <v/>
      </c>
      <c r="O854" s="3"/>
      <c r="P854" s="3"/>
      <c r="Q854" s="3"/>
      <c r="R854" s="3"/>
      <c r="S854" s="3"/>
      <c r="T854" s="408"/>
      <c r="U854" s="408"/>
      <c r="V854" s="421"/>
      <c r="W854" s="421"/>
      <c r="X854" s="421"/>
      <c r="Y854" s="421"/>
      <c r="Z854" s="421"/>
      <c r="AA854" s="421"/>
      <c r="AB854" s="421"/>
      <c r="AC854" s="421"/>
      <c r="AD854" s="421"/>
      <c r="AE854" s="421"/>
      <c r="AF854" s="421"/>
      <c r="AG854" s="421"/>
      <c r="AH854" s="421"/>
      <c r="AI854" s="421"/>
      <c r="AJ854" s="421"/>
      <c r="AK854" s="421"/>
      <c r="AL854" s="421"/>
    </row>
    <row r="855" spans="1:38">
      <c r="A855" s="3">
        <v>5676</v>
      </c>
      <c r="B855" s="83">
        <f t="array" ref="B855">SUM(--(FREQUENCY(IF(C$2:C$3083=C855, MATCH(D$2:D$3083, D$2:D$3083, 0)), ROW(D$2:D$3083)-ROW(D$2)+1) &gt; 0))</f>
        <v>12</v>
      </c>
      <c r="C855" s="3">
        <v>41100502</v>
      </c>
      <c r="D855" s="6" t="s">
        <v>2452</v>
      </c>
      <c r="E855" s="3" t="s">
        <v>1585</v>
      </c>
      <c r="F855" s="3" t="s">
        <v>1591</v>
      </c>
      <c r="G855" s="68" t="str">
        <f t="shared" si="67"/>
        <v>SINGLE</v>
      </c>
      <c r="H855" s="197">
        <f t="shared" si="66"/>
        <v>28</v>
      </c>
      <c r="I855" s="3">
        <v>7</v>
      </c>
      <c r="J855" s="3">
        <v>11</v>
      </c>
      <c r="K855" s="186">
        <f t="shared" si="65"/>
        <v>45849</v>
      </c>
      <c r="L855" s="3" t="s">
        <v>2391</v>
      </c>
      <c r="M855" s="3" t="s">
        <v>1468</v>
      </c>
      <c r="N855" s="3" t="str">
        <f t="shared" si="68"/>
        <v/>
      </c>
      <c r="O855" s="3"/>
      <c r="P855" s="3"/>
      <c r="Q855" s="3"/>
      <c r="R855" s="3"/>
      <c r="S855" s="3"/>
      <c r="T855" s="408"/>
      <c r="U855" s="408"/>
      <c r="V855" s="421"/>
      <c r="W855" s="421"/>
      <c r="X855" s="421"/>
      <c r="Y855" s="421"/>
      <c r="Z855" s="421"/>
      <c r="AA855" s="421"/>
      <c r="AB855" s="421"/>
      <c r="AC855" s="421"/>
      <c r="AD855" s="421"/>
      <c r="AE855" s="421"/>
      <c r="AF855" s="421"/>
      <c r="AG855" s="421"/>
      <c r="AH855" s="421"/>
      <c r="AI855" s="421"/>
      <c r="AJ855" s="421"/>
      <c r="AK855" s="421"/>
      <c r="AL855" s="421"/>
    </row>
    <row r="856" spans="1:38">
      <c r="A856" s="3">
        <v>5676</v>
      </c>
      <c r="B856" s="83">
        <f t="array" ref="B856">SUM(--(FREQUENCY(IF(C$2:C$3083=C856, MATCH(D$2:D$3083, D$2:D$3083, 0)), ROW(D$2:D$3083)-ROW(D$2)+1) &gt; 0))</f>
        <v>12</v>
      </c>
      <c r="C856" s="3">
        <v>41100502</v>
      </c>
      <c r="D856" s="6" t="s">
        <v>2453</v>
      </c>
      <c r="E856" s="3" t="s">
        <v>1585</v>
      </c>
      <c r="F856" s="3" t="s">
        <v>1591</v>
      </c>
      <c r="G856" s="68" t="str">
        <f t="shared" si="67"/>
        <v>SINGLE</v>
      </c>
      <c r="H856" s="197">
        <f t="shared" si="66"/>
        <v>28</v>
      </c>
      <c r="I856" s="3">
        <v>7</v>
      </c>
      <c r="J856" s="3">
        <v>11</v>
      </c>
      <c r="K856" s="186">
        <f t="shared" si="65"/>
        <v>45849</v>
      </c>
      <c r="L856" s="3" t="s">
        <v>2391</v>
      </c>
      <c r="M856" s="3" t="s">
        <v>1468</v>
      </c>
      <c r="N856" s="3" t="str">
        <f t="shared" si="68"/>
        <v>NG</v>
      </c>
      <c r="O856" s="3" t="s">
        <v>2368</v>
      </c>
      <c r="P856" s="3" t="s">
        <v>2376</v>
      </c>
      <c r="Q856" s="3"/>
      <c r="R856" s="3" t="s">
        <v>2454</v>
      </c>
      <c r="S856" s="3" t="s">
        <v>2455</v>
      </c>
      <c r="T856" s="408"/>
      <c r="U856" s="408"/>
      <c r="V856" s="421"/>
      <c r="W856" s="421"/>
      <c r="X856" s="421"/>
      <c r="Y856" s="421"/>
      <c r="Z856" s="421"/>
      <c r="AA856" s="421"/>
      <c r="AB856" s="421"/>
      <c r="AC856" s="421"/>
      <c r="AD856" s="421"/>
      <c r="AE856" s="421"/>
      <c r="AF856" s="421"/>
      <c r="AG856" s="421"/>
      <c r="AH856" s="421"/>
      <c r="AI856" s="421"/>
      <c r="AJ856" s="421"/>
      <c r="AK856" s="421"/>
      <c r="AL856" s="421"/>
    </row>
    <row r="857" spans="1:38">
      <c r="A857" s="3">
        <v>5822</v>
      </c>
      <c r="B857" s="83">
        <f t="array" ref="B857">SUM(--(FREQUENCY(IF(C$2:C$3083=C857, MATCH(D$2:D$3083, D$2:D$3083, 0)), ROW(D$2:D$3083)-ROW(D$2)+1) &gt; 0))</f>
        <v>63</v>
      </c>
      <c r="C857" s="3">
        <v>41200006</v>
      </c>
      <c r="D857" s="6" t="s">
        <v>2456</v>
      </c>
      <c r="E857" s="3" t="s">
        <v>1405</v>
      </c>
      <c r="F857" s="3" t="s">
        <v>1477</v>
      </c>
      <c r="G857" s="68" t="str">
        <f t="shared" si="67"/>
        <v>SINGLE</v>
      </c>
      <c r="H857" s="197">
        <f t="shared" si="66"/>
        <v>28</v>
      </c>
      <c r="I857" s="3">
        <v>7</v>
      </c>
      <c r="J857" s="3">
        <v>11</v>
      </c>
      <c r="K857" s="186">
        <f t="shared" si="65"/>
        <v>45849</v>
      </c>
      <c r="L857" s="3" t="s">
        <v>2395</v>
      </c>
      <c r="M857" s="3" t="s">
        <v>1469</v>
      </c>
      <c r="N857" s="3" t="str">
        <f t="shared" si="68"/>
        <v/>
      </c>
      <c r="O857" s="3"/>
      <c r="P857" s="3"/>
      <c r="Q857" s="3"/>
      <c r="R857" s="3"/>
      <c r="S857" s="3"/>
      <c r="T857" s="408"/>
      <c r="U857" s="408"/>
      <c r="V857" s="421"/>
      <c r="W857" s="421"/>
      <c r="X857" s="421"/>
      <c r="Y857" s="421"/>
      <c r="Z857" s="421"/>
      <c r="AA857" s="421"/>
      <c r="AB857" s="421"/>
      <c r="AC857" s="421"/>
      <c r="AD857" s="421"/>
      <c r="AE857" s="421"/>
      <c r="AF857" s="421"/>
      <c r="AG857" s="421"/>
      <c r="AH857" s="421"/>
      <c r="AI857" s="421"/>
      <c r="AJ857" s="421"/>
      <c r="AK857" s="421"/>
      <c r="AL857" s="421"/>
    </row>
    <row r="858" spans="1:38">
      <c r="A858" s="3">
        <v>5822</v>
      </c>
      <c r="B858" s="83">
        <f t="array" ref="B858">SUM(--(FREQUENCY(IF(C$2:C$3083=C858, MATCH(D$2:D$3083, D$2:D$3083, 0)), ROW(D$2:D$3083)-ROW(D$2)+1) &gt; 0))</f>
        <v>63</v>
      </c>
      <c r="C858" s="3">
        <v>41200006</v>
      </c>
      <c r="D858" s="6" t="s">
        <v>2457</v>
      </c>
      <c r="E858" s="3" t="s">
        <v>1405</v>
      </c>
      <c r="F858" s="3" t="s">
        <v>1477</v>
      </c>
      <c r="G858" s="68" t="str">
        <f t="shared" si="67"/>
        <v>SINGLE</v>
      </c>
      <c r="H858" s="197">
        <f t="shared" si="66"/>
        <v>28</v>
      </c>
      <c r="I858" s="3">
        <v>7</v>
      </c>
      <c r="J858" s="3">
        <v>11</v>
      </c>
      <c r="K858" s="186">
        <f t="shared" si="65"/>
        <v>45849</v>
      </c>
      <c r="L858" s="3" t="s">
        <v>2395</v>
      </c>
      <c r="M858" s="3" t="s">
        <v>1469</v>
      </c>
      <c r="N858" s="3" t="str">
        <f t="shared" si="68"/>
        <v/>
      </c>
      <c r="O858" s="3"/>
      <c r="P858" s="3"/>
      <c r="Q858" s="3"/>
      <c r="R858" s="3"/>
      <c r="S858" s="3"/>
      <c r="T858" s="408"/>
      <c r="U858" s="408"/>
      <c r="V858" s="421"/>
      <c r="W858" s="421"/>
      <c r="X858" s="421"/>
      <c r="Y858" s="421"/>
      <c r="Z858" s="421"/>
      <c r="AA858" s="421"/>
      <c r="AB858" s="421"/>
      <c r="AC858" s="421"/>
      <c r="AD858" s="421"/>
      <c r="AE858" s="421"/>
      <c r="AF858" s="421"/>
      <c r="AG858" s="421"/>
      <c r="AH858" s="421"/>
      <c r="AI858" s="421"/>
      <c r="AJ858" s="421"/>
      <c r="AK858" s="421"/>
      <c r="AL858" s="421"/>
    </row>
    <row r="859" spans="1:38" s="180" customFormat="1">
      <c r="A859" s="11">
        <v>5164</v>
      </c>
      <c r="B859" s="123">
        <f t="array" ref="B859">SUM(--(FREQUENCY(IF(C$2:C$3083=C859, MATCH(D$2:D$3083, D$2:D$3083, 0)), ROW(D$2:D$3083)-ROW(D$2)+1) &gt; 0))</f>
        <v>1</v>
      </c>
      <c r="C859" s="181">
        <v>41200054</v>
      </c>
      <c r="D859" s="11" t="s">
        <v>1606</v>
      </c>
      <c r="E859" s="11" t="s">
        <v>1424</v>
      </c>
      <c r="F859" s="11" t="s">
        <v>1591</v>
      </c>
      <c r="G859" s="68" t="str">
        <f t="shared" si="67"/>
        <v>SINGLE</v>
      </c>
      <c r="H859" s="197">
        <f t="shared" si="66"/>
        <v>29</v>
      </c>
      <c r="I859" s="11">
        <v>7</v>
      </c>
      <c r="J859" s="11">
        <v>14</v>
      </c>
      <c r="K859" s="186">
        <f t="shared" si="65"/>
        <v>45852</v>
      </c>
      <c r="L859" s="11" t="s">
        <v>2391</v>
      </c>
      <c r="M859" s="11" t="s">
        <v>2392</v>
      </c>
      <c r="N859" s="3" t="str">
        <f t="shared" si="68"/>
        <v/>
      </c>
      <c r="O859" s="11"/>
      <c r="P859" s="11"/>
      <c r="Q859" s="11"/>
      <c r="R859" s="11"/>
      <c r="S859" s="11"/>
      <c r="T859" s="414"/>
      <c r="U859" s="414"/>
      <c r="V859" s="419"/>
      <c r="W859" s="419"/>
      <c r="X859" s="419"/>
      <c r="Y859" s="419"/>
      <c r="Z859" s="419"/>
      <c r="AA859" s="419"/>
      <c r="AB859" s="419"/>
      <c r="AC859" s="419"/>
      <c r="AD859" s="419"/>
      <c r="AE859" s="419"/>
      <c r="AF859" s="419"/>
      <c r="AG859" s="419"/>
      <c r="AH859" s="419"/>
      <c r="AI859" s="419"/>
      <c r="AJ859" s="419"/>
      <c r="AK859" s="419"/>
      <c r="AL859" s="419"/>
    </row>
    <row r="860" spans="1:38">
      <c r="A860" s="3">
        <v>5828</v>
      </c>
      <c r="B860" s="83">
        <f t="array" ref="B860">SUM(--(FREQUENCY(IF(C$2:C$3083=C860, MATCH(D$2:D$3083, D$2:D$3083, 0)), ROW(D$2:D$3083)-ROW(D$2)+1) &gt; 0))</f>
        <v>1</v>
      </c>
      <c r="C860" s="3">
        <v>41100621</v>
      </c>
      <c r="D860" s="6" t="s">
        <v>2458</v>
      </c>
      <c r="E860" s="3" t="s">
        <v>1424</v>
      </c>
      <c r="F860" s="3" t="s">
        <v>1476</v>
      </c>
      <c r="G860" s="68" t="str">
        <f t="shared" si="67"/>
        <v>DUAL</v>
      </c>
      <c r="H860" s="197">
        <f t="shared" si="66"/>
        <v>29</v>
      </c>
      <c r="I860" s="3">
        <v>7</v>
      </c>
      <c r="J860" s="3">
        <v>14</v>
      </c>
      <c r="K860" s="186">
        <f t="shared" ref="K860:K890" si="69">DATE(2025, I860, J860)</f>
        <v>45852</v>
      </c>
      <c r="L860" s="3" t="s">
        <v>2391</v>
      </c>
      <c r="M860" s="3" t="s">
        <v>1468</v>
      </c>
      <c r="N860" s="3" t="str">
        <f t="shared" si="68"/>
        <v/>
      </c>
      <c r="O860" s="3"/>
      <c r="P860" s="3"/>
      <c r="Q860" s="3"/>
      <c r="R860" s="3"/>
      <c r="S860" s="3"/>
      <c r="T860" s="408"/>
      <c r="U860" s="408"/>
      <c r="V860" s="421"/>
      <c r="W860" s="421"/>
      <c r="X860" s="421"/>
      <c r="Y860" s="421"/>
      <c r="Z860" s="421"/>
      <c r="AA860" s="421"/>
      <c r="AB860" s="421"/>
      <c r="AC860" s="421"/>
      <c r="AD860" s="421"/>
      <c r="AE860" s="421"/>
      <c r="AF860" s="421"/>
      <c r="AG860" s="421"/>
      <c r="AH860" s="421"/>
      <c r="AI860" s="421"/>
      <c r="AJ860" s="421"/>
      <c r="AK860" s="421"/>
      <c r="AL860" s="421"/>
    </row>
    <row r="861" spans="1:38">
      <c r="A861" s="3">
        <v>5821</v>
      </c>
      <c r="B861" s="83">
        <f t="array" ref="B861">SUM(--(FREQUENCY(IF(C$2:C$3083=C861, MATCH(D$2:D$3083, D$2:D$3083, 0)), ROW(D$2:D$3083)-ROW(D$2)+1) &gt; 0))</f>
        <v>20</v>
      </c>
      <c r="C861" s="3">
        <v>41200074</v>
      </c>
      <c r="D861" s="6" t="s">
        <v>2459</v>
      </c>
      <c r="E861" s="3" t="s">
        <v>1405</v>
      </c>
      <c r="F861" s="3" t="s">
        <v>1478</v>
      </c>
      <c r="G861" s="68" t="str">
        <f t="shared" si="67"/>
        <v>DUAL</v>
      </c>
      <c r="H861" s="197">
        <f t="shared" si="66"/>
        <v>29</v>
      </c>
      <c r="I861" s="3">
        <v>7</v>
      </c>
      <c r="J861" s="3">
        <v>14</v>
      </c>
      <c r="K861" s="186">
        <f t="shared" si="69"/>
        <v>45852</v>
      </c>
      <c r="L861" s="3" t="s">
        <v>2391</v>
      </c>
      <c r="M861" s="3" t="s">
        <v>1468</v>
      </c>
      <c r="N861" s="3" t="str">
        <f t="shared" si="68"/>
        <v>NG</v>
      </c>
      <c r="O861" s="3" t="s">
        <v>2368</v>
      </c>
      <c r="P861" s="3" t="s">
        <v>2446</v>
      </c>
      <c r="Q861" s="3">
        <v>11001895</v>
      </c>
      <c r="R861" s="3" t="s">
        <v>2441</v>
      </c>
      <c r="S861" s="3" t="s">
        <v>2460</v>
      </c>
      <c r="T861" s="408"/>
      <c r="U861" s="408"/>
      <c r="V861" s="421"/>
      <c r="W861" s="421"/>
      <c r="X861" s="421"/>
      <c r="Y861" s="421"/>
      <c r="Z861" s="421"/>
      <c r="AA861" s="421"/>
      <c r="AB861" s="421"/>
      <c r="AC861" s="421"/>
      <c r="AD861" s="421"/>
      <c r="AE861" s="421"/>
      <c r="AF861" s="421"/>
      <c r="AG861" s="421"/>
      <c r="AH861" s="421"/>
      <c r="AI861" s="421"/>
      <c r="AJ861" s="421"/>
      <c r="AK861" s="421"/>
      <c r="AL861" s="421"/>
    </row>
    <row r="862" spans="1:38">
      <c r="A862" s="3">
        <v>5821</v>
      </c>
      <c r="B862" s="83">
        <f t="array" ref="B862">SUM(--(FREQUENCY(IF(C$2:C$3083=C862, MATCH(D$2:D$3083, D$2:D$3083, 0)), ROW(D$2:D$3083)-ROW(D$2)+1) &gt; 0))</f>
        <v>20</v>
      </c>
      <c r="C862" s="3">
        <v>41200074</v>
      </c>
      <c r="D862" s="6" t="s">
        <v>2459</v>
      </c>
      <c r="E862" s="3" t="s">
        <v>1405</v>
      </c>
      <c r="F862" s="3" t="s">
        <v>1478</v>
      </c>
      <c r="G862" s="68" t="str">
        <f t="shared" si="67"/>
        <v>DUAL</v>
      </c>
      <c r="H862" s="197">
        <f t="shared" si="66"/>
        <v>29</v>
      </c>
      <c r="I862" s="3">
        <v>7</v>
      </c>
      <c r="J862" s="3">
        <v>14</v>
      </c>
      <c r="K862" s="186">
        <f t="shared" si="69"/>
        <v>45852</v>
      </c>
      <c r="L862" s="3" t="s">
        <v>2391</v>
      </c>
      <c r="M862" s="3" t="s">
        <v>1468</v>
      </c>
      <c r="N862" s="3" t="str">
        <f t="shared" si="68"/>
        <v>NG</v>
      </c>
      <c r="O862" s="3" t="s">
        <v>2368</v>
      </c>
      <c r="P862" s="3" t="s">
        <v>2446</v>
      </c>
      <c r="Q862" s="3">
        <v>11001895</v>
      </c>
      <c r="R862" s="3" t="s">
        <v>2441</v>
      </c>
      <c r="S862" s="3" t="s">
        <v>2460</v>
      </c>
      <c r="T862" s="408"/>
      <c r="U862" s="408"/>
      <c r="V862" s="421"/>
      <c r="W862" s="421"/>
      <c r="X862" s="421"/>
      <c r="Y862" s="421"/>
      <c r="Z862" s="421"/>
      <c r="AA862" s="421"/>
      <c r="AB862" s="421"/>
      <c r="AC862" s="421"/>
      <c r="AD862" s="421"/>
      <c r="AE862" s="421"/>
      <c r="AF862" s="421"/>
      <c r="AG862" s="421"/>
      <c r="AH862" s="421"/>
      <c r="AI862" s="421"/>
      <c r="AJ862" s="421"/>
      <c r="AK862" s="421"/>
      <c r="AL862" s="421"/>
    </row>
    <row r="863" spans="1:38" s="180" customFormat="1">
      <c r="A863" s="11">
        <v>5826</v>
      </c>
      <c r="B863" s="123">
        <f t="array" ref="B863">SUM(--(FREQUENCY(IF(C$2:C$3083=C863, MATCH(D$2:D$3083, D$2:D$3083, 0)), ROW(D$2:D$3083)-ROW(D$2)+1) &gt; 0))</f>
        <v>76</v>
      </c>
      <c r="C863" s="11">
        <v>41200007</v>
      </c>
      <c r="D863" s="11" t="s">
        <v>2461</v>
      </c>
      <c r="E863" s="11" t="s">
        <v>1405</v>
      </c>
      <c r="F863" s="11" t="s">
        <v>1591</v>
      </c>
      <c r="G863" s="68" t="str">
        <f t="shared" si="67"/>
        <v>SINGLE</v>
      </c>
      <c r="H863" s="197">
        <f t="shared" si="66"/>
        <v>29</v>
      </c>
      <c r="I863" s="11">
        <v>7</v>
      </c>
      <c r="J863" s="11">
        <v>14</v>
      </c>
      <c r="K863" s="186">
        <f t="shared" si="69"/>
        <v>45852</v>
      </c>
      <c r="L863" s="11" t="s">
        <v>2395</v>
      </c>
      <c r="M863" s="11" t="s">
        <v>1469</v>
      </c>
      <c r="N863" s="3" t="str">
        <f t="shared" si="68"/>
        <v>NG</v>
      </c>
      <c r="O863" s="11" t="s">
        <v>2368</v>
      </c>
      <c r="P863" s="11" t="s">
        <v>2371</v>
      </c>
      <c r="Q863" s="11">
        <v>11001962</v>
      </c>
      <c r="R863" s="11" t="s">
        <v>562</v>
      </c>
      <c r="S863" s="11" t="s">
        <v>2420</v>
      </c>
      <c r="T863" s="414"/>
      <c r="U863" s="414"/>
      <c r="V863" s="419"/>
      <c r="W863" s="419"/>
      <c r="X863" s="419"/>
      <c r="Y863" s="419"/>
      <c r="Z863" s="419"/>
      <c r="AA863" s="419"/>
      <c r="AB863" s="419"/>
      <c r="AC863" s="419"/>
      <c r="AD863" s="419"/>
      <c r="AE863" s="419"/>
      <c r="AF863" s="419"/>
      <c r="AG863" s="419"/>
      <c r="AH863" s="419"/>
      <c r="AI863" s="419"/>
      <c r="AJ863" s="419"/>
      <c r="AK863" s="419"/>
      <c r="AL863" s="419"/>
    </row>
    <row r="864" spans="1:38" s="180" customFormat="1">
      <c r="A864" s="11">
        <v>5826</v>
      </c>
      <c r="B864" s="123">
        <f t="array" ref="B864">SUM(--(FREQUENCY(IF(C$2:C$3083=C864, MATCH(D$2:D$3083, D$2:D$3083, 0)), ROW(D$2:D$3083)-ROW(D$2)+1) &gt; 0))</f>
        <v>76</v>
      </c>
      <c r="C864" s="11">
        <v>41200007</v>
      </c>
      <c r="D864" s="11" t="s">
        <v>2461</v>
      </c>
      <c r="E864" s="11" t="s">
        <v>1405</v>
      </c>
      <c r="F864" s="11" t="s">
        <v>1591</v>
      </c>
      <c r="G864" s="68" t="str">
        <f t="shared" si="67"/>
        <v>SINGLE</v>
      </c>
      <c r="H864" s="197">
        <f t="shared" si="66"/>
        <v>29</v>
      </c>
      <c r="I864" s="11">
        <v>7</v>
      </c>
      <c r="J864" s="11">
        <v>14</v>
      </c>
      <c r="K864" s="186">
        <f t="shared" si="69"/>
        <v>45852</v>
      </c>
      <c r="L864" s="11" t="s">
        <v>2395</v>
      </c>
      <c r="M864" s="11" t="s">
        <v>1469</v>
      </c>
      <c r="N864" s="3" t="str">
        <f t="shared" si="68"/>
        <v>NG</v>
      </c>
      <c r="O864" s="11" t="s">
        <v>2368</v>
      </c>
      <c r="P864" s="11" t="s">
        <v>2371</v>
      </c>
      <c r="Q864" s="11">
        <v>11001962</v>
      </c>
      <c r="R864" s="11" t="s">
        <v>562</v>
      </c>
      <c r="S864" s="11" t="s">
        <v>2420</v>
      </c>
      <c r="T864" s="414"/>
      <c r="U864" s="414"/>
      <c r="V864" s="419"/>
      <c r="W864" s="419"/>
      <c r="X864" s="419"/>
      <c r="Y864" s="419"/>
      <c r="Z864" s="419"/>
      <c r="AA864" s="419"/>
      <c r="AB864" s="419"/>
      <c r="AC864" s="419"/>
      <c r="AD864" s="419"/>
      <c r="AE864" s="419"/>
      <c r="AF864" s="419"/>
      <c r="AG864" s="419"/>
      <c r="AH864" s="419"/>
      <c r="AI864" s="419"/>
      <c r="AJ864" s="419"/>
      <c r="AK864" s="419"/>
      <c r="AL864" s="419"/>
    </row>
    <row r="865" spans="1:38">
      <c r="A865" s="3">
        <v>5826</v>
      </c>
      <c r="B865" s="83">
        <f t="array" ref="B865">SUM(--(FREQUENCY(IF(C$2:C$3083=C865, MATCH(D$2:D$3083, D$2:D$3083, 0)), ROW(D$2:D$3083)-ROW(D$2)+1) &gt; 0))</f>
        <v>76</v>
      </c>
      <c r="C865" s="3">
        <v>41200007</v>
      </c>
      <c r="D865" s="6" t="s">
        <v>2462</v>
      </c>
      <c r="E865" s="3" t="s">
        <v>1405</v>
      </c>
      <c r="F865" s="3" t="s">
        <v>1591</v>
      </c>
      <c r="G865" s="68" t="str">
        <f t="shared" ref="G865:G873" si="70">IF(OR(ISNUMBER(SEARCH("DUAL",F865)), ISNUMBER(SEARCH("IVAS",F865))), "DUAL", "SINGLE")</f>
        <v>SINGLE</v>
      </c>
      <c r="H865" s="197">
        <f t="shared" si="66"/>
        <v>29</v>
      </c>
      <c r="I865" s="3">
        <v>7</v>
      </c>
      <c r="J865" s="3">
        <v>14</v>
      </c>
      <c r="K865" s="186">
        <f t="shared" si="69"/>
        <v>45852</v>
      </c>
      <c r="L865" s="3" t="s">
        <v>2395</v>
      </c>
      <c r="M865" s="3" t="s">
        <v>1469</v>
      </c>
      <c r="N865" s="3" t="str">
        <f t="shared" si="68"/>
        <v>NG</v>
      </c>
      <c r="O865" s="3" t="s">
        <v>2368</v>
      </c>
      <c r="P865" s="3" t="s">
        <v>2371</v>
      </c>
      <c r="Q865" s="3">
        <v>11001962</v>
      </c>
      <c r="R865" s="3" t="s">
        <v>562</v>
      </c>
      <c r="S865" s="3" t="s">
        <v>2420</v>
      </c>
      <c r="T865" s="408"/>
      <c r="U865" s="408"/>
      <c r="V865" s="421"/>
      <c r="W865" s="421"/>
      <c r="X865" s="421"/>
      <c r="Y865" s="421"/>
      <c r="Z865" s="421"/>
      <c r="AA865" s="421"/>
      <c r="AB865" s="421"/>
      <c r="AC865" s="421"/>
      <c r="AD865" s="421"/>
      <c r="AE865" s="421"/>
      <c r="AF865" s="421"/>
      <c r="AG865" s="421"/>
      <c r="AH865" s="421"/>
      <c r="AI865" s="421"/>
      <c r="AJ865" s="421"/>
      <c r="AK865" s="421"/>
      <c r="AL865" s="421"/>
    </row>
    <row r="866" spans="1:38">
      <c r="A866" s="3">
        <v>5821</v>
      </c>
      <c r="B866" s="83">
        <f t="array" ref="B866">SUM(--(FREQUENCY(IF(C$2:C$3083=C866, MATCH(D$2:D$3083, D$2:D$3083, 0)), ROW(D$2:D$3083)-ROW(D$2)+1) &gt; 0))</f>
        <v>20</v>
      </c>
      <c r="C866" s="3">
        <v>41200074</v>
      </c>
      <c r="D866" s="6" t="s">
        <v>2463</v>
      </c>
      <c r="E866" s="3" t="s">
        <v>1405</v>
      </c>
      <c r="F866" s="3" t="s">
        <v>1478</v>
      </c>
      <c r="G866" s="68" t="str">
        <f t="shared" si="70"/>
        <v>DUAL</v>
      </c>
      <c r="H866" s="197">
        <f t="shared" si="66"/>
        <v>29</v>
      </c>
      <c r="I866" s="3">
        <v>7</v>
      </c>
      <c r="J866" s="3">
        <v>15</v>
      </c>
      <c r="K866" s="186">
        <f t="shared" si="69"/>
        <v>45853</v>
      </c>
      <c r="L866" s="3" t="s">
        <v>2391</v>
      </c>
      <c r="M866" s="3" t="s">
        <v>1468</v>
      </c>
      <c r="N866" s="3" t="str">
        <f t="shared" si="68"/>
        <v>NG</v>
      </c>
      <c r="O866" s="11" t="s">
        <v>2368</v>
      </c>
      <c r="P866" s="11" t="s">
        <v>2464</v>
      </c>
      <c r="Q866" s="11">
        <v>11003665</v>
      </c>
      <c r="R866" s="11" t="s">
        <v>284</v>
      </c>
      <c r="S866" s="408" t="s">
        <v>2465</v>
      </c>
      <c r="T866" s="408"/>
      <c r="U866" s="408"/>
      <c r="V866" s="421"/>
      <c r="W866" s="421"/>
      <c r="X866" s="421"/>
      <c r="Y866" s="421"/>
      <c r="Z866" s="421"/>
      <c r="AA866" s="421"/>
      <c r="AB866" s="421"/>
      <c r="AC866" s="421"/>
      <c r="AD866" s="421"/>
      <c r="AE866" s="421"/>
      <c r="AF866" s="421"/>
      <c r="AG866" s="421"/>
      <c r="AH866" s="421"/>
      <c r="AI866" s="421"/>
      <c r="AJ866" s="421"/>
      <c r="AK866" s="421"/>
      <c r="AL866" s="421"/>
    </row>
    <row r="867" spans="1:38">
      <c r="A867" s="3">
        <v>5821</v>
      </c>
      <c r="B867" s="83">
        <f t="array" ref="B867">SUM(--(FREQUENCY(IF(C$2:C$3083=C867, MATCH(D$2:D$3083, D$2:D$3083, 0)), ROW(D$2:D$3083)-ROW(D$2)+1) &gt; 0))</f>
        <v>20</v>
      </c>
      <c r="C867" s="3">
        <v>41200074</v>
      </c>
      <c r="D867" s="6" t="s">
        <v>2463</v>
      </c>
      <c r="E867" s="3" t="s">
        <v>1405</v>
      </c>
      <c r="F867" s="3" t="s">
        <v>1478</v>
      </c>
      <c r="G867" s="68" t="str">
        <f t="shared" si="70"/>
        <v>DUAL</v>
      </c>
      <c r="H867" s="197">
        <f t="shared" si="66"/>
        <v>29</v>
      </c>
      <c r="I867" s="3">
        <v>7</v>
      </c>
      <c r="J867" s="3">
        <v>15</v>
      </c>
      <c r="K867" s="186">
        <f t="shared" si="69"/>
        <v>45853</v>
      </c>
      <c r="L867" s="3" t="s">
        <v>2391</v>
      </c>
      <c r="M867" s="3" t="s">
        <v>1468</v>
      </c>
      <c r="N867" s="3" t="str">
        <f t="shared" si="68"/>
        <v>NG</v>
      </c>
      <c r="O867" s="11" t="s">
        <v>2368</v>
      </c>
      <c r="P867" s="11" t="s">
        <v>2466</v>
      </c>
      <c r="Q867" s="11">
        <v>13111720</v>
      </c>
      <c r="R867" s="11" t="s">
        <v>2467</v>
      </c>
      <c r="S867" s="408" t="s">
        <v>2468</v>
      </c>
      <c r="T867" s="408"/>
      <c r="U867" s="408"/>
      <c r="V867" s="421"/>
      <c r="W867" s="421"/>
      <c r="X867" s="421"/>
      <c r="Y867" s="421"/>
      <c r="Z867" s="421"/>
      <c r="AA867" s="421"/>
      <c r="AB867" s="421"/>
      <c r="AC867" s="421"/>
      <c r="AD867" s="421"/>
      <c r="AE867" s="421"/>
      <c r="AF867" s="421"/>
      <c r="AG867" s="421"/>
      <c r="AH867" s="421"/>
      <c r="AI867" s="421"/>
      <c r="AJ867" s="421"/>
      <c r="AK867" s="421"/>
      <c r="AL867" s="421"/>
    </row>
    <row r="868" spans="1:38">
      <c r="A868" s="3">
        <v>5821</v>
      </c>
      <c r="B868" s="83">
        <f t="array" ref="B868">SUM(--(FREQUENCY(IF(C$2:C$3083=C868, MATCH(D$2:D$3083, D$2:D$3083, 0)), ROW(D$2:D$3083)-ROW(D$2)+1) &gt; 0))</f>
        <v>20</v>
      </c>
      <c r="C868" s="3">
        <v>41200074</v>
      </c>
      <c r="D868" s="6" t="s">
        <v>2463</v>
      </c>
      <c r="E868" s="3" t="s">
        <v>1405</v>
      </c>
      <c r="F868" s="3" t="s">
        <v>1478</v>
      </c>
      <c r="G868" s="68" t="str">
        <f t="shared" si="70"/>
        <v>DUAL</v>
      </c>
      <c r="H868" s="197">
        <f t="shared" si="66"/>
        <v>29</v>
      </c>
      <c r="I868" s="3">
        <v>7</v>
      </c>
      <c r="J868" s="3">
        <v>15</v>
      </c>
      <c r="K868" s="186">
        <f t="shared" si="69"/>
        <v>45853</v>
      </c>
      <c r="L868" s="3" t="s">
        <v>2391</v>
      </c>
      <c r="M868" s="3" t="s">
        <v>1468</v>
      </c>
      <c r="N868" s="3" t="str">
        <f t="shared" si="68"/>
        <v>NG</v>
      </c>
      <c r="O868" s="11" t="s">
        <v>2368</v>
      </c>
      <c r="P868" s="11" t="s">
        <v>2371</v>
      </c>
      <c r="Q868" s="11">
        <v>11001968</v>
      </c>
      <c r="R868" s="11" t="s">
        <v>473</v>
      </c>
      <c r="S868" s="408" t="s">
        <v>2469</v>
      </c>
      <c r="T868" s="408"/>
      <c r="U868" s="408"/>
      <c r="V868" s="421"/>
      <c r="W868" s="421"/>
      <c r="X868" s="421"/>
      <c r="Y868" s="421"/>
      <c r="Z868" s="421"/>
      <c r="AA868" s="421"/>
      <c r="AB868" s="421"/>
      <c r="AC868" s="421"/>
      <c r="AD868" s="421"/>
      <c r="AE868" s="421"/>
      <c r="AF868" s="421"/>
      <c r="AG868" s="421"/>
      <c r="AH868" s="421"/>
      <c r="AI868" s="421"/>
      <c r="AJ868" s="421"/>
      <c r="AK868" s="421"/>
      <c r="AL868" s="421"/>
    </row>
    <row r="869" spans="1:38">
      <c r="A869" s="3">
        <v>5821</v>
      </c>
      <c r="B869" s="83">
        <f t="array" ref="B869">SUM(--(FREQUENCY(IF(C$2:C$3083=C869, MATCH(D$2:D$3083, D$2:D$3083, 0)), ROW(D$2:D$3083)-ROW(D$2)+1) &gt; 0))</f>
        <v>20</v>
      </c>
      <c r="C869" s="3">
        <v>41200074</v>
      </c>
      <c r="D869" s="6" t="s">
        <v>2463</v>
      </c>
      <c r="E869" s="3" t="s">
        <v>1405</v>
      </c>
      <c r="F869" s="3" t="s">
        <v>1478</v>
      </c>
      <c r="G869" s="68" t="str">
        <f t="shared" si="70"/>
        <v>DUAL</v>
      </c>
      <c r="H869" s="197">
        <f t="shared" si="66"/>
        <v>29</v>
      </c>
      <c r="I869" s="3">
        <v>7</v>
      </c>
      <c r="J869" s="3">
        <v>15</v>
      </c>
      <c r="K869" s="186">
        <f t="shared" si="69"/>
        <v>45853</v>
      </c>
      <c r="L869" s="3" t="s">
        <v>2391</v>
      </c>
      <c r="M869" s="3" t="s">
        <v>1468</v>
      </c>
      <c r="N869" s="3" t="str">
        <f t="shared" si="68"/>
        <v>NG</v>
      </c>
      <c r="O869" s="11" t="s">
        <v>1569</v>
      </c>
      <c r="P869" s="11" t="s">
        <v>2470</v>
      </c>
      <c r="Q869" s="11">
        <v>12000379</v>
      </c>
      <c r="R869" s="11" t="s">
        <v>2471</v>
      </c>
      <c r="S869" s="408" t="s">
        <v>2472</v>
      </c>
      <c r="T869" s="408"/>
      <c r="U869" s="408"/>
      <c r="V869" s="421"/>
      <c r="W869" s="421"/>
      <c r="X869" s="421"/>
      <c r="Y869" s="421"/>
      <c r="Z869" s="421"/>
      <c r="AA869" s="421"/>
      <c r="AB869" s="421"/>
      <c r="AC869" s="421"/>
      <c r="AD869" s="421"/>
      <c r="AE869" s="421"/>
      <c r="AF869" s="421"/>
      <c r="AG869" s="421"/>
      <c r="AH869" s="421"/>
      <c r="AI869" s="421"/>
      <c r="AJ869" s="421"/>
      <c r="AK869" s="421"/>
      <c r="AL869" s="421"/>
    </row>
    <row r="870" spans="1:38">
      <c r="A870" s="3">
        <v>5849</v>
      </c>
      <c r="B870" s="83">
        <f t="array" ref="B870">SUM(--(FREQUENCY(IF(C$2:C$3083=C870, MATCH(D$2:D$3083, D$2:D$3083, 0)), ROW(D$2:D$3083)-ROW(D$2)+1) &gt; 0))</f>
        <v>5</v>
      </c>
      <c r="C870" s="3">
        <v>41200042</v>
      </c>
      <c r="D870" s="6" t="s">
        <v>2473</v>
      </c>
      <c r="E870" s="3" t="s">
        <v>1426</v>
      </c>
      <c r="F870" s="3" t="s">
        <v>1476</v>
      </c>
      <c r="G870" s="68" t="str">
        <f t="shared" si="70"/>
        <v>DUAL</v>
      </c>
      <c r="H870" s="197">
        <f t="shared" si="66"/>
        <v>29</v>
      </c>
      <c r="I870" s="3">
        <v>7</v>
      </c>
      <c r="J870" s="3">
        <v>15</v>
      </c>
      <c r="K870" s="186">
        <f t="shared" si="69"/>
        <v>45853</v>
      </c>
      <c r="L870" s="3" t="s">
        <v>2391</v>
      </c>
      <c r="M870" s="3" t="s">
        <v>1468</v>
      </c>
      <c r="N870" s="3" t="str">
        <f t="shared" si="68"/>
        <v/>
      </c>
      <c r="O870" s="408"/>
      <c r="P870" s="408"/>
      <c r="Q870" s="408"/>
      <c r="R870" s="408"/>
      <c r="S870" s="408"/>
      <c r="T870" s="408"/>
      <c r="U870" s="408"/>
      <c r="V870" s="421"/>
      <c r="W870" s="421"/>
      <c r="X870" s="421"/>
      <c r="Y870" s="421"/>
      <c r="Z870" s="421"/>
      <c r="AA870" s="421"/>
      <c r="AB870" s="421"/>
      <c r="AC870" s="421"/>
      <c r="AD870" s="421"/>
      <c r="AE870" s="421"/>
      <c r="AF870" s="421"/>
      <c r="AG870" s="421"/>
      <c r="AH870" s="421"/>
      <c r="AI870" s="421"/>
      <c r="AJ870" s="421"/>
      <c r="AK870" s="421"/>
      <c r="AL870" s="421"/>
    </row>
    <row r="871" spans="1:38" s="179" customFormat="1">
      <c r="A871" s="175">
        <v>5787</v>
      </c>
      <c r="B871" s="176">
        <f t="array" ref="B871">SUM(--(FREQUENCY(IF(C$2:C$3083=C871, MATCH(D$2:D$3083, D$2:D$3083, 0)), ROW(D$2:D$3083)-ROW(D$2)+1) &gt; 0))</f>
        <v>25</v>
      </c>
      <c r="C871" s="175">
        <v>41200034</v>
      </c>
      <c r="D871" s="175" t="s">
        <v>2474</v>
      </c>
      <c r="E871" s="175" t="s">
        <v>1426</v>
      </c>
      <c r="F871" s="175" t="s">
        <v>1476</v>
      </c>
      <c r="G871" s="177" t="str">
        <f t="shared" si="70"/>
        <v>DUAL</v>
      </c>
      <c r="H871" s="213">
        <f t="shared" si="66"/>
        <v>29</v>
      </c>
      <c r="I871" s="175">
        <v>7</v>
      </c>
      <c r="J871" s="175">
        <v>15</v>
      </c>
      <c r="K871" s="187">
        <f t="shared" si="69"/>
        <v>45853</v>
      </c>
      <c r="L871" s="175" t="s">
        <v>2391</v>
      </c>
      <c r="M871" s="175" t="s">
        <v>1468</v>
      </c>
      <c r="N871" s="175" t="str">
        <f t="shared" si="68"/>
        <v/>
      </c>
      <c r="O871" s="416"/>
      <c r="P871" s="416"/>
      <c r="Q871" s="416"/>
      <c r="R871" s="416"/>
      <c r="S871" s="416"/>
      <c r="T871" s="416"/>
      <c r="U871" s="175" t="s">
        <v>2475</v>
      </c>
      <c r="V871" s="616"/>
      <c r="W871" s="616"/>
      <c r="X871" s="616"/>
      <c r="Y871" s="616"/>
      <c r="Z871" s="616"/>
      <c r="AA871" s="616"/>
      <c r="AB871" s="616"/>
      <c r="AC871" s="616"/>
      <c r="AD871" s="616"/>
      <c r="AE871" s="616"/>
      <c r="AF871" s="616"/>
      <c r="AG871" s="616"/>
      <c r="AH871" s="616"/>
      <c r="AI871" s="616"/>
      <c r="AJ871" s="616"/>
      <c r="AK871" s="616"/>
      <c r="AL871" s="616"/>
    </row>
    <row r="872" spans="1:38">
      <c r="A872" s="3">
        <v>5836</v>
      </c>
      <c r="B872" s="83">
        <f t="array" ref="B872">SUM(--(FREQUENCY(IF(C$2:C$3083=C872, MATCH(D$2:D$3083, D$2:D$3083, 0)), ROW(D$2:D$3083)-ROW(D$2)+1) &gt; 0))</f>
        <v>24</v>
      </c>
      <c r="C872" s="3">
        <v>41200122</v>
      </c>
      <c r="D872" s="6" t="s">
        <v>2476</v>
      </c>
      <c r="E872" s="3" t="s">
        <v>1585</v>
      </c>
      <c r="F872" s="3" t="s">
        <v>1476</v>
      </c>
      <c r="G872" s="68" t="str">
        <f t="shared" si="70"/>
        <v>DUAL</v>
      </c>
      <c r="H872" s="197">
        <f t="shared" si="66"/>
        <v>29</v>
      </c>
      <c r="I872" s="3">
        <v>7</v>
      </c>
      <c r="J872" s="3">
        <v>15</v>
      </c>
      <c r="K872" s="186">
        <f t="shared" si="69"/>
        <v>45853</v>
      </c>
      <c r="L872" s="3" t="s">
        <v>2395</v>
      </c>
      <c r="M872" s="3" t="s">
        <v>1469</v>
      </c>
      <c r="N872" s="3" t="str">
        <f t="shared" si="68"/>
        <v/>
      </c>
      <c r="O872" s="408"/>
      <c r="P872" s="408"/>
      <c r="Q872" s="408"/>
      <c r="R872" s="408"/>
      <c r="S872" s="408"/>
      <c r="T872" s="408"/>
      <c r="U872" s="408"/>
      <c r="V872" s="421"/>
      <c r="W872" s="421"/>
      <c r="X872" s="421"/>
      <c r="Y872" s="421"/>
      <c r="Z872" s="421"/>
      <c r="AA872" s="421"/>
      <c r="AB872" s="421"/>
      <c r="AC872" s="421"/>
      <c r="AD872" s="421"/>
      <c r="AE872" s="421"/>
      <c r="AF872" s="421"/>
      <c r="AG872" s="421"/>
      <c r="AH872" s="421"/>
      <c r="AI872" s="421"/>
      <c r="AJ872" s="421"/>
      <c r="AK872" s="421"/>
      <c r="AL872" s="421"/>
    </row>
    <row r="873" spans="1:38">
      <c r="A873" s="3">
        <v>5765</v>
      </c>
      <c r="B873" s="83">
        <f t="array" ref="B873">SUM(--(FREQUENCY(IF(C$2:C$3083=C873, MATCH(D$2:D$3083, D$2:D$3083, 0)), ROW(D$2:D$3083)-ROW(D$2)+1) &gt; 0))</f>
        <v>9</v>
      </c>
      <c r="C873" s="3">
        <v>41200105</v>
      </c>
      <c r="D873" s="6" t="s">
        <v>2477</v>
      </c>
      <c r="E873" s="3" t="s">
        <v>1424</v>
      </c>
      <c r="F873" s="3" t="s">
        <v>1476</v>
      </c>
      <c r="G873" s="68" t="str">
        <f t="shared" si="70"/>
        <v>DUAL</v>
      </c>
      <c r="H873" s="197">
        <f t="shared" si="66"/>
        <v>29</v>
      </c>
      <c r="I873" s="3">
        <v>7</v>
      </c>
      <c r="J873" s="3">
        <v>15</v>
      </c>
      <c r="K873" s="186">
        <f t="shared" si="69"/>
        <v>45853</v>
      </c>
      <c r="L873" s="3" t="s">
        <v>2395</v>
      </c>
      <c r="M873" s="3" t="s">
        <v>1469</v>
      </c>
      <c r="N873" s="3" t="str">
        <f t="shared" si="68"/>
        <v/>
      </c>
      <c r="O873" s="408"/>
      <c r="P873" s="408"/>
      <c r="Q873" s="408"/>
      <c r="R873" s="408"/>
      <c r="S873" s="408"/>
      <c r="T873" s="408"/>
      <c r="U873" s="408"/>
      <c r="V873" s="421"/>
      <c r="W873" s="421"/>
      <c r="X873" s="421"/>
      <c r="Y873" s="421"/>
      <c r="Z873" s="421"/>
      <c r="AA873" s="421"/>
      <c r="AB873" s="421"/>
      <c r="AC873" s="421"/>
      <c r="AD873" s="421"/>
      <c r="AE873" s="421"/>
      <c r="AF873" s="421"/>
      <c r="AG873" s="421"/>
      <c r="AH873" s="421"/>
      <c r="AI873" s="421"/>
      <c r="AJ873" s="421"/>
      <c r="AK873" s="421"/>
      <c r="AL873" s="421"/>
    </row>
    <row r="874" spans="1:38">
      <c r="A874" s="3">
        <v>5879</v>
      </c>
      <c r="B874" s="83">
        <f t="array" ref="B874">SUM(--(FREQUENCY(IF(C$2:C$3083=C874, MATCH(D$2:D$3083, D$2:D$3083, 0)), ROW(D$2:D$3083)-ROW(D$2)+1) &gt; 0))</f>
        <v>1</v>
      </c>
      <c r="C874" s="3">
        <v>41200154</v>
      </c>
      <c r="D874" s="6" t="s">
        <v>2478</v>
      </c>
      <c r="E874" s="3" t="s">
        <v>1405</v>
      </c>
      <c r="F874" s="3" t="s">
        <v>1581</v>
      </c>
      <c r="G874" s="68" t="str">
        <f>IF(OR(ISNUMBER(SEARCH("DUAL",F874)), ISNUMBER(SEARCH("IVAS",F874))), "DUAL", "SINGLE")</f>
        <v>DUAL</v>
      </c>
      <c r="H874" s="197">
        <f t="shared" si="66"/>
        <v>29</v>
      </c>
      <c r="I874" s="3">
        <v>7</v>
      </c>
      <c r="J874" s="3">
        <v>15</v>
      </c>
      <c r="K874" s="186">
        <f t="shared" si="69"/>
        <v>45853</v>
      </c>
      <c r="L874" s="3" t="s">
        <v>2392</v>
      </c>
      <c r="M874" s="3" t="s">
        <v>2392</v>
      </c>
      <c r="N874" s="3" t="str">
        <f t="shared" si="68"/>
        <v/>
      </c>
      <c r="O874" s="408"/>
      <c r="P874" s="408"/>
      <c r="Q874" s="408"/>
      <c r="R874" s="408"/>
      <c r="S874" s="408"/>
      <c r="T874" s="408"/>
      <c r="U874" s="408"/>
      <c r="V874" s="421"/>
      <c r="W874" s="421"/>
      <c r="X874" s="421"/>
      <c r="Y874" s="421"/>
      <c r="Z874" s="421"/>
      <c r="AA874" s="421"/>
      <c r="AB874" s="421"/>
      <c r="AC874" s="421"/>
      <c r="AD874" s="421"/>
      <c r="AE874" s="421"/>
      <c r="AF874" s="421"/>
      <c r="AG874" s="421"/>
      <c r="AH874" s="421"/>
      <c r="AI874" s="421"/>
      <c r="AJ874" s="421"/>
      <c r="AK874" s="421"/>
      <c r="AL874" s="421"/>
    </row>
    <row r="875" spans="1:38" s="179" customFormat="1">
      <c r="A875" s="175">
        <v>5787</v>
      </c>
      <c r="B875" s="176">
        <f t="array" ref="B875">SUM(--(FREQUENCY(IF(C$2:C$3083=C875, MATCH(D$2:D$3083, D$2:D$3083, 0)), ROW(D$2:D$3083)-ROW(D$2)+1) &gt; 0))</f>
        <v>25</v>
      </c>
      <c r="C875" s="175">
        <v>41200034</v>
      </c>
      <c r="D875" s="175" t="s">
        <v>2479</v>
      </c>
      <c r="E875" s="175" t="s">
        <v>1426</v>
      </c>
      <c r="F875" s="175" t="s">
        <v>1476</v>
      </c>
      <c r="G875" s="177" t="str">
        <f>IF(OR(ISNUMBER(SEARCH("DUAL",F875)), ISNUMBER(SEARCH("IVAS",F875))), "DUAL", "SINGLE")</f>
        <v>DUAL</v>
      </c>
      <c r="H875" s="213">
        <f t="shared" si="66"/>
        <v>29</v>
      </c>
      <c r="I875" s="175">
        <v>7</v>
      </c>
      <c r="J875" s="175">
        <v>16</v>
      </c>
      <c r="K875" s="187">
        <f t="shared" si="69"/>
        <v>45854</v>
      </c>
      <c r="L875" s="175" t="s">
        <v>2391</v>
      </c>
      <c r="M875" s="175" t="s">
        <v>1468</v>
      </c>
      <c r="N875" s="175" t="str">
        <f t="shared" si="68"/>
        <v/>
      </c>
      <c r="O875" s="416"/>
      <c r="P875" s="416"/>
      <c r="Q875" s="416"/>
      <c r="R875" s="416"/>
      <c r="S875" s="416"/>
      <c r="T875" s="416"/>
      <c r="U875" s="175" t="s">
        <v>2475</v>
      </c>
      <c r="V875" s="616"/>
      <c r="W875" s="616"/>
      <c r="X875" s="616"/>
      <c r="Y875" s="616"/>
      <c r="Z875" s="616"/>
      <c r="AA875" s="616"/>
      <c r="AB875" s="616"/>
      <c r="AC875" s="616"/>
      <c r="AD875" s="616"/>
      <c r="AE875" s="616"/>
      <c r="AF875" s="616"/>
      <c r="AG875" s="616"/>
      <c r="AH875" s="616"/>
      <c r="AI875" s="616"/>
      <c r="AJ875" s="616"/>
      <c r="AK875" s="616"/>
      <c r="AL875" s="616"/>
    </row>
    <row r="876" spans="1:38">
      <c r="A876" s="3">
        <v>5504</v>
      </c>
      <c r="B876" s="83">
        <f t="array" ref="B876">SUM(--(FREQUENCY(IF(C$2:C$3080=C876, MATCH(D$2:D$3080, D$2:D$3080, 0)), ROW(D$2:D$3080)-ROW(D$2)+1) &gt; 0))</f>
        <v>6</v>
      </c>
      <c r="C876" s="3">
        <v>41200108</v>
      </c>
      <c r="D876" s="6" t="s">
        <v>2480</v>
      </c>
      <c r="E876" s="3" t="s">
        <v>1409</v>
      </c>
      <c r="F876" s="3" t="s">
        <v>1479</v>
      </c>
      <c r="G876" s="68" t="str">
        <f t="shared" ref="G876:G890" si="71">IF(OR(ISNUMBER(SEARCH("DUAL",F876)), ISNUMBER(SEARCH("IVAS",F876))), "DUAL", "SINGLE")</f>
        <v>SINGLE</v>
      </c>
      <c r="H876" s="197">
        <f t="shared" si="66"/>
        <v>29</v>
      </c>
      <c r="I876" s="3">
        <v>7</v>
      </c>
      <c r="J876" s="3">
        <v>16</v>
      </c>
      <c r="K876" s="186">
        <f t="shared" si="69"/>
        <v>45854</v>
      </c>
      <c r="L876" s="3" t="s">
        <v>2395</v>
      </c>
      <c r="M876" s="3" t="s">
        <v>2392</v>
      </c>
      <c r="N876" s="3" t="str">
        <f t="shared" si="68"/>
        <v/>
      </c>
      <c r="O876" s="408"/>
      <c r="P876" s="408"/>
      <c r="Q876" s="408"/>
      <c r="R876" s="408"/>
      <c r="S876" s="408"/>
      <c r="T876" s="408"/>
      <c r="U876" s="408"/>
      <c r="V876" s="421"/>
      <c r="W876" s="421"/>
      <c r="X876" s="421"/>
      <c r="Y876" s="421"/>
      <c r="Z876" s="421"/>
      <c r="AA876" s="421"/>
      <c r="AB876" s="421"/>
      <c r="AC876" s="421"/>
      <c r="AD876" s="421"/>
      <c r="AE876" s="421"/>
      <c r="AF876" s="421"/>
      <c r="AG876" s="421"/>
      <c r="AH876" s="421"/>
      <c r="AI876" s="421"/>
      <c r="AJ876" s="421"/>
      <c r="AK876" s="421"/>
      <c r="AL876" s="421"/>
    </row>
    <row r="877" spans="1:38">
      <c r="A877" s="3">
        <v>5771</v>
      </c>
      <c r="B877" s="83">
        <f t="array" ref="B877">SUM(--(FREQUENCY(IF(C$2:C$3080=C877, MATCH(D$2:D$3080, D$2:D$3080, 0)), ROW(D$2:D$3080)-ROW(D$2)+1) &gt; 0))</f>
        <v>37</v>
      </c>
      <c r="C877" s="3">
        <v>41200076</v>
      </c>
      <c r="D877" s="6" t="s">
        <v>2481</v>
      </c>
      <c r="E877" s="3" t="s">
        <v>1585</v>
      </c>
      <c r="F877" s="3" t="s">
        <v>1476</v>
      </c>
      <c r="G877" s="68" t="str">
        <f t="shared" si="71"/>
        <v>DUAL</v>
      </c>
      <c r="H877" s="197">
        <f t="shared" si="66"/>
        <v>29</v>
      </c>
      <c r="I877" s="3">
        <v>7</v>
      </c>
      <c r="J877" s="3">
        <v>16</v>
      </c>
      <c r="K877" s="186">
        <f t="shared" si="69"/>
        <v>45854</v>
      </c>
      <c r="L877" s="3" t="s">
        <v>2391</v>
      </c>
      <c r="M877" s="3" t="s">
        <v>1468</v>
      </c>
      <c r="N877" s="3" t="str">
        <f t="shared" si="68"/>
        <v>NG</v>
      </c>
      <c r="O877" s="408" t="s">
        <v>2368</v>
      </c>
      <c r="P877" s="408" t="s">
        <v>2482</v>
      </c>
      <c r="Q877" s="408">
        <v>11002283</v>
      </c>
      <c r="R877" s="408" t="s">
        <v>932</v>
      </c>
      <c r="S877" s="408" t="s">
        <v>2483</v>
      </c>
      <c r="T877" s="408"/>
      <c r="U877" s="408"/>
      <c r="V877" s="421"/>
      <c r="W877" s="421"/>
      <c r="X877" s="421"/>
      <c r="Y877" s="421"/>
      <c r="Z877" s="421"/>
      <c r="AA877" s="421"/>
      <c r="AB877" s="421"/>
      <c r="AC877" s="421"/>
      <c r="AD877" s="421"/>
      <c r="AE877" s="421"/>
      <c r="AF877" s="421"/>
      <c r="AG877" s="421"/>
      <c r="AH877" s="421"/>
      <c r="AI877" s="421"/>
      <c r="AJ877" s="421"/>
      <c r="AK877" s="421"/>
      <c r="AL877" s="421"/>
    </row>
    <row r="878" spans="1:38">
      <c r="A878" s="3">
        <v>5777</v>
      </c>
      <c r="B878" s="83">
        <f t="array" ref="B878">SUM(--(FREQUENCY(IF(C$2:C$3080=C878, MATCH(D$2:D$3080, D$2:D$3080, 0)), ROW(D$2:D$3080)-ROW(D$2)+1) &gt; 0))</f>
        <v>30</v>
      </c>
      <c r="C878" s="3">
        <v>41200109</v>
      </c>
      <c r="D878" s="6" t="s">
        <v>2484</v>
      </c>
      <c r="E878" s="3" t="s">
        <v>1585</v>
      </c>
      <c r="F878" s="3" t="s">
        <v>2485</v>
      </c>
      <c r="G878" s="68" t="str">
        <f t="shared" si="71"/>
        <v>SINGLE</v>
      </c>
      <c r="H878" s="197">
        <f t="shared" si="66"/>
        <v>29</v>
      </c>
      <c r="I878" s="3">
        <v>7</v>
      </c>
      <c r="J878" s="3">
        <v>16</v>
      </c>
      <c r="K878" s="186">
        <f t="shared" si="69"/>
        <v>45854</v>
      </c>
      <c r="L878" s="3" t="s">
        <v>2395</v>
      </c>
      <c r="M878" s="3" t="s">
        <v>1469</v>
      </c>
      <c r="N878" s="3" t="str">
        <f t="shared" si="68"/>
        <v/>
      </c>
      <c r="O878" s="408"/>
      <c r="P878" s="408"/>
      <c r="Q878" s="408"/>
      <c r="R878" s="408"/>
      <c r="S878" s="408"/>
      <c r="T878" s="408"/>
      <c r="U878" s="408"/>
      <c r="V878" s="421"/>
      <c r="W878" s="421"/>
      <c r="X878" s="421"/>
      <c r="Y878" s="421"/>
      <c r="Z878" s="421"/>
      <c r="AA878" s="421"/>
      <c r="AB878" s="421"/>
      <c r="AC878" s="421"/>
      <c r="AD878" s="421"/>
      <c r="AE878" s="421"/>
      <c r="AF878" s="421"/>
      <c r="AG878" s="421"/>
      <c r="AH878" s="421"/>
      <c r="AI878" s="421"/>
      <c r="AJ878" s="421"/>
      <c r="AK878" s="421"/>
      <c r="AL878" s="421"/>
    </row>
    <row r="879" spans="1:38">
      <c r="A879" s="3">
        <v>5777</v>
      </c>
      <c r="B879" s="83">
        <f t="array" ref="B879">SUM(--(FREQUENCY(IF(C$2:C$3080=C879, MATCH(D$2:D$3080, D$2:D$3080, 0)), ROW(D$2:D$3080)-ROW(D$2)+1) &gt; 0))</f>
        <v>30</v>
      </c>
      <c r="C879" s="3">
        <v>41200109</v>
      </c>
      <c r="D879" s="6" t="s">
        <v>2486</v>
      </c>
      <c r="E879" s="3" t="s">
        <v>1585</v>
      </c>
      <c r="F879" s="3" t="s">
        <v>1591</v>
      </c>
      <c r="G879" s="68" t="str">
        <f t="shared" si="71"/>
        <v>SINGLE</v>
      </c>
      <c r="H879" s="197">
        <f t="shared" si="66"/>
        <v>29</v>
      </c>
      <c r="I879" s="3">
        <v>7</v>
      </c>
      <c r="J879" s="3">
        <v>16</v>
      </c>
      <c r="K879" s="186">
        <f t="shared" si="69"/>
        <v>45854</v>
      </c>
      <c r="L879" s="3" t="s">
        <v>2395</v>
      </c>
      <c r="M879" s="3" t="s">
        <v>1469</v>
      </c>
      <c r="N879" s="3" t="str">
        <f t="shared" si="68"/>
        <v/>
      </c>
      <c r="O879" s="408"/>
      <c r="P879" s="408"/>
      <c r="Q879" s="408"/>
      <c r="R879" s="408"/>
      <c r="S879" s="408"/>
      <c r="T879" s="408"/>
      <c r="U879" s="408"/>
      <c r="V879" s="421"/>
      <c r="W879" s="421"/>
      <c r="X879" s="421"/>
      <c r="Y879" s="421"/>
      <c r="Z879" s="421"/>
      <c r="AA879" s="421"/>
      <c r="AB879" s="421"/>
      <c r="AC879" s="421"/>
      <c r="AD879" s="421"/>
      <c r="AE879" s="421"/>
      <c r="AF879" s="421"/>
      <c r="AG879" s="421"/>
      <c r="AH879" s="421"/>
      <c r="AI879" s="421"/>
      <c r="AJ879" s="421"/>
      <c r="AK879" s="421"/>
      <c r="AL879" s="421"/>
    </row>
    <row r="880" spans="1:38">
      <c r="A880" s="3">
        <v>5806</v>
      </c>
      <c r="B880" s="83">
        <f t="array" ref="B880">SUM(--(FREQUENCY(IF(C$2:C$3080=C880, MATCH(D$2:D$3080, D$2:D$3080, 0)), ROW(D$2:D$3080)-ROW(D$2)+1) &gt; 0))</f>
        <v>10</v>
      </c>
      <c r="C880" s="3">
        <v>41100286</v>
      </c>
      <c r="D880" s="6" t="s">
        <v>2487</v>
      </c>
      <c r="E880" s="3" t="s">
        <v>1424</v>
      </c>
      <c r="F880" s="3" t="s">
        <v>1476</v>
      </c>
      <c r="G880" s="68" t="str">
        <f t="shared" si="71"/>
        <v>DUAL</v>
      </c>
      <c r="H880" s="197">
        <f t="shared" si="66"/>
        <v>29</v>
      </c>
      <c r="I880" s="3">
        <v>7</v>
      </c>
      <c r="J880" s="3">
        <v>16</v>
      </c>
      <c r="K880" s="186">
        <f t="shared" si="69"/>
        <v>45854</v>
      </c>
      <c r="L880" s="3" t="s">
        <v>2395</v>
      </c>
      <c r="M880" s="3" t="s">
        <v>1469</v>
      </c>
      <c r="N880" s="3" t="str">
        <f t="shared" si="68"/>
        <v/>
      </c>
      <c r="O880" s="408"/>
      <c r="P880" s="408"/>
      <c r="Q880" s="408"/>
      <c r="R880" s="408"/>
      <c r="S880" s="408"/>
      <c r="T880" s="408"/>
      <c r="U880" s="408"/>
      <c r="V880" s="421"/>
      <c r="W880" s="421"/>
      <c r="X880" s="421"/>
      <c r="Y880" s="421"/>
      <c r="Z880" s="421"/>
      <c r="AA880" s="421"/>
      <c r="AB880" s="421"/>
      <c r="AC880" s="421"/>
      <c r="AD880" s="421"/>
      <c r="AE880" s="421"/>
      <c r="AF880" s="421"/>
      <c r="AG880" s="421"/>
      <c r="AH880" s="421"/>
      <c r="AI880" s="421"/>
      <c r="AJ880" s="421"/>
      <c r="AK880" s="421"/>
      <c r="AL880" s="421"/>
    </row>
    <row r="881" spans="1:38">
      <c r="A881" s="408">
        <v>5821</v>
      </c>
      <c r="B881" s="83">
        <f t="array" ref="B881">SUM(--(FREQUENCY(IF(C$2:C$3080=C881, MATCH(D$2:D$3080, D$2:D$3080, 0)), ROW(D$2:D$3080)-ROW(D$2)+1) &gt; 0))</f>
        <v>20</v>
      </c>
      <c r="C881" s="408">
        <v>41200074</v>
      </c>
      <c r="D881" s="408" t="s">
        <v>2488</v>
      </c>
      <c r="E881" s="408" t="s">
        <v>1405</v>
      </c>
      <c r="F881" s="408" t="s">
        <v>1478</v>
      </c>
      <c r="G881" s="68" t="str">
        <f t="shared" si="71"/>
        <v>DUAL</v>
      </c>
      <c r="H881" s="197">
        <f t="shared" si="66"/>
        <v>29</v>
      </c>
      <c r="I881" s="408">
        <v>7</v>
      </c>
      <c r="J881" s="408">
        <v>17</v>
      </c>
      <c r="K881" s="186">
        <f t="shared" si="69"/>
        <v>45855</v>
      </c>
      <c r="L881" s="408" t="s">
        <v>2391</v>
      </c>
      <c r="M881" s="408" t="s">
        <v>2392</v>
      </c>
      <c r="N881" s="3" t="str">
        <f t="shared" si="68"/>
        <v/>
      </c>
      <c r="O881" s="408"/>
      <c r="P881" s="408"/>
      <c r="Q881" s="408"/>
      <c r="R881" s="408"/>
      <c r="S881" s="408"/>
      <c r="T881" s="408"/>
      <c r="U881" s="408"/>
      <c r="V881" s="421"/>
      <c r="W881" s="421"/>
      <c r="X881" s="421"/>
      <c r="Y881" s="421"/>
      <c r="Z881" s="421"/>
      <c r="AA881" s="421"/>
      <c r="AB881" s="421"/>
      <c r="AC881" s="421"/>
      <c r="AD881" s="421"/>
      <c r="AE881" s="421"/>
      <c r="AF881" s="421"/>
      <c r="AG881" s="421"/>
      <c r="AH881" s="421"/>
      <c r="AI881" s="421"/>
      <c r="AJ881" s="421"/>
      <c r="AK881" s="421"/>
      <c r="AL881" s="421"/>
    </row>
    <row r="882" spans="1:38">
      <c r="A882" s="408">
        <v>5821</v>
      </c>
      <c r="B882" s="83">
        <f t="array" ref="B882">SUM(--(FREQUENCY(IF(C$2:C$3080=C882, MATCH(D$2:D$3080, D$2:D$3080, 0)), ROW(D$2:D$3080)-ROW(D$2)+1) &gt; 0))</f>
        <v>20</v>
      </c>
      <c r="C882" s="408">
        <v>41200074</v>
      </c>
      <c r="D882" s="408" t="s">
        <v>2489</v>
      </c>
      <c r="E882" s="408" t="s">
        <v>1405</v>
      </c>
      <c r="F882" s="408" t="s">
        <v>1478</v>
      </c>
      <c r="G882" s="68" t="str">
        <f t="shared" si="71"/>
        <v>DUAL</v>
      </c>
      <c r="H882" s="197">
        <f t="shared" si="66"/>
        <v>29</v>
      </c>
      <c r="I882" s="408">
        <v>7</v>
      </c>
      <c r="J882" s="408">
        <v>17</v>
      </c>
      <c r="K882" s="186">
        <f t="shared" si="69"/>
        <v>45855</v>
      </c>
      <c r="L882" s="408" t="s">
        <v>2391</v>
      </c>
      <c r="M882" s="408" t="s">
        <v>2392</v>
      </c>
      <c r="N882" s="3" t="str">
        <f t="shared" si="68"/>
        <v>NG</v>
      </c>
      <c r="O882" s="408" t="s">
        <v>2368</v>
      </c>
      <c r="P882" s="408" t="s">
        <v>2371</v>
      </c>
      <c r="Q882" s="408">
        <v>11001968</v>
      </c>
      <c r="R882" s="408" t="s">
        <v>473</v>
      </c>
      <c r="S882" s="408" t="s">
        <v>2469</v>
      </c>
      <c r="T882" s="408"/>
      <c r="U882" s="408"/>
      <c r="V882" s="421"/>
      <c r="W882" s="421"/>
      <c r="X882" s="421"/>
      <c r="Y882" s="421"/>
      <c r="Z882" s="421"/>
      <c r="AA882" s="421"/>
      <c r="AB882" s="421"/>
      <c r="AC882" s="421"/>
      <c r="AD882" s="421"/>
      <c r="AE882" s="421"/>
      <c r="AF882" s="421"/>
      <c r="AG882" s="421"/>
      <c r="AH882" s="421"/>
      <c r="AI882" s="421"/>
      <c r="AJ882" s="421"/>
      <c r="AK882" s="421"/>
      <c r="AL882" s="421"/>
    </row>
    <row r="883" spans="1:38">
      <c r="A883" s="408">
        <v>5793</v>
      </c>
      <c r="B883" s="83">
        <f t="array" ref="B883">SUM(--(FREQUENCY(IF(C$2:C$3080=C883, MATCH(D$2:D$3080, D$2:D$3080, 0)), ROW(D$2:D$3080)-ROW(D$2)+1) &gt; 0))</f>
        <v>15</v>
      </c>
      <c r="C883" s="408">
        <v>41200124</v>
      </c>
      <c r="D883" s="408" t="s">
        <v>2490</v>
      </c>
      <c r="E883" s="408" t="s">
        <v>1585</v>
      </c>
      <c r="F883" s="408" t="s">
        <v>1476</v>
      </c>
      <c r="G883" s="68" t="str">
        <f t="shared" si="71"/>
        <v>DUAL</v>
      </c>
      <c r="H883" s="197">
        <f t="shared" si="66"/>
        <v>29</v>
      </c>
      <c r="I883" s="408">
        <v>7</v>
      </c>
      <c r="J883" s="408">
        <v>17</v>
      </c>
      <c r="K883" s="186">
        <f t="shared" si="69"/>
        <v>45855</v>
      </c>
      <c r="L883" s="408" t="s">
        <v>2391</v>
      </c>
      <c r="M883" s="408" t="s">
        <v>1468</v>
      </c>
      <c r="N883" s="3" t="str">
        <f t="shared" si="68"/>
        <v>NG</v>
      </c>
      <c r="O883" s="408" t="s">
        <v>2368</v>
      </c>
      <c r="P883" s="408" t="s">
        <v>1385</v>
      </c>
      <c r="Q883" s="408">
        <v>13008239</v>
      </c>
      <c r="R883" s="408" t="s">
        <v>2491</v>
      </c>
      <c r="S883" s="408" t="s">
        <v>2492</v>
      </c>
      <c r="T883" s="408" t="s">
        <v>2493</v>
      </c>
      <c r="U883" s="408" t="s">
        <v>2494</v>
      </c>
      <c r="V883" s="421"/>
      <c r="W883" s="421"/>
      <c r="X883" s="421"/>
      <c r="Y883" s="421"/>
      <c r="Z883" s="421"/>
      <c r="AA883" s="421"/>
      <c r="AB883" s="421"/>
      <c r="AC883" s="421"/>
      <c r="AD883" s="421"/>
      <c r="AE883" s="421"/>
      <c r="AF883" s="421"/>
      <c r="AG883" s="421"/>
      <c r="AH883" s="421"/>
      <c r="AI883" s="421"/>
      <c r="AJ883" s="421"/>
      <c r="AK883" s="421"/>
      <c r="AL883" s="421"/>
    </row>
    <row r="884" spans="1:38">
      <c r="A884" s="408">
        <v>5840</v>
      </c>
      <c r="B884" s="83">
        <f t="array" ref="B884">SUM(--(FREQUENCY(IF(C$2:C$3080=C884, MATCH(D$2:D$3080, D$2:D$3080, 0)), ROW(D$2:D$3080)-ROW(D$2)+1) &gt; 0))</f>
        <v>15</v>
      </c>
      <c r="C884" s="408">
        <v>41200124</v>
      </c>
      <c r="D884" s="408" t="s">
        <v>2495</v>
      </c>
      <c r="E884" s="408" t="s">
        <v>1585</v>
      </c>
      <c r="F884" s="408" t="s">
        <v>1476</v>
      </c>
      <c r="G884" s="68" t="str">
        <f t="shared" si="71"/>
        <v>DUAL</v>
      </c>
      <c r="H884" s="197">
        <f t="shared" si="66"/>
        <v>29</v>
      </c>
      <c r="I884" s="408">
        <v>7</v>
      </c>
      <c r="J884" s="408">
        <v>17</v>
      </c>
      <c r="K884" s="186">
        <f t="shared" si="69"/>
        <v>45855</v>
      </c>
      <c r="L884" s="408" t="s">
        <v>2395</v>
      </c>
      <c r="M884" s="408" t="s">
        <v>1469</v>
      </c>
      <c r="N884" s="3" t="str">
        <f t="shared" si="68"/>
        <v>NG</v>
      </c>
      <c r="O884" s="408" t="s">
        <v>2368</v>
      </c>
      <c r="P884" s="408" t="s">
        <v>2496</v>
      </c>
      <c r="Q884" s="408">
        <v>11100059</v>
      </c>
      <c r="R884" s="408" t="s">
        <v>2497</v>
      </c>
      <c r="S884" s="408" t="s">
        <v>2498</v>
      </c>
      <c r="T884" s="408"/>
      <c r="U884" s="408"/>
      <c r="V884" s="421"/>
      <c r="W884" s="421"/>
      <c r="X884" s="421"/>
      <c r="Y884" s="421"/>
      <c r="Z884" s="421"/>
      <c r="AA884" s="421"/>
      <c r="AB884" s="421"/>
      <c r="AC884" s="421"/>
      <c r="AD884" s="421"/>
      <c r="AE884" s="421"/>
      <c r="AF884" s="421"/>
      <c r="AG884" s="421"/>
      <c r="AH884" s="421"/>
      <c r="AI884" s="421"/>
      <c r="AJ884" s="421"/>
      <c r="AK884" s="421"/>
      <c r="AL884" s="421"/>
    </row>
    <row r="885" spans="1:38">
      <c r="A885" s="408">
        <v>5823</v>
      </c>
      <c r="B885" s="83">
        <f t="array" ref="B885">SUM(--(FREQUENCY(IF(C$2:C$3080=C885, MATCH(D$2:D$3080, D$2:D$3080, 0)), ROW(D$2:D$3080)-ROW(D$2)+1) &gt; 0))</f>
        <v>29</v>
      </c>
      <c r="C885" s="408">
        <v>41200005</v>
      </c>
      <c r="D885" s="408" t="s">
        <v>2499</v>
      </c>
      <c r="E885" s="408" t="s">
        <v>1405</v>
      </c>
      <c r="F885" s="408" t="s">
        <v>1591</v>
      </c>
      <c r="G885" s="68" t="str">
        <f t="shared" si="71"/>
        <v>SINGLE</v>
      </c>
      <c r="H885" s="197">
        <f t="shared" si="66"/>
        <v>29</v>
      </c>
      <c r="I885" s="408">
        <v>7</v>
      </c>
      <c r="J885" s="408">
        <v>17</v>
      </c>
      <c r="K885" s="186">
        <f t="shared" si="69"/>
        <v>45855</v>
      </c>
      <c r="L885" s="408" t="s">
        <v>2395</v>
      </c>
      <c r="M885" s="408" t="s">
        <v>1469</v>
      </c>
      <c r="N885" s="3" t="str">
        <f t="shared" si="68"/>
        <v>NG</v>
      </c>
      <c r="O885" s="408" t="s">
        <v>2368</v>
      </c>
      <c r="P885" s="408" t="s">
        <v>2371</v>
      </c>
      <c r="Q885" s="408">
        <v>11001962</v>
      </c>
      <c r="R885" s="408" t="s">
        <v>562</v>
      </c>
      <c r="S885" s="408" t="s">
        <v>2500</v>
      </c>
      <c r="T885" s="408"/>
      <c r="U885" s="408"/>
      <c r="V885" s="421"/>
      <c r="W885" s="421"/>
      <c r="X885" s="421"/>
      <c r="Y885" s="421"/>
      <c r="Z885" s="421"/>
      <c r="AA885" s="421"/>
      <c r="AB885" s="421"/>
      <c r="AC885" s="421"/>
      <c r="AD885" s="421"/>
      <c r="AE885" s="421"/>
      <c r="AF885" s="421"/>
      <c r="AG885" s="421"/>
      <c r="AH885" s="421"/>
      <c r="AI885" s="421"/>
      <c r="AJ885" s="421"/>
      <c r="AK885" s="421"/>
      <c r="AL885" s="421"/>
    </row>
    <row r="886" spans="1:38">
      <c r="A886" s="408">
        <v>5823</v>
      </c>
      <c r="B886" s="83">
        <f t="array" ref="B886">SUM(--(FREQUENCY(IF(C$2:C$3080=C886, MATCH(D$2:D$3080, D$2:D$3080, 0)), ROW(D$2:D$3080)-ROW(D$2)+1) &gt; 0))</f>
        <v>29</v>
      </c>
      <c r="C886" s="408">
        <v>41200005</v>
      </c>
      <c r="D886" s="408" t="s">
        <v>2501</v>
      </c>
      <c r="E886" s="408" t="s">
        <v>1405</v>
      </c>
      <c r="F886" s="408" t="s">
        <v>1591</v>
      </c>
      <c r="G886" s="68" t="str">
        <f t="shared" si="71"/>
        <v>SINGLE</v>
      </c>
      <c r="H886" s="197">
        <f t="shared" si="66"/>
        <v>29</v>
      </c>
      <c r="I886" s="408">
        <v>7</v>
      </c>
      <c r="J886" s="408">
        <v>17</v>
      </c>
      <c r="K886" s="186">
        <f t="shared" si="69"/>
        <v>45855</v>
      </c>
      <c r="L886" s="408" t="s">
        <v>2395</v>
      </c>
      <c r="M886" s="408" t="s">
        <v>1469</v>
      </c>
      <c r="N886" s="3" t="str">
        <f t="shared" si="68"/>
        <v/>
      </c>
      <c r="O886" s="408"/>
      <c r="P886" s="408"/>
      <c r="Q886" s="408"/>
      <c r="R886" s="408"/>
      <c r="S886" s="408"/>
      <c r="T886" s="408"/>
      <c r="U886" s="408"/>
      <c r="V886" s="421"/>
      <c r="W886" s="421"/>
      <c r="X886" s="421"/>
      <c r="Y886" s="421"/>
      <c r="Z886" s="421"/>
      <c r="AA886" s="421"/>
      <c r="AB886" s="421"/>
      <c r="AC886" s="421"/>
      <c r="AD886" s="421"/>
      <c r="AE886" s="421"/>
      <c r="AF886" s="421"/>
      <c r="AG886" s="421"/>
      <c r="AH886" s="421"/>
      <c r="AI886" s="421"/>
      <c r="AJ886" s="421"/>
      <c r="AK886" s="421"/>
      <c r="AL886" s="421"/>
    </row>
    <row r="887" spans="1:38">
      <c r="A887" s="408">
        <v>5807</v>
      </c>
      <c r="B887" s="83">
        <f t="array" ref="B887">SUM(--(FREQUENCY(IF(C$2:C$3080=C887, MATCH(D$2:D$3080, D$2:D$3080, 0)), ROW(D$2:D$3080)-ROW(D$2)+1) &gt; 0))</f>
        <v>10</v>
      </c>
      <c r="C887" s="408">
        <v>41100286</v>
      </c>
      <c r="D887" s="408" t="s">
        <v>2502</v>
      </c>
      <c r="E887" s="408" t="s">
        <v>1424</v>
      </c>
      <c r="F887" s="408" t="s">
        <v>1476</v>
      </c>
      <c r="G887" s="68" t="str">
        <f t="shared" si="71"/>
        <v>DUAL</v>
      </c>
      <c r="H887" s="197">
        <f t="shared" si="66"/>
        <v>29</v>
      </c>
      <c r="I887" s="408">
        <v>7</v>
      </c>
      <c r="J887" s="408">
        <v>18</v>
      </c>
      <c r="K887" s="186">
        <f t="shared" si="69"/>
        <v>45856</v>
      </c>
      <c r="L887" s="408" t="s">
        <v>2391</v>
      </c>
      <c r="M887" s="408" t="s">
        <v>2392</v>
      </c>
      <c r="N887" s="3" t="str">
        <f t="shared" si="68"/>
        <v/>
      </c>
      <c r="O887" s="408"/>
      <c r="P887" s="408"/>
      <c r="Q887" s="408"/>
      <c r="R887" s="408"/>
      <c r="S887" s="408"/>
      <c r="T887" s="408"/>
      <c r="U887" s="408"/>
      <c r="V887" s="421"/>
      <c r="W887" s="421"/>
      <c r="X887" s="421"/>
      <c r="Y887" s="421"/>
      <c r="Z887" s="421"/>
      <c r="AA887" s="421"/>
      <c r="AB887" s="421"/>
      <c r="AC887" s="421"/>
      <c r="AD887" s="421"/>
      <c r="AE887" s="421"/>
      <c r="AF887" s="421"/>
      <c r="AG887" s="421"/>
      <c r="AH887" s="421"/>
      <c r="AI887" s="421"/>
      <c r="AJ887" s="421"/>
      <c r="AK887" s="421"/>
      <c r="AL887" s="421"/>
    </row>
    <row r="888" spans="1:38">
      <c r="A888" s="408">
        <v>5873</v>
      </c>
      <c r="B888" s="83">
        <f t="array" ref="B888">SUM(--(FREQUENCY(IF(C$2:C$3080=C888, MATCH(D$2:D$3080, D$2:D$3080, 0)), ROW(D$2:D$3080)-ROW(D$2)+1) &gt; 0))</f>
        <v>3</v>
      </c>
      <c r="C888" s="408">
        <v>41200075</v>
      </c>
      <c r="D888" s="408" t="s">
        <v>2503</v>
      </c>
      <c r="E888" s="408" t="s">
        <v>1585</v>
      </c>
      <c r="F888" s="408" t="s">
        <v>1476</v>
      </c>
      <c r="G888" s="68" t="str">
        <f t="shared" si="71"/>
        <v>DUAL</v>
      </c>
      <c r="H888" s="197">
        <f t="shared" si="66"/>
        <v>29</v>
      </c>
      <c r="I888" s="408">
        <v>7</v>
      </c>
      <c r="J888" s="408">
        <v>18</v>
      </c>
      <c r="K888" s="186">
        <f t="shared" si="69"/>
        <v>45856</v>
      </c>
      <c r="L888" s="408" t="s">
        <v>2391</v>
      </c>
      <c r="M888" s="408" t="s">
        <v>1468</v>
      </c>
      <c r="N888" s="3" t="str">
        <f t="shared" si="68"/>
        <v/>
      </c>
      <c r="O888" s="408"/>
      <c r="P888" s="408"/>
      <c r="Q888" s="408"/>
      <c r="R888" s="408"/>
      <c r="S888" s="408"/>
      <c r="T888" s="408"/>
      <c r="U888" s="408"/>
      <c r="V888" s="421"/>
      <c r="W888" s="421"/>
      <c r="X888" s="421"/>
      <c r="Y888" s="421"/>
      <c r="Z888" s="421"/>
      <c r="AA888" s="421"/>
      <c r="AB888" s="421"/>
      <c r="AC888" s="421"/>
      <c r="AD888" s="421"/>
      <c r="AE888" s="421"/>
      <c r="AF888" s="421"/>
      <c r="AG888" s="421"/>
      <c r="AH888" s="421"/>
      <c r="AI888" s="421"/>
      <c r="AJ888" s="421"/>
      <c r="AK888" s="421"/>
      <c r="AL888" s="421"/>
    </row>
    <row r="889" spans="1:38">
      <c r="A889" s="408">
        <v>5672</v>
      </c>
      <c r="B889" s="83">
        <f t="array" ref="B889">SUM(--(FREQUENCY(IF(C$2:C$3080=C889, MATCH(D$2:D$3080, D$2:D$3080, 0)), ROW(D$2:D$3080)-ROW(D$2)+1) &gt; 0))</f>
        <v>30</v>
      </c>
      <c r="C889" s="408">
        <v>41200109</v>
      </c>
      <c r="D889" s="408" t="s">
        <v>2504</v>
      </c>
      <c r="E889" s="408" t="s">
        <v>1585</v>
      </c>
      <c r="F889" s="408" t="s">
        <v>1591</v>
      </c>
      <c r="G889" s="68" t="str">
        <f t="shared" si="71"/>
        <v>SINGLE</v>
      </c>
      <c r="H889" s="197">
        <f t="shared" si="66"/>
        <v>29</v>
      </c>
      <c r="I889" s="408">
        <v>7</v>
      </c>
      <c r="J889" s="408">
        <v>18</v>
      </c>
      <c r="K889" s="186">
        <f t="shared" si="69"/>
        <v>45856</v>
      </c>
      <c r="L889" s="408" t="s">
        <v>2395</v>
      </c>
      <c r="M889" s="408" t="s">
        <v>1469</v>
      </c>
      <c r="N889" s="3" t="str">
        <f t="shared" si="68"/>
        <v/>
      </c>
      <c r="O889" s="408"/>
      <c r="P889" s="408"/>
      <c r="Q889" s="408"/>
      <c r="R889" s="408"/>
      <c r="S889" s="408"/>
      <c r="T889" s="408"/>
      <c r="U889" s="408"/>
      <c r="V889" s="421"/>
      <c r="W889" s="421"/>
      <c r="X889" s="421"/>
      <c r="Y889" s="421"/>
      <c r="Z889" s="421"/>
      <c r="AA889" s="421"/>
      <c r="AB889" s="421"/>
      <c r="AC889" s="421"/>
      <c r="AD889" s="421"/>
      <c r="AE889" s="421"/>
      <c r="AF889" s="421"/>
      <c r="AG889" s="421"/>
      <c r="AH889" s="421"/>
      <c r="AI889" s="421"/>
      <c r="AJ889" s="421"/>
      <c r="AK889" s="421"/>
      <c r="AL889" s="421"/>
    </row>
    <row r="890" spans="1:38">
      <c r="A890" s="408">
        <v>5672</v>
      </c>
      <c r="B890" s="83">
        <f t="array" ref="B890">SUM(--(FREQUENCY(IF(C$2:C$3080=C890, MATCH(D$2:D$3080, D$2:D$3080, 0)), ROW(D$2:D$3080)-ROW(D$2)+1) &gt; 0))</f>
        <v>30</v>
      </c>
      <c r="C890" s="408">
        <v>41200109</v>
      </c>
      <c r="D890" s="408" t="s">
        <v>2505</v>
      </c>
      <c r="E890" s="408" t="s">
        <v>1585</v>
      </c>
      <c r="F890" s="408" t="s">
        <v>1591</v>
      </c>
      <c r="G890" s="68" t="str">
        <f t="shared" si="71"/>
        <v>SINGLE</v>
      </c>
      <c r="H890" s="197">
        <f t="shared" si="66"/>
        <v>29</v>
      </c>
      <c r="I890" s="408">
        <v>7</v>
      </c>
      <c r="J890" s="408">
        <v>18</v>
      </c>
      <c r="K890" s="186">
        <f t="shared" si="69"/>
        <v>45856</v>
      </c>
      <c r="L890" s="408" t="s">
        <v>2395</v>
      </c>
      <c r="M890" s="408" t="s">
        <v>1469</v>
      </c>
      <c r="N890" s="3" t="str">
        <f t="shared" si="68"/>
        <v/>
      </c>
      <c r="O890" s="408"/>
      <c r="P890" s="408"/>
      <c r="Q890" s="408"/>
      <c r="R890" s="408"/>
      <c r="S890" s="408"/>
      <c r="T890" s="408"/>
      <c r="U890" s="408"/>
      <c r="V890" s="421"/>
      <c r="W890" s="421"/>
      <c r="X890" s="421"/>
      <c r="Y890" s="421"/>
      <c r="Z890" s="421"/>
      <c r="AA890" s="421"/>
      <c r="AB890" s="421"/>
      <c r="AC890" s="421"/>
      <c r="AD890" s="421"/>
      <c r="AE890" s="421"/>
      <c r="AF890" s="421"/>
      <c r="AG890" s="421"/>
      <c r="AH890" s="421"/>
      <c r="AI890" s="421"/>
      <c r="AJ890" s="421"/>
      <c r="AK890" s="421"/>
      <c r="AL890" s="421"/>
    </row>
    <row r="891" spans="1:38">
      <c r="A891" s="3">
        <v>5831</v>
      </c>
      <c r="B891" s="83">
        <f t="array" ref="B891">SUM(--(FREQUENCY(IF(C$2:C$3084=C891, MATCH(D$2:D$3084, D$2:D$3084, 0)), ROW(D$2:D$3084)-ROW(D$2)+1) &gt; 0))</f>
        <v>8</v>
      </c>
      <c r="C891" s="3">
        <v>41100338</v>
      </c>
      <c r="D891" s="6" t="s">
        <v>2506</v>
      </c>
      <c r="E891" s="3" t="s">
        <v>1585</v>
      </c>
      <c r="F891" s="3" t="s">
        <v>1591</v>
      </c>
      <c r="G891" s="68" t="str">
        <f t="shared" ref="G891:G897" si="72">IF(OR(ISNUMBER(SEARCH("DUAL",F891)), ISNUMBER(SEARCH("IVAS",F891))), "DUAL", "SINGLE")</f>
        <v>SINGLE</v>
      </c>
      <c r="H891" s="197">
        <f t="shared" si="66"/>
        <v>30</v>
      </c>
      <c r="I891" s="408">
        <v>7</v>
      </c>
      <c r="J891" s="197">
        <v>21</v>
      </c>
      <c r="K891" s="186">
        <f t="shared" ref="K891:K897" si="73">DATE(2025, I891, J891)</f>
        <v>45859</v>
      </c>
      <c r="L891" s="3" t="s">
        <v>2391</v>
      </c>
      <c r="M891" s="3" t="s">
        <v>1468</v>
      </c>
      <c r="N891" s="3" t="str">
        <f t="shared" si="68"/>
        <v/>
      </c>
      <c r="O891" s="408"/>
      <c r="P891" s="408"/>
      <c r="Q891" s="408"/>
      <c r="R891" s="408"/>
      <c r="S891" s="408"/>
      <c r="T891" s="408"/>
      <c r="U891" s="408"/>
      <c r="V891" s="421"/>
      <c r="W891" s="421"/>
      <c r="X891" s="421"/>
      <c r="Y891" s="421"/>
      <c r="Z891" s="421"/>
      <c r="AA891" s="421"/>
      <c r="AB891" s="421"/>
      <c r="AC891" s="421"/>
      <c r="AD891" s="421"/>
      <c r="AE891" s="421"/>
      <c r="AF891" s="421"/>
      <c r="AG891" s="421"/>
      <c r="AH891" s="421"/>
      <c r="AI891" s="421"/>
      <c r="AJ891" s="421"/>
      <c r="AK891" s="421"/>
      <c r="AL891" s="421"/>
    </row>
    <row r="892" spans="1:38">
      <c r="A892" s="3">
        <v>5831</v>
      </c>
      <c r="B892" s="83">
        <f t="array" ref="B892">SUM(--(FREQUENCY(IF(C$2:C$3084=C892, MATCH(D$2:D$3084, D$2:D$3084, 0)), ROW(D$2:D$3084)-ROW(D$2)+1) &gt; 0))</f>
        <v>8</v>
      </c>
      <c r="C892" s="3">
        <v>41100338</v>
      </c>
      <c r="D892" s="6" t="s">
        <v>2507</v>
      </c>
      <c r="E892" s="3" t="s">
        <v>1585</v>
      </c>
      <c r="F892" s="3" t="s">
        <v>1591</v>
      </c>
      <c r="G892" s="68" t="str">
        <f t="shared" si="72"/>
        <v>SINGLE</v>
      </c>
      <c r="H892" s="197">
        <f t="shared" si="66"/>
        <v>30</v>
      </c>
      <c r="I892" s="408">
        <v>7</v>
      </c>
      <c r="J892" s="197">
        <v>21</v>
      </c>
      <c r="K892" s="186">
        <f t="shared" si="73"/>
        <v>45859</v>
      </c>
      <c r="L892" s="3" t="s">
        <v>2391</v>
      </c>
      <c r="M892" s="3" t="s">
        <v>1468</v>
      </c>
      <c r="N892" s="3" t="str">
        <f t="shared" si="68"/>
        <v>NG</v>
      </c>
      <c r="O892" s="408" t="s">
        <v>2368</v>
      </c>
      <c r="P892" s="408" t="s">
        <v>2508</v>
      </c>
      <c r="Q892" s="408">
        <v>11200217</v>
      </c>
      <c r="R892" s="408" t="s">
        <v>2509</v>
      </c>
      <c r="S892" s="408" t="s">
        <v>2510</v>
      </c>
      <c r="T892" s="408"/>
      <c r="U892" s="408"/>
      <c r="V892" s="421"/>
      <c r="W892" s="421"/>
      <c r="X892" s="421"/>
      <c r="Y892" s="421"/>
      <c r="Z892" s="421"/>
      <c r="AA892" s="421"/>
      <c r="AB892" s="421"/>
      <c r="AC892" s="421"/>
      <c r="AD892" s="421"/>
      <c r="AE892" s="421"/>
      <c r="AF892" s="421"/>
      <c r="AG892" s="421"/>
      <c r="AH892" s="421"/>
      <c r="AI892" s="421"/>
      <c r="AJ892" s="421"/>
      <c r="AK892" s="421"/>
      <c r="AL892" s="421"/>
    </row>
    <row r="893" spans="1:38">
      <c r="A893" s="3">
        <v>5872</v>
      </c>
      <c r="B893" s="83">
        <f t="array" ref="B893">SUM(--(FREQUENCY(IF(C$2:C$3084=C893, MATCH(D$2:D$3084, D$2:D$3084, 0)), ROW(D$2:D$3084)-ROW(D$2)+1) &gt; 0))</f>
        <v>24</v>
      </c>
      <c r="C893" s="3">
        <v>41200122</v>
      </c>
      <c r="D893" s="6" t="s">
        <v>2511</v>
      </c>
      <c r="E893" s="3" t="s">
        <v>1585</v>
      </c>
      <c r="F893" s="3" t="s">
        <v>1476</v>
      </c>
      <c r="G893" s="68" t="str">
        <f t="shared" si="72"/>
        <v>DUAL</v>
      </c>
      <c r="H893" s="197">
        <f t="shared" si="66"/>
        <v>30</v>
      </c>
      <c r="I893" s="408">
        <v>7</v>
      </c>
      <c r="J893" s="197">
        <v>21</v>
      </c>
      <c r="K893" s="186">
        <f t="shared" si="73"/>
        <v>45859</v>
      </c>
      <c r="L893" s="3" t="s">
        <v>2391</v>
      </c>
      <c r="M893" s="3" t="s">
        <v>1468</v>
      </c>
      <c r="N893" s="3" t="str">
        <f t="shared" si="68"/>
        <v/>
      </c>
      <c r="O893" s="408"/>
      <c r="P893" s="408"/>
      <c r="Q893" s="408"/>
      <c r="R893" s="408"/>
      <c r="S893" s="408"/>
      <c r="T893" s="408"/>
      <c r="U893" s="408"/>
      <c r="V893" s="421"/>
      <c r="W893" s="421"/>
      <c r="X893" s="421"/>
      <c r="Y893" s="421"/>
      <c r="Z893" s="421"/>
      <c r="AA893" s="421"/>
      <c r="AB893" s="421"/>
      <c r="AC893" s="421"/>
      <c r="AD893" s="421"/>
      <c r="AE893" s="421"/>
      <c r="AF893" s="421"/>
      <c r="AG893" s="421"/>
      <c r="AH893" s="421"/>
      <c r="AI893" s="421"/>
      <c r="AJ893" s="421"/>
      <c r="AK893" s="421"/>
      <c r="AL893" s="421"/>
    </row>
    <row r="894" spans="1:38">
      <c r="A894" s="3">
        <v>5821</v>
      </c>
      <c r="B894" s="83">
        <f t="array" ref="B894">SUM(--(FREQUENCY(IF(C$2:C$3084=C894, MATCH(D$2:D$3084, D$2:D$3084, 0)), ROW(D$2:D$3084)-ROW(D$2)+1) &gt; 0))</f>
        <v>20</v>
      </c>
      <c r="C894" s="3">
        <v>41200074</v>
      </c>
      <c r="D894" s="6" t="s">
        <v>2512</v>
      </c>
      <c r="E894" s="3" t="s">
        <v>1405</v>
      </c>
      <c r="F894" s="3" t="s">
        <v>1478</v>
      </c>
      <c r="G894" s="68" t="str">
        <f t="shared" si="72"/>
        <v>DUAL</v>
      </c>
      <c r="H894" s="197">
        <f t="shared" si="66"/>
        <v>30</v>
      </c>
      <c r="I894" s="408">
        <v>7</v>
      </c>
      <c r="J894" s="197">
        <v>21</v>
      </c>
      <c r="K894" s="186">
        <f t="shared" si="73"/>
        <v>45859</v>
      </c>
      <c r="L894" s="3" t="s">
        <v>2395</v>
      </c>
      <c r="M894" s="3" t="s">
        <v>1469</v>
      </c>
      <c r="N894" s="3" t="str">
        <f t="shared" si="68"/>
        <v/>
      </c>
      <c r="O894" s="408"/>
      <c r="P894" s="408"/>
      <c r="Q894" s="408"/>
      <c r="R894" s="408"/>
      <c r="S894" s="408"/>
      <c r="T894" s="408"/>
      <c r="U894" s="408"/>
      <c r="V894" s="421"/>
      <c r="W894" s="421"/>
      <c r="X894" s="421"/>
      <c r="Y894" s="421"/>
      <c r="Z894" s="421"/>
      <c r="AA894" s="421"/>
      <c r="AB894" s="421"/>
      <c r="AC894" s="421"/>
      <c r="AD894" s="421"/>
      <c r="AE894" s="421"/>
      <c r="AF894" s="421"/>
      <c r="AG894" s="421"/>
      <c r="AH894" s="421"/>
      <c r="AI894" s="421"/>
      <c r="AJ894" s="421"/>
      <c r="AK894" s="421"/>
      <c r="AL894" s="421"/>
    </row>
    <row r="895" spans="1:38">
      <c r="A895" s="3">
        <v>5823</v>
      </c>
      <c r="B895" s="83">
        <f t="array" ref="B895">SUM(--(FREQUENCY(IF(C$2:C$3084=C895, MATCH(D$2:D$3084, D$2:D$3084, 0)), ROW(D$2:D$3084)-ROW(D$2)+1) &gt; 0))</f>
        <v>29</v>
      </c>
      <c r="C895" s="3">
        <v>41200005</v>
      </c>
      <c r="D895" s="6" t="s">
        <v>2513</v>
      </c>
      <c r="E895" s="3" t="s">
        <v>1405</v>
      </c>
      <c r="F895" s="3" t="s">
        <v>1591</v>
      </c>
      <c r="G895" s="68" t="str">
        <f t="shared" si="72"/>
        <v>SINGLE</v>
      </c>
      <c r="H895" s="197">
        <f t="shared" si="66"/>
        <v>30</v>
      </c>
      <c r="I895" s="408">
        <v>7</v>
      </c>
      <c r="J895" s="197">
        <v>21</v>
      </c>
      <c r="K895" s="186">
        <f t="shared" si="73"/>
        <v>45859</v>
      </c>
      <c r="L895" s="3" t="s">
        <v>2395</v>
      </c>
      <c r="M895" s="3" t="s">
        <v>1469</v>
      </c>
      <c r="N895" s="3" t="str">
        <f t="shared" si="68"/>
        <v/>
      </c>
      <c r="O895" s="408"/>
      <c r="P895" s="408"/>
      <c r="Q895" s="408"/>
      <c r="R895" s="408"/>
      <c r="S895" s="408"/>
      <c r="T895" s="408"/>
      <c r="U895" s="408"/>
      <c r="V895" s="421"/>
      <c r="W895" s="421"/>
      <c r="X895" s="421"/>
      <c r="Y895" s="421"/>
      <c r="Z895" s="421"/>
      <c r="AA895" s="421"/>
      <c r="AB895" s="421"/>
      <c r="AC895" s="421"/>
      <c r="AD895" s="421"/>
      <c r="AE895" s="421"/>
      <c r="AF895" s="421"/>
      <c r="AG895" s="421"/>
      <c r="AH895" s="421"/>
      <c r="AI895" s="421"/>
      <c r="AJ895" s="421"/>
      <c r="AK895" s="421"/>
      <c r="AL895" s="421"/>
    </row>
    <row r="896" spans="1:38">
      <c r="A896" s="3">
        <v>5826</v>
      </c>
      <c r="B896" s="83">
        <f t="array" ref="B896">SUM(--(FREQUENCY(IF(C$2:C$3084=C896, MATCH(D$2:D$3084, D$2:D$3084, 0)), ROW(D$2:D$3084)-ROW(D$2)+1) &gt; 0))</f>
        <v>76</v>
      </c>
      <c r="C896" s="3">
        <v>41200007</v>
      </c>
      <c r="D896" s="6" t="s">
        <v>2514</v>
      </c>
      <c r="E896" s="3" t="s">
        <v>1405</v>
      </c>
      <c r="F896" s="3" t="s">
        <v>1591</v>
      </c>
      <c r="G896" s="68" t="str">
        <f t="shared" si="72"/>
        <v>SINGLE</v>
      </c>
      <c r="H896" s="197">
        <f t="shared" si="66"/>
        <v>30</v>
      </c>
      <c r="I896" s="408">
        <v>7</v>
      </c>
      <c r="J896" s="197">
        <v>21</v>
      </c>
      <c r="K896" s="186">
        <f t="shared" si="73"/>
        <v>45859</v>
      </c>
      <c r="L896" s="3" t="s">
        <v>2395</v>
      </c>
      <c r="M896" s="3" t="s">
        <v>1469</v>
      </c>
      <c r="N896" s="3" t="str">
        <f t="shared" si="68"/>
        <v/>
      </c>
      <c r="O896" s="408"/>
      <c r="P896" s="408"/>
      <c r="Q896" s="408"/>
      <c r="R896" s="408"/>
      <c r="S896" s="408"/>
      <c r="T896" s="408"/>
      <c r="U896" s="408"/>
      <c r="V896" s="421"/>
      <c r="W896" s="421"/>
      <c r="X896" s="421"/>
      <c r="Y896" s="421"/>
      <c r="Z896" s="421"/>
      <c r="AA896" s="421"/>
      <c r="AB896" s="421"/>
      <c r="AC896" s="421"/>
      <c r="AD896" s="421"/>
      <c r="AE896" s="421"/>
      <c r="AF896" s="421"/>
      <c r="AG896" s="421"/>
      <c r="AH896" s="421"/>
      <c r="AI896" s="421"/>
      <c r="AJ896" s="421"/>
      <c r="AK896" s="421"/>
      <c r="AL896" s="421"/>
    </row>
    <row r="897" spans="1:38">
      <c r="A897" s="3">
        <v>5826</v>
      </c>
      <c r="B897" s="83">
        <f t="array" ref="B897">SUM(--(FREQUENCY(IF(C$2:C$3084=C897, MATCH(D$2:D$3084, D$2:D$3084, 0)), ROW(D$2:D$3084)-ROW(D$2)+1) &gt; 0))</f>
        <v>76</v>
      </c>
      <c r="C897" s="3">
        <v>41200007</v>
      </c>
      <c r="D897" s="6" t="s">
        <v>2515</v>
      </c>
      <c r="E897" s="3" t="s">
        <v>1405</v>
      </c>
      <c r="F897" s="3" t="s">
        <v>1591</v>
      </c>
      <c r="G897" s="68" t="str">
        <f t="shared" si="72"/>
        <v>SINGLE</v>
      </c>
      <c r="H897" s="197">
        <f t="shared" ref="H897:H960" si="74">WEEKNUM(K897)</f>
        <v>30</v>
      </c>
      <c r="I897" s="408">
        <v>7</v>
      </c>
      <c r="J897" s="197">
        <v>21</v>
      </c>
      <c r="K897" s="186">
        <f t="shared" si="73"/>
        <v>45859</v>
      </c>
      <c r="L897" s="3" t="s">
        <v>2395</v>
      </c>
      <c r="M897" s="3" t="s">
        <v>1469</v>
      </c>
      <c r="N897" s="3" t="str">
        <f t="shared" si="68"/>
        <v>NG</v>
      </c>
      <c r="O897" s="408" t="s">
        <v>2368</v>
      </c>
      <c r="P897" s="408" t="s">
        <v>2371</v>
      </c>
      <c r="Q897" s="408">
        <v>11001962</v>
      </c>
      <c r="R897" s="408" t="s">
        <v>562</v>
      </c>
      <c r="S897" s="408" t="s">
        <v>2500</v>
      </c>
      <c r="T897" s="408"/>
      <c r="U897" s="408"/>
      <c r="V897" s="421"/>
      <c r="W897" s="421"/>
      <c r="X897" s="421"/>
      <c r="Y897" s="421"/>
      <c r="Z897" s="421"/>
      <c r="AA897" s="421"/>
      <c r="AB897" s="421"/>
      <c r="AC897" s="421"/>
      <c r="AD897" s="421"/>
      <c r="AE897" s="421"/>
      <c r="AF897" s="421"/>
      <c r="AG897" s="421"/>
      <c r="AH897" s="421"/>
      <c r="AI897" s="421"/>
      <c r="AJ897" s="421"/>
      <c r="AK897" s="421"/>
      <c r="AL897" s="421"/>
    </row>
    <row r="898" spans="1:38">
      <c r="A898" s="3">
        <v>5826</v>
      </c>
      <c r="B898" s="83">
        <f t="array" ref="B898">SUM(--(FREQUENCY(IF(C$2:C$3084=C898, MATCH(D$2:D$3084, D$2:D$3084, 0)), ROW(D$2:D$3084)-ROW(D$2)+1) &gt; 0))</f>
        <v>76</v>
      </c>
      <c r="C898" s="3">
        <v>41200007</v>
      </c>
      <c r="D898" s="6" t="s">
        <v>2515</v>
      </c>
      <c r="E898" s="3" t="s">
        <v>1405</v>
      </c>
      <c r="F898" s="3" t="s">
        <v>1591</v>
      </c>
      <c r="G898" s="68" t="str">
        <f t="shared" ref="G898" si="75">IF(OR(ISNUMBER(SEARCH("DUAL",F898)), ISNUMBER(SEARCH("IVAS",F898))), "DUAL", "SINGLE")</f>
        <v>SINGLE</v>
      </c>
      <c r="H898" s="197">
        <f t="shared" si="74"/>
        <v>30</v>
      </c>
      <c r="I898" s="408">
        <v>7</v>
      </c>
      <c r="J898" s="197">
        <v>21</v>
      </c>
      <c r="K898" s="186">
        <f t="shared" ref="K898" si="76">DATE(2025, I898, J898)</f>
        <v>45859</v>
      </c>
      <c r="L898" s="3" t="s">
        <v>2395</v>
      </c>
      <c r="M898" s="3" t="s">
        <v>1469</v>
      </c>
      <c r="N898" s="3" t="str">
        <f t="shared" ref="N898" si="77">IF(O898&lt;&gt;"", "NG", "")</f>
        <v>NG</v>
      </c>
      <c r="O898" s="408" t="s">
        <v>2368</v>
      </c>
      <c r="P898" s="408" t="s">
        <v>2371</v>
      </c>
      <c r="Q898" s="408">
        <v>11001962</v>
      </c>
      <c r="R898" s="408" t="s">
        <v>562</v>
      </c>
      <c r="S898" s="408" t="s">
        <v>2500</v>
      </c>
      <c r="T898" s="408"/>
      <c r="U898" s="408"/>
      <c r="V898" s="421"/>
      <c r="W898" s="421"/>
      <c r="X898" s="421"/>
      <c r="Y898" s="421"/>
      <c r="Z898" s="421"/>
      <c r="AA898" s="421"/>
      <c r="AB898" s="421"/>
      <c r="AC898" s="421"/>
      <c r="AD898" s="421"/>
      <c r="AE898" s="421"/>
      <c r="AF898" s="421"/>
      <c r="AG898" s="421"/>
      <c r="AH898" s="421"/>
      <c r="AI898" s="421"/>
      <c r="AJ898" s="421"/>
      <c r="AK898" s="421"/>
      <c r="AL898" s="421"/>
    </row>
    <row r="899" spans="1:38">
      <c r="A899" s="3">
        <v>5845</v>
      </c>
      <c r="B899" s="83">
        <f t="array" ref="B899">SUM(--(FREQUENCY(IF(C$2:C$3085=C899, MATCH(D$2:D$3085, D$2:D$3085, 0)), ROW(D$2:D$3085)-ROW(D$2)+1) &gt; 0))</f>
        <v>12</v>
      </c>
      <c r="C899" s="3">
        <v>41100502</v>
      </c>
      <c r="D899" s="6" t="s">
        <v>2516</v>
      </c>
      <c r="E899" s="3" t="s">
        <v>1585</v>
      </c>
      <c r="F899" s="3" t="s">
        <v>1591</v>
      </c>
      <c r="G899" s="68" t="str">
        <f t="shared" ref="G899:G906" si="78">IF(OR(ISNUMBER(SEARCH("DUAL",F899)), ISNUMBER(SEARCH("IVAS",F899))), "DUAL", "SINGLE")</f>
        <v>SINGLE</v>
      </c>
      <c r="H899" s="197">
        <f t="shared" si="74"/>
        <v>30</v>
      </c>
      <c r="I899" s="197">
        <v>7</v>
      </c>
      <c r="J899" s="197">
        <v>22</v>
      </c>
      <c r="K899" s="186">
        <f t="shared" ref="K899:K906" si="79">DATE(2025, I899, J899)</f>
        <v>45860</v>
      </c>
      <c r="L899" s="3" t="s">
        <v>2395</v>
      </c>
      <c r="M899" s="3" t="s">
        <v>2392</v>
      </c>
      <c r="N899" s="3" t="str">
        <f t="shared" si="68"/>
        <v>NG</v>
      </c>
      <c r="O899" s="408" t="s">
        <v>2368</v>
      </c>
      <c r="P899" s="408" t="s">
        <v>2517</v>
      </c>
      <c r="Q899" s="408">
        <v>11100786</v>
      </c>
      <c r="R899" s="408" t="s">
        <v>386</v>
      </c>
      <c r="S899" s="408" t="s">
        <v>2518</v>
      </c>
      <c r="T899" s="408"/>
      <c r="U899" s="408"/>
      <c r="V899" s="421"/>
      <c r="W899" s="421"/>
      <c r="X899" s="421"/>
      <c r="Y899" s="421"/>
      <c r="Z899" s="421"/>
      <c r="AA899" s="421"/>
      <c r="AB899" s="421"/>
      <c r="AC899" s="421"/>
      <c r="AD899" s="421"/>
      <c r="AE899" s="421"/>
      <c r="AF899" s="421"/>
      <c r="AG899" s="421"/>
      <c r="AH899" s="421"/>
      <c r="AI899" s="421"/>
      <c r="AJ899" s="421"/>
      <c r="AK899" s="421"/>
      <c r="AL899" s="421"/>
    </row>
    <row r="900" spans="1:38">
      <c r="A900" s="3">
        <v>5845</v>
      </c>
      <c r="B900" s="83">
        <f t="array" ref="B900">SUM(--(FREQUENCY(IF(C$2:C$3085=C900, MATCH(D$2:D$3085, D$2:D$3085, 0)), ROW(D$2:D$3085)-ROW(D$2)+1) &gt; 0))</f>
        <v>12</v>
      </c>
      <c r="C900" s="3">
        <v>41100502</v>
      </c>
      <c r="D900" s="6" t="s">
        <v>2519</v>
      </c>
      <c r="E900" s="3" t="s">
        <v>1585</v>
      </c>
      <c r="F900" s="3" t="s">
        <v>1591</v>
      </c>
      <c r="G900" s="68" t="str">
        <f t="shared" si="78"/>
        <v>SINGLE</v>
      </c>
      <c r="H900" s="197">
        <f t="shared" si="74"/>
        <v>30</v>
      </c>
      <c r="I900" s="197">
        <v>7</v>
      </c>
      <c r="J900" s="197">
        <v>22</v>
      </c>
      <c r="K900" s="186">
        <f t="shared" si="79"/>
        <v>45860</v>
      </c>
      <c r="L900" s="3" t="s">
        <v>2395</v>
      </c>
      <c r="M900" s="3" t="s">
        <v>2392</v>
      </c>
      <c r="N900" s="3" t="str">
        <f t="shared" ref="N900:N966" si="80">IF(O900&lt;&gt;"", "NG", "")</f>
        <v>NG</v>
      </c>
      <c r="O900" s="408" t="s">
        <v>2368</v>
      </c>
      <c r="P900" s="408" t="s">
        <v>2517</v>
      </c>
      <c r="Q900" s="408">
        <v>11100786</v>
      </c>
      <c r="R900" s="408" t="s">
        <v>386</v>
      </c>
      <c r="S900" s="408" t="s">
        <v>2518</v>
      </c>
      <c r="T900" s="408"/>
      <c r="U900" s="408"/>
      <c r="V900" s="421"/>
      <c r="W900" s="421"/>
      <c r="X900" s="421"/>
      <c r="Y900" s="421"/>
      <c r="Z900" s="421"/>
      <c r="AA900" s="421"/>
      <c r="AB900" s="421"/>
      <c r="AC900" s="421"/>
      <c r="AD900" s="421"/>
      <c r="AE900" s="421"/>
      <c r="AF900" s="421"/>
      <c r="AG900" s="421"/>
      <c r="AH900" s="421"/>
      <c r="AI900" s="421"/>
      <c r="AJ900" s="421"/>
      <c r="AK900" s="421"/>
      <c r="AL900" s="421"/>
    </row>
    <row r="901" spans="1:38">
      <c r="A901" s="3">
        <v>5845</v>
      </c>
      <c r="B901" s="83">
        <f t="array" ref="B901">SUM(--(FREQUENCY(IF(C$2:C$3085=C901, MATCH(D$2:D$3085, D$2:D$3085, 0)), ROW(D$2:D$3085)-ROW(D$2)+1) &gt; 0))</f>
        <v>12</v>
      </c>
      <c r="C901" s="3">
        <v>41100502</v>
      </c>
      <c r="D901" s="6" t="s">
        <v>2519</v>
      </c>
      <c r="E901" s="3" t="s">
        <v>1585</v>
      </c>
      <c r="F901" s="3" t="s">
        <v>1591</v>
      </c>
      <c r="G901" s="68" t="str">
        <f t="shared" ref="G901" si="81">IF(OR(ISNUMBER(SEARCH("DUAL",F901)), ISNUMBER(SEARCH("IVAS",F901))), "DUAL", "SINGLE")</f>
        <v>SINGLE</v>
      </c>
      <c r="H901" s="197">
        <f t="shared" si="74"/>
        <v>30</v>
      </c>
      <c r="I901" s="197">
        <v>7</v>
      </c>
      <c r="J901" s="197">
        <v>22</v>
      </c>
      <c r="K901" s="186">
        <f t="shared" ref="K901" si="82">DATE(2025, I901, J901)</f>
        <v>45860</v>
      </c>
      <c r="L901" s="3" t="s">
        <v>2395</v>
      </c>
      <c r="M901" s="3" t="s">
        <v>2392</v>
      </c>
      <c r="N901" s="3" t="str">
        <f t="shared" ref="N901" si="83">IF(O901&lt;&gt;"", "NG", "")</f>
        <v>NG</v>
      </c>
      <c r="O901" s="408" t="s">
        <v>2368</v>
      </c>
      <c r="P901" s="408" t="s">
        <v>2520</v>
      </c>
      <c r="Q901" s="408">
        <v>11102089</v>
      </c>
      <c r="R901" s="408" t="s">
        <v>2521</v>
      </c>
      <c r="S901" s="408" t="s">
        <v>2522</v>
      </c>
      <c r="T901" s="408"/>
      <c r="U901" s="408"/>
      <c r="V901" s="421"/>
      <c r="W901" s="421"/>
      <c r="X901" s="421"/>
      <c r="Y901" s="421"/>
      <c r="Z901" s="421"/>
      <c r="AA901" s="421"/>
      <c r="AB901" s="421"/>
      <c r="AC901" s="421"/>
      <c r="AD901" s="421"/>
      <c r="AE901" s="421"/>
      <c r="AF901" s="421"/>
      <c r="AG901" s="421"/>
      <c r="AH901" s="421"/>
      <c r="AI901" s="421"/>
      <c r="AJ901" s="421"/>
      <c r="AK901" s="421"/>
      <c r="AL901" s="421"/>
    </row>
    <row r="902" spans="1:38">
      <c r="A902" s="3">
        <v>5673</v>
      </c>
      <c r="B902" s="83">
        <f t="array" ref="B902">SUM(--(FREQUENCY(IF(C$2:C$3085=C902, MATCH(D$2:D$3085, D$2:D$3085, 0)), ROW(D$2:D$3085)-ROW(D$2)+1) &gt; 0))</f>
        <v>12</v>
      </c>
      <c r="C902" s="3">
        <v>41100264</v>
      </c>
      <c r="D902" s="6" t="s">
        <v>2523</v>
      </c>
      <c r="E902" s="3" t="s">
        <v>1585</v>
      </c>
      <c r="F902" s="3" t="s">
        <v>1591</v>
      </c>
      <c r="G902" s="68" t="str">
        <f t="shared" si="78"/>
        <v>SINGLE</v>
      </c>
      <c r="H902" s="197">
        <f t="shared" si="74"/>
        <v>30</v>
      </c>
      <c r="I902" s="197">
        <v>7</v>
      </c>
      <c r="J902" s="197">
        <v>22</v>
      </c>
      <c r="K902" s="186">
        <f t="shared" si="79"/>
        <v>45860</v>
      </c>
      <c r="L902" s="3" t="s">
        <v>2391</v>
      </c>
      <c r="M902" s="3" t="s">
        <v>1468</v>
      </c>
      <c r="N902" s="3" t="str">
        <f t="shared" si="80"/>
        <v/>
      </c>
      <c r="O902" s="408"/>
      <c r="P902" s="408"/>
      <c r="Q902" s="408"/>
      <c r="R902" s="408"/>
      <c r="S902" s="408"/>
      <c r="T902" s="408"/>
      <c r="U902" s="408"/>
      <c r="V902" s="421"/>
      <c r="W902" s="421"/>
      <c r="X902" s="421"/>
      <c r="Y902" s="421"/>
      <c r="Z902" s="421"/>
      <c r="AA902" s="421"/>
      <c r="AB902" s="421"/>
      <c r="AC902" s="421"/>
      <c r="AD902" s="421"/>
      <c r="AE902" s="421"/>
      <c r="AF902" s="421"/>
      <c r="AG902" s="421"/>
      <c r="AH902" s="421"/>
      <c r="AI902" s="421"/>
      <c r="AJ902" s="421"/>
      <c r="AK902" s="421"/>
      <c r="AL902" s="421"/>
    </row>
    <row r="903" spans="1:38">
      <c r="A903" s="3">
        <v>5673</v>
      </c>
      <c r="B903" s="83">
        <f t="array" ref="B903">SUM(--(FREQUENCY(IF(C$2:C$3085=C903, MATCH(D$2:D$3085, D$2:D$3085, 0)), ROW(D$2:D$3085)-ROW(D$2)+1) &gt; 0))</f>
        <v>12</v>
      </c>
      <c r="C903" s="3">
        <v>41100264</v>
      </c>
      <c r="D903" s="6" t="s">
        <v>2524</v>
      </c>
      <c r="E903" s="3" t="s">
        <v>1585</v>
      </c>
      <c r="F903" s="3" t="s">
        <v>1591</v>
      </c>
      <c r="G903" s="68" t="str">
        <f t="shared" si="78"/>
        <v>SINGLE</v>
      </c>
      <c r="H903" s="197">
        <f t="shared" si="74"/>
        <v>30</v>
      </c>
      <c r="I903" s="197">
        <v>7</v>
      </c>
      <c r="J903" s="197">
        <v>22</v>
      </c>
      <c r="K903" s="186">
        <f t="shared" si="79"/>
        <v>45860</v>
      </c>
      <c r="L903" s="3" t="s">
        <v>2391</v>
      </c>
      <c r="M903" s="3" t="s">
        <v>1468</v>
      </c>
      <c r="N903" s="3" t="str">
        <f t="shared" si="80"/>
        <v/>
      </c>
      <c r="O903" s="408"/>
      <c r="P903" s="408"/>
      <c r="Q903" s="408"/>
      <c r="R903" s="408"/>
      <c r="S903" s="408"/>
      <c r="T903" s="408"/>
      <c r="U903" s="408"/>
      <c r="V903" s="421"/>
      <c r="W903" s="421"/>
      <c r="X903" s="421"/>
      <c r="Y903" s="421"/>
      <c r="Z903" s="421"/>
      <c r="AA903" s="421"/>
      <c r="AB903" s="421"/>
      <c r="AC903" s="421"/>
      <c r="AD903" s="421"/>
      <c r="AE903" s="421"/>
      <c r="AF903" s="421"/>
      <c r="AG903" s="421"/>
      <c r="AH903" s="421"/>
      <c r="AI903" s="421"/>
      <c r="AJ903" s="421"/>
      <c r="AK903" s="421"/>
      <c r="AL903" s="421"/>
    </row>
    <row r="904" spans="1:38">
      <c r="A904" s="3">
        <v>5770</v>
      </c>
      <c r="B904" s="83">
        <f t="array" ref="B904">SUM(--(FREQUENCY(IF(C$2:C$3085=C904, MATCH(D$2:D$3085, D$2:D$3085, 0)), ROW(D$2:D$3085)-ROW(D$2)+1) &gt; 0))</f>
        <v>24</v>
      </c>
      <c r="C904" s="3">
        <v>41200122</v>
      </c>
      <c r="D904" s="6" t="s">
        <v>2525</v>
      </c>
      <c r="E904" s="3" t="s">
        <v>1585</v>
      </c>
      <c r="F904" s="3" t="s">
        <v>1476</v>
      </c>
      <c r="G904" s="68" t="str">
        <f t="shared" si="78"/>
        <v>DUAL</v>
      </c>
      <c r="H904" s="197">
        <f t="shared" si="74"/>
        <v>30</v>
      </c>
      <c r="I904" s="197">
        <v>7</v>
      </c>
      <c r="J904" s="197">
        <v>22</v>
      </c>
      <c r="K904" s="186">
        <f t="shared" si="79"/>
        <v>45860</v>
      </c>
      <c r="L904" s="3" t="s">
        <v>2391</v>
      </c>
      <c r="M904" s="3" t="s">
        <v>1468</v>
      </c>
      <c r="N904" s="3" t="str">
        <f t="shared" si="80"/>
        <v>NG</v>
      </c>
      <c r="O904" s="408" t="s">
        <v>2368</v>
      </c>
      <c r="P904" s="408" t="s">
        <v>2496</v>
      </c>
      <c r="Q904" s="408">
        <v>11000088</v>
      </c>
      <c r="R904" s="408" t="s">
        <v>143</v>
      </c>
      <c r="S904" s="408" t="s">
        <v>2526</v>
      </c>
      <c r="T904" s="408"/>
      <c r="U904" s="408"/>
      <c r="V904" s="421"/>
      <c r="W904" s="421"/>
      <c r="X904" s="421"/>
      <c r="Y904" s="421"/>
      <c r="Z904" s="421"/>
      <c r="AA904" s="421"/>
      <c r="AB904" s="421"/>
      <c r="AC904" s="421"/>
      <c r="AD904" s="421"/>
      <c r="AE904" s="421"/>
      <c r="AF904" s="421"/>
      <c r="AG904" s="421"/>
      <c r="AH904" s="421"/>
      <c r="AI904" s="421"/>
      <c r="AJ904" s="421"/>
      <c r="AK904" s="421"/>
      <c r="AL904" s="421"/>
    </row>
    <row r="905" spans="1:38">
      <c r="A905" s="3">
        <v>5750</v>
      </c>
      <c r="B905" s="83">
        <f t="array" ref="B905">SUM(--(FREQUENCY(IF(C$2:C$3085=C905, MATCH(D$2:D$3085, D$2:D$3085, 0)), ROW(D$2:D$3085)-ROW(D$2)+1) &gt; 0))</f>
        <v>3</v>
      </c>
      <c r="C905" s="3">
        <v>41200066</v>
      </c>
      <c r="D905" s="6" t="s">
        <v>2527</v>
      </c>
      <c r="E905" s="3" t="s">
        <v>1424</v>
      </c>
      <c r="F905" s="3" t="s">
        <v>1476</v>
      </c>
      <c r="G905" s="68" t="str">
        <f t="shared" si="78"/>
        <v>DUAL</v>
      </c>
      <c r="H905" s="197">
        <f t="shared" si="74"/>
        <v>30</v>
      </c>
      <c r="I905" s="197">
        <v>7</v>
      </c>
      <c r="J905" s="197">
        <v>22</v>
      </c>
      <c r="K905" s="186">
        <f t="shared" si="79"/>
        <v>45860</v>
      </c>
      <c r="L905" s="3" t="s">
        <v>2395</v>
      </c>
      <c r="M905" s="3" t="s">
        <v>1469</v>
      </c>
      <c r="N905" s="3" t="str">
        <f t="shared" si="80"/>
        <v/>
      </c>
      <c r="O905" s="408"/>
      <c r="P905" s="408"/>
      <c r="Q905" s="408"/>
      <c r="R905" s="408"/>
      <c r="S905" s="408"/>
      <c r="T905" s="408"/>
      <c r="U905" s="408"/>
      <c r="V905" s="421"/>
      <c r="W905" s="421"/>
      <c r="X905" s="421"/>
      <c r="Y905" s="421"/>
      <c r="Z905" s="421"/>
      <c r="AA905" s="421"/>
      <c r="AB905" s="421"/>
      <c r="AC905" s="421"/>
      <c r="AD905" s="421"/>
      <c r="AE905" s="421"/>
      <c r="AF905" s="421"/>
      <c r="AG905" s="421"/>
      <c r="AH905" s="421"/>
      <c r="AI905" s="421"/>
      <c r="AJ905" s="421"/>
      <c r="AK905" s="421"/>
      <c r="AL905" s="421"/>
    </row>
    <row r="906" spans="1:38">
      <c r="A906" s="3">
        <v>5637</v>
      </c>
      <c r="B906" s="83">
        <f t="array" ref="B906">SUM(--(FREQUENCY(IF(C$2:C$3085=C906, MATCH(D$2:D$3085, D$2:D$3085, 0)), ROW(D$2:D$3085)-ROW(D$2)+1) &gt; 0))</f>
        <v>1</v>
      </c>
      <c r="C906" s="3">
        <v>41100372</v>
      </c>
      <c r="D906" s="6" t="s">
        <v>2528</v>
      </c>
      <c r="E906" s="3" t="s">
        <v>1585</v>
      </c>
      <c r="F906" s="3" t="s">
        <v>1476</v>
      </c>
      <c r="G906" s="68" t="str">
        <f t="shared" si="78"/>
        <v>DUAL</v>
      </c>
      <c r="H906" s="197">
        <f t="shared" si="74"/>
        <v>30</v>
      </c>
      <c r="I906" s="197">
        <v>7</v>
      </c>
      <c r="J906" s="197">
        <v>22</v>
      </c>
      <c r="K906" s="186">
        <f t="shared" si="79"/>
        <v>45860</v>
      </c>
      <c r="L906" s="3" t="s">
        <v>2391</v>
      </c>
      <c r="M906" s="3" t="s">
        <v>1469</v>
      </c>
      <c r="N906" s="3" t="str">
        <f t="shared" si="80"/>
        <v/>
      </c>
      <c r="O906" s="408"/>
      <c r="P906" s="408"/>
      <c r="Q906" s="408"/>
      <c r="R906" s="408"/>
      <c r="S906" s="408"/>
      <c r="T906" s="408"/>
      <c r="U906" s="408"/>
      <c r="V906" s="421"/>
      <c r="W906" s="421"/>
      <c r="X906" s="421"/>
      <c r="Y906" s="421"/>
      <c r="Z906" s="421"/>
      <c r="AA906" s="421"/>
      <c r="AB906" s="421"/>
      <c r="AC906" s="421"/>
      <c r="AD906" s="421"/>
      <c r="AE906" s="421"/>
      <c r="AF906" s="421"/>
      <c r="AG906" s="421"/>
      <c r="AH906" s="421"/>
      <c r="AI906" s="421"/>
      <c r="AJ906" s="421"/>
      <c r="AK906" s="421"/>
      <c r="AL906" s="421"/>
    </row>
    <row r="907" spans="1:38">
      <c r="A907" s="3">
        <v>5672</v>
      </c>
      <c r="B907" s="83">
        <f t="array" ref="B907">SUM(--(FREQUENCY(IF(C$2:C$3085=C907, MATCH(D$2:D$3085, D$2:D$3085, 0)), ROW(D$2:D$3085)-ROW(D$2)+1) &gt; 0))</f>
        <v>30</v>
      </c>
      <c r="C907" s="3">
        <v>41200109</v>
      </c>
      <c r="D907" s="6" t="s">
        <v>2529</v>
      </c>
      <c r="E907" s="3" t="s">
        <v>1585</v>
      </c>
      <c r="F907" s="3" t="s">
        <v>1591</v>
      </c>
      <c r="G907" s="68" t="str">
        <f t="shared" ref="G907:G914" si="84">IF(OR(ISNUMBER(SEARCH("DUAL",F907)), ISNUMBER(SEARCH("IVAS",F907))), "DUAL", "SINGLE")</f>
        <v>SINGLE</v>
      </c>
      <c r="H907" s="197">
        <f t="shared" si="74"/>
        <v>30</v>
      </c>
      <c r="I907" s="197">
        <v>7</v>
      </c>
      <c r="J907" s="197">
        <v>23</v>
      </c>
      <c r="K907" s="186">
        <f t="shared" ref="K907:K914" si="85">DATE(2025, I907, J907)</f>
        <v>45861</v>
      </c>
      <c r="L907" s="3" t="s">
        <v>2395</v>
      </c>
      <c r="M907" s="3" t="s">
        <v>2392</v>
      </c>
      <c r="N907" s="3" t="str">
        <f t="shared" si="80"/>
        <v/>
      </c>
      <c r="O907" s="408"/>
      <c r="P907" s="408"/>
      <c r="Q907" s="408"/>
      <c r="R907" s="408"/>
      <c r="S907" s="408"/>
      <c r="T907" s="408"/>
      <c r="U907" s="408"/>
      <c r="V907" s="421"/>
      <c r="W907" s="421"/>
      <c r="X907" s="421"/>
      <c r="Y907" s="421"/>
      <c r="Z907" s="421"/>
      <c r="AA907" s="421"/>
      <c r="AB907" s="421"/>
      <c r="AC907" s="421"/>
      <c r="AD907" s="421"/>
      <c r="AE907" s="421"/>
      <c r="AF907" s="421"/>
      <c r="AG907" s="421"/>
      <c r="AH907" s="421"/>
      <c r="AI907" s="421"/>
      <c r="AJ907" s="421"/>
      <c r="AK907" s="421"/>
      <c r="AL907" s="421"/>
    </row>
    <row r="908" spans="1:38">
      <c r="A908" s="3">
        <v>5672</v>
      </c>
      <c r="B908" s="83">
        <f t="array" ref="B908">SUM(--(FREQUENCY(IF(C$2:C$3085=C908, MATCH(D$2:D$3085, D$2:D$3085, 0)), ROW(D$2:D$3085)-ROW(D$2)+1) &gt; 0))</f>
        <v>30</v>
      </c>
      <c r="C908" s="3">
        <v>41200109</v>
      </c>
      <c r="D908" s="6" t="s">
        <v>2530</v>
      </c>
      <c r="E908" s="3" t="s">
        <v>1585</v>
      </c>
      <c r="F908" s="3" t="s">
        <v>1591</v>
      </c>
      <c r="G908" s="68" t="str">
        <f t="shared" si="84"/>
        <v>SINGLE</v>
      </c>
      <c r="H908" s="197">
        <f t="shared" si="74"/>
        <v>30</v>
      </c>
      <c r="I908" s="197">
        <v>7</v>
      </c>
      <c r="J908" s="197">
        <v>23</v>
      </c>
      <c r="K908" s="186">
        <f t="shared" si="85"/>
        <v>45861</v>
      </c>
      <c r="L908" s="3" t="s">
        <v>2395</v>
      </c>
      <c r="M908" s="3" t="s">
        <v>2392</v>
      </c>
      <c r="N908" s="3" t="str">
        <f t="shared" si="80"/>
        <v/>
      </c>
      <c r="O908" s="408"/>
      <c r="P908" s="408"/>
      <c r="Q908" s="408"/>
      <c r="R908" s="408"/>
      <c r="S908" s="408"/>
      <c r="T908" s="408"/>
      <c r="U908" s="408"/>
      <c r="V908" s="421"/>
      <c r="W908" s="421"/>
      <c r="X908" s="421"/>
      <c r="Y908" s="421"/>
      <c r="Z908" s="421"/>
      <c r="AA908" s="421"/>
      <c r="AB908" s="421"/>
      <c r="AC908" s="421"/>
      <c r="AD908" s="421"/>
      <c r="AE908" s="421"/>
      <c r="AF908" s="421"/>
      <c r="AG908" s="421"/>
      <c r="AH908" s="421"/>
      <c r="AI908" s="421"/>
      <c r="AJ908" s="421"/>
      <c r="AK908" s="421"/>
      <c r="AL908" s="421"/>
    </row>
    <row r="909" spans="1:38">
      <c r="A909" s="3">
        <v>5875</v>
      </c>
      <c r="B909" s="83">
        <f t="array" ref="B909">SUM(--(FREQUENCY(IF(C$2:C$3085=C909, MATCH(D$2:D$3085, D$2:D$3085, 0)), ROW(D$2:D$3085)-ROW(D$2)+1) &gt; 0))</f>
        <v>8</v>
      </c>
      <c r="C909" s="3">
        <v>41100338</v>
      </c>
      <c r="D909" s="6" t="s">
        <v>2531</v>
      </c>
      <c r="E909" s="3" t="s">
        <v>1585</v>
      </c>
      <c r="F909" s="3" t="s">
        <v>1591</v>
      </c>
      <c r="G909" s="68" t="str">
        <f t="shared" si="84"/>
        <v>SINGLE</v>
      </c>
      <c r="H909" s="197">
        <f t="shared" si="74"/>
        <v>30</v>
      </c>
      <c r="I909" s="197">
        <v>7</v>
      </c>
      <c r="J909" s="197">
        <v>23</v>
      </c>
      <c r="K909" s="186">
        <f t="shared" si="85"/>
        <v>45861</v>
      </c>
      <c r="L909" s="3" t="s">
        <v>2395</v>
      </c>
      <c r="M909" s="3" t="s">
        <v>2392</v>
      </c>
      <c r="N909" s="3" t="str">
        <f t="shared" si="80"/>
        <v/>
      </c>
      <c r="O909" s="408"/>
      <c r="P909" s="408"/>
      <c r="Q909" s="408"/>
      <c r="R909" s="408"/>
      <c r="S909" s="408"/>
      <c r="T909" s="408"/>
      <c r="U909" s="408"/>
      <c r="V909" s="421"/>
      <c r="W909" s="421"/>
      <c r="X909" s="421"/>
      <c r="Y909" s="421"/>
      <c r="Z909" s="421"/>
      <c r="AA909" s="421"/>
      <c r="AB909" s="421"/>
      <c r="AC909" s="421"/>
      <c r="AD909" s="421"/>
      <c r="AE909" s="421"/>
      <c r="AF909" s="421"/>
      <c r="AG909" s="421"/>
      <c r="AH909" s="421"/>
      <c r="AI909" s="421"/>
      <c r="AJ909" s="421"/>
      <c r="AK909" s="421"/>
      <c r="AL909" s="421"/>
    </row>
    <row r="910" spans="1:38">
      <c r="A910" s="3">
        <v>5875</v>
      </c>
      <c r="B910" s="83">
        <f t="array" ref="B910">SUM(--(FREQUENCY(IF(C$2:C$3085=C910, MATCH(D$2:D$3085, D$2:D$3085, 0)), ROW(D$2:D$3085)-ROW(D$2)+1) &gt; 0))</f>
        <v>8</v>
      </c>
      <c r="C910" s="3">
        <v>41100338</v>
      </c>
      <c r="D910" s="6" t="s">
        <v>2532</v>
      </c>
      <c r="E910" s="3" t="s">
        <v>1585</v>
      </c>
      <c r="F910" s="3" t="s">
        <v>1591</v>
      </c>
      <c r="G910" s="68" t="str">
        <f t="shared" si="84"/>
        <v>SINGLE</v>
      </c>
      <c r="H910" s="197">
        <f t="shared" si="74"/>
        <v>30</v>
      </c>
      <c r="I910" s="197">
        <v>7</v>
      </c>
      <c r="J910" s="197">
        <v>23</v>
      </c>
      <c r="K910" s="186">
        <f t="shared" si="85"/>
        <v>45861</v>
      </c>
      <c r="L910" s="3" t="s">
        <v>2395</v>
      </c>
      <c r="M910" s="3" t="s">
        <v>2392</v>
      </c>
      <c r="N910" s="3" t="str">
        <f t="shared" si="80"/>
        <v/>
      </c>
      <c r="O910" s="408"/>
      <c r="P910" s="408"/>
      <c r="Q910" s="408"/>
      <c r="R910" s="408"/>
      <c r="S910" s="408"/>
      <c r="T910" s="408"/>
      <c r="U910" s="408"/>
      <c r="V910" s="421"/>
      <c r="W910" s="421"/>
      <c r="X910" s="421"/>
      <c r="Y910" s="421"/>
      <c r="Z910" s="421"/>
      <c r="AA910" s="421"/>
      <c r="AB910" s="421"/>
      <c r="AC910" s="421"/>
      <c r="AD910" s="421"/>
      <c r="AE910" s="421"/>
      <c r="AF910" s="421"/>
      <c r="AG910" s="421"/>
      <c r="AH910" s="421"/>
      <c r="AI910" s="421"/>
      <c r="AJ910" s="421"/>
      <c r="AK910" s="421"/>
      <c r="AL910" s="421"/>
    </row>
    <row r="911" spans="1:38">
      <c r="A911" s="3">
        <v>5812</v>
      </c>
      <c r="B911" s="83">
        <f t="array" ref="B911">SUM(--(FREQUENCY(IF(C$2:C$3085=C911, MATCH(D$2:D$3085, D$2:D$3085, 0)), ROW(D$2:D$3085)-ROW(D$2)+1) &gt; 0))</f>
        <v>29</v>
      </c>
      <c r="C911" s="3">
        <v>41200005</v>
      </c>
      <c r="D911" s="6" t="s">
        <v>2533</v>
      </c>
      <c r="E911" s="3" t="s">
        <v>1405</v>
      </c>
      <c r="F911" s="3" t="s">
        <v>1591</v>
      </c>
      <c r="G911" s="68" t="str">
        <f t="shared" si="84"/>
        <v>SINGLE</v>
      </c>
      <c r="H911" s="197">
        <f t="shared" si="74"/>
        <v>30</v>
      </c>
      <c r="I911" s="197">
        <v>7</v>
      </c>
      <c r="J911" s="197">
        <v>23</v>
      </c>
      <c r="K911" s="186">
        <f t="shared" si="85"/>
        <v>45861</v>
      </c>
      <c r="L911" s="3" t="s">
        <v>2391</v>
      </c>
      <c r="M911" s="3" t="s">
        <v>1468</v>
      </c>
      <c r="N911" s="3" t="str">
        <f t="shared" si="80"/>
        <v/>
      </c>
      <c r="O911" s="408"/>
      <c r="P911" s="408"/>
      <c r="Q911" s="408"/>
      <c r="R911" s="408"/>
      <c r="S911" s="408"/>
      <c r="T911" s="408"/>
      <c r="U911" s="408"/>
      <c r="V911" s="421"/>
      <c r="W911" s="421"/>
      <c r="X911" s="421"/>
      <c r="Y911" s="421"/>
      <c r="Z911" s="421"/>
      <c r="AA911" s="421"/>
      <c r="AB911" s="421"/>
      <c r="AC911" s="421"/>
      <c r="AD911" s="421"/>
      <c r="AE911" s="421"/>
      <c r="AF911" s="421"/>
      <c r="AG911" s="421"/>
      <c r="AH911" s="421"/>
      <c r="AI911" s="421"/>
      <c r="AJ911" s="421"/>
      <c r="AK911" s="421"/>
      <c r="AL911" s="421"/>
    </row>
    <row r="912" spans="1:38">
      <c r="A912" s="3">
        <v>5812</v>
      </c>
      <c r="B912" s="83">
        <f t="array" ref="B912">SUM(--(FREQUENCY(IF(C$2:C$3085=C912, MATCH(D$2:D$3085, D$2:D$3085, 0)), ROW(D$2:D$3085)-ROW(D$2)+1) &gt; 0))</f>
        <v>29</v>
      </c>
      <c r="C912" s="3">
        <v>41200005</v>
      </c>
      <c r="D912" s="6" t="s">
        <v>2534</v>
      </c>
      <c r="E912" s="3" t="s">
        <v>1405</v>
      </c>
      <c r="F912" s="3" t="s">
        <v>1591</v>
      </c>
      <c r="G912" s="68" t="str">
        <f t="shared" si="84"/>
        <v>SINGLE</v>
      </c>
      <c r="H912" s="197">
        <f t="shared" si="74"/>
        <v>30</v>
      </c>
      <c r="I912" s="197">
        <v>7</v>
      </c>
      <c r="J912" s="197">
        <v>23</v>
      </c>
      <c r="K912" s="186">
        <f t="shared" si="85"/>
        <v>45861</v>
      </c>
      <c r="L912" s="3" t="s">
        <v>2391</v>
      </c>
      <c r="M912" s="3" t="s">
        <v>1468</v>
      </c>
      <c r="N912" s="3" t="str">
        <f t="shared" si="80"/>
        <v/>
      </c>
      <c r="O912" s="408"/>
      <c r="P912" s="408"/>
      <c r="Q912" s="408"/>
      <c r="R912" s="408"/>
      <c r="S912" s="408"/>
      <c r="T912" s="408"/>
      <c r="U912" s="408"/>
      <c r="V912" s="421"/>
      <c r="W912" s="421"/>
      <c r="X912" s="421"/>
      <c r="Y912" s="421"/>
      <c r="Z912" s="421"/>
      <c r="AA912" s="421"/>
      <c r="AB912" s="421"/>
      <c r="AC912" s="421"/>
      <c r="AD912" s="421"/>
      <c r="AE912" s="421"/>
      <c r="AF912" s="421"/>
      <c r="AG912" s="421"/>
      <c r="AH912" s="421"/>
      <c r="AI912" s="421"/>
      <c r="AJ912" s="421"/>
      <c r="AK912" s="421"/>
      <c r="AL912" s="421"/>
    </row>
    <row r="913" spans="1:38">
      <c r="A913" s="3">
        <v>5826</v>
      </c>
      <c r="B913" s="83">
        <f t="array" ref="B913">SUM(--(FREQUENCY(IF(C$2:C$3085=C913, MATCH(D$2:D$3085, D$2:D$3085, 0)), ROW(D$2:D$3085)-ROW(D$2)+1) &gt; 0))</f>
        <v>76</v>
      </c>
      <c r="C913" s="3">
        <v>41200007</v>
      </c>
      <c r="D913" s="6" t="s">
        <v>2535</v>
      </c>
      <c r="E913" s="3" t="s">
        <v>1405</v>
      </c>
      <c r="F913" s="3" t="s">
        <v>1591</v>
      </c>
      <c r="G913" s="68" t="str">
        <f t="shared" si="84"/>
        <v>SINGLE</v>
      </c>
      <c r="H913" s="197">
        <f t="shared" si="74"/>
        <v>30</v>
      </c>
      <c r="I913" s="197">
        <v>7</v>
      </c>
      <c r="J913" s="197">
        <v>23</v>
      </c>
      <c r="K913" s="186">
        <f t="shared" si="85"/>
        <v>45861</v>
      </c>
      <c r="L913" s="3" t="s">
        <v>2391</v>
      </c>
      <c r="M913" s="3" t="s">
        <v>1468</v>
      </c>
      <c r="N913" s="3" t="str">
        <f t="shared" si="80"/>
        <v>NG</v>
      </c>
      <c r="O913" s="408" t="s">
        <v>2368</v>
      </c>
      <c r="P913" s="408" t="s">
        <v>1385</v>
      </c>
      <c r="Q913" s="408">
        <v>12000118</v>
      </c>
      <c r="R913" s="408" t="s">
        <v>2536</v>
      </c>
      <c r="S913" s="408" t="s">
        <v>2537</v>
      </c>
      <c r="T913" s="408"/>
      <c r="U913" s="408"/>
      <c r="V913" s="421"/>
      <c r="W913" s="421"/>
      <c r="X913" s="421"/>
      <c r="Y913" s="421"/>
      <c r="Z913" s="421"/>
      <c r="AA913" s="421"/>
      <c r="AB913" s="421"/>
      <c r="AC913" s="421"/>
      <c r="AD913" s="421"/>
      <c r="AE913" s="421"/>
      <c r="AF913" s="421"/>
      <c r="AG913" s="421"/>
      <c r="AH913" s="421"/>
      <c r="AI913" s="421"/>
      <c r="AJ913" s="421"/>
      <c r="AK913" s="421"/>
      <c r="AL913" s="421"/>
    </row>
    <row r="914" spans="1:38">
      <c r="A914" s="3">
        <v>5826</v>
      </c>
      <c r="B914" s="83">
        <f t="array" ref="B914">SUM(--(FREQUENCY(IF(C$2:C$3085=C914, MATCH(D$2:D$3085, D$2:D$3085, 0)), ROW(D$2:D$3085)-ROW(D$2)+1) &gt; 0))</f>
        <v>76</v>
      </c>
      <c r="C914" s="3">
        <v>41200007</v>
      </c>
      <c r="D914" s="6" t="s">
        <v>2538</v>
      </c>
      <c r="E914" s="3" t="s">
        <v>1405</v>
      </c>
      <c r="F914" s="3" t="s">
        <v>1591</v>
      </c>
      <c r="G914" s="68" t="str">
        <f t="shared" si="84"/>
        <v>SINGLE</v>
      </c>
      <c r="H914" s="197">
        <f t="shared" si="74"/>
        <v>30</v>
      </c>
      <c r="I914" s="197">
        <v>7</v>
      </c>
      <c r="J914" s="197">
        <v>23</v>
      </c>
      <c r="K914" s="186">
        <f t="shared" si="85"/>
        <v>45861</v>
      </c>
      <c r="L914" s="3" t="s">
        <v>2391</v>
      </c>
      <c r="M914" s="3" t="s">
        <v>1468</v>
      </c>
      <c r="N914" s="3" t="str">
        <f t="shared" si="80"/>
        <v>NG</v>
      </c>
      <c r="O914" s="408" t="s">
        <v>2368</v>
      </c>
      <c r="P914" s="408" t="s">
        <v>2371</v>
      </c>
      <c r="Q914" s="408">
        <v>11001962</v>
      </c>
      <c r="R914" s="408" t="s">
        <v>562</v>
      </c>
      <c r="S914" s="408" t="s">
        <v>2500</v>
      </c>
      <c r="T914" s="408"/>
      <c r="U914" s="408"/>
      <c r="V914" s="421"/>
      <c r="W914" s="421"/>
      <c r="X914" s="421"/>
      <c r="Y914" s="421"/>
      <c r="Z914" s="421"/>
      <c r="AA914" s="421"/>
      <c r="AB914" s="421"/>
      <c r="AC914" s="421"/>
      <c r="AD914" s="421"/>
      <c r="AE914" s="421"/>
      <c r="AF914" s="421"/>
      <c r="AG914" s="421"/>
      <c r="AH914" s="421"/>
      <c r="AI914" s="421"/>
      <c r="AJ914" s="421"/>
      <c r="AK914" s="421"/>
      <c r="AL914" s="421"/>
    </row>
    <row r="915" spans="1:38">
      <c r="A915" s="3">
        <v>5675</v>
      </c>
      <c r="B915" s="83">
        <f t="array" ref="B915">SUM(--(FREQUENCY(IF(C$2:C$3085=C915, MATCH(D$2:D$3085, D$2:D$3085, 0)), ROW(D$2:D$3085)-ROW(D$2)+1) &gt; 0))</f>
        <v>20</v>
      </c>
      <c r="C915" s="3">
        <v>41100435</v>
      </c>
      <c r="D915" s="6" t="s">
        <v>2539</v>
      </c>
      <c r="E915" s="3" t="s">
        <v>1585</v>
      </c>
      <c r="F915" s="3" t="s">
        <v>1482</v>
      </c>
      <c r="G915" s="68" t="str">
        <f t="shared" ref="G915:G921" si="86">IF(OR(ISNUMBER(SEARCH("DUAL",F915)), ISNUMBER(SEARCH("IVAS",F915))), "DUAL", "SINGLE")</f>
        <v>SINGLE</v>
      </c>
      <c r="H915" s="197">
        <f t="shared" si="74"/>
        <v>30</v>
      </c>
      <c r="I915" s="197">
        <v>7</v>
      </c>
      <c r="J915" s="197">
        <v>24</v>
      </c>
      <c r="K915" s="186">
        <f t="shared" ref="K915:K921" si="87">DATE(2025, I915, J915)</f>
        <v>45862</v>
      </c>
      <c r="L915" s="3" t="s">
        <v>2395</v>
      </c>
      <c r="M915" s="3" t="s">
        <v>2392</v>
      </c>
      <c r="N915" s="3" t="str">
        <f t="shared" si="80"/>
        <v/>
      </c>
      <c r="O915" s="408"/>
      <c r="P915" s="408"/>
      <c r="Q915" s="408"/>
      <c r="R915" s="408"/>
      <c r="S915" s="408"/>
      <c r="T915" s="408"/>
      <c r="U915" s="408"/>
      <c r="V915" s="421"/>
      <c r="W915" s="421"/>
      <c r="X915" s="421"/>
      <c r="Y915" s="421"/>
      <c r="Z915" s="421"/>
      <c r="AA915" s="421"/>
      <c r="AB915" s="421"/>
      <c r="AC915" s="421"/>
      <c r="AD915" s="421"/>
      <c r="AE915" s="421"/>
      <c r="AF915" s="421"/>
      <c r="AG915" s="421"/>
      <c r="AH915" s="421"/>
      <c r="AI915" s="421"/>
      <c r="AJ915" s="421"/>
      <c r="AK915" s="421"/>
      <c r="AL915" s="421"/>
    </row>
    <row r="916" spans="1:38">
      <c r="A916" s="3">
        <v>5746</v>
      </c>
      <c r="B916" s="83">
        <f t="array" ref="B916">SUM(--(FREQUENCY(IF(C$2:C$3085=C916, MATCH(D$2:D$3085, D$2:D$3085, 0)), ROW(D$2:D$3085)-ROW(D$2)+1) &gt; 0))</f>
        <v>4</v>
      </c>
      <c r="C916" s="3">
        <v>41000590</v>
      </c>
      <c r="D916" s="6" t="s">
        <v>2540</v>
      </c>
      <c r="E916" s="3" t="s">
        <v>1405</v>
      </c>
      <c r="F916" s="3" t="s">
        <v>1616</v>
      </c>
      <c r="G916" s="68" t="str">
        <f t="shared" si="86"/>
        <v>SINGLE</v>
      </c>
      <c r="H916" s="197">
        <f t="shared" si="74"/>
        <v>30</v>
      </c>
      <c r="I916" s="197">
        <v>7</v>
      </c>
      <c r="J916" s="197">
        <v>24</v>
      </c>
      <c r="K916" s="186">
        <f t="shared" si="87"/>
        <v>45862</v>
      </c>
      <c r="L916" s="3" t="s">
        <v>2392</v>
      </c>
      <c r="M916" s="3" t="s">
        <v>2392</v>
      </c>
      <c r="N916" s="3" t="str">
        <f t="shared" si="80"/>
        <v>NG</v>
      </c>
      <c r="O916" s="408" t="s">
        <v>2368</v>
      </c>
      <c r="P916" s="408" t="s">
        <v>2541</v>
      </c>
      <c r="Q916" s="408">
        <v>12001620</v>
      </c>
      <c r="R916" s="408" t="s">
        <v>2542</v>
      </c>
      <c r="S916" s="408" t="s">
        <v>2543</v>
      </c>
      <c r="T916" s="408"/>
      <c r="U916" s="408"/>
      <c r="V916" s="421"/>
      <c r="W916" s="421"/>
      <c r="X916" s="421"/>
      <c r="Y916" s="421"/>
      <c r="Z916" s="421"/>
      <c r="AA916" s="421"/>
      <c r="AB916" s="421"/>
      <c r="AC916" s="421"/>
      <c r="AD916" s="421"/>
      <c r="AE916" s="421"/>
      <c r="AF916" s="421"/>
      <c r="AG916" s="421"/>
      <c r="AH916" s="421"/>
      <c r="AI916" s="421"/>
      <c r="AJ916" s="421"/>
      <c r="AK916" s="421"/>
      <c r="AL916" s="421"/>
    </row>
    <row r="917" spans="1:38">
      <c r="A917" s="3">
        <v>5746</v>
      </c>
      <c r="B917" s="83">
        <f t="array" ref="B917">SUM(--(FREQUENCY(IF(C$2:C$3085=C917, MATCH(D$2:D$3085, D$2:D$3085, 0)), ROW(D$2:D$3085)-ROW(D$2)+1) &gt; 0))</f>
        <v>4</v>
      </c>
      <c r="C917" s="3">
        <v>41000590</v>
      </c>
      <c r="D917" s="6" t="s">
        <v>2544</v>
      </c>
      <c r="E917" s="3" t="s">
        <v>1405</v>
      </c>
      <c r="F917" s="3" t="s">
        <v>1616</v>
      </c>
      <c r="G917" s="68" t="str">
        <f t="shared" si="86"/>
        <v>SINGLE</v>
      </c>
      <c r="H917" s="197">
        <f t="shared" si="74"/>
        <v>30</v>
      </c>
      <c r="I917" s="197">
        <v>7</v>
      </c>
      <c r="J917" s="197">
        <v>24</v>
      </c>
      <c r="K917" s="186">
        <f t="shared" si="87"/>
        <v>45862</v>
      </c>
      <c r="L917" s="3" t="s">
        <v>2392</v>
      </c>
      <c r="M917" s="3" t="s">
        <v>2392</v>
      </c>
      <c r="N917" s="3" t="str">
        <f t="shared" si="80"/>
        <v/>
      </c>
      <c r="O917" s="408"/>
      <c r="P917" s="408"/>
      <c r="Q917" s="408"/>
      <c r="R917" s="408"/>
      <c r="S917" s="408"/>
      <c r="T917" s="408"/>
      <c r="U917" s="408"/>
      <c r="V917" s="421"/>
      <c r="W917" s="421"/>
      <c r="X917" s="421"/>
      <c r="Y917" s="421"/>
      <c r="Z917" s="421"/>
      <c r="AA917" s="421"/>
      <c r="AB917" s="421"/>
      <c r="AC917" s="421"/>
      <c r="AD917" s="421"/>
      <c r="AE917" s="421"/>
      <c r="AF917" s="421"/>
      <c r="AG917" s="421"/>
      <c r="AH917" s="421"/>
      <c r="AI917" s="421"/>
      <c r="AJ917" s="421"/>
      <c r="AK917" s="421"/>
      <c r="AL917" s="421"/>
    </row>
    <row r="918" spans="1:38">
      <c r="A918" s="3">
        <v>5822</v>
      </c>
      <c r="B918" s="83">
        <f t="array" ref="B918">SUM(--(FREQUENCY(IF(C$2:C$3085=C918, MATCH(D$2:D$3085, D$2:D$3085, 0)), ROW(D$2:D$3085)-ROW(D$2)+1) &gt; 0))</f>
        <v>63</v>
      </c>
      <c r="C918" s="3">
        <v>41200006</v>
      </c>
      <c r="D918" s="6" t="s">
        <v>2545</v>
      </c>
      <c r="E918" s="3" t="s">
        <v>1405</v>
      </c>
      <c r="F918" s="3" t="s">
        <v>1477</v>
      </c>
      <c r="G918" s="68" t="str">
        <f t="shared" si="86"/>
        <v>SINGLE</v>
      </c>
      <c r="H918" s="197">
        <f t="shared" si="74"/>
        <v>30</v>
      </c>
      <c r="I918" s="197">
        <v>7</v>
      </c>
      <c r="J918" s="197">
        <v>24</v>
      </c>
      <c r="K918" s="186">
        <f t="shared" si="87"/>
        <v>45862</v>
      </c>
      <c r="L918" s="3" t="s">
        <v>2391</v>
      </c>
      <c r="M918" s="3" t="s">
        <v>2392</v>
      </c>
      <c r="N918" s="3" t="str">
        <f t="shared" si="80"/>
        <v>NG</v>
      </c>
      <c r="O918" s="408" t="s">
        <v>2368</v>
      </c>
      <c r="P918" s="408" t="s">
        <v>1385</v>
      </c>
      <c r="Q918" s="408">
        <v>11002073</v>
      </c>
      <c r="R918" s="408" t="s">
        <v>284</v>
      </c>
      <c r="S918" s="408" t="s">
        <v>2546</v>
      </c>
      <c r="T918" s="408"/>
      <c r="U918" s="408"/>
      <c r="V918" s="421"/>
      <c r="W918" s="421"/>
      <c r="X918" s="421"/>
      <c r="Y918" s="421"/>
      <c r="Z918" s="421"/>
      <c r="AA918" s="421"/>
      <c r="AB918" s="421"/>
      <c r="AC918" s="421"/>
      <c r="AD918" s="421"/>
      <c r="AE918" s="421"/>
      <c r="AF918" s="421"/>
      <c r="AG918" s="421"/>
      <c r="AH918" s="421"/>
      <c r="AI918" s="421"/>
      <c r="AJ918" s="421"/>
      <c r="AK918" s="421"/>
      <c r="AL918" s="421"/>
    </row>
    <row r="919" spans="1:38">
      <c r="A919" s="3">
        <v>5822</v>
      </c>
      <c r="B919" s="83">
        <f t="array" ref="B919">SUM(--(FREQUENCY(IF(C$2:C$3085=C919, MATCH(D$2:D$3085, D$2:D$3085, 0)), ROW(D$2:D$3085)-ROW(D$2)+1) &gt; 0))</f>
        <v>63</v>
      </c>
      <c r="C919" s="3">
        <v>41200006</v>
      </c>
      <c r="D919" s="6" t="s">
        <v>2547</v>
      </c>
      <c r="E919" s="3" t="s">
        <v>1405</v>
      </c>
      <c r="F919" s="3" t="s">
        <v>1477</v>
      </c>
      <c r="G919" s="68" t="str">
        <f t="shared" si="86"/>
        <v>SINGLE</v>
      </c>
      <c r="H919" s="197">
        <f t="shared" si="74"/>
        <v>30</v>
      </c>
      <c r="I919" s="197">
        <v>7</v>
      </c>
      <c r="J919" s="197">
        <v>24</v>
      </c>
      <c r="K919" s="186">
        <f t="shared" si="87"/>
        <v>45862</v>
      </c>
      <c r="L919" s="3" t="s">
        <v>2391</v>
      </c>
      <c r="M919" s="3" t="s">
        <v>2392</v>
      </c>
      <c r="N919" s="3" t="str">
        <f t="shared" si="80"/>
        <v/>
      </c>
      <c r="O919" s="408"/>
      <c r="P919" s="408"/>
      <c r="Q919" s="408"/>
      <c r="R919" s="408"/>
      <c r="S919" s="408"/>
      <c r="T919" s="408"/>
      <c r="U919" s="408"/>
      <c r="V919" s="421"/>
      <c r="W919" s="421"/>
      <c r="X919" s="421"/>
      <c r="Y919" s="421"/>
      <c r="Z919" s="421"/>
      <c r="AA919" s="421"/>
      <c r="AB919" s="421"/>
      <c r="AC919" s="421"/>
      <c r="AD919" s="421"/>
      <c r="AE919" s="421"/>
      <c r="AF919" s="421"/>
      <c r="AG919" s="421"/>
      <c r="AH919" s="421"/>
      <c r="AI919" s="421"/>
      <c r="AJ919" s="421"/>
      <c r="AK919" s="421"/>
      <c r="AL919" s="421"/>
    </row>
    <row r="920" spans="1:38">
      <c r="A920" s="3">
        <v>5823</v>
      </c>
      <c r="B920" s="83">
        <f t="array" ref="B920">SUM(--(FREQUENCY(IF(C$2:C$3085=C920, MATCH(D$2:D$3085, D$2:D$3085, 0)), ROW(D$2:D$3085)-ROW(D$2)+1) &gt; 0))</f>
        <v>29</v>
      </c>
      <c r="C920" s="3">
        <v>41200005</v>
      </c>
      <c r="D920" s="6" t="s">
        <v>2548</v>
      </c>
      <c r="E920" s="3" t="s">
        <v>1405</v>
      </c>
      <c r="F920" s="3" t="s">
        <v>1591</v>
      </c>
      <c r="G920" s="68" t="str">
        <f t="shared" si="86"/>
        <v>SINGLE</v>
      </c>
      <c r="H920" s="197">
        <f t="shared" si="74"/>
        <v>30</v>
      </c>
      <c r="I920" s="197">
        <v>7</v>
      </c>
      <c r="J920" s="197">
        <v>24</v>
      </c>
      <c r="K920" s="186">
        <f t="shared" si="87"/>
        <v>45862</v>
      </c>
      <c r="L920" s="3" t="s">
        <v>2395</v>
      </c>
      <c r="M920" s="3" t="s">
        <v>1469</v>
      </c>
      <c r="N920" s="3" t="str">
        <f t="shared" si="80"/>
        <v/>
      </c>
      <c r="O920" s="408"/>
      <c r="P920" s="408"/>
      <c r="Q920" s="408"/>
      <c r="R920" s="408"/>
      <c r="S920" s="408"/>
      <c r="T920" s="408"/>
      <c r="U920" s="408"/>
      <c r="V920" s="421"/>
      <c r="W920" s="421"/>
      <c r="X920" s="421"/>
      <c r="Y920" s="421"/>
      <c r="Z920" s="421"/>
      <c r="AA920" s="421"/>
      <c r="AB920" s="421"/>
      <c r="AC920" s="421"/>
      <c r="AD920" s="421"/>
      <c r="AE920" s="421"/>
      <c r="AF920" s="421"/>
      <c r="AG920" s="421"/>
      <c r="AH920" s="421"/>
      <c r="AI920" s="421"/>
      <c r="AJ920" s="421"/>
      <c r="AK920" s="421"/>
      <c r="AL920" s="421"/>
    </row>
    <row r="921" spans="1:38">
      <c r="A921" s="3">
        <v>5018</v>
      </c>
      <c r="B921" s="83">
        <f t="array" ref="B921">SUM(--(FREQUENCY(IF(C$2:C$3085=C921, MATCH(D$2:D$3085, D$2:D$3085, 0)), ROW(D$2:D$3085)-ROW(D$2)+1) &gt; 0))</f>
        <v>4</v>
      </c>
      <c r="C921" s="3">
        <v>41100227</v>
      </c>
      <c r="D921" s="6" t="s">
        <v>1589</v>
      </c>
      <c r="E921" s="3" t="s">
        <v>1424</v>
      </c>
      <c r="F921" s="3" t="s">
        <v>1476</v>
      </c>
      <c r="G921" s="41" t="str">
        <f t="shared" si="86"/>
        <v>DUAL</v>
      </c>
      <c r="H921" s="197">
        <f t="shared" si="74"/>
        <v>30</v>
      </c>
      <c r="I921" s="197">
        <v>7</v>
      </c>
      <c r="J921" s="197">
        <v>24</v>
      </c>
      <c r="K921" s="186">
        <f t="shared" si="87"/>
        <v>45862</v>
      </c>
      <c r="L921" s="3" t="s">
        <v>2395</v>
      </c>
      <c r="M921" s="3" t="s">
        <v>1469</v>
      </c>
      <c r="N921" s="3" t="str">
        <f t="shared" si="80"/>
        <v/>
      </c>
      <c r="O921" s="408"/>
      <c r="P921" s="408"/>
      <c r="Q921" s="408"/>
      <c r="R921" s="408"/>
      <c r="S921" s="408"/>
      <c r="T921" s="408"/>
      <c r="U921" s="408"/>
      <c r="V921" s="421"/>
      <c r="W921" s="421"/>
      <c r="X921" s="421"/>
      <c r="Y921" s="421"/>
      <c r="Z921" s="421"/>
      <c r="AA921" s="421"/>
      <c r="AB921" s="421"/>
      <c r="AC921" s="421"/>
      <c r="AD921" s="421"/>
      <c r="AE921" s="421"/>
      <c r="AF921" s="421"/>
      <c r="AG921" s="421"/>
      <c r="AH921" s="421"/>
      <c r="AI921" s="421"/>
      <c r="AJ921" s="421"/>
      <c r="AK921" s="421"/>
      <c r="AL921" s="421"/>
    </row>
    <row r="922" spans="1:38">
      <c r="A922" s="3">
        <v>5822</v>
      </c>
      <c r="B922" s="83" cm="1">
        <f t="array" ref="B922">SUM(--(FREQUENCY(IF(C$2:C$3086=C922, MATCH(D$2:D$3086, D$2:D$3086, 0)), ROW(D$2:D$3086)-ROW(D$2)+1) &gt; 0))</f>
        <v>63</v>
      </c>
      <c r="C922" s="3">
        <v>41200006</v>
      </c>
      <c r="D922" s="6" t="s">
        <v>2549</v>
      </c>
      <c r="E922" s="3" t="s">
        <v>1405</v>
      </c>
      <c r="F922" s="3" t="s">
        <v>1477</v>
      </c>
      <c r="G922" s="68" t="str">
        <f t="shared" ref="G922:G927" si="88">IF(OR(ISNUMBER(SEARCH("DUAL",F922)), ISNUMBER(SEARCH("IVAS",F922))), "DUAL", "SINGLE")</f>
        <v>SINGLE</v>
      </c>
      <c r="H922" s="197">
        <f t="shared" si="74"/>
        <v>30</v>
      </c>
      <c r="I922" s="197">
        <v>7</v>
      </c>
      <c r="J922" s="197">
        <v>25</v>
      </c>
      <c r="K922" s="186">
        <f>DATE(2025, I922, J922)</f>
        <v>45863</v>
      </c>
      <c r="L922" s="3" t="s">
        <v>2391</v>
      </c>
      <c r="M922" s="3" t="s">
        <v>2392</v>
      </c>
      <c r="N922" s="3" t="str">
        <f t="shared" si="80"/>
        <v/>
      </c>
      <c r="O922" s="408"/>
      <c r="P922" s="408"/>
      <c r="Q922" s="408"/>
      <c r="R922" s="408"/>
      <c r="S922" s="408"/>
      <c r="T922" s="408"/>
      <c r="U922" s="408"/>
      <c r="V922" s="421"/>
      <c r="W922" s="421"/>
      <c r="X922" s="421"/>
      <c r="Y922" s="421"/>
      <c r="Z922" s="421"/>
      <c r="AA922" s="421"/>
      <c r="AB922" s="421"/>
      <c r="AC922" s="421"/>
      <c r="AD922" s="421"/>
      <c r="AE922" s="421"/>
      <c r="AF922" s="421"/>
      <c r="AG922" s="421"/>
      <c r="AH922" s="421"/>
      <c r="AI922" s="421"/>
      <c r="AJ922" s="421"/>
      <c r="AK922" s="421"/>
      <c r="AL922" s="421"/>
    </row>
    <row r="923" spans="1:38">
      <c r="A923" s="3">
        <v>5822</v>
      </c>
      <c r="B923" s="83">
        <f t="array" ref="B923">SUM(--(FREQUENCY(IF(C$2:C$3086=C923, MATCH(D$2:D$3086, D$2:D$3086, 0)), ROW(D$2:D$3086)-ROW(D$2)+1) &gt; 0))</f>
        <v>63</v>
      </c>
      <c r="C923" s="3">
        <v>41200006</v>
      </c>
      <c r="D923" s="6" t="s">
        <v>2550</v>
      </c>
      <c r="E923" s="3" t="s">
        <v>1405</v>
      </c>
      <c r="F923" s="3" t="s">
        <v>1477</v>
      </c>
      <c r="G923" s="68" t="str">
        <f t="shared" si="88"/>
        <v>SINGLE</v>
      </c>
      <c r="H923" s="197">
        <f t="shared" si="74"/>
        <v>30</v>
      </c>
      <c r="I923" s="197">
        <v>7</v>
      </c>
      <c r="J923" s="197">
        <v>25</v>
      </c>
      <c r="K923" s="186">
        <f t="shared" ref="K923:K927" si="89">DATE(2025, I923, J923)</f>
        <v>45863</v>
      </c>
      <c r="L923" s="3" t="s">
        <v>2391</v>
      </c>
      <c r="M923" s="3" t="s">
        <v>2392</v>
      </c>
      <c r="N923" s="3" t="str">
        <f t="shared" si="80"/>
        <v/>
      </c>
      <c r="O923" s="408"/>
      <c r="P923" s="408"/>
      <c r="Q923" s="408"/>
      <c r="R923" s="408"/>
      <c r="S923" s="408"/>
      <c r="T923" s="408"/>
      <c r="U923" s="408"/>
      <c r="V923" s="421"/>
      <c r="W923" s="421"/>
      <c r="X923" s="421"/>
      <c r="Y923" s="421"/>
      <c r="Z923" s="421"/>
      <c r="AA923" s="421"/>
      <c r="AB923" s="421"/>
      <c r="AC923" s="421"/>
      <c r="AD923" s="421"/>
      <c r="AE923" s="421"/>
      <c r="AF923" s="421"/>
      <c r="AG923" s="421"/>
      <c r="AH923" s="421"/>
      <c r="AI923" s="421"/>
      <c r="AJ923" s="421"/>
      <c r="AK923" s="421"/>
      <c r="AL923" s="421"/>
    </row>
    <row r="924" spans="1:38">
      <c r="A924" s="3">
        <v>5812</v>
      </c>
      <c r="B924" s="83">
        <f t="array" ref="B924">SUM(--(FREQUENCY(IF(C$2:C$3086=C924, MATCH(D$2:D$3086, D$2:D$3086, 0)), ROW(D$2:D$3086)-ROW(D$2)+1) &gt; 0))</f>
        <v>29</v>
      </c>
      <c r="C924" s="3">
        <v>41200005</v>
      </c>
      <c r="D924" s="6" t="s">
        <v>2551</v>
      </c>
      <c r="E924" s="3" t="s">
        <v>1405</v>
      </c>
      <c r="F924" s="3" t="s">
        <v>1591</v>
      </c>
      <c r="G924" s="68" t="str">
        <f t="shared" si="88"/>
        <v>SINGLE</v>
      </c>
      <c r="H924" s="197">
        <f t="shared" si="74"/>
        <v>30</v>
      </c>
      <c r="I924" s="197">
        <v>7</v>
      </c>
      <c r="J924" s="197">
        <v>25</v>
      </c>
      <c r="K924" s="186">
        <f t="shared" si="89"/>
        <v>45863</v>
      </c>
      <c r="L924" s="3" t="s">
        <v>2391</v>
      </c>
      <c r="M924" s="3" t="s">
        <v>1468</v>
      </c>
      <c r="N924" s="3" t="str">
        <f t="shared" si="80"/>
        <v/>
      </c>
      <c r="O924" s="408"/>
      <c r="P924" s="408"/>
      <c r="Q924" s="408"/>
      <c r="R924" s="408"/>
      <c r="S924" s="408"/>
      <c r="T924" s="408"/>
      <c r="U924" s="408"/>
      <c r="V924" s="421"/>
      <c r="W924" s="421"/>
      <c r="X924" s="421"/>
      <c r="Y924" s="421"/>
      <c r="Z924" s="421"/>
      <c r="AA924" s="421"/>
      <c r="AB924" s="421"/>
      <c r="AC924" s="421"/>
      <c r="AD924" s="421"/>
      <c r="AE924" s="421"/>
      <c r="AF924" s="421"/>
      <c r="AG924" s="421"/>
      <c r="AH924" s="421"/>
      <c r="AI924" s="421"/>
      <c r="AJ924" s="421"/>
      <c r="AK924" s="421"/>
      <c r="AL924" s="421"/>
    </row>
    <row r="925" spans="1:38">
      <c r="A925" s="3">
        <v>5812</v>
      </c>
      <c r="B925" s="83">
        <f t="array" ref="B925">SUM(--(FREQUENCY(IF(C$2:C$3086=C925, MATCH(D$2:D$3086, D$2:D$3086, 0)), ROW(D$2:D$3086)-ROW(D$2)+1) &gt; 0))</f>
        <v>29</v>
      </c>
      <c r="C925" s="3">
        <v>41200005</v>
      </c>
      <c r="D925" s="6" t="s">
        <v>2552</v>
      </c>
      <c r="E925" s="3" t="s">
        <v>1405</v>
      </c>
      <c r="F925" s="3" t="s">
        <v>1591</v>
      </c>
      <c r="G925" s="68" t="str">
        <f t="shared" si="88"/>
        <v>SINGLE</v>
      </c>
      <c r="H925" s="197">
        <f t="shared" si="74"/>
        <v>30</v>
      </c>
      <c r="I925" s="197">
        <v>7</v>
      </c>
      <c r="J925" s="197">
        <v>25</v>
      </c>
      <c r="K925" s="186">
        <f t="shared" si="89"/>
        <v>45863</v>
      </c>
      <c r="L925" s="3" t="s">
        <v>2391</v>
      </c>
      <c r="M925" s="3" t="s">
        <v>1468</v>
      </c>
      <c r="N925" s="3" t="str">
        <f t="shared" si="80"/>
        <v/>
      </c>
      <c r="O925" s="408"/>
      <c r="P925" s="408"/>
      <c r="Q925" s="408"/>
      <c r="R925" s="408"/>
      <c r="S925" s="408"/>
      <c r="T925" s="408"/>
      <c r="U925" s="408"/>
      <c r="V925" s="421"/>
      <c r="W925" s="421"/>
      <c r="X925" s="421"/>
      <c r="Y925" s="421"/>
      <c r="Z925" s="421"/>
      <c r="AA925" s="421"/>
      <c r="AB925" s="421"/>
      <c r="AC925" s="421"/>
      <c r="AD925" s="421"/>
      <c r="AE925" s="421"/>
      <c r="AF925" s="421"/>
      <c r="AG925" s="421"/>
      <c r="AH925" s="421"/>
      <c r="AI925" s="421"/>
      <c r="AJ925" s="421"/>
      <c r="AK925" s="421"/>
      <c r="AL925" s="421"/>
    </row>
    <row r="926" spans="1:38">
      <c r="A926" s="3">
        <v>5842</v>
      </c>
      <c r="B926" s="83">
        <f t="array" ref="B926">SUM(--(FREQUENCY(IF(C$2:C$3086=C926, MATCH(D$2:D$3086, D$2:D$3086, 0)), ROW(D$2:D$3086)-ROW(D$2)+1) &gt; 0))</f>
        <v>37</v>
      </c>
      <c r="C926" s="3">
        <v>41200076</v>
      </c>
      <c r="D926" s="6" t="s">
        <v>2553</v>
      </c>
      <c r="E926" s="3" t="s">
        <v>1585</v>
      </c>
      <c r="F926" s="3" t="s">
        <v>1476</v>
      </c>
      <c r="G926" s="68" t="str">
        <f t="shared" si="88"/>
        <v>DUAL</v>
      </c>
      <c r="H926" s="197">
        <f t="shared" si="74"/>
        <v>30</v>
      </c>
      <c r="I926" s="197">
        <v>7</v>
      </c>
      <c r="J926" s="197">
        <v>25</v>
      </c>
      <c r="K926" s="186">
        <f t="shared" si="89"/>
        <v>45863</v>
      </c>
      <c r="L926" s="3" t="s">
        <v>2391</v>
      </c>
      <c r="M926" s="3" t="s">
        <v>1468</v>
      </c>
      <c r="N926" s="3" t="str">
        <f t="shared" si="80"/>
        <v/>
      </c>
      <c r="O926" s="408"/>
      <c r="P926" s="408"/>
      <c r="Q926" s="408"/>
      <c r="R926" s="408"/>
      <c r="S926" s="408"/>
      <c r="T926" s="408"/>
      <c r="U926" s="408"/>
      <c r="V926" s="421"/>
      <c r="W926" s="421"/>
      <c r="X926" s="421"/>
      <c r="Y926" s="421"/>
      <c r="Z926" s="421"/>
      <c r="AA926" s="421"/>
      <c r="AB926" s="421"/>
      <c r="AC926" s="421"/>
      <c r="AD926" s="421"/>
      <c r="AE926" s="421"/>
      <c r="AF926" s="421"/>
      <c r="AG926" s="421"/>
      <c r="AH926" s="421"/>
      <c r="AI926" s="421"/>
      <c r="AJ926" s="421"/>
      <c r="AK926" s="421"/>
      <c r="AL926" s="421"/>
    </row>
    <row r="927" spans="1:38">
      <c r="A927" s="3">
        <v>5788</v>
      </c>
      <c r="B927" s="83">
        <f t="array" ref="B927">SUM(--(FREQUENCY(IF(C$2:C$3086=C927, MATCH(D$2:D$3086, D$2:D$3086, 0)), ROW(D$2:D$3086)-ROW(D$2)+1) &gt; 0))</f>
        <v>3</v>
      </c>
      <c r="C927" s="3">
        <v>41200149</v>
      </c>
      <c r="D927" s="6" t="s">
        <v>2554</v>
      </c>
      <c r="E927" s="3" t="s">
        <v>1426</v>
      </c>
      <c r="F927" s="3" t="s">
        <v>1476</v>
      </c>
      <c r="G927" s="68" t="str">
        <f t="shared" si="88"/>
        <v>DUAL</v>
      </c>
      <c r="H927" s="197">
        <f t="shared" si="74"/>
        <v>30</v>
      </c>
      <c r="I927" s="197">
        <v>7</v>
      </c>
      <c r="J927" s="197">
        <v>25</v>
      </c>
      <c r="K927" s="186">
        <f t="shared" si="89"/>
        <v>45863</v>
      </c>
      <c r="L927" s="3" t="s">
        <v>2555</v>
      </c>
      <c r="M927" s="3" t="s">
        <v>2555</v>
      </c>
      <c r="N927" s="3" t="str">
        <f t="shared" si="80"/>
        <v/>
      </c>
      <c r="O927" s="408"/>
      <c r="P927" s="408"/>
      <c r="Q927" s="408"/>
      <c r="R927" s="408"/>
      <c r="S927" s="408"/>
      <c r="T927" s="408"/>
      <c r="U927" s="408"/>
      <c r="V927" s="421"/>
      <c r="W927" s="421"/>
      <c r="X927" s="421"/>
      <c r="Y927" s="421"/>
      <c r="Z927" s="421"/>
      <c r="AA927" s="421"/>
      <c r="AB927" s="421"/>
      <c r="AC927" s="421"/>
      <c r="AD927" s="421"/>
      <c r="AE927" s="421"/>
      <c r="AF927" s="421"/>
      <c r="AG927" s="421"/>
      <c r="AH927" s="421"/>
      <c r="AI927" s="421"/>
      <c r="AJ927" s="421"/>
      <c r="AK927" s="421"/>
      <c r="AL927" s="421"/>
    </row>
    <row r="928" spans="1:38">
      <c r="A928" s="3">
        <v>5795</v>
      </c>
      <c r="B928" s="83">
        <f t="array" ref="B928">SUM(--(FREQUENCY(IF(C$2:C$3086=C928, MATCH(D$2:D$3086, D$2:D$3086, 0)), ROW(D$2:D$3086)-ROW(D$2)+1) &gt; 0))</f>
        <v>4</v>
      </c>
      <c r="C928" s="3">
        <v>41200082</v>
      </c>
      <c r="D928" s="6" t="s">
        <v>2556</v>
      </c>
      <c r="E928" s="3" t="s">
        <v>1585</v>
      </c>
      <c r="F928" s="3" t="s">
        <v>1591</v>
      </c>
      <c r="G928" s="68" t="str">
        <f t="shared" ref="G928:G938" si="90">IF(OR(ISNUMBER(SEARCH("DUAL",F928)), ISNUMBER(SEARCH("IVAS",F928))), "DUAL", "SINGLE")</f>
        <v>SINGLE</v>
      </c>
      <c r="H928" s="197">
        <f t="shared" si="74"/>
        <v>31</v>
      </c>
      <c r="I928" s="197">
        <v>7</v>
      </c>
      <c r="J928" s="197">
        <v>28</v>
      </c>
      <c r="K928" s="186">
        <f t="shared" ref="K928:K938" si="91">DATE(2025, I928, J928)</f>
        <v>45866</v>
      </c>
      <c r="L928" s="3" t="s">
        <v>2395</v>
      </c>
      <c r="M928" s="3" t="s">
        <v>2392</v>
      </c>
      <c r="N928" s="3" t="str">
        <f t="shared" si="80"/>
        <v/>
      </c>
      <c r="O928" s="408"/>
      <c r="P928" s="408"/>
      <c r="Q928" s="408"/>
      <c r="R928" s="408"/>
      <c r="S928" s="408"/>
      <c r="T928" s="408"/>
      <c r="U928" s="408"/>
      <c r="V928" s="421"/>
      <c r="W928" s="421"/>
      <c r="X928" s="421"/>
      <c r="Y928" s="421"/>
      <c r="Z928" s="421"/>
      <c r="AA928" s="421"/>
      <c r="AB928" s="421"/>
      <c r="AC928" s="421"/>
      <c r="AD928" s="421"/>
      <c r="AE928" s="421"/>
      <c r="AF928" s="421"/>
      <c r="AG928" s="421"/>
      <c r="AH928" s="421"/>
      <c r="AI928" s="421"/>
      <c r="AJ928" s="421"/>
      <c r="AK928" s="421"/>
      <c r="AL928" s="421"/>
    </row>
    <row r="929" spans="1:38">
      <c r="A929" s="3">
        <v>5795</v>
      </c>
      <c r="B929" s="83">
        <f t="array" ref="B929">SUM(--(FREQUENCY(IF(C$2:C$3086=C929, MATCH(D$2:D$3086, D$2:D$3086, 0)), ROW(D$2:D$3086)-ROW(D$2)+1) &gt; 0))</f>
        <v>4</v>
      </c>
      <c r="C929" s="3">
        <v>41200082</v>
      </c>
      <c r="D929" s="6" t="s">
        <v>2557</v>
      </c>
      <c r="E929" s="3" t="s">
        <v>1585</v>
      </c>
      <c r="F929" s="3" t="s">
        <v>1591</v>
      </c>
      <c r="G929" s="68" t="str">
        <f t="shared" si="90"/>
        <v>SINGLE</v>
      </c>
      <c r="H929" s="197">
        <f t="shared" si="74"/>
        <v>31</v>
      </c>
      <c r="I929" s="197">
        <v>7</v>
      </c>
      <c r="J929" s="197">
        <v>28</v>
      </c>
      <c r="K929" s="186">
        <f t="shared" si="91"/>
        <v>45866</v>
      </c>
      <c r="L929" s="3" t="s">
        <v>2395</v>
      </c>
      <c r="M929" s="3" t="s">
        <v>2392</v>
      </c>
      <c r="N929" s="3" t="str">
        <f t="shared" si="80"/>
        <v/>
      </c>
      <c r="O929" s="408"/>
      <c r="P929" s="408"/>
      <c r="Q929" s="408"/>
      <c r="R929" s="408"/>
      <c r="S929" s="408"/>
      <c r="T929" s="408"/>
      <c r="U929" s="408"/>
      <c r="V929" s="421"/>
      <c r="W929" s="421"/>
      <c r="X929" s="421"/>
      <c r="Y929" s="421"/>
      <c r="Z929" s="421"/>
      <c r="AA929" s="421"/>
      <c r="AB929" s="421"/>
      <c r="AC929" s="421"/>
      <c r="AD929" s="421"/>
      <c r="AE929" s="421"/>
      <c r="AF929" s="421"/>
      <c r="AG929" s="421"/>
      <c r="AH929" s="421"/>
      <c r="AI929" s="421"/>
      <c r="AJ929" s="421"/>
      <c r="AK929" s="421"/>
      <c r="AL929" s="421"/>
    </row>
    <row r="930" spans="1:38">
      <c r="A930" s="3">
        <v>5881</v>
      </c>
      <c r="B930" s="83">
        <f t="array" ref="B930">SUM(--(FREQUENCY(IF(C$2:C$3086=C930, MATCH(D$2:D$3086, D$2:D$3086, 0)), ROW(D$2:D$3086)-ROW(D$2)+1) &gt; 0))</f>
        <v>1</v>
      </c>
      <c r="C930" s="3">
        <v>41200164</v>
      </c>
      <c r="D930" s="6" t="s">
        <v>2558</v>
      </c>
      <c r="E930" s="3" t="s">
        <v>1404</v>
      </c>
      <c r="F930" s="3" t="s">
        <v>1476</v>
      </c>
      <c r="G930" s="68" t="str">
        <f t="shared" si="90"/>
        <v>DUAL</v>
      </c>
      <c r="H930" s="197">
        <f t="shared" si="74"/>
        <v>31</v>
      </c>
      <c r="I930" s="197">
        <v>7</v>
      </c>
      <c r="J930" s="197">
        <v>28</v>
      </c>
      <c r="K930" s="186">
        <f t="shared" si="91"/>
        <v>45866</v>
      </c>
      <c r="L930" s="3" t="s">
        <v>2391</v>
      </c>
      <c r="M930" s="3" t="s">
        <v>2392</v>
      </c>
      <c r="N930" s="3" t="str">
        <f t="shared" si="80"/>
        <v/>
      </c>
      <c r="O930" s="408"/>
      <c r="P930" s="408"/>
      <c r="Q930" s="408"/>
      <c r="R930" s="408"/>
      <c r="S930" s="408"/>
      <c r="T930" s="408"/>
      <c r="U930" s="408"/>
      <c r="V930" s="421"/>
      <c r="W930" s="421"/>
      <c r="X930" s="421"/>
      <c r="Y930" s="421"/>
      <c r="Z930" s="421"/>
      <c r="AA930" s="421"/>
      <c r="AB930" s="421"/>
      <c r="AC930" s="421"/>
      <c r="AD930" s="421"/>
      <c r="AE930" s="421"/>
      <c r="AF930" s="421"/>
      <c r="AG930" s="421"/>
      <c r="AH930" s="421"/>
      <c r="AI930" s="421"/>
      <c r="AJ930" s="421"/>
      <c r="AK930" s="421"/>
      <c r="AL930" s="421"/>
    </row>
    <row r="931" spans="1:38">
      <c r="A931" s="3">
        <v>5903</v>
      </c>
      <c r="B931" s="83">
        <f t="array" ref="B931">SUM(--(FREQUENCY(IF(C$2:C$3086=C931, MATCH(D$2:D$3086, D$2:D$3086, 0)), ROW(D$2:D$3086)-ROW(D$2)+1) &gt; 0))</f>
        <v>3</v>
      </c>
      <c r="C931" s="3">
        <v>41200134</v>
      </c>
      <c r="D931" s="6" t="s">
        <v>2559</v>
      </c>
      <c r="E931" s="3" t="s">
        <v>1429</v>
      </c>
      <c r="F931" s="3" t="s">
        <v>1476</v>
      </c>
      <c r="G931" s="68" t="str">
        <f t="shared" si="90"/>
        <v>DUAL</v>
      </c>
      <c r="H931" s="197">
        <f t="shared" si="74"/>
        <v>31</v>
      </c>
      <c r="I931" s="197">
        <v>7</v>
      </c>
      <c r="J931" s="197">
        <v>28</v>
      </c>
      <c r="K931" s="186">
        <f t="shared" si="91"/>
        <v>45866</v>
      </c>
      <c r="L931" s="3" t="s">
        <v>2395</v>
      </c>
      <c r="M931" s="3" t="s">
        <v>2392</v>
      </c>
      <c r="N931" s="3" t="str">
        <f t="shared" si="80"/>
        <v>NG</v>
      </c>
      <c r="O931" s="408" t="s">
        <v>2368</v>
      </c>
      <c r="P931" s="408" t="s">
        <v>2371</v>
      </c>
      <c r="Q931" s="408">
        <v>11001964</v>
      </c>
      <c r="R931" s="408" t="s">
        <v>562</v>
      </c>
      <c r="S931" s="408" t="s">
        <v>2500</v>
      </c>
      <c r="T931" s="408" t="s">
        <v>2560</v>
      </c>
      <c r="U931" s="408" t="s">
        <v>2561</v>
      </c>
      <c r="V931" s="421"/>
      <c r="W931" s="421"/>
      <c r="X931" s="421"/>
      <c r="Y931" s="421"/>
      <c r="Z931" s="421"/>
      <c r="AA931" s="421"/>
      <c r="AB931" s="421"/>
      <c r="AC931" s="421"/>
      <c r="AD931" s="421"/>
      <c r="AE931" s="421"/>
      <c r="AF931" s="421"/>
      <c r="AG931" s="421"/>
      <c r="AH931" s="421"/>
      <c r="AI931" s="421"/>
      <c r="AJ931" s="421"/>
      <c r="AK931" s="421"/>
      <c r="AL931" s="421"/>
    </row>
    <row r="932" spans="1:38">
      <c r="A932" s="3">
        <v>5903</v>
      </c>
      <c r="B932" s="83">
        <f t="array" ref="B932">SUM(--(FREQUENCY(IF(C$2:C$3086=C932, MATCH(D$2:D$3086, D$2:D$3086, 0)), ROW(D$2:D$3086)-ROW(D$2)+1) &gt; 0))</f>
        <v>3</v>
      </c>
      <c r="C932" s="3">
        <v>41200134</v>
      </c>
      <c r="D932" s="6" t="s">
        <v>2562</v>
      </c>
      <c r="E932" s="3" t="s">
        <v>1429</v>
      </c>
      <c r="F932" s="3" t="s">
        <v>1476</v>
      </c>
      <c r="G932" s="68" t="str">
        <f t="shared" si="90"/>
        <v>DUAL</v>
      </c>
      <c r="H932" s="197">
        <f t="shared" si="74"/>
        <v>31</v>
      </c>
      <c r="I932" s="197">
        <v>7</v>
      </c>
      <c r="J932" s="197">
        <v>28</v>
      </c>
      <c r="K932" s="186">
        <f t="shared" si="91"/>
        <v>45866</v>
      </c>
      <c r="L932" s="3" t="s">
        <v>2395</v>
      </c>
      <c r="M932" s="3" t="s">
        <v>2392</v>
      </c>
      <c r="N932" s="3" t="str">
        <f t="shared" si="80"/>
        <v>NG</v>
      </c>
      <c r="O932" s="408" t="s">
        <v>2368</v>
      </c>
      <c r="P932" s="408" t="s">
        <v>2563</v>
      </c>
      <c r="Q932" s="408">
        <v>11000088</v>
      </c>
      <c r="R932" s="408" t="s">
        <v>143</v>
      </c>
      <c r="S932" s="408" t="s">
        <v>2564</v>
      </c>
      <c r="T932" s="408"/>
      <c r="U932" s="408"/>
      <c r="V932" s="421"/>
      <c r="W932" s="421"/>
      <c r="X932" s="421"/>
      <c r="Y932" s="421"/>
      <c r="Z932" s="421"/>
      <c r="AA932" s="421"/>
      <c r="AB932" s="421"/>
      <c r="AC932" s="421"/>
      <c r="AD932" s="421"/>
      <c r="AE932" s="421"/>
      <c r="AF932" s="421"/>
      <c r="AG932" s="421"/>
      <c r="AH932" s="421"/>
      <c r="AI932" s="421"/>
      <c r="AJ932" s="421"/>
      <c r="AK932" s="421"/>
      <c r="AL932" s="421"/>
    </row>
    <row r="933" spans="1:38">
      <c r="A933" s="3">
        <v>5903</v>
      </c>
      <c r="B933" s="83">
        <f t="array" ref="B933">SUM(--(FREQUENCY(IF(C$2:C$3086=C933, MATCH(D$2:D$3086, D$2:D$3086, 0)), ROW(D$2:D$3086)-ROW(D$2)+1) &gt; 0))</f>
        <v>3</v>
      </c>
      <c r="C933" s="3">
        <v>41200134</v>
      </c>
      <c r="D933" s="6" t="s">
        <v>2562</v>
      </c>
      <c r="E933" s="3" t="s">
        <v>1429</v>
      </c>
      <c r="F933" s="3" t="s">
        <v>1476</v>
      </c>
      <c r="G933" s="68" t="str">
        <f t="shared" ref="G933:G935" si="92">IF(OR(ISNUMBER(SEARCH("DUAL",F933)), ISNUMBER(SEARCH("IVAS",F933))), "DUAL", "SINGLE")</f>
        <v>DUAL</v>
      </c>
      <c r="H933" s="197">
        <f t="shared" si="74"/>
        <v>31</v>
      </c>
      <c r="I933" s="197">
        <v>7</v>
      </c>
      <c r="J933" s="197">
        <v>28</v>
      </c>
      <c r="K933" s="186">
        <f t="shared" ref="K933:K935" si="93">DATE(2025, I933, J933)</f>
        <v>45866</v>
      </c>
      <c r="L933" s="3" t="s">
        <v>2395</v>
      </c>
      <c r="M933" s="3" t="s">
        <v>2392</v>
      </c>
      <c r="N933" s="3" t="str">
        <f t="shared" ref="N933:N935" si="94">IF(O933&lt;&gt;"", "NG", "")</f>
        <v>NG</v>
      </c>
      <c r="O933" s="408" t="s">
        <v>2368</v>
      </c>
      <c r="P933" s="408" t="s">
        <v>2371</v>
      </c>
      <c r="Q933" s="408">
        <v>11001964</v>
      </c>
      <c r="R933" s="408" t="s">
        <v>562</v>
      </c>
      <c r="S933" s="408" t="s">
        <v>2500</v>
      </c>
      <c r="T933" s="408" t="s">
        <v>2560</v>
      </c>
      <c r="U933" s="408" t="s">
        <v>2565</v>
      </c>
      <c r="V933" s="421"/>
      <c r="W933" s="421"/>
      <c r="X933" s="421"/>
      <c r="Y933" s="421"/>
      <c r="Z933" s="421"/>
      <c r="AA933" s="421"/>
      <c r="AB933" s="421"/>
      <c r="AC933" s="421"/>
      <c r="AD933" s="421"/>
      <c r="AE933" s="421"/>
      <c r="AF933" s="421"/>
      <c r="AG933" s="421"/>
      <c r="AH933" s="421"/>
      <c r="AI933" s="421"/>
      <c r="AJ933" s="421"/>
      <c r="AK933" s="421"/>
      <c r="AL933" s="421"/>
    </row>
    <row r="934" spans="1:38">
      <c r="A934" s="3">
        <v>5903</v>
      </c>
      <c r="B934" s="83">
        <f t="array" ref="B934">SUM(--(FREQUENCY(IF(C$2:C$3086=C934, MATCH(D$2:D$3086, D$2:D$3086, 0)), ROW(D$2:D$3086)-ROW(D$2)+1) &gt; 0))</f>
        <v>3</v>
      </c>
      <c r="C934" s="3">
        <v>41200134</v>
      </c>
      <c r="D934" s="6" t="s">
        <v>2562</v>
      </c>
      <c r="E934" s="3" t="s">
        <v>1429</v>
      </c>
      <c r="F934" s="3" t="s">
        <v>1476</v>
      </c>
      <c r="G934" s="68" t="str">
        <f t="shared" si="92"/>
        <v>DUAL</v>
      </c>
      <c r="H934" s="197">
        <f t="shared" si="74"/>
        <v>31</v>
      </c>
      <c r="I934" s="197">
        <v>7</v>
      </c>
      <c r="J934" s="197">
        <v>28</v>
      </c>
      <c r="K934" s="186">
        <f t="shared" si="93"/>
        <v>45866</v>
      </c>
      <c r="L934" s="3" t="s">
        <v>2395</v>
      </c>
      <c r="M934" s="3" t="s">
        <v>2392</v>
      </c>
      <c r="N934" s="3" t="str">
        <f t="shared" si="94"/>
        <v>NG</v>
      </c>
      <c r="O934" s="408" t="s">
        <v>2368</v>
      </c>
      <c r="P934" s="408" t="s">
        <v>2371</v>
      </c>
      <c r="Q934" s="408">
        <v>11001964</v>
      </c>
      <c r="R934" s="408" t="s">
        <v>562</v>
      </c>
      <c r="S934" s="408" t="s">
        <v>2500</v>
      </c>
      <c r="T934" s="408" t="s">
        <v>2560</v>
      </c>
      <c r="U934" s="408" t="s">
        <v>2565</v>
      </c>
      <c r="V934" s="421"/>
      <c r="W934" s="421"/>
      <c r="X934" s="421"/>
      <c r="Y934" s="421"/>
      <c r="Z934" s="421"/>
      <c r="AA934" s="421"/>
      <c r="AB934" s="421"/>
      <c r="AC934" s="421"/>
      <c r="AD934" s="421"/>
      <c r="AE934" s="421"/>
      <c r="AF934" s="421"/>
      <c r="AG934" s="421"/>
      <c r="AH934" s="421"/>
      <c r="AI934" s="421"/>
      <c r="AJ934" s="421"/>
      <c r="AK934" s="421"/>
      <c r="AL934" s="421"/>
    </row>
    <row r="935" spans="1:38">
      <c r="A935" s="3">
        <v>5903</v>
      </c>
      <c r="B935" s="83">
        <f t="array" ref="B935">SUM(--(FREQUENCY(IF(C$2:C$3086=C935, MATCH(D$2:D$3086, D$2:D$3086, 0)), ROW(D$2:D$3086)-ROW(D$2)+1) &gt; 0))</f>
        <v>3</v>
      </c>
      <c r="C935" s="3">
        <v>41200134</v>
      </c>
      <c r="D935" s="6" t="s">
        <v>2562</v>
      </c>
      <c r="E935" s="3" t="s">
        <v>1429</v>
      </c>
      <c r="F935" s="3" t="s">
        <v>1476</v>
      </c>
      <c r="G935" s="68" t="str">
        <f t="shared" si="92"/>
        <v>DUAL</v>
      </c>
      <c r="H935" s="197">
        <f t="shared" si="74"/>
        <v>31</v>
      </c>
      <c r="I935" s="197">
        <v>7</v>
      </c>
      <c r="J935" s="197">
        <v>28</v>
      </c>
      <c r="K935" s="186">
        <f t="shared" si="93"/>
        <v>45866</v>
      </c>
      <c r="L935" s="3" t="s">
        <v>2395</v>
      </c>
      <c r="M935" s="3" t="s">
        <v>2392</v>
      </c>
      <c r="N935" s="3" t="str">
        <f t="shared" si="94"/>
        <v>NG</v>
      </c>
      <c r="O935" s="408" t="s">
        <v>2368</v>
      </c>
      <c r="P935" s="408" t="s">
        <v>2371</v>
      </c>
      <c r="Q935" s="408">
        <v>11001964</v>
      </c>
      <c r="R935" s="408" t="s">
        <v>562</v>
      </c>
      <c r="S935" s="408" t="s">
        <v>2500</v>
      </c>
      <c r="T935" s="408" t="s">
        <v>2560</v>
      </c>
      <c r="U935" s="408" t="s">
        <v>2565</v>
      </c>
      <c r="V935" s="421"/>
      <c r="W935" s="421"/>
      <c r="X935" s="421"/>
      <c r="Y935" s="421"/>
      <c r="Z935" s="421"/>
      <c r="AA935" s="421"/>
      <c r="AB935" s="421"/>
      <c r="AC935" s="421"/>
      <c r="AD935" s="421"/>
      <c r="AE935" s="421"/>
      <c r="AF935" s="421"/>
      <c r="AG935" s="421"/>
      <c r="AH935" s="421"/>
      <c r="AI935" s="421"/>
      <c r="AJ935" s="421"/>
      <c r="AK935" s="421"/>
      <c r="AL935" s="421"/>
    </row>
    <row r="936" spans="1:38">
      <c r="A936" s="3">
        <v>5771</v>
      </c>
      <c r="B936" s="83">
        <f t="array" ref="B936">SUM(--(FREQUENCY(IF(C$2:C$3086=C936, MATCH(D$2:D$3086, D$2:D$3086, 0)), ROW(D$2:D$3086)-ROW(D$2)+1) &gt; 0))</f>
        <v>37</v>
      </c>
      <c r="C936" s="3">
        <v>41200076</v>
      </c>
      <c r="D936" s="6" t="s">
        <v>2566</v>
      </c>
      <c r="E936" s="3" t="s">
        <v>1585</v>
      </c>
      <c r="F936" s="3" t="s">
        <v>1476</v>
      </c>
      <c r="G936" s="68" t="str">
        <f t="shared" si="90"/>
        <v>DUAL</v>
      </c>
      <c r="H936" s="197">
        <f t="shared" si="74"/>
        <v>31</v>
      </c>
      <c r="I936" s="197">
        <v>7</v>
      </c>
      <c r="J936" s="197">
        <v>28</v>
      </c>
      <c r="K936" s="186">
        <f t="shared" si="91"/>
        <v>45866</v>
      </c>
      <c r="L936" s="3" t="s">
        <v>2391</v>
      </c>
      <c r="M936" s="3" t="s">
        <v>1468</v>
      </c>
      <c r="N936" s="3" t="str">
        <f t="shared" si="80"/>
        <v>NG</v>
      </c>
      <c r="O936" s="408" t="s">
        <v>2368</v>
      </c>
      <c r="P936" s="408" t="s">
        <v>1385</v>
      </c>
      <c r="Q936" s="408">
        <v>12000118</v>
      </c>
      <c r="R936" s="408" t="s">
        <v>2536</v>
      </c>
      <c r="S936" s="408" t="s">
        <v>2537</v>
      </c>
      <c r="T936" s="408"/>
      <c r="U936" s="408"/>
      <c r="V936" s="421"/>
      <c r="W936" s="421"/>
      <c r="X936" s="421"/>
      <c r="Y936" s="421"/>
      <c r="Z936" s="421"/>
      <c r="AA936" s="421"/>
      <c r="AB936" s="421"/>
      <c r="AC936" s="421"/>
      <c r="AD936" s="421"/>
      <c r="AE936" s="421"/>
      <c r="AF936" s="421"/>
      <c r="AG936" s="421"/>
      <c r="AH936" s="421"/>
      <c r="AI936" s="421"/>
      <c r="AJ936" s="421"/>
      <c r="AK936" s="421"/>
      <c r="AL936" s="421"/>
    </row>
    <row r="937" spans="1:38">
      <c r="A937" s="3">
        <v>5863</v>
      </c>
      <c r="B937" s="83">
        <f t="array" ref="B937">SUM(--(FREQUENCY(IF(C$2:C$3086=C937, MATCH(D$2:D$3086, D$2:D$3086, 0)), ROW(D$2:D$3086)-ROW(D$2)+1) &gt; 0))</f>
        <v>18</v>
      </c>
      <c r="C937" s="3">
        <v>41200128</v>
      </c>
      <c r="D937" s="6" t="s">
        <v>2567</v>
      </c>
      <c r="E937" s="3" t="s">
        <v>1431</v>
      </c>
      <c r="F937" s="3" t="s">
        <v>1591</v>
      </c>
      <c r="G937" s="68" t="str">
        <f t="shared" si="90"/>
        <v>SINGLE</v>
      </c>
      <c r="H937" s="197">
        <f t="shared" si="74"/>
        <v>31</v>
      </c>
      <c r="I937" s="197">
        <v>7</v>
      </c>
      <c r="J937" s="197">
        <v>28</v>
      </c>
      <c r="K937" s="186">
        <f t="shared" si="91"/>
        <v>45866</v>
      </c>
      <c r="L937" s="3" t="s">
        <v>2391</v>
      </c>
      <c r="M937" s="3" t="s">
        <v>1468</v>
      </c>
      <c r="N937" s="3" t="str">
        <f t="shared" si="80"/>
        <v>NG</v>
      </c>
      <c r="O937" s="408" t="s">
        <v>2368</v>
      </c>
      <c r="P937" s="408" t="s">
        <v>1385</v>
      </c>
      <c r="Q937" s="408">
        <v>11102055</v>
      </c>
      <c r="R937" s="408" t="s">
        <v>255</v>
      </c>
      <c r="S937" s="408" t="s">
        <v>2568</v>
      </c>
      <c r="T937" s="408"/>
      <c r="U937" s="408"/>
      <c r="V937" s="421"/>
      <c r="W937" s="421"/>
      <c r="X937" s="421"/>
      <c r="Y937" s="421"/>
      <c r="Z937" s="421"/>
      <c r="AA937" s="421"/>
      <c r="AB937" s="421"/>
      <c r="AC937" s="421"/>
      <c r="AD937" s="421"/>
      <c r="AE937" s="421"/>
      <c r="AF937" s="421"/>
      <c r="AG937" s="421"/>
      <c r="AH937" s="421"/>
      <c r="AI937" s="421"/>
      <c r="AJ937" s="421"/>
      <c r="AK937" s="421"/>
      <c r="AL937" s="421"/>
    </row>
    <row r="938" spans="1:38">
      <c r="A938" s="3">
        <v>5866</v>
      </c>
      <c r="B938" s="83">
        <f t="array" ref="B938">SUM(--(FREQUENCY(IF(C$2:C$3086=C938, MATCH(D$2:D$3086, D$2:D$3086, 0)), ROW(D$2:D$3086)-ROW(D$2)+1) &gt; 0))</f>
        <v>29</v>
      </c>
      <c r="C938" s="3">
        <v>41200127</v>
      </c>
      <c r="D938" s="6" t="s">
        <v>2569</v>
      </c>
      <c r="E938" s="3" t="s">
        <v>1431</v>
      </c>
      <c r="F938" s="3" t="s">
        <v>1591</v>
      </c>
      <c r="G938" s="68" t="str">
        <f t="shared" si="90"/>
        <v>SINGLE</v>
      </c>
      <c r="H938" s="197">
        <f t="shared" si="74"/>
        <v>31</v>
      </c>
      <c r="I938" s="197">
        <v>7</v>
      </c>
      <c r="J938" s="197">
        <v>28</v>
      </c>
      <c r="K938" s="186">
        <f t="shared" si="91"/>
        <v>45866</v>
      </c>
      <c r="L938" s="3" t="s">
        <v>2391</v>
      </c>
      <c r="M938" s="3" t="s">
        <v>1468</v>
      </c>
      <c r="N938" s="3" t="str">
        <f t="shared" si="80"/>
        <v/>
      </c>
      <c r="O938" s="408"/>
      <c r="P938" s="408"/>
      <c r="Q938" s="408"/>
      <c r="R938" s="408"/>
      <c r="S938" s="408"/>
      <c r="T938" s="408"/>
      <c r="U938" s="408"/>
      <c r="V938" s="421"/>
      <c r="W938" s="421"/>
      <c r="X938" s="421"/>
      <c r="Y938" s="421"/>
      <c r="Z938" s="421"/>
      <c r="AA938" s="421"/>
      <c r="AB938" s="421"/>
      <c r="AC938" s="421"/>
      <c r="AD938" s="421"/>
      <c r="AE938" s="421"/>
      <c r="AF938" s="421"/>
      <c r="AG938" s="421"/>
      <c r="AH938" s="421"/>
      <c r="AI938" s="421"/>
      <c r="AJ938" s="421"/>
      <c r="AK938" s="421"/>
      <c r="AL938" s="421"/>
    </row>
    <row r="939" spans="1:38">
      <c r="A939" s="3">
        <v>5878</v>
      </c>
      <c r="B939" s="83">
        <f t="array" ref="B939">SUM(--(FREQUENCY(IF(C$2:C$3083=C939, MATCH(D$2:D$3083, D$2:D$3083, 0)), ROW(D$2:D$3083)-ROW(D$2)+1) &gt; 0))</f>
        <v>6</v>
      </c>
      <c r="C939" s="3">
        <v>41200087</v>
      </c>
      <c r="D939" s="6" t="s">
        <v>2570</v>
      </c>
      <c r="E939" s="3" t="s">
        <v>1429</v>
      </c>
      <c r="F939" s="3" t="s">
        <v>1476</v>
      </c>
      <c r="G939" s="68" t="str">
        <f t="shared" ref="G939:G948" si="95">IF(OR(ISNUMBER(SEARCH("DUAL",F939)), ISNUMBER(SEARCH("IVAS",F939))), "DUAL", "SINGLE")</f>
        <v>DUAL</v>
      </c>
      <c r="H939" s="197">
        <f t="shared" si="74"/>
        <v>31</v>
      </c>
      <c r="I939" s="197">
        <v>7</v>
      </c>
      <c r="J939" s="197">
        <v>29</v>
      </c>
      <c r="K939" s="186">
        <f t="shared" ref="K939:K948" si="96">DATE(2025, I939, J939)</f>
        <v>45867</v>
      </c>
      <c r="L939" s="3" t="s">
        <v>2395</v>
      </c>
      <c r="M939" s="3" t="s">
        <v>2392</v>
      </c>
      <c r="N939" s="3" t="str">
        <f t="shared" si="80"/>
        <v/>
      </c>
      <c r="O939" s="408"/>
      <c r="P939" s="408"/>
      <c r="Q939" s="408"/>
      <c r="R939" s="408"/>
      <c r="S939" s="408"/>
      <c r="T939" s="408"/>
      <c r="U939" s="408"/>
      <c r="V939" s="421"/>
      <c r="W939" s="421"/>
      <c r="X939" s="421"/>
      <c r="Y939" s="421"/>
      <c r="Z939" s="421"/>
      <c r="AA939" s="421"/>
      <c r="AB939" s="421"/>
      <c r="AC939" s="421"/>
      <c r="AD939" s="421"/>
      <c r="AE939" s="421"/>
      <c r="AF939" s="421"/>
      <c r="AG939" s="421"/>
      <c r="AH939" s="421"/>
      <c r="AI939" s="421"/>
      <c r="AJ939" s="421"/>
      <c r="AK939" s="421"/>
      <c r="AL939" s="421"/>
    </row>
    <row r="940" spans="1:38">
      <c r="A940" s="3">
        <v>5812</v>
      </c>
      <c r="B940" s="83">
        <f t="array" ref="B940">SUM(--(FREQUENCY(IF(C$2:C$3083=C940, MATCH(D$2:D$3083, D$2:D$3083, 0)), ROW(D$2:D$3083)-ROW(D$2)+1) &gt; 0))</f>
        <v>29</v>
      </c>
      <c r="C940" s="3">
        <v>41200005</v>
      </c>
      <c r="D940" s="6" t="s">
        <v>2571</v>
      </c>
      <c r="E940" s="3" t="s">
        <v>1405</v>
      </c>
      <c r="F940" s="3" t="s">
        <v>2485</v>
      </c>
      <c r="G940" s="68" t="str">
        <f t="shared" si="95"/>
        <v>SINGLE</v>
      </c>
      <c r="H940" s="197">
        <f t="shared" si="74"/>
        <v>31</v>
      </c>
      <c r="I940" s="197">
        <v>7</v>
      </c>
      <c r="J940" s="197">
        <v>29</v>
      </c>
      <c r="K940" s="186">
        <f t="shared" si="96"/>
        <v>45867</v>
      </c>
      <c r="L940" s="3" t="s">
        <v>2391</v>
      </c>
      <c r="M940" s="3" t="s">
        <v>1468</v>
      </c>
      <c r="N940" s="3" t="str">
        <f t="shared" si="80"/>
        <v/>
      </c>
      <c r="O940" s="408"/>
      <c r="P940" s="408"/>
      <c r="Q940" s="408"/>
      <c r="R940" s="408"/>
      <c r="S940" s="408"/>
      <c r="T940" s="408"/>
      <c r="U940" s="408"/>
      <c r="V940" s="421"/>
      <c r="W940" s="421"/>
      <c r="X940" s="421"/>
      <c r="Y940" s="421"/>
      <c r="Z940" s="421"/>
      <c r="AA940" s="421"/>
      <c r="AB940" s="421"/>
      <c r="AC940" s="421"/>
      <c r="AD940" s="421"/>
      <c r="AE940" s="421"/>
      <c r="AF940" s="421"/>
      <c r="AG940" s="421"/>
      <c r="AH940" s="421"/>
      <c r="AI940" s="421"/>
      <c r="AJ940" s="421"/>
      <c r="AK940" s="421"/>
      <c r="AL940" s="421"/>
    </row>
    <row r="941" spans="1:38">
      <c r="A941" s="3">
        <v>5812</v>
      </c>
      <c r="B941" s="83">
        <f t="array" ref="B941">SUM(--(FREQUENCY(IF(C$2:C$3083=C941, MATCH(D$2:D$3083, D$2:D$3083, 0)), ROW(D$2:D$3083)-ROW(D$2)+1) &gt; 0))</f>
        <v>29</v>
      </c>
      <c r="C941" s="3">
        <v>41200005</v>
      </c>
      <c r="D941" s="6" t="s">
        <v>2572</v>
      </c>
      <c r="E941" s="3" t="s">
        <v>1405</v>
      </c>
      <c r="F941" s="3" t="s">
        <v>1591</v>
      </c>
      <c r="G941" s="68" t="str">
        <f t="shared" si="95"/>
        <v>SINGLE</v>
      </c>
      <c r="H941" s="197">
        <f t="shared" si="74"/>
        <v>31</v>
      </c>
      <c r="I941" s="197">
        <v>7</v>
      </c>
      <c r="J941" s="197">
        <v>29</v>
      </c>
      <c r="K941" s="186">
        <f t="shared" si="96"/>
        <v>45867</v>
      </c>
      <c r="L941" s="3" t="s">
        <v>2391</v>
      </c>
      <c r="M941" s="3" t="s">
        <v>1468</v>
      </c>
      <c r="N941" s="3" t="str">
        <f t="shared" si="80"/>
        <v/>
      </c>
      <c r="O941" s="408"/>
      <c r="P941" s="408"/>
      <c r="Q941" s="408"/>
      <c r="R941" s="408"/>
      <c r="S941" s="408"/>
      <c r="T941" s="408"/>
      <c r="U941" s="408"/>
      <c r="V941" s="421"/>
      <c r="W941" s="421"/>
      <c r="X941" s="421"/>
      <c r="Y941" s="421"/>
      <c r="Z941" s="421"/>
      <c r="AA941" s="421"/>
      <c r="AB941" s="421"/>
      <c r="AC941" s="421"/>
      <c r="AD941" s="421"/>
      <c r="AE941" s="421"/>
      <c r="AF941" s="421"/>
      <c r="AG941" s="421"/>
      <c r="AH941" s="421"/>
      <c r="AI941" s="421"/>
      <c r="AJ941" s="421"/>
      <c r="AK941" s="421"/>
      <c r="AL941" s="421"/>
    </row>
    <row r="942" spans="1:38">
      <c r="A942" s="3">
        <v>5860</v>
      </c>
      <c r="B942" s="83">
        <f t="array" ref="B942">SUM(--(FREQUENCY(IF(C$2:C$3083=C942, MATCH(D$2:D$3083, D$2:D$3083, 0)), ROW(D$2:D$3083)-ROW(D$2)+1) &gt; 0))</f>
        <v>18</v>
      </c>
      <c r="C942" s="3">
        <v>41200101</v>
      </c>
      <c r="D942" s="6" t="s">
        <v>2573</v>
      </c>
      <c r="E942" s="3" t="s">
        <v>1585</v>
      </c>
      <c r="F942" s="3" t="s">
        <v>1476</v>
      </c>
      <c r="G942" s="68" t="str">
        <f t="shared" si="95"/>
        <v>DUAL</v>
      </c>
      <c r="H942" s="197">
        <f t="shared" si="74"/>
        <v>31</v>
      </c>
      <c r="I942" s="197">
        <v>7</v>
      </c>
      <c r="J942" s="197">
        <v>29</v>
      </c>
      <c r="K942" s="186">
        <f t="shared" si="96"/>
        <v>45867</v>
      </c>
      <c r="L942" s="3" t="s">
        <v>2391</v>
      </c>
      <c r="M942" s="3" t="s">
        <v>1468</v>
      </c>
      <c r="N942" s="3" t="str">
        <f t="shared" si="80"/>
        <v/>
      </c>
      <c r="O942" s="408"/>
      <c r="P942" s="408"/>
      <c r="Q942" s="408"/>
      <c r="R942" s="408"/>
      <c r="S942" s="408"/>
      <c r="T942" s="408"/>
      <c r="U942" s="408"/>
      <c r="V942" s="421"/>
      <c r="W942" s="421"/>
      <c r="X942" s="421"/>
      <c r="Y942" s="421"/>
      <c r="Z942" s="421"/>
      <c r="AA942" s="421"/>
      <c r="AB942" s="421"/>
      <c r="AC942" s="421"/>
      <c r="AD942" s="421"/>
      <c r="AE942" s="421"/>
      <c r="AF942" s="421"/>
      <c r="AG942" s="421"/>
      <c r="AH942" s="421"/>
      <c r="AI942" s="421"/>
      <c r="AJ942" s="421"/>
      <c r="AK942" s="421"/>
      <c r="AL942" s="421"/>
    </row>
    <row r="943" spans="1:38">
      <c r="A943" s="3">
        <v>5865</v>
      </c>
      <c r="B943" s="83">
        <f t="array" ref="B943">SUM(--(FREQUENCY(IF(C$2:C$3083=C943, MATCH(D$2:D$3083, D$2:D$3083, 0)), ROW(D$2:D$3083)-ROW(D$2)+1) &gt; 0))</f>
        <v>7</v>
      </c>
      <c r="C943" s="3">
        <v>41200153</v>
      </c>
      <c r="D943" s="6" t="s">
        <v>2574</v>
      </c>
      <c r="E943" s="3" t="s">
        <v>1422</v>
      </c>
      <c r="F943" s="3" t="s">
        <v>1476</v>
      </c>
      <c r="G943" s="68" t="str">
        <f t="shared" si="95"/>
        <v>DUAL</v>
      </c>
      <c r="H943" s="197">
        <f t="shared" si="74"/>
        <v>31</v>
      </c>
      <c r="I943" s="197">
        <v>7</v>
      </c>
      <c r="J943" s="197">
        <v>29</v>
      </c>
      <c r="K943" s="186">
        <f t="shared" si="96"/>
        <v>45867</v>
      </c>
      <c r="L943" s="3" t="s">
        <v>2391</v>
      </c>
      <c r="M943" s="3" t="s">
        <v>1468</v>
      </c>
      <c r="N943" s="3" t="str">
        <f t="shared" si="80"/>
        <v/>
      </c>
      <c r="O943" s="408"/>
      <c r="P943" s="408"/>
      <c r="Q943" s="408"/>
      <c r="R943" s="408"/>
      <c r="S943" s="408"/>
      <c r="T943" s="408"/>
      <c r="U943" s="408"/>
      <c r="V943" s="421"/>
      <c r="W943" s="421"/>
      <c r="X943" s="421"/>
      <c r="Y943" s="421"/>
      <c r="Z943" s="421"/>
      <c r="AA943" s="421"/>
      <c r="AB943" s="421"/>
      <c r="AC943" s="421"/>
      <c r="AD943" s="421"/>
      <c r="AE943" s="421"/>
      <c r="AF943" s="421"/>
      <c r="AG943" s="421"/>
      <c r="AH943" s="421"/>
      <c r="AI943" s="421"/>
      <c r="AJ943" s="421"/>
      <c r="AK943" s="421"/>
      <c r="AL943" s="421"/>
    </row>
    <row r="944" spans="1:38">
      <c r="A944" s="3">
        <v>5867</v>
      </c>
      <c r="B944" s="83">
        <f t="array" ref="B944">SUM(--(FREQUENCY(IF(C$2:C$3083=C944, MATCH(D$2:D$3083, D$2:D$3083, 0)), ROW(D$2:D$3083)-ROW(D$2)+1) &gt; 0))</f>
        <v>18</v>
      </c>
      <c r="C944" s="3">
        <v>41200128</v>
      </c>
      <c r="D944" s="6" t="s">
        <v>2575</v>
      </c>
      <c r="E944" s="3" t="s">
        <v>1431</v>
      </c>
      <c r="F944" s="3" t="s">
        <v>1591</v>
      </c>
      <c r="G944" s="68" t="str">
        <f t="shared" si="95"/>
        <v>SINGLE</v>
      </c>
      <c r="H944" s="197">
        <f t="shared" si="74"/>
        <v>31</v>
      </c>
      <c r="I944" s="197">
        <v>7</v>
      </c>
      <c r="J944" s="197">
        <v>29</v>
      </c>
      <c r="K944" s="186">
        <f t="shared" si="96"/>
        <v>45867</v>
      </c>
      <c r="L944" s="3" t="s">
        <v>2391</v>
      </c>
      <c r="M944" s="3" t="s">
        <v>1468</v>
      </c>
      <c r="N944" s="3" t="str">
        <f t="shared" si="80"/>
        <v/>
      </c>
      <c r="O944" s="408"/>
      <c r="P944" s="408"/>
      <c r="Q944" s="408"/>
      <c r="R944" s="408"/>
      <c r="S944" s="408"/>
      <c r="T944" s="408"/>
      <c r="U944" s="408"/>
      <c r="V944" s="421"/>
      <c r="W944" s="421"/>
      <c r="X944" s="421"/>
      <c r="Y944" s="421"/>
      <c r="Z944" s="421"/>
      <c r="AA944" s="421"/>
      <c r="AB944" s="421"/>
      <c r="AC944" s="421"/>
      <c r="AD944" s="421"/>
      <c r="AE944" s="421"/>
      <c r="AF944" s="421"/>
      <c r="AG944" s="421"/>
      <c r="AH944" s="421"/>
      <c r="AI944" s="421"/>
      <c r="AJ944" s="421"/>
      <c r="AK944" s="421"/>
      <c r="AL944" s="421"/>
    </row>
    <row r="945" spans="1:38">
      <c r="A945" s="3">
        <v>5861</v>
      </c>
      <c r="B945" s="83">
        <f t="array" ref="B945">SUM(--(FREQUENCY(IF(C$2:C$3083=C945, MATCH(D$2:D$3083, D$2:D$3083, 0)), ROW(D$2:D$3083)-ROW(D$2)+1) &gt; 0))</f>
        <v>29</v>
      </c>
      <c r="C945" s="3">
        <v>41200127</v>
      </c>
      <c r="D945" s="6" t="s">
        <v>2576</v>
      </c>
      <c r="E945" s="3" t="s">
        <v>1431</v>
      </c>
      <c r="F945" s="3" t="s">
        <v>1591</v>
      </c>
      <c r="G945" s="68" t="str">
        <f t="shared" si="95"/>
        <v>SINGLE</v>
      </c>
      <c r="H945" s="197">
        <f t="shared" si="74"/>
        <v>31</v>
      </c>
      <c r="I945" s="197">
        <v>7</v>
      </c>
      <c r="J945" s="197">
        <v>29</v>
      </c>
      <c r="K945" s="186">
        <f t="shared" si="96"/>
        <v>45867</v>
      </c>
      <c r="L945" s="3" t="s">
        <v>2395</v>
      </c>
      <c r="M945" s="3" t="s">
        <v>1469</v>
      </c>
      <c r="N945" s="3" t="str">
        <f t="shared" si="80"/>
        <v/>
      </c>
      <c r="O945" s="408"/>
      <c r="P945" s="408"/>
      <c r="Q945" s="408"/>
      <c r="R945" s="408"/>
      <c r="S945" s="408"/>
      <c r="T945" s="408"/>
      <c r="U945" s="408"/>
      <c r="V945" s="421"/>
      <c r="W945" s="421"/>
      <c r="X945" s="421"/>
      <c r="Y945" s="421"/>
      <c r="Z945" s="421"/>
      <c r="AA945" s="421"/>
      <c r="AB945" s="421"/>
      <c r="AC945" s="421"/>
      <c r="AD945" s="421"/>
      <c r="AE945" s="421"/>
      <c r="AF945" s="421"/>
      <c r="AG945" s="421"/>
      <c r="AH945" s="421"/>
      <c r="AI945" s="421"/>
      <c r="AJ945" s="421"/>
      <c r="AK945" s="421"/>
      <c r="AL945" s="421"/>
    </row>
    <row r="946" spans="1:38">
      <c r="A946" s="3">
        <v>5861</v>
      </c>
      <c r="B946" s="83">
        <f t="array" ref="B946">SUM(--(FREQUENCY(IF(C$2:C$3083=C946, MATCH(D$2:D$3083, D$2:D$3083, 0)), ROW(D$2:D$3083)-ROW(D$2)+1) &gt; 0))</f>
        <v>29</v>
      </c>
      <c r="C946" s="3">
        <v>41200127</v>
      </c>
      <c r="D946" s="6" t="s">
        <v>2577</v>
      </c>
      <c r="E946" s="3" t="s">
        <v>1431</v>
      </c>
      <c r="F946" s="3" t="s">
        <v>1591</v>
      </c>
      <c r="G946" s="68" t="str">
        <f t="shared" si="95"/>
        <v>SINGLE</v>
      </c>
      <c r="H946" s="197">
        <f t="shared" si="74"/>
        <v>31</v>
      </c>
      <c r="I946" s="197">
        <v>7</v>
      </c>
      <c r="J946" s="197">
        <v>29</v>
      </c>
      <c r="K946" s="186">
        <f t="shared" si="96"/>
        <v>45867</v>
      </c>
      <c r="L946" s="3" t="s">
        <v>2395</v>
      </c>
      <c r="M946" s="3" t="s">
        <v>1469</v>
      </c>
      <c r="N946" s="3" t="str">
        <f t="shared" si="80"/>
        <v>NG</v>
      </c>
      <c r="O946" s="408" t="s">
        <v>2368</v>
      </c>
      <c r="P946" s="408" t="s">
        <v>2446</v>
      </c>
      <c r="Q946" s="408">
        <v>11000136</v>
      </c>
      <c r="R946" s="408" t="s">
        <v>1049</v>
      </c>
      <c r="S946" s="408" t="s">
        <v>2578</v>
      </c>
      <c r="T946" s="408"/>
      <c r="U946" s="408"/>
      <c r="V946" s="421"/>
      <c r="W946" s="421"/>
      <c r="X946" s="421"/>
      <c r="Y946" s="421"/>
      <c r="Z946" s="421"/>
      <c r="AA946" s="421"/>
      <c r="AB946" s="421"/>
      <c r="AC946" s="421"/>
      <c r="AD946" s="421"/>
      <c r="AE946" s="421"/>
      <c r="AF946" s="421"/>
      <c r="AG946" s="421"/>
      <c r="AH946" s="421"/>
      <c r="AI946" s="421"/>
      <c r="AJ946" s="421"/>
      <c r="AK946" s="421"/>
      <c r="AL946" s="421"/>
    </row>
    <row r="947" spans="1:38">
      <c r="A947" s="3">
        <v>5861</v>
      </c>
      <c r="B947" s="83">
        <f t="array" ref="B947">SUM(--(FREQUENCY(IF(C$2:C$3083=C947, MATCH(D$2:D$3083, D$2:D$3083, 0)), ROW(D$2:D$3083)-ROW(D$2)+1) &gt; 0))</f>
        <v>29</v>
      </c>
      <c r="C947" s="3">
        <v>41200127</v>
      </c>
      <c r="D947" s="6" t="s">
        <v>2577</v>
      </c>
      <c r="E947" s="3" t="s">
        <v>1431</v>
      </c>
      <c r="F947" s="3" t="s">
        <v>1591</v>
      </c>
      <c r="G947" s="68" t="str">
        <f t="shared" ref="G947" si="97">IF(OR(ISNUMBER(SEARCH("DUAL",F947)), ISNUMBER(SEARCH("IVAS",F947))), "DUAL", "SINGLE")</f>
        <v>SINGLE</v>
      </c>
      <c r="H947" s="197">
        <f t="shared" si="74"/>
        <v>31</v>
      </c>
      <c r="I947" s="197">
        <v>7</v>
      </c>
      <c r="J947" s="197">
        <v>29</v>
      </c>
      <c r="K947" s="186">
        <f t="shared" ref="K947" si="98">DATE(2025, I947, J947)</f>
        <v>45867</v>
      </c>
      <c r="L947" s="3" t="s">
        <v>2395</v>
      </c>
      <c r="M947" s="3" t="s">
        <v>1469</v>
      </c>
      <c r="N947" s="3" t="str">
        <f t="shared" si="80"/>
        <v>NG</v>
      </c>
      <c r="O947" s="408" t="s">
        <v>2368</v>
      </c>
      <c r="P947" s="408" t="s">
        <v>1385</v>
      </c>
      <c r="Q947" s="408">
        <v>11002073</v>
      </c>
      <c r="R947" s="408" t="s">
        <v>284</v>
      </c>
      <c r="S947" s="408" t="s">
        <v>2579</v>
      </c>
      <c r="T947" s="408"/>
      <c r="U947" s="408"/>
      <c r="V947" s="421"/>
      <c r="W947" s="421"/>
      <c r="X947" s="421"/>
      <c r="Y947" s="421"/>
      <c r="Z947" s="421"/>
      <c r="AA947" s="421"/>
      <c r="AB947" s="421"/>
      <c r="AC947" s="421"/>
      <c r="AD947" s="421"/>
      <c r="AE947" s="421"/>
      <c r="AF947" s="421"/>
      <c r="AG947" s="421"/>
      <c r="AH947" s="421"/>
      <c r="AI947" s="421"/>
      <c r="AJ947" s="421"/>
      <c r="AK947" s="421"/>
      <c r="AL947" s="421"/>
    </row>
    <row r="948" spans="1:38">
      <c r="A948" s="3">
        <v>5861</v>
      </c>
      <c r="B948" s="83">
        <f t="array" ref="B948">SUM(--(FREQUENCY(IF(C$2:C$3083=C948, MATCH(D$2:D$3083, D$2:D$3083, 0)), ROW(D$2:D$3083)-ROW(D$2)+1) &gt; 0))</f>
        <v>29</v>
      </c>
      <c r="C948" s="3">
        <v>41200127</v>
      </c>
      <c r="D948" s="6" t="s">
        <v>2580</v>
      </c>
      <c r="E948" s="3" t="s">
        <v>1431</v>
      </c>
      <c r="F948" s="3" t="s">
        <v>1591</v>
      </c>
      <c r="G948" s="68" t="str">
        <f t="shared" si="95"/>
        <v>SINGLE</v>
      </c>
      <c r="H948" s="197">
        <f t="shared" si="74"/>
        <v>31</v>
      </c>
      <c r="I948" s="197">
        <v>7</v>
      </c>
      <c r="J948" s="197">
        <v>29</v>
      </c>
      <c r="K948" s="186">
        <f t="shared" si="96"/>
        <v>45867</v>
      </c>
      <c r="L948" s="3" t="s">
        <v>2395</v>
      </c>
      <c r="M948" s="3" t="s">
        <v>1469</v>
      </c>
      <c r="N948" s="3" t="str">
        <f t="shared" si="80"/>
        <v/>
      </c>
      <c r="O948" s="408"/>
      <c r="P948" s="408"/>
      <c r="Q948" s="408"/>
      <c r="R948" s="408"/>
      <c r="S948" s="408"/>
      <c r="T948" s="408"/>
      <c r="U948" s="408"/>
      <c r="V948" s="421"/>
      <c r="W948" s="421"/>
      <c r="X948" s="421"/>
      <c r="Y948" s="421"/>
      <c r="Z948" s="421"/>
      <c r="AA948" s="421"/>
      <c r="AB948" s="421"/>
      <c r="AC948" s="421"/>
      <c r="AD948" s="421"/>
      <c r="AE948" s="421"/>
      <c r="AF948" s="421"/>
      <c r="AG948" s="421"/>
      <c r="AH948" s="421"/>
      <c r="AI948" s="421"/>
      <c r="AJ948" s="421"/>
      <c r="AK948" s="421"/>
      <c r="AL948" s="421"/>
    </row>
    <row r="949" spans="1:38">
      <c r="A949" s="3">
        <v>5810</v>
      </c>
      <c r="B949" s="83">
        <f t="array" ref="B949">SUM(--(FREQUENCY(IF(C$2:C$3083=C949, MATCH(D$2:D$3083, D$2:D$3083, 0)), ROW(D$2:D$3083)-ROW(D$2)+1) &gt; 0))</f>
        <v>63</v>
      </c>
      <c r="C949" s="3">
        <v>41200006</v>
      </c>
      <c r="D949" s="6" t="s">
        <v>2581</v>
      </c>
      <c r="E949" s="3" t="s">
        <v>1405</v>
      </c>
      <c r="F949" s="3" t="s">
        <v>1477</v>
      </c>
      <c r="G949" s="68" t="str">
        <f t="shared" ref="G949:G957" si="99">IF(OR(ISNUMBER(SEARCH("DUAL",F949)), ISNUMBER(SEARCH("IVAS",F949))), "DUAL", "SINGLE")</f>
        <v>SINGLE</v>
      </c>
      <c r="H949" s="197">
        <f t="shared" si="74"/>
        <v>31</v>
      </c>
      <c r="I949" s="197">
        <v>7</v>
      </c>
      <c r="J949" s="197">
        <v>30</v>
      </c>
      <c r="K949" s="186">
        <f t="shared" ref="K949:K957" si="100">DATE(2025, I949, J949)</f>
        <v>45868</v>
      </c>
      <c r="L949" s="3" t="s">
        <v>2395</v>
      </c>
      <c r="M949" s="3" t="s">
        <v>2392</v>
      </c>
      <c r="N949" s="3" t="str">
        <f t="shared" si="80"/>
        <v/>
      </c>
      <c r="O949" s="408"/>
      <c r="P949" s="408"/>
      <c r="Q949" s="408"/>
      <c r="R949" s="408"/>
      <c r="S949" s="408"/>
      <c r="T949" s="408"/>
      <c r="U949" s="408"/>
      <c r="V949" s="421"/>
      <c r="W949" s="421"/>
      <c r="X949" s="421"/>
      <c r="Y949" s="421"/>
      <c r="Z949" s="421"/>
      <c r="AA949" s="421"/>
      <c r="AB949" s="421"/>
      <c r="AC949" s="421"/>
      <c r="AD949" s="421"/>
      <c r="AE949" s="421"/>
      <c r="AF949" s="421"/>
      <c r="AG949" s="421"/>
      <c r="AH949" s="421"/>
      <c r="AI949" s="421"/>
      <c r="AJ949" s="421"/>
      <c r="AK949" s="421"/>
      <c r="AL949" s="421"/>
    </row>
    <row r="950" spans="1:38">
      <c r="A950" s="3">
        <v>5810</v>
      </c>
      <c r="B950" s="83">
        <f t="array" ref="B950">SUM(--(FREQUENCY(IF(C$2:C$3083=C950, MATCH(D$2:D$3083, D$2:D$3083, 0)), ROW(D$2:D$3083)-ROW(D$2)+1) &gt; 0))</f>
        <v>63</v>
      </c>
      <c r="C950" s="3">
        <v>41200006</v>
      </c>
      <c r="D950" s="6" t="s">
        <v>2582</v>
      </c>
      <c r="E950" s="3" t="s">
        <v>1405</v>
      </c>
      <c r="F950" s="3" t="s">
        <v>1477</v>
      </c>
      <c r="G950" s="68" t="str">
        <f t="shared" si="99"/>
        <v>SINGLE</v>
      </c>
      <c r="H950" s="197">
        <f t="shared" si="74"/>
        <v>31</v>
      </c>
      <c r="I950" s="197">
        <v>7</v>
      </c>
      <c r="J950" s="197">
        <v>30</v>
      </c>
      <c r="K950" s="186">
        <f t="shared" si="100"/>
        <v>45868</v>
      </c>
      <c r="L950" s="3" t="s">
        <v>2395</v>
      </c>
      <c r="M950" s="3" t="s">
        <v>2392</v>
      </c>
      <c r="N950" s="3" t="str">
        <f t="shared" si="80"/>
        <v/>
      </c>
      <c r="O950" s="408"/>
      <c r="P950" s="408"/>
      <c r="Q950" s="408"/>
      <c r="R950" s="408"/>
      <c r="S950" s="408"/>
      <c r="T950" s="408"/>
      <c r="U950" s="408"/>
      <c r="V950" s="421"/>
      <c r="W950" s="421"/>
      <c r="X950" s="421"/>
      <c r="Y950" s="421"/>
      <c r="Z950" s="421"/>
      <c r="AA950" s="421"/>
      <c r="AB950" s="421"/>
      <c r="AC950" s="421"/>
      <c r="AD950" s="421"/>
      <c r="AE950" s="421"/>
      <c r="AF950" s="421"/>
      <c r="AG950" s="421"/>
      <c r="AH950" s="421"/>
      <c r="AI950" s="421"/>
      <c r="AJ950" s="421"/>
      <c r="AK950" s="421"/>
      <c r="AL950" s="421"/>
    </row>
    <row r="951" spans="1:38">
      <c r="A951" s="3">
        <v>5810</v>
      </c>
      <c r="B951" s="83">
        <f t="array" ref="B951">SUM(--(FREQUENCY(IF(C$2:C$3083=C951, MATCH(D$2:D$3083, D$2:D$3083, 0)), ROW(D$2:D$3083)-ROW(D$2)+1) &gt; 0))</f>
        <v>63</v>
      </c>
      <c r="C951" s="3">
        <v>41200006</v>
      </c>
      <c r="D951" s="6" t="s">
        <v>2583</v>
      </c>
      <c r="E951" s="3" t="s">
        <v>1405</v>
      </c>
      <c r="F951" s="3" t="s">
        <v>1477</v>
      </c>
      <c r="G951" s="68" t="str">
        <f t="shared" si="99"/>
        <v>SINGLE</v>
      </c>
      <c r="H951" s="197">
        <f t="shared" si="74"/>
        <v>31</v>
      </c>
      <c r="I951" s="197">
        <v>7</v>
      </c>
      <c r="J951" s="197">
        <v>30</v>
      </c>
      <c r="K951" s="186">
        <f t="shared" si="100"/>
        <v>45868</v>
      </c>
      <c r="L951" s="3" t="s">
        <v>2395</v>
      </c>
      <c r="M951" s="3" t="s">
        <v>2392</v>
      </c>
      <c r="N951" s="3" t="str">
        <f t="shared" si="80"/>
        <v/>
      </c>
      <c r="O951" s="408"/>
      <c r="P951" s="408"/>
      <c r="Q951" s="408"/>
      <c r="R951" s="408"/>
      <c r="S951" s="417" t="s">
        <v>2584</v>
      </c>
      <c r="T951" s="408"/>
      <c r="U951" s="408"/>
      <c r="V951" s="421"/>
      <c r="W951" s="421"/>
      <c r="X951" s="421"/>
      <c r="Y951" s="421"/>
      <c r="Z951" s="421"/>
      <c r="AA951" s="421"/>
      <c r="AB951" s="421"/>
      <c r="AC951" s="421"/>
      <c r="AD951" s="421"/>
      <c r="AE951" s="421"/>
      <c r="AF951" s="421"/>
      <c r="AG951" s="421"/>
      <c r="AH951" s="421"/>
      <c r="AI951" s="421"/>
      <c r="AJ951" s="421"/>
      <c r="AK951" s="421"/>
      <c r="AL951" s="421"/>
    </row>
    <row r="952" spans="1:38">
      <c r="A952" s="3">
        <v>5810</v>
      </c>
      <c r="B952" s="83">
        <f t="array" ref="B952">SUM(--(FREQUENCY(IF(C$2:C$3083=C952, MATCH(D$2:D$3083, D$2:D$3083, 0)), ROW(D$2:D$3083)-ROW(D$2)+1) &gt; 0))</f>
        <v>63</v>
      </c>
      <c r="C952" s="3">
        <v>41200006</v>
      </c>
      <c r="D952" s="6" t="s">
        <v>2585</v>
      </c>
      <c r="E952" s="3" t="s">
        <v>1405</v>
      </c>
      <c r="F952" s="3" t="s">
        <v>1477</v>
      </c>
      <c r="G952" s="68" t="str">
        <f t="shared" si="99"/>
        <v>SINGLE</v>
      </c>
      <c r="H952" s="197">
        <f t="shared" si="74"/>
        <v>31</v>
      </c>
      <c r="I952" s="197">
        <v>7</v>
      </c>
      <c r="J952" s="197">
        <v>30</v>
      </c>
      <c r="K952" s="186">
        <f t="shared" si="100"/>
        <v>45868</v>
      </c>
      <c r="L952" s="3" t="s">
        <v>2395</v>
      </c>
      <c r="M952" s="3" t="s">
        <v>2392</v>
      </c>
      <c r="N952" s="3" t="str">
        <f t="shared" si="80"/>
        <v/>
      </c>
      <c r="O952" s="408"/>
      <c r="P952" s="408"/>
      <c r="Q952" s="408"/>
      <c r="R952" s="408"/>
      <c r="S952" s="408"/>
      <c r="T952" s="408"/>
      <c r="U952" s="408"/>
      <c r="V952" s="421"/>
      <c r="W952" s="421"/>
      <c r="X952" s="421"/>
      <c r="Y952" s="421"/>
      <c r="Z952" s="421"/>
      <c r="AA952" s="421"/>
      <c r="AB952" s="421"/>
      <c r="AC952" s="421"/>
      <c r="AD952" s="421"/>
      <c r="AE952" s="421"/>
      <c r="AF952" s="421"/>
      <c r="AG952" s="421"/>
      <c r="AH952" s="421"/>
      <c r="AI952" s="421"/>
      <c r="AJ952" s="421"/>
      <c r="AK952" s="421"/>
      <c r="AL952" s="421"/>
    </row>
    <row r="953" spans="1:38">
      <c r="A953" s="3">
        <v>5668</v>
      </c>
      <c r="B953" s="83">
        <f t="array" ref="B953">SUM(--(FREQUENCY(IF(C$2:C$3083=C953, MATCH(D$2:D$3083, D$2:D$3083, 0)), ROW(D$2:D$3083)-ROW(D$2)+1) &gt; 0))</f>
        <v>25</v>
      </c>
      <c r="C953" s="3">
        <v>41200034</v>
      </c>
      <c r="D953" s="6" t="s">
        <v>2586</v>
      </c>
      <c r="E953" s="3" t="s">
        <v>1426</v>
      </c>
      <c r="F953" s="3" t="s">
        <v>1476</v>
      </c>
      <c r="G953" s="68" t="str">
        <f t="shared" si="99"/>
        <v>DUAL</v>
      </c>
      <c r="H953" s="197">
        <f t="shared" si="74"/>
        <v>31</v>
      </c>
      <c r="I953" s="197">
        <v>7</v>
      </c>
      <c r="J953" s="197">
        <v>30</v>
      </c>
      <c r="K953" s="186">
        <f t="shared" si="100"/>
        <v>45868</v>
      </c>
      <c r="L953" s="3" t="s">
        <v>2395</v>
      </c>
      <c r="M953" s="3" t="s">
        <v>2392</v>
      </c>
      <c r="N953" s="3" t="str">
        <f t="shared" si="80"/>
        <v/>
      </c>
      <c r="O953" s="408"/>
      <c r="P953" s="408"/>
      <c r="Q953" s="408"/>
      <c r="R953" s="408"/>
      <c r="S953" s="408"/>
      <c r="T953" s="408"/>
      <c r="U953" s="408"/>
      <c r="V953" s="421"/>
      <c r="W953" s="421"/>
      <c r="X953" s="421"/>
      <c r="Y953" s="421"/>
      <c r="Z953" s="421"/>
      <c r="AA953" s="421"/>
      <c r="AB953" s="421"/>
      <c r="AC953" s="421"/>
      <c r="AD953" s="421"/>
      <c r="AE953" s="421"/>
      <c r="AF953" s="421"/>
      <c r="AG953" s="421"/>
      <c r="AH953" s="421"/>
      <c r="AI953" s="421"/>
      <c r="AJ953" s="421"/>
      <c r="AK953" s="421"/>
      <c r="AL953" s="421"/>
    </row>
    <row r="954" spans="1:38">
      <c r="A954" s="3">
        <v>5886</v>
      </c>
      <c r="B954" s="83">
        <f t="array" ref="B954">SUM(--(FREQUENCY(IF(C$2:C$3083=C954, MATCH(D$2:D$3083, D$2:D$3083, 0)), ROW(D$2:D$3083)-ROW(D$2)+1) &gt; 0))</f>
        <v>63</v>
      </c>
      <c r="C954" s="3">
        <v>41200006</v>
      </c>
      <c r="D954" s="6" t="s">
        <v>2587</v>
      </c>
      <c r="E954" s="3" t="s">
        <v>1405</v>
      </c>
      <c r="F954" s="3" t="s">
        <v>1477</v>
      </c>
      <c r="G954" s="68" t="str">
        <f t="shared" si="99"/>
        <v>SINGLE</v>
      </c>
      <c r="H954" s="197">
        <f t="shared" si="74"/>
        <v>31</v>
      </c>
      <c r="I954" s="197">
        <v>7</v>
      </c>
      <c r="J954" s="197">
        <v>30</v>
      </c>
      <c r="K954" s="186">
        <f t="shared" si="100"/>
        <v>45868</v>
      </c>
      <c r="L954" s="3" t="s">
        <v>2391</v>
      </c>
      <c r="M954" s="3" t="s">
        <v>1468</v>
      </c>
      <c r="N954" s="3" t="str">
        <f t="shared" si="80"/>
        <v/>
      </c>
      <c r="O954" s="408"/>
      <c r="P954" s="408"/>
      <c r="Q954" s="408"/>
      <c r="R954" s="408"/>
      <c r="S954" s="408"/>
      <c r="T954" s="408"/>
      <c r="U954" s="408"/>
      <c r="V954" s="421"/>
      <c r="W954" s="421"/>
      <c r="X954" s="421"/>
      <c r="Y954" s="421"/>
      <c r="Z954" s="421"/>
      <c r="AA954" s="421"/>
      <c r="AB954" s="421"/>
      <c r="AC954" s="421"/>
      <c r="AD954" s="421"/>
      <c r="AE954" s="421"/>
      <c r="AF954" s="421"/>
      <c r="AG954" s="421"/>
      <c r="AH954" s="421"/>
      <c r="AI954" s="421"/>
      <c r="AJ954" s="421"/>
      <c r="AK954" s="421"/>
      <c r="AL954" s="421"/>
    </row>
    <row r="955" spans="1:38">
      <c r="A955" s="3">
        <v>5886</v>
      </c>
      <c r="B955" s="83">
        <f t="array" ref="B955">SUM(--(FREQUENCY(IF(C$2:C$3083=C955, MATCH(D$2:D$3083, D$2:D$3083, 0)), ROW(D$2:D$3083)-ROW(D$2)+1) &gt; 0))</f>
        <v>63</v>
      </c>
      <c r="C955" s="3">
        <v>41200006</v>
      </c>
      <c r="D955" s="6" t="s">
        <v>2588</v>
      </c>
      <c r="E955" s="3" t="s">
        <v>1405</v>
      </c>
      <c r="F955" s="3" t="s">
        <v>1477</v>
      </c>
      <c r="G955" s="68" t="str">
        <f t="shared" si="99"/>
        <v>SINGLE</v>
      </c>
      <c r="H955" s="197">
        <f t="shared" si="74"/>
        <v>31</v>
      </c>
      <c r="I955" s="197">
        <v>7</v>
      </c>
      <c r="J955" s="197">
        <v>30</v>
      </c>
      <c r="K955" s="186">
        <f t="shared" si="100"/>
        <v>45868</v>
      </c>
      <c r="L955" s="3" t="s">
        <v>2391</v>
      </c>
      <c r="M955" s="3" t="s">
        <v>1468</v>
      </c>
      <c r="N955" s="3" t="str">
        <f t="shared" si="80"/>
        <v>NG</v>
      </c>
      <c r="O955" s="408" t="s">
        <v>2368</v>
      </c>
      <c r="P955" s="408" t="s">
        <v>2589</v>
      </c>
      <c r="Q955" s="408"/>
      <c r="R955" s="408"/>
      <c r="S955" s="408" t="s">
        <v>2590</v>
      </c>
      <c r="T955" s="408"/>
      <c r="U955" s="408"/>
      <c r="V955" s="421"/>
      <c r="W955" s="421"/>
      <c r="X955" s="421"/>
      <c r="Y955" s="421"/>
      <c r="Z955" s="421"/>
      <c r="AA955" s="421"/>
      <c r="AB955" s="421"/>
      <c r="AC955" s="421"/>
      <c r="AD955" s="421"/>
      <c r="AE955" s="421"/>
      <c r="AF955" s="421"/>
      <c r="AG955" s="421"/>
      <c r="AH955" s="421"/>
      <c r="AI955" s="421"/>
      <c r="AJ955" s="421"/>
      <c r="AK955" s="421"/>
      <c r="AL955" s="421"/>
    </row>
    <row r="956" spans="1:38">
      <c r="A956" s="3">
        <v>5886</v>
      </c>
      <c r="B956" s="83">
        <f t="array" ref="B956">SUM(--(FREQUENCY(IF(C$2:C$3083=C956, MATCH(D$2:D$3083, D$2:D$3083, 0)), ROW(D$2:D$3083)-ROW(D$2)+1) &gt; 0))</f>
        <v>63</v>
      </c>
      <c r="C956" s="3">
        <v>41200006</v>
      </c>
      <c r="D956" s="6" t="s">
        <v>2588</v>
      </c>
      <c r="E956" s="3" t="s">
        <v>1405</v>
      </c>
      <c r="F956" s="3" t="s">
        <v>1477</v>
      </c>
      <c r="G956" s="68" t="str">
        <f t="shared" ref="G956" si="101">IF(OR(ISNUMBER(SEARCH("DUAL",F956)), ISNUMBER(SEARCH("IVAS",F956))), "DUAL", "SINGLE")</f>
        <v>SINGLE</v>
      </c>
      <c r="H956" s="197">
        <f t="shared" si="74"/>
        <v>31</v>
      </c>
      <c r="I956" s="197">
        <v>7</v>
      </c>
      <c r="J956" s="197">
        <v>30</v>
      </c>
      <c r="K956" s="186">
        <f t="shared" ref="K956" si="102">DATE(2025, I956, J956)</f>
        <v>45868</v>
      </c>
      <c r="L956" s="3" t="s">
        <v>2391</v>
      </c>
      <c r="M956" s="3" t="s">
        <v>1468</v>
      </c>
      <c r="N956" s="3" t="str">
        <f t="shared" si="80"/>
        <v>NG</v>
      </c>
      <c r="O956" s="408" t="s">
        <v>2368</v>
      </c>
      <c r="P956" s="408" t="s">
        <v>2371</v>
      </c>
      <c r="Q956" s="418" t="s">
        <v>2591</v>
      </c>
      <c r="R956" s="408" t="s">
        <v>2592</v>
      </c>
      <c r="S956" s="419" t="s">
        <v>2593</v>
      </c>
      <c r="T956" s="408"/>
      <c r="U956" s="408"/>
      <c r="V956" s="421"/>
      <c r="W956" s="421"/>
      <c r="X956" s="421"/>
      <c r="Y956" s="421"/>
      <c r="Z956" s="421"/>
      <c r="AA956" s="421"/>
      <c r="AB956" s="421"/>
      <c r="AC956" s="421"/>
      <c r="AD956" s="421"/>
      <c r="AE956" s="421"/>
      <c r="AF956" s="421"/>
      <c r="AG956" s="421"/>
      <c r="AH956" s="421"/>
      <c r="AI956" s="421"/>
      <c r="AJ956" s="421"/>
      <c r="AK956" s="421"/>
      <c r="AL956" s="421"/>
    </row>
    <row r="957" spans="1:38">
      <c r="A957" s="3">
        <v>5886</v>
      </c>
      <c r="B957" s="83">
        <f t="array" ref="B957">SUM(--(FREQUENCY(IF(C$2:C$3083=C957, MATCH(D$2:D$3083, D$2:D$3083, 0)), ROW(D$2:D$3083)-ROW(D$2)+1) &gt; 0))</f>
        <v>63</v>
      </c>
      <c r="C957" s="3">
        <v>41200006</v>
      </c>
      <c r="D957" s="6" t="s">
        <v>2594</v>
      </c>
      <c r="E957" s="3" t="s">
        <v>1405</v>
      </c>
      <c r="F957" s="3" t="s">
        <v>1477</v>
      </c>
      <c r="G957" s="68" t="str">
        <f t="shared" si="99"/>
        <v>SINGLE</v>
      </c>
      <c r="H957" s="197">
        <f t="shared" si="74"/>
        <v>31</v>
      </c>
      <c r="I957" s="197">
        <v>7</v>
      </c>
      <c r="J957" s="197">
        <v>30</v>
      </c>
      <c r="K957" s="186">
        <f t="shared" si="100"/>
        <v>45868</v>
      </c>
      <c r="L957" s="3" t="s">
        <v>2391</v>
      </c>
      <c r="M957" s="3" t="s">
        <v>1468</v>
      </c>
      <c r="N957" s="3" t="str">
        <f t="shared" si="80"/>
        <v>NG</v>
      </c>
      <c r="O957" s="408" t="s">
        <v>2368</v>
      </c>
      <c r="P957" s="408" t="s">
        <v>2371</v>
      </c>
      <c r="Q957" s="408">
        <v>11001968</v>
      </c>
      <c r="R957" s="408" t="s">
        <v>473</v>
      </c>
      <c r="S957" s="408" t="s">
        <v>2595</v>
      </c>
      <c r="T957" s="408"/>
      <c r="U957" s="408"/>
      <c r="V957" s="421"/>
      <c r="W957" s="421"/>
      <c r="X957" s="421"/>
      <c r="Y957" s="421"/>
      <c r="Z957" s="421"/>
      <c r="AA957" s="421"/>
      <c r="AB957" s="421"/>
      <c r="AC957" s="421"/>
      <c r="AD957" s="421"/>
      <c r="AE957" s="421"/>
      <c r="AF957" s="421"/>
      <c r="AG957" s="421"/>
      <c r="AH957" s="421"/>
      <c r="AI957" s="421"/>
      <c r="AJ957" s="421"/>
      <c r="AK957" s="421"/>
      <c r="AL957" s="421"/>
    </row>
    <row r="958" spans="1:38">
      <c r="A958" s="3">
        <v>5891</v>
      </c>
      <c r="B958" s="83">
        <f t="array" ref="B958">SUM(--(FREQUENCY(IF(C$2:C$3082=C958, MATCH(D$2:D$3082, D$2:D$3082, 0)), ROW(D$2:D$3082)-ROW(D$2)+1) &gt; 0))</f>
        <v>15</v>
      </c>
      <c r="C958" s="3">
        <v>41200124</v>
      </c>
      <c r="D958" s="6" t="s">
        <v>2596</v>
      </c>
      <c r="E958" s="3" t="s">
        <v>1585</v>
      </c>
      <c r="F958" s="3" t="s">
        <v>1476</v>
      </c>
      <c r="G958" s="68" t="str">
        <f t="shared" ref="G958:G965" si="103">IF(OR(ISNUMBER(SEARCH("DUAL",F958)), ISNUMBER(SEARCH("IVAS",F958))), "DUAL", "SINGLE")</f>
        <v>DUAL</v>
      </c>
      <c r="H958" s="197">
        <f t="shared" si="74"/>
        <v>31</v>
      </c>
      <c r="I958" s="197">
        <v>7</v>
      </c>
      <c r="J958" s="197">
        <v>31</v>
      </c>
      <c r="K958" s="186">
        <f t="shared" ref="K958:K965" si="104">DATE(2025, I958, J958)</f>
        <v>45869</v>
      </c>
      <c r="L958" s="3" t="s">
        <v>2395</v>
      </c>
      <c r="M958" s="3" t="s">
        <v>2392</v>
      </c>
      <c r="N958" s="3" t="str">
        <f t="shared" si="80"/>
        <v/>
      </c>
      <c r="O958" s="408"/>
      <c r="P958" s="408"/>
      <c r="Q958" s="408"/>
      <c r="R958" s="408"/>
      <c r="S958" s="408"/>
      <c r="T958" s="408"/>
      <c r="U958" s="408"/>
      <c r="V958" s="421"/>
      <c r="W958" s="421"/>
      <c r="X958" s="421"/>
      <c r="Y958" s="421"/>
      <c r="Z958" s="421"/>
      <c r="AA958" s="421"/>
      <c r="AB958" s="421"/>
      <c r="AC958" s="421"/>
      <c r="AD958" s="421"/>
      <c r="AE958" s="421"/>
      <c r="AF958" s="421"/>
      <c r="AG958" s="421"/>
      <c r="AH958" s="421"/>
      <c r="AI958" s="421"/>
      <c r="AJ958" s="421"/>
      <c r="AK958" s="421"/>
      <c r="AL958" s="421"/>
    </row>
    <row r="959" spans="1:38">
      <c r="A959" s="3">
        <v>5774</v>
      </c>
      <c r="B959" s="83">
        <f t="array" ref="B959">SUM(--(FREQUENCY(IF(C$2:C$3082=C959, MATCH(D$2:D$3082, D$2:D$3082, 0)), ROW(D$2:D$3082)-ROW(D$2)+1) &gt; 0))</f>
        <v>20</v>
      </c>
      <c r="C959" s="3">
        <v>41100435</v>
      </c>
      <c r="D959" s="6" t="s">
        <v>2597</v>
      </c>
      <c r="E959" s="3" t="s">
        <v>1585</v>
      </c>
      <c r="F959" s="3" t="s">
        <v>1482</v>
      </c>
      <c r="G959" s="68" t="str">
        <f t="shared" si="103"/>
        <v>SINGLE</v>
      </c>
      <c r="H959" s="197">
        <f t="shared" si="74"/>
        <v>31</v>
      </c>
      <c r="I959" s="197">
        <v>7</v>
      </c>
      <c r="J959" s="197">
        <v>31</v>
      </c>
      <c r="K959" s="186">
        <f t="shared" si="104"/>
        <v>45869</v>
      </c>
      <c r="L959" s="3" t="s">
        <v>2395</v>
      </c>
      <c r="M959" s="3" t="s">
        <v>2392</v>
      </c>
      <c r="N959" s="3" t="str">
        <f t="shared" si="80"/>
        <v/>
      </c>
      <c r="O959" s="408"/>
      <c r="P959" s="408"/>
      <c r="Q959" s="408"/>
      <c r="R959" s="408"/>
      <c r="S959" s="408"/>
      <c r="T959" s="408"/>
      <c r="U959" s="408"/>
      <c r="V959" s="421"/>
      <c r="W959" s="421"/>
      <c r="X959" s="421"/>
      <c r="Y959" s="421"/>
      <c r="Z959" s="421"/>
      <c r="AA959" s="421"/>
      <c r="AB959" s="421"/>
      <c r="AC959" s="421"/>
      <c r="AD959" s="421"/>
      <c r="AE959" s="421"/>
      <c r="AF959" s="421"/>
      <c r="AG959" s="421"/>
      <c r="AH959" s="421"/>
      <c r="AI959" s="421"/>
      <c r="AJ959" s="421"/>
      <c r="AK959" s="421"/>
      <c r="AL959" s="421"/>
    </row>
    <row r="960" spans="1:38">
      <c r="A960" s="3">
        <v>5776</v>
      </c>
      <c r="B960" s="83">
        <f t="array" ref="B960">SUM(--(FREQUENCY(IF(C$2:C$3082=C960, MATCH(D$2:D$3082, D$2:D$3082, 0)), ROW(D$2:D$3082)-ROW(D$2)+1) &gt; 0))</f>
        <v>12</v>
      </c>
      <c r="C960" s="3">
        <v>41100502</v>
      </c>
      <c r="D960" s="6" t="s">
        <v>2598</v>
      </c>
      <c r="E960" s="3" t="s">
        <v>1585</v>
      </c>
      <c r="F960" s="3" t="s">
        <v>1591</v>
      </c>
      <c r="G960" s="68" t="str">
        <f t="shared" si="103"/>
        <v>SINGLE</v>
      </c>
      <c r="H960" s="197">
        <f t="shared" si="74"/>
        <v>31</v>
      </c>
      <c r="I960" s="197">
        <v>7</v>
      </c>
      <c r="J960" s="197">
        <v>31</v>
      </c>
      <c r="K960" s="186">
        <f t="shared" si="104"/>
        <v>45869</v>
      </c>
      <c r="L960" s="3" t="s">
        <v>2395</v>
      </c>
      <c r="M960" s="3" t="s">
        <v>2392</v>
      </c>
      <c r="N960" s="3" t="str">
        <f t="shared" si="80"/>
        <v/>
      </c>
      <c r="O960" s="408"/>
      <c r="P960" s="408"/>
      <c r="Q960" s="408"/>
      <c r="R960" s="408"/>
      <c r="S960" s="408"/>
      <c r="T960" s="408"/>
      <c r="U960" s="408"/>
      <c r="V960" s="421"/>
      <c r="W960" s="421"/>
      <c r="X960" s="421"/>
      <c r="Y960" s="421"/>
      <c r="Z960" s="421"/>
      <c r="AA960" s="421"/>
      <c r="AB960" s="421"/>
      <c r="AC960" s="421"/>
      <c r="AD960" s="421"/>
      <c r="AE960" s="421"/>
      <c r="AF960" s="421"/>
      <c r="AG960" s="421"/>
      <c r="AH960" s="421"/>
      <c r="AI960" s="421"/>
      <c r="AJ960" s="421"/>
      <c r="AK960" s="421"/>
      <c r="AL960" s="421"/>
    </row>
    <row r="961" spans="1:38">
      <c r="A961" s="3">
        <v>5776</v>
      </c>
      <c r="B961" s="83">
        <f t="array" ref="B961">SUM(--(FREQUENCY(IF(C$2:C$3082=C961, MATCH(D$2:D$3082, D$2:D$3082, 0)), ROW(D$2:D$3082)-ROW(D$2)+1) &gt; 0))</f>
        <v>12</v>
      </c>
      <c r="C961" s="3">
        <v>41100502</v>
      </c>
      <c r="D961" s="6" t="s">
        <v>2599</v>
      </c>
      <c r="E961" s="3" t="s">
        <v>1585</v>
      </c>
      <c r="F961" s="3" t="s">
        <v>1591</v>
      </c>
      <c r="G961" s="68" t="str">
        <f t="shared" si="103"/>
        <v>SINGLE</v>
      </c>
      <c r="H961" s="197">
        <f t="shared" ref="H961:H965" si="105">WEEKNUM(K961)</f>
        <v>31</v>
      </c>
      <c r="I961" s="197">
        <v>7</v>
      </c>
      <c r="J961" s="197">
        <v>31</v>
      </c>
      <c r="K961" s="186">
        <f t="shared" si="104"/>
        <v>45869</v>
      </c>
      <c r="L961" s="3" t="s">
        <v>2395</v>
      </c>
      <c r="M961" s="3" t="s">
        <v>2392</v>
      </c>
      <c r="N961" s="3" t="str">
        <f t="shared" si="80"/>
        <v/>
      </c>
      <c r="O961" s="408"/>
      <c r="P961" s="408"/>
      <c r="Q961" s="408"/>
      <c r="R961" s="408"/>
      <c r="S961" s="408"/>
      <c r="T961" s="408"/>
      <c r="U961" s="408"/>
      <c r="V961" s="421"/>
      <c r="W961" s="421"/>
      <c r="X961" s="421"/>
      <c r="Y961" s="421"/>
      <c r="Z961" s="421"/>
      <c r="AA961" s="421"/>
      <c r="AB961" s="421"/>
      <c r="AC961" s="421"/>
      <c r="AD961" s="421"/>
      <c r="AE961" s="421"/>
      <c r="AF961" s="421"/>
      <c r="AG961" s="421"/>
      <c r="AH961" s="421"/>
      <c r="AI961" s="421"/>
      <c r="AJ961" s="421"/>
      <c r="AK961" s="421"/>
      <c r="AL961" s="421"/>
    </row>
    <row r="962" spans="1:38">
      <c r="A962" s="3">
        <v>5871</v>
      </c>
      <c r="B962" s="83">
        <f t="array" ref="B962">SUM(--(FREQUENCY(IF(C$2:C$3082=C962, MATCH(D$2:D$3082, D$2:D$3082, 0)), ROW(D$2:D$3082)-ROW(D$2)+1) &gt; 0))</f>
        <v>15</v>
      </c>
      <c r="C962" s="3">
        <v>41200124</v>
      </c>
      <c r="D962" s="6" t="s">
        <v>2600</v>
      </c>
      <c r="E962" s="3" t="s">
        <v>1585</v>
      </c>
      <c r="F962" s="3" t="s">
        <v>1476</v>
      </c>
      <c r="G962" s="68" t="str">
        <f t="shared" si="103"/>
        <v>DUAL</v>
      </c>
      <c r="H962" s="197">
        <f t="shared" si="105"/>
        <v>31</v>
      </c>
      <c r="I962" s="197">
        <v>7</v>
      </c>
      <c r="J962" s="197">
        <v>31</v>
      </c>
      <c r="K962" s="186">
        <f t="shared" si="104"/>
        <v>45869</v>
      </c>
      <c r="L962" s="3" t="s">
        <v>2391</v>
      </c>
      <c r="M962" s="3" t="s">
        <v>1468</v>
      </c>
      <c r="N962" s="3" t="str">
        <f t="shared" si="80"/>
        <v/>
      </c>
      <c r="O962" s="408"/>
      <c r="P962" s="408"/>
      <c r="Q962" s="408"/>
      <c r="R962" s="408"/>
      <c r="S962" s="408"/>
      <c r="T962" s="408"/>
      <c r="U962" s="408"/>
      <c r="V962" s="421"/>
      <c r="W962" s="421"/>
      <c r="X962" s="421"/>
      <c r="Y962" s="421"/>
      <c r="Z962" s="421"/>
      <c r="AA962" s="421"/>
      <c r="AB962" s="421"/>
      <c r="AC962" s="421"/>
      <c r="AD962" s="421"/>
      <c r="AE962" s="421"/>
      <c r="AF962" s="421"/>
      <c r="AG962" s="421"/>
      <c r="AH962" s="421"/>
      <c r="AI962" s="421"/>
      <c r="AJ962" s="421"/>
      <c r="AK962" s="421"/>
      <c r="AL962" s="421"/>
    </row>
    <row r="963" spans="1:38">
      <c r="A963" s="3">
        <v>5871</v>
      </c>
      <c r="B963" s="83">
        <f t="array" ref="B963">SUM(--(FREQUENCY(IF(C$2:C$3082=C963, MATCH(D$2:D$3082, D$2:D$3082, 0)), ROW(D$2:D$3082)-ROW(D$2)+1) &gt; 0))</f>
        <v>15</v>
      </c>
      <c r="C963" s="3">
        <v>41200124</v>
      </c>
      <c r="D963" s="6" t="s">
        <v>2601</v>
      </c>
      <c r="E963" s="3" t="s">
        <v>1585</v>
      </c>
      <c r="F963" s="3" t="s">
        <v>1476</v>
      </c>
      <c r="G963" s="68" t="str">
        <f t="shared" ref="G963" si="106">IF(OR(ISNUMBER(SEARCH("DUAL",F963)), ISNUMBER(SEARCH("IVAS",F963))), "DUAL", "SINGLE")</f>
        <v>DUAL</v>
      </c>
      <c r="H963" s="197">
        <f t="shared" ref="H963" si="107">WEEKNUM(K963)</f>
        <v>31</v>
      </c>
      <c r="I963" s="197">
        <v>7</v>
      </c>
      <c r="J963" s="197">
        <v>31</v>
      </c>
      <c r="K963" s="186">
        <f t="shared" ref="K963" si="108">DATE(2025, I963, J963)</f>
        <v>45869</v>
      </c>
      <c r="L963" s="3" t="s">
        <v>2391</v>
      </c>
      <c r="M963" s="3" t="s">
        <v>1468</v>
      </c>
      <c r="N963" s="3" t="str">
        <f t="shared" ref="N963" si="109">IF(O963&lt;&gt;"", "NG", "")</f>
        <v>NG</v>
      </c>
      <c r="O963" s="408" t="s">
        <v>2368</v>
      </c>
      <c r="P963" s="408" t="s">
        <v>2496</v>
      </c>
      <c r="Q963" s="408"/>
      <c r="R963" s="408" t="s">
        <v>2602</v>
      </c>
      <c r="S963" s="408" t="s">
        <v>2603</v>
      </c>
      <c r="T963" s="408"/>
      <c r="U963" s="408"/>
      <c r="V963" s="421"/>
      <c r="W963" s="421"/>
      <c r="X963" s="421"/>
      <c r="Y963" s="421"/>
      <c r="Z963" s="421"/>
      <c r="AA963" s="421"/>
      <c r="AB963" s="421"/>
      <c r="AC963" s="421"/>
      <c r="AD963" s="421"/>
      <c r="AE963" s="421"/>
      <c r="AF963" s="421"/>
      <c r="AG963" s="421"/>
      <c r="AH963" s="421"/>
      <c r="AI963" s="421"/>
      <c r="AJ963" s="421"/>
      <c r="AK963" s="421"/>
      <c r="AL963" s="421"/>
    </row>
    <row r="964" spans="1:38">
      <c r="A964" s="3">
        <v>5871</v>
      </c>
      <c r="B964" s="83">
        <f t="array" ref="B964">SUM(--(FREQUENCY(IF(C$2:C$3082=C964, MATCH(D$2:D$3082, D$2:D$3082, 0)), ROW(D$2:D$3082)-ROW(D$2)+1) &gt; 0))</f>
        <v>15</v>
      </c>
      <c r="C964" s="3">
        <v>41200124</v>
      </c>
      <c r="D964" s="6" t="s">
        <v>2601</v>
      </c>
      <c r="E964" s="3" t="s">
        <v>1585</v>
      </c>
      <c r="F964" s="3" t="s">
        <v>1476</v>
      </c>
      <c r="G964" s="68" t="str">
        <f t="shared" ref="G964" si="110">IF(OR(ISNUMBER(SEARCH("DUAL",F964)), ISNUMBER(SEARCH("IVAS",F964))), "DUAL", "SINGLE")</f>
        <v>DUAL</v>
      </c>
      <c r="H964" s="197">
        <f t="shared" ref="H964" si="111">WEEKNUM(K964)</f>
        <v>31</v>
      </c>
      <c r="I964" s="197">
        <v>7</v>
      </c>
      <c r="J964" s="197">
        <v>31</v>
      </c>
      <c r="K964" s="186">
        <f t="shared" ref="K964" si="112">DATE(2025, I964, J964)</f>
        <v>45869</v>
      </c>
      <c r="L964" s="3" t="s">
        <v>2391</v>
      </c>
      <c r="M964" s="3" t="s">
        <v>1468</v>
      </c>
      <c r="N964" s="3" t="str">
        <f t="shared" ref="N964" si="113">IF(O964&lt;&gt;"", "NG", "")</f>
        <v>NG</v>
      </c>
      <c r="O964" s="408" t="s">
        <v>2368</v>
      </c>
      <c r="P964" s="408" t="s">
        <v>2371</v>
      </c>
      <c r="Q964" s="408">
        <v>11001962</v>
      </c>
      <c r="R964" s="408" t="s">
        <v>562</v>
      </c>
      <c r="S964" s="408" t="s">
        <v>2604</v>
      </c>
      <c r="T964" s="408"/>
      <c r="U964" s="408"/>
      <c r="V964" s="421"/>
      <c r="W964" s="421"/>
      <c r="X964" s="421"/>
      <c r="Y964" s="421"/>
      <c r="Z964" s="421"/>
      <c r="AA964" s="421"/>
      <c r="AB964" s="421"/>
      <c r="AC964" s="421"/>
      <c r="AD964" s="421"/>
      <c r="AE964" s="421"/>
      <c r="AF964" s="421"/>
      <c r="AG964" s="421"/>
      <c r="AH964" s="421"/>
      <c r="AI964" s="421"/>
      <c r="AJ964" s="421"/>
      <c r="AK964" s="421"/>
      <c r="AL964" s="421"/>
    </row>
    <row r="965" spans="1:38">
      <c r="A965" s="3">
        <v>5880</v>
      </c>
      <c r="B965" s="83">
        <f t="array" ref="B965">SUM(--(FREQUENCY(IF(C$2:C$3082=C965, MATCH(D$2:D$3082, D$2:D$3082, 0)), ROW(D$2:D$3082)-ROW(D$2)+1) &gt; 0))</f>
        <v>29</v>
      </c>
      <c r="C965" s="3">
        <v>41200127</v>
      </c>
      <c r="D965" s="6" t="s">
        <v>2605</v>
      </c>
      <c r="E965" s="3" t="s">
        <v>1431</v>
      </c>
      <c r="F965" s="3" t="s">
        <v>1591</v>
      </c>
      <c r="G965" s="68" t="str">
        <f t="shared" si="103"/>
        <v>SINGLE</v>
      </c>
      <c r="H965" s="197">
        <f t="shared" si="105"/>
        <v>31</v>
      </c>
      <c r="I965" s="197">
        <v>7</v>
      </c>
      <c r="J965" s="197">
        <v>31</v>
      </c>
      <c r="K965" s="186">
        <f t="shared" si="104"/>
        <v>45869</v>
      </c>
      <c r="L965" s="3" t="s">
        <v>2391</v>
      </c>
      <c r="M965" s="3" t="s">
        <v>1468</v>
      </c>
      <c r="N965" s="3" t="str">
        <f t="shared" si="80"/>
        <v/>
      </c>
      <c r="O965" s="408"/>
      <c r="P965" s="408"/>
      <c r="Q965" s="408"/>
      <c r="R965" s="408"/>
      <c r="S965" s="408"/>
      <c r="T965" s="408"/>
      <c r="U965" s="408"/>
      <c r="V965" s="421"/>
      <c r="W965" s="421"/>
      <c r="X965" s="421"/>
      <c r="Y965" s="421"/>
      <c r="Z965" s="421"/>
      <c r="AA965" s="421"/>
      <c r="AB965" s="421"/>
      <c r="AC965" s="421"/>
      <c r="AD965" s="421"/>
      <c r="AE965" s="421"/>
      <c r="AF965" s="421"/>
      <c r="AG965" s="421"/>
      <c r="AH965" s="421"/>
      <c r="AI965" s="421"/>
      <c r="AJ965" s="421"/>
      <c r="AK965" s="421"/>
      <c r="AL965" s="421"/>
    </row>
    <row r="966" spans="1:38">
      <c r="A966" s="3">
        <v>5846</v>
      </c>
      <c r="B966" s="83">
        <f t="array" ref="B966">SUM(--(FREQUENCY(IF(C$2:C$3082=C966, MATCH(D$2:D$3082, D$2:D$3082, 0)), ROW(D$2:D$3082)-ROW(D$2)+1) &gt; 0))</f>
        <v>2</v>
      </c>
      <c r="C966" s="3">
        <v>41100448</v>
      </c>
      <c r="D966" s="6" t="s">
        <v>2606</v>
      </c>
      <c r="E966" s="3" t="s">
        <v>1585</v>
      </c>
      <c r="F966" s="3" t="s">
        <v>1591</v>
      </c>
      <c r="G966" s="68" t="str">
        <f t="shared" ref="G966:G996" si="114">IF(OR(ISNUMBER(SEARCH("DUAL",F966)), ISNUMBER(SEARCH("IVAS",F966))), "DUAL", "SINGLE")</f>
        <v>SINGLE</v>
      </c>
      <c r="H966" s="197">
        <f>WEEKNUM(K966)</f>
        <v>31</v>
      </c>
      <c r="I966" s="197">
        <v>8</v>
      </c>
      <c r="J966" s="197">
        <v>1</v>
      </c>
      <c r="K966" s="186">
        <f t="shared" ref="K966:K973" si="115">DATE(2025, I966, J966)</f>
        <v>45870</v>
      </c>
      <c r="L966" s="3" t="s">
        <v>2391</v>
      </c>
      <c r="M966" s="3" t="s">
        <v>2392</v>
      </c>
      <c r="N966" s="3" t="str">
        <f t="shared" si="80"/>
        <v/>
      </c>
      <c r="O966" s="408"/>
      <c r="P966" s="408"/>
      <c r="Q966" s="408"/>
      <c r="R966" s="408"/>
      <c r="S966" s="408"/>
      <c r="T966" s="408"/>
      <c r="U966" s="408"/>
      <c r="V966" s="421"/>
      <c r="W966" s="421"/>
      <c r="X966" s="421"/>
      <c r="Y966" s="421"/>
      <c r="Z966" s="421"/>
      <c r="AA966" s="421"/>
      <c r="AB966" s="421"/>
      <c r="AC966" s="421"/>
      <c r="AD966" s="421"/>
      <c r="AE966" s="421"/>
      <c r="AF966" s="421"/>
      <c r="AG966" s="421"/>
      <c r="AH966" s="421"/>
      <c r="AI966" s="421"/>
      <c r="AJ966" s="421"/>
      <c r="AK966" s="421"/>
      <c r="AL966" s="421"/>
    </row>
    <row r="967" spans="1:38">
      <c r="A967" s="3">
        <v>5846</v>
      </c>
      <c r="B967" s="83">
        <f t="array" ref="B967">SUM(--(FREQUENCY(IF(C$2:C$3082=C967, MATCH(D$2:D$3082, D$2:D$3082, 0)), ROW(D$2:D$3082)-ROW(D$2)+1) &gt; 0))</f>
        <v>2</v>
      </c>
      <c r="C967" s="3">
        <v>41100448</v>
      </c>
      <c r="D967" s="6" t="s">
        <v>2607</v>
      </c>
      <c r="E967" s="3" t="s">
        <v>1585</v>
      </c>
      <c r="F967" s="3" t="s">
        <v>1591</v>
      </c>
      <c r="G967" s="68" t="str">
        <f t="shared" si="114"/>
        <v>SINGLE</v>
      </c>
      <c r="H967" s="197">
        <f t="shared" ref="H967:H971" si="116">WEEKNUM(K967)</f>
        <v>31</v>
      </c>
      <c r="I967" s="197">
        <v>8</v>
      </c>
      <c r="J967" s="197">
        <v>1</v>
      </c>
      <c r="K967" s="186">
        <f t="shared" si="115"/>
        <v>45870</v>
      </c>
      <c r="L967" s="3" t="s">
        <v>2391</v>
      </c>
      <c r="M967" s="3" t="s">
        <v>2392</v>
      </c>
      <c r="N967" s="3" t="str">
        <f t="shared" ref="N967:N1030" si="117">IF(O967&lt;&gt;"", "NG", "")</f>
        <v/>
      </c>
      <c r="O967" s="408"/>
      <c r="P967" s="408"/>
      <c r="Q967" s="408"/>
      <c r="R967" s="408"/>
      <c r="S967" s="408"/>
      <c r="T967" s="408"/>
      <c r="U967" s="408"/>
      <c r="V967" s="421"/>
      <c r="W967" s="421"/>
      <c r="X967" s="421"/>
      <c r="Y967" s="421"/>
      <c r="Z967" s="421"/>
      <c r="AA967" s="421"/>
      <c r="AB967" s="421"/>
      <c r="AC967" s="421"/>
      <c r="AD967" s="421"/>
      <c r="AE967" s="421"/>
      <c r="AF967" s="421"/>
      <c r="AG967" s="421"/>
      <c r="AH967" s="421"/>
      <c r="AI967" s="421"/>
      <c r="AJ967" s="421"/>
      <c r="AK967" s="421"/>
      <c r="AL967" s="421"/>
    </row>
    <row r="968" spans="1:38">
      <c r="A968" s="3">
        <v>5822</v>
      </c>
      <c r="B968" s="83">
        <f t="array" ref="B968">SUM(--(FREQUENCY(IF(C$2:C$3082=C968, MATCH(D$2:D$3082, D$2:D$3082, 0)), ROW(D$2:D$3082)-ROW(D$2)+1) &gt; 0))</f>
        <v>63</v>
      </c>
      <c r="C968" s="3">
        <v>41200006</v>
      </c>
      <c r="D968" s="6" t="s">
        <v>2608</v>
      </c>
      <c r="E968" s="3" t="s">
        <v>1405</v>
      </c>
      <c r="F968" s="3" t="s">
        <v>1477</v>
      </c>
      <c r="G968" s="68" t="str">
        <f t="shared" si="114"/>
        <v>SINGLE</v>
      </c>
      <c r="H968" s="197">
        <f t="shared" si="116"/>
        <v>31</v>
      </c>
      <c r="I968" s="197">
        <v>8</v>
      </c>
      <c r="J968" s="197">
        <v>1</v>
      </c>
      <c r="K968" s="186">
        <f t="shared" si="115"/>
        <v>45870</v>
      </c>
      <c r="L968" s="3" t="s">
        <v>2395</v>
      </c>
      <c r="M968" s="3" t="s">
        <v>2392</v>
      </c>
      <c r="N968" s="3" t="str">
        <f t="shared" si="117"/>
        <v>NG</v>
      </c>
      <c r="O968" s="408" t="s">
        <v>2368</v>
      </c>
      <c r="P968" s="408" t="s">
        <v>2541</v>
      </c>
      <c r="Q968" s="408">
        <v>11100709</v>
      </c>
      <c r="R968" s="408" t="s">
        <v>2560</v>
      </c>
      <c r="S968" s="408" t="s">
        <v>2609</v>
      </c>
      <c r="T968" s="408"/>
      <c r="U968" s="408"/>
      <c r="V968" s="421"/>
      <c r="W968" s="421"/>
      <c r="X968" s="421"/>
      <c r="Y968" s="421"/>
      <c r="Z968" s="421"/>
      <c r="AA968" s="421"/>
      <c r="AB968" s="421"/>
      <c r="AC968" s="421"/>
      <c r="AD968" s="421"/>
      <c r="AE968" s="421"/>
      <c r="AF968" s="421"/>
      <c r="AG968" s="421"/>
      <c r="AH968" s="421"/>
      <c r="AI968" s="421"/>
      <c r="AJ968" s="421"/>
      <c r="AK968" s="421"/>
      <c r="AL968" s="421"/>
    </row>
    <row r="969" spans="1:38">
      <c r="A969" s="3">
        <v>5822</v>
      </c>
      <c r="B969" s="83">
        <f t="array" ref="B969">SUM(--(FREQUENCY(IF(C$2:C$3082=C969, MATCH(D$2:D$3082, D$2:D$3082, 0)), ROW(D$2:D$3082)-ROW(D$2)+1) &gt; 0))</f>
        <v>63</v>
      </c>
      <c r="C969" s="3">
        <v>41200006</v>
      </c>
      <c r="D969" s="6" t="s">
        <v>2608</v>
      </c>
      <c r="E969" s="3" t="s">
        <v>1405</v>
      </c>
      <c r="F969" s="3" t="s">
        <v>1477</v>
      </c>
      <c r="G969" s="68" t="str">
        <f t="shared" si="114"/>
        <v>SINGLE</v>
      </c>
      <c r="H969" s="197">
        <f t="shared" ref="H969" si="118">WEEKNUM(K969)</f>
        <v>31</v>
      </c>
      <c r="I969" s="197">
        <v>8</v>
      </c>
      <c r="J969" s="197">
        <v>1</v>
      </c>
      <c r="K969" s="186">
        <f t="shared" si="115"/>
        <v>45870</v>
      </c>
      <c r="L969" s="3" t="s">
        <v>2395</v>
      </c>
      <c r="M969" s="3" t="s">
        <v>2392</v>
      </c>
      <c r="N969" s="3" t="str">
        <f t="shared" ref="N969" si="119">IF(O969&lt;&gt;"", "NG", "")</f>
        <v>NG</v>
      </c>
      <c r="O969" s="408" t="s">
        <v>2368</v>
      </c>
      <c r="P969" s="408" t="s">
        <v>2563</v>
      </c>
      <c r="Q969" s="408">
        <v>13103775</v>
      </c>
      <c r="R969" s="408" t="s">
        <v>378</v>
      </c>
      <c r="S969" s="408" t="s">
        <v>2610</v>
      </c>
      <c r="T969" s="408"/>
      <c r="U969" s="408"/>
      <c r="V969" s="421"/>
      <c r="W969" s="421"/>
      <c r="X969" s="421"/>
      <c r="Y969" s="421"/>
      <c r="Z969" s="421"/>
      <c r="AA969" s="421"/>
      <c r="AB969" s="421"/>
      <c r="AC969" s="421"/>
      <c r="AD969" s="421"/>
      <c r="AE969" s="421"/>
      <c r="AF969" s="421"/>
      <c r="AG969" s="421"/>
      <c r="AH969" s="421"/>
      <c r="AI969" s="421"/>
      <c r="AJ969" s="421"/>
      <c r="AK969" s="421"/>
      <c r="AL969" s="421"/>
    </row>
    <row r="970" spans="1:38">
      <c r="A970" s="3">
        <v>5837</v>
      </c>
      <c r="B970" s="83">
        <f t="array" ref="B970">SUM(--(FREQUENCY(IF(C$2:C$3082=C970, MATCH(D$2:D$3082, D$2:D$3082, 0)), ROW(D$2:D$3082)-ROW(D$2)+1) &gt; 0))</f>
        <v>25</v>
      </c>
      <c r="C970" s="3">
        <v>41200034</v>
      </c>
      <c r="D970" s="6" t="s">
        <v>2611</v>
      </c>
      <c r="E970" s="3" t="s">
        <v>1426</v>
      </c>
      <c r="F970" s="3" t="s">
        <v>1476</v>
      </c>
      <c r="G970" s="68" t="str">
        <f t="shared" si="114"/>
        <v>DUAL</v>
      </c>
      <c r="H970" s="197">
        <f t="shared" si="116"/>
        <v>31</v>
      </c>
      <c r="I970" s="197">
        <v>8</v>
      </c>
      <c r="J970" s="197">
        <v>1</v>
      </c>
      <c r="K970" s="186">
        <f t="shared" si="115"/>
        <v>45870</v>
      </c>
      <c r="L970" s="3" t="s">
        <v>2395</v>
      </c>
      <c r="M970" s="3" t="s">
        <v>2392</v>
      </c>
      <c r="N970" s="3" t="str">
        <f t="shared" si="117"/>
        <v/>
      </c>
      <c r="O970" s="408"/>
      <c r="P970" s="408"/>
      <c r="Q970" s="408"/>
      <c r="R970" s="408"/>
      <c r="S970" s="408"/>
      <c r="T970" s="408"/>
      <c r="U970" s="408"/>
      <c r="V970" s="421"/>
      <c r="W970" s="421"/>
      <c r="X970" s="421"/>
      <c r="Y970" s="421"/>
      <c r="Z970" s="421"/>
      <c r="AA970" s="421"/>
      <c r="AB970" s="421"/>
      <c r="AC970" s="421"/>
      <c r="AD970" s="421"/>
      <c r="AE970" s="421"/>
      <c r="AF970" s="421"/>
      <c r="AG970" s="421"/>
      <c r="AH970" s="421"/>
      <c r="AI970" s="421"/>
      <c r="AJ970" s="421"/>
      <c r="AK970" s="421"/>
      <c r="AL970" s="421"/>
    </row>
    <row r="971" spans="1:38">
      <c r="A971" s="3">
        <v>5870</v>
      </c>
      <c r="B971" s="83">
        <f t="array" ref="B971">SUM(--(FREQUENCY(IF(C$2:C$3082=C971, MATCH(D$2:D$3082, D$2:D$3082, 0)), ROW(D$2:D$3082)-ROW(D$2)+1) &gt; 0))</f>
        <v>25</v>
      </c>
      <c r="C971" s="3">
        <v>41200034</v>
      </c>
      <c r="D971" s="6" t="s">
        <v>2612</v>
      </c>
      <c r="E971" s="3" t="s">
        <v>1426</v>
      </c>
      <c r="F971" s="3" t="s">
        <v>1476</v>
      </c>
      <c r="G971" s="68" t="str">
        <f t="shared" si="114"/>
        <v>DUAL</v>
      </c>
      <c r="H971" s="197">
        <f t="shared" si="116"/>
        <v>31</v>
      </c>
      <c r="I971" s="197">
        <v>8</v>
      </c>
      <c r="J971" s="197">
        <v>1</v>
      </c>
      <c r="K971" s="186">
        <f t="shared" si="115"/>
        <v>45870</v>
      </c>
      <c r="L971" s="3" t="s">
        <v>2391</v>
      </c>
      <c r="M971" s="3" t="s">
        <v>2392</v>
      </c>
      <c r="N971" s="3" t="str">
        <f t="shared" si="117"/>
        <v/>
      </c>
      <c r="O971" s="408"/>
      <c r="P971" s="408"/>
      <c r="Q971" s="408"/>
      <c r="R971" s="408"/>
      <c r="S971" s="408"/>
      <c r="T971" s="408"/>
      <c r="U971" s="408"/>
      <c r="V971" s="421"/>
      <c r="W971" s="421"/>
      <c r="X971" s="421"/>
      <c r="Y971" s="421"/>
      <c r="Z971" s="421"/>
      <c r="AA971" s="421"/>
      <c r="AB971" s="421"/>
      <c r="AC971" s="421"/>
      <c r="AD971" s="421"/>
      <c r="AE971" s="421"/>
      <c r="AF971" s="421"/>
      <c r="AG971" s="421"/>
      <c r="AH971" s="421"/>
      <c r="AI971" s="421"/>
      <c r="AJ971" s="421"/>
      <c r="AK971" s="421"/>
      <c r="AL971" s="421"/>
    </row>
    <row r="972" spans="1:38">
      <c r="A972" s="3">
        <v>5821</v>
      </c>
      <c r="B972" s="83">
        <f t="array" ref="B972">SUM(--(FREQUENCY(IF(C$2:C$3082=C972, MATCH(D$2:D$3082, D$2:D$3082, 0)), ROW(D$2:D$3082)-ROW(D$2)+1) &gt; 0))</f>
        <v>20</v>
      </c>
      <c r="C972" s="3">
        <v>41200074</v>
      </c>
      <c r="D972" s="6" t="s">
        <v>2613</v>
      </c>
      <c r="E972" s="3" t="s">
        <v>1405</v>
      </c>
      <c r="F972" s="3" t="s">
        <v>1478</v>
      </c>
      <c r="G972" s="68" t="str">
        <f t="shared" si="114"/>
        <v>DUAL</v>
      </c>
      <c r="H972" s="197">
        <f>WEEKNUM(K972)</f>
        <v>31</v>
      </c>
      <c r="I972" s="197">
        <v>8</v>
      </c>
      <c r="J972" s="197">
        <v>1</v>
      </c>
      <c r="K972" s="186">
        <f t="shared" si="115"/>
        <v>45870</v>
      </c>
      <c r="L972" s="3" t="s">
        <v>2395</v>
      </c>
      <c r="M972" s="3" t="s">
        <v>1469</v>
      </c>
      <c r="N972" s="3" t="str">
        <f t="shared" si="117"/>
        <v>NG</v>
      </c>
      <c r="O972" s="408" t="s">
        <v>2368</v>
      </c>
      <c r="P972" s="408" t="s">
        <v>2371</v>
      </c>
      <c r="Q972" s="408">
        <v>11001968</v>
      </c>
      <c r="R972" s="408" t="s">
        <v>473</v>
      </c>
      <c r="S972" s="408" t="s">
        <v>2595</v>
      </c>
      <c r="T972" s="408"/>
      <c r="U972" s="408"/>
      <c r="V972" s="421"/>
      <c r="W972" s="421"/>
      <c r="X972" s="421"/>
      <c r="Y972" s="421"/>
      <c r="Z972" s="421"/>
      <c r="AA972" s="421"/>
      <c r="AB972" s="421"/>
      <c r="AC972" s="421"/>
      <c r="AD972" s="421"/>
      <c r="AE972" s="421"/>
      <c r="AF972" s="421"/>
      <c r="AG972" s="421"/>
      <c r="AH972" s="421"/>
      <c r="AI972" s="421"/>
      <c r="AJ972" s="421"/>
      <c r="AK972" s="421"/>
      <c r="AL972" s="421"/>
    </row>
    <row r="973" spans="1:38">
      <c r="A973" s="3">
        <v>5862</v>
      </c>
      <c r="B973" s="83">
        <f t="array" ref="B973">SUM(--(FREQUENCY(IF(C$2:C$3083=C973, MATCH(D$2:D$3083, D$2:D$3083, 0)), ROW(D$2:D$3083)-ROW(D$2)+1) &gt; 0))</f>
        <v>11</v>
      </c>
      <c r="C973" s="3">
        <v>41200129</v>
      </c>
      <c r="D973" s="6" t="s">
        <v>2614</v>
      </c>
      <c r="E973" s="3" t="s">
        <v>1431</v>
      </c>
      <c r="F973" s="3" t="s">
        <v>1591</v>
      </c>
      <c r="G973" s="68" t="str">
        <f t="shared" si="114"/>
        <v>SINGLE</v>
      </c>
      <c r="H973" s="197">
        <f>WEEKNUM(K973)</f>
        <v>32</v>
      </c>
      <c r="I973" s="197">
        <v>8</v>
      </c>
      <c r="J973" s="197">
        <v>4</v>
      </c>
      <c r="K973" s="186">
        <f t="shared" si="115"/>
        <v>45873</v>
      </c>
      <c r="L973" s="3" t="s">
        <v>2395</v>
      </c>
      <c r="M973" s="3" t="s">
        <v>2392</v>
      </c>
      <c r="N973" s="3" t="str">
        <f t="shared" si="117"/>
        <v/>
      </c>
      <c r="O973" s="408"/>
      <c r="P973" s="408"/>
      <c r="Q973" s="408"/>
      <c r="R973" s="408"/>
      <c r="S973" s="408"/>
      <c r="T973" s="408"/>
      <c r="U973" s="408"/>
      <c r="V973" s="421"/>
      <c r="W973" s="421"/>
      <c r="X973" s="421"/>
      <c r="Y973" s="421"/>
      <c r="Z973" s="421"/>
      <c r="AA973" s="421"/>
      <c r="AB973" s="421"/>
      <c r="AC973" s="421"/>
      <c r="AD973" s="421"/>
      <c r="AE973" s="421"/>
      <c r="AF973" s="421"/>
      <c r="AG973" s="421"/>
      <c r="AH973" s="421"/>
      <c r="AI973" s="421"/>
      <c r="AJ973" s="421"/>
      <c r="AK973" s="421"/>
      <c r="AL973" s="421"/>
    </row>
    <row r="974" spans="1:38">
      <c r="A974" s="3">
        <v>5841</v>
      </c>
      <c r="B974" s="83">
        <f t="array" ref="B974">SUM(--(FREQUENCY(IF(C$2:C$3083=C974, MATCH(D$2:D$3083, D$2:D$3083, 0)), ROW(D$2:D$3083)-ROW(D$2)+1) &gt; 0))</f>
        <v>6</v>
      </c>
      <c r="C974" s="3">
        <v>41100317</v>
      </c>
      <c r="D974" s="6" t="s">
        <v>2615</v>
      </c>
      <c r="E974" s="3" t="s">
        <v>1585</v>
      </c>
      <c r="F974" s="3" t="s">
        <v>1476</v>
      </c>
      <c r="G974" s="68" t="str">
        <f t="shared" si="114"/>
        <v>DUAL</v>
      </c>
      <c r="H974" s="197">
        <f t="shared" ref="H974:H981" si="120">WEEKNUM(K974)</f>
        <v>32</v>
      </c>
      <c r="I974" s="197">
        <v>8</v>
      </c>
      <c r="J974" s="197">
        <v>4</v>
      </c>
      <c r="K974" s="186">
        <f t="shared" ref="K974:K981" si="121">DATE(2025, I974, J974)</f>
        <v>45873</v>
      </c>
      <c r="L974" s="3" t="s">
        <v>2391</v>
      </c>
      <c r="M974" s="3" t="s">
        <v>2392</v>
      </c>
      <c r="N974" s="3" t="str">
        <f t="shared" si="117"/>
        <v>NG</v>
      </c>
      <c r="O974" s="408" t="s">
        <v>2368</v>
      </c>
      <c r="P974" s="408" t="s">
        <v>2589</v>
      </c>
      <c r="Q974" s="408"/>
      <c r="R974" s="408"/>
      <c r="S974" s="408" t="s">
        <v>2590</v>
      </c>
      <c r="T974" s="408"/>
      <c r="U974" s="408"/>
      <c r="V974" s="421"/>
      <c r="W974" s="421"/>
      <c r="X974" s="421"/>
      <c r="Y974" s="421"/>
      <c r="Z974" s="421"/>
      <c r="AA974" s="421"/>
      <c r="AB974" s="421"/>
      <c r="AC974" s="421"/>
      <c r="AD974" s="421"/>
      <c r="AE974" s="421"/>
      <c r="AF974" s="421"/>
      <c r="AG974" s="421"/>
      <c r="AH974" s="421"/>
      <c r="AI974" s="421"/>
      <c r="AJ974" s="421"/>
      <c r="AK974" s="421"/>
      <c r="AL974" s="421"/>
    </row>
    <row r="975" spans="1:38">
      <c r="A975" s="3">
        <v>5841</v>
      </c>
      <c r="B975" s="83">
        <f t="array" ref="B975">SUM(--(FREQUENCY(IF(C$2:C$3083=C975, MATCH(D$2:D$3083, D$2:D$3083, 0)), ROW(D$2:D$3083)-ROW(D$2)+1) &gt; 0))</f>
        <v>6</v>
      </c>
      <c r="C975" s="3">
        <v>41100317</v>
      </c>
      <c r="D975" s="6" t="s">
        <v>2615</v>
      </c>
      <c r="E975" s="3" t="s">
        <v>1585</v>
      </c>
      <c r="F975" s="3" t="s">
        <v>1476</v>
      </c>
      <c r="G975" s="68" t="str">
        <f t="shared" si="114"/>
        <v>DUAL</v>
      </c>
      <c r="H975" s="197">
        <f t="shared" ref="H975" si="122">WEEKNUM(K975)</f>
        <v>32</v>
      </c>
      <c r="I975" s="197">
        <v>8</v>
      </c>
      <c r="J975" s="197">
        <v>4</v>
      </c>
      <c r="K975" s="186">
        <f t="shared" ref="K975" si="123">DATE(2025, I975, J975)</f>
        <v>45873</v>
      </c>
      <c r="L975" s="3" t="s">
        <v>2391</v>
      </c>
      <c r="M975" s="3" t="s">
        <v>2392</v>
      </c>
      <c r="N975" s="3" t="str">
        <f t="shared" si="117"/>
        <v>NG</v>
      </c>
      <c r="O975" s="408" t="s">
        <v>1569</v>
      </c>
      <c r="P975" s="408" t="s">
        <v>2616</v>
      </c>
      <c r="Q975" s="408" t="s">
        <v>2617</v>
      </c>
      <c r="R975" s="408" t="s">
        <v>2618</v>
      </c>
      <c r="S975" s="408" t="s">
        <v>2619</v>
      </c>
      <c r="T975" s="408"/>
      <c r="U975" s="408"/>
      <c r="V975" s="421"/>
      <c r="W975" s="421"/>
      <c r="X975" s="421"/>
      <c r="Y975" s="421"/>
      <c r="Z975" s="421"/>
      <c r="AA975" s="421"/>
      <c r="AB975" s="421"/>
      <c r="AC975" s="421"/>
      <c r="AD975" s="421"/>
      <c r="AE975" s="421"/>
      <c r="AF975" s="421"/>
      <c r="AG975" s="421"/>
      <c r="AH975" s="421"/>
      <c r="AI975" s="421"/>
      <c r="AJ975" s="421"/>
      <c r="AK975" s="421"/>
      <c r="AL975" s="421"/>
    </row>
    <row r="976" spans="1:38">
      <c r="A976" s="3">
        <v>5841</v>
      </c>
      <c r="B976" s="83">
        <f t="array" ref="B976">SUM(--(FREQUENCY(IF(C$2:C$3083=C976, MATCH(D$2:D$3083, D$2:D$3083, 0)), ROW(D$2:D$3083)-ROW(D$2)+1) &gt; 0))</f>
        <v>6</v>
      </c>
      <c r="C976" s="3">
        <v>41100317</v>
      </c>
      <c r="D976" s="6" t="s">
        <v>2615</v>
      </c>
      <c r="E976" s="3" t="s">
        <v>1585</v>
      </c>
      <c r="F976" s="3" t="s">
        <v>1476</v>
      </c>
      <c r="G976" s="68" t="str">
        <f t="shared" si="114"/>
        <v>DUAL</v>
      </c>
      <c r="H976" s="197">
        <f t="shared" ref="H976" si="124">WEEKNUM(K976)</f>
        <v>32</v>
      </c>
      <c r="I976" s="197">
        <v>8</v>
      </c>
      <c r="J976" s="197">
        <v>4</v>
      </c>
      <c r="K976" s="186">
        <f t="shared" ref="K976" si="125">DATE(2025, I976, J976)</f>
        <v>45873</v>
      </c>
      <c r="L976" s="3" t="s">
        <v>2391</v>
      </c>
      <c r="M976" s="3" t="s">
        <v>2392</v>
      </c>
      <c r="N976" s="3" t="str">
        <f t="shared" si="117"/>
        <v>NG</v>
      </c>
      <c r="O976" s="408" t="s">
        <v>1569</v>
      </c>
      <c r="P976" s="408" t="s">
        <v>2616</v>
      </c>
      <c r="Q976" s="408">
        <v>12000228</v>
      </c>
      <c r="R976" s="408" t="s">
        <v>2620</v>
      </c>
      <c r="S976" s="408" t="s">
        <v>2621</v>
      </c>
      <c r="T976" s="408"/>
      <c r="U976" s="408"/>
      <c r="V976" s="421"/>
      <c r="W976" s="421"/>
      <c r="X976" s="421"/>
      <c r="Y976" s="421"/>
      <c r="Z976" s="421"/>
      <c r="AA976" s="421"/>
      <c r="AB976" s="421"/>
      <c r="AC976" s="421"/>
      <c r="AD976" s="421"/>
      <c r="AE976" s="421"/>
      <c r="AF976" s="421"/>
      <c r="AG976" s="421"/>
      <c r="AH976" s="421"/>
      <c r="AI976" s="421"/>
      <c r="AJ976" s="421"/>
      <c r="AK976" s="421"/>
      <c r="AL976" s="421"/>
    </row>
    <row r="977" spans="1:38">
      <c r="A977" s="3">
        <v>5822</v>
      </c>
      <c r="B977" s="83">
        <f t="array" ref="B977">SUM(--(FREQUENCY(IF(C$2:C$3083=C977, MATCH(D$2:D$3083, D$2:D$3083, 0)), ROW(D$2:D$3083)-ROW(D$2)+1) &gt; 0))</f>
        <v>63</v>
      </c>
      <c r="C977" s="3">
        <v>41200006</v>
      </c>
      <c r="D977" s="6" t="s">
        <v>2622</v>
      </c>
      <c r="E977" s="3" t="s">
        <v>1405</v>
      </c>
      <c r="F977" s="3" t="s">
        <v>1477</v>
      </c>
      <c r="G977" s="68" t="str">
        <f t="shared" si="114"/>
        <v>SINGLE</v>
      </c>
      <c r="H977" s="197">
        <f t="shared" si="120"/>
        <v>32</v>
      </c>
      <c r="I977" s="197">
        <v>8</v>
      </c>
      <c r="J977" s="197">
        <v>4</v>
      </c>
      <c r="K977" s="186">
        <f t="shared" si="121"/>
        <v>45873</v>
      </c>
      <c r="L977" s="3" t="s">
        <v>2395</v>
      </c>
      <c r="M977" s="3" t="s">
        <v>2392</v>
      </c>
      <c r="N977" s="3" t="str">
        <f t="shared" si="117"/>
        <v>NG</v>
      </c>
      <c r="O977" s="408" t="s">
        <v>2368</v>
      </c>
      <c r="P977" s="408" t="s">
        <v>2563</v>
      </c>
      <c r="Q977" s="408">
        <v>13103775</v>
      </c>
      <c r="R977" s="408" t="s">
        <v>378</v>
      </c>
      <c r="S977" s="408" t="s">
        <v>2610</v>
      </c>
      <c r="T977" s="408"/>
      <c r="U977" s="408"/>
      <c r="V977" s="421"/>
      <c r="W977" s="421"/>
      <c r="X977" s="421"/>
      <c r="Y977" s="421"/>
      <c r="Z977" s="421"/>
      <c r="AA977" s="421"/>
      <c r="AB977" s="421"/>
      <c r="AC977" s="421"/>
      <c r="AD977" s="421"/>
      <c r="AE977" s="421"/>
      <c r="AF977" s="421"/>
      <c r="AG977" s="421"/>
      <c r="AH977" s="421"/>
      <c r="AI977" s="421"/>
      <c r="AJ977" s="421"/>
      <c r="AK977" s="421"/>
      <c r="AL977" s="421"/>
    </row>
    <row r="978" spans="1:38">
      <c r="A978" s="3">
        <v>5869</v>
      </c>
      <c r="B978" s="83">
        <f t="array" ref="B978">SUM(--(FREQUENCY(IF(C$2:C$3083=C978, MATCH(D$2:D$3083, D$2:D$3083, 0)), ROW(D$2:D$3083)-ROW(D$2)+1) &gt; 0))</f>
        <v>3</v>
      </c>
      <c r="C978" s="3">
        <v>41200036</v>
      </c>
      <c r="D978" s="6" t="s">
        <v>2623</v>
      </c>
      <c r="E978" s="3" t="s">
        <v>1426</v>
      </c>
      <c r="F978" s="3" t="s">
        <v>1476</v>
      </c>
      <c r="G978" s="68" t="str">
        <f t="shared" si="114"/>
        <v>DUAL</v>
      </c>
      <c r="H978" s="197">
        <f t="shared" si="120"/>
        <v>32</v>
      </c>
      <c r="I978" s="197">
        <v>8</v>
      </c>
      <c r="J978" s="197">
        <v>4</v>
      </c>
      <c r="K978" s="186">
        <f t="shared" si="121"/>
        <v>45873</v>
      </c>
      <c r="L978" s="3" t="s">
        <v>2391</v>
      </c>
      <c r="M978" s="3" t="s">
        <v>1468</v>
      </c>
      <c r="N978" s="3" t="str">
        <f t="shared" si="117"/>
        <v/>
      </c>
      <c r="O978" s="408"/>
      <c r="P978" s="408"/>
      <c r="Q978" s="408"/>
      <c r="R978" s="408"/>
      <c r="S978" s="408"/>
      <c r="T978" s="408"/>
      <c r="U978" s="408"/>
      <c r="V978" s="421"/>
      <c r="W978" s="421"/>
      <c r="X978" s="421"/>
      <c r="Y978" s="421"/>
      <c r="Z978" s="421"/>
      <c r="AA978" s="421"/>
      <c r="AB978" s="421"/>
      <c r="AC978" s="421"/>
      <c r="AD978" s="421"/>
      <c r="AE978" s="421"/>
      <c r="AF978" s="421"/>
      <c r="AG978" s="421"/>
      <c r="AH978" s="421"/>
      <c r="AI978" s="421"/>
      <c r="AJ978" s="421"/>
      <c r="AK978" s="421"/>
      <c r="AL978" s="421"/>
    </row>
    <row r="979" spans="1:38">
      <c r="A979" s="3">
        <v>5899</v>
      </c>
      <c r="B979" s="83">
        <f t="array" ref="B979">SUM(--(FREQUENCY(IF(C$2:C$3083=C979, MATCH(D$2:D$3083, D$2:D$3083, 0)), ROW(D$2:D$3083)-ROW(D$2)+1) &gt; 0))</f>
        <v>1</v>
      </c>
      <c r="C979" s="3">
        <v>41200162</v>
      </c>
      <c r="D979" s="6" t="s">
        <v>2624</v>
      </c>
      <c r="E979" s="3" t="s">
        <v>1394</v>
      </c>
      <c r="F979" s="3" t="s">
        <v>1479</v>
      </c>
      <c r="G979" s="68" t="str">
        <f t="shared" si="114"/>
        <v>SINGLE</v>
      </c>
      <c r="H979" s="197">
        <f t="shared" si="120"/>
        <v>32</v>
      </c>
      <c r="I979" s="197">
        <v>8</v>
      </c>
      <c r="J979" s="197">
        <v>4</v>
      </c>
      <c r="K979" s="186">
        <f t="shared" si="121"/>
        <v>45873</v>
      </c>
      <c r="L979" s="3" t="s">
        <v>2395</v>
      </c>
      <c r="M979" s="3" t="s">
        <v>1469</v>
      </c>
      <c r="N979" s="3" t="str">
        <f t="shared" si="117"/>
        <v/>
      </c>
      <c r="O979" s="408"/>
      <c r="P979" s="408"/>
      <c r="Q979" s="408"/>
      <c r="R979" s="408"/>
      <c r="S979" s="408"/>
      <c r="T979" s="408"/>
      <c r="U979" s="408"/>
      <c r="V979" s="421"/>
      <c r="W979" s="421"/>
      <c r="X979" s="421"/>
      <c r="Y979" s="421"/>
      <c r="Z979" s="421"/>
      <c r="AA979" s="421"/>
      <c r="AB979" s="421"/>
      <c r="AC979" s="421"/>
      <c r="AD979" s="421"/>
      <c r="AE979" s="421"/>
      <c r="AF979" s="421"/>
      <c r="AG979" s="421"/>
      <c r="AH979" s="421"/>
      <c r="AI979" s="421"/>
      <c r="AJ979" s="421"/>
      <c r="AK979" s="421"/>
      <c r="AL979" s="421"/>
    </row>
    <row r="980" spans="1:38">
      <c r="A980" s="3">
        <v>5900</v>
      </c>
      <c r="B980" s="83">
        <f t="array" ref="B980">SUM(--(FREQUENCY(IF(C$2:C$3083=C980, MATCH(D$2:D$3083, D$2:D$3083, 0)), ROW(D$2:D$3083)-ROW(D$2)+1) &gt; 0))</f>
        <v>1</v>
      </c>
      <c r="C980" s="3">
        <v>41200163</v>
      </c>
      <c r="D980" s="6" t="s">
        <v>2625</v>
      </c>
      <c r="E980" s="3" t="s">
        <v>1394</v>
      </c>
      <c r="F980" s="3" t="s">
        <v>1479</v>
      </c>
      <c r="G980" s="68" t="str">
        <f t="shared" si="114"/>
        <v>SINGLE</v>
      </c>
      <c r="H980" s="197">
        <f t="shared" si="120"/>
        <v>32</v>
      </c>
      <c r="I980" s="197">
        <v>8</v>
      </c>
      <c r="J980" s="197">
        <v>4</v>
      </c>
      <c r="K980" s="186">
        <f t="shared" si="121"/>
        <v>45873</v>
      </c>
      <c r="L980" s="3" t="s">
        <v>2395</v>
      </c>
      <c r="M980" s="3" t="s">
        <v>1469</v>
      </c>
      <c r="N980" s="3" t="str">
        <f t="shared" si="117"/>
        <v/>
      </c>
      <c r="O980" s="408"/>
      <c r="P980" s="408"/>
      <c r="Q980" s="408"/>
      <c r="R980" s="408"/>
      <c r="S980" s="408"/>
      <c r="T980" s="408"/>
      <c r="U980" s="408"/>
      <c r="V980" s="421"/>
      <c r="W980" s="421"/>
      <c r="X980" s="421"/>
      <c r="Y980" s="421"/>
      <c r="Z980" s="421"/>
      <c r="AA980" s="421"/>
      <c r="AB980" s="421"/>
      <c r="AC980" s="421"/>
      <c r="AD980" s="421"/>
      <c r="AE980" s="421"/>
      <c r="AF980" s="421"/>
      <c r="AG980" s="421"/>
      <c r="AH980" s="421"/>
      <c r="AI980" s="421"/>
      <c r="AJ980" s="421"/>
      <c r="AK980" s="421"/>
      <c r="AL980" s="421"/>
    </row>
    <row r="981" spans="1:38">
      <c r="A981" s="3">
        <v>5837</v>
      </c>
      <c r="B981" s="83">
        <f t="array" ref="B981">SUM(--(FREQUENCY(IF(C$2:C$3083=C981, MATCH(D$2:D$3083, D$2:D$3083, 0)), ROW(D$2:D$3083)-ROW(D$2)+1) &gt; 0))</f>
        <v>25</v>
      </c>
      <c r="C981" s="3">
        <v>41200034</v>
      </c>
      <c r="D981" s="6" t="s">
        <v>2626</v>
      </c>
      <c r="E981" s="3" t="s">
        <v>1426</v>
      </c>
      <c r="F981" s="3" t="s">
        <v>1476</v>
      </c>
      <c r="G981" s="68" t="str">
        <f t="shared" si="114"/>
        <v>DUAL</v>
      </c>
      <c r="H981" s="197">
        <f t="shared" si="120"/>
        <v>32</v>
      </c>
      <c r="I981" s="197">
        <v>8</v>
      </c>
      <c r="J981" s="197">
        <v>4</v>
      </c>
      <c r="K981" s="186">
        <f t="shared" si="121"/>
        <v>45873</v>
      </c>
      <c r="L981" s="3" t="s">
        <v>2395</v>
      </c>
      <c r="M981" s="3" t="s">
        <v>1469</v>
      </c>
      <c r="N981" s="3" t="str">
        <f t="shared" si="117"/>
        <v/>
      </c>
      <c r="O981" s="408"/>
      <c r="P981" s="408"/>
      <c r="Q981" s="408"/>
      <c r="R981" s="408"/>
      <c r="S981" s="408"/>
      <c r="T981" s="408"/>
      <c r="U981" s="408"/>
      <c r="V981" s="421"/>
      <c r="W981" s="421"/>
      <c r="X981" s="421"/>
      <c r="Y981" s="421"/>
      <c r="Z981" s="421"/>
      <c r="AA981" s="421"/>
      <c r="AB981" s="421"/>
      <c r="AC981" s="421"/>
      <c r="AD981" s="421"/>
      <c r="AE981" s="421"/>
      <c r="AF981" s="421"/>
      <c r="AG981" s="421"/>
      <c r="AH981" s="421"/>
      <c r="AI981" s="421"/>
      <c r="AJ981" s="421"/>
      <c r="AK981" s="421"/>
      <c r="AL981" s="421"/>
    </row>
    <row r="982" spans="1:38">
      <c r="A982" s="3">
        <v>5888</v>
      </c>
      <c r="B982" s="83">
        <f t="array" ref="B982">SUM(--(FREQUENCY(IF(C$2:C$3083=C982, MATCH(D$2:D$3083, D$2:D$3083, 0)), ROW(D$2:D$3083)-ROW(D$2)+1) &gt; 0))</f>
        <v>18</v>
      </c>
      <c r="C982" s="3">
        <v>41200128</v>
      </c>
      <c r="D982" s="6" t="s">
        <v>2627</v>
      </c>
      <c r="E982" s="3" t="s">
        <v>1431</v>
      </c>
      <c r="F982" s="3" t="s">
        <v>1591</v>
      </c>
      <c r="G982" s="68" t="str">
        <f t="shared" si="114"/>
        <v>SINGLE</v>
      </c>
      <c r="H982" s="197">
        <f>WEEKNUM(K982)</f>
        <v>32</v>
      </c>
      <c r="I982" s="197">
        <v>8</v>
      </c>
      <c r="J982" s="197">
        <v>4</v>
      </c>
      <c r="K982" s="186">
        <f>DATE(2025, I982, J982)</f>
        <v>45873</v>
      </c>
      <c r="L982" s="3" t="s">
        <v>2395</v>
      </c>
      <c r="M982" s="3" t="s">
        <v>2392</v>
      </c>
      <c r="N982" s="3" t="str">
        <f t="shared" si="117"/>
        <v/>
      </c>
      <c r="O982" s="408"/>
      <c r="P982" s="408"/>
      <c r="Q982" s="408"/>
      <c r="R982" s="408"/>
      <c r="S982" s="408"/>
      <c r="T982" s="408"/>
      <c r="U982" s="408"/>
      <c r="V982" s="421"/>
      <c r="W982" s="421"/>
      <c r="X982" s="421"/>
      <c r="Y982" s="421"/>
      <c r="Z982" s="421"/>
      <c r="AA982" s="421"/>
      <c r="AB982" s="421"/>
      <c r="AC982" s="421"/>
      <c r="AD982" s="421"/>
      <c r="AE982" s="421"/>
      <c r="AF982" s="421"/>
      <c r="AG982" s="421"/>
      <c r="AH982" s="421"/>
      <c r="AI982" s="421"/>
      <c r="AJ982" s="421"/>
      <c r="AK982" s="421"/>
      <c r="AL982" s="421"/>
    </row>
    <row r="983" spans="1:38">
      <c r="A983" s="3">
        <v>5787</v>
      </c>
      <c r="B983" s="83">
        <f t="array" ref="B983">SUM(--(FREQUENCY(IF(C$2:C$3081=C983, MATCH(D$2:D$3081, D$2:D$3081, 0)), ROW(D$2:D$3081)-ROW(D$2)+1) &gt; 0))</f>
        <v>25</v>
      </c>
      <c r="C983" s="3">
        <v>41200034</v>
      </c>
      <c r="D983" s="6" t="s">
        <v>2628</v>
      </c>
      <c r="E983" s="3" t="s">
        <v>1426</v>
      </c>
      <c r="F983" s="3" t="s">
        <v>1476</v>
      </c>
      <c r="G983" s="68" t="str">
        <f t="shared" si="114"/>
        <v>DUAL</v>
      </c>
      <c r="H983" s="197">
        <f t="shared" ref="H983:H989" si="126">WEEKNUM(K983)</f>
        <v>32</v>
      </c>
      <c r="I983" s="197">
        <v>8</v>
      </c>
      <c r="J983" s="197">
        <v>5</v>
      </c>
      <c r="K983" s="186">
        <f t="shared" ref="K983:K989" si="127">DATE(2025, I983, J983)</f>
        <v>45874</v>
      </c>
      <c r="L983" s="3" t="s">
        <v>2395</v>
      </c>
      <c r="M983" s="3" t="s">
        <v>2392</v>
      </c>
      <c r="N983" s="3" t="str">
        <f t="shared" si="117"/>
        <v/>
      </c>
      <c r="O983" s="408"/>
      <c r="P983" s="408"/>
      <c r="Q983" s="408"/>
      <c r="R983" s="408"/>
      <c r="S983" s="408"/>
      <c r="T983" s="408"/>
      <c r="U983" s="408"/>
      <c r="V983" s="421"/>
      <c r="W983" s="421"/>
      <c r="X983" s="421"/>
      <c r="Y983" s="421"/>
      <c r="Z983" s="421"/>
      <c r="AA983" s="421"/>
      <c r="AB983" s="421"/>
      <c r="AC983" s="421"/>
      <c r="AD983" s="421"/>
      <c r="AE983" s="421"/>
      <c r="AF983" s="421"/>
      <c r="AG983" s="421"/>
      <c r="AH983" s="421"/>
      <c r="AI983" s="421"/>
      <c r="AJ983" s="421"/>
      <c r="AK983" s="421"/>
      <c r="AL983" s="421"/>
    </row>
    <row r="984" spans="1:38">
      <c r="A984" s="3">
        <v>5787</v>
      </c>
      <c r="B984" s="83">
        <f t="array" ref="B984">SUM(--(FREQUENCY(IF(C$2:C$3081=C984, MATCH(D$2:D$3081, D$2:D$3081, 0)), ROW(D$2:D$3081)-ROW(D$2)+1) &gt; 0))</f>
        <v>25</v>
      </c>
      <c r="C984" s="3">
        <v>41200034</v>
      </c>
      <c r="D984" s="6" t="s">
        <v>2629</v>
      </c>
      <c r="E984" s="3" t="s">
        <v>1426</v>
      </c>
      <c r="F984" s="3" t="s">
        <v>1476</v>
      </c>
      <c r="G984" s="68" t="str">
        <f t="shared" si="114"/>
        <v>DUAL</v>
      </c>
      <c r="H984" s="197">
        <f t="shared" si="126"/>
        <v>32</v>
      </c>
      <c r="I984" s="197">
        <v>8</v>
      </c>
      <c r="J984" s="197">
        <v>5</v>
      </c>
      <c r="K984" s="186">
        <f t="shared" si="127"/>
        <v>45874</v>
      </c>
      <c r="L984" s="3" t="s">
        <v>2395</v>
      </c>
      <c r="M984" s="3" t="s">
        <v>2392</v>
      </c>
      <c r="N984" s="3" t="str">
        <f t="shared" si="117"/>
        <v>NG</v>
      </c>
      <c r="O984" s="408" t="s">
        <v>2368</v>
      </c>
      <c r="P984" s="408" t="s">
        <v>1385</v>
      </c>
      <c r="Q984" s="408">
        <v>11004073</v>
      </c>
      <c r="R984" s="408" t="s">
        <v>255</v>
      </c>
      <c r="S984" s="408" t="s">
        <v>2630</v>
      </c>
      <c r="T984" s="408"/>
      <c r="U984" s="408"/>
      <c r="V984" s="421"/>
      <c r="W984" s="421"/>
      <c r="X984" s="421"/>
      <c r="Y984" s="421"/>
      <c r="Z984" s="421"/>
      <c r="AA984" s="421"/>
      <c r="AB984" s="421"/>
      <c r="AC984" s="421"/>
      <c r="AD984" s="421"/>
      <c r="AE984" s="421"/>
      <c r="AF984" s="421"/>
      <c r="AG984" s="421"/>
      <c r="AH984" s="421"/>
      <c r="AI984" s="421"/>
      <c r="AJ984" s="421"/>
      <c r="AK984" s="421"/>
      <c r="AL984" s="421"/>
    </row>
    <row r="985" spans="1:38">
      <c r="A985" s="3">
        <v>5888</v>
      </c>
      <c r="B985" s="83">
        <f t="array" ref="B985">SUM(--(FREQUENCY(IF(C$2:C$3081=C985, MATCH(D$2:D$3081, D$2:D$3081, 0)), ROW(D$2:D$3081)-ROW(D$2)+1) &gt; 0))</f>
        <v>18</v>
      </c>
      <c r="C985" s="3">
        <v>41200128</v>
      </c>
      <c r="D985" s="6" t="s">
        <v>2631</v>
      </c>
      <c r="E985" s="3" t="s">
        <v>1431</v>
      </c>
      <c r="F985" s="3" t="s">
        <v>1591</v>
      </c>
      <c r="G985" s="68" t="str">
        <f t="shared" si="114"/>
        <v>SINGLE</v>
      </c>
      <c r="H985" s="197">
        <f t="shared" si="126"/>
        <v>32</v>
      </c>
      <c r="I985" s="197">
        <v>8</v>
      </c>
      <c r="J985" s="197">
        <v>5</v>
      </c>
      <c r="K985" s="186">
        <f t="shared" si="127"/>
        <v>45874</v>
      </c>
      <c r="L985" s="3" t="s">
        <v>2395</v>
      </c>
      <c r="M985" s="3" t="s">
        <v>1469</v>
      </c>
      <c r="N985" s="3" t="str">
        <f t="shared" si="117"/>
        <v/>
      </c>
      <c r="O985" s="408"/>
      <c r="P985" s="408"/>
      <c r="Q985" s="408"/>
      <c r="R985" s="408"/>
      <c r="S985" s="408"/>
      <c r="T985" s="408"/>
      <c r="U985" s="408"/>
      <c r="V985" s="421"/>
      <c r="W985" s="421"/>
      <c r="X985" s="421"/>
      <c r="Y985" s="421"/>
      <c r="Z985" s="421"/>
      <c r="AA985" s="421"/>
      <c r="AB985" s="421"/>
      <c r="AC985" s="421"/>
      <c r="AD985" s="421"/>
      <c r="AE985" s="421"/>
      <c r="AF985" s="421"/>
      <c r="AG985" s="421"/>
      <c r="AH985" s="421"/>
      <c r="AI985" s="421"/>
      <c r="AJ985" s="421"/>
      <c r="AK985" s="421"/>
      <c r="AL985" s="421"/>
    </row>
    <row r="986" spans="1:38">
      <c r="A986" s="3">
        <v>5888</v>
      </c>
      <c r="B986" s="83">
        <f t="array" ref="B986">SUM(--(FREQUENCY(IF(C$2:C$3081=C986, MATCH(D$2:D$3081, D$2:D$3081, 0)), ROW(D$2:D$3081)-ROW(D$2)+1) &gt; 0))</f>
        <v>18</v>
      </c>
      <c r="C986" s="3">
        <v>41200128</v>
      </c>
      <c r="D986" s="6" t="s">
        <v>2632</v>
      </c>
      <c r="E986" s="3" t="s">
        <v>1431</v>
      </c>
      <c r="F986" s="3" t="s">
        <v>1591</v>
      </c>
      <c r="G986" s="68" t="str">
        <f t="shared" si="114"/>
        <v>SINGLE</v>
      </c>
      <c r="H986" s="197">
        <f t="shared" si="126"/>
        <v>32</v>
      </c>
      <c r="I986" s="197">
        <v>8</v>
      </c>
      <c r="J986" s="197">
        <v>5</v>
      </c>
      <c r="K986" s="186">
        <f t="shared" si="127"/>
        <v>45874</v>
      </c>
      <c r="L986" s="3" t="s">
        <v>2395</v>
      </c>
      <c r="M986" s="3" t="s">
        <v>1469</v>
      </c>
      <c r="N986" s="3" t="str">
        <f t="shared" si="117"/>
        <v>NG</v>
      </c>
      <c r="O986" s="408" t="s">
        <v>2368</v>
      </c>
      <c r="P986" s="408" t="s">
        <v>2371</v>
      </c>
      <c r="Q986" s="408"/>
      <c r="R986" s="408"/>
      <c r="S986" s="408" t="s">
        <v>2633</v>
      </c>
      <c r="T986" s="408"/>
      <c r="U986" s="408"/>
      <c r="V986" s="421"/>
      <c r="W986" s="421"/>
      <c r="X986" s="421"/>
      <c r="Y986" s="421"/>
      <c r="Z986" s="421"/>
      <c r="AA986" s="421"/>
      <c r="AB986" s="421"/>
      <c r="AC986" s="421"/>
      <c r="AD986" s="421"/>
      <c r="AE986" s="421"/>
      <c r="AF986" s="421"/>
      <c r="AG986" s="421"/>
      <c r="AH986" s="421"/>
      <c r="AI986" s="421"/>
      <c r="AJ986" s="421"/>
      <c r="AK986" s="421"/>
      <c r="AL986" s="421"/>
    </row>
    <row r="987" spans="1:38">
      <c r="A987" s="3">
        <v>5864</v>
      </c>
      <c r="B987" s="83">
        <f t="array" ref="B987">SUM(--(FREQUENCY(IF(C$2:C$3081=C987, MATCH(D$2:D$3081, D$2:D$3081, 0)), ROW(D$2:D$3081)-ROW(D$2)+1) &gt; 0))</f>
        <v>10</v>
      </c>
      <c r="C987" s="3">
        <v>41200119</v>
      </c>
      <c r="D987" s="6" t="s">
        <v>2634</v>
      </c>
      <c r="E987" s="3" t="s">
        <v>1422</v>
      </c>
      <c r="F987" s="3" t="s">
        <v>1476</v>
      </c>
      <c r="G987" s="68" t="str">
        <f t="shared" si="114"/>
        <v>DUAL</v>
      </c>
      <c r="H987" s="197">
        <f t="shared" si="126"/>
        <v>32</v>
      </c>
      <c r="I987" s="197">
        <v>8</v>
      </c>
      <c r="J987" s="197">
        <v>5</v>
      </c>
      <c r="K987" s="186">
        <f t="shared" si="127"/>
        <v>45874</v>
      </c>
      <c r="L987" s="3" t="s">
        <v>2391</v>
      </c>
      <c r="M987" s="3" t="s">
        <v>1468</v>
      </c>
      <c r="N987" s="3" t="str">
        <f t="shared" si="117"/>
        <v/>
      </c>
      <c r="O987" s="408"/>
      <c r="P987" s="408"/>
      <c r="Q987" s="408"/>
      <c r="R987" s="408"/>
      <c r="S987" s="408"/>
      <c r="T987" s="408"/>
      <c r="U987" s="408"/>
      <c r="V987" s="421"/>
      <c r="W987" s="421"/>
      <c r="X987" s="421"/>
      <c r="Y987" s="421"/>
      <c r="Z987" s="421"/>
      <c r="AA987" s="421"/>
      <c r="AB987" s="421"/>
      <c r="AC987" s="421"/>
      <c r="AD987" s="421"/>
      <c r="AE987" s="421"/>
      <c r="AF987" s="421"/>
      <c r="AG987" s="421"/>
      <c r="AH987" s="421"/>
      <c r="AI987" s="421"/>
      <c r="AJ987" s="421"/>
      <c r="AK987" s="421"/>
      <c r="AL987" s="421"/>
    </row>
    <row r="988" spans="1:38">
      <c r="A988" s="3">
        <v>5837</v>
      </c>
      <c r="B988" s="83">
        <f t="array" ref="B988">SUM(--(FREQUENCY(IF(C$2:C$3081=C988, MATCH(D$2:D$3081, D$2:D$3081, 0)), ROW(D$2:D$3081)-ROW(D$2)+1) &gt; 0))</f>
        <v>25</v>
      </c>
      <c r="C988" s="3">
        <v>41200034</v>
      </c>
      <c r="D988" s="6" t="s">
        <v>2635</v>
      </c>
      <c r="E988" s="3" t="s">
        <v>1426</v>
      </c>
      <c r="F988" s="3" t="s">
        <v>1476</v>
      </c>
      <c r="G988" s="68" t="str">
        <f t="shared" si="114"/>
        <v>DUAL</v>
      </c>
      <c r="H988" s="197">
        <f t="shared" si="126"/>
        <v>32</v>
      </c>
      <c r="I988" s="197">
        <v>8</v>
      </c>
      <c r="J988" s="197">
        <v>5</v>
      </c>
      <c r="K988" s="186">
        <f t="shared" si="127"/>
        <v>45874</v>
      </c>
      <c r="L988" s="3" t="s">
        <v>2395</v>
      </c>
      <c r="M988" s="3" t="s">
        <v>1469</v>
      </c>
      <c r="N988" s="3" t="str">
        <f t="shared" si="117"/>
        <v/>
      </c>
      <c r="O988" s="408"/>
      <c r="P988" s="408"/>
      <c r="Q988" s="408"/>
      <c r="R988" s="408"/>
      <c r="S988" s="408"/>
      <c r="T988" s="408"/>
      <c r="U988" s="408"/>
      <c r="V988" s="421"/>
      <c r="W988" s="421"/>
      <c r="X988" s="421"/>
      <c r="Y988" s="421"/>
      <c r="Z988" s="421"/>
      <c r="AA988" s="421"/>
      <c r="AB988" s="421"/>
      <c r="AC988" s="421"/>
      <c r="AD988" s="421"/>
      <c r="AE988" s="421"/>
      <c r="AF988" s="421"/>
      <c r="AG988" s="421"/>
      <c r="AH988" s="421"/>
      <c r="AI988" s="421"/>
      <c r="AJ988" s="421"/>
      <c r="AK988" s="421"/>
      <c r="AL988" s="421"/>
    </row>
    <row r="989" spans="1:38">
      <c r="A989" s="3">
        <v>5837</v>
      </c>
      <c r="B989" s="83">
        <f t="array" ref="B989">SUM(--(FREQUENCY(IF(C$2:C$3081=C989, MATCH(D$2:D$3081, D$2:D$3081, 0)), ROW(D$2:D$3081)-ROW(D$2)+1) &gt; 0))</f>
        <v>25</v>
      </c>
      <c r="C989" s="3">
        <v>41200034</v>
      </c>
      <c r="D989" s="6" t="s">
        <v>2636</v>
      </c>
      <c r="E989" s="3" t="s">
        <v>1426</v>
      </c>
      <c r="F989" s="3" t="s">
        <v>1476</v>
      </c>
      <c r="G989" s="68" t="str">
        <f t="shared" si="114"/>
        <v>DUAL</v>
      </c>
      <c r="H989" s="197">
        <f t="shared" si="126"/>
        <v>32</v>
      </c>
      <c r="I989" s="197">
        <v>8</v>
      </c>
      <c r="J989" s="197">
        <v>5</v>
      </c>
      <c r="K989" s="186">
        <f t="shared" si="127"/>
        <v>45874</v>
      </c>
      <c r="L989" s="3" t="s">
        <v>2395</v>
      </c>
      <c r="M989" s="3" t="s">
        <v>1469</v>
      </c>
      <c r="N989" s="3" t="str">
        <f t="shared" si="117"/>
        <v/>
      </c>
      <c r="O989" s="408"/>
      <c r="P989" s="408"/>
      <c r="Q989" s="408"/>
      <c r="R989" s="408"/>
      <c r="S989" s="408"/>
      <c r="T989" s="408"/>
      <c r="U989" s="408"/>
      <c r="V989" s="421"/>
      <c r="W989" s="421"/>
      <c r="X989" s="421"/>
      <c r="Y989" s="421"/>
      <c r="Z989" s="421"/>
      <c r="AA989" s="421"/>
      <c r="AB989" s="421"/>
      <c r="AC989" s="421"/>
      <c r="AD989" s="421"/>
      <c r="AE989" s="421"/>
      <c r="AF989" s="421"/>
      <c r="AG989" s="421"/>
      <c r="AH989" s="421"/>
      <c r="AI989" s="421"/>
      <c r="AJ989" s="421"/>
      <c r="AK989" s="421"/>
      <c r="AL989" s="421"/>
    </row>
    <row r="990" spans="1:38">
      <c r="A990" s="3">
        <v>5774</v>
      </c>
      <c r="B990" s="83">
        <f t="array" ref="B990">SUM(--(FREQUENCY(IF(C$2:C$3081=C990, MATCH(D$2:D$3081, D$2:D$3081, 0)), ROW(D$2:D$3081)-ROW(D$2)+1) &gt; 0))</f>
        <v>20</v>
      </c>
      <c r="C990" s="3">
        <v>41100435</v>
      </c>
      <c r="D990" s="6" t="s">
        <v>2637</v>
      </c>
      <c r="E990" s="3" t="s">
        <v>1585</v>
      </c>
      <c r="F990" s="3" t="s">
        <v>1482</v>
      </c>
      <c r="G990" s="68" t="str">
        <f t="shared" si="114"/>
        <v>SINGLE</v>
      </c>
      <c r="H990" s="197">
        <f>WEEKNUM(K990)</f>
        <v>32</v>
      </c>
      <c r="I990" s="197">
        <v>8</v>
      </c>
      <c r="J990" s="197">
        <v>6</v>
      </c>
      <c r="K990" s="186">
        <f>DATE(2025, I990, J990)</f>
        <v>45875</v>
      </c>
      <c r="L990" s="3" t="s">
        <v>2391</v>
      </c>
      <c r="M990" s="3" t="s">
        <v>1468</v>
      </c>
      <c r="N990" s="3" t="str">
        <f t="shared" si="117"/>
        <v>NG</v>
      </c>
      <c r="O990" s="408" t="s">
        <v>1569</v>
      </c>
      <c r="P990" s="408" t="s">
        <v>2541</v>
      </c>
      <c r="Q990" s="408"/>
      <c r="R990" s="408"/>
      <c r="S990" s="408" t="s">
        <v>2638</v>
      </c>
      <c r="T990" s="408"/>
      <c r="U990" s="408"/>
      <c r="V990" s="421"/>
      <c r="W990" s="421"/>
      <c r="X990" s="421"/>
      <c r="Y990" s="421"/>
      <c r="Z990" s="421"/>
      <c r="AA990" s="421"/>
      <c r="AB990" s="421"/>
      <c r="AC990" s="421"/>
      <c r="AD990" s="421"/>
      <c r="AE990" s="421"/>
      <c r="AF990" s="421"/>
      <c r="AG990" s="421"/>
      <c r="AH990" s="421"/>
      <c r="AI990" s="421"/>
      <c r="AJ990" s="421"/>
      <c r="AK990" s="421"/>
      <c r="AL990" s="421"/>
    </row>
    <row r="991" spans="1:38">
      <c r="A991" s="3">
        <v>5941</v>
      </c>
      <c r="B991" s="83">
        <f t="array" ref="B991">SUM(--(FREQUENCY(IF(C$2:C$3081=C991, MATCH(D$2:D$3081, D$2:D$3081, 0)), ROW(D$2:D$3081)-ROW(D$2)+1) &gt; 0))</f>
        <v>5</v>
      </c>
      <c r="C991" s="3">
        <v>41100696</v>
      </c>
      <c r="D991" s="6" t="s">
        <v>2639</v>
      </c>
      <c r="E991" s="3" t="s">
        <v>1433</v>
      </c>
      <c r="F991" s="3" t="s">
        <v>1581</v>
      </c>
      <c r="G991" s="68" t="str">
        <f t="shared" si="114"/>
        <v>DUAL</v>
      </c>
      <c r="H991" s="197">
        <f t="shared" ref="H991:H1000" si="128">WEEKNUM(K991)</f>
        <v>32</v>
      </c>
      <c r="I991" s="197">
        <v>8</v>
      </c>
      <c r="J991" s="197">
        <v>6</v>
      </c>
      <c r="K991" s="186">
        <f>DATE(2025, I991, J991)</f>
        <v>45875</v>
      </c>
      <c r="L991" s="3" t="s">
        <v>2392</v>
      </c>
      <c r="M991" s="3" t="s">
        <v>2392</v>
      </c>
      <c r="N991" s="3" t="str">
        <f t="shared" si="117"/>
        <v/>
      </c>
      <c r="O991" s="408"/>
      <c r="P991" s="408"/>
      <c r="Q991" s="408"/>
      <c r="R991" s="408"/>
      <c r="S991" s="408"/>
      <c r="T991" s="408"/>
      <c r="U991" s="408"/>
      <c r="V991" s="421"/>
      <c r="W991" s="421"/>
      <c r="X991" s="421"/>
      <c r="Y991" s="421"/>
      <c r="Z991" s="421"/>
      <c r="AA991" s="421"/>
      <c r="AB991" s="421"/>
      <c r="AC991" s="421"/>
      <c r="AD991" s="421"/>
      <c r="AE991" s="421"/>
      <c r="AF991" s="421"/>
      <c r="AG991" s="421"/>
      <c r="AH991" s="421"/>
      <c r="AI991" s="421"/>
      <c r="AJ991" s="421"/>
      <c r="AK991" s="421"/>
      <c r="AL991" s="421"/>
    </row>
    <row r="992" spans="1:38">
      <c r="A992" s="3">
        <v>5887</v>
      </c>
      <c r="B992" s="83">
        <f t="array" ref="B992">SUM(--(FREQUENCY(IF(C$2:C$3081=C992, MATCH(D$2:D$3081, D$2:D$3081, 0)), ROW(D$2:D$3081)-ROW(D$2)+1) &gt; 0))</f>
        <v>6</v>
      </c>
      <c r="C992" s="3">
        <v>41100550</v>
      </c>
      <c r="D992" s="6" t="s">
        <v>2640</v>
      </c>
      <c r="E992" s="3" t="s">
        <v>1405</v>
      </c>
      <c r="F992" s="3" t="s">
        <v>1477</v>
      </c>
      <c r="G992" s="68" t="str">
        <f t="shared" si="114"/>
        <v>SINGLE</v>
      </c>
      <c r="H992" s="197">
        <f t="shared" si="128"/>
        <v>32</v>
      </c>
      <c r="I992" s="197">
        <v>8</v>
      </c>
      <c r="J992" s="197">
        <v>6</v>
      </c>
      <c r="K992" s="186">
        <f t="shared" ref="K992:K1000" si="129">DATE(2025, I992, J992)</f>
        <v>45875</v>
      </c>
      <c r="L992" s="3" t="s">
        <v>2391</v>
      </c>
      <c r="M992" s="3" t="s">
        <v>1468</v>
      </c>
      <c r="N992" s="3" t="str">
        <f t="shared" si="117"/>
        <v>NG</v>
      </c>
      <c r="O992" s="408" t="s">
        <v>2368</v>
      </c>
      <c r="P992" s="3" t="s">
        <v>2414</v>
      </c>
      <c r="Q992" s="3">
        <v>11101806</v>
      </c>
      <c r="R992" s="3" t="s">
        <v>2415</v>
      </c>
      <c r="S992" s="3" t="s">
        <v>2641</v>
      </c>
      <c r="T992" s="408"/>
      <c r="U992" s="408"/>
      <c r="V992" s="421"/>
      <c r="W992" s="421"/>
      <c r="X992" s="421"/>
      <c r="Y992" s="421"/>
      <c r="Z992" s="421"/>
      <c r="AA992" s="421"/>
      <c r="AB992" s="421"/>
      <c r="AC992" s="421"/>
      <c r="AD992" s="421"/>
      <c r="AE992" s="421"/>
      <c r="AF992" s="421"/>
      <c r="AG992" s="421"/>
      <c r="AH992" s="421"/>
      <c r="AI992" s="421"/>
      <c r="AJ992" s="421"/>
      <c r="AK992" s="421"/>
      <c r="AL992" s="421"/>
    </row>
    <row r="993" spans="1:38">
      <c r="A993" s="3">
        <v>5887</v>
      </c>
      <c r="B993" s="83">
        <f t="array" ref="B993">SUM(--(FREQUENCY(IF(C$2:C$3081=C993, MATCH(D$2:D$3081, D$2:D$3081, 0)), ROW(D$2:D$3081)-ROW(D$2)+1) &gt; 0))</f>
        <v>6</v>
      </c>
      <c r="C993" s="3">
        <v>41100550</v>
      </c>
      <c r="D993" s="6" t="s">
        <v>2640</v>
      </c>
      <c r="E993" s="3" t="s">
        <v>1405</v>
      </c>
      <c r="F993" s="3" t="s">
        <v>1477</v>
      </c>
      <c r="G993" s="68" t="str">
        <f t="shared" si="114"/>
        <v>SINGLE</v>
      </c>
      <c r="H993" s="197">
        <f t="shared" ref="H993" si="130">WEEKNUM(K993)</f>
        <v>32</v>
      </c>
      <c r="I993" s="197">
        <v>8</v>
      </c>
      <c r="J993" s="197">
        <v>6</v>
      </c>
      <c r="K993" s="186">
        <f t="shared" ref="K993" si="131">DATE(2025, I993, J993)</f>
        <v>45875</v>
      </c>
      <c r="L993" s="3" t="s">
        <v>2391</v>
      </c>
      <c r="M993" s="3" t="s">
        <v>1468</v>
      </c>
      <c r="N993" s="3" t="str">
        <f t="shared" ref="N993" si="132">IF(O993&lt;&gt;"", "NG", "")</f>
        <v>NG</v>
      </c>
      <c r="O993" s="408" t="s">
        <v>2368</v>
      </c>
      <c r="P993" s="408" t="s">
        <v>2371</v>
      </c>
      <c r="Q993" s="408">
        <v>11001968</v>
      </c>
      <c r="R993" s="408" t="s">
        <v>473</v>
      </c>
      <c r="S993" s="408" t="s">
        <v>2642</v>
      </c>
      <c r="T993" s="408"/>
      <c r="U993" s="408"/>
      <c r="V993" s="421"/>
      <c r="W993" s="421"/>
      <c r="X993" s="421"/>
      <c r="Y993" s="421"/>
      <c r="Z993" s="421"/>
      <c r="AA993" s="421"/>
      <c r="AB993" s="421"/>
      <c r="AC993" s="421"/>
      <c r="AD993" s="421"/>
      <c r="AE993" s="421"/>
      <c r="AF993" s="421"/>
      <c r="AG993" s="421"/>
      <c r="AH993" s="421"/>
      <c r="AI993" s="421"/>
      <c r="AJ993" s="421"/>
      <c r="AK993" s="421"/>
      <c r="AL993" s="421"/>
    </row>
    <row r="994" spans="1:38">
      <c r="A994" s="3">
        <v>5887</v>
      </c>
      <c r="B994" s="83">
        <f t="array" ref="B994">SUM(--(FREQUENCY(IF(C$2:C$3081=C994, MATCH(D$2:D$3081, D$2:D$3081, 0)), ROW(D$2:D$3081)-ROW(D$2)+1) &gt; 0))</f>
        <v>6</v>
      </c>
      <c r="C994" s="3">
        <v>41100550</v>
      </c>
      <c r="D994" s="6" t="s">
        <v>2640</v>
      </c>
      <c r="E994" s="3" t="s">
        <v>1405</v>
      </c>
      <c r="F994" s="3" t="s">
        <v>1477</v>
      </c>
      <c r="G994" s="68" t="str">
        <f t="shared" si="114"/>
        <v>SINGLE</v>
      </c>
      <c r="H994" s="197">
        <f t="shared" ref="H994" si="133">WEEKNUM(K994)</f>
        <v>32</v>
      </c>
      <c r="I994" s="197">
        <v>8</v>
      </c>
      <c r="J994" s="197">
        <v>6</v>
      </c>
      <c r="K994" s="186">
        <f t="shared" ref="K994" si="134">DATE(2025, I994, J994)</f>
        <v>45875</v>
      </c>
      <c r="L994" s="3" t="s">
        <v>2391</v>
      </c>
      <c r="M994" s="3" t="s">
        <v>1468</v>
      </c>
      <c r="N994" s="3" t="str">
        <f t="shared" ref="N994" si="135">IF(O994&lt;&gt;"", "NG", "")</f>
        <v>NG</v>
      </c>
      <c r="O994" s="408" t="s">
        <v>2368</v>
      </c>
      <c r="P994" s="408" t="s">
        <v>2371</v>
      </c>
      <c r="Q994" s="408">
        <v>11001968</v>
      </c>
      <c r="R994" s="408" t="s">
        <v>473</v>
      </c>
      <c r="S994" s="408" t="s">
        <v>2642</v>
      </c>
      <c r="T994" s="408"/>
      <c r="U994" s="408"/>
      <c r="V994" s="421"/>
      <c r="W994" s="421"/>
      <c r="X994" s="421"/>
      <c r="Y994" s="421"/>
      <c r="Z994" s="421"/>
      <c r="AA994" s="421"/>
      <c r="AB994" s="421"/>
      <c r="AC994" s="421"/>
      <c r="AD994" s="421"/>
      <c r="AE994" s="421"/>
      <c r="AF994" s="421"/>
      <c r="AG994" s="421"/>
      <c r="AH994" s="421"/>
      <c r="AI994" s="421"/>
      <c r="AJ994" s="421"/>
      <c r="AK994" s="421"/>
      <c r="AL994" s="421"/>
    </row>
    <row r="995" spans="1:38">
      <c r="A995" s="3">
        <v>5887</v>
      </c>
      <c r="B995" s="83">
        <f t="array" ref="B995">SUM(--(FREQUENCY(IF(C$2:C$3081=C995, MATCH(D$2:D$3081, D$2:D$3081, 0)), ROW(D$2:D$3081)-ROW(D$2)+1) &gt; 0))</f>
        <v>6</v>
      </c>
      <c r="C995" s="3">
        <v>41100550</v>
      </c>
      <c r="D995" s="6" t="s">
        <v>2643</v>
      </c>
      <c r="E995" s="3" t="s">
        <v>1405</v>
      </c>
      <c r="F995" s="3" t="s">
        <v>1477</v>
      </c>
      <c r="G995" s="68" t="str">
        <f t="shared" si="114"/>
        <v>SINGLE</v>
      </c>
      <c r="H995" s="197">
        <f t="shared" si="128"/>
        <v>32</v>
      </c>
      <c r="I995" s="197">
        <v>8</v>
      </c>
      <c r="J995" s="197">
        <v>6</v>
      </c>
      <c r="K995" s="186">
        <f t="shared" si="129"/>
        <v>45875</v>
      </c>
      <c r="L995" s="3" t="s">
        <v>2391</v>
      </c>
      <c r="M995" s="3" t="s">
        <v>1468</v>
      </c>
      <c r="N995" s="3" t="str">
        <f t="shared" ref="N995" si="136">IF(O995&lt;&gt;"", "NG", "")</f>
        <v>NG</v>
      </c>
      <c r="O995" s="408" t="s">
        <v>2368</v>
      </c>
      <c r="P995" s="408" t="s">
        <v>2371</v>
      </c>
      <c r="Q995" s="408">
        <v>11001968</v>
      </c>
      <c r="R995" s="408" t="s">
        <v>473</v>
      </c>
      <c r="S995" s="408" t="s">
        <v>2642</v>
      </c>
      <c r="T995" s="408"/>
      <c r="U995" s="408"/>
      <c r="V995" s="421"/>
      <c r="W995" s="421"/>
      <c r="X995" s="421"/>
      <c r="Y995" s="421"/>
      <c r="Z995" s="421"/>
      <c r="AA995" s="421"/>
      <c r="AB995" s="421"/>
      <c r="AC995" s="421"/>
      <c r="AD995" s="421"/>
      <c r="AE995" s="421"/>
      <c r="AF995" s="421"/>
      <c r="AG995" s="421"/>
      <c r="AH995" s="421"/>
      <c r="AI995" s="421"/>
      <c r="AJ995" s="421"/>
      <c r="AK995" s="421"/>
      <c r="AL995" s="421"/>
    </row>
    <row r="996" spans="1:38">
      <c r="A996" s="3">
        <v>5886</v>
      </c>
      <c r="B996" s="83">
        <f t="array" ref="B996">SUM(--(FREQUENCY(IF(C$2:C$3081=C996, MATCH(D$2:D$3081, D$2:D$3081, 0)), ROW(D$2:D$3081)-ROW(D$2)+1) &gt; 0))</f>
        <v>63</v>
      </c>
      <c r="C996" s="3">
        <v>41200006</v>
      </c>
      <c r="D996" s="6" t="s">
        <v>2644</v>
      </c>
      <c r="E996" s="3" t="s">
        <v>1405</v>
      </c>
      <c r="F996" s="3" t="s">
        <v>1477</v>
      </c>
      <c r="G996" s="68" t="str">
        <f t="shared" si="114"/>
        <v>SINGLE</v>
      </c>
      <c r="H996" s="197">
        <f t="shared" si="128"/>
        <v>32</v>
      </c>
      <c r="I996" s="197">
        <v>8</v>
      </c>
      <c r="J996" s="197">
        <v>6</v>
      </c>
      <c r="K996" s="186">
        <f t="shared" si="129"/>
        <v>45875</v>
      </c>
      <c r="L996" s="3" t="s">
        <v>2395</v>
      </c>
      <c r="M996" s="3" t="s">
        <v>1469</v>
      </c>
      <c r="N996" s="3" t="str">
        <f t="shared" si="117"/>
        <v>NG</v>
      </c>
      <c r="O996" s="408" t="s">
        <v>2368</v>
      </c>
      <c r="P996" s="408" t="s">
        <v>2371</v>
      </c>
      <c r="Q996" s="408">
        <v>11001968</v>
      </c>
      <c r="R996" s="408" t="s">
        <v>473</v>
      </c>
      <c r="S996" s="408" t="s">
        <v>2642</v>
      </c>
      <c r="T996" s="408"/>
      <c r="U996" s="408"/>
      <c r="V996" s="421"/>
      <c r="W996" s="421"/>
      <c r="X996" s="421"/>
      <c r="Y996" s="421"/>
      <c r="Z996" s="421"/>
      <c r="AA996" s="421"/>
      <c r="AB996" s="421"/>
      <c r="AC996" s="421"/>
      <c r="AD996" s="421"/>
      <c r="AE996" s="421"/>
      <c r="AF996" s="421"/>
      <c r="AG996" s="421"/>
      <c r="AH996" s="421"/>
      <c r="AI996" s="421"/>
      <c r="AJ996" s="421"/>
      <c r="AK996" s="421"/>
      <c r="AL996" s="421"/>
    </row>
    <row r="997" spans="1:38">
      <c r="A997" s="3">
        <v>5886</v>
      </c>
      <c r="B997" s="83">
        <f t="array" ref="B997">SUM(--(FREQUENCY(IF(C$2:C$3081=C997, MATCH(D$2:D$3081, D$2:D$3081, 0)), ROW(D$2:D$3081)-ROW(D$2)+1) &gt; 0))</f>
        <v>63</v>
      </c>
      <c r="C997" s="3">
        <v>41200006</v>
      </c>
      <c r="D997" s="6" t="s">
        <v>2644</v>
      </c>
      <c r="E997" s="3" t="s">
        <v>1405</v>
      </c>
      <c r="F997" s="3" t="s">
        <v>1477</v>
      </c>
      <c r="G997" s="68" t="str">
        <f t="shared" ref="G997:G998" si="137">IF(OR(ISNUMBER(SEARCH("DUAL",F997)), ISNUMBER(SEARCH("IVAS",F997))), "DUAL", "SINGLE")</f>
        <v>SINGLE</v>
      </c>
      <c r="H997" s="197">
        <f t="shared" ref="H997:H999" si="138">WEEKNUM(K997)</f>
        <v>32</v>
      </c>
      <c r="I997" s="197">
        <v>8</v>
      </c>
      <c r="J997" s="197">
        <v>6</v>
      </c>
      <c r="K997" s="186">
        <f t="shared" ref="K997:K999" si="139">DATE(2025, I997, J997)</f>
        <v>45875</v>
      </c>
      <c r="L997" s="3" t="s">
        <v>2395</v>
      </c>
      <c r="M997" s="3" t="s">
        <v>1469</v>
      </c>
      <c r="N997" s="3" t="str">
        <f t="shared" si="117"/>
        <v>NG</v>
      </c>
      <c r="O997" s="408" t="s">
        <v>2368</v>
      </c>
      <c r="P997" s="408" t="s">
        <v>2371</v>
      </c>
      <c r="Q997" s="408">
        <v>11001968</v>
      </c>
      <c r="R997" s="408" t="s">
        <v>473</v>
      </c>
      <c r="S997" s="408" t="s">
        <v>2642</v>
      </c>
      <c r="T997" s="408"/>
      <c r="U997" s="408"/>
      <c r="V997" s="421"/>
      <c r="W997" s="421"/>
      <c r="X997" s="421"/>
      <c r="Y997" s="421"/>
      <c r="Z997" s="421"/>
      <c r="AA997" s="421"/>
      <c r="AB997" s="421"/>
      <c r="AC997" s="421"/>
      <c r="AD997" s="421"/>
      <c r="AE997" s="421"/>
      <c r="AF997" s="421"/>
      <c r="AG997" s="421"/>
      <c r="AH997" s="421"/>
      <c r="AI997" s="421"/>
      <c r="AJ997" s="421"/>
      <c r="AK997" s="421"/>
      <c r="AL997" s="421"/>
    </row>
    <row r="998" spans="1:38">
      <c r="A998" s="3">
        <v>5886</v>
      </c>
      <c r="B998" s="83">
        <f t="array" ref="B998">SUM(--(FREQUENCY(IF(C$2:C$3081=C998, MATCH(D$2:D$3081, D$2:D$3081, 0)), ROW(D$2:D$3081)-ROW(D$2)+1) &gt; 0))</f>
        <v>63</v>
      </c>
      <c r="C998" s="3">
        <v>41200006</v>
      </c>
      <c r="D998" s="6" t="s">
        <v>2644</v>
      </c>
      <c r="E998" s="3" t="s">
        <v>1405</v>
      </c>
      <c r="F998" s="3" t="s">
        <v>1477</v>
      </c>
      <c r="G998" s="68" t="str">
        <f t="shared" si="137"/>
        <v>SINGLE</v>
      </c>
      <c r="H998" s="197">
        <f t="shared" si="138"/>
        <v>32</v>
      </c>
      <c r="I998" s="197">
        <v>8</v>
      </c>
      <c r="J998" s="197">
        <v>6</v>
      </c>
      <c r="K998" s="186">
        <f t="shared" si="139"/>
        <v>45875</v>
      </c>
      <c r="L998" s="3" t="s">
        <v>2395</v>
      </c>
      <c r="M998" s="3" t="s">
        <v>1469</v>
      </c>
      <c r="N998" s="3" t="str">
        <f t="shared" si="117"/>
        <v>NG</v>
      </c>
      <c r="O998" s="408" t="s">
        <v>2368</v>
      </c>
      <c r="P998" s="408" t="s">
        <v>2371</v>
      </c>
      <c r="Q998" s="408">
        <v>11001968</v>
      </c>
      <c r="R998" s="408" t="s">
        <v>473</v>
      </c>
      <c r="S998" s="408" t="s">
        <v>2642</v>
      </c>
      <c r="T998" s="408"/>
      <c r="U998" s="408"/>
      <c r="V998" s="421"/>
      <c r="W998" s="421"/>
      <c r="X998" s="421"/>
      <c r="Y998" s="421"/>
      <c r="Z998" s="421"/>
      <c r="AA998" s="421"/>
      <c r="AB998" s="421"/>
      <c r="AC998" s="421"/>
      <c r="AD998" s="421"/>
      <c r="AE998" s="421"/>
      <c r="AF998" s="421"/>
      <c r="AG998" s="421"/>
      <c r="AH998" s="421"/>
      <c r="AI998" s="421"/>
      <c r="AJ998" s="421"/>
      <c r="AK998" s="421"/>
      <c r="AL998" s="421"/>
    </row>
    <row r="999" spans="1:38">
      <c r="A999" s="3">
        <v>5886</v>
      </c>
      <c r="B999" s="83">
        <f t="array" ref="B999">SUM(--(FREQUENCY(IF(C$2:C$3081=C999, MATCH(D$2:D$3081, D$2:D$3081, 0)), ROW(D$2:D$3081)-ROW(D$2)+1) &gt; 0))</f>
        <v>63</v>
      </c>
      <c r="C999" s="3">
        <v>41200006</v>
      </c>
      <c r="D999" s="6" t="s">
        <v>2645</v>
      </c>
      <c r="E999" s="3" t="s">
        <v>1405</v>
      </c>
      <c r="F999" s="3" t="s">
        <v>1477</v>
      </c>
      <c r="G999" s="68" t="str">
        <f t="shared" ref="G999:G1016" si="140">IF(OR(ISNUMBER(SEARCH("DUAL",F999)), ISNUMBER(SEARCH("IVAS",F999))), "DUAL", "SINGLE")</f>
        <v>SINGLE</v>
      </c>
      <c r="H999" s="197">
        <f t="shared" si="138"/>
        <v>32</v>
      </c>
      <c r="I999" s="197">
        <v>8</v>
      </c>
      <c r="J999" s="197">
        <v>6</v>
      </c>
      <c r="K999" s="186">
        <f t="shared" si="139"/>
        <v>45875</v>
      </c>
      <c r="L999" s="3" t="s">
        <v>2395</v>
      </c>
      <c r="M999" s="3" t="s">
        <v>1469</v>
      </c>
      <c r="N999" s="3" t="str">
        <f t="shared" ref="N999" si="141">IF(O999&lt;&gt;"", "NG", "")</f>
        <v>NG</v>
      </c>
      <c r="O999" s="408" t="s">
        <v>2368</v>
      </c>
      <c r="P999" s="408" t="s">
        <v>2371</v>
      </c>
      <c r="Q999" s="408">
        <v>11001968</v>
      </c>
      <c r="R999" s="408" t="s">
        <v>473</v>
      </c>
      <c r="S999" s="408" t="s">
        <v>2642</v>
      </c>
      <c r="T999" s="408"/>
      <c r="U999" s="408"/>
      <c r="V999" s="421"/>
      <c r="W999" s="421"/>
      <c r="X999" s="421"/>
      <c r="Y999" s="421"/>
      <c r="Z999" s="421"/>
      <c r="AA999" s="421"/>
      <c r="AB999" s="421"/>
      <c r="AC999" s="421"/>
      <c r="AD999" s="421"/>
      <c r="AE999" s="421"/>
      <c r="AF999" s="421"/>
      <c r="AG999" s="421"/>
      <c r="AH999" s="421"/>
      <c r="AI999" s="421"/>
      <c r="AJ999" s="421"/>
      <c r="AK999" s="421"/>
      <c r="AL999" s="421"/>
    </row>
    <row r="1000" spans="1:38">
      <c r="A1000" s="3">
        <v>5886</v>
      </c>
      <c r="B1000" s="83">
        <f t="array" ref="B1000">SUM(--(FREQUENCY(IF(C$2:C$3081=C1000, MATCH(D$2:D$3081, D$2:D$3081, 0)), ROW(D$2:D$3081)-ROW(D$2)+1) &gt; 0))</f>
        <v>63</v>
      </c>
      <c r="C1000" s="3">
        <v>41200006</v>
      </c>
      <c r="D1000" s="6" t="s">
        <v>2646</v>
      </c>
      <c r="E1000" s="3" t="s">
        <v>1405</v>
      </c>
      <c r="F1000" s="3" t="s">
        <v>1477</v>
      </c>
      <c r="G1000" s="68" t="str">
        <f t="shared" si="140"/>
        <v>SINGLE</v>
      </c>
      <c r="H1000" s="197">
        <f t="shared" si="128"/>
        <v>32</v>
      </c>
      <c r="I1000" s="197">
        <v>8</v>
      </c>
      <c r="J1000" s="197">
        <v>6</v>
      </c>
      <c r="K1000" s="186">
        <f t="shared" si="129"/>
        <v>45875</v>
      </c>
      <c r="L1000" s="3" t="s">
        <v>2395</v>
      </c>
      <c r="M1000" s="3" t="s">
        <v>1469</v>
      </c>
      <c r="N1000" s="3" t="str">
        <f t="shared" si="117"/>
        <v>NG</v>
      </c>
      <c r="O1000" s="408" t="s">
        <v>2368</v>
      </c>
      <c r="P1000" s="408" t="s">
        <v>2371</v>
      </c>
      <c r="Q1000" s="408">
        <v>11001968</v>
      </c>
      <c r="R1000" s="408" t="s">
        <v>473</v>
      </c>
      <c r="S1000" s="408" t="s">
        <v>2642</v>
      </c>
      <c r="T1000" s="408"/>
      <c r="U1000" s="408"/>
      <c r="V1000" s="421"/>
      <c r="W1000" s="421"/>
      <c r="X1000" s="421"/>
      <c r="Y1000" s="421"/>
      <c r="Z1000" s="421"/>
      <c r="AA1000" s="421"/>
      <c r="AB1000" s="421"/>
      <c r="AC1000" s="421"/>
      <c r="AD1000" s="421"/>
      <c r="AE1000" s="421"/>
      <c r="AF1000" s="421"/>
      <c r="AG1000" s="421"/>
      <c r="AH1000" s="421"/>
      <c r="AI1000" s="421"/>
      <c r="AJ1000" s="421"/>
      <c r="AK1000" s="421"/>
      <c r="AL1000" s="421"/>
    </row>
    <row r="1001" spans="1:38">
      <c r="A1001" s="3">
        <v>5886</v>
      </c>
      <c r="B1001" s="83">
        <f t="array" ref="B1001">SUM(--(FREQUENCY(IF(C$2:C$3081=C1001, MATCH(D$2:D$3081, D$2:D$3081, 0)), ROW(D$2:D$3081)-ROW(D$2)+1) &gt; 0))</f>
        <v>63</v>
      </c>
      <c r="C1001" s="3">
        <v>41200006</v>
      </c>
      <c r="D1001" s="6" t="s">
        <v>2646</v>
      </c>
      <c r="E1001" s="3" t="s">
        <v>1405</v>
      </c>
      <c r="F1001" s="3" t="s">
        <v>1477</v>
      </c>
      <c r="G1001" s="68" t="str">
        <f t="shared" si="140"/>
        <v>SINGLE</v>
      </c>
      <c r="H1001" s="197">
        <f t="shared" ref="H1001" si="142">WEEKNUM(K1001)</f>
        <v>32</v>
      </c>
      <c r="I1001" s="197">
        <v>8</v>
      </c>
      <c r="J1001" s="197">
        <v>6</v>
      </c>
      <c r="K1001" s="186">
        <f t="shared" ref="K1001" si="143">DATE(2025, I1001, J1001)</f>
        <v>45875</v>
      </c>
      <c r="L1001" s="3" t="s">
        <v>2395</v>
      </c>
      <c r="M1001" s="3" t="s">
        <v>1469</v>
      </c>
      <c r="N1001" s="3" t="str">
        <f t="shared" si="117"/>
        <v>NG</v>
      </c>
      <c r="O1001" s="408" t="s">
        <v>2368</v>
      </c>
      <c r="P1001" s="408" t="s">
        <v>2371</v>
      </c>
      <c r="Q1001" s="408">
        <v>11001968</v>
      </c>
      <c r="R1001" s="408" t="s">
        <v>473</v>
      </c>
      <c r="S1001" s="408" t="s">
        <v>2642</v>
      </c>
      <c r="T1001" s="408"/>
      <c r="U1001" s="408"/>
      <c r="V1001" s="421"/>
      <c r="W1001" s="421"/>
      <c r="X1001" s="421"/>
      <c r="Y1001" s="421"/>
      <c r="Z1001" s="421"/>
      <c r="AA1001" s="421"/>
      <c r="AB1001" s="421"/>
      <c r="AC1001" s="421"/>
      <c r="AD1001" s="421"/>
      <c r="AE1001" s="421"/>
      <c r="AF1001" s="421"/>
      <c r="AG1001" s="421"/>
      <c r="AH1001" s="421"/>
      <c r="AI1001" s="421"/>
      <c r="AJ1001" s="421"/>
      <c r="AK1001" s="421"/>
      <c r="AL1001" s="421"/>
    </row>
    <row r="1002" spans="1:38">
      <c r="A1002" s="3">
        <v>5901</v>
      </c>
      <c r="B1002" s="83">
        <f t="array" ref="B1002">SUM(--(FREQUENCY(IF(C$2:C$3077=C1002, MATCH(D$2:D$3077, D$2:D$3077, 0)), ROW(D$2:D$3077)-ROW(D$2)+1) &gt; 0))</f>
        <v>29</v>
      </c>
      <c r="C1002" s="3">
        <v>41200127</v>
      </c>
      <c r="D1002" s="6" t="s">
        <v>2647</v>
      </c>
      <c r="E1002" s="3" t="s">
        <v>1431</v>
      </c>
      <c r="F1002" s="3" t="s">
        <v>1591</v>
      </c>
      <c r="G1002" s="68" t="str">
        <f t="shared" si="140"/>
        <v>SINGLE</v>
      </c>
      <c r="H1002" s="197">
        <f t="shared" ref="H1002:H1008" si="144">WEEKNUM(K1002)</f>
        <v>32</v>
      </c>
      <c r="I1002" s="197">
        <v>8</v>
      </c>
      <c r="J1002" s="197">
        <v>7</v>
      </c>
      <c r="K1002" s="186">
        <f t="shared" ref="K1002:K1008" si="145">DATE(2025, I1002, J1002)</f>
        <v>45876</v>
      </c>
      <c r="L1002" s="3" t="s">
        <v>2395</v>
      </c>
      <c r="M1002" s="3" t="s">
        <v>1469</v>
      </c>
      <c r="N1002" s="3" t="str">
        <f t="shared" si="117"/>
        <v/>
      </c>
      <c r="O1002" s="408"/>
      <c r="P1002" s="408"/>
      <c r="Q1002" s="408"/>
      <c r="R1002" s="408"/>
      <c r="S1002" s="408"/>
      <c r="T1002" s="408"/>
      <c r="U1002" s="408"/>
      <c r="V1002" s="421"/>
      <c r="W1002" s="421"/>
      <c r="X1002" s="421"/>
      <c r="Y1002" s="421"/>
      <c r="Z1002" s="421"/>
      <c r="AA1002" s="421"/>
      <c r="AB1002" s="421"/>
      <c r="AC1002" s="421"/>
      <c r="AD1002" s="421"/>
      <c r="AE1002" s="421"/>
      <c r="AF1002" s="421"/>
      <c r="AG1002" s="421"/>
      <c r="AH1002" s="421"/>
      <c r="AI1002" s="421"/>
      <c r="AJ1002" s="421"/>
      <c r="AK1002" s="421"/>
      <c r="AL1002" s="421"/>
    </row>
    <row r="1003" spans="1:38">
      <c r="A1003" s="3">
        <v>5901</v>
      </c>
      <c r="B1003" s="83">
        <f t="array" ref="B1003">SUM(--(FREQUENCY(IF(C$2:C$3077=C1003, MATCH(D$2:D$3077, D$2:D$3077, 0)), ROW(D$2:D$3077)-ROW(D$2)+1) &gt; 0))</f>
        <v>29</v>
      </c>
      <c r="C1003" s="3">
        <v>41200127</v>
      </c>
      <c r="D1003" s="6" t="s">
        <v>2648</v>
      </c>
      <c r="E1003" s="3" t="s">
        <v>1431</v>
      </c>
      <c r="F1003" s="3" t="s">
        <v>1591</v>
      </c>
      <c r="G1003" s="68" t="str">
        <f t="shared" si="140"/>
        <v>SINGLE</v>
      </c>
      <c r="H1003" s="197">
        <f t="shared" si="144"/>
        <v>32</v>
      </c>
      <c r="I1003" s="197">
        <v>8</v>
      </c>
      <c r="J1003" s="197">
        <v>7</v>
      </c>
      <c r="K1003" s="186">
        <f t="shared" si="145"/>
        <v>45876</v>
      </c>
      <c r="L1003" s="3" t="s">
        <v>2395</v>
      </c>
      <c r="M1003" s="3" t="s">
        <v>1469</v>
      </c>
      <c r="N1003" s="3" t="str">
        <f t="shared" si="117"/>
        <v/>
      </c>
      <c r="O1003" s="408"/>
      <c r="P1003" s="408"/>
      <c r="Q1003" s="408"/>
      <c r="R1003" s="408"/>
      <c r="S1003" s="408"/>
      <c r="T1003" s="408"/>
      <c r="U1003" s="408"/>
      <c r="V1003" s="421"/>
      <c r="W1003" s="421"/>
      <c r="X1003" s="421"/>
      <c r="Y1003" s="421"/>
      <c r="Z1003" s="421"/>
      <c r="AA1003" s="421"/>
      <c r="AB1003" s="421"/>
      <c r="AC1003" s="421"/>
      <c r="AD1003" s="421"/>
      <c r="AE1003" s="421"/>
      <c r="AF1003" s="421"/>
      <c r="AG1003" s="421"/>
      <c r="AH1003" s="421"/>
      <c r="AI1003" s="421"/>
      <c r="AJ1003" s="421"/>
      <c r="AK1003" s="421"/>
      <c r="AL1003" s="421"/>
    </row>
    <row r="1004" spans="1:38">
      <c r="A1004" s="3">
        <v>5887</v>
      </c>
      <c r="B1004" s="83">
        <f t="array" ref="B1004">SUM(--(FREQUENCY(IF(C$2:C$3077=C1004, MATCH(D$2:D$3077, D$2:D$3077, 0)), ROW(D$2:D$3077)-ROW(D$2)+1) &gt; 0))</f>
        <v>6</v>
      </c>
      <c r="C1004" s="3">
        <v>41100550</v>
      </c>
      <c r="D1004" s="6" t="s">
        <v>2649</v>
      </c>
      <c r="E1004" s="3" t="s">
        <v>1405</v>
      </c>
      <c r="F1004" s="3" t="s">
        <v>1477</v>
      </c>
      <c r="G1004" s="68" t="str">
        <f t="shared" si="140"/>
        <v>SINGLE</v>
      </c>
      <c r="H1004" s="197">
        <f t="shared" si="144"/>
        <v>32</v>
      </c>
      <c r="I1004" s="197">
        <v>8</v>
      </c>
      <c r="J1004" s="197">
        <v>7</v>
      </c>
      <c r="K1004" s="186">
        <f t="shared" si="145"/>
        <v>45876</v>
      </c>
      <c r="L1004" s="3" t="s">
        <v>2391</v>
      </c>
      <c r="M1004" s="3" t="s">
        <v>2392</v>
      </c>
      <c r="N1004" s="3" t="str">
        <f t="shared" si="117"/>
        <v/>
      </c>
      <c r="O1004" s="408"/>
      <c r="P1004" s="408"/>
      <c r="Q1004" s="408"/>
      <c r="R1004" s="408"/>
      <c r="S1004" s="408"/>
      <c r="T1004" s="408"/>
      <c r="U1004" s="408"/>
      <c r="V1004" s="421"/>
      <c r="W1004" s="421"/>
      <c r="X1004" s="421"/>
      <c r="Y1004" s="421"/>
      <c r="Z1004" s="421"/>
      <c r="AA1004" s="421"/>
      <c r="AB1004" s="421"/>
      <c r="AC1004" s="421"/>
      <c r="AD1004" s="421"/>
      <c r="AE1004" s="421"/>
      <c r="AF1004" s="421"/>
      <c r="AG1004" s="421"/>
      <c r="AH1004" s="421"/>
      <c r="AI1004" s="421"/>
      <c r="AJ1004" s="421"/>
      <c r="AK1004" s="421"/>
      <c r="AL1004" s="421"/>
    </row>
    <row r="1005" spans="1:38">
      <c r="A1005" s="3">
        <v>5887</v>
      </c>
      <c r="B1005" s="83">
        <f t="array" ref="B1005">SUM(--(FREQUENCY(IF(C$2:C$3077=C1005, MATCH(D$2:D$3077, D$2:D$3077, 0)), ROW(D$2:D$3077)-ROW(D$2)+1) &gt; 0))</f>
        <v>6</v>
      </c>
      <c r="C1005" s="3">
        <v>41100550</v>
      </c>
      <c r="D1005" s="6" t="s">
        <v>2650</v>
      </c>
      <c r="E1005" s="3" t="s">
        <v>1405</v>
      </c>
      <c r="F1005" s="3" t="s">
        <v>1477</v>
      </c>
      <c r="G1005" s="68" t="str">
        <f t="shared" si="140"/>
        <v>SINGLE</v>
      </c>
      <c r="H1005" s="197">
        <f t="shared" si="144"/>
        <v>32</v>
      </c>
      <c r="I1005" s="197">
        <v>8</v>
      </c>
      <c r="J1005" s="197">
        <v>7</v>
      </c>
      <c r="K1005" s="186">
        <f t="shared" si="145"/>
        <v>45876</v>
      </c>
      <c r="L1005" s="3" t="s">
        <v>2391</v>
      </c>
      <c r="M1005" s="3" t="s">
        <v>2392</v>
      </c>
      <c r="N1005" s="3" t="str">
        <f t="shared" ref="N1005" si="146">IF(O1005&lt;&gt;"", "NG", "")</f>
        <v>NG</v>
      </c>
      <c r="O1005" s="408" t="s">
        <v>2368</v>
      </c>
      <c r="P1005" s="408" t="s">
        <v>2371</v>
      </c>
      <c r="Q1005" s="408">
        <v>11001968</v>
      </c>
      <c r="R1005" s="408" t="s">
        <v>473</v>
      </c>
      <c r="S1005" s="408" t="s">
        <v>2642</v>
      </c>
      <c r="T1005" s="408"/>
      <c r="U1005" s="408"/>
      <c r="V1005" s="421"/>
      <c r="W1005" s="421"/>
      <c r="X1005" s="421"/>
      <c r="Y1005" s="421"/>
      <c r="Z1005" s="421"/>
      <c r="AA1005" s="421"/>
      <c r="AB1005" s="421"/>
      <c r="AC1005" s="421"/>
      <c r="AD1005" s="421"/>
      <c r="AE1005" s="421"/>
      <c r="AF1005" s="421"/>
      <c r="AG1005" s="421"/>
      <c r="AH1005" s="421"/>
      <c r="AI1005" s="421"/>
      <c r="AJ1005" s="421"/>
      <c r="AK1005" s="421"/>
      <c r="AL1005" s="421"/>
    </row>
    <row r="1006" spans="1:38">
      <c r="A1006" s="3">
        <v>5868</v>
      </c>
      <c r="B1006" s="83">
        <f t="array" ref="B1006">SUM(--(FREQUENCY(IF(C$2:C$3077=C1006, MATCH(D$2:D$3077, D$2:D$3077, 0)), ROW(D$2:D$3077)-ROW(D$2)+1) &gt; 0))</f>
        <v>22</v>
      </c>
      <c r="C1006" s="3">
        <v>41200047</v>
      </c>
      <c r="D1006" s="6" t="s">
        <v>2651</v>
      </c>
      <c r="E1006" s="3" t="s">
        <v>1426</v>
      </c>
      <c r="F1006" s="3" t="s">
        <v>1476</v>
      </c>
      <c r="G1006" s="68" t="str">
        <f t="shared" si="140"/>
        <v>DUAL</v>
      </c>
      <c r="H1006" s="197">
        <f t="shared" si="144"/>
        <v>32</v>
      </c>
      <c r="I1006" s="197">
        <v>8</v>
      </c>
      <c r="J1006" s="197">
        <v>7</v>
      </c>
      <c r="K1006" s="186">
        <f t="shared" si="145"/>
        <v>45876</v>
      </c>
      <c r="L1006" s="3" t="s">
        <v>2391</v>
      </c>
      <c r="M1006" s="3" t="s">
        <v>2392</v>
      </c>
      <c r="N1006" s="3" t="str">
        <f t="shared" si="117"/>
        <v/>
      </c>
      <c r="O1006" s="408"/>
      <c r="P1006" s="408"/>
      <c r="Q1006" s="408"/>
      <c r="R1006" s="408"/>
      <c r="S1006" s="408"/>
      <c r="T1006" s="408"/>
      <c r="U1006" s="408"/>
      <c r="V1006" s="421"/>
      <c r="W1006" s="421"/>
      <c r="X1006" s="421"/>
      <c r="Y1006" s="421"/>
      <c r="Z1006" s="421"/>
      <c r="AA1006" s="421"/>
      <c r="AB1006" s="421"/>
      <c r="AC1006" s="421"/>
      <c r="AD1006" s="421"/>
      <c r="AE1006" s="421"/>
      <c r="AF1006" s="421"/>
      <c r="AG1006" s="421"/>
      <c r="AH1006" s="421"/>
      <c r="AI1006" s="421"/>
      <c r="AJ1006" s="421"/>
      <c r="AK1006" s="421"/>
      <c r="AL1006" s="421"/>
    </row>
    <row r="1007" spans="1:38">
      <c r="A1007" s="3">
        <v>5868</v>
      </c>
      <c r="B1007" s="83">
        <f t="array" ref="B1007">SUM(--(FREQUENCY(IF(C$2:C$3077=C1007, MATCH(D$2:D$3077, D$2:D$3077, 0)), ROW(D$2:D$3077)-ROW(D$2)+1) &gt; 0))</f>
        <v>22</v>
      </c>
      <c r="C1007" s="3">
        <v>41200047</v>
      </c>
      <c r="D1007" s="6" t="s">
        <v>2652</v>
      </c>
      <c r="E1007" s="3" t="s">
        <v>1426</v>
      </c>
      <c r="F1007" s="3" t="s">
        <v>1476</v>
      </c>
      <c r="G1007" s="68" t="str">
        <f t="shared" si="140"/>
        <v>DUAL</v>
      </c>
      <c r="H1007" s="197">
        <f t="shared" si="144"/>
        <v>32</v>
      </c>
      <c r="I1007" s="197">
        <v>8</v>
      </c>
      <c r="J1007" s="197">
        <v>7</v>
      </c>
      <c r="K1007" s="186">
        <f t="shared" si="145"/>
        <v>45876</v>
      </c>
      <c r="L1007" s="3" t="s">
        <v>2391</v>
      </c>
      <c r="M1007" s="3" t="s">
        <v>2392</v>
      </c>
      <c r="N1007" s="3" t="str">
        <f t="shared" si="117"/>
        <v>NG</v>
      </c>
      <c r="O1007" s="408" t="s">
        <v>2368</v>
      </c>
      <c r="P1007" s="408" t="s">
        <v>1385</v>
      </c>
      <c r="Q1007" s="408">
        <v>11001962</v>
      </c>
      <c r="R1007" s="408" t="s">
        <v>562</v>
      </c>
      <c r="S1007" s="408" t="s">
        <v>2653</v>
      </c>
      <c r="T1007" s="408"/>
      <c r="U1007" s="408"/>
      <c r="V1007" s="421"/>
      <c r="W1007" s="421"/>
      <c r="X1007" s="421"/>
      <c r="Y1007" s="421"/>
      <c r="Z1007" s="421"/>
      <c r="AA1007" s="421"/>
      <c r="AB1007" s="421"/>
      <c r="AC1007" s="421"/>
      <c r="AD1007" s="421"/>
      <c r="AE1007" s="421"/>
      <c r="AF1007" s="421"/>
      <c r="AG1007" s="421"/>
      <c r="AH1007" s="421"/>
      <c r="AI1007" s="421"/>
      <c r="AJ1007" s="421"/>
      <c r="AK1007" s="421"/>
      <c r="AL1007" s="421"/>
    </row>
    <row r="1008" spans="1:38">
      <c r="A1008" s="3">
        <v>5868</v>
      </c>
      <c r="B1008" s="83">
        <f t="array" ref="B1008">SUM(--(FREQUENCY(IF(C$2:C$3077=C1008, MATCH(D$2:D$3077, D$2:D$3077, 0)), ROW(D$2:D$3077)-ROW(D$2)+1) &gt; 0))</f>
        <v>22</v>
      </c>
      <c r="C1008" s="3">
        <v>41200047</v>
      </c>
      <c r="D1008" s="6" t="s">
        <v>2654</v>
      </c>
      <c r="E1008" s="3" t="s">
        <v>1426</v>
      </c>
      <c r="F1008" s="3" t="s">
        <v>1476</v>
      </c>
      <c r="G1008" s="68" t="str">
        <f t="shared" si="140"/>
        <v>DUAL</v>
      </c>
      <c r="H1008" s="197">
        <f t="shared" si="144"/>
        <v>32</v>
      </c>
      <c r="I1008" s="197">
        <v>8</v>
      </c>
      <c r="J1008" s="197">
        <v>7</v>
      </c>
      <c r="K1008" s="186">
        <f t="shared" si="145"/>
        <v>45876</v>
      </c>
      <c r="L1008" s="3" t="s">
        <v>2391</v>
      </c>
      <c r="M1008" s="3" t="s">
        <v>2392</v>
      </c>
      <c r="N1008" s="3" t="str">
        <f t="shared" si="117"/>
        <v>NG</v>
      </c>
      <c r="O1008" s="408" t="s">
        <v>2368</v>
      </c>
      <c r="P1008" s="408" t="s">
        <v>1385</v>
      </c>
      <c r="Q1008" s="408">
        <v>11001962</v>
      </c>
      <c r="R1008" s="408" t="s">
        <v>562</v>
      </c>
      <c r="S1008" s="408" t="s">
        <v>2655</v>
      </c>
      <c r="T1008" s="408"/>
      <c r="U1008" s="408"/>
      <c r="V1008" s="421"/>
      <c r="W1008" s="421"/>
      <c r="X1008" s="421"/>
      <c r="Y1008" s="421"/>
      <c r="Z1008" s="421"/>
      <c r="AA1008" s="421"/>
      <c r="AB1008" s="421"/>
      <c r="AC1008" s="421"/>
      <c r="AD1008" s="421"/>
      <c r="AE1008" s="421"/>
      <c r="AF1008" s="421"/>
      <c r="AG1008" s="421"/>
      <c r="AH1008" s="421"/>
      <c r="AI1008" s="421"/>
      <c r="AJ1008" s="421"/>
      <c r="AK1008" s="421"/>
      <c r="AL1008" s="421"/>
    </row>
    <row r="1009" spans="1:38">
      <c r="A1009" s="3">
        <v>5780</v>
      </c>
      <c r="B1009" s="83">
        <f t="array" ref="B1009">SUM(--(FREQUENCY(IF(C$2:C$3077=C1009, MATCH(D$2:D$3077, D$2:D$3077, 0)), ROW(D$2:D$3077)-ROW(D$2)+1) &gt; 0))</f>
        <v>25</v>
      </c>
      <c r="C1009" s="3">
        <v>41200158</v>
      </c>
      <c r="D1009" s="6" t="s">
        <v>2656</v>
      </c>
      <c r="E1009" s="3" t="s">
        <v>1405</v>
      </c>
      <c r="F1009" s="3" t="s">
        <v>1480</v>
      </c>
      <c r="G1009" s="68" t="str">
        <f t="shared" si="140"/>
        <v>DUAL</v>
      </c>
      <c r="H1009" s="197">
        <f t="shared" ref="H1009:H1047" si="147">WEEKNUM(K1009)</f>
        <v>32</v>
      </c>
      <c r="I1009" s="197">
        <v>8</v>
      </c>
      <c r="J1009" s="197">
        <v>8</v>
      </c>
      <c r="K1009" s="186">
        <f t="shared" ref="K1009:K1016" si="148">DATE(2025, I1009, J1009)</f>
        <v>45877</v>
      </c>
      <c r="L1009" s="3" t="s">
        <v>2391</v>
      </c>
      <c r="M1009" s="3" t="s">
        <v>2392</v>
      </c>
      <c r="N1009" s="3" t="str">
        <f t="shared" si="117"/>
        <v/>
      </c>
      <c r="O1009" s="408"/>
      <c r="P1009" s="408"/>
      <c r="Q1009" s="408"/>
      <c r="R1009" s="408"/>
      <c r="S1009" s="408"/>
      <c r="T1009" s="408"/>
      <c r="U1009" s="408"/>
      <c r="V1009" s="421"/>
      <c r="W1009" s="421"/>
      <c r="X1009" s="421"/>
      <c r="Y1009" s="421"/>
      <c r="Z1009" s="421"/>
      <c r="AA1009" s="421"/>
      <c r="AB1009" s="421"/>
      <c r="AC1009" s="421"/>
      <c r="AD1009" s="421"/>
      <c r="AE1009" s="421"/>
      <c r="AF1009" s="421"/>
      <c r="AG1009" s="421"/>
      <c r="AH1009" s="421"/>
      <c r="AI1009" s="421"/>
      <c r="AJ1009" s="421"/>
      <c r="AK1009" s="421"/>
      <c r="AL1009" s="421"/>
    </row>
    <row r="1010" spans="1:38">
      <c r="A1010" s="3">
        <v>5778</v>
      </c>
      <c r="B1010" s="83">
        <f t="array" ref="B1010">SUM(--(FREQUENCY(IF(C$2:C$3077=C1010, MATCH(D$2:D$3077, D$2:D$3077, 0)), ROW(D$2:D$3077)-ROW(D$2)+1) &gt; 0))</f>
        <v>2</v>
      </c>
      <c r="C1010" s="3">
        <v>41100224</v>
      </c>
      <c r="D1010" s="6" t="s">
        <v>2657</v>
      </c>
      <c r="E1010" s="3" t="s">
        <v>1585</v>
      </c>
      <c r="F1010" s="3" t="s">
        <v>1591</v>
      </c>
      <c r="G1010" s="68" t="str">
        <f t="shared" si="140"/>
        <v>SINGLE</v>
      </c>
      <c r="H1010" s="197">
        <f t="shared" si="147"/>
        <v>32</v>
      </c>
      <c r="I1010" s="197">
        <v>8</v>
      </c>
      <c r="J1010" s="197">
        <v>8</v>
      </c>
      <c r="K1010" s="186">
        <f t="shared" si="148"/>
        <v>45877</v>
      </c>
      <c r="L1010" s="3" t="s">
        <v>2391</v>
      </c>
      <c r="M1010" s="3" t="s">
        <v>1468</v>
      </c>
      <c r="N1010" s="3" t="str">
        <f t="shared" si="117"/>
        <v/>
      </c>
      <c r="O1010" s="408"/>
      <c r="P1010" s="408"/>
      <c r="Q1010" s="408"/>
      <c r="R1010" s="408"/>
      <c r="S1010" s="408"/>
      <c r="T1010" s="408"/>
      <c r="U1010" s="408"/>
      <c r="V1010" s="421"/>
      <c r="W1010" s="421"/>
      <c r="X1010" s="421"/>
      <c r="Y1010" s="421"/>
      <c r="Z1010" s="421"/>
      <c r="AA1010" s="421"/>
      <c r="AB1010" s="421"/>
      <c r="AC1010" s="421"/>
      <c r="AD1010" s="421"/>
      <c r="AE1010" s="421"/>
      <c r="AF1010" s="421"/>
      <c r="AG1010" s="421"/>
      <c r="AH1010" s="421"/>
      <c r="AI1010" s="421"/>
      <c r="AJ1010" s="421"/>
      <c r="AK1010" s="421"/>
      <c r="AL1010" s="421"/>
    </row>
    <row r="1011" spans="1:38">
      <c r="A1011" s="3">
        <v>5778</v>
      </c>
      <c r="B1011" s="83">
        <f t="array" ref="B1011">SUM(--(FREQUENCY(IF(C$2:C$3077=C1011, MATCH(D$2:D$3077, D$2:D$3077, 0)), ROW(D$2:D$3077)-ROW(D$2)+1) &gt; 0))</f>
        <v>2</v>
      </c>
      <c r="C1011" s="3">
        <v>41100224</v>
      </c>
      <c r="D1011" s="6" t="s">
        <v>2658</v>
      </c>
      <c r="E1011" s="3" t="s">
        <v>1585</v>
      </c>
      <c r="F1011" s="3" t="s">
        <v>1591</v>
      </c>
      <c r="G1011" s="68" t="str">
        <f t="shared" si="140"/>
        <v>SINGLE</v>
      </c>
      <c r="H1011" s="197">
        <f t="shared" si="147"/>
        <v>32</v>
      </c>
      <c r="I1011" s="197">
        <v>8</v>
      </c>
      <c r="J1011" s="197">
        <v>8</v>
      </c>
      <c r="K1011" s="186">
        <f t="shared" si="148"/>
        <v>45877</v>
      </c>
      <c r="L1011" s="3" t="s">
        <v>2391</v>
      </c>
      <c r="M1011" s="3" t="s">
        <v>1468</v>
      </c>
      <c r="N1011" s="3" t="str">
        <f t="shared" si="117"/>
        <v/>
      </c>
      <c r="O1011" s="408"/>
      <c r="P1011" s="408"/>
      <c r="Q1011" s="408"/>
      <c r="R1011" s="408"/>
      <c r="S1011" s="408"/>
      <c r="T1011" s="408"/>
      <c r="U1011" s="408"/>
      <c r="V1011" s="421"/>
      <c r="W1011" s="421"/>
      <c r="X1011" s="421"/>
      <c r="Y1011" s="421"/>
      <c r="Z1011" s="421"/>
      <c r="AA1011" s="421"/>
      <c r="AB1011" s="421"/>
      <c r="AC1011" s="421"/>
      <c r="AD1011" s="421"/>
      <c r="AE1011" s="421"/>
      <c r="AF1011" s="421"/>
      <c r="AG1011" s="421"/>
      <c r="AH1011" s="421"/>
      <c r="AI1011" s="421"/>
      <c r="AJ1011" s="421"/>
      <c r="AK1011" s="421"/>
      <c r="AL1011" s="421"/>
    </row>
    <row r="1012" spans="1:38">
      <c r="A1012" s="3">
        <v>5927</v>
      </c>
      <c r="B1012" s="83">
        <f t="array" ref="B1012">SUM(--(FREQUENCY(IF(C$2:C$3077=C1012, MATCH(D$2:D$3077, D$2:D$3077, 0)), ROW(D$2:D$3077)-ROW(D$2)+1) &gt; 0))</f>
        <v>4</v>
      </c>
      <c r="C1012" s="3">
        <v>41200167</v>
      </c>
      <c r="D1012" s="6" t="s">
        <v>2659</v>
      </c>
      <c r="E1012" s="3" t="s">
        <v>1399</v>
      </c>
      <c r="F1012" s="3" t="s">
        <v>1591</v>
      </c>
      <c r="G1012" s="68" t="str">
        <f t="shared" si="140"/>
        <v>SINGLE</v>
      </c>
      <c r="H1012" s="197">
        <f t="shared" si="147"/>
        <v>32</v>
      </c>
      <c r="I1012" s="197">
        <v>8</v>
      </c>
      <c r="J1012" s="197">
        <v>8</v>
      </c>
      <c r="K1012" s="186">
        <f t="shared" si="148"/>
        <v>45877</v>
      </c>
      <c r="L1012" s="3" t="s">
        <v>2391</v>
      </c>
      <c r="M1012" s="3" t="s">
        <v>2392</v>
      </c>
      <c r="N1012" s="3" t="str">
        <f t="shared" si="117"/>
        <v>NG</v>
      </c>
      <c r="O1012" s="408" t="s">
        <v>2368</v>
      </c>
      <c r="P1012" s="408" t="s">
        <v>2371</v>
      </c>
      <c r="Q1012" s="408">
        <v>1101968</v>
      </c>
      <c r="R1012" s="408" t="s">
        <v>562</v>
      </c>
      <c r="S1012" s="408" t="s">
        <v>2660</v>
      </c>
      <c r="T1012" s="408"/>
      <c r="U1012" s="408"/>
      <c r="V1012" s="421"/>
      <c r="W1012" s="421"/>
      <c r="X1012" s="421"/>
      <c r="Y1012" s="421"/>
      <c r="Z1012" s="421"/>
      <c r="AA1012" s="421"/>
      <c r="AB1012" s="421"/>
      <c r="AC1012" s="421"/>
      <c r="AD1012" s="421"/>
      <c r="AE1012" s="421"/>
      <c r="AF1012" s="421"/>
      <c r="AG1012" s="421"/>
      <c r="AH1012" s="421"/>
      <c r="AI1012" s="421"/>
      <c r="AJ1012" s="421"/>
      <c r="AK1012" s="421"/>
      <c r="AL1012" s="421"/>
    </row>
    <row r="1013" spans="1:38">
      <c r="A1013" s="3">
        <v>5927</v>
      </c>
      <c r="B1013" s="83">
        <f t="array" ref="B1013">SUM(--(FREQUENCY(IF(C$2:C$3077=C1013, MATCH(D$2:D$3077, D$2:D$3077, 0)), ROW(D$2:D$3077)-ROW(D$2)+1) &gt; 0))</f>
        <v>4</v>
      </c>
      <c r="C1013" s="3">
        <v>41200167</v>
      </c>
      <c r="D1013" s="6" t="s">
        <v>2661</v>
      </c>
      <c r="E1013" s="3" t="s">
        <v>1399</v>
      </c>
      <c r="F1013" s="3" t="s">
        <v>1591</v>
      </c>
      <c r="G1013" s="68" t="str">
        <f t="shared" si="140"/>
        <v>SINGLE</v>
      </c>
      <c r="H1013" s="197">
        <f t="shared" si="147"/>
        <v>32</v>
      </c>
      <c r="I1013" s="197">
        <v>8</v>
      </c>
      <c r="J1013" s="197">
        <v>8</v>
      </c>
      <c r="K1013" s="186">
        <f t="shared" si="148"/>
        <v>45877</v>
      </c>
      <c r="L1013" s="3" t="s">
        <v>2391</v>
      </c>
      <c r="M1013" s="3" t="s">
        <v>2392</v>
      </c>
      <c r="N1013" s="3" t="str">
        <f t="shared" si="117"/>
        <v/>
      </c>
      <c r="O1013" s="408"/>
      <c r="P1013" s="408"/>
      <c r="Q1013" s="408"/>
      <c r="R1013" s="408"/>
      <c r="S1013" s="408"/>
      <c r="T1013" s="408"/>
      <c r="U1013" s="408"/>
      <c r="V1013" s="421"/>
      <c r="W1013" s="421"/>
      <c r="X1013" s="421"/>
      <c r="Y1013" s="421"/>
      <c r="Z1013" s="421"/>
      <c r="AA1013" s="421"/>
      <c r="AB1013" s="421"/>
      <c r="AC1013" s="421"/>
      <c r="AD1013" s="421"/>
      <c r="AE1013" s="421"/>
      <c r="AF1013" s="421"/>
      <c r="AG1013" s="421"/>
      <c r="AH1013" s="421"/>
      <c r="AI1013" s="421"/>
      <c r="AJ1013" s="421"/>
      <c r="AK1013" s="421"/>
      <c r="AL1013" s="421"/>
    </row>
    <row r="1014" spans="1:38">
      <c r="A1014" s="3">
        <v>5927</v>
      </c>
      <c r="B1014" s="83">
        <f t="array" ref="B1014">SUM(--(FREQUENCY(IF(C$2:C$3077=C1014, MATCH(D$2:D$3077, D$2:D$3077, 0)), ROW(D$2:D$3077)-ROW(D$2)+1) &gt; 0))</f>
        <v>4</v>
      </c>
      <c r="C1014" s="3">
        <v>41200167</v>
      </c>
      <c r="D1014" s="6" t="s">
        <v>2662</v>
      </c>
      <c r="E1014" s="3" t="s">
        <v>1399</v>
      </c>
      <c r="F1014" s="3" t="s">
        <v>1591</v>
      </c>
      <c r="G1014" s="68" t="str">
        <f t="shared" si="140"/>
        <v>SINGLE</v>
      </c>
      <c r="H1014" s="197">
        <f t="shared" si="147"/>
        <v>32</v>
      </c>
      <c r="I1014" s="197">
        <v>8</v>
      </c>
      <c r="J1014" s="197">
        <v>8</v>
      </c>
      <c r="K1014" s="186">
        <f t="shared" si="148"/>
        <v>45877</v>
      </c>
      <c r="L1014" s="3" t="s">
        <v>2391</v>
      </c>
      <c r="M1014" s="3" t="s">
        <v>2392</v>
      </c>
      <c r="N1014" s="3" t="str">
        <f t="shared" si="117"/>
        <v/>
      </c>
      <c r="O1014" s="408"/>
      <c r="P1014" s="408"/>
      <c r="Q1014" s="408"/>
      <c r="R1014" s="408"/>
      <c r="S1014" s="408"/>
      <c r="T1014" s="408"/>
      <c r="U1014" s="408"/>
      <c r="V1014" s="421"/>
      <c r="W1014" s="421"/>
      <c r="X1014" s="421"/>
      <c r="Y1014" s="421"/>
      <c r="Z1014" s="421"/>
      <c r="AA1014" s="421"/>
      <c r="AB1014" s="421"/>
      <c r="AC1014" s="421"/>
      <c r="AD1014" s="421"/>
      <c r="AE1014" s="421"/>
      <c r="AF1014" s="421"/>
      <c r="AG1014" s="421"/>
      <c r="AH1014" s="421"/>
      <c r="AI1014" s="421"/>
      <c r="AJ1014" s="421"/>
      <c r="AK1014" s="421"/>
      <c r="AL1014" s="421"/>
    </row>
    <row r="1015" spans="1:38">
      <c r="A1015" s="3">
        <v>5927</v>
      </c>
      <c r="B1015" s="83">
        <f t="array" ref="B1015">SUM(--(FREQUENCY(IF(C$2:C$3077=C1015, MATCH(D$2:D$3077, D$2:D$3077, 0)), ROW(D$2:D$3077)-ROW(D$2)+1) &gt; 0))</f>
        <v>4</v>
      </c>
      <c r="C1015" s="3">
        <v>41200167</v>
      </c>
      <c r="D1015" s="6" t="s">
        <v>2663</v>
      </c>
      <c r="E1015" s="3" t="s">
        <v>1399</v>
      </c>
      <c r="F1015" s="3" t="s">
        <v>1591</v>
      </c>
      <c r="G1015" s="68" t="str">
        <f t="shared" si="140"/>
        <v>SINGLE</v>
      </c>
      <c r="H1015" s="197">
        <f t="shared" si="147"/>
        <v>32</v>
      </c>
      <c r="I1015" s="197">
        <v>8</v>
      </c>
      <c r="J1015" s="197">
        <v>8</v>
      </c>
      <c r="K1015" s="186">
        <f t="shared" si="148"/>
        <v>45877</v>
      </c>
      <c r="L1015" s="3" t="s">
        <v>2391</v>
      </c>
      <c r="M1015" s="3" t="s">
        <v>2392</v>
      </c>
      <c r="N1015" s="3" t="str">
        <f t="shared" si="117"/>
        <v/>
      </c>
      <c r="O1015" s="408"/>
      <c r="P1015" s="408"/>
      <c r="Q1015" s="408"/>
      <c r="R1015" s="408"/>
      <c r="S1015" s="408"/>
      <c r="T1015" s="408"/>
      <c r="U1015" s="408"/>
      <c r="V1015" s="421"/>
      <c r="W1015" s="421"/>
      <c r="X1015" s="421"/>
      <c r="Y1015" s="421"/>
      <c r="Z1015" s="421"/>
      <c r="AA1015" s="421"/>
      <c r="AB1015" s="421"/>
      <c r="AC1015" s="421"/>
      <c r="AD1015" s="421"/>
      <c r="AE1015" s="421"/>
      <c r="AF1015" s="421"/>
      <c r="AG1015" s="421"/>
      <c r="AH1015" s="421"/>
      <c r="AI1015" s="421"/>
      <c r="AJ1015" s="421"/>
      <c r="AK1015" s="421"/>
      <c r="AL1015" s="421"/>
    </row>
    <row r="1016" spans="1:38">
      <c r="A1016" s="3">
        <v>5843</v>
      </c>
      <c r="B1016" s="83">
        <f t="array" ref="B1016">SUM(--(FREQUENCY(IF(C$2:C$3077=C1016, MATCH(D$2:D$3077, D$2:D$3077, 0)), ROW(D$2:D$3077)-ROW(D$2)+1) &gt; 0))</f>
        <v>4</v>
      </c>
      <c r="C1016" s="3">
        <v>41100374</v>
      </c>
      <c r="D1016" s="6" t="s">
        <v>2664</v>
      </c>
      <c r="E1016" s="3" t="s">
        <v>1585</v>
      </c>
      <c r="F1016" s="3" t="s">
        <v>1476</v>
      </c>
      <c r="G1016" s="68" t="str">
        <f t="shared" si="140"/>
        <v>DUAL</v>
      </c>
      <c r="H1016" s="197">
        <f t="shared" si="147"/>
        <v>32</v>
      </c>
      <c r="I1016" s="197">
        <v>8</v>
      </c>
      <c r="J1016" s="197">
        <v>8</v>
      </c>
      <c r="K1016" s="186">
        <f t="shared" si="148"/>
        <v>45877</v>
      </c>
      <c r="L1016" s="3" t="s">
        <v>2391</v>
      </c>
      <c r="M1016" s="3" t="s">
        <v>2392</v>
      </c>
      <c r="N1016" s="3" t="str">
        <f t="shared" si="117"/>
        <v/>
      </c>
      <c r="O1016" s="408"/>
      <c r="P1016" s="408"/>
      <c r="Q1016" s="408"/>
      <c r="R1016" s="408"/>
      <c r="S1016" s="408"/>
      <c r="T1016" s="408"/>
      <c r="U1016" s="408"/>
      <c r="V1016" s="421"/>
      <c r="W1016" s="421"/>
      <c r="X1016" s="421"/>
      <c r="Y1016" s="421"/>
      <c r="Z1016" s="421"/>
      <c r="AA1016" s="421"/>
      <c r="AB1016" s="421"/>
      <c r="AC1016" s="421"/>
      <c r="AD1016" s="421"/>
      <c r="AE1016" s="421"/>
      <c r="AF1016" s="421"/>
      <c r="AG1016" s="421"/>
      <c r="AH1016" s="421"/>
      <c r="AI1016" s="421"/>
      <c r="AJ1016" s="421"/>
      <c r="AK1016" s="421"/>
      <c r="AL1016" s="421"/>
    </row>
    <row r="1017" spans="1:38">
      <c r="A1017" s="408">
        <v>5827</v>
      </c>
      <c r="B1017" s="83">
        <f t="array" ref="B1017">SUM(--(FREQUENCY(IF(C$2:C$3077=C1017, MATCH(D$2:D$3077, D$2:D$3077, 0)), ROW(D$2:D$3077)-ROW(D$2)+1) &gt; 0))</f>
        <v>18</v>
      </c>
      <c r="C1017" s="408">
        <v>41200053</v>
      </c>
      <c r="D1017" s="408" t="s">
        <v>2665</v>
      </c>
      <c r="E1017" s="408" t="s">
        <v>1405</v>
      </c>
      <c r="F1017" s="408" t="s">
        <v>1616</v>
      </c>
      <c r="G1017" s="408" t="s">
        <v>2666</v>
      </c>
      <c r="H1017" s="197">
        <f t="shared" si="147"/>
        <v>33</v>
      </c>
      <c r="I1017" s="408">
        <v>8</v>
      </c>
      <c r="J1017" s="408">
        <v>11</v>
      </c>
      <c r="K1017" s="420">
        <v>45880</v>
      </c>
      <c r="L1017" s="408" t="s">
        <v>2392</v>
      </c>
      <c r="M1017" s="408" t="s">
        <v>2392</v>
      </c>
      <c r="N1017" s="3" t="str">
        <f t="shared" si="117"/>
        <v/>
      </c>
      <c r="O1017" s="408"/>
      <c r="P1017" s="408"/>
      <c r="Q1017" s="408"/>
      <c r="R1017" s="408"/>
      <c r="S1017" s="408"/>
      <c r="T1017" s="408"/>
      <c r="U1017" s="408"/>
      <c r="V1017" s="421"/>
      <c r="W1017" s="421"/>
      <c r="X1017" s="421"/>
      <c r="Y1017" s="421"/>
      <c r="Z1017" s="421"/>
      <c r="AA1017" s="421"/>
      <c r="AB1017" s="421"/>
      <c r="AC1017" s="421"/>
      <c r="AD1017" s="421"/>
      <c r="AE1017" s="421"/>
      <c r="AF1017" s="421"/>
      <c r="AG1017" s="421"/>
      <c r="AH1017" s="421"/>
      <c r="AI1017" s="421"/>
      <c r="AJ1017" s="421"/>
      <c r="AK1017" s="421"/>
      <c r="AL1017" s="421"/>
    </row>
    <row r="1018" spans="1:38">
      <c r="A1018" s="408">
        <v>5827</v>
      </c>
      <c r="B1018" s="83">
        <f t="array" ref="B1018">SUM(--(FREQUENCY(IF(C$2:C$3077=C1018, MATCH(D$2:D$3077, D$2:D$3077, 0)), ROW(D$2:D$3077)-ROW(D$2)+1) &gt; 0))</f>
        <v>18</v>
      </c>
      <c r="C1018" s="408">
        <v>41200053</v>
      </c>
      <c r="D1018" s="408" t="s">
        <v>2667</v>
      </c>
      <c r="E1018" s="408" t="s">
        <v>1405</v>
      </c>
      <c r="F1018" s="408" t="s">
        <v>1616</v>
      </c>
      <c r="G1018" s="408" t="s">
        <v>2666</v>
      </c>
      <c r="H1018" s="197">
        <f t="shared" si="147"/>
        <v>33</v>
      </c>
      <c r="I1018" s="408">
        <v>8</v>
      </c>
      <c r="J1018" s="408">
        <v>11</v>
      </c>
      <c r="K1018" s="420">
        <v>45880</v>
      </c>
      <c r="L1018" s="408" t="s">
        <v>2392</v>
      </c>
      <c r="M1018" s="408" t="s">
        <v>2392</v>
      </c>
      <c r="N1018" s="3" t="str">
        <f t="shared" si="117"/>
        <v>NG</v>
      </c>
      <c r="O1018" s="408" t="s">
        <v>2368</v>
      </c>
      <c r="P1018" s="408" t="s">
        <v>2376</v>
      </c>
      <c r="Q1018" s="408">
        <v>11101561</v>
      </c>
      <c r="R1018" s="408" t="s">
        <v>2668</v>
      </c>
      <c r="S1018" s="408" t="s">
        <v>2669</v>
      </c>
      <c r="T1018" s="408"/>
      <c r="U1018" s="408"/>
      <c r="V1018" s="421"/>
      <c r="W1018" s="421"/>
      <c r="X1018" s="421"/>
      <c r="Y1018" s="421"/>
      <c r="Z1018" s="421"/>
      <c r="AA1018" s="421"/>
      <c r="AB1018" s="421"/>
      <c r="AC1018" s="421"/>
      <c r="AD1018" s="421"/>
      <c r="AE1018" s="421"/>
      <c r="AF1018" s="421"/>
      <c r="AG1018" s="421"/>
      <c r="AH1018" s="421"/>
      <c r="AI1018" s="421"/>
      <c r="AJ1018" s="421"/>
      <c r="AK1018" s="421"/>
      <c r="AL1018" s="421"/>
    </row>
    <row r="1019" spans="1:38">
      <c r="A1019" s="408">
        <v>5588</v>
      </c>
      <c r="B1019" s="83">
        <f t="array" ref="B1019">SUM(--(FREQUENCY(IF(C$2:C$3077=C1019, MATCH(D$2:D$3077, D$2:D$3077, 0)), ROW(D$2:D$3077)-ROW(D$2)+1) &gt; 0))</f>
        <v>63</v>
      </c>
      <c r="C1019" s="408">
        <v>41200006</v>
      </c>
      <c r="D1019" s="408" t="s">
        <v>2670</v>
      </c>
      <c r="E1019" s="408" t="s">
        <v>1405</v>
      </c>
      <c r="F1019" s="408" t="s">
        <v>1477</v>
      </c>
      <c r="G1019" s="408" t="s">
        <v>2666</v>
      </c>
      <c r="H1019" s="197">
        <f t="shared" si="147"/>
        <v>33</v>
      </c>
      <c r="I1019" s="408">
        <v>8</v>
      </c>
      <c r="J1019" s="408">
        <v>11</v>
      </c>
      <c r="K1019" s="420">
        <v>45880</v>
      </c>
      <c r="L1019" s="408" t="s">
        <v>2391</v>
      </c>
      <c r="M1019" s="408" t="s">
        <v>2392</v>
      </c>
      <c r="N1019" s="3" t="str">
        <f t="shared" si="117"/>
        <v/>
      </c>
      <c r="O1019" s="408"/>
      <c r="P1019" s="408"/>
      <c r="Q1019" s="408"/>
      <c r="R1019" s="408"/>
      <c r="S1019" s="408"/>
      <c r="T1019" s="408"/>
      <c r="U1019" s="408"/>
      <c r="V1019" s="421"/>
      <c r="W1019" s="421"/>
      <c r="X1019" s="421"/>
      <c r="Y1019" s="421"/>
      <c r="Z1019" s="421"/>
      <c r="AA1019" s="421"/>
      <c r="AB1019" s="421"/>
      <c r="AC1019" s="421"/>
      <c r="AD1019" s="421"/>
      <c r="AE1019" s="421"/>
      <c r="AF1019" s="421"/>
      <c r="AG1019" s="421"/>
      <c r="AH1019" s="421"/>
      <c r="AI1019" s="421"/>
      <c r="AJ1019" s="421"/>
      <c r="AK1019" s="421"/>
      <c r="AL1019" s="421"/>
    </row>
    <row r="1020" spans="1:38">
      <c r="A1020" s="408">
        <v>5890</v>
      </c>
      <c r="B1020" s="83">
        <f t="array" ref="B1020">SUM(--(FREQUENCY(IF(C$2:C$3077=C1020, MATCH(D$2:D$3077, D$2:D$3077, 0)), ROW(D$2:D$3077)-ROW(D$2)+1) &gt; 0))</f>
        <v>4</v>
      </c>
      <c r="C1020" s="408">
        <v>41200136</v>
      </c>
      <c r="D1020" s="408" t="s">
        <v>2671</v>
      </c>
      <c r="E1020" s="408" t="s">
        <v>1585</v>
      </c>
      <c r="F1020" s="408" t="s">
        <v>1482</v>
      </c>
      <c r="G1020" s="408" t="s">
        <v>2666</v>
      </c>
      <c r="H1020" s="197">
        <f t="shared" si="147"/>
        <v>33</v>
      </c>
      <c r="I1020" s="408">
        <v>8</v>
      </c>
      <c r="J1020" s="408">
        <v>11</v>
      </c>
      <c r="K1020" s="420">
        <v>45880</v>
      </c>
      <c r="L1020" s="408" t="s">
        <v>2395</v>
      </c>
      <c r="M1020" s="408" t="s">
        <v>1468</v>
      </c>
      <c r="N1020" s="3" t="str">
        <f t="shared" si="117"/>
        <v>NG</v>
      </c>
      <c r="O1020" s="408" t="s">
        <v>1569</v>
      </c>
      <c r="P1020" s="408" t="s">
        <v>2541</v>
      </c>
      <c r="Q1020" s="408">
        <v>12000372</v>
      </c>
      <c r="R1020" s="408" t="s">
        <v>2672</v>
      </c>
      <c r="S1020" s="408" t="s">
        <v>2673</v>
      </c>
      <c r="T1020" s="408"/>
      <c r="U1020" s="408"/>
      <c r="V1020" s="421"/>
      <c r="W1020" s="421"/>
      <c r="X1020" s="421"/>
      <c r="Y1020" s="421"/>
      <c r="Z1020" s="421"/>
      <c r="AA1020" s="421"/>
      <c r="AB1020" s="421"/>
      <c r="AC1020" s="421"/>
      <c r="AD1020" s="421"/>
      <c r="AE1020" s="421"/>
      <c r="AF1020" s="421"/>
      <c r="AG1020" s="421"/>
      <c r="AH1020" s="421"/>
      <c r="AI1020" s="421"/>
      <c r="AJ1020" s="421"/>
      <c r="AK1020" s="421"/>
      <c r="AL1020" s="421"/>
    </row>
    <row r="1021" spans="1:38">
      <c r="A1021" s="408">
        <v>5751</v>
      </c>
      <c r="B1021" s="83">
        <f t="array" ref="B1021">SUM(--(FREQUENCY(IF(C$2:C$3077=C1021, MATCH(D$2:D$3077, D$2:D$3077, 0)), ROW(D$2:D$3077)-ROW(D$2)+1) &gt; 0))</f>
        <v>37</v>
      </c>
      <c r="C1021" s="408">
        <v>41200076</v>
      </c>
      <c r="D1021" s="408" t="s">
        <v>2674</v>
      </c>
      <c r="E1021" s="408" t="s">
        <v>1585</v>
      </c>
      <c r="F1021" s="408" t="s">
        <v>1476</v>
      </c>
      <c r="G1021" s="408" t="s">
        <v>2675</v>
      </c>
      <c r="H1021" s="197">
        <f t="shared" si="147"/>
        <v>33</v>
      </c>
      <c r="I1021" s="408">
        <v>8</v>
      </c>
      <c r="J1021" s="408">
        <v>11</v>
      </c>
      <c r="K1021" s="420">
        <v>45880</v>
      </c>
      <c r="L1021" s="408" t="s">
        <v>2391</v>
      </c>
      <c r="M1021" s="408" t="s">
        <v>2392</v>
      </c>
      <c r="N1021" s="3" t="str">
        <f t="shared" si="117"/>
        <v>NG</v>
      </c>
      <c r="O1021" s="408" t="s">
        <v>1569</v>
      </c>
      <c r="P1021" s="408" t="s">
        <v>2676</v>
      </c>
      <c r="Q1021" s="408"/>
      <c r="R1021" s="408" t="s">
        <v>2677</v>
      </c>
      <c r="S1021" s="408" t="s">
        <v>2678</v>
      </c>
      <c r="T1021" s="408" t="s">
        <v>2679</v>
      </c>
      <c r="U1021" s="408"/>
      <c r="V1021" s="421"/>
      <c r="W1021" s="421"/>
      <c r="X1021" s="421"/>
      <c r="Y1021" s="421"/>
      <c r="Z1021" s="421"/>
      <c r="AA1021" s="421"/>
      <c r="AB1021" s="421"/>
      <c r="AC1021" s="421"/>
      <c r="AD1021" s="421"/>
      <c r="AE1021" s="421"/>
      <c r="AF1021" s="421"/>
      <c r="AG1021" s="421"/>
      <c r="AH1021" s="421"/>
      <c r="AI1021" s="421"/>
      <c r="AJ1021" s="421"/>
      <c r="AK1021" s="421"/>
      <c r="AL1021" s="421"/>
    </row>
    <row r="1022" spans="1:38">
      <c r="A1022" s="408">
        <v>5827</v>
      </c>
      <c r="B1022" s="83">
        <f t="array" ref="B1022">SUM(--(FREQUENCY(IF(C$2:C$3077=C1022, MATCH(D$2:D$3077, D$2:D$3077, 0)), ROW(D$2:D$3077)-ROW(D$2)+1) &gt; 0))</f>
        <v>18</v>
      </c>
      <c r="C1022" s="408">
        <v>41200053</v>
      </c>
      <c r="D1022" s="408" t="s">
        <v>2680</v>
      </c>
      <c r="E1022" s="408" t="s">
        <v>1405</v>
      </c>
      <c r="F1022" s="408" t="s">
        <v>1616</v>
      </c>
      <c r="G1022" s="408" t="s">
        <v>2666</v>
      </c>
      <c r="H1022" s="197">
        <f t="shared" si="147"/>
        <v>33</v>
      </c>
      <c r="I1022" s="408">
        <v>8</v>
      </c>
      <c r="J1022" s="408">
        <v>11</v>
      </c>
      <c r="K1022" s="420">
        <v>45880</v>
      </c>
      <c r="L1022" s="408" t="s">
        <v>2392</v>
      </c>
      <c r="M1022" s="408" t="s">
        <v>2392</v>
      </c>
      <c r="N1022" s="3" t="str">
        <f t="shared" si="117"/>
        <v>NG</v>
      </c>
      <c r="O1022" s="408" t="s">
        <v>2368</v>
      </c>
      <c r="P1022" s="408" t="s">
        <v>2376</v>
      </c>
      <c r="Q1022" s="408">
        <v>11101561</v>
      </c>
      <c r="R1022" s="408" t="s">
        <v>2668</v>
      </c>
      <c r="S1022" s="408" t="s">
        <v>2669</v>
      </c>
      <c r="T1022" s="408"/>
      <c r="U1022" s="408"/>
      <c r="V1022" s="421"/>
      <c r="W1022" s="421"/>
      <c r="X1022" s="421"/>
      <c r="Y1022" s="421"/>
      <c r="Z1022" s="421"/>
      <c r="AA1022" s="421"/>
      <c r="AB1022" s="421"/>
      <c r="AC1022" s="421"/>
      <c r="AD1022" s="421"/>
      <c r="AE1022" s="421"/>
      <c r="AF1022" s="421"/>
      <c r="AG1022" s="421"/>
      <c r="AH1022" s="421"/>
      <c r="AI1022" s="421"/>
      <c r="AJ1022" s="421"/>
      <c r="AK1022" s="421"/>
      <c r="AL1022" s="421"/>
    </row>
    <row r="1023" spans="1:38">
      <c r="A1023" s="408">
        <v>5919</v>
      </c>
      <c r="B1023" s="83">
        <f t="array" ref="B1023">SUM(--(FREQUENCY(IF(C$2:C$3077=C1023, MATCH(D$2:D$3077, D$2:D$3077, 0)), ROW(D$2:D$3077)-ROW(D$2)+1) &gt; 0))</f>
        <v>19</v>
      </c>
      <c r="C1023" s="408">
        <v>41200033</v>
      </c>
      <c r="D1023" s="408" t="s">
        <v>2681</v>
      </c>
      <c r="E1023" s="408" t="s">
        <v>1426</v>
      </c>
      <c r="F1023" s="408" t="s">
        <v>1476</v>
      </c>
      <c r="G1023" s="408" t="s">
        <v>2675</v>
      </c>
      <c r="H1023" s="197">
        <f t="shared" si="147"/>
        <v>33</v>
      </c>
      <c r="I1023" s="408">
        <v>8</v>
      </c>
      <c r="J1023" s="408">
        <v>12</v>
      </c>
      <c r="K1023" s="420">
        <v>45881</v>
      </c>
      <c r="L1023" s="408" t="s">
        <v>2395</v>
      </c>
      <c r="M1023" s="408" t="s">
        <v>2392</v>
      </c>
      <c r="N1023" s="3" t="str">
        <f t="shared" si="117"/>
        <v>NG</v>
      </c>
      <c r="O1023" s="408" t="s">
        <v>2368</v>
      </c>
      <c r="P1023" s="408" t="s">
        <v>2682</v>
      </c>
      <c r="Q1023" s="408">
        <v>11101634</v>
      </c>
      <c r="R1023" s="408" t="s">
        <v>2683</v>
      </c>
      <c r="S1023" s="408" t="s">
        <v>2684</v>
      </c>
      <c r="T1023" s="408" t="s">
        <v>2679</v>
      </c>
      <c r="U1023" s="408"/>
      <c r="V1023" s="421"/>
      <c r="W1023" s="421"/>
      <c r="X1023" s="421"/>
      <c r="Y1023" s="421"/>
      <c r="Z1023" s="421"/>
      <c r="AA1023" s="421"/>
      <c r="AB1023" s="421"/>
      <c r="AC1023" s="421"/>
      <c r="AD1023" s="421"/>
      <c r="AE1023" s="421"/>
      <c r="AF1023" s="421"/>
      <c r="AG1023" s="421"/>
      <c r="AH1023" s="421"/>
      <c r="AI1023" s="421"/>
      <c r="AJ1023" s="421"/>
      <c r="AK1023" s="421"/>
      <c r="AL1023" s="421"/>
    </row>
    <row r="1024" spans="1:38">
      <c r="A1024" s="408">
        <v>5637</v>
      </c>
      <c r="B1024" s="83">
        <f t="array" ref="B1024">SUM(--(FREQUENCY(IF(C$2:C$3077=C1024, MATCH(D$2:D$3077, D$2:D$3077, 0)), ROW(D$2:D$3077)-ROW(D$2)+1) &gt; 0))</f>
        <v>9</v>
      </c>
      <c r="C1024" s="408">
        <v>41200125</v>
      </c>
      <c r="D1024" s="408" t="s">
        <v>2685</v>
      </c>
      <c r="E1024" s="408" t="s">
        <v>1585</v>
      </c>
      <c r="F1024" s="408" t="s">
        <v>1476</v>
      </c>
      <c r="G1024" s="408" t="s">
        <v>2675</v>
      </c>
      <c r="H1024" s="197">
        <f t="shared" si="147"/>
        <v>33</v>
      </c>
      <c r="I1024" s="408">
        <v>8</v>
      </c>
      <c r="J1024" s="408">
        <v>12</v>
      </c>
      <c r="K1024" s="420">
        <v>45881</v>
      </c>
      <c r="L1024" s="408" t="s">
        <v>2391</v>
      </c>
      <c r="M1024" s="408" t="s">
        <v>1469</v>
      </c>
      <c r="N1024" s="3" t="str">
        <f t="shared" si="117"/>
        <v/>
      </c>
      <c r="O1024" s="408"/>
      <c r="P1024" s="408"/>
      <c r="Q1024" s="408"/>
      <c r="R1024" s="408"/>
      <c r="S1024" s="408"/>
      <c r="T1024" s="408"/>
      <c r="U1024" s="408"/>
      <c r="V1024" s="421"/>
      <c r="W1024" s="421"/>
      <c r="X1024" s="421"/>
      <c r="Y1024" s="421"/>
      <c r="Z1024" s="421"/>
      <c r="AA1024" s="421"/>
      <c r="AB1024" s="421"/>
      <c r="AC1024" s="421"/>
      <c r="AD1024" s="421"/>
      <c r="AE1024" s="421"/>
      <c r="AF1024" s="421"/>
      <c r="AG1024" s="421"/>
      <c r="AH1024" s="421"/>
      <c r="AI1024" s="421"/>
      <c r="AJ1024" s="421"/>
      <c r="AK1024" s="421"/>
      <c r="AL1024" s="421"/>
    </row>
    <row r="1025" spans="1:38">
      <c r="A1025" s="408">
        <v>5827</v>
      </c>
      <c r="B1025" s="83">
        <f t="array" ref="B1025">SUM(--(FREQUENCY(IF(C$2:C$3077=C1025, MATCH(D$2:D$3077, D$2:D$3077, 0)), ROW(D$2:D$3077)-ROW(D$2)+1) &gt; 0))</f>
        <v>18</v>
      </c>
      <c r="C1025" s="408">
        <v>41200053</v>
      </c>
      <c r="D1025" s="408" t="s">
        <v>2686</v>
      </c>
      <c r="E1025" s="408" t="s">
        <v>1405</v>
      </c>
      <c r="F1025" s="408" t="s">
        <v>1616</v>
      </c>
      <c r="G1025" s="408" t="s">
        <v>2666</v>
      </c>
      <c r="H1025" s="197">
        <f t="shared" si="147"/>
        <v>33</v>
      </c>
      <c r="I1025" s="408">
        <v>8</v>
      </c>
      <c r="J1025" s="408">
        <v>12</v>
      </c>
      <c r="K1025" s="420">
        <v>45881</v>
      </c>
      <c r="L1025" s="408" t="s">
        <v>2392</v>
      </c>
      <c r="M1025" s="408" t="s">
        <v>2392</v>
      </c>
      <c r="N1025" s="3" t="str">
        <f t="shared" si="117"/>
        <v>NG</v>
      </c>
      <c r="O1025" s="408" t="s">
        <v>2368</v>
      </c>
      <c r="P1025" s="408" t="s">
        <v>2682</v>
      </c>
      <c r="Q1025" s="408"/>
      <c r="R1025" s="408" t="s">
        <v>2687</v>
      </c>
      <c r="S1025" s="408" t="s">
        <v>2688</v>
      </c>
      <c r="T1025" s="408"/>
      <c r="U1025" s="408"/>
      <c r="V1025" s="421"/>
      <c r="W1025" s="421"/>
      <c r="X1025" s="421"/>
      <c r="Y1025" s="421"/>
      <c r="Z1025" s="421"/>
      <c r="AA1025" s="421"/>
      <c r="AB1025" s="421"/>
      <c r="AC1025" s="421"/>
      <c r="AD1025" s="421"/>
      <c r="AE1025" s="421"/>
      <c r="AF1025" s="421"/>
      <c r="AG1025" s="421"/>
      <c r="AH1025" s="421"/>
      <c r="AI1025" s="421"/>
      <c r="AJ1025" s="421"/>
      <c r="AK1025" s="421"/>
      <c r="AL1025" s="421"/>
    </row>
    <row r="1026" spans="1:38">
      <c r="A1026" s="408">
        <v>5827</v>
      </c>
      <c r="B1026" s="83">
        <f t="array" ref="B1026">SUM(--(FREQUENCY(IF(C$2:C$3077=C1026, MATCH(D$2:D$3077, D$2:D$3077, 0)), ROW(D$2:D$3077)-ROW(D$2)+1) &gt; 0))</f>
        <v>18</v>
      </c>
      <c r="C1026" s="408">
        <v>41200053</v>
      </c>
      <c r="D1026" s="408" t="s">
        <v>2689</v>
      </c>
      <c r="E1026" s="408" t="s">
        <v>1405</v>
      </c>
      <c r="F1026" s="408" t="s">
        <v>1616</v>
      </c>
      <c r="G1026" s="408" t="s">
        <v>2666</v>
      </c>
      <c r="H1026" s="197">
        <f t="shared" si="147"/>
        <v>33</v>
      </c>
      <c r="I1026" s="408">
        <v>8</v>
      </c>
      <c r="J1026" s="408">
        <v>12</v>
      </c>
      <c r="K1026" s="420">
        <v>45881</v>
      </c>
      <c r="L1026" s="408" t="s">
        <v>2392</v>
      </c>
      <c r="M1026" s="408" t="s">
        <v>2392</v>
      </c>
      <c r="N1026" s="3" t="str">
        <f t="shared" si="117"/>
        <v/>
      </c>
      <c r="O1026" s="408"/>
      <c r="P1026" s="408"/>
      <c r="Q1026" s="408"/>
      <c r="R1026" s="408"/>
      <c r="S1026" s="408"/>
      <c r="T1026" s="408"/>
      <c r="U1026" s="408"/>
      <c r="V1026" s="421"/>
      <c r="W1026" s="421"/>
      <c r="X1026" s="421"/>
      <c r="Y1026" s="421"/>
      <c r="Z1026" s="421"/>
      <c r="AA1026" s="421"/>
      <c r="AB1026" s="421"/>
      <c r="AC1026" s="421"/>
      <c r="AD1026" s="421"/>
      <c r="AE1026" s="421"/>
      <c r="AF1026" s="421"/>
      <c r="AG1026" s="421"/>
      <c r="AH1026" s="421"/>
      <c r="AI1026" s="421"/>
      <c r="AJ1026" s="421"/>
      <c r="AK1026" s="421"/>
      <c r="AL1026" s="421"/>
    </row>
    <row r="1027" spans="1:38">
      <c r="A1027" s="408">
        <v>5827</v>
      </c>
      <c r="B1027" s="83">
        <f t="array" ref="B1027">SUM(--(FREQUENCY(IF(C$2:C$3077=C1027, MATCH(D$2:D$3077, D$2:D$3077, 0)), ROW(D$2:D$3077)-ROW(D$2)+1) &gt; 0))</f>
        <v>18</v>
      </c>
      <c r="C1027" s="408">
        <v>41200053</v>
      </c>
      <c r="D1027" s="408" t="s">
        <v>2690</v>
      </c>
      <c r="E1027" s="408" t="s">
        <v>1405</v>
      </c>
      <c r="F1027" s="408" t="s">
        <v>1616</v>
      </c>
      <c r="G1027" s="408" t="s">
        <v>2666</v>
      </c>
      <c r="H1027" s="197">
        <f t="shared" si="147"/>
        <v>33</v>
      </c>
      <c r="I1027" s="408">
        <v>8</v>
      </c>
      <c r="J1027" s="408">
        <v>12</v>
      </c>
      <c r="K1027" s="420">
        <v>45881</v>
      </c>
      <c r="L1027" s="408" t="s">
        <v>2392</v>
      </c>
      <c r="M1027" s="408" t="s">
        <v>2392</v>
      </c>
      <c r="N1027" s="3" t="str">
        <f t="shared" si="117"/>
        <v/>
      </c>
      <c r="O1027" s="408"/>
      <c r="P1027" s="408"/>
      <c r="Q1027" s="408"/>
      <c r="R1027" s="408"/>
      <c r="S1027" s="408"/>
      <c r="T1027" s="408"/>
      <c r="U1027" s="408"/>
      <c r="V1027" s="421"/>
      <c r="W1027" s="421"/>
      <c r="X1027" s="421"/>
      <c r="Y1027" s="421"/>
      <c r="Z1027" s="421"/>
      <c r="AA1027" s="421"/>
      <c r="AB1027" s="421"/>
      <c r="AC1027" s="421"/>
      <c r="AD1027" s="421"/>
      <c r="AE1027" s="421"/>
      <c r="AF1027" s="421"/>
      <c r="AG1027" s="421"/>
      <c r="AH1027" s="421"/>
      <c r="AI1027" s="421"/>
      <c r="AJ1027" s="421"/>
      <c r="AK1027" s="421"/>
      <c r="AL1027" s="421"/>
    </row>
    <row r="1028" spans="1:38">
      <c r="A1028" s="408">
        <v>5588</v>
      </c>
      <c r="B1028" s="83">
        <f t="array" ref="B1028">SUM(--(FREQUENCY(IF(C$2:C$3077=C1028, MATCH(D$2:D$3077, D$2:D$3077, 0)), ROW(D$2:D$3077)-ROW(D$2)+1) &gt; 0))</f>
        <v>1</v>
      </c>
      <c r="C1028" s="408">
        <v>41100007</v>
      </c>
      <c r="D1028" s="408" t="s">
        <v>2691</v>
      </c>
      <c r="E1028" s="408" t="s">
        <v>1405</v>
      </c>
      <c r="F1028" s="408" t="s">
        <v>1477</v>
      </c>
      <c r="G1028" s="408" t="s">
        <v>2666</v>
      </c>
      <c r="H1028" s="197">
        <f t="shared" si="147"/>
        <v>33</v>
      </c>
      <c r="I1028" s="408">
        <v>8</v>
      </c>
      <c r="J1028" s="408">
        <v>12</v>
      </c>
      <c r="K1028" s="420">
        <v>45881</v>
      </c>
      <c r="L1028" s="408" t="s">
        <v>2391</v>
      </c>
      <c r="M1028" s="408" t="s">
        <v>2392</v>
      </c>
      <c r="N1028" s="3" t="str">
        <f t="shared" si="117"/>
        <v/>
      </c>
      <c r="O1028" s="408"/>
      <c r="P1028" s="408"/>
      <c r="Q1028" s="408"/>
      <c r="R1028" s="408"/>
      <c r="S1028" s="408"/>
      <c r="T1028" s="408"/>
      <c r="U1028" s="408"/>
      <c r="V1028" s="421"/>
      <c r="W1028" s="421"/>
      <c r="X1028" s="421"/>
      <c r="Y1028" s="421"/>
      <c r="Z1028" s="421"/>
      <c r="AA1028" s="421"/>
      <c r="AB1028" s="421"/>
      <c r="AC1028" s="421"/>
      <c r="AD1028" s="421"/>
      <c r="AE1028" s="421"/>
      <c r="AF1028" s="421"/>
      <c r="AG1028" s="421"/>
      <c r="AH1028" s="421"/>
      <c r="AI1028" s="421"/>
      <c r="AJ1028" s="421"/>
      <c r="AK1028" s="421"/>
      <c r="AL1028" s="421"/>
    </row>
    <row r="1029" spans="1:38">
      <c r="A1029" s="408">
        <v>5905</v>
      </c>
      <c r="B1029" s="83">
        <f t="array" ref="B1029">SUM(--(FREQUENCY(IF(C$2:C$3077=C1029, MATCH(D$2:D$3077, D$2:D$3077, 0)), ROW(D$2:D$3077)-ROW(D$2)+1) &gt; 0))</f>
        <v>2</v>
      </c>
      <c r="C1029" s="408">
        <v>41100445</v>
      </c>
      <c r="D1029" s="408" t="s">
        <v>2692</v>
      </c>
      <c r="E1029" s="408" t="s">
        <v>2693</v>
      </c>
      <c r="F1029" s="408" t="s">
        <v>1479</v>
      </c>
      <c r="G1029" s="408" t="s">
        <v>2666</v>
      </c>
      <c r="H1029" s="197">
        <f t="shared" si="147"/>
        <v>33</v>
      </c>
      <c r="I1029" s="408">
        <v>8</v>
      </c>
      <c r="J1029" s="408">
        <v>12</v>
      </c>
      <c r="K1029" s="420">
        <v>45881</v>
      </c>
      <c r="L1029" s="408" t="s">
        <v>2391</v>
      </c>
      <c r="M1029" s="408" t="s">
        <v>1468</v>
      </c>
      <c r="N1029" s="3" t="str">
        <f t="shared" si="117"/>
        <v/>
      </c>
      <c r="O1029" s="408"/>
      <c r="P1029" s="408"/>
      <c r="Q1029" s="408"/>
      <c r="R1029" s="408"/>
      <c r="S1029" s="408"/>
      <c r="T1029" s="408"/>
      <c r="U1029" s="408"/>
      <c r="V1029" s="421"/>
      <c r="W1029" s="421"/>
      <c r="X1029" s="421"/>
      <c r="Y1029" s="421"/>
      <c r="Z1029" s="421"/>
      <c r="AA1029" s="421"/>
      <c r="AB1029" s="421"/>
      <c r="AC1029" s="421"/>
      <c r="AD1029" s="421"/>
      <c r="AE1029" s="421"/>
      <c r="AF1029" s="421"/>
      <c r="AG1029" s="421"/>
      <c r="AH1029" s="421"/>
      <c r="AI1029" s="421"/>
      <c r="AJ1029" s="421"/>
      <c r="AK1029" s="421"/>
      <c r="AL1029" s="421"/>
    </row>
    <row r="1030" spans="1:38">
      <c r="A1030" s="408">
        <v>5826</v>
      </c>
      <c r="B1030" s="83">
        <f t="array" ref="B1030">SUM(--(FREQUENCY(IF(C$2:C$3077=C1030, MATCH(D$2:D$3077, D$2:D$3077, 0)), ROW(D$2:D$3077)-ROW(D$2)+1) &gt; 0))</f>
        <v>76</v>
      </c>
      <c r="C1030" s="3">
        <v>41200007</v>
      </c>
      <c r="D1030" s="408" t="s">
        <v>2694</v>
      </c>
      <c r="E1030" s="408" t="s">
        <v>1405</v>
      </c>
      <c r="F1030" s="408" t="s">
        <v>1591</v>
      </c>
      <c r="G1030" s="408" t="s">
        <v>2666</v>
      </c>
      <c r="H1030" s="197">
        <f t="shared" si="147"/>
        <v>33</v>
      </c>
      <c r="I1030" s="408">
        <v>8</v>
      </c>
      <c r="J1030" s="408">
        <v>13</v>
      </c>
      <c r="K1030" s="420">
        <v>45882</v>
      </c>
      <c r="L1030" s="408" t="s">
        <v>2391</v>
      </c>
      <c r="M1030" s="408" t="s">
        <v>2392</v>
      </c>
      <c r="N1030" s="3" t="str">
        <f t="shared" si="117"/>
        <v/>
      </c>
      <c r="O1030" s="408"/>
      <c r="P1030" s="408"/>
      <c r="Q1030" s="408"/>
      <c r="R1030" s="408"/>
      <c r="S1030" s="408"/>
      <c r="T1030" s="408"/>
      <c r="U1030" s="408"/>
      <c r="V1030" s="421"/>
      <c r="W1030" s="421"/>
      <c r="X1030" s="421"/>
      <c r="Y1030" s="421"/>
      <c r="Z1030" s="421"/>
      <c r="AA1030" s="421"/>
      <c r="AB1030" s="421"/>
      <c r="AC1030" s="421"/>
      <c r="AD1030" s="421"/>
      <c r="AE1030" s="421"/>
      <c r="AF1030" s="421"/>
      <c r="AG1030" s="421"/>
      <c r="AH1030" s="421"/>
      <c r="AI1030" s="421"/>
      <c r="AJ1030" s="421"/>
      <c r="AK1030" s="421"/>
      <c r="AL1030" s="421"/>
    </row>
    <row r="1031" spans="1:38">
      <c r="A1031" s="408">
        <v>5826</v>
      </c>
      <c r="B1031" s="83">
        <f t="array" ref="B1031">SUM(--(FREQUENCY(IF(C$2:C$3077=C1031, MATCH(D$2:D$3077, D$2:D$3077, 0)), ROW(D$2:D$3077)-ROW(D$2)+1) &gt; 0))</f>
        <v>76</v>
      </c>
      <c r="C1031" s="3">
        <v>41200007</v>
      </c>
      <c r="D1031" s="408" t="s">
        <v>2695</v>
      </c>
      <c r="E1031" s="408" t="s">
        <v>1405</v>
      </c>
      <c r="F1031" s="408" t="s">
        <v>1591</v>
      </c>
      <c r="G1031" s="408" t="s">
        <v>2666</v>
      </c>
      <c r="H1031" s="197">
        <f t="shared" si="147"/>
        <v>33</v>
      </c>
      <c r="I1031" s="408">
        <v>8</v>
      </c>
      <c r="J1031" s="408">
        <v>13</v>
      </c>
      <c r="K1031" s="420">
        <v>45882</v>
      </c>
      <c r="L1031" s="408" t="s">
        <v>2391</v>
      </c>
      <c r="M1031" s="408" t="s">
        <v>2392</v>
      </c>
      <c r="N1031" s="3" t="str">
        <f t="shared" ref="N1031:N1097" si="149">IF(O1031&lt;&gt;"", "NG", "")</f>
        <v>NG</v>
      </c>
      <c r="O1031" s="408" t="s">
        <v>2368</v>
      </c>
      <c r="P1031" s="408" t="s">
        <v>2371</v>
      </c>
      <c r="Q1031" s="408">
        <v>11001963</v>
      </c>
      <c r="R1031" s="408" t="s">
        <v>1151</v>
      </c>
      <c r="S1031" s="408" t="s">
        <v>2696</v>
      </c>
      <c r="T1031" s="408"/>
      <c r="U1031" s="408"/>
      <c r="V1031" s="421"/>
      <c r="W1031" s="421"/>
      <c r="X1031" s="421"/>
      <c r="Y1031" s="421"/>
      <c r="Z1031" s="421"/>
      <c r="AA1031" s="421"/>
      <c r="AB1031" s="421"/>
      <c r="AC1031" s="421"/>
      <c r="AD1031" s="421"/>
      <c r="AE1031" s="421"/>
      <c r="AF1031" s="421"/>
      <c r="AG1031" s="421"/>
      <c r="AH1031" s="421"/>
      <c r="AI1031" s="421"/>
      <c r="AJ1031" s="421"/>
      <c r="AK1031" s="421"/>
      <c r="AL1031" s="421"/>
    </row>
    <row r="1032" spans="1:38">
      <c r="A1032" s="408">
        <v>5826</v>
      </c>
      <c r="B1032" s="83">
        <f t="array" ref="B1032">SUM(--(FREQUENCY(IF(C$2:C$3077=C1032, MATCH(D$2:D$3077, D$2:D$3077, 0)), ROW(D$2:D$3077)-ROW(D$2)+1) &gt; 0))</f>
        <v>76</v>
      </c>
      <c r="C1032" s="3">
        <v>41200007</v>
      </c>
      <c r="D1032" s="408" t="s">
        <v>2695</v>
      </c>
      <c r="E1032" s="408" t="s">
        <v>1405</v>
      </c>
      <c r="F1032" s="408" t="s">
        <v>1591</v>
      </c>
      <c r="G1032" s="408" t="s">
        <v>2666</v>
      </c>
      <c r="H1032" s="197">
        <f t="shared" si="147"/>
        <v>33</v>
      </c>
      <c r="I1032" s="408">
        <v>8</v>
      </c>
      <c r="J1032" s="408">
        <v>13</v>
      </c>
      <c r="K1032" s="420">
        <v>45882</v>
      </c>
      <c r="L1032" s="408" t="s">
        <v>2391</v>
      </c>
      <c r="M1032" s="408" t="s">
        <v>2392</v>
      </c>
      <c r="N1032" s="3" t="str">
        <f t="shared" si="149"/>
        <v>NG</v>
      </c>
      <c r="O1032" s="408" t="s">
        <v>2368</v>
      </c>
      <c r="P1032" s="408" t="s">
        <v>2371</v>
      </c>
      <c r="Q1032" s="408">
        <v>11001962</v>
      </c>
      <c r="R1032" s="408" t="s">
        <v>562</v>
      </c>
      <c r="S1032" s="408" t="s">
        <v>2697</v>
      </c>
      <c r="T1032" s="408"/>
      <c r="U1032" s="408"/>
      <c r="V1032" s="421"/>
      <c r="W1032" s="421"/>
      <c r="X1032" s="421"/>
      <c r="Y1032" s="421"/>
      <c r="Z1032" s="421"/>
      <c r="AA1032" s="421"/>
      <c r="AB1032" s="421"/>
      <c r="AC1032" s="421"/>
      <c r="AD1032" s="421"/>
      <c r="AE1032" s="421"/>
      <c r="AF1032" s="421"/>
      <c r="AG1032" s="421"/>
      <c r="AH1032" s="421"/>
      <c r="AI1032" s="421"/>
      <c r="AJ1032" s="421"/>
      <c r="AK1032" s="421"/>
      <c r="AL1032" s="421"/>
    </row>
    <row r="1033" spans="1:38">
      <c r="A1033" s="408">
        <v>5919</v>
      </c>
      <c r="B1033" s="83">
        <f t="array" ref="B1033">SUM(--(FREQUENCY(IF(C$2:C$3077=C1033, MATCH(D$2:D$3077, D$2:D$3077, 0)), ROW(D$2:D$3077)-ROW(D$2)+1) &gt; 0))</f>
        <v>19</v>
      </c>
      <c r="C1033" s="3">
        <v>41200033</v>
      </c>
      <c r="D1033" s="408" t="s">
        <v>2698</v>
      </c>
      <c r="E1033" s="408" t="s">
        <v>1426</v>
      </c>
      <c r="F1033" s="408" t="s">
        <v>1476</v>
      </c>
      <c r="G1033" s="408" t="s">
        <v>2675</v>
      </c>
      <c r="H1033" s="197">
        <f t="shared" si="147"/>
        <v>33</v>
      </c>
      <c r="I1033" s="408">
        <v>8</v>
      </c>
      <c r="J1033" s="408">
        <v>13</v>
      </c>
      <c r="K1033" s="420">
        <v>45882</v>
      </c>
      <c r="L1033" s="408" t="s">
        <v>2391</v>
      </c>
      <c r="M1033" s="408" t="s">
        <v>2392</v>
      </c>
      <c r="N1033" s="3" t="str">
        <f t="shared" si="149"/>
        <v/>
      </c>
      <c r="O1033" s="408"/>
      <c r="P1033" s="408"/>
      <c r="Q1033" s="408"/>
      <c r="R1033" s="408"/>
      <c r="S1033" s="408"/>
      <c r="T1033" s="408"/>
      <c r="U1033" s="408"/>
      <c r="V1033" s="421"/>
      <c r="W1033" s="421"/>
      <c r="X1033" s="421"/>
      <c r="Y1033" s="421"/>
      <c r="Z1033" s="421"/>
      <c r="AA1033" s="421"/>
      <c r="AB1033" s="421"/>
      <c r="AC1033" s="421"/>
      <c r="AD1033" s="421"/>
      <c r="AE1033" s="421"/>
      <c r="AF1033" s="421"/>
      <c r="AG1033" s="421"/>
      <c r="AH1033" s="421"/>
      <c r="AI1033" s="421"/>
      <c r="AJ1033" s="421"/>
      <c r="AK1033" s="421"/>
      <c r="AL1033" s="421"/>
    </row>
    <row r="1034" spans="1:38">
      <c r="A1034" s="408">
        <v>5919</v>
      </c>
      <c r="B1034" s="83">
        <f t="array" ref="B1034">SUM(--(FREQUENCY(IF(C$2:C$3077=C1034, MATCH(D$2:D$3077, D$2:D$3077, 0)), ROW(D$2:D$3077)-ROW(D$2)+1) &gt; 0))</f>
        <v>19</v>
      </c>
      <c r="C1034" s="3">
        <v>41200033</v>
      </c>
      <c r="D1034" s="408" t="s">
        <v>2699</v>
      </c>
      <c r="E1034" s="408" t="s">
        <v>1426</v>
      </c>
      <c r="F1034" s="408" t="s">
        <v>1476</v>
      </c>
      <c r="G1034" s="408" t="s">
        <v>2675</v>
      </c>
      <c r="H1034" s="197">
        <f t="shared" si="147"/>
        <v>33</v>
      </c>
      <c r="I1034" s="408">
        <v>8</v>
      </c>
      <c r="J1034" s="408">
        <v>13</v>
      </c>
      <c r="K1034" s="420">
        <v>45882</v>
      </c>
      <c r="L1034" s="408" t="s">
        <v>2391</v>
      </c>
      <c r="M1034" s="408" t="s">
        <v>2392</v>
      </c>
      <c r="N1034" s="3" t="str">
        <f t="shared" si="149"/>
        <v/>
      </c>
      <c r="O1034" s="408"/>
      <c r="P1034" s="408"/>
      <c r="Q1034" s="408"/>
      <c r="R1034" s="408"/>
      <c r="S1034" s="408"/>
      <c r="T1034" s="408"/>
      <c r="U1034" s="408"/>
      <c r="V1034" s="421"/>
      <c r="W1034" s="421"/>
      <c r="X1034" s="421"/>
      <c r="Y1034" s="421"/>
      <c r="Z1034" s="421"/>
      <c r="AA1034" s="421"/>
      <c r="AB1034" s="421"/>
      <c r="AC1034" s="421"/>
      <c r="AD1034" s="421"/>
      <c r="AE1034" s="421"/>
      <c r="AF1034" s="421"/>
      <c r="AG1034" s="421"/>
      <c r="AH1034" s="421"/>
      <c r="AI1034" s="421"/>
      <c r="AJ1034" s="421"/>
      <c r="AK1034" s="421"/>
      <c r="AL1034" s="421"/>
    </row>
    <row r="1035" spans="1:38">
      <c r="A1035" s="408">
        <v>5792</v>
      </c>
      <c r="B1035" s="83">
        <f t="array" ref="B1035">SUM(--(FREQUENCY(IF(C$2:C$3077=C1035, MATCH(D$2:D$3077, D$2:D$3077, 0)), ROW(D$2:D$3077)-ROW(D$2)+1) &gt; 0))</f>
        <v>37</v>
      </c>
      <c r="C1035" s="3">
        <v>41200076</v>
      </c>
      <c r="D1035" s="408" t="s">
        <v>2700</v>
      </c>
      <c r="E1035" s="408" t="s">
        <v>1585</v>
      </c>
      <c r="F1035" s="408" t="s">
        <v>1476</v>
      </c>
      <c r="G1035" s="408" t="s">
        <v>2675</v>
      </c>
      <c r="H1035" s="197">
        <f t="shared" si="147"/>
        <v>33</v>
      </c>
      <c r="I1035" s="408">
        <v>8</v>
      </c>
      <c r="J1035" s="408">
        <v>13</v>
      </c>
      <c r="K1035" s="420">
        <v>45882</v>
      </c>
      <c r="L1035" s="408" t="s">
        <v>2391</v>
      </c>
      <c r="M1035" s="408" t="s">
        <v>2392</v>
      </c>
      <c r="N1035" s="3" t="str">
        <f t="shared" si="149"/>
        <v/>
      </c>
      <c r="O1035" s="408"/>
      <c r="P1035" s="408"/>
      <c r="Q1035" s="408"/>
      <c r="R1035" s="408"/>
      <c r="S1035" s="408"/>
      <c r="T1035" s="408"/>
      <c r="U1035" s="408"/>
      <c r="V1035" s="421"/>
      <c r="W1035" s="421"/>
      <c r="X1035" s="421"/>
      <c r="Y1035" s="421"/>
      <c r="Z1035" s="421"/>
      <c r="AA1035" s="421"/>
      <c r="AB1035" s="421"/>
      <c r="AC1035" s="421"/>
      <c r="AD1035" s="421"/>
      <c r="AE1035" s="421"/>
      <c r="AF1035" s="421"/>
      <c r="AG1035" s="421"/>
      <c r="AH1035" s="421"/>
      <c r="AI1035" s="421"/>
      <c r="AJ1035" s="421"/>
      <c r="AK1035" s="421"/>
      <c r="AL1035" s="421"/>
    </row>
    <row r="1036" spans="1:38">
      <c r="A1036" s="408">
        <v>5946</v>
      </c>
      <c r="B1036" s="83">
        <f t="array" ref="B1036">SUM(--(FREQUENCY(IF(C$2:C$3077=C1036, MATCH(D$2:D$3077, D$2:D$3077, 0)), ROW(D$2:D$3077)-ROW(D$2)+1) &gt; 0))</f>
        <v>37</v>
      </c>
      <c r="C1036" s="3">
        <v>41200076</v>
      </c>
      <c r="D1036" s="408" t="s">
        <v>2701</v>
      </c>
      <c r="E1036" s="408" t="s">
        <v>1585</v>
      </c>
      <c r="F1036" s="408" t="s">
        <v>1476</v>
      </c>
      <c r="G1036" s="408" t="s">
        <v>2675</v>
      </c>
      <c r="H1036" s="197">
        <f t="shared" si="147"/>
        <v>33</v>
      </c>
      <c r="I1036" s="408">
        <v>8</v>
      </c>
      <c r="J1036" s="408">
        <v>13</v>
      </c>
      <c r="K1036" s="420">
        <v>45882</v>
      </c>
      <c r="L1036" s="408" t="s">
        <v>2395</v>
      </c>
      <c r="M1036" s="408" t="s">
        <v>1468</v>
      </c>
      <c r="N1036" s="3" t="str">
        <f t="shared" si="149"/>
        <v>NG</v>
      </c>
      <c r="O1036" s="408" t="s">
        <v>2368</v>
      </c>
      <c r="P1036" s="408" t="s">
        <v>2371</v>
      </c>
      <c r="Q1036" s="408">
        <v>11001962</v>
      </c>
      <c r="R1036" s="408" t="s">
        <v>562</v>
      </c>
      <c r="S1036" s="408" t="s">
        <v>2702</v>
      </c>
      <c r="T1036" s="408" t="s">
        <v>2679</v>
      </c>
      <c r="U1036" s="408"/>
      <c r="V1036" s="421"/>
      <c r="W1036" s="421"/>
      <c r="X1036" s="421"/>
      <c r="Y1036" s="421"/>
      <c r="Z1036" s="421"/>
      <c r="AA1036" s="421"/>
      <c r="AB1036" s="421"/>
      <c r="AC1036" s="421"/>
      <c r="AD1036" s="421"/>
      <c r="AE1036" s="421"/>
      <c r="AF1036" s="421"/>
      <c r="AG1036" s="421"/>
      <c r="AH1036" s="421"/>
      <c r="AI1036" s="421"/>
      <c r="AJ1036" s="421"/>
      <c r="AK1036" s="421"/>
      <c r="AL1036" s="421"/>
    </row>
    <row r="1037" spans="1:38">
      <c r="A1037" s="408">
        <v>5946</v>
      </c>
      <c r="B1037" s="83">
        <f t="array" ref="B1037">SUM(--(FREQUENCY(IF(C$2:C$3077=C1037, MATCH(D$2:D$3077, D$2:D$3077, 0)), ROW(D$2:D$3077)-ROW(D$2)+1) &gt; 0))</f>
        <v>37</v>
      </c>
      <c r="C1037" s="3">
        <v>41200076</v>
      </c>
      <c r="D1037" s="408" t="s">
        <v>2703</v>
      </c>
      <c r="E1037" s="408" t="s">
        <v>1585</v>
      </c>
      <c r="F1037" s="408" t="s">
        <v>1476</v>
      </c>
      <c r="G1037" s="408" t="s">
        <v>2675</v>
      </c>
      <c r="H1037" s="197">
        <f t="shared" si="147"/>
        <v>33</v>
      </c>
      <c r="I1037" s="408">
        <v>8</v>
      </c>
      <c r="J1037" s="408">
        <v>13</v>
      </c>
      <c r="K1037" s="420">
        <v>45882</v>
      </c>
      <c r="L1037" s="408" t="s">
        <v>2395</v>
      </c>
      <c r="M1037" s="408" t="s">
        <v>1468</v>
      </c>
      <c r="N1037" s="3" t="str">
        <f t="shared" si="149"/>
        <v>NG</v>
      </c>
      <c r="O1037" s="408" t="s">
        <v>2368</v>
      </c>
      <c r="P1037" s="408" t="s">
        <v>2541</v>
      </c>
      <c r="Q1037" s="408">
        <v>11003763</v>
      </c>
      <c r="R1037" s="408" t="s">
        <v>103</v>
      </c>
      <c r="S1037" s="408" t="s">
        <v>2704</v>
      </c>
      <c r="T1037" s="408" t="s">
        <v>2705</v>
      </c>
      <c r="U1037" s="408"/>
      <c r="V1037" s="421"/>
      <c r="W1037" s="421"/>
      <c r="X1037" s="421"/>
      <c r="Y1037" s="421"/>
      <c r="Z1037" s="421"/>
      <c r="AA1037" s="421"/>
      <c r="AB1037" s="421"/>
      <c r="AC1037" s="421"/>
      <c r="AD1037" s="421"/>
      <c r="AE1037" s="421"/>
      <c r="AF1037" s="421"/>
      <c r="AG1037" s="421"/>
      <c r="AH1037" s="421"/>
      <c r="AI1037" s="421"/>
      <c r="AJ1037" s="421"/>
      <c r="AK1037" s="421"/>
      <c r="AL1037" s="421"/>
    </row>
    <row r="1038" spans="1:38">
      <c r="A1038" s="408">
        <v>5787</v>
      </c>
      <c r="B1038" s="83">
        <f t="array" ref="B1038">SUM(--(FREQUENCY(IF(C$2:C$3077=C1038, MATCH(D$2:D$3077, D$2:D$3077, 0)), ROW(D$2:D$3077)-ROW(D$2)+1) &gt; 0))</f>
        <v>25</v>
      </c>
      <c r="C1038" s="3">
        <v>41200034</v>
      </c>
      <c r="D1038" s="408" t="s">
        <v>2706</v>
      </c>
      <c r="E1038" s="408" t="s">
        <v>1426</v>
      </c>
      <c r="F1038" s="408" t="s">
        <v>1476</v>
      </c>
      <c r="G1038" s="408" t="s">
        <v>2675</v>
      </c>
      <c r="H1038" s="197">
        <f t="shared" si="147"/>
        <v>33</v>
      </c>
      <c r="I1038" s="408">
        <v>8</v>
      </c>
      <c r="J1038" s="408">
        <v>13</v>
      </c>
      <c r="K1038" s="420">
        <v>45882</v>
      </c>
      <c r="L1038" s="408" t="s">
        <v>2391</v>
      </c>
      <c r="M1038" s="408" t="s">
        <v>1469</v>
      </c>
      <c r="N1038" s="3" t="str">
        <f t="shared" si="149"/>
        <v/>
      </c>
      <c r="O1038" s="408"/>
      <c r="P1038" s="408"/>
      <c r="Q1038" s="408"/>
      <c r="R1038" s="408"/>
      <c r="S1038" s="408"/>
      <c r="T1038" s="408"/>
      <c r="U1038" s="408"/>
      <c r="V1038" s="421"/>
      <c r="W1038" s="421"/>
      <c r="X1038" s="421"/>
      <c r="Y1038" s="421"/>
      <c r="Z1038" s="421"/>
      <c r="AA1038" s="421"/>
      <c r="AB1038" s="421"/>
      <c r="AC1038" s="421"/>
      <c r="AD1038" s="421"/>
      <c r="AE1038" s="421"/>
      <c r="AF1038" s="421"/>
      <c r="AG1038" s="421"/>
      <c r="AH1038" s="421"/>
      <c r="AI1038" s="421"/>
      <c r="AJ1038" s="421"/>
      <c r="AK1038" s="421"/>
      <c r="AL1038" s="421"/>
    </row>
    <row r="1039" spans="1:38">
      <c r="A1039" s="3">
        <v>5889</v>
      </c>
      <c r="B1039" s="83">
        <f t="array" ref="B1039">SUM(--(FREQUENCY(IF(C$2:C$3079=C1039, MATCH(D$2:D$3079, D$2:D$3079, 0)), ROW(D$2:D$3079)-ROW(D$2)+1) &gt; 0))</f>
        <v>29</v>
      </c>
      <c r="C1039" s="3">
        <v>41200127</v>
      </c>
      <c r="D1039" s="6" t="s">
        <v>2707</v>
      </c>
      <c r="E1039" s="3" t="s">
        <v>1431</v>
      </c>
      <c r="F1039" s="3" t="s">
        <v>1591</v>
      </c>
      <c r="G1039" s="68" t="str">
        <f t="shared" ref="G1039:G1046" si="150">IF(OR(ISNUMBER(SEARCH("DUAL",F1039)), ISNUMBER(SEARCH("IVAS",F1039))), "DUAL", "SINGLE")</f>
        <v>SINGLE</v>
      </c>
      <c r="H1039" s="197">
        <f t="shared" si="147"/>
        <v>33</v>
      </c>
      <c r="I1039" s="197">
        <v>8</v>
      </c>
      <c r="J1039" s="197">
        <v>14</v>
      </c>
      <c r="K1039" s="186">
        <f t="shared" ref="K1039:K1046" si="151">DATE(2025, I1039, J1039)</f>
        <v>45883</v>
      </c>
      <c r="L1039" s="3" t="s">
        <v>2391</v>
      </c>
      <c r="M1039" s="3" t="s">
        <v>2392</v>
      </c>
      <c r="N1039" s="3" t="str">
        <f t="shared" si="149"/>
        <v/>
      </c>
      <c r="O1039" s="408"/>
      <c r="P1039" s="408"/>
      <c r="Q1039" s="408"/>
      <c r="R1039" s="408"/>
      <c r="S1039" s="408"/>
      <c r="T1039" s="408"/>
      <c r="U1039" s="408"/>
      <c r="V1039" s="421"/>
      <c r="W1039" s="421"/>
      <c r="X1039" s="421"/>
      <c r="Y1039" s="421"/>
      <c r="Z1039" s="421"/>
      <c r="AA1039" s="421"/>
      <c r="AB1039" s="421"/>
      <c r="AC1039" s="421"/>
      <c r="AD1039" s="421"/>
      <c r="AE1039" s="421"/>
      <c r="AF1039" s="421"/>
      <c r="AG1039" s="421"/>
      <c r="AH1039" s="421"/>
      <c r="AI1039" s="421"/>
      <c r="AJ1039" s="421"/>
      <c r="AK1039" s="421"/>
      <c r="AL1039" s="421"/>
    </row>
    <row r="1040" spans="1:38">
      <c r="A1040" s="3">
        <v>5889</v>
      </c>
      <c r="B1040" s="83">
        <f t="array" ref="B1040">SUM(--(FREQUENCY(IF(C$2:C$3079=C1040, MATCH(D$2:D$3079, D$2:D$3079, 0)), ROW(D$2:D$3079)-ROW(D$2)+1) &gt; 0))</f>
        <v>29</v>
      </c>
      <c r="C1040" s="3">
        <v>41200127</v>
      </c>
      <c r="D1040" s="6" t="s">
        <v>2708</v>
      </c>
      <c r="E1040" s="3" t="s">
        <v>1431</v>
      </c>
      <c r="F1040" s="3" t="s">
        <v>1591</v>
      </c>
      <c r="G1040" s="68" t="str">
        <f t="shared" si="150"/>
        <v>SINGLE</v>
      </c>
      <c r="H1040" s="197">
        <f t="shared" si="147"/>
        <v>33</v>
      </c>
      <c r="I1040" s="197">
        <v>8</v>
      </c>
      <c r="J1040" s="197">
        <v>14</v>
      </c>
      <c r="K1040" s="186">
        <f t="shared" si="151"/>
        <v>45883</v>
      </c>
      <c r="L1040" s="3" t="s">
        <v>2391</v>
      </c>
      <c r="M1040" s="3" t="s">
        <v>2392</v>
      </c>
      <c r="N1040" s="3" t="str">
        <f t="shared" si="149"/>
        <v/>
      </c>
      <c r="O1040" s="408"/>
      <c r="P1040" s="408"/>
      <c r="Q1040" s="408"/>
      <c r="R1040" s="408"/>
      <c r="S1040" s="408"/>
      <c r="T1040" s="408"/>
      <c r="U1040" s="408"/>
      <c r="V1040" s="421"/>
      <c r="W1040" s="421"/>
      <c r="X1040" s="421"/>
      <c r="Y1040" s="421"/>
      <c r="Z1040" s="421"/>
      <c r="AA1040" s="421"/>
      <c r="AB1040" s="421"/>
      <c r="AC1040" s="421"/>
      <c r="AD1040" s="421"/>
      <c r="AE1040" s="421"/>
      <c r="AF1040" s="421"/>
      <c r="AG1040" s="421"/>
      <c r="AH1040" s="421"/>
      <c r="AI1040" s="421"/>
      <c r="AJ1040" s="421"/>
      <c r="AK1040" s="421"/>
      <c r="AL1040" s="421"/>
    </row>
    <row r="1041" spans="1:38">
      <c r="A1041" s="3">
        <v>5771</v>
      </c>
      <c r="B1041" s="83">
        <f t="array" ref="B1041">SUM(--(FREQUENCY(IF(C$2:C$3079=C1041, MATCH(D$2:D$3079, D$2:D$3079, 0)), ROW(D$2:D$3079)-ROW(D$2)+1) &gt; 0))</f>
        <v>37</v>
      </c>
      <c r="C1041" s="3">
        <v>41200076</v>
      </c>
      <c r="D1041" s="6" t="s">
        <v>2709</v>
      </c>
      <c r="E1041" s="3" t="s">
        <v>1585</v>
      </c>
      <c r="F1041" s="3" t="s">
        <v>1476</v>
      </c>
      <c r="G1041" s="68" t="str">
        <f t="shared" si="150"/>
        <v>DUAL</v>
      </c>
      <c r="H1041" s="197">
        <f t="shared" si="147"/>
        <v>33</v>
      </c>
      <c r="I1041" s="197">
        <v>8</v>
      </c>
      <c r="J1041" s="197">
        <v>14</v>
      </c>
      <c r="K1041" s="186">
        <f t="shared" si="151"/>
        <v>45883</v>
      </c>
      <c r="L1041" s="3" t="s">
        <v>2395</v>
      </c>
      <c r="M1041" s="3" t="s">
        <v>2392</v>
      </c>
      <c r="N1041" s="3" t="str">
        <f t="shared" si="149"/>
        <v>NG</v>
      </c>
      <c r="O1041" s="408" t="s">
        <v>2368</v>
      </c>
      <c r="P1041" s="408" t="s">
        <v>2541</v>
      </c>
      <c r="Q1041" s="408">
        <v>11003763</v>
      </c>
      <c r="R1041" s="408" t="s">
        <v>103</v>
      </c>
      <c r="S1041" s="408" t="s">
        <v>2704</v>
      </c>
      <c r="T1041" s="408" t="s">
        <v>2705</v>
      </c>
      <c r="U1041" s="408"/>
      <c r="V1041" s="421"/>
      <c r="W1041" s="421"/>
      <c r="X1041" s="421"/>
      <c r="Y1041" s="421"/>
      <c r="Z1041" s="421"/>
      <c r="AA1041" s="421"/>
      <c r="AB1041" s="421"/>
      <c r="AC1041" s="421"/>
      <c r="AD1041" s="421"/>
      <c r="AE1041" s="421"/>
      <c r="AF1041" s="421"/>
      <c r="AG1041" s="421"/>
      <c r="AH1041" s="421"/>
      <c r="AI1041" s="421"/>
      <c r="AJ1041" s="421"/>
      <c r="AK1041" s="421"/>
      <c r="AL1041" s="421"/>
    </row>
    <row r="1042" spans="1:38">
      <c r="A1042" s="3">
        <v>5787</v>
      </c>
      <c r="B1042" s="83">
        <f t="array" ref="B1042">SUM(--(FREQUENCY(IF(C$2:C$3079=C1042, MATCH(D$2:D$3079, D$2:D$3079, 0)), ROW(D$2:D$3079)-ROW(D$2)+1) &gt; 0))</f>
        <v>25</v>
      </c>
      <c r="C1042" s="3">
        <v>41200034</v>
      </c>
      <c r="D1042" s="6" t="s">
        <v>2710</v>
      </c>
      <c r="E1042" s="3" t="s">
        <v>1426</v>
      </c>
      <c r="F1042" s="3" t="s">
        <v>1476</v>
      </c>
      <c r="G1042" s="68" t="str">
        <f t="shared" si="150"/>
        <v>DUAL</v>
      </c>
      <c r="H1042" s="197">
        <f t="shared" si="147"/>
        <v>33</v>
      </c>
      <c r="I1042" s="197">
        <v>8</v>
      </c>
      <c r="J1042" s="197">
        <v>14</v>
      </c>
      <c r="K1042" s="186">
        <f t="shared" si="151"/>
        <v>45883</v>
      </c>
      <c r="L1042" s="3" t="s">
        <v>2391</v>
      </c>
      <c r="M1042" s="3" t="s">
        <v>1468</v>
      </c>
      <c r="N1042" s="3" t="str">
        <f t="shared" si="149"/>
        <v/>
      </c>
      <c r="O1042" s="408"/>
      <c r="P1042" s="408"/>
      <c r="Q1042" s="408"/>
      <c r="R1042" s="408"/>
      <c r="S1042" s="408"/>
      <c r="T1042" s="408"/>
      <c r="U1042" s="408"/>
      <c r="V1042" s="421"/>
      <c r="W1042" s="421"/>
      <c r="X1042" s="421"/>
      <c r="Y1042" s="421"/>
      <c r="Z1042" s="421"/>
      <c r="AA1042" s="421"/>
      <c r="AB1042" s="421"/>
      <c r="AC1042" s="421"/>
      <c r="AD1042" s="421"/>
      <c r="AE1042" s="421"/>
      <c r="AF1042" s="421"/>
      <c r="AG1042" s="421"/>
      <c r="AH1042" s="421"/>
      <c r="AI1042" s="421"/>
      <c r="AJ1042" s="421"/>
      <c r="AK1042" s="421"/>
      <c r="AL1042" s="421"/>
    </row>
    <row r="1043" spans="1:38">
      <c r="A1043" s="3">
        <v>5774</v>
      </c>
      <c r="B1043" s="83">
        <f t="array" ref="B1043">SUM(--(FREQUENCY(IF(C$2:C$3079=C1043, MATCH(D$2:D$3079, D$2:D$3079, 0)), ROW(D$2:D$3079)-ROW(D$2)+1) &gt; 0))</f>
        <v>20</v>
      </c>
      <c r="C1043" s="3">
        <v>41100435</v>
      </c>
      <c r="D1043" s="3" t="s">
        <v>2711</v>
      </c>
      <c r="E1043" s="3" t="s">
        <v>1585</v>
      </c>
      <c r="F1043" s="3" t="s">
        <v>1482</v>
      </c>
      <c r="G1043" s="68" t="str">
        <f t="shared" si="150"/>
        <v>SINGLE</v>
      </c>
      <c r="H1043" s="197">
        <f t="shared" si="147"/>
        <v>33</v>
      </c>
      <c r="I1043" s="197">
        <v>8</v>
      </c>
      <c r="J1043" s="197">
        <v>14</v>
      </c>
      <c r="K1043" s="186">
        <f t="shared" si="151"/>
        <v>45883</v>
      </c>
      <c r="L1043" s="3" t="s">
        <v>2391</v>
      </c>
      <c r="M1043" s="3" t="s">
        <v>1468</v>
      </c>
      <c r="N1043" s="3" t="str">
        <f t="shared" si="149"/>
        <v/>
      </c>
      <c r="O1043" s="408"/>
      <c r="P1043" s="408"/>
      <c r="Q1043" s="408"/>
      <c r="R1043" s="408"/>
      <c r="S1043" s="408"/>
      <c r="T1043" s="408"/>
      <c r="U1043" s="408"/>
      <c r="V1043" s="421"/>
      <c r="W1043" s="421"/>
      <c r="X1043" s="421"/>
      <c r="Y1043" s="421"/>
      <c r="Z1043" s="421"/>
      <c r="AA1043" s="421"/>
      <c r="AB1043" s="421"/>
      <c r="AC1043" s="421"/>
      <c r="AD1043" s="421"/>
      <c r="AE1043" s="421"/>
      <c r="AF1043" s="421"/>
      <c r="AG1043" s="421"/>
      <c r="AH1043" s="421"/>
      <c r="AI1043" s="421"/>
      <c r="AJ1043" s="421"/>
      <c r="AK1043" s="421"/>
      <c r="AL1043" s="421"/>
    </row>
    <row r="1044" spans="1:38">
      <c r="A1044" s="3">
        <v>5959</v>
      </c>
      <c r="B1044" s="83">
        <f t="array" ref="B1044">SUM(--(FREQUENCY(IF(C$2:C$3079=C1044, MATCH(D$2:D$3079, D$2:D$3079, 0)), ROW(D$2:D$3079)-ROW(D$2)+1) &gt; 0))</f>
        <v>6</v>
      </c>
      <c r="C1044" s="3">
        <v>41000544</v>
      </c>
      <c r="D1044" s="3" t="s">
        <v>2712</v>
      </c>
      <c r="E1044" s="3" t="s">
        <v>1405</v>
      </c>
      <c r="F1044" s="3" t="s">
        <v>1476</v>
      </c>
      <c r="G1044" s="68" t="str">
        <f t="shared" si="150"/>
        <v>DUAL</v>
      </c>
      <c r="H1044" s="197">
        <f t="shared" si="147"/>
        <v>33</v>
      </c>
      <c r="I1044" s="197">
        <v>8</v>
      </c>
      <c r="J1044" s="197">
        <v>14</v>
      </c>
      <c r="K1044" s="186">
        <f t="shared" si="151"/>
        <v>45883</v>
      </c>
      <c r="L1044" s="3" t="s">
        <v>2391</v>
      </c>
      <c r="M1044" s="3" t="s">
        <v>1468</v>
      </c>
      <c r="N1044" s="3" t="str">
        <f t="shared" si="149"/>
        <v>NG</v>
      </c>
      <c r="O1044" s="408" t="s">
        <v>2368</v>
      </c>
      <c r="P1044" s="408" t="s">
        <v>2371</v>
      </c>
      <c r="Q1044" s="408">
        <v>11001968</v>
      </c>
      <c r="R1044" s="408" t="s">
        <v>473</v>
      </c>
      <c r="S1044" s="408" t="s">
        <v>2642</v>
      </c>
      <c r="T1044" s="408" t="s">
        <v>2705</v>
      </c>
      <c r="U1044" s="408"/>
      <c r="V1044" s="421"/>
      <c r="W1044" s="421"/>
      <c r="X1044" s="421"/>
      <c r="Y1044" s="421"/>
      <c r="Z1044" s="421"/>
      <c r="AA1044" s="421"/>
      <c r="AB1044" s="421"/>
      <c r="AC1044" s="421"/>
      <c r="AD1044" s="421"/>
      <c r="AE1044" s="421"/>
      <c r="AF1044" s="421"/>
      <c r="AG1044" s="421"/>
      <c r="AH1044" s="421"/>
      <c r="AI1044" s="421"/>
      <c r="AJ1044" s="421"/>
      <c r="AK1044" s="421"/>
      <c r="AL1044" s="421"/>
    </row>
    <row r="1045" spans="1:38">
      <c r="A1045" s="3">
        <v>5921</v>
      </c>
      <c r="B1045" s="83">
        <f t="array" ref="B1045">SUM(--(FREQUENCY(IF(C$2:C$3079=C1045, MATCH(D$2:D$3079, D$2:D$3079, 0)), ROW(D$2:D$3079)-ROW(D$2)+1) &gt; 0))</f>
        <v>8</v>
      </c>
      <c r="C1045" s="3">
        <v>41200046</v>
      </c>
      <c r="D1045" s="6" t="s">
        <v>2713</v>
      </c>
      <c r="E1045" s="3" t="s">
        <v>1426</v>
      </c>
      <c r="F1045" s="3" t="s">
        <v>1476</v>
      </c>
      <c r="G1045" s="68" t="str">
        <f t="shared" si="150"/>
        <v>DUAL</v>
      </c>
      <c r="H1045" s="197">
        <f t="shared" si="147"/>
        <v>33</v>
      </c>
      <c r="I1045" s="197">
        <v>8</v>
      </c>
      <c r="J1045" s="197">
        <v>14</v>
      </c>
      <c r="K1045" s="186">
        <f t="shared" si="151"/>
        <v>45883</v>
      </c>
      <c r="L1045" s="3" t="s">
        <v>2395</v>
      </c>
      <c r="M1045" s="3" t="s">
        <v>1469</v>
      </c>
      <c r="N1045" s="3" t="str">
        <f t="shared" si="149"/>
        <v/>
      </c>
      <c r="O1045" s="408"/>
      <c r="P1045" s="408"/>
      <c r="Q1045" s="408"/>
      <c r="R1045" s="408"/>
      <c r="S1045" s="408"/>
      <c r="T1045" s="408"/>
      <c r="U1045" s="408"/>
      <c r="V1045" s="421"/>
      <c r="W1045" s="421"/>
      <c r="X1045" s="421"/>
      <c r="Y1045" s="421"/>
      <c r="Z1045" s="421"/>
      <c r="AA1045" s="421"/>
      <c r="AB1045" s="421"/>
      <c r="AC1045" s="421"/>
      <c r="AD1045" s="421"/>
      <c r="AE1045" s="421"/>
      <c r="AF1045" s="421"/>
      <c r="AG1045" s="421"/>
      <c r="AH1045" s="421"/>
      <c r="AI1045" s="421"/>
      <c r="AJ1045" s="421"/>
      <c r="AK1045" s="421"/>
      <c r="AL1045" s="421"/>
    </row>
    <row r="1046" spans="1:38">
      <c r="A1046" s="3">
        <v>5921</v>
      </c>
      <c r="B1046" s="83">
        <f t="array" ref="B1046">SUM(--(FREQUENCY(IF(C$2:C$3079=C1046, MATCH(D$2:D$3079, D$2:D$3079, 0)), ROW(D$2:D$3079)-ROW(D$2)+1) &gt; 0))</f>
        <v>8</v>
      </c>
      <c r="C1046" s="3">
        <v>41200046</v>
      </c>
      <c r="D1046" s="6" t="s">
        <v>2714</v>
      </c>
      <c r="E1046" s="3" t="s">
        <v>1426</v>
      </c>
      <c r="F1046" s="3" t="s">
        <v>1476</v>
      </c>
      <c r="G1046" s="68" t="str">
        <f t="shared" si="150"/>
        <v>DUAL</v>
      </c>
      <c r="H1046" s="197">
        <f t="shared" si="147"/>
        <v>33</v>
      </c>
      <c r="I1046" s="197">
        <v>8</v>
      </c>
      <c r="J1046" s="197">
        <v>14</v>
      </c>
      <c r="K1046" s="186">
        <f t="shared" si="151"/>
        <v>45883</v>
      </c>
      <c r="L1046" s="3" t="s">
        <v>2395</v>
      </c>
      <c r="M1046" s="3" t="s">
        <v>1469</v>
      </c>
      <c r="N1046" s="3" t="str">
        <f t="shared" si="149"/>
        <v>NG</v>
      </c>
      <c r="O1046" s="408" t="s">
        <v>2368</v>
      </c>
      <c r="P1046" s="408" t="s">
        <v>2371</v>
      </c>
      <c r="Q1046" s="408">
        <v>11001966</v>
      </c>
      <c r="R1046" s="408" t="s">
        <v>1151</v>
      </c>
      <c r="S1046" s="408" t="s">
        <v>2715</v>
      </c>
      <c r="T1046" s="408" t="s">
        <v>2705</v>
      </c>
      <c r="U1046" s="408"/>
      <c r="V1046" s="421"/>
      <c r="W1046" s="421"/>
      <c r="X1046" s="421"/>
      <c r="Y1046" s="421"/>
      <c r="Z1046" s="421"/>
      <c r="AA1046" s="421"/>
      <c r="AB1046" s="421"/>
      <c r="AC1046" s="421"/>
      <c r="AD1046" s="421"/>
      <c r="AE1046" s="421"/>
      <c r="AF1046" s="421"/>
      <c r="AG1046" s="421"/>
      <c r="AH1046" s="421"/>
      <c r="AI1046" s="421"/>
      <c r="AJ1046" s="421"/>
      <c r="AK1046" s="421"/>
      <c r="AL1046" s="421"/>
    </row>
    <row r="1047" spans="1:38">
      <c r="A1047" s="3">
        <v>5921</v>
      </c>
      <c r="B1047" s="83">
        <f t="array" ref="B1047">SUM(--(FREQUENCY(IF(C$2:C$3079=C1047, MATCH(D$2:D$3079, D$2:D$3079, 0)), ROW(D$2:D$3079)-ROW(D$2)+1) &gt; 0))</f>
        <v>8</v>
      </c>
      <c r="C1047" s="3">
        <v>41200046</v>
      </c>
      <c r="D1047" s="6" t="s">
        <v>2714</v>
      </c>
      <c r="E1047" s="3" t="s">
        <v>1426</v>
      </c>
      <c r="F1047" s="3" t="s">
        <v>1476</v>
      </c>
      <c r="G1047" s="68" t="str">
        <f t="shared" ref="G1047" si="152">IF(OR(ISNUMBER(SEARCH("DUAL",F1047)), ISNUMBER(SEARCH("IVAS",F1047))), "DUAL", "SINGLE")</f>
        <v>DUAL</v>
      </c>
      <c r="H1047" s="197">
        <f t="shared" si="147"/>
        <v>33</v>
      </c>
      <c r="I1047" s="197">
        <v>8</v>
      </c>
      <c r="J1047" s="197">
        <v>14</v>
      </c>
      <c r="K1047" s="186">
        <f t="shared" ref="K1047" si="153">DATE(2025, I1047, J1047)</f>
        <v>45883</v>
      </c>
      <c r="L1047" s="3" t="s">
        <v>2395</v>
      </c>
      <c r="M1047" s="3" t="s">
        <v>1469</v>
      </c>
      <c r="N1047" s="3" t="str">
        <f t="shared" ref="N1047" si="154">IF(O1047&lt;&gt;"", "NG", "")</f>
        <v>NG</v>
      </c>
      <c r="O1047" s="408" t="s">
        <v>2368</v>
      </c>
      <c r="P1047" s="408" t="s">
        <v>2716</v>
      </c>
      <c r="Q1047" s="408">
        <v>13108591</v>
      </c>
      <c r="R1047" s="408" t="s">
        <v>2717</v>
      </c>
      <c r="S1047" s="408" t="s">
        <v>2718</v>
      </c>
      <c r="T1047" s="408" t="s">
        <v>2493</v>
      </c>
      <c r="U1047" s="408"/>
      <c r="V1047" s="421"/>
      <c r="W1047" s="421"/>
      <c r="X1047" s="421"/>
      <c r="Y1047" s="421"/>
      <c r="Z1047" s="421"/>
      <c r="AA1047" s="421"/>
      <c r="AB1047" s="421"/>
      <c r="AC1047" s="421"/>
      <c r="AD1047" s="421"/>
      <c r="AE1047" s="421"/>
      <c r="AF1047" s="421"/>
      <c r="AG1047" s="421"/>
      <c r="AH1047" s="421"/>
      <c r="AI1047" s="421"/>
      <c r="AJ1047" s="421"/>
      <c r="AK1047" s="421"/>
      <c r="AL1047" s="421"/>
    </row>
    <row r="1048" spans="1:38">
      <c r="A1048" s="3">
        <v>5772</v>
      </c>
      <c r="B1048" s="83">
        <f t="array" ref="B1048">SUM(--(FREQUENCY(IF(C$2:C$3079=C1048, MATCH(D$2:D$3079, D$2:D$3079, 0)), ROW(D$2:D$3079)-ROW(D$2)+1) &gt; 0))</f>
        <v>4</v>
      </c>
      <c r="C1048" s="3">
        <v>41100374</v>
      </c>
      <c r="D1048" s="6" t="s">
        <v>2719</v>
      </c>
      <c r="E1048" s="3" t="s">
        <v>1585</v>
      </c>
      <c r="F1048" s="3" t="s">
        <v>1476</v>
      </c>
      <c r="G1048" s="68" t="str">
        <f t="shared" ref="G1048:G1079" si="155">IF(OR(ISNUMBER(SEARCH("DUAL",F1048)), ISNUMBER(SEARCH("IVAS",F1048))), "DUAL", "SINGLE")</f>
        <v>DUAL</v>
      </c>
      <c r="H1048" s="197">
        <f t="shared" ref="H1048:H1054" si="156">WEEKNUM(K1048)</f>
        <v>34</v>
      </c>
      <c r="I1048" s="197">
        <v>8</v>
      </c>
      <c r="J1048" s="197">
        <v>18</v>
      </c>
      <c r="K1048" s="186">
        <f t="shared" ref="K1048:K1054" si="157">DATE(2025, I1048, J1048)</f>
        <v>45887</v>
      </c>
      <c r="L1048" s="3" t="s">
        <v>2395</v>
      </c>
      <c r="M1048" s="3" t="s">
        <v>2392</v>
      </c>
      <c r="N1048" s="3" t="str">
        <f t="shared" si="149"/>
        <v>NG</v>
      </c>
      <c r="O1048" s="408" t="s">
        <v>2368</v>
      </c>
      <c r="P1048" s="408" t="s">
        <v>2371</v>
      </c>
      <c r="Q1048" s="408">
        <v>11001962</v>
      </c>
      <c r="R1048" s="408" t="s">
        <v>562</v>
      </c>
      <c r="S1048" s="408" t="s">
        <v>2720</v>
      </c>
      <c r="T1048" s="408" t="s">
        <v>2705</v>
      </c>
      <c r="U1048" s="408"/>
      <c r="V1048" s="421"/>
      <c r="W1048" s="421"/>
      <c r="X1048" s="421"/>
      <c r="Y1048" s="421"/>
      <c r="Z1048" s="421"/>
      <c r="AA1048" s="421"/>
      <c r="AB1048" s="421"/>
      <c r="AC1048" s="421"/>
      <c r="AD1048" s="421"/>
      <c r="AE1048" s="421"/>
      <c r="AF1048" s="421"/>
      <c r="AG1048" s="421"/>
      <c r="AH1048" s="421"/>
      <c r="AI1048" s="421"/>
      <c r="AJ1048" s="421"/>
      <c r="AK1048" s="421"/>
      <c r="AL1048" s="421"/>
    </row>
    <row r="1049" spans="1:38">
      <c r="A1049" s="3">
        <v>5772</v>
      </c>
      <c r="B1049" s="83">
        <f t="array" ref="B1049">SUM(--(FREQUENCY(IF(C$2:C$3079=C1049, MATCH(D$2:D$3079, D$2:D$3079, 0)), ROW(D$2:D$3079)-ROW(D$2)+1) &gt; 0))</f>
        <v>4</v>
      </c>
      <c r="C1049" s="3">
        <v>41100374</v>
      </c>
      <c r="D1049" s="6" t="s">
        <v>2719</v>
      </c>
      <c r="E1049" s="3" t="s">
        <v>1585</v>
      </c>
      <c r="F1049" s="3" t="s">
        <v>1476</v>
      </c>
      <c r="G1049" s="68" t="str">
        <f t="shared" si="155"/>
        <v>DUAL</v>
      </c>
      <c r="H1049" s="197">
        <f t="shared" ref="H1049" si="158">WEEKNUM(K1049)</f>
        <v>34</v>
      </c>
      <c r="I1049" s="197">
        <v>8</v>
      </c>
      <c r="J1049" s="197">
        <v>18</v>
      </c>
      <c r="K1049" s="186">
        <f t="shared" ref="K1049" si="159">DATE(2025, I1049, J1049)</f>
        <v>45887</v>
      </c>
      <c r="L1049" s="3" t="s">
        <v>2395</v>
      </c>
      <c r="M1049" s="3" t="s">
        <v>2392</v>
      </c>
      <c r="N1049" s="3" t="str">
        <f t="shared" ref="N1049" si="160">IF(O1049&lt;&gt;"", "NG", "")</f>
        <v>NG</v>
      </c>
      <c r="O1049" s="408" t="s">
        <v>2368</v>
      </c>
      <c r="P1049" s="408" t="s">
        <v>2371</v>
      </c>
      <c r="Q1049" s="408">
        <v>11001962</v>
      </c>
      <c r="R1049" s="408" t="s">
        <v>562</v>
      </c>
      <c r="S1049" s="408" t="s">
        <v>2720</v>
      </c>
      <c r="T1049" s="408" t="s">
        <v>2705</v>
      </c>
      <c r="U1049" s="408"/>
      <c r="V1049" s="421"/>
      <c r="W1049" s="421"/>
      <c r="X1049" s="421"/>
      <c r="Y1049" s="421"/>
      <c r="Z1049" s="421"/>
      <c r="AA1049" s="421"/>
      <c r="AB1049" s="421"/>
      <c r="AC1049" s="421"/>
      <c r="AD1049" s="421"/>
      <c r="AE1049" s="421"/>
      <c r="AF1049" s="421"/>
      <c r="AG1049" s="421"/>
      <c r="AH1049" s="421"/>
      <c r="AI1049" s="421"/>
      <c r="AJ1049" s="421"/>
      <c r="AK1049" s="421"/>
      <c r="AL1049" s="421"/>
    </row>
    <row r="1050" spans="1:38">
      <c r="A1050" s="3">
        <v>5800</v>
      </c>
      <c r="B1050" s="83">
        <f t="array" ref="B1050">SUM(--(FREQUENCY(IF(C$2:C$3079=C1050, MATCH(D$2:D$3079, D$2:D$3079, 0)), ROW(D$2:D$3079)-ROW(D$2)+1) &gt; 0))</f>
        <v>9</v>
      </c>
      <c r="C1050" s="3">
        <v>41200105</v>
      </c>
      <c r="D1050" s="6" t="s">
        <v>2721</v>
      </c>
      <c r="E1050" s="3" t="s">
        <v>1424</v>
      </c>
      <c r="F1050" s="3" t="s">
        <v>1476</v>
      </c>
      <c r="G1050" s="68" t="str">
        <f t="shared" si="155"/>
        <v>DUAL</v>
      </c>
      <c r="H1050" s="197">
        <f t="shared" si="156"/>
        <v>34</v>
      </c>
      <c r="I1050" s="197">
        <v>8</v>
      </c>
      <c r="J1050" s="197">
        <v>18</v>
      </c>
      <c r="K1050" s="186">
        <f t="shared" si="157"/>
        <v>45887</v>
      </c>
      <c r="L1050" s="3" t="s">
        <v>2391</v>
      </c>
      <c r="M1050" s="3" t="s">
        <v>2392</v>
      </c>
      <c r="N1050" s="3" t="str">
        <f t="shared" si="149"/>
        <v/>
      </c>
      <c r="O1050" s="408"/>
      <c r="P1050" s="408"/>
      <c r="Q1050" s="408"/>
      <c r="R1050" s="408"/>
      <c r="S1050" s="408"/>
      <c r="T1050" s="408"/>
      <c r="U1050" s="408"/>
      <c r="V1050" s="421"/>
      <c r="W1050" s="421"/>
      <c r="X1050" s="421"/>
      <c r="Y1050" s="421"/>
      <c r="Z1050" s="421"/>
      <c r="AA1050" s="421"/>
      <c r="AB1050" s="421"/>
      <c r="AC1050" s="421"/>
      <c r="AD1050" s="421"/>
      <c r="AE1050" s="421"/>
      <c r="AF1050" s="421"/>
      <c r="AG1050" s="421"/>
      <c r="AH1050" s="421"/>
      <c r="AI1050" s="421"/>
      <c r="AJ1050" s="421"/>
      <c r="AK1050" s="421"/>
      <c r="AL1050" s="421"/>
    </row>
    <row r="1051" spans="1:38">
      <c r="A1051" s="3">
        <v>5904</v>
      </c>
      <c r="B1051" s="83">
        <f t="array" ref="B1051">SUM(--(FREQUENCY(IF(C$2:C$3079=C1051, MATCH(D$2:D$3079, D$2:D$3079, 0)), ROW(D$2:D$3079)-ROW(D$2)+1) &gt; 0))</f>
        <v>6</v>
      </c>
      <c r="C1051" s="3">
        <v>41200133</v>
      </c>
      <c r="D1051" s="6" t="s">
        <v>2722</v>
      </c>
      <c r="E1051" s="3" t="s">
        <v>1429</v>
      </c>
      <c r="F1051" s="3" t="s">
        <v>1476</v>
      </c>
      <c r="G1051" s="68" t="str">
        <f t="shared" si="155"/>
        <v>DUAL</v>
      </c>
      <c r="H1051" s="197">
        <f t="shared" si="156"/>
        <v>34</v>
      </c>
      <c r="I1051" s="197">
        <v>8</v>
      </c>
      <c r="J1051" s="197">
        <v>18</v>
      </c>
      <c r="K1051" s="186">
        <f t="shared" si="157"/>
        <v>45887</v>
      </c>
      <c r="L1051" s="3" t="s">
        <v>2391</v>
      </c>
      <c r="M1051" s="3" t="s">
        <v>1468</v>
      </c>
      <c r="N1051" s="3" t="str">
        <f t="shared" si="149"/>
        <v/>
      </c>
      <c r="O1051" s="408"/>
      <c r="P1051" s="408"/>
      <c r="Q1051" s="408"/>
      <c r="R1051" s="408"/>
      <c r="S1051" s="408"/>
      <c r="T1051" s="408"/>
      <c r="U1051" s="408"/>
      <c r="V1051" s="421"/>
      <c r="W1051" s="421"/>
      <c r="X1051" s="421"/>
      <c r="Y1051" s="421"/>
      <c r="Z1051" s="421"/>
      <c r="AA1051" s="421"/>
      <c r="AB1051" s="421"/>
      <c r="AC1051" s="421"/>
      <c r="AD1051" s="421"/>
      <c r="AE1051" s="421"/>
      <c r="AF1051" s="421"/>
      <c r="AG1051" s="421"/>
      <c r="AH1051" s="421"/>
      <c r="AI1051" s="421"/>
      <c r="AJ1051" s="421"/>
      <c r="AK1051" s="421"/>
      <c r="AL1051" s="421"/>
    </row>
    <row r="1052" spans="1:38">
      <c r="A1052" s="3">
        <v>5926</v>
      </c>
      <c r="B1052" s="83">
        <f t="array" ref="B1052">SUM(--(FREQUENCY(IF(C$2:C$3079=C1052, MATCH(D$2:D$3079, D$2:D$3079, 0)), ROW(D$2:D$3079)-ROW(D$2)+1) &gt; 0))</f>
        <v>18</v>
      </c>
      <c r="C1052" s="3">
        <v>41200128</v>
      </c>
      <c r="D1052" s="6" t="s">
        <v>2723</v>
      </c>
      <c r="E1052" s="3" t="s">
        <v>1429</v>
      </c>
      <c r="F1052" s="3" t="s">
        <v>1591</v>
      </c>
      <c r="G1052" s="68" t="str">
        <f t="shared" si="155"/>
        <v>SINGLE</v>
      </c>
      <c r="H1052" s="197">
        <f t="shared" si="156"/>
        <v>34</v>
      </c>
      <c r="I1052" s="197">
        <v>8</v>
      </c>
      <c r="J1052" s="197">
        <v>18</v>
      </c>
      <c r="K1052" s="186">
        <f t="shared" si="157"/>
        <v>45887</v>
      </c>
      <c r="L1052" s="3" t="s">
        <v>2391</v>
      </c>
      <c r="M1052" s="3" t="s">
        <v>1468</v>
      </c>
      <c r="N1052" s="3" t="str">
        <f t="shared" si="149"/>
        <v/>
      </c>
      <c r="O1052" s="408"/>
      <c r="P1052" s="408"/>
      <c r="Q1052" s="408"/>
      <c r="R1052" s="408"/>
      <c r="S1052" s="408"/>
      <c r="T1052" s="408"/>
      <c r="U1052" s="408"/>
      <c r="V1052" s="421"/>
      <c r="W1052" s="421"/>
      <c r="X1052" s="421"/>
      <c r="Y1052" s="421"/>
      <c r="Z1052" s="421"/>
      <c r="AA1052" s="421"/>
      <c r="AB1052" s="421"/>
      <c r="AC1052" s="421"/>
      <c r="AD1052" s="421"/>
      <c r="AE1052" s="421"/>
      <c r="AF1052" s="421"/>
      <c r="AG1052" s="421"/>
      <c r="AH1052" s="421"/>
      <c r="AI1052" s="421"/>
      <c r="AJ1052" s="421"/>
      <c r="AK1052" s="421"/>
      <c r="AL1052" s="421"/>
    </row>
    <row r="1053" spans="1:38">
      <c r="A1053" s="3">
        <v>5921</v>
      </c>
      <c r="B1053" s="83">
        <f t="array" ref="B1053">SUM(--(FREQUENCY(IF(C$2:C$3079=C1053, MATCH(D$2:D$3079, D$2:D$3079, 0)), ROW(D$2:D$3079)-ROW(D$2)+1) &gt; 0))</f>
        <v>8</v>
      </c>
      <c r="C1053" s="3">
        <v>41200046</v>
      </c>
      <c r="D1053" s="6" t="s">
        <v>2724</v>
      </c>
      <c r="E1053" s="3" t="s">
        <v>1426</v>
      </c>
      <c r="F1053" s="3" t="s">
        <v>1476</v>
      </c>
      <c r="G1053" s="68" t="str">
        <f t="shared" si="155"/>
        <v>DUAL</v>
      </c>
      <c r="H1053" s="197">
        <f t="shared" si="156"/>
        <v>34</v>
      </c>
      <c r="I1053" s="197">
        <v>8</v>
      </c>
      <c r="J1053" s="197">
        <v>18</v>
      </c>
      <c r="K1053" s="186">
        <f t="shared" si="157"/>
        <v>45887</v>
      </c>
      <c r="L1053" s="3" t="s">
        <v>2395</v>
      </c>
      <c r="M1053" s="3" t="s">
        <v>1469</v>
      </c>
      <c r="N1053" s="3" t="str">
        <f t="shared" si="149"/>
        <v>NG</v>
      </c>
      <c r="O1053" s="408" t="s">
        <v>2368</v>
      </c>
      <c r="P1053" s="408" t="s">
        <v>2466</v>
      </c>
      <c r="Q1053" s="408"/>
      <c r="R1053" s="408"/>
      <c r="S1053" s="408" t="s">
        <v>2725</v>
      </c>
      <c r="T1053" s="408"/>
      <c r="U1053" s="408"/>
      <c r="V1053" s="421"/>
      <c r="W1053" s="421"/>
      <c r="X1053" s="421"/>
      <c r="Y1053" s="421"/>
      <c r="Z1053" s="421"/>
      <c r="AA1053" s="421"/>
      <c r="AB1053" s="421"/>
      <c r="AC1053" s="421"/>
      <c r="AD1053" s="421"/>
      <c r="AE1053" s="421"/>
      <c r="AF1053" s="421"/>
      <c r="AG1053" s="421"/>
      <c r="AH1053" s="421"/>
      <c r="AI1053" s="421"/>
      <c r="AJ1053" s="421"/>
      <c r="AK1053" s="421"/>
      <c r="AL1053" s="421"/>
    </row>
    <row r="1054" spans="1:38">
      <c r="A1054" s="3">
        <v>5921</v>
      </c>
      <c r="B1054" s="83">
        <f t="array" ref="B1054">SUM(--(FREQUENCY(IF(C$2:C$3079=C1054, MATCH(D$2:D$3079, D$2:D$3079, 0)), ROW(D$2:D$3079)-ROW(D$2)+1) &gt; 0))</f>
        <v>8</v>
      </c>
      <c r="C1054" s="3">
        <v>41200046</v>
      </c>
      <c r="D1054" s="6" t="s">
        <v>2726</v>
      </c>
      <c r="E1054" s="3" t="s">
        <v>1426</v>
      </c>
      <c r="F1054" s="3" t="s">
        <v>1476</v>
      </c>
      <c r="G1054" s="68" t="str">
        <f t="shared" si="155"/>
        <v>DUAL</v>
      </c>
      <c r="H1054" s="197">
        <f t="shared" si="156"/>
        <v>34</v>
      </c>
      <c r="I1054" s="197">
        <v>8</v>
      </c>
      <c r="J1054" s="197">
        <v>18</v>
      </c>
      <c r="K1054" s="186">
        <f t="shared" si="157"/>
        <v>45887</v>
      </c>
      <c r="L1054" s="3" t="s">
        <v>2395</v>
      </c>
      <c r="M1054" s="3" t="s">
        <v>1469</v>
      </c>
      <c r="N1054" s="3" t="str">
        <f t="shared" si="149"/>
        <v>NG</v>
      </c>
      <c r="O1054" s="408" t="s">
        <v>2368</v>
      </c>
      <c r="P1054" s="408" t="s">
        <v>2371</v>
      </c>
      <c r="Q1054" s="408">
        <v>11001966</v>
      </c>
      <c r="R1054" s="408" t="s">
        <v>1151</v>
      </c>
      <c r="S1054" s="408" t="s">
        <v>2727</v>
      </c>
      <c r="T1054" s="408" t="s">
        <v>2705</v>
      </c>
      <c r="U1054" s="408"/>
      <c r="V1054" s="421"/>
      <c r="W1054" s="421"/>
      <c r="X1054" s="421"/>
      <c r="Y1054" s="421"/>
      <c r="Z1054" s="421"/>
      <c r="AA1054" s="421"/>
      <c r="AB1054" s="421"/>
      <c r="AC1054" s="421"/>
      <c r="AD1054" s="421"/>
      <c r="AE1054" s="421"/>
      <c r="AF1054" s="421"/>
      <c r="AG1054" s="421"/>
      <c r="AH1054" s="421"/>
      <c r="AI1054" s="421"/>
      <c r="AJ1054" s="421"/>
      <c r="AK1054" s="421"/>
      <c r="AL1054" s="421"/>
    </row>
    <row r="1055" spans="1:38">
      <c r="A1055" s="3">
        <v>5921</v>
      </c>
      <c r="B1055" s="83">
        <f t="array" ref="B1055">SUM(--(FREQUENCY(IF(C$2:C$3079=C1055, MATCH(D$2:D$3079, D$2:D$3079, 0)), ROW(D$2:D$3079)-ROW(D$2)+1) &gt; 0))</f>
        <v>8</v>
      </c>
      <c r="C1055" s="3">
        <v>41200046</v>
      </c>
      <c r="D1055" s="6" t="s">
        <v>2726</v>
      </c>
      <c r="E1055" s="3" t="s">
        <v>1426</v>
      </c>
      <c r="F1055" s="3" t="s">
        <v>1476</v>
      </c>
      <c r="G1055" s="68" t="str">
        <f t="shared" si="155"/>
        <v>DUAL</v>
      </c>
      <c r="H1055" s="197">
        <f t="shared" ref="H1055" si="161">WEEKNUM(K1055)</f>
        <v>34</v>
      </c>
      <c r="I1055" s="197">
        <v>8</v>
      </c>
      <c r="J1055" s="197">
        <v>18</v>
      </c>
      <c r="K1055" s="186">
        <f t="shared" ref="K1055" si="162">DATE(2025, I1055, J1055)</f>
        <v>45887</v>
      </c>
      <c r="L1055" s="3" t="s">
        <v>2395</v>
      </c>
      <c r="M1055" s="3" t="s">
        <v>1469</v>
      </c>
      <c r="N1055" s="3" t="str">
        <f t="shared" ref="N1055" si="163">IF(O1055&lt;&gt;"", "NG", "")</f>
        <v>NG</v>
      </c>
      <c r="O1055" s="408" t="s">
        <v>2368</v>
      </c>
      <c r="P1055" s="408" t="s">
        <v>2466</v>
      </c>
      <c r="Q1055" s="408"/>
      <c r="R1055" s="408"/>
      <c r="S1055" s="408" t="s">
        <v>2725</v>
      </c>
      <c r="T1055" s="408"/>
      <c r="U1055" s="408"/>
      <c r="V1055" s="421"/>
      <c r="W1055" s="421"/>
      <c r="X1055" s="421"/>
      <c r="Y1055" s="421"/>
      <c r="Z1055" s="421"/>
      <c r="AA1055" s="421"/>
      <c r="AB1055" s="421"/>
      <c r="AC1055" s="421"/>
      <c r="AD1055" s="421"/>
      <c r="AE1055" s="421"/>
      <c r="AF1055" s="421"/>
      <c r="AG1055" s="421"/>
      <c r="AH1055" s="421"/>
      <c r="AI1055" s="421"/>
      <c r="AJ1055" s="421"/>
      <c r="AK1055" s="421"/>
      <c r="AL1055" s="421"/>
    </row>
    <row r="1056" spans="1:38">
      <c r="A1056" s="3">
        <v>5826</v>
      </c>
      <c r="B1056" s="83">
        <f t="array" ref="B1056">SUM(--(FREQUENCY(IF(C$2:C$3078=C1056, MATCH(D$2:D$3078, D$2:D$3078, 0)), ROW(D$2:D$3078)-ROW(D$2)+1) &gt; 0))</f>
        <v>76</v>
      </c>
      <c r="C1056" s="3">
        <v>41200007</v>
      </c>
      <c r="D1056" s="6" t="s">
        <v>2728</v>
      </c>
      <c r="E1056" s="3" t="s">
        <v>1405</v>
      </c>
      <c r="F1056" s="3" t="s">
        <v>1591</v>
      </c>
      <c r="G1056" s="68" t="str">
        <f t="shared" si="155"/>
        <v>SINGLE</v>
      </c>
      <c r="H1056" s="197">
        <f t="shared" ref="H1056:H1062" si="164">WEEKNUM(K1056)</f>
        <v>34</v>
      </c>
      <c r="I1056" s="197">
        <v>8</v>
      </c>
      <c r="J1056" s="197">
        <v>19</v>
      </c>
      <c r="K1056" s="186">
        <f t="shared" ref="K1056:K1062" si="165">DATE(2025, I1056, J1056)</f>
        <v>45888</v>
      </c>
      <c r="L1056" s="3" t="s">
        <v>2391</v>
      </c>
      <c r="M1056" s="3" t="s">
        <v>2392</v>
      </c>
      <c r="N1056" s="3" t="str">
        <f t="shared" si="149"/>
        <v/>
      </c>
      <c r="O1056" s="408"/>
      <c r="P1056" s="408"/>
      <c r="Q1056" s="408"/>
      <c r="R1056" s="408"/>
      <c r="S1056" s="408"/>
      <c r="T1056" s="408"/>
      <c r="U1056" s="408"/>
      <c r="V1056" s="421"/>
      <c r="W1056" s="421"/>
      <c r="X1056" s="421"/>
      <c r="Y1056" s="421"/>
      <c r="Z1056" s="421"/>
      <c r="AA1056" s="421"/>
      <c r="AB1056" s="421"/>
      <c r="AC1056" s="421"/>
      <c r="AD1056" s="421"/>
      <c r="AE1056" s="421"/>
      <c r="AF1056" s="421"/>
      <c r="AG1056" s="421"/>
      <c r="AH1056" s="421"/>
      <c r="AI1056" s="421"/>
      <c r="AJ1056" s="421"/>
      <c r="AK1056" s="421"/>
      <c r="AL1056" s="421"/>
    </row>
    <row r="1057" spans="1:38">
      <c r="A1057" s="3">
        <v>5826</v>
      </c>
      <c r="B1057" s="83">
        <f t="array" ref="B1057">SUM(--(FREQUENCY(IF(C$2:C$3078=C1057, MATCH(D$2:D$3078, D$2:D$3078, 0)), ROW(D$2:D$3078)-ROW(D$2)+1) &gt; 0))</f>
        <v>76</v>
      </c>
      <c r="C1057" s="3">
        <v>41200007</v>
      </c>
      <c r="D1057" s="6" t="s">
        <v>2729</v>
      </c>
      <c r="E1057" s="3" t="s">
        <v>1405</v>
      </c>
      <c r="F1057" s="3" t="s">
        <v>1591</v>
      </c>
      <c r="G1057" s="68" t="str">
        <f t="shared" si="155"/>
        <v>SINGLE</v>
      </c>
      <c r="H1057" s="197">
        <f t="shared" si="164"/>
        <v>34</v>
      </c>
      <c r="I1057" s="197">
        <v>8</v>
      </c>
      <c r="J1057" s="197">
        <v>19</v>
      </c>
      <c r="K1057" s="186">
        <f t="shared" si="165"/>
        <v>45888</v>
      </c>
      <c r="L1057" s="3" t="s">
        <v>2391</v>
      </c>
      <c r="M1057" s="3" t="s">
        <v>2392</v>
      </c>
      <c r="N1057" s="3" t="str">
        <f t="shared" si="149"/>
        <v>NG</v>
      </c>
      <c r="O1057" s="408" t="s">
        <v>2368</v>
      </c>
      <c r="P1057" s="408" t="s">
        <v>2371</v>
      </c>
      <c r="Q1057" s="408">
        <v>11001962</v>
      </c>
      <c r="R1057" s="408" t="s">
        <v>562</v>
      </c>
      <c r="S1057" s="408" t="s">
        <v>2730</v>
      </c>
      <c r="T1057" s="408"/>
      <c r="U1057" s="408"/>
      <c r="V1057" s="421"/>
      <c r="W1057" s="421"/>
      <c r="X1057" s="421"/>
      <c r="Y1057" s="421"/>
      <c r="Z1057" s="421"/>
      <c r="AA1057" s="421"/>
      <c r="AB1057" s="421"/>
      <c r="AC1057" s="421"/>
      <c r="AD1057" s="421"/>
      <c r="AE1057" s="421"/>
      <c r="AF1057" s="421"/>
      <c r="AG1057" s="421"/>
      <c r="AH1057" s="421"/>
      <c r="AI1057" s="421"/>
      <c r="AJ1057" s="421"/>
      <c r="AK1057" s="421"/>
      <c r="AL1057" s="421"/>
    </row>
    <row r="1058" spans="1:38">
      <c r="A1058" s="3">
        <v>5908</v>
      </c>
      <c r="B1058" s="83">
        <f t="array" ref="B1058">SUM(--(FREQUENCY(IF(C$2:C$3078=C1058, MATCH(D$2:D$3078, D$2:D$3078, 0)), ROW(D$2:D$3078)-ROW(D$2)+1) &gt; 0))</f>
        <v>11</v>
      </c>
      <c r="C1058" s="3">
        <v>41200129</v>
      </c>
      <c r="D1058" s="6" t="s">
        <v>2731</v>
      </c>
      <c r="E1058" s="3" t="s">
        <v>1431</v>
      </c>
      <c r="F1058" s="3" t="s">
        <v>1591</v>
      </c>
      <c r="G1058" s="68" t="str">
        <f t="shared" si="155"/>
        <v>SINGLE</v>
      </c>
      <c r="H1058" s="197">
        <f t="shared" si="164"/>
        <v>34</v>
      </c>
      <c r="I1058" s="197">
        <v>8</v>
      </c>
      <c r="J1058" s="197">
        <v>19</v>
      </c>
      <c r="K1058" s="186">
        <f t="shared" si="165"/>
        <v>45888</v>
      </c>
      <c r="L1058" s="3" t="s">
        <v>2391</v>
      </c>
      <c r="M1058" s="3" t="s">
        <v>1468</v>
      </c>
      <c r="N1058" s="3" t="str">
        <f t="shared" si="149"/>
        <v>NG</v>
      </c>
      <c r="O1058" s="408" t="s">
        <v>2368</v>
      </c>
      <c r="P1058" s="408" t="s">
        <v>2371</v>
      </c>
      <c r="Q1058" s="408">
        <v>11001962</v>
      </c>
      <c r="R1058" s="408" t="s">
        <v>562</v>
      </c>
      <c r="S1058" s="408" t="s">
        <v>2702</v>
      </c>
      <c r="T1058" s="408"/>
      <c r="U1058" s="408"/>
      <c r="V1058" s="421"/>
      <c r="W1058" s="421"/>
      <c r="X1058" s="421"/>
      <c r="Y1058" s="421"/>
      <c r="Z1058" s="421"/>
      <c r="AA1058" s="421"/>
      <c r="AB1058" s="421"/>
      <c r="AC1058" s="421"/>
      <c r="AD1058" s="421"/>
      <c r="AE1058" s="421"/>
      <c r="AF1058" s="421"/>
      <c r="AG1058" s="421"/>
      <c r="AH1058" s="421"/>
      <c r="AI1058" s="421"/>
      <c r="AJ1058" s="421"/>
      <c r="AK1058" s="421"/>
      <c r="AL1058" s="421"/>
    </row>
    <row r="1059" spans="1:38">
      <c r="A1059" s="3">
        <v>5808</v>
      </c>
      <c r="B1059" s="83">
        <f t="array" ref="B1059">SUM(--(FREQUENCY(IF(C$2:C$3078=C1059, MATCH(D$2:D$3078, D$2:D$3078, 0)), ROW(D$2:D$3078)-ROW(D$2)+1) &gt; 0))</f>
        <v>2</v>
      </c>
      <c r="C1059" s="3">
        <v>41200150</v>
      </c>
      <c r="D1059" s="6" t="s">
        <v>2732</v>
      </c>
      <c r="E1059" s="3" t="s">
        <v>1424</v>
      </c>
      <c r="F1059" s="3" t="s">
        <v>1476</v>
      </c>
      <c r="G1059" s="68" t="str">
        <f t="shared" si="155"/>
        <v>DUAL</v>
      </c>
      <c r="H1059" s="197">
        <f t="shared" si="164"/>
        <v>34</v>
      </c>
      <c r="I1059" s="197">
        <v>8</v>
      </c>
      <c r="J1059" s="197">
        <v>19</v>
      </c>
      <c r="K1059" s="186">
        <f t="shared" si="165"/>
        <v>45888</v>
      </c>
      <c r="L1059" s="3" t="s">
        <v>2395</v>
      </c>
      <c r="M1059" s="3" t="s">
        <v>1468</v>
      </c>
      <c r="N1059" s="3" t="str">
        <f t="shared" si="149"/>
        <v/>
      </c>
      <c r="O1059" s="408"/>
      <c r="P1059" s="408"/>
      <c r="Q1059" s="408"/>
      <c r="R1059" s="408"/>
      <c r="S1059" s="408"/>
      <c r="T1059" s="408"/>
      <c r="U1059" s="408"/>
      <c r="V1059" s="421"/>
      <c r="W1059" s="421"/>
      <c r="X1059" s="421"/>
      <c r="Y1059" s="421"/>
      <c r="Z1059" s="421"/>
      <c r="AA1059" s="421"/>
      <c r="AB1059" s="421"/>
      <c r="AC1059" s="421"/>
      <c r="AD1059" s="421"/>
      <c r="AE1059" s="421"/>
      <c r="AF1059" s="421"/>
      <c r="AG1059" s="421"/>
      <c r="AH1059" s="421"/>
      <c r="AI1059" s="421"/>
      <c r="AJ1059" s="421"/>
      <c r="AK1059" s="421"/>
      <c r="AL1059" s="421"/>
    </row>
    <row r="1060" spans="1:38">
      <c r="A1060" s="3">
        <v>5871</v>
      </c>
      <c r="B1060" s="83">
        <f t="array" ref="B1060">SUM(--(FREQUENCY(IF(C$2:C$3078=C1060, MATCH(D$2:D$3078, D$2:D$3078, 0)), ROW(D$2:D$3078)-ROW(D$2)+1) &gt; 0))</f>
        <v>15</v>
      </c>
      <c r="C1060" s="3">
        <v>41200124</v>
      </c>
      <c r="D1060" s="6" t="s">
        <v>2733</v>
      </c>
      <c r="E1060" s="3" t="s">
        <v>1585</v>
      </c>
      <c r="F1060" s="3" t="s">
        <v>1476</v>
      </c>
      <c r="G1060" s="68" t="str">
        <f t="shared" si="155"/>
        <v>DUAL</v>
      </c>
      <c r="H1060" s="197">
        <f t="shared" si="164"/>
        <v>34</v>
      </c>
      <c r="I1060" s="197">
        <v>8</v>
      </c>
      <c r="J1060" s="197">
        <v>19</v>
      </c>
      <c r="K1060" s="186">
        <f t="shared" si="165"/>
        <v>45888</v>
      </c>
      <c r="L1060" s="3" t="s">
        <v>2395</v>
      </c>
      <c r="M1060" s="3" t="s">
        <v>1469</v>
      </c>
      <c r="N1060" s="3" t="str">
        <f t="shared" si="149"/>
        <v>NG</v>
      </c>
      <c r="O1060" s="408" t="s">
        <v>2368</v>
      </c>
      <c r="P1060" s="408" t="s">
        <v>2371</v>
      </c>
      <c r="Q1060" s="408">
        <v>11001964</v>
      </c>
      <c r="R1060" s="408" t="s">
        <v>562</v>
      </c>
      <c r="S1060" s="408" t="s">
        <v>2734</v>
      </c>
      <c r="T1060" s="408"/>
      <c r="U1060" s="408"/>
      <c r="V1060" s="421"/>
      <c r="W1060" s="421"/>
      <c r="X1060" s="421"/>
      <c r="Y1060" s="421"/>
      <c r="Z1060" s="421"/>
      <c r="AA1060" s="421"/>
      <c r="AB1060" s="421"/>
      <c r="AC1060" s="421"/>
      <c r="AD1060" s="421"/>
      <c r="AE1060" s="421"/>
      <c r="AF1060" s="421"/>
      <c r="AG1060" s="421"/>
      <c r="AH1060" s="421"/>
      <c r="AI1060" s="421"/>
      <c r="AJ1060" s="421"/>
      <c r="AK1060" s="421"/>
      <c r="AL1060" s="421"/>
    </row>
    <row r="1061" spans="1:38">
      <c r="A1061" s="3">
        <v>5820</v>
      </c>
      <c r="B1061" s="83">
        <f t="array" ref="B1061">SUM(--(FREQUENCY(IF(C$2:C$3078=C1061, MATCH(D$2:D$3078, D$2:D$3078, 0)), ROW(D$2:D$3078)-ROW(D$2)+1) &gt; 0))</f>
        <v>4</v>
      </c>
      <c r="C1061" s="3">
        <v>41000590</v>
      </c>
      <c r="D1061" s="6" t="s">
        <v>2735</v>
      </c>
      <c r="E1061" s="3" t="s">
        <v>1405</v>
      </c>
      <c r="F1061" s="3" t="s">
        <v>1616</v>
      </c>
      <c r="G1061" s="68" t="str">
        <f t="shared" si="155"/>
        <v>SINGLE</v>
      </c>
      <c r="H1061" s="197">
        <f t="shared" si="164"/>
        <v>34</v>
      </c>
      <c r="I1061" s="197">
        <v>8</v>
      </c>
      <c r="J1061" s="197">
        <v>19</v>
      </c>
      <c r="K1061" s="186">
        <f t="shared" si="165"/>
        <v>45888</v>
      </c>
      <c r="L1061" s="3" t="s">
        <v>2392</v>
      </c>
      <c r="M1061" s="3" t="s">
        <v>1469</v>
      </c>
      <c r="N1061" s="3" t="str">
        <f t="shared" si="149"/>
        <v/>
      </c>
      <c r="O1061" s="408"/>
      <c r="P1061" s="408"/>
      <c r="Q1061" s="408"/>
      <c r="R1061" s="408"/>
      <c r="S1061" s="408"/>
      <c r="T1061" s="408"/>
      <c r="U1061" s="408"/>
      <c r="V1061" s="421"/>
      <c r="W1061" s="421"/>
      <c r="X1061" s="421"/>
      <c r="Y1061" s="421"/>
      <c r="Z1061" s="421"/>
      <c r="AA1061" s="421"/>
      <c r="AB1061" s="421"/>
      <c r="AC1061" s="421"/>
      <c r="AD1061" s="421"/>
      <c r="AE1061" s="421"/>
      <c r="AF1061" s="421"/>
      <c r="AG1061" s="421"/>
      <c r="AH1061" s="421"/>
      <c r="AI1061" s="421"/>
      <c r="AJ1061" s="421"/>
      <c r="AK1061" s="421"/>
      <c r="AL1061" s="421"/>
    </row>
    <row r="1062" spans="1:38">
      <c r="A1062" s="3">
        <v>5820</v>
      </c>
      <c r="B1062" s="83">
        <f t="array" ref="B1062">SUM(--(FREQUENCY(IF(C$2:C$3078=C1062, MATCH(D$2:D$3078, D$2:D$3078, 0)), ROW(D$2:D$3078)-ROW(D$2)+1) &gt; 0))</f>
        <v>4</v>
      </c>
      <c r="C1062" s="3">
        <v>41000590</v>
      </c>
      <c r="D1062" s="6" t="s">
        <v>2736</v>
      </c>
      <c r="E1062" s="3" t="s">
        <v>1405</v>
      </c>
      <c r="F1062" s="3" t="s">
        <v>1616</v>
      </c>
      <c r="G1062" s="68" t="str">
        <f t="shared" si="155"/>
        <v>SINGLE</v>
      </c>
      <c r="H1062" s="197">
        <f t="shared" si="164"/>
        <v>34</v>
      </c>
      <c r="I1062" s="197">
        <v>8</v>
      </c>
      <c r="J1062" s="197">
        <v>19</v>
      </c>
      <c r="K1062" s="186">
        <f t="shared" si="165"/>
        <v>45888</v>
      </c>
      <c r="L1062" s="3" t="s">
        <v>2392</v>
      </c>
      <c r="M1062" s="3" t="s">
        <v>1469</v>
      </c>
      <c r="N1062" s="3" t="str">
        <f t="shared" si="149"/>
        <v/>
      </c>
      <c r="O1062" s="408"/>
      <c r="P1062" s="408"/>
      <c r="Q1062" s="408"/>
      <c r="R1062" s="408"/>
      <c r="S1062" s="408"/>
      <c r="T1062" s="408"/>
      <c r="U1062" s="408"/>
      <c r="V1062" s="421"/>
      <c r="W1062" s="421"/>
      <c r="X1062" s="421"/>
      <c r="Y1062" s="421"/>
      <c r="Z1062" s="421"/>
      <c r="AA1062" s="421"/>
      <c r="AB1062" s="421"/>
      <c r="AC1062" s="421"/>
      <c r="AD1062" s="421"/>
      <c r="AE1062" s="421"/>
      <c r="AF1062" s="421"/>
      <c r="AG1062" s="421"/>
      <c r="AH1062" s="421"/>
      <c r="AI1062" s="421"/>
      <c r="AJ1062" s="421"/>
      <c r="AK1062" s="421"/>
      <c r="AL1062" s="421"/>
    </row>
    <row r="1063" spans="1:38">
      <c r="A1063" s="3">
        <v>5902</v>
      </c>
      <c r="B1063" s="83">
        <f t="array" ref="B1063">SUM(--(FREQUENCY(IF(C$2:C$3078=C1063, MATCH(D$2:D$3078, D$2:D$3078, 0)), ROW(D$2:D$3078)-ROW(D$2)+1) &gt; 0))</f>
        <v>1</v>
      </c>
      <c r="C1063" s="3">
        <v>41200166</v>
      </c>
      <c r="D1063" s="6" t="s">
        <v>2737</v>
      </c>
      <c r="E1063" s="3" t="s">
        <v>1422</v>
      </c>
      <c r="F1063" s="3" t="s">
        <v>1476</v>
      </c>
      <c r="G1063" s="68" t="str">
        <f t="shared" si="155"/>
        <v>DUAL</v>
      </c>
      <c r="H1063" s="197">
        <f t="shared" ref="H1063:H1068" si="166">WEEKNUM(K1063)</f>
        <v>34</v>
      </c>
      <c r="I1063" s="197">
        <v>8</v>
      </c>
      <c r="J1063" s="197">
        <v>20</v>
      </c>
      <c r="K1063" s="186">
        <f t="shared" ref="K1063:K1068" si="167">DATE(2025, I1063, J1063)</f>
        <v>45889</v>
      </c>
      <c r="L1063" s="3" t="s">
        <v>2391</v>
      </c>
      <c r="M1063" s="3" t="s">
        <v>2392</v>
      </c>
      <c r="N1063" s="3" t="str">
        <f t="shared" si="149"/>
        <v/>
      </c>
      <c r="O1063" s="408"/>
      <c r="P1063" s="408"/>
      <c r="Q1063" s="408"/>
      <c r="R1063" s="408"/>
      <c r="S1063" s="408"/>
      <c r="T1063" s="408"/>
      <c r="U1063" s="408"/>
      <c r="V1063" s="421"/>
      <c r="W1063" s="421"/>
      <c r="X1063" s="421"/>
      <c r="Y1063" s="421"/>
      <c r="Z1063" s="421"/>
      <c r="AA1063" s="421"/>
      <c r="AB1063" s="421"/>
      <c r="AC1063" s="421"/>
      <c r="AD1063" s="421"/>
      <c r="AE1063" s="421"/>
      <c r="AF1063" s="421"/>
      <c r="AG1063" s="421"/>
      <c r="AH1063" s="421"/>
      <c r="AI1063" s="421"/>
      <c r="AJ1063" s="421"/>
      <c r="AK1063" s="421"/>
      <c r="AL1063" s="421"/>
    </row>
    <row r="1064" spans="1:38">
      <c r="A1064" s="3">
        <v>5968</v>
      </c>
      <c r="B1064" s="83">
        <f t="array" ref="B1064">SUM(--(FREQUENCY(IF(C$2:C$3078=C1064, MATCH(D$2:D$3078, D$2:D$3078, 0)), ROW(D$2:D$3078)-ROW(D$2)+1) &gt; 0))</f>
        <v>1</v>
      </c>
      <c r="C1064" s="3">
        <v>41200137</v>
      </c>
      <c r="D1064" s="6" t="s">
        <v>2738</v>
      </c>
      <c r="E1064" s="3" t="s">
        <v>1405</v>
      </c>
      <c r="F1064" s="3" t="s">
        <v>1581</v>
      </c>
      <c r="G1064" s="68" t="str">
        <f t="shared" si="155"/>
        <v>DUAL</v>
      </c>
      <c r="H1064" s="197">
        <f t="shared" si="166"/>
        <v>34</v>
      </c>
      <c r="I1064" s="197">
        <v>8</v>
      </c>
      <c r="J1064" s="197">
        <v>20</v>
      </c>
      <c r="K1064" s="186">
        <f t="shared" si="167"/>
        <v>45889</v>
      </c>
      <c r="L1064" s="3" t="s">
        <v>2392</v>
      </c>
      <c r="M1064" s="3" t="s">
        <v>2392</v>
      </c>
      <c r="N1064" s="3" t="str">
        <f t="shared" si="149"/>
        <v/>
      </c>
      <c r="O1064" s="408"/>
      <c r="P1064" s="408"/>
      <c r="Q1064" s="408"/>
      <c r="R1064" s="408"/>
      <c r="S1064" s="408"/>
      <c r="T1064" s="408"/>
      <c r="U1064" s="408"/>
      <c r="V1064" s="421"/>
      <c r="W1064" s="421"/>
      <c r="X1064" s="421"/>
      <c r="Y1064" s="421"/>
      <c r="Z1064" s="421"/>
      <c r="AA1064" s="421"/>
      <c r="AB1064" s="421"/>
      <c r="AC1064" s="421"/>
      <c r="AD1064" s="421"/>
      <c r="AE1064" s="421"/>
      <c r="AF1064" s="421"/>
      <c r="AG1064" s="421"/>
      <c r="AH1064" s="421"/>
      <c r="AI1064" s="421"/>
      <c r="AJ1064" s="421"/>
      <c r="AK1064" s="421"/>
      <c r="AL1064" s="421"/>
    </row>
    <row r="1065" spans="1:38">
      <c r="A1065" s="3">
        <v>5986</v>
      </c>
      <c r="B1065" s="83">
        <f t="array" ref="B1065">SUM(--(FREQUENCY(IF(C$2:C$3078=C1065, MATCH(D$2:D$3078, D$2:D$3078, 0)), ROW(D$2:D$3078)-ROW(D$2)+1) &gt; 0))</f>
        <v>4</v>
      </c>
      <c r="C1065" s="3">
        <v>41000514</v>
      </c>
      <c r="D1065" s="6" t="s">
        <v>2739</v>
      </c>
      <c r="E1065" s="3" t="s">
        <v>1405</v>
      </c>
      <c r="F1065" s="3" t="s">
        <v>1581</v>
      </c>
      <c r="G1065" s="68" t="str">
        <f t="shared" si="155"/>
        <v>DUAL</v>
      </c>
      <c r="H1065" s="197">
        <f t="shared" si="166"/>
        <v>34</v>
      </c>
      <c r="I1065" s="197">
        <v>8</v>
      </c>
      <c r="J1065" s="197">
        <v>20</v>
      </c>
      <c r="K1065" s="186">
        <f t="shared" si="167"/>
        <v>45889</v>
      </c>
      <c r="L1065" s="3" t="s">
        <v>2395</v>
      </c>
      <c r="M1065" s="3" t="s">
        <v>2392</v>
      </c>
      <c r="N1065" s="3" t="str">
        <f t="shared" si="149"/>
        <v/>
      </c>
      <c r="O1065" s="408"/>
      <c r="P1065" s="408"/>
      <c r="Q1065" s="408"/>
      <c r="R1065" s="408"/>
      <c r="S1065" s="408"/>
      <c r="T1065" s="408"/>
      <c r="U1065" s="408"/>
      <c r="V1065" s="421"/>
      <c r="W1065" s="421"/>
      <c r="X1065" s="421"/>
      <c r="Y1065" s="421"/>
      <c r="Z1065" s="421"/>
      <c r="AA1065" s="421"/>
      <c r="AB1065" s="421"/>
      <c r="AC1065" s="421"/>
      <c r="AD1065" s="421"/>
      <c r="AE1065" s="421"/>
      <c r="AF1065" s="421"/>
      <c r="AG1065" s="421"/>
      <c r="AH1065" s="421"/>
      <c r="AI1065" s="421"/>
      <c r="AJ1065" s="421"/>
      <c r="AK1065" s="421"/>
      <c r="AL1065" s="421"/>
    </row>
    <row r="1066" spans="1:38">
      <c r="A1066" s="3">
        <v>5920</v>
      </c>
      <c r="B1066" s="83">
        <f t="array" ref="B1066">SUM(--(FREQUENCY(IF(C$2:C$3078=C1066, MATCH(D$2:D$3078, D$2:D$3078, 0)), ROW(D$2:D$3078)-ROW(D$2)+1) &gt; 0))</f>
        <v>7</v>
      </c>
      <c r="C1066" s="3">
        <v>41200039</v>
      </c>
      <c r="D1066" s="6" t="s">
        <v>2740</v>
      </c>
      <c r="E1066" s="3" t="s">
        <v>1426</v>
      </c>
      <c r="F1066" s="3" t="s">
        <v>1476</v>
      </c>
      <c r="G1066" s="68" t="str">
        <f t="shared" si="155"/>
        <v>DUAL</v>
      </c>
      <c r="H1066" s="197">
        <f t="shared" si="166"/>
        <v>34</v>
      </c>
      <c r="I1066" s="197">
        <v>8</v>
      </c>
      <c r="J1066" s="197">
        <v>20</v>
      </c>
      <c r="K1066" s="186">
        <f t="shared" si="167"/>
        <v>45889</v>
      </c>
      <c r="L1066" s="3" t="s">
        <v>2395</v>
      </c>
      <c r="M1066" s="3" t="s">
        <v>2392</v>
      </c>
      <c r="N1066" s="3" t="str">
        <f t="shared" ref="N1066" si="168">IF(O1066&lt;&gt;"", "NG", "")</f>
        <v>NG</v>
      </c>
      <c r="O1066" s="408" t="s">
        <v>2368</v>
      </c>
      <c r="P1066" s="408" t="s">
        <v>2371</v>
      </c>
      <c r="Q1066" s="408">
        <v>11001962</v>
      </c>
      <c r="R1066" s="408" t="s">
        <v>562</v>
      </c>
      <c r="S1066" s="408" t="s">
        <v>2702</v>
      </c>
      <c r="T1066" s="408"/>
      <c r="U1066" s="408"/>
      <c r="V1066" s="421"/>
      <c r="W1066" s="421"/>
      <c r="X1066" s="421"/>
      <c r="Y1066" s="421"/>
      <c r="Z1066" s="421"/>
      <c r="AA1066" s="421"/>
      <c r="AB1066" s="421"/>
      <c r="AC1066" s="421"/>
      <c r="AD1066" s="421"/>
      <c r="AE1066" s="421"/>
      <c r="AF1066" s="421"/>
      <c r="AG1066" s="421"/>
      <c r="AH1066" s="421"/>
      <c r="AI1066" s="421"/>
      <c r="AJ1066" s="421"/>
      <c r="AK1066" s="421"/>
      <c r="AL1066" s="421"/>
    </row>
    <row r="1067" spans="1:38">
      <c r="A1067" s="3">
        <v>5771</v>
      </c>
      <c r="B1067" s="83">
        <f t="array" ref="B1067">SUM(--(FREQUENCY(IF(C$2:C$3078=C1067, MATCH(D$2:D$3078, D$2:D$3078, 0)), ROW(D$2:D$3078)-ROW(D$2)+1) &gt; 0))</f>
        <v>37</v>
      </c>
      <c r="C1067" s="3">
        <v>41200076</v>
      </c>
      <c r="D1067" s="6" t="s">
        <v>2741</v>
      </c>
      <c r="E1067" s="3" t="s">
        <v>1585</v>
      </c>
      <c r="F1067" s="3" t="s">
        <v>1476</v>
      </c>
      <c r="G1067" s="68" t="str">
        <f t="shared" si="155"/>
        <v>DUAL</v>
      </c>
      <c r="H1067" s="197">
        <f t="shared" si="166"/>
        <v>34</v>
      </c>
      <c r="I1067" s="197">
        <v>8</v>
      </c>
      <c r="J1067" s="197">
        <v>20</v>
      </c>
      <c r="K1067" s="186">
        <f t="shared" si="167"/>
        <v>45889</v>
      </c>
      <c r="L1067" s="3" t="s">
        <v>2395</v>
      </c>
      <c r="M1067" s="3" t="s">
        <v>1468</v>
      </c>
      <c r="N1067" s="3" t="str">
        <f t="shared" si="149"/>
        <v/>
      </c>
      <c r="O1067" s="408"/>
      <c r="P1067" s="408"/>
      <c r="Q1067" s="408"/>
      <c r="R1067" s="408"/>
      <c r="S1067" s="408"/>
      <c r="T1067" s="408"/>
      <c r="U1067" s="408"/>
      <c r="V1067" s="421"/>
      <c r="W1067" s="421"/>
      <c r="X1067" s="421"/>
      <c r="Y1067" s="421"/>
      <c r="Z1067" s="421"/>
      <c r="AA1067" s="421"/>
      <c r="AB1067" s="421"/>
      <c r="AC1067" s="421"/>
      <c r="AD1067" s="421"/>
      <c r="AE1067" s="421"/>
      <c r="AF1067" s="421"/>
      <c r="AG1067" s="421"/>
      <c r="AH1067" s="421"/>
      <c r="AI1067" s="421"/>
      <c r="AJ1067" s="421"/>
      <c r="AK1067" s="421"/>
      <c r="AL1067" s="421"/>
    </row>
    <row r="1068" spans="1:38">
      <c r="A1068" s="3">
        <v>5967</v>
      </c>
      <c r="B1068" s="83">
        <f t="array" ref="B1068">SUM(--(FREQUENCY(IF(C$2:C$3078=C1068, MATCH(D$2:D$3078, D$2:D$3078, 0)), ROW(D$2:D$3078)-ROW(D$2)+1) &gt; 0))</f>
        <v>5</v>
      </c>
      <c r="C1068" s="3">
        <v>41000584</v>
      </c>
      <c r="D1068" s="6" t="s">
        <v>2742</v>
      </c>
      <c r="E1068" s="3" t="s">
        <v>1405</v>
      </c>
      <c r="F1068" s="3" t="s">
        <v>1581</v>
      </c>
      <c r="G1068" s="68" t="str">
        <f t="shared" si="155"/>
        <v>DUAL</v>
      </c>
      <c r="H1068" s="197">
        <f t="shared" si="166"/>
        <v>34</v>
      </c>
      <c r="I1068" s="197">
        <v>8</v>
      </c>
      <c r="J1068" s="197">
        <v>20</v>
      </c>
      <c r="K1068" s="186">
        <f t="shared" si="167"/>
        <v>45889</v>
      </c>
      <c r="L1068" s="3" t="s">
        <v>2391</v>
      </c>
      <c r="M1068" s="3" t="s">
        <v>1468</v>
      </c>
      <c r="N1068" s="3" t="str">
        <f t="shared" si="149"/>
        <v>NG</v>
      </c>
      <c r="O1068" s="408" t="s">
        <v>2368</v>
      </c>
      <c r="P1068" s="408" t="s">
        <v>2414</v>
      </c>
      <c r="Q1068" s="408">
        <v>11101225</v>
      </c>
      <c r="R1068" s="408" t="s">
        <v>2743</v>
      </c>
      <c r="S1068" s="408" t="s">
        <v>2744</v>
      </c>
      <c r="T1068" s="408" t="s">
        <v>2705</v>
      </c>
      <c r="U1068" s="408"/>
      <c r="V1068" s="421"/>
      <c r="W1068" s="421"/>
      <c r="X1068" s="421"/>
      <c r="Y1068" s="421"/>
      <c r="Z1068" s="421"/>
      <c r="AA1068" s="421"/>
      <c r="AB1068" s="421"/>
      <c r="AC1068" s="421"/>
      <c r="AD1068" s="421"/>
      <c r="AE1068" s="421"/>
      <c r="AF1068" s="421"/>
      <c r="AG1068" s="421"/>
      <c r="AH1068" s="421"/>
      <c r="AI1068" s="421"/>
      <c r="AJ1068" s="421"/>
      <c r="AK1068" s="421"/>
      <c r="AL1068" s="421"/>
    </row>
    <row r="1069" spans="1:38">
      <c r="A1069" s="3">
        <v>5924</v>
      </c>
      <c r="B1069" s="83">
        <f t="array" ref="B1069">SUM(--(FREQUENCY(IF(C$2:C$3078=C1069, MATCH(D$2:D$3078, D$2:D$3078, 0)), ROW(D$2:D$3078)-ROW(D$2)+1) &gt; 0))</f>
        <v>5</v>
      </c>
      <c r="C1069" s="3">
        <v>41200038</v>
      </c>
      <c r="D1069" s="6" t="s">
        <v>2745</v>
      </c>
      <c r="E1069" s="3" t="s">
        <v>1426</v>
      </c>
      <c r="F1069" s="3" t="s">
        <v>1476</v>
      </c>
      <c r="G1069" s="68" t="str">
        <f t="shared" si="155"/>
        <v>DUAL</v>
      </c>
      <c r="H1069" s="197">
        <f t="shared" ref="H1069:H1075" si="169">WEEKNUM(K1069)</f>
        <v>34</v>
      </c>
      <c r="I1069" s="197">
        <v>8</v>
      </c>
      <c r="J1069" s="197">
        <v>21</v>
      </c>
      <c r="K1069" s="186">
        <f t="shared" ref="K1069:K1075" si="170">DATE(2025, I1069, J1069)</f>
        <v>45890</v>
      </c>
      <c r="L1069" s="3" t="s">
        <v>2391</v>
      </c>
      <c r="M1069" s="3" t="s">
        <v>1468</v>
      </c>
      <c r="N1069" s="3" t="str">
        <f t="shared" si="149"/>
        <v/>
      </c>
      <c r="O1069" s="408"/>
      <c r="P1069" s="408"/>
      <c r="Q1069" s="408"/>
      <c r="R1069" s="408"/>
      <c r="S1069" s="408"/>
      <c r="T1069" s="408"/>
      <c r="U1069" s="408"/>
      <c r="V1069" s="421"/>
      <c r="W1069" s="421"/>
      <c r="X1069" s="421"/>
      <c r="Y1069" s="421"/>
      <c r="Z1069" s="421"/>
      <c r="AA1069" s="421"/>
      <c r="AB1069" s="421"/>
      <c r="AC1069" s="421"/>
      <c r="AD1069" s="421"/>
      <c r="AE1069" s="421"/>
      <c r="AF1069" s="421"/>
      <c r="AG1069" s="421"/>
      <c r="AH1069" s="421"/>
      <c r="AI1069" s="421"/>
      <c r="AJ1069" s="421"/>
      <c r="AK1069" s="421"/>
      <c r="AL1069" s="421"/>
    </row>
    <row r="1070" spans="1:38">
      <c r="A1070" s="3">
        <v>5924</v>
      </c>
      <c r="B1070" s="83">
        <f t="array" ref="B1070">SUM(--(FREQUENCY(IF(C$2:C$3078=C1070, MATCH(D$2:D$3078, D$2:D$3078, 0)), ROW(D$2:D$3078)-ROW(D$2)+1) &gt; 0))</f>
        <v>5</v>
      </c>
      <c r="C1070" s="3">
        <v>41200038</v>
      </c>
      <c r="D1070" s="6" t="s">
        <v>2746</v>
      </c>
      <c r="E1070" s="3" t="s">
        <v>1426</v>
      </c>
      <c r="F1070" s="3" t="s">
        <v>1476</v>
      </c>
      <c r="G1070" s="68" t="str">
        <f t="shared" si="155"/>
        <v>DUAL</v>
      </c>
      <c r="H1070" s="197">
        <f t="shared" si="169"/>
        <v>34</v>
      </c>
      <c r="I1070" s="197">
        <v>8</v>
      </c>
      <c r="J1070" s="197">
        <v>21</v>
      </c>
      <c r="K1070" s="186">
        <f t="shared" si="170"/>
        <v>45890</v>
      </c>
      <c r="L1070" s="3" t="s">
        <v>2391</v>
      </c>
      <c r="M1070" s="3" t="s">
        <v>1468</v>
      </c>
      <c r="N1070" s="3" t="str">
        <f t="shared" si="149"/>
        <v/>
      </c>
      <c r="O1070" s="408"/>
      <c r="P1070" s="408"/>
      <c r="Q1070" s="408"/>
      <c r="R1070" s="408"/>
      <c r="S1070" s="408"/>
      <c r="T1070" s="408"/>
      <c r="U1070" s="408"/>
      <c r="V1070" s="421"/>
      <c r="W1070" s="421"/>
      <c r="X1070" s="421"/>
      <c r="Y1070" s="421"/>
      <c r="Z1070" s="421"/>
      <c r="AA1070" s="421"/>
      <c r="AB1070" s="421"/>
      <c r="AC1070" s="421"/>
      <c r="AD1070" s="421"/>
      <c r="AE1070" s="421"/>
      <c r="AF1070" s="421"/>
      <c r="AG1070" s="421"/>
      <c r="AH1070" s="421"/>
      <c r="AI1070" s="421"/>
      <c r="AJ1070" s="421"/>
      <c r="AK1070" s="421"/>
      <c r="AL1070" s="421"/>
    </row>
    <row r="1071" spans="1:38">
      <c r="A1071" s="3">
        <v>5923</v>
      </c>
      <c r="B1071" s="83">
        <f t="array" ref="B1071">SUM(--(FREQUENCY(IF(C$2:C$3078=C1071, MATCH(D$2:D$3078, D$2:D$3078, 0)), ROW(D$2:D$3078)-ROW(D$2)+1) &gt; 0))</f>
        <v>8</v>
      </c>
      <c r="C1071" s="3">
        <v>41200048</v>
      </c>
      <c r="D1071" s="6" t="s">
        <v>2747</v>
      </c>
      <c r="E1071" s="3" t="s">
        <v>1426</v>
      </c>
      <c r="F1071" s="3" t="s">
        <v>1476</v>
      </c>
      <c r="G1071" s="68" t="str">
        <f t="shared" si="155"/>
        <v>DUAL</v>
      </c>
      <c r="H1071" s="197">
        <f t="shared" si="169"/>
        <v>34</v>
      </c>
      <c r="I1071" s="197">
        <v>8</v>
      </c>
      <c r="J1071" s="197">
        <v>21</v>
      </c>
      <c r="K1071" s="186">
        <f t="shared" si="170"/>
        <v>45890</v>
      </c>
      <c r="L1071" s="3" t="s">
        <v>2391</v>
      </c>
      <c r="M1071" s="3" t="s">
        <v>1468</v>
      </c>
      <c r="N1071" s="3" t="str">
        <f t="shared" si="149"/>
        <v/>
      </c>
      <c r="O1071" s="408"/>
      <c r="P1071" s="408"/>
      <c r="Q1071" s="408"/>
      <c r="R1071" s="408"/>
      <c r="S1071" s="408"/>
      <c r="T1071" s="408"/>
      <c r="U1071" s="408"/>
      <c r="V1071" s="421"/>
      <c r="W1071" s="421"/>
      <c r="X1071" s="421"/>
      <c r="Y1071" s="421"/>
      <c r="Z1071" s="421"/>
      <c r="AA1071" s="421"/>
      <c r="AB1071" s="421"/>
      <c r="AC1071" s="421"/>
      <c r="AD1071" s="421"/>
      <c r="AE1071" s="421"/>
      <c r="AF1071" s="421"/>
      <c r="AG1071" s="421"/>
      <c r="AH1071" s="421"/>
      <c r="AI1071" s="421"/>
      <c r="AJ1071" s="421"/>
      <c r="AK1071" s="421"/>
      <c r="AL1071" s="421"/>
    </row>
    <row r="1072" spans="1:38">
      <c r="A1072" s="3">
        <v>5923</v>
      </c>
      <c r="B1072" s="83">
        <f t="array" ref="B1072">SUM(--(FREQUENCY(IF(C$2:C$3078=C1072, MATCH(D$2:D$3078, D$2:D$3078, 0)), ROW(D$2:D$3078)-ROW(D$2)+1) &gt; 0))</f>
        <v>8</v>
      </c>
      <c r="C1072" s="3">
        <v>41200048</v>
      </c>
      <c r="D1072" s="6" t="s">
        <v>2748</v>
      </c>
      <c r="E1072" s="3" t="s">
        <v>1426</v>
      </c>
      <c r="F1072" s="3" t="s">
        <v>1476</v>
      </c>
      <c r="G1072" s="68" t="str">
        <f t="shared" si="155"/>
        <v>DUAL</v>
      </c>
      <c r="H1072" s="197">
        <f t="shared" si="169"/>
        <v>34</v>
      </c>
      <c r="I1072" s="197">
        <v>8</v>
      </c>
      <c r="J1072" s="197">
        <v>21</v>
      </c>
      <c r="K1072" s="186">
        <f t="shared" si="170"/>
        <v>45890</v>
      </c>
      <c r="L1072" s="3" t="s">
        <v>2391</v>
      </c>
      <c r="M1072" s="3" t="s">
        <v>1468</v>
      </c>
      <c r="N1072" s="3" t="str">
        <f t="shared" si="149"/>
        <v/>
      </c>
      <c r="O1072" s="408"/>
      <c r="P1072" s="408"/>
      <c r="Q1072" s="408"/>
      <c r="R1072" s="408"/>
      <c r="S1072" s="408"/>
      <c r="T1072" s="408"/>
      <c r="U1072" s="408"/>
      <c r="V1072" s="421"/>
      <c r="W1072" s="421"/>
      <c r="X1072" s="421"/>
      <c r="Y1072" s="421"/>
      <c r="Z1072" s="421"/>
      <c r="AA1072" s="421"/>
      <c r="AB1072" s="421"/>
      <c r="AC1072" s="421"/>
      <c r="AD1072" s="421"/>
      <c r="AE1072" s="421"/>
      <c r="AF1072" s="421"/>
      <c r="AG1072" s="421"/>
      <c r="AH1072" s="421"/>
      <c r="AI1072" s="421"/>
      <c r="AJ1072" s="421"/>
      <c r="AK1072" s="421"/>
      <c r="AL1072" s="421"/>
    </row>
    <row r="1073" spans="1:38">
      <c r="A1073" s="3">
        <v>5844</v>
      </c>
      <c r="B1073" s="83">
        <f t="array" ref="B1073">SUM(--(FREQUENCY(IF(C$2:C$3078=C1073, MATCH(D$2:D$3078, D$2:D$3078, 0)), ROW(D$2:D$3078)-ROW(D$2)+1) &gt; 0))</f>
        <v>9</v>
      </c>
      <c r="C1073" s="3">
        <v>41200125</v>
      </c>
      <c r="D1073" s="6" t="s">
        <v>2749</v>
      </c>
      <c r="E1073" s="3" t="s">
        <v>1585</v>
      </c>
      <c r="F1073" s="3" t="s">
        <v>1476</v>
      </c>
      <c r="G1073" s="68" t="str">
        <f t="shared" si="155"/>
        <v>DUAL</v>
      </c>
      <c r="H1073" s="197">
        <f t="shared" si="169"/>
        <v>34</v>
      </c>
      <c r="I1073" s="197">
        <v>8</v>
      </c>
      <c r="J1073" s="197">
        <v>21</v>
      </c>
      <c r="K1073" s="186">
        <f t="shared" si="170"/>
        <v>45890</v>
      </c>
      <c r="L1073" s="3" t="s">
        <v>2395</v>
      </c>
      <c r="M1073" s="3" t="s">
        <v>1469</v>
      </c>
      <c r="N1073" s="3" t="str">
        <f t="shared" si="149"/>
        <v>NG</v>
      </c>
      <c r="O1073" s="408" t="s">
        <v>2368</v>
      </c>
      <c r="P1073" s="408" t="s">
        <v>2371</v>
      </c>
      <c r="Q1073" s="408">
        <v>11001965</v>
      </c>
      <c r="R1073" s="408" t="s">
        <v>799</v>
      </c>
      <c r="S1073" s="408" t="s">
        <v>2750</v>
      </c>
      <c r="T1073" s="408" t="s">
        <v>2705</v>
      </c>
      <c r="U1073" s="408"/>
      <c r="V1073" s="421"/>
      <c r="W1073" s="421"/>
      <c r="X1073" s="421"/>
      <c r="Y1073" s="421"/>
      <c r="Z1073" s="421"/>
      <c r="AA1073" s="421"/>
      <c r="AB1073" s="421"/>
      <c r="AC1073" s="421"/>
      <c r="AD1073" s="421"/>
      <c r="AE1073" s="421"/>
      <c r="AF1073" s="421"/>
      <c r="AG1073" s="421"/>
      <c r="AH1073" s="421"/>
      <c r="AI1073" s="421"/>
      <c r="AJ1073" s="421"/>
      <c r="AK1073" s="421"/>
      <c r="AL1073" s="421"/>
    </row>
    <row r="1074" spans="1:38">
      <c r="A1074" s="3">
        <v>5886</v>
      </c>
      <c r="B1074" s="83">
        <f t="array" ref="B1074">SUM(--(FREQUENCY(IF(C$2:C$3078=C1074, MATCH(D$2:D$3078, D$2:D$3078, 0)), ROW(D$2:D$3078)-ROW(D$2)+1) &gt; 0))</f>
        <v>63</v>
      </c>
      <c r="C1074" s="3">
        <v>41200006</v>
      </c>
      <c r="D1074" s="6" t="s">
        <v>2751</v>
      </c>
      <c r="E1074" s="3" t="s">
        <v>1405</v>
      </c>
      <c r="F1074" s="3" t="s">
        <v>1477</v>
      </c>
      <c r="G1074" s="68" t="str">
        <f t="shared" si="155"/>
        <v>SINGLE</v>
      </c>
      <c r="H1074" s="197">
        <f t="shared" si="169"/>
        <v>34</v>
      </c>
      <c r="I1074" s="197">
        <v>8</v>
      </c>
      <c r="J1074" s="197">
        <v>21</v>
      </c>
      <c r="K1074" s="186">
        <f t="shared" si="170"/>
        <v>45890</v>
      </c>
      <c r="L1074" s="3" t="s">
        <v>2395</v>
      </c>
      <c r="M1074" s="3" t="s">
        <v>1469</v>
      </c>
      <c r="N1074" s="3" t="str">
        <f t="shared" si="149"/>
        <v>NG</v>
      </c>
      <c r="O1074" s="408" t="s">
        <v>2368</v>
      </c>
      <c r="P1074" s="408" t="s">
        <v>2371</v>
      </c>
      <c r="Q1074" s="408">
        <v>11001968</v>
      </c>
      <c r="R1074" s="408" t="s">
        <v>473</v>
      </c>
      <c r="S1074" s="408" t="s">
        <v>2642</v>
      </c>
      <c r="T1074" s="408" t="s">
        <v>2705</v>
      </c>
      <c r="U1074" s="408"/>
      <c r="V1074" s="421"/>
      <c r="W1074" s="421"/>
      <c r="X1074" s="421"/>
      <c r="Y1074" s="421"/>
      <c r="Z1074" s="421"/>
      <c r="AA1074" s="421"/>
      <c r="AB1074" s="421"/>
      <c r="AC1074" s="421"/>
      <c r="AD1074" s="421"/>
      <c r="AE1074" s="421"/>
      <c r="AF1074" s="421"/>
      <c r="AG1074" s="421"/>
      <c r="AH1074" s="421"/>
      <c r="AI1074" s="421"/>
      <c r="AJ1074" s="421"/>
      <c r="AK1074" s="421"/>
      <c r="AL1074" s="421"/>
    </row>
    <row r="1075" spans="1:38">
      <c r="A1075" s="3">
        <v>5886</v>
      </c>
      <c r="B1075" s="83">
        <f t="array" ref="B1075">SUM(--(FREQUENCY(IF(C$2:C$3078=C1075, MATCH(D$2:D$3078, D$2:D$3078, 0)), ROW(D$2:D$3078)-ROW(D$2)+1) &gt; 0))</f>
        <v>63</v>
      </c>
      <c r="C1075" s="3">
        <v>41200006</v>
      </c>
      <c r="D1075" s="6" t="s">
        <v>2752</v>
      </c>
      <c r="E1075" s="3" t="s">
        <v>1405</v>
      </c>
      <c r="F1075" s="3" t="s">
        <v>1477</v>
      </c>
      <c r="G1075" s="68" t="str">
        <f t="shared" si="155"/>
        <v>SINGLE</v>
      </c>
      <c r="H1075" s="197">
        <f t="shared" si="169"/>
        <v>34</v>
      </c>
      <c r="I1075" s="197">
        <v>8</v>
      </c>
      <c r="J1075" s="197">
        <v>21</v>
      </c>
      <c r="K1075" s="186">
        <f t="shared" si="170"/>
        <v>45890</v>
      </c>
      <c r="L1075" s="3" t="s">
        <v>2395</v>
      </c>
      <c r="M1075" s="3" t="s">
        <v>1469</v>
      </c>
      <c r="N1075" s="3" t="str">
        <f t="shared" si="149"/>
        <v/>
      </c>
      <c r="O1075" s="408"/>
      <c r="P1075" s="408"/>
      <c r="Q1075" s="408"/>
      <c r="R1075" s="408"/>
      <c r="S1075" s="408"/>
      <c r="T1075" s="408"/>
      <c r="U1075" s="408"/>
      <c r="V1075" s="421"/>
      <c r="W1075" s="421"/>
      <c r="X1075" s="421"/>
      <c r="Y1075" s="421"/>
      <c r="Z1075" s="421"/>
      <c r="AA1075" s="421"/>
      <c r="AB1075" s="421"/>
      <c r="AC1075" s="421"/>
      <c r="AD1075" s="421"/>
      <c r="AE1075" s="421"/>
      <c r="AF1075" s="421"/>
      <c r="AG1075" s="421"/>
      <c r="AH1075" s="421"/>
      <c r="AI1075" s="421"/>
      <c r="AJ1075" s="421"/>
      <c r="AK1075" s="421"/>
      <c r="AL1075" s="421"/>
    </row>
    <row r="1076" spans="1:38">
      <c r="A1076" s="3">
        <v>5922</v>
      </c>
      <c r="B1076" s="83">
        <f t="array" ref="B1076">SUM(--(FREQUENCY(IF(C$2:C$3078=C1076, MATCH(D$2:D$3078, D$2:D$3078, 0)), ROW(D$2:D$3078)-ROW(D$2)+1) &gt; 0))</f>
        <v>22</v>
      </c>
      <c r="C1076" s="3">
        <v>41200047</v>
      </c>
      <c r="D1076" s="6" t="s">
        <v>2753</v>
      </c>
      <c r="E1076" s="3" t="s">
        <v>1426</v>
      </c>
      <c r="F1076" s="3" t="s">
        <v>1476</v>
      </c>
      <c r="G1076" s="68" t="str">
        <f t="shared" si="155"/>
        <v>DUAL</v>
      </c>
      <c r="H1076" s="197">
        <f t="shared" ref="H1076" si="171">WEEKNUM(K1076)</f>
        <v>34</v>
      </c>
      <c r="I1076" s="197">
        <v>8</v>
      </c>
      <c r="J1076" s="197">
        <v>21</v>
      </c>
      <c r="K1076" s="186">
        <f t="shared" ref="K1076" si="172">DATE(2025, I1076, J1076)</f>
        <v>45890</v>
      </c>
      <c r="L1076" s="3" t="s">
        <v>2395</v>
      </c>
      <c r="M1076" s="3" t="s">
        <v>1469</v>
      </c>
      <c r="N1076" s="3" t="str">
        <f t="shared" si="149"/>
        <v/>
      </c>
      <c r="O1076" s="408"/>
      <c r="P1076" s="408"/>
      <c r="Q1076" s="408"/>
      <c r="R1076" s="408"/>
      <c r="S1076" s="408"/>
      <c r="T1076" s="408"/>
      <c r="U1076" s="408"/>
      <c r="V1076" s="421"/>
      <c r="W1076" s="421"/>
      <c r="X1076" s="421"/>
      <c r="Y1076" s="421"/>
      <c r="Z1076" s="421"/>
      <c r="AA1076" s="421"/>
      <c r="AB1076" s="421"/>
      <c r="AC1076" s="421"/>
      <c r="AD1076" s="421"/>
      <c r="AE1076" s="421"/>
      <c r="AF1076" s="421"/>
      <c r="AG1076" s="421"/>
      <c r="AH1076" s="421"/>
      <c r="AI1076" s="421"/>
      <c r="AJ1076" s="421"/>
      <c r="AK1076" s="421"/>
      <c r="AL1076" s="421"/>
    </row>
    <row r="1077" spans="1:38">
      <c r="A1077" s="3">
        <v>5924</v>
      </c>
      <c r="B1077" s="83">
        <f t="array" ref="B1077">SUM(--(FREQUENCY(IF(C$2:C$3079=C1077, MATCH(D$2:D$3079, D$2:D$3079, 0)), ROW(D$2:D$3079)-ROW(D$2)+1) &gt; 0))</f>
        <v>5</v>
      </c>
      <c r="C1077" s="3">
        <v>41200038</v>
      </c>
      <c r="D1077" s="6" t="s">
        <v>2754</v>
      </c>
      <c r="E1077" s="3" t="s">
        <v>1426</v>
      </c>
      <c r="F1077" s="3" t="s">
        <v>1476</v>
      </c>
      <c r="G1077" s="68" t="str">
        <f t="shared" si="155"/>
        <v>DUAL</v>
      </c>
      <c r="H1077" s="197">
        <f>WEEKNUM(K1077)</f>
        <v>34</v>
      </c>
      <c r="I1077" s="197">
        <v>8</v>
      </c>
      <c r="J1077" s="197">
        <v>21</v>
      </c>
      <c r="K1077" s="186">
        <f>DATE(2025, I1077, J1077)</f>
        <v>45890</v>
      </c>
      <c r="L1077" s="3" t="s">
        <v>2395</v>
      </c>
      <c r="M1077" s="3" t="s">
        <v>2392</v>
      </c>
      <c r="N1077" s="3" t="str">
        <f t="shared" si="149"/>
        <v/>
      </c>
      <c r="O1077" s="408"/>
      <c r="P1077" s="408"/>
      <c r="Q1077" s="408"/>
      <c r="R1077" s="408"/>
      <c r="S1077" s="408"/>
      <c r="T1077" s="408"/>
      <c r="U1077" s="408"/>
      <c r="V1077" s="421"/>
      <c r="W1077" s="421"/>
      <c r="X1077" s="421"/>
      <c r="Y1077" s="421"/>
      <c r="Z1077" s="421"/>
      <c r="AA1077" s="421"/>
      <c r="AB1077" s="421"/>
      <c r="AC1077" s="421"/>
      <c r="AD1077" s="421"/>
      <c r="AE1077" s="421"/>
      <c r="AF1077" s="421"/>
      <c r="AG1077" s="421"/>
      <c r="AH1077" s="421"/>
      <c r="AI1077" s="421"/>
      <c r="AJ1077" s="421"/>
      <c r="AK1077" s="421"/>
      <c r="AL1077" s="421"/>
    </row>
    <row r="1078" spans="1:38">
      <c r="A1078" s="3">
        <v>5822</v>
      </c>
      <c r="B1078" s="83">
        <f t="array" ref="B1078">SUM(--(FREQUENCY(IF(C$2:C$3078=C1078, MATCH(D$2:D$3078, D$2:D$3078, 0)), ROW(D$2:D$3078)-ROW(D$2)+1) &gt; 0))</f>
        <v>63</v>
      </c>
      <c r="C1078" s="3">
        <v>41200006</v>
      </c>
      <c r="D1078" s="6" t="s">
        <v>2755</v>
      </c>
      <c r="E1078" s="3" t="s">
        <v>1405</v>
      </c>
      <c r="F1078" s="3" t="s">
        <v>1477</v>
      </c>
      <c r="G1078" s="68" t="str">
        <f t="shared" si="155"/>
        <v>SINGLE</v>
      </c>
      <c r="H1078" s="197">
        <f t="shared" ref="H1078:H1083" si="173">WEEKNUM(K1078)</f>
        <v>34</v>
      </c>
      <c r="I1078" s="197">
        <v>8</v>
      </c>
      <c r="J1078" s="197">
        <v>22</v>
      </c>
      <c r="K1078" s="186">
        <f t="shared" ref="K1078:K1083" si="174">DATE(2025, I1078, J1078)</f>
        <v>45891</v>
      </c>
      <c r="L1078" s="3" t="s">
        <v>2395</v>
      </c>
      <c r="M1078" s="3" t="s">
        <v>2392</v>
      </c>
      <c r="N1078" s="3" t="str">
        <f t="shared" si="149"/>
        <v/>
      </c>
      <c r="O1078" s="408"/>
      <c r="P1078" s="408"/>
      <c r="Q1078" s="408"/>
      <c r="R1078" s="408"/>
      <c r="S1078" s="408"/>
      <c r="T1078" s="408"/>
      <c r="U1078" s="408"/>
      <c r="V1078" s="421"/>
      <c r="W1078" s="421"/>
      <c r="X1078" s="421"/>
      <c r="Y1078" s="421"/>
      <c r="Z1078" s="421"/>
      <c r="AA1078" s="421"/>
      <c r="AB1078" s="421"/>
      <c r="AC1078" s="421"/>
      <c r="AD1078" s="421"/>
      <c r="AE1078" s="421"/>
      <c r="AF1078" s="421"/>
      <c r="AG1078" s="421"/>
      <c r="AH1078" s="421"/>
      <c r="AI1078" s="421"/>
      <c r="AJ1078" s="421"/>
      <c r="AK1078" s="421"/>
      <c r="AL1078" s="421"/>
    </row>
    <row r="1079" spans="1:38">
      <c r="A1079" s="3">
        <v>5775</v>
      </c>
      <c r="B1079" s="83">
        <f t="array" ref="B1079">SUM(--(FREQUENCY(IF(C$2:C$3078=C1079, MATCH(D$2:D$3078, D$2:D$3078, 0)), ROW(D$2:D$3078)-ROW(D$2)+1) &gt; 0))</f>
        <v>20</v>
      </c>
      <c r="C1079" s="3">
        <v>41100435</v>
      </c>
      <c r="D1079" s="6" t="s">
        <v>2756</v>
      </c>
      <c r="E1079" s="3" t="s">
        <v>1585</v>
      </c>
      <c r="F1079" s="3" t="s">
        <v>1482</v>
      </c>
      <c r="G1079" s="68" t="str">
        <f t="shared" si="155"/>
        <v>SINGLE</v>
      </c>
      <c r="H1079" s="197">
        <f t="shared" si="173"/>
        <v>34</v>
      </c>
      <c r="I1079" s="197">
        <v>8</v>
      </c>
      <c r="J1079" s="197">
        <v>22</v>
      </c>
      <c r="K1079" s="186">
        <f t="shared" si="174"/>
        <v>45891</v>
      </c>
      <c r="L1079" s="3" t="s">
        <v>2391</v>
      </c>
      <c r="M1079" s="3" t="s">
        <v>1468</v>
      </c>
      <c r="N1079" s="3" t="str">
        <f t="shared" si="149"/>
        <v/>
      </c>
      <c r="O1079" s="408"/>
      <c r="P1079" s="408"/>
      <c r="Q1079" s="408"/>
      <c r="R1079" s="408"/>
      <c r="S1079" s="408"/>
      <c r="T1079" s="408"/>
      <c r="U1079" s="408"/>
      <c r="V1079" s="421"/>
      <c r="W1079" s="421"/>
      <c r="X1079" s="421"/>
      <c r="Y1079" s="421"/>
      <c r="Z1079" s="421"/>
      <c r="AA1079" s="421"/>
      <c r="AB1079" s="421"/>
      <c r="AC1079" s="421"/>
      <c r="AD1079" s="421"/>
      <c r="AE1079" s="421"/>
      <c r="AF1079" s="421"/>
      <c r="AG1079" s="421"/>
      <c r="AH1079" s="421"/>
      <c r="AI1079" s="421"/>
      <c r="AJ1079" s="421"/>
      <c r="AK1079" s="421"/>
      <c r="AL1079" s="421"/>
    </row>
    <row r="1080" spans="1:38">
      <c r="A1080" s="3">
        <v>5773</v>
      </c>
      <c r="B1080" s="83">
        <f t="array" ref="B1080">SUM(--(FREQUENCY(IF(C$2:C$3078=C1080, MATCH(D$2:D$3078, D$2:D$3078, 0)), ROW(D$2:D$3078)-ROW(D$2)+1) &gt; 0))</f>
        <v>20</v>
      </c>
      <c r="C1080" s="3">
        <v>41100435</v>
      </c>
      <c r="D1080" s="6" t="s">
        <v>2757</v>
      </c>
      <c r="E1080" s="3" t="s">
        <v>1585</v>
      </c>
      <c r="F1080" s="3" t="s">
        <v>1482</v>
      </c>
      <c r="G1080" s="68" t="str">
        <f t="shared" ref="G1080:G1111" si="175">IF(OR(ISNUMBER(SEARCH("DUAL",F1080)), ISNUMBER(SEARCH("IVAS",F1080))), "DUAL", "SINGLE")</f>
        <v>SINGLE</v>
      </c>
      <c r="H1080" s="197">
        <f t="shared" si="173"/>
        <v>34</v>
      </c>
      <c r="I1080" s="197">
        <v>8</v>
      </c>
      <c r="J1080" s="197">
        <v>22</v>
      </c>
      <c r="K1080" s="186">
        <f t="shared" si="174"/>
        <v>45891</v>
      </c>
      <c r="L1080" s="3" t="s">
        <v>2391</v>
      </c>
      <c r="M1080" s="3" t="s">
        <v>1468</v>
      </c>
      <c r="N1080" s="3" t="str">
        <f t="shared" si="149"/>
        <v/>
      </c>
      <c r="O1080" s="408"/>
      <c r="P1080" s="408"/>
      <c r="Q1080" s="408"/>
      <c r="R1080" s="408"/>
      <c r="S1080" s="408"/>
      <c r="T1080" s="408"/>
      <c r="U1080" s="408"/>
      <c r="V1080" s="421"/>
      <c r="W1080" s="421"/>
      <c r="X1080" s="421"/>
      <c r="Y1080" s="421"/>
      <c r="Z1080" s="421"/>
      <c r="AA1080" s="421"/>
      <c r="AB1080" s="421"/>
      <c r="AC1080" s="421"/>
      <c r="AD1080" s="421"/>
      <c r="AE1080" s="421"/>
      <c r="AF1080" s="421"/>
      <c r="AG1080" s="421"/>
      <c r="AH1080" s="421"/>
      <c r="AI1080" s="421"/>
      <c r="AJ1080" s="421"/>
      <c r="AK1080" s="421"/>
      <c r="AL1080" s="421"/>
    </row>
    <row r="1081" spans="1:38">
      <c r="A1081" s="3">
        <v>5852</v>
      </c>
      <c r="B1081" s="83">
        <f t="array" ref="B1081">SUM(--(FREQUENCY(IF(C$2:C$3078=C1081, MATCH(D$2:D$3078, D$2:D$3078, 0)), ROW(D$2:D$3078)-ROW(D$2)+1) &gt; 0))</f>
        <v>1</v>
      </c>
      <c r="C1081" s="3">
        <v>41200021</v>
      </c>
      <c r="D1081" s="6" t="s">
        <v>2758</v>
      </c>
      <c r="E1081" s="3" t="s">
        <v>1424</v>
      </c>
      <c r="F1081" s="3" t="s">
        <v>1476</v>
      </c>
      <c r="G1081" s="68" t="str">
        <f t="shared" si="175"/>
        <v>DUAL</v>
      </c>
      <c r="H1081" s="197">
        <f t="shared" si="173"/>
        <v>34</v>
      </c>
      <c r="I1081" s="197">
        <v>8</v>
      </c>
      <c r="J1081" s="197">
        <v>22</v>
      </c>
      <c r="K1081" s="186">
        <f t="shared" si="174"/>
        <v>45891</v>
      </c>
      <c r="L1081" s="3" t="s">
        <v>2391</v>
      </c>
      <c r="M1081" s="3" t="s">
        <v>1468</v>
      </c>
      <c r="N1081" s="3" t="str">
        <f t="shared" si="149"/>
        <v/>
      </c>
      <c r="O1081" s="408"/>
      <c r="P1081" s="408"/>
      <c r="Q1081" s="408"/>
      <c r="R1081" s="408"/>
      <c r="S1081" s="408"/>
      <c r="T1081" s="408"/>
      <c r="U1081" s="408"/>
      <c r="V1081" s="421"/>
      <c r="W1081" s="421"/>
      <c r="X1081" s="421"/>
      <c r="Y1081" s="421"/>
      <c r="Z1081" s="421"/>
      <c r="AA1081" s="421"/>
      <c r="AB1081" s="421"/>
      <c r="AC1081" s="421"/>
      <c r="AD1081" s="421"/>
      <c r="AE1081" s="421"/>
      <c r="AF1081" s="421"/>
      <c r="AG1081" s="421"/>
      <c r="AH1081" s="421"/>
      <c r="AI1081" s="421"/>
      <c r="AJ1081" s="421"/>
      <c r="AK1081" s="421"/>
      <c r="AL1081" s="421"/>
    </row>
    <row r="1082" spans="1:38">
      <c r="A1082" s="3">
        <v>5922</v>
      </c>
      <c r="B1082" s="83">
        <f t="array" ref="B1082">SUM(--(FREQUENCY(IF(C$2:C$3078=C1082, MATCH(D$2:D$3078, D$2:D$3078, 0)), ROW(D$2:D$3078)-ROW(D$2)+1) &gt; 0))</f>
        <v>22</v>
      </c>
      <c r="C1082" s="3">
        <v>41200047</v>
      </c>
      <c r="D1082" s="6" t="s">
        <v>2759</v>
      </c>
      <c r="E1082" s="3" t="s">
        <v>1426</v>
      </c>
      <c r="F1082" s="3" t="s">
        <v>1476</v>
      </c>
      <c r="G1082" s="68" t="str">
        <f t="shared" si="175"/>
        <v>DUAL</v>
      </c>
      <c r="H1082" s="197">
        <f t="shared" si="173"/>
        <v>34</v>
      </c>
      <c r="I1082" s="197">
        <v>8</v>
      </c>
      <c r="J1082" s="197">
        <v>22</v>
      </c>
      <c r="K1082" s="186">
        <f t="shared" si="174"/>
        <v>45891</v>
      </c>
      <c r="L1082" s="3" t="s">
        <v>2395</v>
      </c>
      <c r="M1082" s="3" t="s">
        <v>1469</v>
      </c>
      <c r="N1082" s="3" t="str">
        <f t="shared" si="149"/>
        <v/>
      </c>
      <c r="O1082" s="408"/>
      <c r="P1082" s="408"/>
      <c r="Q1082" s="408"/>
      <c r="R1082" s="408"/>
      <c r="S1082" s="408"/>
      <c r="T1082" s="408"/>
      <c r="U1082" s="408"/>
      <c r="V1082" s="421"/>
      <c r="W1082" s="421"/>
      <c r="X1082" s="421"/>
      <c r="Y1082" s="421"/>
      <c r="Z1082" s="421"/>
      <c r="AA1082" s="421"/>
      <c r="AB1082" s="421"/>
      <c r="AC1082" s="421"/>
      <c r="AD1082" s="421"/>
      <c r="AE1082" s="421"/>
      <c r="AF1082" s="421"/>
      <c r="AG1082" s="421"/>
      <c r="AH1082" s="421"/>
      <c r="AI1082" s="421"/>
      <c r="AJ1082" s="421"/>
      <c r="AK1082" s="421"/>
      <c r="AL1082" s="421"/>
    </row>
    <row r="1083" spans="1:38">
      <c r="A1083" s="3">
        <v>5922</v>
      </c>
      <c r="B1083" s="83">
        <f t="array" ref="B1083">SUM(--(FREQUENCY(IF(C$2:C$3078=C1083, MATCH(D$2:D$3078, D$2:D$3078, 0)), ROW(D$2:D$3078)-ROW(D$2)+1) &gt; 0))</f>
        <v>22</v>
      </c>
      <c r="C1083" s="3">
        <v>41200047</v>
      </c>
      <c r="D1083" s="6" t="s">
        <v>2760</v>
      </c>
      <c r="E1083" s="3" t="s">
        <v>1426</v>
      </c>
      <c r="F1083" s="3" t="s">
        <v>1476</v>
      </c>
      <c r="G1083" s="68" t="str">
        <f t="shared" si="175"/>
        <v>DUAL</v>
      </c>
      <c r="H1083" s="197">
        <f t="shared" si="173"/>
        <v>34</v>
      </c>
      <c r="I1083" s="197">
        <v>8</v>
      </c>
      <c r="J1083" s="197">
        <v>22</v>
      </c>
      <c r="K1083" s="186">
        <f t="shared" si="174"/>
        <v>45891</v>
      </c>
      <c r="L1083" s="3" t="s">
        <v>2395</v>
      </c>
      <c r="M1083" s="3" t="s">
        <v>1469</v>
      </c>
      <c r="N1083" s="3" t="str">
        <f t="shared" si="149"/>
        <v/>
      </c>
      <c r="O1083" s="408"/>
      <c r="P1083" s="408"/>
      <c r="Q1083" s="408"/>
      <c r="R1083" s="408"/>
      <c r="S1083" s="408"/>
      <c r="T1083" s="408"/>
      <c r="U1083" s="408"/>
      <c r="V1083" s="421"/>
      <c r="W1083" s="421"/>
      <c r="X1083" s="421"/>
      <c r="Y1083" s="421"/>
      <c r="Z1083" s="421"/>
      <c r="AA1083" s="421"/>
      <c r="AB1083" s="421"/>
      <c r="AC1083" s="421"/>
      <c r="AD1083" s="421"/>
      <c r="AE1083" s="421"/>
      <c r="AF1083" s="421"/>
      <c r="AG1083" s="421"/>
      <c r="AH1083" s="421"/>
      <c r="AI1083" s="421"/>
      <c r="AJ1083" s="421"/>
      <c r="AK1083" s="421"/>
      <c r="AL1083" s="421"/>
    </row>
    <row r="1084" spans="1:38">
      <c r="A1084" s="3">
        <v>5908</v>
      </c>
      <c r="B1084" s="83">
        <f t="array" ref="B1084">SUM(--(FREQUENCY(IF(C$2:C$3079=C1084, MATCH(D$2:D$3079, D$2:D$3079, 0)), ROW(D$2:D$3079)-ROW(D$2)+1) &gt; 0))</f>
        <v>11</v>
      </c>
      <c r="C1084" s="3">
        <v>41200129</v>
      </c>
      <c r="D1084" s="6" t="s">
        <v>2761</v>
      </c>
      <c r="E1084" s="3" t="s">
        <v>1431</v>
      </c>
      <c r="F1084" s="3" t="s">
        <v>1591</v>
      </c>
      <c r="G1084" s="68" t="str">
        <f t="shared" si="175"/>
        <v>SINGLE</v>
      </c>
      <c r="H1084" s="197">
        <f t="shared" ref="H1084:H1092" si="176">WEEKNUM(K1084)</f>
        <v>35</v>
      </c>
      <c r="I1084" s="197">
        <v>8</v>
      </c>
      <c r="J1084" s="197">
        <v>25</v>
      </c>
      <c r="K1084" s="186">
        <f t="shared" ref="K1084:K1092" si="177">DATE(2025, I1084, J1084)</f>
        <v>45894</v>
      </c>
      <c r="L1084" s="3" t="s">
        <v>2391</v>
      </c>
      <c r="M1084" s="3" t="s">
        <v>1468</v>
      </c>
      <c r="N1084" s="3" t="str">
        <f t="shared" si="149"/>
        <v/>
      </c>
      <c r="O1084" s="408"/>
      <c r="P1084" s="408"/>
      <c r="Q1084" s="408"/>
      <c r="R1084" s="408"/>
      <c r="S1084" s="408"/>
      <c r="T1084" s="408"/>
      <c r="U1084" s="408"/>
      <c r="V1084" s="421"/>
      <c r="W1084" s="421"/>
      <c r="X1084" s="421"/>
      <c r="Y1084" s="421"/>
      <c r="Z1084" s="421"/>
      <c r="AA1084" s="421"/>
      <c r="AB1084" s="421"/>
      <c r="AC1084" s="421"/>
      <c r="AD1084" s="421"/>
      <c r="AE1084" s="421"/>
      <c r="AF1084" s="421"/>
      <c r="AG1084" s="421"/>
      <c r="AH1084" s="421"/>
      <c r="AI1084" s="421"/>
      <c r="AJ1084" s="421"/>
      <c r="AK1084" s="421"/>
      <c r="AL1084" s="421"/>
    </row>
    <row r="1085" spans="1:38">
      <c r="A1085" s="3">
        <v>5908</v>
      </c>
      <c r="B1085" s="83">
        <f t="array" ref="B1085">SUM(--(FREQUENCY(IF(C$2:C$3079=C1085, MATCH(D$2:D$3079, D$2:D$3079, 0)), ROW(D$2:D$3079)-ROW(D$2)+1) &gt; 0))</f>
        <v>11</v>
      </c>
      <c r="C1085" s="3">
        <v>41200129</v>
      </c>
      <c r="D1085" s="6" t="s">
        <v>2762</v>
      </c>
      <c r="E1085" s="3" t="s">
        <v>1431</v>
      </c>
      <c r="F1085" s="3" t="s">
        <v>1591</v>
      </c>
      <c r="G1085" s="68" t="str">
        <f t="shared" si="175"/>
        <v>SINGLE</v>
      </c>
      <c r="H1085" s="197">
        <f t="shared" si="176"/>
        <v>35</v>
      </c>
      <c r="I1085" s="197">
        <v>8</v>
      </c>
      <c r="J1085" s="197">
        <v>25</v>
      </c>
      <c r="K1085" s="186">
        <f t="shared" si="177"/>
        <v>45894</v>
      </c>
      <c r="L1085" s="3" t="s">
        <v>2391</v>
      </c>
      <c r="M1085" s="3" t="s">
        <v>1468</v>
      </c>
      <c r="N1085" s="3" t="str">
        <f t="shared" si="149"/>
        <v/>
      </c>
      <c r="O1085" s="408"/>
      <c r="P1085" s="408"/>
      <c r="Q1085" s="408"/>
      <c r="R1085" s="408"/>
      <c r="S1085" s="408"/>
      <c r="T1085" s="408"/>
      <c r="U1085" s="408"/>
      <c r="V1085" s="421"/>
      <c r="W1085" s="421"/>
      <c r="X1085" s="421"/>
      <c r="Y1085" s="421"/>
      <c r="Z1085" s="421"/>
      <c r="AA1085" s="421"/>
      <c r="AB1085" s="421"/>
      <c r="AC1085" s="421"/>
      <c r="AD1085" s="421"/>
      <c r="AE1085" s="421"/>
      <c r="AF1085" s="421"/>
      <c r="AG1085" s="421"/>
      <c r="AH1085" s="421"/>
      <c r="AI1085" s="421"/>
      <c r="AJ1085" s="421"/>
      <c r="AK1085" s="421"/>
      <c r="AL1085" s="421"/>
    </row>
    <row r="1086" spans="1:38">
      <c r="A1086" s="3">
        <v>5969</v>
      </c>
      <c r="B1086" s="83">
        <f t="array" ref="B1086">SUM(--(FREQUENCY(IF(C$2:C$3079=C1086, MATCH(D$2:D$3079, D$2:D$3079, 0)), ROW(D$2:D$3079)-ROW(D$2)+1) &gt; 0))</f>
        <v>3</v>
      </c>
      <c r="C1086" s="327">
        <v>41200168</v>
      </c>
      <c r="D1086" s="6" t="s">
        <v>2763</v>
      </c>
      <c r="E1086" s="3" t="s">
        <v>1405</v>
      </c>
      <c r="F1086" s="3" t="s">
        <v>1476</v>
      </c>
      <c r="G1086" s="68" t="str">
        <f t="shared" si="175"/>
        <v>DUAL</v>
      </c>
      <c r="H1086" s="197">
        <f t="shared" si="176"/>
        <v>35</v>
      </c>
      <c r="I1086" s="197">
        <v>8</v>
      </c>
      <c r="J1086" s="197">
        <v>25</v>
      </c>
      <c r="K1086" s="186">
        <f t="shared" si="177"/>
        <v>45894</v>
      </c>
      <c r="L1086" s="3" t="s">
        <v>2395</v>
      </c>
      <c r="M1086" s="3" t="s">
        <v>1469</v>
      </c>
      <c r="N1086" s="3" t="str">
        <f t="shared" si="149"/>
        <v>NG</v>
      </c>
      <c r="O1086" s="408" t="s">
        <v>1569</v>
      </c>
      <c r="P1086" s="408" t="s">
        <v>2764</v>
      </c>
      <c r="Q1086" s="408">
        <v>12002859</v>
      </c>
      <c r="R1086" s="408" t="s">
        <v>2765</v>
      </c>
      <c r="S1086" s="408" t="s">
        <v>2766</v>
      </c>
      <c r="T1086" s="408"/>
      <c r="U1086" s="408"/>
      <c r="V1086" s="421"/>
      <c r="W1086" s="421"/>
      <c r="X1086" s="421"/>
      <c r="Y1086" s="421"/>
      <c r="Z1086" s="421"/>
      <c r="AA1086" s="421"/>
      <c r="AB1086" s="421"/>
      <c r="AC1086" s="421"/>
      <c r="AD1086" s="421"/>
      <c r="AE1086" s="421"/>
      <c r="AF1086" s="421"/>
      <c r="AG1086" s="421"/>
      <c r="AH1086" s="421"/>
      <c r="AI1086" s="421"/>
      <c r="AJ1086" s="421"/>
      <c r="AK1086" s="421"/>
      <c r="AL1086" s="421"/>
    </row>
    <row r="1087" spans="1:38">
      <c r="A1087" s="3">
        <v>5969</v>
      </c>
      <c r="B1087" s="83">
        <f t="array" ref="B1087">SUM(--(FREQUENCY(IF(C$2:C$3079=C1087, MATCH(D$2:D$3079, D$2:D$3079, 0)), ROW(D$2:D$3079)-ROW(D$2)+1) &gt; 0))</f>
        <v>3</v>
      </c>
      <c r="C1087" s="3">
        <v>41200168</v>
      </c>
      <c r="D1087" s="6" t="s">
        <v>2767</v>
      </c>
      <c r="E1087" s="3" t="s">
        <v>1405</v>
      </c>
      <c r="F1087" s="3" t="s">
        <v>1476</v>
      </c>
      <c r="G1087" s="68" t="str">
        <f t="shared" si="175"/>
        <v>DUAL</v>
      </c>
      <c r="H1087" s="197">
        <f t="shared" si="176"/>
        <v>35</v>
      </c>
      <c r="I1087" s="197">
        <v>8</v>
      </c>
      <c r="J1087" s="197">
        <v>25</v>
      </c>
      <c r="K1087" s="186">
        <f t="shared" si="177"/>
        <v>45894</v>
      </c>
      <c r="L1087" s="3" t="s">
        <v>2395</v>
      </c>
      <c r="M1087" s="3" t="s">
        <v>1469</v>
      </c>
      <c r="N1087" s="3" t="str">
        <f t="shared" si="149"/>
        <v/>
      </c>
      <c r="O1087" s="408"/>
      <c r="P1087" s="408"/>
      <c r="Q1087" s="408"/>
      <c r="R1087" s="408"/>
      <c r="S1087" s="408"/>
      <c r="T1087" s="408"/>
      <c r="U1087" s="408"/>
      <c r="V1087" s="421"/>
      <c r="W1087" s="421"/>
      <c r="X1087" s="421"/>
      <c r="Y1087" s="421"/>
      <c r="Z1087" s="421"/>
      <c r="AA1087" s="421"/>
      <c r="AB1087" s="421"/>
      <c r="AC1087" s="421"/>
      <c r="AD1087" s="421"/>
      <c r="AE1087" s="421"/>
      <c r="AF1087" s="421"/>
      <c r="AG1087" s="421"/>
      <c r="AH1087" s="421"/>
      <c r="AI1087" s="421"/>
      <c r="AJ1087" s="421"/>
      <c r="AK1087" s="421"/>
      <c r="AL1087" s="421"/>
    </row>
    <row r="1088" spans="1:38">
      <c r="A1088" s="3">
        <v>5969</v>
      </c>
      <c r="B1088" s="83">
        <f t="array" ref="B1088">SUM(--(FREQUENCY(IF(C$2:C$3079=C1088, MATCH(D$2:D$3079, D$2:D$3079, 0)), ROW(D$2:D$3079)-ROW(D$2)+1) &gt; 0))</f>
        <v>3</v>
      </c>
      <c r="C1088" s="3">
        <v>41200168</v>
      </c>
      <c r="D1088" s="6" t="s">
        <v>2768</v>
      </c>
      <c r="E1088" s="3" t="s">
        <v>1405</v>
      </c>
      <c r="F1088" s="3" t="s">
        <v>1476</v>
      </c>
      <c r="G1088" s="68" t="str">
        <f t="shared" si="175"/>
        <v>DUAL</v>
      </c>
      <c r="H1088" s="197">
        <f t="shared" si="176"/>
        <v>35</v>
      </c>
      <c r="I1088" s="197">
        <v>8</v>
      </c>
      <c r="J1088" s="197">
        <v>25</v>
      </c>
      <c r="K1088" s="186">
        <f t="shared" si="177"/>
        <v>45894</v>
      </c>
      <c r="L1088" s="3" t="s">
        <v>2395</v>
      </c>
      <c r="M1088" s="3" t="s">
        <v>1469</v>
      </c>
      <c r="N1088" s="3" t="str">
        <f t="shared" si="149"/>
        <v>NG</v>
      </c>
      <c r="O1088" s="408" t="s">
        <v>2368</v>
      </c>
      <c r="P1088" s="408" t="s">
        <v>2371</v>
      </c>
      <c r="Q1088" s="408">
        <v>11001964</v>
      </c>
      <c r="R1088" s="408" t="s">
        <v>562</v>
      </c>
      <c r="S1088" s="408" t="s">
        <v>2769</v>
      </c>
      <c r="T1088" s="408" t="s">
        <v>2493</v>
      </c>
      <c r="U1088" s="408"/>
      <c r="V1088" s="421"/>
      <c r="W1088" s="421"/>
      <c r="X1088" s="421"/>
      <c r="Y1088" s="421"/>
      <c r="Z1088" s="421"/>
      <c r="AA1088" s="421"/>
      <c r="AB1088" s="421"/>
      <c r="AC1088" s="421"/>
      <c r="AD1088" s="421"/>
      <c r="AE1088" s="421"/>
      <c r="AF1088" s="421"/>
      <c r="AG1088" s="421"/>
      <c r="AH1088" s="421"/>
      <c r="AI1088" s="421"/>
      <c r="AJ1088" s="421"/>
      <c r="AK1088" s="421"/>
      <c r="AL1088" s="421"/>
    </row>
    <row r="1089" spans="1:38">
      <c r="A1089" s="3">
        <v>5969</v>
      </c>
      <c r="B1089" s="83">
        <f t="array" ref="B1089">SUM(--(FREQUENCY(IF(C$2:C$3079=C1089, MATCH(D$2:D$3079, D$2:D$3079, 0)), ROW(D$2:D$3079)-ROW(D$2)+1) &gt; 0))</f>
        <v>3</v>
      </c>
      <c r="C1089" s="3">
        <v>41200168</v>
      </c>
      <c r="D1089" s="6" t="s">
        <v>2768</v>
      </c>
      <c r="E1089" s="3" t="s">
        <v>1405</v>
      </c>
      <c r="F1089" s="3" t="s">
        <v>1476</v>
      </c>
      <c r="G1089" s="68" t="str">
        <f t="shared" si="175"/>
        <v>DUAL</v>
      </c>
      <c r="H1089" s="197">
        <f t="shared" ref="H1089" si="178">WEEKNUM(K1089)</f>
        <v>35</v>
      </c>
      <c r="I1089" s="197">
        <v>8</v>
      </c>
      <c r="J1089" s="197">
        <v>25</v>
      </c>
      <c r="K1089" s="186">
        <f t="shared" ref="K1089" si="179">DATE(2025, I1089, J1089)</f>
        <v>45894</v>
      </c>
      <c r="L1089" s="3" t="s">
        <v>2395</v>
      </c>
      <c r="M1089" s="3" t="s">
        <v>1469</v>
      </c>
      <c r="N1089" s="3" t="str">
        <f t="shared" si="149"/>
        <v>NG</v>
      </c>
      <c r="O1089" s="408" t="s">
        <v>2368</v>
      </c>
      <c r="P1089" s="408" t="s">
        <v>2371</v>
      </c>
      <c r="Q1089" s="408">
        <v>11001964</v>
      </c>
      <c r="R1089" s="408" t="s">
        <v>562</v>
      </c>
      <c r="S1089" s="408" t="s">
        <v>2769</v>
      </c>
      <c r="T1089" s="408" t="s">
        <v>2493</v>
      </c>
      <c r="U1089" s="408"/>
      <c r="V1089" s="421"/>
      <c r="W1089" s="421"/>
      <c r="X1089" s="421"/>
      <c r="Y1089" s="421"/>
      <c r="Z1089" s="421"/>
      <c r="AA1089" s="421"/>
      <c r="AB1089" s="421"/>
      <c r="AC1089" s="421"/>
      <c r="AD1089" s="421"/>
      <c r="AE1089" s="421"/>
      <c r="AF1089" s="421"/>
      <c r="AG1089" s="421"/>
      <c r="AH1089" s="421"/>
      <c r="AI1089" s="421"/>
      <c r="AJ1089" s="421"/>
      <c r="AK1089" s="421"/>
      <c r="AL1089" s="421"/>
    </row>
    <row r="1090" spans="1:38">
      <c r="A1090" s="3">
        <v>5969</v>
      </c>
      <c r="B1090" s="83">
        <f t="array" ref="B1090">SUM(--(FREQUENCY(IF(C$2:C$3079=C1090, MATCH(D$2:D$3079, D$2:D$3079, 0)), ROW(D$2:D$3079)-ROW(D$2)+1) &gt; 0))</f>
        <v>3</v>
      </c>
      <c r="C1090" s="3">
        <v>41200168</v>
      </c>
      <c r="D1090" s="6" t="s">
        <v>2768</v>
      </c>
      <c r="E1090" s="3" t="s">
        <v>1405</v>
      </c>
      <c r="F1090" s="3" t="s">
        <v>1476</v>
      </c>
      <c r="G1090" s="68" t="str">
        <f t="shared" si="175"/>
        <v>DUAL</v>
      </c>
      <c r="H1090" s="197">
        <f t="shared" ref="H1090" si="180">WEEKNUM(K1090)</f>
        <v>35</v>
      </c>
      <c r="I1090" s="197">
        <v>8</v>
      </c>
      <c r="J1090" s="197">
        <v>25</v>
      </c>
      <c r="K1090" s="186">
        <f t="shared" ref="K1090" si="181">DATE(2025, I1090, J1090)</f>
        <v>45894</v>
      </c>
      <c r="L1090" s="3" t="s">
        <v>2395</v>
      </c>
      <c r="M1090" s="3" t="s">
        <v>1469</v>
      </c>
      <c r="N1090" s="3" t="str">
        <f t="shared" ref="N1090" si="182">IF(O1090&lt;&gt;"", "NG", "")</f>
        <v>NG</v>
      </c>
      <c r="O1090" s="408" t="s">
        <v>2368</v>
      </c>
      <c r="P1090" s="408" t="s">
        <v>2371</v>
      </c>
      <c r="Q1090" s="408">
        <v>11001968</v>
      </c>
      <c r="R1090" s="408" t="s">
        <v>473</v>
      </c>
      <c r="S1090" s="408" t="s">
        <v>2770</v>
      </c>
      <c r="T1090" s="408" t="s">
        <v>2705</v>
      </c>
      <c r="U1090" s="408"/>
      <c r="V1090" s="421"/>
      <c r="W1090" s="421"/>
      <c r="X1090" s="421"/>
      <c r="Y1090" s="421"/>
      <c r="Z1090" s="421"/>
      <c r="AA1090" s="421"/>
      <c r="AB1090" s="421"/>
      <c r="AC1090" s="421"/>
      <c r="AD1090" s="421"/>
      <c r="AE1090" s="421"/>
      <c r="AF1090" s="421"/>
      <c r="AG1090" s="421"/>
      <c r="AH1090" s="421"/>
      <c r="AI1090" s="421"/>
      <c r="AJ1090" s="421"/>
      <c r="AK1090" s="421"/>
      <c r="AL1090" s="421"/>
    </row>
    <row r="1091" spans="1:38">
      <c r="A1091" s="3">
        <v>5777</v>
      </c>
      <c r="B1091" s="83">
        <f t="array" ref="B1091">SUM(--(FREQUENCY(IF(C$2:C$3079=C1091, MATCH(D$2:D$3079, D$2:D$3079, 0)), ROW(D$2:D$3079)-ROW(D$2)+1) &gt; 0))</f>
        <v>30</v>
      </c>
      <c r="C1091" s="3">
        <v>41200109</v>
      </c>
      <c r="D1091" s="6" t="s">
        <v>2771</v>
      </c>
      <c r="E1091" s="3" t="s">
        <v>1585</v>
      </c>
      <c r="F1091" s="3" t="s">
        <v>1591</v>
      </c>
      <c r="G1091" s="68" t="str">
        <f t="shared" si="175"/>
        <v>SINGLE</v>
      </c>
      <c r="H1091" s="197">
        <f t="shared" si="176"/>
        <v>35</v>
      </c>
      <c r="I1091" s="197">
        <v>8</v>
      </c>
      <c r="J1091" s="197">
        <v>25</v>
      </c>
      <c r="K1091" s="186">
        <f t="shared" si="177"/>
        <v>45894</v>
      </c>
      <c r="L1091" s="3" t="s">
        <v>2391</v>
      </c>
      <c r="M1091" s="3" t="s">
        <v>2392</v>
      </c>
      <c r="N1091" s="408" t="str">
        <f t="shared" si="149"/>
        <v/>
      </c>
      <c r="O1091" s="408"/>
      <c r="P1091" s="408"/>
      <c r="Q1091" s="408"/>
      <c r="R1091" s="408"/>
      <c r="S1091" s="408"/>
      <c r="T1091" s="408"/>
      <c r="U1091" s="408"/>
      <c r="V1091" s="421"/>
      <c r="W1091" s="421"/>
      <c r="X1091" s="421"/>
      <c r="Y1091" s="421"/>
      <c r="Z1091" s="421"/>
      <c r="AA1091" s="421"/>
      <c r="AB1091" s="421"/>
      <c r="AC1091" s="421"/>
      <c r="AD1091" s="421"/>
      <c r="AE1091" s="421"/>
      <c r="AF1091" s="421"/>
      <c r="AG1091" s="421"/>
      <c r="AH1091" s="421"/>
      <c r="AI1091" s="421"/>
      <c r="AJ1091" s="421"/>
      <c r="AK1091" s="421"/>
      <c r="AL1091" s="421"/>
    </row>
    <row r="1092" spans="1:38">
      <c r="A1092" s="3">
        <v>5777</v>
      </c>
      <c r="B1092" s="83">
        <f t="array" ref="B1092">SUM(--(FREQUENCY(IF(C$2:C$3079=C1092, MATCH(D$2:D$3079, D$2:D$3079, 0)), ROW(D$2:D$3079)-ROW(D$2)+1) &gt; 0))</f>
        <v>30</v>
      </c>
      <c r="C1092" s="3">
        <v>41200109</v>
      </c>
      <c r="D1092" s="6" t="s">
        <v>2772</v>
      </c>
      <c r="E1092" s="3" t="s">
        <v>1585</v>
      </c>
      <c r="F1092" s="3" t="s">
        <v>1591</v>
      </c>
      <c r="G1092" s="68" t="str">
        <f t="shared" si="175"/>
        <v>SINGLE</v>
      </c>
      <c r="H1092" s="197">
        <f t="shared" si="176"/>
        <v>35</v>
      </c>
      <c r="I1092" s="197">
        <v>8</v>
      </c>
      <c r="J1092" s="197">
        <v>25</v>
      </c>
      <c r="K1092" s="186">
        <f t="shared" si="177"/>
        <v>45894</v>
      </c>
      <c r="L1092" s="3" t="s">
        <v>2391</v>
      </c>
      <c r="M1092" s="3" t="s">
        <v>2392</v>
      </c>
      <c r="N1092" s="408" t="str">
        <f t="shared" si="149"/>
        <v/>
      </c>
      <c r="O1092" s="408"/>
      <c r="P1092" s="408"/>
      <c r="Q1092" s="408"/>
      <c r="R1092" s="408"/>
      <c r="S1092" s="408"/>
      <c r="T1092" s="408"/>
      <c r="U1092" s="408"/>
      <c r="V1092" s="421"/>
      <c r="W1092" s="421"/>
      <c r="X1092" s="421"/>
      <c r="Y1092" s="421"/>
      <c r="Z1092" s="421"/>
      <c r="AA1092" s="421"/>
      <c r="AB1092" s="421"/>
      <c r="AC1092" s="421"/>
      <c r="AD1092" s="421"/>
      <c r="AE1092" s="421"/>
      <c r="AF1092" s="421"/>
      <c r="AG1092" s="421"/>
      <c r="AH1092" s="421"/>
      <c r="AI1092" s="421"/>
      <c r="AJ1092" s="421"/>
      <c r="AK1092" s="421"/>
      <c r="AL1092" s="421"/>
    </row>
    <row r="1093" spans="1:38">
      <c r="A1093" s="3">
        <v>5856</v>
      </c>
      <c r="B1093" s="83">
        <f t="array" ref="B1093">SUM(--(FREQUENCY(IF(C$2:C$3077=C1093, MATCH(D$2:D$3077, D$2:D$3077, 0)), ROW(D$2:D$3077)-ROW(D$2)+1) &gt; 0))</f>
        <v>30</v>
      </c>
      <c r="C1093" s="3">
        <v>41200109</v>
      </c>
      <c r="D1093" s="6" t="s">
        <v>2773</v>
      </c>
      <c r="E1093" s="3" t="s">
        <v>1585</v>
      </c>
      <c r="F1093" s="3" t="s">
        <v>1591</v>
      </c>
      <c r="G1093" s="68" t="str">
        <f t="shared" si="175"/>
        <v>SINGLE</v>
      </c>
      <c r="H1093" s="197">
        <f t="shared" ref="H1093:H1103" si="183">WEEKNUM(K1093)</f>
        <v>35</v>
      </c>
      <c r="I1093" s="197">
        <v>8</v>
      </c>
      <c r="J1093" s="197">
        <v>26</v>
      </c>
      <c r="K1093" s="186">
        <f t="shared" ref="K1093:K1103" si="184">DATE(2025, I1093, J1093)</f>
        <v>45895</v>
      </c>
      <c r="L1093" s="3" t="s">
        <v>2395</v>
      </c>
      <c r="M1093" s="3" t="s">
        <v>2392</v>
      </c>
      <c r="N1093" s="408" t="str">
        <f t="shared" si="149"/>
        <v/>
      </c>
      <c r="O1093" s="408"/>
      <c r="P1093" s="408"/>
      <c r="Q1093" s="408"/>
      <c r="R1093" s="408"/>
      <c r="S1093" s="408"/>
      <c r="T1093" s="408"/>
      <c r="U1093" s="408"/>
      <c r="V1093" s="421"/>
      <c r="W1093" s="421"/>
      <c r="X1093" s="421"/>
      <c r="Y1093" s="421"/>
      <c r="Z1093" s="421"/>
      <c r="AA1093" s="421"/>
      <c r="AB1093" s="421"/>
      <c r="AC1093" s="421"/>
      <c r="AD1093" s="421"/>
      <c r="AE1093" s="421"/>
      <c r="AF1093" s="421"/>
      <c r="AG1093" s="421"/>
      <c r="AH1093" s="421"/>
      <c r="AI1093" s="421"/>
      <c r="AJ1093" s="421"/>
      <c r="AK1093" s="421"/>
      <c r="AL1093" s="421"/>
    </row>
    <row r="1094" spans="1:38">
      <c r="A1094" s="3">
        <v>5856</v>
      </c>
      <c r="B1094" s="83">
        <f t="array" ref="B1094">SUM(--(FREQUENCY(IF(C$2:C$3077=C1094, MATCH(D$2:D$3077, D$2:D$3077, 0)), ROW(D$2:D$3077)-ROW(D$2)+1) &gt; 0))</f>
        <v>30</v>
      </c>
      <c r="C1094" s="3">
        <v>41200109</v>
      </c>
      <c r="D1094" s="6" t="s">
        <v>2774</v>
      </c>
      <c r="E1094" s="3" t="s">
        <v>1585</v>
      </c>
      <c r="F1094" s="3" t="s">
        <v>1591</v>
      </c>
      <c r="G1094" s="68" t="str">
        <f t="shared" si="175"/>
        <v>SINGLE</v>
      </c>
      <c r="H1094" s="197">
        <f t="shared" si="183"/>
        <v>35</v>
      </c>
      <c r="I1094" s="197">
        <v>8</v>
      </c>
      <c r="J1094" s="197">
        <v>26</v>
      </c>
      <c r="K1094" s="186">
        <f t="shared" si="184"/>
        <v>45895</v>
      </c>
      <c r="L1094" s="3" t="s">
        <v>2395</v>
      </c>
      <c r="M1094" s="3" t="s">
        <v>2392</v>
      </c>
      <c r="N1094" s="408" t="str">
        <f t="shared" si="149"/>
        <v>NG</v>
      </c>
      <c r="O1094" s="408" t="s">
        <v>2368</v>
      </c>
      <c r="P1094" s="408" t="s">
        <v>2371</v>
      </c>
      <c r="Q1094" s="408">
        <v>11001962</v>
      </c>
      <c r="R1094" s="408" t="s">
        <v>562</v>
      </c>
      <c r="S1094" s="408" t="s">
        <v>2775</v>
      </c>
      <c r="T1094" s="408"/>
      <c r="U1094" s="408"/>
      <c r="V1094" s="421"/>
      <c r="W1094" s="421"/>
      <c r="X1094" s="421"/>
      <c r="Y1094" s="421"/>
      <c r="Z1094" s="421"/>
      <c r="AA1094" s="421"/>
      <c r="AB1094" s="421"/>
      <c r="AC1094" s="421"/>
      <c r="AD1094" s="421"/>
      <c r="AE1094" s="421"/>
      <c r="AF1094" s="421"/>
      <c r="AG1094" s="421"/>
      <c r="AH1094" s="421"/>
      <c r="AI1094" s="421"/>
      <c r="AJ1094" s="421"/>
      <c r="AK1094" s="421"/>
      <c r="AL1094" s="421"/>
    </row>
    <row r="1095" spans="1:38">
      <c r="A1095" s="3">
        <v>5856</v>
      </c>
      <c r="B1095" s="83">
        <f t="array" ref="B1095">SUM(--(FREQUENCY(IF(C$2:C$3077=C1095, MATCH(D$2:D$3077, D$2:D$3077, 0)), ROW(D$2:D$3077)-ROW(D$2)+1) &gt; 0))</f>
        <v>30</v>
      </c>
      <c r="C1095" s="3">
        <v>41200109</v>
      </c>
      <c r="D1095" s="6" t="s">
        <v>2774</v>
      </c>
      <c r="E1095" s="3" t="s">
        <v>1585</v>
      </c>
      <c r="F1095" s="3" t="s">
        <v>1591</v>
      </c>
      <c r="G1095" s="68" t="str">
        <f t="shared" si="175"/>
        <v>SINGLE</v>
      </c>
      <c r="H1095" s="197">
        <f t="shared" ref="H1095" si="185">WEEKNUM(K1095)</f>
        <v>35</v>
      </c>
      <c r="I1095" s="197">
        <v>8</v>
      </c>
      <c r="J1095" s="197">
        <v>26</v>
      </c>
      <c r="K1095" s="186">
        <f t="shared" ref="K1095" si="186">DATE(2025, I1095, J1095)</f>
        <v>45895</v>
      </c>
      <c r="L1095" s="3" t="s">
        <v>2395</v>
      </c>
      <c r="M1095" s="3" t="s">
        <v>2392</v>
      </c>
      <c r="N1095" s="408" t="str">
        <f t="shared" ref="N1095" si="187">IF(O1095&lt;&gt;"", "NG", "")</f>
        <v>NG</v>
      </c>
      <c r="O1095" s="408" t="s">
        <v>2368</v>
      </c>
      <c r="P1095" s="408" t="s">
        <v>2376</v>
      </c>
      <c r="Q1095" s="408">
        <v>11005506</v>
      </c>
      <c r="R1095" s="408" t="s">
        <v>370</v>
      </c>
      <c r="S1095" s="408" t="s">
        <v>2776</v>
      </c>
      <c r="T1095" s="408"/>
      <c r="U1095" s="408"/>
      <c r="V1095" s="421"/>
      <c r="W1095" s="421"/>
      <c r="X1095" s="421"/>
      <c r="Y1095" s="421"/>
      <c r="Z1095" s="421"/>
      <c r="AA1095" s="421"/>
      <c r="AB1095" s="421"/>
      <c r="AC1095" s="421"/>
      <c r="AD1095" s="421"/>
      <c r="AE1095" s="421"/>
      <c r="AF1095" s="421"/>
      <c r="AG1095" s="421"/>
      <c r="AH1095" s="421"/>
      <c r="AI1095" s="421"/>
      <c r="AJ1095" s="421"/>
      <c r="AK1095" s="421"/>
      <c r="AL1095" s="421"/>
    </row>
    <row r="1096" spans="1:38">
      <c r="A1096" s="3">
        <v>5811</v>
      </c>
      <c r="B1096" s="83">
        <f t="array" ref="B1096">SUM(--(FREQUENCY(IF(C$2:C$3077=C1096, MATCH(D$2:D$3077, D$2:D$3077, 0)), ROW(D$2:D$3077)-ROW(D$2)+1) &gt; 0))</f>
        <v>6</v>
      </c>
      <c r="C1096" s="3">
        <v>41100550</v>
      </c>
      <c r="D1096" s="6" t="s">
        <v>2777</v>
      </c>
      <c r="E1096" s="3" t="s">
        <v>1405</v>
      </c>
      <c r="F1096" s="3" t="s">
        <v>1477</v>
      </c>
      <c r="G1096" s="68" t="str">
        <f t="shared" si="175"/>
        <v>SINGLE</v>
      </c>
      <c r="H1096" s="197">
        <f t="shared" si="183"/>
        <v>35</v>
      </c>
      <c r="I1096" s="197">
        <v>8</v>
      </c>
      <c r="J1096" s="197">
        <v>26</v>
      </c>
      <c r="K1096" s="186">
        <f t="shared" si="184"/>
        <v>45895</v>
      </c>
      <c r="L1096" s="3" t="s">
        <v>2395</v>
      </c>
      <c r="M1096" s="3" t="s">
        <v>1468</v>
      </c>
      <c r="N1096" s="408" t="str">
        <f t="shared" si="149"/>
        <v>NG</v>
      </c>
      <c r="O1096" s="408" t="s">
        <v>2368</v>
      </c>
      <c r="P1096" s="408" t="s">
        <v>2371</v>
      </c>
      <c r="Q1096" s="408">
        <v>11001964</v>
      </c>
      <c r="R1096" s="408" t="s">
        <v>562</v>
      </c>
      <c r="S1096" s="408" t="s">
        <v>2778</v>
      </c>
      <c r="T1096" s="408"/>
      <c r="U1096" s="408"/>
      <c r="V1096" s="421"/>
      <c r="W1096" s="421"/>
      <c r="X1096" s="421"/>
      <c r="Y1096" s="421"/>
      <c r="Z1096" s="421"/>
      <c r="AA1096" s="421"/>
      <c r="AB1096" s="421"/>
      <c r="AC1096" s="421"/>
      <c r="AD1096" s="421"/>
      <c r="AE1096" s="421"/>
      <c r="AF1096" s="421"/>
      <c r="AG1096" s="421"/>
      <c r="AH1096" s="421"/>
      <c r="AI1096" s="421"/>
      <c r="AJ1096" s="421"/>
      <c r="AK1096" s="421"/>
      <c r="AL1096" s="421"/>
    </row>
    <row r="1097" spans="1:38">
      <c r="A1097" s="3">
        <v>5811</v>
      </c>
      <c r="B1097" s="83">
        <f t="array" ref="B1097">SUM(--(FREQUENCY(IF(C$2:C$3077=C1097, MATCH(D$2:D$3077, D$2:D$3077, 0)), ROW(D$2:D$3077)-ROW(D$2)+1) &gt; 0))</f>
        <v>6</v>
      </c>
      <c r="C1097" s="3">
        <v>41100550</v>
      </c>
      <c r="D1097" s="6" t="s">
        <v>2777</v>
      </c>
      <c r="E1097" s="3" t="s">
        <v>1405</v>
      </c>
      <c r="F1097" s="3" t="s">
        <v>1477</v>
      </c>
      <c r="G1097" s="68" t="str">
        <f t="shared" si="175"/>
        <v>SINGLE</v>
      </c>
      <c r="H1097" s="197">
        <f t="shared" ref="H1097" si="188">WEEKNUM(K1097)</f>
        <v>35</v>
      </c>
      <c r="I1097" s="197">
        <v>8</v>
      </c>
      <c r="J1097" s="197">
        <v>26</v>
      </c>
      <c r="K1097" s="186">
        <f t="shared" ref="K1097" si="189">DATE(2025, I1097, J1097)</f>
        <v>45895</v>
      </c>
      <c r="L1097" s="3" t="s">
        <v>2395</v>
      </c>
      <c r="M1097" s="3" t="s">
        <v>1468</v>
      </c>
      <c r="N1097" s="408" t="str">
        <f t="shared" si="149"/>
        <v>NG</v>
      </c>
      <c r="O1097" s="408" t="s">
        <v>2368</v>
      </c>
      <c r="P1097" s="408" t="s">
        <v>2371</v>
      </c>
      <c r="Q1097" s="408">
        <v>11001964</v>
      </c>
      <c r="R1097" s="408" t="s">
        <v>562</v>
      </c>
      <c r="S1097" s="408" t="s">
        <v>2778</v>
      </c>
      <c r="T1097" s="408"/>
      <c r="U1097" s="408"/>
      <c r="V1097" s="421"/>
      <c r="W1097" s="421"/>
      <c r="X1097" s="421"/>
      <c r="Y1097" s="421"/>
      <c r="Z1097" s="421"/>
      <c r="AA1097" s="421"/>
      <c r="AB1097" s="421"/>
      <c r="AC1097" s="421"/>
      <c r="AD1097" s="421"/>
      <c r="AE1097" s="421"/>
      <c r="AF1097" s="421"/>
      <c r="AG1097" s="421"/>
      <c r="AH1097" s="421"/>
      <c r="AI1097" s="421"/>
      <c r="AJ1097" s="421"/>
      <c r="AK1097" s="421"/>
      <c r="AL1097" s="421"/>
    </row>
    <row r="1098" spans="1:38">
      <c r="A1098" s="3">
        <v>5811</v>
      </c>
      <c r="B1098" s="83">
        <f t="array" ref="B1098">SUM(--(FREQUENCY(IF(C$2:C$3077=C1098, MATCH(D$2:D$3077, D$2:D$3077, 0)), ROW(D$2:D$3077)-ROW(D$2)+1) &gt; 0))</f>
        <v>6</v>
      </c>
      <c r="C1098" s="3">
        <v>41100550</v>
      </c>
      <c r="D1098" s="6" t="s">
        <v>2779</v>
      </c>
      <c r="E1098" s="3" t="s">
        <v>1405</v>
      </c>
      <c r="F1098" s="3" t="s">
        <v>1477</v>
      </c>
      <c r="G1098" s="68" t="str">
        <f t="shared" si="175"/>
        <v>SINGLE</v>
      </c>
      <c r="H1098" s="197">
        <f t="shared" si="183"/>
        <v>35</v>
      </c>
      <c r="I1098" s="197">
        <v>8</v>
      </c>
      <c r="J1098" s="197">
        <v>26</v>
      </c>
      <c r="K1098" s="186">
        <f t="shared" si="184"/>
        <v>45895</v>
      </c>
      <c r="L1098" s="3" t="s">
        <v>2395</v>
      </c>
      <c r="M1098" s="3" t="s">
        <v>1468</v>
      </c>
      <c r="N1098" s="408" t="str">
        <f t="shared" ref="N1098" si="190">IF(O1098&lt;&gt;"", "NG", "")</f>
        <v>NG</v>
      </c>
      <c r="O1098" s="408" t="s">
        <v>2368</v>
      </c>
      <c r="P1098" s="408" t="s">
        <v>2371</v>
      </c>
      <c r="Q1098" s="408">
        <v>11001968</v>
      </c>
      <c r="R1098" s="408" t="s">
        <v>473</v>
      </c>
      <c r="S1098" s="408" t="s">
        <v>2780</v>
      </c>
      <c r="T1098" s="408"/>
      <c r="U1098" s="408"/>
      <c r="V1098" s="421"/>
      <c r="W1098" s="421"/>
      <c r="X1098" s="421"/>
      <c r="Y1098" s="421"/>
      <c r="Z1098" s="421"/>
      <c r="AA1098" s="421"/>
      <c r="AB1098" s="421"/>
      <c r="AC1098" s="421"/>
      <c r="AD1098" s="421"/>
      <c r="AE1098" s="421"/>
      <c r="AF1098" s="421"/>
      <c r="AG1098" s="421"/>
      <c r="AH1098" s="421"/>
      <c r="AI1098" s="421"/>
      <c r="AJ1098" s="421"/>
      <c r="AK1098" s="421"/>
      <c r="AL1098" s="421"/>
    </row>
    <row r="1099" spans="1:38">
      <c r="A1099" s="3">
        <v>5811</v>
      </c>
      <c r="B1099" s="83">
        <f t="array" ref="B1099">SUM(--(FREQUENCY(IF(C$2:C$3077=C1099, MATCH(D$2:D$3077, D$2:D$3077, 0)), ROW(D$2:D$3077)-ROW(D$2)+1) &gt; 0))</f>
        <v>6</v>
      </c>
      <c r="C1099" s="3">
        <v>41100550</v>
      </c>
      <c r="D1099" s="6" t="s">
        <v>2779</v>
      </c>
      <c r="E1099" s="3" t="s">
        <v>1405</v>
      </c>
      <c r="F1099" s="3" t="s">
        <v>1477</v>
      </c>
      <c r="G1099" s="68" t="str">
        <f t="shared" si="175"/>
        <v>SINGLE</v>
      </c>
      <c r="H1099" s="197">
        <f t="shared" ref="H1099" si="191">WEEKNUM(K1099)</f>
        <v>35</v>
      </c>
      <c r="I1099" s="197">
        <v>8</v>
      </c>
      <c r="J1099" s="197">
        <v>26</v>
      </c>
      <c r="K1099" s="186">
        <f t="shared" ref="K1099" si="192">DATE(2025, I1099, J1099)</f>
        <v>45895</v>
      </c>
      <c r="L1099" s="3" t="s">
        <v>2395</v>
      </c>
      <c r="M1099" s="3" t="s">
        <v>1468</v>
      </c>
      <c r="N1099" s="408" t="str">
        <f t="shared" ref="N1099" si="193">IF(O1099&lt;&gt;"", "NG", "")</f>
        <v>NG</v>
      </c>
      <c r="O1099" s="408" t="s">
        <v>2368</v>
      </c>
      <c r="P1099" s="408" t="s">
        <v>2371</v>
      </c>
      <c r="Q1099" s="408">
        <v>11001968</v>
      </c>
      <c r="R1099" s="408" t="s">
        <v>473</v>
      </c>
      <c r="S1099" s="408" t="s">
        <v>2780</v>
      </c>
      <c r="T1099" s="408"/>
      <c r="U1099" s="408"/>
      <c r="V1099" s="421"/>
      <c r="W1099" s="421"/>
      <c r="X1099" s="421"/>
      <c r="Y1099" s="421"/>
      <c r="Z1099" s="421"/>
      <c r="AA1099" s="421"/>
      <c r="AB1099" s="421"/>
      <c r="AC1099" s="421"/>
      <c r="AD1099" s="421"/>
      <c r="AE1099" s="421"/>
      <c r="AF1099" s="421"/>
      <c r="AG1099" s="421"/>
      <c r="AH1099" s="421"/>
      <c r="AI1099" s="421"/>
      <c r="AJ1099" s="421"/>
      <c r="AK1099" s="421"/>
      <c r="AL1099" s="421"/>
    </row>
    <row r="1100" spans="1:38">
      <c r="A1100" s="3">
        <v>5954</v>
      </c>
      <c r="B1100" s="83">
        <f t="array" ref="B1100">SUM(--(FREQUENCY(IF(C$2:C$3077=C1100, MATCH(D$2:D$3077, D$2:D$3077, 0)), ROW(D$2:D$3077)-ROW(D$2)+1) &gt; 0))</f>
        <v>63</v>
      </c>
      <c r="C1100" s="3">
        <v>41200006</v>
      </c>
      <c r="D1100" s="6" t="s">
        <v>2781</v>
      </c>
      <c r="E1100" s="3" t="s">
        <v>1405</v>
      </c>
      <c r="F1100" s="3" t="s">
        <v>1477</v>
      </c>
      <c r="G1100" s="68" t="str">
        <f t="shared" si="175"/>
        <v>SINGLE</v>
      </c>
      <c r="H1100" s="197">
        <f t="shared" si="183"/>
        <v>35</v>
      </c>
      <c r="I1100" s="197">
        <v>8</v>
      </c>
      <c r="J1100" s="197">
        <v>26</v>
      </c>
      <c r="K1100" s="186">
        <f t="shared" si="184"/>
        <v>45895</v>
      </c>
      <c r="L1100" s="3" t="s">
        <v>2391</v>
      </c>
      <c r="M1100" s="3" t="s">
        <v>1468</v>
      </c>
      <c r="N1100" s="408" t="str">
        <f t="shared" ref="N1100:N1167" si="194">IF(O1100&lt;&gt;"", "NG", "")</f>
        <v>NG</v>
      </c>
      <c r="O1100" s="408" t="s">
        <v>2368</v>
      </c>
      <c r="P1100" s="408" t="s">
        <v>2371</v>
      </c>
      <c r="Q1100" s="408">
        <v>11001968</v>
      </c>
      <c r="R1100" s="408" t="s">
        <v>473</v>
      </c>
      <c r="S1100" s="408" t="s">
        <v>2780</v>
      </c>
      <c r="T1100" s="408"/>
      <c r="U1100" s="408"/>
      <c r="V1100" s="421"/>
      <c r="W1100" s="421"/>
      <c r="X1100" s="421"/>
      <c r="Y1100" s="421"/>
      <c r="Z1100" s="421"/>
      <c r="AA1100" s="421"/>
      <c r="AB1100" s="421"/>
      <c r="AC1100" s="421"/>
      <c r="AD1100" s="421"/>
      <c r="AE1100" s="421"/>
      <c r="AF1100" s="421"/>
      <c r="AG1100" s="421"/>
      <c r="AH1100" s="421"/>
      <c r="AI1100" s="421"/>
      <c r="AJ1100" s="421"/>
      <c r="AK1100" s="421"/>
      <c r="AL1100" s="421"/>
    </row>
    <row r="1101" spans="1:38">
      <c r="A1101" s="3">
        <v>5954</v>
      </c>
      <c r="B1101" s="83">
        <f t="array" ref="B1101">SUM(--(FREQUENCY(IF(C$2:C$3077=C1101, MATCH(D$2:D$3077, D$2:D$3077, 0)), ROW(D$2:D$3077)-ROW(D$2)+1) &gt; 0))</f>
        <v>63</v>
      </c>
      <c r="C1101" s="3">
        <v>41200006</v>
      </c>
      <c r="D1101" s="6" t="s">
        <v>2782</v>
      </c>
      <c r="E1101" s="3" t="s">
        <v>1405</v>
      </c>
      <c r="F1101" s="3" t="s">
        <v>1477</v>
      </c>
      <c r="G1101" s="68" t="str">
        <f t="shared" si="175"/>
        <v>SINGLE</v>
      </c>
      <c r="H1101" s="197">
        <f t="shared" si="183"/>
        <v>35</v>
      </c>
      <c r="I1101" s="197">
        <v>8</v>
      </c>
      <c r="J1101" s="197">
        <v>26</v>
      </c>
      <c r="K1101" s="186">
        <f t="shared" si="184"/>
        <v>45895</v>
      </c>
      <c r="L1101" s="3" t="s">
        <v>2391</v>
      </c>
      <c r="M1101" s="3" t="s">
        <v>1468</v>
      </c>
      <c r="N1101" s="408" t="str">
        <f t="shared" si="194"/>
        <v/>
      </c>
      <c r="O1101" s="408"/>
      <c r="P1101" s="408"/>
      <c r="Q1101" s="408"/>
      <c r="R1101" s="408"/>
      <c r="S1101" s="408"/>
      <c r="T1101" s="408"/>
      <c r="U1101" s="408"/>
      <c r="V1101" s="421"/>
      <c r="W1101" s="421"/>
      <c r="X1101" s="421"/>
      <c r="Y1101" s="421"/>
      <c r="Z1101" s="421"/>
      <c r="AA1101" s="421"/>
      <c r="AB1101" s="421"/>
      <c r="AC1101" s="421"/>
      <c r="AD1101" s="421"/>
      <c r="AE1101" s="421"/>
      <c r="AF1101" s="421"/>
      <c r="AG1101" s="421"/>
      <c r="AH1101" s="421"/>
      <c r="AI1101" s="421"/>
      <c r="AJ1101" s="421"/>
      <c r="AK1101" s="421"/>
      <c r="AL1101" s="421"/>
    </row>
    <row r="1102" spans="1:38">
      <c r="A1102" s="3">
        <v>5886</v>
      </c>
      <c r="B1102" s="83">
        <f t="array" ref="B1102">SUM(--(FREQUENCY(IF(C$2:C$3077=C1102, MATCH(D$2:D$3077, D$2:D$3077, 0)), ROW(D$2:D$3077)-ROW(D$2)+1) &gt; 0))</f>
        <v>63</v>
      </c>
      <c r="C1102" s="3">
        <v>41200006</v>
      </c>
      <c r="D1102" s="6" t="s">
        <v>2783</v>
      </c>
      <c r="E1102" s="3" t="s">
        <v>1405</v>
      </c>
      <c r="F1102" s="3" t="s">
        <v>1477</v>
      </c>
      <c r="G1102" s="68" t="str">
        <f t="shared" si="175"/>
        <v>SINGLE</v>
      </c>
      <c r="H1102" s="197">
        <f t="shared" si="183"/>
        <v>35</v>
      </c>
      <c r="I1102" s="197">
        <v>8</v>
      </c>
      <c r="J1102" s="197">
        <v>26</v>
      </c>
      <c r="K1102" s="186">
        <f t="shared" si="184"/>
        <v>45895</v>
      </c>
      <c r="L1102" s="3" t="s">
        <v>2395</v>
      </c>
      <c r="M1102" s="3" t="s">
        <v>1469</v>
      </c>
      <c r="N1102" s="408" t="str">
        <f t="shared" si="194"/>
        <v>NG</v>
      </c>
      <c r="O1102" s="408" t="s">
        <v>2368</v>
      </c>
      <c r="P1102" s="408" t="s">
        <v>1385</v>
      </c>
      <c r="Q1102" s="408">
        <v>11003665</v>
      </c>
      <c r="R1102" s="408" t="s">
        <v>284</v>
      </c>
      <c r="S1102" s="408" t="s">
        <v>2784</v>
      </c>
      <c r="T1102" s="408"/>
      <c r="U1102" s="408"/>
      <c r="V1102" s="421"/>
      <c r="W1102" s="421"/>
      <c r="X1102" s="421"/>
      <c r="Y1102" s="421"/>
      <c r="Z1102" s="421"/>
      <c r="AA1102" s="421"/>
      <c r="AB1102" s="421"/>
      <c r="AC1102" s="421"/>
      <c r="AD1102" s="421"/>
      <c r="AE1102" s="421"/>
      <c r="AF1102" s="421"/>
      <c r="AG1102" s="421"/>
      <c r="AH1102" s="421"/>
      <c r="AI1102" s="421"/>
      <c r="AJ1102" s="421"/>
      <c r="AK1102" s="421"/>
      <c r="AL1102" s="421"/>
    </row>
    <row r="1103" spans="1:38">
      <c r="A1103" s="3">
        <v>5886</v>
      </c>
      <c r="B1103" s="83">
        <f t="array" ref="B1103">SUM(--(FREQUENCY(IF(C$2:C$3077=C1103, MATCH(D$2:D$3077, D$2:D$3077, 0)), ROW(D$2:D$3077)-ROW(D$2)+1) &gt; 0))</f>
        <v>63</v>
      </c>
      <c r="C1103" s="3">
        <v>41200006</v>
      </c>
      <c r="D1103" s="6" t="s">
        <v>2785</v>
      </c>
      <c r="E1103" s="3" t="s">
        <v>1405</v>
      </c>
      <c r="F1103" s="3" t="s">
        <v>1477</v>
      </c>
      <c r="G1103" s="68" t="str">
        <f t="shared" si="175"/>
        <v>SINGLE</v>
      </c>
      <c r="H1103" s="197">
        <f t="shared" si="183"/>
        <v>35</v>
      </c>
      <c r="I1103" s="197">
        <v>8</v>
      </c>
      <c r="J1103" s="197">
        <v>26</v>
      </c>
      <c r="K1103" s="186">
        <f t="shared" si="184"/>
        <v>45895</v>
      </c>
      <c r="L1103" s="3" t="s">
        <v>2395</v>
      </c>
      <c r="M1103" s="3" t="s">
        <v>1469</v>
      </c>
      <c r="N1103" s="408" t="str">
        <f t="shared" si="194"/>
        <v/>
      </c>
      <c r="O1103" s="408"/>
      <c r="P1103" s="408"/>
      <c r="Q1103" s="408"/>
      <c r="R1103" s="408"/>
      <c r="S1103" s="408"/>
      <c r="T1103" s="408"/>
      <c r="U1103" s="408"/>
      <c r="V1103" s="421"/>
      <c r="W1103" s="421"/>
      <c r="X1103" s="421"/>
      <c r="Y1103" s="421"/>
      <c r="Z1103" s="421"/>
      <c r="AA1103" s="421"/>
      <c r="AB1103" s="421"/>
      <c r="AC1103" s="421"/>
      <c r="AD1103" s="421"/>
      <c r="AE1103" s="421"/>
      <c r="AF1103" s="421"/>
      <c r="AG1103" s="421"/>
      <c r="AH1103" s="421"/>
      <c r="AI1103" s="421"/>
      <c r="AJ1103" s="421"/>
      <c r="AK1103" s="421"/>
      <c r="AL1103" s="421"/>
    </row>
    <row r="1104" spans="1:38">
      <c r="A1104" s="3">
        <v>5813</v>
      </c>
      <c r="B1104" s="83">
        <f t="array" ref="B1104">SUM(--(FREQUENCY(IF(C$2:C$3079=C1104, MATCH(D$2:D$3079, D$2:D$3079, 0)), ROW(D$2:D$3079)-ROW(D$2)+1) &gt; 0))</f>
        <v>4</v>
      </c>
      <c r="C1104" s="326">
        <v>41100227</v>
      </c>
      <c r="D1104" s="6" t="s">
        <v>2786</v>
      </c>
      <c r="E1104" s="3" t="s">
        <v>1424</v>
      </c>
      <c r="F1104" s="3" t="s">
        <v>1476</v>
      </c>
      <c r="G1104" s="68" t="str">
        <f t="shared" si="175"/>
        <v>DUAL</v>
      </c>
      <c r="H1104" s="197">
        <f>WEEKNUM(K1104)</f>
        <v>35</v>
      </c>
      <c r="I1104" s="197">
        <v>8</v>
      </c>
      <c r="J1104" s="197">
        <v>26</v>
      </c>
      <c r="K1104" s="186">
        <f>DATE(2025, I1104, J1104)</f>
        <v>45895</v>
      </c>
      <c r="L1104" s="3" t="s">
        <v>2395</v>
      </c>
      <c r="M1104" s="3" t="s">
        <v>1469</v>
      </c>
      <c r="N1104" s="408" t="str">
        <f t="shared" si="194"/>
        <v/>
      </c>
      <c r="O1104" s="408"/>
      <c r="P1104" s="408"/>
      <c r="Q1104" s="408"/>
      <c r="R1104" s="408"/>
      <c r="S1104" s="408"/>
      <c r="T1104" s="408"/>
      <c r="U1104" s="408"/>
      <c r="V1104" s="421"/>
      <c r="W1104" s="421"/>
      <c r="X1104" s="421"/>
      <c r="Y1104" s="421"/>
      <c r="Z1104" s="421"/>
      <c r="AA1104" s="421"/>
      <c r="AB1104" s="421"/>
      <c r="AC1104" s="421"/>
      <c r="AD1104" s="421"/>
      <c r="AE1104" s="421"/>
      <c r="AF1104" s="421"/>
      <c r="AG1104" s="421"/>
      <c r="AH1104" s="421"/>
      <c r="AI1104" s="421"/>
      <c r="AJ1104" s="421"/>
      <c r="AK1104" s="421"/>
      <c r="AL1104" s="421"/>
    </row>
    <row r="1105" spans="1:38">
      <c r="A1105" s="3">
        <v>5914</v>
      </c>
      <c r="B1105" s="83">
        <f t="array" ref="B1105">SUM(--(FREQUENCY(IF(C$2:C$3077=C1105, MATCH(D$2:D$3077, D$2:D$3077, 0)), ROW(D$2:D$3077)-ROW(D$2)+1) &gt; 0))</f>
        <v>18</v>
      </c>
      <c r="C1105" s="3">
        <v>41200128</v>
      </c>
      <c r="D1105" s="6" t="s">
        <v>2787</v>
      </c>
      <c r="E1105" s="3" t="s">
        <v>1431</v>
      </c>
      <c r="F1105" s="3" t="s">
        <v>1591</v>
      </c>
      <c r="G1105" s="68" t="str">
        <f t="shared" si="175"/>
        <v>SINGLE</v>
      </c>
      <c r="H1105" s="197">
        <f t="shared" ref="H1105:H1112" si="195">WEEKNUM(K1105)</f>
        <v>35</v>
      </c>
      <c r="I1105" s="197">
        <v>8</v>
      </c>
      <c r="J1105" s="197">
        <v>27</v>
      </c>
      <c r="K1105" s="186">
        <f t="shared" ref="K1105:K1112" si="196">DATE(2025, I1105, J1105)</f>
        <v>45896</v>
      </c>
      <c r="L1105" s="3" t="s">
        <v>2395</v>
      </c>
      <c r="M1105" s="3" t="s">
        <v>2392</v>
      </c>
      <c r="N1105" s="408" t="str">
        <f t="shared" si="194"/>
        <v/>
      </c>
      <c r="O1105" s="408"/>
      <c r="P1105" s="408"/>
      <c r="Q1105" s="408"/>
      <c r="R1105" s="408"/>
      <c r="S1105" s="408"/>
      <c r="T1105" s="408"/>
      <c r="U1105" s="408"/>
      <c r="V1105" s="421"/>
      <c r="W1105" s="421"/>
      <c r="X1105" s="421"/>
      <c r="Y1105" s="421"/>
      <c r="Z1105" s="421"/>
      <c r="AA1105" s="421"/>
      <c r="AB1105" s="421"/>
      <c r="AC1105" s="421"/>
      <c r="AD1105" s="421"/>
      <c r="AE1105" s="421"/>
      <c r="AF1105" s="421"/>
      <c r="AG1105" s="421"/>
      <c r="AH1105" s="421"/>
      <c r="AI1105" s="421"/>
      <c r="AJ1105" s="421"/>
      <c r="AK1105" s="421"/>
      <c r="AL1105" s="421"/>
    </row>
    <row r="1106" spans="1:38">
      <c r="A1106" s="3">
        <v>5953</v>
      </c>
      <c r="B1106" s="83">
        <f t="array" ref="B1106">SUM(--(FREQUENCY(IF(C$2:C$3077=C1106, MATCH(D$2:D$3077, D$2:D$3077, 0)), ROW(D$2:D$3077)-ROW(D$2)+1) &gt; 0))</f>
        <v>20</v>
      </c>
      <c r="C1106" s="3">
        <v>41200074</v>
      </c>
      <c r="D1106" s="6" t="s">
        <v>2788</v>
      </c>
      <c r="E1106" s="3" t="s">
        <v>1405</v>
      </c>
      <c r="F1106" s="3" t="s">
        <v>1478</v>
      </c>
      <c r="G1106" s="68" t="str">
        <f t="shared" si="175"/>
        <v>DUAL</v>
      </c>
      <c r="H1106" s="197">
        <f t="shared" si="195"/>
        <v>35</v>
      </c>
      <c r="I1106" s="197">
        <v>8</v>
      </c>
      <c r="J1106" s="197">
        <v>27</v>
      </c>
      <c r="K1106" s="186">
        <f t="shared" si="196"/>
        <v>45896</v>
      </c>
      <c r="L1106" s="3" t="s">
        <v>2395</v>
      </c>
      <c r="M1106" s="3" t="s">
        <v>2392</v>
      </c>
      <c r="N1106" s="408" t="str">
        <f t="shared" si="194"/>
        <v/>
      </c>
      <c r="O1106" s="408"/>
      <c r="P1106" s="408"/>
      <c r="Q1106" s="408"/>
      <c r="R1106" s="408"/>
      <c r="S1106" s="408"/>
      <c r="T1106" s="408"/>
      <c r="U1106" s="408"/>
      <c r="V1106" s="421"/>
      <c r="W1106" s="421"/>
      <c r="X1106" s="421"/>
      <c r="Y1106" s="421"/>
      <c r="Z1106" s="421"/>
      <c r="AA1106" s="421"/>
      <c r="AB1106" s="421"/>
      <c r="AC1106" s="421"/>
      <c r="AD1106" s="421"/>
      <c r="AE1106" s="421"/>
      <c r="AF1106" s="421"/>
      <c r="AG1106" s="421"/>
      <c r="AH1106" s="421"/>
      <c r="AI1106" s="421"/>
      <c r="AJ1106" s="421"/>
      <c r="AK1106" s="421"/>
      <c r="AL1106" s="421"/>
    </row>
    <row r="1107" spans="1:38">
      <c r="A1107" s="3">
        <v>5953</v>
      </c>
      <c r="B1107" s="83">
        <f t="array" ref="B1107">SUM(--(FREQUENCY(IF(C$2:C$3077=C1107, MATCH(D$2:D$3077, D$2:D$3077, 0)), ROW(D$2:D$3077)-ROW(D$2)+1) &gt; 0))</f>
        <v>20</v>
      </c>
      <c r="C1107" s="3">
        <v>41200074</v>
      </c>
      <c r="D1107" s="6" t="s">
        <v>2789</v>
      </c>
      <c r="E1107" s="3" t="s">
        <v>1405</v>
      </c>
      <c r="F1107" s="3" t="s">
        <v>1478</v>
      </c>
      <c r="G1107" s="68" t="str">
        <f t="shared" si="175"/>
        <v>DUAL</v>
      </c>
      <c r="H1107" s="197">
        <f t="shared" si="195"/>
        <v>35</v>
      </c>
      <c r="I1107" s="197">
        <v>8</v>
      </c>
      <c r="J1107" s="197">
        <v>27</v>
      </c>
      <c r="K1107" s="186">
        <f t="shared" si="196"/>
        <v>45896</v>
      </c>
      <c r="L1107" s="3" t="s">
        <v>2395</v>
      </c>
      <c r="M1107" s="3" t="s">
        <v>2392</v>
      </c>
      <c r="N1107" s="408" t="str">
        <f t="shared" si="194"/>
        <v/>
      </c>
      <c r="O1107" s="408"/>
      <c r="P1107" s="408"/>
      <c r="Q1107" s="408"/>
      <c r="R1107" s="408"/>
      <c r="S1107" s="408"/>
      <c r="T1107" s="408"/>
      <c r="U1107" s="408"/>
      <c r="V1107" s="421"/>
      <c r="W1107" s="421"/>
      <c r="X1107" s="421"/>
      <c r="Y1107" s="421"/>
      <c r="Z1107" s="421"/>
      <c r="AA1107" s="421"/>
      <c r="AB1107" s="421"/>
      <c r="AC1107" s="421"/>
      <c r="AD1107" s="421"/>
      <c r="AE1107" s="421"/>
      <c r="AF1107" s="421"/>
      <c r="AG1107" s="421"/>
      <c r="AH1107" s="421"/>
      <c r="AI1107" s="421"/>
      <c r="AJ1107" s="421"/>
      <c r="AK1107" s="421"/>
      <c r="AL1107" s="421"/>
    </row>
    <row r="1108" spans="1:38">
      <c r="A1108" s="3">
        <v>5954</v>
      </c>
      <c r="B1108" s="83">
        <f t="array" ref="B1108">SUM(--(FREQUENCY(IF(C$2:C$3077=C1108, MATCH(D$2:D$3077, D$2:D$3077, 0)), ROW(D$2:D$3077)-ROW(D$2)+1) &gt; 0))</f>
        <v>63</v>
      </c>
      <c r="C1108" s="3">
        <v>41200006</v>
      </c>
      <c r="D1108" s="6" t="s">
        <v>2790</v>
      </c>
      <c r="E1108" s="3" t="s">
        <v>1405</v>
      </c>
      <c r="F1108" s="3" t="s">
        <v>1477</v>
      </c>
      <c r="G1108" s="68" t="str">
        <f t="shared" si="175"/>
        <v>SINGLE</v>
      </c>
      <c r="H1108" s="197">
        <f t="shared" si="195"/>
        <v>35</v>
      </c>
      <c r="I1108" s="197">
        <v>8</v>
      </c>
      <c r="J1108" s="197">
        <v>27</v>
      </c>
      <c r="K1108" s="186">
        <f t="shared" si="196"/>
        <v>45896</v>
      </c>
      <c r="L1108" s="3" t="s">
        <v>2391</v>
      </c>
      <c r="M1108" s="3" t="s">
        <v>1468</v>
      </c>
      <c r="N1108" s="408" t="str">
        <f t="shared" si="194"/>
        <v/>
      </c>
      <c r="O1108" s="408"/>
      <c r="P1108" s="408"/>
      <c r="Q1108" s="408"/>
      <c r="R1108" s="408"/>
      <c r="S1108" s="408"/>
      <c r="T1108" s="408"/>
      <c r="U1108" s="408"/>
      <c r="V1108" s="421"/>
      <c r="W1108" s="421"/>
      <c r="X1108" s="421"/>
      <c r="Y1108" s="421"/>
      <c r="Z1108" s="421"/>
      <c r="AA1108" s="421"/>
      <c r="AB1108" s="421"/>
      <c r="AC1108" s="421"/>
      <c r="AD1108" s="421"/>
      <c r="AE1108" s="421"/>
      <c r="AF1108" s="421"/>
      <c r="AG1108" s="421"/>
      <c r="AH1108" s="421"/>
      <c r="AI1108" s="421"/>
      <c r="AJ1108" s="421"/>
      <c r="AK1108" s="421"/>
      <c r="AL1108" s="421"/>
    </row>
    <row r="1109" spans="1:38">
      <c r="A1109" s="3">
        <v>5954</v>
      </c>
      <c r="B1109" s="83">
        <f t="array" ref="B1109">SUM(--(FREQUENCY(IF(C$2:C$3077=C1109, MATCH(D$2:D$3077, D$2:D$3077, 0)), ROW(D$2:D$3077)-ROW(D$2)+1) &gt; 0))</f>
        <v>63</v>
      </c>
      <c r="C1109" s="3">
        <v>41200006</v>
      </c>
      <c r="D1109" s="6" t="s">
        <v>2791</v>
      </c>
      <c r="E1109" s="3" t="s">
        <v>1405</v>
      </c>
      <c r="F1109" s="3" t="s">
        <v>1477</v>
      </c>
      <c r="G1109" s="68" t="str">
        <f t="shared" si="175"/>
        <v>SINGLE</v>
      </c>
      <c r="H1109" s="197">
        <f t="shared" si="195"/>
        <v>35</v>
      </c>
      <c r="I1109" s="197">
        <v>8</v>
      </c>
      <c r="J1109" s="197">
        <v>27</v>
      </c>
      <c r="K1109" s="186">
        <f t="shared" si="196"/>
        <v>45896</v>
      </c>
      <c r="L1109" s="3" t="s">
        <v>2391</v>
      </c>
      <c r="M1109" s="3" t="s">
        <v>1468</v>
      </c>
      <c r="N1109" s="408" t="str">
        <f t="shared" si="194"/>
        <v/>
      </c>
      <c r="O1109" s="408"/>
      <c r="P1109" s="408"/>
      <c r="Q1109" s="408"/>
      <c r="R1109" s="408"/>
      <c r="S1109" s="408"/>
      <c r="T1109" s="408"/>
      <c r="U1109" s="408"/>
      <c r="V1109" s="421"/>
      <c r="W1109" s="421"/>
      <c r="X1109" s="421"/>
      <c r="Y1109" s="421"/>
      <c r="Z1109" s="421"/>
      <c r="AA1109" s="421"/>
      <c r="AB1109" s="421"/>
      <c r="AC1109" s="421"/>
      <c r="AD1109" s="421"/>
      <c r="AE1109" s="421"/>
      <c r="AF1109" s="421"/>
      <c r="AG1109" s="421"/>
      <c r="AH1109" s="421"/>
      <c r="AI1109" s="421"/>
      <c r="AJ1109" s="421"/>
      <c r="AK1109" s="421"/>
      <c r="AL1109" s="421"/>
    </row>
    <row r="1110" spans="1:38">
      <c r="A1110" s="3">
        <v>5855</v>
      </c>
      <c r="B1110" s="83">
        <f t="array" ref="B1110">SUM(--(FREQUENCY(IF(C$2:C$3077=C1110, MATCH(D$2:D$3077, D$2:D$3077, 0)), ROW(D$2:D$3077)-ROW(D$2)+1) &gt; 0))</f>
        <v>24</v>
      </c>
      <c r="C1110" s="3">
        <v>41200122</v>
      </c>
      <c r="D1110" s="6" t="s">
        <v>2792</v>
      </c>
      <c r="E1110" s="3" t="s">
        <v>1585</v>
      </c>
      <c r="F1110" s="3" t="s">
        <v>1476</v>
      </c>
      <c r="G1110" s="68" t="str">
        <f t="shared" si="175"/>
        <v>DUAL</v>
      </c>
      <c r="H1110" s="197">
        <f t="shared" si="195"/>
        <v>35</v>
      </c>
      <c r="I1110" s="197">
        <v>8</v>
      </c>
      <c r="J1110" s="197">
        <v>27</v>
      </c>
      <c r="K1110" s="186">
        <f t="shared" si="196"/>
        <v>45896</v>
      </c>
      <c r="L1110" s="3" t="s">
        <v>2391</v>
      </c>
      <c r="M1110" s="3" t="s">
        <v>1468</v>
      </c>
      <c r="N1110" s="408" t="str">
        <f t="shared" si="194"/>
        <v/>
      </c>
      <c r="O1110" s="408"/>
      <c r="P1110" s="408"/>
      <c r="Q1110" s="408"/>
      <c r="R1110" s="408"/>
      <c r="S1110" s="408"/>
      <c r="T1110" s="408"/>
      <c r="U1110" s="408"/>
      <c r="V1110" s="421"/>
      <c r="W1110" s="421"/>
      <c r="X1110" s="421"/>
      <c r="Y1110" s="421"/>
      <c r="Z1110" s="421"/>
      <c r="AA1110" s="421"/>
      <c r="AB1110" s="421"/>
      <c r="AC1110" s="421"/>
      <c r="AD1110" s="421"/>
      <c r="AE1110" s="421"/>
      <c r="AF1110" s="421"/>
      <c r="AG1110" s="421"/>
      <c r="AH1110" s="421"/>
      <c r="AI1110" s="421"/>
      <c r="AJ1110" s="421"/>
      <c r="AK1110" s="421"/>
      <c r="AL1110" s="421"/>
    </row>
    <row r="1111" spans="1:38">
      <c r="A1111" s="3">
        <v>5874</v>
      </c>
      <c r="B1111" s="83">
        <f t="array" ref="B1111">SUM(--(FREQUENCY(IF(C$2:C$3077=C1111, MATCH(D$2:D$3077, D$2:D$3077, 0)), ROW(D$2:D$3077)-ROW(D$2)+1) &gt; 0))</f>
        <v>2</v>
      </c>
      <c r="C1111" s="3">
        <v>41000556</v>
      </c>
      <c r="D1111" s="6" t="s">
        <v>2793</v>
      </c>
      <c r="E1111" s="3" t="s">
        <v>1585</v>
      </c>
      <c r="F1111" s="3" t="s">
        <v>1476</v>
      </c>
      <c r="G1111" s="68" t="str">
        <f t="shared" si="175"/>
        <v>DUAL</v>
      </c>
      <c r="H1111" s="197">
        <f t="shared" si="195"/>
        <v>35</v>
      </c>
      <c r="I1111" s="197">
        <v>8</v>
      </c>
      <c r="J1111" s="197">
        <v>27</v>
      </c>
      <c r="K1111" s="186">
        <f t="shared" si="196"/>
        <v>45896</v>
      </c>
      <c r="L1111" s="3" t="s">
        <v>2391</v>
      </c>
      <c r="M1111" s="3" t="s">
        <v>1468</v>
      </c>
      <c r="N1111" s="408" t="str">
        <f t="shared" si="194"/>
        <v/>
      </c>
      <c r="O1111" s="408"/>
      <c r="P1111" s="408"/>
      <c r="Q1111" s="408"/>
      <c r="R1111" s="408"/>
      <c r="S1111" s="408"/>
      <c r="T1111" s="408"/>
      <c r="U1111" s="408"/>
      <c r="V1111" s="421"/>
      <c r="W1111" s="421"/>
      <c r="X1111" s="421"/>
      <c r="Y1111" s="421"/>
      <c r="Z1111" s="421"/>
      <c r="AA1111" s="421"/>
      <c r="AB1111" s="421"/>
      <c r="AC1111" s="421"/>
      <c r="AD1111" s="421"/>
      <c r="AE1111" s="421"/>
      <c r="AF1111" s="421"/>
      <c r="AG1111" s="421"/>
      <c r="AH1111" s="421"/>
      <c r="AI1111" s="421"/>
      <c r="AJ1111" s="421"/>
      <c r="AK1111" s="421"/>
      <c r="AL1111" s="421"/>
    </row>
    <row r="1112" spans="1:38">
      <c r="A1112" s="3">
        <v>5996</v>
      </c>
      <c r="B1112" s="83">
        <f t="array" ref="B1112">SUM(--(FREQUENCY(IF(C$2:C$3077=C1112, MATCH(D$2:D$3077, D$2:D$3077, 0)), ROW(D$2:D$3077)-ROW(D$2)+1) &gt; 0))</f>
        <v>29</v>
      </c>
      <c r="C1112" s="3">
        <v>41200127</v>
      </c>
      <c r="D1112" s="6" t="s">
        <v>2794</v>
      </c>
      <c r="E1112" s="3" t="s">
        <v>1431</v>
      </c>
      <c r="F1112" s="3" t="s">
        <v>1591</v>
      </c>
      <c r="G1112" s="68" t="str">
        <f t="shared" ref="G1112:G1143" si="197">IF(OR(ISNUMBER(SEARCH("DUAL",F1112)), ISNUMBER(SEARCH("IVAS",F1112))), "DUAL", "SINGLE")</f>
        <v>SINGLE</v>
      </c>
      <c r="H1112" s="197">
        <f t="shared" si="195"/>
        <v>35</v>
      </c>
      <c r="I1112" s="197">
        <v>8</v>
      </c>
      <c r="J1112" s="197">
        <v>27</v>
      </c>
      <c r="K1112" s="186">
        <f t="shared" si="196"/>
        <v>45896</v>
      </c>
      <c r="L1112" s="3" t="s">
        <v>2395</v>
      </c>
      <c r="M1112" s="3" t="s">
        <v>1469</v>
      </c>
      <c r="N1112" s="408" t="str">
        <f t="shared" si="194"/>
        <v/>
      </c>
      <c r="O1112" s="408"/>
      <c r="P1112" s="408"/>
      <c r="Q1112" s="408"/>
      <c r="R1112" s="408"/>
      <c r="S1112" s="408"/>
      <c r="T1112" s="408"/>
      <c r="U1112" s="408"/>
      <c r="V1112" s="421"/>
      <c r="W1112" s="421"/>
      <c r="X1112" s="421"/>
      <c r="Y1112" s="421"/>
      <c r="Z1112" s="421"/>
      <c r="AA1112" s="421"/>
      <c r="AB1112" s="421"/>
      <c r="AC1112" s="421"/>
      <c r="AD1112" s="421"/>
      <c r="AE1112" s="421"/>
      <c r="AF1112" s="421"/>
      <c r="AG1112" s="421"/>
      <c r="AH1112" s="421"/>
      <c r="AI1112" s="421"/>
      <c r="AJ1112" s="421"/>
      <c r="AK1112" s="421"/>
      <c r="AL1112" s="421"/>
    </row>
    <row r="1113" spans="1:38">
      <c r="A1113" s="3">
        <v>5789</v>
      </c>
      <c r="B1113" s="83">
        <f t="array" ref="B1113">SUM(--(FREQUENCY(IF(C$2:C$3080=C1113, MATCH(D$2:D$3080, D$2:D$3080, 0)), ROW(D$2:D$3080)-ROW(D$2)+1) &gt; 0))</f>
        <v>2</v>
      </c>
      <c r="C1113" s="3">
        <v>41100319</v>
      </c>
      <c r="D1113" s="6" t="s">
        <v>2795</v>
      </c>
      <c r="E1113" s="3" t="s">
        <v>1585</v>
      </c>
      <c r="F1113" s="3" t="s">
        <v>1476</v>
      </c>
      <c r="G1113" s="68" t="str">
        <f t="shared" si="197"/>
        <v>DUAL</v>
      </c>
      <c r="H1113" s="197">
        <f t="shared" ref="H1113:H1120" si="198">WEEKNUM(K1113)</f>
        <v>35</v>
      </c>
      <c r="I1113" s="197">
        <v>8</v>
      </c>
      <c r="J1113" s="197">
        <v>28</v>
      </c>
      <c r="K1113" s="186">
        <f t="shared" ref="K1113:K1120" si="199">DATE(2025, I1113, J1113)</f>
        <v>45897</v>
      </c>
      <c r="L1113" s="3" t="s">
        <v>2395</v>
      </c>
      <c r="M1113" s="3" t="s">
        <v>2392</v>
      </c>
      <c r="N1113" s="408" t="str">
        <f t="shared" si="194"/>
        <v/>
      </c>
      <c r="O1113" s="408"/>
      <c r="P1113" s="408"/>
      <c r="Q1113" s="408"/>
      <c r="R1113" s="408"/>
      <c r="S1113" s="408"/>
      <c r="T1113" s="408"/>
      <c r="U1113" s="408"/>
      <c r="V1113" s="421"/>
      <c r="W1113" s="421"/>
      <c r="X1113" s="421"/>
      <c r="Y1113" s="421"/>
      <c r="Z1113" s="421"/>
      <c r="AA1113" s="421"/>
      <c r="AB1113" s="421"/>
      <c r="AC1113" s="421"/>
      <c r="AD1113" s="421"/>
      <c r="AE1113" s="421"/>
      <c r="AF1113" s="421"/>
      <c r="AG1113" s="421"/>
      <c r="AH1113" s="421"/>
      <c r="AI1113" s="421"/>
      <c r="AJ1113" s="421"/>
      <c r="AK1113" s="421"/>
      <c r="AL1113" s="421"/>
    </row>
    <row r="1114" spans="1:38">
      <c r="A1114" s="3">
        <v>5823</v>
      </c>
      <c r="B1114" s="83">
        <f t="array" ref="B1114">SUM(--(FREQUENCY(IF(C$2:C$3080=C1114, MATCH(D$2:D$3080, D$2:D$3080, 0)), ROW(D$2:D$3080)-ROW(D$2)+1) &gt; 0))</f>
        <v>29</v>
      </c>
      <c r="C1114" s="3">
        <v>41200005</v>
      </c>
      <c r="D1114" s="6" t="s">
        <v>2796</v>
      </c>
      <c r="E1114" s="3" t="s">
        <v>1405</v>
      </c>
      <c r="F1114" s="3" t="s">
        <v>1591</v>
      </c>
      <c r="G1114" s="68" t="str">
        <f t="shared" si="197"/>
        <v>SINGLE</v>
      </c>
      <c r="H1114" s="197">
        <f t="shared" si="198"/>
        <v>35</v>
      </c>
      <c r="I1114" s="197">
        <v>8</v>
      </c>
      <c r="J1114" s="197">
        <v>28</v>
      </c>
      <c r="K1114" s="186">
        <f t="shared" si="199"/>
        <v>45897</v>
      </c>
      <c r="L1114" s="3" t="s">
        <v>2391</v>
      </c>
      <c r="M1114" s="3" t="s">
        <v>2392</v>
      </c>
      <c r="N1114" s="408" t="str">
        <f t="shared" si="194"/>
        <v/>
      </c>
      <c r="O1114" s="408"/>
      <c r="P1114" s="408"/>
      <c r="Q1114" s="408"/>
      <c r="R1114" s="408"/>
      <c r="S1114" s="408"/>
      <c r="T1114" s="408"/>
      <c r="U1114" s="408"/>
      <c r="V1114" s="421"/>
      <c r="W1114" s="421"/>
      <c r="X1114" s="421"/>
      <c r="Y1114" s="421"/>
      <c r="Z1114" s="421"/>
      <c r="AA1114" s="421"/>
      <c r="AB1114" s="421"/>
      <c r="AC1114" s="421"/>
      <c r="AD1114" s="421"/>
      <c r="AE1114" s="421"/>
      <c r="AF1114" s="421"/>
      <c r="AG1114" s="421"/>
      <c r="AH1114" s="421"/>
      <c r="AI1114" s="421"/>
      <c r="AJ1114" s="421"/>
      <c r="AK1114" s="421"/>
      <c r="AL1114" s="421"/>
    </row>
    <row r="1115" spans="1:38">
      <c r="A1115" s="3">
        <v>5823</v>
      </c>
      <c r="B1115" s="83">
        <f t="array" ref="B1115">SUM(--(FREQUENCY(IF(C$2:C$3080=C1115, MATCH(D$2:D$3080, D$2:D$3080, 0)), ROW(D$2:D$3080)-ROW(D$2)+1) &gt; 0))</f>
        <v>29</v>
      </c>
      <c r="C1115" s="3">
        <v>41200005</v>
      </c>
      <c r="D1115" s="6" t="s">
        <v>2797</v>
      </c>
      <c r="E1115" s="3" t="s">
        <v>1405</v>
      </c>
      <c r="F1115" s="3" t="s">
        <v>1591</v>
      </c>
      <c r="G1115" s="68" t="str">
        <f t="shared" si="197"/>
        <v>SINGLE</v>
      </c>
      <c r="H1115" s="197">
        <f t="shared" si="198"/>
        <v>35</v>
      </c>
      <c r="I1115" s="197">
        <v>8</v>
      </c>
      <c r="J1115" s="197">
        <v>28</v>
      </c>
      <c r="K1115" s="186">
        <f t="shared" si="199"/>
        <v>45897</v>
      </c>
      <c r="L1115" s="3" t="s">
        <v>2391</v>
      </c>
      <c r="M1115" s="3" t="s">
        <v>2392</v>
      </c>
      <c r="N1115" s="408" t="str">
        <f t="shared" si="194"/>
        <v/>
      </c>
      <c r="O1115" s="408"/>
      <c r="P1115" s="408"/>
      <c r="Q1115" s="408"/>
      <c r="R1115" s="408"/>
      <c r="S1115" s="408"/>
      <c r="T1115" s="408"/>
      <c r="U1115" s="408"/>
      <c r="V1115" s="421"/>
      <c r="W1115" s="421"/>
      <c r="X1115" s="421"/>
      <c r="Y1115" s="421"/>
      <c r="Z1115" s="421"/>
      <c r="AA1115" s="421"/>
      <c r="AB1115" s="421"/>
      <c r="AC1115" s="421"/>
      <c r="AD1115" s="421"/>
      <c r="AE1115" s="421"/>
      <c r="AF1115" s="421"/>
      <c r="AG1115" s="421"/>
      <c r="AH1115" s="421"/>
      <c r="AI1115" s="421"/>
      <c r="AJ1115" s="421"/>
      <c r="AK1115" s="421"/>
      <c r="AL1115" s="421"/>
    </row>
    <row r="1116" spans="1:38">
      <c r="A1116" s="3">
        <v>5825</v>
      </c>
      <c r="B1116" s="83">
        <f t="array" ref="B1116">SUM(--(FREQUENCY(IF(C$2:C$3080=C1116, MATCH(D$2:D$3080, D$2:D$3080, 0)), ROW(D$2:D$3080)-ROW(D$2)+1) &gt; 0))</f>
        <v>1</v>
      </c>
      <c r="C1116" s="3">
        <v>41000588</v>
      </c>
      <c r="D1116" s="6" t="s">
        <v>2798</v>
      </c>
      <c r="E1116" s="3" t="s">
        <v>1405</v>
      </c>
      <c r="F1116" s="3" t="s">
        <v>1581</v>
      </c>
      <c r="G1116" s="68" t="str">
        <f t="shared" si="197"/>
        <v>DUAL</v>
      </c>
      <c r="H1116" s="197">
        <f t="shared" si="198"/>
        <v>35</v>
      </c>
      <c r="I1116" s="197">
        <v>8</v>
      </c>
      <c r="J1116" s="197">
        <v>28</v>
      </c>
      <c r="K1116" s="186">
        <f t="shared" si="199"/>
        <v>45897</v>
      </c>
      <c r="L1116" s="3" t="s">
        <v>2392</v>
      </c>
      <c r="M1116" s="3" t="s">
        <v>2392</v>
      </c>
      <c r="N1116" s="408" t="str">
        <f t="shared" si="194"/>
        <v/>
      </c>
      <c r="O1116" s="408"/>
      <c r="P1116" s="408"/>
      <c r="Q1116" s="408"/>
      <c r="R1116" s="408"/>
      <c r="S1116" s="408"/>
      <c r="T1116" s="408"/>
      <c r="U1116" s="408"/>
      <c r="V1116" s="421"/>
      <c r="W1116" s="421"/>
      <c r="X1116" s="421"/>
      <c r="Y1116" s="421"/>
      <c r="Z1116" s="421"/>
      <c r="AA1116" s="421"/>
      <c r="AB1116" s="421"/>
      <c r="AC1116" s="421"/>
      <c r="AD1116" s="421"/>
      <c r="AE1116" s="421"/>
      <c r="AF1116" s="421"/>
      <c r="AG1116" s="421"/>
      <c r="AH1116" s="421"/>
      <c r="AI1116" s="421"/>
      <c r="AJ1116" s="421"/>
      <c r="AK1116" s="421"/>
      <c r="AL1116" s="421"/>
    </row>
    <row r="1117" spans="1:38">
      <c r="A1117" s="3">
        <v>5909</v>
      </c>
      <c r="B1117" s="83">
        <f t="array" ref="B1117">SUM(--(FREQUENCY(IF(C$2:C$3080=C1117, MATCH(D$2:D$3080, D$2:D$3080, 0)), ROW(D$2:D$3080)-ROW(D$2)+1) &gt; 0))</f>
        <v>18</v>
      </c>
      <c r="C1117" s="326">
        <v>41200128</v>
      </c>
      <c r="D1117" s="6" t="s">
        <v>2799</v>
      </c>
      <c r="E1117" s="3" t="s">
        <v>1431</v>
      </c>
      <c r="F1117" s="3" t="s">
        <v>1591</v>
      </c>
      <c r="G1117" s="68" t="str">
        <f t="shared" si="197"/>
        <v>SINGLE</v>
      </c>
      <c r="H1117" s="197">
        <f t="shared" si="198"/>
        <v>35</v>
      </c>
      <c r="I1117" s="197">
        <v>8</v>
      </c>
      <c r="J1117" s="197">
        <v>28</v>
      </c>
      <c r="K1117" s="186">
        <f t="shared" si="199"/>
        <v>45897</v>
      </c>
      <c r="L1117" s="3" t="s">
        <v>2395</v>
      </c>
      <c r="M1117" s="3" t="s">
        <v>2392</v>
      </c>
      <c r="N1117" s="408" t="str">
        <f t="shared" si="194"/>
        <v/>
      </c>
      <c r="O1117" s="408"/>
      <c r="P1117" s="408"/>
      <c r="Q1117" s="408"/>
      <c r="R1117" s="408"/>
      <c r="S1117" s="408"/>
      <c r="T1117" s="408"/>
      <c r="U1117" s="408"/>
      <c r="V1117" s="421"/>
      <c r="W1117" s="421"/>
      <c r="X1117" s="421"/>
      <c r="Y1117" s="421"/>
      <c r="Z1117" s="421"/>
      <c r="AA1117" s="421"/>
      <c r="AB1117" s="421"/>
      <c r="AC1117" s="421"/>
      <c r="AD1117" s="421"/>
      <c r="AE1117" s="421"/>
      <c r="AF1117" s="421"/>
      <c r="AG1117" s="421"/>
      <c r="AH1117" s="421"/>
      <c r="AI1117" s="421"/>
      <c r="AJ1117" s="421"/>
      <c r="AK1117" s="421"/>
      <c r="AL1117" s="421"/>
    </row>
    <row r="1118" spans="1:38">
      <c r="A1118" s="3">
        <v>5921</v>
      </c>
      <c r="B1118" s="83">
        <f t="array" ref="B1118">SUM(--(FREQUENCY(IF(C$2:C$3080=C1118, MATCH(D$2:D$3080, D$2:D$3080, 0)), ROW(D$2:D$3080)-ROW(D$2)+1) &gt; 0))</f>
        <v>8</v>
      </c>
      <c r="C1118" s="327">
        <v>41200046</v>
      </c>
      <c r="D1118" s="6" t="s">
        <v>2800</v>
      </c>
      <c r="E1118" s="3" t="s">
        <v>1426</v>
      </c>
      <c r="F1118" s="3" t="s">
        <v>1476</v>
      </c>
      <c r="G1118" s="68" t="str">
        <f t="shared" si="197"/>
        <v>DUAL</v>
      </c>
      <c r="H1118" s="197">
        <f t="shared" si="198"/>
        <v>35</v>
      </c>
      <c r="I1118" s="197">
        <v>8</v>
      </c>
      <c r="J1118" s="197">
        <v>28</v>
      </c>
      <c r="K1118" s="186">
        <f t="shared" si="199"/>
        <v>45897</v>
      </c>
      <c r="L1118" s="3" t="s">
        <v>2395</v>
      </c>
      <c r="M1118" s="3" t="s">
        <v>1469</v>
      </c>
      <c r="N1118" s="408" t="str">
        <f t="shared" si="194"/>
        <v/>
      </c>
      <c r="O1118" s="408"/>
      <c r="P1118" s="408"/>
      <c r="Q1118" s="408"/>
      <c r="R1118" s="408"/>
      <c r="S1118" s="408"/>
      <c r="T1118" s="408"/>
      <c r="U1118" s="408"/>
      <c r="V1118" s="421"/>
      <c r="W1118" s="421"/>
      <c r="X1118" s="421"/>
      <c r="Y1118" s="421"/>
      <c r="Z1118" s="421"/>
      <c r="AA1118" s="421"/>
      <c r="AB1118" s="421"/>
      <c r="AC1118" s="421"/>
      <c r="AD1118" s="421"/>
      <c r="AE1118" s="421"/>
      <c r="AF1118" s="421"/>
      <c r="AG1118" s="421"/>
      <c r="AH1118" s="421"/>
      <c r="AI1118" s="421"/>
      <c r="AJ1118" s="421"/>
      <c r="AK1118" s="421"/>
      <c r="AL1118" s="421"/>
    </row>
    <row r="1119" spans="1:38">
      <c r="A1119" s="3">
        <v>5921</v>
      </c>
      <c r="B1119" s="83">
        <f t="array" ref="B1119">SUM(--(FREQUENCY(IF(C$2:C$3080=C1119, MATCH(D$2:D$3080, D$2:D$3080, 0)), ROW(D$2:D$3080)-ROW(D$2)+1) &gt; 0))</f>
        <v>8</v>
      </c>
      <c r="C1119" s="3">
        <v>41200046</v>
      </c>
      <c r="D1119" s="6" t="s">
        <v>2801</v>
      </c>
      <c r="E1119" s="3" t="s">
        <v>1426</v>
      </c>
      <c r="F1119" s="3" t="s">
        <v>1476</v>
      </c>
      <c r="G1119" s="68" t="str">
        <f t="shared" si="197"/>
        <v>DUAL</v>
      </c>
      <c r="H1119" s="197">
        <f t="shared" si="198"/>
        <v>35</v>
      </c>
      <c r="I1119" s="197">
        <v>8</v>
      </c>
      <c r="J1119" s="197">
        <v>28</v>
      </c>
      <c r="K1119" s="186">
        <f t="shared" si="199"/>
        <v>45897</v>
      </c>
      <c r="L1119" s="3" t="s">
        <v>2395</v>
      </c>
      <c r="M1119" s="3" t="s">
        <v>1469</v>
      </c>
      <c r="N1119" s="408" t="str">
        <f t="shared" si="194"/>
        <v/>
      </c>
      <c r="O1119" s="408"/>
      <c r="P1119" s="408"/>
      <c r="Q1119" s="408"/>
      <c r="R1119" s="408"/>
      <c r="S1119" s="408"/>
      <c r="T1119" s="408"/>
      <c r="U1119" s="408"/>
      <c r="V1119" s="421"/>
      <c r="W1119" s="421"/>
      <c r="X1119" s="421"/>
      <c r="Y1119" s="421"/>
      <c r="Z1119" s="421"/>
      <c r="AA1119" s="421"/>
      <c r="AB1119" s="421"/>
      <c r="AC1119" s="421"/>
      <c r="AD1119" s="421"/>
      <c r="AE1119" s="421"/>
      <c r="AF1119" s="421"/>
      <c r="AG1119" s="421"/>
      <c r="AH1119" s="421"/>
      <c r="AI1119" s="421"/>
      <c r="AJ1119" s="421"/>
      <c r="AK1119" s="421"/>
      <c r="AL1119" s="421"/>
    </row>
    <row r="1120" spans="1:38">
      <c r="A1120" s="3">
        <v>5809</v>
      </c>
      <c r="B1120" s="83">
        <f t="array" ref="B1120">SUM(--(FREQUENCY(IF(C$2:C$3080=C1120, MATCH(D$2:D$3080, D$2:D$3080, 0)), ROW(D$2:D$3080)-ROW(D$2)+1) &gt; 0))</f>
        <v>9</v>
      </c>
      <c r="C1120" s="3">
        <v>41200105</v>
      </c>
      <c r="D1120" s="6" t="s">
        <v>2802</v>
      </c>
      <c r="E1120" s="3" t="s">
        <v>1424</v>
      </c>
      <c r="F1120" s="3" t="s">
        <v>1476</v>
      </c>
      <c r="G1120" s="68" t="str">
        <f t="shared" si="197"/>
        <v>DUAL</v>
      </c>
      <c r="H1120" s="197">
        <f t="shared" si="198"/>
        <v>35</v>
      </c>
      <c r="I1120" s="197">
        <v>8</v>
      </c>
      <c r="J1120" s="197">
        <v>28</v>
      </c>
      <c r="K1120" s="186">
        <f t="shared" si="199"/>
        <v>45897</v>
      </c>
      <c r="L1120" s="3" t="s">
        <v>2395</v>
      </c>
      <c r="M1120" s="3" t="s">
        <v>1469</v>
      </c>
      <c r="N1120" s="408" t="str">
        <f t="shared" si="194"/>
        <v>NG</v>
      </c>
      <c r="O1120" s="408" t="s">
        <v>1569</v>
      </c>
      <c r="P1120" s="408" t="s">
        <v>2470</v>
      </c>
      <c r="Q1120" s="418"/>
      <c r="R1120" s="408"/>
      <c r="S1120" s="408" t="s">
        <v>2803</v>
      </c>
      <c r="T1120" s="408"/>
      <c r="U1120" s="408"/>
      <c r="V1120" s="421"/>
      <c r="W1120" s="421"/>
      <c r="X1120" s="421"/>
      <c r="Y1120" s="421"/>
      <c r="Z1120" s="421"/>
      <c r="AA1120" s="421"/>
      <c r="AB1120" s="421"/>
      <c r="AC1120" s="421"/>
      <c r="AD1120" s="421"/>
      <c r="AE1120" s="421"/>
      <c r="AF1120" s="421"/>
      <c r="AG1120" s="421"/>
      <c r="AH1120" s="421"/>
      <c r="AI1120" s="421"/>
      <c r="AJ1120" s="421"/>
      <c r="AK1120" s="421"/>
      <c r="AL1120" s="421"/>
    </row>
    <row r="1121" spans="1:38">
      <c r="A1121" s="3">
        <v>5823</v>
      </c>
      <c r="B1121" s="83">
        <f t="array" ref="B1121">SUM(--(FREQUENCY(IF(C$2:C$3080=C1121, MATCH(D$2:D$3080, D$2:D$3080, 0)), ROW(D$2:D$3080)-ROW(D$2)+1) &gt; 0))</f>
        <v>29</v>
      </c>
      <c r="C1121" s="3">
        <v>41200005</v>
      </c>
      <c r="D1121" s="6" t="s">
        <v>2804</v>
      </c>
      <c r="E1121" s="3" t="s">
        <v>1405</v>
      </c>
      <c r="F1121" s="3" t="s">
        <v>1591</v>
      </c>
      <c r="G1121" s="68" t="str">
        <f t="shared" si="197"/>
        <v>SINGLE</v>
      </c>
      <c r="H1121" s="197">
        <f t="shared" ref="H1121:H1126" si="200">WEEKNUM(K1121)</f>
        <v>35</v>
      </c>
      <c r="I1121" s="197">
        <v>8</v>
      </c>
      <c r="J1121" s="197">
        <v>29</v>
      </c>
      <c r="K1121" s="186">
        <f t="shared" ref="K1121:K1126" si="201">DATE(2025, I1121, J1121)</f>
        <v>45898</v>
      </c>
      <c r="L1121" s="3" t="s">
        <v>2391</v>
      </c>
      <c r="M1121" s="3" t="s">
        <v>2392</v>
      </c>
      <c r="N1121" s="408" t="str">
        <f t="shared" si="194"/>
        <v/>
      </c>
      <c r="O1121" s="408"/>
      <c r="P1121" s="408"/>
      <c r="Q1121" s="408"/>
      <c r="R1121" s="408"/>
      <c r="S1121" s="408"/>
      <c r="T1121" s="408"/>
      <c r="U1121" s="408"/>
      <c r="V1121" s="421"/>
      <c r="W1121" s="421"/>
      <c r="X1121" s="421"/>
      <c r="Y1121" s="421"/>
      <c r="Z1121" s="421"/>
      <c r="AA1121" s="421"/>
      <c r="AB1121" s="421"/>
      <c r="AC1121" s="421"/>
      <c r="AD1121" s="421"/>
      <c r="AE1121" s="421"/>
      <c r="AF1121" s="421"/>
      <c r="AG1121" s="421"/>
      <c r="AH1121" s="421"/>
      <c r="AI1121" s="421"/>
      <c r="AJ1121" s="421"/>
      <c r="AK1121" s="421"/>
      <c r="AL1121" s="421"/>
    </row>
    <row r="1122" spans="1:38">
      <c r="A1122" s="3">
        <v>5823</v>
      </c>
      <c r="B1122" s="83">
        <f t="array" ref="B1122">SUM(--(FREQUENCY(IF(C$2:C$3080=C1122, MATCH(D$2:D$3080, D$2:D$3080, 0)), ROW(D$2:D$3080)-ROW(D$2)+1) &gt; 0))</f>
        <v>29</v>
      </c>
      <c r="C1122" s="3">
        <v>41200005</v>
      </c>
      <c r="D1122" s="6" t="s">
        <v>2805</v>
      </c>
      <c r="E1122" s="3" t="s">
        <v>1405</v>
      </c>
      <c r="F1122" s="3" t="s">
        <v>1591</v>
      </c>
      <c r="G1122" s="68" t="str">
        <f t="shared" si="197"/>
        <v>SINGLE</v>
      </c>
      <c r="H1122" s="197">
        <f t="shared" si="200"/>
        <v>35</v>
      </c>
      <c r="I1122" s="197">
        <v>8</v>
      </c>
      <c r="J1122" s="197">
        <v>29</v>
      </c>
      <c r="K1122" s="186">
        <f t="shared" si="201"/>
        <v>45898</v>
      </c>
      <c r="L1122" s="3" t="s">
        <v>2391</v>
      </c>
      <c r="M1122" s="3" t="s">
        <v>2392</v>
      </c>
      <c r="N1122" s="408" t="str">
        <f t="shared" si="194"/>
        <v/>
      </c>
      <c r="O1122" s="408"/>
      <c r="P1122" s="408"/>
      <c r="Q1122" s="408"/>
      <c r="R1122" s="408"/>
      <c r="S1122" s="408"/>
      <c r="T1122" s="408"/>
      <c r="U1122" s="408"/>
      <c r="V1122" s="421"/>
      <c r="W1122" s="421"/>
      <c r="X1122" s="421"/>
      <c r="Y1122" s="421"/>
      <c r="Z1122" s="421"/>
      <c r="AA1122" s="421"/>
      <c r="AB1122" s="421"/>
      <c r="AC1122" s="421"/>
      <c r="AD1122" s="421"/>
      <c r="AE1122" s="421"/>
      <c r="AF1122" s="421"/>
      <c r="AG1122" s="421"/>
      <c r="AH1122" s="421"/>
      <c r="AI1122" s="421"/>
      <c r="AJ1122" s="421"/>
      <c r="AK1122" s="421"/>
      <c r="AL1122" s="421"/>
    </row>
    <row r="1123" spans="1:38">
      <c r="A1123" s="3">
        <v>5990</v>
      </c>
      <c r="B1123" s="83">
        <f t="array" ref="B1123">SUM(--(FREQUENCY(IF(C$2:C$3080=C1123, MATCH(D$2:D$3080, D$2:D$3080, 0)), ROW(D$2:D$3080)-ROW(D$2)+1) &gt; 0))</f>
        <v>20</v>
      </c>
      <c r="C1123" s="3">
        <v>41100435</v>
      </c>
      <c r="D1123" s="6" t="s">
        <v>2806</v>
      </c>
      <c r="E1123" s="3" t="s">
        <v>1585</v>
      </c>
      <c r="F1123" s="3" t="s">
        <v>1482</v>
      </c>
      <c r="G1123" s="68" t="str">
        <f t="shared" si="197"/>
        <v>SINGLE</v>
      </c>
      <c r="H1123" s="197">
        <f t="shared" si="200"/>
        <v>35</v>
      </c>
      <c r="I1123" s="197">
        <v>8</v>
      </c>
      <c r="J1123" s="197">
        <v>29</v>
      </c>
      <c r="K1123" s="186">
        <f t="shared" si="201"/>
        <v>45898</v>
      </c>
      <c r="L1123" s="3" t="s">
        <v>2391</v>
      </c>
      <c r="M1123" s="3" t="s">
        <v>2392</v>
      </c>
      <c r="N1123" s="408" t="str">
        <f t="shared" si="194"/>
        <v/>
      </c>
      <c r="O1123" s="408"/>
      <c r="P1123" s="408"/>
      <c r="Q1123" s="408"/>
      <c r="R1123" s="408"/>
      <c r="S1123" s="408"/>
      <c r="T1123" s="408"/>
      <c r="U1123" s="408"/>
      <c r="V1123" s="421"/>
      <c r="W1123" s="421"/>
      <c r="X1123" s="421"/>
      <c r="Y1123" s="421"/>
      <c r="Z1123" s="421"/>
      <c r="AA1123" s="421"/>
      <c r="AB1123" s="421"/>
      <c r="AC1123" s="421"/>
      <c r="AD1123" s="421"/>
      <c r="AE1123" s="421"/>
      <c r="AF1123" s="421"/>
      <c r="AG1123" s="421"/>
      <c r="AH1123" s="421"/>
      <c r="AI1123" s="421"/>
      <c r="AJ1123" s="421"/>
      <c r="AK1123" s="421"/>
      <c r="AL1123" s="421"/>
    </row>
    <row r="1124" spans="1:38">
      <c r="A1124" s="3">
        <v>6019</v>
      </c>
      <c r="B1124" s="83">
        <f t="array" ref="B1124">SUM(--(FREQUENCY(IF(C$2:C$3080=C1124, MATCH(D$2:D$3080, D$2:D$3080, 0)), ROW(D$2:D$3080)-ROW(D$2)+1) &gt; 0))</f>
        <v>1</v>
      </c>
      <c r="C1124" s="3">
        <v>41100633</v>
      </c>
      <c r="D1124" s="6" t="s">
        <v>2807</v>
      </c>
      <c r="E1124" s="3" t="s">
        <v>1394</v>
      </c>
      <c r="F1124" s="3" t="s">
        <v>1591</v>
      </c>
      <c r="G1124" s="68" t="str">
        <f t="shared" si="197"/>
        <v>SINGLE</v>
      </c>
      <c r="H1124" s="197">
        <f t="shared" si="200"/>
        <v>35</v>
      </c>
      <c r="I1124" s="197">
        <v>8</v>
      </c>
      <c r="J1124" s="197">
        <v>29</v>
      </c>
      <c r="K1124" s="186">
        <f t="shared" si="201"/>
        <v>45898</v>
      </c>
      <c r="L1124" s="3" t="s">
        <v>2391</v>
      </c>
      <c r="M1124" s="3" t="s">
        <v>2392</v>
      </c>
      <c r="N1124" s="408" t="str">
        <f t="shared" si="194"/>
        <v/>
      </c>
      <c r="O1124" s="408"/>
      <c r="P1124" s="408"/>
      <c r="Q1124" s="408"/>
      <c r="R1124" s="408"/>
      <c r="S1124" s="408"/>
      <c r="T1124" s="408"/>
      <c r="U1124" s="408"/>
      <c r="V1124" s="421"/>
      <c r="W1124" s="421"/>
      <c r="X1124" s="421"/>
      <c r="Y1124" s="421"/>
      <c r="Z1124" s="421"/>
      <c r="AA1124" s="421"/>
      <c r="AB1124" s="421"/>
      <c r="AC1124" s="421"/>
      <c r="AD1124" s="421"/>
      <c r="AE1124" s="421"/>
      <c r="AF1124" s="421"/>
      <c r="AG1124" s="421"/>
      <c r="AH1124" s="421"/>
      <c r="AI1124" s="421"/>
      <c r="AJ1124" s="421"/>
      <c r="AK1124" s="421"/>
      <c r="AL1124" s="421"/>
    </row>
    <row r="1125" spans="1:38">
      <c r="A1125" s="3">
        <v>5884</v>
      </c>
      <c r="B1125" s="83">
        <f t="array" ref="B1125">SUM(--(FREQUENCY(IF(C$2:C$3080=C1125, MATCH(D$2:D$3080, D$2:D$3080, 0)), ROW(D$2:D$3080)-ROW(D$2)+1) &gt; 0))</f>
        <v>10</v>
      </c>
      <c r="C1125" s="3">
        <v>41100286</v>
      </c>
      <c r="D1125" s="6" t="s">
        <v>2808</v>
      </c>
      <c r="E1125" s="3" t="s">
        <v>1424</v>
      </c>
      <c r="F1125" s="3" t="s">
        <v>1476</v>
      </c>
      <c r="G1125" s="68" t="str">
        <f t="shared" si="197"/>
        <v>DUAL</v>
      </c>
      <c r="H1125" s="197">
        <f t="shared" si="200"/>
        <v>35</v>
      </c>
      <c r="I1125" s="197">
        <v>8</v>
      </c>
      <c r="J1125" s="197">
        <v>29</v>
      </c>
      <c r="K1125" s="186">
        <f t="shared" si="201"/>
        <v>45898</v>
      </c>
      <c r="L1125" s="3" t="s">
        <v>2391</v>
      </c>
      <c r="M1125" s="3" t="s">
        <v>1468</v>
      </c>
      <c r="N1125" s="408" t="str">
        <f t="shared" si="194"/>
        <v/>
      </c>
      <c r="O1125" s="408"/>
      <c r="P1125" s="408"/>
      <c r="Q1125" s="408"/>
      <c r="R1125" s="408"/>
      <c r="S1125" s="408"/>
      <c r="T1125" s="408"/>
      <c r="U1125" s="408"/>
      <c r="V1125" s="421"/>
      <c r="W1125" s="421"/>
      <c r="X1125" s="421"/>
      <c r="Y1125" s="421"/>
      <c r="Z1125" s="421"/>
      <c r="AA1125" s="421"/>
      <c r="AB1125" s="421"/>
      <c r="AC1125" s="421"/>
      <c r="AD1125" s="421"/>
      <c r="AE1125" s="421"/>
      <c r="AF1125" s="421"/>
      <c r="AG1125" s="421"/>
      <c r="AH1125" s="421"/>
      <c r="AI1125" s="421"/>
      <c r="AJ1125" s="421"/>
      <c r="AK1125" s="421"/>
      <c r="AL1125" s="421"/>
    </row>
    <row r="1126" spans="1:38">
      <c r="A1126" s="3">
        <v>5854</v>
      </c>
      <c r="B1126" s="83">
        <f t="array" ref="B1126">SUM(--(FREQUENCY(IF(C$2:C$3080=C1126, MATCH(D$2:D$3080, D$2:D$3080, 0)), ROW(D$2:D$3080)-ROW(D$2)+1) &gt; 0))</f>
        <v>37</v>
      </c>
      <c r="C1126" s="3">
        <v>41200076</v>
      </c>
      <c r="D1126" s="6" t="s">
        <v>2809</v>
      </c>
      <c r="E1126" s="3" t="s">
        <v>1585</v>
      </c>
      <c r="F1126" s="3" t="s">
        <v>1476</v>
      </c>
      <c r="G1126" s="68" t="str">
        <f t="shared" si="197"/>
        <v>DUAL</v>
      </c>
      <c r="H1126" s="197">
        <f t="shared" si="200"/>
        <v>35</v>
      </c>
      <c r="I1126" s="197">
        <v>8</v>
      </c>
      <c r="J1126" s="197">
        <v>29</v>
      </c>
      <c r="K1126" s="186">
        <f t="shared" si="201"/>
        <v>45898</v>
      </c>
      <c r="L1126" s="3" t="s">
        <v>2391</v>
      </c>
      <c r="M1126" s="3" t="s">
        <v>1469</v>
      </c>
      <c r="N1126" s="408" t="str">
        <f t="shared" si="194"/>
        <v>NG</v>
      </c>
      <c r="O1126" s="408" t="s">
        <v>1569</v>
      </c>
      <c r="P1126" s="408" t="s">
        <v>2810</v>
      </c>
      <c r="Q1126" s="408">
        <v>12100820</v>
      </c>
      <c r="R1126" s="408" t="s">
        <v>2811</v>
      </c>
      <c r="S1126" s="408" t="s">
        <v>2812</v>
      </c>
      <c r="T1126" s="408"/>
      <c r="U1126" s="408"/>
      <c r="V1126" s="421"/>
      <c r="W1126" s="421"/>
      <c r="X1126" s="421"/>
      <c r="Y1126" s="421"/>
      <c r="Z1126" s="421"/>
      <c r="AA1126" s="421"/>
      <c r="AB1126" s="421"/>
      <c r="AC1126" s="421"/>
      <c r="AD1126" s="421"/>
      <c r="AE1126" s="421"/>
      <c r="AF1126" s="421"/>
      <c r="AG1126" s="421"/>
      <c r="AH1126" s="421"/>
      <c r="AI1126" s="421"/>
      <c r="AJ1126" s="421"/>
      <c r="AK1126" s="421"/>
      <c r="AL1126" s="421"/>
    </row>
    <row r="1127" spans="1:38">
      <c r="A1127" s="3">
        <v>5989</v>
      </c>
      <c r="B1127" s="83">
        <f t="array" ref="B1127">SUM(--(FREQUENCY(IF(C$2:C$3084=C1127, MATCH(D$2:D$3084, D$2:D$3084, 0)), ROW(D$2:D$3084)-ROW(D$2)+1) &gt; 0))</f>
        <v>30</v>
      </c>
      <c r="C1127" s="3">
        <v>41200109</v>
      </c>
      <c r="D1127" s="6" t="s">
        <v>2813</v>
      </c>
      <c r="E1127" s="3" t="s">
        <v>1585</v>
      </c>
      <c r="F1127" s="3" t="s">
        <v>1591</v>
      </c>
      <c r="G1127" s="68" t="str">
        <f t="shared" si="197"/>
        <v>SINGLE</v>
      </c>
      <c r="H1127" s="197">
        <f t="shared" ref="H1127:H1135" si="202">WEEKNUM(K1127)</f>
        <v>36</v>
      </c>
      <c r="I1127" s="197">
        <v>9</v>
      </c>
      <c r="J1127" s="197">
        <v>1</v>
      </c>
      <c r="K1127" s="186">
        <f t="shared" ref="K1127:K1135" si="203">DATE(2025, I1127, J1127)</f>
        <v>45901</v>
      </c>
      <c r="L1127" s="3" t="s">
        <v>2391</v>
      </c>
      <c r="M1127" s="3" t="s">
        <v>2392</v>
      </c>
      <c r="N1127" s="408" t="str">
        <f t="shared" ref="N1127" si="204">IF(O1127&lt;&gt;"", "NG", "")</f>
        <v>NG</v>
      </c>
      <c r="O1127" s="408" t="s">
        <v>2368</v>
      </c>
      <c r="P1127" s="408" t="s">
        <v>2376</v>
      </c>
      <c r="Q1127" s="408">
        <v>11005506</v>
      </c>
      <c r="R1127" s="408" t="s">
        <v>370</v>
      </c>
      <c r="S1127" s="408" t="s">
        <v>2814</v>
      </c>
      <c r="T1127" s="408"/>
      <c r="U1127" s="408"/>
      <c r="V1127" s="421"/>
      <c r="W1127" s="421"/>
      <c r="X1127" s="421"/>
      <c r="Y1127" s="421"/>
      <c r="Z1127" s="421"/>
      <c r="AA1127" s="421"/>
      <c r="AB1127" s="421"/>
      <c r="AC1127" s="421"/>
      <c r="AD1127" s="421"/>
      <c r="AE1127" s="421"/>
      <c r="AF1127" s="421"/>
      <c r="AG1127" s="421"/>
      <c r="AH1127" s="421"/>
      <c r="AI1127" s="421"/>
      <c r="AJ1127" s="421"/>
      <c r="AK1127" s="421"/>
      <c r="AL1127" s="421"/>
    </row>
    <row r="1128" spans="1:38">
      <c r="A1128" s="3">
        <v>5989</v>
      </c>
      <c r="B1128" s="83">
        <f t="array" ref="B1128">SUM(--(FREQUENCY(IF(C$2:C$3084=C1128, MATCH(D$2:D$3084, D$2:D$3084, 0)), ROW(D$2:D$3084)-ROW(D$2)+1) &gt; 0))</f>
        <v>30</v>
      </c>
      <c r="C1128" s="3">
        <v>41200109</v>
      </c>
      <c r="D1128" s="6" t="s">
        <v>2815</v>
      </c>
      <c r="E1128" s="3" t="s">
        <v>1585</v>
      </c>
      <c r="F1128" s="3" t="s">
        <v>1591</v>
      </c>
      <c r="G1128" s="68" t="str">
        <f t="shared" si="197"/>
        <v>SINGLE</v>
      </c>
      <c r="H1128" s="197">
        <f t="shared" si="202"/>
        <v>36</v>
      </c>
      <c r="I1128" s="197">
        <v>9</v>
      </c>
      <c r="J1128" s="197">
        <v>1</v>
      </c>
      <c r="K1128" s="186">
        <f t="shared" si="203"/>
        <v>45901</v>
      </c>
      <c r="L1128" s="3" t="s">
        <v>2391</v>
      </c>
      <c r="M1128" s="3" t="s">
        <v>2392</v>
      </c>
      <c r="N1128" s="408" t="str">
        <f t="shared" si="194"/>
        <v>NG</v>
      </c>
      <c r="O1128" s="408" t="s">
        <v>2368</v>
      </c>
      <c r="P1128" s="408" t="s">
        <v>2376</v>
      </c>
      <c r="Q1128" s="408">
        <v>11005506</v>
      </c>
      <c r="R1128" s="408" t="s">
        <v>370</v>
      </c>
      <c r="S1128" s="408" t="s">
        <v>2814</v>
      </c>
      <c r="T1128" s="408"/>
      <c r="U1128" s="408"/>
      <c r="V1128" s="421"/>
      <c r="W1128" s="421"/>
      <c r="X1128" s="421"/>
      <c r="Y1128" s="421"/>
      <c r="Z1128" s="421"/>
      <c r="AA1128" s="421"/>
      <c r="AB1128" s="421"/>
      <c r="AC1128" s="421"/>
      <c r="AD1128" s="421"/>
      <c r="AE1128" s="421"/>
      <c r="AF1128" s="421"/>
      <c r="AG1128" s="421"/>
      <c r="AH1128" s="421"/>
      <c r="AI1128" s="421"/>
      <c r="AJ1128" s="421"/>
      <c r="AK1128" s="421"/>
      <c r="AL1128" s="421"/>
    </row>
    <row r="1129" spans="1:38">
      <c r="A1129" s="3">
        <v>5986</v>
      </c>
      <c r="B1129" s="83">
        <f t="array" ref="B1129">SUM(--(FREQUENCY(IF(C$2:C$3084=C1129, MATCH(D$2:D$3084, D$2:D$3084, 0)), ROW(D$2:D$3084)-ROW(D$2)+1) &gt; 0))</f>
        <v>4</v>
      </c>
      <c r="C1129" s="3">
        <v>41000514</v>
      </c>
      <c r="D1129" s="6" t="s">
        <v>2816</v>
      </c>
      <c r="E1129" s="3" t="s">
        <v>1405</v>
      </c>
      <c r="F1129" s="3" t="s">
        <v>1581</v>
      </c>
      <c r="G1129" s="68" t="str">
        <f t="shared" si="197"/>
        <v>DUAL</v>
      </c>
      <c r="H1129" s="197">
        <f t="shared" si="202"/>
        <v>36</v>
      </c>
      <c r="I1129" s="197">
        <v>9</v>
      </c>
      <c r="J1129" s="197">
        <v>1</v>
      </c>
      <c r="K1129" s="186">
        <f t="shared" si="203"/>
        <v>45901</v>
      </c>
      <c r="L1129" s="3" t="s">
        <v>2392</v>
      </c>
      <c r="M1129" s="3" t="s">
        <v>2392</v>
      </c>
      <c r="N1129" s="408" t="str">
        <f t="shared" si="194"/>
        <v>NG</v>
      </c>
      <c r="O1129" s="408" t="s">
        <v>2368</v>
      </c>
      <c r="P1129" s="408" t="s">
        <v>2466</v>
      </c>
      <c r="Q1129" s="408">
        <v>13103298</v>
      </c>
      <c r="R1129" s="408" t="s">
        <v>2817</v>
      </c>
      <c r="S1129" s="408" t="s">
        <v>2818</v>
      </c>
      <c r="T1129" s="408"/>
      <c r="U1129" s="408"/>
      <c r="V1129" s="421"/>
      <c r="W1129" s="421"/>
      <c r="X1129" s="421"/>
      <c r="Y1129" s="421"/>
      <c r="Z1129" s="421"/>
      <c r="AA1129" s="421"/>
      <c r="AB1129" s="421"/>
      <c r="AC1129" s="421"/>
      <c r="AD1129" s="421"/>
      <c r="AE1129" s="421"/>
      <c r="AF1129" s="421"/>
      <c r="AG1129" s="421"/>
      <c r="AH1129" s="421"/>
      <c r="AI1129" s="421"/>
      <c r="AJ1129" s="421"/>
      <c r="AK1129" s="421"/>
      <c r="AL1129" s="421"/>
    </row>
    <row r="1130" spans="1:38">
      <c r="A1130" s="3">
        <v>5973</v>
      </c>
      <c r="B1130" s="83">
        <f t="array" ref="B1130">SUM(--(FREQUENCY(IF(C$2:C$3084=C1130, MATCH(D$2:D$3084, D$2:D$3084, 0)), ROW(D$2:D$3084)-ROW(D$2)+1) &gt; 0))</f>
        <v>10</v>
      </c>
      <c r="C1130" s="3">
        <v>41200119</v>
      </c>
      <c r="D1130" s="6" t="s">
        <v>2819</v>
      </c>
      <c r="E1130" s="3" t="s">
        <v>1422</v>
      </c>
      <c r="F1130" s="3" t="s">
        <v>1476</v>
      </c>
      <c r="G1130" s="68" t="str">
        <f t="shared" si="197"/>
        <v>DUAL</v>
      </c>
      <c r="H1130" s="197">
        <f t="shared" si="202"/>
        <v>36</v>
      </c>
      <c r="I1130" s="197">
        <v>9</v>
      </c>
      <c r="J1130" s="197">
        <v>1</v>
      </c>
      <c r="K1130" s="186">
        <f t="shared" si="203"/>
        <v>45901</v>
      </c>
      <c r="L1130" s="3" t="s">
        <v>2391</v>
      </c>
      <c r="M1130" s="3" t="s">
        <v>1468</v>
      </c>
      <c r="N1130" s="408" t="str">
        <f t="shared" si="194"/>
        <v/>
      </c>
      <c r="O1130" s="408"/>
      <c r="P1130" s="408"/>
      <c r="Q1130" s="408"/>
      <c r="R1130" s="408"/>
      <c r="S1130" s="408"/>
      <c r="T1130" s="408"/>
      <c r="U1130" s="408"/>
      <c r="V1130" s="421"/>
      <c r="W1130" s="421"/>
      <c r="X1130" s="421"/>
      <c r="Y1130" s="421"/>
      <c r="Z1130" s="421"/>
      <c r="AA1130" s="421"/>
      <c r="AB1130" s="421"/>
      <c r="AC1130" s="421"/>
      <c r="AD1130" s="421"/>
      <c r="AE1130" s="421"/>
      <c r="AF1130" s="421"/>
      <c r="AG1130" s="421"/>
      <c r="AH1130" s="421"/>
      <c r="AI1130" s="421"/>
      <c r="AJ1130" s="421"/>
      <c r="AK1130" s="421"/>
      <c r="AL1130" s="421"/>
    </row>
    <row r="1131" spans="1:38">
      <c r="A1131" s="3">
        <v>5886</v>
      </c>
      <c r="B1131" s="83">
        <f t="array" ref="B1131">SUM(--(FREQUENCY(IF(C$2:C$3084=C1131, MATCH(D$2:D$3084, D$2:D$3084, 0)), ROW(D$2:D$3084)-ROW(D$2)+1) &gt; 0))</f>
        <v>63</v>
      </c>
      <c r="C1131" s="3">
        <v>41200006</v>
      </c>
      <c r="D1131" s="6" t="s">
        <v>2820</v>
      </c>
      <c r="E1131" s="3" t="s">
        <v>1405</v>
      </c>
      <c r="F1131" s="3" t="s">
        <v>1477</v>
      </c>
      <c r="G1131" s="68" t="str">
        <f t="shared" si="197"/>
        <v>SINGLE</v>
      </c>
      <c r="H1131" s="197">
        <f t="shared" si="202"/>
        <v>36</v>
      </c>
      <c r="I1131" s="197">
        <v>9</v>
      </c>
      <c r="J1131" s="197">
        <v>1</v>
      </c>
      <c r="K1131" s="186">
        <f t="shared" si="203"/>
        <v>45901</v>
      </c>
      <c r="L1131" s="3" t="s">
        <v>2395</v>
      </c>
      <c r="M1131" s="3" t="s">
        <v>1468</v>
      </c>
      <c r="N1131" s="408" t="str">
        <f t="shared" si="194"/>
        <v>NG</v>
      </c>
      <c r="O1131" s="408" t="s">
        <v>2368</v>
      </c>
      <c r="P1131" s="408" t="s">
        <v>2563</v>
      </c>
      <c r="Q1131" s="408">
        <v>13013233</v>
      </c>
      <c r="R1131" s="408" t="s">
        <v>651</v>
      </c>
      <c r="S1131" s="408" t="s">
        <v>2821</v>
      </c>
      <c r="T1131" s="408"/>
      <c r="U1131" s="408"/>
      <c r="V1131" s="421"/>
      <c r="W1131" s="421"/>
      <c r="X1131" s="421"/>
      <c r="Y1131" s="421"/>
      <c r="Z1131" s="421"/>
      <c r="AA1131" s="421"/>
      <c r="AB1131" s="421"/>
      <c r="AC1131" s="421"/>
      <c r="AD1131" s="421"/>
      <c r="AE1131" s="421"/>
      <c r="AF1131" s="421"/>
      <c r="AG1131" s="421"/>
      <c r="AH1131" s="421"/>
      <c r="AI1131" s="421"/>
      <c r="AJ1131" s="421"/>
      <c r="AK1131" s="421"/>
      <c r="AL1131" s="421"/>
    </row>
    <row r="1132" spans="1:38">
      <c r="A1132" s="3">
        <v>5886</v>
      </c>
      <c r="B1132" s="83">
        <f t="array" ref="B1132">SUM(--(FREQUENCY(IF(C$2:C$3084=C1132, MATCH(D$2:D$3084, D$2:D$3084, 0)), ROW(D$2:D$3084)-ROW(D$2)+1) &gt; 0))</f>
        <v>63</v>
      </c>
      <c r="C1132" s="3">
        <v>41200006</v>
      </c>
      <c r="D1132" s="6" t="s">
        <v>2822</v>
      </c>
      <c r="E1132" s="3" t="s">
        <v>1405</v>
      </c>
      <c r="F1132" s="3" t="s">
        <v>1477</v>
      </c>
      <c r="G1132" s="68" t="str">
        <f t="shared" si="197"/>
        <v>SINGLE</v>
      </c>
      <c r="H1132" s="197">
        <f t="shared" si="202"/>
        <v>36</v>
      </c>
      <c r="I1132" s="197">
        <v>9</v>
      </c>
      <c r="J1132" s="197">
        <v>1</v>
      </c>
      <c r="K1132" s="186">
        <f t="shared" si="203"/>
        <v>45901</v>
      </c>
      <c r="L1132" s="3" t="s">
        <v>2395</v>
      </c>
      <c r="M1132" s="3" t="s">
        <v>1468</v>
      </c>
      <c r="N1132" s="408" t="str">
        <f t="shared" si="194"/>
        <v>NG</v>
      </c>
      <c r="O1132" s="408" t="s">
        <v>1569</v>
      </c>
      <c r="P1132" s="408"/>
      <c r="Q1132" s="408"/>
      <c r="R1132" s="408"/>
      <c r="S1132" s="408" t="s">
        <v>2823</v>
      </c>
      <c r="T1132" s="408"/>
      <c r="U1132" s="408"/>
      <c r="V1132" s="421"/>
      <c r="W1132" s="421"/>
      <c r="X1132" s="421"/>
      <c r="Y1132" s="421"/>
      <c r="Z1132" s="421"/>
      <c r="AA1132" s="421"/>
      <c r="AB1132" s="421"/>
      <c r="AC1132" s="421"/>
      <c r="AD1132" s="421"/>
      <c r="AE1132" s="421"/>
      <c r="AF1132" s="421"/>
      <c r="AG1132" s="421"/>
      <c r="AH1132" s="421"/>
      <c r="AI1132" s="421"/>
      <c r="AJ1132" s="421"/>
      <c r="AK1132" s="421"/>
      <c r="AL1132" s="421"/>
    </row>
    <row r="1133" spans="1:38">
      <c r="A1133" s="3">
        <v>5886</v>
      </c>
      <c r="B1133" s="83">
        <f t="array" ref="B1133">SUM(--(FREQUENCY(IF(C$2:C$3084=C1133, MATCH(D$2:D$3084, D$2:D$3084, 0)), ROW(D$2:D$3084)-ROW(D$2)+1) &gt; 0))</f>
        <v>63</v>
      </c>
      <c r="C1133" s="3">
        <v>41200006</v>
      </c>
      <c r="D1133" s="6" t="s">
        <v>2822</v>
      </c>
      <c r="E1133" s="3" t="s">
        <v>1405</v>
      </c>
      <c r="F1133" s="3" t="s">
        <v>1477</v>
      </c>
      <c r="G1133" s="68" t="str">
        <f t="shared" si="197"/>
        <v>SINGLE</v>
      </c>
      <c r="H1133" s="197">
        <f t="shared" ref="H1133" si="205">WEEKNUM(K1133)</f>
        <v>36</v>
      </c>
      <c r="I1133" s="197">
        <v>9</v>
      </c>
      <c r="J1133" s="197">
        <v>1</v>
      </c>
      <c r="K1133" s="186">
        <f t="shared" ref="K1133" si="206">DATE(2025, I1133, J1133)</f>
        <v>45901</v>
      </c>
      <c r="L1133" s="3" t="s">
        <v>2395</v>
      </c>
      <c r="M1133" s="3" t="s">
        <v>1468</v>
      </c>
      <c r="N1133" s="408" t="str">
        <f t="shared" si="194"/>
        <v>NG</v>
      </c>
      <c r="O1133" s="408" t="s">
        <v>1569</v>
      </c>
      <c r="P1133" s="408"/>
      <c r="Q1133" s="408"/>
      <c r="R1133" s="408"/>
      <c r="S1133" s="408" t="s">
        <v>2823</v>
      </c>
      <c r="T1133" s="408"/>
      <c r="U1133" s="408"/>
      <c r="V1133" s="421"/>
      <c r="W1133" s="421"/>
      <c r="X1133" s="421"/>
      <c r="Y1133" s="421"/>
      <c r="Z1133" s="421"/>
      <c r="AA1133" s="421"/>
      <c r="AB1133" s="421"/>
      <c r="AC1133" s="421"/>
      <c r="AD1133" s="421"/>
      <c r="AE1133" s="421"/>
      <c r="AF1133" s="421"/>
      <c r="AG1133" s="421"/>
      <c r="AH1133" s="421"/>
      <c r="AI1133" s="421"/>
      <c r="AJ1133" s="421"/>
      <c r="AK1133" s="421"/>
      <c r="AL1133" s="421"/>
    </row>
    <row r="1134" spans="1:38">
      <c r="A1134" s="3">
        <v>5988</v>
      </c>
      <c r="B1134" s="83">
        <f t="array" ref="B1134">SUM(--(FREQUENCY(IF(C$2:C$3084=C1134, MATCH(D$2:D$3084, D$2:D$3084, 0)), ROW(D$2:D$3084)-ROW(D$2)+1) &gt; 0))</f>
        <v>8</v>
      </c>
      <c r="C1134" s="3">
        <v>41200152</v>
      </c>
      <c r="D1134" s="6" t="s">
        <v>2824</v>
      </c>
      <c r="E1134" s="3" t="s">
        <v>1585</v>
      </c>
      <c r="F1134" s="3" t="s">
        <v>1476</v>
      </c>
      <c r="G1134" s="68" t="str">
        <f t="shared" si="197"/>
        <v>DUAL</v>
      </c>
      <c r="H1134" s="197">
        <f t="shared" si="202"/>
        <v>36</v>
      </c>
      <c r="I1134" s="197">
        <v>9</v>
      </c>
      <c r="J1134" s="197">
        <v>1</v>
      </c>
      <c r="K1134" s="186">
        <f t="shared" si="203"/>
        <v>45901</v>
      </c>
      <c r="L1134" s="3" t="s">
        <v>2395</v>
      </c>
      <c r="M1134" s="3" t="s">
        <v>1469</v>
      </c>
      <c r="N1134" s="408" t="str">
        <f t="shared" si="194"/>
        <v/>
      </c>
      <c r="O1134" s="408"/>
      <c r="P1134" s="408"/>
      <c r="Q1134" s="408"/>
      <c r="R1134" s="408"/>
      <c r="S1134" s="408"/>
      <c r="T1134" s="408"/>
      <c r="U1134" s="408"/>
      <c r="V1134" s="421"/>
      <c r="W1134" s="421"/>
      <c r="X1134" s="421"/>
      <c r="Y1134" s="421"/>
      <c r="Z1134" s="421"/>
      <c r="AA1134" s="421"/>
      <c r="AB1134" s="421"/>
      <c r="AC1134" s="421"/>
      <c r="AD1134" s="421"/>
      <c r="AE1134" s="421"/>
      <c r="AF1134" s="421"/>
      <c r="AG1134" s="421"/>
      <c r="AH1134" s="421"/>
      <c r="AI1134" s="421"/>
      <c r="AJ1134" s="421"/>
      <c r="AK1134" s="421"/>
      <c r="AL1134" s="421"/>
    </row>
    <row r="1135" spans="1:38">
      <c r="A1135" s="3">
        <v>5988</v>
      </c>
      <c r="B1135" s="83">
        <f t="array" ref="B1135">SUM(--(FREQUENCY(IF(C$2:C$3084=C1135, MATCH(D$2:D$3084, D$2:D$3084, 0)), ROW(D$2:D$3084)-ROW(D$2)+1) &gt; 0))</f>
        <v>8</v>
      </c>
      <c r="C1135" s="3">
        <v>41200152</v>
      </c>
      <c r="D1135" s="6" t="s">
        <v>2825</v>
      </c>
      <c r="E1135" s="3" t="s">
        <v>1585</v>
      </c>
      <c r="F1135" s="3" t="s">
        <v>1476</v>
      </c>
      <c r="G1135" s="68" t="str">
        <f t="shared" si="197"/>
        <v>DUAL</v>
      </c>
      <c r="H1135" s="197">
        <f t="shared" si="202"/>
        <v>36</v>
      </c>
      <c r="I1135" s="197">
        <v>9</v>
      </c>
      <c r="J1135" s="197">
        <v>1</v>
      </c>
      <c r="K1135" s="186">
        <f t="shared" si="203"/>
        <v>45901</v>
      </c>
      <c r="L1135" s="3" t="s">
        <v>2395</v>
      </c>
      <c r="M1135" s="3" t="s">
        <v>1469</v>
      </c>
      <c r="N1135" s="408" t="str">
        <f t="shared" si="194"/>
        <v>NG</v>
      </c>
      <c r="O1135" s="408" t="s">
        <v>2368</v>
      </c>
      <c r="P1135" s="408" t="s">
        <v>2826</v>
      </c>
      <c r="Q1135" s="408">
        <v>11004073</v>
      </c>
      <c r="R1135" s="408" t="s">
        <v>255</v>
      </c>
      <c r="S1135" s="408" t="s">
        <v>2630</v>
      </c>
      <c r="T1135" s="408"/>
      <c r="U1135" s="408"/>
      <c r="V1135" s="421"/>
      <c r="W1135" s="421"/>
      <c r="X1135" s="421"/>
      <c r="Y1135" s="421"/>
      <c r="Z1135" s="421"/>
      <c r="AA1135" s="421"/>
      <c r="AB1135" s="421"/>
      <c r="AC1135" s="421"/>
      <c r="AD1135" s="421"/>
      <c r="AE1135" s="421"/>
      <c r="AF1135" s="421"/>
      <c r="AG1135" s="421"/>
      <c r="AH1135" s="421"/>
      <c r="AI1135" s="421"/>
      <c r="AJ1135" s="421"/>
      <c r="AK1135" s="421"/>
      <c r="AL1135" s="421"/>
    </row>
    <row r="1136" spans="1:38">
      <c r="A1136" s="3">
        <v>5966</v>
      </c>
      <c r="B1136" s="83">
        <f t="array" ref="B1136">SUM(--(FREQUENCY(IF(C$2:C$3085=C1136, MATCH(D$2:D$3085, D$2:D$3085, 0)), ROW(D$2:D$3085)-ROW(D$2)+1) &gt; 0))</f>
        <v>76</v>
      </c>
      <c r="C1136" s="3">
        <v>41200007</v>
      </c>
      <c r="D1136" s="6" t="s">
        <v>2827</v>
      </c>
      <c r="E1136" s="3" t="s">
        <v>1405</v>
      </c>
      <c r="F1136" s="3" t="s">
        <v>1591</v>
      </c>
      <c r="G1136" s="68" t="str">
        <f t="shared" si="197"/>
        <v>SINGLE</v>
      </c>
      <c r="H1136" s="197">
        <f t="shared" ref="H1136:H1144" si="207">WEEKNUM(K1136)</f>
        <v>36</v>
      </c>
      <c r="I1136" s="197">
        <v>9</v>
      </c>
      <c r="J1136" s="197">
        <v>2</v>
      </c>
      <c r="K1136" s="186">
        <f t="shared" ref="K1136:K1144" si="208">DATE(2025, I1136, J1136)</f>
        <v>45902</v>
      </c>
      <c r="L1136" s="3" t="s">
        <v>2391</v>
      </c>
      <c r="M1136" s="3" t="s">
        <v>2392</v>
      </c>
      <c r="N1136" s="408" t="str">
        <f t="shared" si="194"/>
        <v>NG</v>
      </c>
      <c r="O1136" s="408" t="s">
        <v>2368</v>
      </c>
      <c r="P1136" s="408" t="s">
        <v>2371</v>
      </c>
      <c r="Q1136" s="408">
        <v>11001962</v>
      </c>
      <c r="R1136" s="408" t="s">
        <v>562</v>
      </c>
      <c r="S1136" s="408" t="s">
        <v>2828</v>
      </c>
      <c r="T1136" s="408"/>
      <c r="U1136" s="408"/>
      <c r="V1136" s="421"/>
      <c r="W1136" s="421"/>
      <c r="X1136" s="421"/>
      <c r="Y1136" s="421"/>
      <c r="Z1136" s="421"/>
      <c r="AA1136" s="421"/>
      <c r="AB1136" s="421"/>
      <c r="AC1136" s="421"/>
      <c r="AD1136" s="421"/>
      <c r="AE1136" s="421"/>
      <c r="AF1136" s="421"/>
      <c r="AG1136" s="421"/>
      <c r="AH1136" s="421"/>
      <c r="AI1136" s="421"/>
      <c r="AJ1136" s="421"/>
      <c r="AK1136" s="421"/>
      <c r="AL1136" s="421"/>
    </row>
    <row r="1137" spans="1:38">
      <c r="A1137" s="3">
        <v>5966</v>
      </c>
      <c r="B1137" s="83">
        <f t="array" ref="B1137">SUM(--(FREQUENCY(IF(C$2:C$3085=C1137, MATCH(D$2:D$3085, D$2:D$3085, 0)), ROW(D$2:D$3085)-ROW(D$2)+1) &gt; 0))</f>
        <v>76</v>
      </c>
      <c r="C1137" s="3">
        <v>41200007</v>
      </c>
      <c r="D1137" s="6" t="s">
        <v>2827</v>
      </c>
      <c r="E1137" s="3" t="s">
        <v>1405</v>
      </c>
      <c r="F1137" s="3" t="s">
        <v>1591</v>
      </c>
      <c r="G1137" s="68" t="str">
        <f t="shared" si="197"/>
        <v>SINGLE</v>
      </c>
      <c r="H1137" s="197">
        <f t="shared" ref="H1137" si="209">WEEKNUM(K1137)</f>
        <v>36</v>
      </c>
      <c r="I1137" s="197">
        <v>9</v>
      </c>
      <c r="J1137" s="197">
        <v>2</v>
      </c>
      <c r="K1137" s="186">
        <f t="shared" ref="K1137" si="210">DATE(2025, I1137, J1137)</f>
        <v>45902</v>
      </c>
      <c r="L1137" s="3" t="s">
        <v>2391</v>
      </c>
      <c r="M1137" s="3" t="s">
        <v>2392</v>
      </c>
      <c r="N1137" s="408" t="str">
        <f t="shared" si="194"/>
        <v>NG</v>
      </c>
      <c r="O1137" s="408" t="s">
        <v>2368</v>
      </c>
      <c r="P1137" s="408" t="s">
        <v>2371</v>
      </c>
      <c r="Q1137" s="408">
        <v>11001962</v>
      </c>
      <c r="R1137" s="408" t="s">
        <v>562</v>
      </c>
      <c r="S1137" s="408" t="s">
        <v>2829</v>
      </c>
      <c r="T1137" s="408"/>
      <c r="U1137" s="408"/>
      <c r="V1137" s="421"/>
      <c r="W1137" s="421"/>
      <c r="X1137" s="421"/>
      <c r="Y1137" s="421"/>
      <c r="Z1137" s="421"/>
      <c r="AA1137" s="421"/>
      <c r="AB1137" s="421"/>
      <c r="AC1137" s="421"/>
      <c r="AD1137" s="421"/>
      <c r="AE1137" s="421"/>
      <c r="AF1137" s="421"/>
      <c r="AG1137" s="421"/>
      <c r="AH1137" s="421"/>
      <c r="AI1137" s="421"/>
      <c r="AJ1137" s="421"/>
      <c r="AK1137" s="421"/>
      <c r="AL1137" s="421"/>
    </row>
    <row r="1138" spans="1:38">
      <c r="A1138" s="3">
        <v>5966</v>
      </c>
      <c r="B1138" s="83">
        <f t="array" ref="B1138">SUM(--(FREQUENCY(IF(C$2:C$3085=C1138, MATCH(D$2:D$3085, D$2:D$3085, 0)), ROW(D$2:D$3085)-ROW(D$2)+1) &gt; 0))</f>
        <v>76</v>
      </c>
      <c r="C1138" s="3">
        <v>41200007</v>
      </c>
      <c r="D1138" s="6" t="s">
        <v>2830</v>
      </c>
      <c r="E1138" s="3" t="s">
        <v>1405</v>
      </c>
      <c r="F1138" s="3" t="s">
        <v>1591</v>
      </c>
      <c r="G1138" s="68" t="str">
        <f t="shared" si="197"/>
        <v>SINGLE</v>
      </c>
      <c r="H1138" s="197">
        <f t="shared" si="207"/>
        <v>36</v>
      </c>
      <c r="I1138" s="197">
        <v>9</v>
      </c>
      <c r="J1138" s="197">
        <v>2</v>
      </c>
      <c r="K1138" s="186">
        <f t="shared" si="208"/>
        <v>45902</v>
      </c>
      <c r="L1138" s="3" t="s">
        <v>2391</v>
      </c>
      <c r="M1138" s="3" t="s">
        <v>2392</v>
      </c>
      <c r="N1138" s="408" t="str">
        <f t="shared" si="194"/>
        <v>NG</v>
      </c>
      <c r="O1138" s="408" t="s">
        <v>2368</v>
      </c>
      <c r="P1138" s="408" t="s">
        <v>2371</v>
      </c>
      <c r="Q1138" s="408">
        <v>11001962</v>
      </c>
      <c r="R1138" s="408" t="s">
        <v>562</v>
      </c>
      <c r="S1138" s="408" t="s">
        <v>2831</v>
      </c>
      <c r="T1138" s="408"/>
      <c r="U1138" s="408"/>
      <c r="V1138" s="421"/>
      <c r="W1138" s="421"/>
      <c r="X1138" s="421"/>
      <c r="Y1138" s="421"/>
      <c r="Z1138" s="421"/>
      <c r="AA1138" s="421"/>
      <c r="AB1138" s="421"/>
      <c r="AC1138" s="421"/>
      <c r="AD1138" s="421"/>
      <c r="AE1138" s="421"/>
      <c r="AF1138" s="421"/>
      <c r="AG1138" s="421"/>
      <c r="AH1138" s="421"/>
      <c r="AI1138" s="421"/>
      <c r="AJ1138" s="421"/>
      <c r="AK1138" s="421"/>
      <c r="AL1138" s="421"/>
    </row>
    <row r="1139" spans="1:38">
      <c r="A1139" s="3">
        <v>5966</v>
      </c>
      <c r="B1139" s="83">
        <f t="array" ref="B1139">SUM(--(FREQUENCY(IF(C$2:C$3085=C1139, MATCH(D$2:D$3085, D$2:D$3085, 0)), ROW(D$2:D$3085)-ROW(D$2)+1) &gt; 0))</f>
        <v>76</v>
      </c>
      <c r="C1139" s="3">
        <v>41200007</v>
      </c>
      <c r="D1139" s="6" t="s">
        <v>2830</v>
      </c>
      <c r="E1139" s="3" t="s">
        <v>1405</v>
      </c>
      <c r="F1139" s="3" t="s">
        <v>1591</v>
      </c>
      <c r="G1139" s="68" t="str">
        <f t="shared" si="197"/>
        <v>SINGLE</v>
      </c>
      <c r="H1139" s="197">
        <f t="shared" ref="H1139:H1140" si="211">WEEKNUM(K1139)</f>
        <v>36</v>
      </c>
      <c r="I1139" s="197">
        <v>9</v>
      </c>
      <c r="J1139" s="197">
        <v>2</v>
      </c>
      <c r="K1139" s="186">
        <f t="shared" ref="K1139:K1140" si="212">DATE(2025, I1139, J1139)</f>
        <v>45902</v>
      </c>
      <c r="L1139" s="3" t="s">
        <v>2391</v>
      </c>
      <c r="M1139" s="3" t="s">
        <v>2392</v>
      </c>
      <c r="N1139" s="408" t="str">
        <f t="shared" ref="N1139:N1140" si="213">IF(O1139&lt;&gt;"", "NG", "")</f>
        <v>NG</v>
      </c>
      <c r="O1139" s="408" t="s">
        <v>2368</v>
      </c>
      <c r="P1139" s="408" t="s">
        <v>2371</v>
      </c>
      <c r="Q1139" s="408">
        <v>11001962</v>
      </c>
      <c r="R1139" s="408" t="s">
        <v>562</v>
      </c>
      <c r="S1139" s="408" t="s">
        <v>2832</v>
      </c>
      <c r="T1139" s="408"/>
      <c r="U1139" s="408"/>
      <c r="V1139" s="421"/>
      <c r="W1139" s="421"/>
      <c r="X1139" s="421"/>
      <c r="Y1139" s="421"/>
      <c r="Z1139" s="421"/>
      <c r="AA1139" s="421"/>
      <c r="AB1139" s="421"/>
      <c r="AC1139" s="421"/>
      <c r="AD1139" s="421"/>
      <c r="AE1139" s="421"/>
      <c r="AF1139" s="421"/>
      <c r="AG1139" s="421"/>
      <c r="AH1139" s="421"/>
      <c r="AI1139" s="421"/>
      <c r="AJ1139" s="421"/>
      <c r="AK1139" s="421"/>
      <c r="AL1139" s="421"/>
    </row>
    <row r="1140" spans="1:38">
      <c r="A1140" s="3">
        <v>5966</v>
      </c>
      <c r="B1140" s="83">
        <f t="array" ref="B1140">SUM(--(FREQUENCY(IF(C$2:C$3085=C1140, MATCH(D$2:D$3085, D$2:D$3085, 0)), ROW(D$2:D$3085)-ROW(D$2)+1) &gt; 0))</f>
        <v>76</v>
      </c>
      <c r="C1140" s="3">
        <v>41200007</v>
      </c>
      <c r="D1140" s="6" t="s">
        <v>2830</v>
      </c>
      <c r="E1140" s="3" t="s">
        <v>1405</v>
      </c>
      <c r="F1140" s="3" t="s">
        <v>1591</v>
      </c>
      <c r="G1140" s="68" t="str">
        <f t="shared" si="197"/>
        <v>SINGLE</v>
      </c>
      <c r="H1140" s="197">
        <f t="shared" si="211"/>
        <v>36</v>
      </c>
      <c r="I1140" s="197">
        <v>9</v>
      </c>
      <c r="J1140" s="197">
        <v>2</v>
      </c>
      <c r="K1140" s="186">
        <f t="shared" si="212"/>
        <v>45902</v>
      </c>
      <c r="L1140" s="3" t="s">
        <v>2391</v>
      </c>
      <c r="M1140" s="3" t="s">
        <v>2392</v>
      </c>
      <c r="N1140" s="408" t="str">
        <f t="shared" si="213"/>
        <v>NG</v>
      </c>
      <c r="O1140" s="408" t="s">
        <v>2368</v>
      </c>
      <c r="P1140" s="408" t="s">
        <v>2371</v>
      </c>
      <c r="Q1140" s="408">
        <v>11001962</v>
      </c>
      <c r="R1140" s="408" t="s">
        <v>562</v>
      </c>
      <c r="S1140" s="408" t="s">
        <v>2829</v>
      </c>
      <c r="T1140" s="408"/>
      <c r="U1140" s="408"/>
      <c r="V1140" s="421"/>
      <c r="W1140" s="421"/>
      <c r="X1140" s="421"/>
      <c r="Y1140" s="421"/>
      <c r="Z1140" s="421"/>
      <c r="AA1140" s="421"/>
      <c r="AB1140" s="421"/>
      <c r="AC1140" s="421"/>
      <c r="AD1140" s="421"/>
      <c r="AE1140" s="421"/>
      <c r="AF1140" s="421"/>
      <c r="AG1140" s="421"/>
      <c r="AH1140" s="421"/>
      <c r="AI1140" s="421"/>
      <c r="AJ1140" s="421"/>
      <c r="AK1140" s="421"/>
      <c r="AL1140" s="421"/>
    </row>
    <row r="1141" spans="1:38">
      <c r="A1141" s="3">
        <v>6008</v>
      </c>
      <c r="B1141" s="83">
        <f t="array" ref="B1141">SUM(--(FREQUENCY(IF(C$2:C$3085=C1141, MATCH(D$2:D$3085, D$2:D$3085, 0)), ROW(D$2:D$3085)-ROW(D$2)+1) &gt; 0))</f>
        <v>5</v>
      </c>
      <c r="C1141" s="3">
        <v>41000584</v>
      </c>
      <c r="D1141" s="6" t="s">
        <v>2833</v>
      </c>
      <c r="E1141" s="3" t="s">
        <v>1405</v>
      </c>
      <c r="F1141" s="3" t="s">
        <v>1581</v>
      </c>
      <c r="G1141" s="68" t="str">
        <f t="shared" si="197"/>
        <v>DUAL</v>
      </c>
      <c r="H1141" s="197">
        <f t="shared" si="207"/>
        <v>36</v>
      </c>
      <c r="I1141" s="197">
        <v>9</v>
      </c>
      <c r="J1141" s="197">
        <v>2</v>
      </c>
      <c r="K1141" s="186">
        <f t="shared" si="208"/>
        <v>45902</v>
      </c>
      <c r="L1141" s="3" t="s">
        <v>2392</v>
      </c>
      <c r="M1141" s="3" t="s">
        <v>2392</v>
      </c>
      <c r="N1141" s="408" t="str">
        <f t="shared" si="194"/>
        <v/>
      </c>
      <c r="O1141" s="408"/>
      <c r="P1141" s="408"/>
      <c r="Q1141" s="408"/>
      <c r="R1141" s="408"/>
      <c r="S1141" s="408"/>
      <c r="T1141" s="408"/>
      <c r="U1141" s="408"/>
      <c r="V1141" s="421"/>
      <c r="W1141" s="421"/>
      <c r="X1141" s="421"/>
      <c r="Y1141" s="421"/>
      <c r="Z1141" s="421"/>
      <c r="AA1141" s="421"/>
      <c r="AB1141" s="421"/>
      <c r="AC1141" s="421"/>
      <c r="AD1141" s="421"/>
      <c r="AE1141" s="421"/>
      <c r="AF1141" s="421"/>
      <c r="AG1141" s="421"/>
      <c r="AH1141" s="421"/>
      <c r="AI1141" s="421"/>
      <c r="AJ1141" s="421"/>
      <c r="AK1141" s="421"/>
      <c r="AL1141" s="421"/>
    </row>
    <row r="1142" spans="1:38">
      <c r="A1142" s="3">
        <v>5919</v>
      </c>
      <c r="B1142" s="83">
        <f t="array" ref="B1142">SUM(--(FREQUENCY(IF(C$2:C$3085=C1142, MATCH(D$2:D$3085, D$2:D$3085, 0)), ROW(D$2:D$3085)-ROW(D$2)+1) &gt; 0))</f>
        <v>19</v>
      </c>
      <c r="C1142" s="3">
        <v>41200033</v>
      </c>
      <c r="D1142" s="6" t="s">
        <v>2834</v>
      </c>
      <c r="E1142" s="3" t="s">
        <v>1426</v>
      </c>
      <c r="F1142" s="3" t="s">
        <v>1476</v>
      </c>
      <c r="G1142" s="68" t="str">
        <f t="shared" si="197"/>
        <v>DUAL</v>
      </c>
      <c r="H1142" s="197">
        <f t="shared" si="207"/>
        <v>36</v>
      </c>
      <c r="I1142" s="197">
        <v>9</v>
      </c>
      <c r="J1142" s="197">
        <v>2</v>
      </c>
      <c r="K1142" s="186">
        <f t="shared" si="208"/>
        <v>45902</v>
      </c>
      <c r="L1142" s="3" t="s">
        <v>2395</v>
      </c>
      <c r="M1142" s="3" t="s">
        <v>1468</v>
      </c>
      <c r="N1142" s="408" t="str">
        <f t="shared" si="194"/>
        <v/>
      </c>
      <c r="O1142" s="408"/>
      <c r="P1142" s="408"/>
      <c r="Q1142" s="408"/>
      <c r="R1142" s="408"/>
      <c r="S1142" s="408"/>
      <c r="T1142" s="408"/>
      <c r="U1142" s="408"/>
      <c r="V1142" s="421"/>
      <c r="W1142" s="421"/>
      <c r="X1142" s="421"/>
      <c r="Y1142" s="421"/>
      <c r="Z1142" s="421"/>
      <c r="AA1142" s="421"/>
      <c r="AB1142" s="421"/>
      <c r="AC1142" s="421"/>
      <c r="AD1142" s="421"/>
      <c r="AE1142" s="421"/>
      <c r="AF1142" s="421"/>
      <c r="AG1142" s="421"/>
      <c r="AH1142" s="421"/>
      <c r="AI1142" s="421"/>
      <c r="AJ1142" s="421"/>
      <c r="AK1142" s="421"/>
      <c r="AL1142" s="421"/>
    </row>
    <row r="1143" spans="1:38">
      <c r="A1143" s="3">
        <v>5919</v>
      </c>
      <c r="B1143" s="83">
        <f t="array" ref="B1143">SUM(--(FREQUENCY(IF(C$2:C$3085=C1143, MATCH(D$2:D$3085, D$2:D$3085, 0)), ROW(D$2:D$3085)-ROW(D$2)+1) &gt; 0))</f>
        <v>19</v>
      </c>
      <c r="C1143" s="3">
        <v>41200033</v>
      </c>
      <c r="D1143" s="6" t="s">
        <v>2835</v>
      </c>
      <c r="E1143" s="3" t="s">
        <v>1426</v>
      </c>
      <c r="F1143" s="3" t="s">
        <v>1476</v>
      </c>
      <c r="G1143" s="68" t="str">
        <f t="shared" si="197"/>
        <v>DUAL</v>
      </c>
      <c r="H1143" s="197">
        <f t="shared" si="207"/>
        <v>36</v>
      </c>
      <c r="I1143" s="197">
        <v>9</v>
      </c>
      <c r="J1143" s="197">
        <v>2</v>
      </c>
      <c r="K1143" s="186">
        <f t="shared" si="208"/>
        <v>45902</v>
      </c>
      <c r="L1143" s="3" t="s">
        <v>2395</v>
      </c>
      <c r="M1143" s="3" t="s">
        <v>1468</v>
      </c>
      <c r="N1143" s="408" t="str">
        <f t="shared" si="194"/>
        <v/>
      </c>
      <c r="O1143" s="408"/>
      <c r="P1143" s="408"/>
      <c r="Q1143" s="408"/>
      <c r="R1143" s="408"/>
      <c r="S1143" s="408"/>
      <c r="T1143" s="408"/>
      <c r="U1143" s="408"/>
      <c r="V1143" s="421"/>
      <c r="W1143" s="421"/>
      <c r="X1143" s="421"/>
      <c r="Y1143" s="421"/>
      <c r="Z1143" s="421"/>
      <c r="AA1143" s="421"/>
      <c r="AB1143" s="421"/>
      <c r="AC1143" s="421"/>
      <c r="AD1143" s="421"/>
      <c r="AE1143" s="421"/>
      <c r="AF1143" s="421"/>
      <c r="AG1143" s="421"/>
      <c r="AH1143" s="421"/>
      <c r="AI1143" s="421"/>
      <c r="AJ1143" s="421"/>
      <c r="AK1143" s="421"/>
      <c r="AL1143" s="421"/>
    </row>
    <row r="1144" spans="1:38">
      <c r="A1144" s="3">
        <v>5919</v>
      </c>
      <c r="B1144" s="83">
        <f t="array" ref="B1144">SUM(--(FREQUENCY(IF(C$2:C$3085=C1144, MATCH(D$2:D$3085, D$2:D$3085, 0)), ROW(D$2:D$3085)-ROW(D$2)+1) &gt; 0))</f>
        <v>19</v>
      </c>
      <c r="C1144" s="3">
        <v>41200033</v>
      </c>
      <c r="D1144" s="6" t="s">
        <v>2836</v>
      </c>
      <c r="E1144" s="3" t="s">
        <v>1426</v>
      </c>
      <c r="F1144" s="3" t="s">
        <v>1476</v>
      </c>
      <c r="G1144" s="68" t="str">
        <f t="shared" ref="G1144:G1175" si="214">IF(OR(ISNUMBER(SEARCH("DUAL",F1144)), ISNUMBER(SEARCH("IVAS",F1144))), "DUAL", "SINGLE")</f>
        <v>DUAL</v>
      </c>
      <c r="H1144" s="197">
        <f t="shared" si="207"/>
        <v>36</v>
      </c>
      <c r="I1144" s="197">
        <v>9</v>
      </c>
      <c r="J1144" s="197">
        <v>2</v>
      </c>
      <c r="K1144" s="186">
        <f t="shared" si="208"/>
        <v>45902</v>
      </c>
      <c r="L1144" s="3" t="s">
        <v>2395</v>
      </c>
      <c r="M1144" s="3" t="s">
        <v>1468</v>
      </c>
      <c r="N1144" s="408" t="str">
        <f t="shared" si="194"/>
        <v/>
      </c>
      <c r="O1144" s="408"/>
      <c r="P1144" s="408"/>
      <c r="Q1144" s="408"/>
      <c r="R1144" s="408"/>
      <c r="S1144" s="408"/>
      <c r="T1144" s="408"/>
      <c r="U1144" s="408"/>
      <c r="V1144" s="421"/>
      <c r="W1144" s="421"/>
      <c r="X1144" s="421"/>
      <c r="Y1144" s="421"/>
      <c r="Z1144" s="421"/>
      <c r="AA1144" s="421"/>
      <c r="AB1144" s="421"/>
      <c r="AC1144" s="421"/>
      <c r="AD1144" s="421"/>
      <c r="AE1144" s="421"/>
      <c r="AF1144" s="421"/>
      <c r="AG1144" s="421"/>
      <c r="AH1144" s="421"/>
      <c r="AI1144" s="421"/>
      <c r="AJ1144" s="421"/>
      <c r="AK1144" s="421"/>
      <c r="AL1144" s="421"/>
    </row>
    <row r="1145" spans="1:38">
      <c r="A1145" s="3">
        <v>5882</v>
      </c>
      <c r="B1145" s="83">
        <f t="array" ref="B1145">SUM(--(FREQUENCY(IF(C$2:C$3085=C1145, MATCH(D$2:D$3085, D$2:D$3085, 0)), ROW(D$2:D$3085)-ROW(D$2)+1) &gt; 0))</f>
        <v>25</v>
      </c>
      <c r="C1145" s="3">
        <v>41200034</v>
      </c>
      <c r="D1145" s="6" t="s">
        <v>2837</v>
      </c>
      <c r="E1145" s="3" t="s">
        <v>1426</v>
      </c>
      <c r="F1145" s="3" t="s">
        <v>1476</v>
      </c>
      <c r="G1145" s="68" t="str">
        <f t="shared" si="214"/>
        <v>DUAL</v>
      </c>
      <c r="H1145" s="197">
        <f t="shared" ref="H1145" si="215">WEEKNUM(K1145)</f>
        <v>36</v>
      </c>
      <c r="I1145" s="197">
        <v>9</v>
      </c>
      <c r="J1145" s="197">
        <v>2</v>
      </c>
      <c r="K1145" s="186">
        <f t="shared" ref="K1145" si="216">DATE(2025, I1145, J1145)</f>
        <v>45902</v>
      </c>
      <c r="L1145" s="3" t="s">
        <v>2555</v>
      </c>
      <c r="M1145" s="3" t="s">
        <v>2555</v>
      </c>
      <c r="N1145" s="408" t="str">
        <f t="shared" si="194"/>
        <v/>
      </c>
      <c r="O1145" s="408"/>
      <c r="P1145" s="408"/>
      <c r="Q1145" s="408"/>
      <c r="R1145" s="408"/>
      <c r="S1145" s="408"/>
      <c r="T1145" s="408"/>
      <c r="U1145" s="408"/>
      <c r="V1145" s="421"/>
      <c r="W1145" s="421"/>
      <c r="X1145" s="421"/>
      <c r="Y1145" s="421"/>
      <c r="Z1145" s="421"/>
      <c r="AA1145" s="421"/>
      <c r="AB1145" s="421"/>
      <c r="AC1145" s="421"/>
      <c r="AD1145" s="421"/>
      <c r="AE1145" s="421"/>
      <c r="AF1145" s="421"/>
      <c r="AG1145" s="421"/>
      <c r="AH1145" s="421"/>
      <c r="AI1145" s="421"/>
      <c r="AJ1145" s="421"/>
      <c r="AK1145" s="421"/>
      <c r="AL1145" s="421"/>
    </row>
    <row r="1146" spans="1:38">
      <c r="A1146" s="3">
        <v>5981</v>
      </c>
      <c r="B1146" s="83">
        <f t="array" ref="B1146">SUM(--(FREQUENCY(IF(C$2:C$3081=C1146, MATCH(D$2:D$3081, D$2:D$3081, 0)), ROW(D$2:D$3081)-ROW(D$2)+1) &gt; 0))</f>
        <v>76</v>
      </c>
      <c r="C1146" s="3">
        <v>41200007</v>
      </c>
      <c r="D1146" s="6" t="s">
        <v>2838</v>
      </c>
      <c r="E1146" s="3" t="s">
        <v>1405</v>
      </c>
      <c r="F1146" s="3" t="s">
        <v>1591</v>
      </c>
      <c r="G1146" s="68" t="str">
        <f t="shared" si="214"/>
        <v>SINGLE</v>
      </c>
      <c r="H1146" s="197">
        <f t="shared" ref="H1146:H1152" si="217">WEEKNUM(K1146)</f>
        <v>36</v>
      </c>
      <c r="I1146" s="197">
        <v>9</v>
      </c>
      <c r="J1146" s="197">
        <v>3</v>
      </c>
      <c r="K1146" s="186">
        <f t="shared" ref="K1146:K1152" si="218">DATE(2025, I1146, J1146)</f>
        <v>45903</v>
      </c>
      <c r="L1146" s="3" t="s">
        <v>2391</v>
      </c>
      <c r="M1146" s="3" t="s">
        <v>2392</v>
      </c>
      <c r="N1146" s="408" t="str">
        <f t="shared" ref="N1146:N1147" si="219">IF(O1146&lt;&gt;"", "NG", "")</f>
        <v>NG</v>
      </c>
      <c r="O1146" s="408" t="s">
        <v>2368</v>
      </c>
      <c r="P1146" s="408" t="s">
        <v>2371</v>
      </c>
      <c r="Q1146" s="408">
        <v>11001962</v>
      </c>
      <c r="R1146" s="408" t="s">
        <v>562</v>
      </c>
      <c r="S1146" s="408" t="s">
        <v>2831</v>
      </c>
      <c r="T1146" s="408"/>
      <c r="U1146" s="408"/>
      <c r="V1146" s="421"/>
      <c r="W1146" s="421"/>
      <c r="X1146" s="421"/>
      <c r="Y1146" s="421"/>
      <c r="Z1146" s="421"/>
      <c r="AA1146" s="421"/>
      <c r="AB1146" s="421"/>
      <c r="AC1146" s="421"/>
      <c r="AD1146" s="421"/>
      <c r="AE1146" s="421"/>
      <c r="AF1146" s="421"/>
      <c r="AG1146" s="421"/>
      <c r="AH1146" s="421"/>
      <c r="AI1146" s="421"/>
      <c r="AJ1146" s="421"/>
      <c r="AK1146" s="421"/>
      <c r="AL1146" s="421"/>
    </row>
    <row r="1147" spans="1:38">
      <c r="A1147" s="3">
        <v>5981</v>
      </c>
      <c r="B1147" s="83">
        <f t="array" ref="B1147">SUM(--(FREQUENCY(IF(C$2:C$3081=C1147, MATCH(D$2:D$3081, D$2:D$3081, 0)), ROW(D$2:D$3081)-ROW(D$2)+1) &gt; 0))</f>
        <v>76</v>
      </c>
      <c r="C1147" s="3">
        <v>41200007</v>
      </c>
      <c r="D1147" s="6" t="s">
        <v>2838</v>
      </c>
      <c r="E1147" s="3" t="s">
        <v>1405</v>
      </c>
      <c r="F1147" s="3" t="s">
        <v>1591</v>
      </c>
      <c r="G1147" s="68" t="str">
        <f t="shared" si="214"/>
        <v>SINGLE</v>
      </c>
      <c r="H1147" s="197">
        <f t="shared" ref="H1147" si="220">WEEKNUM(K1147)</f>
        <v>36</v>
      </c>
      <c r="I1147" s="197">
        <v>9</v>
      </c>
      <c r="J1147" s="197">
        <v>3</v>
      </c>
      <c r="K1147" s="186">
        <f t="shared" ref="K1147" si="221">DATE(2025, I1147, J1147)</f>
        <v>45903</v>
      </c>
      <c r="L1147" s="3" t="s">
        <v>2391</v>
      </c>
      <c r="M1147" s="3" t="s">
        <v>2392</v>
      </c>
      <c r="N1147" s="408" t="str">
        <f t="shared" si="219"/>
        <v>NG</v>
      </c>
      <c r="O1147" s="408" t="s">
        <v>2368</v>
      </c>
      <c r="P1147" s="408" t="s">
        <v>2371</v>
      </c>
      <c r="Q1147" s="408">
        <v>11001962</v>
      </c>
      <c r="R1147" s="408" t="s">
        <v>562</v>
      </c>
      <c r="S1147" s="408" t="s">
        <v>2832</v>
      </c>
      <c r="T1147" s="408"/>
      <c r="U1147" s="408"/>
      <c r="V1147" s="421"/>
      <c r="W1147" s="421"/>
      <c r="X1147" s="421"/>
      <c r="Y1147" s="421"/>
      <c r="Z1147" s="421"/>
      <c r="AA1147" s="421"/>
      <c r="AB1147" s="421"/>
      <c r="AC1147" s="421"/>
      <c r="AD1147" s="421"/>
      <c r="AE1147" s="421"/>
      <c r="AF1147" s="421"/>
      <c r="AG1147" s="421"/>
      <c r="AH1147" s="421"/>
      <c r="AI1147" s="421"/>
      <c r="AJ1147" s="421"/>
      <c r="AK1147" s="421"/>
      <c r="AL1147" s="421"/>
    </row>
    <row r="1148" spans="1:38">
      <c r="A1148" s="3">
        <v>5981</v>
      </c>
      <c r="B1148" s="83">
        <f t="array" ref="B1148">SUM(--(FREQUENCY(IF(C$2:C$3081=C1148, MATCH(D$2:D$3081, D$2:D$3081, 0)), ROW(D$2:D$3081)-ROW(D$2)+1) &gt; 0))</f>
        <v>76</v>
      </c>
      <c r="C1148" s="3">
        <v>41200007</v>
      </c>
      <c r="D1148" s="6" t="s">
        <v>2839</v>
      </c>
      <c r="E1148" s="3" t="s">
        <v>1405</v>
      </c>
      <c r="F1148" s="3" t="s">
        <v>1591</v>
      </c>
      <c r="G1148" s="68" t="str">
        <f t="shared" si="214"/>
        <v>SINGLE</v>
      </c>
      <c r="H1148" s="197">
        <f t="shared" si="217"/>
        <v>36</v>
      </c>
      <c r="I1148" s="197">
        <v>9</v>
      </c>
      <c r="J1148" s="197">
        <v>3</v>
      </c>
      <c r="K1148" s="186">
        <f t="shared" si="218"/>
        <v>45903</v>
      </c>
      <c r="L1148" s="3" t="s">
        <v>2391</v>
      </c>
      <c r="M1148" s="3" t="s">
        <v>2392</v>
      </c>
      <c r="N1148" s="408" t="str">
        <f t="shared" si="194"/>
        <v/>
      </c>
      <c r="O1148" s="408"/>
      <c r="P1148" s="408"/>
      <c r="Q1148" s="408"/>
      <c r="R1148" s="408"/>
      <c r="S1148" s="408"/>
      <c r="T1148" s="408"/>
      <c r="U1148" s="408"/>
      <c r="V1148" s="421"/>
      <c r="W1148" s="421"/>
      <c r="X1148" s="421"/>
      <c r="Y1148" s="421"/>
      <c r="Z1148" s="421"/>
      <c r="AA1148" s="421"/>
      <c r="AB1148" s="421"/>
      <c r="AC1148" s="421"/>
      <c r="AD1148" s="421"/>
      <c r="AE1148" s="421"/>
      <c r="AF1148" s="421"/>
      <c r="AG1148" s="421"/>
      <c r="AH1148" s="421"/>
      <c r="AI1148" s="421"/>
      <c r="AJ1148" s="421"/>
      <c r="AK1148" s="421"/>
      <c r="AL1148" s="421"/>
    </row>
    <row r="1149" spans="1:38">
      <c r="A1149" s="3">
        <v>5914</v>
      </c>
      <c r="B1149" s="83">
        <f t="array" ref="B1149">SUM(--(FREQUENCY(IF(C$2:C$3081=C1149, MATCH(D$2:D$3081, D$2:D$3081, 0)), ROW(D$2:D$3081)-ROW(D$2)+1) &gt; 0))</f>
        <v>18</v>
      </c>
      <c r="C1149" s="3">
        <v>41200128</v>
      </c>
      <c r="D1149" s="6" t="s">
        <v>2840</v>
      </c>
      <c r="E1149" s="3" t="s">
        <v>1431</v>
      </c>
      <c r="F1149" s="3" t="s">
        <v>1591</v>
      </c>
      <c r="G1149" s="68" t="str">
        <f t="shared" si="214"/>
        <v>SINGLE</v>
      </c>
      <c r="H1149" s="197">
        <f t="shared" si="217"/>
        <v>36</v>
      </c>
      <c r="I1149" s="197">
        <v>9</v>
      </c>
      <c r="J1149" s="197">
        <v>3</v>
      </c>
      <c r="K1149" s="186">
        <f t="shared" si="218"/>
        <v>45903</v>
      </c>
      <c r="L1149" s="3" t="s">
        <v>2391</v>
      </c>
      <c r="M1149" s="3" t="s">
        <v>1468</v>
      </c>
      <c r="N1149" s="408" t="str">
        <f t="shared" si="194"/>
        <v/>
      </c>
      <c r="O1149" s="408"/>
      <c r="P1149" s="408"/>
      <c r="Q1149" s="408"/>
      <c r="R1149" s="408"/>
      <c r="S1149" s="408"/>
      <c r="T1149" s="408"/>
      <c r="U1149" s="408"/>
      <c r="V1149" s="421"/>
      <c r="W1149" s="421"/>
      <c r="X1149" s="421"/>
      <c r="Y1149" s="421"/>
      <c r="Z1149" s="421"/>
      <c r="AA1149" s="421"/>
      <c r="AB1149" s="421"/>
      <c r="AC1149" s="421"/>
      <c r="AD1149" s="421"/>
      <c r="AE1149" s="421"/>
      <c r="AF1149" s="421"/>
      <c r="AG1149" s="421"/>
      <c r="AH1149" s="421"/>
      <c r="AI1149" s="421"/>
      <c r="AJ1149" s="421"/>
      <c r="AK1149" s="421"/>
      <c r="AL1149" s="421"/>
    </row>
    <row r="1150" spans="1:38">
      <c r="A1150" s="3">
        <v>5885</v>
      </c>
      <c r="B1150" s="83">
        <f t="array" ref="B1150">SUM(--(FREQUENCY(IF(C$2:C$3081=C1150, MATCH(D$2:D$3081, D$2:D$3081, 0)), ROW(D$2:D$3081)-ROW(D$2)+1) &gt; 0))</f>
        <v>10</v>
      </c>
      <c r="C1150" s="3">
        <v>41100286</v>
      </c>
      <c r="D1150" s="6" t="s">
        <v>2841</v>
      </c>
      <c r="E1150" s="3" t="s">
        <v>1424</v>
      </c>
      <c r="F1150" s="3" t="s">
        <v>1476</v>
      </c>
      <c r="G1150" s="68" t="str">
        <f t="shared" si="214"/>
        <v>DUAL</v>
      </c>
      <c r="H1150" s="197">
        <f t="shared" si="217"/>
        <v>36</v>
      </c>
      <c r="I1150" s="197">
        <v>9</v>
      </c>
      <c r="J1150" s="197">
        <v>3</v>
      </c>
      <c r="K1150" s="186">
        <f t="shared" si="218"/>
        <v>45903</v>
      </c>
      <c r="L1150" s="3" t="s">
        <v>2391</v>
      </c>
      <c r="M1150" s="3" t="s">
        <v>1468</v>
      </c>
      <c r="N1150" s="408" t="str">
        <f t="shared" si="194"/>
        <v/>
      </c>
      <c r="O1150" s="408"/>
      <c r="P1150" s="408"/>
      <c r="Q1150" s="408"/>
      <c r="R1150" s="408"/>
      <c r="S1150" s="408"/>
      <c r="T1150" s="408"/>
      <c r="U1150" s="408"/>
      <c r="V1150" s="421"/>
      <c r="W1150" s="421"/>
      <c r="X1150" s="421"/>
      <c r="Y1150" s="421"/>
      <c r="Z1150" s="421"/>
      <c r="AA1150" s="421"/>
      <c r="AB1150" s="421"/>
      <c r="AC1150" s="421"/>
      <c r="AD1150" s="421"/>
      <c r="AE1150" s="421"/>
      <c r="AF1150" s="421"/>
      <c r="AG1150" s="421"/>
      <c r="AH1150" s="421"/>
      <c r="AI1150" s="421"/>
      <c r="AJ1150" s="421"/>
      <c r="AK1150" s="421"/>
      <c r="AL1150" s="421"/>
    </row>
    <row r="1151" spans="1:38">
      <c r="A1151" s="3">
        <v>5978</v>
      </c>
      <c r="B1151" s="83">
        <f t="array" ref="B1151">SUM(--(FREQUENCY(IF(C$2:C$3081=C1151, MATCH(D$2:D$3081, D$2:D$3081, 0)), ROW(D$2:D$3081)-ROW(D$2)+1) &gt; 0))</f>
        <v>20</v>
      </c>
      <c r="C1151" s="3">
        <v>41200074</v>
      </c>
      <c r="D1151" s="6" t="s">
        <v>2842</v>
      </c>
      <c r="E1151" s="3" t="s">
        <v>1405</v>
      </c>
      <c r="F1151" s="3" t="s">
        <v>1478</v>
      </c>
      <c r="G1151" s="68" t="str">
        <f t="shared" si="214"/>
        <v>DUAL</v>
      </c>
      <c r="H1151" s="197">
        <f t="shared" si="217"/>
        <v>36</v>
      </c>
      <c r="I1151" s="197">
        <v>9</v>
      </c>
      <c r="J1151" s="197">
        <v>3</v>
      </c>
      <c r="K1151" s="186">
        <f t="shared" si="218"/>
        <v>45903</v>
      </c>
      <c r="L1151" s="3" t="s">
        <v>2395</v>
      </c>
      <c r="M1151" s="3" t="s">
        <v>1469</v>
      </c>
      <c r="N1151" s="408" t="str">
        <f t="shared" si="194"/>
        <v/>
      </c>
      <c r="O1151" s="408"/>
      <c r="P1151" s="408"/>
      <c r="Q1151" s="408"/>
      <c r="R1151" s="408"/>
      <c r="S1151" s="408"/>
      <c r="T1151" s="408"/>
      <c r="U1151" s="408"/>
      <c r="V1151" s="421"/>
      <c r="W1151" s="421"/>
      <c r="X1151" s="421"/>
      <c r="Y1151" s="421"/>
      <c r="Z1151" s="421"/>
      <c r="AA1151" s="421"/>
      <c r="AB1151" s="421"/>
      <c r="AC1151" s="421"/>
      <c r="AD1151" s="421"/>
      <c r="AE1151" s="421"/>
      <c r="AF1151" s="421"/>
      <c r="AG1151" s="421"/>
      <c r="AH1151" s="421"/>
      <c r="AI1151" s="421"/>
      <c r="AJ1151" s="421"/>
      <c r="AK1151" s="421"/>
      <c r="AL1151" s="421"/>
    </row>
    <row r="1152" spans="1:38">
      <c r="A1152" s="3">
        <v>5936</v>
      </c>
      <c r="B1152" s="83">
        <f t="array" ref="B1152">SUM(--(FREQUENCY(IF(C$2:C$3081=C1152, MATCH(D$2:D$3081, D$2:D$3081, 0)), ROW(D$2:D$3081)-ROW(D$2)+1) &gt; 0))</f>
        <v>37</v>
      </c>
      <c r="C1152" s="3">
        <v>41200076</v>
      </c>
      <c r="D1152" s="6" t="s">
        <v>2843</v>
      </c>
      <c r="E1152" s="3" t="s">
        <v>1585</v>
      </c>
      <c r="F1152" s="3" t="s">
        <v>1476</v>
      </c>
      <c r="G1152" s="68" t="str">
        <f t="shared" si="214"/>
        <v>DUAL</v>
      </c>
      <c r="H1152" s="197">
        <f t="shared" si="217"/>
        <v>36</v>
      </c>
      <c r="I1152" s="197">
        <v>9</v>
      </c>
      <c r="J1152" s="197">
        <v>3</v>
      </c>
      <c r="K1152" s="186">
        <f t="shared" si="218"/>
        <v>45903</v>
      </c>
      <c r="L1152" s="3" t="s">
        <v>2555</v>
      </c>
      <c r="M1152" s="3" t="s">
        <v>2555</v>
      </c>
      <c r="N1152" s="408" t="str">
        <f t="shared" si="194"/>
        <v/>
      </c>
      <c r="O1152" s="408"/>
      <c r="P1152" s="408"/>
      <c r="Q1152" s="408"/>
      <c r="R1152" s="408"/>
      <c r="S1152" s="408"/>
      <c r="T1152" s="408"/>
      <c r="U1152" s="408"/>
      <c r="V1152" s="421"/>
      <c r="W1152" s="421"/>
      <c r="X1152" s="421"/>
      <c r="Y1152" s="421"/>
      <c r="Z1152" s="421"/>
      <c r="AA1152" s="421"/>
      <c r="AB1152" s="421"/>
      <c r="AC1152" s="421"/>
      <c r="AD1152" s="421"/>
      <c r="AE1152" s="421"/>
      <c r="AF1152" s="421"/>
      <c r="AG1152" s="421"/>
      <c r="AH1152" s="421"/>
      <c r="AI1152" s="421"/>
      <c r="AJ1152" s="421"/>
      <c r="AK1152" s="421"/>
      <c r="AL1152" s="421"/>
    </row>
    <row r="1153" spans="1:38">
      <c r="A1153" s="3">
        <v>6023</v>
      </c>
      <c r="B1153" s="83">
        <f t="array" ref="B1153">SUM(--(FREQUENCY(IF(C$2:C$3080=C1153, MATCH(D$2:D$3080, D$2:D$3080, 0)), ROW(D$2:D$3080)-ROW(D$2)+1) &gt; 0))</f>
        <v>29</v>
      </c>
      <c r="C1153" s="3">
        <v>41200005</v>
      </c>
      <c r="D1153" s="6" t="s">
        <v>2844</v>
      </c>
      <c r="E1153" s="3" t="s">
        <v>1405</v>
      </c>
      <c r="F1153" s="3" t="s">
        <v>1591</v>
      </c>
      <c r="G1153" s="68" t="str">
        <f t="shared" si="214"/>
        <v>SINGLE</v>
      </c>
      <c r="H1153" s="197">
        <f t="shared" ref="H1153:H1161" si="222">WEEKNUM(K1153)</f>
        <v>36</v>
      </c>
      <c r="I1153" s="197">
        <v>9</v>
      </c>
      <c r="J1153" s="197">
        <v>4</v>
      </c>
      <c r="K1153" s="186">
        <f t="shared" ref="K1153:K1161" si="223">DATE(2025, I1153, J1153)</f>
        <v>45904</v>
      </c>
      <c r="L1153" s="3" t="s">
        <v>2391</v>
      </c>
      <c r="M1153" s="3" t="s">
        <v>1468</v>
      </c>
      <c r="N1153" s="408" t="str">
        <f t="shared" si="194"/>
        <v>NG</v>
      </c>
      <c r="O1153" s="408" t="s">
        <v>2368</v>
      </c>
      <c r="P1153" s="408" t="s">
        <v>2371</v>
      </c>
      <c r="Q1153" s="408">
        <v>11001962</v>
      </c>
      <c r="R1153" s="408" t="s">
        <v>562</v>
      </c>
      <c r="S1153" s="408" t="s">
        <v>2845</v>
      </c>
      <c r="T1153" s="408"/>
      <c r="U1153" s="408"/>
      <c r="V1153" s="421"/>
      <c r="W1153" s="421"/>
      <c r="X1153" s="421"/>
      <c r="Y1153" s="421"/>
      <c r="Z1153" s="421"/>
      <c r="AA1153" s="421"/>
      <c r="AB1153" s="421"/>
      <c r="AC1153" s="421"/>
      <c r="AD1153" s="421"/>
      <c r="AE1153" s="421"/>
      <c r="AF1153" s="421"/>
      <c r="AG1153" s="421"/>
      <c r="AH1153" s="421"/>
      <c r="AI1153" s="421"/>
      <c r="AJ1153" s="421"/>
      <c r="AK1153" s="421"/>
      <c r="AL1153" s="421"/>
    </row>
    <row r="1154" spans="1:38">
      <c r="A1154" s="3">
        <v>6023</v>
      </c>
      <c r="B1154" s="83">
        <f t="array" ref="B1154">SUM(--(FREQUENCY(IF(C$2:C$3080=C1154, MATCH(D$2:D$3080, D$2:D$3080, 0)), ROW(D$2:D$3080)-ROW(D$2)+1) &gt; 0))</f>
        <v>29</v>
      </c>
      <c r="C1154" s="3">
        <v>41200005</v>
      </c>
      <c r="D1154" s="6" t="s">
        <v>2846</v>
      </c>
      <c r="E1154" s="3" t="s">
        <v>1405</v>
      </c>
      <c r="F1154" s="3" t="s">
        <v>1591</v>
      </c>
      <c r="G1154" s="68" t="str">
        <f t="shared" si="214"/>
        <v>SINGLE</v>
      </c>
      <c r="H1154" s="197">
        <f t="shared" si="222"/>
        <v>36</v>
      </c>
      <c r="I1154" s="197">
        <v>9</v>
      </c>
      <c r="J1154" s="197">
        <v>4</v>
      </c>
      <c r="K1154" s="186">
        <f t="shared" si="223"/>
        <v>45904</v>
      </c>
      <c r="L1154" s="3" t="s">
        <v>2391</v>
      </c>
      <c r="M1154" s="3" t="s">
        <v>1468</v>
      </c>
      <c r="N1154" s="408" t="str">
        <f>IF(O1154&lt;&gt;"", "NG", "")</f>
        <v>NG</v>
      </c>
      <c r="O1154" s="408" t="s">
        <v>2368</v>
      </c>
      <c r="P1154" s="408" t="s">
        <v>2371</v>
      </c>
      <c r="Q1154" s="408">
        <v>11001962</v>
      </c>
      <c r="R1154" s="408" t="s">
        <v>562</v>
      </c>
      <c r="S1154" s="408" t="s">
        <v>2847</v>
      </c>
      <c r="T1154" s="408"/>
      <c r="U1154" s="408"/>
      <c r="V1154" s="421"/>
      <c r="W1154" s="421"/>
      <c r="X1154" s="421"/>
      <c r="Y1154" s="421"/>
      <c r="Z1154" s="421"/>
      <c r="AA1154" s="421"/>
      <c r="AB1154" s="421"/>
      <c r="AC1154" s="421"/>
      <c r="AD1154" s="421"/>
      <c r="AE1154" s="421"/>
      <c r="AF1154" s="421"/>
      <c r="AG1154" s="421"/>
      <c r="AH1154" s="421"/>
      <c r="AI1154" s="421"/>
      <c r="AJ1154" s="421"/>
      <c r="AK1154" s="421"/>
      <c r="AL1154" s="421"/>
    </row>
    <row r="1155" spans="1:38">
      <c r="A1155" s="3">
        <v>6023</v>
      </c>
      <c r="B1155" s="83">
        <f t="array" ref="B1155">SUM(--(FREQUENCY(IF(C$2:C$3080=C1155, MATCH(D$2:D$3080, D$2:D$3080, 0)), ROW(D$2:D$3080)-ROW(D$2)+1) &gt; 0))</f>
        <v>29</v>
      </c>
      <c r="C1155" s="3">
        <v>41200005</v>
      </c>
      <c r="D1155" s="6" t="s">
        <v>2848</v>
      </c>
      <c r="E1155" s="3" t="s">
        <v>1405</v>
      </c>
      <c r="F1155" s="3" t="s">
        <v>1591</v>
      </c>
      <c r="G1155" s="68" t="str">
        <f t="shared" si="214"/>
        <v>SINGLE</v>
      </c>
      <c r="H1155" s="197">
        <f t="shared" si="222"/>
        <v>36</v>
      </c>
      <c r="I1155" s="197">
        <v>9</v>
      </c>
      <c r="J1155" s="197">
        <v>4</v>
      </c>
      <c r="K1155" s="186">
        <f t="shared" si="223"/>
        <v>45904</v>
      </c>
      <c r="L1155" s="3" t="s">
        <v>2391</v>
      </c>
      <c r="M1155" s="3" t="s">
        <v>1468</v>
      </c>
      <c r="N1155" s="408" t="str">
        <f>IF(O1155&lt;&gt;"", "NG", "")</f>
        <v>NG</v>
      </c>
      <c r="O1155" s="408" t="s">
        <v>2368</v>
      </c>
      <c r="P1155" s="408" t="s">
        <v>2371</v>
      </c>
      <c r="Q1155" s="408">
        <v>11001962</v>
      </c>
      <c r="R1155" s="408" t="s">
        <v>562</v>
      </c>
      <c r="S1155" s="408" t="s">
        <v>2849</v>
      </c>
      <c r="T1155" s="408"/>
      <c r="U1155" s="408"/>
      <c r="V1155" s="421"/>
      <c r="W1155" s="421"/>
      <c r="X1155" s="421"/>
      <c r="Y1155" s="421"/>
      <c r="Z1155" s="421"/>
      <c r="AA1155" s="421"/>
      <c r="AB1155" s="421"/>
      <c r="AC1155" s="421"/>
      <c r="AD1155" s="421"/>
      <c r="AE1155" s="421"/>
      <c r="AF1155" s="421"/>
      <c r="AG1155" s="421"/>
      <c r="AH1155" s="421"/>
      <c r="AI1155" s="421"/>
      <c r="AJ1155" s="421"/>
      <c r="AK1155" s="421"/>
      <c r="AL1155" s="421"/>
    </row>
    <row r="1156" spans="1:38">
      <c r="A1156" s="3">
        <v>6023</v>
      </c>
      <c r="B1156" s="83">
        <f t="array" ref="B1156">SUM(--(FREQUENCY(IF(C$2:C$3080=C1156, MATCH(D$2:D$3080, D$2:D$3080, 0)), ROW(D$2:D$3080)-ROW(D$2)+1) &gt; 0))</f>
        <v>29</v>
      </c>
      <c r="C1156" s="3">
        <v>41200005</v>
      </c>
      <c r="D1156" s="6" t="s">
        <v>2850</v>
      </c>
      <c r="E1156" s="3" t="s">
        <v>1405</v>
      </c>
      <c r="F1156" s="3" t="s">
        <v>1591</v>
      </c>
      <c r="G1156" s="68" t="str">
        <f t="shared" si="214"/>
        <v>SINGLE</v>
      </c>
      <c r="H1156" s="197">
        <f t="shared" si="222"/>
        <v>36</v>
      </c>
      <c r="I1156" s="197">
        <v>9</v>
      </c>
      <c r="J1156" s="197">
        <v>4</v>
      </c>
      <c r="K1156" s="186">
        <f t="shared" si="223"/>
        <v>45904</v>
      </c>
      <c r="L1156" s="3" t="s">
        <v>2391</v>
      </c>
      <c r="M1156" s="3" t="s">
        <v>1468</v>
      </c>
      <c r="N1156" s="408" t="str">
        <f t="shared" si="194"/>
        <v/>
      </c>
      <c r="O1156" s="408"/>
      <c r="P1156" s="408"/>
      <c r="Q1156" s="408"/>
      <c r="R1156" s="408"/>
      <c r="S1156" s="408"/>
      <c r="T1156" s="408"/>
      <c r="U1156" s="408"/>
      <c r="V1156" s="421"/>
      <c r="W1156" s="421"/>
      <c r="X1156" s="421"/>
      <c r="Y1156" s="421"/>
      <c r="Z1156" s="421"/>
      <c r="AA1156" s="421"/>
      <c r="AB1156" s="421"/>
      <c r="AC1156" s="421"/>
      <c r="AD1156" s="421"/>
      <c r="AE1156" s="421"/>
      <c r="AF1156" s="421"/>
      <c r="AG1156" s="421"/>
      <c r="AH1156" s="421"/>
      <c r="AI1156" s="421"/>
      <c r="AJ1156" s="421"/>
      <c r="AK1156" s="421"/>
      <c r="AL1156" s="421"/>
    </row>
    <row r="1157" spans="1:38">
      <c r="A1157" s="3">
        <v>6069</v>
      </c>
      <c r="B1157" s="83">
        <f t="array" ref="B1157">SUM(--(FREQUENCY(IF(C$2:C$3080=C1157, MATCH(D$2:D$3080, D$2:D$3080, 0)), ROW(D$2:D$3080)-ROW(D$2)+1) &gt; 0))</f>
        <v>20</v>
      </c>
      <c r="C1157" s="3">
        <v>41100435</v>
      </c>
      <c r="D1157" s="6" t="s">
        <v>2851</v>
      </c>
      <c r="E1157" s="3" t="s">
        <v>1585</v>
      </c>
      <c r="F1157" s="3" t="s">
        <v>1482</v>
      </c>
      <c r="G1157" s="68" t="str">
        <f t="shared" si="214"/>
        <v>SINGLE</v>
      </c>
      <c r="H1157" s="197">
        <f t="shared" si="222"/>
        <v>36</v>
      </c>
      <c r="I1157" s="197">
        <v>9</v>
      </c>
      <c r="J1157" s="197">
        <v>4</v>
      </c>
      <c r="K1157" s="186">
        <f t="shared" si="223"/>
        <v>45904</v>
      </c>
      <c r="L1157" s="3" t="s">
        <v>2391</v>
      </c>
      <c r="M1157" s="3" t="s">
        <v>1468</v>
      </c>
      <c r="N1157" s="408" t="str">
        <f t="shared" si="194"/>
        <v/>
      </c>
      <c r="O1157" s="408"/>
      <c r="P1157" s="408"/>
      <c r="Q1157" s="408"/>
      <c r="R1157" s="408"/>
      <c r="S1157" s="408"/>
      <c r="T1157" s="408"/>
      <c r="U1157" s="408"/>
      <c r="V1157" s="421"/>
      <c r="W1157" s="421"/>
      <c r="X1157" s="421"/>
      <c r="Y1157" s="421"/>
      <c r="Z1157" s="421"/>
      <c r="AA1157" s="421"/>
      <c r="AB1157" s="421"/>
      <c r="AC1157" s="421"/>
      <c r="AD1157" s="421"/>
      <c r="AE1157" s="421"/>
      <c r="AF1157" s="421"/>
      <c r="AG1157" s="421"/>
      <c r="AH1157" s="421"/>
      <c r="AI1157" s="421"/>
      <c r="AJ1157" s="421"/>
      <c r="AK1157" s="421"/>
      <c r="AL1157" s="421"/>
    </row>
    <row r="1158" spans="1:38">
      <c r="A1158" s="3">
        <v>5905</v>
      </c>
      <c r="B1158" s="83">
        <f t="array" ref="B1158">SUM(--(FREQUENCY(IF(C$2:C$3080=C1158, MATCH(D$2:D$3080, D$2:D$3080, 0)), ROW(D$2:D$3080)-ROW(D$2)+1) &gt; 0))</f>
        <v>2</v>
      </c>
      <c r="C1158" s="3">
        <v>41100445</v>
      </c>
      <c r="D1158" s="6" t="s">
        <v>2852</v>
      </c>
      <c r="E1158" s="3" t="s">
        <v>2693</v>
      </c>
      <c r="F1158" s="3" t="s">
        <v>1479</v>
      </c>
      <c r="G1158" s="68" t="str">
        <f t="shared" si="214"/>
        <v>SINGLE</v>
      </c>
      <c r="H1158" s="197">
        <f t="shared" si="222"/>
        <v>36</v>
      </c>
      <c r="I1158" s="197">
        <v>9</v>
      </c>
      <c r="J1158" s="197">
        <v>4</v>
      </c>
      <c r="K1158" s="186">
        <f t="shared" si="223"/>
        <v>45904</v>
      </c>
      <c r="L1158" s="3" t="s">
        <v>2391</v>
      </c>
      <c r="M1158" s="3" t="s">
        <v>1468</v>
      </c>
      <c r="N1158" s="408" t="str">
        <f t="shared" si="194"/>
        <v/>
      </c>
      <c r="O1158" s="408"/>
      <c r="P1158" s="408"/>
      <c r="Q1158" s="408"/>
      <c r="R1158" s="408"/>
      <c r="S1158" s="408"/>
      <c r="T1158" s="408"/>
      <c r="U1158" s="408"/>
      <c r="V1158" s="421"/>
      <c r="W1158" s="421"/>
      <c r="X1158" s="421"/>
      <c r="Y1158" s="421"/>
      <c r="Z1158" s="421"/>
      <c r="AA1158" s="421"/>
      <c r="AB1158" s="421"/>
      <c r="AC1158" s="421"/>
      <c r="AD1158" s="421"/>
      <c r="AE1158" s="421"/>
      <c r="AF1158" s="421"/>
      <c r="AG1158" s="421"/>
      <c r="AH1158" s="421"/>
      <c r="AI1158" s="421"/>
      <c r="AJ1158" s="421"/>
      <c r="AK1158" s="421"/>
      <c r="AL1158" s="421"/>
    </row>
    <row r="1159" spans="1:38">
      <c r="A1159" s="3">
        <v>6022</v>
      </c>
      <c r="B1159" s="83">
        <f t="array" ref="B1159">SUM(--(FREQUENCY(IF(C$2:C$3080=C1159, MATCH(D$2:D$3080, D$2:D$3080, 0)), ROW(D$2:D$3080)-ROW(D$2)+1) &gt; 0))</f>
        <v>63</v>
      </c>
      <c r="C1159" s="3">
        <v>41200006</v>
      </c>
      <c r="D1159" s="6" t="s">
        <v>2853</v>
      </c>
      <c r="E1159" s="3" t="s">
        <v>1405</v>
      </c>
      <c r="F1159" s="3" t="s">
        <v>1477</v>
      </c>
      <c r="G1159" s="68" t="str">
        <f t="shared" si="214"/>
        <v>SINGLE</v>
      </c>
      <c r="H1159" s="197">
        <f t="shared" si="222"/>
        <v>36</v>
      </c>
      <c r="I1159" s="197">
        <v>9</v>
      </c>
      <c r="J1159" s="197">
        <v>4</v>
      </c>
      <c r="K1159" s="186">
        <f t="shared" si="223"/>
        <v>45904</v>
      </c>
      <c r="L1159" s="3" t="s">
        <v>2395</v>
      </c>
      <c r="M1159" s="3" t="s">
        <v>1469</v>
      </c>
      <c r="N1159" s="408" t="str">
        <f t="shared" si="194"/>
        <v/>
      </c>
      <c r="O1159" s="408"/>
      <c r="P1159" s="408"/>
      <c r="Q1159" s="408"/>
      <c r="R1159" s="408"/>
      <c r="S1159" s="408"/>
      <c r="T1159" s="408"/>
      <c r="U1159" s="408"/>
      <c r="V1159" s="421"/>
      <c r="W1159" s="421"/>
      <c r="X1159" s="421"/>
      <c r="Y1159" s="421"/>
      <c r="Z1159" s="421"/>
      <c r="AA1159" s="421"/>
      <c r="AB1159" s="421"/>
      <c r="AC1159" s="421"/>
      <c r="AD1159" s="421"/>
      <c r="AE1159" s="421"/>
      <c r="AF1159" s="421"/>
      <c r="AG1159" s="421"/>
      <c r="AH1159" s="421"/>
      <c r="AI1159" s="421"/>
      <c r="AJ1159" s="421"/>
      <c r="AK1159" s="421"/>
      <c r="AL1159" s="421"/>
    </row>
    <row r="1160" spans="1:38">
      <c r="A1160" s="3">
        <v>6022</v>
      </c>
      <c r="B1160" s="83">
        <f t="array" ref="B1160">SUM(--(FREQUENCY(IF(C$2:C$3080=C1160, MATCH(D$2:D$3080, D$2:D$3080, 0)), ROW(D$2:D$3080)-ROW(D$2)+1) &gt; 0))</f>
        <v>63</v>
      </c>
      <c r="C1160" s="3">
        <v>41200006</v>
      </c>
      <c r="D1160" s="6" t="s">
        <v>2854</v>
      </c>
      <c r="E1160" s="3" t="s">
        <v>1405</v>
      </c>
      <c r="F1160" s="3" t="s">
        <v>1477</v>
      </c>
      <c r="G1160" s="68" t="str">
        <f t="shared" si="214"/>
        <v>SINGLE</v>
      </c>
      <c r="H1160" s="197">
        <f t="shared" si="222"/>
        <v>36</v>
      </c>
      <c r="I1160" s="197">
        <v>9</v>
      </c>
      <c r="J1160" s="197">
        <v>4</v>
      </c>
      <c r="K1160" s="186">
        <f t="shared" si="223"/>
        <v>45904</v>
      </c>
      <c r="L1160" s="3" t="s">
        <v>2395</v>
      </c>
      <c r="M1160" s="3" t="s">
        <v>1469</v>
      </c>
      <c r="N1160" s="408" t="str">
        <f t="shared" si="194"/>
        <v>NG</v>
      </c>
      <c r="O1160" s="408" t="s">
        <v>2368</v>
      </c>
      <c r="P1160" s="408" t="s">
        <v>2371</v>
      </c>
      <c r="Q1160" s="408">
        <v>11001968</v>
      </c>
      <c r="R1160" s="408" t="s">
        <v>473</v>
      </c>
      <c r="S1160" s="408" t="s">
        <v>2780</v>
      </c>
      <c r="T1160" s="408"/>
      <c r="U1160" s="408"/>
      <c r="V1160" s="421"/>
      <c r="W1160" s="421"/>
      <c r="X1160" s="421"/>
      <c r="Y1160" s="421"/>
      <c r="Z1160" s="421"/>
      <c r="AA1160" s="421"/>
      <c r="AB1160" s="421"/>
      <c r="AC1160" s="421"/>
      <c r="AD1160" s="421"/>
      <c r="AE1160" s="421"/>
      <c r="AF1160" s="421"/>
      <c r="AG1160" s="421"/>
      <c r="AH1160" s="421"/>
      <c r="AI1160" s="421"/>
      <c r="AJ1160" s="421"/>
      <c r="AK1160" s="421"/>
      <c r="AL1160" s="421"/>
    </row>
    <row r="1161" spans="1:38">
      <c r="A1161" s="3">
        <v>5978</v>
      </c>
      <c r="B1161" s="83">
        <f t="array" ref="B1161">SUM(--(FREQUENCY(IF(C$2:C$3080=C1161, MATCH(D$2:D$3080, D$2:D$3080, 0)), ROW(D$2:D$3080)-ROW(D$2)+1) &gt; 0))</f>
        <v>20</v>
      </c>
      <c r="C1161" s="3">
        <v>41200074</v>
      </c>
      <c r="D1161" s="6" t="s">
        <v>2855</v>
      </c>
      <c r="E1161" s="3" t="s">
        <v>1405</v>
      </c>
      <c r="F1161" s="3" t="s">
        <v>1478</v>
      </c>
      <c r="G1161" s="68" t="str">
        <f t="shared" si="214"/>
        <v>DUAL</v>
      </c>
      <c r="H1161" s="197">
        <f t="shared" si="222"/>
        <v>36</v>
      </c>
      <c r="I1161" s="197">
        <v>9</v>
      </c>
      <c r="J1161" s="197">
        <v>4</v>
      </c>
      <c r="K1161" s="186">
        <f t="shared" si="223"/>
        <v>45904</v>
      </c>
      <c r="L1161" s="3" t="s">
        <v>2395</v>
      </c>
      <c r="M1161" s="3" t="s">
        <v>1469</v>
      </c>
      <c r="N1161" s="408" t="str">
        <f t="shared" si="194"/>
        <v>NG</v>
      </c>
      <c r="O1161" s="408" t="s">
        <v>2368</v>
      </c>
      <c r="P1161" s="408" t="s">
        <v>2563</v>
      </c>
      <c r="Q1161" s="408">
        <v>11000125</v>
      </c>
      <c r="R1161" s="408" t="s">
        <v>1049</v>
      </c>
      <c r="S1161" s="408" t="s">
        <v>2856</v>
      </c>
      <c r="T1161" s="408"/>
      <c r="U1161" s="408"/>
      <c r="V1161" s="421"/>
      <c r="W1161" s="421"/>
      <c r="X1161" s="421"/>
      <c r="Y1161" s="421"/>
      <c r="Z1161" s="421"/>
      <c r="AA1161" s="421"/>
      <c r="AB1161" s="421"/>
      <c r="AC1161" s="421"/>
      <c r="AD1161" s="421"/>
      <c r="AE1161" s="421"/>
      <c r="AF1161" s="421"/>
      <c r="AG1161" s="421"/>
      <c r="AH1161" s="421"/>
      <c r="AI1161" s="421"/>
      <c r="AJ1161" s="421"/>
      <c r="AK1161" s="421"/>
      <c r="AL1161" s="421"/>
    </row>
    <row r="1162" spans="1:38">
      <c r="A1162" s="408">
        <v>5822</v>
      </c>
      <c r="B1162" s="83">
        <f t="array" ref="B1162">SUM(--(FREQUENCY(IF(C$2:C$3081=C1162, MATCH(D$2:D$3081, D$2:D$3081, 0)), ROW(D$2:D$3081)-ROW(D$2)+1) &gt; 0))</f>
        <v>63</v>
      </c>
      <c r="C1162" s="408">
        <v>41200006</v>
      </c>
      <c r="D1162" s="408" t="s">
        <v>2857</v>
      </c>
      <c r="E1162" s="3" t="s">
        <v>1405</v>
      </c>
      <c r="F1162" s="3" t="s">
        <v>1477</v>
      </c>
      <c r="G1162" s="68" t="str">
        <f t="shared" si="214"/>
        <v>SINGLE</v>
      </c>
      <c r="H1162" s="197">
        <f t="shared" ref="H1162:H1168" si="224">WEEKNUM(K1162)</f>
        <v>36</v>
      </c>
      <c r="I1162" s="197">
        <v>9</v>
      </c>
      <c r="J1162" s="197">
        <v>5</v>
      </c>
      <c r="K1162" s="186">
        <f t="shared" ref="K1162:K1168" si="225">DATE(2025, I1162, J1162)</f>
        <v>45905</v>
      </c>
      <c r="L1162" s="3" t="s">
        <v>2391</v>
      </c>
      <c r="M1162" s="3" t="s">
        <v>2392</v>
      </c>
      <c r="N1162" s="3" t="str">
        <f>IF(O1162&lt;&gt;"", "NG", "")</f>
        <v>NG</v>
      </c>
      <c r="O1162" s="3" t="s">
        <v>2368</v>
      </c>
      <c r="P1162" s="3" t="s">
        <v>2371</v>
      </c>
      <c r="Q1162" s="3">
        <v>11001968</v>
      </c>
      <c r="R1162" s="3" t="s">
        <v>473</v>
      </c>
      <c r="S1162" s="3" t="s">
        <v>2858</v>
      </c>
      <c r="T1162" s="408"/>
      <c r="U1162" s="408"/>
      <c r="V1162" s="421"/>
      <c r="W1162" s="421"/>
      <c r="X1162" s="421"/>
      <c r="Y1162" s="421"/>
      <c r="Z1162" s="421"/>
      <c r="AA1162" s="421"/>
      <c r="AB1162" s="421"/>
      <c r="AC1162" s="421"/>
      <c r="AD1162" s="421"/>
      <c r="AE1162" s="421"/>
      <c r="AF1162" s="421"/>
      <c r="AG1162" s="421"/>
      <c r="AH1162" s="421"/>
      <c r="AI1162" s="421"/>
      <c r="AJ1162" s="421"/>
      <c r="AK1162" s="421"/>
      <c r="AL1162" s="421"/>
    </row>
    <row r="1163" spans="1:38">
      <c r="A1163" s="408">
        <v>5822</v>
      </c>
      <c r="B1163" s="83">
        <f t="array" ref="B1163">SUM(--(FREQUENCY(IF(C$2:C$3081=C1163, MATCH(D$2:D$3081, D$2:D$3081, 0)), ROW(D$2:D$3081)-ROW(D$2)+1) &gt; 0))</f>
        <v>63</v>
      </c>
      <c r="C1163" s="408">
        <v>41200006</v>
      </c>
      <c r="D1163" s="408" t="s">
        <v>2857</v>
      </c>
      <c r="E1163" s="3" t="s">
        <v>1405</v>
      </c>
      <c r="F1163" s="3" t="s">
        <v>1477</v>
      </c>
      <c r="G1163" s="68" t="str">
        <f t="shared" si="214"/>
        <v>SINGLE</v>
      </c>
      <c r="H1163" s="197">
        <f t="shared" ref="H1163" si="226">WEEKNUM(K1163)</f>
        <v>36</v>
      </c>
      <c r="I1163" s="197">
        <v>9</v>
      </c>
      <c r="J1163" s="197">
        <v>5</v>
      </c>
      <c r="K1163" s="186">
        <f t="shared" ref="K1163" si="227">DATE(2025, I1163, J1163)</f>
        <v>45905</v>
      </c>
      <c r="L1163" s="3" t="s">
        <v>2391</v>
      </c>
      <c r="M1163" s="3" t="s">
        <v>2392</v>
      </c>
      <c r="N1163" s="3" t="str">
        <f>IF(O1163&lt;&gt;"", "NG", "")</f>
        <v>NG</v>
      </c>
      <c r="O1163" s="3" t="s">
        <v>2368</v>
      </c>
      <c r="P1163" s="3" t="s">
        <v>2371</v>
      </c>
      <c r="Q1163" s="3">
        <v>11001968</v>
      </c>
      <c r="R1163" s="3" t="s">
        <v>473</v>
      </c>
      <c r="S1163" s="3" t="s">
        <v>2858</v>
      </c>
      <c r="T1163" s="408"/>
      <c r="U1163" s="408"/>
      <c r="V1163" s="421"/>
      <c r="W1163" s="421"/>
      <c r="X1163" s="421"/>
      <c r="Y1163" s="421"/>
      <c r="Z1163" s="421"/>
      <c r="AA1163" s="421"/>
      <c r="AB1163" s="421"/>
      <c r="AC1163" s="421"/>
      <c r="AD1163" s="421"/>
      <c r="AE1163" s="421"/>
      <c r="AF1163" s="421"/>
      <c r="AG1163" s="421"/>
      <c r="AH1163" s="421"/>
      <c r="AI1163" s="421"/>
      <c r="AJ1163" s="421"/>
      <c r="AK1163" s="421"/>
      <c r="AL1163" s="421"/>
    </row>
    <row r="1164" spans="1:38">
      <c r="A1164" s="408">
        <v>5822</v>
      </c>
      <c r="B1164" s="83">
        <f t="array" ref="B1164">SUM(--(FREQUENCY(IF(C$2:C$3081=C1164, MATCH(D$2:D$3081, D$2:D$3081, 0)), ROW(D$2:D$3081)-ROW(D$2)+1) &gt; 0))</f>
        <v>63</v>
      </c>
      <c r="C1164" s="408">
        <v>41200006</v>
      </c>
      <c r="D1164" s="408" t="s">
        <v>2859</v>
      </c>
      <c r="E1164" s="3" t="s">
        <v>1405</v>
      </c>
      <c r="F1164" s="3" t="s">
        <v>1477</v>
      </c>
      <c r="G1164" s="68" t="str">
        <f t="shared" si="214"/>
        <v>SINGLE</v>
      </c>
      <c r="H1164" s="197">
        <f t="shared" si="224"/>
        <v>36</v>
      </c>
      <c r="I1164" s="197">
        <v>9</v>
      </c>
      <c r="J1164" s="197">
        <v>5</v>
      </c>
      <c r="K1164" s="186">
        <f t="shared" si="225"/>
        <v>45905</v>
      </c>
      <c r="L1164" s="3" t="s">
        <v>2391</v>
      </c>
      <c r="M1164" s="3" t="s">
        <v>2392</v>
      </c>
      <c r="N1164" s="408" t="str">
        <f t="shared" si="194"/>
        <v/>
      </c>
      <c r="O1164" s="408"/>
      <c r="P1164" s="408"/>
      <c r="Q1164" s="408"/>
      <c r="R1164" s="408"/>
      <c r="S1164" s="408"/>
      <c r="T1164" s="408"/>
      <c r="U1164" s="408"/>
      <c r="V1164" s="421"/>
      <c r="W1164" s="421"/>
      <c r="X1164" s="421"/>
      <c r="Y1164" s="421"/>
      <c r="Z1164" s="421"/>
      <c r="AA1164" s="421"/>
      <c r="AB1164" s="421"/>
      <c r="AC1164" s="421"/>
      <c r="AD1164" s="421"/>
      <c r="AE1164" s="421"/>
      <c r="AF1164" s="421"/>
      <c r="AG1164" s="421"/>
      <c r="AH1164" s="421"/>
      <c r="AI1164" s="421"/>
      <c r="AJ1164" s="421"/>
      <c r="AK1164" s="421"/>
      <c r="AL1164" s="421"/>
    </row>
    <row r="1165" spans="1:38">
      <c r="A1165" s="408">
        <v>5822</v>
      </c>
      <c r="B1165" s="83">
        <f t="array" ref="B1165">SUM(--(FREQUENCY(IF(C$2:C$3081=C1165, MATCH(D$2:D$3081, D$2:D$3081, 0)), ROW(D$2:D$3081)-ROW(D$2)+1) &gt; 0))</f>
        <v>63</v>
      </c>
      <c r="C1165" s="408">
        <v>41200006</v>
      </c>
      <c r="D1165" s="408" t="s">
        <v>2860</v>
      </c>
      <c r="E1165" s="3" t="s">
        <v>1405</v>
      </c>
      <c r="F1165" s="3" t="s">
        <v>1477</v>
      </c>
      <c r="G1165" s="68" t="str">
        <f t="shared" si="214"/>
        <v>SINGLE</v>
      </c>
      <c r="H1165" s="197">
        <f t="shared" si="224"/>
        <v>36</v>
      </c>
      <c r="I1165" s="197">
        <v>9</v>
      </c>
      <c r="J1165" s="197">
        <v>5</v>
      </c>
      <c r="K1165" s="186">
        <f t="shared" si="225"/>
        <v>45905</v>
      </c>
      <c r="L1165" s="3" t="s">
        <v>2391</v>
      </c>
      <c r="M1165" s="3" t="s">
        <v>2392</v>
      </c>
      <c r="N1165" s="3" t="str">
        <f>IF(O1165&lt;&gt;"", "NG", "")</f>
        <v>NG</v>
      </c>
      <c r="O1165" s="3" t="s">
        <v>2368</v>
      </c>
      <c r="P1165" s="3" t="s">
        <v>2371</v>
      </c>
      <c r="Q1165" s="3">
        <v>11001968</v>
      </c>
      <c r="R1165" s="3" t="s">
        <v>473</v>
      </c>
      <c r="S1165" s="3" t="s">
        <v>2858</v>
      </c>
      <c r="T1165" s="408"/>
      <c r="U1165" s="408"/>
      <c r="V1165" s="421"/>
      <c r="W1165" s="421"/>
      <c r="X1165" s="421"/>
      <c r="Y1165" s="421"/>
      <c r="Z1165" s="421"/>
      <c r="AA1165" s="421"/>
      <c r="AB1165" s="421"/>
      <c r="AC1165" s="421"/>
      <c r="AD1165" s="421"/>
      <c r="AE1165" s="421"/>
      <c r="AF1165" s="421"/>
      <c r="AG1165" s="421"/>
      <c r="AH1165" s="421"/>
      <c r="AI1165" s="421"/>
      <c r="AJ1165" s="421"/>
      <c r="AK1165" s="421"/>
      <c r="AL1165" s="421"/>
    </row>
    <row r="1166" spans="1:38">
      <c r="A1166" s="408">
        <v>6056</v>
      </c>
      <c r="B1166" s="83">
        <f t="array" ref="B1166">SUM(--(FREQUENCY(IF(C$2:C$3081=C1166, MATCH(D$2:D$3081, D$2:D$3081, 0)), ROW(D$2:D$3081)-ROW(D$2)+1) &gt; 0))</f>
        <v>1</v>
      </c>
      <c r="C1166" s="408">
        <v>41100336</v>
      </c>
      <c r="D1166" s="408" t="s">
        <v>2861</v>
      </c>
      <c r="E1166" s="3" t="s">
        <v>1433</v>
      </c>
      <c r="F1166" s="3" t="s">
        <v>1591</v>
      </c>
      <c r="G1166" s="68" t="str">
        <f t="shared" si="214"/>
        <v>SINGLE</v>
      </c>
      <c r="H1166" s="197">
        <f t="shared" si="224"/>
        <v>36</v>
      </c>
      <c r="I1166" s="197">
        <v>9</v>
      </c>
      <c r="J1166" s="197">
        <v>5</v>
      </c>
      <c r="K1166" s="186">
        <f t="shared" si="225"/>
        <v>45905</v>
      </c>
      <c r="L1166" s="3" t="s">
        <v>2391</v>
      </c>
      <c r="M1166" s="3" t="s">
        <v>2392</v>
      </c>
      <c r="N1166" s="408" t="str">
        <f t="shared" si="194"/>
        <v>NG</v>
      </c>
      <c r="O1166" s="408" t="s">
        <v>2368</v>
      </c>
      <c r="P1166" s="408" t="s">
        <v>1385</v>
      </c>
      <c r="Q1166" s="408">
        <v>11008210</v>
      </c>
      <c r="R1166" s="408" t="s">
        <v>2862</v>
      </c>
      <c r="S1166" s="408" t="s">
        <v>2863</v>
      </c>
      <c r="T1166" s="408"/>
      <c r="U1166" s="408"/>
      <c r="V1166" s="421"/>
      <c r="W1166" s="421"/>
      <c r="X1166" s="421"/>
      <c r="Y1166" s="421"/>
      <c r="Z1166" s="421"/>
      <c r="AA1166" s="421"/>
      <c r="AB1166" s="421"/>
      <c r="AC1166" s="421"/>
      <c r="AD1166" s="421"/>
      <c r="AE1166" s="421"/>
      <c r="AF1166" s="421"/>
      <c r="AG1166" s="421"/>
      <c r="AH1166" s="421"/>
      <c r="AI1166" s="421"/>
      <c r="AJ1166" s="421"/>
      <c r="AK1166" s="421"/>
      <c r="AL1166" s="421"/>
    </row>
    <row r="1167" spans="1:38">
      <c r="A1167" s="408">
        <v>5973</v>
      </c>
      <c r="B1167" s="83">
        <f t="array" ref="B1167">SUM(--(FREQUENCY(IF(C$2:C$3081=C1167, MATCH(D$2:D$3081, D$2:D$3081, 0)), ROW(D$2:D$3081)-ROW(D$2)+1) &gt; 0))</f>
        <v>10</v>
      </c>
      <c r="C1167" s="408">
        <v>41200119</v>
      </c>
      <c r="D1167" s="408" t="s">
        <v>2864</v>
      </c>
      <c r="E1167" s="3" t="s">
        <v>1422</v>
      </c>
      <c r="F1167" s="3" t="s">
        <v>1476</v>
      </c>
      <c r="G1167" s="68" t="str">
        <f t="shared" si="214"/>
        <v>DUAL</v>
      </c>
      <c r="H1167" s="197">
        <f t="shared" si="224"/>
        <v>36</v>
      </c>
      <c r="I1167" s="197">
        <v>9</v>
      </c>
      <c r="J1167" s="197">
        <v>5</v>
      </c>
      <c r="K1167" s="186">
        <f t="shared" si="225"/>
        <v>45905</v>
      </c>
      <c r="L1167" s="3" t="s">
        <v>2391</v>
      </c>
      <c r="M1167" s="3" t="s">
        <v>1468</v>
      </c>
      <c r="N1167" s="408" t="str">
        <f t="shared" si="194"/>
        <v/>
      </c>
      <c r="O1167" s="408"/>
      <c r="P1167" s="408"/>
      <c r="Q1167" s="408"/>
      <c r="R1167" s="408"/>
      <c r="S1167" s="408"/>
      <c r="T1167" s="408"/>
      <c r="U1167" s="408"/>
      <c r="V1167" s="421"/>
      <c r="W1167" s="421"/>
      <c r="X1167" s="421"/>
      <c r="Y1167" s="421"/>
      <c r="Z1167" s="421"/>
      <c r="AA1167" s="421"/>
      <c r="AB1167" s="421"/>
      <c r="AC1167" s="421"/>
      <c r="AD1167" s="421"/>
      <c r="AE1167" s="421"/>
      <c r="AF1167" s="421"/>
      <c r="AG1167" s="421"/>
      <c r="AH1167" s="421"/>
      <c r="AI1167" s="421"/>
      <c r="AJ1167" s="421"/>
      <c r="AK1167" s="421"/>
      <c r="AL1167" s="421"/>
    </row>
    <row r="1168" spans="1:38">
      <c r="A1168" s="408">
        <v>6018</v>
      </c>
      <c r="B1168" s="83">
        <f t="array" ref="B1168">SUM(--(FREQUENCY(IF(C$2:C$3081=C1168, MATCH(D$2:D$3081, D$2:D$3081, 0)), ROW(D$2:D$3081)-ROW(D$2)+1) &gt; 0))</f>
        <v>10</v>
      </c>
      <c r="C1168" s="408">
        <v>41200119</v>
      </c>
      <c r="D1168" s="408" t="s">
        <v>2865</v>
      </c>
      <c r="E1168" s="3" t="s">
        <v>1422</v>
      </c>
      <c r="F1168" s="3" t="s">
        <v>1476</v>
      </c>
      <c r="G1168" s="68" t="str">
        <f t="shared" si="214"/>
        <v>DUAL</v>
      </c>
      <c r="H1168" s="197">
        <f t="shared" si="224"/>
        <v>36</v>
      </c>
      <c r="I1168" s="197">
        <v>9</v>
      </c>
      <c r="J1168" s="197">
        <v>5</v>
      </c>
      <c r="K1168" s="186">
        <f t="shared" si="225"/>
        <v>45905</v>
      </c>
      <c r="L1168" s="3" t="s">
        <v>2395</v>
      </c>
      <c r="M1168" s="3" t="s">
        <v>1469</v>
      </c>
      <c r="N1168" s="408" t="str">
        <f t="shared" ref="N1168:N1245" si="228">IF(O1168&lt;&gt;"", "NG", "")</f>
        <v>NG</v>
      </c>
      <c r="O1168" s="408" t="s">
        <v>2368</v>
      </c>
      <c r="P1168" s="408" t="s">
        <v>2376</v>
      </c>
      <c r="Q1168" s="408">
        <v>13104384</v>
      </c>
      <c r="R1168" s="408" t="s">
        <v>382</v>
      </c>
      <c r="S1168" s="408" t="s">
        <v>2866</v>
      </c>
      <c r="T1168" s="408"/>
      <c r="U1168" s="408"/>
      <c r="V1168" s="421"/>
      <c r="W1168" s="421"/>
      <c r="X1168" s="421"/>
      <c r="Y1168" s="421"/>
      <c r="Z1168" s="421"/>
      <c r="AA1168" s="421"/>
      <c r="AB1168" s="421"/>
      <c r="AC1168" s="421"/>
      <c r="AD1168" s="421"/>
      <c r="AE1168" s="421"/>
      <c r="AF1168" s="421"/>
      <c r="AG1168" s="421"/>
      <c r="AH1168" s="421"/>
      <c r="AI1168" s="421"/>
      <c r="AJ1168" s="421"/>
      <c r="AK1168" s="421"/>
      <c r="AL1168" s="421"/>
    </row>
    <row r="1169" spans="1:38">
      <c r="A1169" s="408">
        <v>6018</v>
      </c>
      <c r="B1169" s="83">
        <f t="array" ref="B1169">SUM(--(FREQUENCY(IF(C$2:C$3081=C1169, MATCH(D$2:D$3081, D$2:D$3081, 0)), ROW(D$2:D$3081)-ROW(D$2)+1) &gt; 0))</f>
        <v>10</v>
      </c>
      <c r="C1169" s="408">
        <v>41200119</v>
      </c>
      <c r="D1169" s="408" t="s">
        <v>2865</v>
      </c>
      <c r="E1169" s="3" t="s">
        <v>1422</v>
      </c>
      <c r="F1169" s="3" t="s">
        <v>1476</v>
      </c>
      <c r="G1169" s="68" t="str">
        <f t="shared" si="214"/>
        <v>DUAL</v>
      </c>
      <c r="H1169" s="197">
        <f t="shared" ref="H1169" si="229">WEEKNUM(K1169)</f>
        <v>36</v>
      </c>
      <c r="I1169" s="197">
        <v>9</v>
      </c>
      <c r="J1169" s="197">
        <v>5</v>
      </c>
      <c r="K1169" s="186">
        <f t="shared" ref="K1169" si="230">DATE(2025, I1169, J1169)</f>
        <v>45905</v>
      </c>
      <c r="L1169" s="3" t="s">
        <v>2395</v>
      </c>
      <c r="M1169" s="3" t="s">
        <v>1469</v>
      </c>
      <c r="N1169" s="408" t="str">
        <f t="shared" ref="N1169" si="231">IF(O1169&lt;&gt;"", "NG", "")</f>
        <v>NG</v>
      </c>
      <c r="O1169" s="408" t="s">
        <v>2368</v>
      </c>
      <c r="P1169" s="408" t="s">
        <v>2376</v>
      </c>
      <c r="Q1169" s="408">
        <v>13104384</v>
      </c>
      <c r="R1169" s="408" t="s">
        <v>382</v>
      </c>
      <c r="S1169" s="408" t="s">
        <v>2866</v>
      </c>
      <c r="T1169" s="408"/>
      <c r="U1169" s="408"/>
      <c r="V1169" s="421"/>
      <c r="W1169" s="421"/>
      <c r="X1169" s="421"/>
      <c r="Y1169" s="421"/>
      <c r="Z1169" s="421"/>
      <c r="AA1169" s="421"/>
      <c r="AB1169" s="421"/>
      <c r="AC1169" s="421"/>
      <c r="AD1169" s="421"/>
      <c r="AE1169" s="421"/>
      <c r="AF1169" s="421"/>
      <c r="AG1169" s="421"/>
      <c r="AH1169" s="421"/>
      <c r="AI1169" s="421"/>
      <c r="AJ1169" s="421"/>
      <c r="AK1169" s="421"/>
      <c r="AL1169" s="421"/>
    </row>
    <row r="1170" spans="1:38">
      <c r="A1170" s="408">
        <v>5883</v>
      </c>
      <c r="B1170" s="83">
        <f t="array" ref="B1170">SUM(--(FREQUENCY(IF(C$2:C$3081=C1170, MATCH(D$2:D$3081, D$2:D$3081, 0)), ROW(D$2:D$3081)-ROW(D$2)+1) &gt; 0))</f>
        <v>25</v>
      </c>
      <c r="C1170" s="408">
        <v>41200034</v>
      </c>
      <c r="D1170" s="408" t="s">
        <v>2867</v>
      </c>
      <c r="E1170" s="3" t="s">
        <v>1426</v>
      </c>
      <c r="F1170" s="3" t="s">
        <v>1476</v>
      </c>
      <c r="G1170" s="68" t="str">
        <f t="shared" si="214"/>
        <v>DUAL</v>
      </c>
      <c r="H1170" s="197">
        <f>WEEKNUM(K1170)</f>
        <v>37</v>
      </c>
      <c r="I1170" s="197">
        <v>9</v>
      </c>
      <c r="J1170" s="197">
        <v>8</v>
      </c>
      <c r="K1170" s="186">
        <f t="shared" ref="K1170:K1234" si="232">DATE(2025, I1170, J1170)</f>
        <v>45908</v>
      </c>
      <c r="L1170" s="3" t="s">
        <v>2555</v>
      </c>
      <c r="M1170" s="3" t="s">
        <v>2555</v>
      </c>
      <c r="N1170" s="408" t="str">
        <f t="shared" si="228"/>
        <v/>
      </c>
      <c r="O1170" s="408"/>
      <c r="P1170" s="408"/>
      <c r="Q1170" s="408"/>
      <c r="R1170" s="408"/>
      <c r="S1170" s="408"/>
      <c r="T1170" s="408"/>
      <c r="U1170" s="408"/>
      <c r="V1170" s="421"/>
      <c r="W1170" s="421"/>
      <c r="X1170" s="421"/>
      <c r="Y1170" s="421"/>
      <c r="Z1170" s="421"/>
      <c r="AA1170" s="421"/>
      <c r="AB1170" s="421"/>
      <c r="AC1170" s="421"/>
      <c r="AD1170" s="421"/>
      <c r="AE1170" s="421"/>
      <c r="AF1170" s="421"/>
      <c r="AG1170" s="421"/>
      <c r="AH1170" s="421"/>
      <c r="AI1170" s="421"/>
      <c r="AJ1170" s="421"/>
      <c r="AK1170" s="421"/>
      <c r="AL1170" s="421"/>
    </row>
    <row r="1171" spans="1:38">
      <c r="A1171" s="3">
        <v>5822</v>
      </c>
      <c r="B1171" s="83">
        <f t="array" ref="B1171">SUM(--(FREQUENCY(IF(C$2:C$3081=C1171, MATCH(D$2:D$3081, D$2:D$3081, 0)), ROW(D$2:D$3081)-ROW(D$2)+1) &gt; 0))</f>
        <v>63</v>
      </c>
      <c r="C1171" s="3">
        <v>41200006</v>
      </c>
      <c r="D1171" s="6" t="s">
        <v>2868</v>
      </c>
      <c r="E1171" s="3" t="s">
        <v>1405</v>
      </c>
      <c r="F1171" s="3" t="s">
        <v>1477</v>
      </c>
      <c r="G1171" s="68" t="str">
        <f t="shared" si="214"/>
        <v>SINGLE</v>
      </c>
      <c r="H1171" s="197">
        <f t="shared" ref="H1171:H1235" si="233">WEEKNUM(K1171)</f>
        <v>37</v>
      </c>
      <c r="I1171" s="197">
        <v>9</v>
      </c>
      <c r="J1171" s="197">
        <v>8</v>
      </c>
      <c r="K1171" s="186">
        <f t="shared" si="232"/>
        <v>45908</v>
      </c>
      <c r="L1171" s="3" t="s">
        <v>2391</v>
      </c>
      <c r="M1171" s="3" t="s">
        <v>2392</v>
      </c>
      <c r="N1171" s="408" t="str">
        <f t="shared" ref="N1171" si="234">IF(O1171&lt;&gt;"", "NG", "")</f>
        <v>NG</v>
      </c>
      <c r="O1171" s="408" t="s">
        <v>2368</v>
      </c>
      <c r="P1171" s="408" t="s">
        <v>2371</v>
      </c>
      <c r="Q1171" s="3">
        <v>11001968</v>
      </c>
      <c r="R1171" s="3" t="s">
        <v>473</v>
      </c>
      <c r="S1171" s="3" t="s">
        <v>2858</v>
      </c>
      <c r="T1171" s="408"/>
      <c r="U1171" s="408"/>
      <c r="V1171" s="421"/>
      <c r="W1171" s="421"/>
      <c r="X1171" s="421"/>
      <c r="Y1171" s="421"/>
      <c r="Z1171" s="421"/>
      <c r="AA1171" s="421"/>
      <c r="AB1171" s="421"/>
      <c r="AC1171" s="421"/>
      <c r="AD1171" s="421"/>
      <c r="AE1171" s="421"/>
      <c r="AF1171" s="421"/>
      <c r="AG1171" s="421"/>
      <c r="AH1171" s="421"/>
      <c r="AI1171" s="421"/>
      <c r="AJ1171" s="421"/>
      <c r="AK1171" s="421"/>
      <c r="AL1171" s="421"/>
    </row>
    <row r="1172" spans="1:38">
      <c r="A1172" s="3">
        <v>5822</v>
      </c>
      <c r="B1172" s="83">
        <f t="array" ref="B1172">SUM(--(FREQUENCY(IF(C$2:C$3081=C1172, MATCH(D$2:D$3081, D$2:D$3081, 0)), ROW(D$2:D$3081)-ROW(D$2)+1) &gt; 0))</f>
        <v>63</v>
      </c>
      <c r="C1172" s="3">
        <v>41200006</v>
      </c>
      <c r="D1172" s="6" t="s">
        <v>2869</v>
      </c>
      <c r="E1172" s="3" t="s">
        <v>1405</v>
      </c>
      <c r="F1172" s="3" t="s">
        <v>1477</v>
      </c>
      <c r="G1172" s="68" t="str">
        <f t="shared" si="214"/>
        <v>SINGLE</v>
      </c>
      <c r="H1172" s="197">
        <f t="shared" si="233"/>
        <v>37</v>
      </c>
      <c r="I1172" s="197">
        <v>9</v>
      </c>
      <c r="J1172" s="197">
        <v>8</v>
      </c>
      <c r="K1172" s="186">
        <f t="shared" si="232"/>
        <v>45908</v>
      </c>
      <c r="L1172" s="3" t="s">
        <v>2391</v>
      </c>
      <c r="M1172" s="3" t="s">
        <v>2392</v>
      </c>
      <c r="N1172" s="408" t="str">
        <f t="shared" si="228"/>
        <v>NG</v>
      </c>
      <c r="O1172" s="408" t="s">
        <v>2368</v>
      </c>
      <c r="P1172" s="408" t="s">
        <v>2371</v>
      </c>
      <c r="Q1172" s="3">
        <v>11001968</v>
      </c>
      <c r="R1172" s="3" t="s">
        <v>473</v>
      </c>
      <c r="S1172" s="3" t="s">
        <v>2858</v>
      </c>
      <c r="T1172" s="408"/>
      <c r="U1172" s="408"/>
      <c r="V1172" s="421"/>
      <c r="W1172" s="421"/>
      <c r="X1172" s="421"/>
      <c r="Y1172" s="421"/>
      <c r="Z1172" s="421"/>
      <c r="AA1172" s="421"/>
      <c r="AB1172" s="421"/>
      <c r="AC1172" s="421"/>
      <c r="AD1172" s="421"/>
      <c r="AE1172" s="421"/>
      <c r="AF1172" s="421"/>
      <c r="AG1172" s="421"/>
      <c r="AH1172" s="421"/>
      <c r="AI1172" s="421"/>
      <c r="AJ1172" s="421"/>
      <c r="AK1172" s="421"/>
      <c r="AL1172" s="421"/>
    </row>
    <row r="1173" spans="1:38">
      <c r="A1173" s="3">
        <v>5822</v>
      </c>
      <c r="B1173" s="83">
        <f t="array" ref="B1173">SUM(--(FREQUENCY(IF(C$2:C$3081=C1173, MATCH(D$2:D$3081, D$2:D$3081, 0)), ROW(D$2:D$3081)-ROW(D$2)+1) &gt; 0))</f>
        <v>63</v>
      </c>
      <c r="C1173" s="3">
        <v>41200006</v>
      </c>
      <c r="D1173" s="6" t="s">
        <v>2870</v>
      </c>
      <c r="E1173" s="3" t="s">
        <v>1405</v>
      </c>
      <c r="F1173" s="3" t="s">
        <v>1477</v>
      </c>
      <c r="G1173" s="68" t="str">
        <f t="shared" si="214"/>
        <v>SINGLE</v>
      </c>
      <c r="H1173" s="197">
        <f t="shared" si="233"/>
        <v>37</v>
      </c>
      <c r="I1173" s="197">
        <v>9</v>
      </c>
      <c r="J1173" s="197">
        <v>8</v>
      </c>
      <c r="K1173" s="186">
        <f t="shared" si="232"/>
        <v>45908</v>
      </c>
      <c r="L1173" s="3" t="s">
        <v>2391</v>
      </c>
      <c r="M1173" s="3" t="s">
        <v>2392</v>
      </c>
      <c r="N1173" s="408" t="str">
        <f t="shared" si="228"/>
        <v>NG</v>
      </c>
      <c r="O1173" s="408" t="s">
        <v>2368</v>
      </c>
      <c r="P1173" s="408" t="s">
        <v>2371</v>
      </c>
      <c r="Q1173" s="3">
        <v>11001968</v>
      </c>
      <c r="R1173" s="3" t="s">
        <v>473</v>
      </c>
      <c r="S1173" s="3" t="s">
        <v>2858</v>
      </c>
      <c r="T1173" s="408"/>
      <c r="U1173" s="408"/>
      <c r="V1173" s="421"/>
      <c r="W1173" s="421"/>
      <c r="X1173" s="421"/>
      <c r="Y1173" s="421"/>
      <c r="Z1173" s="421"/>
      <c r="AA1173" s="421"/>
      <c r="AB1173" s="421"/>
      <c r="AC1173" s="421"/>
      <c r="AD1173" s="421"/>
      <c r="AE1173" s="421"/>
      <c r="AF1173" s="421"/>
      <c r="AG1173" s="421"/>
      <c r="AH1173" s="421"/>
      <c r="AI1173" s="421"/>
      <c r="AJ1173" s="421"/>
      <c r="AK1173" s="421"/>
      <c r="AL1173" s="421"/>
    </row>
    <row r="1174" spans="1:38">
      <c r="A1174" s="3">
        <v>5822</v>
      </c>
      <c r="B1174" s="83">
        <f t="array" ref="B1174">SUM(--(FREQUENCY(IF(C$2:C$3081=C1174, MATCH(D$2:D$3081, D$2:D$3081, 0)), ROW(D$2:D$3081)-ROW(D$2)+1) &gt; 0))</f>
        <v>63</v>
      </c>
      <c r="C1174" s="3">
        <v>41200006</v>
      </c>
      <c r="D1174" s="6" t="s">
        <v>2870</v>
      </c>
      <c r="E1174" s="3" t="s">
        <v>1405</v>
      </c>
      <c r="F1174" s="3" t="s">
        <v>1477</v>
      </c>
      <c r="G1174" s="68" t="str">
        <f t="shared" ref="G1174:G1175" si="235">IF(OR(ISNUMBER(SEARCH("DUAL",F1174)), ISNUMBER(SEARCH("IVAS",F1174))), "DUAL", "SINGLE")</f>
        <v>SINGLE</v>
      </c>
      <c r="H1174" s="197">
        <f t="shared" ref="H1174:H1175" si="236">WEEKNUM(K1174)</f>
        <v>37</v>
      </c>
      <c r="I1174" s="197">
        <v>9</v>
      </c>
      <c r="J1174" s="197">
        <v>8</v>
      </c>
      <c r="K1174" s="186">
        <f t="shared" ref="K1174:K1175" si="237">DATE(2025, I1174, J1174)</f>
        <v>45908</v>
      </c>
      <c r="L1174" s="3" t="s">
        <v>2391</v>
      </c>
      <c r="M1174" s="3" t="s">
        <v>2392</v>
      </c>
      <c r="N1174" s="408" t="str">
        <f t="shared" si="228"/>
        <v>NG</v>
      </c>
      <c r="O1174" s="408" t="s">
        <v>2368</v>
      </c>
      <c r="P1174" s="408" t="s">
        <v>2371</v>
      </c>
      <c r="Q1174" s="3">
        <v>11001968</v>
      </c>
      <c r="R1174" s="3" t="s">
        <v>473</v>
      </c>
      <c r="S1174" s="3" t="s">
        <v>2858</v>
      </c>
      <c r="T1174" s="408"/>
      <c r="U1174" s="408"/>
      <c r="V1174" s="421"/>
      <c r="W1174" s="421"/>
      <c r="X1174" s="421"/>
      <c r="Y1174" s="421"/>
      <c r="Z1174" s="421"/>
      <c r="AA1174" s="421"/>
      <c r="AB1174" s="421"/>
      <c r="AC1174" s="421"/>
      <c r="AD1174" s="421"/>
      <c r="AE1174" s="421"/>
      <c r="AF1174" s="421"/>
      <c r="AG1174" s="421"/>
      <c r="AH1174" s="421"/>
      <c r="AI1174" s="421"/>
      <c r="AJ1174" s="421"/>
      <c r="AK1174" s="421"/>
      <c r="AL1174" s="421"/>
    </row>
    <row r="1175" spans="1:38">
      <c r="A1175" s="3">
        <v>5822</v>
      </c>
      <c r="B1175" s="83">
        <f t="array" ref="B1175">SUM(--(FREQUENCY(IF(C$2:C$3081=C1175, MATCH(D$2:D$3081, D$2:D$3081, 0)), ROW(D$2:D$3081)-ROW(D$2)+1) &gt; 0))</f>
        <v>63</v>
      </c>
      <c r="C1175" s="3">
        <v>41200006</v>
      </c>
      <c r="D1175" s="6" t="s">
        <v>2870</v>
      </c>
      <c r="E1175" s="3" t="s">
        <v>1405</v>
      </c>
      <c r="F1175" s="3" t="s">
        <v>1477</v>
      </c>
      <c r="G1175" s="68" t="str">
        <f t="shared" si="235"/>
        <v>SINGLE</v>
      </c>
      <c r="H1175" s="197">
        <f t="shared" si="236"/>
        <v>37</v>
      </c>
      <c r="I1175" s="197">
        <v>9</v>
      </c>
      <c r="J1175" s="197">
        <v>8</v>
      </c>
      <c r="K1175" s="186">
        <f t="shared" si="237"/>
        <v>45908</v>
      </c>
      <c r="L1175" s="3" t="s">
        <v>2391</v>
      </c>
      <c r="M1175" s="3" t="s">
        <v>2392</v>
      </c>
      <c r="N1175" s="408" t="str">
        <f t="shared" si="228"/>
        <v>NG</v>
      </c>
      <c r="O1175" s="408" t="s">
        <v>2368</v>
      </c>
      <c r="P1175" s="408" t="s">
        <v>2371</v>
      </c>
      <c r="Q1175" s="3">
        <v>11001968</v>
      </c>
      <c r="R1175" s="3" t="s">
        <v>473</v>
      </c>
      <c r="S1175" s="3" t="s">
        <v>2858</v>
      </c>
      <c r="T1175" s="408"/>
      <c r="U1175" s="408"/>
      <c r="V1175" s="421"/>
      <c r="W1175" s="421"/>
      <c r="X1175" s="421"/>
      <c r="Y1175" s="421"/>
      <c r="Z1175" s="421"/>
      <c r="AA1175" s="421"/>
      <c r="AB1175" s="421"/>
      <c r="AC1175" s="421"/>
      <c r="AD1175" s="421"/>
      <c r="AE1175" s="421"/>
      <c r="AF1175" s="421"/>
      <c r="AG1175" s="421"/>
      <c r="AH1175" s="421"/>
      <c r="AI1175" s="421"/>
      <c r="AJ1175" s="421"/>
      <c r="AK1175" s="421"/>
      <c r="AL1175" s="421"/>
    </row>
    <row r="1176" spans="1:38">
      <c r="A1176" s="3">
        <v>5822</v>
      </c>
      <c r="B1176" s="83">
        <f t="array" ref="B1176">SUM(--(FREQUENCY(IF(C$2:C$3081=C1176, MATCH(D$2:D$3081, D$2:D$3081, 0)), ROW(D$2:D$3081)-ROW(D$2)+1) &gt; 0))</f>
        <v>63</v>
      </c>
      <c r="C1176" s="3">
        <v>41200006</v>
      </c>
      <c r="D1176" s="6" t="s">
        <v>2871</v>
      </c>
      <c r="E1176" s="3" t="s">
        <v>1405</v>
      </c>
      <c r="F1176" s="3" t="s">
        <v>1477</v>
      </c>
      <c r="G1176" s="68" t="str">
        <f>IF(OR(ISNUMBER(SEARCH("DUAL",F1176)), ISNUMBER(SEARCH("IVAS",F1176))), "DUAL", "SINGLE")</f>
        <v>SINGLE</v>
      </c>
      <c r="H1176" s="197">
        <f t="shared" si="233"/>
        <v>37</v>
      </c>
      <c r="I1176" s="197">
        <v>9</v>
      </c>
      <c r="J1176" s="197">
        <v>8</v>
      </c>
      <c r="K1176" s="186">
        <f t="shared" si="232"/>
        <v>45908</v>
      </c>
      <c r="L1176" s="3" t="s">
        <v>2391</v>
      </c>
      <c r="M1176" s="3" t="s">
        <v>2392</v>
      </c>
      <c r="N1176" s="408" t="str">
        <f t="shared" si="228"/>
        <v>NG</v>
      </c>
      <c r="O1176" s="408" t="s">
        <v>2368</v>
      </c>
      <c r="P1176" s="408" t="s">
        <v>2371</v>
      </c>
      <c r="Q1176" s="3">
        <v>11001968</v>
      </c>
      <c r="R1176" s="3" t="s">
        <v>473</v>
      </c>
      <c r="S1176" s="3" t="s">
        <v>2858</v>
      </c>
      <c r="T1176" s="408"/>
      <c r="U1176" s="408"/>
      <c r="V1176" s="421"/>
      <c r="W1176" s="421"/>
      <c r="X1176" s="421"/>
      <c r="Y1176" s="421"/>
      <c r="Z1176" s="421"/>
      <c r="AA1176" s="421"/>
      <c r="AB1176" s="421"/>
      <c r="AC1176" s="421"/>
      <c r="AD1176" s="421"/>
      <c r="AE1176" s="421"/>
      <c r="AF1176" s="421"/>
      <c r="AG1176" s="421"/>
      <c r="AH1176" s="421"/>
      <c r="AI1176" s="421"/>
      <c r="AJ1176" s="421"/>
      <c r="AK1176" s="421"/>
      <c r="AL1176" s="421"/>
    </row>
    <row r="1177" spans="1:38">
      <c r="A1177" s="3">
        <v>5854</v>
      </c>
      <c r="B1177" s="83">
        <f t="array" ref="B1177">SUM(--(FREQUENCY(IF(C$2:C$3081=C1177, MATCH(D$2:D$3081, D$2:D$3081, 0)), ROW(D$2:D$3081)-ROW(D$2)+1) &gt; 0))</f>
        <v>37</v>
      </c>
      <c r="C1177" s="3">
        <v>41200076</v>
      </c>
      <c r="D1177" s="6" t="s">
        <v>2872</v>
      </c>
      <c r="E1177" s="3" t="s">
        <v>1585</v>
      </c>
      <c r="F1177" s="3" t="s">
        <v>1476</v>
      </c>
      <c r="G1177" s="68" t="str">
        <f>IF(OR(ISNUMBER(SEARCH("DUAL",F1177)), ISNUMBER(SEARCH("IVAS",F1177))), "DUAL", "SINGLE")</f>
        <v>DUAL</v>
      </c>
      <c r="H1177" s="197">
        <f t="shared" si="233"/>
        <v>37</v>
      </c>
      <c r="I1177" s="197">
        <v>9</v>
      </c>
      <c r="J1177" s="197">
        <v>8</v>
      </c>
      <c r="K1177" s="186">
        <f t="shared" si="232"/>
        <v>45908</v>
      </c>
      <c r="L1177" s="3" t="s">
        <v>2391</v>
      </c>
      <c r="M1177" s="3" t="s">
        <v>1468</v>
      </c>
      <c r="N1177" s="408" t="str">
        <f t="shared" si="228"/>
        <v>NG</v>
      </c>
      <c r="O1177" s="408" t="s">
        <v>2368</v>
      </c>
      <c r="P1177" s="408" t="s">
        <v>1385</v>
      </c>
      <c r="Q1177" s="408">
        <v>11003665</v>
      </c>
      <c r="R1177" s="408" t="s">
        <v>284</v>
      </c>
      <c r="S1177" s="408" t="s">
        <v>2784</v>
      </c>
      <c r="T1177" s="408"/>
      <c r="U1177" s="408"/>
      <c r="V1177" s="421"/>
      <c r="W1177" s="421"/>
      <c r="X1177" s="421"/>
      <c r="Y1177" s="421"/>
      <c r="Z1177" s="421"/>
      <c r="AA1177" s="421"/>
      <c r="AB1177" s="421"/>
      <c r="AC1177" s="421"/>
      <c r="AD1177" s="421"/>
      <c r="AE1177" s="421"/>
      <c r="AF1177" s="421"/>
      <c r="AG1177" s="421"/>
      <c r="AH1177" s="421"/>
      <c r="AI1177" s="421"/>
      <c r="AJ1177" s="421"/>
      <c r="AK1177" s="421"/>
      <c r="AL1177" s="421"/>
    </row>
    <row r="1178" spans="1:38">
      <c r="A1178" s="3">
        <v>5972</v>
      </c>
      <c r="B1178" s="83">
        <f t="array" ref="B1178">SUM(--(FREQUENCY(IF(C$2:C$3081=C1178, MATCH(D$2:D$3081, D$2:D$3081, 0)), ROW(D$2:D$3081)-ROW(D$2)+1) &gt; 0))</f>
        <v>8</v>
      </c>
      <c r="C1178" s="3">
        <v>41200048</v>
      </c>
      <c r="D1178" s="6" t="s">
        <v>2873</v>
      </c>
      <c r="E1178" s="3" t="s">
        <v>1426</v>
      </c>
      <c r="F1178" s="3" t="s">
        <v>1476</v>
      </c>
      <c r="G1178" s="68" t="str">
        <f>IF(OR(ISNUMBER(SEARCH("DUAL",F1178)), ISNUMBER(SEARCH("IVAS",F1178))), "DUAL", "SINGLE")</f>
        <v>DUAL</v>
      </c>
      <c r="H1178" s="197">
        <f t="shared" si="233"/>
        <v>37</v>
      </c>
      <c r="I1178" s="197">
        <v>9</v>
      </c>
      <c r="J1178" s="197">
        <v>8</v>
      </c>
      <c r="K1178" s="186">
        <f t="shared" si="232"/>
        <v>45908</v>
      </c>
      <c r="L1178" s="3" t="s">
        <v>2395</v>
      </c>
      <c r="M1178" s="3" t="s">
        <v>1468</v>
      </c>
      <c r="N1178" s="408" t="str">
        <f t="shared" si="228"/>
        <v/>
      </c>
      <c r="O1178" s="408"/>
      <c r="P1178" s="408"/>
      <c r="Q1178" s="408"/>
      <c r="R1178" s="408"/>
      <c r="S1178" s="408"/>
      <c r="T1178" s="408"/>
      <c r="U1178" s="408"/>
      <c r="V1178" s="421"/>
      <c r="W1178" s="421"/>
      <c r="X1178" s="421"/>
      <c r="Y1178" s="421"/>
      <c r="Z1178" s="421"/>
      <c r="AA1178" s="421"/>
      <c r="AB1178" s="421"/>
      <c r="AC1178" s="421"/>
      <c r="AD1178" s="421"/>
      <c r="AE1178" s="421"/>
      <c r="AF1178" s="421"/>
      <c r="AG1178" s="421"/>
      <c r="AH1178" s="421"/>
      <c r="AI1178" s="421"/>
      <c r="AJ1178" s="421"/>
      <c r="AK1178" s="421"/>
      <c r="AL1178" s="421"/>
    </row>
    <row r="1179" spans="1:38">
      <c r="A1179" s="3">
        <v>5981</v>
      </c>
      <c r="B1179" s="83">
        <f t="array" ref="B1179">SUM(--(FREQUENCY(IF(C$2:C$3081=C1179, MATCH(D$2:D$3081, D$2:D$3081, 0)), ROW(D$2:D$3081)-ROW(D$2)+1) &gt; 0))</f>
        <v>76</v>
      </c>
      <c r="C1179" s="3">
        <v>41200007</v>
      </c>
      <c r="D1179" s="6" t="s">
        <v>2874</v>
      </c>
      <c r="E1179" s="3" t="s">
        <v>1405</v>
      </c>
      <c r="F1179" s="3" t="s">
        <v>1591</v>
      </c>
      <c r="G1179" s="68" t="str">
        <f>IF(OR(ISNUMBER(SEARCH("DUAL",F1179)), ISNUMBER(SEARCH("IVAS",F1179))), "DUAL", "SINGLE")</f>
        <v>SINGLE</v>
      </c>
      <c r="H1179" s="197">
        <f t="shared" si="233"/>
        <v>37</v>
      </c>
      <c r="I1179" s="197">
        <v>9</v>
      </c>
      <c r="J1179" s="197">
        <v>8</v>
      </c>
      <c r="K1179" s="186">
        <f t="shared" si="232"/>
        <v>45908</v>
      </c>
      <c r="L1179" s="3" t="s">
        <v>2395</v>
      </c>
      <c r="M1179" s="3" t="s">
        <v>1469</v>
      </c>
      <c r="N1179" s="408" t="str">
        <f t="shared" si="228"/>
        <v/>
      </c>
      <c r="O1179" s="408"/>
      <c r="P1179" s="408"/>
      <c r="Q1179" s="408"/>
      <c r="R1179" s="408"/>
      <c r="S1179" s="408"/>
      <c r="T1179" s="408"/>
      <c r="U1179" s="408"/>
      <c r="V1179" s="421"/>
      <c r="W1179" s="421"/>
      <c r="X1179" s="421"/>
      <c r="Y1179" s="421"/>
      <c r="Z1179" s="421"/>
      <c r="AA1179" s="421"/>
      <c r="AB1179" s="421"/>
      <c r="AC1179" s="421"/>
      <c r="AD1179" s="421"/>
      <c r="AE1179" s="421"/>
      <c r="AF1179" s="421"/>
      <c r="AG1179" s="421"/>
      <c r="AH1179" s="421"/>
      <c r="AI1179" s="421"/>
      <c r="AJ1179" s="421"/>
      <c r="AK1179" s="421"/>
      <c r="AL1179" s="421"/>
    </row>
    <row r="1180" spans="1:38">
      <c r="A1180" s="3">
        <v>5981</v>
      </c>
      <c r="B1180" s="83">
        <f t="array" ref="B1180">SUM(--(FREQUENCY(IF(C$2:C$3081=C1180, MATCH(D$2:D$3081, D$2:D$3081, 0)), ROW(D$2:D$3081)-ROW(D$2)+1) &gt; 0))</f>
        <v>76</v>
      </c>
      <c r="C1180" s="3">
        <v>41200007</v>
      </c>
      <c r="D1180" s="6" t="s">
        <v>2875</v>
      </c>
      <c r="E1180" s="3" t="s">
        <v>1405</v>
      </c>
      <c r="F1180" s="3" t="s">
        <v>1591</v>
      </c>
      <c r="G1180" s="68" t="str">
        <f>IF(OR(ISNUMBER(SEARCH("DUAL",F1180)), ISNUMBER(SEARCH("IVAS",F1180))), "DUAL", "SINGLE")</f>
        <v>SINGLE</v>
      </c>
      <c r="H1180" s="197">
        <f t="shared" si="233"/>
        <v>37</v>
      </c>
      <c r="I1180" s="197">
        <v>9</v>
      </c>
      <c r="J1180" s="197">
        <v>8</v>
      </c>
      <c r="K1180" s="186">
        <f t="shared" si="232"/>
        <v>45908</v>
      </c>
      <c r="L1180" s="3" t="s">
        <v>2395</v>
      </c>
      <c r="M1180" s="3" t="s">
        <v>1469</v>
      </c>
      <c r="N1180" s="408" t="str">
        <f t="shared" si="228"/>
        <v/>
      </c>
      <c r="O1180" s="408"/>
      <c r="P1180" s="408"/>
      <c r="Q1180" s="408"/>
      <c r="R1180" s="408"/>
      <c r="S1180" s="408"/>
      <c r="T1180" s="408"/>
      <c r="U1180" s="408"/>
      <c r="V1180" s="421"/>
      <c r="W1180" s="421"/>
      <c r="X1180" s="421"/>
      <c r="Y1180" s="421"/>
      <c r="Z1180" s="421"/>
      <c r="AA1180" s="421"/>
      <c r="AB1180" s="421"/>
      <c r="AC1180" s="421"/>
      <c r="AD1180" s="421"/>
      <c r="AE1180" s="421"/>
      <c r="AF1180" s="421"/>
      <c r="AG1180" s="421"/>
      <c r="AH1180" s="421"/>
      <c r="AI1180" s="421"/>
      <c r="AJ1180" s="421"/>
      <c r="AK1180" s="421"/>
      <c r="AL1180" s="421"/>
    </row>
    <row r="1181" spans="1:38">
      <c r="A1181" s="408">
        <v>5931</v>
      </c>
      <c r="B1181" s="83">
        <f t="array" ref="B1181">SUM(--(FREQUENCY(IF(C$2:C$3081=C1181, MATCH(D$2:D$3081, D$2:D$3081, 0)), ROW(D$2:D$3081)-ROW(D$2)+1) &gt; 0))</f>
        <v>3</v>
      </c>
      <c r="C1181" s="408">
        <v>41200029</v>
      </c>
      <c r="D1181" s="408" t="s">
        <v>2876</v>
      </c>
      <c r="E1181" s="408" t="s">
        <v>1405</v>
      </c>
      <c r="F1181" s="408" t="s">
        <v>1476</v>
      </c>
      <c r="G1181" s="408" t="s">
        <v>2675</v>
      </c>
      <c r="H1181" s="197">
        <f t="shared" si="233"/>
        <v>37</v>
      </c>
      <c r="I1181" s="408">
        <v>9</v>
      </c>
      <c r="J1181" s="408">
        <v>9</v>
      </c>
      <c r="K1181" s="186">
        <f t="shared" si="232"/>
        <v>45909</v>
      </c>
      <c r="L1181" s="408" t="s">
        <v>2395</v>
      </c>
      <c r="M1181" s="408" t="s">
        <v>2392</v>
      </c>
      <c r="N1181" s="408" t="s">
        <v>2877</v>
      </c>
      <c r="O1181" s="408" t="s">
        <v>2368</v>
      </c>
      <c r="P1181" s="408" t="s">
        <v>2682</v>
      </c>
      <c r="Q1181" s="408"/>
      <c r="R1181" s="408" t="s">
        <v>2878</v>
      </c>
      <c r="S1181" s="408" t="s">
        <v>2879</v>
      </c>
      <c r="T1181" s="408" t="s">
        <v>2880</v>
      </c>
      <c r="U1181" s="408"/>
      <c r="V1181" s="421"/>
      <c r="W1181" s="421"/>
      <c r="X1181" s="421"/>
      <c r="Y1181" s="421"/>
      <c r="Z1181" s="421"/>
      <c r="AA1181" s="421"/>
      <c r="AB1181" s="421"/>
      <c r="AC1181" s="421"/>
      <c r="AD1181" s="421"/>
      <c r="AE1181" s="421"/>
      <c r="AF1181" s="421"/>
      <c r="AG1181" s="421"/>
      <c r="AH1181" s="421"/>
      <c r="AI1181" s="421"/>
      <c r="AJ1181" s="421"/>
      <c r="AK1181" s="421"/>
      <c r="AL1181" s="421"/>
    </row>
    <row r="1182" spans="1:38">
      <c r="A1182" s="408">
        <v>5931</v>
      </c>
      <c r="B1182" s="83">
        <f t="array" ref="B1182">SUM(--(FREQUENCY(IF(C$2:C$3081=C1182, MATCH(D$2:D$3081, D$2:D$3081, 0)), ROW(D$2:D$3081)-ROW(D$2)+1) &gt; 0))</f>
        <v>3</v>
      </c>
      <c r="C1182" s="408">
        <v>41200029</v>
      </c>
      <c r="D1182" s="408" t="s">
        <v>2876</v>
      </c>
      <c r="E1182" s="408" t="s">
        <v>1405</v>
      </c>
      <c r="F1182" s="408" t="s">
        <v>1476</v>
      </c>
      <c r="G1182" s="408" t="s">
        <v>2675</v>
      </c>
      <c r="H1182" s="197">
        <f t="shared" si="233"/>
        <v>37</v>
      </c>
      <c r="I1182" s="408">
        <v>9</v>
      </c>
      <c r="J1182" s="408">
        <v>9</v>
      </c>
      <c r="K1182" s="186">
        <f t="shared" si="232"/>
        <v>45909</v>
      </c>
      <c r="L1182" s="408" t="s">
        <v>2395</v>
      </c>
      <c r="M1182" s="408" t="s">
        <v>2392</v>
      </c>
      <c r="N1182" s="408" t="s">
        <v>2877</v>
      </c>
      <c r="O1182" s="408" t="s">
        <v>2368</v>
      </c>
      <c r="P1182" s="408" t="s">
        <v>2371</v>
      </c>
      <c r="Q1182" s="408">
        <v>11001968</v>
      </c>
      <c r="R1182" s="408" t="s">
        <v>473</v>
      </c>
      <c r="S1182" s="3" t="s">
        <v>2858</v>
      </c>
      <c r="T1182" s="408" t="s">
        <v>2880</v>
      </c>
      <c r="U1182" s="408"/>
      <c r="V1182" s="421"/>
      <c r="W1182" s="421"/>
      <c r="X1182" s="421"/>
      <c r="Y1182" s="421"/>
      <c r="Z1182" s="421"/>
      <c r="AA1182" s="421"/>
      <c r="AB1182" s="421"/>
      <c r="AC1182" s="421"/>
      <c r="AD1182" s="421"/>
      <c r="AE1182" s="421"/>
      <c r="AF1182" s="421"/>
      <c r="AG1182" s="421"/>
      <c r="AH1182" s="421"/>
      <c r="AI1182" s="421"/>
      <c r="AJ1182" s="421"/>
      <c r="AK1182" s="421"/>
      <c r="AL1182" s="421"/>
    </row>
    <row r="1183" spans="1:38">
      <c r="A1183" s="408">
        <v>5931</v>
      </c>
      <c r="B1183" s="83">
        <f t="array" ref="B1183">SUM(--(FREQUENCY(IF(C$2:C$3081=C1183, MATCH(D$2:D$3081, D$2:D$3081, 0)), ROW(D$2:D$3081)-ROW(D$2)+1) &gt; 0))</f>
        <v>3</v>
      </c>
      <c r="C1183" s="408">
        <v>41200029</v>
      </c>
      <c r="D1183" s="408" t="s">
        <v>2876</v>
      </c>
      <c r="E1183" s="408" t="s">
        <v>1405</v>
      </c>
      <c r="F1183" s="408" t="s">
        <v>1476</v>
      </c>
      <c r="G1183" s="408" t="s">
        <v>2675</v>
      </c>
      <c r="H1183" s="197">
        <f t="shared" si="233"/>
        <v>37</v>
      </c>
      <c r="I1183" s="408">
        <v>9</v>
      </c>
      <c r="J1183" s="408">
        <v>9</v>
      </c>
      <c r="K1183" s="186">
        <f t="shared" si="232"/>
        <v>45909</v>
      </c>
      <c r="L1183" s="408" t="s">
        <v>2395</v>
      </c>
      <c r="M1183" s="408" t="s">
        <v>2392</v>
      </c>
      <c r="N1183" s="408" t="s">
        <v>2877</v>
      </c>
      <c r="O1183" s="408" t="s">
        <v>2368</v>
      </c>
      <c r="P1183" s="408" t="s">
        <v>2371</v>
      </c>
      <c r="Q1183" s="408">
        <v>11001968</v>
      </c>
      <c r="R1183" s="408" t="s">
        <v>473</v>
      </c>
      <c r="S1183" s="3" t="s">
        <v>2858</v>
      </c>
      <c r="T1183" s="408" t="s">
        <v>2880</v>
      </c>
      <c r="U1183" s="408"/>
      <c r="V1183" s="421"/>
      <c r="W1183" s="421"/>
      <c r="X1183" s="421"/>
      <c r="Y1183" s="421"/>
      <c r="Z1183" s="421"/>
      <c r="AA1183" s="421"/>
      <c r="AB1183" s="421"/>
      <c r="AC1183" s="421"/>
      <c r="AD1183" s="421"/>
      <c r="AE1183" s="421"/>
      <c r="AF1183" s="421"/>
      <c r="AG1183" s="421"/>
      <c r="AH1183" s="421"/>
      <c r="AI1183" s="421"/>
      <c r="AJ1183" s="421"/>
      <c r="AK1183" s="421"/>
      <c r="AL1183" s="421"/>
    </row>
    <row r="1184" spans="1:38">
      <c r="A1184" s="408">
        <v>5931</v>
      </c>
      <c r="B1184" s="83">
        <f t="array" ref="B1184">SUM(--(FREQUENCY(IF(C$2:C$3081=C1184, MATCH(D$2:D$3081, D$2:D$3081, 0)), ROW(D$2:D$3081)-ROW(D$2)+1) &gt; 0))</f>
        <v>3</v>
      </c>
      <c r="C1184" s="408">
        <v>41200029</v>
      </c>
      <c r="D1184" s="408" t="s">
        <v>2876</v>
      </c>
      <c r="E1184" s="408" t="s">
        <v>1405</v>
      </c>
      <c r="F1184" s="408" t="s">
        <v>1476</v>
      </c>
      <c r="G1184" s="408" t="s">
        <v>2675</v>
      </c>
      <c r="H1184" s="197">
        <f t="shared" si="233"/>
        <v>37</v>
      </c>
      <c r="I1184" s="408">
        <v>9</v>
      </c>
      <c r="J1184" s="408">
        <v>9</v>
      </c>
      <c r="K1184" s="186">
        <f t="shared" si="232"/>
        <v>45909</v>
      </c>
      <c r="L1184" s="408" t="s">
        <v>2395</v>
      </c>
      <c r="M1184" s="408" t="s">
        <v>2392</v>
      </c>
      <c r="N1184" s="408" t="s">
        <v>2877</v>
      </c>
      <c r="O1184" s="408" t="s">
        <v>2368</v>
      </c>
      <c r="P1184" s="408" t="s">
        <v>2371</v>
      </c>
      <c r="Q1184" s="408">
        <v>11001968</v>
      </c>
      <c r="R1184" s="408" t="s">
        <v>473</v>
      </c>
      <c r="S1184" s="3" t="s">
        <v>2858</v>
      </c>
      <c r="T1184" s="408" t="s">
        <v>2679</v>
      </c>
      <c r="U1184" s="408"/>
      <c r="V1184" s="421"/>
      <c r="W1184" s="421"/>
      <c r="X1184" s="421"/>
      <c r="Y1184" s="421"/>
      <c r="Z1184" s="421"/>
      <c r="AA1184" s="421"/>
      <c r="AB1184" s="421"/>
      <c r="AC1184" s="421"/>
      <c r="AD1184" s="421"/>
      <c r="AE1184" s="421"/>
      <c r="AF1184" s="421"/>
      <c r="AG1184" s="421"/>
      <c r="AH1184" s="421"/>
      <c r="AI1184" s="421"/>
      <c r="AJ1184" s="421"/>
      <c r="AK1184" s="421"/>
      <c r="AL1184" s="421"/>
    </row>
    <row r="1185" spans="1:38">
      <c r="A1185" s="408">
        <v>5914</v>
      </c>
      <c r="B1185" s="83">
        <f t="array" ref="B1185">SUM(--(FREQUENCY(IF(C$2:C$3081=C1185, MATCH(D$2:D$3081, D$2:D$3081, 0)), ROW(D$2:D$3081)-ROW(D$2)+1) &gt; 0))</f>
        <v>18</v>
      </c>
      <c r="C1185" s="408">
        <v>41200128</v>
      </c>
      <c r="D1185" s="408" t="s">
        <v>2881</v>
      </c>
      <c r="E1185" s="408" t="s">
        <v>1431</v>
      </c>
      <c r="F1185" s="408" t="s">
        <v>1591</v>
      </c>
      <c r="G1185" s="408" t="s">
        <v>2666</v>
      </c>
      <c r="H1185" s="197">
        <f t="shared" si="233"/>
        <v>37</v>
      </c>
      <c r="I1185" s="408">
        <v>9</v>
      </c>
      <c r="J1185" s="408">
        <v>9</v>
      </c>
      <c r="K1185" s="186">
        <f t="shared" si="232"/>
        <v>45909</v>
      </c>
      <c r="L1185" s="408" t="s">
        <v>2391</v>
      </c>
      <c r="M1185" s="408" t="s">
        <v>1468</v>
      </c>
      <c r="N1185" s="408" t="str">
        <f t="shared" si="228"/>
        <v/>
      </c>
      <c r="O1185" s="408"/>
      <c r="P1185" s="408"/>
      <c r="Q1185" s="408"/>
      <c r="R1185" s="408"/>
      <c r="S1185" s="408"/>
      <c r="T1185" s="408"/>
      <c r="U1185" s="408"/>
      <c r="V1185" s="421"/>
      <c r="W1185" s="421"/>
      <c r="X1185" s="421"/>
      <c r="Y1185" s="421"/>
      <c r="Z1185" s="421"/>
      <c r="AA1185" s="421"/>
      <c r="AB1185" s="421"/>
      <c r="AC1185" s="421"/>
      <c r="AD1185" s="421"/>
      <c r="AE1185" s="421"/>
      <c r="AF1185" s="421"/>
      <c r="AG1185" s="421"/>
      <c r="AH1185" s="421"/>
      <c r="AI1185" s="421"/>
      <c r="AJ1185" s="421"/>
      <c r="AK1185" s="421"/>
      <c r="AL1185" s="421"/>
    </row>
    <row r="1186" spans="1:38">
      <c r="A1186" s="408">
        <v>5915</v>
      </c>
      <c r="B1186" s="83">
        <f t="array" ref="B1186">SUM(--(FREQUENCY(IF(C$2:C$3081=C1186, MATCH(D$2:D$3081, D$2:D$3081, 0)), ROW(D$2:D$3081)-ROW(D$2)+1) &gt; 0))</f>
        <v>7</v>
      </c>
      <c r="C1186" s="408">
        <v>41200131</v>
      </c>
      <c r="D1186" s="408" t="s">
        <v>2882</v>
      </c>
      <c r="E1186" s="408" t="s">
        <v>1431</v>
      </c>
      <c r="F1186" s="408" t="s">
        <v>1591</v>
      </c>
      <c r="G1186" s="408" t="s">
        <v>2666</v>
      </c>
      <c r="H1186" s="197">
        <f t="shared" si="233"/>
        <v>37</v>
      </c>
      <c r="I1186" s="408">
        <v>9</v>
      </c>
      <c r="J1186" s="408">
        <v>9</v>
      </c>
      <c r="K1186" s="186">
        <f t="shared" si="232"/>
        <v>45909</v>
      </c>
      <c r="L1186" s="408" t="s">
        <v>2395</v>
      </c>
      <c r="M1186" s="408" t="s">
        <v>1468</v>
      </c>
      <c r="N1186" s="408" t="str">
        <f t="shared" si="228"/>
        <v/>
      </c>
      <c r="O1186" s="408"/>
      <c r="P1186" s="408"/>
      <c r="Q1186" s="408"/>
      <c r="R1186" s="408"/>
      <c r="S1186" s="408"/>
      <c r="T1186" s="408"/>
      <c r="U1186" s="408"/>
      <c r="V1186" s="421"/>
      <c r="W1186" s="421"/>
      <c r="X1186" s="421"/>
      <c r="Y1186" s="421"/>
      <c r="Z1186" s="421"/>
      <c r="AA1186" s="421"/>
      <c r="AB1186" s="421"/>
      <c r="AC1186" s="421"/>
      <c r="AD1186" s="421"/>
      <c r="AE1186" s="421"/>
      <c r="AF1186" s="421"/>
      <c r="AG1186" s="421"/>
      <c r="AH1186" s="421"/>
      <c r="AI1186" s="421"/>
      <c r="AJ1186" s="421"/>
      <c r="AK1186" s="421"/>
      <c r="AL1186" s="421"/>
    </row>
    <row r="1187" spans="1:38">
      <c r="A1187" s="408">
        <v>5915</v>
      </c>
      <c r="B1187" s="83">
        <f t="array" ref="B1187">SUM(--(FREQUENCY(IF(C$2:C$3081=C1187, MATCH(D$2:D$3081, D$2:D$3081, 0)), ROW(D$2:D$3081)-ROW(D$2)+1) &gt; 0))</f>
        <v>7</v>
      </c>
      <c r="C1187" s="408">
        <v>41200131</v>
      </c>
      <c r="D1187" s="408" t="s">
        <v>2883</v>
      </c>
      <c r="E1187" s="408" t="s">
        <v>1431</v>
      </c>
      <c r="F1187" s="408" t="s">
        <v>1591</v>
      </c>
      <c r="G1187" s="408" t="s">
        <v>2666</v>
      </c>
      <c r="H1187" s="197">
        <f t="shared" si="233"/>
        <v>37</v>
      </c>
      <c r="I1187" s="408">
        <v>9</v>
      </c>
      <c r="J1187" s="408">
        <v>9</v>
      </c>
      <c r="K1187" s="186">
        <f t="shared" si="232"/>
        <v>45909</v>
      </c>
      <c r="L1187" s="408" t="s">
        <v>2395</v>
      </c>
      <c r="M1187" s="408" t="s">
        <v>1468</v>
      </c>
      <c r="N1187" s="408" t="s">
        <v>2877</v>
      </c>
      <c r="O1187" s="408" t="s">
        <v>2368</v>
      </c>
      <c r="P1187" s="408" t="s">
        <v>2371</v>
      </c>
      <c r="Q1187" s="421">
        <v>11001962</v>
      </c>
      <c r="R1187" s="408" t="s">
        <v>562</v>
      </c>
      <c r="S1187" s="408" t="s">
        <v>2884</v>
      </c>
      <c r="T1187" s="408"/>
      <c r="U1187" s="408"/>
      <c r="V1187" s="421"/>
      <c r="W1187" s="421"/>
      <c r="X1187" s="421"/>
      <c r="Y1187" s="421"/>
      <c r="Z1187" s="421"/>
      <c r="AA1187" s="421"/>
      <c r="AB1187" s="421"/>
      <c r="AC1187" s="421"/>
      <c r="AD1187" s="421"/>
      <c r="AE1187" s="421"/>
      <c r="AF1187" s="421"/>
      <c r="AG1187" s="421"/>
      <c r="AH1187" s="421"/>
      <c r="AI1187" s="421"/>
      <c r="AJ1187" s="421"/>
      <c r="AK1187" s="421"/>
      <c r="AL1187" s="421"/>
    </row>
    <row r="1188" spans="1:38">
      <c r="A1188" s="408">
        <v>5978</v>
      </c>
      <c r="B1188" s="83">
        <f t="array" ref="B1188">SUM(--(FREQUENCY(IF(C$2:C$3081=C1188, MATCH(D$2:D$3081, D$2:D$3081, 0)), ROW(D$2:D$3081)-ROW(D$2)+1) &gt; 0))</f>
        <v>20</v>
      </c>
      <c r="C1188" s="408">
        <v>41200074</v>
      </c>
      <c r="D1188" s="408" t="s">
        <v>2885</v>
      </c>
      <c r="E1188" s="408" t="s">
        <v>1405</v>
      </c>
      <c r="F1188" s="408" t="s">
        <v>1478</v>
      </c>
      <c r="G1188" s="408" t="s">
        <v>2675</v>
      </c>
      <c r="H1188" s="197">
        <f t="shared" si="233"/>
        <v>37</v>
      </c>
      <c r="I1188" s="408">
        <v>9</v>
      </c>
      <c r="J1188" s="408">
        <v>9</v>
      </c>
      <c r="K1188" s="186">
        <f t="shared" si="232"/>
        <v>45909</v>
      </c>
      <c r="L1188" s="408" t="s">
        <v>2391</v>
      </c>
      <c r="M1188" s="408" t="s">
        <v>1468</v>
      </c>
      <c r="N1188" s="408" t="s">
        <v>2877</v>
      </c>
      <c r="O1188" s="408" t="s">
        <v>2368</v>
      </c>
      <c r="P1188" s="408" t="s">
        <v>2682</v>
      </c>
      <c r="Q1188" s="408"/>
      <c r="R1188" s="408" t="s">
        <v>2886</v>
      </c>
      <c r="S1188" s="408" t="s">
        <v>2887</v>
      </c>
      <c r="T1188" s="408" t="s">
        <v>2880</v>
      </c>
      <c r="U1188" s="408"/>
      <c r="V1188" s="421"/>
      <c r="W1188" s="421"/>
      <c r="X1188" s="421"/>
      <c r="Y1188" s="421"/>
      <c r="Z1188" s="421"/>
      <c r="AA1188" s="421"/>
      <c r="AB1188" s="421"/>
      <c r="AC1188" s="421"/>
      <c r="AD1188" s="421"/>
      <c r="AE1188" s="421"/>
      <c r="AF1188" s="421"/>
      <c r="AG1188" s="421"/>
      <c r="AH1188" s="421"/>
      <c r="AI1188" s="421"/>
      <c r="AJ1188" s="421"/>
      <c r="AK1188" s="421"/>
      <c r="AL1188" s="421"/>
    </row>
    <row r="1189" spans="1:38">
      <c r="A1189" s="408">
        <v>5978</v>
      </c>
      <c r="B1189" s="83">
        <f t="array" ref="B1189">SUM(--(FREQUENCY(IF(C$2:C$3081=C1189, MATCH(D$2:D$3081, D$2:D$3081, 0)), ROW(D$2:D$3081)-ROW(D$2)+1) &gt; 0))</f>
        <v>20</v>
      </c>
      <c r="C1189" s="408">
        <v>41200074</v>
      </c>
      <c r="D1189" s="408" t="s">
        <v>2885</v>
      </c>
      <c r="E1189" s="408" t="s">
        <v>1405</v>
      </c>
      <c r="F1189" s="408" t="s">
        <v>1478</v>
      </c>
      <c r="G1189" s="408" t="s">
        <v>2675</v>
      </c>
      <c r="H1189" s="197">
        <f t="shared" si="233"/>
        <v>37</v>
      </c>
      <c r="I1189" s="408">
        <v>9</v>
      </c>
      <c r="J1189" s="408">
        <v>9</v>
      </c>
      <c r="K1189" s="186">
        <f t="shared" si="232"/>
        <v>45909</v>
      </c>
      <c r="L1189" s="408" t="s">
        <v>2391</v>
      </c>
      <c r="M1189" s="408" t="s">
        <v>1468</v>
      </c>
      <c r="N1189" s="408" t="s">
        <v>2877</v>
      </c>
      <c r="O1189" s="408" t="s">
        <v>2368</v>
      </c>
      <c r="P1189" s="408" t="s">
        <v>2682</v>
      </c>
      <c r="Q1189" s="408"/>
      <c r="R1189" s="408" t="s">
        <v>2888</v>
      </c>
      <c r="S1189" s="408" t="s">
        <v>2889</v>
      </c>
      <c r="T1189" s="408" t="s">
        <v>2880</v>
      </c>
      <c r="U1189" s="408"/>
      <c r="V1189" s="421"/>
      <c r="W1189" s="421"/>
      <c r="X1189" s="421"/>
      <c r="Y1189" s="421"/>
      <c r="Z1189" s="421"/>
      <c r="AA1189" s="421"/>
      <c r="AB1189" s="421"/>
      <c r="AC1189" s="421"/>
      <c r="AD1189" s="421"/>
      <c r="AE1189" s="421"/>
      <c r="AF1189" s="421"/>
      <c r="AG1189" s="421"/>
      <c r="AH1189" s="421"/>
      <c r="AI1189" s="421"/>
      <c r="AJ1189" s="421"/>
      <c r="AK1189" s="421"/>
      <c r="AL1189" s="421"/>
    </row>
    <row r="1190" spans="1:38">
      <c r="A1190" s="408">
        <v>5978</v>
      </c>
      <c r="B1190" s="83">
        <f t="array" ref="B1190">SUM(--(FREQUENCY(IF(C$2:C$3081=C1190, MATCH(D$2:D$3081, D$2:D$3081, 0)), ROW(D$2:D$3081)-ROW(D$2)+1) &gt; 0))</f>
        <v>20</v>
      </c>
      <c r="C1190" s="408">
        <v>41200074</v>
      </c>
      <c r="D1190" s="408" t="s">
        <v>2885</v>
      </c>
      <c r="E1190" s="408" t="s">
        <v>1405</v>
      </c>
      <c r="F1190" s="408" t="s">
        <v>1478</v>
      </c>
      <c r="G1190" s="408" t="s">
        <v>2675</v>
      </c>
      <c r="H1190" s="197">
        <f t="shared" si="233"/>
        <v>37</v>
      </c>
      <c r="I1190" s="408">
        <v>9</v>
      </c>
      <c r="J1190" s="408">
        <v>9</v>
      </c>
      <c r="K1190" s="186">
        <f t="shared" si="232"/>
        <v>45909</v>
      </c>
      <c r="L1190" s="408" t="s">
        <v>2391</v>
      </c>
      <c r="M1190" s="408" t="s">
        <v>1468</v>
      </c>
      <c r="N1190" s="408" t="s">
        <v>2877</v>
      </c>
      <c r="O1190" s="408" t="s">
        <v>2368</v>
      </c>
      <c r="P1190" s="408" t="s">
        <v>2682</v>
      </c>
      <c r="Q1190" s="408"/>
      <c r="R1190" s="408" t="s">
        <v>2454</v>
      </c>
      <c r="S1190" s="408" t="s">
        <v>2890</v>
      </c>
      <c r="T1190" s="408" t="s">
        <v>2880</v>
      </c>
      <c r="U1190" s="408"/>
      <c r="V1190" s="421"/>
      <c r="W1190" s="421"/>
      <c r="X1190" s="421"/>
      <c r="Y1190" s="421"/>
      <c r="Z1190" s="421"/>
      <c r="AA1190" s="421"/>
      <c r="AB1190" s="421"/>
      <c r="AC1190" s="421"/>
      <c r="AD1190" s="421"/>
      <c r="AE1190" s="421"/>
      <c r="AF1190" s="421"/>
      <c r="AG1190" s="421"/>
      <c r="AH1190" s="421"/>
      <c r="AI1190" s="421"/>
      <c r="AJ1190" s="421"/>
      <c r="AK1190" s="421"/>
      <c r="AL1190" s="421"/>
    </row>
    <row r="1191" spans="1:38">
      <c r="A1191" s="408">
        <v>5978</v>
      </c>
      <c r="B1191" s="83">
        <f t="array" ref="B1191">SUM(--(FREQUENCY(IF(C$2:C$3081=C1191, MATCH(D$2:D$3081, D$2:D$3081, 0)), ROW(D$2:D$3081)-ROW(D$2)+1) &gt; 0))</f>
        <v>20</v>
      </c>
      <c r="C1191" s="408">
        <v>41200074</v>
      </c>
      <c r="D1191" s="408" t="s">
        <v>2885</v>
      </c>
      <c r="E1191" s="408" t="s">
        <v>1405</v>
      </c>
      <c r="F1191" s="408" t="s">
        <v>1478</v>
      </c>
      <c r="G1191" s="408" t="s">
        <v>2675</v>
      </c>
      <c r="H1191" s="197">
        <f t="shared" si="233"/>
        <v>37</v>
      </c>
      <c r="I1191" s="408">
        <v>9</v>
      </c>
      <c r="J1191" s="408">
        <v>9</v>
      </c>
      <c r="K1191" s="186">
        <f t="shared" si="232"/>
        <v>45909</v>
      </c>
      <c r="L1191" s="408" t="s">
        <v>2391</v>
      </c>
      <c r="M1191" s="408" t="s">
        <v>1468</v>
      </c>
      <c r="N1191" s="408" t="s">
        <v>2877</v>
      </c>
      <c r="O1191" s="408" t="s">
        <v>2368</v>
      </c>
      <c r="P1191" s="408" t="s">
        <v>2371</v>
      </c>
      <c r="Q1191" s="408">
        <v>11001962</v>
      </c>
      <c r="R1191" s="408" t="s">
        <v>562</v>
      </c>
      <c r="S1191" s="408" t="s">
        <v>2832</v>
      </c>
      <c r="T1191" s="408" t="s">
        <v>2880</v>
      </c>
      <c r="U1191" s="408"/>
      <c r="V1191" s="421"/>
      <c r="W1191" s="421"/>
      <c r="X1191" s="421"/>
      <c r="Y1191" s="421"/>
      <c r="Z1191" s="421"/>
      <c r="AA1191" s="421"/>
      <c r="AB1191" s="421"/>
      <c r="AC1191" s="421"/>
      <c r="AD1191" s="421"/>
      <c r="AE1191" s="421"/>
      <c r="AF1191" s="421"/>
      <c r="AG1191" s="421"/>
      <c r="AH1191" s="421"/>
      <c r="AI1191" s="421"/>
      <c r="AJ1191" s="421"/>
      <c r="AK1191" s="421"/>
      <c r="AL1191" s="421"/>
    </row>
    <row r="1192" spans="1:38">
      <c r="A1192" s="408">
        <v>5978</v>
      </c>
      <c r="B1192" s="83">
        <f t="array" ref="B1192">SUM(--(FREQUENCY(IF(C$2:C$3081=C1192, MATCH(D$2:D$3081, D$2:D$3081, 0)), ROW(D$2:D$3081)-ROW(D$2)+1) &gt; 0))</f>
        <v>20</v>
      </c>
      <c r="C1192" s="408">
        <v>41200074</v>
      </c>
      <c r="D1192" s="408" t="s">
        <v>2891</v>
      </c>
      <c r="E1192" s="408" t="s">
        <v>1405</v>
      </c>
      <c r="F1192" s="408" t="s">
        <v>1478</v>
      </c>
      <c r="G1192" s="408" t="s">
        <v>2675</v>
      </c>
      <c r="H1192" s="197">
        <f t="shared" si="233"/>
        <v>37</v>
      </c>
      <c r="I1192" s="408">
        <v>9</v>
      </c>
      <c r="J1192" s="408">
        <v>9</v>
      </c>
      <c r="K1192" s="186">
        <f t="shared" si="232"/>
        <v>45909</v>
      </c>
      <c r="L1192" s="408" t="s">
        <v>2391</v>
      </c>
      <c r="M1192" s="408" t="s">
        <v>1468</v>
      </c>
      <c r="N1192" s="408" t="str">
        <f t="shared" si="228"/>
        <v/>
      </c>
      <c r="O1192" s="408"/>
      <c r="P1192" s="408"/>
      <c r="Q1192" s="408"/>
      <c r="R1192" s="408"/>
      <c r="S1192" s="408"/>
      <c r="T1192" s="408"/>
      <c r="U1192" s="408"/>
      <c r="V1192" s="421"/>
      <c r="W1192" s="421"/>
      <c r="X1192" s="421"/>
      <c r="Y1192" s="421"/>
      <c r="Z1192" s="421"/>
      <c r="AA1192" s="421"/>
      <c r="AB1192" s="421"/>
      <c r="AC1192" s="421"/>
      <c r="AD1192" s="421"/>
      <c r="AE1192" s="421"/>
      <c r="AF1192" s="421"/>
      <c r="AG1192" s="421"/>
      <c r="AH1192" s="421"/>
      <c r="AI1192" s="421"/>
      <c r="AJ1192" s="421"/>
      <c r="AK1192" s="421"/>
      <c r="AL1192" s="421"/>
    </row>
    <row r="1193" spans="1:38">
      <c r="A1193" s="408">
        <v>5942</v>
      </c>
      <c r="B1193" s="83">
        <f t="array" ref="B1193">SUM(--(FREQUENCY(IF(C$2:C$3081=C1193, MATCH(D$2:D$3081, D$2:D$3081, 0)), ROW(D$2:D$3081)-ROW(D$2)+1) &gt; 0))</f>
        <v>2</v>
      </c>
      <c r="C1193" s="408">
        <v>41200160</v>
      </c>
      <c r="D1193" s="408" t="s">
        <v>2892</v>
      </c>
      <c r="E1193" s="408" t="s">
        <v>1431</v>
      </c>
      <c r="F1193" s="408" t="s">
        <v>1591</v>
      </c>
      <c r="G1193" s="408" t="s">
        <v>2666</v>
      </c>
      <c r="H1193" s="197">
        <f t="shared" si="233"/>
        <v>37</v>
      </c>
      <c r="I1193" s="408">
        <v>9</v>
      </c>
      <c r="J1193" s="408">
        <v>9</v>
      </c>
      <c r="K1193" s="186">
        <f t="shared" si="232"/>
        <v>45909</v>
      </c>
      <c r="L1193" s="408" t="s">
        <v>2395</v>
      </c>
      <c r="M1193" s="408" t="s">
        <v>1469</v>
      </c>
      <c r="N1193" s="408" t="str">
        <f t="shared" si="228"/>
        <v/>
      </c>
      <c r="O1193" s="408"/>
      <c r="P1193" s="408"/>
      <c r="Q1193" s="408"/>
      <c r="R1193" s="408"/>
      <c r="S1193" s="408"/>
      <c r="T1193" s="408"/>
      <c r="U1193" s="408"/>
      <c r="V1193" s="421"/>
      <c r="W1193" s="421"/>
      <c r="X1193" s="421"/>
      <c r="Y1193" s="421"/>
      <c r="Z1193" s="421"/>
      <c r="AA1193" s="421"/>
      <c r="AB1193" s="421"/>
      <c r="AC1193" s="421"/>
      <c r="AD1193" s="421"/>
      <c r="AE1193" s="421"/>
      <c r="AF1193" s="421"/>
      <c r="AG1193" s="421"/>
      <c r="AH1193" s="421"/>
      <c r="AI1193" s="421"/>
      <c r="AJ1193" s="421"/>
      <c r="AK1193" s="421"/>
      <c r="AL1193" s="421"/>
    </row>
    <row r="1194" spans="1:38">
      <c r="A1194" s="408">
        <v>5797</v>
      </c>
      <c r="B1194" s="83">
        <f t="array" ref="B1194">SUM(--(FREQUENCY(IF(C$2:C$3081=C1194, MATCH(D$2:D$3081, D$2:D$3081, 0)), ROW(D$2:D$3081)-ROW(D$2)+1) &gt; 0))</f>
        <v>12</v>
      </c>
      <c r="C1194" s="408">
        <v>41100264</v>
      </c>
      <c r="D1194" s="408" t="s">
        <v>2893</v>
      </c>
      <c r="E1194" s="408" t="s">
        <v>1585</v>
      </c>
      <c r="F1194" s="408" t="s">
        <v>1591</v>
      </c>
      <c r="G1194" s="408" t="s">
        <v>2666</v>
      </c>
      <c r="H1194" s="197">
        <f t="shared" si="233"/>
        <v>37</v>
      </c>
      <c r="I1194" s="408">
        <v>9</v>
      </c>
      <c r="J1194" s="408">
        <v>10</v>
      </c>
      <c r="K1194" s="186">
        <f t="shared" si="232"/>
        <v>45910</v>
      </c>
      <c r="L1194" s="408" t="s">
        <v>2395</v>
      </c>
      <c r="M1194" s="408" t="s">
        <v>2392</v>
      </c>
      <c r="N1194" s="408" t="s">
        <v>2877</v>
      </c>
      <c r="O1194" s="408" t="s">
        <v>2894</v>
      </c>
      <c r="P1194" s="408" t="s">
        <v>2682</v>
      </c>
      <c r="Q1194" s="408"/>
      <c r="R1194" s="408" t="s">
        <v>2895</v>
      </c>
      <c r="S1194" s="408" t="s">
        <v>2896</v>
      </c>
      <c r="T1194" s="408"/>
      <c r="U1194" s="408"/>
      <c r="V1194" s="421"/>
      <c r="W1194" s="421"/>
      <c r="X1194" s="421"/>
      <c r="Y1194" s="421"/>
      <c r="Z1194" s="421"/>
      <c r="AA1194" s="421"/>
      <c r="AB1194" s="421"/>
      <c r="AC1194" s="421"/>
      <c r="AD1194" s="421"/>
      <c r="AE1194" s="421"/>
      <c r="AF1194" s="421"/>
      <c r="AG1194" s="421"/>
      <c r="AH1194" s="421"/>
      <c r="AI1194" s="421"/>
      <c r="AJ1194" s="421"/>
      <c r="AK1194" s="421"/>
      <c r="AL1194" s="421"/>
    </row>
    <row r="1195" spans="1:38">
      <c r="A1195" s="408">
        <v>5797</v>
      </c>
      <c r="B1195" s="83">
        <f t="array" ref="B1195">SUM(--(FREQUENCY(IF(C$2:C$3081=C1195, MATCH(D$2:D$3081, D$2:D$3081, 0)), ROW(D$2:D$3081)-ROW(D$2)+1) &gt; 0))</f>
        <v>12</v>
      </c>
      <c r="C1195" s="408">
        <v>41100264</v>
      </c>
      <c r="D1195" s="408" t="s">
        <v>2897</v>
      </c>
      <c r="E1195" s="408" t="s">
        <v>1585</v>
      </c>
      <c r="F1195" s="408" t="s">
        <v>1591</v>
      </c>
      <c r="G1195" s="408" t="s">
        <v>2666</v>
      </c>
      <c r="H1195" s="197">
        <f t="shared" si="233"/>
        <v>37</v>
      </c>
      <c r="I1195" s="408">
        <v>9</v>
      </c>
      <c r="J1195" s="408">
        <v>10</v>
      </c>
      <c r="K1195" s="186">
        <f t="shared" si="232"/>
        <v>45910</v>
      </c>
      <c r="L1195" s="408" t="s">
        <v>2395</v>
      </c>
      <c r="M1195" s="408" t="s">
        <v>2392</v>
      </c>
      <c r="N1195" s="408" t="s">
        <v>2877</v>
      </c>
      <c r="O1195" s="408" t="s">
        <v>2368</v>
      </c>
      <c r="P1195" s="408" t="s">
        <v>2682</v>
      </c>
      <c r="Q1195" s="408"/>
      <c r="R1195" s="408" t="s">
        <v>2898</v>
      </c>
      <c r="S1195" s="408" t="s">
        <v>2899</v>
      </c>
      <c r="T1195" s="408"/>
      <c r="U1195" s="408"/>
      <c r="V1195" s="421"/>
      <c r="W1195" s="421"/>
      <c r="X1195" s="421"/>
      <c r="Y1195" s="421"/>
      <c r="Z1195" s="421"/>
      <c r="AA1195" s="421"/>
      <c r="AB1195" s="421"/>
      <c r="AC1195" s="421"/>
      <c r="AD1195" s="421"/>
      <c r="AE1195" s="421"/>
      <c r="AF1195" s="421"/>
      <c r="AG1195" s="421"/>
      <c r="AH1195" s="421"/>
      <c r="AI1195" s="421"/>
      <c r="AJ1195" s="421"/>
      <c r="AK1195" s="421"/>
      <c r="AL1195" s="421"/>
    </row>
    <row r="1196" spans="1:38">
      <c r="A1196" s="408">
        <v>5916</v>
      </c>
      <c r="B1196" s="83">
        <f t="array" ref="B1196">SUM(--(FREQUENCY(IF(C$2:C$3081=C1196, MATCH(D$2:D$3081, D$2:D$3081, 0)), ROW(D$2:D$3081)-ROW(D$2)+1) &gt; 0))</f>
        <v>29</v>
      </c>
      <c r="C1196" s="408">
        <v>41200127</v>
      </c>
      <c r="D1196" s="408" t="s">
        <v>2900</v>
      </c>
      <c r="E1196" s="408" t="s">
        <v>1431</v>
      </c>
      <c r="F1196" s="408" t="s">
        <v>1591</v>
      </c>
      <c r="G1196" s="408" t="s">
        <v>2666</v>
      </c>
      <c r="H1196" s="197">
        <f t="shared" si="233"/>
        <v>37</v>
      </c>
      <c r="I1196" s="408">
        <v>9</v>
      </c>
      <c r="J1196" s="408">
        <v>10</v>
      </c>
      <c r="K1196" s="186">
        <f t="shared" si="232"/>
        <v>45910</v>
      </c>
      <c r="L1196" s="408" t="s">
        <v>2391</v>
      </c>
      <c r="M1196" s="408" t="s">
        <v>2392</v>
      </c>
      <c r="N1196" s="408" t="str">
        <f t="shared" si="228"/>
        <v/>
      </c>
      <c r="O1196" s="408"/>
      <c r="P1196" s="408"/>
      <c r="Q1196" s="408"/>
      <c r="R1196" s="408"/>
      <c r="S1196" s="408"/>
      <c r="T1196" s="408"/>
      <c r="U1196" s="408"/>
      <c r="V1196" s="421"/>
      <c r="W1196" s="421"/>
      <c r="X1196" s="421"/>
      <c r="Y1196" s="421"/>
      <c r="Z1196" s="421"/>
      <c r="AA1196" s="421"/>
      <c r="AB1196" s="421"/>
      <c r="AC1196" s="421"/>
      <c r="AD1196" s="421"/>
      <c r="AE1196" s="421"/>
      <c r="AF1196" s="421"/>
      <c r="AG1196" s="421"/>
      <c r="AH1196" s="421"/>
      <c r="AI1196" s="421"/>
      <c r="AJ1196" s="421"/>
      <c r="AK1196" s="421"/>
      <c r="AL1196" s="421"/>
    </row>
    <row r="1197" spans="1:38">
      <c r="A1197" s="408">
        <v>5917</v>
      </c>
      <c r="B1197" s="83">
        <f t="array" ref="B1197">SUM(--(FREQUENCY(IF(C$2:C$3081=C1197, MATCH(D$2:D$3081, D$2:D$3081, 0)), ROW(D$2:D$3081)-ROW(D$2)+1) &gt; 0))</f>
        <v>4</v>
      </c>
      <c r="C1197" s="408">
        <v>41200136</v>
      </c>
      <c r="D1197" s="408" t="s">
        <v>2901</v>
      </c>
      <c r="E1197" s="408" t="s">
        <v>1431</v>
      </c>
      <c r="F1197" s="408" t="s">
        <v>1482</v>
      </c>
      <c r="G1197" s="408" t="s">
        <v>2666</v>
      </c>
      <c r="H1197" s="197">
        <f t="shared" si="233"/>
        <v>37</v>
      </c>
      <c r="I1197" s="408">
        <v>9</v>
      </c>
      <c r="J1197" s="408">
        <v>10</v>
      </c>
      <c r="K1197" s="186">
        <f t="shared" si="232"/>
        <v>45910</v>
      </c>
      <c r="L1197" s="408" t="s">
        <v>2391</v>
      </c>
      <c r="M1197" s="408" t="s">
        <v>2392</v>
      </c>
      <c r="N1197" s="408" t="str">
        <f t="shared" si="228"/>
        <v/>
      </c>
      <c r="O1197" s="408"/>
      <c r="P1197" s="408"/>
      <c r="Q1197" s="408"/>
      <c r="R1197" s="408"/>
      <c r="S1197" s="408"/>
      <c r="T1197" s="408"/>
      <c r="U1197" s="408"/>
      <c r="V1197" s="421"/>
      <c r="W1197" s="421"/>
      <c r="X1197" s="421"/>
      <c r="Y1197" s="421"/>
      <c r="Z1197" s="421"/>
      <c r="AA1197" s="421"/>
      <c r="AB1197" s="421"/>
      <c r="AC1197" s="421"/>
      <c r="AD1197" s="421"/>
      <c r="AE1197" s="421"/>
      <c r="AF1197" s="421"/>
      <c r="AG1197" s="421"/>
      <c r="AH1197" s="421"/>
      <c r="AI1197" s="421"/>
      <c r="AJ1197" s="421"/>
      <c r="AK1197" s="421"/>
      <c r="AL1197" s="421"/>
    </row>
    <row r="1198" spans="1:38">
      <c r="A1198" s="408">
        <v>6051</v>
      </c>
      <c r="B1198" s="83">
        <f t="array" ref="B1198">SUM(--(FREQUENCY(IF(C$2:C$3081=C1198, MATCH(D$2:D$3081, D$2:D$3081, 0)), ROW(D$2:D$3081)-ROW(D$2)+1) &gt; 0))</f>
        <v>24</v>
      </c>
      <c r="C1198" s="408">
        <v>41200122</v>
      </c>
      <c r="D1198" s="408" t="s">
        <v>2902</v>
      </c>
      <c r="E1198" s="408" t="s">
        <v>1585</v>
      </c>
      <c r="F1198" s="408" t="s">
        <v>1476</v>
      </c>
      <c r="G1198" s="408" t="s">
        <v>2675</v>
      </c>
      <c r="H1198" s="197">
        <f t="shared" si="233"/>
        <v>37</v>
      </c>
      <c r="I1198" s="408">
        <v>9</v>
      </c>
      <c r="J1198" s="408">
        <v>10</v>
      </c>
      <c r="K1198" s="186">
        <f t="shared" si="232"/>
        <v>45910</v>
      </c>
      <c r="L1198" s="408" t="s">
        <v>2395</v>
      </c>
      <c r="M1198" s="408" t="s">
        <v>1468</v>
      </c>
      <c r="N1198" s="408" t="str">
        <f t="shared" si="228"/>
        <v/>
      </c>
      <c r="O1198" s="408"/>
      <c r="P1198" s="408"/>
      <c r="Q1198" s="408"/>
      <c r="R1198" s="408"/>
      <c r="S1198" s="408"/>
      <c r="T1198" s="408"/>
      <c r="U1198" s="408"/>
      <c r="V1198" s="421"/>
      <c r="W1198" s="421"/>
      <c r="X1198" s="421"/>
      <c r="Y1198" s="421"/>
      <c r="Z1198" s="421"/>
      <c r="AA1198" s="421"/>
      <c r="AB1198" s="421"/>
      <c r="AC1198" s="421"/>
      <c r="AD1198" s="421"/>
      <c r="AE1198" s="421"/>
      <c r="AF1198" s="421"/>
      <c r="AG1198" s="421"/>
      <c r="AH1198" s="421"/>
      <c r="AI1198" s="421"/>
      <c r="AJ1198" s="421"/>
      <c r="AK1198" s="421"/>
      <c r="AL1198" s="421"/>
    </row>
    <row r="1199" spans="1:38">
      <c r="A1199" s="408">
        <v>5981</v>
      </c>
      <c r="B1199" s="83">
        <f t="array" ref="B1199">SUM(--(FREQUENCY(IF(C$2:C$3081=C1199, MATCH(D$2:D$3081, D$2:D$3081, 0)), ROW(D$2:D$3081)-ROW(D$2)+1) &gt; 0))</f>
        <v>76</v>
      </c>
      <c r="C1199" s="408">
        <v>41200007</v>
      </c>
      <c r="D1199" s="408" t="s">
        <v>2903</v>
      </c>
      <c r="E1199" s="408" t="s">
        <v>1405</v>
      </c>
      <c r="F1199" s="408" t="s">
        <v>1591</v>
      </c>
      <c r="G1199" s="408" t="s">
        <v>2666</v>
      </c>
      <c r="H1199" s="197">
        <f t="shared" si="233"/>
        <v>37</v>
      </c>
      <c r="I1199" s="408">
        <v>9</v>
      </c>
      <c r="J1199" s="408">
        <v>10</v>
      </c>
      <c r="K1199" s="186">
        <f t="shared" si="232"/>
        <v>45910</v>
      </c>
      <c r="L1199" s="408" t="s">
        <v>2395</v>
      </c>
      <c r="M1199" s="408" t="s">
        <v>1468</v>
      </c>
      <c r="N1199" s="408" t="s">
        <v>2877</v>
      </c>
      <c r="O1199" s="408" t="s">
        <v>2368</v>
      </c>
      <c r="P1199" s="408" t="s">
        <v>2371</v>
      </c>
      <c r="Q1199" s="408">
        <v>11001962</v>
      </c>
      <c r="R1199" s="408" t="s">
        <v>562</v>
      </c>
      <c r="S1199" s="3" t="s">
        <v>2904</v>
      </c>
      <c r="T1199" s="408"/>
      <c r="U1199" s="408"/>
      <c r="V1199" s="421"/>
      <c r="W1199" s="421"/>
      <c r="X1199" s="421"/>
      <c r="Y1199" s="421"/>
      <c r="Z1199" s="421"/>
      <c r="AA1199" s="421"/>
      <c r="AB1199" s="421"/>
      <c r="AC1199" s="421"/>
      <c r="AD1199" s="421"/>
      <c r="AE1199" s="421"/>
      <c r="AF1199" s="421"/>
      <c r="AG1199" s="421"/>
      <c r="AH1199" s="421"/>
      <c r="AI1199" s="421"/>
      <c r="AJ1199" s="421"/>
      <c r="AK1199" s="421"/>
      <c r="AL1199" s="421"/>
    </row>
    <row r="1200" spans="1:38">
      <c r="A1200" s="408">
        <v>5856</v>
      </c>
      <c r="B1200" s="83">
        <f t="array" ref="B1200">SUM(--(FREQUENCY(IF(C$2:C$3081=C1200, MATCH(D$2:D$3081, D$2:D$3081, 0)), ROW(D$2:D$3081)-ROW(D$2)+1) &gt; 0))</f>
        <v>30</v>
      </c>
      <c r="C1200" s="408">
        <v>41200109</v>
      </c>
      <c r="D1200" s="408" t="s">
        <v>2905</v>
      </c>
      <c r="E1200" s="408" t="s">
        <v>1585</v>
      </c>
      <c r="F1200" s="408" t="s">
        <v>1476</v>
      </c>
      <c r="G1200" s="408" t="s">
        <v>2675</v>
      </c>
      <c r="H1200" s="197">
        <f t="shared" si="233"/>
        <v>37</v>
      </c>
      <c r="I1200" s="408">
        <v>9</v>
      </c>
      <c r="J1200" s="408">
        <v>10</v>
      </c>
      <c r="K1200" s="186">
        <f t="shared" si="232"/>
        <v>45910</v>
      </c>
      <c r="L1200" s="408" t="s">
        <v>2395</v>
      </c>
      <c r="M1200" s="408" t="s">
        <v>1469</v>
      </c>
      <c r="N1200" s="408" t="str">
        <f t="shared" si="228"/>
        <v/>
      </c>
      <c r="O1200" s="408"/>
      <c r="P1200" s="408"/>
      <c r="Q1200" s="408"/>
      <c r="R1200" s="408"/>
      <c r="S1200" s="408"/>
      <c r="T1200" s="408"/>
      <c r="U1200" s="408"/>
      <c r="V1200" s="421"/>
      <c r="W1200" s="421"/>
      <c r="X1200" s="421"/>
      <c r="Y1200" s="421"/>
      <c r="Z1200" s="421"/>
      <c r="AA1200" s="421"/>
      <c r="AB1200" s="421"/>
      <c r="AC1200" s="421"/>
      <c r="AD1200" s="421"/>
      <c r="AE1200" s="421"/>
      <c r="AF1200" s="421"/>
      <c r="AG1200" s="421"/>
      <c r="AH1200" s="421"/>
      <c r="AI1200" s="421"/>
      <c r="AJ1200" s="421"/>
      <c r="AK1200" s="421"/>
      <c r="AL1200" s="421"/>
    </row>
    <row r="1201" spans="1:38">
      <c r="A1201" s="408">
        <v>5856</v>
      </c>
      <c r="B1201" s="83">
        <f t="array" ref="B1201">SUM(--(FREQUENCY(IF(C$2:C$3081=C1201, MATCH(D$2:D$3081, D$2:D$3081, 0)), ROW(D$2:D$3081)-ROW(D$2)+1) &gt; 0))</f>
        <v>30</v>
      </c>
      <c r="C1201" s="408">
        <v>41200109</v>
      </c>
      <c r="D1201" s="408" t="s">
        <v>2906</v>
      </c>
      <c r="E1201" s="408" t="s">
        <v>1585</v>
      </c>
      <c r="F1201" s="408" t="s">
        <v>1476</v>
      </c>
      <c r="G1201" s="408" t="s">
        <v>2675</v>
      </c>
      <c r="H1201" s="197">
        <f t="shared" si="233"/>
        <v>37</v>
      </c>
      <c r="I1201" s="408">
        <v>9</v>
      </c>
      <c r="J1201" s="408">
        <v>10</v>
      </c>
      <c r="K1201" s="186">
        <f t="shared" si="232"/>
        <v>45910</v>
      </c>
      <c r="L1201" s="408" t="s">
        <v>2395</v>
      </c>
      <c r="M1201" s="408" t="s">
        <v>1469</v>
      </c>
      <c r="N1201" s="408" t="str">
        <f t="shared" si="228"/>
        <v/>
      </c>
      <c r="O1201" s="408"/>
      <c r="P1201" s="408"/>
      <c r="Q1201" s="408"/>
      <c r="R1201" s="408"/>
      <c r="S1201" s="408"/>
      <c r="T1201" s="408"/>
      <c r="U1201" s="408"/>
      <c r="V1201" s="421"/>
      <c r="W1201" s="421"/>
      <c r="X1201" s="421"/>
      <c r="Y1201" s="421"/>
      <c r="Z1201" s="421"/>
      <c r="AA1201" s="421"/>
      <c r="AB1201" s="421"/>
      <c r="AC1201" s="421"/>
      <c r="AD1201" s="421"/>
      <c r="AE1201" s="421"/>
      <c r="AF1201" s="421"/>
      <c r="AG1201" s="421"/>
      <c r="AH1201" s="421"/>
      <c r="AI1201" s="421"/>
      <c r="AJ1201" s="421"/>
      <c r="AK1201" s="421"/>
      <c r="AL1201" s="421"/>
    </row>
    <row r="1202" spans="1:38">
      <c r="A1202" s="408">
        <v>6052</v>
      </c>
      <c r="B1202" s="83">
        <f t="array" ref="B1202">SUM(--(FREQUENCY(IF(C$2:C$3081=C1202, MATCH(D$2:D$3081, D$2:D$3081, 0)), ROW(D$2:D$3081)-ROW(D$2)+1) &gt; 0))</f>
        <v>20</v>
      </c>
      <c r="C1202" s="408">
        <v>41100435</v>
      </c>
      <c r="D1202" s="408" t="s">
        <v>2907</v>
      </c>
      <c r="E1202" s="408" t="s">
        <v>1585</v>
      </c>
      <c r="F1202" s="408" t="s">
        <v>1482</v>
      </c>
      <c r="G1202" s="408" t="s">
        <v>2666</v>
      </c>
      <c r="H1202" s="197">
        <f t="shared" si="233"/>
        <v>37</v>
      </c>
      <c r="I1202" s="408">
        <v>9</v>
      </c>
      <c r="J1202" s="408">
        <v>10</v>
      </c>
      <c r="K1202" s="186">
        <f t="shared" si="232"/>
        <v>45910</v>
      </c>
      <c r="L1202" s="408" t="s">
        <v>2395</v>
      </c>
      <c r="M1202" s="408" t="s">
        <v>1469</v>
      </c>
      <c r="N1202" s="408" t="str">
        <f t="shared" si="228"/>
        <v/>
      </c>
      <c r="O1202" s="408"/>
      <c r="P1202" s="408"/>
      <c r="Q1202" s="408"/>
      <c r="R1202" s="408"/>
      <c r="S1202" s="408"/>
      <c r="T1202" s="408"/>
      <c r="U1202" s="408"/>
      <c r="V1202" s="421"/>
      <c r="W1202" s="421"/>
      <c r="X1202" s="421"/>
      <c r="Y1202" s="421"/>
      <c r="Z1202" s="421"/>
      <c r="AA1202" s="421"/>
      <c r="AB1202" s="421"/>
      <c r="AC1202" s="421"/>
      <c r="AD1202" s="421"/>
      <c r="AE1202" s="421"/>
      <c r="AF1202" s="421"/>
      <c r="AG1202" s="421"/>
      <c r="AH1202" s="421"/>
      <c r="AI1202" s="421"/>
      <c r="AJ1202" s="421"/>
      <c r="AK1202" s="421"/>
      <c r="AL1202" s="421"/>
    </row>
    <row r="1203" spans="1:38">
      <c r="A1203" s="3">
        <v>6003</v>
      </c>
      <c r="B1203" s="83">
        <f t="array" ref="B1203">SUM(--(FREQUENCY(IF(C$2:C$3072=C1203, MATCH(D$2:D$3072, D$2:D$3072, 0)), ROW(D$2:D$3072)-ROW(D$2)+1) &gt; 0))</f>
        <v>2</v>
      </c>
      <c r="C1203" s="3">
        <v>41200160</v>
      </c>
      <c r="D1203" s="6" t="s">
        <v>2908</v>
      </c>
      <c r="E1203" s="3" t="s">
        <v>1431</v>
      </c>
      <c r="F1203" s="3" t="s">
        <v>1591</v>
      </c>
      <c r="G1203" s="68" t="str">
        <f>IF(OR(ISNUMBER(SEARCH("DUAL",F1203)), ISNUMBER(SEARCH("IVAS",F1203))), "DUAL", "SINGLE")</f>
        <v>SINGLE</v>
      </c>
      <c r="H1203" s="197">
        <f t="shared" si="233"/>
        <v>37</v>
      </c>
      <c r="I1203" s="197">
        <v>9</v>
      </c>
      <c r="J1203" s="197">
        <v>11</v>
      </c>
      <c r="K1203" s="186">
        <f t="shared" si="232"/>
        <v>45911</v>
      </c>
      <c r="L1203" s="3" t="s">
        <v>2391</v>
      </c>
      <c r="M1203" s="3" t="s">
        <v>2392</v>
      </c>
      <c r="N1203" s="408" t="str">
        <f t="shared" si="228"/>
        <v/>
      </c>
      <c r="O1203" s="408"/>
      <c r="P1203" s="408"/>
      <c r="Q1203" s="408"/>
      <c r="R1203" s="408"/>
      <c r="S1203" s="408"/>
      <c r="T1203" s="408"/>
      <c r="U1203" s="408"/>
      <c r="V1203" s="421"/>
      <c r="W1203" s="421"/>
      <c r="X1203" s="421"/>
      <c r="Y1203" s="421"/>
      <c r="Z1203" s="421"/>
      <c r="AA1203" s="421"/>
      <c r="AB1203" s="421"/>
      <c r="AC1203" s="421"/>
      <c r="AD1203" s="421"/>
      <c r="AE1203" s="421"/>
      <c r="AF1203" s="421"/>
      <c r="AG1203" s="421"/>
      <c r="AH1203" s="421"/>
      <c r="AI1203" s="421"/>
      <c r="AJ1203" s="421"/>
      <c r="AK1203" s="421"/>
      <c r="AL1203" s="421"/>
    </row>
    <row r="1204" spans="1:38">
      <c r="A1204" s="3">
        <v>5039</v>
      </c>
      <c r="B1204" s="83">
        <f t="array" ref="B1204">SUM(--(FREQUENCY(IF(C$2:C$3072=C1204, MATCH(D$2:D$3072, D$2:D$3072, 0)), ROW(D$2:D$3072)-ROW(D$2)+1) &gt; 0))</f>
        <v>3</v>
      </c>
      <c r="C1204" s="3">
        <v>41200036</v>
      </c>
      <c r="D1204" s="6" t="s">
        <v>2909</v>
      </c>
      <c r="E1204" s="3" t="s">
        <v>1426</v>
      </c>
      <c r="F1204" s="3" t="s">
        <v>1476</v>
      </c>
      <c r="G1204" s="68" t="s">
        <v>2675</v>
      </c>
      <c r="H1204" s="197">
        <f t="shared" si="233"/>
        <v>37</v>
      </c>
      <c r="I1204" s="197">
        <v>9</v>
      </c>
      <c r="J1204" s="197">
        <v>11</v>
      </c>
      <c r="K1204" s="186">
        <f t="shared" si="232"/>
        <v>45911</v>
      </c>
      <c r="L1204" s="3" t="s">
        <v>2391</v>
      </c>
      <c r="M1204" s="3" t="s">
        <v>2392</v>
      </c>
      <c r="N1204" s="408" t="str">
        <f t="shared" si="228"/>
        <v/>
      </c>
      <c r="O1204" s="408"/>
      <c r="P1204" s="408"/>
      <c r="Q1204" s="408"/>
      <c r="R1204" s="408"/>
      <c r="S1204" s="408"/>
      <c r="T1204" s="408"/>
      <c r="U1204" s="408"/>
      <c r="V1204" s="421"/>
      <c r="W1204" s="421"/>
      <c r="X1204" s="421"/>
      <c r="Y1204" s="421"/>
      <c r="Z1204" s="421"/>
      <c r="AA1204" s="421"/>
      <c r="AB1204" s="421"/>
      <c r="AC1204" s="421"/>
      <c r="AD1204" s="421"/>
      <c r="AE1204" s="421"/>
      <c r="AF1204" s="421"/>
      <c r="AG1204" s="421"/>
      <c r="AH1204" s="421"/>
      <c r="AI1204" s="421"/>
      <c r="AJ1204" s="421"/>
      <c r="AK1204" s="421"/>
      <c r="AL1204" s="421"/>
    </row>
    <row r="1205" spans="1:38">
      <c r="A1205" s="3">
        <v>6044</v>
      </c>
      <c r="B1205" s="83">
        <f t="array" ref="B1205">SUM(--(FREQUENCY(IF(C$2:C$3072=C1205, MATCH(D$2:D$3072, D$2:D$3072, 0)), ROW(D$2:D$3072)-ROW(D$2)+1) &gt; 0))</f>
        <v>22</v>
      </c>
      <c r="C1205" s="3">
        <v>41200047</v>
      </c>
      <c r="D1205" s="6" t="s">
        <v>2910</v>
      </c>
      <c r="E1205" s="3" t="s">
        <v>1426</v>
      </c>
      <c r="F1205" s="3" t="s">
        <v>1476</v>
      </c>
      <c r="G1205" s="68" t="s">
        <v>2675</v>
      </c>
      <c r="H1205" s="197">
        <f t="shared" si="233"/>
        <v>37</v>
      </c>
      <c r="I1205" s="197">
        <v>9</v>
      </c>
      <c r="J1205" s="197">
        <v>11</v>
      </c>
      <c r="K1205" s="186">
        <f t="shared" si="232"/>
        <v>45911</v>
      </c>
      <c r="L1205" s="3" t="s">
        <v>2391</v>
      </c>
      <c r="M1205" s="3" t="s">
        <v>1468</v>
      </c>
      <c r="N1205" s="408" t="str">
        <f t="shared" si="228"/>
        <v/>
      </c>
      <c r="O1205" s="408"/>
      <c r="P1205" s="408"/>
      <c r="Q1205" s="408"/>
      <c r="R1205" s="408"/>
      <c r="S1205" s="408"/>
      <c r="T1205" s="408"/>
      <c r="U1205" s="408"/>
      <c r="V1205" s="421"/>
      <c r="W1205" s="421"/>
      <c r="X1205" s="421"/>
      <c r="Y1205" s="421"/>
      <c r="Z1205" s="421"/>
      <c r="AA1205" s="421"/>
      <c r="AB1205" s="421"/>
      <c r="AC1205" s="421"/>
      <c r="AD1205" s="421"/>
      <c r="AE1205" s="421"/>
      <c r="AF1205" s="421"/>
      <c r="AG1205" s="421"/>
      <c r="AH1205" s="421"/>
      <c r="AI1205" s="421"/>
      <c r="AJ1205" s="421"/>
      <c r="AK1205" s="421"/>
      <c r="AL1205" s="421"/>
    </row>
    <row r="1206" spans="1:38">
      <c r="A1206" s="3">
        <v>6044</v>
      </c>
      <c r="B1206" s="83">
        <f t="array" ref="B1206">SUM(--(FREQUENCY(IF(C$2:C$3072=C1206, MATCH(D$2:D$3072, D$2:D$3072, 0)), ROW(D$2:D$3072)-ROW(D$2)+1) &gt; 0))</f>
        <v>22</v>
      </c>
      <c r="C1206" s="3">
        <v>41200047</v>
      </c>
      <c r="D1206" s="6" t="s">
        <v>2911</v>
      </c>
      <c r="E1206" s="3" t="s">
        <v>1426</v>
      </c>
      <c r="F1206" s="3" t="s">
        <v>1476</v>
      </c>
      <c r="G1206" s="68" t="s">
        <v>2675</v>
      </c>
      <c r="H1206" s="197">
        <f t="shared" si="233"/>
        <v>37</v>
      </c>
      <c r="I1206" s="197">
        <v>9</v>
      </c>
      <c r="J1206" s="197">
        <v>11</v>
      </c>
      <c r="K1206" s="186">
        <f t="shared" si="232"/>
        <v>45911</v>
      </c>
      <c r="L1206" s="3" t="s">
        <v>2391</v>
      </c>
      <c r="M1206" s="3" t="s">
        <v>1468</v>
      </c>
      <c r="N1206" s="408" t="str">
        <f t="shared" si="228"/>
        <v/>
      </c>
      <c r="O1206" s="408"/>
      <c r="P1206" s="408"/>
      <c r="Q1206" s="408"/>
      <c r="R1206" s="408"/>
      <c r="S1206" s="408"/>
      <c r="T1206" s="408"/>
      <c r="U1206" s="408"/>
      <c r="V1206" s="421"/>
      <c r="W1206" s="421"/>
      <c r="X1206" s="421"/>
      <c r="Y1206" s="421"/>
      <c r="Z1206" s="421"/>
      <c r="AA1206" s="421"/>
      <c r="AB1206" s="421"/>
      <c r="AC1206" s="421"/>
      <c r="AD1206" s="421"/>
      <c r="AE1206" s="421"/>
      <c r="AF1206" s="421"/>
      <c r="AG1206" s="421"/>
      <c r="AH1206" s="421"/>
      <c r="AI1206" s="421"/>
      <c r="AJ1206" s="421"/>
      <c r="AK1206" s="421"/>
      <c r="AL1206" s="421"/>
    </row>
    <row r="1207" spans="1:38">
      <c r="A1207" s="3">
        <v>6044</v>
      </c>
      <c r="B1207" s="83">
        <f t="array" ref="B1207">SUM(--(FREQUENCY(IF(C$2:C$3072=C1207, MATCH(D$2:D$3072, D$2:D$3072, 0)), ROW(D$2:D$3072)-ROW(D$2)+1) &gt; 0))</f>
        <v>22</v>
      </c>
      <c r="C1207" s="3">
        <v>41200047</v>
      </c>
      <c r="D1207" s="6" t="s">
        <v>2912</v>
      </c>
      <c r="E1207" s="3" t="s">
        <v>1426</v>
      </c>
      <c r="F1207" s="3" t="s">
        <v>1476</v>
      </c>
      <c r="G1207" s="68" t="s">
        <v>2675</v>
      </c>
      <c r="H1207" s="197">
        <f t="shared" si="233"/>
        <v>37</v>
      </c>
      <c r="I1207" s="197">
        <v>9</v>
      </c>
      <c r="J1207" s="197">
        <v>11</v>
      </c>
      <c r="K1207" s="186">
        <f t="shared" si="232"/>
        <v>45911</v>
      </c>
      <c r="L1207" s="3" t="s">
        <v>2391</v>
      </c>
      <c r="M1207" s="3" t="s">
        <v>1468</v>
      </c>
      <c r="N1207" s="408" t="str">
        <f t="shared" si="228"/>
        <v/>
      </c>
      <c r="O1207" s="408"/>
      <c r="P1207" s="408"/>
      <c r="Q1207" s="408"/>
      <c r="R1207" s="408"/>
      <c r="S1207" s="408"/>
      <c r="T1207" s="408"/>
      <c r="U1207" s="408"/>
      <c r="V1207" s="421"/>
      <c r="W1207" s="421"/>
      <c r="X1207" s="421"/>
      <c r="Y1207" s="421"/>
      <c r="Z1207" s="421"/>
      <c r="AA1207" s="421"/>
      <c r="AB1207" s="421"/>
      <c r="AC1207" s="421"/>
      <c r="AD1207" s="421"/>
      <c r="AE1207" s="421"/>
      <c r="AF1207" s="421"/>
      <c r="AG1207" s="421"/>
      <c r="AH1207" s="421"/>
      <c r="AI1207" s="421"/>
      <c r="AJ1207" s="421"/>
      <c r="AK1207" s="421"/>
      <c r="AL1207" s="421"/>
    </row>
    <row r="1208" spans="1:38">
      <c r="A1208" s="3">
        <v>5981</v>
      </c>
      <c r="B1208" s="83">
        <f t="array" ref="B1208">SUM(--(FREQUENCY(IF(C$2:C$3072=C1208, MATCH(D$2:D$3072, D$2:D$3072, 0)), ROW(D$2:D$3072)-ROW(D$2)+1) &gt; 0))</f>
        <v>76</v>
      </c>
      <c r="C1208" s="3">
        <v>41200007</v>
      </c>
      <c r="D1208" s="6" t="s">
        <v>2913</v>
      </c>
      <c r="E1208" s="3" t="s">
        <v>1405</v>
      </c>
      <c r="F1208" s="3" t="s">
        <v>1591</v>
      </c>
      <c r="G1208" s="68" t="s">
        <v>2666</v>
      </c>
      <c r="H1208" s="197">
        <f t="shared" si="233"/>
        <v>37</v>
      </c>
      <c r="I1208" s="197">
        <v>9</v>
      </c>
      <c r="J1208" s="197">
        <v>11</v>
      </c>
      <c r="K1208" s="186">
        <f t="shared" si="232"/>
        <v>45911</v>
      </c>
      <c r="L1208" s="3" t="s">
        <v>2395</v>
      </c>
      <c r="M1208" s="3" t="s">
        <v>1468</v>
      </c>
      <c r="N1208" s="408" t="str">
        <f t="shared" si="228"/>
        <v/>
      </c>
      <c r="O1208" s="408"/>
      <c r="P1208" s="408"/>
      <c r="Q1208" s="408"/>
      <c r="R1208" s="408"/>
      <c r="S1208" s="408"/>
      <c r="T1208" s="408"/>
      <c r="U1208" s="408"/>
      <c r="V1208" s="421"/>
      <c r="W1208" s="421"/>
      <c r="X1208" s="421"/>
      <c r="Y1208" s="421"/>
      <c r="Z1208" s="421"/>
      <c r="AA1208" s="421"/>
      <c r="AB1208" s="421"/>
      <c r="AC1208" s="421"/>
      <c r="AD1208" s="421"/>
      <c r="AE1208" s="421"/>
      <c r="AF1208" s="421"/>
      <c r="AG1208" s="421"/>
      <c r="AH1208" s="421"/>
      <c r="AI1208" s="421"/>
      <c r="AJ1208" s="421"/>
      <c r="AK1208" s="421"/>
      <c r="AL1208" s="421"/>
    </row>
    <row r="1209" spans="1:38">
      <c r="A1209" s="3">
        <v>6049</v>
      </c>
      <c r="B1209" s="83">
        <f t="array" ref="B1209">SUM(--(FREQUENCY(IF(C$2:C$3072=C1209, MATCH(D$2:D$3072, D$2:D$3072, 0)), ROW(D$2:D$3072)-ROW(D$2)+1) &gt; 0))</f>
        <v>3</v>
      </c>
      <c r="C1209" s="3">
        <v>41200149</v>
      </c>
      <c r="D1209" s="6" t="s">
        <v>2914</v>
      </c>
      <c r="E1209" s="3" t="s">
        <v>1426</v>
      </c>
      <c r="F1209" s="3" t="s">
        <v>1476</v>
      </c>
      <c r="G1209" s="68" t="s">
        <v>2675</v>
      </c>
      <c r="H1209" s="197">
        <f t="shared" si="233"/>
        <v>37</v>
      </c>
      <c r="I1209" s="197">
        <v>9</v>
      </c>
      <c r="J1209" s="197">
        <v>11</v>
      </c>
      <c r="K1209" s="186">
        <f t="shared" si="232"/>
        <v>45911</v>
      </c>
      <c r="L1209" s="3" t="s">
        <v>2395</v>
      </c>
      <c r="M1209" s="3" t="s">
        <v>1469</v>
      </c>
      <c r="N1209" s="408" t="str">
        <f t="shared" si="228"/>
        <v/>
      </c>
      <c r="O1209" s="408"/>
      <c r="P1209" s="408"/>
      <c r="Q1209" s="408"/>
      <c r="R1209" s="408"/>
      <c r="S1209" s="408"/>
      <c r="T1209" s="408"/>
      <c r="U1209" s="408"/>
      <c r="V1209" s="421"/>
      <c r="W1209" s="421"/>
      <c r="X1209" s="421"/>
      <c r="Y1209" s="421"/>
      <c r="Z1209" s="421"/>
      <c r="AA1209" s="421"/>
      <c r="AB1209" s="421"/>
      <c r="AC1209" s="421"/>
      <c r="AD1209" s="421"/>
      <c r="AE1209" s="421"/>
      <c r="AF1209" s="421"/>
      <c r="AG1209" s="421"/>
      <c r="AH1209" s="421"/>
      <c r="AI1209" s="421"/>
      <c r="AJ1209" s="421"/>
      <c r="AK1209" s="421"/>
      <c r="AL1209" s="421"/>
    </row>
    <row r="1210" spans="1:38">
      <c r="A1210" s="3">
        <v>6005</v>
      </c>
      <c r="B1210" s="83">
        <f t="array" ref="B1210">SUM(--(FREQUENCY(IF(C$2:C$3072=C1210, MATCH(D$2:D$3072, D$2:D$3072, 0)), ROW(D$2:D$3072)-ROW(D$2)+1) &gt; 0))</f>
        <v>29</v>
      </c>
      <c r="C1210" s="3">
        <v>41200127</v>
      </c>
      <c r="D1210" s="6" t="s">
        <v>2915</v>
      </c>
      <c r="E1210" s="3" t="s">
        <v>1431</v>
      </c>
      <c r="F1210" s="3" t="s">
        <v>1591</v>
      </c>
      <c r="G1210" s="68" t="str">
        <f t="shared" ref="G1210:G1215" si="238">IF(OR(ISNUMBER(SEARCH("DUAL",F1210)), ISNUMBER(SEARCH("IVAS",F1210))), "DUAL", "SINGLE")</f>
        <v>SINGLE</v>
      </c>
      <c r="H1210" s="197">
        <f t="shared" si="233"/>
        <v>37</v>
      </c>
      <c r="I1210" s="197">
        <v>9</v>
      </c>
      <c r="J1210" s="197">
        <v>12</v>
      </c>
      <c r="K1210" s="186">
        <f t="shared" si="232"/>
        <v>45912</v>
      </c>
      <c r="L1210" s="3" t="s">
        <v>2395</v>
      </c>
      <c r="M1210" s="3" t="s">
        <v>2392</v>
      </c>
      <c r="N1210" s="408" t="str">
        <f t="shared" si="228"/>
        <v/>
      </c>
      <c r="O1210" s="408"/>
      <c r="P1210" s="408"/>
      <c r="Q1210" s="408"/>
      <c r="R1210" s="408"/>
      <c r="S1210" s="408"/>
      <c r="T1210" s="408"/>
      <c r="U1210" s="408"/>
      <c r="V1210" s="421"/>
      <c r="W1210" s="421"/>
      <c r="X1210" s="421"/>
      <c r="Y1210" s="421"/>
      <c r="Z1210" s="421"/>
      <c r="AA1210" s="421"/>
      <c r="AB1210" s="421"/>
      <c r="AC1210" s="421"/>
      <c r="AD1210" s="421"/>
      <c r="AE1210" s="421"/>
      <c r="AF1210" s="421"/>
      <c r="AG1210" s="421"/>
      <c r="AH1210" s="421"/>
      <c r="AI1210" s="421"/>
      <c r="AJ1210" s="421"/>
      <c r="AK1210" s="421"/>
      <c r="AL1210" s="421"/>
    </row>
    <row r="1211" spans="1:38">
      <c r="A1211" s="3">
        <v>5980</v>
      </c>
      <c r="B1211" s="83">
        <f t="array" ref="B1211">SUM(--(FREQUENCY(IF(C$2:C$3072=C1211, MATCH(D$2:D$3072, D$2:D$3072, 0)), ROW(D$2:D$3072)-ROW(D$2)+1) &gt; 0))</f>
        <v>18</v>
      </c>
      <c r="C1211" s="3">
        <v>41200053</v>
      </c>
      <c r="D1211" s="6" t="s">
        <v>2916</v>
      </c>
      <c r="E1211" s="3" t="s">
        <v>1405</v>
      </c>
      <c r="F1211" s="3" t="s">
        <v>1616</v>
      </c>
      <c r="G1211" s="68" t="str">
        <f t="shared" si="238"/>
        <v>SINGLE</v>
      </c>
      <c r="H1211" s="197">
        <f t="shared" si="233"/>
        <v>37</v>
      </c>
      <c r="I1211" s="197">
        <v>9</v>
      </c>
      <c r="J1211" s="197">
        <v>12</v>
      </c>
      <c r="K1211" s="186">
        <f t="shared" si="232"/>
        <v>45912</v>
      </c>
      <c r="L1211" s="3" t="s">
        <v>2392</v>
      </c>
      <c r="M1211" s="3" t="s">
        <v>2392</v>
      </c>
      <c r="N1211" s="408" t="str">
        <f t="shared" si="228"/>
        <v/>
      </c>
      <c r="O1211" s="408"/>
      <c r="P1211" s="408"/>
      <c r="Q1211" s="408"/>
      <c r="R1211" s="408"/>
      <c r="S1211" s="408"/>
      <c r="T1211" s="408"/>
      <c r="U1211" s="408"/>
      <c r="V1211" s="421"/>
      <c r="W1211" s="421"/>
      <c r="X1211" s="421"/>
      <c r="Y1211" s="421"/>
      <c r="Z1211" s="421"/>
      <c r="AA1211" s="421"/>
      <c r="AB1211" s="421"/>
      <c r="AC1211" s="421"/>
      <c r="AD1211" s="421"/>
      <c r="AE1211" s="421"/>
      <c r="AF1211" s="421"/>
      <c r="AG1211" s="421"/>
      <c r="AH1211" s="421"/>
      <c r="AI1211" s="421"/>
      <c r="AJ1211" s="421"/>
      <c r="AK1211" s="421"/>
      <c r="AL1211" s="421"/>
    </row>
    <row r="1212" spans="1:38">
      <c r="A1212" s="3">
        <v>5980</v>
      </c>
      <c r="B1212" s="83">
        <f t="array" ref="B1212">SUM(--(FREQUENCY(IF(C$2:C$3072=C1212, MATCH(D$2:D$3072, D$2:D$3072, 0)), ROW(D$2:D$3072)-ROW(D$2)+1) &gt; 0))</f>
        <v>18</v>
      </c>
      <c r="C1212" s="3">
        <v>41200053</v>
      </c>
      <c r="D1212" s="6" t="s">
        <v>2917</v>
      </c>
      <c r="E1212" s="3" t="s">
        <v>1405</v>
      </c>
      <c r="F1212" s="3" t="s">
        <v>1616</v>
      </c>
      <c r="G1212" s="68" t="str">
        <f t="shared" si="238"/>
        <v>SINGLE</v>
      </c>
      <c r="H1212" s="197">
        <f t="shared" si="233"/>
        <v>37</v>
      </c>
      <c r="I1212" s="197">
        <v>9</v>
      </c>
      <c r="J1212" s="197">
        <v>12</v>
      </c>
      <c r="K1212" s="186">
        <f t="shared" si="232"/>
        <v>45912</v>
      </c>
      <c r="L1212" s="3" t="s">
        <v>2392</v>
      </c>
      <c r="M1212" s="3" t="s">
        <v>2392</v>
      </c>
      <c r="N1212" s="408" t="str">
        <f t="shared" si="228"/>
        <v/>
      </c>
      <c r="O1212" s="408"/>
      <c r="P1212" s="408"/>
      <c r="Q1212" s="408"/>
      <c r="R1212" s="408"/>
      <c r="S1212" s="408"/>
      <c r="T1212" s="408"/>
      <c r="U1212" s="408"/>
      <c r="V1212" s="421"/>
      <c r="W1212" s="421"/>
      <c r="X1212" s="421"/>
      <c r="Y1212" s="421"/>
      <c r="Z1212" s="421"/>
      <c r="AA1212" s="421"/>
      <c r="AB1212" s="421"/>
      <c r="AC1212" s="421"/>
      <c r="AD1212" s="421"/>
      <c r="AE1212" s="421"/>
      <c r="AF1212" s="421"/>
      <c r="AG1212" s="421"/>
      <c r="AH1212" s="421"/>
      <c r="AI1212" s="421"/>
      <c r="AJ1212" s="421"/>
      <c r="AK1212" s="421"/>
      <c r="AL1212" s="421"/>
    </row>
    <row r="1213" spans="1:38">
      <c r="A1213" s="3">
        <v>5980</v>
      </c>
      <c r="B1213" s="83">
        <f t="array" ref="B1213">SUM(--(FREQUENCY(IF(C$2:C$3072=C1213, MATCH(D$2:D$3072, D$2:D$3072, 0)), ROW(D$2:D$3072)-ROW(D$2)+1) &gt; 0))</f>
        <v>18</v>
      </c>
      <c r="C1213" s="3">
        <v>41200053</v>
      </c>
      <c r="D1213" s="6" t="s">
        <v>2918</v>
      </c>
      <c r="E1213" s="3" t="s">
        <v>1405</v>
      </c>
      <c r="F1213" s="3" t="s">
        <v>1616</v>
      </c>
      <c r="G1213" s="68" t="str">
        <f t="shared" si="238"/>
        <v>SINGLE</v>
      </c>
      <c r="H1213" s="197">
        <f t="shared" si="233"/>
        <v>37</v>
      </c>
      <c r="I1213" s="197">
        <v>9</v>
      </c>
      <c r="J1213" s="197">
        <v>12</v>
      </c>
      <c r="K1213" s="186">
        <f t="shared" si="232"/>
        <v>45912</v>
      </c>
      <c r="L1213" s="3" t="s">
        <v>2392</v>
      </c>
      <c r="M1213" s="3" t="s">
        <v>2392</v>
      </c>
      <c r="N1213" s="408" t="str">
        <f t="shared" si="228"/>
        <v/>
      </c>
      <c r="O1213" s="408"/>
      <c r="P1213" s="408"/>
      <c r="Q1213" s="408"/>
      <c r="R1213" s="408"/>
      <c r="S1213" s="408"/>
      <c r="T1213" s="408"/>
      <c r="U1213" s="408"/>
      <c r="V1213" s="421"/>
      <c r="W1213" s="421"/>
      <c r="X1213" s="421"/>
      <c r="Y1213" s="421"/>
      <c r="Z1213" s="421"/>
      <c r="AA1213" s="421"/>
      <c r="AB1213" s="421"/>
      <c r="AC1213" s="421"/>
      <c r="AD1213" s="421"/>
      <c r="AE1213" s="421"/>
      <c r="AF1213" s="421"/>
      <c r="AG1213" s="421"/>
      <c r="AH1213" s="421"/>
      <c r="AI1213" s="421"/>
      <c r="AJ1213" s="421"/>
      <c r="AK1213" s="421"/>
      <c r="AL1213" s="421"/>
    </row>
    <row r="1214" spans="1:38">
      <c r="A1214" s="3">
        <v>5980</v>
      </c>
      <c r="B1214" s="83">
        <f t="array" ref="B1214">SUM(--(FREQUENCY(IF(C$2:C$3072=C1214, MATCH(D$2:D$3072, D$2:D$3072, 0)), ROW(D$2:D$3072)-ROW(D$2)+1) &gt; 0))</f>
        <v>18</v>
      </c>
      <c r="C1214" s="3">
        <v>41200053</v>
      </c>
      <c r="D1214" s="6" t="s">
        <v>2919</v>
      </c>
      <c r="E1214" s="3" t="s">
        <v>1405</v>
      </c>
      <c r="F1214" s="3" t="s">
        <v>1616</v>
      </c>
      <c r="G1214" s="68" t="str">
        <f t="shared" si="238"/>
        <v>SINGLE</v>
      </c>
      <c r="H1214" s="197">
        <f t="shared" si="233"/>
        <v>37</v>
      </c>
      <c r="I1214" s="197">
        <v>9</v>
      </c>
      <c r="J1214" s="197">
        <v>12</v>
      </c>
      <c r="K1214" s="186">
        <f t="shared" si="232"/>
        <v>45912</v>
      </c>
      <c r="L1214" s="3" t="s">
        <v>2392</v>
      </c>
      <c r="M1214" s="3" t="s">
        <v>2392</v>
      </c>
      <c r="N1214" s="408" t="str">
        <f t="shared" si="228"/>
        <v/>
      </c>
      <c r="O1214" s="408"/>
      <c r="P1214" s="408"/>
      <c r="Q1214" s="408"/>
      <c r="R1214" s="408"/>
      <c r="S1214" s="408"/>
      <c r="T1214" s="408"/>
      <c r="U1214" s="408"/>
      <c r="V1214" s="421"/>
      <c r="W1214" s="421"/>
      <c r="X1214" s="421"/>
      <c r="Y1214" s="421"/>
      <c r="Z1214" s="421"/>
      <c r="AA1214" s="421"/>
      <c r="AB1214" s="421"/>
      <c r="AC1214" s="421"/>
      <c r="AD1214" s="421"/>
      <c r="AE1214" s="421"/>
      <c r="AF1214" s="421"/>
      <c r="AG1214" s="421"/>
      <c r="AH1214" s="421"/>
      <c r="AI1214" s="421"/>
      <c r="AJ1214" s="421"/>
      <c r="AK1214" s="421"/>
      <c r="AL1214" s="421"/>
    </row>
    <row r="1215" spans="1:38">
      <c r="A1215" s="3">
        <v>5912</v>
      </c>
      <c r="B1215" s="83">
        <f t="array" ref="B1215">SUM(--(FREQUENCY(IF(C$2:C$3072=C1215, MATCH(D$2:D$3072, D$2:D$3072, 0)), ROW(D$2:D$3072)-ROW(D$2)+1) &gt; 0))</f>
        <v>4</v>
      </c>
      <c r="C1215" s="3">
        <v>41200113</v>
      </c>
      <c r="D1215" s="6" t="s">
        <v>2920</v>
      </c>
      <c r="E1215" s="3" t="s">
        <v>1424</v>
      </c>
      <c r="F1215" s="3" t="s">
        <v>1476</v>
      </c>
      <c r="G1215" s="68" t="str">
        <f t="shared" si="238"/>
        <v>DUAL</v>
      </c>
      <c r="H1215" s="197">
        <f t="shared" si="233"/>
        <v>37</v>
      </c>
      <c r="I1215" s="197">
        <v>9</v>
      </c>
      <c r="J1215" s="197">
        <v>12</v>
      </c>
      <c r="K1215" s="186">
        <f t="shared" si="232"/>
        <v>45912</v>
      </c>
      <c r="L1215" s="3" t="s">
        <v>2395</v>
      </c>
      <c r="M1215" s="3" t="s">
        <v>1469</v>
      </c>
      <c r="N1215" s="408" t="str">
        <f t="shared" si="228"/>
        <v/>
      </c>
      <c r="O1215" s="408"/>
      <c r="P1215" s="408"/>
      <c r="Q1215" s="408"/>
      <c r="R1215" s="408"/>
      <c r="S1215" s="408"/>
      <c r="T1215" s="408"/>
      <c r="U1215" s="408"/>
      <c r="V1215" s="421"/>
      <c r="W1215" s="421"/>
      <c r="X1215" s="421"/>
      <c r="Y1215" s="421"/>
      <c r="Z1215" s="421"/>
      <c r="AA1215" s="421"/>
      <c r="AB1215" s="421"/>
      <c r="AC1215" s="421"/>
      <c r="AD1215" s="421"/>
      <c r="AE1215" s="421"/>
      <c r="AF1215" s="421"/>
      <c r="AG1215" s="421"/>
      <c r="AH1215" s="421"/>
      <c r="AI1215" s="421"/>
      <c r="AJ1215" s="421"/>
      <c r="AK1215" s="421"/>
      <c r="AL1215" s="421"/>
    </row>
    <row r="1216" spans="1:38">
      <c r="A1216" s="3">
        <v>6002</v>
      </c>
      <c r="B1216" s="83">
        <f t="array" ref="B1216">SUM(--(FREQUENCY(IF(C$2:C$3072=C1216, MATCH(D$2:D$3072, D$2:D$3072, 0)), ROW(D$2:D$3072)-ROW(D$2)+1) &gt; 0))</f>
        <v>7</v>
      </c>
      <c r="C1216" s="3">
        <v>41200131</v>
      </c>
      <c r="D1216" s="6" t="s">
        <v>2921</v>
      </c>
      <c r="E1216" s="3" t="s">
        <v>1431</v>
      </c>
      <c r="F1216" s="3" t="s">
        <v>1476</v>
      </c>
      <c r="G1216" s="68" t="s">
        <v>2675</v>
      </c>
      <c r="H1216" s="197">
        <f t="shared" si="233"/>
        <v>38</v>
      </c>
      <c r="I1216" s="197">
        <v>9</v>
      </c>
      <c r="J1216" s="197">
        <v>15</v>
      </c>
      <c r="K1216" s="186">
        <f t="shared" si="232"/>
        <v>45915</v>
      </c>
      <c r="L1216" s="3" t="s">
        <v>2391</v>
      </c>
      <c r="M1216" s="3" t="s">
        <v>2392</v>
      </c>
      <c r="N1216" s="408" t="s">
        <v>2877</v>
      </c>
      <c r="O1216" s="408" t="s">
        <v>2368</v>
      </c>
      <c r="P1216" s="408" t="s">
        <v>2371</v>
      </c>
      <c r="Q1216" s="408">
        <v>11001962</v>
      </c>
      <c r="R1216" s="408" t="s">
        <v>562</v>
      </c>
      <c r="S1216" s="408" t="s">
        <v>2922</v>
      </c>
      <c r="T1216" s="408"/>
      <c r="U1216" s="408"/>
      <c r="V1216" s="421"/>
      <c r="W1216" s="421"/>
      <c r="X1216" s="421"/>
      <c r="Y1216" s="421"/>
      <c r="Z1216" s="421"/>
      <c r="AA1216" s="421"/>
      <c r="AB1216" s="421"/>
      <c r="AC1216" s="421"/>
      <c r="AD1216" s="421"/>
      <c r="AE1216" s="421"/>
      <c r="AF1216" s="421"/>
      <c r="AG1216" s="421"/>
      <c r="AH1216" s="421"/>
      <c r="AI1216" s="421"/>
      <c r="AJ1216" s="421"/>
      <c r="AK1216" s="421"/>
      <c r="AL1216" s="421"/>
    </row>
    <row r="1217" spans="1:38">
      <c r="A1217" s="3">
        <v>6041</v>
      </c>
      <c r="B1217" s="83">
        <f t="array" ref="B1217">SUM(--(FREQUENCY(IF(C$2:C$3072=C1217, MATCH(D$2:D$3072, D$2:D$3072, 0)), ROW(D$2:D$3072)-ROW(D$2)+1) &gt; 0))</f>
        <v>7</v>
      </c>
      <c r="C1217" s="3">
        <v>41200039</v>
      </c>
      <c r="D1217" s="6" t="s">
        <v>2923</v>
      </c>
      <c r="E1217" s="3" t="s">
        <v>1426</v>
      </c>
      <c r="F1217" s="3" t="s">
        <v>1476</v>
      </c>
      <c r="G1217" s="68" t="s">
        <v>2675</v>
      </c>
      <c r="H1217" s="197">
        <f t="shared" si="233"/>
        <v>38</v>
      </c>
      <c r="I1217" s="197">
        <v>9</v>
      </c>
      <c r="J1217" s="197">
        <v>15</v>
      </c>
      <c r="K1217" s="186">
        <f t="shared" si="232"/>
        <v>45915</v>
      </c>
      <c r="L1217" s="3" t="s">
        <v>2391</v>
      </c>
      <c r="M1217" s="3" t="s">
        <v>2392</v>
      </c>
      <c r="N1217" s="408" t="s">
        <v>2877</v>
      </c>
      <c r="O1217" s="408" t="s">
        <v>2682</v>
      </c>
      <c r="P1217" s="408" t="s">
        <v>2371</v>
      </c>
      <c r="Q1217" s="408">
        <v>11001962</v>
      </c>
      <c r="R1217" s="408" t="s">
        <v>562</v>
      </c>
      <c r="S1217" s="408" t="s">
        <v>2924</v>
      </c>
      <c r="T1217" s="408"/>
      <c r="U1217" s="408"/>
      <c r="V1217" s="421"/>
      <c r="W1217" s="421"/>
      <c r="X1217" s="421"/>
      <c r="Y1217" s="421"/>
      <c r="Z1217" s="421"/>
      <c r="AA1217" s="421"/>
      <c r="AB1217" s="421"/>
      <c r="AC1217" s="421"/>
      <c r="AD1217" s="421"/>
      <c r="AE1217" s="421"/>
      <c r="AF1217" s="421"/>
      <c r="AG1217" s="421"/>
      <c r="AH1217" s="421"/>
      <c r="AI1217" s="421"/>
      <c r="AJ1217" s="421"/>
      <c r="AK1217" s="421"/>
      <c r="AL1217" s="421"/>
    </row>
    <row r="1218" spans="1:38">
      <c r="A1218" s="3">
        <v>6001</v>
      </c>
      <c r="B1218" s="83">
        <f t="array" ref="B1218">SUM(--(FREQUENCY(IF(C$2:C$3072=C1218, MATCH(D$2:D$3072, D$2:D$3072, 0)), ROW(D$2:D$3072)-ROW(D$2)+1) &gt; 0))</f>
        <v>11</v>
      </c>
      <c r="C1218" s="3">
        <v>41200129</v>
      </c>
      <c r="D1218" s="6" t="s">
        <v>2925</v>
      </c>
      <c r="E1218" s="3" t="s">
        <v>1431</v>
      </c>
      <c r="F1218" s="3" t="s">
        <v>1591</v>
      </c>
      <c r="G1218" s="68" t="str">
        <f>IF(OR(ISNUMBER(SEARCH("DUAL",F1218)), ISNUMBER(SEARCH("IVAS",F1218))), "DUAL", "SINGLE")</f>
        <v>SINGLE</v>
      </c>
      <c r="H1218" s="197">
        <f t="shared" si="233"/>
        <v>38</v>
      </c>
      <c r="I1218" s="197">
        <v>9</v>
      </c>
      <c r="J1218" s="197">
        <v>15</v>
      </c>
      <c r="K1218" s="186">
        <f t="shared" si="232"/>
        <v>45915</v>
      </c>
      <c r="L1218" s="3" t="s">
        <v>2391</v>
      </c>
      <c r="M1218" s="3" t="s">
        <v>1468</v>
      </c>
      <c r="N1218" s="408" t="str">
        <f t="shared" si="228"/>
        <v/>
      </c>
      <c r="O1218" s="408"/>
      <c r="P1218" s="408"/>
      <c r="Q1218" s="408"/>
      <c r="R1218" s="408"/>
      <c r="S1218" s="408"/>
      <c r="T1218" s="408"/>
      <c r="U1218" s="408"/>
      <c r="V1218" s="421"/>
      <c r="W1218" s="421"/>
      <c r="X1218" s="421"/>
      <c r="Y1218" s="421"/>
      <c r="Z1218" s="421"/>
      <c r="AA1218" s="421"/>
      <c r="AB1218" s="421"/>
      <c r="AC1218" s="421"/>
      <c r="AD1218" s="421"/>
      <c r="AE1218" s="421"/>
      <c r="AF1218" s="421"/>
      <c r="AG1218" s="421"/>
      <c r="AH1218" s="421"/>
      <c r="AI1218" s="421"/>
      <c r="AJ1218" s="421"/>
      <c r="AK1218" s="421"/>
      <c r="AL1218" s="421"/>
    </row>
    <row r="1219" spans="1:38">
      <c r="A1219" s="3">
        <v>5872</v>
      </c>
      <c r="B1219" s="83">
        <f t="array" ref="B1219">SUM(--(FREQUENCY(IF(C$2:C$3072=C1219, MATCH(D$2:D$3072, D$2:D$3072, 0)), ROW(D$2:D$3072)-ROW(D$2)+1) &gt; 0))</f>
        <v>24</v>
      </c>
      <c r="C1219" s="3">
        <v>41200122</v>
      </c>
      <c r="D1219" s="6" t="s">
        <v>2926</v>
      </c>
      <c r="E1219" s="3" t="s">
        <v>1585</v>
      </c>
      <c r="F1219" s="3" t="s">
        <v>1476</v>
      </c>
      <c r="G1219" s="68" t="s">
        <v>2675</v>
      </c>
      <c r="H1219" s="197">
        <f t="shared" si="233"/>
        <v>38</v>
      </c>
      <c r="I1219" s="197">
        <v>9</v>
      </c>
      <c r="J1219" s="197">
        <v>15</v>
      </c>
      <c r="K1219" s="186">
        <f t="shared" si="232"/>
        <v>45915</v>
      </c>
      <c r="L1219" s="3" t="s">
        <v>2391</v>
      </c>
      <c r="M1219" s="3" t="s">
        <v>1468</v>
      </c>
      <c r="N1219" s="408" t="s">
        <v>2877</v>
      </c>
      <c r="O1219" s="408" t="s">
        <v>1569</v>
      </c>
      <c r="P1219" s="408" t="s">
        <v>2927</v>
      </c>
      <c r="Q1219" s="408">
        <v>12000234</v>
      </c>
      <c r="R1219" s="408" t="s">
        <v>2928</v>
      </c>
      <c r="S1219" s="408" t="s">
        <v>2929</v>
      </c>
      <c r="T1219" s="408"/>
      <c r="U1219" s="408"/>
      <c r="V1219" s="421"/>
      <c r="W1219" s="421"/>
      <c r="X1219" s="421"/>
      <c r="Y1219" s="421"/>
      <c r="Z1219" s="421"/>
      <c r="AA1219" s="421"/>
      <c r="AB1219" s="421"/>
      <c r="AC1219" s="421"/>
      <c r="AD1219" s="421"/>
      <c r="AE1219" s="421"/>
      <c r="AF1219" s="421"/>
      <c r="AG1219" s="421"/>
      <c r="AH1219" s="421"/>
      <c r="AI1219" s="421"/>
      <c r="AJ1219" s="421"/>
      <c r="AK1219" s="421"/>
      <c r="AL1219" s="421"/>
    </row>
    <row r="1220" spans="1:38" s="330" customFormat="1">
      <c r="A1220" s="6">
        <v>6100</v>
      </c>
      <c r="B1220" s="329">
        <f t="array" ref="B1220">SUM(--(FREQUENCY(IF(C$2:C$3072=C1220, MATCH(D$2:D$3072, D$2:D$3072, 0)), ROW(D$2:D$3072)-ROW(D$2)+1) &gt; 0))</f>
        <v>6</v>
      </c>
      <c r="C1220" s="6">
        <v>41200145</v>
      </c>
      <c r="D1220" s="6" t="s">
        <v>1802</v>
      </c>
      <c r="E1220" s="6" t="s">
        <v>1409</v>
      </c>
      <c r="F1220" s="6" t="s">
        <v>1479</v>
      </c>
      <c r="G1220" s="41" t="str">
        <f>IF(OR(ISNUMBER(SEARCH("DUAL",F1220)), ISNUMBER(SEARCH("IVAS",F1220))), "DUAL", "SINGLE")</f>
        <v>SINGLE</v>
      </c>
      <c r="H1220" s="197">
        <f t="shared" si="233"/>
        <v>38</v>
      </c>
      <c r="I1220" s="199">
        <v>9</v>
      </c>
      <c r="J1220" s="199">
        <v>15</v>
      </c>
      <c r="K1220" s="186">
        <f t="shared" si="232"/>
        <v>45915</v>
      </c>
      <c r="L1220" s="6" t="s">
        <v>2391</v>
      </c>
      <c r="M1220" s="6" t="s">
        <v>1468</v>
      </c>
      <c r="N1220" s="417" t="str">
        <f t="shared" si="228"/>
        <v/>
      </c>
      <c r="O1220" s="417"/>
      <c r="P1220" s="417"/>
      <c r="Q1220" s="417"/>
      <c r="R1220" s="417"/>
      <c r="S1220" s="417"/>
      <c r="T1220" s="417"/>
      <c r="U1220" s="417"/>
      <c r="V1220" s="617"/>
      <c r="W1220" s="617"/>
      <c r="X1220" s="617"/>
      <c r="Y1220" s="617"/>
      <c r="Z1220" s="617"/>
      <c r="AA1220" s="617"/>
      <c r="AB1220" s="617"/>
      <c r="AC1220" s="617"/>
      <c r="AD1220" s="617"/>
      <c r="AE1220" s="617"/>
      <c r="AF1220" s="617"/>
      <c r="AG1220" s="617"/>
      <c r="AH1220" s="617"/>
      <c r="AI1220" s="617"/>
      <c r="AJ1220" s="617"/>
      <c r="AK1220" s="617"/>
      <c r="AL1220" s="617"/>
    </row>
    <row r="1221" spans="1:38">
      <c r="A1221" s="3">
        <v>6010</v>
      </c>
      <c r="B1221" s="83">
        <f t="array" ref="B1221">SUM(--(FREQUENCY(IF(C$2:C$3072=C1221, MATCH(D$2:D$3072, D$2:D$3072, 0)), ROW(D$2:D$3072)-ROW(D$2)+1) &gt; 0))</f>
        <v>4</v>
      </c>
      <c r="C1221" s="3">
        <v>41200136</v>
      </c>
      <c r="D1221" s="6" t="s">
        <v>2930</v>
      </c>
      <c r="E1221" s="3" t="s">
        <v>1431</v>
      </c>
      <c r="F1221" s="3" t="s">
        <v>1482</v>
      </c>
      <c r="G1221" s="68" t="str">
        <f>IF(OR(ISNUMBER(SEARCH("DUAL",F1221)), ISNUMBER(SEARCH("IVAS",F1221))), "DUAL", "SINGLE")</f>
        <v>SINGLE</v>
      </c>
      <c r="H1221" s="197">
        <f t="shared" si="233"/>
        <v>38</v>
      </c>
      <c r="I1221" s="197">
        <v>9</v>
      </c>
      <c r="J1221" s="197">
        <v>15</v>
      </c>
      <c r="K1221" s="186">
        <f t="shared" si="232"/>
        <v>45915</v>
      </c>
      <c r="L1221" s="3" t="s">
        <v>2395</v>
      </c>
      <c r="M1221" s="3" t="s">
        <v>1469</v>
      </c>
      <c r="N1221" s="408" t="str">
        <f t="shared" si="228"/>
        <v/>
      </c>
      <c r="O1221" s="408"/>
      <c r="P1221" s="408"/>
      <c r="Q1221" s="408"/>
      <c r="R1221" s="408"/>
      <c r="S1221" s="408"/>
      <c r="T1221" s="408"/>
      <c r="U1221" s="408"/>
      <c r="V1221" s="421"/>
      <c r="W1221" s="421"/>
      <c r="X1221" s="421"/>
      <c r="Y1221" s="421"/>
      <c r="Z1221" s="421"/>
      <c r="AA1221" s="421"/>
      <c r="AB1221" s="421"/>
      <c r="AC1221" s="421"/>
      <c r="AD1221" s="421"/>
      <c r="AE1221" s="421"/>
      <c r="AF1221" s="421"/>
      <c r="AG1221" s="421"/>
      <c r="AH1221" s="421"/>
      <c r="AI1221" s="421"/>
      <c r="AJ1221" s="421"/>
      <c r="AK1221" s="421"/>
      <c r="AL1221" s="421"/>
    </row>
    <row r="1222" spans="1:38">
      <c r="A1222" s="3">
        <v>6037</v>
      </c>
      <c r="B1222" s="83">
        <f t="array" ref="B1222">SUM(--(FREQUENCY(IF(C$2:C$3072=C1222, MATCH(D$2:D$3072, D$2:D$3072, 0)), ROW(D$2:D$3072)-ROW(D$2)+1) &gt; 0))</f>
        <v>25</v>
      </c>
      <c r="C1222" s="3">
        <v>41200034</v>
      </c>
      <c r="D1222" s="6" t="s">
        <v>2931</v>
      </c>
      <c r="E1222" s="3" t="s">
        <v>1426</v>
      </c>
      <c r="F1222" s="3" t="s">
        <v>1476</v>
      </c>
      <c r="G1222" s="68" t="s">
        <v>2675</v>
      </c>
      <c r="H1222" s="197">
        <f t="shared" si="233"/>
        <v>38</v>
      </c>
      <c r="I1222" s="197">
        <v>9</v>
      </c>
      <c r="J1222" s="197">
        <v>15</v>
      </c>
      <c r="K1222" s="186">
        <f t="shared" si="232"/>
        <v>45915</v>
      </c>
      <c r="L1222" s="3" t="s">
        <v>2395</v>
      </c>
      <c r="M1222" s="3" t="s">
        <v>1469</v>
      </c>
      <c r="N1222" s="408" t="str">
        <f t="shared" si="228"/>
        <v/>
      </c>
      <c r="O1222" s="408"/>
      <c r="P1222" s="408"/>
      <c r="Q1222" s="408"/>
      <c r="R1222" s="408"/>
      <c r="S1222" s="408"/>
      <c r="T1222" s="408"/>
      <c r="U1222" s="408"/>
      <c r="V1222" s="421"/>
      <c r="W1222" s="421"/>
      <c r="X1222" s="421"/>
      <c r="Y1222" s="421"/>
      <c r="Z1222" s="421"/>
      <c r="AA1222" s="421"/>
      <c r="AB1222" s="421"/>
      <c r="AC1222" s="421"/>
      <c r="AD1222" s="421"/>
      <c r="AE1222" s="421"/>
      <c r="AF1222" s="421"/>
      <c r="AG1222" s="421"/>
      <c r="AH1222" s="421"/>
      <c r="AI1222" s="421"/>
      <c r="AJ1222" s="421"/>
      <c r="AK1222" s="421"/>
      <c r="AL1222" s="421"/>
    </row>
    <row r="1223" spans="1:38">
      <c r="A1223" s="3">
        <v>6037</v>
      </c>
      <c r="B1223" s="83">
        <f t="array" ref="B1223">SUM(--(FREQUENCY(IF(C$2:C$3072=C1223, MATCH(D$2:D$3072, D$2:D$3072, 0)), ROW(D$2:D$3072)-ROW(D$2)+1) &gt; 0))</f>
        <v>25</v>
      </c>
      <c r="C1223" s="3">
        <v>41200034</v>
      </c>
      <c r="D1223" s="6" t="s">
        <v>2932</v>
      </c>
      <c r="E1223" s="3" t="s">
        <v>1426</v>
      </c>
      <c r="F1223" s="3" t="s">
        <v>1476</v>
      </c>
      <c r="G1223" s="68" t="s">
        <v>2675</v>
      </c>
      <c r="H1223" s="197">
        <f t="shared" si="233"/>
        <v>38</v>
      </c>
      <c r="I1223" s="197">
        <v>9</v>
      </c>
      <c r="J1223" s="197">
        <v>15</v>
      </c>
      <c r="K1223" s="186">
        <f t="shared" si="232"/>
        <v>45915</v>
      </c>
      <c r="L1223" s="3" t="s">
        <v>2395</v>
      </c>
      <c r="M1223" s="3" t="s">
        <v>1469</v>
      </c>
      <c r="N1223" s="408" t="str">
        <f t="shared" si="228"/>
        <v/>
      </c>
      <c r="O1223" s="408"/>
      <c r="P1223" s="408"/>
      <c r="Q1223" s="408"/>
      <c r="R1223" s="408"/>
      <c r="S1223" s="408"/>
      <c r="T1223" s="408"/>
      <c r="U1223" s="408"/>
      <c r="V1223" s="421"/>
      <c r="W1223" s="421"/>
      <c r="X1223" s="421"/>
      <c r="Y1223" s="421"/>
      <c r="Z1223" s="421"/>
      <c r="AA1223" s="421"/>
      <c r="AB1223" s="421"/>
      <c r="AC1223" s="421"/>
      <c r="AD1223" s="421"/>
      <c r="AE1223" s="421"/>
      <c r="AF1223" s="421"/>
      <c r="AG1223" s="421"/>
      <c r="AH1223" s="421"/>
      <c r="AI1223" s="421"/>
      <c r="AJ1223" s="421"/>
      <c r="AK1223" s="421"/>
      <c r="AL1223" s="421"/>
    </row>
    <row r="1224" spans="1:38">
      <c r="A1224" s="3">
        <v>6002</v>
      </c>
      <c r="B1224" s="83">
        <f t="array" ref="B1224">SUM(--(FREQUENCY(IF(C$2:C$3072=C1224, MATCH(D$2:D$3072, D$2:D$3072, 0)), ROW(D$2:D$3072)-ROW(D$2)+1) &gt; 0))</f>
        <v>7</v>
      </c>
      <c r="C1224" s="3">
        <v>41200131</v>
      </c>
      <c r="D1224" s="6" t="s">
        <v>2933</v>
      </c>
      <c r="E1224" s="3" t="s">
        <v>1431</v>
      </c>
      <c r="F1224" s="3" t="s">
        <v>1476</v>
      </c>
      <c r="G1224" s="408" t="s">
        <v>2675</v>
      </c>
      <c r="H1224" s="197">
        <f t="shared" si="233"/>
        <v>38</v>
      </c>
      <c r="I1224" s="197">
        <v>9</v>
      </c>
      <c r="J1224" s="197">
        <v>16</v>
      </c>
      <c r="K1224" s="186">
        <f t="shared" si="232"/>
        <v>45916</v>
      </c>
      <c r="L1224" s="3" t="s">
        <v>2391</v>
      </c>
      <c r="M1224" s="3" t="s">
        <v>2392</v>
      </c>
      <c r="N1224" s="408" t="str">
        <f t="shared" si="228"/>
        <v/>
      </c>
      <c r="O1224" s="408"/>
      <c r="P1224" s="408"/>
      <c r="Q1224" s="408"/>
      <c r="R1224" s="408"/>
      <c r="S1224" s="408"/>
      <c r="T1224" s="408"/>
      <c r="U1224" s="408"/>
      <c r="V1224" s="421"/>
      <c r="W1224" s="421"/>
      <c r="X1224" s="421"/>
      <c r="Y1224" s="421"/>
      <c r="Z1224" s="421"/>
      <c r="AA1224" s="421"/>
      <c r="AB1224" s="421"/>
      <c r="AC1224" s="421"/>
      <c r="AD1224" s="421"/>
      <c r="AE1224" s="421"/>
      <c r="AF1224" s="421"/>
      <c r="AG1224" s="421"/>
      <c r="AH1224" s="421"/>
      <c r="AI1224" s="421"/>
      <c r="AJ1224" s="421"/>
      <c r="AK1224" s="421"/>
      <c r="AL1224" s="421"/>
    </row>
    <row r="1225" spans="1:38">
      <c r="A1225" s="3">
        <v>5943</v>
      </c>
      <c r="B1225" s="83">
        <f t="array" ref="B1225">SUM(--(FREQUENCY(IF(C$2:C$3072=C1225, MATCH(D$2:D$3072, D$2:D$3072, 0)), ROW(D$2:D$3072)-ROW(D$2)+1) &gt; 0))</f>
        <v>29</v>
      </c>
      <c r="C1225" s="3">
        <v>41200127</v>
      </c>
      <c r="D1225" s="6" t="s">
        <v>2934</v>
      </c>
      <c r="E1225" s="3" t="s">
        <v>1431</v>
      </c>
      <c r="F1225" s="3" t="s">
        <v>1591</v>
      </c>
      <c r="G1225" s="408" t="s">
        <v>2666</v>
      </c>
      <c r="H1225" s="197">
        <f t="shared" si="233"/>
        <v>38</v>
      </c>
      <c r="I1225" s="197">
        <v>9</v>
      </c>
      <c r="J1225" s="197">
        <v>16</v>
      </c>
      <c r="K1225" s="186">
        <f t="shared" si="232"/>
        <v>45916</v>
      </c>
      <c r="L1225" s="3" t="s">
        <v>2395</v>
      </c>
      <c r="M1225" s="3" t="s">
        <v>2392</v>
      </c>
      <c r="N1225" s="408" t="str">
        <f t="shared" si="228"/>
        <v/>
      </c>
      <c r="O1225" s="408"/>
      <c r="P1225" s="408"/>
      <c r="Q1225" s="408"/>
      <c r="R1225" s="408"/>
      <c r="S1225" s="408"/>
      <c r="T1225" s="408"/>
      <c r="U1225" s="408"/>
      <c r="V1225" s="421"/>
      <c r="W1225" s="421"/>
      <c r="X1225" s="421"/>
      <c r="Y1225" s="421"/>
      <c r="Z1225" s="421"/>
      <c r="AA1225" s="421"/>
      <c r="AB1225" s="421"/>
      <c r="AC1225" s="421"/>
      <c r="AD1225" s="421"/>
      <c r="AE1225" s="421"/>
      <c r="AF1225" s="421"/>
      <c r="AG1225" s="421"/>
      <c r="AH1225" s="421"/>
      <c r="AI1225" s="421"/>
      <c r="AJ1225" s="421"/>
      <c r="AK1225" s="421"/>
      <c r="AL1225" s="421"/>
    </row>
    <row r="1226" spans="1:38">
      <c r="A1226" s="3">
        <v>6018</v>
      </c>
      <c r="B1226" s="83">
        <f t="array" ref="B1226">SUM(--(FREQUENCY(IF(C$2:C$3072=C1226, MATCH(D$2:D$3072, D$2:D$3072, 0)), ROW(D$2:D$3072)-ROW(D$2)+1) &gt; 0))</f>
        <v>10</v>
      </c>
      <c r="C1226" s="3">
        <v>41200119</v>
      </c>
      <c r="D1226" s="6" t="s">
        <v>2935</v>
      </c>
      <c r="E1226" s="3" t="s">
        <v>1422</v>
      </c>
      <c r="F1226" s="3" t="s">
        <v>1476</v>
      </c>
      <c r="G1226" s="408" t="s">
        <v>2675</v>
      </c>
      <c r="H1226" s="197">
        <f t="shared" si="233"/>
        <v>38</v>
      </c>
      <c r="I1226" s="197">
        <v>9</v>
      </c>
      <c r="J1226" s="197">
        <v>16</v>
      </c>
      <c r="K1226" s="186">
        <f t="shared" si="232"/>
        <v>45916</v>
      </c>
      <c r="L1226" s="3" t="s">
        <v>2391</v>
      </c>
      <c r="M1226" s="3" t="s">
        <v>1468</v>
      </c>
      <c r="N1226" s="408" t="str">
        <f t="shared" si="228"/>
        <v/>
      </c>
      <c r="O1226" s="408"/>
      <c r="P1226" s="408"/>
      <c r="Q1226" s="408"/>
      <c r="R1226" s="408"/>
      <c r="S1226" s="408"/>
      <c r="T1226" s="408"/>
      <c r="U1226" s="408"/>
      <c r="V1226" s="421"/>
      <c r="W1226" s="421"/>
      <c r="X1226" s="421"/>
      <c r="Y1226" s="421"/>
      <c r="Z1226" s="421"/>
      <c r="AA1226" s="421"/>
      <c r="AB1226" s="421"/>
      <c r="AC1226" s="421"/>
      <c r="AD1226" s="421"/>
      <c r="AE1226" s="421"/>
      <c r="AF1226" s="421"/>
      <c r="AG1226" s="421"/>
      <c r="AH1226" s="421"/>
      <c r="AI1226" s="421"/>
      <c r="AJ1226" s="421"/>
      <c r="AK1226" s="421"/>
      <c r="AL1226" s="421"/>
    </row>
    <row r="1227" spans="1:38">
      <c r="A1227" s="408">
        <v>6057</v>
      </c>
      <c r="B1227" s="83">
        <f t="array" ref="B1227">SUM(--(FREQUENCY(IF(C$2:C$3072=C1227, MATCH(D$2:D$3072, D$2:D$3072, 0)), ROW(D$2:D$3072)-ROW(D$2)+1) &gt; 0))</f>
        <v>9</v>
      </c>
      <c r="C1227" s="408">
        <v>41200125</v>
      </c>
      <c r="D1227" s="408" t="s">
        <v>2936</v>
      </c>
      <c r="E1227" s="408" t="s">
        <v>1585</v>
      </c>
      <c r="F1227" s="408" t="s">
        <v>1476</v>
      </c>
      <c r="G1227" s="408" t="s">
        <v>2675</v>
      </c>
      <c r="H1227" s="197">
        <f t="shared" si="233"/>
        <v>38</v>
      </c>
      <c r="I1227" s="197">
        <v>9</v>
      </c>
      <c r="J1227" s="197">
        <v>16</v>
      </c>
      <c r="K1227" s="186">
        <f t="shared" si="232"/>
        <v>45916</v>
      </c>
      <c r="L1227" s="408" t="s">
        <v>2395</v>
      </c>
      <c r="M1227" s="408" t="s">
        <v>1468</v>
      </c>
      <c r="N1227" s="408" t="str">
        <f t="shared" si="228"/>
        <v/>
      </c>
      <c r="O1227" s="408"/>
      <c r="P1227" s="408"/>
      <c r="Q1227" s="408"/>
      <c r="R1227" s="408"/>
      <c r="S1227" s="408"/>
      <c r="T1227" s="408"/>
      <c r="U1227" s="408"/>
      <c r="V1227" s="421"/>
      <c r="W1227" s="421"/>
      <c r="X1227" s="421"/>
      <c r="Y1227" s="421"/>
      <c r="Z1227" s="421"/>
      <c r="AA1227" s="421"/>
      <c r="AB1227" s="421"/>
      <c r="AC1227" s="421"/>
      <c r="AD1227" s="421"/>
      <c r="AE1227" s="421"/>
      <c r="AF1227" s="421"/>
      <c r="AG1227" s="421"/>
      <c r="AH1227" s="421"/>
      <c r="AI1227" s="421"/>
      <c r="AJ1227" s="421"/>
      <c r="AK1227" s="421"/>
      <c r="AL1227" s="421"/>
    </row>
    <row r="1228" spans="1:38">
      <c r="A1228" s="408">
        <v>6016</v>
      </c>
      <c r="B1228" s="83">
        <f t="array" ref="B1228">SUM(--(FREQUENCY(IF(C$2:C$3072=C1228, MATCH(D$2:D$3072, D$2:D$3072, 0)), ROW(D$2:D$3072)-ROW(D$2)+1) &gt; 0))</f>
        <v>2</v>
      </c>
      <c r="C1228" s="3">
        <v>41200169</v>
      </c>
      <c r="D1228" s="6" t="s">
        <v>2937</v>
      </c>
      <c r="E1228" s="408" t="s">
        <v>1408</v>
      </c>
      <c r="F1228" s="408" t="s">
        <v>1479</v>
      </c>
      <c r="G1228" s="408" t="s">
        <v>2666</v>
      </c>
      <c r="H1228" s="197">
        <f t="shared" si="233"/>
        <v>38</v>
      </c>
      <c r="I1228" s="197">
        <v>9</v>
      </c>
      <c r="J1228" s="197">
        <v>16</v>
      </c>
      <c r="K1228" s="186">
        <f t="shared" si="232"/>
        <v>45916</v>
      </c>
      <c r="L1228" s="408" t="s">
        <v>2395</v>
      </c>
      <c r="M1228" s="408" t="s">
        <v>1469</v>
      </c>
      <c r="N1228" s="408" t="s">
        <v>2877</v>
      </c>
      <c r="O1228" s="408" t="s">
        <v>2368</v>
      </c>
      <c r="P1228" s="408" t="s">
        <v>2682</v>
      </c>
      <c r="Q1228" s="408">
        <v>11100786</v>
      </c>
      <c r="R1228" s="408" t="s">
        <v>386</v>
      </c>
      <c r="S1228" s="408" t="s">
        <v>2518</v>
      </c>
      <c r="T1228" s="408"/>
      <c r="U1228" s="408"/>
      <c r="V1228" s="421"/>
      <c r="W1228" s="421"/>
      <c r="X1228" s="421"/>
      <c r="Y1228" s="421"/>
      <c r="Z1228" s="421"/>
      <c r="AA1228" s="421"/>
      <c r="AB1228" s="421"/>
      <c r="AC1228" s="421"/>
      <c r="AD1228" s="421"/>
      <c r="AE1228" s="421"/>
      <c r="AF1228" s="421"/>
      <c r="AG1228" s="421"/>
      <c r="AH1228" s="421"/>
      <c r="AI1228" s="421"/>
      <c r="AJ1228" s="421"/>
      <c r="AK1228" s="421"/>
      <c r="AL1228" s="421"/>
    </row>
    <row r="1229" spans="1:38">
      <c r="A1229" s="408">
        <v>6016</v>
      </c>
      <c r="B1229" s="83">
        <f t="array" ref="B1229">SUM(--(FREQUENCY(IF(C$2:C$3072=C1229, MATCH(D$2:D$3072, D$2:D$3072, 0)), ROW(D$2:D$3072)-ROW(D$2)+1) &gt; 0))</f>
        <v>2</v>
      </c>
      <c r="C1229" s="3">
        <v>41200169</v>
      </c>
      <c r="D1229" s="6" t="s">
        <v>2937</v>
      </c>
      <c r="E1229" s="408" t="s">
        <v>1408</v>
      </c>
      <c r="F1229" s="408" t="s">
        <v>1479</v>
      </c>
      <c r="G1229" s="408" t="s">
        <v>2666</v>
      </c>
      <c r="H1229" s="197">
        <f t="shared" ref="H1229" si="239">WEEKNUM(K1229)</f>
        <v>38</v>
      </c>
      <c r="I1229" s="197">
        <v>9</v>
      </c>
      <c r="J1229" s="197">
        <v>16</v>
      </c>
      <c r="K1229" s="186">
        <f t="shared" ref="K1229" si="240">DATE(2025, I1229, J1229)</f>
        <v>45916</v>
      </c>
      <c r="L1229" s="408" t="s">
        <v>2395</v>
      </c>
      <c r="M1229" s="408" t="s">
        <v>1469</v>
      </c>
      <c r="N1229" s="408" t="s">
        <v>2877</v>
      </c>
      <c r="O1229" s="408" t="s">
        <v>2368</v>
      </c>
      <c r="P1229" s="408" t="s">
        <v>2371</v>
      </c>
      <c r="Q1229" s="408">
        <v>11001962</v>
      </c>
      <c r="R1229" s="408" t="s">
        <v>562</v>
      </c>
      <c r="S1229" s="408"/>
      <c r="T1229" s="408"/>
      <c r="U1229" s="408"/>
      <c r="V1229" s="421"/>
      <c r="W1229" s="421"/>
      <c r="X1229" s="421"/>
      <c r="Y1229" s="421"/>
      <c r="Z1229" s="421"/>
      <c r="AA1229" s="421"/>
      <c r="AB1229" s="421"/>
      <c r="AC1229" s="421"/>
      <c r="AD1229" s="421"/>
      <c r="AE1229" s="421"/>
      <c r="AF1229" s="421"/>
      <c r="AG1229" s="421"/>
      <c r="AH1229" s="421"/>
      <c r="AI1229" s="421"/>
      <c r="AJ1229" s="421"/>
      <c r="AK1229" s="421"/>
      <c r="AL1229" s="421"/>
    </row>
    <row r="1230" spans="1:38">
      <c r="A1230" s="408">
        <v>6016</v>
      </c>
      <c r="B1230" s="83">
        <f t="array" ref="B1230">SUM(--(FREQUENCY(IF(C$2:C$3072=C1230, MATCH(D$2:D$3072, D$2:D$3072, 0)), ROW(D$2:D$3072)-ROW(D$2)+1) &gt; 0))</f>
        <v>2</v>
      </c>
      <c r="C1230" s="3">
        <v>41200169</v>
      </c>
      <c r="D1230" s="6" t="s">
        <v>2938</v>
      </c>
      <c r="E1230" s="408" t="s">
        <v>1408</v>
      </c>
      <c r="F1230" s="408" t="s">
        <v>1479</v>
      </c>
      <c r="G1230" s="408" t="s">
        <v>2666</v>
      </c>
      <c r="H1230" s="197">
        <f t="shared" si="233"/>
        <v>38</v>
      </c>
      <c r="I1230" s="197">
        <v>9</v>
      </c>
      <c r="J1230" s="197">
        <v>16</v>
      </c>
      <c r="K1230" s="186">
        <f t="shared" si="232"/>
        <v>45916</v>
      </c>
      <c r="L1230" s="408" t="s">
        <v>2395</v>
      </c>
      <c r="M1230" s="408" t="s">
        <v>1469</v>
      </c>
      <c r="N1230" s="408" t="s">
        <v>2877</v>
      </c>
      <c r="O1230" s="408" t="s">
        <v>2368</v>
      </c>
      <c r="P1230" s="408" t="s">
        <v>2682</v>
      </c>
      <c r="Q1230" s="408">
        <v>11100786</v>
      </c>
      <c r="R1230" s="408" t="s">
        <v>386</v>
      </c>
      <c r="S1230" s="408" t="s">
        <v>2518</v>
      </c>
      <c r="T1230" s="408"/>
      <c r="U1230" s="408"/>
      <c r="V1230" s="421"/>
      <c r="W1230" s="421"/>
      <c r="X1230" s="421"/>
      <c r="Y1230" s="421"/>
      <c r="Z1230" s="421"/>
      <c r="AA1230" s="421"/>
      <c r="AB1230" s="421"/>
      <c r="AC1230" s="421"/>
      <c r="AD1230" s="421"/>
      <c r="AE1230" s="421"/>
      <c r="AF1230" s="421"/>
      <c r="AG1230" s="421"/>
      <c r="AH1230" s="421"/>
      <c r="AI1230" s="421"/>
      <c r="AJ1230" s="421"/>
      <c r="AK1230" s="421"/>
      <c r="AL1230" s="421"/>
    </row>
    <row r="1231" spans="1:38">
      <c r="A1231" s="408">
        <v>5978</v>
      </c>
      <c r="B1231" s="83">
        <f t="array" ref="B1231">SUM(--(FREQUENCY(IF(C$2:C$3072=C1231, MATCH(D$2:D$3072, D$2:D$3072, 0)), ROW(D$2:D$3072)-ROW(D$2)+1) &gt; 0))</f>
        <v>20</v>
      </c>
      <c r="C1231" s="408">
        <v>41200074</v>
      </c>
      <c r="D1231" s="408" t="s">
        <v>2939</v>
      </c>
      <c r="E1231" s="408" t="s">
        <v>1405</v>
      </c>
      <c r="F1231" s="408" t="s">
        <v>1478</v>
      </c>
      <c r="G1231" s="408" t="s">
        <v>2675</v>
      </c>
      <c r="H1231" s="197">
        <f t="shared" si="233"/>
        <v>38</v>
      </c>
      <c r="I1231" s="197">
        <v>9</v>
      </c>
      <c r="J1231" s="197">
        <v>16</v>
      </c>
      <c r="K1231" s="186">
        <f t="shared" si="232"/>
        <v>45916</v>
      </c>
      <c r="L1231" s="408" t="s">
        <v>2395</v>
      </c>
      <c r="M1231" s="408" t="s">
        <v>1469</v>
      </c>
      <c r="N1231" s="408" t="str">
        <f t="shared" si="228"/>
        <v/>
      </c>
      <c r="O1231" s="408"/>
      <c r="P1231" s="408"/>
      <c r="Q1231" s="408"/>
      <c r="R1231" s="408"/>
      <c r="S1231" s="408"/>
      <c r="T1231" s="408"/>
      <c r="U1231" s="408"/>
      <c r="V1231" s="421"/>
      <c r="W1231" s="421"/>
      <c r="X1231" s="421"/>
      <c r="Y1231" s="421"/>
      <c r="Z1231" s="421"/>
      <c r="AA1231" s="421"/>
      <c r="AB1231" s="421"/>
      <c r="AC1231" s="421"/>
      <c r="AD1231" s="421"/>
      <c r="AE1231" s="421"/>
      <c r="AF1231" s="421"/>
      <c r="AG1231" s="421"/>
      <c r="AH1231" s="421"/>
      <c r="AI1231" s="421"/>
      <c r="AJ1231" s="421"/>
      <c r="AK1231" s="421"/>
      <c r="AL1231" s="421"/>
    </row>
    <row r="1232" spans="1:38">
      <c r="A1232" s="408">
        <v>5978</v>
      </c>
      <c r="B1232" s="83">
        <f t="array" ref="B1232">SUM(--(FREQUENCY(IF(C$2:C$3072=C1232, MATCH(D$2:D$3072, D$2:D$3072, 0)), ROW(D$2:D$3072)-ROW(D$2)+1) &gt; 0))</f>
        <v>20</v>
      </c>
      <c r="C1232" s="408">
        <v>41200074</v>
      </c>
      <c r="D1232" s="408" t="s">
        <v>2940</v>
      </c>
      <c r="E1232" s="408" t="s">
        <v>1405</v>
      </c>
      <c r="F1232" s="408" t="s">
        <v>1478</v>
      </c>
      <c r="G1232" s="408" t="s">
        <v>2675</v>
      </c>
      <c r="H1232" s="197">
        <f t="shared" si="233"/>
        <v>38</v>
      </c>
      <c r="I1232" s="197">
        <v>9</v>
      </c>
      <c r="J1232" s="197">
        <v>16</v>
      </c>
      <c r="K1232" s="186">
        <f t="shared" si="232"/>
        <v>45916</v>
      </c>
      <c r="L1232" s="408" t="s">
        <v>2395</v>
      </c>
      <c r="M1232" s="408" t="s">
        <v>1469</v>
      </c>
      <c r="N1232" s="408" t="str">
        <f t="shared" si="228"/>
        <v/>
      </c>
      <c r="O1232" s="408"/>
      <c r="P1232" s="408"/>
      <c r="Q1232" s="408"/>
      <c r="R1232" s="408"/>
      <c r="S1232" s="408"/>
      <c r="T1232" s="408"/>
      <c r="U1232" s="408"/>
      <c r="V1232" s="421"/>
      <c r="W1232" s="421"/>
      <c r="X1232" s="421"/>
      <c r="Y1232" s="421"/>
      <c r="Z1232" s="421"/>
      <c r="AA1232" s="421"/>
      <c r="AB1232" s="421"/>
      <c r="AC1232" s="421"/>
      <c r="AD1232" s="421"/>
      <c r="AE1232" s="421"/>
      <c r="AF1232" s="421"/>
      <c r="AG1232" s="421"/>
      <c r="AH1232" s="421"/>
      <c r="AI1232" s="421"/>
      <c r="AJ1232" s="421"/>
      <c r="AK1232" s="421"/>
      <c r="AL1232" s="421"/>
    </row>
    <row r="1233" spans="1:38">
      <c r="A1233" s="3">
        <v>5876</v>
      </c>
      <c r="B1233" s="83">
        <f t="array" ref="B1233">SUM(--(FREQUENCY(IF(C$2:C$3086=C1233, MATCH(D$2:D$3086, D$2:D$3086, 0)), ROW(D$2:D$3086)-ROW(D$2)+1) &gt; 0))</f>
        <v>12</v>
      </c>
      <c r="C1233" s="3">
        <v>41100264</v>
      </c>
      <c r="D1233" s="6" t="s">
        <v>2941</v>
      </c>
      <c r="E1233" s="3" t="s">
        <v>1585</v>
      </c>
      <c r="F1233" s="3" t="s">
        <v>1591</v>
      </c>
      <c r="G1233" s="68" t="str">
        <f t="shared" ref="G1233:G1262" si="241">IF(OR(ISNUMBER(SEARCH("DUAL",F1233)), ISNUMBER(SEARCH("IVAS",F1233))), "DUAL", "SINGLE")</f>
        <v>SINGLE</v>
      </c>
      <c r="H1233" s="197">
        <f t="shared" si="233"/>
        <v>38</v>
      </c>
      <c r="I1233" s="197">
        <v>9</v>
      </c>
      <c r="J1233" s="197">
        <v>17</v>
      </c>
      <c r="K1233" s="186">
        <f t="shared" si="232"/>
        <v>45917</v>
      </c>
      <c r="L1233" s="3" t="s">
        <v>2391</v>
      </c>
      <c r="M1233" s="3" t="s">
        <v>2392</v>
      </c>
      <c r="N1233" s="408" t="str">
        <f t="shared" si="228"/>
        <v/>
      </c>
      <c r="O1233" s="408"/>
      <c r="P1233" s="408"/>
      <c r="Q1233" s="408"/>
      <c r="R1233" s="408"/>
      <c r="S1233" s="408"/>
      <c r="T1233" s="408"/>
      <c r="U1233" s="408"/>
      <c r="V1233" s="421"/>
      <c r="W1233" s="421"/>
      <c r="X1233" s="421"/>
      <c r="Y1233" s="421"/>
      <c r="Z1233" s="421"/>
      <c r="AA1233" s="421"/>
      <c r="AB1233" s="421"/>
      <c r="AC1233" s="421"/>
      <c r="AD1233" s="421"/>
      <c r="AE1233" s="421"/>
      <c r="AF1233" s="421"/>
      <c r="AG1233" s="421"/>
      <c r="AH1233" s="421"/>
      <c r="AI1233" s="421"/>
      <c r="AJ1233" s="421"/>
      <c r="AK1233" s="421"/>
      <c r="AL1233" s="421"/>
    </row>
    <row r="1234" spans="1:38">
      <c r="A1234" s="3">
        <v>5876</v>
      </c>
      <c r="B1234" s="83">
        <f t="array" ref="B1234">SUM(--(FREQUENCY(IF(C$2:C$3086=C1234, MATCH(D$2:D$3086, D$2:D$3086, 0)), ROW(D$2:D$3086)-ROW(D$2)+1) &gt; 0))</f>
        <v>12</v>
      </c>
      <c r="C1234" s="3">
        <v>41100264</v>
      </c>
      <c r="D1234" s="6" t="s">
        <v>2942</v>
      </c>
      <c r="E1234" s="3" t="s">
        <v>1585</v>
      </c>
      <c r="F1234" s="3" t="s">
        <v>1591</v>
      </c>
      <c r="G1234" s="68" t="str">
        <f t="shared" si="241"/>
        <v>SINGLE</v>
      </c>
      <c r="H1234" s="197">
        <f t="shared" si="233"/>
        <v>38</v>
      </c>
      <c r="I1234" s="197">
        <v>9</v>
      </c>
      <c r="J1234" s="197">
        <v>17</v>
      </c>
      <c r="K1234" s="186">
        <f t="shared" si="232"/>
        <v>45917</v>
      </c>
      <c r="L1234" s="3" t="s">
        <v>2391</v>
      </c>
      <c r="M1234" s="3" t="s">
        <v>2392</v>
      </c>
      <c r="N1234" s="408" t="str">
        <f t="shared" si="228"/>
        <v/>
      </c>
      <c r="O1234" s="408"/>
      <c r="P1234" s="408"/>
      <c r="Q1234" s="408"/>
      <c r="R1234" s="408"/>
      <c r="S1234" s="408"/>
      <c r="T1234" s="408"/>
      <c r="U1234" s="408"/>
      <c r="V1234" s="421"/>
      <c r="W1234" s="421"/>
      <c r="X1234" s="421"/>
      <c r="Y1234" s="421"/>
      <c r="Z1234" s="421"/>
      <c r="AA1234" s="421"/>
      <c r="AB1234" s="421"/>
      <c r="AC1234" s="421"/>
      <c r="AD1234" s="421"/>
      <c r="AE1234" s="421"/>
      <c r="AF1234" s="421"/>
      <c r="AG1234" s="421"/>
      <c r="AH1234" s="421"/>
      <c r="AI1234" s="421"/>
      <c r="AJ1234" s="421"/>
      <c r="AK1234" s="421"/>
      <c r="AL1234" s="421"/>
    </row>
    <row r="1235" spans="1:38">
      <c r="A1235" s="3">
        <v>6100</v>
      </c>
      <c r="B1235" s="83">
        <f t="array" ref="B1235">SUM(--(FREQUENCY(IF(C$2:C$3086=C1235, MATCH(D$2:D$3086, D$2:D$3086, 0)), ROW(D$2:D$3086)-ROW(D$2)+1) &gt; 0))</f>
        <v>6</v>
      </c>
      <c r="C1235" s="3">
        <v>41200145</v>
      </c>
      <c r="D1235" s="6" t="s">
        <v>1869</v>
      </c>
      <c r="E1235" s="3" t="s">
        <v>1409</v>
      </c>
      <c r="F1235" s="3" t="s">
        <v>1479</v>
      </c>
      <c r="G1235" s="41" t="str">
        <f t="shared" si="241"/>
        <v>SINGLE</v>
      </c>
      <c r="H1235" s="197">
        <f t="shared" si="233"/>
        <v>38</v>
      </c>
      <c r="I1235" s="197">
        <v>9</v>
      </c>
      <c r="J1235" s="197">
        <v>17</v>
      </c>
      <c r="K1235" s="186">
        <f t="shared" ref="K1235:K1240" si="242">DATE(2025, I1235, J1235)</f>
        <v>45917</v>
      </c>
      <c r="L1235" s="3" t="s">
        <v>2391</v>
      </c>
      <c r="M1235" s="3" t="s">
        <v>1468</v>
      </c>
      <c r="N1235" s="408" t="str">
        <f t="shared" si="228"/>
        <v/>
      </c>
      <c r="O1235" s="408"/>
      <c r="P1235" s="408"/>
      <c r="Q1235" s="408"/>
      <c r="R1235" s="408"/>
      <c r="S1235" s="408"/>
      <c r="T1235" s="408"/>
      <c r="U1235" s="408"/>
      <c r="V1235" s="421"/>
      <c r="W1235" s="421"/>
      <c r="X1235" s="421"/>
      <c r="Y1235" s="421"/>
      <c r="Z1235" s="421"/>
      <c r="AA1235" s="421"/>
      <c r="AB1235" s="421"/>
      <c r="AC1235" s="421"/>
      <c r="AD1235" s="421"/>
      <c r="AE1235" s="421"/>
      <c r="AF1235" s="421"/>
      <c r="AG1235" s="421"/>
      <c r="AH1235" s="421"/>
      <c r="AI1235" s="421"/>
      <c r="AJ1235" s="421"/>
      <c r="AK1235" s="421"/>
      <c r="AL1235" s="421"/>
    </row>
    <row r="1236" spans="1:38">
      <c r="A1236" s="3">
        <v>6100</v>
      </c>
      <c r="B1236" s="83">
        <f t="array" ref="B1236">SUM(--(FREQUENCY(IF(C$2:C$3086=C1236, MATCH(D$2:D$3086, D$2:D$3086, 0)), ROW(D$2:D$3086)-ROW(D$2)+1) &gt; 0))</f>
        <v>6</v>
      </c>
      <c r="C1236" s="3">
        <v>41200145</v>
      </c>
      <c r="D1236" s="6" t="s">
        <v>1870</v>
      </c>
      <c r="E1236" s="3" t="s">
        <v>1409</v>
      </c>
      <c r="F1236" s="3" t="s">
        <v>1479</v>
      </c>
      <c r="G1236" s="41" t="str">
        <f t="shared" si="241"/>
        <v>SINGLE</v>
      </c>
      <c r="H1236" s="197">
        <f t="shared" ref="H1236:H1240" si="243">WEEKNUM(K1236)</f>
        <v>38</v>
      </c>
      <c r="I1236" s="197">
        <v>9</v>
      </c>
      <c r="J1236" s="197">
        <v>17</v>
      </c>
      <c r="K1236" s="186">
        <f t="shared" si="242"/>
        <v>45917</v>
      </c>
      <c r="L1236" s="3" t="s">
        <v>2391</v>
      </c>
      <c r="M1236" s="3" t="s">
        <v>1468</v>
      </c>
      <c r="N1236" s="408" t="str">
        <f t="shared" si="228"/>
        <v/>
      </c>
      <c r="O1236" s="408"/>
      <c r="P1236" s="408"/>
      <c r="Q1236" s="408"/>
      <c r="R1236" s="408"/>
      <c r="S1236" s="408"/>
      <c r="T1236" s="408"/>
      <c r="U1236" s="408"/>
      <c r="V1236" s="421"/>
      <c r="W1236" s="421"/>
      <c r="X1236" s="421"/>
      <c r="Y1236" s="421"/>
      <c r="Z1236" s="421"/>
      <c r="AA1236" s="421"/>
      <c r="AB1236" s="421"/>
      <c r="AC1236" s="421"/>
      <c r="AD1236" s="421"/>
      <c r="AE1236" s="421"/>
      <c r="AF1236" s="421"/>
      <c r="AG1236" s="421"/>
      <c r="AH1236" s="421"/>
      <c r="AI1236" s="421"/>
      <c r="AJ1236" s="421"/>
      <c r="AK1236" s="421"/>
      <c r="AL1236" s="421"/>
    </row>
    <row r="1237" spans="1:38">
      <c r="A1237" s="3">
        <v>6004</v>
      </c>
      <c r="B1237" s="83">
        <f t="array" ref="B1237">SUM(--(FREQUENCY(IF(C$2:C$3086=C1237, MATCH(D$2:D$3086, D$2:D$3086, 0)), ROW(D$2:D$3086)-ROW(D$2)+1) &gt; 0))</f>
        <v>18</v>
      </c>
      <c r="C1237" s="3">
        <v>41200128</v>
      </c>
      <c r="D1237" s="6" t="s">
        <v>2943</v>
      </c>
      <c r="E1237" s="3" t="s">
        <v>1431</v>
      </c>
      <c r="F1237" s="3" t="s">
        <v>1591</v>
      </c>
      <c r="G1237" s="68" t="str">
        <f t="shared" si="241"/>
        <v>SINGLE</v>
      </c>
      <c r="H1237" s="197">
        <f t="shared" si="243"/>
        <v>38</v>
      </c>
      <c r="I1237" s="197">
        <v>9</v>
      </c>
      <c r="J1237" s="197">
        <v>17</v>
      </c>
      <c r="K1237" s="186">
        <f t="shared" si="242"/>
        <v>45917</v>
      </c>
      <c r="L1237" s="3" t="s">
        <v>2395</v>
      </c>
      <c r="M1237" s="3" t="s">
        <v>1469</v>
      </c>
      <c r="N1237" s="408" t="str">
        <f t="shared" si="228"/>
        <v>NG</v>
      </c>
      <c r="O1237" s="408" t="s">
        <v>2682</v>
      </c>
      <c r="P1237" s="408" t="s">
        <v>2944</v>
      </c>
      <c r="Q1237" s="408">
        <v>11100786</v>
      </c>
      <c r="R1237" s="408" t="s">
        <v>386</v>
      </c>
      <c r="S1237" s="408" t="s">
        <v>2518</v>
      </c>
      <c r="T1237" s="408"/>
      <c r="U1237" s="408"/>
      <c r="V1237" s="421"/>
      <c r="W1237" s="421"/>
      <c r="X1237" s="421"/>
      <c r="Y1237" s="421"/>
      <c r="Z1237" s="421"/>
      <c r="AA1237" s="421"/>
      <c r="AB1237" s="421"/>
      <c r="AC1237" s="421"/>
      <c r="AD1237" s="421"/>
      <c r="AE1237" s="421"/>
      <c r="AF1237" s="421"/>
      <c r="AG1237" s="421"/>
      <c r="AH1237" s="421"/>
      <c r="AI1237" s="421"/>
      <c r="AJ1237" s="421"/>
      <c r="AK1237" s="421"/>
      <c r="AL1237" s="421"/>
    </row>
    <row r="1238" spans="1:38">
      <c r="A1238" s="3">
        <v>6004</v>
      </c>
      <c r="B1238" s="83">
        <f t="array" ref="B1238">SUM(--(FREQUENCY(IF(C$2:C$3086=C1238, MATCH(D$2:D$3086, D$2:D$3086, 0)), ROW(D$2:D$3086)-ROW(D$2)+1) &gt; 0))</f>
        <v>18</v>
      </c>
      <c r="C1238" s="3">
        <v>41200128</v>
      </c>
      <c r="D1238" s="6" t="s">
        <v>2943</v>
      </c>
      <c r="E1238" s="3" t="s">
        <v>1431</v>
      </c>
      <c r="F1238" s="3" t="s">
        <v>1591</v>
      </c>
      <c r="G1238" s="68" t="str">
        <f t="shared" si="241"/>
        <v>SINGLE</v>
      </c>
      <c r="H1238" s="197">
        <f t="shared" ref="H1238" si="244">WEEKNUM(K1238)</f>
        <v>38</v>
      </c>
      <c r="I1238" s="197">
        <v>9</v>
      </c>
      <c r="J1238" s="197">
        <v>17</v>
      </c>
      <c r="K1238" s="186">
        <f t="shared" ref="K1238" si="245">DATE(2025, I1238, J1238)</f>
        <v>45917</v>
      </c>
      <c r="L1238" s="3" t="s">
        <v>2395</v>
      </c>
      <c r="M1238" s="3" t="s">
        <v>1469</v>
      </c>
      <c r="N1238" s="408" t="str">
        <f t="shared" ref="N1238" si="246">IF(O1238&lt;&gt;"", "NG", "")</f>
        <v>NG</v>
      </c>
      <c r="O1238" s="408" t="s">
        <v>2368</v>
      </c>
      <c r="P1238" s="408" t="s">
        <v>2371</v>
      </c>
      <c r="Q1238" s="408">
        <v>11001966</v>
      </c>
      <c r="R1238" s="408" t="s">
        <v>1151</v>
      </c>
      <c r="S1238" s="408" t="s">
        <v>2945</v>
      </c>
      <c r="T1238" s="408"/>
      <c r="U1238" s="408"/>
      <c r="V1238" s="421"/>
      <c r="W1238" s="421"/>
      <c r="X1238" s="421"/>
      <c r="Y1238" s="421"/>
      <c r="Z1238" s="421"/>
      <c r="AA1238" s="421"/>
      <c r="AB1238" s="421"/>
      <c r="AC1238" s="421"/>
      <c r="AD1238" s="421"/>
      <c r="AE1238" s="421"/>
      <c r="AF1238" s="421"/>
      <c r="AG1238" s="421"/>
      <c r="AH1238" s="421"/>
      <c r="AI1238" s="421"/>
      <c r="AJ1238" s="421"/>
      <c r="AK1238" s="421"/>
      <c r="AL1238" s="421"/>
    </row>
    <row r="1239" spans="1:38">
      <c r="A1239" s="3">
        <v>6004</v>
      </c>
      <c r="B1239" s="83">
        <f t="array" ref="B1239">SUM(--(FREQUENCY(IF(C$2:C$3086=C1239, MATCH(D$2:D$3086, D$2:D$3086, 0)), ROW(D$2:D$3086)-ROW(D$2)+1) &gt; 0))</f>
        <v>18</v>
      </c>
      <c r="C1239" s="3">
        <v>41200128</v>
      </c>
      <c r="D1239" s="6" t="s">
        <v>2943</v>
      </c>
      <c r="E1239" s="3" t="s">
        <v>1431</v>
      </c>
      <c r="F1239" s="3" t="s">
        <v>1591</v>
      </c>
      <c r="G1239" s="68" t="str">
        <f t="shared" si="241"/>
        <v>SINGLE</v>
      </c>
      <c r="H1239" s="197">
        <f t="shared" ref="H1239" si="247">WEEKNUM(K1239)</f>
        <v>38</v>
      </c>
      <c r="I1239" s="197">
        <v>9</v>
      </c>
      <c r="J1239" s="197">
        <v>17</v>
      </c>
      <c r="K1239" s="186">
        <f t="shared" ref="K1239" si="248">DATE(2025, I1239, J1239)</f>
        <v>45917</v>
      </c>
      <c r="L1239" s="3" t="s">
        <v>2395</v>
      </c>
      <c r="M1239" s="3" t="s">
        <v>1469</v>
      </c>
      <c r="N1239" s="408" t="str">
        <f t="shared" ref="N1239" si="249">IF(O1239&lt;&gt;"", "NG", "")</f>
        <v>NG</v>
      </c>
      <c r="O1239" s="408" t="s">
        <v>2682</v>
      </c>
      <c r="P1239" s="408" t="s">
        <v>2414</v>
      </c>
      <c r="Q1239" s="408">
        <v>11001895</v>
      </c>
      <c r="R1239" s="408" t="s">
        <v>2441</v>
      </c>
      <c r="S1239" s="408" t="s">
        <v>2946</v>
      </c>
      <c r="T1239" s="408"/>
      <c r="U1239" s="408"/>
      <c r="V1239" s="421"/>
      <c r="W1239" s="421"/>
      <c r="X1239" s="421"/>
      <c r="Y1239" s="421"/>
      <c r="Z1239" s="421"/>
      <c r="AA1239" s="421"/>
      <c r="AB1239" s="421"/>
      <c r="AC1239" s="421"/>
      <c r="AD1239" s="421"/>
      <c r="AE1239" s="421"/>
      <c r="AF1239" s="421"/>
      <c r="AG1239" s="421"/>
      <c r="AH1239" s="421"/>
      <c r="AI1239" s="421"/>
      <c r="AJ1239" s="421"/>
      <c r="AK1239" s="421"/>
      <c r="AL1239" s="421"/>
    </row>
    <row r="1240" spans="1:38">
      <c r="A1240" s="408">
        <v>5792</v>
      </c>
      <c r="B1240" s="83">
        <f t="array" ref="B1240">SUM(--(FREQUENCY(IF(C$2:C$3072=C1240, MATCH(D$2:D$3072, D$2:D$3072, 0)), ROW(D$2:D$3072)-ROW(D$2)+1) &gt; 0))</f>
        <v>37</v>
      </c>
      <c r="C1240" s="6">
        <v>41200076</v>
      </c>
      <c r="D1240" s="408" t="s">
        <v>2947</v>
      </c>
      <c r="E1240" s="408" t="s">
        <v>1585</v>
      </c>
      <c r="F1240" s="408" t="s">
        <v>1476</v>
      </c>
      <c r="G1240" s="68" t="str">
        <f t="shared" si="241"/>
        <v>DUAL</v>
      </c>
      <c r="H1240" s="197">
        <f t="shared" si="243"/>
        <v>38</v>
      </c>
      <c r="I1240" s="197">
        <v>9</v>
      </c>
      <c r="J1240" s="197">
        <v>17</v>
      </c>
      <c r="K1240" s="186">
        <f t="shared" si="242"/>
        <v>45917</v>
      </c>
      <c r="L1240" s="408" t="s">
        <v>2555</v>
      </c>
      <c r="M1240" s="408" t="s">
        <v>2555</v>
      </c>
      <c r="N1240" s="408" t="str">
        <f t="shared" si="228"/>
        <v/>
      </c>
      <c r="O1240" s="408"/>
      <c r="P1240" s="408"/>
      <c r="Q1240" s="408"/>
      <c r="R1240" s="408"/>
      <c r="S1240" s="408"/>
      <c r="T1240" s="408"/>
      <c r="U1240" s="408"/>
      <c r="V1240" s="421"/>
      <c r="W1240" s="421"/>
      <c r="X1240" s="421"/>
      <c r="Y1240" s="421"/>
      <c r="Z1240" s="421"/>
      <c r="AA1240" s="421"/>
      <c r="AB1240" s="421"/>
      <c r="AC1240" s="421"/>
      <c r="AD1240" s="421"/>
      <c r="AE1240" s="421"/>
      <c r="AF1240" s="421"/>
      <c r="AG1240" s="421"/>
      <c r="AH1240" s="421"/>
      <c r="AI1240" s="421"/>
      <c r="AJ1240" s="421"/>
      <c r="AK1240" s="421"/>
      <c r="AL1240" s="421"/>
    </row>
    <row r="1241" spans="1:38">
      <c r="A1241" s="3">
        <v>6005</v>
      </c>
      <c r="B1241" s="83">
        <f t="array" ref="B1241">SUM(--(FREQUENCY(IF(C$2:C$3088=C1241, MATCH(D$2:D$3088, D$2:D$3088, 0)), ROW(D$2:D$3088)-ROW(D$2)+1) &gt; 0))</f>
        <v>29</v>
      </c>
      <c r="C1241" s="3">
        <v>41200127</v>
      </c>
      <c r="D1241" s="6" t="s">
        <v>2948</v>
      </c>
      <c r="E1241" s="3" t="s">
        <v>1431</v>
      </c>
      <c r="F1241" s="3" t="s">
        <v>1591</v>
      </c>
      <c r="G1241" s="68" t="str">
        <f t="shared" si="241"/>
        <v>SINGLE</v>
      </c>
      <c r="H1241" s="197">
        <f t="shared" ref="H1241" si="250">WEEKNUM(K1241)</f>
        <v>38</v>
      </c>
      <c r="I1241" s="197">
        <v>9</v>
      </c>
      <c r="J1241" s="197">
        <v>18</v>
      </c>
      <c r="K1241" s="186">
        <f t="shared" ref="K1241" si="251">DATE(2025, I1241, J1241)</f>
        <v>45918</v>
      </c>
      <c r="L1241" s="3" t="s">
        <v>2395</v>
      </c>
      <c r="M1241" s="3" t="s">
        <v>1469</v>
      </c>
      <c r="N1241" s="408" t="str">
        <f t="shared" si="228"/>
        <v>NG</v>
      </c>
      <c r="O1241" s="408" t="s">
        <v>2368</v>
      </c>
      <c r="P1241" s="408" t="s">
        <v>1386</v>
      </c>
      <c r="Q1241" s="408">
        <v>11100786</v>
      </c>
      <c r="R1241" s="408" t="s">
        <v>386</v>
      </c>
      <c r="S1241" s="408" t="s">
        <v>2518</v>
      </c>
      <c r="T1241" s="408"/>
      <c r="U1241" s="408"/>
      <c r="V1241" s="421"/>
      <c r="W1241" s="421"/>
      <c r="X1241" s="421"/>
      <c r="Y1241" s="421"/>
      <c r="Z1241" s="421"/>
      <c r="AA1241" s="421"/>
      <c r="AB1241" s="421"/>
      <c r="AC1241" s="421"/>
      <c r="AD1241" s="421"/>
      <c r="AE1241" s="421"/>
      <c r="AF1241" s="421"/>
      <c r="AG1241" s="421"/>
      <c r="AH1241" s="421"/>
      <c r="AI1241" s="421"/>
      <c r="AJ1241" s="421"/>
      <c r="AK1241" s="421"/>
      <c r="AL1241" s="421"/>
    </row>
    <row r="1242" spans="1:38">
      <c r="A1242" s="3">
        <v>5799</v>
      </c>
      <c r="B1242" s="83">
        <f t="array" ref="B1242">SUM(--(FREQUENCY(IF(C$2:C$3086=C1242, MATCH(D$2:D$3086, D$2:D$3086, 0)), ROW(D$2:D$3086)-ROW(D$2)+1) &gt; 0))</f>
        <v>4</v>
      </c>
      <c r="C1242" s="3">
        <v>41100227</v>
      </c>
      <c r="D1242" s="6" t="s">
        <v>2949</v>
      </c>
      <c r="E1242" s="3" t="s">
        <v>1424</v>
      </c>
      <c r="F1242" s="3" t="s">
        <v>1476</v>
      </c>
      <c r="G1242" s="68" t="str">
        <f t="shared" si="241"/>
        <v>DUAL</v>
      </c>
      <c r="H1242" s="197">
        <f t="shared" ref="H1242:H1248" si="252">WEEKNUM(K1242)</f>
        <v>38</v>
      </c>
      <c r="I1242" s="197">
        <v>9</v>
      </c>
      <c r="J1242" s="197">
        <v>18</v>
      </c>
      <c r="K1242" s="186">
        <f t="shared" ref="K1242:K1248" si="253">DATE(2025, I1242, J1242)</f>
        <v>45918</v>
      </c>
      <c r="L1242" s="3" t="s">
        <v>2395</v>
      </c>
      <c r="M1242" s="3" t="s">
        <v>2392</v>
      </c>
      <c r="N1242" s="408" t="str">
        <f t="shared" si="228"/>
        <v>NG</v>
      </c>
      <c r="O1242" s="408" t="s">
        <v>2368</v>
      </c>
      <c r="P1242" s="408" t="s">
        <v>2508</v>
      </c>
      <c r="Q1242" s="408">
        <v>13104440</v>
      </c>
      <c r="R1242" s="408" t="s">
        <v>2950</v>
      </c>
      <c r="S1242" s="408" t="s">
        <v>2951</v>
      </c>
      <c r="T1242" s="408"/>
      <c r="U1242" s="408"/>
      <c r="V1242" s="421"/>
      <c r="W1242" s="421"/>
      <c r="X1242" s="421"/>
      <c r="Y1242" s="421"/>
      <c r="Z1242" s="421"/>
      <c r="AA1242" s="421"/>
      <c r="AB1242" s="421"/>
      <c r="AC1242" s="421"/>
      <c r="AD1242" s="421"/>
      <c r="AE1242" s="421"/>
      <c r="AF1242" s="421"/>
      <c r="AG1242" s="421"/>
      <c r="AH1242" s="421"/>
      <c r="AI1242" s="421"/>
      <c r="AJ1242" s="421"/>
      <c r="AK1242" s="421"/>
      <c r="AL1242" s="421"/>
    </row>
    <row r="1243" spans="1:38">
      <c r="A1243" s="3">
        <v>5799</v>
      </c>
      <c r="B1243" s="83">
        <f t="array" ref="B1243">SUM(--(FREQUENCY(IF(C$2:C$3086=C1243, MATCH(D$2:D$3086, D$2:D$3086, 0)), ROW(D$2:D$3086)-ROW(D$2)+1) &gt; 0))</f>
        <v>4</v>
      </c>
      <c r="C1243" s="3">
        <v>41100227</v>
      </c>
      <c r="D1243" s="6" t="s">
        <v>2949</v>
      </c>
      <c r="E1243" s="3" t="s">
        <v>1424</v>
      </c>
      <c r="F1243" s="3" t="s">
        <v>1476</v>
      </c>
      <c r="G1243" s="68" t="str">
        <f t="shared" si="241"/>
        <v>DUAL</v>
      </c>
      <c r="H1243" s="197">
        <f t="shared" ref="H1243" si="254">WEEKNUM(K1243)</f>
        <v>38</v>
      </c>
      <c r="I1243" s="197">
        <v>9</v>
      </c>
      <c r="J1243" s="197">
        <v>18</v>
      </c>
      <c r="K1243" s="186">
        <f t="shared" ref="K1243" si="255">DATE(2025, I1243, J1243)</f>
        <v>45918</v>
      </c>
      <c r="L1243" s="3" t="s">
        <v>2395</v>
      </c>
      <c r="M1243" s="3" t="s">
        <v>2392</v>
      </c>
      <c r="N1243" s="408" t="str">
        <f t="shared" ref="N1243" si="256">IF(O1243&lt;&gt;"", "NG", "")</f>
        <v>NG</v>
      </c>
      <c r="O1243" s="408" t="s">
        <v>1569</v>
      </c>
      <c r="P1243" s="408" t="s">
        <v>2952</v>
      </c>
      <c r="Q1243" s="408"/>
      <c r="R1243" s="408"/>
      <c r="S1243" s="408" t="s">
        <v>2953</v>
      </c>
      <c r="T1243" s="408"/>
      <c r="U1243" s="408"/>
      <c r="V1243" s="421"/>
      <c r="W1243" s="421"/>
      <c r="X1243" s="421"/>
      <c r="Y1243" s="421"/>
      <c r="Z1243" s="421"/>
      <c r="AA1243" s="421"/>
      <c r="AB1243" s="421"/>
      <c r="AC1243" s="421"/>
      <c r="AD1243" s="421"/>
      <c r="AE1243" s="421"/>
      <c r="AF1243" s="421"/>
      <c r="AG1243" s="421"/>
      <c r="AH1243" s="421"/>
      <c r="AI1243" s="421"/>
      <c r="AJ1243" s="421"/>
      <c r="AK1243" s="421"/>
      <c r="AL1243" s="421"/>
    </row>
    <row r="1244" spans="1:38">
      <c r="A1244" s="3">
        <v>5799</v>
      </c>
      <c r="B1244" s="83">
        <f t="array" ref="B1244">SUM(--(FREQUENCY(IF(C$2:C$3086=C1244, MATCH(D$2:D$3086, D$2:D$3086, 0)), ROW(D$2:D$3086)-ROW(D$2)+1) &gt; 0))</f>
        <v>4</v>
      </c>
      <c r="C1244" s="3">
        <v>41100227</v>
      </c>
      <c r="D1244" s="6" t="s">
        <v>2949</v>
      </c>
      <c r="E1244" s="3" t="s">
        <v>1424</v>
      </c>
      <c r="F1244" s="3" t="s">
        <v>1476</v>
      </c>
      <c r="G1244" s="68" t="str">
        <f t="shared" si="241"/>
        <v>DUAL</v>
      </c>
      <c r="H1244" s="197">
        <f t="shared" ref="H1244" si="257">WEEKNUM(K1244)</f>
        <v>38</v>
      </c>
      <c r="I1244" s="197">
        <v>9</v>
      </c>
      <c r="J1244" s="197">
        <v>18</v>
      </c>
      <c r="K1244" s="186">
        <f t="shared" ref="K1244" si="258">DATE(2025, I1244, J1244)</f>
        <v>45918</v>
      </c>
      <c r="L1244" s="3" t="s">
        <v>2395</v>
      </c>
      <c r="M1244" s="3" t="s">
        <v>2392</v>
      </c>
      <c r="N1244" s="408" t="str">
        <f t="shared" ref="N1244" si="259">IF(O1244&lt;&gt;"", "NG", "")</f>
        <v>NG</v>
      </c>
      <c r="O1244" s="408" t="s">
        <v>1569</v>
      </c>
      <c r="P1244" s="408" t="s">
        <v>2954</v>
      </c>
      <c r="Q1244" s="408">
        <v>12003294</v>
      </c>
      <c r="R1244" s="408" t="s">
        <v>2955</v>
      </c>
      <c r="S1244" s="408" t="s">
        <v>2956</v>
      </c>
      <c r="T1244" s="408"/>
      <c r="U1244" s="408"/>
      <c r="V1244" s="421"/>
      <c r="W1244" s="421"/>
      <c r="X1244" s="421"/>
      <c r="Y1244" s="421"/>
      <c r="Z1244" s="421"/>
      <c r="AA1244" s="421"/>
      <c r="AB1244" s="421"/>
      <c r="AC1244" s="421"/>
      <c r="AD1244" s="421"/>
      <c r="AE1244" s="421"/>
      <c r="AF1244" s="421"/>
      <c r="AG1244" s="421"/>
      <c r="AH1244" s="421"/>
      <c r="AI1244" s="421"/>
      <c r="AJ1244" s="421"/>
      <c r="AK1244" s="421"/>
      <c r="AL1244" s="421"/>
    </row>
    <row r="1245" spans="1:38">
      <c r="A1245" s="3">
        <v>5855</v>
      </c>
      <c r="B1245" s="83">
        <f t="array" ref="B1245">SUM(--(FREQUENCY(IF(C$2:C$3086=C1245, MATCH(D$2:D$3086, D$2:D$3086, 0)), ROW(D$2:D$3086)-ROW(D$2)+1) &gt; 0))</f>
        <v>24</v>
      </c>
      <c r="C1245" s="3">
        <v>41200122</v>
      </c>
      <c r="D1245" s="6" t="s">
        <v>2957</v>
      </c>
      <c r="E1245" s="3" t="s">
        <v>1585</v>
      </c>
      <c r="F1245" s="3" t="s">
        <v>1476</v>
      </c>
      <c r="G1245" s="68" t="str">
        <f t="shared" si="241"/>
        <v>DUAL</v>
      </c>
      <c r="H1245" s="197">
        <f t="shared" si="252"/>
        <v>38</v>
      </c>
      <c r="I1245" s="197">
        <v>9</v>
      </c>
      <c r="J1245" s="197">
        <v>18</v>
      </c>
      <c r="K1245" s="186">
        <f t="shared" si="253"/>
        <v>45918</v>
      </c>
      <c r="L1245" s="3" t="s">
        <v>2395</v>
      </c>
      <c r="M1245" s="3" t="s">
        <v>1468</v>
      </c>
      <c r="N1245" s="408" t="str">
        <f t="shared" si="228"/>
        <v/>
      </c>
      <c r="O1245" s="408"/>
      <c r="P1245" s="408"/>
      <c r="Q1245" s="408"/>
      <c r="R1245" s="408"/>
      <c r="S1245" s="408"/>
      <c r="T1245" s="408"/>
      <c r="U1245" s="408"/>
      <c r="V1245" s="421"/>
      <c r="W1245" s="421"/>
      <c r="X1245" s="421"/>
      <c r="Y1245" s="421"/>
      <c r="Z1245" s="421"/>
      <c r="AA1245" s="421"/>
      <c r="AB1245" s="421"/>
      <c r="AC1245" s="421"/>
      <c r="AD1245" s="421"/>
      <c r="AE1245" s="421"/>
      <c r="AF1245" s="421"/>
      <c r="AG1245" s="421"/>
      <c r="AH1245" s="421"/>
      <c r="AI1245" s="421"/>
      <c r="AJ1245" s="421"/>
      <c r="AK1245" s="421"/>
      <c r="AL1245" s="421"/>
    </row>
    <row r="1246" spans="1:38">
      <c r="A1246" s="3">
        <v>6021</v>
      </c>
      <c r="B1246" s="83">
        <f t="array" ref="B1246">SUM(--(FREQUENCY(IF(C$2:C$3086=C1246, MATCH(D$2:D$3086, D$2:D$3086, 0)), ROW(D$2:D$3086)-ROW(D$2)+1) &gt; 0))</f>
        <v>3</v>
      </c>
      <c r="C1246" s="3">
        <v>41200134</v>
      </c>
      <c r="D1246" s="6" t="s">
        <v>2958</v>
      </c>
      <c r="E1246" s="3" t="s">
        <v>1429</v>
      </c>
      <c r="F1246" s="3" t="s">
        <v>1476</v>
      </c>
      <c r="G1246" s="68" t="str">
        <f t="shared" si="241"/>
        <v>DUAL</v>
      </c>
      <c r="H1246" s="197">
        <f t="shared" si="252"/>
        <v>38</v>
      </c>
      <c r="I1246" s="197">
        <v>9</v>
      </c>
      <c r="J1246" s="197">
        <v>18</v>
      </c>
      <c r="K1246" s="186">
        <f t="shared" si="253"/>
        <v>45918</v>
      </c>
      <c r="L1246" s="3" t="s">
        <v>2395</v>
      </c>
      <c r="M1246" s="3" t="s">
        <v>1468</v>
      </c>
      <c r="N1246" s="408" t="str">
        <f t="shared" ref="N1246:N1316" si="260">IF(O1246&lt;&gt;"", "NG", "")</f>
        <v/>
      </c>
      <c r="O1246" s="408"/>
      <c r="P1246" s="408"/>
      <c r="Q1246" s="408"/>
      <c r="R1246" s="408"/>
      <c r="S1246" s="408"/>
      <c r="T1246" s="408"/>
      <c r="U1246" s="408"/>
      <c r="V1246" s="421"/>
      <c r="W1246" s="421"/>
      <c r="X1246" s="421"/>
      <c r="Y1246" s="421"/>
      <c r="Z1246" s="421"/>
      <c r="AA1246" s="421"/>
      <c r="AB1246" s="421"/>
      <c r="AC1246" s="421"/>
      <c r="AD1246" s="421"/>
      <c r="AE1246" s="421"/>
      <c r="AF1246" s="421"/>
      <c r="AG1246" s="421"/>
      <c r="AH1246" s="421"/>
      <c r="AI1246" s="421"/>
      <c r="AJ1246" s="421"/>
      <c r="AK1246" s="421"/>
      <c r="AL1246" s="421"/>
    </row>
    <row r="1247" spans="1:38">
      <c r="A1247" s="3">
        <v>6005</v>
      </c>
      <c r="B1247" s="83">
        <f t="array" ref="B1247">SUM(--(FREQUENCY(IF(C$2:C$3086=C1247, MATCH(D$2:D$3086, D$2:D$3086, 0)), ROW(D$2:D$3086)-ROW(D$2)+1) &gt; 0))</f>
        <v>29</v>
      </c>
      <c r="C1247" s="3">
        <v>41200127</v>
      </c>
      <c r="D1247" s="6" t="s">
        <v>2959</v>
      </c>
      <c r="E1247" s="3" t="s">
        <v>1431</v>
      </c>
      <c r="F1247" s="3" t="s">
        <v>1591</v>
      </c>
      <c r="G1247" s="68" t="str">
        <f t="shared" si="241"/>
        <v>SINGLE</v>
      </c>
      <c r="H1247" s="197">
        <f t="shared" si="252"/>
        <v>38</v>
      </c>
      <c r="I1247" s="197">
        <v>9</v>
      </c>
      <c r="J1247" s="197">
        <v>18</v>
      </c>
      <c r="K1247" s="186">
        <f t="shared" si="253"/>
        <v>45918</v>
      </c>
      <c r="L1247" s="3" t="s">
        <v>2395</v>
      </c>
      <c r="M1247" s="3" t="s">
        <v>1469</v>
      </c>
      <c r="N1247" s="408" t="str">
        <f t="shared" si="260"/>
        <v/>
      </c>
      <c r="O1247" s="408"/>
      <c r="P1247" s="408"/>
      <c r="Q1247" s="408"/>
      <c r="R1247" s="408"/>
      <c r="S1247" s="408"/>
      <c r="T1247" s="408"/>
      <c r="U1247" s="408"/>
      <c r="V1247" s="421"/>
      <c r="W1247" s="421"/>
      <c r="X1247" s="421"/>
      <c r="Y1247" s="421"/>
      <c r="Z1247" s="421"/>
      <c r="AA1247" s="421"/>
      <c r="AB1247" s="421"/>
      <c r="AC1247" s="421"/>
      <c r="AD1247" s="421"/>
      <c r="AE1247" s="421"/>
      <c r="AF1247" s="421"/>
      <c r="AG1247" s="421"/>
      <c r="AH1247" s="421"/>
      <c r="AI1247" s="421"/>
      <c r="AJ1247" s="421"/>
      <c r="AK1247" s="421"/>
      <c r="AL1247" s="421"/>
    </row>
    <row r="1248" spans="1:38">
      <c r="A1248" s="3">
        <v>6005</v>
      </c>
      <c r="B1248" s="83">
        <f t="array" ref="B1248">SUM(--(FREQUENCY(IF(C$2:C$3086=C1248, MATCH(D$2:D$3086, D$2:D$3086, 0)), ROW(D$2:D$3086)-ROW(D$2)+1) &gt; 0))</f>
        <v>29</v>
      </c>
      <c r="C1248" s="3">
        <v>41200127</v>
      </c>
      <c r="D1248" s="6" t="s">
        <v>2960</v>
      </c>
      <c r="E1248" s="3" t="s">
        <v>1431</v>
      </c>
      <c r="F1248" s="3" t="s">
        <v>1591</v>
      </c>
      <c r="G1248" s="68" t="str">
        <f t="shared" si="241"/>
        <v>SINGLE</v>
      </c>
      <c r="H1248" s="197">
        <f t="shared" si="252"/>
        <v>38</v>
      </c>
      <c r="I1248" s="197">
        <v>9</v>
      </c>
      <c r="J1248" s="197">
        <v>18</v>
      </c>
      <c r="K1248" s="186">
        <f t="shared" si="253"/>
        <v>45918</v>
      </c>
      <c r="L1248" s="3" t="s">
        <v>2395</v>
      </c>
      <c r="M1248" s="3" t="s">
        <v>1469</v>
      </c>
      <c r="N1248" s="408" t="str">
        <f t="shared" si="260"/>
        <v/>
      </c>
      <c r="O1248" s="408"/>
      <c r="P1248" s="408"/>
      <c r="Q1248" s="408"/>
      <c r="R1248" s="408"/>
      <c r="S1248" s="408"/>
      <c r="T1248" s="408"/>
      <c r="U1248" s="408"/>
      <c r="V1248" s="421"/>
      <c r="W1248" s="421"/>
      <c r="X1248" s="421"/>
      <c r="Y1248" s="421"/>
      <c r="Z1248" s="421"/>
      <c r="AA1248" s="421"/>
      <c r="AB1248" s="421"/>
      <c r="AC1248" s="421"/>
      <c r="AD1248" s="421"/>
      <c r="AE1248" s="421"/>
      <c r="AF1248" s="421"/>
      <c r="AG1248" s="421"/>
      <c r="AH1248" s="421"/>
      <c r="AI1248" s="421"/>
      <c r="AJ1248" s="421"/>
      <c r="AK1248" s="421"/>
      <c r="AL1248" s="421"/>
    </row>
    <row r="1249" spans="1:38">
      <c r="A1249" s="3">
        <v>6006</v>
      </c>
      <c r="B1249" s="83">
        <f t="array" ref="B1249">SUM(--(FREQUENCY(IF(C$2:C$3085=C1249, MATCH(D$2:D$3085, D$2:D$3085, 0)), ROW(D$2:D$3085)-ROW(D$2)+1) &gt; 0))</f>
        <v>63</v>
      </c>
      <c r="C1249" s="3">
        <v>41200006</v>
      </c>
      <c r="D1249" s="6" t="s">
        <v>2961</v>
      </c>
      <c r="E1249" s="3" t="s">
        <v>1405</v>
      </c>
      <c r="F1249" s="3" t="s">
        <v>1477</v>
      </c>
      <c r="G1249" s="68" t="str">
        <f t="shared" si="241"/>
        <v>SINGLE</v>
      </c>
      <c r="H1249" s="197">
        <f t="shared" ref="H1249:H1256" si="261">WEEKNUM(K1249)</f>
        <v>38</v>
      </c>
      <c r="I1249" s="197">
        <v>9</v>
      </c>
      <c r="J1249" s="197">
        <v>19</v>
      </c>
      <c r="K1249" s="186">
        <f t="shared" ref="K1249:K1256" si="262">DATE(2025, I1249, J1249)</f>
        <v>45919</v>
      </c>
      <c r="L1249" s="3" t="s">
        <v>2391</v>
      </c>
      <c r="M1249" s="3" t="s">
        <v>2392</v>
      </c>
      <c r="N1249" s="408" t="str">
        <f t="shared" si="260"/>
        <v>NG</v>
      </c>
      <c r="O1249" s="408" t="s">
        <v>1569</v>
      </c>
      <c r="P1249" s="408" t="s">
        <v>2541</v>
      </c>
      <c r="Q1249" s="408">
        <v>12000064</v>
      </c>
      <c r="R1249" s="408" t="s">
        <v>2962</v>
      </c>
      <c r="S1249" s="408" t="s">
        <v>2963</v>
      </c>
      <c r="T1249" s="408"/>
      <c r="U1249" s="408"/>
      <c r="V1249" s="421"/>
      <c r="W1249" s="421"/>
      <c r="X1249" s="421"/>
      <c r="Y1249" s="421"/>
      <c r="Z1249" s="421"/>
      <c r="AA1249" s="421"/>
      <c r="AB1249" s="421"/>
      <c r="AC1249" s="421"/>
      <c r="AD1249" s="421"/>
      <c r="AE1249" s="421"/>
      <c r="AF1249" s="421"/>
      <c r="AG1249" s="421"/>
      <c r="AH1249" s="421"/>
      <c r="AI1249" s="421"/>
      <c r="AJ1249" s="421"/>
      <c r="AK1249" s="421"/>
      <c r="AL1249" s="421"/>
    </row>
    <row r="1250" spans="1:38">
      <c r="A1250" s="3">
        <v>6006</v>
      </c>
      <c r="B1250" s="83">
        <f t="array" ref="B1250">SUM(--(FREQUENCY(IF(C$2:C$3085=C1250, MATCH(D$2:D$3085, D$2:D$3085, 0)), ROW(D$2:D$3085)-ROW(D$2)+1) &gt; 0))</f>
        <v>63</v>
      </c>
      <c r="C1250" s="3">
        <v>41200006</v>
      </c>
      <c r="D1250" s="6" t="s">
        <v>2964</v>
      </c>
      <c r="E1250" s="3" t="s">
        <v>1405</v>
      </c>
      <c r="F1250" s="3" t="s">
        <v>1477</v>
      </c>
      <c r="G1250" s="68" t="str">
        <f t="shared" si="241"/>
        <v>SINGLE</v>
      </c>
      <c r="H1250" s="197">
        <f t="shared" si="261"/>
        <v>38</v>
      </c>
      <c r="I1250" s="197">
        <v>9</v>
      </c>
      <c r="J1250" s="197">
        <v>19</v>
      </c>
      <c r="K1250" s="186">
        <f t="shared" si="262"/>
        <v>45919</v>
      </c>
      <c r="L1250" s="3" t="s">
        <v>2391</v>
      </c>
      <c r="M1250" s="3" t="s">
        <v>2392</v>
      </c>
      <c r="N1250" s="408" t="s">
        <v>2877</v>
      </c>
      <c r="O1250" s="408" t="s">
        <v>2368</v>
      </c>
      <c r="P1250" s="408" t="s">
        <v>2371</v>
      </c>
      <c r="Q1250" s="408">
        <v>11001968</v>
      </c>
      <c r="R1250" s="408" t="s">
        <v>473</v>
      </c>
      <c r="S1250" s="3" t="s">
        <v>2858</v>
      </c>
      <c r="T1250" s="408"/>
      <c r="U1250" s="408"/>
      <c r="V1250" s="421"/>
      <c r="W1250" s="421"/>
      <c r="X1250" s="421"/>
      <c r="Y1250" s="421"/>
      <c r="Z1250" s="421"/>
      <c r="AA1250" s="421"/>
      <c r="AB1250" s="421"/>
      <c r="AC1250" s="421"/>
      <c r="AD1250" s="421"/>
      <c r="AE1250" s="421"/>
      <c r="AF1250" s="421"/>
      <c r="AG1250" s="421"/>
      <c r="AH1250" s="421"/>
      <c r="AI1250" s="421"/>
      <c r="AJ1250" s="421"/>
      <c r="AK1250" s="421"/>
      <c r="AL1250" s="421"/>
    </row>
    <row r="1251" spans="1:38">
      <c r="A1251" s="3">
        <v>6041</v>
      </c>
      <c r="B1251" s="83">
        <f t="array" ref="B1251">SUM(--(FREQUENCY(IF(C$2:C$3085=C1251, MATCH(D$2:D$3085, D$2:D$3085, 0)), ROW(D$2:D$3085)-ROW(D$2)+1) &gt; 0))</f>
        <v>7</v>
      </c>
      <c r="C1251" s="3">
        <v>41200039</v>
      </c>
      <c r="D1251" s="6" t="s">
        <v>2965</v>
      </c>
      <c r="E1251" s="3" t="s">
        <v>1426</v>
      </c>
      <c r="F1251" s="3" t="s">
        <v>1476</v>
      </c>
      <c r="G1251" s="68" t="str">
        <f t="shared" si="241"/>
        <v>DUAL</v>
      </c>
      <c r="H1251" s="197">
        <f t="shared" si="261"/>
        <v>38</v>
      </c>
      <c r="I1251" s="197">
        <v>9</v>
      </c>
      <c r="J1251" s="197">
        <v>19</v>
      </c>
      <c r="K1251" s="186">
        <f t="shared" si="262"/>
        <v>45919</v>
      </c>
      <c r="L1251" s="3" t="s">
        <v>2391</v>
      </c>
      <c r="M1251" s="3" t="s">
        <v>2392</v>
      </c>
      <c r="N1251" s="408" t="str">
        <f t="shared" si="260"/>
        <v/>
      </c>
      <c r="O1251" s="408"/>
      <c r="P1251" s="408"/>
      <c r="Q1251" s="408"/>
      <c r="R1251" s="408"/>
      <c r="S1251" s="408"/>
      <c r="T1251" s="408"/>
      <c r="U1251" s="408"/>
      <c r="V1251" s="421"/>
      <c r="W1251" s="421"/>
      <c r="X1251" s="421"/>
      <c r="Y1251" s="421"/>
      <c r="Z1251" s="421"/>
      <c r="AA1251" s="421"/>
      <c r="AB1251" s="421"/>
      <c r="AC1251" s="421"/>
      <c r="AD1251" s="421"/>
      <c r="AE1251" s="421"/>
      <c r="AF1251" s="421"/>
      <c r="AG1251" s="421"/>
      <c r="AH1251" s="421"/>
      <c r="AI1251" s="421"/>
      <c r="AJ1251" s="421"/>
      <c r="AK1251" s="421"/>
      <c r="AL1251" s="421"/>
    </row>
    <row r="1252" spans="1:38">
      <c r="A1252" s="3">
        <v>6036</v>
      </c>
      <c r="B1252" s="83">
        <f t="array" ref="B1252">SUM(--(FREQUENCY(IF(C$2:C$3085=C1252, MATCH(D$2:D$3085, D$2:D$3085, 0)), ROW(D$2:D$3085)-ROW(D$2)+1) &gt; 0))</f>
        <v>19</v>
      </c>
      <c r="C1252" s="3">
        <v>41200033</v>
      </c>
      <c r="D1252" s="6" t="s">
        <v>2966</v>
      </c>
      <c r="E1252" s="3" t="s">
        <v>1426</v>
      </c>
      <c r="F1252" s="3" t="s">
        <v>1476</v>
      </c>
      <c r="G1252" s="68" t="str">
        <f t="shared" si="241"/>
        <v>DUAL</v>
      </c>
      <c r="H1252" s="197">
        <f t="shared" si="261"/>
        <v>38</v>
      </c>
      <c r="I1252" s="197">
        <v>9</v>
      </c>
      <c r="J1252" s="197">
        <v>19</v>
      </c>
      <c r="K1252" s="186">
        <f t="shared" si="262"/>
        <v>45919</v>
      </c>
      <c r="L1252" s="3" t="s">
        <v>2391</v>
      </c>
      <c r="M1252" s="3" t="s">
        <v>1468</v>
      </c>
      <c r="N1252" s="408" t="str">
        <f t="shared" si="260"/>
        <v/>
      </c>
      <c r="O1252" s="408"/>
      <c r="P1252" s="408"/>
      <c r="Q1252" s="408"/>
      <c r="R1252" s="408"/>
      <c r="S1252" s="408"/>
      <c r="T1252" s="408"/>
      <c r="U1252" s="408"/>
      <c r="V1252" s="421"/>
      <c r="W1252" s="421"/>
      <c r="X1252" s="421"/>
      <c r="Y1252" s="421"/>
      <c r="Z1252" s="421"/>
      <c r="AA1252" s="421"/>
      <c r="AB1252" s="421"/>
      <c r="AC1252" s="421"/>
      <c r="AD1252" s="421"/>
      <c r="AE1252" s="421"/>
      <c r="AF1252" s="421"/>
      <c r="AG1252" s="421"/>
      <c r="AH1252" s="421"/>
      <c r="AI1252" s="421"/>
      <c r="AJ1252" s="421"/>
      <c r="AK1252" s="421"/>
      <c r="AL1252" s="421"/>
    </row>
    <row r="1253" spans="1:38">
      <c r="A1253" s="3">
        <v>6100</v>
      </c>
      <c r="B1253" s="83">
        <f t="array" ref="B1253">SUM(--(FREQUENCY(IF(C$2:C$3085=C1253, MATCH(D$2:D$3085, D$2:D$3085, 0)), ROW(D$2:D$3085)-ROW(D$2)+1) &gt; 0))</f>
        <v>6</v>
      </c>
      <c r="C1253" s="3">
        <v>41200145</v>
      </c>
      <c r="D1253" s="6" t="s">
        <v>1871</v>
      </c>
      <c r="E1253" s="3" t="s">
        <v>1409</v>
      </c>
      <c r="F1253" s="3" t="s">
        <v>1479</v>
      </c>
      <c r="G1253" s="41" t="str">
        <f t="shared" si="241"/>
        <v>SINGLE</v>
      </c>
      <c r="H1253" s="197">
        <f t="shared" si="261"/>
        <v>38</v>
      </c>
      <c r="I1253" s="197">
        <v>9</v>
      </c>
      <c r="J1253" s="197">
        <v>19</v>
      </c>
      <c r="K1253" s="186">
        <f t="shared" si="262"/>
        <v>45919</v>
      </c>
      <c r="L1253" s="3" t="s">
        <v>2391</v>
      </c>
      <c r="M1253" s="3" t="s">
        <v>1468</v>
      </c>
      <c r="N1253" s="408" t="str">
        <f t="shared" si="260"/>
        <v>NG</v>
      </c>
      <c r="O1253" s="408" t="s">
        <v>2368</v>
      </c>
      <c r="P1253" s="408" t="s">
        <v>2371</v>
      </c>
      <c r="Q1253" s="408">
        <v>11001968</v>
      </c>
      <c r="R1253" s="408" t="s">
        <v>473</v>
      </c>
      <c r="S1253" s="3" t="s">
        <v>2858</v>
      </c>
      <c r="T1253" s="408"/>
      <c r="U1253" s="408"/>
      <c r="V1253" s="421"/>
      <c r="W1253" s="421"/>
      <c r="X1253" s="421"/>
      <c r="Y1253" s="421"/>
      <c r="Z1253" s="421"/>
      <c r="AA1253" s="421"/>
      <c r="AB1253" s="421"/>
      <c r="AC1253" s="421"/>
      <c r="AD1253" s="421"/>
      <c r="AE1253" s="421"/>
      <c r="AF1253" s="421"/>
      <c r="AG1253" s="421"/>
      <c r="AH1253" s="421"/>
      <c r="AI1253" s="421"/>
      <c r="AJ1253" s="421"/>
      <c r="AK1253" s="421"/>
      <c r="AL1253" s="421"/>
    </row>
    <row r="1254" spans="1:38">
      <c r="A1254" s="3">
        <v>6011</v>
      </c>
      <c r="B1254" s="83">
        <f t="array" ref="B1254">SUM(--(FREQUENCY(IF(C$2:C$3085=C1254, MATCH(D$2:D$3085, D$2:D$3085, 0)), ROW(D$2:D$3085)-ROW(D$2)+1) &gt; 0))</f>
        <v>18</v>
      </c>
      <c r="C1254" s="3">
        <v>41200171</v>
      </c>
      <c r="D1254" s="6" t="s">
        <v>2967</v>
      </c>
      <c r="E1254" s="3" t="s">
        <v>1394</v>
      </c>
      <c r="F1254" s="3" t="s">
        <v>1479</v>
      </c>
      <c r="G1254" s="68" t="str">
        <f t="shared" si="241"/>
        <v>SINGLE</v>
      </c>
      <c r="H1254" s="197">
        <f t="shared" si="261"/>
        <v>38</v>
      </c>
      <c r="I1254" s="197">
        <v>9</v>
      </c>
      <c r="J1254" s="197">
        <v>19</v>
      </c>
      <c r="K1254" s="186">
        <f t="shared" si="262"/>
        <v>45919</v>
      </c>
      <c r="L1254" s="3" t="s">
        <v>2395</v>
      </c>
      <c r="M1254" s="3" t="s">
        <v>1469</v>
      </c>
      <c r="N1254" s="408" t="str">
        <f t="shared" si="260"/>
        <v>NG</v>
      </c>
      <c r="O1254" s="408" t="s">
        <v>2368</v>
      </c>
      <c r="P1254" s="408" t="s">
        <v>2376</v>
      </c>
      <c r="Q1254" s="408">
        <v>11004840</v>
      </c>
      <c r="R1254" s="408" t="s">
        <v>103</v>
      </c>
      <c r="S1254" s="408" t="s">
        <v>2968</v>
      </c>
      <c r="T1254" s="408"/>
      <c r="U1254" s="408"/>
      <c r="V1254" s="421"/>
      <c r="W1254" s="421"/>
      <c r="X1254" s="421"/>
      <c r="Y1254" s="421"/>
      <c r="Z1254" s="421"/>
      <c r="AA1254" s="421"/>
      <c r="AB1254" s="421"/>
      <c r="AC1254" s="421"/>
      <c r="AD1254" s="421"/>
      <c r="AE1254" s="421"/>
      <c r="AF1254" s="421"/>
      <c r="AG1254" s="421"/>
      <c r="AH1254" s="421"/>
      <c r="AI1254" s="421"/>
      <c r="AJ1254" s="421"/>
      <c r="AK1254" s="421"/>
      <c r="AL1254" s="421"/>
    </row>
    <row r="1255" spans="1:38">
      <c r="A1255" s="3">
        <v>6011</v>
      </c>
      <c r="B1255" s="83">
        <f t="array" ref="B1255">SUM(--(FREQUENCY(IF(C$2:C$3085=C1255, MATCH(D$2:D$3085, D$2:D$3085, 0)), ROW(D$2:D$3085)-ROW(D$2)+1) &gt; 0))</f>
        <v>18</v>
      </c>
      <c r="C1255" s="3">
        <v>41200171</v>
      </c>
      <c r="D1255" s="6" t="s">
        <v>2969</v>
      </c>
      <c r="E1255" s="3" t="s">
        <v>1394</v>
      </c>
      <c r="F1255" s="3" t="s">
        <v>1479</v>
      </c>
      <c r="G1255" s="68" t="str">
        <f t="shared" si="241"/>
        <v>SINGLE</v>
      </c>
      <c r="H1255" s="197">
        <f t="shared" si="261"/>
        <v>38</v>
      </c>
      <c r="I1255" s="197">
        <v>9</v>
      </c>
      <c r="J1255" s="197">
        <v>19</v>
      </c>
      <c r="K1255" s="186">
        <f t="shared" si="262"/>
        <v>45919</v>
      </c>
      <c r="L1255" s="3" t="s">
        <v>2395</v>
      </c>
      <c r="M1255" s="3" t="s">
        <v>1469</v>
      </c>
      <c r="N1255" s="408" t="str">
        <f t="shared" si="260"/>
        <v/>
      </c>
      <c r="O1255" s="408"/>
      <c r="P1255" s="408"/>
      <c r="Q1255" s="408"/>
      <c r="R1255" s="408"/>
      <c r="S1255" s="408"/>
      <c r="T1255" s="408"/>
      <c r="U1255" s="408"/>
      <c r="V1255" s="421"/>
      <c r="W1255" s="421"/>
      <c r="X1255" s="421"/>
      <c r="Y1255" s="421"/>
      <c r="Z1255" s="421"/>
      <c r="AA1255" s="421"/>
      <c r="AB1255" s="421"/>
      <c r="AC1255" s="421"/>
      <c r="AD1255" s="421"/>
      <c r="AE1255" s="421"/>
      <c r="AF1255" s="421"/>
      <c r="AG1255" s="421"/>
      <c r="AH1255" s="421"/>
      <c r="AI1255" s="421"/>
      <c r="AJ1255" s="421"/>
      <c r="AK1255" s="421"/>
      <c r="AL1255" s="421"/>
    </row>
    <row r="1256" spans="1:38">
      <c r="A1256" s="3">
        <v>6011</v>
      </c>
      <c r="B1256" s="83">
        <f t="array" ref="B1256">SUM(--(FREQUENCY(IF(C$2:C$3085=C1256, MATCH(D$2:D$3085, D$2:D$3085, 0)), ROW(D$2:D$3085)-ROW(D$2)+1) &gt; 0))</f>
        <v>18</v>
      </c>
      <c r="C1256" s="3">
        <v>41200171</v>
      </c>
      <c r="D1256" s="6" t="s">
        <v>2970</v>
      </c>
      <c r="E1256" s="3" t="s">
        <v>1394</v>
      </c>
      <c r="F1256" s="3" t="s">
        <v>1479</v>
      </c>
      <c r="G1256" s="68" t="str">
        <f t="shared" si="241"/>
        <v>SINGLE</v>
      </c>
      <c r="H1256" s="197">
        <f t="shared" si="261"/>
        <v>38</v>
      </c>
      <c r="I1256" s="197">
        <v>9</v>
      </c>
      <c r="J1256" s="197">
        <v>19</v>
      </c>
      <c r="K1256" s="186">
        <f t="shared" si="262"/>
        <v>45919</v>
      </c>
      <c r="L1256" s="3" t="s">
        <v>2395</v>
      </c>
      <c r="M1256" s="3" t="s">
        <v>1469</v>
      </c>
      <c r="N1256" s="408" t="str">
        <f t="shared" si="260"/>
        <v/>
      </c>
      <c r="O1256" s="408"/>
      <c r="P1256" s="408"/>
      <c r="Q1256" s="408"/>
      <c r="R1256" s="408"/>
      <c r="S1256" s="408"/>
      <c r="T1256" s="408"/>
      <c r="U1256" s="408"/>
      <c r="V1256" s="421"/>
      <c r="W1256" s="421"/>
      <c r="X1256" s="421"/>
      <c r="Y1256" s="421"/>
      <c r="Z1256" s="421"/>
      <c r="AA1256" s="421"/>
      <c r="AB1256" s="421"/>
      <c r="AC1256" s="421"/>
      <c r="AD1256" s="421"/>
      <c r="AE1256" s="421"/>
      <c r="AF1256" s="421"/>
      <c r="AG1256" s="421"/>
      <c r="AH1256" s="421"/>
      <c r="AI1256" s="421"/>
      <c r="AJ1256" s="421"/>
      <c r="AK1256" s="421"/>
      <c r="AL1256" s="421"/>
    </row>
    <row r="1257" spans="1:38">
      <c r="A1257" s="3">
        <v>6042</v>
      </c>
      <c r="B1257" s="83">
        <f t="array" ref="B1257">SUM(--(FREQUENCY(IF(C$2:C$3084=C1257, MATCH(D$2:D$3084, D$2:D$3084, 0)), ROW(D$2:D$3084)-ROW(D$2)+1) &gt; 0))</f>
        <v>5</v>
      </c>
      <c r="C1257" s="3">
        <v>41200042</v>
      </c>
      <c r="D1257" s="6" t="s">
        <v>2971</v>
      </c>
      <c r="E1257" s="3" t="s">
        <v>1426</v>
      </c>
      <c r="F1257" s="3" t="s">
        <v>1476</v>
      </c>
      <c r="G1257" s="68" t="str">
        <f t="shared" si="241"/>
        <v>DUAL</v>
      </c>
      <c r="H1257" s="197">
        <f t="shared" ref="H1257:H1266" si="263">WEEKNUM(K1257)</f>
        <v>39</v>
      </c>
      <c r="I1257" s="197">
        <v>9</v>
      </c>
      <c r="J1257" s="197">
        <v>22</v>
      </c>
      <c r="K1257" s="186">
        <f t="shared" ref="K1257:K1266" si="264">DATE(2025, I1257, J1257)</f>
        <v>45922</v>
      </c>
      <c r="L1257" s="3" t="s">
        <v>2391</v>
      </c>
      <c r="M1257" s="3" t="s">
        <v>2392</v>
      </c>
      <c r="N1257" s="408" t="str">
        <f t="shared" si="260"/>
        <v/>
      </c>
      <c r="O1257" s="408"/>
      <c r="P1257" s="408"/>
      <c r="Q1257" s="408"/>
      <c r="R1257" s="408"/>
      <c r="S1257" s="408"/>
      <c r="T1257" s="408"/>
      <c r="U1257" s="408"/>
      <c r="V1257" s="421"/>
      <c r="W1257" s="421"/>
      <c r="X1257" s="421"/>
      <c r="Y1257" s="421"/>
      <c r="Z1257" s="421"/>
      <c r="AA1257" s="421"/>
      <c r="AB1257" s="421"/>
      <c r="AC1257" s="421"/>
      <c r="AD1257" s="421"/>
      <c r="AE1257" s="421"/>
      <c r="AF1257" s="421"/>
      <c r="AG1257" s="421"/>
      <c r="AH1257" s="421"/>
      <c r="AI1257" s="421"/>
      <c r="AJ1257" s="421"/>
      <c r="AK1257" s="421"/>
      <c r="AL1257" s="421"/>
    </row>
    <row r="1258" spans="1:38">
      <c r="A1258" s="3">
        <v>6050</v>
      </c>
      <c r="B1258" s="83">
        <f t="array" ref="B1258">SUM(--(FREQUENCY(IF(C$2:C$3084=C1258, MATCH(D$2:D$3084, D$2:D$3084, 0)), ROW(D$2:D$3084)-ROW(D$2)+1) &gt; 0))</f>
        <v>4</v>
      </c>
      <c r="C1258" s="3">
        <v>41200027</v>
      </c>
      <c r="D1258" s="6" t="s">
        <v>2972</v>
      </c>
      <c r="E1258" s="3" t="s">
        <v>1405</v>
      </c>
      <c r="F1258" s="3" t="s">
        <v>1591</v>
      </c>
      <c r="G1258" s="68" t="str">
        <f t="shared" si="241"/>
        <v>SINGLE</v>
      </c>
      <c r="H1258" s="197">
        <f t="shared" si="263"/>
        <v>39</v>
      </c>
      <c r="I1258" s="197">
        <v>9</v>
      </c>
      <c r="J1258" s="197">
        <v>22</v>
      </c>
      <c r="K1258" s="186">
        <f t="shared" si="264"/>
        <v>45922</v>
      </c>
      <c r="L1258" s="3" t="s">
        <v>2391</v>
      </c>
      <c r="M1258" s="3" t="s">
        <v>2392</v>
      </c>
      <c r="N1258" s="408" t="str">
        <f t="shared" si="260"/>
        <v>NG</v>
      </c>
      <c r="O1258" s="408" t="s">
        <v>2368</v>
      </c>
      <c r="P1258" s="408" t="s">
        <v>2371</v>
      </c>
      <c r="Q1258" s="408">
        <v>11001962</v>
      </c>
      <c r="R1258" s="408" t="s">
        <v>562</v>
      </c>
      <c r="S1258" s="408" t="s">
        <v>2849</v>
      </c>
      <c r="T1258" s="408"/>
      <c r="U1258" s="408"/>
      <c r="V1258" s="421"/>
      <c r="W1258" s="421"/>
      <c r="X1258" s="421"/>
      <c r="Y1258" s="421"/>
      <c r="Z1258" s="421"/>
      <c r="AA1258" s="421"/>
      <c r="AB1258" s="421"/>
      <c r="AC1258" s="421"/>
      <c r="AD1258" s="421"/>
      <c r="AE1258" s="421"/>
      <c r="AF1258" s="421"/>
      <c r="AG1258" s="421"/>
      <c r="AH1258" s="421"/>
      <c r="AI1258" s="421"/>
      <c r="AJ1258" s="421"/>
      <c r="AK1258" s="421"/>
      <c r="AL1258" s="421"/>
    </row>
    <row r="1259" spans="1:38">
      <c r="A1259" s="3">
        <v>6100</v>
      </c>
      <c r="B1259" s="83">
        <f t="array" ref="B1259">SUM(--(FREQUENCY(IF(C$2:C$3084=C1259, MATCH(D$2:D$3084, D$2:D$3084, 0)), ROW(D$2:D$3084)-ROW(D$2)+1) &gt; 0))</f>
        <v>6</v>
      </c>
      <c r="C1259" s="3">
        <v>41200145</v>
      </c>
      <c r="D1259" s="6" t="s">
        <v>1872</v>
      </c>
      <c r="E1259" s="3" t="s">
        <v>1409</v>
      </c>
      <c r="F1259" s="3" t="s">
        <v>1479</v>
      </c>
      <c r="G1259" s="41" t="str">
        <f t="shared" si="241"/>
        <v>SINGLE</v>
      </c>
      <c r="H1259" s="197">
        <f t="shared" si="263"/>
        <v>39</v>
      </c>
      <c r="I1259" s="197">
        <v>9</v>
      </c>
      <c r="J1259" s="197">
        <v>22</v>
      </c>
      <c r="K1259" s="186">
        <f t="shared" si="264"/>
        <v>45922</v>
      </c>
      <c r="L1259" s="3" t="s">
        <v>2391</v>
      </c>
      <c r="M1259" s="3" t="s">
        <v>1468</v>
      </c>
      <c r="N1259" s="408" t="str">
        <f t="shared" si="260"/>
        <v/>
      </c>
      <c r="O1259" s="408"/>
      <c r="P1259" s="408"/>
      <c r="Q1259" s="408"/>
      <c r="R1259" s="408"/>
      <c r="S1259" s="408"/>
      <c r="T1259" s="408"/>
      <c r="U1259" s="408"/>
      <c r="V1259" s="421"/>
      <c r="W1259" s="421"/>
      <c r="X1259" s="421"/>
      <c r="Y1259" s="421"/>
      <c r="Z1259" s="421"/>
      <c r="AA1259" s="421"/>
      <c r="AB1259" s="421"/>
      <c r="AC1259" s="421"/>
      <c r="AD1259" s="421"/>
      <c r="AE1259" s="421"/>
      <c r="AF1259" s="421"/>
      <c r="AG1259" s="421"/>
      <c r="AH1259" s="421"/>
      <c r="AI1259" s="421"/>
      <c r="AJ1259" s="421"/>
      <c r="AK1259" s="421"/>
      <c r="AL1259" s="421"/>
    </row>
    <row r="1260" spans="1:38">
      <c r="A1260" s="3">
        <v>6002</v>
      </c>
      <c r="B1260" s="83">
        <f t="array" ref="B1260">SUM(--(FREQUENCY(IF(C$2:C$3084=C1260, MATCH(D$2:D$3084, D$2:D$3084, 0)), ROW(D$2:D$3084)-ROW(D$2)+1) &gt; 0))</f>
        <v>7</v>
      </c>
      <c r="C1260" s="3">
        <v>41200131</v>
      </c>
      <c r="D1260" s="6" t="s">
        <v>2973</v>
      </c>
      <c r="E1260" s="3" t="s">
        <v>1431</v>
      </c>
      <c r="F1260" s="3" t="s">
        <v>1476</v>
      </c>
      <c r="G1260" s="68" t="str">
        <f t="shared" si="241"/>
        <v>DUAL</v>
      </c>
      <c r="H1260" s="197">
        <f t="shared" si="263"/>
        <v>39</v>
      </c>
      <c r="I1260" s="197">
        <v>9</v>
      </c>
      <c r="J1260" s="197">
        <v>22</v>
      </c>
      <c r="K1260" s="186">
        <f t="shared" si="264"/>
        <v>45922</v>
      </c>
      <c r="L1260" s="3" t="s">
        <v>2391</v>
      </c>
      <c r="M1260" s="3" t="s">
        <v>1468</v>
      </c>
      <c r="N1260" s="408" t="str">
        <f t="shared" si="260"/>
        <v/>
      </c>
      <c r="O1260" s="408"/>
      <c r="P1260" s="408"/>
      <c r="Q1260" s="408"/>
      <c r="R1260" s="408"/>
      <c r="S1260" s="408"/>
      <c r="T1260" s="408"/>
      <c r="U1260" s="408"/>
      <c r="V1260" s="421"/>
      <c r="W1260" s="421"/>
      <c r="X1260" s="421"/>
      <c r="Y1260" s="421"/>
      <c r="Z1260" s="421"/>
      <c r="AA1260" s="421"/>
      <c r="AB1260" s="421"/>
      <c r="AC1260" s="421"/>
      <c r="AD1260" s="421"/>
      <c r="AE1260" s="421"/>
      <c r="AF1260" s="421"/>
      <c r="AG1260" s="421"/>
      <c r="AH1260" s="421"/>
      <c r="AI1260" s="421"/>
      <c r="AJ1260" s="421"/>
      <c r="AK1260" s="421"/>
      <c r="AL1260" s="421"/>
    </row>
    <row r="1261" spans="1:38">
      <c r="A1261" s="3">
        <v>5976</v>
      </c>
      <c r="B1261" s="83">
        <f t="array" ref="B1261">SUM(--(FREQUENCY(IF(C$2:C$3084=C1261, MATCH(D$2:D$3084, D$2:D$3084, 0)), ROW(D$2:D$3084)-ROW(D$2)+1) &gt; 0))</f>
        <v>6</v>
      </c>
      <c r="C1261" s="3">
        <v>41200061</v>
      </c>
      <c r="D1261" s="6" t="s">
        <v>2974</v>
      </c>
      <c r="E1261" s="3" t="s">
        <v>1405</v>
      </c>
      <c r="F1261" s="3" t="s">
        <v>1480</v>
      </c>
      <c r="G1261" s="68" t="str">
        <f t="shared" si="241"/>
        <v>DUAL</v>
      </c>
      <c r="H1261" s="197">
        <f t="shared" si="263"/>
        <v>39</v>
      </c>
      <c r="I1261" s="197">
        <v>9</v>
      </c>
      <c r="J1261" s="197">
        <v>22</v>
      </c>
      <c r="K1261" s="186">
        <f t="shared" si="264"/>
        <v>45922</v>
      </c>
      <c r="L1261" s="3" t="s">
        <v>2395</v>
      </c>
      <c r="M1261" s="3" t="s">
        <v>1469</v>
      </c>
      <c r="N1261" s="408" t="str">
        <f t="shared" si="260"/>
        <v>NG</v>
      </c>
      <c r="O1261" s="408" t="s">
        <v>2368</v>
      </c>
      <c r="P1261" s="408" t="s">
        <v>2508</v>
      </c>
      <c r="Q1261" s="408">
        <v>13200044</v>
      </c>
      <c r="R1261" s="408" t="s">
        <v>2508</v>
      </c>
      <c r="S1261" s="408" t="s">
        <v>2975</v>
      </c>
      <c r="T1261" s="408"/>
      <c r="U1261" s="408"/>
      <c r="V1261" s="421"/>
      <c r="W1261" s="421"/>
      <c r="X1261" s="421"/>
      <c r="Y1261" s="421"/>
      <c r="Z1261" s="421"/>
      <c r="AA1261" s="421"/>
      <c r="AB1261" s="421"/>
      <c r="AC1261" s="421"/>
      <c r="AD1261" s="421"/>
      <c r="AE1261" s="421"/>
      <c r="AF1261" s="421"/>
      <c r="AG1261" s="421"/>
      <c r="AH1261" s="421"/>
      <c r="AI1261" s="421"/>
      <c r="AJ1261" s="421"/>
      <c r="AK1261" s="421"/>
      <c r="AL1261" s="421"/>
    </row>
    <row r="1262" spans="1:38">
      <c r="A1262" s="3">
        <v>5976</v>
      </c>
      <c r="B1262" s="83">
        <f t="array" ref="B1262">SUM(--(FREQUENCY(IF(C$2:C$3084=C1262, MATCH(D$2:D$3084, D$2:D$3084, 0)), ROW(D$2:D$3084)-ROW(D$2)+1) &gt; 0))</f>
        <v>6</v>
      </c>
      <c r="C1262" s="3">
        <v>41200061</v>
      </c>
      <c r="D1262" s="6" t="s">
        <v>2974</v>
      </c>
      <c r="E1262" s="3" t="s">
        <v>1405</v>
      </c>
      <c r="F1262" s="3" t="s">
        <v>1480</v>
      </c>
      <c r="G1262" s="68" t="str">
        <f t="shared" si="241"/>
        <v>DUAL</v>
      </c>
      <c r="H1262" s="197">
        <f t="shared" ref="H1262" si="265">WEEKNUM(K1262)</f>
        <v>39</v>
      </c>
      <c r="I1262" s="197">
        <v>9</v>
      </c>
      <c r="J1262" s="197">
        <v>22</v>
      </c>
      <c r="K1262" s="186">
        <f t="shared" ref="K1262" si="266">DATE(2025, I1262, J1262)</f>
        <v>45922</v>
      </c>
      <c r="L1262" s="3" t="s">
        <v>2395</v>
      </c>
      <c r="M1262" s="3" t="s">
        <v>1469</v>
      </c>
      <c r="N1262" s="408" t="str">
        <f t="shared" ref="N1262" si="267">IF(O1262&lt;&gt;"", "NG", "")</f>
        <v>NG</v>
      </c>
      <c r="O1262" s="408" t="s">
        <v>2368</v>
      </c>
      <c r="P1262" s="408" t="s">
        <v>2976</v>
      </c>
      <c r="Q1262" s="408">
        <v>11001895</v>
      </c>
      <c r="R1262" s="408" t="s">
        <v>2441</v>
      </c>
      <c r="S1262" s="408" t="s">
        <v>2977</v>
      </c>
      <c r="T1262" s="408"/>
      <c r="U1262" s="408"/>
      <c r="V1262" s="421"/>
      <c r="W1262" s="421"/>
      <c r="X1262" s="421"/>
      <c r="Y1262" s="421"/>
      <c r="Z1262" s="421"/>
      <c r="AA1262" s="421"/>
      <c r="AB1262" s="421"/>
      <c r="AC1262" s="421"/>
      <c r="AD1262" s="421"/>
      <c r="AE1262" s="421"/>
      <c r="AF1262" s="421"/>
      <c r="AG1262" s="421"/>
      <c r="AH1262" s="421"/>
      <c r="AI1262" s="421"/>
      <c r="AJ1262" s="421"/>
      <c r="AK1262" s="421"/>
      <c r="AL1262" s="421"/>
    </row>
    <row r="1263" spans="1:38">
      <c r="A1263" s="3">
        <v>5976</v>
      </c>
      <c r="B1263" s="83">
        <f t="array" ref="B1263">SUM(--(FREQUENCY(IF(C$2:C$3084=C1263, MATCH(D$2:D$3084, D$2:D$3084, 0)), ROW(D$2:D$3084)-ROW(D$2)+1) &gt; 0))</f>
        <v>6</v>
      </c>
      <c r="C1263" s="3">
        <v>41200061</v>
      </c>
      <c r="D1263" s="6" t="s">
        <v>2974</v>
      </c>
      <c r="E1263" s="3" t="s">
        <v>1405</v>
      </c>
      <c r="F1263" s="3" t="s">
        <v>1480</v>
      </c>
      <c r="G1263" s="68" t="str">
        <f t="shared" ref="G1263:G1264" si="268">IF(OR(ISNUMBER(SEARCH("DUAL",F1263)), ISNUMBER(SEARCH("IVAS",F1263))), "DUAL", "SINGLE")</f>
        <v>DUAL</v>
      </c>
      <c r="H1263" s="197">
        <f t="shared" ref="H1263:H1264" si="269">WEEKNUM(K1263)</f>
        <v>39</v>
      </c>
      <c r="I1263" s="197">
        <v>9</v>
      </c>
      <c r="J1263" s="197">
        <v>22</v>
      </c>
      <c r="K1263" s="186">
        <f t="shared" ref="K1263:K1264" si="270">DATE(2025, I1263, J1263)</f>
        <v>45922</v>
      </c>
      <c r="L1263" s="3" t="s">
        <v>2395</v>
      </c>
      <c r="M1263" s="3" t="s">
        <v>1469</v>
      </c>
      <c r="N1263" s="408" t="str">
        <f t="shared" ref="N1263:N1264" si="271">IF(O1263&lt;&gt;"", "NG", "")</f>
        <v>NG</v>
      </c>
      <c r="O1263" s="408" t="s">
        <v>1569</v>
      </c>
      <c r="P1263" s="408" t="s">
        <v>2978</v>
      </c>
      <c r="Q1263" s="408">
        <v>13200095</v>
      </c>
      <c r="R1263" s="408" t="s">
        <v>2979</v>
      </c>
      <c r="S1263" s="408" t="s">
        <v>2980</v>
      </c>
      <c r="T1263" s="408"/>
      <c r="U1263" s="408"/>
      <c r="V1263" s="421"/>
      <c r="W1263" s="421"/>
      <c r="X1263" s="421"/>
      <c r="Y1263" s="421"/>
      <c r="Z1263" s="421"/>
      <c r="AA1263" s="421"/>
      <c r="AB1263" s="421"/>
      <c r="AC1263" s="421"/>
      <c r="AD1263" s="421"/>
      <c r="AE1263" s="421"/>
      <c r="AF1263" s="421"/>
      <c r="AG1263" s="421"/>
      <c r="AH1263" s="421"/>
      <c r="AI1263" s="421"/>
      <c r="AJ1263" s="421"/>
      <c r="AK1263" s="421"/>
      <c r="AL1263" s="421"/>
    </row>
    <row r="1264" spans="1:38">
      <c r="A1264" s="3">
        <v>5976</v>
      </c>
      <c r="B1264" s="83">
        <f t="array" ref="B1264">SUM(--(FREQUENCY(IF(C$2:C$3084=C1264, MATCH(D$2:D$3084, D$2:D$3084, 0)), ROW(D$2:D$3084)-ROW(D$2)+1) &gt; 0))</f>
        <v>6</v>
      </c>
      <c r="C1264" s="3">
        <v>41200061</v>
      </c>
      <c r="D1264" s="6" t="s">
        <v>2974</v>
      </c>
      <c r="E1264" s="3" t="s">
        <v>1405</v>
      </c>
      <c r="F1264" s="3" t="s">
        <v>1480</v>
      </c>
      <c r="G1264" s="68" t="str">
        <f t="shared" si="268"/>
        <v>DUAL</v>
      </c>
      <c r="H1264" s="197">
        <f t="shared" si="269"/>
        <v>39</v>
      </c>
      <c r="I1264" s="197">
        <v>9</v>
      </c>
      <c r="J1264" s="197">
        <v>22</v>
      </c>
      <c r="K1264" s="186">
        <f t="shared" si="270"/>
        <v>45922</v>
      </c>
      <c r="L1264" s="3" t="s">
        <v>2395</v>
      </c>
      <c r="M1264" s="3" t="s">
        <v>1469</v>
      </c>
      <c r="N1264" s="408" t="str">
        <f t="shared" si="271"/>
        <v>NG</v>
      </c>
      <c r="O1264" s="408" t="s">
        <v>1569</v>
      </c>
      <c r="P1264" s="408" t="s">
        <v>2981</v>
      </c>
      <c r="Q1264" s="408"/>
      <c r="R1264" s="408" t="s">
        <v>2982</v>
      </c>
      <c r="S1264" s="408" t="s">
        <v>2983</v>
      </c>
      <c r="T1264" s="408"/>
      <c r="U1264" s="408"/>
      <c r="V1264" s="421"/>
      <c r="W1264" s="421"/>
      <c r="X1264" s="421"/>
      <c r="Y1264" s="421"/>
      <c r="Z1264" s="421"/>
      <c r="AA1264" s="421"/>
      <c r="AB1264" s="421"/>
      <c r="AC1264" s="421"/>
      <c r="AD1264" s="421"/>
      <c r="AE1264" s="421"/>
      <c r="AF1264" s="421"/>
      <c r="AG1264" s="421"/>
      <c r="AH1264" s="421"/>
      <c r="AI1264" s="421"/>
      <c r="AJ1264" s="421"/>
      <c r="AK1264" s="421"/>
      <c r="AL1264" s="421"/>
    </row>
    <row r="1265" spans="1:38">
      <c r="A1265" s="3">
        <v>5796</v>
      </c>
      <c r="B1265" s="83">
        <f t="array" ref="B1265">SUM(--(FREQUENCY(IF(C$2:C$3084=C1265, MATCH(D$2:D$3084, D$2:D$3084, 0)), ROW(D$2:D$3084)-ROW(D$2)+1) &gt; 0))</f>
        <v>30</v>
      </c>
      <c r="C1265" s="3">
        <v>41200109</v>
      </c>
      <c r="D1265" s="6" t="s">
        <v>2984</v>
      </c>
      <c r="E1265" s="3" t="s">
        <v>1585</v>
      </c>
      <c r="F1265" s="3" t="s">
        <v>1591</v>
      </c>
      <c r="G1265" s="68" t="str">
        <f t="shared" ref="G1265:G1296" si="272">IF(OR(ISNUMBER(SEARCH("DUAL",F1265)), ISNUMBER(SEARCH("IVAS",F1265))), "DUAL", "SINGLE")</f>
        <v>SINGLE</v>
      </c>
      <c r="H1265" s="197">
        <f t="shared" si="263"/>
        <v>39</v>
      </c>
      <c r="I1265" s="197">
        <v>9</v>
      </c>
      <c r="J1265" s="197">
        <v>22</v>
      </c>
      <c r="K1265" s="186">
        <f t="shared" si="264"/>
        <v>45922</v>
      </c>
      <c r="L1265" s="3" t="s">
        <v>2395</v>
      </c>
      <c r="M1265" s="3" t="s">
        <v>1469</v>
      </c>
      <c r="N1265" s="408" t="str">
        <f t="shared" si="260"/>
        <v>NG</v>
      </c>
      <c r="O1265" s="408" t="s">
        <v>2368</v>
      </c>
      <c r="P1265" s="408" t="s">
        <v>2414</v>
      </c>
      <c r="Q1265" s="408">
        <v>11101796</v>
      </c>
      <c r="R1265" s="408" t="s">
        <v>696</v>
      </c>
      <c r="S1265" s="408" t="s">
        <v>2985</v>
      </c>
      <c r="T1265" s="408"/>
      <c r="U1265" s="408"/>
      <c r="V1265" s="421"/>
      <c r="W1265" s="421"/>
      <c r="X1265" s="421"/>
      <c r="Y1265" s="421"/>
      <c r="Z1265" s="421"/>
      <c r="AA1265" s="421"/>
      <c r="AB1265" s="421"/>
      <c r="AC1265" s="421"/>
      <c r="AD1265" s="421"/>
      <c r="AE1265" s="421"/>
      <c r="AF1265" s="421"/>
      <c r="AG1265" s="421"/>
      <c r="AH1265" s="421"/>
      <c r="AI1265" s="421"/>
      <c r="AJ1265" s="421"/>
      <c r="AK1265" s="421"/>
      <c r="AL1265" s="421"/>
    </row>
    <row r="1266" spans="1:38">
      <c r="A1266" s="3">
        <v>5796</v>
      </c>
      <c r="B1266" s="83">
        <f t="array" ref="B1266">SUM(--(FREQUENCY(IF(C$2:C$3084=C1266, MATCH(D$2:D$3084, D$2:D$3084, 0)), ROW(D$2:D$3084)-ROW(D$2)+1) &gt; 0))</f>
        <v>30</v>
      </c>
      <c r="C1266" s="3">
        <v>41200109</v>
      </c>
      <c r="D1266" s="6" t="s">
        <v>2986</v>
      </c>
      <c r="E1266" s="3" t="s">
        <v>1585</v>
      </c>
      <c r="F1266" s="3" t="s">
        <v>1591</v>
      </c>
      <c r="G1266" s="68" t="str">
        <f t="shared" si="272"/>
        <v>SINGLE</v>
      </c>
      <c r="H1266" s="197">
        <f t="shared" si="263"/>
        <v>39</v>
      </c>
      <c r="I1266" s="197">
        <v>9</v>
      </c>
      <c r="J1266" s="197">
        <v>22</v>
      </c>
      <c r="K1266" s="186">
        <f t="shared" si="264"/>
        <v>45922</v>
      </c>
      <c r="L1266" s="3" t="s">
        <v>2395</v>
      </c>
      <c r="M1266" s="3" t="s">
        <v>1469</v>
      </c>
      <c r="N1266" s="408" t="str">
        <f t="shared" si="260"/>
        <v>NG</v>
      </c>
      <c r="O1266" s="408" t="s">
        <v>2368</v>
      </c>
      <c r="P1266" s="408" t="s">
        <v>2414</v>
      </c>
      <c r="Q1266" s="408">
        <v>11101796</v>
      </c>
      <c r="R1266" s="408" t="s">
        <v>696</v>
      </c>
      <c r="S1266" s="408" t="s">
        <v>2985</v>
      </c>
      <c r="T1266" s="408"/>
      <c r="U1266" s="408"/>
      <c r="V1266" s="421"/>
      <c r="W1266" s="421"/>
      <c r="X1266" s="421"/>
      <c r="Y1266" s="421"/>
      <c r="Z1266" s="421"/>
      <c r="AA1266" s="421"/>
      <c r="AB1266" s="421"/>
      <c r="AC1266" s="421"/>
      <c r="AD1266" s="421"/>
      <c r="AE1266" s="421"/>
      <c r="AF1266" s="421"/>
      <c r="AG1266" s="421"/>
      <c r="AH1266" s="421"/>
      <c r="AI1266" s="421"/>
      <c r="AJ1266" s="421"/>
      <c r="AK1266" s="421"/>
      <c r="AL1266" s="421"/>
    </row>
    <row r="1267" spans="1:38">
      <c r="A1267" s="3">
        <v>5796</v>
      </c>
      <c r="B1267" s="83">
        <f t="array" ref="B1267">SUM(--(FREQUENCY(IF(C$2:C$3084=C1267, MATCH(D$2:D$3084, D$2:D$3084, 0)), ROW(D$2:D$3084)-ROW(D$2)+1) &gt; 0))</f>
        <v>30</v>
      </c>
      <c r="C1267" s="3">
        <v>41200109</v>
      </c>
      <c r="D1267" s="6" t="s">
        <v>2986</v>
      </c>
      <c r="E1267" s="3" t="s">
        <v>1585</v>
      </c>
      <c r="F1267" s="3" t="s">
        <v>1591</v>
      </c>
      <c r="G1267" s="68" t="str">
        <f t="shared" si="272"/>
        <v>SINGLE</v>
      </c>
      <c r="H1267" s="197">
        <f t="shared" ref="H1267" si="273">WEEKNUM(K1267)</f>
        <v>39</v>
      </c>
      <c r="I1267" s="197">
        <v>9</v>
      </c>
      <c r="J1267" s="197">
        <v>22</v>
      </c>
      <c r="K1267" s="186">
        <f t="shared" ref="K1267" si="274">DATE(2025, I1267, J1267)</f>
        <v>45922</v>
      </c>
      <c r="L1267" s="3" t="s">
        <v>2395</v>
      </c>
      <c r="M1267" s="3" t="s">
        <v>1469</v>
      </c>
      <c r="N1267" s="408" t="str">
        <f t="shared" ref="N1267" si="275">IF(O1267&lt;&gt;"", "NG", "")</f>
        <v>NG</v>
      </c>
      <c r="O1267" s="408" t="s">
        <v>2368</v>
      </c>
      <c r="P1267" s="408" t="s">
        <v>2563</v>
      </c>
      <c r="Q1267" s="408">
        <v>11001426</v>
      </c>
      <c r="R1267" s="408" t="s">
        <v>407</v>
      </c>
      <c r="S1267" s="408" t="s">
        <v>2987</v>
      </c>
      <c r="T1267" s="408"/>
      <c r="U1267" s="408"/>
      <c r="V1267" s="421"/>
      <c r="W1267" s="421"/>
      <c r="X1267" s="421"/>
      <c r="Y1267" s="421"/>
      <c r="Z1267" s="421"/>
      <c r="AA1267" s="421"/>
      <c r="AB1267" s="421"/>
      <c r="AC1267" s="421"/>
      <c r="AD1267" s="421"/>
      <c r="AE1267" s="421"/>
      <c r="AF1267" s="421"/>
      <c r="AG1267" s="421"/>
      <c r="AH1267" s="421"/>
      <c r="AI1267" s="421"/>
      <c r="AJ1267" s="421"/>
      <c r="AK1267" s="421"/>
      <c r="AL1267" s="421"/>
    </row>
    <row r="1268" spans="1:38">
      <c r="A1268" s="3">
        <v>5729</v>
      </c>
      <c r="B1268" s="83">
        <f t="array" ref="B1268">SUM(--(FREQUENCY(IF(C$2:C$3081=C1268, MATCH(D$2:D$3081, D$2:D$3081, 0)), ROW(D$2:D$3081)-ROW(D$2)+1) &gt; 0))</f>
        <v>1</v>
      </c>
      <c r="C1268" s="3">
        <v>41200156</v>
      </c>
      <c r="D1268" s="6" t="s">
        <v>2280</v>
      </c>
      <c r="E1268" s="3" t="s">
        <v>1413</v>
      </c>
      <c r="F1268" s="3" t="s">
        <v>1476</v>
      </c>
      <c r="G1268" s="41" t="str">
        <f t="shared" si="272"/>
        <v>DUAL</v>
      </c>
      <c r="H1268" s="197">
        <f t="shared" ref="H1268:H1277" si="276">WEEKNUM(K1268)</f>
        <v>39</v>
      </c>
      <c r="I1268" s="197">
        <v>9</v>
      </c>
      <c r="J1268" s="197">
        <v>23</v>
      </c>
      <c r="K1268" s="186">
        <f t="shared" ref="K1268:K1277" si="277">DATE(2025, I1268, J1268)</f>
        <v>45923</v>
      </c>
      <c r="L1268" s="3" t="s">
        <v>2395</v>
      </c>
      <c r="M1268" s="3" t="s">
        <v>2392</v>
      </c>
      <c r="N1268" s="408" t="str">
        <f t="shared" si="260"/>
        <v/>
      </c>
      <c r="O1268" s="408"/>
      <c r="P1268" s="408"/>
      <c r="Q1268" s="408"/>
      <c r="R1268" s="408"/>
      <c r="S1268" s="408"/>
      <c r="T1268" s="408"/>
      <c r="U1268" s="408"/>
      <c r="V1268" s="421"/>
      <c r="W1268" s="421"/>
      <c r="X1268" s="421"/>
      <c r="Y1268" s="421"/>
      <c r="Z1268" s="421"/>
      <c r="AA1268" s="421"/>
      <c r="AB1268" s="421"/>
      <c r="AC1268" s="421"/>
      <c r="AD1268" s="421"/>
      <c r="AE1268" s="421"/>
      <c r="AF1268" s="421"/>
      <c r="AG1268" s="421"/>
      <c r="AH1268" s="421"/>
      <c r="AI1268" s="421"/>
      <c r="AJ1268" s="421"/>
      <c r="AK1268" s="421"/>
      <c r="AL1268" s="421"/>
    </row>
    <row r="1269" spans="1:38">
      <c r="A1269" s="3">
        <v>5993</v>
      </c>
      <c r="B1269" s="83">
        <f t="array" ref="B1269">SUM(--(FREQUENCY(IF(C$2:C$3081=C1269, MATCH(D$2:D$3081, D$2:D$3081, 0)), ROW(D$2:D$3081)-ROW(D$2)+1) &gt; 0))</f>
        <v>10</v>
      </c>
      <c r="C1269" s="3">
        <v>41100286</v>
      </c>
      <c r="D1269" s="6" t="s">
        <v>2988</v>
      </c>
      <c r="E1269" s="3" t="s">
        <v>1424</v>
      </c>
      <c r="F1269" s="3" t="s">
        <v>1476</v>
      </c>
      <c r="G1269" s="68" t="str">
        <f t="shared" si="272"/>
        <v>DUAL</v>
      </c>
      <c r="H1269" s="197">
        <f t="shared" si="276"/>
        <v>39</v>
      </c>
      <c r="I1269" s="197">
        <v>9</v>
      </c>
      <c r="J1269" s="197">
        <v>23</v>
      </c>
      <c r="K1269" s="186">
        <f t="shared" si="277"/>
        <v>45923</v>
      </c>
      <c r="L1269" s="3" t="s">
        <v>2391</v>
      </c>
      <c r="M1269" s="3" t="s">
        <v>1468</v>
      </c>
      <c r="N1269" s="408" t="str">
        <f t="shared" si="260"/>
        <v/>
      </c>
      <c r="O1269" s="408"/>
      <c r="P1269" s="408"/>
      <c r="Q1269" s="408"/>
      <c r="R1269" s="408"/>
      <c r="S1269" s="408"/>
      <c r="T1269" s="408"/>
      <c r="U1269" s="408"/>
      <c r="V1269" s="421"/>
      <c r="W1269" s="421"/>
      <c r="X1269" s="421"/>
      <c r="Y1269" s="421"/>
      <c r="Z1269" s="421"/>
      <c r="AA1269" s="421"/>
      <c r="AB1269" s="421"/>
      <c r="AC1269" s="421"/>
      <c r="AD1269" s="421"/>
      <c r="AE1269" s="421"/>
      <c r="AF1269" s="421"/>
      <c r="AG1269" s="421"/>
      <c r="AH1269" s="421"/>
      <c r="AI1269" s="421"/>
      <c r="AJ1269" s="421"/>
      <c r="AK1269" s="421"/>
      <c r="AL1269" s="421"/>
    </row>
    <row r="1270" spans="1:38">
      <c r="A1270" s="3">
        <v>6011</v>
      </c>
      <c r="B1270" s="83">
        <f t="array" ref="B1270">SUM(--(FREQUENCY(IF(C$2:C$3081=C1270, MATCH(D$2:D$3081, D$2:D$3081, 0)), ROW(D$2:D$3081)-ROW(D$2)+1) &gt; 0))</f>
        <v>18</v>
      </c>
      <c r="C1270" s="3">
        <v>41200171</v>
      </c>
      <c r="D1270" s="6" t="s">
        <v>2989</v>
      </c>
      <c r="E1270" s="3" t="s">
        <v>1394</v>
      </c>
      <c r="F1270" s="3" t="s">
        <v>1479</v>
      </c>
      <c r="G1270" s="68" t="str">
        <f t="shared" si="272"/>
        <v>SINGLE</v>
      </c>
      <c r="H1270" s="197">
        <f t="shared" si="276"/>
        <v>39</v>
      </c>
      <c r="I1270" s="197">
        <v>9</v>
      </c>
      <c r="J1270" s="197">
        <v>23</v>
      </c>
      <c r="K1270" s="186">
        <f t="shared" si="277"/>
        <v>45923</v>
      </c>
      <c r="L1270" s="3" t="s">
        <v>2395</v>
      </c>
      <c r="M1270" s="3" t="s">
        <v>1468</v>
      </c>
      <c r="N1270" s="408" t="str">
        <f t="shared" si="260"/>
        <v/>
      </c>
      <c r="O1270" s="408"/>
      <c r="P1270" s="408"/>
      <c r="Q1270" s="408"/>
      <c r="R1270" s="408"/>
      <c r="S1270" s="408"/>
      <c r="T1270" s="408"/>
      <c r="U1270" s="408"/>
      <c r="V1270" s="421"/>
      <c r="W1270" s="421"/>
      <c r="X1270" s="421"/>
      <c r="Y1270" s="421"/>
      <c r="Z1270" s="421"/>
      <c r="AA1270" s="421"/>
      <c r="AB1270" s="421"/>
      <c r="AC1270" s="421"/>
      <c r="AD1270" s="421"/>
      <c r="AE1270" s="421"/>
      <c r="AF1270" s="421"/>
      <c r="AG1270" s="421"/>
      <c r="AH1270" s="421"/>
      <c r="AI1270" s="421"/>
      <c r="AJ1270" s="421"/>
      <c r="AK1270" s="421"/>
      <c r="AL1270" s="421"/>
    </row>
    <row r="1271" spans="1:38">
      <c r="A1271" s="3">
        <v>6011</v>
      </c>
      <c r="B1271" s="83">
        <f t="array" ref="B1271">SUM(--(FREQUENCY(IF(C$2:C$3081=C1271, MATCH(D$2:D$3081, D$2:D$3081, 0)), ROW(D$2:D$3081)-ROW(D$2)+1) &gt; 0))</f>
        <v>18</v>
      </c>
      <c r="C1271" s="3">
        <v>41200171</v>
      </c>
      <c r="D1271" s="6" t="s">
        <v>2990</v>
      </c>
      <c r="E1271" s="3" t="s">
        <v>1394</v>
      </c>
      <c r="F1271" s="3" t="s">
        <v>1479</v>
      </c>
      <c r="G1271" s="68" t="str">
        <f t="shared" si="272"/>
        <v>SINGLE</v>
      </c>
      <c r="H1271" s="197">
        <f t="shared" si="276"/>
        <v>39</v>
      </c>
      <c r="I1271" s="197">
        <v>9</v>
      </c>
      <c r="J1271" s="197">
        <v>23</v>
      </c>
      <c r="K1271" s="186">
        <f t="shared" si="277"/>
        <v>45923</v>
      </c>
      <c r="L1271" s="3" t="s">
        <v>2395</v>
      </c>
      <c r="M1271" s="3" t="s">
        <v>1468</v>
      </c>
      <c r="N1271" s="408" t="str">
        <f t="shared" si="260"/>
        <v/>
      </c>
      <c r="O1271" s="408"/>
      <c r="P1271" s="408"/>
      <c r="Q1271" s="408"/>
      <c r="R1271" s="408"/>
      <c r="S1271" s="408"/>
      <c r="T1271" s="408"/>
      <c r="U1271" s="408"/>
      <c r="V1271" s="421"/>
      <c r="W1271" s="421"/>
      <c r="X1271" s="421"/>
      <c r="Y1271" s="421"/>
      <c r="Z1271" s="421"/>
      <c r="AA1271" s="421"/>
      <c r="AB1271" s="421"/>
      <c r="AC1271" s="421"/>
      <c r="AD1271" s="421"/>
      <c r="AE1271" s="421"/>
      <c r="AF1271" s="421"/>
      <c r="AG1271" s="421"/>
      <c r="AH1271" s="421"/>
      <c r="AI1271" s="421"/>
      <c r="AJ1271" s="421"/>
      <c r="AK1271" s="421"/>
      <c r="AL1271" s="421"/>
    </row>
    <row r="1272" spans="1:38">
      <c r="A1272" s="3">
        <v>6011</v>
      </c>
      <c r="B1272" s="83">
        <f t="array" ref="B1272">SUM(--(FREQUENCY(IF(C$2:C$3081=C1272, MATCH(D$2:D$3081, D$2:D$3081, 0)), ROW(D$2:D$3081)-ROW(D$2)+1) &gt; 0))</f>
        <v>18</v>
      </c>
      <c r="C1272" s="3">
        <v>41200171</v>
      </c>
      <c r="D1272" s="6" t="s">
        <v>2991</v>
      </c>
      <c r="E1272" s="3" t="s">
        <v>1394</v>
      </c>
      <c r="F1272" s="3" t="s">
        <v>1479</v>
      </c>
      <c r="G1272" s="68" t="str">
        <f t="shared" si="272"/>
        <v>SINGLE</v>
      </c>
      <c r="H1272" s="197">
        <f t="shared" si="276"/>
        <v>39</v>
      </c>
      <c r="I1272" s="197">
        <v>9</v>
      </c>
      <c r="J1272" s="197">
        <v>23</v>
      </c>
      <c r="K1272" s="186">
        <f t="shared" si="277"/>
        <v>45923</v>
      </c>
      <c r="L1272" s="3" t="s">
        <v>2395</v>
      </c>
      <c r="M1272" s="3" t="s">
        <v>1468</v>
      </c>
      <c r="N1272" s="408" t="str">
        <f t="shared" si="260"/>
        <v>NG</v>
      </c>
      <c r="O1272" s="408" t="s">
        <v>2368</v>
      </c>
      <c r="P1272" s="408" t="s">
        <v>2541</v>
      </c>
      <c r="Q1272" s="408">
        <v>12002816</v>
      </c>
      <c r="R1272" s="408" t="s">
        <v>2992</v>
      </c>
      <c r="S1272" s="408" t="s">
        <v>2993</v>
      </c>
      <c r="T1272" s="408"/>
      <c r="U1272" s="408"/>
      <c r="V1272" s="421"/>
      <c r="W1272" s="421"/>
      <c r="X1272" s="421"/>
      <c r="Y1272" s="421"/>
      <c r="Z1272" s="421"/>
      <c r="AA1272" s="421"/>
      <c r="AB1272" s="421"/>
      <c r="AC1272" s="421"/>
      <c r="AD1272" s="421"/>
      <c r="AE1272" s="421"/>
      <c r="AF1272" s="421"/>
      <c r="AG1272" s="421"/>
      <c r="AH1272" s="421"/>
      <c r="AI1272" s="421"/>
      <c r="AJ1272" s="421"/>
      <c r="AK1272" s="421"/>
      <c r="AL1272" s="421"/>
    </row>
    <row r="1273" spans="1:38">
      <c r="A1273" s="3">
        <v>6011</v>
      </c>
      <c r="B1273" s="83">
        <f t="array" ref="B1273">SUM(--(FREQUENCY(IF(C$2:C$3081=C1273, MATCH(D$2:D$3081, D$2:D$3081, 0)), ROW(D$2:D$3081)-ROW(D$2)+1) &gt; 0))</f>
        <v>18</v>
      </c>
      <c r="C1273" s="3">
        <v>41200171</v>
      </c>
      <c r="D1273" s="6" t="s">
        <v>2994</v>
      </c>
      <c r="E1273" s="3" t="s">
        <v>1394</v>
      </c>
      <c r="F1273" s="3" t="s">
        <v>1479</v>
      </c>
      <c r="G1273" s="68" t="str">
        <f t="shared" si="272"/>
        <v>SINGLE</v>
      </c>
      <c r="H1273" s="197">
        <f t="shared" si="276"/>
        <v>39</v>
      </c>
      <c r="I1273" s="197">
        <v>9</v>
      </c>
      <c r="J1273" s="197">
        <v>23</v>
      </c>
      <c r="K1273" s="186">
        <f t="shared" si="277"/>
        <v>45923</v>
      </c>
      <c r="L1273" s="3" t="s">
        <v>2395</v>
      </c>
      <c r="M1273" s="3" t="s">
        <v>1468</v>
      </c>
      <c r="N1273" s="408" t="str">
        <f t="shared" si="260"/>
        <v>NG</v>
      </c>
      <c r="O1273" s="408" t="s">
        <v>2368</v>
      </c>
      <c r="P1273" s="408" t="s">
        <v>2541</v>
      </c>
      <c r="Q1273" s="408">
        <v>12002816</v>
      </c>
      <c r="R1273" s="408" t="s">
        <v>2992</v>
      </c>
      <c r="S1273" s="408" t="s">
        <v>2993</v>
      </c>
      <c r="T1273" s="408"/>
      <c r="U1273" s="408"/>
      <c r="V1273" s="421"/>
      <c r="W1273" s="421"/>
      <c r="X1273" s="421"/>
      <c r="Y1273" s="421"/>
      <c r="Z1273" s="421"/>
      <c r="AA1273" s="421"/>
      <c r="AB1273" s="421"/>
      <c r="AC1273" s="421"/>
      <c r="AD1273" s="421"/>
      <c r="AE1273" s="421"/>
      <c r="AF1273" s="421"/>
      <c r="AG1273" s="421"/>
      <c r="AH1273" s="421"/>
      <c r="AI1273" s="421"/>
      <c r="AJ1273" s="421"/>
      <c r="AK1273" s="421"/>
      <c r="AL1273" s="421"/>
    </row>
    <row r="1274" spans="1:38">
      <c r="A1274" s="3">
        <v>6005</v>
      </c>
      <c r="B1274" s="83">
        <f t="array" ref="B1274">SUM(--(FREQUENCY(IF(C$2:C$3081=C1274, MATCH(D$2:D$3081, D$2:D$3081, 0)), ROW(D$2:D$3081)-ROW(D$2)+1) &gt; 0))</f>
        <v>29</v>
      </c>
      <c r="C1274" s="3">
        <v>41200127</v>
      </c>
      <c r="D1274" s="6" t="s">
        <v>2995</v>
      </c>
      <c r="E1274" s="3" t="s">
        <v>1431</v>
      </c>
      <c r="F1274" s="3" t="s">
        <v>1591</v>
      </c>
      <c r="G1274" s="68" t="str">
        <f t="shared" si="272"/>
        <v>SINGLE</v>
      </c>
      <c r="H1274" s="197">
        <f t="shared" si="276"/>
        <v>39</v>
      </c>
      <c r="I1274" s="197">
        <v>9</v>
      </c>
      <c r="J1274" s="197">
        <v>23</v>
      </c>
      <c r="K1274" s="186">
        <f t="shared" si="277"/>
        <v>45923</v>
      </c>
      <c r="L1274" s="3" t="s">
        <v>2395</v>
      </c>
      <c r="M1274" s="3" t="s">
        <v>1469</v>
      </c>
      <c r="N1274" s="408" t="str">
        <f t="shared" si="260"/>
        <v/>
      </c>
      <c r="O1274" s="408"/>
      <c r="P1274" s="408"/>
      <c r="Q1274" s="408"/>
      <c r="R1274" s="408"/>
      <c r="S1274" s="408"/>
      <c r="T1274" s="408"/>
      <c r="U1274" s="408"/>
      <c r="V1274" s="421"/>
      <c r="W1274" s="421"/>
      <c r="X1274" s="421"/>
      <c r="Y1274" s="421"/>
      <c r="Z1274" s="421"/>
      <c r="AA1274" s="421"/>
      <c r="AB1274" s="421"/>
      <c r="AC1274" s="421"/>
      <c r="AD1274" s="421"/>
      <c r="AE1274" s="421"/>
      <c r="AF1274" s="421"/>
      <c r="AG1274" s="421"/>
      <c r="AH1274" s="421"/>
      <c r="AI1274" s="421"/>
      <c r="AJ1274" s="421"/>
      <c r="AK1274" s="421"/>
      <c r="AL1274" s="421"/>
    </row>
    <row r="1275" spans="1:38">
      <c r="A1275" s="3">
        <v>5886</v>
      </c>
      <c r="B1275" s="83">
        <f t="array" ref="B1275">SUM(--(FREQUENCY(IF(C$2:C$3081=C1275, MATCH(D$2:D$3081, D$2:D$3081, 0)), ROW(D$2:D$3081)-ROW(D$2)+1) &gt; 0))</f>
        <v>63</v>
      </c>
      <c r="C1275" s="3">
        <v>41200006</v>
      </c>
      <c r="D1275" s="6" t="s">
        <v>2996</v>
      </c>
      <c r="E1275" s="3" t="s">
        <v>1405</v>
      </c>
      <c r="F1275" s="3" t="s">
        <v>1477</v>
      </c>
      <c r="G1275" s="68" t="str">
        <f t="shared" si="272"/>
        <v>SINGLE</v>
      </c>
      <c r="H1275" s="197">
        <f t="shared" si="276"/>
        <v>39</v>
      </c>
      <c r="I1275" s="197">
        <v>9</v>
      </c>
      <c r="J1275" s="197">
        <v>23</v>
      </c>
      <c r="K1275" s="186">
        <f t="shared" si="277"/>
        <v>45923</v>
      </c>
      <c r="L1275" s="3" t="s">
        <v>2395</v>
      </c>
      <c r="M1275" s="3" t="s">
        <v>1469</v>
      </c>
      <c r="N1275" s="408" t="str">
        <f t="shared" si="260"/>
        <v>NG</v>
      </c>
      <c r="O1275" s="408" t="s">
        <v>2368</v>
      </c>
      <c r="P1275" s="408" t="s">
        <v>2371</v>
      </c>
      <c r="Q1275" s="408">
        <v>11001968</v>
      </c>
      <c r="R1275" s="408" t="s">
        <v>473</v>
      </c>
      <c r="S1275" s="3" t="s">
        <v>2858</v>
      </c>
      <c r="T1275" s="408" t="s">
        <v>1421</v>
      </c>
      <c r="U1275" s="408"/>
      <c r="V1275" s="421"/>
      <c r="W1275" s="421"/>
      <c r="X1275" s="421"/>
      <c r="Y1275" s="421"/>
      <c r="Z1275" s="421"/>
      <c r="AA1275" s="421"/>
      <c r="AB1275" s="421"/>
      <c r="AC1275" s="421"/>
      <c r="AD1275" s="421"/>
      <c r="AE1275" s="421"/>
      <c r="AF1275" s="421"/>
      <c r="AG1275" s="421"/>
      <c r="AH1275" s="421"/>
      <c r="AI1275" s="421"/>
      <c r="AJ1275" s="421"/>
      <c r="AK1275" s="421"/>
      <c r="AL1275" s="421"/>
    </row>
    <row r="1276" spans="1:38">
      <c r="A1276" s="3">
        <v>5886</v>
      </c>
      <c r="B1276" s="83">
        <f t="array" ref="B1276">SUM(--(FREQUENCY(IF(C$2:C$3081=C1276, MATCH(D$2:D$3081, D$2:D$3081, 0)), ROW(D$2:D$3081)-ROW(D$2)+1) &gt; 0))</f>
        <v>63</v>
      </c>
      <c r="C1276" s="3">
        <v>41200006</v>
      </c>
      <c r="D1276" s="6" t="s">
        <v>2996</v>
      </c>
      <c r="E1276" s="3" t="s">
        <v>1405</v>
      </c>
      <c r="F1276" s="3" t="s">
        <v>1477</v>
      </c>
      <c r="G1276" s="68" t="str">
        <f t="shared" si="272"/>
        <v>SINGLE</v>
      </c>
      <c r="H1276" s="197">
        <f t="shared" ref="H1276" si="278">WEEKNUM(K1276)</f>
        <v>39</v>
      </c>
      <c r="I1276" s="197">
        <v>9</v>
      </c>
      <c r="J1276" s="197">
        <v>23</v>
      </c>
      <c r="K1276" s="186">
        <f t="shared" ref="K1276" si="279">DATE(2025, I1276, J1276)</f>
        <v>45923</v>
      </c>
      <c r="L1276" s="3" t="s">
        <v>2395</v>
      </c>
      <c r="M1276" s="3" t="s">
        <v>1469</v>
      </c>
      <c r="N1276" s="408" t="str">
        <f t="shared" si="260"/>
        <v>NG</v>
      </c>
      <c r="O1276" s="408" t="s">
        <v>2368</v>
      </c>
      <c r="P1276" s="408" t="s">
        <v>2371</v>
      </c>
      <c r="Q1276" s="408">
        <v>11001968</v>
      </c>
      <c r="R1276" s="408" t="s">
        <v>473</v>
      </c>
      <c r="S1276" s="3" t="s">
        <v>2858</v>
      </c>
      <c r="T1276" s="408" t="s">
        <v>2997</v>
      </c>
      <c r="U1276" s="408"/>
      <c r="V1276" s="421"/>
      <c r="W1276" s="421"/>
      <c r="X1276" s="421"/>
      <c r="Y1276" s="421"/>
      <c r="Z1276" s="421"/>
      <c r="AA1276" s="421"/>
      <c r="AB1276" s="421"/>
      <c r="AC1276" s="421"/>
      <c r="AD1276" s="421"/>
      <c r="AE1276" s="421"/>
      <c r="AF1276" s="421"/>
      <c r="AG1276" s="421"/>
      <c r="AH1276" s="421"/>
      <c r="AI1276" s="421"/>
      <c r="AJ1276" s="421"/>
      <c r="AK1276" s="421"/>
      <c r="AL1276" s="421"/>
    </row>
    <row r="1277" spans="1:38">
      <c r="A1277" s="3">
        <v>5886</v>
      </c>
      <c r="B1277" s="83">
        <f t="array" ref="B1277">SUM(--(FREQUENCY(IF(C$2:C$3081=C1277, MATCH(D$2:D$3081, D$2:D$3081, 0)), ROW(D$2:D$3081)-ROW(D$2)+1) &gt; 0))</f>
        <v>63</v>
      </c>
      <c r="C1277" s="3">
        <v>41200006</v>
      </c>
      <c r="D1277" s="6" t="s">
        <v>2998</v>
      </c>
      <c r="E1277" s="3" t="s">
        <v>1405</v>
      </c>
      <c r="F1277" s="3" t="s">
        <v>1477</v>
      </c>
      <c r="G1277" s="68" t="str">
        <f t="shared" si="272"/>
        <v>SINGLE</v>
      </c>
      <c r="H1277" s="197">
        <f t="shared" si="276"/>
        <v>39</v>
      </c>
      <c r="I1277" s="197">
        <v>9</v>
      </c>
      <c r="J1277" s="197">
        <v>23</v>
      </c>
      <c r="K1277" s="186">
        <f t="shared" si="277"/>
        <v>45923</v>
      </c>
      <c r="L1277" s="3" t="s">
        <v>2395</v>
      </c>
      <c r="M1277" s="3" t="s">
        <v>1469</v>
      </c>
      <c r="N1277" s="408" t="str">
        <f t="shared" si="260"/>
        <v/>
      </c>
      <c r="O1277" s="408"/>
      <c r="P1277" s="408"/>
      <c r="Q1277" s="408"/>
      <c r="R1277" s="408"/>
      <c r="S1277" s="408"/>
      <c r="T1277" s="408"/>
      <c r="U1277" s="408"/>
      <c r="V1277" s="421"/>
      <c r="W1277" s="421"/>
      <c r="X1277" s="421"/>
      <c r="Y1277" s="421"/>
      <c r="Z1277" s="421"/>
      <c r="AA1277" s="421"/>
      <c r="AB1277" s="421"/>
      <c r="AC1277" s="421"/>
      <c r="AD1277" s="421"/>
      <c r="AE1277" s="421"/>
      <c r="AF1277" s="421"/>
      <c r="AG1277" s="421"/>
      <c r="AH1277" s="421"/>
      <c r="AI1277" s="421"/>
      <c r="AJ1277" s="421"/>
      <c r="AK1277" s="421"/>
      <c r="AL1277" s="421"/>
    </row>
    <row r="1278" spans="1:38">
      <c r="A1278" s="3">
        <v>6011</v>
      </c>
      <c r="B1278" s="83">
        <f t="array" ref="B1278">SUM(--(FREQUENCY(IF(C$2:C$3079=C1278, MATCH(D$2:D$3079, D$2:D$3079, 0)), ROW(D$2:D$3079)-ROW(D$2)+1) &gt; 0))</f>
        <v>18</v>
      </c>
      <c r="C1278" s="3">
        <v>41200171</v>
      </c>
      <c r="D1278" s="6" t="s">
        <v>2999</v>
      </c>
      <c r="E1278" s="3" t="s">
        <v>1394</v>
      </c>
      <c r="F1278" s="3" t="s">
        <v>1479</v>
      </c>
      <c r="G1278" s="68" t="str">
        <f t="shared" si="272"/>
        <v>SINGLE</v>
      </c>
      <c r="H1278" s="197">
        <f t="shared" ref="H1278:H1285" si="280">WEEKNUM(K1278)</f>
        <v>39</v>
      </c>
      <c r="I1278" s="197">
        <v>9</v>
      </c>
      <c r="J1278" s="197">
        <v>24</v>
      </c>
      <c r="K1278" s="186">
        <f t="shared" ref="K1278:K1285" si="281">DATE(2025, I1278, J1278)</f>
        <v>45924</v>
      </c>
      <c r="L1278" s="3" t="s">
        <v>2395</v>
      </c>
      <c r="M1278" s="3" t="s">
        <v>1468</v>
      </c>
      <c r="N1278" s="408" t="str">
        <f t="shared" si="260"/>
        <v/>
      </c>
      <c r="O1278" s="408"/>
      <c r="P1278" s="408"/>
      <c r="Q1278" s="408"/>
      <c r="R1278" s="408"/>
      <c r="S1278" s="408"/>
      <c r="T1278" s="408"/>
      <c r="U1278" s="408"/>
      <c r="V1278" s="421"/>
      <c r="W1278" s="421"/>
      <c r="X1278" s="421"/>
      <c r="Y1278" s="421"/>
      <c r="Z1278" s="421"/>
      <c r="AA1278" s="421"/>
      <c r="AB1278" s="421"/>
      <c r="AC1278" s="421"/>
      <c r="AD1278" s="421"/>
      <c r="AE1278" s="421"/>
      <c r="AF1278" s="421"/>
      <c r="AG1278" s="421"/>
      <c r="AH1278" s="421"/>
      <c r="AI1278" s="421"/>
      <c r="AJ1278" s="421"/>
      <c r="AK1278" s="421"/>
      <c r="AL1278" s="421"/>
    </row>
    <row r="1279" spans="1:38">
      <c r="A1279" s="3">
        <v>6011</v>
      </c>
      <c r="B1279" s="83">
        <f t="array" ref="B1279">SUM(--(FREQUENCY(IF(C$2:C$3079=C1279, MATCH(D$2:D$3079, D$2:D$3079, 0)), ROW(D$2:D$3079)-ROW(D$2)+1) &gt; 0))</f>
        <v>18</v>
      </c>
      <c r="C1279" s="3">
        <v>41200171</v>
      </c>
      <c r="D1279" s="6" t="s">
        <v>3000</v>
      </c>
      <c r="E1279" s="3" t="s">
        <v>1394</v>
      </c>
      <c r="F1279" s="3" t="s">
        <v>1479</v>
      </c>
      <c r="G1279" s="68" t="str">
        <f t="shared" si="272"/>
        <v>SINGLE</v>
      </c>
      <c r="H1279" s="197">
        <f t="shared" si="280"/>
        <v>39</v>
      </c>
      <c r="I1279" s="197">
        <v>9</v>
      </c>
      <c r="J1279" s="197">
        <v>24</v>
      </c>
      <c r="K1279" s="186">
        <f t="shared" si="281"/>
        <v>45924</v>
      </c>
      <c r="L1279" s="3" t="s">
        <v>2395</v>
      </c>
      <c r="M1279" s="3" t="s">
        <v>1468</v>
      </c>
      <c r="N1279" s="408" t="str">
        <f t="shared" si="260"/>
        <v/>
      </c>
      <c r="O1279" s="408"/>
      <c r="P1279" s="408"/>
      <c r="Q1279" s="408"/>
      <c r="R1279" s="408"/>
      <c r="S1279" s="408"/>
      <c r="T1279" s="408"/>
      <c r="U1279" s="408"/>
      <c r="V1279" s="421"/>
      <c r="W1279" s="421"/>
      <c r="X1279" s="421"/>
      <c r="Y1279" s="421"/>
      <c r="Z1279" s="421"/>
      <c r="AA1279" s="421"/>
      <c r="AB1279" s="421"/>
      <c r="AC1279" s="421"/>
      <c r="AD1279" s="421"/>
      <c r="AE1279" s="421"/>
      <c r="AF1279" s="421"/>
      <c r="AG1279" s="421"/>
      <c r="AH1279" s="421"/>
      <c r="AI1279" s="421"/>
      <c r="AJ1279" s="421"/>
      <c r="AK1279" s="421"/>
      <c r="AL1279" s="421"/>
    </row>
    <row r="1280" spans="1:38">
      <c r="A1280" s="3">
        <v>6011</v>
      </c>
      <c r="B1280" s="83">
        <f t="array" ref="B1280">SUM(--(FREQUENCY(IF(C$2:C$3079=C1280, MATCH(D$2:D$3079, D$2:D$3079, 0)), ROW(D$2:D$3079)-ROW(D$2)+1) &gt; 0))</f>
        <v>18</v>
      </c>
      <c r="C1280" s="3">
        <v>41200171</v>
      </c>
      <c r="D1280" s="6" t="s">
        <v>3001</v>
      </c>
      <c r="E1280" s="3" t="s">
        <v>1394</v>
      </c>
      <c r="F1280" s="3" t="s">
        <v>1479</v>
      </c>
      <c r="G1280" s="68" t="str">
        <f t="shared" si="272"/>
        <v>SINGLE</v>
      </c>
      <c r="H1280" s="197">
        <f t="shared" si="280"/>
        <v>39</v>
      </c>
      <c r="I1280" s="197">
        <v>9</v>
      </c>
      <c r="J1280" s="197">
        <v>24</v>
      </c>
      <c r="K1280" s="186">
        <f t="shared" si="281"/>
        <v>45924</v>
      </c>
      <c r="L1280" s="3" t="s">
        <v>2395</v>
      </c>
      <c r="M1280" s="3" t="s">
        <v>1468</v>
      </c>
      <c r="N1280" s="408" t="str">
        <f t="shared" si="260"/>
        <v/>
      </c>
      <c r="O1280" s="408"/>
      <c r="P1280" s="408"/>
      <c r="Q1280" s="408"/>
      <c r="R1280" s="408"/>
      <c r="S1280" s="408"/>
      <c r="T1280" s="408"/>
      <c r="U1280" s="408"/>
      <c r="V1280" s="421"/>
      <c r="W1280" s="421"/>
      <c r="X1280" s="421"/>
      <c r="Y1280" s="421"/>
      <c r="Z1280" s="421"/>
      <c r="AA1280" s="421"/>
      <c r="AB1280" s="421"/>
      <c r="AC1280" s="421"/>
      <c r="AD1280" s="421"/>
      <c r="AE1280" s="421"/>
      <c r="AF1280" s="421"/>
      <c r="AG1280" s="421"/>
      <c r="AH1280" s="421"/>
      <c r="AI1280" s="421"/>
      <c r="AJ1280" s="421"/>
      <c r="AK1280" s="421"/>
      <c r="AL1280" s="421"/>
    </row>
    <row r="1281" spans="1:38">
      <c r="A1281" s="3">
        <v>6011</v>
      </c>
      <c r="B1281" s="83">
        <f t="array" ref="B1281">SUM(--(FREQUENCY(IF(C$2:C$3079=C1281, MATCH(D$2:D$3079, D$2:D$3079, 0)), ROW(D$2:D$3079)-ROW(D$2)+1) &gt; 0))</f>
        <v>18</v>
      </c>
      <c r="C1281" s="3">
        <v>41200171</v>
      </c>
      <c r="D1281" s="6" t="s">
        <v>3002</v>
      </c>
      <c r="E1281" s="3" t="s">
        <v>1394</v>
      </c>
      <c r="F1281" s="3" t="s">
        <v>1479</v>
      </c>
      <c r="G1281" s="68" t="str">
        <f t="shared" si="272"/>
        <v>SINGLE</v>
      </c>
      <c r="H1281" s="197">
        <f t="shared" si="280"/>
        <v>39</v>
      </c>
      <c r="I1281" s="197">
        <v>9</v>
      </c>
      <c r="J1281" s="197">
        <v>24</v>
      </c>
      <c r="K1281" s="186">
        <f t="shared" si="281"/>
        <v>45924</v>
      </c>
      <c r="L1281" s="3" t="s">
        <v>2395</v>
      </c>
      <c r="M1281" s="3" t="s">
        <v>1468</v>
      </c>
      <c r="N1281" s="408" t="str">
        <f t="shared" si="260"/>
        <v/>
      </c>
      <c r="O1281" s="408"/>
      <c r="P1281" s="408"/>
      <c r="Q1281" s="408"/>
      <c r="R1281" s="408"/>
      <c r="S1281" s="408"/>
      <c r="T1281" s="408"/>
      <c r="U1281" s="408"/>
      <c r="V1281" s="421"/>
      <c r="W1281" s="421"/>
      <c r="X1281" s="421"/>
      <c r="Y1281" s="421"/>
      <c r="Z1281" s="421"/>
      <c r="AA1281" s="421"/>
      <c r="AB1281" s="421"/>
      <c r="AC1281" s="421"/>
      <c r="AD1281" s="421"/>
      <c r="AE1281" s="421"/>
      <c r="AF1281" s="421"/>
      <c r="AG1281" s="421"/>
      <c r="AH1281" s="421"/>
      <c r="AI1281" s="421"/>
      <c r="AJ1281" s="421"/>
      <c r="AK1281" s="421"/>
      <c r="AL1281" s="421"/>
    </row>
    <row r="1282" spans="1:38">
      <c r="A1282" s="3">
        <v>6042</v>
      </c>
      <c r="B1282" s="83">
        <f t="array" ref="B1282">SUM(--(FREQUENCY(IF(C$2:C$3079=C1282, MATCH(D$2:D$3079, D$2:D$3079, 0)), ROW(D$2:D$3079)-ROW(D$2)+1) &gt; 0))</f>
        <v>5</v>
      </c>
      <c r="C1282" s="3">
        <v>41200042</v>
      </c>
      <c r="D1282" s="6" t="s">
        <v>3003</v>
      </c>
      <c r="E1282" s="3" t="s">
        <v>1426</v>
      </c>
      <c r="F1282" s="3" t="s">
        <v>1476</v>
      </c>
      <c r="G1282" s="68" t="str">
        <f t="shared" si="272"/>
        <v>DUAL</v>
      </c>
      <c r="H1282" s="197">
        <f t="shared" si="280"/>
        <v>39</v>
      </c>
      <c r="I1282" s="197">
        <v>9</v>
      </c>
      <c r="J1282" s="197">
        <v>24</v>
      </c>
      <c r="K1282" s="186">
        <f t="shared" si="281"/>
        <v>45924</v>
      </c>
      <c r="L1282" s="3" t="s">
        <v>2391</v>
      </c>
      <c r="M1282" s="3" t="s">
        <v>1468</v>
      </c>
      <c r="N1282" s="408" t="str">
        <f t="shared" si="260"/>
        <v/>
      </c>
      <c r="O1282" s="408"/>
      <c r="P1282" s="408"/>
      <c r="Q1282" s="408"/>
      <c r="R1282" s="408"/>
      <c r="S1282" s="408"/>
      <c r="T1282" s="408"/>
      <c r="U1282" s="408"/>
      <c r="V1282" s="421"/>
      <c r="W1282" s="421"/>
      <c r="X1282" s="421"/>
      <c r="Y1282" s="421"/>
      <c r="Z1282" s="421"/>
      <c r="AA1282" s="421"/>
      <c r="AB1282" s="421"/>
      <c r="AC1282" s="421"/>
      <c r="AD1282" s="421"/>
      <c r="AE1282" s="421"/>
      <c r="AF1282" s="421"/>
      <c r="AG1282" s="421"/>
      <c r="AH1282" s="421"/>
      <c r="AI1282" s="421"/>
      <c r="AJ1282" s="421"/>
      <c r="AK1282" s="421"/>
      <c r="AL1282" s="421"/>
    </row>
    <row r="1283" spans="1:38">
      <c r="A1283" s="3">
        <v>5957</v>
      </c>
      <c r="B1283" s="83">
        <f t="array" ref="B1283">SUM(--(FREQUENCY(IF(C$2:C$3079=C1283, MATCH(D$2:D$3079, D$2:D$3079, 0)), ROW(D$2:D$3079)-ROW(D$2)+1) &gt; 0))</f>
        <v>63</v>
      </c>
      <c r="C1283" s="3">
        <v>41200006</v>
      </c>
      <c r="D1283" s="6" t="s">
        <v>3004</v>
      </c>
      <c r="E1283" s="3" t="s">
        <v>1405</v>
      </c>
      <c r="F1283" s="3" t="s">
        <v>1477</v>
      </c>
      <c r="G1283" s="68" t="str">
        <f t="shared" si="272"/>
        <v>SINGLE</v>
      </c>
      <c r="H1283" s="197">
        <f t="shared" si="280"/>
        <v>39</v>
      </c>
      <c r="I1283" s="197">
        <v>9</v>
      </c>
      <c r="J1283" s="197">
        <v>24</v>
      </c>
      <c r="K1283" s="186">
        <f t="shared" si="281"/>
        <v>45924</v>
      </c>
      <c r="L1283" s="3" t="s">
        <v>2395</v>
      </c>
      <c r="M1283" s="3" t="s">
        <v>1469</v>
      </c>
      <c r="N1283" s="408" t="str">
        <f t="shared" si="260"/>
        <v/>
      </c>
      <c r="O1283" s="408"/>
      <c r="P1283" s="408"/>
      <c r="Q1283" s="408"/>
      <c r="R1283" s="408"/>
      <c r="S1283" s="408"/>
      <c r="T1283" s="408"/>
      <c r="U1283" s="408"/>
      <c r="V1283" s="421"/>
      <c r="W1283" s="421"/>
      <c r="X1283" s="421"/>
      <c r="Y1283" s="421"/>
      <c r="Z1283" s="421"/>
      <c r="AA1283" s="421"/>
      <c r="AB1283" s="421"/>
      <c r="AC1283" s="421"/>
      <c r="AD1283" s="421"/>
      <c r="AE1283" s="421"/>
      <c r="AF1283" s="421"/>
      <c r="AG1283" s="421"/>
      <c r="AH1283" s="421"/>
      <c r="AI1283" s="421"/>
      <c r="AJ1283" s="421"/>
      <c r="AK1283" s="421"/>
      <c r="AL1283" s="421"/>
    </row>
    <row r="1284" spans="1:38">
      <c r="A1284" s="3">
        <v>5957</v>
      </c>
      <c r="B1284" s="83">
        <f t="array" ref="B1284">SUM(--(FREQUENCY(IF(C$2:C$3079=C1284, MATCH(D$2:D$3079, D$2:D$3079, 0)), ROW(D$2:D$3079)-ROW(D$2)+1) &gt; 0))</f>
        <v>63</v>
      </c>
      <c r="C1284" s="3">
        <v>41200006</v>
      </c>
      <c r="D1284" s="6" t="s">
        <v>3005</v>
      </c>
      <c r="E1284" s="3" t="s">
        <v>1405</v>
      </c>
      <c r="F1284" s="3" t="s">
        <v>1477</v>
      </c>
      <c r="G1284" s="68" t="str">
        <f t="shared" si="272"/>
        <v>SINGLE</v>
      </c>
      <c r="H1284" s="197">
        <f t="shared" si="280"/>
        <v>39</v>
      </c>
      <c r="I1284" s="197">
        <v>9</v>
      </c>
      <c r="J1284" s="197">
        <v>24</v>
      </c>
      <c r="K1284" s="186">
        <f t="shared" si="281"/>
        <v>45924</v>
      </c>
      <c r="L1284" s="3" t="s">
        <v>2395</v>
      </c>
      <c r="M1284" s="3" t="s">
        <v>1469</v>
      </c>
      <c r="N1284" s="408" t="str">
        <f t="shared" si="260"/>
        <v/>
      </c>
      <c r="O1284" s="408"/>
      <c r="P1284" s="408"/>
      <c r="Q1284" s="408"/>
      <c r="R1284" s="408"/>
      <c r="S1284" s="408"/>
      <c r="T1284" s="408"/>
      <c r="U1284" s="408"/>
      <c r="V1284" s="421"/>
      <c r="W1284" s="421"/>
      <c r="X1284" s="421"/>
      <c r="Y1284" s="421"/>
      <c r="Z1284" s="421"/>
      <c r="AA1284" s="421"/>
      <c r="AB1284" s="421"/>
      <c r="AC1284" s="421"/>
      <c r="AD1284" s="421"/>
      <c r="AE1284" s="421"/>
      <c r="AF1284" s="421"/>
      <c r="AG1284" s="421"/>
      <c r="AH1284" s="421"/>
      <c r="AI1284" s="421"/>
      <c r="AJ1284" s="421"/>
      <c r="AK1284" s="421"/>
      <c r="AL1284" s="421"/>
    </row>
    <row r="1285" spans="1:38">
      <c r="A1285" s="3">
        <v>6004</v>
      </c>
      <c r="B1285" s="83">
        <f t="array" ref="B1285">SUM(--(FREQUENCY(IF(C$2:C$3079=C1285, MATCH(D$2:D$3079, D$2:D$3079, 0)), ROW(D$2:D$3079)-ROW(D$2)+1) &gt; 0))</f>
        <v>18</v>
      </c>
      <c r="C1285" s="3">
        <v>41200128</v>
      </c>
      <c r="D1285" s="6" t="s">
        <v>3006</v>
      </c>
      <c r="E1285" s="3" t="s">
        <v>1431</v>
      </c>
      <c r="F1285" s="3" t="s">
        <v>1591</v>
      </c>
      <c r="G1285" s="68" t="str">
        <f t="shared" si="272"/>
        <v>SINGLE</v>
      </c>
      <c r="H1285" s="197">
        <f t="shared" si="280"/>
        <v>39</v>
      </c>
      <c r="I1285" s="197">
        <v>9</v>
      </c>
      <c r="J1285" s="197">
        <v>24</v>
      </c>
      <c r="K1285" s="186">
        <f t="shared" si="281"/>
        <v>45924</v>
      </c>
      <c r="L1285" s="3" t="s">
        <v>2555</v>
      </c>
      <c r="M1285" s="3" t="s">
        <v>2555</v>
      </c>
      <c r="N1285" s="408" t="str">
        <f t="shared" si="260"/>
        <v/>
      </c>
      <c r="O1285" s="408"/>
      <c r="P1285" s="408"/>
      <c r="Q1285" s="408"/>
      <c r="R1285" s="408"/>
      <c r="S1285" s="408"/>
      <c r="T1285" s="408"/>
      <c r="U1285" s="408"/>
      <c r="V1285" s="421"/>
      <c r="W1285" s="421"/>
      <c r="X1285" s="421"/>
      <c r="Y1285" s="421"/>
      <c r="Z1285" s="421"/>
      <c r="AA1285" s="421"/>
      <c r="AB1285" s="421"/>
      <c r="AC1285" s="421"/>
      <c r="AD1285" s="421"/>
      <c r="AE1285" s="421"/>
      <c r="AF1285" s="421"/>
      <c r="AG1285" s="421"/>
      <c r="AH1285" s="421"/>
      <c r="AI1285" s="421"/>
      <c r="AJ1285" s="421"/>
      <c r="AK1285" s="421"/>
      <c r="AL1285" s="421"/>
    </row>
    <row r="1286" spans="1:38">
      <c r="A1286" s="3">
        <v>6050</v>
      </c>
      <c r="B1286" s="83">
        <f t="array" ref="B1286">SUM(--(FREQUENCY(IF(C$2:C$3080=C1286, MATCH(D$2:D$3080, D$2:D$3080, 0)), ROW(D$2:D$3080)-ROW(D$2)+1) &gt; 0))</f>
        <v>4</v>
      </c>
      <c r="C1286" s="3">
        <v>41200027</v>
      </c>
      <c r="D1286" s="6" t="s">
        <v>3007</v>
      </c>
      <c r="E1286" s="3" t="s">
        <v>1405</v>
      </c>
      <c r="F1286" s="3" t="s">
        <v>1591</v>
      </c>
      <c r="G1286" s="68" t="str">
        <f t="shared" si="272"/>
        <v>SINGLE</v>
      </c>
      <c r="H1286" s="197">
        <f t="shared" ref="H1286:H1292" si="282">WEEKNUM(K1286)</f>
        <v>39</v>
      </c>
      <c r="I1286" s="197">
        <v>9</v>
      </c>
      <c r="J1286" s="197">
        <v>25</v>
      </c>
      <c r="K1286" s="186">
        <f t="shared" ref="K1286:K1292" si="283">DATE(2025, I1286, J1286)</f>
        <v>45925</v>
      </c>
      <c r="L1286" s="3" t="s">
        <v>2391</v>
      </c>
      <c r="M1286" s="3" t="s">
        <v>1468</v>
      </c>
      <c r="N1286" s="408" t="str">
        <f t="shared" si="260"/>
        <v/>
      </c>
      <c r="O1286" s="408"/>
      <c r="P1286" s="408"/>
      <c r="Q1286" s="408"/>
      <c r="R1286" s="408"/>
      <c r="S1286" s="408"/>
      <c r="T1286" s="408"/>
      <c r="U1286" s="408"/>
      <c r="V1286" s="421"/>
      <c r="W1286" s="421"/>
      <c r="X1286" s="421"/>
      <c r="Y1286" s="421"/>
      <c r="Z1286" s="421"/>
      <c r="AA1286" s="421"/>
      <c r="AB1286" s="421"/>
      <c r="AC1286" s="421"/>
      <c r="AD1286" s="421"/>
      <c r="AE1286" s="421"/>
      <c r="AF1286" s="421"/>
      <c r="AG1286" s="421"/>
      <c r="AH1286" s="421"/>
      <c r="AI1286" s="421"/>
      <c r="AJ1286" s="421"/>
      <c r="AK1286" s="421"/>
      <c r="AL1286" s="421"/>
    </row>
    <row r="1287" spans="1:38">
      <c r="A1287" s="3">
        <v>6050</v>
      </c>
      <c r="B1287" s="83">
        <f t="array" ref="B1287">SUM(--(FREQUENCY(IF(C$2:C$3080=C1287, MATCH(D$2:D$3080, D$2:D$3080, 0)), ROW(D$2:D$3080)-ROW(D$2)+1) &gt; 0))</f>
        <v>4</v>
      </c>
      <c r="C1287" s="3">
        <v>41200027</v>
      </c>
      <c r="D1287" s="6" t="s">
        <v>3008</v>
      </c>
      <c r="E1287" s="3" t="s">
        <v>1405</v>
      </c>
      <c r="F1287" s="3" t="s">
        <v>1591</v>
      </c>
      <c r="G1287" s="68" t="str">
        <f t="shared" si="272"/>
        <v>SINGLE</v>
      </c>
      <c r="H1287" s="197">
        <f t="shared" si="282"/>
        <v>39</v>
      </c>
      <c r="I1287" s="197">
        <v>9</v>
      </c>
      <c r="J1287" s="197">
        <v>25</v>
      </c>
      <c r="K1287" s="186">
        <f t="shared" si="283"/>
        <v>45925</v>
      </c>
      <c r="L1287" s="3" t="s">
        <v>2391</v>
      </c>
      <c r="M1287" s="3" t="s">
        <v>1468</v>
      </c>
      <c r="N1287" s="408" t="str">
        <f t="shared" si="260"/>
        <v/>
      </c>
      <c r="O1287" s="408"/>
      <c r="P1287" s="408"/>
      <c r="Q1287" s="408"/>
      <c r="R1287" s="408"/>
      <c r="S1287" s="408"/>
      <c r="T1287" s="408"/>
      <c r="U1287" s="408"/>
      <c r="V1287" s="421"/>
      <c r="W1287" s="421"/>
      <c r="X1287" s="421"/>
      <c r="Y1287" s="421"/>
      <c r="Z1287" s="421"/>
      <c r="AA1287" s="421"/>
      <c r="AB1287" s="421"/>
      <c r="AC1287" s="421"/>
      <c r="AD1287" s="421"/>
      <c r="AE1287" s="421"/>
      <c r="AF1287" s="421"/>
      <c r="AG1287" s="421"/>
      <c r="AH1287" s="421"/>
      <c r="AI1287" s="421"/>
      <c r="AJ1287" s="421"/>
      <c r="AK1287" s="421"/>
      <c r="AL1287" s="421"/>
    </row>
    <row r="1288" spans="1:38">
      <c r="A1288" s="3">
        <v>6011</v>
      </c>
      <c r="B1288" s="83">
        <f t="array" ref="B1288">SUM(--(FREQUENCY(IF(C$2:C$3080=C1288, MATCH(D$2:D$3080, D$2:D$3080, 0)), ROW(D$2:D$3080)-ROW(D$2)+1) &gt; 0))</f>
        <v>18</v>
      </c>
      <c r="C1288" s="3">
        <v>41200171</v>
      </c>
      <c r="D1288" s="6" t="s">
        <v>3009</v>
      </c>
      <c r="E1288" s="3" t="s">
        <v>1394</v>
      </c>
      <c r="F1288" s="3" t="s">
        <v>1479</v>
      </c>
      <c r="G1288" s="43" t="str">
        <f t="shared" si="272"/>
        <v>SINGLE</v>
      </c>
      <c r="H1288" s="197">
        <f t="shared" si="282"/>
        <v>39</v>
      </c>
      <c r="I1288" s="197">
        <v>9</v>
      </c>
      <c r="J1288" s="197">
        <v>25</v>
      </c>
      <c r="K1288" s="186">
        <f t="shared" si="283"/>
        <v>45925</v>
      </c>
      <c r="L1288" s="3" t="s">
        <v>2395</v>
      </c>
      <c r="M1288" s="3" t="s">
        <v>1468</v>
      </c>
      <c r="N1288" s="408" t="str">
        <f t="shared" si="260"/>
        <v/>
      </c>
      <c r="O1288" s="408"/>
      <c r="P1288" s="408"/>
      <c r="Q1288" s="408"/>
      <c r="R1288" s="408"/>
      <c r="S1288" s="408"/>
      <c r="T1288" s="408"/>
      <c r="U1288" s="408"/>
      <c r="V1288" s="421"/>
      <c r="W1288" s="421"/>
      <c r="X1288" s="421"/>
      <c r="Y1288" s="421"/>
      <c r="Z1288" s="421"/>
      <c r="AA1288" s="421"/>
      <c r="AB1288" s="421"/>
      <c r="AC1288" s="421"/>
      <c r="AD1288" s="421"/>
      <c r="AE1288" s="421"/>
      <c r="AF1288" s="421"/>
      <c r="AG1288" s="421"/>
      <c r="AH1288" s="421"/>
      <c r="AI1288" s="421"/>
      <c r="AJ1288" s="421"/>
      <c r="AK1288" s="421"/>
      <c r="AL1288" s="421"/>
    </row>
    <row r="1289" spans="1:38">
      <c r="A1289" s="3">
        <v>6011</v>
      </c>
      <c r="B1289" s="83">
        <f t="array" ref="B1289">SUM(--(FREQUENCY(IF(C$2:C$3080=C1289, MATCH(D$2:D$3080, D$2:D$3080, 0)), ROW(D$2:D$3080)-ROW(D$2)+1) &gt; 0))</f>
        <v>18</v>
      </c>
      <c r="C1289" s="3">
        <v>41200171</v>
      </c>
      <c r="D1289" s="6" t="s">
        <v>3010</v>
      </c>
      <c r="E1289" s="3" t="s">
        <v>1394</v>
      </c>
      <c r="F1289" s="3" t="s">
        <v>1479</v>
      </c>
      <c r="G1289" s="68" t="str">
        <f t="shared" si="272"/>
        <v>SINGLE</v>
      </c>
      <c r="H1289" s="197">
        <f t="shared" si="282"/>
        <v>39</v>
      </c>
      <c r="I1289" s="197">
        <v>9</v>
      </c>
      <c r="J1289" s="197">
        <v>25</v>
      </c>
      <c r="K1289" s="186">
        <f t="shared" si="283"/>
        <v>45925</v>
      </c>
      <c r="L1289" s="3" t="s">
        <v>2395</v>
      </c>
      <c r="M1289" s="3" t="s">
        <v>1468</v>
      </c>
      <c r="N1289" s="408" t="str">
        <f t="shared" si="260"/>
        <v>NG</v>
      </c>
      <c r="O1289" s="408" t="s">
        <v>2368</v>
      </c>
      <c r="P1289" s="408" t="s">
        <v>2482</v>
      </c>
      <c r="Q1289" s="408">
        <v>11002283</v>
      </c>
      <c r="R1289" s="408" t="s">
        <v>932</v>
      </c>
      <c r="S1289" s="408" t="s">
        <v>3011</v>
      </c>
      <c r="T1289" s="408" t="s">
        <v>3012</v>
      </c>
      <c r="U1289" s="408"/>
      <c r="V1289" s="421"/>
      <c r="W1289" s="421"/>
      <c r="X1289" s="421"/>
      <c r="Y1289" s="421"/>
      <c r="Z1289" s="421"/>
      <c r="AA1289" s="421"/>
      <c r="AB1289" s="421"/>
      <c r="AC1289" s="421"/>
      <c r="AD1289" s="421"/>
      <c r="AE1289" s="421"/>
      <c r="AF1289" s="421"/>
      <c r="AG1289" s="421"/>
      <c r="AH1289" s="421"/>
      <c r="AI1289" s="421"/>
      <c r="AJ1289" s="421"/>
      <c r="AK1289" s="421"/>
      <c r="AL1289" s="421"/>
    </row>
    <row r="1290" spans="1:38">
      <c r="A1290" s="3">
        <v>6012</v>
      </c>
      <c r="B1290" s="83">
        <f t="array" ref="B1290">SUM(--(FREQUENCY(IF(C$2:C$3080=C1290, MATCH(D$2:D$3080, D$2:D$3080, 0)), ROW(D$2:D$3080)-ROW(D$2)+1) &gt; 0))</f>
        <v>1</v>
      </c>
      <c r="C1290" s="3">
        <v>41200091</v>
      </c>
      <c r="D1290" s="6" t="s">
        <v>3013</v>
      </c>
      <c r="E1290" s="3" t="s">
        <v>1424</v>
      </c>
      <c r="F1290" s="3" t="s">
        <v>1591</v>
      </c>
      <c r="G1290" s="68" t="str">
        <f t="shared" si="272"/>
        <v>SINGLE</v>
      </c>
      <c r="H1290" s="197">
        <f t="shared" si="282"/>
        <v>39</v>
      </c>
      <c r="I1290" s="197">
        <v>9</v>
      </c>
      <c r="J1290" s="197">
        <v>25</v>
      </c>
      <c r="K1290" s="186">
        <f t="shared" si="283"/>
        <v>45925</v>
      </c>
      <c r="L1290" s="3" t="s">
        <v>2395</v>
      </c>
      <c r="M1290" s="3" t="s">
        <v>1468</v>
      </c>
      <c r="N1290" s="408" t="str">
        <f t="shared" si="260"/>
        <v/>
      </c>
      <c r="O1290" s="408"/>
      <c r="P1290" s="408"/>
      <c r="Q1290" s="408"/>
      <c r="R1290" s="408"/>
      <c r="S1290" s="408"/>
      <c r="T1290" s="408"/>
      <c r="U1290" s="408"/>
      <c r="V1290" s="421"/>
      <c r="W1290" s="421"/>
      <c r="X1290" s="421"/>
      <c r="Y1290" s="421"/>
      <c r="Z1290" s="421"/>
      <c r="AA1290" s="421"/>
      <c r="AB1290" s="421"/>
      <c r="AC1290" s="421"/>
      <c r="AD1290" s="421"/>
      <c r="AE1290" s="421"/>
      <c r="AF1290" s="421"/>
      <c r="AG1290" s="421"/>
      <c r="AH1290" s="421"/>
      <c r="AI1290" s="421"/>
      <c r="AJ1290" s="421"/>
      <c r="AK1290" s="421"/>
      <c r="AL1290" s="421"/>
    </row>
    <row r="1291" spans="1:38">
      <c r="A1291" s="3">
        <v>6004</v>
      </c>
      <c r="B1291" s="83">
        <f t="array" ref="B1291">SUM(--(FREQUENCY(IF(C$2:C$3080=C1291, MATCH(D$2:D$3080, D$2:D$3080, 0)), ROW(D$2:D$3080)-ROW(D$2)+1) &gt; 0))</f>
        <v>18</v>
      </c>
      <c r="C1291" s="3">
        <v>41200128</v>
      </c>
      <c r="D1291" s="6" t="s">
        <v>3014</v>
      </c>
      <c r="E1291" s="3" t="s">
        <v>1431</v>
      </c>
      <c r="F1291" s="3" t="s">
        <v>1591</v>
      </c>
      <c r="G1291" s="68" t="str">
        <f t="shared" si="272"/>
        <v>SINGLE</v>
      </c>
      <c r="H1291" s="197">
        <f t="shared" si="282"/>
        <v>39</v>
      </c>
      <c r="I1291" s="197">
        <v>9</v>
      </c>
      <c r="J1291" s="197">
        <v>25</v>
      </c>
      <c r="K1291" s="186">
        <f t="shared" si="283"/>
        <v>45925</v>
      </c>
      <c r="L1291" s="3" t="s">
        <v>2555</v>
      </c>
      <c r="M1291" s="3" t="s">
        <v>2555</v>
      </c>
      <c r="N1291" s="408" t="str">
        <f t="shared" si="260"/>
        <v/>
      </c>
      <c r="O1291" s="408"/>
      <c r="P1291" s="408"/>
      <c r="Q1291" s="408"/>
      <c r="R1291" s="408"/>
      <c r="S1291" s="408"/>
      <c r="T1291" s="408"/>
      <c r="U1291" s="408"/>
      <c r="V1291" s="421"/>
      <c r="W1291" s="421"/>
      <c r="X1291" s="421"/>
      <c r="Y1291" s="421"/>
      <c r="Z1291" s="421"/>
      <c r="AA1291" s="421"/>
      <c r="AB1291" s="421"/>
      <c r="AC1291" s="421"/>
      <c r="AD1291" s="421"/>
      <c r="AE1291" s="421"/>
      <c r="AF1291" s="421"/>
      <c r="AG1291" s="421"/>
      <c r="AH1291" s="421"/>
      <c r="AI1291" s="421"/>
      <c r="AJ1291" s="421"/>
      <c r="AK1291" s="421"/>
      <c r="AL1291" s="421"/>
    </row>
    <row r="1292" spans="1:38">
      <c r="A1292" s="3">
        <v>6036</v>
      </c>
      <c r="B1292" s="83">
        <f t="array" ref="B1292">SUM(--(FREQUENCY(IF(C$2:C$3080=C1292, MATCH(D$2:D$3080, D$2:D$3080, 0)), ROW(D$2:D$3080)-ROW(D$2)+1) &gt; 0))</f>
        <v>19</v>
      </c>
      <c r="C1292" s="3">
        <v>41200033</v>
      </c>
      <c r="D1292" s="6" t="s">
        <v>3015</v>
      </c>
      <c r="E1292" s="3" t="s">
        <v>1426</v>
      </c>
      <c r="F1292" s="3" t="s">
        <v>1476</v>
      </c>
      <c r="G1292" s="68" t="str">
        <f t="shared" si="272"/>
        <v>DUAL</v>
      </c>
      <c r="H1292" s="197">
        <f t="shared" si="282"/>
        <v>39</v>
      </c>
      <c r="I1292" s="197">
        <v>9</v>
      </c>
      <c r="J1292" s="197">
        <v>25</v>
      </c>
      <c r="K1292" s="186">
        <f t="shared" si="283"/>
        <v>45925</v>
      </c>
      <c r="L1292" s="3" t="s">
        <v>2391</v>
      </c>
      <c r="M1292" s="3" t="s">
        <v>1469</v>
      </c>
      <c r="N1292" s="408" t="str">
        <f t="shared" si="260"/>
        <v>NG</v>
      </c>
      <c r="O1292" s="408" t="s">
        <v>2368</v>
      </c>
      <c r="P1292" s="408" t="s">
        <v>2371</v>
      </c>
      <c r="Q1292" s="408">
        <v>11001962</v>
      </c>
      <c r="R1292" s="408" t="s">
        <v>562</v>
      </c>
      <c r="S1292" s="408" t="s">
        <v>3016</v>
      </c>
      <c r="T1292" s="408"/>
      <c r="U1292" s="408"/>
      <c r="V1292" s="421"/>
      <c r="W1292" s="421"/>
      <c r="X1292" s="421"/>
      <c r="Y1292" s="421"/>
      <c r="Z1292" s="421"/>
      <c r="AA1292" s="421"/>
      <c r="AB1292" s="421"/>
      <c r="AC1292" s="421"/>
      <c r="AD1292" s="421"/>
      <c r="AE1292" s="421"/>
      <c r="AF1292" s="421"/>
      <c r="AG1292" s="421"/>
      <c r="AH1292" s="421"/>
      <c r="AI1292" s="421"/>
      <c r="AJ1292" s="421"/>
      <c r="AK1292" s="421"/>
      <c r="AL1292" s="421"/>
    </row>
    <row r="1293" spans="1:38">
      <c r="A1293" s="3">
        <v>5981</v>
      </c>
      <c r="B1293" s="83">
        <f t="array" ref="B1293">SUM(--(FREQUENCY(IF(C$2:C$3080=C1293, MATCH(D$2:D$3080, D$2:D$3080, 0)), ROW(D$2:D$3080)-ROW(D$2)+1) &gt; 0))</f>
        <v>76</v>
      </c>
      <c r="C1293" s="3">
        <v>41200007</v>
      </c>
      <c r="D1293" s="6" t="s">
        <v>3017</v>
      </c>
      <c r="E1293" s="3" t="s">
        <v>1405</v>
      </c>
      <c r="F1293" s="3" t="s">
        <v>1591</v>
      </c>
      <c r="G1293" s="68" t="str">
        <f t="shared" si="272"/>
        <v>SINGLE</v>
      </c>
      <c r="H1293" s="197">
        <f t="shared" ref="H1293:H1301" si="284">WEEKNUM(K1293)</f>
        <v>39</v>
      </c>
      <c r="I1293" s="197">
        <v>9</v>
      </c>
      <c r="J1293" s="197">
        <v>26</v>
      </c>
      <c r="K1293" s="186">
        <f t="shared" ref="K1293:K1301" si="285">DATE(2025, I1293, J1293)</f>
        <v>45926</v>
      </c>
      <c r="L1293" s="3" t="s">
        <v>2391</v>
      </c>
      <c r="M1293" s="3" t="s">
        <v>2392</v>
      </c>
      <c r="N1293" s="408" t="str">
        <f t="shared" si="260"/>
        <v>NG</v>
      </c>
      <c r="O1293" s="408" t="s">
        <v>2368</v>
      </c>
      <c r="P1293" s="408" t="s">
        <v>2371</v>
      </c>
      <c r="Q1293" s="408">
        <v>11001962</v>
      </c>
      <c r="R1293" s="408" t="s">
        <v>562</v>
      </c>
      <c r="S1293" s="408" t="s">
        <v>3018</v>
      </c>
      <c r="T1293" s="408"/>
      <c r="U1293" s="408"/>
      <c r="V1293" s="421"/>
      <c r="W1293" s="421"/>
      <c r="X1293" s="421"/>
      <c r="Y1293" s="421"/>
      <c r="Z1293" s="421"/>
      <c r="AA1293" s="421"/>
      <c r="AB1293" s="421"/>
      <c r="AC1293" s="421"/>
      <c r="AD1293" s="421"/>
      <c r="AE1293" s="421"/>
      <c r="AF1293" s="421"/>
      <c r="AG1293" s="421"/>
      <c r="AH1293" s="421"/>
      <c r="AI1293" s="421"/>
      <c r="AJ1293" s="421"/>
      <c r="AK1293" s="421"/>
      <c r="AL1293" s="421"/>
    </row>
    <row r="1294" spans="1:38">
      <c r="A1294" s="3">
        <v>6050</v>
      </c>
      <c r="B1294" s="83">
        <f t="array" ref="B1294">SUM(--(FREQUENCY(IF(C$2:C$3080=C1294, MATCH(D$2:D$3080, D$2:D$3080, 0)), ROW(D$2:D$3080)-ROW(D$2)+1) &gt; 0))</f>
        <v>4</v>
      </c>
      <c r="C1294" s="3">
        <v>41200027</v>
      </c>
      <c r="D1294" s="6" t="s">
        <v>3019</v>
      </c>
      <c r="E1294" s="3" t="s">
        <v>1405</v>
      </c>
      <c r="F1294" s="3" t="s">
        <v>1591</v>
      </c>
      <c r="G1294" s="68" t="str">
        <f t="shared" si="272"/>
        <v>SINGLE</v>
      </c>
      <c r="H1294" s="197">
        <f t="shared" si="284"/>
        <v>39</v>
      </c>
      <c r="I1294" s="197">
        <v>9</v>
      </c>
      <c r="J1294" s="197">
        <v>26</v>
      </c>
      <c r="K1294" s="186">
        <f t="shared" si="285"/>
        <v>45926</v>
      </c>
      <c r="L1294" s="3" t="s">
        <v>2391</v>
      </c>
      <c r="M1294" s="3" t="s">
        <v>2392</v>
      </c>
      <c r="N1294" s="408" t="str">
        <f t="shared" si="260"/>
        <v/>
      </c>
      <c r="O1294" s="408"/>
      <c r="P1294" s="408"/>
      <c r="Q1294" s="408"/>
      <c r="R1294" s="408"/>
      <c r="S1294" s="408"/>
      <c r="T1294" s="408"/>
      <c r="U1294" s="408"/>
      <c r="V1294" s="421"/>
      <c r="W1294" s="421"/>
      <c r="X1294" s="421"/>
      <c r="Y1294" s="421"/>
      <c r="Z1294" s="421"/>
      <c r="AA1294" s="421"/>
      <c r="AB1294" s="421"/>
      <c r="AC1294" s="421"/>
      <c r="AD1294" s="421"/>
      <c r="AE1294" s="421"/>
      <c r="AF1294" s="421"/>
      <c r="AG1294" s="421"/>
      <c r="AH1294" s="421"/>
      <c r="AI1294" s="421"/>
      <c r="AJ1294" s="421"/>
      <c r="AK1294" s="421"/>
      <c r="AL1294" s="421"/>
    </row>
    <row r="1295" spans="1:38">
      <c r="A1295" s="3">
        <v>5938</v>
      </c>
      <c r="B1295" s="83">
        <f t="array" ref="B1295">SUM(--(FREQUENCY(IF(C$2:C$3080=C1295, MATCH(D$2:D$3080, D$2:D$3080, 0)), ROW(D$2:D$3080)-ROW(D$2)+1) &gt; 0))</f>
        <v>12</v>
      </c>
      <c r="C1295" s="3">
        <v>41100264</v>
      </c>
      <c r="D1295" s="6" t="s">
        <v>3020</v>
      </c>
      <c r="E1295" s="3" t="s">
        <v>1585</v>
      </c>
      <c r="F1295" s="3" t="s">
        <v>1591</v>
      </c>
      <c r="G1295" s="68" t="str">
        <f t="shared" si="272"/>
        <v>SINGLE</v>
      </c>
      <c r="H1295" s="197">
        <f t="shared" si="284"/>
        <v>39</v>
      </c>
      <c r="I1295" s="197">
        <v>9</v>
      </c>
      <c r="J1295" s="197">
        <v>26</v>
      </c>
      <c r="K1295" s="186">
        <f t="shared" si="285"/>
        <v>45926</v>
      </c>
      <c r="L1295" s="3" t="s">
        <v>2391</v>
      </c>
      <c r="M1295" s="3" t="s">
        <v>1468</v>
      </c>
      <c r="N1295" s="408" t="str">
        <f t="shared" si="260"/>
        <v/>
      </c>
      <c r="O1295" s="408"/>
      <c r="P1295" s="408"/>
      <c r="Q1295" s="408"/>
      <c r="R1295" s="408"/>
      <c r="S1295" s="408"/>
      <c r="T1295" s="408"/>
      <c r="U1295" s="408"/>
      <c r="V1295" s="421"/>
      <c r="W1295" s="421"/>
      <c r="X1295" s="421"/>
      <c r="Y1295" s="421"/>
      <c r="Z1295" s="421"/>
      <c r="AA1295" s="421"/>
      <c r="AB1295" s="421"/>
      <c r="AC1295" s="421"/>
      <c r="AD1295" s="421"/>
      <c r="AE1295" s="421"/>
      <c r="AF1295" s="421"/>
      <c r="AG1295" s="421"/>
      <c r="AH1295" s="421"/>
      <c r="AI1295" s="421"/>
      <c r="AJ1295" s="421"/>
      <c r="AK1295" s="421"/>
      <c r="AL1295" s="421"/>
    </row>
    <row r="1296" spans="1:38">
      <c r="A1296" s="3">
        <v>5938</v>
      </c>
      <c r="B1296" s="83">
        <f t="array" ref="B1296">SUM(--(FREQUENCY(IF(C$2:C$3080=C1296, MATCH(D$2:D$3080, D$2:D$3080, 0)), ROW(D$2:D$3080)-ROW(D$2)+1) &gt; 0))</f>
        <v>12</v>
      </c>
      <c r="C1296" s="3">
        <v>41100264</v>
      </c>
      <c r="D1296" s="6" t="s">
        <v>3021</v>
      </c>
      <c r="E1296" s="3" t="s">
        <v>1585</v>
      </c>
      <c r="F1296" s="3" t="s">
        <v>1591</v>
      </c>
      <c r="G1296" s="68" t="str">
        <f t="shared" si="272"/>
        <v>SINGLE</v>
      </c>
      <c r="H1296" s="197">
        <f t="shared" si="284"/>
        <v>39</v>
      </c>
      <c r="I1296" s="197">
        <v>9</v>
      </c>
      <c r="J1296" s="197">
        <v>26</v>
      </c>
      <c r="K1296" s="186">
        <f t="shared" si="285"/>
        <v>45926</v>
      </c>
      <c r="L1296" s="3" t="s">
        <v>2391</v>
      </c>
      <c r="M1296" s="3" t="s">
        <v>1468</v>
      </c>
      <c r="N1296" s="408" t="str">
        <f t="shared" si="260"/>
        <v/>
      </c>
      <c r="O1296" s="408"/>
      <c r="P1296" s="408"/>
      <c r="Q1296" s="408"/>
      <c r="R1296" s="408"/>
      <c r="S1296" s="408"/>
      <c r="T1296" s="408"/>
      <c r="U1296" s="408"/>
      <c r="V1296" s="421"/>
      <c r="W1296" s="421"/>
      <c r="X1296" s="421"/>
      <c r="Y1296" s="421"/>
      <c r="Z1296" s="421"/>
      <c r="AA1296" s="421"/>
      <c r="AB1296" s="421"/>
      <c r="AC1296" s="421"/>
      <c r="AD1296" s="421"/>
      <c r="AE1296" s="421"/>
      <c r="AF1296" s="421"/>
      <c r="AG1296" s="421"/>
      <c r="AH1296" s="421"/>
      <c r="AI1296" s="421"/>
      <c r="AJ1296" s="421"/>
      <c r="AK1296" s="421"/>
      <c r="AL1296" s="421"/>
    </row>
    <row r="1297" spans="1:38">
      <c r="A1297" s="3">
        <v>5980</v>
      </c>
      <c r="B1297" s="83">
        <f t="array" ref="B1297">SUM(--(FREQUENCY(IF(C$2:C$3080=C1297, MATCH(D$2:D$3080, D$2:D$3080, 0)), ROW(D$2:D$3080)-ROW(D$2)+1) &gt; 0))</f>
        <v>18</v>
      </c>
      <c r="C1297" s="3">
        <v>41200053</v>
      </c>
      <c r="D1297" s="6" t="s">
        <v>3022</v>
      </c>
      <c r="E1297" s="3" t="s">
        <v>1405</v>
      </c>
      <c r="F1297" s="3" t="s">
        <v>1616</v>
      </c>
      <c r="G1297" s="68" t="str">
        <f t="shared" ref="G1297:G1328" si="286">IF(OR(ISNUMBER(SEARCH("DUAL",F1297)), ISNUMBER(SEARCH("IVAS",F1297))), "DUAL", "SINGLE")</f>
        <v>SINGLE</v>
      </c>
      <c r="H1297" s="197">
        <f t="shared" si="284"/>
        <v>39</v>
      </c>
      <c r="I1297" s="197">
        <v>9</v>
      </c>
      <c r="J1297" s="197">
        <v>26</v>
      </c>
      <c r="K1297" s="186">
        <f t="shared" si="285"/>
        <v>45926</v>
      </c>
      <c r="L1297" s="3" t="s">
        <v>2392</v>
      </c>
      <c r="M1297" s="3" t="s">
        <v>1469</v>
      </c>
      <c r="N1297" s="408" t="str">
        <f t="shared" si="260"/>
        <v/>
      </c>
      <c r="O1297" s="408"/>
      <c r="P1297" s="408"/>
      <c r="Q1297" s="408"/>
      <c r="R1297" s="408"/>
      <c r="S1297" s="408"/>
      <c r="T1297" s="408"/>
      <c r="U1297" s="408"/>
      <c r="V1297" s="421"/>
      <c r="W1297" s="421"/>
      <c r="X1297" s="421"/>
      <c r="Y1297" s="421"/>
      <c r="Z1297" s="421"/>
      <c r="AA1297" s="421"/>
      <c r="AB1297" s="421"/>
      <c r="AC1297" s="421"/>
      <c r="AD1297" s="421"/>
      <c r="AE1297" s="421"/>
      <c r="AF1297" s="421"/>
      <c r="AG1297" s="421"/>
      <c r="AH1297" s="421"/>
      <c r="AI1297" s="421"/>
      <c r="AJ1297" s="421"/>
      <c r="AK1297" s="421"/>
      <c r="AL1297" s="421"/>
    </row>
    <row r="1298" spans="1:38">
      <c r="A1298" s="3">
        <v>5980</v>
      </c>
      <c r="B1298" s="83">
        <f t="array" ref="B1298">SUM(--(FREQUENCY(IF(C$2:C$3080=C1298, MATCH(D$2:D$3080, D$2:D$3080, 0)), ROW(D$2:D$3080)-ROW(D$2)+1) &gt; 0))</f>
        <v>18</v>
      </c>
      <c r="C1298" s="3">
        <v>41200053</v>
      </c>
      <c r="D1298" s="6" t="s">
        <v>3023</v>
      </c>
      <c r="E1298" s="3" t="s">
        <v>1405</v>
      </c>
      <c r="F1298" s="3" t="s">
        <v>1616</v>
      </c>
      <c r="G1298" s="68" t="str">
        <f t="shared" si="286"/>
        <v>SINGLE</v>
      </c>
      <c r="H1298" s="197">
        <f t="shared" si="284"/>
        <v>39</v>
      </c>
      <c r="I1298" s="197">
        <v>9</v>
      </c>
      <c r="J1298" s="197">
        <v>26</v>
      </c>
      <c r="K1298" s="186">
        <f t="shared" si="285"/>
        <v>45926</v>
      </c>
      <c r="L1298" s="3" t="s">
        <v>2392</v>
      </c>
      <c r="M1298" s="3" t="s">
        <v>1469</v>
      </c>
      <c r="N1298" s="408" t="str">
        <f t="shared" si="260"/>
        <v/>
      </c>
      <c r="O1298" s="408"/>
      <c r="P1298" s="408"/>
      <c r="Q1298" s="408"/>
      <c r="R1298" s="408"/>
      <c r="S1298" s="408"/>
      <c r="T1298" s="408"/>
      <c r="U1298" s="408"/>
      <c r="V1298" s="421"/>
      <c r="W1298" s="421"/>
      <c r="X1298" s="421"/>
      <c r="Y1298" s="421"/>
      <c r="Z1298" s="421"/>
      <c r="AA1298" s="421"/>
      <c r="AB1298" s="421"/>
      <c r="AC1298" s="421"/>
      <c r="AD1298" s="421"/>
      <c r="AE1298" s="421"/>
      <c r="AF1298" s="421"/>
      <c r="AG1298" s="421"/>
      <c r="AH1298" s="421"/>
      <c r="AI1298" s="421"/>
      <c r="AJ1298" s="421"/>
      <c r="AK1298" s="421"/>
      <c r="AL1298" s="421"/>
    </row>
    <row r="1299" spans="1:38">
      <c r="A1299" s="3">
        <v>6113</v>
      </c>
      <c r="B1299" s="83">
        <f t="array" ref="B1299">SUM(--(FREQUENCY(IF(C$2:C$3080=C1299, MATCH(D$2:D$3080, D$2:D$3080, 0)), ROW(D$2:D$3080)-ROW(D$2)+1) &gt; 0))</f>
        <v>6</v>
      </c>
      <c r="C1299" s="3">
        <v>41200108</v>
      </c>
      <c r="D1299" s="6" t="s">
        <v>1890</v>
      </c>
      <c r="E1299" s="3" t="s">
        <v>1409</v>
      </c>
      <c r="F1299" s="3" t="s">
        <v>1479</v>
      </c>
      <c r="G1299" s="41" t="str">
        <f t="shared" si="286"/>
        <v>SINGLE</v>
      </c>
      <c r="H1299" s="197">
        <f t="shared" si="284"/>
        <v>39</v>
      </c>
      <c r="I1299" s="197">
        <v>9</v>
      </c>
      <c r="J1299" s="197">
        <v>26</v>
      </c>
      <c r="K1299" s="186">
        <f t="shared" si="285"/>
        <v>45926</v>
      </c>
      <c r="L1299" s="3" t="s">
        <v>2392</v>
      </c>
      <c r="M1299" s="3" t="s">
        <v>1469</v>
      </c>
      <c r="N1299" s="408" t="str">
        <f t="shared" si="260"/>
        <v/>
      </c>
      <c r="O1299" s="408"/>
      <c r="P1299" s="408"/>
      <c r="Q1299" s="408"/>
      <c r="R1299" s="408"/>
      <c r="S1299" s="408"/>
      <c r="T1299" s="408"/>
      <c r="U1299" s="408"/>
      <c r="V1299" s="421"/>
      <c r="W1299" s="421"/>
      <c r="X1299" s="421"/>
      <c r="Y1299" s="421"/>
      <c r="Z1299" s="421"/>
      <c r="AA1299" s="421"/>
      <c r="AB1299" s="421"/>
      <c r="AC1299" s="421"/>
      <c r="AD1299" s="421"/>
      <c r="AE1299" s="421"/>
      <c r="AF1299" s="421"/>
      <c r="AG1299" s="421"/>
      <c r="AH1299" s="421"/>
      <c r="AI1299" s="421"/>
      <c r="AJ1299" s="421"/>
      <c r="AK1299" s="421"/>
      <c r="AL1299" s="421"/>
    </row>
    <row r="1300" spans="1:38">
      <c r="A1300" s="3">
        <v>6011</v>
      </c>
      <c r="B1300" s="83">
        <f t="array" ref="B1300">SUM(--(FREQUENCY(IF(C$2:C$3080=C1300, MATCH(D$2:D$3080, D$2:D$3080, 0)), ROW(D$2:D$3080)-ROW(D$2)+1) &gt; 0))</f>
        <v>18</v>
      </c>
      <c r="C1300" s="3">
        <v>41200171</v>
      </c>
      <c r="D1300" s="6" t="s">
        <v>3024</v>
      </c>
      <c r="E1300" s="3" t="s">
        <v>1394</v>
      </c>
      <c r="F1300" s="3" t="s">
        <v>1479</v>
      </c>
      <c r="G1300" s="68" t="str">
        <f t="shared" si="286"/>
        <v>SINGLE</v>
      </c>
      <c r="H1300" s="197">
        <f t="shared" si="284"/>
        <v>39</v>
      </c>
      <c r="I1300" s="197">
        <v>9</v>
      </c>
      <c r="J1300" s="197">
        <v>26</v>
      </c>
      <c r="K1300" s="186">
        <f t="shared" si="285"/>
        <v>45926</v>
      </c>
      <c r="L1300" s="3" t="s">
        <v>2395</v>
      </c>
      <c r="M1300" s="3" t="s">
        <v>1468</v>
      </c>
      <c r="N1300" s="408" t="str">
        <f t="shared" si="260"/>
        <v/>
      </c>
      <c r="O1300" s="408"/>
      <c r="P1300" s="408"/>
      <c r="Q1300" s="408"/>
      <c r="R1300" s="408"/>
      <c r="S1300" s="408"/>
      <c r="T1300" s="408"/>
      <c r="U1300" s="408"/>
      <c r="V1300" s="421"/>
      <c r="W1300" s="421"/>
      <c r="X1300" s="421"/>
      <c r="Y1300" s="421"/>
      <c r="Z1300" s="421"/>
      <c r="AA1300" s="421"/>
      <c r="AB1300" s="421"/>
      <c r="AC1300" s="421"/>
      <c r="AD1300" s="421"/>
      <c r="AE1300" s="421"/>
      <c r="AF1300" s="421"/>
      <c r="AG1300" s="421"/>
      <c r="AH1300" s="421"/>
      <c r="AI1300" s="421"/>
      <c r="AJ1300" s="421"/>
      <c r="AK1300" s="421"/>
      <c r="AL1300" s="421"/>
    </row>
    <row r="1301" spans="1:38">
      <c r="A1301" s="3">
        <v>6011</v>
      </c>
      <c r="B1301" s="83">
        <f t="array" ref="B1301">SUM(--(FREQUENCY(IF(C$2:C$3080=C1301, MATCH(D$2:D$3080, D$2:D$3080, 0)), ROW(D$2:D$3080)-ROW(D$2)+1) &gt; 0))</f>
        <v>18</v>
      </c>
      <c r="C1301" s="3">
        <v>41200171</v>
      </c>
      <c r="D1301" s="6" t="s">
        <v>3025</v>
      </c>
      <c r="E1301" s="3" t="s">
        <v>1394</v>
      </c>
      <c r="F1301" s="3" t="s">
        <v>1479</v>
      </c>
      <c r="G1301" s="68" t="str">
        <f t="shared" si="286"/>
        <v>SINGLE</v>
      </c>
      <c r="H1301" s="197">
        <f t="shared" si="284"/>
        <v>39</v>
      </c>
      <c r="I1301" s="197">
        <v>9</v>
      </c>
      <c r="J1301" s="197">
        <v>26</v>
      </c>
      <c r="K1301" s="186">
        <f t="shared" si="285"/>
        <v>45926</v>
      </c>
      <c r="L1301" s="3" t="s">
        <v>2395</v>
      </c>
      <c r="M1301" s="3" t="s">
        <v>1468</v>
      </c>
      <c r="N1301" s="408" t="str">
        <f t="shared" si="260"/>
        <v/>
      </c>
      <c r="O1301" s="408"/>
      <c r="P1301" s="408"/>
      <c r="Q1301" s="408"/>
      <c r="R1301" s="408"/>
      <c r="S1301" s="408"/>
      <c r="T1301" s="408"/>
      <c r="U1301" s="408"/>
      <c r="V1301" s="421"/>
      <c r="W1301" s="421"/>
      <c r="X1301" s="421"/>
      <c r="Y1301" s="421"/>
      <c r="Z1301" s="421"/>
      <c r="AA1301" s="421"/>
      <c r="AB1301" s="421"/>
      <c r="AC1301" s="421"/>
      <c r="AD1301" s="421"/>
      <c r="AE1301" s="421"/>
      <c r="AF1301" s="421"/>
      <c r="AG1301" s="421"/>
      <c r="AH1301" s="421"/>
      <c r="AI1301" s="421"/>
      <c r="AJ1301" s="421"/>
      <c r="AK1301" s="421"/>
      <c r="AL1301" s="421"/>
    </row>
    <row r="1302" spans="1:38">
      <c r="A1302" s="3">
        <v>5981</v>
      </c>
      <c r="B1302" s="83">
        <f t="array" ref="B1302">SUM(--(FREQUENCY(IF(C$2:C$3081=C1302, MATCH(D$2:D$3081, D$2:D$3081, 0)), ROW(D$2:D$3081)-ROW(D$2)+1) &gt; 0))</f>
        <v>76</v>
      </c>
      <c r="C1302" s="3">
        <v>41200007</v>
      </c>
      <c r="D1302" s="6" t="s">
        <v>3026</v>
      </c>
      <c r="E1302" s="3" t="s">
        <v>1405</v>
      </c>
      <c r="F1302" s="3" t="s">
        <v>1591</v>
      </c>
      <c r="G1302" s="68" t="str">
        <f t="shared" si="286"/>
        <v>SINGLE</v>
      </c>
      <c r="H1302" s="197">
        <f t="shared" ref="H1302:H1310" si="287">WEEKNUM(K1302)</f>
        <v>40</v>
      </c>
      <c r="I1302" s="197">
        <v>9</v>
      </c>
      <c r="J1302" s="197">
        <v>29</v>
      </c>
      <c r="K1302" s="186">
        <f t="shared" ref="K1302:K1310" si="288">DATE(2025, I1302, J1302)</f>
        <v>45929</v>
      </c>
      <c r="L1302" s="3" t="s">
        <v>2395</v>
      </c>
      <c r="M1302" s="3" t="s">
        <v>1468</v>
      </c>
      <c r="N1302" s="408" t="str">
        <f t="shared" si="260"/>
        <v/>
      </c>
      <c r="O1302" s="408"/>
      <c r="P1302" s="408"/>
      <c r="Q1302" s="408"/>
      <c r="R1302" s="408"/>
      <c r="S1302" s="408"/>
      <c r="T1302" s="408"/>
      <c r="U1302" s="408"/>
      <c r="V1302" s="421"/>
      <c r="W1302" s="421"/>
      <c r="X1302" s="421"/>
      <c r="Y1302" s="421"/>
      <c r="Z1302" s="421"/>
      <c r="AA1302" s="421"/>
      <c r="AB1302" s="421"/>
      <c r="AC1302" s="421"/>
      <c r="AD1302" s="421"/>
      <c r="AE1302" s="421"/>
      <c r="AF1302" s="421"/>
      <c r="AG1302" s="421"/>
      <c r="AH1302" s="421"/>
      <c r="AI1302" s="421"/>
      <c r="AJ1302" s="421"/>
      <c r="AK1302" s="421"/>
      <c r="AL1302" s="421"/>
    </row>
    <row r="1303" spans="1:38">
      <c r="A1303" s="3">
        <v>5981</v>
      </c>
      <c r="B1303" s="83">
        <f t="array" ref="B1303">SUM(--(FREQUENCY(IF(C$2:C$3081=C1303, MATCH(D$2:D$3081, D$2:D$3081, 0)), ROW(D$2:D$3081)-ROW(D$2)+1) &gt; 0))</f>
        <v>76</v>
      </c>
      <c r="C1303" s="3">
        <v>41200007</v>
      </c>
      <c r="D1303" s="6" t="s">
        <v>3027</v>
      </c>
      <c r="E1303" s="3" t="s">
        <v>1405</v>
      </c>
      <c r="F1303" s="3" t="s">
        <v>1591</v>
      </c>
      <c r="G1303" s="68" t="str">
        <f t="shared" si="286"/>
        <v>SINGLE</v>
      </c>
      <c r="H1303" s="197">
        <f t="shared" si="287"/>
        <v>40</v>
      </c>
      <c r="I1303" s="197">
        <v>9</v>
      </c>
      <c r="J1303" s="197">
        <v>29</v>
      </c>
      <c r="K1303" s="186">
        <f t="shared" si="288"/>
        <v>45929</v>
      </c>
      <c r="L1303" s="3" t="s">
        <v>2395</v>
      </c>
      <c r="M1303" s="3" t="s">
        <v>1468</v>
      </c>
      <c r="N1303" s="408" t="str">
        <f t="shared" si="260"/>
        <v/>
      </c>
      <c r="O1303" s="408"/>
      <c r="P1303" s="408"/>
      <c r="Q1303" s="408"/>
      <c r="R1303" s="408"/>
      <c r="S1303" s="408"/>
      <c r="T1303" s="408"/>
      <c r="U1303" s="408"/>
      <c r="V1303" s="421"/>
      <c r="W1303" s="421"/>
      <c r="X1303" s="421"/>
      <c r="Y1303" s="421"/>
      <c r="Z1303" s="421"/>
      <c r="AA1303" s="421"/>
      <c r="AB1303" s="421"/>
      <c r="AC1303" s="421"/>
      <c r="AD1303" s="421"/>
      <c r="AE1303" s="421"/>
      <c r="AF1303" s="421"/>
      <c r="AG1303" s="421"/>
      <c r="AH1303" s="421"/>
      <c r="AI1303" s="421"/>
      <c r="AJ1303" s="421"/>
      <c r="AK1303" s="421"/>
      <c r="AL1303" s="421"/>
    </row>
    <row r="1304" spans="1:38">
      <c r="A1304" s="3">
        <v>5842</v>
      </c>
      <c r="B1304" s="83">
        <f t="array" ref="B1304">SUM(--(FREQUENCY(IF(C$2:C$3081=C1304, MATCH(D$2:D$3081, D$2:D$3081, 0)), ROW(D$2:D$3081)-ROW(D$2)+1) &gt; 0))</f>
        <v>37</v>
      </c>
      <c r="C1304" s="3">
        <v>41200076</v>
      </c>
      <c r="D1304" s="6" t="s">
        <v>3028</v>
      </c>
      <c r="E1304" s="3" t="s">
        <v>1585</v>
      </c>
      <c r="F1304" s="3" t="s">
        <v>1476</v>
      </c>
      <c r="G1304" s="68" t="str">
        <f t="shared" si="286"/>
        <v>DUAL</v>
      </c>
      <c r="H1304" s="197">
        <f t="shared" si="287"/>
        <v>40</v>
      </c>
      <c r="I1304" s="197">
        <v>9</v>
      </c>
      <c r="J1304" s="197">
        <v>29</v>
      </c>
      <c r="K1304" s="186">
        <f t="shared" si="288"/>
        <v>45929</v>
      </c>
      <c r="L1304" s="3" t="s">
        <v>2391</v>
      </c>
      <c r="M1304" s="3" t="s">
        <v>1468</v>
      </c>
      <c r="N1304" s="408" t="str">
        <f t="shared" si="260"/>
        <v/>
      </c>
      <c r="O1304" s="408"/>
      <c r="P1304" s="408"/>
      <c r="Q1304" s="408"/>
      <c r="R1304" s="408"/>
      <c r="S1304" s="408"/>
      <c r="T1304" s="408"/>
      <c r="U1304" s="408"/>
      <c r="V1304" s="421"/>
      <c r="W1304" s="421"/>
      <c r="X1304" s="421"/>
      <c r="Y1304" s="421"/>
      <c r="Z1304" s="421"/>
      <c r="AA1304" s="421"/>
      <c r="AB1304" s="421"/>
      <c r="AC1304" s="421"/>
      <c r="AD1304" s="421"/>
      <c r="AE1304" s="421"/>
      <c r="AF1304" s="421"/>
      <c r="AG1304" s="421"/>
      <c r="AH1304" s="421"/>
      <c r="AI1304" s="421"/>
      <c r="AJ1304" s="421"/>
      <c r="AK1304" s="421"/>
      <c r="AL1304" s="421"/>
    </row>
    <row r="1305" spans="1:38">
      <c r="A1305" s="3">
        <v>5919</v>
      </c>
      <c r="B1305" s="83">
        <f t="array" ref="B1305">SUM(--(FREQUENCY(IF(C$2:C$3081=C1305, MATCH(D$2:D$3081, D$2:D$3081, 0)), ROW(D$2:D$3081)-ROW(D$2)+1) &gt; 0))</f>
        <v>19</v>
      </c>
      <c r="C1305" s="3">
        <v>41200033</v>
      </c>
      <c r="D1305" s="6" t="s">
        <v>3029</v>
      </c>
      <c r="E1305" s="3" t="s">
        <v>1426</v>
      </c>
      <c r="F1305" s="3" t="s">
        <v>1476</v>
      </c>
      <c r="G1305" s="68" t="str">
        <f t="shared" si="286"/>
        <v>DUAL</v>
      </c>
      <c r="H1305" s="197">
        <f t="shared" si="287"/>
        <v>40</v>
      </c>
      <c r="I1305" s="197">
        <v>9</v>
      </c>
      <c r="J1305" s="197">
        <v>29</v>
      </c>
      <c r="K1305" s="186">
        <f t="shared" si="288"/>
        <v>45929</v>
      </c>
      <c r="L1305" s="3" t="s">
        <v>2391</v>
      </c>
      <c r="M1305" s="3" t="s">
        <v>1468</v>
      </c>
      <c r="N1305" s="408" t="str">
        <f t="shared" si="260"/>
        <v/>
      </c>
      <c r="O1305" s="408"/>
      <c r="P1305" s="408"/>
      <c r="Q1305" s="408"/>
      <c r="R1305" s="408"/>
      <c r="S1305" s="408"/>
      <c r="T1305" s="408"/>
      <c r="U1305" s="408"/>
      <c r="V1305" s="421"/>
      <c r="W1305" s="421"/>
      <c r="X1305" s="421"/>
      <c r="Y1305" s="421"/>
      <c r="Z1305" s="421"/>
      <c r="AA1305" s="421"/>
      <c r="AB1305" s="421"/>
      <c r="AC1305" s="421"/>
      <c r="AD1305" s="421"/>
      <c r="AE1305" s="421"/>
      <c r="AF1305" s="421"/>
      <c r="AG1305" s="421"/>
      <c r="AH1305" s="421"/>
      <c r="AI1305" s="421"/>
      <c r="AJ1305" s="421"/>
      <c r="AK1305" s="421"/>
      <c r="AL1305" s="421"/>
    </row>
    <row r="1306" spans="1:38">
      <c r="A1306" s="3">
        <v>5978</v>
      </c>
      <c r="B1306" s="83">
        <f t="array" ref="B1306">SUM(--(FREQUENCY(IF(C$2:C$3081=C1306, MATCH(D$2:D$3081, D$2:D$3081, 0)), ROW(D$2:D$3081)-ROW(D$2)+1) &gt; 0))</f>
        <v>20</v>
      </c>
      <c r="C1306" s="3">
        <v>41200074</v>
      </c>
      <c r="D1306" s="6" t="s">
        <v>3030</v>
      </c>
      <c r="E1306" s="3" t="s">
        <v>1405</v>
      </c>
      <c r="F1306" s="3" t="s">
        <v>1478</v>
      </c>
      <c r="G1306" s="68" t="str">
        <f t="shared" si="286"/>
        <v>DUAL</v>
      </c>
      <c r="H1306" s="197">
        <f t="shared" si="287"/>
        <v>40</v>
      </c>
      <c r="I1306" s="197">
        <v>9</v>
      </c>
      <c r="J1306" s="197">
        <v>29</v>
      </c>
      <c r="K1306" s="186">
        <f t="shared" si="288"/>
        <v>45929</v>
      </c>
      <c r="L1306" s="3" t="s">
        <v>2395</v>
      </c>
      <c r="M1306" s="3" t="s">
        <v>1469</v>
      </c>
      <c r="N1306" s="408" t="str">
        <f t="shared" si="260"/>
        <v/>
      </c>
      <c r="O1306" s="408"/>
      <c r="P1306" s="408"/>
      <c r="Q1306" s="408"/>
      <c r="R1306" s="408"/>
      <c r="S1306" s="408"/>
      <c r="T1306" s="408"/>
      <c r="U1306" s="408"/>
      <c r="V1306" s="421"/>
      <c r="W1306" s="421"/>
      <c r="X1306" s="421"/>
      <c r="Y1306" s="421"/>
      <c r="Z1306" s="421"/>
      <c r="AA1306" s="421"/>
      <c r="AB1306" s="421"/>
      <c r="AC1306" s="421"/>
      <c r="AD1306" s="421"/>
      <c r="AE1306" s="421"/>
      <c r="AF1306" s="421"/>
      <c r="AG1306" s="421"/>
      <c r="AH1306" s="421"/>
      <c r="AI1306" s="421"/>
      <c r="AJ1306" s="421"/>
      <c r="AK1306" s="421"/>
      <c r="AL1306" s="421"/>
    </row>
    <row r="1307" spans="1:38">
      <c r="A1307" s="3">
        <v>5978</v>
      </c>
      <c r="B1307" s="83">
        <f t="array" ref="B1307">SUM(--(FREQUENCY(IF(C$2:C$3081=C1307, MATCH(D$2:D$3081, D$2:D$3081, 0)), ROW(D$2:D$3081)-ROW(D$2)+1) &gt; 0))</f>
        <v>20</v>
      </c>
      <c r="C1307" s="3">
        <v>41200074</v>
      </c>
      <c r="D1307" s="6" t="s">
        <v>3031</v>
      </c>
      <c r="E1307" s="3" t="s">
        <v>1405</v>
      </c>
      <c r="F1307" s="3" t="s">
        <v>1478</v>
      </c>
      <c r="G1307" s="68" t="str">
        <f t="shared" si="286"/>
        <v>DUAL</v>
      </c>
      <c r="H1307" s="197">
        <f t="shared" si="287"/>
        <v>40</v>
      </c>
      <c r="I1307" s="197">
        <v>9</v>
      </c>
      <c r="J1307" s="197">
        <v>29</v>
      </c>
      <c r="K1307" s="186">
        <f t="shared" si="288"/>
        <v>45929</v>
      </c>
      <c r="L1307" s="3" t="s">
        <v>2395</v>
      </c>
      <c r="M1307" s="3" t="s">
        <v>1469</v>
      </c>
      <c r="N1307" s="408" t="str">
        <f t="shared" si="260"/>
        <v>NG</v>
      </c>
      <c r="O1307" s="408" t="s">
        <v>2368</v>
      </c>
      <c r="P1307" s="408" t="s">
        <v>2371</v>
      </c>
      <c r="Q1307" s="408">
        <v>11001968</v>
      </c>
      <c r="R1307" s="408" t="s">
        <v>473</v>
      </c>
      <c r="S1307" s="408" t="s">
        <v>3032</v>
      </c>
      <c r="T1307" s="408"/>
      <c r="U1307" s="408"/>
      <c r="V1307" s="421"/>
      <c r="W1307" s="421"/>
      <c r="X1307" s="421"/>
      <c r="Y1307" s="421"/>
      <c r="Z1307" s="421"/>
      <c r="AA1307" s="421"/>
      <c r="AB1307" s="421"/>
      <c r="AC1307" s="421"/>
      <c r="AD1307" s="421"/>
      <c r="AE1307" s="421"/>
      <c r="AF1307" s="421"/>
      <c r="AG1307" s="421"/>
      <c r="AH1307" s="421"/>
      <c r="AI1307" s="421"/>
      <c r="AJ1307" s="421"/>
      <c r="AK1307" s="421"/>
      <c r="AL1307" s="421"/>
    </row>
    <row r="1308" spans="1:38">
      <c r="A1308" s="3">
        <v>6113</v>
      </c>
      <c r="B1308" s="83">
        <f t="array" ref="B1308">SUM(--(FREQUENCY(IF(C$2:C$3081=C1308, MATCH(D$2:D$3081, D$2:D$3081, 0)), ROW(D$2:D$3081)-ROW(D$2)+1) &gt; 0))</f>
        <v>6</v>
      </c>
      <c r="C1308" s="3">
        <v>41200108</v>
      </c>
      <c r="D1308" s="6" t="s">
        <v>1891</v>
      </c>
      <c r="E1308" s="3" t="s">
        <v>1409</v>
      </c>
      <c r="F1308" s="3" t="s">
        <v>1479</v>
      </c>
      <c r="G1308" s="41" t="str">
        <f t="shared" si="286"/>
        <v>SINGLE</v>
      </c>
      <c r="H1308" s="197">
        <f t="shared" si="287"/>
        <v>40</v>
      </c>
      <c r="I1308" s="197">
        <v>9</v>
      </c>
      <c r="J1308" s="197">
        <v>29</v>
      </c>
      <c r="K1308" s="186">
        <f t="shared" si="288"/>
        <v>45929</v>
      </c>
      <c r="L1308" s="3" t="s">
        <v>2392</v>
      </c>
      <c r="M1308" s="3" t="s">
        <v>1469</v>
      </c>
      <c r="N1308" s="408" t="str">
        <f t="shared" si="260"/>
        <v/>
      </c>
      <c r="O1308" s="408"/>
      <c r="P1308" s="408"/>
      <c r="Q1308" s="408"/>
      <c r="R1308" s="408"/>
      <c r="S1308" s="408"/>
      <c r="T1308" s="408"/>
      <c r="U1308" s="408"/>
      <c r="V1308" s="421"/>
      <c r="W1308" s="421"/>
      <c r="X1308" s="421"/>
      <c r="Y1308" s="421"/>
      <c r="Z1308" s="421"/>
      <c r="AA1308" s="421"/>
      <c r="AB1308" s="421"/>
      <c r="AC1308" s="421"/>
      <c r="AD1308" s="421"/>
      <c r="AE1308" s="421"/>
      <c r="AF1308" s="421"/>
      <c r="AG1308" s="421"/>
      <c r="AH1308" s="421"/>
      <c r="AI1308" s="421"/>
      <c r="AJ1308" s="421"/>
      <c r="AK1308" s="421"/>
      <c r="AL1308" s="421"/>
    </row>
    <row r="1309" spans="1:38">
      <c r="A1309" s="3">
        <v>5981</v>
      </c>
      <c r="B1309" s="83">
        <f t="array" ref="B1309">SUM(--(FREQUENCY(IF(C$2:C$3081=C1309, MATCH(D$2:D$3081, D$2:D$3081, 0)), ROW(D$2:D$3081)-ROW(D$2)+1) &gt; 0))</f>
        <v>76</v>
      </c>
      <c r="C1309" s="3">
        <v>41200007</v>
      </c>
      <c r="D1309" s="6" t="s">
        <v>3033</v>
      </c>
      <c r="E1309" s="3" t="s">
        <v>1405</v>
      </c>
      <c r="F1309" s="3" t="s">
        <v>1591</v>
      </c>
      <c r="G1309" s="68" t="str">
        <f t="shared" si="286"/>
        <v>SINGLE</v>
      </c>
      <c r="H1309" s="197">
        <f t="shared" si="287"/>
        <v>40</v>
      </c>
      <c r="I1309" s="197">
        <v>9</v>
      </c>
      <c r="J1309" s="197">
        <v>29</v>
      </c>
      <c r="K1309" s="186">
        <f t="shared" si="288"/>
        <v>45929</v>
      </c>
      <c r="L1309" s="3" t="s">
        <v>2391</v>
      </c>
      <c r="M1309" s="3" t="s">
        <v>2392</v>
      </c>
      <c r="N1309" s="408" t="str">
        <f t="shared" si="260"/>
        <v>NG</v>
      </c>
      <c r="O1309" s="408" t="s">
        <v>2368</v>
      </c>
      <c r="P1309" s="408" t="s">
        <v>2371</v>
      </c>
      <c r="Q1309" s="408">
        <v>11001962</v>
      </c>
      <c r="R1309" s="408" t="s">
        <v>562</v>
      </c>
      <c r="S1309" s="408" t="s">
        <v>3034</v>
      </c>
      <c r="T1309" s="408"/>
      <c r="U1309" s="408"/>
      <c r="V1309" s="421"/>
      <c r="W1309" s="421"/>
      <c r="X1309" s="421"/>
      <c r="Y1309" s="421"/>
      <c r="Z1309" s="421"/>
      <c r="AA1309" s="421"/>
      <c r="AB1309" s="421"/>
      <c r="AC1309" s="421"/>
      <c r="AD1309" s="421"/>
      <c r="AE1309" s="421"/>
      <c r="AF1309" s="421"/>
      <c r="AG1309" s="421"/>
      <c r="AH1309" s="421"/>
      <c r="AI1309" s="421"/>
      <c r="AJ1309" s="421"/>
      <c r="AK1309" s="421"/>
      <c r="AL1309" s="421"/>
    </row>
    <row r="1310" spans="1:38">
      <c r="A1310" s="3">
        <v>5981</v>
      </c>
      <c r="B1310" s="83">
        <f t="array" ref="B1310">SUM(--(FREQUENCY(IF(C$2:C$3081=C1310, MATCH(D$2:D$3081, D$2:D$3081, 0)), ROW(D$2:D$3081)-ROW(D$2)+1) &gt; 0))</f>
        <v>76</v>
      </c>
      <c r="C1310" s="3">
        <v>41200007</v>
      </c>
      <c r="D1310" s="6" t="s">
        <v>3035</v>
      </c>
      <c r="E1310" s="3" t="s">
        <v>1405</v>
      </c>
      <c r="F1310" s="3" t="s">
        <v>1591</v>
      </c>
      <c r="G1310" s="68" t="str">
        <f t="shared" si="286"/>
        <v>SINGLE</v>
      </c>
      <c r="H1310" s="197">
        <f t="shared" si="287"/>
        <v>40</v>
      </c>
      <c r="I1310" s="197">
        <v>9</v>
      </c>
      <c r="J1310" s="197">
        <v>29</v>
      </c>
      <c r="K1310" s="186">
        <f t="shared" si="288"/>
        <v>45929</v>
      </c>
      <c r="L1310" s="3" t="s">
        <v>2391</v>
      </c>
      <c r="M1310" s="3" t="s">
        <v>2392</v>
      </c>
      <c r="N1310" s="408" t="str">
        <f t="shared" si="260"/>
        <v>NG</v>
      </c>
      <c r="O1310" s="408" t="s">
        <v>2368</v>
      </c>
      <c r="P1310" s="408" t="s">
        <v>2826</v>
      </c>
      <c r="Q1310" s="408">
        <v>11004073</v>
      </c>
      <c r="R1310" s="408" t="s">
        <v>255</v>
      </c>
      <c r="S1310" s="408" t="s">
        <v>2630</v>
      </c>
      <c r="T1310" s="408"/>
      <c r="U1310" s="408"/>
      <c r="V1310" s="421"/>
      <c r="W1310" s="421"/>
      <c r="X1310" s="421"/>
      <c r="Y1310" s="421"/>
      <c r="Z1310" s="421"/>
      <c r="AA1310" s="421"/>
      <c r="AB1310" s="421"/>
      <c r="AC1310" s="421"/>
      <c r="AD1310" s="421"/>
      <c r="AE1310" s="421"/>
      <c r="AF1310" s="421"/>
      <c r="AG1310" s="421"/>
      <c r="AH1310" s="421"/>
      <c r="AI1310" s="421"/>
      <c r="AJ1310" s="421"/>
      <c r="AK1310" s="421"/>
      <c r="AL1310" s="421"/>
    </row>
    <row r="1311" spans="1:38">
      <c r="A1311" s="3">
        <v>5981</v>
      </c>
      <c r="B1311" s="83">
        <f t="array" ref="B1311">SUM(--(FREQUENCY(IF(C$2:C$3081=C1311, MATCH(D$2:D$3081, D$2:D$3081, 0)), ROW(D$2:D$3081)-ROW(D$2)+1) &gt; 0))</f>
        <v>76</v>
      </c>
      <c r="C1311" s="3">
        <v>41200007</v>
      </c>
      <c r="D1311" s="6" t="s">
        <v>3036</v>
      </c>
      <c r="E1311" s="3" t="s">
        <v>1405</v>
      </c>
      <c r="F1311" s="3" t="s">
        <v>1591</v>
      </c>
      <c r="G1311" s="68" t="str">
        <f t="shared" si="286"/>
        <v>SINGLE</v>
      </c>
      <c r="H1311" s="197">
        <f t="shared" ref="H1311:H1320" si="289">WEEKNUM(K1311)</f>
        <v>40</v>
      </c>
      <c r="I1311" s="197">
        <v>9</v>
      </c>
      <c r="J1311" s="197">
        <v>30</v>
      </c>
      <c r="K1311" s="186">
        <f t="shared" ref="K1311:K1320" si="290">DATE(2025, I1311, J1311)</f>
        <v>45930</v>
      </c>
      <c r="L1311" s="3" t="s">
        <v>2391</v>
      </c>
      <c r="M1311" s="3" t="s">
        <v>2392</v>
      </c>
      <c r="N1311" s="408" t="str">
        <f t="shared" ref="N1311" si="291">IF(O1311&lt;&gt;"", "NG", "")</f>
        <v>NG</v>
      </c>
      <c r="O1311" s="408" t="s">
        <v>2368</v>
      </c>
      <c r="P1311" s="408" t="s">
        <v>2371</v>
      </c>
      <c r="Q1311" s="408">
        <v>11001962</v>
      </c>
      <c r="R1311" s="408" t="s">
        <v>562</v>
      </c>
      <c r="S1311" s="408" t="s">
        <v>3034</v>
      </c>
      <c r="T1311" s="408"/>
      <c r="U1311" s="408"/>
      <c r="V1311" s="421"/>
      <c r="W1311" s="421"/>
      <c r="X1311" s="421"/>
      <c r="Y1311" s="421"/>
      <c r="Z1311" s="421"/>
      <c r="AA1311" s="421"/>
      <c r="AB1311" s="421"/>
      <c r="AC1311" s="421"/>
      <c r="AD1311" s="421"/>
      <c r="AE1311" s="421"/>
      <c r="AF1311" s="421"/>
      <c r="AG1311" s="421"/>
      <c r="AH1311" s="421"/>
      <c r="AI1311" s="421"/>
      <c r="AJ1311" s="421"/>
      <c r="AK1311" s="421"/>
      <c r="AL1311" s="421"/>
    </row>
    <row r="1312" spans="1:38">
      <c r="A1312" s="3">
        <v>5981</v>
      </c>
      <c r="B1312" s="83">
        <f t="array" ref="B1312">SUM(--(FREQUENCY(IF(C$2:C$3081=C1312, MATCH(D$2:D$3081, D$2:D$3081, 0)), ROW(D$2:D$3081)-ROW(D$2)+1) &gt; 0))</f>
        <v>76</v>
      </c>
      <c r="C1312" s="3">
        <v>41200007</v>
      </c>
      <c r="D1312" s="6" t="s">
        <v>3036</v>
      </c>
      <c r="E1312" s="3" t="s">
        <v>1405</v>
      </c>
      <c r="F1312" s="3" t="s">
        <v>1591</v>
      </c>
      <c r="G1312" s="68" t="str">
        <f t="shared" si="286"/>
        <v>SINGLE</v>
      </c>
      <c r="H1312" s="197">
        <f t="shared" ref="H1312" si="292">WEEKNUM(K1312)</f>
        <v>40</v>
      </c>
      <c r="I1312" s="197">
        <v>9</v>
      </c>
      <c r="J1312" s="197">
        <v>30</v>
      </c>
      <c r="K1312" s="186">
        <f t="shared" ref="K1312" si="293">DATE(2025, I1312, J1312)</f>
        <v>45930</v>
      </c>
      <c r="L1312" s="3" t="s">
        <v>2391</v>
      </c>
      <c r="M1312" s="3" t="s">
        <v>2392</v>
      </c>
      <c r="N1312" s="408" t="str">
        <f t="shared" ref="N1312" si="294">IF(O1312&lt;&gt;"", "NG", "")</f>
        <v>NG</v>
      </c>
      <c r="O1312" s="408" t="s">
        <v>2368</v>
      </c>
      <c r="P1312" s="408" t="s">
        <v>2371</v>
      </c>
      <c r="Q1312" s="408">
        <v>11001962</v>
      </c>
      <c r="R1312" s="408" t="s">
        <v>562</v>
      </c>
      <c r="S1312" s="408" t="s">
        <v>3018</v>
      </c>
      <c r="T1312" s="408"/>
      <c r="U1312" s="408"/>
      <c r="V1312" s="421"/>
      <c r="W1312" s="421"/>
      <c r="X1312" s="421"/>
      <c r="Y1312" s="421"/>
      <c r="Z1312" s="421"/>
      <c r="AA1312" s="421"/>
      <c r="AB1312" s="421"/>
      <c r="AC1312" s="421"/>
      <c r="AD1312" s="421"/>
      <c r="AE1312" s="421"/>
      <c r="AF1312" s="421"/>
      <c r="AG1312" s="421"/>
      <c r="AH1312" s="421"/>
      <c r="AI1312" s="421"/>
      <c r="AJ1312" s="421"/>
      <c r="AK1312" s="421"/>
      <c r="AL1312" s="421"/>
    </row>
    <row r="1313" spans="1:38">
      <c r="A1313" s="3">
        <v>5981</v>
      </c>
      <c r="B1313" s="83">
        <f t="array" ref="B1313">SUM(--(FREQUENCY(IF(C$2:C$3081=C1313, MATCH(D$2:D$3081, D$2:D$3081, 0)), ROW(D$2:D$3081)-ROW(D$2)+1) &gt; 0))</f>
        <v>76</v>
      </c>
      <c r="C1313" s="3">
        <v>41200007</v>
      </c>
      <c r="D1313" s="6" t="s">
        <v>3036</v>
      </c>
      <c r="E1313" s="3" t="s">
        <v>1405</v>
      </c>
      <c r="F1313" s="3" t="s">
        <v>1591</v>
      </c>
      <c r="G1313" s="68" t="str">
        <f t="shared" si="286"/>
        <v>SINGLE</v>
      </c>
      <c r="H1313" s="197">
        <f t="shared" ref="H1313" si="295">WEEKNUM(K1313)</f>
        <v>40</v>
      </c>
      <c r="I1313" s="197">
        <v>9</v>
      </c>
      <c r="J1313" s="197">
        <v>30</v>
      </c>
      <c r="K1313" s="186">
        <f t="shared" ref="K1313" si="296">DATE(2025, I1313, J1313)</f>
        <v>45930</v>
      </c>
      <c r="L1313" s="3" t="s">
        <v>2391</v>
      </c>
      <c r="M1313" s="3" t="s">
        <v>2392</v>
      </c>
      <c r="N1313" s="408" t="str">
        <f t="shared" ref="N1313" si="297">IF(O1313&lt;&gt;"", "NG", "")</f>
        <v>NG</v>
      </c>
      <c r="O1313" s="408" t="s">
        <v>2368</v>
      </c>
      <c r="P1313" s="408" t="s">
        <v>2371</v>
      </c>
      <c r="Q1313" s="408">
        <v>11001962</v>
      </c>
      <c r="R1313" s="408" t="s">
        <v>562</v>
      </c>
      <c r="S1313" s="408" t="s">
        <v>3037</v>
      </c>
      <c r="T1313" s="408"/>
      <c r="U1313" s="408"/>
      <c r="V1313" s="421"/>
      <c r="W1313" s="421"/>
      <c r="X1313" s="421"/>
      <c r="Y1313" s="421"/>
      <c r="Z1313" s="421"/>
      <c r="AA1313" s="421"/>
      <c r="AB1313" s="421"/>
      <c r="AC1313" s="421"/>
      <c r="AD1313" s="421"/>
      <c r="AE1313" s="421"/>
      <c r="AF1313" s="421"/>
      <c r="AG1313" s="421"/>
      <c r="AH1313" s="421"/>
      <c r="AI1313" s="421"/>
      <c r="AJ1313" s="421"/>
      <c r="AK1313" s="421"/>
      <c r="AL1313" s="421"/>
    </row>
    <row r="1314" spans="1:38">
      <c r="A1314" s="3">
        <v>5981</v>
      </c>
      <c r="B1314" s="83">
        <f t="array" ref="B1314">SUM(--(FREQUENCY(IF(C$2:C$3081=C1314, MATCH(D$2:D$3081, D$2:D$3081, 0)), ROW(D$2:D$3081)-ROW(D$2)+1) &gt; 0))</f>
        <v>76</v>
      </c>
      <c r="C1314" s="3">
        <v>41200007</v>
      </c>
      <c r="D1314" s="6" t="s">
        <v>3038</v>
      </c>
      <c r="E1314" s="3" t="s">
        <v>1405</v>
      </c>
      <c r="F1314" s="3" t="s">
        <v>1591</v>
      </c>
      <c r="G1314" s="68" t="str">
        <f t="shared" si="286"/>
        <v>SINGLE</v>
      </c>
      <c r="H1314" s="197">
        <f t="shared" si="289"/>
        <v>40</v>
      </c>
      <c r="I1314" s="197">
        <v>9</v>
      </c>
      <c r="J1314" s="197">
        <v>30</v>
      </c>
      <c r="K1314" s="186">
        <f t="shared" si="290"/>
        <v>45930</v>
      </c>
      <c r="L1314" s="3" t="s">
        <v>2395</v>
      </c>
      <c r="M1314" s="3" t="s">
        <v>1468</v>
      </c>
      <c r="N1314" s="408" t="str">
        <f t="shared" si="260"/>
        <v/>
      </c>
      <c r="O1314" s="408"/>
      <c r="P1314" s="408"/>
      <c r="Q1314" s="408"/>
      <c r="R1314" s="408"/>
      <c r="S1314" s="408"/>
      <c r="T1314" s="408"/>
      <c r="U1314" s="408"/>
      <c r="V1314" s="421"/>
      <c r="W1314" s="421"/>
      <c r="X1314" s="421"/>
      <c r="Y1314" s="421"/>
      <c r="Z1314" s="421"/>
      <c r="AA1314" s="421"/>
      <c r="AB1314" s="421"/>
      <c r="AC1314" s="421"/>
      <c r="AD1314" s="421"/>
      <c r="AE1314" s="421"/>
      <c r="AF1314" s="421"/>
      <c r="AG1314" s="421"/>
      <c r="AH1314" s="421"/>
      <c r="AI1314" s="421"/>
      <c r="AJ1314" s="421"/>
      <c r="AK1314" s="421"/>
      <c r="AL1314" s="421"/>
    </row>
    <row r="1315" spans="1:38">
      <c r="A1315" s="3">
        <v>5981</v>
      </c>
      <c r="B1315" s="83">
        <f t="array" ref="B1315">SUM(--(FREQUENCY(IF(C$2:C$3081=C1315, MATCH(D$2:D$3081, D$2:D$3081, 0)), ROW(D$2:D$3081)-ROW(D$2)+1) &gt; 0))</f>
        <v>76</v>
      </c>
      <c r="C1315" s="3">
        <v>41200007</v>
      </c>
      <c r="D1315" s="6" t="s">
        <v>3039</v>
      </c>
      <c r="E1315" s="3" t="s">
        <v>1405</v>
      </c>
      <c r="F1315" s="3" t="s">
        <v>1591</v>
      </c>
      <c r="G1315" s="68" t="str">
        <f t="shared" si="286"/>
        <v>SINGLE</v>
      </c>
      <c r="H1315" s="197">
        <f t="shared" si="289"/>
        <v>40</v>
      </c>
      <c r="I1315" s="197">
        <v>9</v>
      </c>
      <c r="J1315" s="197">
        <v>30</v>
      </c>
      <c r="K1315" s="186">
        <f t="shared" si="290"/>
        <v>45930</v>
      </c>
      <c r="L1315" s="3" t="s">
        <v>2395</v>
      </c>
      <c r="M1315" s="3" t="s">
        <v>1468</v>
      </c>
      <c r="N1315" s="408" t="str">
        <f t="shared" si="260"/>
        <v/>
      </c>
      <c r="O1315" s="408"/>
      <c r="P1315" s="408"/>
      <c r="Q1315" s="408"/>
      <c r="R1315" s="408"/>
      <c r="S1315" s="408"/>
      <c r="T1315" s="408"/>
      <c r="U1315" s="408"/>
      <c r="V1315" s="421"/>
      <c r="W1315" s="421"/>
      <c r="X1315" s="421"/>
      <c r="Y1315" s="421"/>
      <c r="Z1315" s="421"/>
      <c r="AA1315" s="421"/>
      <c r="AB1315" s="421"/>
      <c r="AC1315" s="421"/>
      <c r="AD1315" s="421"/>
      <c r="AE1315" s="421"/>
      <c r="AF1315" s="421"/>
      <c r="AG1315" s="421"/>
      <c r="AH1315" s="421"/>
      <c r="AI1315" s="421"/>
      <c r="AJ1315" s="421"/>
      <c r="AK1315" s="421"/>
      <c r="AL1315" s="421"/>
    </row>
    <row r="1316" spans="1:38">
      <c r="A1316" s="3">
        <v>6039</v>
      </c>
      <c r="B1316" s="83">
        <f t="array" ref="B1316">SUM(--(FREQUENCY(IF(C$2:C$3081=C1316, MATCH(D$2:D$3081, D$2:D$3081, 0)), ROW(D$2:D$3081)-ROW(D$2)+1) &gt; 0))</f>
        <v>3</v>
      </c>
      <c r="C1316" s="3">
        <v>41200036</v>
      </c>
      <c r="D1316" s="6" t="s">
        <v>3040</v>
      </c>
      <c r="E1316" s="3" t="s">
        <v>1426</v>
      </c>
      <c r="F1316" s="3" t="s">
        <v>1476</v>
      </c>
      <c r="G1316" s="68" t="str">
        <f t="shared" si="286"/>
        <v>DUAL</v>
      </c>
      <c r="H1316" s="197">
        <f t="shared" si="289"/>
        <v>40</v>
      </c>
      <c r="I1316" s="197">
        <v>9</v>
      </c>
      <c r="J1316" s="197">
        <v>30</v>
      </c>
      <c r="K1316" s="186">
        <f t="shared" si="290"/>
        <v>45930</v>
      </c>
      <c r="L1316" s="3" t="s">
        <v>2395</v>
      </c>
      <c r="M1316" s="3" t="s">
        <v>1468</v>
      </c>
      <c r="N1316" s="408" t="str">
        <f t="shared" si="260"/>
        <v/>
      </c>
      <c r="O1316" s="408"/>
      <c r="P1316" s="408"/>
      <c r="Q1316" s="408"/>
      <c r="R1316" s="408"/>
      <c r="S1316" s="408"/>
      <c r="T1316" s="408"/>
      <c r="U1316" s="408"/>
      <c r="V1316" s="421"/>
      <c r="W1316" s="421"/>
      <c r="X1316" s="421"/>
      <c r="Y1316" s="421"/>
      <c r="Z1316" s="421"/>
      <c r="AA1316" s="421"/>
      <c r="AB1316" s="421"/>
      <c r="AC1316" s="421"/>
      <c r="AD1316" s="421"/>
      <c r="AE1316" s="421"/>
      <c r="AF1316" s="421"/>
      <c r="AG1316" s="421"/>
      <c r="AH1316" s="421"/>
      <c r="AI1316" s="421"/>
      <c r="AJ1316" s="421"/>
      <c r="AK1316" s="421"/>
      <c r="AL1316" s="421"/>
    </row>
    <row r="1317" spans="1:38">
      <c r="A1317" s="3">
        <v>6100</v>
      </c>
      <c r="B1317" s="83">
        <f t="array" ref="B1317">SUM(--(FREQUENCY(IF(C$2:C$3081=C1317, MATCH(D$2:D$3081, D$2:D$3081, 0)), ROW(D$2:D$3081)-ROW(D$2)+1) &gt; 0))</f>
        <v>6</v>
      </c>
      <c r="C1317" s="3">
        <v>41200145</v>
      </c>
      <c r="D1317" s="6" t="s">
        <v>1892</v>
      </c>
      <c r="E1317" s="3" t="s">
        <v>1409</v>
      </c>
      <c r="F1317" s="3" t="s">
        <v>1479</v>
      </c>
      <c r="G1317" s="41" t="str">
        <f t="shared" si="286"/>
        <v>SINGLE</v>
      </c>
      <c r="H1317" s="197">
        <f t="shared" si="289"/>
        <v>40</v>
      </c>
      <c r="I1317" s="197">
        <v>9</v>
      </c>
      <c r="J1317" s="197">
        <v>30</v>
      </c>
      <c r="K1317" s="186">
        <f t="shared" si="290"/>
        <v>45930</v>
      </c>
      <c r="L1317" s="3" t="s">
        <v>2391</v>
      </c>
      <c r="M1317" s="3" t="s">
        <v>1468</v>
      </c>
      <c r="N1317" s="408" t="str">
        <f t="shared" ref="N1317:N1380" si="298">IF(O1317&lt;&gt;"", "NG", "")</f>
        <v/>
      </c>
      <c r="O1317" s="408"/>
      <c r="P1317" s="408"/>
      <c r="Q1317" s="408"/>
      <c r="R1317" s="408"/>
      <c r="S1317" s="408"/>
      <c r="T1317" s="408"/>
      <c r="U1317" s="408"/>
      <c r="V1317" s="421"/>
      <c r="W1317" s="421"/>
      <c r="X1317" s="421"/>
      <c r="Y1317" s="421"/>
      <c r="Z1317" s="421"/>
      <c r="AA1317" s="421"/>
      <c r="AB1317" s="421"/>
      <c r="AC1317" s="421"/>
      <c r="AD1317" s="421"/>
      <c r="AE1317" s="421"/>
      <c r="AF1317" s="421"/>
      <c r="AG1317" s="421"/>
      <c r="AH1317" s="421"/>
      <c r="AI1317" s="421"/>
      <c r="AJ1317" s="421"/>
      <c r="AK1317" s="421"/>
      <c r="AL1317" s="421"/>
    </row>
    <row r="1318" spans="1:38">
      <c r="A1318" s="3">
        <v>6036</v>
      </c>
      <c r="B1318" s="83">
        <f t="array" ref="B1318">SUM(--(FREQUENCY(IF(C$2:C$3081=C1318, MATCH(D$2:D$3081, D$2:D$3081, 0)), ROW(D$2:D$3081)-ROW(D$2)+1) &gt; 0))</f>
        <v>19</v>
      </c>
      <c r="C1318" s="3">
        <v>41200033</v>
      </c>
      <c r="D1318" s="6" t="s">
        <v>3041</v>
      </c>
      <c r="E1318" s="3" t="s">
        <v>1426</v>
      </c>
      <c r="F1318" s="3" t="s">
        <v>1476</v>
      </c>
      <c r="G1318" s="68" t="str">
        <f t="shared" si="286"/>
        <v>DUAL</v>
      </c>
      <c r="H1318" s="197">
        <f t="shared" si="289"/>
        <v>40</v>
      </c>
      <c r="I1318" s="197">
        <v>9</v>
      </c>
      <c r="J1318" s="197">
        <v>30</v>
      </c>
      <c r="K1318" s="186">
        <f t="shared" si="290"/>
        <v>45930</v>
      </c>
      <c r="L1318" s="3" t="s">
        <v>2395</v>
      </c>
      <c r="M1318" s="3" t="s">
        <v>1469</v>
      </c>
      <c r="N1318" s="408"/>
      <c r="O1318" s="408"/>
      <c r="P1318" s="408"/>
      <c r="Q1318" s="408"/>
      <c r="R1318" s="408"/>
      <c r="S1318" s="408"/>
      <c r="T1318" s="408"/>
      <c r="U1318" s="408"/>
      <c r="V1318" s="421"/>
      <c r="W1318" s="421"/>
      <c r="X1318" s="421"/>
      <c r="Y1318" s="421"/>
      <c r="Z1318" s="421"/>
      <c r="AA1318" s="421"/>
      <c r="AB1318" s="421"/>
      <c r="AC1318" s="421"/>
      <c r="AD1318" s="421"/>
      <c r="AE1318" s="421"/>
      <c r="AF1318" s="421"/>
      <c r="AG1318" s="421"/>
      <c r="AH1318" s="421"/>
      <c r="AI1318" s="421"/>
      <c r="AJ1318" s="421"/>
      <c r="AK1318" s="421"/>
      <c r="AL1318" s="421"/>
    </row>
    <row r="1319" spans="1:38">
      <c r="A1319" s="3">
        <v>6004</v>
      </c>
      <c r="B1319" s="83">
        <f t="array" ref="B1319">SUM(--(FREQUENCY(IF(C$2:C$3081=C1319, MATCH(D$2:D$3081, D$2:D$3081, 0)), ROW(D$2:D$3081)-ROW(D$2)+1) &gt; 0))</f>
        <v>18</v>
      </c>
      <c r="C1319" s="3">
        <v>41200128</v>
      </c>
      <c r="D1319" s="6" t="s">
        <v>3042</v>
      </c>
      <c r="E1319" s="3" t="s">
        <v>1431</v>
      </c>
      <c r="F1319" s="3" t="s">
        <v>1591</v>
      </c>
      <c r="G1319" s="68" t="str">
        <f t="shared" si="286"/>
        <v>SINGLE</v>
      </c>
      <c r="H1319" s="197">
        <f t="shared" si="289"/>
        <v>40</v>
      </c>
      <c r="I1319" s="197">
        <v>9</v>
      </c>
      <c r="J1319" s="197">
        <v>30</v>
      </c>
      <c r="K1319" s="186">
        <f t="shared" si="290"/>
        <v>45930</v>
      </c>
      <c r="L1319" s="3" t="s">
        <v>2555</v>
      </c>
      <c r="M1319" s="3" t="s">
        <v>2555</v>
      </c>
      <c r="N1319" s="408" t="str">
        <f t="shared" si="298"/>
        <v/>
      </c>
      <c r="O1319" s="408"/>
      <c r="P1319" s="408"/>
      <c r="Q1319" s="408"/>
      <c r="R1319" s="408"/>
      <c r="S1319" s="408"/>
      <c r="T1319" s="408"/>
      <c r="U1319" s="408"/>
      <c r="V1319" s="421"/>
      <c r="W1319" s="421"/>
      <c r="X1319" s="421"/>
      <c r="Y1319" s="421"/>
      <c r="Z1319" s="421"/>
      <c r="AA1319" s="421"/>
      <c r="AB1319" s="421"/>
      <c r="AC1319" s="421"/>
      <c r="AD1319" s="421"/>
      <c r="AE1319" s="421"/>
      <c r="AF1319" s="421"/>
      <c r="AG1319" s="421"/>
      <c r="AH1319" s="421"/>
      <c r="AI1319" s="421"/>
      <c r="AJ1319" s="421"/>
      <c r="AK1319" s="421"/>
      <c r="AL1319" s="421"/>
    </row>
    <row r="1320" spans="1:38">
      <c r="A1320" s="3">
        <v>6044</v>
      </c>
      <c r="B1320" s="83">
        <f t="array" ref="B1320">SUM(--(FREQUENCY(IF(C$2:C$3081=C1320, MATCH(D$2:D$3081, D$2:D$3081, 0)), ROW(D$2:D$3081)-ROW(D$2)+1) &gt; 0))</f>
        <v>22</v>
      </c>
      <c r="C1320" s="3">
        <v>41200047</v>
      </c>
      <c r="D1320" s="6" t="s">
        <v>3043</v>
      </c>
      <c r="E1320" s="3" t="s">
        <v>1426</v>
      </c>
      <c r="F1320" s="3" t="s">
        <v>1476</v>
      </c>
      <c r="G1320" s="68" t="str">
        <f t="shared" si="286"/>
        <v>DUAL</v>
      </c>
      <c r="H1320" s="197">
        <f t="shared" si="289"/>
        <v>40</v>
      </c>
      <c r="I1320" s="197">
        <v>9</v>
      </c>
      <c r="J1320" s="197">
        <v>30</v>
      </c>
      <c r="K1320" s="186">
        <f t="shared" si="290"/>
        <v>45930</v>
      </c>
      <c r="L1320" s="3" t="s">
        <v>2395</v>
      </c>
      <c r="M1320" s="3" t="s">
        <v>1469</v>
      </c>
      <c r="N1320" s="408" t="str">
        <f t="shared" si="298"/>
        <v/>
      </c>
      <c r="O1320" s="408"/>
      <c r="P1320" s="408"/>
      <c r="Q1320" s="408"/>
      <c r="R1320" s="408"/>
      <c r="S1320" s="408"/>
      <c r="T1320" s="408"/>
      <c r="U1320" s="408" t="s">
        <v>3044</v>
      </c>
      <c r="V1320" s="421"/>
      <c r="W1320" s="421"/>
      <c r="X1320" s="421"/>
      <c r="Y1320" s="421"/>
      <c r="Z1320" s="421"/>
      <c r="AA1320" s="421"/>
      <c r="AB1320" s="421"/>
      <c r="AC1320" s="421"/>
      <c r="AD1320" s="421"/>
      <c r="AE1320" s="421"/>
      <c r="AF1320" s="421"/>
      <c r="AG1320" s="421"/>
      <c r="AH1320" s="421"/>
      <c r="AI1320" s="421"/>
      <c r="AJ1320" s="421"/>
      <c r="AK1320" s="421"/>
      <c r="AL1320" s="421"/>
    </row>
    <row r="1321" spans="1:38">
      <c r="A1321" s="3">
        <v>6054</v>
      </c>
      <c r="B1321" s="83">
        <f t="array" ref="B1321">SUM(--(FREQUENCY(IF(C$2:C$3079=C1321, MATCH(D$2:D$3079, D$2:D$3079, 0)), ROW(D$2:D$3079)-ROW(D$2)+1) &gt; 0))</f>
        <v>6</v>
      </c>
      <c r="C1321" s="3">
        <v>41100584</v>
      </c>
      <c r="D1321" s="6" t="s">
        <v>3045</v>
      </c>
      <c r="E1321" s="3" t="s">
        <v>1422</v>
      </c>
      <c r="F1321" s="3" t="s">
        <v>1591</v>
      </c>
      <c r="G1321" s="68" t="str">
        <f t="shared" si="286"/>
        <v>SINGLE</v>
      </c>
      <c r="H1321" s="197">
        <f t="shared" ref="H1321:H1325" si="299">WEEKNUM(K1321)</f>
        <v>40</v>
      </c>
      <c r="I1321" s="197">
        <v>10</v>
      </c>
      <c r="J1321" s="197">
        <v>1</v>
      </c>
      <c r="K1321" s="186">
        <f t="shared" ref="K1321:K1325" si="300">DATE(2025, I1321, J1321)</f>
        <v>45931</v>
      </c>
      <c r="L1321" s="3" t="s">
        <v>2391</v>
      </c>
      <c r="M1321" s="3" t="s">
        <v>2392</v>
      </c>
      <c r="N1321" s="408" t="str">
        <f t="shared" si="298"/>
        <v/>
      </c>
      <c r="O1321" s="408"/>
      <c r="P1321" s="408"/>
      <c r="Q1321" s="408"/>
      <c r="R1321" s="408"/>
      <c r="S1321" s="408"/>
      <c r="T1321" s="408"/>
      <c r="U1321" s="408"/>
      <c r="V1321" s="421"/>
      <c r="W1321" s="421"/>
      <c r="X1321" s="421"/>
      <c r="Y1321" s="421"/>
      <c r="Z1321" s="421"/>
      <c r="AA1321" s="421"/>
      <c r="AB1321" s="421"/>
      <c r="AC1321" s="421"/>
      <c r="AD1321" s="421"/>
      <c r="AE1321" s="421"/>
      <c r="AF1321" s="421"/>
      <c r="AG1321" s="421"/>
      <c r="AH1321" s="421"/>
      <c r="AI1321" s="421"/>
      <c r="AJ1321" s="421"/>
      <c r="AK1321" s="421"/>
      <c r="AL1321" s="421"/>
    </row>
    <row r="1322" spans="1:38">
      <c r="A1322" s="3">
        <v>5955</v>
      </c>
      <c r="B1322" s="83">
        <f t="array" ref="B1322">SUM(--(FREQUENCY(IF(C$2:C$3079=C1322, MATCH(D$2:D$3079, D$2:D$3079, 0)), ROW(D$2:D$3079)-ROW(D$2)+1) &gt; 0))</f>
        <v>4</v>
      </c>
      <c r="C1322" s="3">
        <v>41200113</v>
      </c>
      <c r="D1322" s="6" t="s">
        <v>3046</v>
      </c>
      <c r="E1322" s="3" t="s">
        <v>1424</v>
      </c>
      <c r="F1322" s="3" t="s">
        <v>1476</v>
      </c>
      <c r="G1322" s="68" t="str">
        <f t="shared" si="286"/>
        <v>DUAL</v>
      </c>
      <c r="H1322" s="197">
        <f t="shared" si="299"/>
        <v>40</v>
      </c>
      <c r="I1322" s="197">
        <v>10</v>
      </c>
      <c r="J1322" s="197">
        <v>1</v>
      </c>
      <c r="K1322" s="186">
        <f t="shared" si="300"/>
        <v>45931</v>
      </c>
      <c r="L1322" s="3" t="s">
        <v>2391</v>
      </c>
      <c r="M1322" s="3" t="s">
        <v>2392</v>
      </c>
      <c r="N1322" s="408" t="str">
        <f t="shared" si="298"/>
        <v/>
      </c>
      <c r="O1322" s="408"/>
      <c r="P1322" s="408"/>
      <c r="Q1322" s="408"/>
      <c r="R1322" s="408"/>
      <c r="S1322" s="408"/>
      <c r="T1322" s="408"/>
      <c r="U1322" s="408"/>
      <c r="V1322" s="421"/>
      <c r="W1322" s="421"/>
      <c r="X1322" s="421"/>
      <c r="Y1322" s="421"/>
      <c r="Z1322" s="421"/>
      <c r="AA1322" s="421"/>
      <c r="AB1322" s="421"/>
      <c r="AC1322" s="421"/>
      <c r="AD1322" s="421"/>
      <c r="AE1322" s="421"/>
      <c r="AF1322" s="421"/>
      <c r="AG1322" s="421"/>
      <c r="AH1322" s="421"/>
      <c r="AI1322" s="421"/>
      <c r="AJ1322" s="421"/>
      <c r="AK1322" s="421"/>
      <c r="AL1322" s="421"/>
    </row>
    <row r="1323" spans="1:38">
      <c r="A1323" s="3">
        <v>6033</v>
      </c>
      <c r="B1323" s="83">
        <f t="array" ref="B1323">SUM(--(FREQUENCY(IF(C$2:C$3079=C1323, MATCH(D$2:D$3079, D$2:D$3079, 0)), ROW(D$2:D$3079)-ROW(D$2)+1) &gt; 0))</f>
        <v>10</v>
      </c>
      <c r="C1323" s="3">
        <v>41100286</v>
      </c>
      <c r="D1323" s="6" t="s">
        <v>3047</v>
      </c>
      <c r="E1323" s="3" t="s">
        <v>1424</v>
      </c>
      <c r="F1323" s="3" t="s">
        <v>1476</v>
      </c>
      <c r="G1323" s="68" t="str">
        <f t="shared" si="286"/>
        <v>DUAL</v>
      </c>
      <c r="H1323" s="197">
        <f t="shared" si="299"/>
        <v>40</v>
      </c>
      <c r="I1323" s="197">
        <v>10</v>
      </c>
      <c r="J1323" s="197">
        <v>1</v>
      </c>
      <c r="K1323" s="186">
        <f t="shared" si="300"/>
        <v>45931</v>
      </c>
      <c r="L1323" s="3" t="s">
        <v>2391</v>
      </c>
      <c r="M1323" s="3" t="s">
        <v>1468</v>
      </c>
      <c r="N1323" s="408" t="str">
        <f t="shared" si="298"/>
        <v/>
      </c>
      <c r="O1323" s="408"/>
      <c r="P1323" s="408"/>
      <c r="Q1323" s="408"/>
      <c r="R1323" s="408"/>
      <c r="S1323" s="408"/>
      <c r="T1323" s="408"/>
      <c r="U1323" s="408"/>
      <c r="V1323" s="421"/>
      <c r="W1323" s="421"/>
      <c r="X1323" s="421"/>
      <c r="Y1323" s="421"/>
      <c r="Z1323" s="421"/>
      <c r="AA1323" s="421"/>
      <c r="AB1323" s="421"/>
      <c r="AC1323" s="421"/>
      <c r="AD1323" s="421"/>
      <c r="AE1323" s="421"/>
      <c r="AF1323" s="421"/>
      <c r="AG1323" s="421"/>
      <c r="AH1323" s="421"/>
      <c r="AI1323" s="421"/>
      <c r="AJ1323" s="421"/>
      <c r="AK1323" s="421"/>
      <c r="AL1323" s="421"/>
    </row>
    <row r="1324" spans="1:38">
      <c r="A1324" s="3">
        <v>6044</v>
      </c>
      <c r="B1324" s="83">
        <f t="array" ref="B1324">SUM(--(FREQUENCY(IF(C$2:C$3079=C1324, MATCH(D$2:D$3079, D$2:D$3079, 0)), ROW(D$2:D$3079)-ROW(D$2)+1) &gt; 0))</f>
        <v>22</v>
      </c>
      <c r="C1324" s="3">
        <v>41200047</v>
      </c>
      <c r="D1324" s="6" t="s">
        <v>3048</v>
      </c>
      <c r="E1324" s="3" t="s">
        <v>1426</v>
      </c>
      <c r="F1324" s="3" t="s">
        <v>1476</v>
      </c>
      <c r="G1324" s="68" t="str">
        <f t="shared" si="286"/>
        <v>DUAL</v>
      </c>
      <c r="H1324" s="197">
        <f t="shared" si="299"/>
        <v>40</v>
      </c>
      <c r="I1324" s="197">
        <v>10</v>
      </c>
      <c r="J1324" s="197">
        <v>1</v>
      </c>
      <c r="K1324" s="186">
        <f t="shared" si="300"/>
        <v>45931</v>
      </c>
      <c r="L1324" s="3" t="s">
        <v>2395</v>
      </c>
      <c r="M1324" s="3" t="s">
        <v>1469</v>
      </c>
      <c r="N1324" s="408" t="str">
        <f t="shared" si="298"/>
        <v/>
      </c>
      <c r="O1324" s="408"/>
      <c r="P1324" s="408"/>
      <c r="Q1324" s="408"/>
      <c r="R1324" s="408"/>
      <c r="S1324" s="408"/>
      <c r="T1324" s="408"/>
      <c r="U1324" s="408"/>
      <c r="V1324" s="421"/>
      <c r="W1324" s="421"/>
      <c r="X1324" s="421"/>
      <c r="Y1324" s="421"/>
      <c r="Z1324" s="421"/>
      <c r="AA1324" s="421"/>
      <c r="AB1324" s="421"/>
      <c r="AC1324" s="421"/>
      <c r="AD1324" s="421"/>
      <c r="AE1324" s="421"/>
      <c r="AF1324" s="421"/>
      <c r="AG1324" s="421"/>
      <c r="AH1324" s="421"/>
      <c r="AI1324" s="421"/>
      <c r="AJ1324" s="421"/>
      <c r="AK1324" s="421"/>
      <c r="AL1324" s="421"/>
    </row>
    <row r="1325" spans="1:38">
      <c r="A1325" s="3">
        <v>6044</v>
      </c>
      <c r="B1325" s="83">
        <f t="array" ref="B1325">SUM(--(FREQUENCY(IF(C$2:C$3079=C1325, MATCH(D$2:D$3079, D$2:D$3079, 0)), ROW(D$2:D$3079)-ROW(D$2)+1) &gt; 0))</f>
        <v>22</v>
      </c>
      <c r="C1325" s="3">
        <v>41200047</v>
      </c>
      <c r="D1325" s="6" t="s">
        <v>3049</v>
      </c>
      <c r="E1325" s="3" t="s">
        <v>1426</v>
      </c>
      <c r="F1325" s="3" t="s">
        <v>1476</v>
      </c>
      <c r="G1325" s="68" t="str">
        <f t="shared" si="286"/>
        <v>DUAL</v>
      </c>
      <c r="H1325" s="197">
        <f t="shared" si="299"/>
        <v>40</v>
      </c>
      <c r="I1325" s="197">
        <v>10</v>
      </c>
      <c r="J1325" s="197">
        <v>1</v>
      </c>
      <c r="K1325" s="186">
        <f t="shared" si="300"/>
        <v>45931</v>
      </c>
      <c r="L1325" s="3" t="s">
        <v>2395</v>
      </c>
      <c r="M1325" s="3" t="s">
        <v>1469</v>
      </c>
      <c r="N1325" s="408" t="str">
        <f t="shared" si="298"/>
        <v/>
      </c>
      <c r="O1325" s="408"/>
      <c r="P1325" s="408"/>
      <c r="Q1325" s="408"/>
      <c r="R1325" s="408"/>
      <c r="S1325" s="408"/>
      <c r="T1325" s="408"/>
      <c r="U1325" s="408"/>
      <c r="V1325" s="421"/>
      <c r="W1325" s="421"/>
      <c r="X1325" s="421"/>
      <c r="Y1325" s="421"/>
      <c r="Z1325" s="421"/>
      <c r="AA1325" s="421"/>
      <c r="AB1325" s="421"/>
      <c r="AC1325" s="421"/>
      <c r="AD1325" s="421"/>
      <c r="AE1325" s="421"/>
      <c r="AF1325" s="421"/>
      <c r="AG1325" s="421"/>
      <c r="AH1325" s="421"/>
      <c r="AI1325" s="421"/>
      <c r="AJ1325" s="421"/>
      <c r="AK1325" s="421"/>
      <c r="AL1325" s="421"/>
    </row>
    <row r="1326" spans="1:38">
      <c r="A1326" s="3">
        <v>5980</v>
      </c>
      <c r="B1326" s="83">
        <f t="array" ref="B1326">SUM(--(FREQUENCY(IF(C$2:C$3079=C1326, MATCH(D$2:D$3079, D$2:D$3079, 0)), ROW(D$2:D$3079)-ROW(D$2)+1) &gt; 0))</f>
        <v>18</v>
      </c>
      <c r="C1326" s="3">
        <v>41200053</v>
      </c>
      <c r="D1326" s="6" t="s">
        <v>3050</v>
      </c>
      <c r="E1326" s="3" t="s">
        <v>1405</v>
      </c>
      <c r="F1326" s="3" t="s">
        <v>1616</v>
      </c>
      <c r="G1326" s="68" t="str">
        <f t="shared" si="286"/>
        <v>SINGLE</v>
      </c>
      <c r="H1326" s="197">
        <f t="shared" ref="H1326:H1333" si="301">WEEKNUM(K1326)</f>
        <v>40</v>
      </c>
      <c r="I1326" s="197">
        <v>10</v>
      </c>
      <c r="J1326" s="197">
        <v>2</v>
      </c>
      <c r="K1326" s="186">
        <f t="shared" ref="K1326:K1333" si="302">DATE(2025, I1326, J1326)</f>
        <v>45932</v>
      </c>
      <c r="L1326" s="3" t="s">
        <v>2392</v>
      </c>
      <c r="M1326" s="3" t="s">
        <v>2392</v>
      </c>
      <c r="N1326" s="408" t="str">
        <f t="shared" si="298"/>
        <v/>
      </c>
      <c r="O1326" s="408"/>
      <c r="P1326" s="408"/>
      <c r="Q1326" s="408"/>
      <c r="R1326" s="408"/>
      <c r="S1326" s="408"/>
      <c r="T1326" s="408"/>
      <c r="U1326" s="408"/>
      <c r="V1326" s="421"/>
      <c r="W1326" s="421"/>
      <c r="X1326" s="421"/>
      <c r="Y1326" s="421"/>
      <c r="Z1326" s="421"/>
      <c r="AA1326" s="421"/>
      <c r="AB1326" s="421"/>
      <c r="AC1326" s="421"/>
      <c r="AD1326" s="421"/>
      <c r="AE1326" s="421"/>
      <c r="AF1326" s="421"/>
      <c r="AG1326" s="421"/>
      <c r="AH1326" s="421"/>
      <c r="AI1326" s="421"/>
      <c r="AJ1326" s="421"/>
      <c r="AK1326" s="421"/>
      <c r="AL1326" s="421"/>
    </row>
    <row r="1327" spans="1:38">
      <c r="A1327" s="3">
        <v>5980</v>
      </c>
      <c r="B1327" s="83">
        <f t="array" ref="B1327">SUM(--(FREQUENCY(IF(C$2:C$3079=C1327, MATCH(D$2:D$3079, D$2:D$3079, 0)), ROW(D$2:D$3079)-ROW(D$2)+1) &gt; 0))</f>
        <v>18</v>
      </c>
      <c r="C1327" s="3">
        <v>41200053</v>
      </c>
      <c r="D1327" s="6" t="s">
        <v>3051</v>
      </c>
      <c r="E1327" s="3" t="s">
        <v>1405</v>
      </c>
      <c r="F1327" s="3" t="s">
        <v>1616</v>
      </c>
      <c r="G1327" s="68" t="str">
        <f t="shared" si="286"/>
        <v>SINGLE</v>
      </c>
      <c r="H1327" s="197">
        <f t="shared" si="301"/>
        <v>40</v>
      </c>
      <c r="I1327" s="197">
        <v>10</v>
      </c>
      <c r="J1327" s="197">
        <v>2</v>
      </c>
      <c r="K1327" s="186">
        <f t="shared" si="302"/>
        <v>45932</v>
      </c>
      <c r="L1327" s="3" t="s">
        <v>2392</v>
      </c>
      <c r="M1327" s="3" t="s">
        <v>2392</v>
      </c>
      <c r="N1327" s="408" t="str">
        <f t="shared" si="298"/>
        <v/>
      </c>
      <c r="O1327" s="408"/>
      <c r="P1327" s="408"/>
      <c r="Q1327" s="408"/>
      <c r="R1327" s="408"/>
      <c r="S1327" s="408"/>
      <c r="T1327" s="408"/>
      <c r="U1327" s="408"/>
      <c r="V1327" s="421"/>
      <c r="W1327" s="421"/>
      <c r="X1327" s="421"/>
      <c r="Y1327" s="421"/>
      <c r="Z1327" s="421"/>
      <c r="AA1327" s="421"/>
      <c r="AB1327" s="421"/>
      <c r="AC1327" s="421"/>
      <c r="AD1327" s="421"/>
      <c r="AE1327" s="421"/>
      <c r="AF1327" s="421"/>
      <c r="AG1327" s="421"/>
      <c r="AH1327" s="421"/>
      <c r="AI1327" s="421"/>
      <c r="AJ1327" s="421"/>
      <c r="AK1327" s="421"/>
      <c r="AL1327" s="421"/>
    </row>
    <row r="1328" spans="1:38">
      <c r="A1328" s="3">
        <v>6044</v>
      </c>
      <c r="B1328" s="83">
        <f t="array" ref="B1328">SUM(--(FREQUENCY(IF(C$2:C$3079=C1328, MATCH(D$2:D$3079, D$2:D$3079, 0)), ROW(D$2:D$3079)-ROW(D$2)+1) &gt; 0))</f>
        <v>22</v>
      </c>
      <c r="C1328" s="3">
        <v>41200047</v>
      </c>
      <c r="D1328" s="6" t="s">
        <v>3052</v>
      </c>
      <c r="E1328" s="3" t="s">
        <v>1426</v>
      </c>
      <c r="F1328" s="3" t="s">
        <v>1476</v>
      </c>
      <c r="G1328" s="68" t="str">
        <f t="shared" si="286"/>
        <v>DUAL</v>
      </c>
      <c r="H1328" s="197">
        <f t="shared" si="301"/>
        <v>40</v>
      </c>
      <c r="I1328" s="197">
        <v>10</v>
      </c>
      <c r="J1328" s="197">
        <v>2</v>
      </c>
      <c r="K1328" s="186">
        <f t="shared" si="302"/>
        <v>45932</v>
      </c>
      <c r="L1328" s="3" t="s">
        <v>2395</v>
      </c>
      <c r="M1328" s="3" t="s">
        <v>1468</v>
      </c>
      <c r="N1328" s="408" t="str">
        <f t="shared" si="298"/>
        <v/>
      </c>
      <c r="O1328" s="408"/>
      <c r="P1328" s="408"/>
      <c r="Q1328" s="408"/>
      <c r="R1328" s="408"/>
      <c r="S1328" s="408"/>
      <c r="T1328" s="408"/>
      <c r="U1328" s="408"/>
      <c r="V1328" s="421"/>
      <c r="W1328" s="421"/>
      <c r="X1328" s="421"/>
      <c r="Y1328" s="421"/>
      <c r="Z1328" s="421"/>
      <c r="AA1328" s="421"/>
      <c r="AB1328" s="421"/>
      <c r="AC1328" s="421"/>
      <c r="AD1328" s="421"/>
      <c r="AE1328" s="421"/>
      <c r="AF1328" s="421"/>
      <c r="AG1328" s="421"/>
      <c r="AH1328" s="421"/>
      <c r="AI1328" s="421"/>
      <c r="AJ1328" s="421"/>
      <c r="AK1328" s="421"/>
      <c r="AL1328" s="421"/>
    </row>
    <row r="1329" spans="1:38">
      <c r="A1329" s="3">
        <v>6044</v>
      </c>
      <c r="B1329" s="83">
        <f t="array" ref="B1329">SUM(--(FREQUENCY(IF(C$2:C$3079=C1329, MATCH(D$2:D$3079, D$2:D$3079, 0)), ROW(D$2:D$3079)-ROW(D$2)+1) &gt; 0))</f>
        <v>22</v>
      </c>
      <c r="C1329" s="3">
        <v>41200047</v>
      </c>
      <c r="D1329" s="6" t="s">
        <v>3053</v>
      </c>
      <c r="E1329" s="3" t="s">
        <v>1426</v>
      </c>
      <c r="F1329" s="3" t="s">
        <v>1476</v>
      </c>
      <c r="G1329" s="68" t="str">
        <f t="shared" ref="G1329:G1360" si="303">IF(OR(ISNUMBER(SEARCH("DUAL",F1329)), ISNUMBER(SEARCH("IVAS",F1329))), "DUAL", "SINGLE")</f>
        <v>DUAL</v>
      </c>
      <c r="H1329" s="197">
        <f t="shared" si="301"/>
        <v>40</v>
      </c>
      <c r="I1329" s="197">
        <v>10</v>
      </c>
      <c r="J1329" s="197">
        <v>2</v>
      </c>
      <c r="K1329" s="186">
        <f t="shared" si="302"/>
        <v>45932</v>
      </c>
      <c r="L1329" s="3" t="s">
        <v>2395</v>
      </c>
      <c r="M1329" s="3" t="s">
        <v>1468</v>
      </c>
      <c r="N1329" s="408" t="str">
        <f t="shared" si="298"/>
        <v>NG</v>
      </c>
      <c r="O1329" s="408" t="s">
        <v>2682</v>
      </c>
      <c r="P1329" s="408" t="s">
        <v>2826</v>
      </c>
      <c r="Q1329" s="408">
        <v>11004073</v>
      </c>
      <c r="R1329" s="408" t="s">
        <v>255</v>
      </c>
      <c r="S1329" s="408" t="s">
        <v>2630</v>
      </c>
      <c r="T1329" s="408"/>
      <c r="U1329" s="408"/>
      <c r="V1329" s="421"/>
      <c r="W1329" s="421"/>
      <c r="X1329" s="421"/>
      <c r="Y1329" s="421"/>
      <c r="Z1329" s="421"/>
      <c r="AA1329" s="421"/>
      <c r="AB1329" s="421"/>
      <c r="AC1329" s="421"/>
      <c r="AD1329" s="421"/>
      <c r="AE1329" s="421"/>
      <c r="AF1329" s="421"/>
      <c r="AG1329" s="421"/>
      <c r="AH1329" s="421"/>
      <c r="AI1329" s="421"/>
      <c r="AJ1329" s="421"/>
      <c r="AK1329" s="421"/>
      <c r="AL1329" s="421"/>
    </row>
    <row r="1330" spans="1:38">
      <c r="A1330" s="3">
        <v>6044</v>
      </c>
      <c r="B1330" s="83">
        <f t="array" ref="B1330">SUM(--(FREQUENCY(IF(C$2:C$3079=C1330, MATCH(D$2:D$3079, D$2:D$3079, 0)), ROW(D$2:D$3079)-ROW(D$2)+1) &gt; 0))</f>
        <v>22</v>
      </c>
      <c r="C1330" s="3">
        <v>41200047</v>
      </c>
      <c r="D1330" s="6" t="s">
        <v>3053</v>
      </c>
      <c r="E1330" s="3" t="s">
        <v>1426</v>
      </c>
      <c r="F1330" s="3" t="s">
        <v>1476</v>
      </c>
      <c r="G1330" s="68" t="str">
        <f t="shared" si="303"/>
        <v>DUAL</v>
      </c>
      <c r="H1330" s="197">
        <f t="shared" ref="H1330" si="304">WEEKNUM(K1330)</f>
        <v>40</v>
      </c>
      <c r="I1330" s="197">
        <v>10</v>
      </c>
      <c r="J1330" s="197">
        <v>2</v>
      </c>
      <c r="K1330" s="186">
        <f t="shared" ref="K1330" si="305">DATE(2025, I1330, J1330)</f>
        <v>45932</v>
      </c>
      <c r="L1330" s="3" t="s">
        <v>2395</v>
      </c>
      <c r="M1330" s="3" t="s">
        <v>1468</v>
      </c>
      <c r="N1330" s="408" t="str">
        <f t="shared" ref="N1330" si="306">IF(O1330&lt;&gt;"", "NG", "")</f>
        <v>NG</v>
      </c>
      <c r="O1330" s="408" t="s">
        <v>2682</v>
      </c>
      <c r="P1330" s="408" t="s">
        <v>2376</v>
      </c>
      <c r="Q1330" s="408">
        <v>11102172</v>
      </c>
      <c r="R1330" s="408" t="s">
        <v>370</v>
      </c>
      <c r="S1330" s="408" t="s">
        <v>3054</v>
      </c>
      <c r="T1330" s="408"/>
      <c r="U1330" s="408"/>
      <c r="V1330" s="421"/>
      <c r="W1330" s="421"/>
      <c r="X1330" s="421"/>
      <c r="Y1330" s="421"/>
      <c r="Z1330" s="421"/>
      <c r="AA1330" s="421"/>
      <c r="AB1330" s="421"/>
      <c r="AC1330" s="421"/>
      <c r="AD1330" s="421"/>
      <c r="AE1330" s="421"/>
      <c r="AF1330" s="421"/>
      <c r="AG1330" s="421"/>
      <c r="AH1330" s="421"/>
      <c r="AI1330" s="421"/>
      <c r="AJ1330" s="421"/>
      <c r="AK1330" s="421"/>
      <c r="AL1330" s="421"/>
    </row>
    <row r="1331" spans="1:38">
      <c r="A1331" s="3">
        <v>6036</v>
      </c>
      <c r="B1331" s="83">
        <f t="array" ref="B1331">SUM(--(FREQUENCY(IF(C$2:C$3079=C1331, MATCH(D$2:D$3079, D$2:D$3079, 0)), ROW(D$2:D$3079)-ROW(D$2)+1) &gt; 0))</f>
        <v>19</v>
      </c>
      <c r="C1331" s="3">
        <v>41200033</v>
      </c>
      <c r="D1331" s="6" t="s">
        <v>3055</v>
      </c>
      <c r="E1331" s="3" t="s">
        <v>1426</v>
      </c>
      <c r="F1331" s="3" t="s">
        <v>1476</v>
      </c>
      <c r="G1331" s="68" t="str">
        <f t="shared" si="303"/>
        <v>DUAL</v>
      </c>
      <c r="H1331" s="197">
        <f t="shared" si="301"/>
        <v>40</v>
      </c>
      <c r="I1331" s="197">
        <v>10</v>
      </c>
      <c r="J1331" s="197">
        <v>2</v>
      </c>
      <c r="K1331" s="186">
        <f t="shared" si="302"/>
        <v>45932</v>
      </c>
      <c r="L1331" s="3" t="s">
        <v>2395</v>
      </c>
      <c r="M1331" s="3" t="s">
        <v>1469</v>
      </c>
      <c r="N1331" s="408" t="str">
        <f t="shared" si="298"/>
        <v/>
      </c>
      <c r="O1331" s="408"/>
      <c r="P1331" s="408"/>
      <c r="Q1331" s="408"/>
      <c r="R1331" s="408"/>
      <c r="S1331" s="408"/>
      <c r="T1331" s="408"/>
      <c r="U1331" s="408"/>
      <c r="V1331" s="421"/>
      <c r="W1331" s="421"/>
      <c r="X1331" s="421"/>
      <c r="Y1331" s="421"/>
      <c r="Z1331" s="421"/>
      <c r="AA1331" s="421"/>
      <c r="AB1331" s="421"/>
      <c r="AC1331" s="421"/>
      <c r="AD1331" s="421"/>
      <c r="AE1331" s="421"/>
      <c r="AF1331" s="421"/>
      <c r="AG1331" s="421"/>
      <c r="AH1331" s="421"/>
      <c r="AI1331" s="421"/>
      <c r="AJ1331" s="421"/>
      <c r="AK1331" s="421"/>
      <c r="AL1331" s="421"/>
    </row>
    <row r="1332" spans="1:38">
      <c r="A1332" s="3">
        <v>5951</v>
      </c>
      <c r="B1332" s="83">
        <f t="array" ref="B1332">SUM(--(FREQUENCY(IF(C$2:C$3079=C1332, MATCH(D$2:D$3079, D$2:D$3079, 0)), ROW(D$2:D$3079)-ROW(D$2)+1) &gt; 0))</f>
        <v>76</v>
      </c>
      <c r="C1332" s="3">
        <v>41200007</v>
      </c>
      <c r="D1332" s="6" t="s">
        <v>3056</v>
      </c>
      <c r="E1332" s="3" t="s">
        <v>1405</v>
      </c>
      <c r="F1332" s="3" t="s">
        <v>1591</v>
      </c>
      <c r="G1332" s="68" t="str">
        <f t="shared" si="303"/>
        <v>SINGLE</v>
      </c>
      <c r="H1332" s="197">
        <f t="shared" si="301"/>
        <v>40</v>
      </c>
      <c r="I1332" s="197">
        <v>10</v>
      </c>
      <c r="J1332" s="197">
        <v>2</v>
      </c>
      <c r="K1332" s="186">
        <f t="shared" si="302"/>
        <v>45932</v>
      </c>
      <c r="L1332" s="3" t="s">
        <v>2395</v>
      </c>
      <c r="M1332" s="3" t="s">
        <v>1469</v>
      </c>
      <c r="N1332" s="408" t="str">
        <f t="shared" si="298"/>
        <v>NG</v>
      </c>
      <c r="O1332" s="408" t="s">
        <v>2368</v>
      </c>
      <c r="P1332" s="408" t="s">
        <v>2371</v>
      </c>
      <c r="Q1332" s="408">
        <v>11001962</v>
      </c>
      <c r="R1332" s="408" t="s">
        <v>562</v>
      </c>
      <c r="S1332" s="408" t="s">
        <v>3057</v>
      </c>
      <c r="T1332" s="408"/>
      <c r="U1332" s="408"/>
      <c r="V1332" s="421"/>
      <c r="W1332" s="421"/>
      <c r="X1332" s="421"/>
      <c r="Y1332" s="421"/>
      <c r="Z1332" s="421"/>
      <c r="AA1332" s="421"/>
      <c r="AB1332" s="421"/>
      <c r="AC1332" s="421"/>
      <c r="AD1332" s="421"/>
      <c r="AE1332" s="421"/>
      <c r="AF1332" s="421"/>
      <c r="AG1332" s="421"/>
      <c r="AH1332" s="421"/>
      <c r="AI1332" s="421"/>
      <c r="AJ1332" s="421"/>
      <c r="AK1332" s="421"/>
      <c r="AL1332" s="421"/>
    </row>
    <row r="1333" spans="1:38">
      <c r="A1333" s="3">
        <v>5951</v>
      </c>
      <c r="B1333" s="83">
        <f t="array" ref="B1333">SUM(--(FREQUENCY(IF(C$2:C$3079=C1333, MATCH(D$2:D$3079, D$2:D$3079, 0)), ROW(D$2:D$3079)-ROW(D$2)+1) &gt; 0))</f>
        <v>76</v>
      </c>
      <c r="C1333" s="3">
        <v>41200007</v>
      </c>
      <c r="D1333" s="6" t="s">
        <v>3058</v>
      </c>
      <c r="E1333" s="3" t="s">
        <v>1405</v>
      </c>
      <c r="F1333" s="3" t="s">
        <v>1591</v>
      </c>
      <c r="G1333" s="68" t="str">
        <f t="shared" si="303"/>
        <v>SINGLE</v>
      </c>
      <c r="H1333" s="197">
        <f t="shared" si="301"/>
        <v>40</v>
      </c>
      <c r="I1333" s="197">
        <v>10</v>
      </c>
      <c r="J1333" s="197">
        <v>2</v>
      </c>
      <c r="K1333" s="186">
        <f t="shared" si="302"/>
        <v>45932</v>
      </c>
      <c r="L1333" s="3" t="s">
        <v>2395</v>
      </c>
      <c r="M1333" s="3" t="s">
        <v>1469</v>
      </c>
      <c r="N1333" s="408" t="str">
        <f t="shared" si="298"/>
        <v/>
      </c>
      <c r="O1333" s="408"/>
      <c r="P1333" s="408"/>
      <c r="Q1333" s="408"/>
      <c r="R1333" s="408"/>
      <c r="S1333" s="408"/>
      <c r="T1333" s="408"/>
      <c r="U1333" s="408"/>
      <c r="V1333" s="421"/>
      <c r="W1333" s="421"/>
      <c r="X1333" s="421"/>
      <c r="Y1333" s="421"/>
      <c r="Z1333" s="421"/>
      <c r="AA1333" s="421"/>
      <c r="AB1333" s="421"/>
      <c r="AC1333" s="421"/>
      <c r="AD1333" s="421"/>
      <c r="AE1333" s="421"/>
      <c r="AF1333" s="421"/>
      <c r="AG1333" s="421"/>
      <c r="AH1333" s="421"/>
      <c r="AI1333" s="421"/>
      <c r="AJ1333" s="421"/>
      <c r="AK1333" s="421"/>
      <c r="AL1333" s="421"/>
    </row>
    <row r="1334" spans="1:38">
      <c r="A1334" s="3">
        <v>6005</v>
      </c>
      <c r="B1334" s="83">
        <f t="array" ref="B1334">SUM(--(FREQUENCY(IF(C$2:C$3078=C1334, MATCH(D$2:D$3078, D$2:D$3078, 0)), ROW(D$2:D$3078)-ROW(D$2)+1) &gt; 0))</f>
        <v>29</v>
      </c>
      <c r="C1334" s="3">
        <v>41200127</v>
      </c>
      <c r="D1334" s="6" t="s">
        <v>3059</v>
      </c>
      <c r="E1334" s="3" t="s">
        <v>1431</v>
      </c>
      <c r="F1334" s="3" t="s">
        <v>1591</v>
      </c>
      <c r="G1334" s="68" t="str">
        <f t="shared" si="303"/>
        <v>SINGLE</v>
      </c>
      <c r="H1334" s="197">
        <f t="shared" ref="H1334:H1339" si="307">WEEKNUM(K1334)</f>
        <v>42</v>
      </c>
      <c r="I1334" s="197">
        <v>10</v>
      </c>
      <c r="J1334" s="197">
        <v>13</v>
      </c>
      <c r="K1334" s="186">
        <f t="shared" ref="K1334:K1339" si="308">DATE(2025, I1334, J1334)</f>
        <v>45943</v>
      </c>
      <c r="L1334" s="3" t="s">
        <v>2391</v>
      </c>
      <c r="M1334" s="3" t="s">
        <v>2392</v>
      </c>
      <c r="N1334" s="408" t="str">
        <f t="shared" si="298"/>
        <v/>
      </c>
      <c r="O1334" s="408"/>
      <c r="P1334" s="408"/>
      <c r="Q1334" s="408"/>
      <c r="R1334" s="408"/>
      <c r="S1334" s="408"/>
      <c r="T1334" s="408"/>
      <c r="U1334" s="408"/>
      <c r="V1334" s="421"/>
      <c r="W1334" s="421"/>
      <c r="X1334" s="421"/>
      <c r="Y1334" s="421"/>
      <c r="Z1334" s="421"/>
      <c r="AA1334" s="421"/>
      <c r="AB1334" s="421"/>
      <c r="AC1334" s="421"/>
      <c r="AD1334" s="421"/>
      <c r="AE1334" s="421"/>
      <c r="AF1334" s="421"/>
      <c r="AG1334" s="421"/>
      <c r="AH1334" s="421"/>
      <c r="AI1334" s="421"/>
      <c r="AJ1334" s="421"/>
      <c r="AK1334" s="421"/>
      <c r="AL1334" s="421"/>
    </row>
    <row r="1335" spans="1:38">
      <c r="A1335" s="3">
        <v>6005</v>
      </c>
      <c r="B1335" s="83">
        <f t="array" ref="B1335">SUM(--(FREQUENCY(IF(C$2:C$3078=C1335, MATCH(D$2:D$3078, D$2:D$3078, 0)), ROW(D$2:D$3078)-ROW(D$2)+1) &gt; 0))</f>
        <v>29</v>
      </c>
      <c r="C1335" s="3">
        <v>41200127</v>
      </c>
      <c r="D1335" s="6" t="s">
        <v>3060</v>
      </c>
      <c r="E1335" s="3" t="s">
        <v>1431</v>
      </c>
      <c r="F1335" s="3" t="s">
        <v>1591</v>
      </c>
      <c r="G1335" s="68" t="str">
        <f t="shared" si="303"/>
        <v>SINGLE</v>
      </c>
      <c r="H1335" s="197">
        <f t="shared" si="307"/>
        <v>42</v>
      </c>
      <c r="I1335" s="197">
        <v>10</v>
      </c>
      <c r="J1335" s="197">
        <v>13</v>
      </c>
      <c r="K1335" s="186">
        <f t="shared" si="308"/>
        <v>45943</v>
      </c>
      <c r="L1335" s="3" t="s">
        <v>2391</v>
      </c>
      <c r="M1335" s="3" t="s">
        <v>2392</v>
      </c>
      <c r="N1335" s="408" t="str">
        <f t="shared" si="298"/>
        <v/>
      </c>
      <c r="O1335" s="408"/>
      <c r="P1335" s="408"/>
      <c r="Q1335" s="408"/>
      <c r="R1335" s="408"/>
      <c r="S1335" s="408"/>
      <c r="T1335" s="408"/>
      <c r="U1335" s="408"/>
      <c r="V1335" s="421"/>
      <c r="W1335" s="421"/>
      <c r="X1335" s="421"/>
      <c r="Y1335" s="421"/>
      <c r="Z1335" s="421"/>
      <c r="AA1335" s="421"/>
      <c r="AB1335" s="421"/>
      <c r="AC1335" s="421"/>
      <c r="AD1335" s="421"/>
      <c r="AE1335" s="421"/>
      <c r="AF1335" s="421"/>
      <c r="AG1335" s="421"/>
      <c r="AH1335" s="421"/>
      <c r="AI1335" s="421"/>
      <c r="AJ1335" s="421"/>
      <c r="AK1335" s="421"/>
      <c r="AL1335" s="421"/>
    </row>
    <row r="1336" spans="1:38">
      <c r="A1336" s="3">
        <v>6102</v>
      </c>
      <c r="B1336" s="83">
        <f t="array" ref="B1336">SUM(--(FREQUENCY(IF(C$2:C$3078=C1336, MATCH(D$2:D$3078, D$2:D$3078, 0)), ROW(D$2:D$3078)-ROW(D$2)+1) &gt; 0))</f>
        <v>4</v>
      </c>
      <c r="C1336" s="3">
        <v>41200173</v>
      </c>
      <c r="D1336" s="6" t="s">
        <v>3061</v>
      </c>
      <c r="E1336" s="3" t="s">
        <v>1405</v>
      </c>
      <c r="F1336" s="3" t="s">
        <v>1591</v>
      </c>
      <c r="G1336" s="68" t="str">
        <f t="shared" si="303"/>
        <v>SINGLE</v>
      </c>
      <c r="H1336" s="197">
        <f t="shared" si="307"/>
        <v>42</v>
      </c>
      <c r="I1336" s="197">
        <v>10</v>
      </c>
      <c r="J1336" s="197">
        <v>13</v>
      </c>
      <c r="K1336" s="186">
        <f t="shared" si="308"/>
        <v>45943</v>
      </c>
      <c r="L1336" s="3" t="s">
        <v>2395</v>
      </c>
      <c r="M1336" s="3" t="s">
        <v>1468</v>
      </c>
      <c r="N1336" s="408" t="str">
        <f t="shared" si="298"/>
        <v/>
      </c>
      <c r="O1336" s="408"/>
      <c r="P1336" s="408"/>
      <c r="Q1336" s="408"/>
      <c r="R1336" s="408"/>
      <c r="S1336" s="408"/>
      <c r="T1336" s="408"/>
      <c r="U1336" s="408"/>
      <c r="V1336" s="421"/>
      <c r="W1336" s="421"/>
      <c r="X1336" s="421"/>
      <c r="Y1336" s="421"/>
      <c r="Z1336" s="421"/>
      <c r="AA1336" s="421"/>
      <c r="AB1336" s="421"/>
      <c r="AC1336" s="421"/>
      <c r="AD1336" s="421"/>
      <c r="AE1336" s="421"/>
      <c r="AF1336" s="421"/>
      <c r="AG1336" s="421"/>
      <c r="AH1336" s="421"/>
      <c r="AI1336" s="421"/>
      <c r="AJ1336" s="421"/>
      <c r="AK1336" s="421"/>
      <c r="AL1336" s="421"/>
    </row>
    <row r="1337" spans="1:38">
      <c r="A1337" s="3">
        <v>6102</v>
      </c>
      <c r="B1337" s="83">
        <f t="array" ref="B1337">SUM(--(FREQUENCY(IF(C$2:C$3078=C1337, MATCH(D$2:D$3078, D$2:D$3078, 0)), ROW(D$2:D$3078)-ROW(D$2)+1) &gt; 0))</f>
        <v>4</v>
      </c>
      <c r="C1337" s="3">
        <v>41200173</v>
      </c>
      <c r="D1337" s="6" t="s">
        <v>3062</v>
      </c>
      <c r="E1337" s="3" t="s">
        <v>1405</v>
      </c>
      <c r="F1337" s="3" t="s">
        <v>1591</v>
      </c>
      <c r="G1337" s="68" t="str">
        <f t="shared" si="303"/>
        <v>SINGLE</v>
      </c>
      <c r="H1337" s="197">
        <f t="shared" si="307"/>
        <v>42</v>
      </c>
      <c r="I1337" s="197">
        <v>10</v>
      </c>
      <c r="J1337" s="197">
        <v>13</v>
      </c>
      <c r="K1337" s="186">
        <f t="shared" si="308"/>
        <v>45943</v>
      </c>
      <c r="L1337" s="3" t="s">
        <v>2395</v>
      </c>
      <c r="M1337" s="3" t="s">
        <v>1468</v>
      </c>
      <c r="N1337" s="408" t="str">
        <f t="shared" si="298"/>
        <v/>
      </c>
      <c r="O1337" s="408"/>
      <c r="P1337" s="408"/>
      <c r="Q1337" s="408"/>
      <c r="R1337" s="408"/>
      <c r="S1337" s="408"/>
      <c r="T1337" s="408"/>
      <c r="U1337" s="408"/>
      <c r="V1337" s="421"/>
      <c r="W1337" s="421"/>
      <c r="X1337" s="421"/>
      <c r="Y1337" s="421"/>
      <c r="Z1337" s="421"/>
      <c r="AA1337" s="421"/>
      <c r="AB1337" s="421"/>
      <c r="AC1337" s="421"/>
      <c r="AD1337" s="421"/>
      <c r="AE1337" s="421"/>
      <c r="AF1337" s="421"/>
      <c r="AG1337" s="421"/>
      <c r="AH1337" s="421"/>
      <c r="AI1337" s="421"/>
      <c r="AJ1337" s="421"/>
      <c r="AK1337" s="421"/>
      <c r="AL1337" s="421"/>
    </row>
    <row r="1338" spans="1:38">
      <c r="A1338" s="3">
        <v>5855</v>
      </c>
      <c r="B1338" s="83">
        <f t="array" ref="B1338">SUM(--(FREQUENCY(IF(C$2:C$3078=C1338, MATCH(D$2:D$3078, D$2:D$3078, 0)), ROW(D$2:D$3078)-ROW(D$2)+1) &gt; 0))</f>
        <v>24</v>
      </c>
      <c r="C1338" s="3">
        <v>41200122</v>
      </c>
      <c r="D1338" s="6" t="s">
        <v>3063</v>
      </c>
      <c r="E1338" s="3" t="s">
        <v>1585</v>
      </c>
      <c r="F1338" s="3" t="s">
        <v>1476</v>
      </c>
      <c r="G1338" s="68" t="str">
        <f t="shared" si="303"/>
        <v>DUAL</v>
      </c>
      <c r="H1338" s="197">
        <f t="shared" si="307"/>
        <v>42</v>
      </c>
      <c r="I1338" s="197">
        <v>10</v>
      </c>
      <c r="J1338" s="197">
        <v>13</v>
      </c>
      <c r="K1338" s="186">
        <f t="shared" si="308"/>
        <v>45943</v>
      </c>
      <c r="L1338" s="3" t="s">
        <v>2391</v>
      </c>
      <c r="M1338" s="3" t="s">
        <v>1468</v>
      </c>
      <c r="N1338" s="408" t="str">
        <f t="shared" si="298"/>
        <v>NG</v>
      </c>
      <c r="O1338" s="408" t="s">
        <v>2368</v>
      </c>
      <c r="P1338" s="408" t="s">
        <v>1385</v>
      </c>
      <c r="Q1338" s="408">
        <v>12000118</v>
      </c>
      <c r="R1338" s="408" t="s">
        <v>2536</v>
      </c>
      <c r="S1338" s="408" t="s">
        <v>3064</v>
      </c>
      <c r="T1338" s="408"/>
      <c r="U1338" s="408"/>
      <c r="V1338" s="421"/>
      <c r="W1338" s="421"/>
      <c r="X1338" s="421"/>
      <c r="Y1338" s="421"/>
      <c r="Z1338" s="421"/>
      <c r="AA1338" s="421"/>
      <c r="AB1338" s="421"/>
      <c r="AC1338" s="421"/>
      <c r="AD1338" s="421"/>
      <c r="AE1338" s="421"/>
      <c r="AF1338" s="421"/>
      <c r="AG1338" s="421"/>
      <c r="AH1338" s="421"/>
      <c r="AI1338" s="421"/>
      <c r="AJ1338" s="421"/>
      <c r="AK1338" s="421"/>
      <c r="AL1338" s="421"/>
    </row>
    <row r="1339" spans="1:38">
      <c r="A1339" s="3">
        <v>6029</v>
      </c>
      <c r="B1339" s="83">
        <f t="array" ref="B1339">SUM(--(FREQUENCY(IF(C$2:C$3078=C1339, MATCH(D$2:D$3078, D$2:D$3078, 0)), ROW(D$2:D$3078)-ROW(D$2)+1) &gt; 0))</f>
        <v>9</v>
      </c>
      <c r="C1339" s="3">
        <v>41200105</v>
      </c>
      <c r="D1339" s="6" t="s">
        <v>3065</v>
      </c>
      <c r="E1339" s="3" t="s">
        <v>1424</v>
      </c>
      <c r="F1339" s="3" t="s">
        <v>1476</v>
      </c>
      <c r="G1339" s="68" t="str">
        <f t="shared" si="303"/>
        <v>DUAL</v>
      </c>
      <c r="H1339" s="197">
        <f t="shared" si="307"/>
        <v>42</v>
      </c>
      <c r="I1339" s="197">
        <v>10</v>
      </c>
      <c r="J1339" s="197">
        <v>13</v>
      </c>
      <c r="K1339" s="186">
        <f t="shared" si="308"/>
        <v>45943</v>
      </c>
      <c r="L1339" s="3" t="s">
        <v>2391</v>
      </c>
      <c r="M1339" s="3" t="s">
        <v>1468</v>
      </c>
      <c r="N1339" s="408" t="str">
        <f t="shared" si="298"/>
        <v>NG</v>
      </c>
      <c r="O1339" s="408" t="s">
        <v>2368</v>
      </c>
      <c r="P1339" s="408" t="s">
        <v>3066</v>
      </c>
      <c r="Q1339" s="408">
        <v>13006771</v>
      </c>
      <c r="R1339" s="408" t="s">
        <v>3067</v>
      </c>
      <c r="S1339" s="408" t="s">
        <v>3068</v>
      </c>
      <c r="T1339" s="408"/>
      <c r="U1339" s="408"/>
      <c r="V1339" s="421"/>
      <c r="W1339" s="421"/>
      <c r="X1339" s="421"/>
      <c r="Y1339" s="421"/>
      <c r="Z1339" s="421"/>
      <c r="AA1339" s="421"/>
      <c r="AB1339" s="421"/>
      <c r="AC1339" s="421"/>
      <c r="AD1339" s="421"/>
      <c r="AE1339" s="421"/>
      <c r="AF1339" s="421"/>
      <c r="AG1339" s="421"/>
      <c r="AH1339" s="421"/>
      <c r="AI1339" s="421"/>
      <c r="AJ1339" s="421"/>
      <c r="AK1339" s="421"/>
      <c r="AL1339" s="421"/>
    </row>
    <row r="1340" spans="1:38">
      <c r="A1340" s="3">
        <v>6058</v>
      </c>
      <c r="B1340" s="83">
        <f t="array" ref="B1340">SUM(--(FREQUENCY(IF(C$2:C$3079=C1340, MATCH(D$2:D$3079, D$2:D$3079, 0)), ROW(D$2:D$3079)-ROW(D$2)+1) &gt; 0))</f>
        <v>18</v>
      </c>
      <c r="C1340" s="3">
        <v>41200101</v>
      </c>
      <c r="D1340" s="6" t="s">
        <v>3069</v>
      </c>
      <c r="E1340" s="3" t="s">
        <v>1585</v>
      </c>
      <c r="F1340" s="3" t="s">
        <v>1476</v>
      </c>
      <c r="G1340" s="68" t="str">
        <f t="shared" si="303"/>
        <v>DUAL</v>
      </c>
      <c r="H1340" s="197">
        <f>WEEKNUM(K1340)</f>
        <v>42</v>
      </c>
      <c r="I1340" s="197">
        <v>10</v>
      </c>
      <c r="J1340" s="197">
        <v>14</v>
      </c>
      <c r="K1340" s="186">
        <f>DATE(2025, I1340, J1340)</f>
        <v>45944</v>
      </c>
      <c r="L1340" s="3" t="s">
        <v>2395</v>
      </c>
      <c r="M1340" s="3" t="s">
        <v>1468</v>
      </c>
      <c r="N1340" s="408" t="str">
        <f t="shared" si="298"/>
        <v>NG</v>
      </c>
      <c r="O1340" s="408" t="s">
        <v>2368</v>
      </c>
      <c r="P1340" s="408" t="s">
        <v>2589</v>
      </c>
      <c r="Q1340" s="408"/>
      <c r="R1340" s="408"/>
      <c r="S1340" s="408" t="s">
        <v>3070</v>
      </c>
      <c r="T1340" s="408"/>
      <c r="U1340" s="408"/>
      <c r="V1340" s="421"/>
      <c r="W1340" s="421"/>
      <c r="X1340" s="421"/>
      <c r="Y1340" s="421"/>
      <c r="Z1340" s="421"/>
      <c r="AA1340" s="421"/>
      <c r="AB1340" s="421"/>
      <c r="AC1340" s="421"/>
      <c r="AD1340" s="421"/>
      <c r="AE1340" s="421"/>
      <c r="AF1340" s="421"/>
      <c r="AG1340" s="421"/>
      <c r="AH1340" s="421"/>
      <c r="AI1340" s="421"/>
      <c r="AJ1340" s="421"/>
      <c r="AK1340" s="421"/>
      <c r="AL1340" s="421"/>
    </row>
    <row r="1341" spans="1:38">
      <c r="A1341" s="3">
        <v>6074</v>
      </c>
      <c r="B1341" s="83">
        <f t="array" ref="B1341">SUM(--(FREQUENCY(IF(C$2:C$3079=C1341, MATCH(D$2:D$3079, D$2:D$3079, 0)), ROW(D$2:D$3079)-ROW(D$2)+1) &gt; 0))</f>
        <v>6</v>
      </c>
      <c r="C1341" s="3">
        <v>41000544</v>
      </c>
      <c r="D1341" s="6" t="s">
        <v>3071</v>
      </c>
      <c r="E1341" s="3" t="s">
        <v>1405</v>
      </c>
      <c r="F1341" s="3" t="s">
        <v>1476</v>
      </c>
      <c r="G1341" s="68" t="str">
        <f t="shared" si="303"/>
        <v>DUAL</v>
      </c>
      <c r="H1341" s="197">
        <f t="shared" ref="H1341:H1347" si="309">WEEKNUM(K1341)</f>
        <v>42</v>
      </c>
      <c r="I1341" s="197">
        <v>10</v>
      </c>
      <c r="J1341" s="197">
        <v>14</v>
      </c>
      <c r="K1341" s="186">
        <f t="shared" ref="K1341:K1347" si="310">DATE(2025, I1341, J1341)</f>
        <v>45944</v>
      </c>
      <c r="L1341" s="3" t="s">
        <v>2391</v>
      </c>
      <c r="M1341" s="3" t="s">
        <v>1468</v>
      </c>
      <c r="N1341" s="408" t="str">
        <f t="shared" si="298"/>
        <v/>
      </c>
      <c r="O1341" s="408"/>
      <c r="P1341" s="408"/>
      <c r="Q1341" s="408"/>
      <c r="R1341" s="408"/>
      <c r="S1341" s="408"/>
      <c r="T1341" s="408"/>
      <c r="U1341" s="408"/>
      <c r="V1341" s="421"/>
      <c r="W1341" s="421"/>
      <c r="X1341" s="421"/>
      <c r="Y1341" s="421"/>
      <c r="Z1341" s="421"/>
      <c r="AA1341" s="421"/>
      <c r="AB1341" s="421"/>
      <c r="AC1341" s="421"/>
      <c r="AD1341" s="421"/>
      <c r="AE1341" s="421"/>
      <c r="AF1341" s="421"/>
      <c r="AG1341" s="421"/>
      <c r="AH1341" s="421"/>
      <c r="AI1341" s="421"/>
      <c r="AJ1341" s="421"/>
      <c r="AK1341" s="421"/>
      <c r="AL1341" s="421"/>
    </row>
    <row r="1342" spans="1:38">
      <c r="A1342" s="3">
        <v>6002</v>
      </c>
      <c r="B1342" s="83">
        <f t="array" ref="B1342">SUM(--(FREQUENCY(IF(C$2:C$3079=C1342, MATCH(D$2:D$3079, D$2:D$3079, 0)), ROW(D$2:D$3079)-ROW(D$2)+1) &gt; 0))</f>
        <v>7</v>
      </c>
      <c r="C1342" s="3">
        <v>41200131</v>
      </c>
      <c r="D1342" s="6" t="s">
        <v>3072</v>
      </c>
      <c r="E1342" s="3" t="s">
        <v>1431</v>
      </c>
      <c r="F1342" s="3" t="s">
        <v>1476</v>
      </c>
      <c r="G1342" s="68" t="str">
        <f t="shared" si="303"/>
        <v>DUAL</v>
      </c>
      <c r="H1342" s="197">
        <f t="shared" si="309"/>
        <v>42</v>
      </c>
      <c r="I1342" s="197">
        <v>10</v>
      </c>
      <c r="J1342" s="197">
        <v>14</v>
      </c>
      <c r="K1342" s="186">
        <f t="shared" si="310"/>
        <v>45944</v>
      </c>
      <c r="L1342" s="3" t="s">
        <v>2391</v>
      </c>
      <c r="M1342" s="3" t="s">
        <v>1468</v>
      </c>
      <c r="N1342" s="408" t="str">
        <f t="shared" si="298"/>
        <v/>
      </c>
      <c r="O1342" s="408"/>
      <c r="P1342" s="408"/>
      <c r="Q1342" s="408"/>
      <c r="R1342" s="408"/>
      <c r="S1342" s="408"/>
      <c r="T1342" s="408"/>
      <c r="U1342" s="408"/>
      <c r="V1342" s="421"/>
      <c r="W1342" s="421"/>
      <c r="X1342" s="421"/>
      <c r="Y1342" s="421"/>
      <c r="Z1342" s="421"/>
      <c r="AA1342" s="421"/>
      <c r="AB1342" s="421"/>
      <c r="AC1342" s="421"/>
      <c r="AD1342" s="421"/>
      <c r="AE1342" s="421"/>
      <c r="AF1342" s="421"/>
      <c r="AG1342" s="421"/>
      <c r="AH1342" s="421"/>
      <c r="AI1342" s="421"/>
      <c r="AJ1342" s="421"/>
      <c r="AK1342" s="421"/>
      <c r="AL1342" s="421"/>
    </row>
    <row r="1343" spans="1:38">
      <c r="A1343" s="3">
        <v>6002</v>
      </c>
      <c r="B1343" s="83">
        <f t="array" ref="B1343">SUM(--(FREQUENCY(IF(C$2:C$3079=C1343, MATCH(D$2:D$3079, D$2:D$3079, 0)), ROW(D$2:D$3079)-ROW(D$2)+1) &gt; 0))</f>
        <v>7</v>
      </c>
      <c r="C1343" s="3">
        <v>41200131</v>
      </c>
      <c r="D1343" s="6" t="s">
        <v>3073</v>
      </c>
      <c r="E1343" s="3" t="s">
        <v>1431</v>
      </c>
      <c r="F1343" s="3" t="s">
        <v>1476</v>
      </c>
      <c r="G1343" s="68" t="str">
        <f t="shared" si="303"/>
        <v>DUAL</v>
      </c>
      <c r="H1343" s="197">
        <f t="shared" si="309"/>
        <v>42</v>
      </c>
      <c r="I1343" s="197">
        <v>10</v>
      </c>
      <c r="J1343" s="197">
        <v>14</v>
      </c>
      <c r="K1343" s="186">
        <f t="shared" si="310"/>
        <v>45944</v>
      </c>
      <c r="L1343" s="3" t="s">
        <v>2391</v>
      </c>
      <c r="M1343" s="3" t="s">
        <v>1468</v>
      </c>
      <c r="N1343" s="408" t="str">
        <f t="shared" si="298"/>
        <v/>
      </c>
      <c r="O1343" s="408"/>
      <c r="P1343" s="408"/>
      <c r="Q1343" s="408"/>
      <c r="R1343" s="408"/>
      <c r="S1343" s="408"/>
      <c r="T1343" s="408"/>
      <c r="U1343" s="408"/>
      <c r="V1343" s="421"/>
      <c r="W1343" s="421"/>
      <c r="X1343" s="421"/>
      <c r="Y1343" s="421"/>
      <c r="Z1343" s="421"/>
      <c r="AA1343" s="421"/>
      <c r="AB1343" s="421"/>
      <c r="AC1343" s="421"/>
      <c r="AD1343" s="421"/>
      <c r="AE1343" s="421"/>
      <c r="AF1343" s="421"/>
      <c r="AG1343" s="421"/>
      <c r="AH1343" s="421"/>
      <c r="AI1343" s="421"/>
      <c r="AJ1343" s="421"/>
      <c r="AK1343" s="421"/>
      <c r="AL1343" s="421"/>
    </row>
    <row r="1344" spans="1:38">
      <c r="A1344" s="3">
        <v>5936</v>
      </c>
      <c r="B1344" s="83">
        <f t="array" ref="B1344">SUM(--(FREQUENCY(IF(C$2:C$3079=C1344, MATCH(D$2:D$3079, D$2:D$3079, 0)), ROW(D$2:D$3079)-ROW(D$2)+1) &gt; 0))</f>
        <v>37</v>
      </c>
      <c r="C1344" s="3">
        <v>41200076</v>
      </c>
      <c r="D1344" s="6" t="s">
        <v>3074</v>
      </c>
      <c r="E1344" s="3" t="s">
        <v>1585</v>
      </c>
      <c r="F1344" s="3" t="s">
        <v>1476</v>
      </c>
      <c r="G1344" s="68" t="str">
        <f t="shared" si="303"/>
        <v>DUAL</v>
      </c>
      <c r="H1344" s="197">
        <f t="shared" si="309"/>
        <v>42</v>
      </c>
      <c r="I1344" s="197">
        <v>10</v>
      </c>
      <c r="J1344" s="197">
        <v>14</v>
      </c>
      <c r="K1344" s="186">
        <f t="shared" si="310"/>
        <v>45944</v>
      </c>
      <c r="L1344" s="3" t="s">
        <v>2395</v>
      </c>
      <c r="M1344" s="3" t="s">
        <v>1469</v>
      </c>
      <c r="N1344" s="408" t="str">
        <f t="shared" si="298"/>
        <v>NG</v>
      </c>
      <c r="O1344" s="408" t="s">
        <v>2368</v>
      </c>
      <c r="P1344" s="408" t="s">
        <v>2371</v>
      </c>
      <c r="Q1344" s="408">
        <v>11001962</v>
      </c>
      <c r="R1344" s="408" t="s">
        <v>562</v>
      </c>
      <c r="S1344" s="408" t="s">
        <v>3075</v>
      </c>
      <c r="T1344" s="408"/>
      <c r="U1344" s="408"/>
      <c r="V1344" s="421"/>
      <c r="W1344" s="421"/>
      <c r="X1344" s="421"/>
      <c r="Y1344" s="421"/>
      <c r="Z1344" s="421"/>
      <c r="AA1344" s="421"/>
      <c r="AB1344" s="421"/>
      <c r="AC1344" s="421"/>
      <c r="AD1344" s="421"/>
      <c r="AE1344" s="421"/>
      <c r="AF1344" s="421"/>
      <c r="AG1344" s="421"/>
      <c r="AH1344" s="421"/>
      <c r="AI1344" s="421"/>
      <c r="AJ1344" s="421"/>
      <c r="AK1344" s="421"/>
      <c r="AL1344" s="421"/>
    </row>
    <row r="1345" spans="1:38">
      <c r="A1345" s="3">
        <v>5936</v>
      </c>
      <c r="B1345" s="83">
        <f t="array" ref="B1345">SUM(--(FREQUENCY(IF(C$2:C$3079=C1345, MATCH(D$2:D$3079, D$2:D$3079, 0)), ROW(D$2:D$3079)-ROW(D$2)+1) &gt; 0))</f>
        <v>37</v>
      </c>
      <c r="C1345" s="3">
        <v>41200076</v>
      </c>
      <c r="D1345" s="6" t="s">
        <v>3076</v>
      </c>
      <c r="E1345" s="3" t="s">
        <v>1585</v>
      </c>
      <c r="F1345" s="3" t="s">
        <v>1476</v>
      </c>
      <c r="G1345" s="43" t="str">
        <f t="shared" si="303"/>
        <v>DUAL</v>
      </c>
      <c r="H1345" s="197">
        <f t="shared" si="309"/>
        <v>42</v>
      </c>
      <c r="I1345" s="197">
        <v>10</v>
      </c>
      <c r="J1345" s="197">
        <v>14</v>
      </c>
      <c r="K1345" s="186">
        <f t="shared" si="310"/>
        <v>45944</v>
      </c>
      <c r="L1345" s="3" t="s">
        <v>2395</v>
      </c>
      <c r="M1345" s="3" t="s">
        <v>1469</v>
      </c>
      <c r="N1345" s="408" t="str">
        <f t="shared" si="298"/>
        <v/>
      </c>
      <c r="O1345" s="408"/>
      <c r="P1345" s="408"/>
      <c r="Q1345" s="408"/>
      <c r="R1345" s="408"/>
      <c r="S1345" s="408"/>
      <c r="T1345" s="408"/>
      <c r="U1345" s="408"/>
      <c r="V1345" s="421"/>
      <c r="W1345" s="421"/>
      <c r="X1345" s="421"/>
      <c r="Y1345" s="421"/>
      <c r="Z1345" s="421"/>
      <c r="AA1345" s="421"/>
      <c r="AB1345" s="421"/>
      <c r="AC1345" s="421"/>
      <c r="AD1345" s="421"/>
      <c r="AE1345" s="421"/>
      <c r="AF1345" s="421"/>
      <c r="AG1345" s="421"/>
      <c r="AH1345" s="421"/>
      <c r="AI1345" s="421"/>
      <c r="AJ1345" s="421"/>
      <c r="AK1345" s="421"/>
      <c r="AL1345" s="421"/>
    </row>
    <row r="1346" spans="1:38">
      <c r="A1346" s="3">
        <v>6004</v>
      </c>
      <c r="B1346" s="83">
        <f t="array" ref="B1346">SUM(--(FREQUENCY(IF(C$2:C$3079=C1346, MATCH(D$2:D$3079, D$2:D$3079, 0)), ROW(D$2:D$3079)-ROW(D$2)+1) &gt; 0))</f>
        <v>18</v>
      </c>
      <c r="C1346" s="3">
        <v>41200128</v>
      </c>
      <c r="D1346" s="6" t="s">
        <v>3077</v>
      </c>
      <c r="E1346" s="3" t="s">
        <v>1431</v>
      </c>
      <c r="F1346" s="3" t="s">
        <v>1591</v>
      </c>
      <c r="G1346" s="68" t="str">
        <f t="shared" si="303"/>
        <v>SINGLE</v>
      </c>
      <c r="H1346" s="197">
        <f t="shared" si="309"/>
        <v>42</v>
      </c>
      <c r="I1346" s="197">
        <v>10</v>
      </c>
      <c r="J1346" s="197">
        <v>14</v>
      </c>
      <c r="K1346" s="186">
        <f t="shared" si="310"/>
        <v>45944</v>
      </c>
      <c r="L1346" s="3" t="s">
        <v>2395</v>
      </c>
      <c r="M1346" s="3" t="s">
        <v>1469</v>
      </c>
      <c r="N1346" s="408" t="str">
        <f t="shared" si="298"/>
        <v/>
      </c>
      <c r="O1346" s="408"/>
      <c r="P1346" s="408"/>
      <c r="Q1346" s="408"/>
      <c r="R1346" s="408"/>
      <c r="S1346" s="408"/>
      <c r="T1346" s="408"/>
      <c r="U1346" s="408"/>
      <c r="V1346" s="421"/>
      <c r="W1346" s="421"/>
      <c r="X1346" s="421"/>
      <c r="Y1346" s="421"/>
      <c r="Z1346" s="421"/>
      <c r="AA1346" s="421"/>
      <c r="AB1346" s="421"/>
      <c r="AC1346" s="421"/>
      <c r="AD1346" s="421"/>
      <c r="AE1346" s="421"/>
      <c r="AF1346" s="421"/>
      <c r="AG1346" s="421"/>
      <c r="AH1346" s="421"/>
      <c r="AI1346" s="421"/>
      <c r="AJ1346" s="421"/>
      <c r="AK1346" s="421"/>
      <c r="AL1346" s="421"/>
    </row>
    <row r="1347" spans="1:38">
      <c r="A1347" s="3">
        <v>6004</v>
      </c>
      <c r="B1347" s="83">
        <f t="array" ref="B1347">SUM(--(FREQUENCY(IF(C$2:C$3079=C1347, MATCH(D$2:D$3079, D$2:D$3079, 0)), ROW(D$2:D$3079)-ROW(D$2)+1) &gt; 0))</f>
        <v>18</v>
      </c>
      <c r="C1347" s="3">
        <v>41200128</v>
      </c>
      <c r="D1347" s="6" t="s">
        <v>3078</v>
      </c>
      <c r="E1347" s="3" t="s">
        <v>1431</v>
      </c>
      <c r="F1347" s="3" t="s">
        <v>1591</v>
      </c>
      <c r="G1347" s="68" t="str">
        <f t="shared" si="303"/>
        <v>SINGLE</v>
      </c>
      <c r="H1347" s="197">
        <f t="shared" si="309"/>
        <v>42</v>
      </c>
      <c r="I1347" s="197">
        <v>10</v>
      </c>
      <c r="J1347" s="197">
        <v>14</v>
      </c>
      <c r="K1347" s="186">
        <f t="shared" si="310"/>
        <v>45944</v>
      </c>
      <c r="L1347" s="3" t="s">
        <v>2395</v>
      </c>
      <c r="M1347" s="3" t="s">
        <v>1469</v>
      </c>
      <c r="N1347" s="408" t="str">
        <f t="shared" si="298"/>
        <v/>
      </c>
      <c r="O1347" s="408"/>
      <c r="P1347" s="408"/>
      <c r="Q1347" s="408"/>
      <c r="R1347" s="408"/>
      <c r="S1347" s="408"/>
      <c r="T1347" s="408"/>
      <c r="U1347" s="408"/>
      <c r="V1347" s="421"/>
      <c r="W1347" s="421"/>
      <c r="X1347" s="421"/>
      <c r="Y1347" s="421"/>
      <c r="Z1347" s="421"/>
      <c r="AA1347" s="421"/>
      <c r="AB1347" s="421"/>
      <c r="AC1347" s="421"/>
      <c r="AD1347" s="421"/>
      <c r="AE1347" s="421"/>
      <c r="AF1347" s="421"/>
      <c r="AG1347" s="421"/>
      <c r="AH1347" s="421"/>
      <c r="AI1347" s="421"/>
      <c r="AJ1347" s="421"/>
      <c r="AK1347" s="421"/>
      <c r="AL1347" s="421"/>
    </row>
    <row r="1348" spans="1:38">
      <c r="A1348" s="3">
        <v>6075</v>
      </c>
      <c r="B1348" s="83">
        <f t="array" ref="B1348">SUM(--(FREQUENCY(IF(C$2:C$3079=C1348, MATCH(D$2:D$3079, D$2:D$3079, 0)), ROW(D$2:D$3079)-ROW(D$2)+1) &gt; 0))</f>
        <v>1</v>
      </c>
      <c r="C1348" s="3">
        <v>41100075</v>
      </c>
      <c r="D1348" s="6" t="s">
        <v>3079</v>
      </c>
      <c r="E1348" s="3" t="s">
        <v>1415</v>
      </c>
      <c r="F1348" s="3" t="s">
        <v>1911</v>
      </c>
      <c r="G1348" s="68" t="str">
        <f t="shared" si="303"/>
        <v>DUAL</v>
      </c>
      <c r="H1348" s="197">
        <f>WEEKNUM(K1348)</f>
        <v>42</v>
      </c>
      <c r="I1348" s="197">
        <v>10</v>
      </c>
      <c r="J1348" s="197">
        <v>14</v>
      </c>
      <c r="K1348" s="186">
        <f>DATE(2025, I1348, J1348)</f>
        <v>45944</v>
      </c>
      <c r="L1348" s="3" t="s">
        <v>2391</v>
      </c>
      <c r="M1348" s="3" t="s">
        <v>1469</v>
      </c>
      <c r="N1348" s="408" t="str">
        <f t="shared" si="298"/>
        <v/>
      </c>
      <c r="O1348" s="408"/>
      <c r="P1348" s="408"/>
      <c r="Q1348" s="408"/>
      <c r="R1348" s="408"/>
      <c r="S1348" s="408"/>
      <c r="T1348" s="408"/>
      <c r="U1348" s="408"/>
      <c r="V1348" s="421"/>
      <c r="W1348" s="421"/>
      <c r="X1348" s="421"/>
      <c r="Y1348" s="421"/>
      <c r="Z1348" s="421"/>
      <c r="AA1348" s="421"/>
      <c r="AB1348" s="421"/>
      <c r="AC1348" s="421"/>
      <c r="AD1348" s="421"/>
      <c r="AE1348" s="421"/>
      <c r="AF1348" s="421"/>
      <c r="AG1348" s="421"/>
      <c r="AH1348" s="421"/>
      <c r="AI1348" s="421"/>
      <c r="AJ1348" s="421"/>
      <c r="AK1348" s="421"/>
      <c r="AL1348" s="421"/>
    </row>
    <row r="1349" spans="1:38">
      <c r="A1349" s="3">
        <v>5854</v>
      </c>
      <c r="B1349" s="83">
        <f t="array" ref="B1349">SUM(--(FREQUENCY(IF(C$2:C$3080=C1349, MATCH(D$2:D$3080, D$2:D$3080, 0)), ROW(D$2:D$3080)-ROW(D$2)+1) &gt; 0))</f>
        <v>37</v>
      </c>
      <c r="C1349" s="3">
        <v>41200076</v>
      </c>
      <c r="D1349" s="6" t="s">
        <v>3080</v>
      </c>
      <c r="E1349" s="3" t="s">
        <v>1585</v>
      </c>
      <c r="F1349" s="3" t="s">
        <v>1476</v>
      </c>
      <c r="G1349" s="68" t="str">
        <f t="shared" si="303"/>
        <v>DUAL</v>
      </c>
      <c r="H1349" s="197">
        <f t="shared" ref="H1349:H1354" si="311">WEEKNUM(K1349)</f>
        <v>42</v>
      </c>
      <c r="I1349" s="197">
        <v>10</v>
      </c>
      <c r="J1349" s="197">
        <v>15</v>
      </c>
      <c r="K1349" s="186">
        <f t="shared" ref="K1349:K1354" si="312">DATE(2025, I1349, J1349)</f>
        <v>45945</v>
      </c>
      <c r="L1349" s="3" t="s">
        <v>2391</v>
      </c>
      <c r="M1349" s="3" t="s">
        <v>1468</v>
      </c>
      <c r="N1349" s="408" t="str">
        <f t="shared" si="298"/>
        <v/>
      </c>
      <c r="O1349" s="408"/>
      <c r="P1349" s="408"/>
      <c r="Q1349" s="408"/>
      <c r="R1349" s="408"/>
      <c r="S1349" s="408"/>
      <c r="T1349" s="408"/>
      <c r="U1349" s="408"/>
      <c r="V1349" s="421"/>
      <c r="W1349" s="421"/>
      <c r="X1349" s="421"/>
      <c r="Y1349" s="421"/>
      <c r="Z1349" s="421"/>
      <c r="AA1349" s="421"/>
      <c r="AB1349" s="421"/>
      <c r="AC1349" s="421"/>
      <c r="AD1349" s="421"/>
      <c r="AE1349" s="421"/>
      <c r="AF1349" s="421"/>
      <c r="AG1349" s="421"/>
      <c r="AH1349" s="421"/>
      <c r="AI1349" s="421"/>
      <c r="AJ1349" s="421"/>
      <c r="AK1349" s="421"/>
      <c r="AL1349" s="421"/>
    </row>
    <row r="1350" spans="1:38">
      <c r="A1350" s="3">
        <v>6000</v>
      </c>
      <c r="B1350" s="83">
        <f t="array" ref="B1350">SUM(--(FREQUENCY(IF(C$2:C$3080=C1350, MATCH(D$2:D$3080, D$2:D$3080, 0)), ROW(D$2:D$3080)-ROW(D$2)+1) &gt; 0))</f>
        <v>37</v>
      </c>
      <c r="C1350" s="3">
        <v>41200076</v>
      </c>
      <c r="D1350" s="6" t="s">
        <v>3081</v>
      </c>
      <c r="E1350" s="3" t="s">
        <v>1585</v>
      </c>
      <c r="F1350" s="3" t="s">
        <v>1476</v>
      </c>
      <c r="G1350" s="68" t="str">
        <f t="shared" si="303"/>
        <v>DUAL</v>
      </c>
      <c r="H1350" s="197">
        <f t="shared" si="311"/>
        <v>42</v>
      </c>
      <c r="I1350" s="197">
        <v>10</v>
      </c>
      <c r="J1350" s="197">
        <v>15</v>
      </c>
      <c r="K1350" s="186">
        <f t="shared" si="312"/>
        <v>45945</v>
      </c>
      <c r="L1350" s="3" t="s">
        <v>2391</v>
      </c>
      <c r="M1350" s="3" t="s">
        <v>1468</v>
      </c>
      <c r="N1350" s="408" t="str">
        <f t="shared" si="298"/>
        <v/>
      </c>
      <c r="O1350" s="408"/>
      <c r="P1350" s="408"/>
      <c r="Q1350" s="408"/>
      <c r="R1350" s="408"/>
      <c r="S1350" s="408"/>
      <c r="T1350" s="408"/>
      <c r="U1350" s="408"/>
      <c r="V1350" s="421"/>
      <c r="W1350" s="421"/>
      <c r="X1350" s="421"/>
      <c r="Y1350" s="421"/>
      <c r="Z1350" s="421"/>
      <c r="AA1350" s="421"/>
      <c r="AB1350" s="421"/>
      <c r="AC1350" s="421"/>
      <c r="AD1350" s="421"/>
      <c r="AE1350" s="421"/>
      <c r="AF1350" s="421"/>
      <c r="AG1350" s="421"/>
      <c r="AH1350" s="421"/>
      <c r="AI1350" s="421"/>
      <c r="AJ1350" s="421"/>
      <c r="AK1350" s="421"/>
      <c r="AL1350" s="421"/>
    </row>
    <row r="1351" spans="1:38">
      <c r="A1351" s="3">
        <v>5971</v>
      </c>
      <c r="B1351" s="83">
        <f t="array" ref="B1351">SUM(--(FREQUENCY(IF(C$2:C$3080=C1351, MATCH(D$2:D$3080, D$2:D$3080, 0)), ROW(D$2:D$3080)-ROW(D$2)+1) &gt; 0))</f>
        <v>22</v>
      </c>
      <c r="C1351" s="3">
        <v>41200047</v>
      </c>
      <c r="D1351" s="6" t="s">
        <v>3082</v>
      </c>
      <c r="E1351" s="3" t="s">
        <v>1426</v>
      </c>
      <c r="F1351" s="3" t="s">
        <v>1476</v>
      </c>
      <c r="G1351" s="68" t="str">
        <f t="shared" si="303"/>
        <v>DUAL</v>
      </c>
      <c r="H1351" s="197">
        <f t="shared" si="311"/>
        <v>42</v>
      </c>
      <c r="I1351" s="197">
        <v>10</v>
      </c>
      <c r="J1351" s="197">
        <v>15</v>
      </c>
      <c r="K1351" s="186">
        <f t="shared" si="312"/>
        <v>45945</v>
      </c>
      <c r="L1351" s="3" t="s">
        <v>2395</v>
      </c>
      <c r="M1351" s="3" t="s">
        <v>1468</v>
      </c>
      <c r="N1351" s="408" t="str">
        <f t="shared" si="298"/>
        <v/>
      </c>
      <c r="O1351" s="408"/>
      <c r="P1351" s="408"/>
      <c r="Q1351" s="408"/>
      <c r="R1351" s="408"/>
      <c r="S1351" s="408"/>
      <c r="T1351" s="408"/>
      <c r="U1351" s="408"/>
      <c r="V1351" s="421"/>
      <c r="W1351" s="421"/>
      <c r="X1351" s="421"/>
      <c r="Y1351" s="421"/>
      <c r="Z1351" s="421"/>
      <c r="AA1351" s="421"/>
      <c r="AB1351" s="421"/>
      <c r="AC1351" s="421"/>
      <c r="AD1351" s="421"/>
      <c r="AE1351" s="421"/>
      <c r="AF1351" s="421"/>
      <c r="AG1351" s="421"/>
      <c r="AH1351" s="421"/>
      <c r="AI1351" s="421"/>
      <c r="AJ1351" s="421"/>
      <c r="AK1351" s="421"/>
      <c r="AL1351" s="421"/>
    </row>
    <row r="1352" spans="1:38">
      <c r="A1352" s="3">
        <v>6040</v>
      </c>
      <c r="B1352" s="83">
        <f t="array" ref="B1352">SUM(--(FREQUENCY(IF(C$2:C$3080=C1352, MATCH(D$2:D$3080, D$2:D$3080, 0)), ROW(D$2:D$3080)-ROW(D$2)+1) &gt; 0))</f>
        <v>5</v>
      </c>
      <c r="C1352" s="3">
        <v>41200038</v>
      </c>
      <c r="D1352" s="6" t="s">
        <v>3083</v>
      </c>
      <c r="E1352" s="3" t="s">
        <v>1426</v>
      </c>
      <c r="F1352" s="3" t="s">
        <v>1476</v>
      </c>
      <c r="G1352" s="68" t="str">
        <f t="shared" si="303"/>
        <v>DUAL</v>
      </c>
      <c r="H1352" s="197">
        <f t="shared" si="311"/>
        <v>42</v>
      </c>
      <c r="I1352" s="197">
        <v>10</v>
      </c>
      <c r="J1352" s="197">
        <v>15</v>
      </c>
      <c r="K1352" s="186">
        <f t="shared" si="312"/>
        <v>45945</v>
      </c>
      <c r="L1352" s="3" t="s">
        <v>2391</v>
      </c>
      <c r="M1352" s="3" t="s">
        <v>1468</v>
      </c>
      <c r="N1352" s="408" t="str">
        <f t="shared" si="298"/>
        <v/>
      </c>
      <c r="O1352" s="408"/>
      <c r="P1352" s="408"/>
      <c r="Q1352" s="408"/>
      <c r="R1352" s="408"/>
      <c r="S1352" s="408"/>
      <c r="T1352" s="408"/>
      <c r="U1352" s="408"/>
      <c r="V1352" s="421"/>
      <c r="W1352" s="421"/>
      <c r="X1352" s="421"/>
      <c r="Y1352" s="421"/>
      <c r="Z1352" s="421"/>
      <c r="AA1352" s="421"/>
      <c r="AB1352" s="421"/>
      <c r="AC1352" s="421"/>
      <c r="AD1352" s="421"/>
      <c r="AE1352" s="421"/>
      <c r="AF1352" s="421"/>
      <c r="AG1352" s="421"/>
      <c r="AH1352" s="421"/>
      <c r="AI1352" s="421"/>
      <c r="AJ1352" s="421"/>
      <c r="AK1352" s="421"/>
      <c r="AL1352" s="421"/>
    </row>
    <row r="1353" spans="1:38">
      <c r="A1353" s="3">
        <v>6095</v>
      </c>
      <c r="B1353" s="83">
        <f t="array" ref="B1353">SUM(--(FREQUENCY(IF(C$2:C$3080=C1353, MATCH(D$2:D$3080, D$2:D$3080, 0)), ROW(D$2:D$3080)-ROW(D$2)+1) &gt; 0))</f>
        <v>20</v>
      </c>
      <c r="C1353" s="3">
        <v>41100435</v>
      </c>
      <c r="D1353" s="6" t="s">
        <v>3084</v>
      </c>
      <c r="E1353" s="3" t="s">
        <v>1585</v>
      </c>
      <c r="F1353" s="3" t="s">
        <v>1482</v>
      </c>
      <c r="G1353" s="68" t="str">
        <f t="shared" si="303"/>
        <v>SINGLE</v>
      </c>
      <c r="H1353" s="197">
        <f t="shared" si="311"/>
        <v>42</v>
      </c>
      <c r="I1353" s="197">
        <v>10</v>
      </c>
      <c r="J1353" s="197">
        <v>15</v>
      </c>
      <c r="K1353" s="186">
        <f t="shared" si="312"/>
        <v>45945</v>
      </c>
      <c r="L1353" s="3" t="s">
        <v>2395</v>
      </c>
      <c r="M1353" s="3" t="s">
        <v>1469</v>
      </c>
      <c r="N1353" s="408" t="str">
        <f>IF(O1353&lt;&gt;"", "NG", "")</f>
        <v>NG</v>
      </c>
      <c r="O1353" s="408" t="s">
        <v>1569</v>
      </c>
      <c r="P1353" s="408" t="s">
        <v>2954</v>
      </c>
      <c r="Q1353" s="408"/>
      <c r="R1353" s="408"/>
      <c r="S1353" s="408" t="s">
        <v>3085</v>
      </c>
      <c r="T1353" s="408"/>
      <c r="U1353" s="408"/>
      <c r="V1353" s="421"/>
      <c r="W1353" s="421"/>
      <c r="X1353" s="421"/>
      <c r="Y1353" s="421"/>
      <c r="Z1353" s="421"/>
      <c r="AA1353" s="421"/>
      <c r="AB1353" s="421"/>
      <c r="AC1353" s="421"/>
      <c r="AD1353" s="421"/>
      <c r="AE1353" s="421"/>
      <c r="AF1353" s="421"/>
      <c r="AG1353" s="421"/>
      <c r="AH1353" s="421"/>
      <c r="AI1353" s="421"/>
      <c r="AJ1353" s="421"/>
      <c r="AK1353" s="421"/>
      <c r="AL1353" s="421"/>
    </row>
    <row r="1354" spans="1:38">
      <c r="A1354" s="3">
        <v>5322</v>
      </c>
      <c r="B1354" s="83">
        <f t="array" ref="B1354">SUM(--(FREQUENCY(IF(C$2:C$3080=C1354, MATCH(D$2:D$3080, D$2:D$3080, 0)), ROW(D$2:D$3080)-ROW(D$2)+1) &gt; 0))</f>
        <v>6</v>
      </c>
      <c r="C1354" s="3">
        <v>41200088</v>
      </c>
      <c r="D1354" s="6" t="s">
        <v>3086</v>
      </c>
      <c r="E1354" s="3" t="s">
        <v>1422</v>
      </c>
      <c r="F1354" s="3" t="s">
        <v>1476</v>
      </c>
      <c r="G1354" s="68" t="str">
        <f t="shared" si="303"/>
        <v>DUAL</v>
      </c>
      <c r="H1354" s="197">
        <f t="shared" si="311"/>
        <v>42</v>
      </c>
      <c r="I1354" s="197">
        <v>10</v>
      </c>
      <c r="J1354" s="197">
        <v>15</v>
      </c>
      <c r="K1354" s="186">
        <f t="shared" si="312"/>
        <v>45945</v>
      </c>
      <c r="L1354" s="3" t="s">
        <v>2395</v>
      </c>
      <c r="M1354" s="3" t="s">
        <v>1469</v>
      </c>
      <c r="N1354" s="408" t="str">
        <f t="shared" si="298"/>
        <v/>
      </c>
      <c r="O1354" s="408"/>
      <c r="P1354" s="408"/>
      <c r="Q1354" s="408"/>
      <c r="R1354" s="408"/>
      <c r="S1354" s="408"/>
      <c r="T1354" s="408"/>
      <c r="U1354" s="408"/>
      <c r="V1354" s="421"/>
      <c r="W1354" s="421"/>
      <c r="X1354" s="421"/>
      <c r="Y1354" s="421"/>
      <c r="Z1354" s="421"/>
      <c r="AA1354" s="421"/>
      <c r="AB1354" s="421"/>
      <c r="AC1354" s="421"/>
      <c r="AD1354" s="421"/>
      <c r="AE1354" s="421"/>
      <c r="AF1354" s="421"/>
      <c r="AG1354" s="421"/>
      <c r="AH1354" s="421"/>
      <c r="AI1354" s="421"/>
      <c r="AJ1354" s="421"/>
      <c r="AK1354" s="421"/>
      <c r="AL1354" s="421"/>
    </row>
    <row r="1355" spans="1:38">
      <c r="A1355" s="3">
        <v>6036</v>
      </c>
      <c r="B1355" s="83">
        <f t="array" ref="B1355">SUM(--(FREQUENCY(IF(C$2:C$3080=C1355, MATCH(D$2:D$3080, D$2:D$3080, 0)), ROW(D$2:D$3080)-ROW(D$2)+1) &gt; 0))</f>
        <v>19</v>
      </c>
      <c r="C1355" s="3">
        <v>41200033</v>
      </c>
      <c r="D1355" s="6" t="s">
        <v>3087</v>
      </c>
      <c r="E1355" s="3" t="s">
        <v>1426</v>
      </c>
      <c r="F1355" s="3" t="s">
        <v>1476</v>
      </c>
      <c r="G1355" s="68" t="str">
        <f t="shared" si="303"/>
        <v>DUAL</v>
      </c>
      <c r="H1355" s="197">
        <f t="shared" ref="H1355:H1361" si="313">WEEKNUM(K1355)</f>
        <v>42</v>
      </c>
      <c r="I1355" s="197">
        <v>10</v>
      </c>
      <c r="J1355" s="197">
        <v>16</v>
      </c>
      <c r="K1355" s="186">
        <f t="shared" ref="K1355:K1361" si="314">DATE(2025, I1355, J1355)</f>
        <v>45946</v>
      </c>
      <c r="L1355" s="3" t="s">
        <v>2391</v>
      </c>
      <c r="M1355" s="3" t="s">
        <v>1468</v>
      </c>
      <c r="N1355" s="408" t="str">
        <f t="shared" si="298"/>
        <v>NG</v>
      </c>
      <c r="O1355" s="408" t="s">
        <v>1569</v>
      </c>
      <c r="P1355" s="408" t="s">
        <v>3088</v>
      </c>
      <c r="Q1355" s="408"/>
      <c r="R1355" s="408"/>
      <c r="S1355" s="408" t="s">
        <v>3089</v>
      </c>
      <c r="T1355" s="408"/>
      <c r="U1355" s="408"/>
      <c r="V1355" s="421"/>
      <c r="W1355" s="421"/>
      <c r="X1355" s="421"/>
      <c r="Y1355" s="421"/>
      <c r="Z1355" s="421"/>
      <c r="AA1355" s="421"/>
      <c r="AB1355" s="421"/>
      <c r="AC1355" s="421"/>
      <c r="AD1355" s="421"/>
      <c r="AE1355" s="421"/>
      <c r="AF1355" s="421"/>
      <c r="AG1355" s="421"/>
      <c r="AH1355" s="421"/>
      <c r="AI1355" s="421"/>
      <c r="AJ1355" s="421"/>
      <c r="AK1355" s="421"/>
      <c r="AL1355" s="421"/>
    </row>
    <row r="1356" spans="1:38">
      <c r="A1356" s="3">
        <v>5886</v>
      </c>
      <c r="B1356" s="83">
        <f t="array" ref="B1356">SUM(--(FREQUENCY(IF(C$2:C$3080=C1356, MATCH(D$2:D$3080, D$2:D$3080, 0)), ROW(D$2:D$3080)-ROW(D$2)+1) &gt; 0))</f>
        <v>63</v>
      </c>
      <c r="C1356" s="3">
        <v>41200006</v>
      </c>
      <c r="D1356" s="6" t="s">
        <v>3090</v>
      </c>
      <c r="E1356" s="3" t="s">
        <v>1405</v>
      </c>
      <c r="F1356" s="3" t="s">
        <v>1477</v>
      </c>
      <c r="G1356" s="68" t="str">
        <f t="shared" si="303"/>
        <v>SINGLE</v>
      </c>
      <c r="H1356" s="197">
        <f t="shared" si="313"/>
        <v>42</v>
      </c>
      <c r="I1356" s="197">
        <v>10</v>
      </c>
      <c r="J1356" s="197">
        <v>16</v>
      </c>
      <c r="K1356" s="186">
        <f t="shared" si="314"/>
        <v>45946</v>
      </c>
      <c r="L1356" s="3" t="s">
        <v>2395</v>
      </c>
      <c r="M1356" s="3" t="s">
        <v>1469</v>
      </c>
      <c r="N1356" s="408" t="str">
        <f t="shared" si="298"/>
        <v>NG</v>
      </c>
      <c r="O1356" s="408" t="s">
        <v>2368</v>
      </c>
      <c r="P1356" s="408" t="s">
        <v>2371</v>
      </c>
      <c r="Q1356" s="408">
        <v>11001966</v>
      </c>
      <c r="R1356" s="408" t="s">
        <v>1151</v>
      </c>
      <c r="S1356" s="408" t="s">
        <v>3091</v>
      </c>
      <c r="T1356" s="408"/>
      <c r="U1356" s="408"/>
      <c r="V1356" s="421"/>
      <c r="W1356" s="421"/>
      <c r="X1356" s="421"/>
      <c r="Y1356" s="421"/>
      <c r="Z1356" s="421"/>
      <c r="AA1356" s="421"/>
      <c r="AB1356" s="421"/>
      <c r="AC1356" s="421"/>
      <c r="AD1356" s="421"/>
      <c r="AE1356" s="421"/>
      <c r="AF1356" s="421"/>
      <c r="AG1356" s="421"/>
      <c r="AH1356" s="421"/>
      <c r="AI1356" s="421"/>
      <c r="AJ1356" s="421"/>
      <c r="AK1356" s="421"/>
      <c r="AL1356" s="421"/>
    </row>
    <row r="1357" spans="1:38">
      <c r="A1357" s="3">
        <v>5981</v>
      </c>
      <c r="B1357" s="83">
        <f t="array" ref="B1357">SUM(--(FREQUENCY(IF(C$2:C$3080=C1357, MATCH(D$2:D$3080, D$2:D$3080, 0)), ROW(D$2:D$3080)-ROW(D$2)+1) &gt; 0))</f>
        <v>76</v>
      </c>
      <c r="C1357" s="3">
        <v>41200007</v>
      </c>
      <c r="D1357" s="6" t="s">
        <v>3092</v>
      </c>
      <c r="E1357" s="3" t="s">
        <v>1405</v>
      </c>
      <c r="F1357" s="3" t="s">
        <v>1591</v>
      </c>
      <c r="G1357" s="68" t="str">
        <f t="shared" si="303"/>
        <v>SINGLE</v>
      </c>
      <c r="H1357" s="197">
        <f t="shared" si="313"/>
        <v>42</v>
      </c>
      <c r="I1357" s="197">
        <v>10</v>
      </c>
      <c r="J1357" s="197">
        <v>16</v>
      </c>
      <c r="K1357" s="186">
        <f t="shared" si="314"/>
        <v>45946</v>
      </c>
      <c r="L1357" s="3" t="s">
        <v>2395</v>
      </c>
      <c r="M1357" s="3" t="s">
        <v>1469</v>
      </c>
      <c r="N1357" s="408" t="str">
        <f t="shared" si="298"/>
        <v>NG</v>
      </c>
      <c r="O1357" s="408" t="s">
        <v>2368</v>
      </c>
      <c r="P1357" s="408" t="s">
        <v>3093</v>
      </c>
      <c r="Q1357" s="408">
        <v>11101251</v>
      </c>
      <c r="R1357" s="408" t="s">
        <v>2415</v>
      </c>
      <c r="S1357" s="408" t="s">
        <v>3094</v>
      </c>
      <c r="T1357" s="408"/>
      <c r="U1357" s="408"/>
      <c r="V1357" s="421"/>
      <c r="W1357" s="421"/>
      <c r="X1357" s="421"/>
      <c r="Y1357" s="421"/>
      <c r="Z1357" s="421"/>
      <c r="AA1357" s="421"/>
      <c r="AB1357" s="421"/>
      <c r="AC1357" s="421"/>
      <c r="AD1357" s="421"/>
      <c r="AE1357" s="421"/>
      <c r="AF1357" s="421"/>
      <c r="AG1357" s="421"/>
      <c r="AH1357" s="421"/>
      <c r="AI1357" s="421"/>
      <c r="AJ1357" s="421"/>
      <c r="AK1357" s="421"/>
      <c r="AL1357" s="421"/>
    </row>
    <row r="1358" spans="1:38">
      <c r="A1358" s="3">
        <v>5981</v>
      </c>
      <c r="B1358" s="83">
        <f t="array" ref="B1358">SUM(--(FREQUENCY(IF(C$2:C$3080=C1358, MATCH(D$2:D$3080, D$2:D$3080, 0)), ROW(D$2:D$3080)-ROW(D$2)+1) &gt; 0))</f>
        <v>76</v>
      </c>
      <c r="C1358" s="3">
        <v>41200007</v>
      </c>
      <c r="D1358" s="6" t="s">
        <v>3095</v>
      </c>
      <c r="E1358" s="3" t="s">
        <v>1405</v>
      </c>
      <c r="F1358" s="3" t="s">
        <v>1591</v>
      </c>
      <c r="G1358" s="68" t="str">
        <f t="shared" si="303"/>
        <v>SINGLE</v>
      </c>
      <c r="H1358" s="197">
        <f t="shared" si="313"/>
        <v>42</v>
      </c>
      <c r="I1358" s="197">
        <v>10</v>
      </c>
      <c r="J1358" s="197">
        <v>16</v>
      </c>
      <c r="K1358" s="186">
        <f t="shared" si="314"/>
        <v>45946</v>
      </c>
      <c r="L1358" s="3" t="s">
        <v>2395</v>
      </c>
      <c r="M1358" s="3" t="s">
        <v>1469</v>
      </c>
      <c r="N1358" s="408" t="str">
        <f t="shared" si="298"/>
        <v>NG</v>
      </c>
      <c r="O1358" s="408" t="s">
        <v>2368</v>
      </c>
      <c r="P1358" s="408" t="s">
        <v>2371</v>
      </c>
      <c r="Q1358" s="408">
        <v>11001962</v>
      </c>
      <c r="R1358" s="408" t="s">
        <v>562</v>
      </c>
      <c r="S1358" s="408" t="s">
        <v>3096</v>
      </c>
      <c r="T1358" s="408"/>
      <c r="U1358" s="408"/>
      <c r="V1358" s="421"/>
      <c r="W1358" s="421"/>
      <c r="X1358" s="421"/>
      <c r="Y1358" s="421"/>
      <c r="Z1358" s="421"/>
      <c r="AA1358" s="421"/>
      <c r="AB1358" s="421"/>
      <c r="AC1358" s="421"/>
      <c r="AD1358" s="421"/>
      <c r="AE1358" s="421"/>
      <c r="AF1358" s="421"/>
      <c r="AG1358" s="421"/>
      <c r="AH1358" s="421"/>
      <c r="AI1358" s="421"/>
      <c r="AJ1358" s="421"/>
      <c r="AK1358" s="421"/>
      <c r="AL1358" s="421"/>
    </row>
    <row r="1359" spans="1:38">
      <c r="A1359" s="3">
        <v>6099</v>
      </c>
      <c r="B1359" s="83">
        <f t="array" ref="B1359">SUM(--(FREQUENCY(IF(C$2:C$3080=C1359, MATCH(D$2:D$3080, D$2:D$3080, 0)), ROW(D$2:D$3080)-ROW(D$2)+1) &gt; 0))</f>
        <v>24</v>
      </c>
      <c r="C1359" s="3">
        <v>41200122</v>
      </c>
      <c r="D1359" s="6" t="s">
        <v>3097</v>
      </c>
      <c r="E1359" s="3" t="s">
        <v>1585</v>
      </c>
      <c r="F1359" s="3" t="s">
        <v>1476</v>
      </c>
      <c r="G1359" s="68" t="str">
        <f t="shared" si="303"/>
        <v>DUAL</v>
      </c>
      <c r="H1359" s="197">
        <f t="shared" si="313"/>
        <v>42</v>
      </c>
      <c r="I1359" s="197">
        <v>10</v>
      </c>
      <c r="J1359" s="197">
        <v>16</v>
      </c>
      <c r="K1359" s="186">
        <f t="shared" si="314"/>
        <v>45946</v>
      </c>
      <c r="L1359" s="3" t="s">
        <v>2395</v>
      </c>
      <c r="M1359" s="3" t="s">
        <v>1469</v>
      </c>
      <c r="N1359" s="408" t="str">
        <f t="shared" si="298"/>
        <v/>
      </c>
      <c r="O1359" s="408"/>
      <c r="P1359" s="408"/>
      <c r="Q1359" s="408"/>
      <c r="R1359" s="408"/>
      <c r="S1359" s="408"/>
      <c r="T1359" s="408"/>
      <c r="U1359" s="408"/>
      <c r="V1359" s="421"/>
      <c r="W1359" s="421"/>
      <c r="X1359" s="421"/>
      <c r="Y1359" s="421"/>
      <c r="Z1359" s="421"/>
      <c r="AA1359" s="421"/>
      <c r="AB1359" s="421"/>
      <c r="AC1359" s="421"/>
      <c r="AD1359" s="421"/>
      <c r="AE1359" s="421"/>
      <c r="AF1359" s="421"/>
      <c r="AG1359" s="421"/>
      <c r="AH1359" s="421"/>
      <c r="AI1359" s="421"/>
      <c r="AJ1359" s="421"/>
      <c r="AK1359" s="421"/>
      <c r="AL1359" s="421"/>
    </row>
    <row r="1360" spans="1:38">
      <c r="A1360" s="3">
        <v>6036</v>
      </c>
      <c r="B1360" s="83">
        <f t="array" ref="B1360">SUM(--(FREQUENCY(IF(C$2:C$3080=C1360, MATCH(D$2:D$3080, D$2:D$3080, 0)), ROW(D$2:D$3080)-ROW(D$2)+1) &gt; 0))</f>
        <v>19</v>
      </c>
      <c r="C1360" s="3">
        <v>41200033</v>
      </c>
      <c r="D1360" s="6" t="s">
        <v>3098</v>
      </c>
      <c r="E1360" s="3" t="s">
        <v>1426</v>
      </c>
      <c r="F1360" s="3" t="s">
        <v>1476</v>
      </c>
      <c r="G1360" s="68" t="str">
        <f t="shared" si="303"/>
        <v>DUAL</v>
      </c>
      <c r="H1360" s="197">
        <f t="shared" si="313"/>
        <v>42</v>
      </c>
      <c r="I1360" s="197">
        <v>10</v>
      </c>
      <c r="J1360" s="197">
        <v>16</v>
      </c>
      <c r="K1360" s="186">
        <f t="shared" si="314"/>
        <v>45946</v>
      </c>
      <c r="L1360" s="3" t="s">
        <v>2555</v>
      </c>
      <c r="M1360" s="3" t="s">
        <v>2555</v>
      </c>
      <c r="N1360" s="408" t="str">
        <f t="shared" si="298"/>
        <v/>
      </c>
      <c r="O1360" s="408"/>
      <c r="P1360" s="408"/>
      <c r="Q1360" s="408"/>
      <c r="R1360" s="408"/>
      <c r="S1360" s="408"/>
      <c r="T1360" s="408"/>
      <c r="U1360" s="408"/>
      <c r="V1360" s="421"/>
      <c r="W1360" s="421"/>
      <c r="X1360" s="421"/>
      <c r="Y1360" s="421"/>
      <c r="Z1360" s="421"/>
      <c r="AA1360" s="421"/>
      <c r="AB1360" s="421"/>
      <c r="AC1360" s="421"/>
      <c r="AD1360" s="421"/>
      <c r="AE1360" s="421"/>
      <c r="AF1360" s="421"/>
      <c r="AG1360" s="421"/>
      <c r="AH1360" s="421"/>
      <c r="AI1360" s="421"/>
      <c r="AJ1360" s="421"/>
      <c r="AK1360" s="421"/>
      <c r="AL1360" s="421"/>
    </row>
    <row r="1361" spans="1:38">
      <c r="A1361" s="3">
        <v>6106</v>
      </c>
      <c r="B1361" s="83">
        <f t="array" ref="B1361">SUM(--(FREQUENCY(IF(C$2:C$3080=C1361, MATCH(D$2:D$3080, D$2:D$3080, 0)), ROW(D$2:D$3080)-ROW(D$2)+1) &gt; 0))</f>
        <v>6</v>
      </c>
      <c r="C1361" s="3">
        <v>41200133</v>
      </c>
      <c r="D1361" s="6" t="s">
        <v>3099</v>
      </c>
      <c r="E1361" s="3" t="s">
        <v>1429</v>
      </c>
      <c r="F1361" s="3" t="s">
        <v>1476</v>
      </c>
      <c r="G1361" s="68" t="str">
        <f t="shared" ref="G1361:G1392" si="315">IF(OR(ISNUMBER(SEARCH("DUAL",F1361)), ISNUMBER(SEARCH("IVAS",F1361))), "DUAL", "SINGLE")</f>
        <v>DUAL</v>
      </c>
      <c r="H1361" s="197">
        <f t="shared" si="313"/>
        <v>42</v>
      </c>
      <c r="I1361" s="197">
        <v>10</v>
      </c>
      <c r="J1361" s="197">
        <v>16</v>
      </c>
      <c r="K1361" s="186">
        <f t="shared" si="314"/>
        <v>45946</v>
      </c>
      <c r="L1361" s="3" t="s">
        <v>2395</v>
      </c>
      <c r="M1361" s="3" t="s">
        <v>1468</v>
      </c>
      <c r="N1361" s="408" t="str">
        <f t="shared" si="298"/>
        <v/>
      </c>
      <c r="O1361" s="408"/>
      <c r="P1361" s="408"/>
      <c r="Q1361" s="408"/>
      <c r="R1361" s="408"/>
      <c r="S1361" s="408"/>
      <c r="T1361" s="408"/>
      <c r="U1361" s="408"/>
      <c r="V1361" s="421"/>
      <c r="W1361" s="421"/>
      <c r="X1361" s="421"/>
      <c r="Y1361" s="421"/>
      <c r="Z1361" s="421"/>
      <c r="AA1361" s="421"/>
      <c r="AB1361" s="421"/>
      <c r="AC1361" s="421"/>
      <c r="AD1361" s="421"/>
      <c r="AE1361" s="421"/>
      <c r="AF1361" s="421"/>
      <c r="AG1361" s="421"/>
      <c r="AH1361" s="421"/>
      <c r="AI1361" s="421"/>
      <c r="AJ1361" s="421"/>
      <c r="AK1361" s="421"/>
      <c r="AL1361" s="421"/>
    </row>
    <row r="1362" spans="1:38">
      <c r="A1362" s="3">
        <v>5886</v>
      </c>
      <c r="B1362" s="83">
        <f t="array" ref="B1362">SUM(--(FREQUENCY(IF(C$2:C$3080=C1362, MATCH(D$2:D$3080, D$2:D$3080, 0)), ROW(D$2:D$3080)-ROW(D$2)+1) &gt; 0))</f>
        <v>63</v>
      </c>
      <c r="C1362" s="3">
        <v>41200006</v>
      </c>
      <c r="D1362" s="6" t="s">
        <v>3100</v>
      </c>
      <c r="E1362" s="3" t="s">
        <v>1405</v>
      </c>
      <c r="F1362" s="3" t="s">
        <v>1477</v>
      </c>
      <c r="G1362" s="68" t="str">
        <f t="shared" si="315"/>
        <v>SINGLE</v>
      </c>
      <c r="H1362" s="197">
        <f>WEEKNUM(K1362)</f>
        <v>42</v>
      </c>
      <c r="I1362" s="197">
        <v>10</v>
      </c>
      <c r="J1362" s="197">
        <v>16</v>
      </c>
      <c r="K1362" s="186">
        <f>DATE(2025, I1362, J1362)</f>
        <v>45946</v>
      </c>
      <c r="L1362" s="3" t="s">
        <v>2395</v>
      </c>
      <c r="M1362" s="3" t="s">
        <v>1469</v>
      </c>
      <c r="N1362" s="408" t="str">
        <f t="shared" si="298"/>
        <v>NG</v>
      </c>
      <c r="O1362" s="408" t="s">
        <v>2368</v>
      </c>
      <c r="P1362" s="408" t="s">
        <v>2371</v>
      </c>
      <c r="Q1362" s="408">
        <v>11001962</v>
      </c>
      <c r="R1362" s="408" t="s">
        <v>562</v>
      </c>
      <c r="S1362" s="408" t="s">
        <v>3101</v>
      </c>
      <c r="T1362" s="408"/>
      <c r="U1362" s="408"/>
      <c r="V1362" s="421"/>
      <c r="W1362" s="421"/>
      <c r="X1362" s="421"/>
      <c r="Y1362" s="421"/>
      <c r="Z1362" s="421"/>
      <c r="AA1362" s="421"/>
      <c r="AB1362" s="421"/>
      <c r="AC1362" s="421"/>
      <c r="AD1362" s="421"/>
      <c r="AE1362" s="421"/>
      <c r="AF1362" s="421"/>
      <c r="AG1362" s="421"/>
      <c r="AH1362" s="421"/>
      <c r="AI1362" s="421"/>
      <c r="AJ1362" s="421"/>
      <c r="AK1362" s="421"/>
      <c r="AL1362" s="421"/>
    </row>
    <row r="1363" spans="1:38">
      <c r="A1363" s="3">
        <v>5792</v>
      </c>
      <c r="B1363" s="83">
        <f t="array" ref="B1363">SUM(--(FREQUENCY(IF(C$2:C$3080=C1363, MATCH(D$2:D$3080, D$2:D$3080, 0)), ROW(D$2:D$3080)-ROW(D$2)+1) &gt; 0))</f>
        <v>37</v>
      </c>
      <c r="C1363" s="3">
        <v>41200076</v>
      </c>
      <c r="D1363" s="6" t="s">
        <v>3102</v>
      </c>
      <c r="E1363" s="3" t="s">
        <v>1585</v>
      </c>
      <c r="F1363" s="3" t="s">
        <v>1476</v>
      </c>
      <c r="G1363" s="68" t="str">
        <f t="shared" si="315"/>
        <v>DUAL</v>
      </c>
      <c r="H1363" s="197">
        <f t="shared" ref="H1363" si="316">WEEKNUM(K1363)</f>
        <v>42</v>
      </c>
      <c r="I1363" s="197">
        <v>10</v>
      </c>
      <c r="J1363" s="197">
        <v>15</v>
      </c>
      <c r="K1363" s="186">
        <f t="shared" ref="K1363" si="317">DATE(2025, I1363, J1363)</f>
        <v>45945</v>
      </c>
      <c r="L1363" s="3" t="s">
        <v>2555</v>
      </c>
      <c r="M1363" s="3" t="s">
        <v>2555</v>
      </c>
      <c r="N1363" s="408" t="str">
        <f t="shared" si="298"/>
        <v/>
      </c>
      <c r="O1363" s="408"/>
      <c r="P1363" s="408"/>
      <c r="Q1363" s="408"/>
      <c r="R1363" s="408"/>
      <c r="S1363" s="408"/>
      <c r="T1363" s="408"/>
      <c r="U1363" s="408"/>
      <c r="V1363" s="421"/>
      <c r="W1363" s="421"/>
      <c r="X1363" s="421"/>
      <c r="Y1363" s="421"/>
      <c r="Z1363" s="421"/>
      <c r="AA1363" s="421"/>
      <c r="AB1363" s="421"/>
      <c r="AC1363" s="421"/>
      <c r="AD1363" s="421"/>
      <c r="AE1363" s="421"/>
      <c r="AF1363" s="421"/>
      <c r="AG1363" s="421"/>
      <c r="AH1363" s="421"/>
      <c r="AI1363" s="421"/>
      <c r="AJ1363" s="421"/>
      <c r="AK1363" s="421"/>
      <c r="AL1363" s="421"/>
    </row>
    <row r="1364" spans="1:38">
      <c r="A1364" s="3">
        <v>6098</v>
      </c>
      <c r="B1364" s="83">
        <f t="array" ref="B1364">SUM(--(FREQUENCY(IF(C$2:C$3080=C1364, MATCH(D$2:D$3080, D$2:D$3080, 0)), ROW(D$2:D$3080)-ROW(D$2)+1) &gt; 0))</f>
        <v>18</v>
      </c>
      <c r="C1364" s="3">
        <v>41200101</v>
      </c>
      <c r="D1364" s="6" t="s">
        <v>3103</v>
      </c>
      <c r="E1364" s="3" t="s">
        <v>1585</v>
      </c>
      <c r="F1364" s="3" t="s">
        <v>1476</v>
      </c>
      <c r="G1364" s="68" t="str">
        <f t="shared" si="315"/>
        <v>DUAL</v>
      </c>
      <c r="H1364" s="197">
        <f>WEEKNUM(K1364)</f>
        <v>42</v>
      </c>
      <c r="I1364" s="197">
        <v>10</v>
      </c>
      <c r="J1364" s="197">
        <v>17</v>
      </c>
      <c r="K1364" s="186">
        <f>DATE(2025, I1364, J1364)</f>
        <v>45947</v>
      </c>
      <c r="L1364" s="3" t="s">
        <v>2391</v>
      </c>
      <c r="M1364" s="3" t="s">
        <v>2392</v>
      </c>
      <c r="N1364" s="408" t="str">
        <f t="shared" si="298"/>
        <v/>
      </c>
      <c r="O1364" s="408"/>
      <c r="P1364" s="408"/>
      <c r="Q1364" s="408"/>
      <c r="R1364" s="408"/>
      <c r="S1364" s="408"/>
      <c r="T1364" s="408"/>
      <c r="U1364" s="408"/>
      <c r="V1364" s="421"/>
      <c r="W1364" s="421"/>
      <c r="X1364" s="421"/>
      <c r="Y1364" s="421"/>
      <c r="Z1364" s="421"/>
      <c r="AA1364" s="421"/>
      <c r="AB1364" s="421"/>
      <c r="AC1364" s="421"/>
      <c r="AD1364" s="421"/>
      <c r="AE1364" s="421"/>
      <c r="AF1364" s="421"/>
      <c r="AG1364" s="421"/>
      <c r="AH1364" s="421"/>
      <c r="AI1364" s="421"/>
      <c r="AJ1364" s="421"/>
      <c r="AK1364" s="421"/>
      <c r="AL1364" s="421"/>
    </row>
    <row r="1365" spans="1:38">
      <c r="A1365" s="3">
        <v>6086</v>
      </c>
      <c r="B1365" s="83">
        <f t="array" ref="B1365">SUM(--(FREQUENCY(IF(C$2:C$3080=C1365, MATCH(D$2:D$3080, D$2:D$3080, 0)), ROW(D$2:D$3080)-ROW(D$2)+1) &gt; 0))</f>
        <v>3</v>
      </c>
      <c r="C1365" s="3">
        <v>41200029</v>
      </c>
      <c r="D1365" s="6" t="s">
        <v>3104</v>
      </c>
      <c r="E1365" s="3" t="s">
        <v>1405</v>
      </c>
      <c r="F1365" s="3" t="s">
        <v>1476</v>
      </c>
      <c r="G1365" s="68" t="str">
        <f t="shared" si="315"/>
        <v>DUAL</v>
      </c>
      <c r="H1365" s="197">
        <f t="shared" ref="H1365:H1366" si="318">WEEKNUM(K1365)</f>
        <v>42</v>
      </c>
      <c r="I1365" s="197">
        <v>10</v>
      </c>
      <c r="J1365" s="197">
        <v>17</v>
      </c>
      <c r="K1365" s="186">
        <f t="shared" ref="K1365:K1366" si="319">DATE(2025, I1365, J1365)</f>
        <v>45947</v>
      </c>
      <c r="L1365" s="3" t="s">
        <v>2395</v>
      </c>
      <c r="M1365" s="3" t="s">
        <v>1468</v>
      </c>
      <c r="N1365" s="408" t="str">
        <f t="shared" si="298"/>
        <v/>
      </c>
      <c r="O1365" s="408"/>
      <c r="P1365" s="408"/>
      <c r="Q1365" s="408"/>
      <c r="R1365" s="408"/>
      <c r="S1365" s="408"/>
      <c r="T1365" s="408"/>
      <c r="U1365" s="408"/>
      <c r="V1365" s="421"/>
      <c r="W1365" s="421"/>
      <c r="X1365" s="421"/>
      <c r="Y1365" s="421"/>
      <c r="Z1365" s="421"/>
      <c r="AA1365" s="421"/>
      <c r="AB1365" s="421"/>
      <c r="AC1365" s="421"/>
      <c r="AD1365" s="421"/>
      <c r="AE1365" s="421"/>
      <c r="AF1365" s="421"/>
      <c r="AG1365" s="421"/>
      <c r="AH1365" s="421"/>
      <c r="AI1365" s="421"/>
      <c r="AJ1365" s="421"/>
      <c r="AK1365" s="421"/>
      <c r="AL1365" s="421"/>
    </row>
    <row r="1366" spans="1:38">
      <c r="A1366" s="3">
        <v>6087</v>
      </c>
      <c r="B1366" s="83">
        <f t="array" ref="B1366">SUM(--(FREQUENCY(IF(C$2:C$3080=C1366, MATCH(D$2:D$3080, D$2:D$3080, 0)), ROW(D$2:D$3080)-ROW(D$2)+1) &gt; 0))</f>
        <v>6</v>
      </c>
      <c r="C1366" s="3">
        <v>41000544</v>
      </c>
      <c r="D1366" s="6" t="s">
        <v>3105</v>
      </c>
      <c r="E1366" s="3" t="s">
        <v>1405</v>
      </c>
      <c r="F1366" s="3" t="s">
        <v>1476</v>
      </c>
      <c r="G1366" s="68" t="str">
        <f t="shared" si="315"/>
        <v>DUAL</v>
      </c>
      <c r="H1366" s="197">
        <f t="shared" si="318"/>
        <v>42</v>
      </c>
      <c r="I1366" s="197">
        <v>10</v>
      </c>
      <c r="J1366" s="197">
        <v>17</v>
      </c>
      <c r="K1366" s="186">
        <f t="shared" si="319"/>
        <v>45947</v>
      </c>
      <c r="L1366" s="3" t="s">
        <v>2395</v>
      </c>
      <c r="M1366" s="3" t="s">
        <v>1468</v>
      </c>
      <c r="N1366" s="408" t="str">
        <f t="shared" si="298"/>
        <v>NG</v>
      </c>
      <c r="O1366" s="408" t="s">
        <v>2368</v>
      </c>
      <c r="P1366" s="408" t="s">
        <v>1385</v>
      </c>
      <c r="Q1366" s="408"/>
      <c r="R1366" s="408"/>
      <c r="S1366" s="408" t="s">
        <v>3106</v>
      </c>
      <c r="T1366" s="408"/>
      <c r="U1366" s="408"/>
      <c r="V1366" s="421"/>
      <c r="W1366" s="421"/>
      <c r="X1366" s="421"/>
      <c r="Y1366" s="421"/>
      <c r="Z1366" s="421"/>
      <c r="AA1366" s="421"/>
      <c r="AB1366" s="421"/>
      <c r="AC1366" s="421"/>
      <c r="AD1366" s="421"/>
      <c r="AE1366" s="421"/>
      <c r="AF1366" s="421"/>
      <c r="AG1366" s="421"/>
      <c r="AH1366" s="421"/>
      <c r="AI1366" s="421"/>
      <c r="AJ1366" s="421"/>
      <c r="AK1366" s="421"/>
      <c r="AL1366" s="421"/>
    </row>
    <row r="1367" spans="1:38">
      <c r="A1367" s="3">
        <v>6087</v>
      </c>
      <c r="B1367" s="83">
        <f t="array" ref="B1367">SUM(--(FREQUENCY(IF(C$2:C$3080=C1367, MATCH(D$2:D$3080, D$2:D$3080, 0)), ROW(D$2:D$3080)-ROW(D$2)+1) &gt; 0))</f>
        <v>6</v>
      </c>
      <c r="C1367" s="3">
        <v>41000544</v>
      </c>
      <c r="D1367" s="6" t="s">
        <v>3105</v>
      </c>
      <c r="E1367" s="3" t="s">
        <v>1405</v>
      </c>
      <c r="F1367" s="3" t="s">
        <v>1476</v>
      </c>
      <c r="G1367" s="68" t="str">
        <f t="shared" si="315"/>
        <v>DUAL</v>
      </c>
      <c r="H1367" s="197">
        <f t="shared" ref="H1367" si="320">WEEKNUM(K1367)</f>
        <v>42</v>
      </c>
      <c r="I1367" s="197">
        <v>10</v>
      </c>
      <c r="J1367" s="197">
        <v>17</v>
      </c>
      <c r="K1367" s="186">
        <f t="shared" ref="K1367" si="321">DATE(2025, I1367, J1367)</f>
        <v>45947</v>
      </c>
      <c r="L1367" s="3" t="s">
        <v>2395</v>
      </c>
      <c r="M1367" s="3" t="s">
        <v>1468</v>
      </c>
      <c r="N1367" s="408" t="str">
        <f t="shared" ref="N1367" si="322">IF(O1367&lt;&gt;"", "NG", "")</f>
        <v>NG</v>
      </c>
      <c r="O1367" s="408" t="s">
        <v>2368</v>
      </c>
      <c r="P1367" s="408" t="s">
        <v>2563</v>
      </c>
      <c r="Q1367" s="408">
        <v>11100927</v>
      </c>
      <c r="R1367" s="408" t="s">
        <v>2862</v>
      </c>
      <c r="S1367" s="408" t="s">
        <v>3107</v>
      </c>
      <c r="T1367" s="408"/>
      <c r="U1367" s="408"/>
      <c r="V1367" s="421"/>
      <c r="W1367" s="421"/>
      <c r="X1367" s="421"/>
      <c r="Y1367" s="421"/>
      <c r="Z1367" s="421"/>
      <c r="AA1367" s="421"/>
      <c r="AB1367" s="421"/>
      <c r="AC1367" s="421"/>
      <c r="AD1367" s="421"/>
      <c r="AE1367" s="421"/>
      <c r="AF1367" s="421"/>
      <c r="AG1367" s="421"/>
      <c r="AH1367" s="421"/>
      <c r="AI1367" s="421"/>
      <c r="AJ1367" s="421"/>
      <c r="AK1367" s="421"/>
      <c r="AL1367" s="421"/>
    </row>
    <row r="1368" spans="1:38">
      <c r="A1368" s="3">
        <v>6087</v>
      </c>
      <c r="B1368" s="83">
        <f t="array" ref="B1368">SUM(--(FREQUENCY(IF(C$2:C$3080=C1368, MATCH(D$2:D$3080, D$2:D$3080, 0)), ROW(D$2:D$3080)-ROW(D$2)+1) &gt; 0))</f>
        <v>6</v>
      </c>
      <c r="C1368" s="3">
        <v>41000544</v>
      </c>
      <c r="D1368" s="6" t="s">
        <v>3105</v>
      </c>
      <c r="E1368" s="3" t="s">
        <v>1405</v>
      </c>
      <c r="F1368" s="3" t="s">
        <v>1476</v>
      </c>
      <c r="G1368" s="68" t="str">
        <f t="shared" si="315"/>
        <v>DUAL</v>
      </c>
      <c r="H1368" s="197">
        <f t="shared" ref="H1368" si="323">WEEKNUM(K1368)</f>
        <v>42</v>
      </c>
      <c r="I1368" s="197">
        <v>10</v>
      </c>
      <c r="J1368" s="197">
        <v>17</v>
      </c>
      <c r="K1368" s="186">
        <f t="shared" ref="K1368" si="324">DATE(2025, I1368, J1368)</f>
        <v>45947</v>
      </c>
      <c r="L1368" s="3" t="s">
        <v>2395</v>
      </c>
      <c r="M1368" s="3" t="s">
        <v>1468</v>
      </c>
      <c r="N1368" s="408" t="str">
        <f t="shared" ref="N1368" si="325">IF(O1368&lt;&gt;"", "NG", "")</f>
        <v>NG</v>
      </c>
      <c r="O1368" s="408" t="s">
        <v>2368</v>
      </c>
      <c r="P1368" s="408" t="s">
        <v>2976</v>
      </c>
      <c r="Q1368" s="408">
        <v>11001895</v>
      </c>
      <c r="R1368" s="408" t="s">
        <v>2441</v>
      </c>
      <c r="S1368" s="408" t="s">
        <v>3108</v>
      </c>
      <c r="T1368" s="408"/>
      <c r="U1368" s="408"/>
      <c r="V1368" s="421"/>
      <c r="W1368" s="421"/>
      <c r="X1368" s="421"/>
      <c r="Y1368" s="421"/>
      <c r="Z1368" s="421"/>
      <c r="AA1368" s="421"/>
      <c r="AB1368" s="421"/>
      <c r="AC1368" s="421"/>
      <c r="AD1368" s="421"/>
      <c r="AE1368" s="421"/>
      <c r="AF1368" s="421"/>
      <c r="AG1368" s="421"/>
      <c r="AH1368" s="421"/>
      <c r="AI1368" s="421"/>
      <c r="AJ1368" s="421"/>
      <c r="AK1368" s="421"/>
      <c r="AL1368" s="421"/>
    </row>
    <row r="1369" spans="1:38">
      <c r="A1369" s="3">
        <v>6035</v>
      </c>
      <c r="B1369" s="83">
        <f t="array" ref="B1369">SUM(--(FREQUENCY(IF(C$2:C$3080=C1369, MATCH(D$2:D$3080, D$2:D$3080, 0)), ROW(D$2:D$3080)-ROW(D$2)+1) &gt; 0))</f>
        <v>10</v>
      </c>
      <c r="C1369" s="3">
        <v>41100286</v>
      </c>
      <c r="D1369" s="6" t="s">
        <v>3109</v>
      </c>
      <c r="E1369" s="3" t="s">
        <v>1424</v>
      </c>
      <c r="F1369" s="3" t="s">
        <v>1476</v>
      </c>
      <c r="G1369" s="68" t="str">
        <f t="shared" si="315"/>
        <v>DUAL</v>
      </c>
      <c r="H1369" s="197">
        <f t="shared" ref="H1369:H1372" si="326">WEEKNUM(K1369)</f>
        <v>43</v>
      </c>
      <c r="I1369" s="197">
        <v>10</v>
      </c>
      <c r="J1369" s="197">
        <v>20</v>
      </c>
      <c r="K1369" s="186">
        <f t="shared" ref="K1369:K1372" si="327">DATE(2025, I1369, J1369)</f>
        <v>45950</v>
      </c>
      <c r="L1369" s="3" t="s">
        <v>2395</v>
      </c>
      <c r="M1369" s="3" t="s">
        <v>2392</v>
      </c>
      <c r="N1369" s="408" t="str">
        <f t="shared" si="298"/>
        <v/>
      </c>
      <c r="O1369" s="408"/>
      <c r="P1369" s="408"/>
      <c r="Q1369" s="408"/>
      <c r="R1369" s="408"/>
      <c r="S1369" s="408"/>
      <c r="T1369" s="408"/>
      <c r="U1369" s="408"/>
      <c r="V1369" s="421"/>
      <c r="W1369" s="421"/>
      <c r="X1369" s="421"/>
      <c r="Y1369" s="421"/>
      <c r="Z1369" s="421"/>
      <c r="AA1369" s="421"/>
      <c r="AB1369" s="421"/>
      <c r="AC1369" s="421"/>
      <c r="AD1369" s="421"/>
      <c r="AE1369" s="421"/>
      <c r="AF1369" s="421"/>
      <c r="AG1369" s="421"/>
      <c r="AH1369" s="421"/>
      <c r="AI1369" s="421"/>
      <c r="AJ1369" s="421"/>
      <c r="AK1369" s="421"/>
      <c r="AL1369" s="421"/>
    </row>
    <row r="1370" spans="1:38">
      <c r="A1370" s="3">
        <v>5886</v>
      </c>
      <c r="B1370" s="83">
        <f t="array" ref="B1370">SUM(--(FREQUENCY(IF(C$2:C$3080=C1370, MATCH(D$2:D$3080, D$2:D$3080, 0)), ROW(D$2:D$3080)-ROW(D$2)+1) &gt; 0))</f>
        <v>63</v>
      </c>
      <c r="C1370" s="3">
        <v>41200006</v>
      </c>
      <c r="D1370" s="6" t="s">
        <v>3110</v>
      </c>
      <c r="E1370" s="3" t="s">
        <v>1405</v>
      </c>
      <c r="F1370" s="3" t="s">
        <v>1477</v>
      </c>
      <c r="G1370" s="68" t="str">
        <f t="shared" si="315"/>
        <v>SINGLE</v>
      </c>
      <c r="H1370" s="197">
        <f t="shared" si="326"/>
        <v>43</v>
      </c>
      <c r="I1370" s="197">
        <v>10</v>
      </c>
      <c r="J1370" s="197">
        <v>20</v>
      </c>
      <c r="K1370" s="186">
        <f t="shared" si="327"/>
        <v>45950</v>
      </c>
      <c r="L1370" s="3" t="s">
        <v>2391</v>
      </c>
      <c r="M1370" s="3" t="s">
        <v>1468</v>
      </c>
      <c r="N1370" s="408" t="str">
        <f t="shared" si="298"/>
        <v/>
      </c>
      <c r="O1370" s="408"/>
      <c r="P1370" s="408"/>
      <c r="Q1370" s="408"/>
      <c r="R1370" s="408"/>
      <c r="S1370" s="408"/>
      <c r="T1370" s="408"/>
      <c r="U1370" s="408"/>
      <c r="V1370" s="421"/>
      <c r="W1370" s="421"/>
      <c r="X1370" s="421"/>
      <c r="Y1370" s="421"/>
      <c r="Z1370" s="421"/>
      <c r="AA1370" s="421"/>
      <c r="AB1370" s="421"/>
      <c r="AC1370" s="421"/>
      <c r="AD1370" s="421"/>
      <c r="AE1370" s="421"/>
      <c r="AF1370" s="421"/>
      <c r="AG1370" s="421"/>
      <c r="AH1370" s="421"/>
      <c r="AI1370" s="421"/>
      <c r="AJ1370" s="421"/>
      <c r="AK1370" s="421"/>
      <c r="AL1370" s="421"/>
    </row>
    <row r="1371" spans="1:38">
      <c r="A1371" s="3">
        <v>5886</v>
      </c>
      <c r="B1371" s="83">
        <f t="array" ref="B1371">SUM(--(FREQUENCY(IF(C$2:C$3080=C1371, MATCH(D$2:D$3080, D$2:D$3080, 0)), ROW(D$2:D$3080)-ROW(D$2)+1) &gt; 0))</f>
        <v>63</v>
      </c>
      <c r="C1371" s="3">
        <v>41200006</v>
      </c>
      <c r="D1371" s="6" t="s">
        <v>3111</v>
      </c>
      <c r="E1371" s="3" t="s">
        <v>1405</v>
      </c>
      <c r="F1371" s="3" t="s">
        <v>1477</v>
      </c>
      <c r="G1371" s="68" t="str">
        <f t="shared" si="315"/>
        <v>SINGLE</v>
      </c>
      <c r="H1371" s="197">
        <f t="shared" si="326"/>
        <v>43</v>
      </c>
      <c r="I1371" s="197">
        <v>10</v>
      </c>
      <c r="J1371" s="197">
        <v>20</v>
      </c>
      <c r="K1371" s="186">
        <f t="shared" si="327"/>
        <v>45950</v>
      </c>
      <c r="L1371" s="3" t="s">
        <v>2391</v>
      </c>
      <c r="M1371" s="3" t="s">
        <v>1468</v>
      </c>
      <c r="N1371" s="408"/>
      <c r="O1371" s="408"/>
      <c r="P1371" s="408"/>
      <c r="Q1371" s="408"/>
      <c r="R1371" s="408"/>
      <c r="S1371" s="408"/>
      <c r="T1371" s="408"/>
      <c r="U1371" s="408"/>
      <c r="V1371" s="421"/>
      <c r="W1371" s="421"/>
      <c r="X1371" s="421"/>
      <c r="Y1371" s="421"/>
      <c r="Z1371" s="421"/>
      <c r="AA1371" s="421"/>
      <c r="AB1371" s="421"/>
      <c r="AC1371" s="421"/>
      <c r="AD1371" s="421"/>
      <c r="AE1371" s="421"/>
      <c r="AF1371" s="421"/>
      <c r="AG1371" s="421"/>
      <c r="AH1371" s="421"/>
      <c r="AI1371" s="421"/>
      <c r="AJ1371" s="421"/>
      <c r="AK1371" s="421"/>
      <c r="AL1371" s="421"/>
    </row>
    <row r="1372" spans="1:38">
      <c r="A1372" s="3">
        <v>6094</v>
      </c>
      <c r="B1372" s="83">
        <f t="array" ref="B1372">SUM(--(FREQUENCY(IF(C$2:C$3080=C1372, MATCH(D$2:D$3080, D$2:D$3080, 0)), ROW(D$2:D$3080)-ROW(D$2)+1) &gt; 0))</f>
        <v>1</v>
      </c>
      <c r="C1372" s="3">
        <v>41100478</v>
      </c>
      <c r="D1372" s="6" t="s">
        <v>3112</v>
      </c>
      <c r="E1372" s="3" t="s">
        <v>1585</v>
      </c>
      <c r="F1372" s="3" t="s">
        <v>1476</v>
      </c>
      <c r="G1372" s="68" t="str">
        <f t="shared" si="315"/>
        <v>DUAL</v>
      </c>
      <c r="H1372" s="197">
        <f t="shared" si="326"/>
        <v>43</v>
      </c>
      <c r="I1372" s="197">
        <v>10</v>
      </c>
      <c r="J1372" s="197">
        <v>20</v>
      </c>
      <c r="K1372" s="186">
        <f t="shared" si="327"/>
        <v>45950</v>
      </c>
      <c r="L1372" s="3" t="s">
        <v>2391</v>
      </c>
      <c r="M1372" s="3" t="s">
        <v>1468</v>
      </c>
      <c r="N1372" s="408" t="str">
        <f t="shared" si="298"/>
        <v/>
      </c>
      <c r="O1372" s="408"/>
      <c r="P1372" s="408"/>
      <c r="Q1372" s="408"/>
      <c r="R1372" s="408"/>
      <c r="S1372" s="408"/>
      <c r="T1372" s="408"/>
      <c r="U1372" s="408"/>
      <c r="V1372" s="421"/>
      <c r="W1372" s="421"/>
      <c r="X1372" s="421"/>
      <c r="Y1372" s="421"/>
      <c r="Z1372" s="421"/>
      <c r="AA1372" s="421"/>
      <c r="AB1372" s="421"/>
      <c r="AC1372" s="421"/>
      <c r="AD1372" s="421"/>
      <c r="AE1372" s="421"/>
      <c r="AF1372" s="421"/>
      <c r="AG1372" s="421"/>
      <c r="AH1372" s="421"/>
      <c r="AI1372" s="421"/>
      <c r="AJ1372" s="421"/>
      <c r="AK1372" s="421"/>
      <c r="AL1372" s="421"/>
    </row>
    <row r="1373" spans="1:38">
      <c r="A1373" s="3">
        <v>6062</v>
      </c>
      <c r="B1373" s="83">
        <f t="array" ref="B1373">SUM(--(FREQUENCY(IF(C$2:C$3080=C1373, MATCH(D$2:D$3080, D$2:D$3080, 0)), ROW(D$2:D$3080)-ROW(D$2)+1) &gt; 0))</f>
        <v>24</v>
      </c>
      <c r="C1373" s="3">
        <v>41200122</v>
      </c>
      <c r="D1373" s="6" t="s">
        <v>3113</v>
      </c>
      <c r="E1373" s="3" t="s">
        <v>1585</v>
      </c>
      <c r="F1373" s="3" t="s">
        <v>1476</v>
      </c>
      <c r="G1373" s="68" t="str">
        <f t="shared" si="315"/>
        <v>DUAL</v>
      </c>
      <c r="H1373" s="197">
        <f>WEEKNUM(K1373)</f>
        <v>43</v>
      </c>
      <c r="I1373" s="197">
        <v>10</v>
      </c>
      <c r="J1373" s="197">
        <v>20</v>
      </c>
      <c r="K1373" s="186">
        <f>DATE(2025, I1373, J1373)</f>
        <v>45950</v>
      </c>
      <c r="L1373" s="3" t="s">
        <v>2391</v>
      </c>
      <c r="M1373" s="3" t="s">
        <v>1468</v>
      </c>
      <c r="N1373" s="408" t="str">
        <f t="shared" si="298"/>
        <v/>
      </c>
      <c r="O1373" s="408"/>
      <c r="P1373" s="408"/>
      <c r="Q1373" s="408"/>
      <c r="R1373" s="408"/>
      <c r="S1373" s="408"/>
      <c r="T1373" s="408"/>
      <c r="U1373" s="408"/>
      <c r="V1373" s="421"/>
      <c r="W1373" s="421"/>
      <c r="X1373" s="421"/>
      <c r="Y1373" s="421"/>
      <c r="Z1373" s="421"/>
      <c r="AA1373" s="421"/>
      <c r="AB1373" s="421"/>
      <c r="AC1373" s="421"/>
      <c r="AD1373" s="421"/>
      <c r="AE1373" s="421"/>
      <c r="AF1373" s="421"/>
      <c r="AG1373" s="421"/>
      <c r="AH1373" s="421"/>
      <c r="AI1373" s="421"/>
      <c r="AJ1373" s="421"/>
      <c r="AK1373" s="421"/>
      <c r="AL1373" s="421"/>
    </row>
    <row r="1374" spans="1:38">
      <c r="A1374" s="3">
        <v>5935</v>
      </c>
      <c r="B1374" s="83">
        <f t="array" ref="B1374">SUM(--(FREQUENCY(IF(C$2:C$3080=C1374, MATCH(D$2:D$3080, D$2:D$3080, 0)), ROW(D$2:D$3080)-ROW(D$2)+1) &gt; 0))</f>
        <v>24</v>
      </c>
      <c r="C1374" s="3">
        <v>41200122</v>
      </c>
      <c r="D1374" s="6" t="s">
        <v>3114</v>
      </c>
      <c r="E1374" s="3" t="s">
        <v>1585</v>
      </c>
      <c r="F1374" s="3" t="s">
        <v>1476</v>
      </c>
      <c r="G1374" s="68" t="str">
        <f t="shared" si="315"/>
        <v>DUAL</v>
      </c>
      <c r="H1374" s="197">
        <f>WEEKNUM(K1374)</f>
        <v>43</v>
      </c>
      <c r="I1374" s="197">
        <v>10</v>
      </c>
      <c r="J1374" s="197">
        <v>20</v>
      </c>
      <c r="K1374" s="186">
        <f>DATE(2025, I1374, J1374)</f>
        <v>45950</v>
      </c>
      <c r="L1374" s="3" t="s">
        <v>2555</v>
      </c>
      <c r="M1374" s="3" t="s">
        <v>2555</v>
      </c>
      <c r="N1374" s="408" t="str">
        <f t="shared" si="298"/>
        <v/>
      </c>
      <c r="O1374" s="408"/>
      <c r="P1374" s="408"/>
      <c r="Q1374" s="408"/>
      <c r="R1374" s="408"/>
      <c r="S1374" s="408"/>
      <c r="T1374" s="408"/>
      <c r="U1374" s="408"/>
      <c r="V1374" s="421"/>
      <c r="W1374" s="421"/>
      <c r="X1374" s="421"/>
      <c r="Y1374" s="421"/>
      <c r="Z1374" s="421"/>
      <c r="AA1374" s="421"/>
      <c r="AB1374" s="421"/>
      <c r="AC1374" s="421"/>
      <c r="AD1374" s="421"/>
      <c r="AE1374" s="421"/>
      <c r="AF1374" s="421"/>
      <c r="AG1374" s="421"/>
      <c r="AH1374" s="421"/>
      <c r="AI1374" s="421"/>
      <c r="AJ1374" s="421"/>
      <c r="AK1374" s="421"/>
      <c r="AL1374" s="421"/>
    </row>
    <row r="1375" spans="1:38">
      <c r="A1375" s="3">
        <v>6063</v>
      </c>
      <c r="B1375" s="83">
        <f t="array" ref="B1375">SUM(--(FREQUENCY(IF(C$2:C$3081=C1375, MATCH(D$2:D$3081, D$2:D$3081, 0)), ROW(D$2:D$3081)-ROW(D$2)+1) &gt; 0))</f>
        <v>6</v>
      </c>
      <c r="C1375" s="3">
        <v>41200087</v>
      </c>
      <c r="D1375" s="6" t="s">
        <v>3115</v>
      </c>
      <c r="E1375" s="3" t="s">
        <v>1585</v>
      </c>
      <c r="F1375" s="3" t="s">
        <v>1476</v>
      </c>
      <c r="G1375" s="68" t="str">
        <f t="shared" si="315"/>
        <v>DUAL</v>
      </c>
      <c r="H1375" s="197">
        <f t="shared" ref="H1375:H1379" si="328">WEEKNUM(K1375)</f>
        <v>43</v>
      </c>
      <c r="I1375" s="197">
        <v>10</v>
      </c>
      <c r="J1375" s="197">
        <v>21</v>
      </c>
      <c r="K1375" s="186">
        <f t="shared" ref="K1375:K1379" si="329">DATE(2025, I1375, J1375)</f>
        <v>45951</v>
      </c>
      <c r="L1375" s="3" t="s">
        <v>2395</v>
      </c>
      <c r="M1375" s="3" t="s">
        <v>2392</v>
      </c>
      <c r="N1375" s="408" t="str">
        <f t="shared" si="298"/>
        <v>NG</v>
      </c>
      <c r="O1375" s="408" t="s">
        <v>2368</v>
      </c>
      <c r="P1375" s="408" t="s">
        <v>1385</v>
      </c>
      <c r="Q1375" s="408">
        <v>11002195</v>
      </c>
      <c r="R1375" s="408" t="s">
        <v>438</v>
      </c>
      <c r="S1375" s="408" t="s">
        <v>3116</v>
      </c>
      <c r="T1375" s="408"/>
      <c r="U1375" s="408"/>
      <c r="V1375" s="421"/>
      <c r="W1375" s="421"/>
      <c r="X1375" s="421"/>
      <c r="Y1375" s="421"/>
      <c r="Z1375" s="421"/>
      <c r="AA1375" s="421"/>
      <c r="AB1375" s="421"/>
      <c r="AC1375" s="421"/>
      <c r="AD1375" s="421"/>
      <c r="AE1375" s="421"/>
      <c r="AF1375" s="421"/>
      <c r="AG1375" s="421"/>
      <c r="AH1375" s="421"/>
      <c r="AI1375" s="421"/>
      <c r="AJ1375" s="421"/>
      <c r="AK1375" s="421"/>
      <c r="AL1375" s="421"/>
    </row>
    <row r="1376" spans="1:38">
      <c r="A1376" s="3">
        <v>6098</v>
      </c>
      <c r="B1376" s="83">
        <f t="array" ref="B1376">SUM(--(FREQUENCY(IF(C$2:C$3081=C1376, MATCH(D$2:D$3081, D$2:D$3081, 0)), ROW(D$2:D$3081)-ROW(D$2)+1) &gt; 0))</f>
        <v>18</v>
      </c>
      <c r="C1376" s="3">
        <v>41200101</v>
      </c>
      <c r="D1376" s="6" t="s">
        <v>3117</v>
      </c>
      <c r="E1376" s="3" t="s">
        <v>1585</v>
      </c>
      <c r="F1376" s="3" t="s">
        <v>1476</v>
      </c>
      <c r="G1376" s="68" t="str">
        <f t="shared" si="315"/>
        <v>DUAL</v>
      </c>
      <c r="H1376" s="197">
        <f t="shared" si="328"/>
        <v>43</v>
      </c>
      <c r="I1376" s="197">
        <v>10</v>
      </c>
      <c r="J1376" s="197">
        <v>21</v>
      </c>
      <c r="K1376" s="186">
        <f t="shared" si="329"/>
        <v>45951</v>
      </c>
      <c r="L1376" s="3" t="s">
        <v>2391</v>
      </c>
      <c r="M1376" s="3" t="s">
        <v>2392</v>
      </c>
      <c r="N1376" s="408" t="str">
        <f t="shared" si="298"/>
        <v/>
      </c>
      <c r="O1376" s="408"/>
      <c r="P1376" s="408"/>
      <c r="Q1376" s="408"/>
      <c r="R1376" s="408"/>
      <c r="S1376" s="408"/>
      <c r="T1376" s="408"/>
      <c r="U1376" s="408"/>
      <c r="V1376" s="421"/>
      <c r="W1376" s="421"/>
      <c r="X1376" s="421"/>
      <c r="Y1376" s="421"/>
      <c r="Z1376" s="421"/>
      <c r="AA1376" s="421"/>
      <c r="AB1376" s="421"/>
      <c r="AC1376" s="421"/>
      <c r="AD1376" s="421"/>
      <c r="AE1376" s="421"/>
      <c r="AF1376" s="421"/>
      <c r="AG1376" s="421"/>
      <c r="AH1376" s="421"/>
      <c r="AI1376" s="421"/>
      <c r="AJ1376" s="421"/>
      <c r="AK1376" s="421"/>
      <c r="AL1376" s="421"/>
    </row>
    <row r="1377" spans="1:38">
      <c r="A1377" s="3">
        <v>6074</v>
      </c>
      <c r="B1377" s="83">
        <f t="array" ref="B1377">SUM(--(FREQUENCY(IF(C$2:C$3081=C1377, MATCH(D$2:D$3081, D$2:D$3081, 0)), ROW(D$2:D$3081)-ROW(D$2)+1) &gt; 0))</f>
        <v>6</v>
      </c>
      <c r="C1377" s="3">
        <v>41000544</v>
      </c>
      <c r="D1377" s="6" t="s">
        <v>3118</v>
      </c>
      <c r="E1377" s="3" t="s">
        <v>1405</v>
      </c>
      <c r="F1377" s="3" t="s">
        <v>1476</v>
      </c>
      <c r="G1377" s="68" t="str">
        <f t="shared" si="315"/>
        <v>DUAL</v>
      </c>
      <c r="H1377" s="197">
        <f t="shared" si="328"/>
        <v>43</v>
      </c>
      <c r="I1377" s="197">
        <v>10</v>
      </c>
      <c r="J1377" s="197">
        <v>21</v>
      </c>
      <c r="K1377" s="186">
        <f t="shared" si="329"/>
        <v>45951</v>
      </c>
      <c r="L1377" s="3" t="s">
        <v>2391</v>
      </c>
      <c r="M1377" s="3" t="s">
        <v>1468</v>
      </c>
      <c r="N1377" s="408" t="str">
        <f t="shared" si="298"/>
        <v/>
      </c>
      <c r="O1377" s="408"/>
      <c r="P1377" s="408"/>
      <c r="Q1377" s="408"/>
      <c r="R1377" s="408"/>
      <c r="S1377" s="408"/>
      <c r="T1377" s="408"/>
      <c r="U1377" s="408"/>
      <c r="V1377" s="421"/>
      <c r="W1377" s="421"/>
      <c r="X1377" s="421"/>
      <c r="Y1377" s="421"/>
      <c r="Z1377" s="421"/>
      <c r="AA1377" s="421"/>
      <c r="AB1377" s="421"/>
      <c r="AC1377" s="421"/>
      <c r="AD1377" s="421"/>
      <c r="AE1377" s="421"/>
      <c r="AF1377" s="421"/>
      <c r="AG1377" s="421"/>
      <c r="AH1377" s="421"/>
      <c r="AI1377" s="421"/>
      <c r="AJ1377" s="421"/>
      <c r="AK1377" s="421"/>
      <c r="AL1377" s="421"/>
    </row>
    <row r="1378" spans="1:38">
      <c r="A1378" s="3">
        <v>6063</v>
      </c>
      <c r="B1378" s="83">
        <f t="array" ref="B1378">SUM(--(FREQUENCY(IF(C$2:C$3081=C1378, MATCH(D$2:D$3081, D$2:D$3081, 0)), ROW(D$2:D$3081)-ROW(D$2)+1) &gt; 0))</f>
        <v>6</v>
      </c>
      <c r="C1378" s="3">
        <v>41200087</v>
      </c>
      <c r="D1378" s="6" t="s">
        <v>3119</v>
      </c>
      <c r="E1378" s="3" t="s">
        <v>1585</v>
      </c>
      <c r="F1378" s="3" t="s">
        <v>1476</v>
      </c>
      <c r="G1378" s="68" t="str">
        <f t="shared" si="315"/>
        <v>DUAL</v>
      </c>
      <c r="H1378" s="197">
        <f t="shared" si="328"/>
        <v>43</v>
      </c>
      <c r="I1378" s="197">
        <v>10</v>
      </c>
      <c r="J1378" s="197">
        <v>21</v>
      </c>
      <c r="K1378" s="186">
        <f t="shared" si="329"/>
        <v>45951</v>
      </c>
      <c r="L1378" s="3" t="s">
        <v>2395</v>
      </c>
      <c r="M1378" s="3" t="s">
        <v>1469</v>
      </c>
      <c r="N1378" s="408" t="str">
        <f t="shared" si="298"/>
        <v/>
      </c>
      <c r="O1378" s="408"/>
      <c r="P1378" s="408"/>
      <c r="Q1378" s="408"/>
      <c r="R1378" s="408"/>
      <c r="S1378" s="408"/>
      <c r="T1378" s="408"/>
      <c r="U1378" s="408"/>
      <c r="V1378" s="421"/>
      <c r="W1378" s="421"/>
      <c r="X1378" s="421"/>
      <c r="Y1378" s="421"/>
      <c r="Z1378" s="421"/>
      <c r="AA1378" s="421"/>
      <c r="AB1378" s="421"/>
      <c r="AC1378" s="421"/>
      <c r="AD1378" s="421"/>
      <c r="AE1378" s="421"/>
      <c r="AF1378" s="421"/>
      <c r="AG1378" s="421"/>
      <c r="AH1378" s="421"/>
      <c r="AI1378" s="421"/>
      <c r="AJ1378" s="421"/>
      <c r="AK1378" s="421"/>
      <c r="AL1378" s="421"/>
    </row>
    <row r="1379" spans="1:38">
      <c r="A1379" s="3">
        <v>6061</v>
      </c>
      <c r="B1379" s="83">
        <f t="array" ref="B1379">SUM(--(FREQUENCY(IF(C$2:C$3081=C1379, MATCH(D$2:D$3081, D$2:D$3081, 0)), ROW(D$2:D$3081)-ROW(D$2)+1) &gt; 0))</f>
        <v>18</v>
      </c>
      <c r="C1379" s="3">
        <v>41200101</v>
      </c>
      <c r="D1379" s="6" t="s">
        <v>3120</v>
      </c>
      <c r="E1379" s="3" t="s">
        <v>1585</v>
      </c>
      <c r="F1379" s="3" t="s">
        <v>1476</v>
      </c>
      <c r="G1379" s="68" t="str">
        <f t="shared" si="315"/>
        <v>DUAL</v>
      </c>
      <c r="H1379" s="197">
        <f t="shared" si="328"/>
        <v>43</v>
      </c>
      <c r="I1379" s="197">
        <v>10</v>
      </c>
      <c r="J1379" s="197">
        <v>21</v>
      </c>
      <c r="K1379" s="186">
        <f t="shared" si="329"/>
        <v>45951</v>
      </c>
      <c r="L1379" s="3" t="s">
        <v>2395</v>
      </c>
      <c r="M1379" s="3" t="s">
        <v>2392</v>
      </c>
      <c r="N1379" s="408" t="str">
        <f t="shared" si="298"/>
        <v>NG</v>
      </c>
      <c r="O1379" s="408" t="s">
        <v>2368</v>
      </c>
      <c r="P1379" s="408" t="s">
        <v>2376</v>
      </c>
      <c r="Q1379" s="408">
        <v>11005506</v>
      </c>
      <c r="R1379" s="408" t="s">
        <v>370</v>
      </c>
      <c r="S1379" s="408" t="s">
        <v>3121</v>
      </c>
      <c r="T1379" s="408"/>
      <c r="U1379" s="408"/>
      <c r="V1379" s="421"/>
      <c r="W1379" s="421"/>
      <c r="X1379" s="421"/>
      <c r="Y1379" s="421"/>
      <c r="Z1379" s="421"/>
      <c r="AA1379" s="421"/>
      <c r="AB1379" s="421"/>
      <c r="AC1379" s="421"/>
      <c r="AD1379" s="421"/>
      <c r="AE1379" s="421"/>
      <c r="AF1379" s="421"/>
      <c r="AG1379" s="421"/>
      <c r="AH1379" s="421"/>
      <c r="AI1379" s="421"/>
      <c r="AJ1379" s="421"/>
      <c r="AK1379" s="421"/>
      <c r="AL1379" s="421"/>
    </row>
    <row r="1380" spans="1:38">
      <c r="A1380" s="3">
        <v>6098</v>
      </c>
      <c r="B1380" s="83">
        <f t="array" ref="B1380">SUM(--(FREQUENCY(IF(C$2:C$3081=C1380, MATCH(D$2:D$3081, D$2:D$3081, 0)), ROW(D$2:D$3081)-ROW(D$2)+1) &gt; 0))</f>
        <v>18</v>
      </c>
      <c r="C1380" s="3">
        <v>41200101</v>
      </c>
      <c r="D1380" s="6" t="s">
        <v>3122</v>
      </c>
      <c r="E1380" s="3" t="s">
        <v>1585</v>
      </c>
      <c r="F1380" s="3" t="s">
        <v>1476</v>
      </c>
      <c r="G1380" s="68" t="str">
        <f t="shared" si="315"/>
        <v>DUAL</v>
      </c>
      <c r="H1380" s="197">
        <f t="shared" ref="H1380" si="330">WEEKNUM(K1380)</f>
        <v>43</v>
      </c>
      <c r="I1380" s="197">
        <v>10</v>
      </c>
      <c r="J1380" s="197">
        <v>21</v>
      </c>
      <c r="K1380" s="186">
        <f t="shared" ref="K1380" si="331">DATE(2025, I1380, J1380)</f>
        <v>45951</v>
      </c>
      <c r="L1380" s="3" t="s">
        <v>2395</v>
      </c>
      <c r="M1380" s="3" t="s">
        <v>1468</v>
      </c>
      <c r="N1380" s="408" t="str">
        <f t="shared" si="298"/>
        <v/>
      </c>
      <c r="O1380" s="408"/>
      <c r="P1380" s="408"/>
      <c r="Q1380" s="408"/>
      <c r="R1380" s="408"/>
      <c r="S1380" s="408"/>
      <c r="T1380" s="408"/>
      <c r="U1380" s="408"/>
      <c r="V1380" s="421"/>
      <c r="W1380" s="421"/>
      <c r="X1380" s="421"/>
      <c r="Y1380" s="421"/>
      <c r="Z1380" s="421"/>
      <c r="AA1380" s="421"/>
      <c r="AB1380" s="421"/>
      <c r="AC1380" s="421"/>
      <c r="AD1380" s="421"/>
      <c r="AE1380" s="421"/>
      <c r="AF1380" s="421"/>
      <c r="AG1380" s="421"/>
      <c r="AH1380" s="421"/>
      <c r="AI1380" s="421"/>
      <c r="AJ1380" s="421"/>
      <c r="AK1380" s="421"/>
      <c r="AL1380" s="421"/>
    </row>
    <row r="1381" spans="1:38">
      <c r="A1381" s="3">
        <v>5976</v>
      </c>
      <c r="B1381" s="83">
        <f t="array" ref="B1381">SUM(--(FREQUENCY(IF(C$2:C$3084=C1381, MATCH(D$2:D$3084, D$2:D$3084, 0)), ROW(D$2:D$3084)-ROW(D$2)+1) &gt; 0))</f>
        <v>6</v>
      </c>
      <c r="C1381" s="3">
        <v>41200061</v>
      </c>
      <c r="D1381" s="6" t="s">
        <v>3123</v>
      </c>
      <c r="E1381" s="3" t="s">
        <v>1405</v>
      </c>
      <c r="F1381" s="3" t="s">
        <v>1480</v>
      </c>
      <c r="G1381" s="68" t="str">
        <f t="shared" si="315"/>
        <v>DUAL</v>
      </c>
      <c r="H1381" s="197">
        <f t="shared" ref="H1381:H1390" si="332">WEEKNUM(K1381)</f>
        <v>43</v>
      </c>
      <c r="I1381" s="197">
        <v>10</v>
      </c>
      <c r="J1381" s="197">
        <v>22</v>
      </c>
      <c r="K1381" s="186">
        <f t="shared" ref="K1381:K1390" si="333">DATE(2025, I1381, J1381)</f>
        <v>45952</v>
      </c>
      <c r="L1381" s="3" t="s">
        <v>2391</v>
      </c>
      <c r="M1381" s="3" t="s">
        <v>2392</v>
      </c>
      <c r="N1381" s="408" t="str">
        <f t="shared" ref="N1381:N1441" si="334">IF(O1381&lt;&gt;"", "NG", "")</f>
        <v/>
      </c>
      <c r="O1381" s="408"/>
      <c r="P1381" s="408"/>
      <c r="Q1381" s="408"/>
      <c r="R1381" s="408"/>
      <c r="S1381" s="408"/>
      <c r="T1381" s="408"/>
      <c r="U1381" s="408"/>
      <c r="V1381" s="421"/>
      <c r="W1381" s="421"/>
      <c r="X1381" s="421"/>
      <c r="Y1381" s="421"/>
      <c r="Z1381" s="421"/>
      <c r="AA1381" s="421"/>
      <c r="AB1381" s="421"/>
      <c r="AC1381" s="421"/>
      <c r="AD1381" s="421"/>
      <c r="AE1381" s="421"/>
      <c r="AF1381" s="421"/>
      <c r="AG1381" s="421"/>
      <c r="AH1381" s="421"/>
      <c r="AI1381" s="421"/>
      <c r="AJ1381" s="421"/>
      <c r="AK1381" s="421"/>
      <c r="AL1381" s="421"/>
    </row>
    <row r="1382" spans="1:38">
      <c r="A1382" s="3">
        <v>6090</v>
      </c>
      <c r="B1382" s="83">
        <f t="array" ref="B1382">SUM(--(FREQUENCY(IF(C$2:C$3084=C1382, MATCH(D$2:D$3084, D$2:D$3084, 0)), ROW(D$2:D$3084)-ROW(D$2)+1) &gt; 0))</f>
        <v>11</v>
      </c>
      <c r="C1382" s="3">
        <v>41200129</v>
      </c>
      <c r="D1382" s="6" t="s">
        <v>3124</v>
      </c>
      <c r="E1382" s="3" t="s">
        <v>1431</v>
      </c>
      <c r="F1382" s="3" t="s">
        <v>1591</v>
      </c>
      <c r="G1382" s="68" t="str">
        <f t="shared" si="315"/>
        <v>SINGLE</v>
      </c>
      <c r="H1382" s="197">
        <f t="shared" si="332"/>
        <v>43</v>
      </c>
      <c r="I1382" s="197">
        <v>10</v>
      </c>
      <c r="J1382" s="197">
        <v>22</v>
      </c>
      <c r="K1382" s="186">
        <f t="shared" si="333"/>
        <v>45952</v>
      </c>
      <c r="L1382" s="3" t="s">
        <v>2391</v>
      </c>
      <c r="M1382" s="3" t="s">
        <v>1468</v>
      </c>
      <c r="N1382" s="408" t="str">
        <f t="shared" si="334"/>
        <v/>
      </c>
      <c r="O1382" s="408"/>
      <c r="P1382" s="408"/>
      <c r="Q1382" s="408"/>
      <c r="R1382" s="408"/>
      <c r="S1382" s="408"/>
      <c r="T1382" s="408"/>
      <c r="U1382" s="408"/>
      <c r="V1382" s="421"/>
      <c r="W1382" s="421"/>
      <c r="X1382" s="421"/>
      <c r="Y1382" s="421"/>
      <c r="Z1382" s="421"/>
      <c r="AA1382" s="421"/>
      <c r="AB1382" s="421"/>
      <c r="AC1382" s="421"/>
      <c r="AD1382" s="421"/>
      <c r="AE1382" s="421"/>
      <c r="AF1382" s="421"/>
      <c r="AG1382" s="421"/>
      <c r="AH1382" s="421"/>
      <c r="AI1382" s="421"/>
      <c r="AJ1382" s="421"/>
      <c r="AK1382" s="421"/>
      <c r="AL1382" s="421"/>
    </row>
    <row r="1383" spans="1:38">
      <c r="A1383" s="3">
        <v>6096</v>
      </c>
      <c r="B1383" s="83">
        <f t="array" ref="B1383">SUM(--(FREQUENCY(IF(C$2:C$3084=C1383, MATCH(D$2:D$3084, D$2:D$3084, 0)), ROW(D$2:D$3084)-ROW(D$2)+1) &gt; 0))</f>
        <v>37</v>
      </c>
      <c r="C1383" s="3">
        <v>41200076</v>
      </c>
      <c r="D1383" s="6" t="s">
        <v>3125</v>
      </c>
      <c r="E1383" s="3" t="s">
        <v>1585</v>
      </c>
      <c r="F1383" s="3" t="s">
        <v>1476</v>
      </c>
      <c r="G1383" s="68" t="str">
        <f t="shared" si="315"/>
        <v>DUAL</v>
      </c>
      <c r="H1383" s="197">
        <f t="shared" si="332"/>
        <v>43</v>
      </c>
      <c r="I1383" s="197">
        <v>10</v>
      </c>
      <c r="J1383" s="197">
        <v>22</v>
      </c>
      <c r="K1383" s="186">
        <f t="shared" si="333"/>
        <v>45952</v>
      </c>
      <c r="L1383" s="3" t="s">
        <v>2391</v>
      </c>
      <c r="M1383" s="3" t="s">
        <v>1468</v>
      </c>
      <c r="N1383" s="408" t="str">
        <f t="shared" si="334"/>
        <v/>
      </c>
      <c r="O1383" s="408"/>
      <c r="P1383" s="408"/>
      <c r="Q1383" s="408"/>
      <c r="R1383" s="408"/>
      <c r="S1383" s="408"/>
      <c r="T1383" s="408"/>
      <c r="U1383" s="408"/>
      <c r="V1383" s="421"/>
      <c r="W1383" s="421"/>
      <c r="X1383" s="421"/>
      <c r="Y1383" s="421"/>
      <c r="Z1383" s="421"/>
      <c r="AA1383" s="421"/>
      <c r="AB1383" s="421"/>
      <c r="AC1383" s="421"/>
      <c r="AD1383" s="421"/>
      <c r="AE1383" s="421"/>
      <c r="AF1383" s="421"/>
      <c r="AG1383" s="421"/>
      <c r="AH1383" s="421"/>
      <c r="AI1383" s="421"/>
      <c r="AJ1383" s="421"/>
      <c r="AK1383" s="421"/>
      <c r="AL1383" s="421"/>
    </row>
    <row r="1384" spans="1:38">
      <c r="A1384" s="3">
        <v>6084</v>
      </c>
      <c r="B1384" s="83">
        <f t="array" ref="B1384">SUM(--(FREQUENCY(IF(C$2:C$3084=C1384, MATCH(D$2:D$3084, D$2:D$3084, 0)), ROW(D$2:D$3084)-ROW(D$2)+1) &gt; 0))</f>
        <v>2</v>
      </c>
      <c r="C1384" s="3">
        <v>41000516</v>
      </c>
      <c r="D1384" s="6" t="s">
        <v>3126</v>
      </c>
      <c r="E1384" s="3" t="s">
        <v>1405</v>
      </c>
      <c r="F1384" s="3" t="s">
        <v>1476</v>
      </c>
      <c r="G1384" s="68" t="str">
        <f t="shared" si="315"/>
        <v>DUAL</v>
      </c>
      <c r="H1384" s="197">
        <f t="shared" si="332"/>
        <v>43</v>
      </c>
      <c r="I1384" s="197">
        <v>10</v>
      </c>
      <c r="J1384" s="197">
        <v>22</v>
      </c>
      <c r="K1384" s="186">
        <f t="shared" si="333"/>
        <v>45952</v>
      </c>
      <c r="L1384" s="3" t="s">
        <v>2395</v>
      </c>
      <c r="M1384" s="3" t="s">
        <v>1469</v>
      </c>
      <c r="N1384" s="408" t="str">
        <f t="shared" si="334"/>
        <v/>
      </c>
      <c r="O1384" s="408"/>
      <c r="P1384" s="408"/>
      <c r="Q1384" s="408"/>
      <c r="R1384" s="408"/>
      <c r="S1384" s="408"/>
      <c r="T1384" s="408"/>
      <c r="U1384" s="408"/>
      <c r="V1384" s="421"/>
      <c r="W1384" s="421"/>
      <c r="X1384" s="421"/>
      <c r="Y1384" s="421"/>
      <c r="Z1384" s="421"/>
      <c r="AA1384" s="421"/>
      <c r="AB1384" s="421"/>
      <c r="AC1384" s="421"/>
      <c r="AD1384" s="421"/>
      <c r="AE1384" s="421"/>
      <c r="AF1384" s="421"/>
      <c r="AG1384" s="421"/>
      <c r="AH1384" s="421"/>
      <c r="AI1384" s="421"/>
      <c r="AJ1384" s="421"/>
      <c r="AK1384" s="421"/>
      <c r="AL1384" s="421"/>
    </row>
    <row r="1385" spans="1:38">
      <c r="A1385" s="3">
        <v>6084</v>
      </c>
      <c r="B1385" s="83">
        <f t="array" ref="B1385">SUM(--(FREQUENCY(IF(C$2:C$3084=C1385, MATCH(D$2:D$3084, D$2:D$3084, 0)), ROW(D$2:D$3084)-ROW(D$2)+1) &gt; 0))</f>
        <v>2</v>
      </c>
      <c r="C1385" s="3">
        <v>41000516</v>
      </c>
      <c r="D1385" s="6" t="s">
        <v>3127</v>
      </c>
      <c r="E1385" s="3" t="s">
        <v>1405</v>
      </c>
      <c r="F1385" s="3" t="s">
        <v>1476</v>
      </c>
      <c r="G1385" s="68" t="str">
        <f t="shared" si="315"/>
        <v>DUAL</v>
      </c>
      <c r="H1385" s="197">
        <f t="shared" si="332"/>
        <v>43</v>
      </c>
      <c r="I1385" s="197">
        <v>10</v>
      </c>
      <c r="J1385" s="197">
        <v>22</v>
      </c>
      <c r="K1385" s="186">
        <f t="shared" si="333"/>
        <v>45952</v>
      </c>
      <c r="L1385" s="3" t="s">
        <v>2395</v>
      </c>
      <c r="M1385" s="3" t="s">
        <v>1469</v>
      </c>
      <c r="N1385" s="408" t="str">
        <f t="shared" si="334"/>
        <v/>
      </c>
      <c r="O1385" s="408"/>
      <c r="P1385" s="408"/>
      <c r="Q1385" s="408"/>
      <c r="R1385" s="408"/>
      <c r="S1385" s="408"/>
      <c r="T1385" s="408"/>
      <c r="U1385" s="408"/>
      <c r="V1385" s="421"/>
      <c r="W1385" s="421"/>
      <c r="X1385" s="421"/>
      <c r="Y1385" s="421"/>
      <c r="Z1385" s="421"/>
      <c r="AA1385" s="421"/>
      <c r="AB1385" s="421"/>
      <c r="AC1385" s="421"/>
      <c r="AD1385" s="421"/>
      <c r="AE1385" s="421"/>
      <c r="AF1385" s="421"/>
      <c r="AG1385" s="421"/>
      <c r="AH1385" s="421"/>
      <c r="AI1385" s="421"/>
      <c r="AJ1385" s="421"/>
      <c r="AK1385" s="421"/>
      <c r="AL1385" s="421"/>
    </row>
    <row r="1386" spans="1:38">
      <c r="A1386" s="3">
        <v>5976</v>
      </c>
      <c r="B1386" s="83">
        <f t="array" ref="B1386">SUM(--(FREQUENCY(IF(C$2:C$3084=C1386, MATCH(D$2:D$3084, D$2:D$3084, 0)), ROW(D$2:D$3084)-ROW(D$2)+1) &gt; 0))</f>
        <v>6</v>
      </c>
      <c r="C1386" s="3">
        <v>41200061</v>
      </c>
      <c r="D1386" s="6" t="s">
        <v>3128</v>
      </c>
      <c r="E1386" s="3" t="s">
        <v>1405</v>
      </c>
      <c r="F1386" s="3" t="s">
        <v>1480</v>
      </c>
      <c r="G1386" s="68" t="str">
        <f t="shared" si="315"/>
        <v>DUAL</v>
      </c>
      <c r="H1386" s="197">
        <f t="shared" si="332"/>
        <v>43</v>
      </c>
      <c r="I1386" s="197">
        <v>10</v>
      </c>
      <c r="J1386" s="197">
        <v>22</v>
      </c>
      <c r="K1386" s="186">
        <f t="shared" si="333"/>
        <v>45952</v>
      </c>
      <c r="L1386" s="3" t="s">
        <v>2391</v>
      </c>
      <c r="M1386" s="3" t="s">
        <v>2392</v>
      </c>
      <c r="N1386" s="408" t="str">
        <f t="shared" si="334"/>
        <v/>
      </c>
      <c r="O1386" s="408"/>
      <c r="P1386" s="408"/>
      <c r="Q1386" s="408"/>
      <c r="R1386" s="408"/>
      <c r="S1386" s="408"/>
      <c r="T1386" s="408"/>
      <c r="U1386" s="408"/>
      <c r="V1386" s="421"/>
      <c r="W1386" s="421"/>
      <c r="X1386" s="421"/>
      <c r="Y1386" s="421"/>
      <c r="Z1386" s="421"/>
      <c r="AA1386" s="421"/>
      <c r="AB1386" s="421"/>
      <c r="AC1386" s="421"/>
      <c r="AD1386" s="421"/>
      <c r="AE1386" s="421"/>
      <c r="AF1386" s="421"/>
      <c r="AG1386" s="421"/>
      <c r="AH1386" s="421"/>
      <c r="AI1386" s="421"/>
      <c r="AJ1386" s="421"/>
      <c r="AK1386" s="421"/>
      <c r="AL1386" s="421"/>
    </row>
    <row r="1387" spans="1:38">
      <c r="A1387" s="3">
        <v>6054</v>
      </c>
      <c r="B1387" s="83">
        <f t="array" ref="B1387">SUM(--(FREQUENCY(IF(C$2:C$3084=C1387, MATCH(D$2:D$3084, D$2:D$3084, 0)), ROW(D$2:D$3084)-ROW(D$2)+1) &gt; 0))</f>
        <v>6</v>
      </c>
      <c r="C1387" s="3">
        <v>41100584</v>
      </c>
      <c r="D1387" s="6" t="s">
        <v>3129</v>
      </c>
      <c r="E1387" s="3" t="s">
        <v>1422</v>
      </c>
      <c r="F1387" s="3" t="s">
        <v>1591</v>
      </c>
      <c r="G1387" s="68" t="str">
        <f t="shared" si="315"/>
        <v>SINGLE</v>
      </c>
      <c r="H1387" s="197">
        <f t="shared" si="332"/>
        <v>43</v>
      </c>
      <c r="I1387" s="197">
        <v>10</v>
      </c>
      <c r="J1387" s="197">
        <v>22</v>
      </c>
      <c r="K1387" s="186">
        <f t="shared" si="333"/>
        <v>45952</v>
      </c>
      <c r="L1387" s="3" t="s">
        <v>2391</v>
      </c>
      <c r="M1387" s="3" t="s">
        <v>1468</v>
      </c>
      <c r="N1387" s="408" t="str">
        <f t="shared" si="334"/>
        <v/>
      </c>
      <c r="O1387" s="408"/>
      <c r="P1387" s="408"/>
      <c r="Q1387" s="408"/>
      <c r="R1387" s="408"/>
      <c r="S1387" s="408"/>
      <c r="T1387" s="408"/>
      <c r="U1387" s="408"/>
      <c r="V1387" s="421"/>
      <c r="W1387" s="421"/>
      <c r="X1387" s="421"/>
      <c r="Y1387" s="421"/>
      <c r="Z1387" s="421"/>
      <c r="AA1387" s="421"/>
      <c r="AB1387" s="421"/>
      <c r="AC1387" s="421"/>
      <c r="AD1387" s="421"/>
      <c r="AE1387" s="421"/>
      <c r="AF1387" s="421"/>
      <c r="AG1387" s="421"/>
      <c r="AH1387" s="421"/>
      <c r="AI1387" s="421"/>
      <c r="AJ1387" s="421"/>
      <c r="AK1387" s="421"/>
      <c r="AL1387" s="421"/>
    </row>
    <row r="1388" spans="1:38">
      <c r="A1388" s="3">
        <v>6098</v>
      </c>
      <c r="B1388" s="83">
        <f t="array" ref="B1388">SUM(--(FREQUENCY(IF(C$2:C$3084=C1388, MATCH(D$2:D$3084, D$2:D$3084, 0)), ROW(D$2:D$3084)-ROW(D$2)+1) &gt; 0))</f>
        <v>18</v>
      </c>
      <c r="C1388" s="3">
        <v>41200101</v>
      </c>
      <c r="D1388" s="6" t="s">
        <v>3130</v>
      </c>
      <c r="E1388" s="3" t="s">
        <v>1585</v>
      </c>
      <c r="F1388" s="3" t="s">
        <v>1476</v>
      </c>
      <c r="G1388" s="68" t="str">
        <f t="shared" si="315"/>
        <v>DUAL</v>
      </c>
      <c r="H1388" s="197">
        <f t="shared" si="332"/>
        <v>43</v>
      </c>
      <c r="I1388" s="197">
        <v>10</v>
      </c>
      <c r="J1388" s="197">
        <v>22</v>
      </c>
      <c r="K1388" s="186">
        <f t="shared" si="333"/>
        <v>45952</v>
      </c>
      <c r="L1388" s="3" t="s">
        <v>2395</v>
      </c>
      <c r="M1388" s="3" t="s">
        <v>1468</v>
      </c>
      <c r="N1388" s="408" t="str">
        <f t="shared" si="334"/>
        <v>NG</v>
      </c>
      <c r="O1388" s="408" t="s">
        <v>2368</v>
      </c>
      <c r="P1388" s="408" t="s">
        <v>2508</v>
      </c>
      <c r="Q1388" s="408">
        <v>11100175</v>
      </c>
      <c r="R1388" s="408" t="s">
        <v>1104</v>
      </c>
      <c r="S1388" s="408" t="s">
        <v>3131</v>
      </c>
      <c r="T1388" s="408"/>
      <c r="U1388" s="408"/>
      <c r="V1388" s="421"/>
      <c r="W1388" s="421"/>
      <c r="X1388" s="421"/>
      <c r="Y1388" s="421"/>
      <c r="Z1388" s="421"/>
      <c r="AA1388" s="421"/>
      <c r="AB1388" s="421"/>
      <c r="AC1388" s="421"/>
      <c r="AD1388" s="421"/>
      <c r="AE1388" s="421"/>
      <c r="AF1388" s="421"/>
      <c r="AG1388" s="421"/>
      <c r="AH1388" s="421"/>
      <c r="AI1388" s="421"/>
      <c r="AJ1388" s="421"/>
      <c r="AK1388" s="421"/>
      <c r="AL1388" s="421"/>
    </row>
    <row r="1389" spans="1:38">
      <c r="A1389" s="3">
        <v>6098</v>
      </c>
      <c r="B1389" s="83">
        <f t="array" ref="B1389">SUM(--(FREQUENCY(IF(C$2:C$3084=C1389, MATCH(D$2:D$3084, D$2:D$3084, 0)), ROW(D$2:D$3084)-ROW(D$2)+1) &gt; 0))</f>
        <v>18</v>
      </c>
      <c r="C1389" s="3">
        <v>41200101</v>
      </c>
      <c r="D1389" s="6" t="s">
        <v>3130</v>
      </c>
      <c r="E1389" s="3" t="s">
        <v>1585</v>
      </c>
      <c r="F1389" s="3" t="s">
        <v>1476</v>
      </c>
      <c r="G1389" s="68" t="str">
        <f t="shared" si="315"/>
        <v>DUAL</v>
      </c>
      <c r="H1389" s="197">
        <f t="shared" ref="H1389" si="335">WEEKNUM(K1389)</f>
        <v>43</v>
      </c>
      <c r="I1389" s="197">
        <v>10</v>
      </c>
      <c r="J1389" s="197">
        <v>22</v>
      </c>
      <c r="K1389" s="186">
        <f t="shared" ref="K1389" si="336">DATE(2025, I1389, J1389)</f>
        <v>45952</v>
      </c>
      <c r="L1389" s="3" t="s">
        <v>2395</v>
      </c>
      <c r="M1389" s="3" t="s">
        <v>1468</v>
      </c>
      <c r="N1389" s="408" t="str">
        <f t="shared" ref="N1389" si="337">IF(O1389&lt;&gt;"", "NG", "")</f>
        <v>NG</v>
      </c>
      <c r="O1389" s="408" t="s">
        <v>2368</v>
      </c>
      <c r="P1389" s="408" t="s">
        <v>2371</v>
      </c>
      <c r="Q1389" s="408">
        <v>11001962</v>
      </c>
      <c r="R1389" s="408" t="s">
        <v>562</v>
      </c>
      <c r="S1389" s="408" t="s">
        <v>3132</v>
      </c>
      <c r="T1389" s="408"/>
      <c r="U1389" s="408"/>
      <c r="V1389" s="421"/>
      <c r="W1389" s="421"/>
      <c r="X1389" s="421"/>
      <c r="Y1389" s="421"/>
      <c r="Z1389" s="421"/>
      <c r="AA1389" s="421"/>
      <c r="AB1389" s="421"/>
      <c r="AC1389" s="421"/>
      <c r="AD1389" s="421"/>
      <c r="AE1389" s="421"/>
      <c r="AF1389" s="421"/>
      <c r="AG1389" s="421"/>
      <c r="AH1389" s="421"/>
      <c r="AI1389" s="421"/>
      <c r="AJ1389" s="421"/>
      <c r="AK1389" s="421"/>
      <c r="AL1389" s="421"/>
    </row>
    <row r="1390" spans="1:38">
      <c r="A1390" s="3">
        <v>6063</v>
      </c>
      <c r="B1390" s="83">
        <f t="array" ref="B1390">SUM(--(FREQUENCY(IF(C$2:C$3084=C1390, MATCH(D$2:D$3084, D$2:D$3084, 0)), ROW(D$2:D$3084)-ROW(D$2)+1) &gt; 0))</f>
        <v>6</v>
      </c>
      <c r="C1390" s="3">
        <v>41200087</v>
      </c>
      <c r="D1390" s="6" t="s">
        <v>3133</v>
      </c>
      <c r="E1390" s="3" t="s">
        <v>1585</v>
      </c>
      <c r="F1390" s="3" t="s">
        <v>1476</v>
      </c>
      <c r="G1390" s="68" t="str">
        <f t="shared" si="315"/>
        <v>DUAL</v>
      </c>
      <c r="H1390" s="197">
        <f t="shared" si="332"/>
        <v>43</v>
      </c>
      <c r="I1390" s="197">
        <v>10</v>
      </c>
      <c r="J1390" s="197">
        <v>22</v>
      </c>
      <c r="K1390" s="186">
        <f t="shared" si="333"/>
        <v>45952</v>
      </c>
      <c r="L1390" s="3" t="s">
        <v>2395</v>
      </c>
      <c r="M1390" s="3" t="s">
        <v>1469</v>
      </c>
      <c r="N1390" s="408" t="str">
        <f t="shared" si="334"/>
        <v>NG</v>
      </c>
      <c r="O1390" s="408" t="s">
        <v>2368</v>
      </c>
      <c r="P1390" s="408" t="s">
        <v>2371</v>
      </c>
      <c r="Q1390" s="408">
        <v>11001962</v>
      </c>
      <c r="R1390" s="408" t="s">
        <v>562</v>
      </c>
      <c r="S1390" s="408" t="s">
        <v>3075</v>
      </c>
      <c r="T1390" s="408"/>
      <c r="U1390" s="408"/>
      <c r="V1390" s="421"/>
      <c r="W1390" s="421"/>
      <c r="X1390" s="421"/>
      <c r="Y1390" s="421"/>
      <c r="Z1390" s="421"/>
      <c r="AA1390" s="421"/>
      <c r="AB1390" s="421"/>
      <c r="AC1390" s="421"/>
      <c r="AD1390" s="421"/>
      <c r="AE1390" s="421"/>
      <c r="AF1390" s="421"/>
      <c r="AG1390" s="421"/>
      <c r="AH1390" s="421"/>
      <c r="AI1390" s="421"/>
      <c r="AJ1390" s="421"/>
      <c r="AK1390" s="421"/>
      <c r="AL1390" s="421"/>
    </row>
    <row r="1391" spans="1:38">
      <c r="A1391" s="3">
        <v>5981</v>
      </c>
      <c r="B1391" s="83">
        <f t="array" ref="B1391">SUM(--(FREQUENCY(IF(C$2:C$3086=C1391, MATCH(D$2:D$3086, D$2:D$3086, 0)), ROW(D$2:D$3086)-ROW(D$2)+1) &gt; 0))</f>
        <v>76</v>
      </c>
      <c r="C1391" s="3">
        <v>41200007</v>
      </c>
      <c r="D1391" s="6" t="s">
        <v>3134</v>
      </c>
      <c r="E1391" s="3" t="s">
        <v>1405</v>
      </c>
      <c r="F1391" s="3" t="s">
        <v>1591</v>
      </c>
      <c r="G1391" s="68" t="str">
        <f t="shared" si="315"/>
        <v>SINGLE</v>
      </c>
      <c r="H1391" s="197">
        <f t="shared" ref="H1391:H1397" si="338">WEEKNUM(K1391)</f>
        <v>43</v>
      </c>
      <c r="I1391" s="197">
        <v>10</v>
      </c>
      <c r="J1391" s="197">
        <v>23</v>
      </c>
      <c r="K1391" s="186">
        <f t="shared" ref="K1391:K1393" si="339">DATE(2025, I1391, J1391)</f>
        <v>45953</v>
      </c>
      <c r="L1391" s="3" t="s">
        <v>2395</v>
      </c>
      <c r="M1391" s="3" t="s">
        <v>1469</v>
      </c>
      <c r="N1391" s="408" t="str">
        <f t="shared" si="334"/>
        <v/>
      </c>
      <c r="O1391" s="408"/>
      <c r="P1391" s="408"/>
      <c r="Q1391" s="408"/>
      <c r="R1391" s="408"/>
      <c r="S1391" s="408"/>
      <c r="T1391" s="408"/>
      <c r="U1391" s="408"/>
      <c r="V1391" s="421"/>
      <c r="W1391" s="421"/>
      <c r="X1391" s="421"/>
      <c r="Y1391" s="421"/>
      <c r="Z1391" s="421"/>
      <c r="AA1391" s="421"/>
      <c r="AB1391" s="421"/>
      <c r="AC1391" s="421"/>
      <c r="AD1391" s="421"/>
      <c r="AE1391" s="421"/>
      <c r="AF1391" s="421"/>
      <c r="AG1391" s="421"/>
      <c r="AH1391" s="421"/>
      <c r="AI1391" s="421"/>
      <c r="AJ1391" s="421"/>
      <c r="AK1391" s="421"/>
      <c r="AL1391" s="421"/>
    </row>
    <row r="1392" spans="1:38">
      <c r="A1392" s="3">
        <v>6141</v>
      </c>
      <c r="B1392" s="83">
        <f t="array" ref="B1392">SUM(--(FREQUENCY(IF(C$2:C$3086=C1392, MATCH(D$2:D$3086, D$2:D$3086, 0)), ROW(D$2:D$3086)-ROW(D$2)+1) &gt; 0))</f>
        <v>30</v>
      </c>
      <c r="C1392" s="3">
        <v>41200109</v>
      </c>
      <c r="D1392" s="6" t="s">
        <v>3135</v>
      </c>
      <c r="E1392" s="3" t="s">
        <v>1585</v>
      </c>
      <c r="F1392" s="3" t="s">
        <v>1591</v>
      </c>
      <c r="G1392" s="68" t="str">
        <f t="shared" si="315"/>
        <v>SINGLE</v>
      </c>
      <c r="H1392" s="197">
        <f t="shared" si="338"/>
        <v>43</v>
      </c>
      <c r="I1392" s="197">
        <v>10</v>
      </c>
      <c r="J1392" s="197">
        <v>23</v>
      </c>
      <c r="K1392" s="186">
        <f t="shared" si="339"/>
        <v>45953</v>
      </c>
      <c r="L1392" s="3" t="s">
        <v>2395</v>
      </c>
      <c r="M1392" s="3" t="s">
        <v>1468</v>
      </c>
      <c r="N1392" s="408" t="str">
        <f t="shared" si="334"/>
        <v/>
      </c>
      <c r="O1392" s="408"/>
      <c r="P1392" s="408"/>
      <c r="Q1392" s="408"/>
      <c r="R1392" s="408"/>
      <c r="S1392" s="408"/>
      <c r="T1392" s="408"/>
      <c r="U1392" s="408"/>
      <c r="V1392" s="421"/>
      <c r="W1392" s="421"/>
      <c r="X1392" s="421"/>
      <c r="Y1392" s="421"/>
      <c r="Z1392" s="421"/>
      <c r="AA1392" s="421"/>
      <c r="AB1392" s="421"/>
      <c r="AC1392" s="421"/>
      <c r="AD1392" s="421"/>
      <c r="AE1392" s="421"/>
      <c r="AF1392" s="421"/>
      <c r="AG1392" s="421"/>
      <c r="AH1392" s="421"/>
      <c r="AI1392" s="421"/>
      <c r="AJ1392" s="421"/>
      <c r="AK1392" s="421"/>
      <c r="AL1392" s="421"/>
    </row>
    <row r="1393" spans="1:38">
      <c r="A1393" s="3">
        <v>6141</v>
      </c>
      <c r="B1393" s="83">
        <f t="array" ref="B1393">SUM(--(FREQUENCY(IF(C$2:C$3086=C1393, MATCH(D$2:D$3086, D$2:D$3086, 0)), ROW(D$2:D$3086)-ROW(D$2)+1) &gt; 0))</f>
        <v>30</v>
      </c>
      <c r="C1393" s="3">
        <v>41200109</v>
      </c>
      <c r="D1393" s="6" t="s">
        <v>3136</v>
      </c>
      <c r="E1393" s="3" t="s">
        <v>1585</v>
      </c>
      <c r="F1393" s="3" t="s">
        <v>1591</v>
      </c>
      <c r="G1393" s="68" t="str">
        <f t="shared" ref="G1393:G1424" si="340">IF(OR(ISNUMBER(SEARCH("DUAL",F1393)), ISNUMBER(SEARCH("IVAS",F1393))), "DUAL", "SINGLE")</f>
        <v>SINGLE</v>
      </c>
      <c r="H1393" s="197">
        <f t="shared" si="338"/>
        <v>43</v>
      </c>
      <c r="I1393" s="197">
        <v>10</v>
      </c>
      <c r="J1393" s="197">
        <v>23</v>
      </c>
      <c r="K1393" s="186">
        <f t="shared" si="339"/>
        <v>45953</v>
      </c>
      <c r="L1393" s="3" t="s">
        <v>2395</v>
      </c>
      <c r="M1393" s="3" t="s">
        <v>1468</v>
      </c>
      <c r="N1393" s="408" t="str">
        <f t="shared" si="334"/>
        <v/>
      </c>
      <c r="O1393" s="408"/>
      <c r="P1393" s="408"/>
      <c r="Q1393" s="408"/>
      <c r="R1393" s="408"/>
      <c r="S1393" s="408"/>
      <c r="T1393" s="408"/>
      <c r="U1393" s="408"/>
      <c r="V1393" s="421"/>
      <c r="W1393" s="421"/>
      <c r="X1393" s="421"/>
      <c r="Y1393" s="421"/>
      <c r="Z1393" s="421"/>
      <c r="AA1393" s="421"/>
      <c r="AB1393" s="421"/>
      <c r="AC1393" s="421"/>
      <c r="AD1393" s="421"/>
      <c r="AE1393" s="421"/>
      <c r="AF1393" s="421"/>
      <c r="AG1393" s="421"/>
      <c r="AH1393" s="421"/>
      <c r="AI1393" s="421"/>
      <c r="AJ1393" s="421"/>
      <c r="AK1393" s="421"/>
      <c r="AL1393" s="421"/>
    </row>
    <row r="1394" spans="1:38">
      <c r="A1394" s="3">
        <v>6132</v>
      </c>
      <c r="B1394" s="83">
        <f t="array" ref="B1394">SUM(--(FREQUENCY(IF(C$2:C$3086=C1394, MATCH(D$2:D$3086, D$2:D$3086, 0)), ROW(D$2:D$3086)-ROW(D$2)+1) &gt; 0))</f>
        <v>37</v>
      </c>
      <c r="C1394" s="3">
        <v>41200076</v>
      </c>
      <c r="D1394" s="6" t="s">
        <v>3137</v>
      </c>
      <c r="E1394" s="3" t="s">
        <v>1585</v>
      </c>
      <c r="F1394" s="3" t="s">
        <v>1476</v>
      </c>
      <c r="G1394" s="68" t="str">
        <f t="shared" si="340"/>
        <v>DUAL</v>
      </c>
      <c r="H1394" s="197">
        <f t="shared" si="338"/>
        <v>43</v>
      </c>
      <c r="I1394" s="197">
        <v>10</v>
      </c>
      <c r="J1394" s="197">
        <v>23</v>
      </c>
      <c r="K1394" s="186">
        <v>45953</v>
      </c>
      <c r="L1394" s="3" t="s">
        <v>2395</v>
      </c>
      <c r="M1394" s="3" t="s">
        <v>1468</v>
      </c>
      <c r="N1394" s="408" t="str">
        <f t="shared" si="334"/>
        <v/>
      </c>
      <c r="O1394" s="408"/>
      <c r="P1394" s="408"/>
      <c r="Q1394" s="408"/>
      <c r="R1394" s="408"/>
      <c r="S1394" s="408"/>
      <c r="T1394" s="408"/>
      <c r="U1394" s="408"/>
      <c r="V1394" s="421"/>
      <c r="W1394" s="421"/>
      <c r="X1394" s="421"/>
      <c r="Y1394" s="421"/>
      <c r="Z1394" s="421"/>
      <c r="AA1394" s="421"/>
      <c r="AB1394" s="421"/>
      <c r="AC1394" s="421"/>
      <c r="AD1394" s="421"/>
      <c r="AE1394" s="421"/>
      <c r="AF1394" s="421"/>
      <c r="AG1394" s="421"/>
      <c r="AH1394" s="421"/>
      <c r="AI1394" s="421"/>
      <c r="AJ1394" s="421"/>
      <c r="AK1394" s="421"/>
      <c r="AL1394" s="421"/>
    </row>
    <row r="1395" spans="1:38">
      <c r="A1395" s="3">
        <v>6127</v>
      </c>
      <c r="B1395" s="83">
        <f t="array" ref="B1395">SUM(--(FREQUENCY(IF(C$2:C$3086=C1395, MATCH(D$2:D$3086, D$2:D$3086, 0)), ROW(D$2:D$3086)-ROW(D$2)+1) &gt; 0))</f>
        <v>2</v>
      </c>
      <c r="C1395" s="3">
        <v>41200177</v>
      </c>
      <c r="D1395" s="6" t="s">
        <v>3138</v>
      </c>
      <c r="E1395" s="3" t="s">
        <v>1426</v>
      </c>
      <c r="F1395" s="3" t="s">
        <v>1476</v>
      </c>
      <c r="G1395" s="68" t="str">
        <f t="shared" si="340"/>
        <v>DUAL</v>
      </c>
      <c r="H1395" s="197">
        <f>WEEKNUM(K1395)</f>
        <v>43</v>
      </c>
      <c r="I1395" s="197">
        <v>10</v>
      </c>
      <c r="J1395" s="197">
        <v>23</v>
      </c>
      <c r="K1395" s="186">
        <f>DATE(2025, I1395, J1395)</f>
        <v>45953</v>
      </c>
      <c r="L1395" s="3" t="s">
        <v>2395</v>
      </c>
      <c r="M1395" s="3" t="s">
        <v>1469</v>
      </c>
      <c r="N1395" s="408" t="str">
        <f>IF(O1395&lt;&gt;"", "NG", "")</f>
        <v/>
      </c>
      <c r="O1395" s="408"/>
      <c r="P1395" s="408"/>
      <c r="Q1395" s="408"/>
      <c r="R1395" s="408"/>
      <c r="S1395" s="408"/>
      <c r="T1395" s="408"/>
      <c r="U1395" s="408"/>
      <c r="V1395" s="421"/>
      <c r="W1395" s="421"/>
      <c r="X1395" s="421"/>
      <c r="Y1395" s="421"/>
      <c r="Z1395" s="421"/>
      <c r="AA1395" s="421"/>
      <c r="AB1395" s="421"/>
      <c r="AC1395" s="421"/>
      <c r="AD1395" s="421"/>
      <c r="AE1395" s="421"/>
      <c r="AF1395" s="421"/>
      <c r="AG1395" s="421"/>
      <c r="AH1395" s="421"/>
      <c r="AI1395" s="421"/>
      <c r="AJ1395" s="421"/>
      <c r="AK1395" s="421"/>
      <c r="AL1395" s="421"/>
    </row>
    <row r="1396" spans="1:38">
      <c r="A1396" s="3">
        <v>6127</v>
      </c>
      <c r="B1396" s="83">
        <f t="array" ref="B1396">SUM(--(FREQUENCY(IF(C$2:C$3086=C1396, MATCH(D$2:D$3086, D$2:D$3086, 0)), ROW(D$2:D$3086)-ROW(D$2)+1) &gt; 0))</f>
        <v>2</v>
      </c>
      <c r="C1396" s="3">
        <v>41200177</v>
      </c>
      <c r="D1396" s="6" t="s">
        <v>3139</v>
      </c>
      <c r="E1396" s="3" t="s">
        <v>1426</v>
      </c>
      <c r="F1396" s="3" t="s">
        <v>1476</v>
      </c>
      <c r="G1396" s="68" t="str">
        <f t="shared" si="340"/>
        <v>DUAL</v>
      </c>
      <c r="H1396" s="197">
        <f t="shared" si="338"/>
        <v>43</v>
      </c>
      <c r="I1396" s="197">
        <v>10</v>
      </c>
      <c r="J1396" s="197">
        <v>23</v>
      </c>
      <c r="K1396" s="186">
        <v>45953</v>
      </c>
      <c r="L1396" s="3" t="s">
        <v>2395</v>
      </c>
      <c r="M1396" s="3" t="s">
        <v>1469</v>
      </c>
      <c r="N1396" s="408" t="str">
        <f t="shared" si="334"/>
        <v/>
      </c>
      <c r="O1396" s="408"/>
      <c r="P1396" s="408"/>
      <c r="Q1396" s="408"/>
      <c r="R1396" s="408"/>
      <c r="S1396" s="408"/>
      <c r="T1396" s="408"/>
      <c r="U1396" s="408"/>
      <c r="V1396" s="421"/>
      <c r="W1396" s="421"/>
      <c r="X1396" s="421"/>
      <c r="Y1396" s="421"/>
      <c r="Z1396" s="421"/>
      <c r="AA1396" s="421"/>
      <c r="AB1396" s="421"/>
      <c r="AC1396" s="421"/>
      <c r="AD1396" s="421"/>
      <c r="AE1396" s="421"/>
      <c r="AF1396" s="421"/>
      <c r="AG1396" s="421"/>
      <c r="AH1396" s="421"/>
      <c r="AI1396" s="421"/>
      <c r="AJ1396" s="421"/>
      <c r="AK1396" s="421"/>
      <c r="AL1396" s="421"/>
    </row>
    <row r="1397" spans="1:38">
      <c r="A1397" s="3">
        <v>6091</v>
      </c>
      <c r="B1397" s="83">
        <f t="array" ref="B1397">SUM(--(FREQUENCY(IF(C$2:C$3086=C1397, MATCH(D$2:D$3086, D$2:D$3086, 0)), ROW(D$2:D$3086)-ROW(D$2)+1) &gt; 0))</f>
        <v>29</v>
      </c>
      <c r="C1397" s="3">
        <v>41200127</v>
      </c>
      <c r="D1397" s="6" t="s">
        <v>3140</v>
      </c>
      <c r="E1397" s="3" t="s">
        <v>1431</v>
      </c>
      <c r="F1397" s="3" t="s">
        <v>1591</v>
      </c>
      <c r="G1397" s="68" t="str">
        <f t="shared" si="340"/>
        <v>SINGLE</v>
      </c>
      <c r="H1397" s="197">
        <f t="shared" si="338"/>
        <v>43</v>
      </c>
      <c r="I1397" s="197">
        <v>10</v>
      </c>
      <c r="J1397" s="197">
        <v>23</v>
      </c>
      <c r="K1397" s="186">
        <f t="shared" ref="K1397" si="341">DATE(2025, I1397, J1397)</f>
        <v>45953</v>
      </c>
      <c r="L1397" s="3" t="s">
        <v>2391</v>
      </c>
      <c r="M1397" s="3" t="s">
        <v>1468</v>
      </c>
      <c r="N1397" s="408" t="str">
        <f t="shared" si="334"/>
        <v/>
      </c>
      <c r="O1397" s="408"/>
      <c r="P1397" s="408"/>
      <c r="Q1397" s="408"/>
      <c r="R1397" s="408"/>
      <c r="S1397" s="408"/>
      <c r="T1397" s="408"/>
      <c r="U1397" s="408"/>
      <c r="V1397" s="421"/>
      <c r="W1397" s="421"/>
      <c r="X1397" s="421"/>
      <c r="Y1397" s="421"/>
      <c r="Z1397" s="421"/>
      <c r="AA1397" s="421"/>
      <c r="AB1397" s="421"/>
      <c r="AC1397" s="421"/>
      <c r="AD1397" s="421"/>
      <c r="AE1397" s="421"/>
      <c r="AF1397" s="421"/>
      <c r="AG1397" s="421"/>
      <c r="AH1397" s="421"/>
      <c r="AI1397" s="421"/>
      <c r="AJ1397" s="421"/>
      <c r="AK1397" s="421"/>
      <c r="AL1397" s="421"/>
    </row>
    <row r="1398" spans="1:38">
      <c r="A1398" s="3">
        <v>6032</v>
      </c>
      <c r="B1398" s="83">
        <f t="array" ref="B1398">SUM(--(FREQUENCY(IF(C$2:C$3090=C1398, MATCH(D$2:D$3090, D$2:D$3090, 0)), ROW(D$2:D$3090)-ROW(D$2)+1) &gt; 0))</f>
        <v>2</v>
      </c>
      <c r="C1398" s="3">
        <v>41200004</v>
      </c>
      <c r="D1398" s="6" t="s">
        <v>3141</v>
      </c>
      <c r="E1398" s="3" t="s">
        <v>1424</v>
      </c>
      <c r="F1398" s="3" t="s">
        <v>1476</v>
      </c>
      <c r="G1398" s="68" t="str">
        <f t="shared" si="340"/>
        <v>DUAL</v>
      </c>
      <c r="H1398" s="197">
        <f t="shared" ref="H1398:H1403" si="342">WEEKNUM(K1398)</f>
        <v>43</v>
      </c>
      <c r="I1398" s="197">
        <v>10</v>
      </c>
      <c r="J1398" s="197">
        <v>24</v>
      </c>
      <c r="K1398" s="186">
        <f t="shared" ref="K1398:K1403" si="343">DATE(2025, I1398, J1398)</f>
        <v>45954</v>
      </c>
      <c r="L1398" s="3" t="s">
        <v>2391</v>
      </c>
      <c r="M1398" s="3" t="s">
        <v>1468</v>
      </c>
      <c r="N1398" s="408" t="str">
        <f t="shared" si="334"/>
        <v/>
      </c>
      <c r="O1398" s="408"/>
      <c r="P1398" s="408"/>
      <c r="Q1398" s="408"/>
      <c r="R1398" s="408"/>
      <c r="S1398" s="408"/>
      <c r="T1398" s="408"/>
      <c r="U1398" s="408"/>
      <c r="V1398" s="421"/>
      <c r="W1398" s="421"/>
      <c r="X1398" s="421"/>
      <c r="Y1398" s="421"/>
      <c r="Z1398" s="421"/>
      <c r="AA1398" s="421"/>
      <c r="AB1398" s="421"/>
      <c r="AC1398" s="421"/>
      <c r="AD1398" s="421"/>
      <c r="AE1398" s="421"/>
      <c r="AF1398" s="421"/>
      <c r="AG1398" s="421"/>
      <c r="AH1398" s="421"/>
      <c r="AI1398" s="421"/>
      <c r="AJ1398" s="421"/>
      <c r="AK1398" s="421"/>
      <c r="AL1398" s="421"/>
    </row>
    <row r="1399" spans="1:38">
      <c r="A1399" s="3">
        <v>6088</v>
      </c>
      <c r="B1399" s="83">
        <f t="array" ref="B1399">SUM(--(FREQUENCY(IF(C$2:C$3090=C1399, MATCH(D$2:D$3090, D$2:D$3090, 0)), ROW(D$2:D$3090)-ROW(D$2)+1) &gt; 0))</f>
        <v>20</v>
      </c>
      <c r="C1399" s="3">
        <v>41100435</v>
      </c>
      <c r="D1399" s="6" t="s">
        <v>3142</v>
      </c>
      <c r="E1399" s="3" t="s">
        <v>1585</v>
      </c>
      <c r="F1399" s="3" t="s">
        <v>1482</v>
      </c>
      <c r="G1399" s="68" t="str">
        <f t="shared" si="340"/>
        <v>SINGLE</v>
      </c>
      <c r="H1399" s="197">
        <f t="shared" si="342"/>
        <v>43</v>
      </c>
      <c r="I1399" s="197">
        <v>10</v>
      </c>
      <c r="J1399" s="197">
        <v>24</v>
      </c>
      <c r="K1399" s="186">
        <f t="shared" si="343"/>
        <v>45954</v>
      </c>
      <c r="L1399" s="3" t="s">
        <v>2391</v>
      </c>
      <c r="M1399" s="3" t="s">
        <v>1468</v>
      </c>
      <c r="N1399" s="408" t="str">
        <f t="shared" si="334"/>
        <v>NG</v>
      </c>
      <c r="O1399" s="408" t="s">
        <v>2368</v>
      </c>
      <c r="P1399" s="408" t="s">
        <v>2446</v>
      </c>
      <c r="Q1399" s="408">
        <v>11006814</v>
      </c>
      <c r="R1399" s="408" t="s">
        <v>2415</v>
      </c>
      <c r="S1399" s="408" t="s">
        <v>3143</v>
      </c>
      <c r="T1399" s="408"/>
      <c r="U1399" s="408"/>
      <c r="V1399" s="421"/>
      <c r="W1399" s="421"/>
      <c r="X1399" s="421"/>
      <c r="Y1399" s="421"/>
      <c r="Z1399" s="421"/>
      <c r="AA1399" s="421"/>
      <c r="AB1399" s="421"/>
      <c r="AC1399" s="421"/>
      <c r="AD1399" s="421"/>
      <c r="AE1399" s="421"/>
      <c r="AF1399" s="421"/>
      <c r="AG1399" s="421"/>
      <c r="AH1399" s="421"/>
      <c r="AI1399" s="421"/>
      <c r="AJ1399" s="421"/>
      <c r="AK1399" s="421"/>
      <c r="AL1399" s="421"/>
    </row>
    <row r="1400" spans="1:38">
      <c r="A1400" s="3">
        <v>6097</v>
      </c>
      <c r="B1400" s="83">
        <f t="array" ref="B1400">SUM(--(FREQUENCY(IF(C$2:C$3090=C1400, MATCH(D$2:D$3090, D$2:D$3090, 0)), ROW(D$2:D$3090)-ROW(D$2)+1) &gt; 0))</f>
        <v>2</v>
      </c>
      <c r="C1400" s="3">
        <v>41000556</v>
      </c>
      <c r="D1400" s="6" t="s">
        <v>3144</v>
      </c>
      <c r="E1400" s="3" t="s">
        <v>1585</v>
      </c>
      <c r="F1400" s="3" t="s">
        <v>1476</v>
      </c>
      <c r="G1400" s="68" t="str">
        <f t="shared" si="340"/>
        <v>DUAL</v>
      </c>
      <c r="H1400" s="197">
        <f t="shared" si="342"/>
        <v>43</v>
      </c>
      <c r="I1400" s="197">
        <v>10</v>
      </c>
      <c r="J1400" s="197">
        <v>24</v>
      </c>
      <c r="K1400" s="186">
        <f t="shared" si="343"/>
        <v>45954</v>
      </c>
      <c r="L1400" s="3" t="s">
        <v>2395</v>
      </c>
      <c r="M1400" s="3" t="s">
        <v>1469</v>
      </c>
      <c r="N1400" s="408" t="str">
        <f t="shared" si="334"/>
        <v/>
      </c>
      <c r="O1400" s="408"/>
      <c r="P1400" s="408"/>
      <c r="Q1400" s="408"/>
      <c r="R1400" s="408"/>
      <c r="S1400" s="408"/>
      <c r="T1400" s="408"/>
      <c r="U1400" s="408"/>
      <c r="V1400" s="421"/>
      <c r="W1400" s="421"/>
      <c r="X1400" s="421"/>
      <c r="Y1400" s="421"/>
      <c r="Z1400" s="421"/>
      <c r="AA1400" s="421"/>
      <c r="AB1400" s="421"/>
      <c r="AC1400" s="421"/>
      <c r="AD1400" s="421"/>
      <c r="AE1400" s="421"/>
      <c r="AF1400" s="421"/>
      <c r="AG1400" s="421"/>
      <c r="AH1400" s="421"/>
      <c r="AI1400" s="421"/>
      <c r="AJ1400" s="421"/>
      <c r="AK1400" s="421"/>
      <c r="AL1400" s="421"/>
    </row>
    <row r="1401" spans="1:38">
      <c r="A1401" s="3">
        <v>5981</v>
      </c>
      <c r="B1401" s="83">
        <f t="array" ref="B1401">SUM(--(FREQUENCY(IF(C$2:C$3090=C1401, MATCH(D$2:D$3090, D$2:D$3090, 0)), ROW(D$2:D$3090)-ROW(D$2)+1) &gt; 0))</f>
        <v>76</v>
      </c>
      <c r="C1401" s="3">
        <v>41200007</v>
      </c>
      <c r="D1401" s="6" t="s">
        <v>3145</v>
      </c>
      <c r="E1401" s="3" t="s">
        <v>1405</v>
      </c>
      <c r="F1401" s="3" t="s">
        <v>1591</v>
      </c>
      <c r="G1401" s="68" t="str">
        <f t="shared" si="340"/>
        <v>SINGLE</v>
      </c>
      <c r="H1401" s="197">
        <f t="shared" si="342"/>
        <v>43</v>
      </c>
      <c r="I1401" s="197">
        <v>10</v>
      </c>
      <c r="J1401" s="197">
        <v>24</v>
      </c>
      <c r="K1401" s="186">
        <f t="shared" si="343"/>
        <v>45954</v>
      </c>
      <c r="L1401" s="3" t="s">
        <v>2395</v>
      </c>
      <c r="M1401" s="3" t="s">
        <v>1469</v>
      </c>
      <c r="N1401" s="408" t="str">
        <f t="shared" si="334"/>
        <v/>
      </c>
      <c r="O1401" s="408"/>
      <c r="P1401" s="408"/>
      <c r="Q1401" s="408"/>
      <c r="R1401" s="408"/>
      <c r="S1401" s="408"/>
      <c r="T1401" s="408"/>
      <c r="U1401" s="408"/>
      <c r="V1401" s="421"/>
      <c r="W1401" s="421"/>
      <c r="X1401" s="421"/>
      <c r="Y1401" s="421"/>
      <c r="Z1401" s="421"/>
      <c r="AA1401" s="421"/>
      <c r="AB1401" s="421"/>
      <c r="AC1401" s="421"/>
      <c r="AD1401" s="421"/>
      <c r="AE1401" s="421"/>
      <c r="AF1401" s="421"/>
      <c r="AG1401" s="421"/>
      <c r="AH1401" s="421"/>
      <c r="AI1401" s="421"/>
      <c r="AJ1401" s="421"/>
      <c r="AK1401" s="421"/>
      <c r="AL1401" s="421"/>
    </row>
    <row r="1402" spans="1:38">
      <c r="A1402" s="3">
        <v>6053</v>
      </c>
      <c r="B1402" s="83">
        <f t="array" ref="B1402">SUM(--(FREQUENCY(IF(C$2:C$3090=C1402, MATCH(D$2:D$3090, D$2:D$3090, 0)), ROW(D$2:D$3090)-ROW(D$2)+1) &gt; 0))</f>
        <v>10</v>
      </c>
      <c r="C1402" s="3">
        <v>41200119</v>
      </c>
      <c r="D1402" s="6" t="s">
        <v>3146</v>
      </c>
      <c r="E1402" s="3" t="s">
        <v>1422</v>
      </c>
      <c r="F1402" s="3" t="s">
        <v>1476</v>
      </c>
      <c r="G1402" s="68" t="str">
        <f t="shared" si="340"/>
        <v>DUAL</v>
      </c>
      <c r="H1402" s="197">
        <f t="shared" si="342"/>
        <v>43</v>
      </c>
      <c r="I1402" s="197">
        <v>10</v>
      </c>
      <c r="J1402" s="197">
        <v>24</v>
      </c>
      <c r="K1402" s="186">
        <f t="shared" si="343"/>
        <v>45954</v>
      </c>
      <c r="L1402" s="3" t="s">
        <v>2395</v>
      </c>
      <c r="M1402" s="3" t="s">
        <v>1469</v>
      </c>
      <c r="N1402" s="408" t="str">
        <f t="shared" si="334"/>
        <v/>
      </c>
      <c r="O1402" s="408"/>
      <c r="P1402" s="408"/>
      <c r="Q1402" s="408"/>
      <c r="R1402" s="408"/>
      <c r="S1402" s="408"/>
      <c r="T1402" s="408"/>
      <c r="U1402" s="408"/>
      <c r="V1402" s="421"/>
      <c r="W1402" s="421"/>
      <c r="X1402" s="421"/>
      <c r="Y1402" s="421"/>
      <c r="Z1402" s="421"/>
      <c r="AA1402" s="421"/>
      <c r="AB1402" s="421"/>
      <c r="AC1402" s="421"/>
      <c r="AD1402" s="421"/>
      <c r="AE1402" s="421"/>
      <c r="AF1402" s="421"/>
      <c r="AG1402" s="421"/>
      <c r="AH1402" s="421"/>
      <c r="AI1402" s="421"/>
      <c r="AJ1402" s="421"/>
      <c r="AK1402" s="421"/>
      <c r="AL1402" s="421"/>
    </row>
    <row r="1403" spans="1:38">
      <c r="A1403" s="3">
        <v>6053</v>
      </c>
      <c r="B1403" s="83">
        <f t="array" ref="B1403">SUM(--(FREQUENCY(IF(C$2:C$3090=C1403, MATCH(D$2:D$3090, D$2:D$3090, 0)), ROW(D$2:D$3090)-ROW(D$2)+1) &gt; 0))</f>
        <v>10</v>
      </c>
      <c r="C1403" s="3">
        <v>41200119</v>
      </c>
      <c r="D1403" s="6" t="s">
        <v>3147</v>
      </c>
      <c r="E1403" s="3" t="s">
        <v>1422</v>
      </c>
      <c r="F1403" s="3" t="s">
        <v>1476</v>
      </c>
      <c r="G1403" s="68" t="str">
        <f t="shared" si="340"/>
        <v>DUAL</v>
      </c>
      <c r="H1403" s="197">
        <f t="shared" si="342"/>
        <v>43</v>
      </c>
      <c r="I1403" s="197">
        <v>10</v>
      </c>
      <c r="J1403" s="197">
        <v>24</v>
      </c>
      <c r="K1403" s="186">
        <f t="shared" si="343"/>
        <v>45954</v>
      </c>
      <c r="L1403" s="3" t="s">
        <v>2395</v>
      </c>
      <c r="M1403" s="3" t="s">
        <v>1469</v>
      </c>
      <c r="N1403" s="408" t="str">
        <f t="shared" si="334"/>
        <v/>
      </c>
      <c r="O1403" s="408"/>
      <c r="P1403" s="408"/>
      <c r="Q1403" s="408"/>
      <c r="R1403" s="408"/>
      <c r="S1403" s="408"/>
      <c r="T1403" s="408"/>
      <c r="U1403" s="408"/>
      <c r="V1403" s="421"/>
      <c r="W1403" s="421"/>
      <c r="X1403" s="421"/>
      <c r="Y1403" s="421"/>
      <c r="Z1403" s="421"/>
      <c r="AA1403" s="421"/>
      <c r="AB1403" s="421"/>
      <c r="AC1403" s="421"/>
      <c r="AD1403" s="421"/>
      <c r="AE1403" s="421"/>
      <c r="AF1403" s="421"/>
      <c r="AG1403" s="421"/>
      <c r="AH1403" s="421"/>
      <c r="AI1403" s="421"/>
      <c r="AJ1403" s="421"/>
      <c r="AK1403" s="421"/>
      <c r="AL1403" s="421"/>
    </row>
    <row r="1404" spans="1:38">
      <c r="A1404" s="3">
        <v>6141</v>
      </c>
      <c r="B1404" s="83">
        <f t="array" ref="B1404">SUM(--(FREQUENCY(IF(C$2:C$3090=C1404, MATCH(D$2:D$3090, D$2:D$3090, 0)), ROW(D$2:D$3090)-ROW(D$2)+1) &gt; 0))</f>
        <v>30</v>
      </c>
      <c r="C1404" s="3">
        <v>41200109</v>
      </c>
      <c r="D1404" s="6" t="s">
        <v>3148</v>
      </c>
      <c r="E1404" s="3" t="s">
        <v>1585</v>
      </c>
      <c r="F1404" s="3" t="s">
        <v>1591</v>
      </c>
      <c r="G1404" s="68" t="str">
        <f t="shared" si="340"/>
        <v>SINGLE</v>
      </c>
      <c r="H1404" s="197">
        <f t="shared" ref="H1404:H1411" si="344">WEEKNUM(K1404)</f>
        <v>43</v>
      </c>
      <c r="I1404" s="197">
        <v>10</v>
      </c>
      <c r="J1404" s="197">
        <v>25</v>
      </c>
      <c r="K1404" s="186">
        <f t="shared" ref="K1404:K1411" si="345">DATE(2025, I1404, J1404)</f>
        <v>45955</v>
      </c>
      <c r="L1404" s="3" t="s">
        <v>2391</v>
      </c>
      <c r="M1404" s="3" t="s">
        <v>2392</v>
      </c>
      <c r="N1404" s="408" t="str">
        <f t="shared" si="334"/>
        <v/>
      </c>
      <c r="O1404" s="408"/>
      <c r="P1404" s="408"/>
      <c r="Q1404" s="408"/>
      <c r="R1404" s="408"/>
      <c r="S1404" s="408"/>
      <c r="T1404" s="408"/>
      <c r="U1404" s="408"/>
      <c r="V1404" s="421"/>
      <c r="W1404" s="421"/>
      <c r="X1404" s="421"/>
      <c r="Y1404" s="421"/>
      <c r="Z1404" s="421"/>
      <c r="AA1404" s="421"/>
      <c r="AB1404" s="421"/>
      <c r="AC1404" s="421"/>
      <c r="AD1404" s="421"/>
      <c r="AE1404" s="421"/>
      <c r="AF1404" s="421"/>
      <c r="AG1404" s="421"/>
      <c r="AH1404" s="421"/>
      <c r="AI1404" s="421"/>
      <c r="AJ1404" s="421"/>
      <c r="AK1404" s="421"/>
      <c r="AL1404" s="421"/>
    </row>
    <row r="1405" spans="1:38">
      <c r="A1405" s="3">
        <v>6141</v>
      </c>
      <c r="B1405" s="83">
        <f t="array" ref="B1405">SUM(--(FREQUENCY(IF(C$2:C$3090=C1405, MATCH(D$2:D$3090, D$2:D$3090, 0)), ROW(D$2:D$3090)-ROW(D$2)+1) &gt; 0))</f>
        <v>30</v>
      </c>
      <c r="C1405" s="3">
        <v>41200109</v>
      </c>
      <c r="D1405" s="6" t="s">
        <v>3149</v>
      </c>
      <c r="E1405" s="3" t="s">
        <v>1585</v>
      </c>
      <c r="F1405" s="3" t="s">
        <v>1591</v>
      </c>
      <c r="G1405" s="68" t="str">
        <f t="shared" si="340"/>
        <v>SINGLE</v>
      </c>
      <c r="H1405" s="197">
        <f t="shared" si="344"/>
        <v>43</v>
      </c>
      <c r="I1405" s="197">
        <v>10</v>
      </c>
      <c r="J1405" s="197">
        <v>25</v>
      </c>
      <c r="K1405" s="186">
        <f t="shared" si="345"/>
        <v>45955</v>
      </c>
      <c r="L1405" s="3" t="s">
        <v>2391</v>
      </c>
      <c r="M1405" s="3" t="s">
        <v>2392</v>
      </c>
      <c r="N1405" s="408" t="str">
        <f t="shared" si="334"/>
        <v/>
      </c>
      <c r="O1405" s="408"/>
      <c r="P1405" s="408"/>
      <c r="Q1405" s="408"/>
      <c r="R1405" s="408"/>
      <c r="S1405" s="408"/>
      <c r="T1405" s="408"/>
      <c r="U1405" s="408"/>
      <c r="V1405" s="421"/>
      <c r="W1405" s="421"/>
      <c r="X1405" s="421"/>
      <c r="Y1405" s="421"/>
      <c r="Z1405" s="421"/>
      <c r="AA1405" s="421"/>
      <c r="AB1405" s="421"/>
      <c r="AC1405" s="421"/>
      <c r="AD1405" s="421"/>
      <c r="AE1405" s="421"/>
      <c r="AF1405" s="421"/>
      <c r="AG1405" s="421"/>
      <c r="AH1405" s="421"/>
      <c r="AI1405" s="421"/>
      <c r="AJ1405" s="421"/>
      <c r="AK1405" s="421"/>
      <c r="AL1405" s="421"/>
    </row>
    <row r="1406" spans="1:38">
      <c r="A1406" s="3">
        <v>6083</v>
      </c>
      <c r="B1406" s="83">
        <f t="array" ref="B1406">SUM(--(FREQUENCY(IF(C$2:C$3090=C1406, MATCH(D$2:D$3090, D$2:D$3090, 0)), ROW(D$2:D$3090)-ROW(D$2)+1) &gt; 0))</f>
        <v>29</v>
      </c>
      <c r="C1406" s="3">
        <v>41200005</v>
      </c>
      <c r="D1406" s="6" t="s">
        <v>3150</v>
      </c>
      <c r="E1406" s="3" t="s">
        <v>1405</v>
      </c>
      <c r="F1406" s="3" t="s">
        <v>1591</v>
      </c>
      <c r="G1406" s="68" t="str">
        <f t="shared" si="340"/>
        <v>SINGLE</v>
      </c>
      <c r="H1406" s="197">
        <f t="shared" si="344"/>
        <v>43</v>
      </c>
      <c r="I1406" s="197">
        <v>10</v>
      </c>
      <c r="J1406" s="197">
        <v>25</v>
      </c>
      <c r="K1406" s="186">
        <f t="shared" si="345"/>
        <v>45955</v>
      </c>
      <c r="L1406" s="3" t="s">
        <v>2395</v>
      </c>
      <c r="M1406" s="3" t="s">
        <v>1469</v>
      </c>
      <c r="N1406" s="408" t="str">
        <f t="shared" si="334"/>
        <v/>
      </c>
      <c r="O1406" s="408"/>
      <c r="P1406" s="408"/>
      <c r="Q1406" s="408"/>
      <c r="R1406" s="408"/>
      <c r="S1406" s="408"/>
      <c r="T1406" s="408"/>
      <c r="U1406" s="408"/>
      <c r="V1406" s="421"/>
      <c r="W1406" s="421"/>
      <c r="X1406" s="421"/>
      <c r="Y1406" s="421"/>
      <c r="Z1406" s="421"/>
      <c r="AA1406" s="421"/>
      <c r="AB1406" s="421"/>
      <c r="AC1406" s="421"/>
      <c r="AD1406" s="421"/>
      <c r="AE1406" s="421"/>
      <c r="AF1406" s="421"/>
      <c r="AG1406" s="421"/>
      <c r="AH1406" s="421"/>
      <c r="AI1406" s="421"/>
      <c r="AJ1406" s="421"/>
      <c r="AK1406" s="421"/>
      <c r="AL1406" s="421"/>
    </row>
    <row r="1407" spans="1:38">
      <c r="A1407" s="3">
        <v>6083</v>
      </c>
      <c r="B1407" s="83">
        <f t="array" ref="B1407">SUM(--(FREQUENCY(IF(C$2:C$3090=C1407, MATCH(D$2:D$3090, D$2:D$3090, 0)), ROW(D$2:D$3090)-ROW(D$2)+1) &gt; 0))</f>
        <v>29</v>
      </c>
      <c r="C1407" s="3">
        <v>41200005</v>
      </c>
      <c r="D1407" s="6" t="s">
        <v>3151</v>
      </c>
      <c r="E1407" s="3" t="s">
        <v>1405</v>
      </c>
      <c r="F1407" s="3" t="s">
        <v>1591</v>
      </c>
      <c r="G1407" s="68" t="str">
        <f t="shared" si="340"/>
        <v>SINGLE</v>
      </c>
      <c r="H1407" s="197">
        <f t="shared" si="344"/>
        <v>43</v>
      </c>
      <c r="I1407" s="197">
        <v>10</v>
      </c>
      <c r="J1407" s="197">
        <v>25</v>
      </c>
      <c r="K1407" s="186">
        <f t="shared" si="345"/>
        <v>45955</v>
      </c>
      <c r="L1407" s="3" t="s">
        <v>2395</v>
      </c>
      <c r="M1407" s="3" t="s">
        <v>1469</v>
      </c>
      <c r="N1407" s="408" t="str">
        <f t="shared" si="334"/>
        <v/>
      </c>
      <c r="O1407" s="408"/>
      <c r="P1407" s="408"/>
      <c r="Q1407" s="408"/>
      <c r="R1407" s="408"/>
      <c r="S1407" s="408"/>
      <c r="T1407" s="408"/>
      <c r="U1407" s="408"/>
      <c r="V1407" s="421"/>
      <c r="W1407" s="421"/>
      <c r="X1407" s="421"/>
      <c r="Y1407" s="421"/>
      <c r="Z1407" s="421"/>
      <c r="AA1407" s="421"/>
      <c r="AB1407" s="421"/>
      <c r="AC1407" s="421"/>
      <c r="AD1407" s="421"/>
      <c r="AE1407" s="421"/>
      <c r="AF1407" s="421"/>
      <c r="AG1407" s="421"/>
      <c r="AH1407" s="421"/>
      <c r="AI1407" s="421"/>
      <c r="AJ1407" s="421"/>
      <c r="AK1407" s="421"/>
      <c r="AL1407" s="421"/>
    </row>
    <row r="1408" spans="1:38">
      <c r="A1408" s="3">
        <v>6083</v>
      </c>
      <c r="B1408" s="83">
        <f t="array" ref="B1408">SUM(--(FREQUENCY(IF(C$2:C$3090=C1408, MATCH(D$2:D$3090, D$2:D$3090, 0)), ROW(D$2:D$3090)-ROW(D$2)+1) &gt; 0))</f>
        <v>29</v>
      </c>
      <c r="C1408" s="3">
        <v>41200005</v>
      </c>
      <c r="D1408" s="6" t="s">
        <v>3152</v>
      </c>
      <c r="E1408" s="3" t="s">
        <v>1405</v>
      </c>
      <c r="F1408" s="3" t="s">
        <v>1591</v>
      </c>
      <c r="G1408" s="68" t="str">
        <f t="shared" si="340"/>
        <v>SINGLE</v>
      </c>
      <c r="H1408" s="197">
        <f t="shared" si="344"/>
        <v>43</v>
      </c>
      <c r="I1408" s="197">
        <v>10</v>
      </c>
      <c r="J1408" s="197">
        <v>25</v>
      </c>
      <c r="K1408" s="186">
        <f t="shared" si="345"/>
        <v>45955</v>
      </c>
      <c r="L1408" s="3" t="s">
        <v>2395</v>
      </c>
      <c r="M1408" s="3" t="s">
        <v>1469</v>
      </c>
      <c r="N1408" s="408" t="str">
        <f t="shared" si="334"/>
        <v/>
      </c>
      <c r="O1408" s="408"/>
      <c r="P1408" s="408"/>
      <c r="Q1408" s="408"/>
      <c r="R1408" s="408"/>
      <c r="S1408" s="408"/>
      <c r="T1408" s="408"/>
      <c r="U1408" s="408"/>
      <c r="V1408" s="421"/>
      <c r="W1408" s="421"/>
      <c r="X1408" s="421"/>
      <c r="Y1408" s="421"/>
      <c r="Z1408" s="421"/>
      <c r="AA1408" s="421"/>
      <c r="AB1408" s="421"/>
      <c r="AC1408" s="421"/>
      <c r="AD1408" s="421"/>
      <c r="AE1408" s="421"/>
      <c r="AF1408" s="421"/>
      <c r="AG1408" s="421"/>
      <c r="AH1408" s="421"/>
      <c r="AI1408" s="421"/>
      <c r="AJ1408" s="421"/>
      <c r="AK1408" s="421"/>
      <c r="AL1408" s="421"/>
    </row>
    <row r="1409" spans="1:38">
      <c r="A1409" s="3">
        <v>6083</v>
      </c>
      <c r="B1409" s="83">
        <f t="array" ref="B1409">SUM(--(FREQUENCY(IF(C$2:C$3090=C1409, MATCH(D$2:D$3090, D$2:D$3090, 0)), ROW(D$2:D$3090)-ROW(D$2)+1) &gt; 0))</f>
        <v>29</v>
      </c>
      <c r="C1409" s="3">
        <v>41200005</v>
      </c>
      <c r="D1409" s="6" t="s">
        <v>3153</v>
      </c>
      <c r="E1409" s="3" t="s">
        <v>1405</v>
      </c>
      <c r="F1409" s="3" t="s">
        <v>1591</v>
      </c>
      <c r="G1409" s="68" t="str">
        <f t="shared" si="340"/>
        <v>SINGLE</v>
      </c>
      <c r="H1409" s="197">
        <f t="shared" si="344"/>
        <v>43</v>
      </c>
      <c r="I1409" s="197">
        <v>10</v>
      </c>
      <c r="J1409" s="197">
        <v>25</v>
      </c>
      <c r="K1409" s="186">
        <f t="shared" si="345"/>
        <v>45955</v>
      </c>
      <c r="L1409" s="3" t="s">
        <v>2395</v>
      </c>
      <c r="M1409" s="3" t="s">
        <v>1469</v>
      </c>
      <c r="N1409" s="408" t="str">
        <f t="shared" si="334"/>
        <v/>
      </c>
      <c r="O1409" s="408"/>
      <c r="P1409" s="408"/>
      <c r="Q1409" s="408"/>
      <c r="R1409" s="408"/>
      <c r="S1409" s="408"/>
      <c r="T1409" s="408"/>
      <c r="U1409" s="408"/>
      <c r="V1409" s="421"/>
      <c r="W1409" s="421"/>
      <c r="X1409" s="421"/>
      <c r="Y1409" s="421"/>
      <c r="Z1409" s="421"/>
      <c r="AA1409" s="421"/>
      <c r="AB1409" s="421"/>
      <c r="AC1409" s="421"/>
      <c r="AD1409" s="421"/>
      <c r="AE1409" s="421"/>
      <c r="AF1409" s="421"/>
      <c r="AG1409" s="421"/>
      <c r="AH1409" s="421"/>
      <c r="AI1409" s="421"/>
      <c r="AJ1409" s="421"/>
      <c r="AK1409" s="421"/>
      <c r="AL1409" s="421"/>
    </row>
    <row r="1410" spans="1:38">
      <c r="A1410" s="3">
        <v>6137</v>
      </c>
      <c r="B1410" s="83">
        <f t="array" ref="B1410">SUM(--(FREQUENCY(IF(C$2:C$3090=C1410, MATCH(D$2:D$3090, D$2:D$3090, 0)), ROW(D$2:D$3090)-ROW(D$2)+1) &gt; 0))</f>
        <v>8</v>
      </c>
      <c r="C1410" s="3">
        <v>41100338</v>
      </c>
      <c r="D1410" s="6" t="s">
        <v>3154</v>
      </c>
      <c r="E1410" s="3" t="s">
        <v>1585</v>
      </c>
      <c r="F1410" s="3" t="s">
        <v>1591</v>
      </c>
      <c r="G1410" s="68" t="str">
        <f t="shared" si="340"/>
        <v>SINGLE</v>
      </c>
      <c r="H1410" s="197">
        <f t="shared" si="344"/>
        <v>43</v>
      </c>
      <c r="I1410" s="197">
        <v>10</v>
      </c>
      <c r="J1410" s="197">
        <v>25</v>
      </c>
      <c r="K1410" s="186">
        <f t="shared" si="345"/>
        <v>45955</v>
      </c>
      <c r="L1410" s="3" t="s">
        <v>2395</v>
      </c>
      <c r="M1410" s="3" t="s">
        <v>1469</v>
      </c>
      <c r="N1410" s="408" t="str">
        <f t="shared" si="334"/>
        <v/>
      </c>
      <c r="O1410" s="408"/>
      <c r="P1410" s="408"/>
      <c r="Q1410" s="408"/>
      <c r="R1410" s="408"/>
      <c r="S1410" s="408"/>
      <c r="T1410" s="408"/>
      <c r="U1410" s="408"/>
      <c r="V1410" s="421"/>
      <c r="W1410" s="421"/>
      <c r="X1410" s="421"/>
      <c r="Y1410" s="421"/>
      <c r="Z1410" s="421"/>
      <c r="AA1410" s="421"/>
      <c r="AB1410" s="421"/>
      <c r="AC1410" s="421"/>
      <c r="AD1410" s="421"/>
      <c r="AE1410" s="421"/>
      <c r="AF1410" s="421"/>
      <c r="AG1410" s="421"/>
      <c r="AH1410" s="421"/>
      <c r="AI1410" s="421"/>
      <c r="AJ1410" s="421"/>
      <c r="AK1410" s="421"/>
      <c r="AL1410" s="421"/>
    </row>
    <row r="1411" spans="1:38">
      <c r="A1411" s="3">
        <v>6137</v>
      </c>
      <c r="B1411" s="83">
        <f t="array" ref="B1411">SUM(--(FREQUENCY(IF(C$2:C$3090=C1411, MATCH(D$2:D$3090, D$2:D$3090, 0)), ROW(D$2:D$3090)-ROW(D$2)+1) &gt; 0))</f>
        <v>8</v>
      </c>
      <c r="C1411" s="3">
        <v>41100338</v>
      </c>
      <c r="D1411" s="6" t="s">
        <v>3155</v>
      </c>
      <c r="E1411" s="3" t="s">
        <v>1585</v>
      </c>
      <c r="F1411" s="3" t="s">
        <v>1591</v>
      </c>
      <c r="G1411" s="68" t="str">
        <f t="shared" si="340"/>
        <v>SINGLE</v>
      </c>
      <c r="H1411" s="197">
        <f t="shared" si="344"/>
        <v>43</v>
      </c>
      <c r="I1411" s="197">
        <v>10</v>
      </c>
      <c r="J1411" s="197">
        <v>25</v>
      </c>
      <c r="K1411" s="186">
        <f t="shared" si="345"/>
        <v>45955</v>
      </c>
      <c r="L1411" s="3" t="s">
        <v>2395</v>
      </c>
      <c r="M1411" s="3" t="s">
        <v>1469</v>
      </c>
      <c r="N1411" s="408" t="str">
        <f t="shared" si="334"/>
        <v/>
      </c>
      <c r="O1411" s="408"/>
      <c r="P1411" s="408"/>
      <c r="Q1411" s="408"/>
      <c r="R1411" s="408"/>
      <c r="S1411" s="408"/>
      <c r="T1411" s="408"/>
      <c r="U1411" s="408"/>
      <c r="V1411" s="421"/>
      <c r="W1411" s="421"/>
      <c r="X1411" s="421"/>
      <c r="Y1411" s="421"/>
      <c r="Z1411" s="421"/>
      <c r="AA1411" s="421"/>
      <c r="AB1411" s="421"/>
      <c r="AC1411" s="421"/>
      <c r="AD1411" s="421"/>
      <c r="AE1411" s="421"/>
      <c r="AF1411" s="421"/>
      <c r="AG1411" s="421"/>
      <c r="AH1411" s="421"/>
      <c r="AI1411" s="421"/>
      <c r="AJ1411" s="421"/>
      <c r="AK1411" s="421"/>
      <c r="AL1411" s="421"/>
    </row>
    <row r="1412" spans="1:38">
      <c r="A1412" s="3">
        <v>6136</v>
      </c>
      <c r="B1412" s="83">
        <f t="array" ref="B1412">SUM(--(FREQUENCY(IF(C$2:C$3090=C1412, MATCH(D$2:D$3090, D$2:D$3090, 0)), ROW(D$2:D$3090)-ROW(D$2)+1) &gt; 0))</f>
        <v>12</v>
      </c>
      <c r="C1412" s="3">
        <v>41100264</v>
      </c>
      <c r="D1412" s="6" t="s">
        <v>3156</v>
      </c>
      <c r="E1412" s="3" t="s">
        <v>1585</v>
      </c>
      <c r="F1412" s="3" t="s">
        <v>1591</v>
      </c>
      <c r="G1412" s="68" t="str">
        <f t="shared" si="340"/>
        <v>SINGLE</v>
      </c>
      <c r="H1412" s="197">
        <f t="shared" ref="H1412:H1419" si="346">WEEKNUM(K1412)</f>
        <v>44</v>
      </c>
      <c r="I1412" s="197">
        <v>10</v>
      </c>
      <c r="J1412" s="197">
        <v>27</v>
      </c>
      <c r="K1412" s="186">
        <f t="shared" ref="K1412:K1419" si="347">DATE(2025, I1412, J1412)</f>
        <v>45957</v>
      </c>
      <c r="L1412" s="3" t="s">
        <v>2395</v>
      </c>
      <c r="M1412" s="3" t="s">
        <v>2392</v>
      </c>
      <c r="N1412" s="408" t="str">
        <f t="shared" si="334"/>
        <v/>
      </c>
      <c r="O1412" s="408"/>
      <c r="P1412" s="408"/>
      <c r="Q1412" s="408"/>
      <c r="R1412" s="408"/>
      <c r="S1412" s="408"/>
      <c r="T1412" s="408"/>
      <c r="U1412" s="408"/>
      <c r="V1412" s="421"/>
      <c r="W1412" s="421"/>
      <c r="X1412" s="421"/>
      <c r="Y1412" s="421"/>
      <c r="Z1412" s="421"/>
      <c r="AA1412" s="421"/>
      <c r="AB1412" s="421"/>
      <c r="AC1412" s="421"/>
      <c r="AD1412" s="421"/>
      <c r="AE1412" s="421"/>
      <c r="AF1412" s="421"/>
      <c r="AG1412" s="421"/>
      <c r="AH1412" s="421"/>
      <c r="AI1412" s="421"/>
      <c r="AJ1412" s="421"/>
      <c r="AK1412" s="421"/>
      <c r="AL1412" s="421"/>
    </row>
    <row r="1413" spans="1:38">
      <c r="A1413" s="3">
        <v>6136</v>
      </c>
      <c r="B1413" s="83">
        <f t="array" ref="B1413">SUM(--(FREQUENCY(IF(C$2:C$3090=C1413, MATCH(D$2:D$3090, D$2:D$3090, 0)), ROW(D$2:D$3090)-ROW(D$2)+1) &gt; 0))</f>
        <v>12</v>
      </c>
      <c r="C1413" s="3">
        <v>41100264</v>
      </c>
      <c r="D1413" s="6" t="s">
        <v>3157</v>
      </c>
      <c r="E1413" s="3" t="s">
        <v>1585</v>
      </c>
      <c r="F1413" s="3" t="s">
        <v>1591</v>
      </c>
      <c r="G1413" s="68" t="str">
        <f t="shared" si="340"/>
        <v>SINGLE</v>
      </c>
      <c r="H1413" s="197">
        <f t="shared" si="346"/>
        <v>44</v>
      </c>
      <c r="I1413" s="197">
        <v>10</v>
      </c>
      <c r="J1413" s="197">
        <v>27</v>
      </c>
      <c r="K1413" s="186">
        <f t="shared" si="347"/>
        <v>45957</v>
      </c>
      <c r="L1413" s="3" t="s">
        <v>2395</v>
      </c>
      <c r="M1413" s="3" t="s">
        <v>2392</v>
      </c>
      <c r="N1413" s="408" t="str">
        <f t="shared" si="334"/>
        <v/>
      </c>
      <c r="O1413" s="408"/>
      <c r="P1413" s="408"/>
      <c r="Q1413" s="408"/>
      <c r="R1413" s="408"/>
      <c r="S1413" s="408"/>
      <c r="T1413" s="408"/>
      <c r="U1413" s="408"/>
      <c r="V1413" s="421"/>
      <c r="W1413" s="421"/>
      <c r="X1413" s="421"/>
      <c r="Y1413" s="421"/>
      <c r="Z1413" s="421"/>
      <c r="AA1413" s="421"/>
      <c r="AB1413" s="421"/>
      <c r="AC1413" s="421"/>
      <c r="AD1413" s="421"/>
      <c r="AE1413" s="421"/>
      <c r="AF1413" s="421"/>
      <c r="AG1413" s="421"/>
      <c r="AH1413" s="421"/>
      <c r="AI1413" s="421"/>
      <c r="AJ1413" s="421"/>
      <c r="AK1413" s="421"/>
      <c r="AL1413" s="421"/>
    </row>
    <row r="1414" spans="1:38">
      <c r="A1414" s="3">
        <v>6054</v>
      </c>
      <c r="B1414" s="83">
        <f t="array" ref="B1414">SUM(--(FREQUENCY(IF(C$2:C$3090=C1414, MATCH(D$2:D$3090, D$2:D$3090, 0)), ROW(D$2:D$3090)-ROW(D$2)+1) &gt; 0))</f>
        <v>6</v>
      </c>
      <c r="C1414" s="3">
        <v>41100584</v>
      </c>
      <c r="D1414" s="6" t="s">
        <v>3158</v>
      </c>
      <c r="E1414" s="3" t="s">
        <v>1422</v>
      </c>
      <c r="F1414" s="3" t="s">
        <v>1591</v>
      </c>
      <c r="G1414" s="68" t="str">
        <f t="shared" si="340"/>
        <v>SINGLE</v>
      </c>
      <c r="H1414" s="197">
        <f t="shared" si="346"/>
        <v>44</v>
      </c>
      <c r="I1414" s="197">
        <v>10</v>
      </c>
      <c r="J1414" s="197">
        <v>27</v>
      </c>
      <c r="K1414" s="186">
        <f t="shared" si="347"/>
        <v>45957</v>
      </c>
      <c r="L1414" s="3" t="s">
        <v>2391</v>
      </c>
      <c r="M1414" s="3" t="s">
        <v>1468</v>
      </c>
      <c r="N1414" s="408" t="str">
        <f t="shared" si="334"/>
        <v/>
      </c>
      <c r="O1414" s="408"/>
      <c r="P1414" s="408"/>
      <c r="Q1414" s="408"/>
      <c r="R1414" s="408"/>
      <c r="S1414" s="408"/>
      <c r="T1414" s="408"/>
      <c r="U1414" s="408"/>
      <c r="V1414" s="421"/>
      <c r="W1414" s="421"/>
      <c r="X1414" s="421"/>
      <c r="Y1414" s="421"/>
      <c r="Z1414" s="421"/>
      <c r="AA1414" s="421"/>
      <c r="AB1414" s="421"/>
      <c r="AC1414" s="421"/>
      <c r="AD1414" s="421"/>
      <c r="AE1414" s="421"/>
      <c r="AF1414" s="421"/>
      <c r="AG1414" s="421"/>
      <c r="AH1414" s="421"/>
      <c r="AI1414" s="421"/>
      <c r="AJ1414" s="421"/>
      <c r="AK1414" s="421"/>
      <c r="AL1414" s="421"/>
    </row>
    <row r="1415" spans="1:38">
      <c r="A1415" s="3">
        <v>6055</v>
      </c>
      <c r="B1415" s="83">
        <f t="array" ref="B1415">SUM(--(FREQUENCY(IF(C$2:C$3090=C1415, MATCH(D$2:D$3090, D$2:D$3090, 0)), ROW(D$2:D$3090)-ROW(D$2)+1) &gt; 0))</f>
        <v>6</v>
      </c>
      <c r="C1415" s="3">
        <v>41200088</v>
      </c>
      <c r="D1415" s="6" t="s">
        <v>3159</v>
      </c>
      <c r="E1415" s="3" t="s">
        <v>1422</v>
      </c>
      <c r="F1415" s="3" t="s">
        <v>1476</v>
      </c>
      <c r="G1415" s="68" t="str">
        <f t="shared" si="340"/>
        <v>DUAL</v>
      </c>
      <c r="H1415" s="197">
        <f t="shared" si="346"/>
        <v>44</v>
      </c>
      <c r="I1415" s="197">
        <v>10</v>
      </c>
      <c r="J1415" s="197">
        <v>27</v>
      </c>
      <c r="K1415" s="186">
        <f t="shared" si="347"/>
        <v>45957</v>
      </c>
      <c r="L1415" s="3" t="s">
        <v>2395</v>
      </c>
      <c r="M1415" s="3" t="s">
        <v>1469</v>
      </c>
      <c r="N1415" s="408" t="str">
        <f t="shared" si="334"/>
        <v/>
      </c>
      <c r="O1415" s="408"/>
      <c r="P1415" s="408"/>
      <c r="Q1415" s="408"/>
      <c r="R1415" s="408"/>
      <c r="S1415" s="408"/>
      <c r="T1415" s="408"/>
      <c r="U1415" s="408"/>
      <c r="V1415" s="421"/>
      <c r="W1415" s="421"/>
      <c r="X1415" s="421"/>
      <c r="Y1415" s="421"/>
      <c r="Z1415" s="421"/>
      <c r="AA1415" s="421"/>
      <c r="AB1415" s="421"/>
      <c r="AC1415" s="421"/>
      <c r="AD1415" s="421"/>
      <c r="AE1415" s="421"/>
      <c r="AF1415" s="421"/>
      <c r="AG1415" s="421"/>
      <c r="AH1415" s="421"/>
      <c r="AI1415" s="421"/>
      <c r="AJ1415" s="421"/>
      <c r="AK1415" s="421"/>
      <c r="AL1415" s="421"/>
    </row>
    <row r="1416" spans="1:38">
      <c r="A1416" s="3">
        <v>6055</v>
      </c>
      <c r="B1416" s="83">
        <f t="array" ref="B1416">SUM(--(FREQUENCY(IF(C$2:C$3090=C1416, MATCH(D$2:D$3090, D$2:D$3090, 0)), ROW(D$2:D$3090)-ROW(D$2)+1) &gt; 0))</f>
        <v>6</v>
      </c>
      <c r="C1416" s="3">
        <v>41200088</v>
      </c>
      <c r="D1416" s="6" t="s">
        <v>3160</v>
      </c>
      <c r="E1416" s="3" t="s">
        <v>1422</v>
      </c>
      <c r="F1416" s="3" t="s">
        <v>1476</v>
      </c>
      <c r="G1416" s="68" t="str">
        <f t="shared" si="340"/>
        <v>DUAL</v>
      </c>
      <c r="H1416" s="197">
        <f t="shared" si="346"/>
        <v>44</v>
      </c>
      <c r="I1416" s="197">
        <v>10</v>
      </c>
      <c r="J1416" s="197">
        <v>27</v>
      </c>
      <c r="K1416" s="186">
        <f t="shared" si="347"/>
        <v>45957</v>
      </c>
      <c r="L1416" s="3" t="s">
        <v>2395</v>
      </c>
      <c r="M1416" s="3" t="s">
        <v>1469</v>
      </c>
      <c r="N1416" s="408" t="str">
        <f t="shared" si="334"/>
        <v/>
      </c>
      <c r="O1416" s="408"/>
      <c r="P1416" s="408"/>
      <c r="Q1416" s="408"/>
      <c r="R1416" s="408"/>
      <c r="S1416" s="408"/>
      <c r="T1416" s="408"/>
      <c r="U1416" s="408"/>
      <c r="V1416" s="421"/>
      <c r="W1416" s="421"/>
      <c r="X1416" s="421"/>
      <c r="Y1416" s="421"/>
      <c r="Z1416" s="421"/>
      <c r="AA1416" s="421"/>
      <c r="AB1416" s="421"/>
      <c r="AC1416" s="421"/>
      <c r="AD1416" s="421"/>
      <c r="AE1416" s="421"/>
      <c r="AF1416" s="421"/>
      <c r="AG1416" s="421"/>
      <c r="AH1416" s="421"/>
      <c r="AI1416" s="421"/>
      <c r="AJ1416" s="421"/>
      <c r="AK1416" s="421"/>
      <c r="AL1416" s="421"/>
    </row>
    <row r="1417" spans="1:38">
      <c r="A1417" s="3">
        <v>6063</v>
      </c>
      <c r="B1417" s="83">
        <f t="array" ref="B1417">SUM(--(FREQUENCY(IF(C$2:C$3090=C1417, MATCH(D$2:D$3090, D$2:D$3090, 0)), ROW(D$2:D$3090)-ROW(D$2)+1) &gt; 0))</f>
        <v>8</v>
      </c>
      <c r="C1417" s="3">
        <v>41200152</v>
      </c>
      <c r="D1417" s="6" t="s">
        <v>3161</v>
      </c>
      <c r="E1417" s="3" t="s">
        <v>1585</v>
      </c>
      <c r="F1417" s="3" t="s">
        <v>1476</v>
      </c>
      <c r="G1417" s="68" t="str">
        <f t="shared" si="340"/>
        <v>DUAL</v>
      </c>
      <c r="H1417" s="197">
        <f t="shared" si="346"/>
        <v>44</v>
      </c>
      <c r="I1417" s="197">
        <v>10</v>
      </c>
      <c r="J1417" s="197">
        <v>27</v>
      </c>
      <c r="K1417" s="186">
        <f t="shared" si="347"/>
        <v>45957</v>
      </c>
      <c r="L1417" s="3" t="s">
        <v>2395</v>
      </c>
      <c r="M1417" s="3" t="s">
        <v>2392</v>
      </c>
      <c r="N1417" s="408" t="str">
        <f t="shared" si="334"/>
        <v/>
      </c>
      <c r="O1417" s="408"/>
      <c r="P1417" s="408"/>
      <c r="Q1417" s="408"/>
      <c r="R1417" s="408"/>
      <c r="S1417" s="408"/>
      <c r="T1417" s="408"/>
      <c r="U1417" s="408"/>
      <c r="V1417" s="421"/>
      <c r="W1417" s="421"/>
      <c r="X1417" s="421"/>
      <c r="Y1417" s="421"/>
      <c r="Z1417" s="421"/>
      <c r="AA1417" s="421"/>
      <c r="AB1417" s="421"/>
      <c r="AC1417" s="421"/>
      <c r="AD1417" s="421"/>
      <c r="AE1417" s="421"/>
      <c r="AF1417" s="421"/>
      <c r="AG1417" s="421"/>
      <c r="AH1417" s="421"/>
      <c r="AI1417" s="421"/>
      <c r="AJ1417" s="421"/>
      <c r="AK1417" s="421"/>
      <c r="AL1417" s="421"/>
    </row>
    <row r="1418" spans="1:38">
      <c r="A1418" s="3">
        <v>6063</v>
      </c>
      <c r="B1418" s="83">
        <f t="array" ref="B1418">SUM(--(FREQUENCY(IF(C$2:C$3090=C1418, MATCH(D$2:D$3090, D$2:D$3090, 0)), ROW(D$2:D$3090)-ROW(D$2)+1) &gt; 0))</f>
        <v>8</v>
      </c>
      <c r="C1418" s="3">
        <v>41200152</v>
      </c>
      <c r="D1418" s="6" t="s">
        <v>3162</v>
      </c>
      <c r="E1418" s="3" t="s">
        <v>1585</v>
      </c>
      <c r="F1418" s="3" t="s">
        <v>1476</v>
      </c>
      <c r="G1418" s="68" t="str">
        <f t="shared" si="340"/>
        <v>DUAL</v>
      </c>
      <c r="H1418" s="197">
        <f t="shared" si="346"/>
        <v>44</v>
      </c>
      <c r="I1418" s="197">
        <v>10</v>
      </c>
      <c r="J1418" s="197">
        <v>27</v>
      </c>
      <c r="K1418" s="186">
        <f t="shared" si="347"/>
        <v>45957</v>
      </c>
      <c r="L1418" s="3" t="s">
        <v>2395</v>
      </c>
      <c r="M1418" s="3" t="s">
        <v>2392</v>
      </c>
      <c r="N1418" s="408" t="str">
        <f t="shared" si="334"/>
        <v/>
      </c>
      <c r="O1418" s="408"/>
      <c r="P1418" s="408"/>
      <c r="Q1418" s="408"/>
      <c r="R1418" s="408"/>
      <c r="S1418" s="408"/>
      <c r="T1418" s="408"/>
      <c r="U1418" s="408"/>
      <c r="V1418" s="421"/>
      <c r="W1418" s="421"/>
      <c r="X1418" s="421"/>
      <c r="Y1418" s="421"/>
      <c r="Z1418" s="421"/>
      <c r="AA1418" s="421"/>
      <c r="AB1418" s="421"/>
      <c r="AC1418" s="421"/>
      <c r="AD1418" s="421"/>
      <c r="AE1418" s="421"/>
      <c r="AF1418" s="421"/>
      <c r="AG1418" s="421"/>
      <c r="AH1418" s="421"/>
      <c r="AI1418" s="421"/>
      <c r="AJ1418" s="421"/>
      <c r="AK1418" s="421"/>
      <c r="AL1418" s="421"/>
    </row>
    <row r="1419" spans="1:38">
      <c r="A1419" s="3">
        <v>6139</v>
      </c>
      <c r="B1419" s="83">
        <f t="array" ref="B1419">SUM(--(FREQUENCY(IF(C$2:C$3090=C1419, MATCH(D$2:D$3090, D$2:D$3090, 0)), ROW(D$2:D$3090)-ROW(D$2)+1) &gt; 0))</f>
        <v>20</v>
      </c>
      <c r="C1419" s="3">
        <v>41100435</v>
      </c>
      <c r="D1419" s="6" t="s">
        <v>3163</v>
      </c>
      <c r="E1419" s="3" t="s">
        <v>1585</v>
      </c>
      <c r="F1419" s="3" t="s">
        <v>1482</v>
      </c>
      <c r="G1419" s="68" t="str">
        <f t="shared" si="340"/>
        <v>SINGLE</v>
      </c>
      <c r="H1419" s="197">
        <f t="shared" si="346"/>
        <v>44</v>
      </c>
      <c r="I1419" s="197">
        <v>10</v>
      </c>
      <c r="J1419" s="197">
        <v>28</v>
      </c>
      <c r="K1419" s="186">
        <f t="shared" si="347"/>
        <v>45958</v>
      </c>
      <c r="L1419" s="3" t="s">
        <v>2391</v>
      </c>
      <c r="M1419" s="3" t="s">
        <v>2392</v>
      </c>
      <c r="N1419" s="408" t="str">
        <f t="shared" si="334"/>
        <v/>
      </c>
      <c r="O1419" s="408"/>
      <c r="P1419" s="408"/>
      <c r="Q1419" s="408"/>
      <c r="R1419" s="408"/>
      <c r="S1419" s="408"/>
      <c r="T1419" s="408"/>
      <c r="U1419" s="527" t="s">
        <v>3164</v>
      </c>
      <c r="V1419" s="421"/>
      <c r="W1419" s="421"/>
      <c r="X1419" s="421"/>
      <c r="Y1419" s="421"/>
      <c r="Z1419" s="421"/>
      <c r="AA1419" s="421"/>
      <c r="AB1419" s="421"/>
      <c r="AC1419" s="421"/>
      <c r="AD1419" s="421"/>
      <c r="AE1419" s="421"/>
      <c r="AF1419" s="421"/>
      <c r="AG1419" s="421"/>
      <c r="AH1419" s="421"/>
      <c r="AI1419" s="421"/>
      <c r="AJ1419" s="421"/>
      <c r="AK1419" s="421"/>
      <c r="AL1419" s="421"/>
    </row>
    <row r="1420" spans="1:38">
      <c r="A1420" s="3">
        <v>6130</v>
      </c>
      <c r="B1420" s="83">
        <f t="array" ref="B1420">SUM(--(FREQUENCY(IF(C$2:C$3090=C1420, MATCH(D$2:D$3090, D$2:D$3090, 0)), ROW(D$2:D$3090)-ROW(D$2)+1) &gt; 0))</f>
        <v>24</v>
      </c>
      <c r="C1420" s="3">
        <v>41200122</v>
      </c>
      <c r="D1420" s="6" t="s">
        <v>3165</v>
      </c>
      <c r="E1420" s="3" t="s">
        <v>1585</v>
      </c>
      <c r="F1420" s="3" t="s">
        <v>1476</v>
      </c>
      <c r="G1420" s="68" t="str">
        <f t="shared" si="340"/>
        <v>DUAL</v>
      </c>
      <c r="H1420" s="197">
        <f t="shared" ref="H1420:H1424" si="348">WEEKNUM(K1420)</f>
        <v>44</v>
      </c>
      <c r="I1420" s="197">
        <v>10</v>
      </c>
      <c r="J1420" s="197">
        <v>28</v>
      </c>
      <c r="K1420" s="186">
        <f t="shared" ref="K1420:K1424" si="349">DATE(2025, I1420, J1420)</f>
        <v>45958</v>
      </c>
      <c r="L1420" s="3" t="s">
        <v>2391</v>
      </c>
      <c r="M1420" s="3" t="s">
        <v>2392</v>
      </c>
      <c r="N1420" s="408" t="str">
        <f t="shared" si="334"/>
        <v/>
      </c>
      <c r="O1420" s="408"/>
      <c r="P1420" s="408"/>
      <c r="Q1420" s="408"/>
      <c r="R1420" s="408"/>
      <c r="S1420" s="408"/>
      <c r="T1420" s="408"/>
      <c r="U1420" s="408"/>
      <c r="V1420" s="421"/>
      <c r="W1420" s="421"/>
      <c r="X1420" s="421"/>
      <c r="Y1420" s="421"/>
      <c r="Z1420" s="421"/>
      <c r="AA1420" s="421"/>
      <c r="AB1420" s="421"/>
      <c r="AC1420" s="421"/>
      <c r="AD1420" s="421"/>
      <c r="AE1420" s="421"/>
      <c r="AF1420" s="421"/>
      <c r="AG1420" s="421"/>
      <c r="AH1420" s="421"/>
      <c r="AI1420" s="421"/>
      <c r="AJ1420" s="421"/>
      <c r="AK1420" s="421"/>
      <c r="AL1420" s="421"/>
    </row>
    <row r="1421" spans="1:38">
      <c r="A1421" s="3">
        <v>6145</v>
      </c>
      <c r="B1421" s="83">
        <f t="array" ref="B1421">SUM(--(FREQUENCY(IF(C$2:C$3090=C1421, MATCH(D$2:D$3090, D$2:D$3090, 0)), ROW(D$2:D$3090)-ROW(D$2)+1) &gt; 0))</f>
        <v>18</v>
      </c>
      <c r="C1421" s="3">
        <v>41200171</v>
      </c>
      <c r="D1421" s="6" t="s">
        <v>3166</v>
      </c>
      <c r="E1421" s="3" t="s">
        <v>1394</v>
      </c>
      <c r="F1421" s="3" t="s">
        <v>1479</v>
      </c>
      <c r="G1421" s="68" t="str">
        <f t="shared" si="340"/>
        <v>SINGLE</v>
      </c>
      <c r="H1421" s="197">
        <f t="shared" si="348"/>
        <v>44</v>
      </c>
      <c r="I1421" s="197">
        <v>10</v>
      </c>
      <c r="J1421" s="197">
        <v>28</v>
      </c>
      <c r="K1421" s="186">
        <f t="shared" si="349"/>
        <v>45958</v>
      </c>
      <c r="L1421" s="3" t="s">
        <v>2391</v>
      </c>
      <c r="M1421" s="3" t="s">
        <v>1468</v>
      </c>
      <c r="N1421" s="408" t="str">
        <f t="shared" si="334"/>
        <v/>
      </c>
      <c r="O1421" s="408"/>
      <c r="P1421" s="408"/>
      <c r="Q1421" s="408"/>
      <c r="R1421" s="408"/>
      <c r="S1421" s="408"/>
      <c r="T1421" s="408"/>
      <c r="U1421" s="408"/>
      <c r="V1421" s="421"/>
      <c r="W1421" s="421"/>
      <c r="X1421" s="421"/>
      <c r="Y1421" s="421"/>
      <c r="Z1421" s="421"/>
      <c r="AA1421" s="421"/>
      <c r="AB1421" s="421"/>
      <c r="AC1421" s="421"/>
      <c r="AD1421" s="421"/>
      <c r="AE1421" s="421"/>
      <c r="AF1421" s="421"/>
      <c r="AG1421" s="421"/>
      <c r="AH1421" s="421"/>
      <c r="AI1421" s="421"/>
      <c r="AJ1421" s="421"/>
      <c r="AK1421" s="421"/>
      <c r="AL1421" s="421"/>
    </row>
    <row r="1422" spans="1:38">
      <c r="A1422" s="3">
        <v>6214</v>
      </c>
      <c r="B1422" s="83">
        <f t="array" ref="B1422">SUM(--(FREQUENCY(IF(C$2:C$3090=C1422, MATCH(D$2:D$3090, D$2:D$3090, 0)), ROW(D$2:D$3090)-ROW(D$2)+1) &gt; 0))</f>
        <v>6</v>
      </c>
      <c r="C1422" s="3">
        <v>41200184</v>
      </c>
      <c r="D1422" s="6" t="s">
        <v>3167</v>
      </c>
      <c r="E1422" s="3" t="s">
        <v>1394</v>
      </c>
      <c r="F1422" s="3" t="s">
        <v>1479</v>
      </c>
      <c r="G1422" s="68" t="str">
        <f t="shared" si="340"/>
        <v>SINGLE</v>
      </c>
      <c r="H1422" s="197">
        <f t="shared" si="348"/>
        <v>44</v>
      </c>
      <c r="I1422" s="197">
        <v>10</v>
      </c>
      <c r="J1422" s="197">
        <v>28</v>
      </c>
      <c r="K1422" s="186">
        <f t="shared" si="349"/>
        <v>45958</v>
      </c>
      <c r="L1422" s="3" t="s">
        <v>2391</v>
      </c>
      <c r="M1422" s="3" t="s">
        <v>1468</v>
      </c>
      <c r="N1422" s="408" t="str">
        <f t="shared" si="334"/>
        <v/>
      </c>
      <c r="O1422" s="408"/>
      <c r="P1422" s="408"/>
      <c r="Q1422" s="408"/>
      <c r="R1422" s="408"/>
      <c r="S1422" s="408"/>
      <c r="T1422" s="408"/>
      <c r="U1422" s="408"/>
      <c r="V1422" s="421"/>
      <c r="W1422" s="421"/>
      <c r="X1422" s="421"/>
      <c r="Y1422" s="421"/>
      <c r="Z1422" s="421"/>
      <c r="AA1422" s="421"/>
      <c r="AB1422" s="421"/>
      <c r="AC1422" s="421"/>
      <c r="AD1422" s="421"/>
      <c r="AE1422" s="421"/>
      <c r="AF1422" s="421"/>
      <c r="AG1422" s="421"/>
      <c r="AH1422" s="421"/>
      <c r="AI1422" s="421"/>
      <c r="AJ1422" s="421"/>
      <c r="AK1422" s="421"/>
      <c r="AL1422" s="421"/>
    </row>
    <row r="1423" spans="1:38">
      <c r="A1423" s="3">
        <v>5935</v>
      </c>
      <c r="B1423" s="83">
        <f t="array" ref="B1423">SUM(--(FREQUENCY(IF(C$2:C$3090=C1423, MATCH(D$2:D$3090, D$2:D$3090, 0)), ROW(D$2:D$3090)-ROW(D$2)+1) &gt; 0))</f>
        <v>24</v>
      </c>
      <c r="C1423" s="3">
        <v>41200122</v>
      </c>
      <c r="D1423" s="6" t="s">
        <v>3168</v>
      </c>
      <c r="E1423" s="3" t="s">
        <v>1585</v>
      </c>
      <c r="F1423" s="3" t="s">
        <v>1476</v>
      </c>
      <c r="G1423" s="68" t="str">
        <f t="shared" si="340"/>
        <v>DUAL</v>
      </c>
      <c r="H1423" s="197">
        <f t="shared" si="348"/>
        <v>44</v>
      </c>
      <c r="I1423" s="197">
        <v>10</v>
      </c>
      <c r="J1423" s="197">
        <v>28</v>
      </c>
      <c r="K1423" s="186">
        <f t="shared" si="349"/>
        <v>45958</v>
      </c>
      <c r="L1423" s="3" t="s">
        <v>2395</v>
      </c>
      <c r="M1423" s="3" t="s">
        <v>1469</v>
      </c>
      <c r="N1423" s="408" t="str">
        <f t="shared" si="334"/>
        <v/>
      </c>
      <c r="O1423" s="408"/>
      <c r="P1423" s="408"/>
      <c r="Q1423" s="408"/>
      <c r="R1423" s="408"/>
      <c r="S1423" s="408"/>
      <c r="T1423" s="408"/>
      <c r="U1423" s="408"/>
      <c r="V1423" s="421"/>
      <c r="W1423" s="421"/>
      <c r="X1423" s="421"/>
      <c r="Y1423" s="421"/>
      <c r="Z1423" s="421"/>
      <c r="AA1423" s="421"/>
      <c r="AB1423" s="421"/>
      <c r="AC1423" s="421"/>
      <c r="AD1423" s="421"/>
      <c r="AE1423" s="421"/>
      <c r="AF1423" s="421"/>
      <c r="AG1423" s="421"/>
      <c r="AH1423" s="421"/>
      <c r="AI1423" s="421"/>
      <c r="AJ1423" s="421"/>
      <c r="AK1423" s="421"/>
      <c r="AL1423" s="421"/>
    </row>
    <row r="1424" spans="1:38">
      <c r="A1424" s="3">
        <v>6130</v>
      </c>
      <c r="B1424" s="83">
        <f t="array" ref="B1424">SUM(--(FREQUENCY(IF(C$2:C$3090=C1424, MATCH(D$2:D$3090, D$2:D$3090, 0)), ROW(D$2:D$3090)-ROW(D$2)+1) &gt; 0))</f>
        <v>24</v>
      </c>
      <c r="C1424" s="3">
        <v>41200122</v>
      </c>
      <c r="D1424" s="6" t="s">
        <v>3169</v>
      </c>
      <c r="E1424" s="3" t="s">
        <v>1585</v>
      </c>
      <c r="F1424" s="3" t="s">
        <v>1476</v>
      </c>
      <c r="G1424" s="68" t="str">
        <f t="shared" si="340"/>
        <v>DUAL</v>
      </c>
      <c r="H1424" s="197">
        <f t="shared" si="348"/>
        <v>44</v>
      </c>
      <c r="I1424" s="197">
        <v>10</v>
      </c>
      <c r="J1424" s="197">
        <v>28</v>
      </c>
      <c r="K1424" s="186">
        <f t="shared" si="349"/>
        <v>45958</v>
      </c>
      <c r="L1424" s="3" t="s">
        <v>2391</v>
      </c>
      <c r="M1424" s="3" t="s">
        <v>2392</v>
      </c>
      <c r="N1424" s="408" t="str">
        <f t="shared" si="334"/>
        <v/>
      </c>
      <c r="O1424" s="408"/>
      <c r="P1424" s="408"/>
      <c r="Q1424" s="408"/>
      <c r="R1424" s="408"/>
      <c r="S1424" s="408"/>
      <c r="T1424" s="408"/>
      <c r="U1424" s="408"/>
      <c r="V1424" s="421"/>
      <c r="W1424" s="421"/>
      <c r="X1424" s="421"/>
      <c r="Y1424" s="421"/>
      <c r="Z1424" s="421"/>
      <c r="AA1424" s="421"/>
      <c r="AB1424" s="421"/>
      <c r="AC1424" s="421"/>
      <c r="AD1424" s="421"/>
      <c r="AE1424" s="421"/>
      <c r="AF1424" s="421"/>
      <c r="AG1424" s="421"/>
      <c r="AH1424" s="421"/>
      <c r="AI1424" s="421"/>
      <c r="AJ1424" s="421"/>
      <c r="AK1424" s="421"/>
      <c r="AL1424" s="421"/>
    </row>
    <row r="1425" spans="1:38">
      <c r="A1425" s="3">
        <v>6162</v>
      </c>
      <c r="B1425" s="83">
        <f t="array" ref="B1425">SUM(--(FREQUENCY(IF(C$2:C$3091=C1425, MATCH(D$2:D$3091, D$2:D$3091, 0)), ROW(D$2:D$3091)-ROW(D$2)+1) &gt; 0))</f>
        <v>4</v>
      </c>
      <c r="C1425" s="3">
        <v>41000514</v>
      </c>
      <c r="D1425" s="6" t="s">
        <v>3170</v>
      </c>
      <c r="E1425" s="3" t="s">
        <v>1405</v>
      </c>
      <c r="F1425" s="3" t="s">
        <v>1581</v>
      </c>
      <c r="G1425" s="68" t="str">
        <f t="shared" ref="G1425:G1456" si="350">IF(OR(ISNUMBER(SEARCH("DUAL",F1425)), ISNUMBER(SEARCH("IVAS",F1425))), "DUAL", "SINGLE")</f>
        <v>DUAL</v>
      </c>
      <c r="H1425" s="197">
        <f t="shared" ref="H1425:H1426" si="351">WEEKNUM(K1425)</f>
        <v>44</v>
      </c>
      <c r="I1425" s="197">
        <v>10</v>
      </c>
      <c r="J1425" s="197">
        <v>28</v>
      </c>
      <c r="K1425" s="186">
        <f t="shared" ref="K1425:K1426" si="352">DATE(2025, I1425, J1425)</f>
        <v>45958</v>
      </c>
      <c r="L1425" s="3" t="s">
        <v>2392</v>
      </c>
      <c r="M1425" s="3" t="s">
        <v>2392</v>
      </c>
      <c r="N1425" s="408" t="str">
        <f t="shared" si="334"/>
        <v/>
      </c>
      <c r="O1425" s="408"/>
      <c r="P1425" s="408"/>
      <c r="Q1425" s="408"/>
      <c r="R1425" s="408"/>
      <c r="S1425" s="408"/>
      <c r="T1425" s="408"/>
      <c r="U1425" s="408"/>
      <c r="V1425" s="421"/>
      <c r="W1425" s="421"/>
      <c r="X1425" s="421"/>
      <c r="Y1425" s="421"/>
      <c r="Z1425" s="421"/>
      <c r="AA1425" s="421"/>
      <c r="AB1425" s="421"/>
      <c r="AC1425" s="421"/>
      <c r="AD1425" s="421"/>
      <c r="AE1425" s="421"/>
      <c r="AF1425" s="421"/>
      <c r="AG1425" s="421"/>
      <c r="AH1425" s="421"/>
      <c r="AI1425" s="421"/>
      <c r="AJ1425" s="421"/>
      <c r="AK1425" s="421"/>
      <c r="AL1425" s="421"/>
    </row>
    <row r="1426" spans="1:38">
      <c r="A1426" s="3">
        <v>6162</v>
      </c>
      <c r="B1426" s="83">
        <f t="array" ref="B1426">SUM(--(FREQUENCY(IF(C$2:C$3091=C1426, MATCH(D$2:D$3091, D$2:D$3091, 0)), ROW(D$2:D$3091)-ROW(D$2)+1) &gt; 0))</f>
        <v>4</v>
      </c>
      <c r="C1426" s="3">
        <v>41000514</v>
      </c>
      <c r="D1426" s="6" t="s">
        <v>3171</v>
      </c>
      <c r="E1426" s="3" t="s">
        <v>1405</v>
      </c>
      <c r="F1426" s="3" t="s">
        <v>1581</v>
      </c>
      <c r="G1426" s="68" t="str">
        <f t="shared" si="350"/>
        <v>DUAL</v>
      </c>
      <c r="H1426" s="197">
        <f t="shared" si="351"/>
        <v>44</v>
      </c>
      <c r="I1426" s="197">
        <v>10</v>
      </c>
      <c r="J1426" s="197">
        <v>28</v>
      </c>
      <c r="K1426" s="186">
        <f t="shared" si="352"/>
        <v>45958</v>
      </c>
      <c r="L1426" s="3" t="s">
        <v>2392</v>
      </c>
      <c r="M1426" s="3" t="s">
        <v>2392</v>
      </c>
      <c r="N1426" s="408" t="str">
        <f t="shared" si="334"/>
        <v>NG</v>
      </c>
      <c r="O1426" s="408" t="s">
        <v>2368</v>
      </c>
      <c r="P1426" s="408" t="s">
        <v>2371</v>
      </c>
      <c r="Q1426" s="408">
        <v>11008273</v>
      </c>
      <c r="R1426" s="408" t="s">
        <v>816</v>
      </c>
      <c r="S1426" s="408" t="s">
        <v>3172</v>
      </c>
      <c r="T1426" s="408"/>
      <c r="U1426" s="408"/>
      <c r="V1426" s="421"/>
      <c r="W1426" s="421"/>
      <c r="X1426" s="421"/>
      <c r="Y1426" s="421"/>
      <c r="Z1426" s="421"/>
      <c r="AA1426" s="421"/>
      <c r="AB1426" s="421"/>
      <c r="AC1426" s="421"/>
      <c r="AD1426" s="421"/>
      <c r="AE1426" s="421"/>
      <c r="AF1426" s="421"/>
      <c r="AG1426" s="421"/>
      <c r="AH1426" s="421"/>
      <c r="AI1426" s="421"/>
      <c r="AJ1426" s="421"/>
      <c r="AK1426" s="421"/>
      <c r="AL1426" s="421"/>
    </row>
    <row r="1427" spans="1:38">
      <c r="A1427" s="3">
        <v>6214</v>
      </c>
      <c r="B1427" s="83">
        <f t="array" ref="B1427">SUM(--(FREQUENCY(IF(C$2:C$3092=C1427, MATCH(D$2:D$3092, D$2:D$3092, 0)), ROW(D$2:D$3092)-ROW(D$2)+1) &gt; 0))</f>
        <v>6</v>
      </c>
      <c r="C1427" s="3">
        <v>41200184</v>
      </c>
      <c r="D1427" s="6" t="s">
        <v>3173</v>
      </c>
      <c r="E1427" s="3" t="s">
        <v>1394</v>
      </c>
      <c r="F1427" s="3" t="s">
        <v>1479</v>
      </c>
      <c r="G1427" s="68" t="str">
        <f t="shared" si="350"/>
        <v>SINGLE</v>
      </c>
      <c r="H1427" s="197">
        <f t="shared" ref="H1427:H1436" si="353">WEEKNUM(K1427)</f>
        <v>44</v>
      </c>
      <c r="I1427" s="197">
        <v>10</v>
      </c>
      <c r="J1427" s="197">
        <v>29</v>
      </c>
      <c r="K1427" s="186">
        <f t="shared" ref="K1427:K1436" si="354">DATE(2025, I1427, J1427)</f>
        <v>45959</v>
      </c>
      <c r="L1427" s="3" t="s">
        <v>2391</v>
      </c>
      <c r="M1427" s="3" t="s">
        <v>1468</v>
      </c>
      <c r="N1427" s="408" t="str">
        <f t="shared" si="334"/>
        <v/>
      </c>
      <c r="O1427" s="408"/>
      <c r="P1427" s="408"/>
      <c r="Q1427" s="408"/>
      <c r="R1427" s="408"/>
      <c r="S1427" s="408"/>
      <c r="T1427" s="408"/>
      <c r="U1427" s="408"/>
      <c r="V1427" s="421"/>
      <c r="W1427" s="421"/>
      <c r="X1427" s="421"/>
      <c r="Y1427" s="421"/>
      <c r="Z1427" s="421"/>
      <c r="AA1427" s="421"/>
      <c r="AB1427" s="421"/>
      <c r="AC1427" s="421"/>
      <c r="AD1427" s="421"/>
      <c r="AE1427" s="421"/>
      <c r="AF1427" s="421"/>
      <c r="AG1427" s="421"/>
      <c r="AH1427" s="421"/>
      <c r="AI1427" s="421"/>
      <c r="AJ1427" s="421"/>
      <c r="AK1427" s="421"/>
      <c r="AL1427" s="421"/>
    </row>
    <row r="1428" spans="1:38">
      <c r="A1428" s="3">
        <v>6214</v>
      </c>
      <c r="B1428" s="83">
        <f t="array" ref="B1428">SUM(--(FREQUENCY(IF(C$2:C$3092=C1428, MATCH(D$2:D$3092, D$2:D$3092, 0)), ROW(D$2:D$3092)-ROW(D$2)+1) &gt; 0))</f>
        <v>6</v>
      </c>
      <c r="C1428" s="3">
        <v>41200184</v>
      </c>
      <c r="D1428" s="6" t="s">
        <v>3174</v>
      </c>
      <c r="E1428" s="3" t="s">
        <v>1394</v>
      </c>
      <c r="F1428" s="3" t="s">
        <v>1479</v>
      </c>
      <c r="G1428" s="68" t="str">
        <f t="shared" si="350"/>
        <v>SINGLE</v>
      </c>
      <c r="H1428" s="197">
        <f t="shared" si="353"/>
        <v>44</v>
      </c>
      <c r="I1428" s="197">
        <v>10</v>
      </c>
      <c r="J1428" s="197">
        <v>29</v>
      </c>
      <c r="K1428" s="186">
        <f t="shared" si="354"/>
        <v>45959</v>
      </c>
      <c r="L1428" s="3" t="s">
        <v>2391</v>
      </c>
      <c r="M1428" s="3" t="s">
        <v>1468</v>
      </c>
      <c r="N1428" s="408" t="str">
        <f t="shared" si="334"/>
        <v/>
      </c>
      <c r="O1428" s="408"/>
      <c r="P1428" s="408"/>
      <c r="Q1428" s="408"/>
      <c r="R1428" s="408"/>
      <c r="S1428" s="408"/>
      <c r="T1428" s="408"/>
      <c r="U1428" s="408"/>
      <c r="V1428" s="421"/>
      <c r="W1428" s="421"/>
      <c r="X1428" s="421"/>
      <c r="Y1428" s="421"/>
      <c r="Z1428" s="421"/>
      <c r="AA1428" s="421"/>
      <c r="AB1428" s="421"/>
      <c r="AC1428" s="421"/>
      <c r="AD1428" s="421"/>
      <c r="AE1428" s="421"/>
      <c r="AF1428" s="421"/>
      <c r="AG1428" s="421"/>
      <c r="AH1428" s="421"/>
      <c r="AI1428" s="421"/>
      <c r="AJ1428" s="421"/>
      <c r="AK1428" s="421"/>
      <c r="AL1428" s="421"/>
    </row>
    <row r="1429" spans="1:38">
      <c r="A1429" s="3">
        <v>5935</v>
      </c>
      <c r="B1429" s="83">
        <f t="array" ref="B1429">SUM(--(FREQUENCY(IF(C$2:C$3092=C1429, MATCH(D$2:D$3092, D$2:D$3092, 0)), ROW(D$2:D$3092)-ROW(D$2)+1) &gt; 0))</f>
        <v>24</v>
      </c>
      <c r="C1429" s="3">
        <v>41200122</v>
      </c>
      <c r="D1429" s="6" t="s">
        <v>3175</v>
      </c>
      <c r="E1429" s="3" t="s">
        <v>1585</v>
      </c>
      <c r="F1429" s="3" t="s">
        <v>1476</v>
      </c>
      <c r="G1429" s="68" t="str">
        <f t="shared" si="350"/>
        <v>DUAL</v>
      </c>
      <c r="H1429" s="197">
        <f t="shared" si="353"/>
        <v>44</v>
      </c>
      <c r="I1429" s="197">
        <v>10</v>
      </c>
      <c r="J1429" s="197">
        <v>29</v>
      </c>
      <c r="K1429" s="186">
        <f t="shared" si="354"/>
        <v>45959</v>
      </c>
      <c r="L1429" s="3" t="s">
        <v>2395</v>
      </c>
      <c r="M1429" s="3" t="s">
        <v>1469</v>
      </c>
      <c r="N1429" s="408" t="str">
        <f t="shared" si="334"/>
        <v/>
      </c>
      <c r="O1429" s="408"/>
      <c r="P1429" s="408"/>
      <c r="Q1429" s="408"/>
      <c r="R1429" s="408"/>
      <c r="S1429" s="408"/>
      <c r="T1429" s="408"/>
      <c r="U1429" s="408"/>
      <c r="V1429" s="421"/>
      <c r="W1429" s="421"/>
      <c r="X1429" s="421"/>
      <c r="Y1429" s="421"/>
      <c r="Z1429" s="421"/>
      <c r="AA1429" s="421"/>
      <c r="AB1429" s="421"/>
      <c r="AC1429" s="421"/>
      <c r="AD1429" s="421"/>
      <c r="AE1429" s="421"/>
      <c r="AF1429" s="421"/>
      <c r="AG1429" s="421"/>
      <c r="AH1429" s="421"/>
      <c r="AI1429" s="421"/>
      <c r="AJ1429" s="421"/>
      <c r="AK1429" s="421"/>
      <c r="AL1429" s="421"/>
    </row>
    <row r="1430" spans="1:38">
      <c r="A1430" s="3">
        <v>5981</v>
      </c>
      <c r="B1430" s="83">
        <f t="array" ref="B1430">SUM(--(FREQUENCY(IF(C$2:C$3092=C1430, MATCH(D$2:D$3092, D$2:D$3092, 0)), ROW(D$2:D$3092)-ROW(D$2)+1) &gt; 0))</f>
        <v>76</v>
      </c>
      <c r="C1430" s="3">
        <v>41200007</v>
      </c>
      <c r="D1430" s="6" t="s">
        <v>3176</v>
      </c>
      <c r="E1430" s="3" t="s">
        <v>1405</v>
      </c>
      <c r="F1430" s="3" t="s">
        <v>1591</v>
      </c>
      <c r="G1430" s="68" t="str">
        <f t="shared" si="350"/>
        <v>SINGLE</v>
      </c>
      <c r="H1430" s="197">
        <f t="shared" si="353"/>
        <v>44</v>
      </c>
      <c r="I1430" s="197">
        <v>10</v>
      </c>
      <c r="J1430" s="197">
        <v>29</v>
      </c>
      <c r="K1430" s="186">
        <f t="shared" si="354"/>
        <v>45959</v>
      </c>
      <c r="L1430" s="3" t="s">
        <v>2391</v>
      </c>
      <c r="M1430" s="3" t="s">
        <v>2392</v>
      </c>
      <c r="N1430" s="408" t="str">
        <f t="shared" si="334"/>
        <v/>
      </c>
      <c r="O1430" s="408"/>
      <c r="P1430" s="408"/>
      <c r="Q1430" s="408"/>
      <c r="R1430" s="408"/>
      <c r="S1430" s="408"/>
      <c r="T1430" s="408"/>
      <c r="U1430" s="408"/>
      <c r="V1430" s="421"/>
      <c r="W1430" s="421"/>
      <c r="X1430" s="421"/>
      <c r="Y1430" s="421"/>
      <c r="Z1430" s="421"/>
      <c r="AA1430" s="421"/>
      <c r="AB1430" s="421"/>
      <c r="AC1430" s="421"/>
      <c r="AD1430" s="421"/>
      <c r="AE1430" s="421"/>
      <c r="AF1430" s="421"/>
      <c r="AG1430" s="421"/>
      <c r="AH1430" s="421"/>
      <c r="AI1430" s="421"/>
      <c r="AJ1430" s="421"/>
      <c r="AK1430" s="421"/>
      <c r="AL1430" s="421"/>
    </row>
    <row r="1431" spans="1:38">
      <c r="A1431" s="3">
        <v>5981</v>
      </c>
      <c r="B1431" s="83">
        <f t="array" ref="B1431">SUM(--(FREQUENCY(IF(C$2:C$3092=C1431, MATCH(D$2:D$3092, D$2:D$3092, 0)), ROW(D$2:D$3092)-ROW(D$2)+1) &gt; 0))</f>
        <v>76</v>
      </c>
      <c r="C1431" s="3">
        <v>41200007</v>
      </c>
      <c r="D1431" s="6" t="s">
        <v>3177</v>
      </c>
      <c r="E1431" s="3" t="s">
        <v>1405</v>
      </c>
      <c r="F1431" s="3" t="s">
        <v>1591</v>
      </c>
      <c r="G1431" s="68" t="str">
        <f t="shared" si="350"/>
        <v>SINGLE</v>
      </c>
      <c r="H1431" s="197">
        <f t="shared" si="353"/>
        <v>44</v>
      </c>
      <c r="I1431" s="197">
        <v>10</v>
      </c>
      <c r="J1431" s="197">
        <v>29</v>
      </c>
      <c r="K1431" s="186">
        <f t="shared" si="354"/>
        <v>45959</v>
      </c>
      <c r="L1431" s="3" t="s">
        <v>2391</v>
      </c>
      <c r="M1431" s="3" t="s">
        <v>2392</v>
      </c>
      <c r="N1431" s="408" t="str">
        <f t="shared" si="334"/>
        <v/>
      </c>
      <c r="O1431" s="408"/>
      <c r="P1431" s="408"/>
      <c r="Q1431" s="408"/>
      <c r="R1431" s="408"/>
      <c r="S1431" s="408"/>
      <c r="T1431" s="408"/>
      <c r="U1431" s="408"/>
      <c r="V1431" s="421"/>
      <c r="W1431" s="421"/>
      <c r="X1431" s="421"/>
      <c r="Y1431" s="421"/>
      <c r="Z1431" s="421"/>
      <c r="AA1431" s="421"/>
      <c r="AB1431" s="421"/>
      <c r="AC1431" s="421"/>
      <c r="AD1431" s="421"/>
      <c r="AE1431" s="421"/>
      <c r="AF1431" s="421"/>
      <c r="AG1431" s="421"/>
      <c r="AH1431" s="421"/>
      <c r="AI1431" s="421"/>
      <c r="AJ1431" s="421"/>
      <c r="AK1431" s="421"/>
      <c r="AL1431" s="421"/>
    </row>
    <row r="1432" spans="1:38">
      <c r="A1432" s="3">
        <v>5981</v>
      </c>
      <c r="B1432" s="83">
        <f t="array" ref="B1432">SUM(--(FREQUENCY(IF(C$2:C$3092=C1432, MATCH(D$2:D$3092, D$2:D$3092, 0)), ROW(D$2:D$3092)-ROW(D$2)+1) &gt; 0))</f>
        <v>76</v>
      </c>
      <c r="C1432" s="3">
        <v>41200007</v>
      </c>
      <c r="D1432" s="6" t="s">
        <v>3178</v>
      </c>
      <c r="E1432" s="3" t="s">
        <v>1405</v>
      </c>
      <c r="F1432" s="3" t="s">
        <v>1591</v>
      </c>
      <c r="G1432" s="68" t="str">
        <f t="shared" si="350"/>
        <v>SINGLE</v>
      </c>
      <c r="H1432" s="197">
        <f t="shared" si="353"/>
        <v>44</v>
      </c>
      <c r="I1432" s="197">
        <v>10</v>
      </c>
      <c r="J1432" s="197">
        <v>29</v>
      </c>
      <c r="K1432" s="186">
        <f t="shared" si="354"/>
        <v>45959</v>
      </c>
      <c r="L1432" s="3" t="s">
        <v>2391</v>
      </c>
      <c r="M1432" s="3" t="s">
        <v>2392</v>
      </c>
      <c r="N1432" s="408" t="str">
        <f t="shared" si="334"/>
        <v/>
      </c>
      <c r="O1432" s="408"/>
      <c r="P1432" s="408"/>
      <c r="Q1432" s="408"/>
      <c r="R1432" s="408"/>
      <c r="S1432" s="408"/>
      <c r="T1432" s="408"/>
      <c r="U1432" s="408"/>
      <c r="V1432" s="421"/>
      <c r="W1432" s="421"/>
      <c r="X1432" s="421"/>
      <c r="Y1432" s="421"/>
      <c r="Z1432" s="421"/>
      <c r="AA1432" s="421"/>
      <c r="AB1432" s="421"/>
      <c r="AC1432" s="421"/>
      <c r="AD1432" s="421"/>
      <c r="AE1432" s="421"/>
      <c r="AF1432" s="421"/>
      <c r="AG1432" s="421"/>
      <c r="AH1432" s="421"/>
      <c r="AI1432" s="421"/>
      <c r="AJ1432" s="421"/>
      <c r="AK1432" s="421"/>
      <c r="AL1432" s="421"/>
    </row>
    <row r="1433" spans="1:38">
      <c r="A1433" s="3">
        <v>6109</v>
      </c>
      <c r="B1433" s="83">
        <f t="array" ref="B1433">SUM(--(FREQUENCY(IF(C$2:C$3092=C1433, MATCH(D$2:D$3092, D$2:D$3092, 0)), ROW(D$2:D$3092)-ROW(D$2)+1) &gt; 0))</f>
        <v>7</v>
      </c>
      <c r="C1433" s="3">
        <v>41100665</v>
      </c>
      <c r="D1433" s="6" t="s">
        <v>3179</v>
      </c>
      <c r="E1433" s="3" t="s">
        <v>1416</v>
      </c>
      <c r="F1433" s="3" t="s">
        <v>3180</v>
      </c>
      <c r="G1433" s="68" t="str">
        <f t="shared" si="350"/>
        <v>SINGLE</v>
      </c>
      <c r="H1433" s="197">
        <f t="shared" si="353"/>
        <v>44</v>
      </c>
      <c r="I1433" s="197">
        <v>10</v>
      </c>
      <c r="J1433" s="197">
        <v>29</v>
      </c>
      <c r="K1433" s="186">
        <f t="shared" si="354"/>
        <v>45959</v>
      </c>
      <c r="L1433" s="3" t="s">
        <v>2395</v>
      </c>
      <c r="M1433" s="3" t="s">
        <v>1469</v>
      </c>
      <c r="N1433" s="408" t="str">
        <f t="shared" si="334"/>
        <v/>
      </c>
      <c r="O1433" s="408"/>
      <c r="P1433" s="408"/>
      <c r="Q1433" s="408"/>
      <c r="R1433" s="408"/>
      <c r="S1433" s="408"/>
      <c r="T1433" s="408"/>
      <c r="U1433" s="408"/>
      <c r="V1433" s="421"/>
      <c r="W1433" s="421"/>
      <c r="X1433" s="421"/>
      <c r="Y1433" s="421"/>
      <c r="Z1433" s="421"/>
      <c r="AA1433" s="421"/>
      <c r="AB1433" s="421"/>
      <c r="AC1433" s="421"/>
      <c r="AD1433" s="421"/>
      <c r="AE1433" s="421"/>
      <c r="AF1433" s="421"/>
      <c r="AG1433" s="421"/>
      <c r="AH1433" s="421"/>
      <c r="AI1433" s="421"/>
      <c r="AJ1433" s="421"/>
      <c r="AK1433" s="421"/>
      <c r="AL1433" s="421"/>
    </row>
    <row r="1434" spans="1:38">
      <c r="A1434" s="3">
        <v>6080</v>
      </c>
      <c r="B1434" s="83">
        <f t="array" ref="B1434">SUM(--(FREQUENCY(IF(C$2:C$3092=C1434, MATCH(D$2:D$3092, D$2:D$3092, 0)), ROW(D$2:D$3092)-ROW(D$2)+1) &gt; 0))</f>
        <v>76</v>
      </c>
      <c r="C1434" s="3">
        <v>41200007</v>
      </c>
      <c r="D1434" s="6" t="s">
        <v>3181</v>
      </c>
      <c r="E1434" s="3" t="s">
        <v>1405</v>
      </c>
      <c r="F1434" s="3" t="s">
        <v>1591</v>
      </c>
      <c r="G1434" s="68" t="str">
        <f t="shared" si="350"/>
        <v>SINGLE</v>
      </c>
      <c r="H1434" s="197">
        <f t="shared" si="353"/>
        <v>44</v>
      </c>
      <c r="I1434" s="197">
        <v>10</v>
      </c>
      <c r="J1434" s="197">
        <v>29</v>
      </c>
      <c r="K1434" s="186">
        <f t="shared" si="354"/>
        <v>45959</v>
      </c>
      <c r="L1434" s="3" t="s">
        <v>2395</v>
      </c>
      <c r="M1434" s="3" t="s">
        <v>1469</v>
      </c>
      <c r="N1434" s="408" t="str">
        <f t="shared" si="334"/>
        <v/>
      </c>
      <c r="O1434" s="408"/>
      <c r="P1434" s="408"/>
      <c r="Q1434" s="408"/>
      <c r="R1434" s="408"/>
      <c r="S1434" s="408"/>
      <c r="T1434" s="408"/>
      <c r="U1434" s="408"/>
      <c r="V1434" s="421"/>
      <c r="W1434" s="421"/>
      <c r="X1434" s="421"/>
      <c r="Y1434" s="421"/>
      <c r="Z1434" s="421"/>
      <c r="AA1434" s="421"/>
      <c r="AB1434" s="421"/>
      <c r="AC1434" s="421"/>
      <c r="AD1434" s="421"/>
      <c r="AE1434" s="421"/>
      <c r="AF1434" s="421"/>
      <c r="AG1434" s="421"/>
      <c r="AH1434" s="421"/>
      <c r="AI1434" s="421"/>
      <c r="AJ1434" s="421"/>
      <c r="AK1434" s="421"/>
      <c r="AL1434" s="421"/>
    </row>
    <row r="1435" spans="1:38">
      <c r="A1435" s="3">
        <v>6080</v>
      </c>
      <c r="B1435" s="83">
        <f t="array" ref="B1435">SUM(--(FREQUENCY(IF(C$2:C$3092=C1435, MATCH(D$2:D$3092, D$2:D$3092, 0)), ROW(D$2:D$3092)-ROW(D$2)+1) &gt; 0))</f>
        <v>76</v>
      </c>
      <c r="C1435" s="3">
        <v>41200007</v>
      </c>
      <c r="D1435" s="6" t="s">
        <v>3182</v>
      </c>
      <c r="E1435" s="3" t="s">
        <v>1405</v>
      </c>
      <c r="F1435" s="3" t="s">
        <v>1591</v>
      </c>
      <c r="G1435" s="68" t="str">
        <f t="shared" si="350"/>
        <v>SINGLE</v>
      </c>
      <c r="H1435" s="197">
        <f t="shared" si="353"/>
        <v>44</v>
      </c>
      <c r="I1435" s="197">
        <v>10</v>
      </c>
      <c r="J1435" s="197">
        <v>29</v>
      </c>
      <c r="K1435" s="186">
        <f t="shared" si="354"/>
        <v>45959</v>
      </c>
      <c r="L1435" s="3" t="s">
        <v>2395</v>
      </c>
      <c r="M1435" s="3" t="s">
        <v>1469</v>
      </c>
      <c r="N1435" s="408" t="str">
        <f t="shared" si="334"/>
        <v/>
      </c>
      <c r="O1435" s="408"/>
      <c r="P1435" s="408"/>
      <c r="Q1435" s="408"/>
      <c r="R1435" s="408"/>
      <c r="S1435" s="408"/>
      <c r="T1435" s="408"/>
      <c r="U1435" s="408"/>
      <c r="V1435" s="421"/>
      <c r="W1435" s="421"/>
      <c r="X1435" s="421"/>
      <c r="Y1435" s="421"/>
      <c r="Z1435" s="421"/>
      <c r="AA1435" s="421"/>
      <c r="AB1435" s="421"/>
      <c r="AC1435" s="421"/>
      <c r="AD1435" s="421"/>
      <c r="AE1435" s="421"/>
      <c r="AF1435" s="421"/>
      <c r="AG1435" s="421"/>
      <c r="AH1435" s="421"/>
      <c r="AI1435" s="421"/>
      <c r="AJ1435" s="421"/>
      <c r="AK1435" s="421"/>
      <c r="AL1435" s="421"/>
    </row>
    <row r="1436" spans="1:38">
      <c r="A1436" s="3">
        <v>6120</v>
      </c>
      <c r="B1436" s="83">
        <f t="array" ref="B1436">SUM(--(FREQUENCY(IF(C$2:C$3092=C1436, MATCH(D$2:D$3092, D$2:D$3092, 0)), ROW(D$2:D$3092)-ROW(D$2)+1) &gt; 0))</f>
        <v>9</v>
      </c>
      <c r="C1436" s="3">
        <v>41200125</v>
      </c>
      <c r="D1436" s="6" t="s">
        <v>3183</v>
      </c>
      <c r="E1436" s="3" t="s">
        <v>1585</v>
      </c>
      <c r="F1436" s="3" t="s">
        <v>1476</v>
      </c>
      <c r="G1436" s="68" t="str">
        <f t="shared" si="350"/>
        <v>DUAL</v>
      </c>
      <c r="H1436" s="197">
        <f t="shared" si="353"/>
        <v>44</v>
      </c>
      <c r="I1436" s="197">
        <v>10</v>
      </c>
      <c r="J1436" s="197">
        <v>29</v>
      </c>
      <c r="K1436" s="186">
        <f t="shared" si="354"/>
        <v>45959</v>
      </c>
      <c r="L1436" s="3" t="s">
        <v>2395</v>
      </c>
      <c r="M1436" s="3" t="s">
        <v>2392</v>
      </c>
      <c r="N1436" s="408" t="str">
        <f t="shared" si="334"/>
        <v/>
      </c>
      <c r="O1436" s="408"/>
      <c r="P1436" s="408"/>
      <c r="Q1436" s="408"/>
      <c r="R1436" s="408"/>
      <c r="S1436" s="408"/>
      <c r="T1436" s="408"/>
      <c r="U1436" s="408"/>
      <c r="V1436" s="421"/>
      <c r="W1436" s="421"/>
      <c r="X1436" s="421"/>
      <c r="Y1436" s="421"/>
      <c r="Z1436" s="421"/>
      <c r="AA1436" s="421"/>
      <c r="AB1436" s="421"/>
      <c r="AC1436" s="421"/>
      <c r="AD1436" s="421"/>
      <c r="AE1436" s="421"/>
      <c r="AF1436" s="421"/>
      <c r="AG1436" s="421"/>
      <c r="AH1436" s="421"/>
      <c r="AI1436" s="421"/>
      <c r="AJ1436" s="421"/>
      <c r="AK1436" s="421"/>
      <c r="AL1436" s="421"/>
    </row>
    <row r="1437" spans="1:38">
      <c r="A1437" s="3">
        <v>6066</v>
      </c>
      <c r="B1437" s="83">
        <f t="array" ref="B1437">SUM(--(FREQUENCY(IF(C$2:C$3093=C1437, MATCH(D$2:D$3093, D$2:D$3093, 0)), ROW(D$2:D$3093)-ROW(D$2)+1) &gt; 0))</f>
        <v>6</v>
      </c>
      <c r="C1437" s="3">
        <v>41100317</v>
      </c>
      <c r="D1437" s="6" t="s">
        <v>3184</v>
      </c>
      <c r="E1437" s="3" t="s">
        <v>1585</v>
      </c>
      <c r="F1437" s="3" t="s">
        <v>1476</v>
      </c>
      <c r="G1437" s="68" t="str">
        <f t="shared" si="350"/>
        <v>DUAL</v>
      </c>
      <c r="H1437" s="197">
        <f t="shared" ref="H1437:H1442" si="355">WEEKNUM(K1437)</f>
        <v>44</v>
      </c>
      <c r="I1437" s="197">
        <v>10</v>
      </c>
      <c r="J1437" s="197">
        <v>30</v>
      </c>
      <c r="K1437" s="186">
        <f t="shared" ref="K1437:K1453" si="356">DATE(2025, I1437, J1437)</f>
        <v>45960</v>
      </c>
      <c r="L1437" s="3" t="s">
        <v>2391</v>
      </c>
      <c r="M1437" s="3" t="s">
        <v>2392</v>
      </c>
      <c r="N1437" s="408" t="str">
        <f t="shared" si="334"/>
        <v>NG</v>
      </c>
      <c r="O1437" s="408" t="s">
        <v>2368</v>
      </c>
      <c r="P1437" s="408" t="s">
        <v>2371</v>
      </c>
      <c r="Q1437" s="408">
        <v>11001966</v>
      </c>
      <c r="R1437" s="408" t="s">
        <v>1151</v>
      </c>
      <c r="S1437" s="408" t="s">
        <v>3185</v>
      </c>
      <c r="T1437" s="408"/>
      <c r="U1437" s="408"/>
      <c r="V1437" s="421"/>
      <c r="W1437" s="421"/>
      <c r="X1437" s="421"/>
      <c r="Y1437" s="421"/>
      <c r="Z1437" s="421"/>
      <c r="AA1437" s="421"/>
      <c r="AB1437" s="421"/>
      <c r="AC1437" s="421"/>
      <c r="AD1437" s="421"/>
      <c r="AE1437" s="421"/>
      <c r="AF1437" s="421"/>
      <c r="AG1437" s="421"/>
      <c r="AH1437" s="421"/>
      <c r="AI1437" s="421"/>
      <c r="AJ1437" s="421"/>
      <c r="AK1437" s="421"/>
      <c r="AL1437" s="421"/>
    </row>
    <row r="1438" spans="1:38">
      <c r="A1438" s="3">
        <v>5981</v>
      </c>
      <c r="B1438" s="83">
        <f t="array" ref="B1438">SUM(--(FREQUENCY(IF(C$2:C$3093=C1438, MATCH(D$2:D$3093, D$2:D$3093, 0)), ROW(D$2:D$3093)-ROW(D$2)+1) &gt; 0))</f>
        <v>76</v>
      </c>
      <c r="C1438" s="3">
        <v>41200007</v>
      </c>
      <c r="D1438" s="6" t="s">
        <v>3186</v>
      </c>
      <c r="E1438" s="3" t="s">
        <v>1405</v>
      </c>
      <c r="F1438" s="3" t="s">
        <v>1591</v>
      </c>
      <c r="G1438" s="68" t="str">
        <f t="shared" si="350"/>
        <v>SINGLE</v>
      </c>
      <c r="H1438" s="197">
        <f t="shared" si="355"/>
        <v>44</v>
      </c>
      <c r="I1438" s="197">
        <v>10</v>
      </c>
      <c r="J1438" s="197">
        <v>30</v>
      </c>
      <c r="K1438" s="186">
        <f t="shared" si="356"/>
        <v>45960</v>
      </c>
      <c r="L1438" s="3" t="s">
        <v>2391</v>
      </c>
      <c r="M1438" s="3" t="s">
        <v>2392</v>
      </c>
      <c r="N1438" s="408" t="str">
        <f t="shared" si="334"/>
        <v/>
      </c>
      <c r="O1438" s="408"/>
      <c r="P1438" s="408"/>
      <c r="Q1438" s="408"/>
      <c r="R1438" s="408"/>
      <c r="S1438" s="408"/>
      <c r="T1438" s="408"/>
      <c r="U1438" s="408"/>
      <c r="V1438" s="421"/>
      <c r="W1438" s="421"/>
      <c r="X1438" s="421"/>
      <c r="Y1438" s="421"/>
      <c r="Z1438" s="421"/>
      <c r="AA1438" s="421"/>
      <c r="AB1438" s="421"/>
      <c r="AC1438" s="421"/>
      <c r="AD1438" s="421"/>
      <c r="AE1438" s="421"/>
      <c r="AF1438" s="421"/>
      <c r="AG1438" s="421"/>
      <c r="AH1438" s="421"/>
      <c r="AI1438" s="421"/>
      <c r="AJ1438" s="421"/>
      <c r="AK1438" s="421"/>
      <c r="AL1438" s="421"/>
    </row>
    <row r="1439" spans="1:38">
      <c r="A1439" s="3">
        <v>5981</v>
      </c>
      <c r="B1439" s="83">
        <f t="array" ref="B1439">SUM(--(FREQUENCY(IF(C$2:C$3093=C1439, MATCH(D$2:D$3093, D$2:D$3093, 0)), ROW(D$2:D$3093)-ROW(D$2)+1) &gt; 0))</f>
        <v>76</v>
      </c>
      <c r="C1439" s="3">
        <v>41200007</v>
      </c>
      <c r="D1439" s="6" t="s">
        <v>3187</v>
      </c>
      <c r="E1439" s="3" t="s">
        <v>1405</v>
      </c>
      <c r="F1439" s="3" t="s">
        <v>1591</v>
      </c>
      <c r="G1439" s="68" t="str">
        <f t="shared" si="350"/>
        <v>SINGLE</v>
      </c>
      <c r="H1439" s="197">
        <f t="shared" si="355"/>
        <v>44</v>
      </c>
      <c r="I1439" s="197">
        <v>10</v>
      </c>
      <c r="J1439" s="197">
        <v>30</v>
      </c>
      <c r="K1439" s="186">
        <f t="shared" si="356"/>
        <v>45960</v>
      </c>
      <c r="L1439" s="3" t="s">
        <v>2391</v>
      </c>
      <c r="M1439" s="3" t="s">
        <v>2392</v>
      </c>
      <c r="N1439" s="408" t="str">
        <f t="shared" si="334"/>
        <v/>
      </c>
      <c r="O1439" s="408"/>
      <c r="P1439" s="408"/>
      <c r="Q1439" s="408"/>
      <c r="R1439" s="408"/>
      <c r="S1439" s="408"/>
      <c r="T1439" s="408"/>
      <c r="U1439" s="408"/>
      <c r="V1439" s="421"/>
      <c r="W1439" s="421"/>
      <c r="X1439" s="421"/>
      <c r="Y1439" s="421"/>
      <c r="Z1439" s="421"/>
      <c r="AA1439" s="421"/>
      <c r="AB1439" s="421"/>
      <c r="AC1439" s="421"/>
      <c r="AD1439" s="421"/>
      <c r="AE1439" s="421"/>
      <c r="AF1439" s="421"/>
      <c r="AG1439" s="421"/>
      <c r="AH1439" s="421"/>
      <c r="AI1439" s="421"/>
      <c r="AJ1439" s="421"/>
      <c r="AK1439" s="421"/>
      <c r="AL1439" s="421"/>
    </row>
    <row r="1440" spans="1:38">
      <c r="A1440" s="3">
        <v>5981</v>
      </c>
      <c r="B1440" s="83">
        <f t="array" ref="B1440">SUM(--(FREQUENCY(IF(C$2:C$3093=C1440, MATCH(D$2:D$3093, D$2:D$3093, 0)), ROW(D$2:D$3093)-ROW(D$2)+1) &gt; 0))</f>
        <v>76</v>
      </c>
      <c r="C1440" s="3">
        <v>41200007</v>
      </c>
      <c r="D1440" s="6" t="s">
        <v>3188</v>
      </c>
      <c r="E1440" s="3" t="s">
        <v>1405</v>
      </c>
      <c r="F1440" s="3" t="s">
        <v>1591</v>
      </c>
      <c r="G1440" s="68" t="str">
        <f t="shared" si="350"/>
        <v>SINGLE</v>
      </c>
      <c r="H1440" s="197">
        <f t="shared" si="355"/>
        <v>44</v>
      </c>
      <c r="I1440" s="197">
        <v>10</v>
      </c>
      <c r="J1440" s="197">
        <v>30</v>
      </c>
      <c r="K1440" s="186">
        <f t="shared" si="356"/>
        <v>45960</v>
      </c>
      <c r="L1440" s="3" t="s">
        <v>2391</v>
      </c>
      <c r="M1440" s="3" t="s">
        <v>1468</v>
      </c>
      <c r="N1440" s="408" t="str">
        <f t="shared" si="334"/>
        <v/>
      </c>
      <c r="O1440" s="408"/>
      <c r="P1440" s="408"/>
      <c r="Q1440" s="408"/>
      <c r="R1440" s="408"/>
      <c r="S1440" s="408"/>
      <c r="T1440" s="408"/>
      <c r="U1440" s="408"/>
      <c r="V1440" s="421"/>
      <c r="W1440" s="421"/>
      <c r="X1440" s="421"/>
      <c r="Y1440" s="421"/>
      <c r="Z1440" s="421"/>
      <c r="AA1440" s="421"/>
      <c r="AB1440" s="421"/>
      <c r="AC1440" s="421"/>
      <c r="AD1440" s="421"/>
      <c r="AE1440" s="421"/>
      <c r="AF1440" s="421"/>
      <c r="AG1440" s="421"/>
      <c r="AH1440" s="421"/>
      <c r="AI1440" s="421"/>
      <c r="AJ1440" s="421"/>
      <c r="AK1440" s="421"/>
      <c r="AL1440" s="421"/>
    </row>
    <row r="1441" spans="1:38">
      <c r="A1441" s="3">
        <v>5981</v>
      </c>
      <c r="B1441" s="83">
        <f t="array" ref="B1441">SUM(--(FREQUENCY(IF(C$2:C$3093=C1441, MATCH(D$2:D$3093, D$2:D$3093, 0)), ROW(D$2:D$3093)-ROW(D$2)+1) &gt; 0))</f>
        <v>76</v>
      </c>
      <c r="C1441" s="3">
        <v>41200007</v>
      </c>
      <c r="D1441" s="6" t="s">
        <v>3189</v>
      </c>
      <c r="E1441" s="3" t="s">
        <v>1405</v>
      </c>
      <c r="F1441" s="3" t="s">
        <v>1591</v>
      </c>
      <c r="G1441" s="68" t="str">
        <f t="shared" si="350"/>
        <v>SINGLE</v>
      </c>
      <c r="H1441" s="197">
        <f t="shared" si="355"/>
        <v>44</v>
      </c>
      <c r="I1441" s="197">
        <v>10</v>
      </c>
      <c r="J1441" s="197">
        <v>30</v>
      </c>
      <c r="K1441" s="186">
        <f t="shared" si="356"/>
        <v>45960</v>
      </c>
      <c r="L1441" s="3" t="s">
        <v>2391</v>
      </c>
      <c r="M1441" s="3" t="s">
        <v>1468</v>
      </c>
      <c r="N1441" s="408" t="str">
        <f t="shared" si="334"/>
        <v/>
      </c>
      <c r="O1441" s="408"/>
      <c r="P1441" s="408"/>
      <c r="Q1441" s="408"/>
      <c r="R1441" s="408"/>
      <c r="S1441" s="408"/>
      <c r="T1441" s="408"/>
      <c r="U1441" s="408"/>
      <c r="V1441" s="421"/>
      <c r="W1441" s="421"/>
      <c r="X1441" s="421"/>
      <c r="Y1441" s="421"/>
      <c r="Z1441" s="421"/>
      <c r="AA1441" s="421"/>
      <c r="AB1441" s="421"/>
      <c r="AC1441" s="421"/>
      <c r="AD1441" s="421"/>
      <c r="AE1441" s="421"/>
      <c r="AF1441" s="421"/>
      <c r="AG1441" s="421"/>
      <c r="AH1441" s="421"/>
      <c r="AI1441" s="421"/>
      <c r="AJ1441" s="421"/>
      <c r="AK1441" s="421"/>
      <c r="AL1441" s="421"/>
    </row>
    <row r="1442" spans="1:38">
      <c r="A1442" s="3">
        <v>5951</v>
      </c>
      <c r="B1442" s="83">
        <f t="array" ref="B1442">SUM(--(FREQUENCY(IF(C$2:C$3093=C1442, MATCH(D$2:D$3093, D$2:D$3093, 0)), ROW(D$2:D$3093)-ROW(D$2)+1) &gt; 0))</f>
        <v>76</v>
      </c>
      <c r="C1442" s="3">
        <v>41200007</v>
      </c>
      <c r="D1442" s="6" t="s">
        <v>3190</v>
      </c>
      <c r="E1442" s="3" t="s">
        <v>1405</v>
      </c>
      <c r="F1442" s="3" t="s">
        <v>1591</v>
      </c>
      <c r="G1442" s="68" t="str">
        <f t="shared" si="350"/>
        <v>SINGLE</v>
      </c>
      <c r="H1442" s="197">
        <f t="shared" si="355"/>
        <v>44</v>
      </c>
      <c r="I1442" s="197">
        <v>10</v>
      </c>
      <c r="J1442" s="197">
        <v>30</v>
      </c>
      <c r="K1442" s="186">
        <f t="shared" si="356"/>
        <v>45960</v>
      </c>
      <c r="L1442" s="3" t="s">
        <v>2395</v>
      </c>
      <c r="M1442" s="3" t="s">
        <v>1469</v>
      </c>
      <c r="N1442" s="408" t="str">
        <f t="shared" ref="N1442:N1504" si="357">IF(O1442&lt;&gt;"", "NG", "")</f>
        <v/>
      </c>
      <c r="O1442" s="408"/>
      <c r="P1442" s="408"/>
      <c r="Q1442" s="408"/>
      <c r="R1442" s="408"/>
      <c r="S1442" s="408"/>
      <c r="T1442" s="408"/>
      <c r="U1442" s="408"/>
      <c r="V1442" s="421"/>
      <c r="W1442" s="421"/>
      <c r="X1442" s="421"/>
      <c r="Y1442" s="421"/>
      <c r="Z1442" s="421"/>
      <c r="AA1442" s="421"/>
      <c r="AB1442" s="421"/>
      <c r="AC1442" s="421"/>
      <c r="AD1442" s="421"/>
      <c r="AE1442" s="421"/>
      <c r="AF1442" s="421"/>
      <c r="AG1442" s="421"/>
      <c r="AH1442" s="421"/>
      <c r="AI1442" s="421"/>
      <c r="AJ1442" s="421"/>
      <c r="AK1442" s="421"/>
      <c r="AL1442" s="421"/>
    </row>
    <row r="1443" spans="1:38">
      <c r="A1443" s="3">
        <v>6081</v>
      </c>
      <c r="B1443" s="83">
        <f t="array" ref="B1443">SUM(--(FREQUENCY(IF(C$2:C$3093=C1443, MATCH(D$2:D$3093, D$2:D$3093, 0)), ROW(D$2:D$3093)-ROW(D$2)+1) &gt; 0))</f>
        <v>20</v>
      </c>
      <c r="C1443" s="3">
        <v>41200074</v>
      </c>
      <c r="D1443" s="6" t="s">
        <v>3191</v>
      </c>
      <c r="E1443" s="3" t="s">
        <v>1405</v>
      </c>
      <c r="F1443" s="3" t="s">
        <v>1478</v>
      </c>
      <c r="G1443" s="68" t="str">
        <f t="shared" si="350"/>
        <v>DUAL</v>
      </c>
      <c r="H1443" s="197">
        <f t="shared" ref="H1443:H1453" si="358">WEEKNUM(K1443)</f>
        <v>44</v>
      </c>
      <c r="I1443" s="197">
        <v>10</v>
      </c>
      <c r="J1443" s="197">
        <v>30</v>
      </c>
      <c r="K1443" s="186">
        <f t="shared" si="356"/>
        <v>45960</v>
      </c>
      <c r="L1443" s="3" t="s">
        <v>2391</v>
      </c>
      <c r="M1443" s="3" t="s">
        <v>2392</v>
      </c>
      <c r="N1443" s="408" t="str">
        <f t="shared" si="357"/>
        <v>NG</v>
      </c>
      <c r="O1443" s="408" t="s">
        <v>2368</v>
      </c>
      <c r="P1443" s="408" t="s">
        <v>2508</v>
      </c>
      <c r="Q1443" s="408">
        <v>13111785</v>
      </c>
      <c r="R1443" s="408" t="s">
        <v>3192</v>
      </c>
      <c r="S1443" s="408" t="s">
        <v>3193</v>
      </c>
      <c r="T1443" s="408"/>
      <c r="U1443" s="408"/>
      <c r="V1443" s="421"/>
      <c r="W1443" s="421"/>
      <c r="X1443" s="421"/>
      <c r="Y1443" s="421"/>
      <c r="Z1443" s="421"/>
      <c r="AA1443" s="421"/>
      <c r="AB1443" s="421"/>
      <c r="AC1443" s="421"/>
      <c r="AD1443" s="421"/>
      <c r="AE1443" s="421"/>
      <c r="AF1443" s="421"/>
      <c r="AG1443" s="421"/>
      <c r="AH1443" s="421"/>
      <c r="AI1443" s="421"/>
      <c r="AJ1443" s="421"/>
      <c r="AK1443" s="421"/>
      <c r="AL1443" s="421"/>
    </row>
    <row r="1444" spans="1:38">
      <c r="A1444" s="408">
        <v>6068</v>
      </c>
      <c r="B1444" s="83">
        <f t="array" ref="B1444">SUM(--(FREQUENCY(IF(C$2:C$3072=C1444, MATCH(D$2:D$3072, D$2:D$3072, 0)), ROW(D$2:D$3072)-ROW(D$2)+1) &gt; 0))</f>
        <v>9</v>
      </c>
      <c r="C1444" s="408">
        <v>41200125</v>
      </c>
      <c r="D1444" s="408" t="s">
        <v>3194</v>
      </c>
      <c r="E1444" s="408" t="s">
        <v>1585</v>
      </c>
      <c r="F1444" s="408" t="s">
        <v>1476</v>
      </c>
      <c r="G1444" s="408" t="s">
        <v>2675</v>
      </c>
      <c r="H1444" s="197">
        <f t="shared" si="358"/>
        <v>44</v>
      </c>
      <c r="I1444" s="408">
        <v>10</v>
      </c>
      <c r="J1444" s="408">
        <v>31</v>
      </c>
      <c r="K1444" s="186">
        <f t="shared" si="356"/>
        <v>45961</v>
      </c>
      <c r="L1444" s="408" t="s">
        <v>2391</v>
      </c>
      <c r="M1444" s="408" t="s">
        <v>2392</v>
      </c>
      <c r="N1444" s="408" t="str">
        <f t="shared" si="357"/>
        <v/>
      </c>
      <c r="O1444" s="408"/>
      <c r="P1444" s="408"/>
      <c r="Q1444" s="408"/>
      <c r="R1444" s="408"/>
      <c r="S1444" s="408"/>
      <c r="T1444" s="408"/>
      <c r="U1444" s="408"/>
      <c r="V1444" s="421"/>
      <c r="W1444" s="421"/>
      <c r="X1444" s="421"/>
      <c r="Y1444" s="421"/>
      <c r="Z1444" s="421"/>
      <c r="AA1444" s="421"/>
      <c r="AB1444" s="421"/>
      <c r="AC1444" s="421"/>
      <c r="AD1444" s="421"/>
      <c r="AE1444" s="421"/>
      <c r="AF1444" s="421"/>
      <c r="AG1444" s="421"/>
      <c r="AH1444" s="421"/>
      <c r="AI1444" s="421"/>
      <c r="AJ1444" s="421"/>
      <c r="AK1444" s="421"/>
      <c r="AL1444" s="421"/>
    </row>
    <row r="1445" spans="1:38" s="330" customFormat="1">
      <c r="A1445" s="417">
        <v>6081</v>
      </c>
      <c r="B1445" s="329">
        <f t="array" ref="B1445">SUM(--(FREQUENCY(IF(C$2:C$3072=C1445, MATCH(D$2:D$3072, D$2:D$3072, 0)), ROW(D$2:D$3072)-ROW(D$2)+1) &gt; 0))</f>
        <v>20</v>
      </c>
      <c r="C1445" s="417">
        <v>41200074</v>
      </c>
      <c r="D1445" s="417" t="s">
        <v>3195</v>
      </c>
      <c r="E1445" s="417" t="s">
        <v>1405</v>
      </c>
      <c r="F1445" s="417" t="s">
        <v>1478</v>
      </c>
      <c r="G1445" s="417" t="s">
        <v>2675</v>
      </c>
      <c r="H1445" s="197">
        <f t="shared" si="358"/>
        <v>44</v>
      </c>
      <c r="I1445" s="417">
        <v>10</v>
      </c>
      <c r="J1445" s="417">
        <v>31</v>
      </c>
      <c r="K1445" s="186">
        <f t="shared" si="356"/>
        <v>45961</v>
      </c>
      <c r="L1445" s="417" t="s">
        <v>2391</v>
      </c>
      <c r="M1445" s="417" t="s">
        <v>2392</v>
      </c>
      <c r="N1445" s="417" t="s">
        <v>2877</v>
      </c>
      <c r="O1445" s="417" t="s">
        <v>2368</v>
      </c>
      <c r="P1445" s="408" t="s">
        <v>2371</v>
      </c>
      <c r="Q1445" s="417">
        <v>11001966</v>
      </c>
      <c r="R1445" s="417" t="s">
        <v>1151</v>
      </c>
      <c r="S1445" s="408" t="s">
        <v>3185</v>
      </c>
      <c r="T1445" s="417"/>
      <c r="U1445" s="417"/>
      <c r="V1445" s="617"/>
      <c r="W1445" s="617"/>
      <c r="X1445" s="617"/>
      <c r="Y1445" s="617"/>
      <c r="Z1445" s="617"/>
      <c r="AA1445" s="617"/>
      <c r="AB1445" s="617"/>
      <c r="AC1445" s="617"/>
      <c r="AD1445" s="617"/>
      <c r="AE1445" s="617"/>
      <c r="AF1445" s="617"/>
      <c r="AG1445" s="617"/>
      <c r="AH1445" s="617"/>
      <c r="AI1445" s="617"/>
      <c r="AJ1445" s="617"/>
      <c r="AK1445" s="617"/>
      <c r="AL1445" s="617"/>
    </row>
    <row r="1446" spans="1:38">
      <c r="A1446" s="408">
        <v>5981</v>
      </c>
      <c r="B1446" s="83">
        <f t="array" ref="B1446">SUM(--(FREQUENCY(IF(C$2:C$3072=C1446, MATCH(D$2:D$3072, D$2:D$3072, 0)), ROW(D$2:D$3072)-ROW(D$2)+1) &gt; 0))</f>
        <v>76</v>
      </c>
      <c r="C1446" s="408">
        <v>41200007</v>
      </c>
      <c r="D1446" s="408" t="s">
        <v>3196</v>
      </c>
      <c r="E1446" s="408" t="s">
        <v>1405</v>
      </c>
      <c r="F1446" s="408" t="s">
        <v>1591</v>
      </c>
      <c r="G1446" s="408" t="s">
        <v>2666</v>
      </c>
      <c r="H1446" s="197">
        <f t="shared" si="358"/>
        <v>44</v>
      </c>
      <c r="I1446" s="408">
        <v>10</v>
      </c>
      <c r="J1446" s="408">
        <v>31</v>
      </c>
      <c r="K1446" s="186">
        <f t="shared" si="356"/>
        <v>45961</v>
      </c>
      <c r="L1446" s="408" t="s">
        <v>2395</v>
      </c>
      <c r="M1446" s="408" t="s">
        <v>1469</v>
      </c>
      <c r="N1446" s="408" t="str">
        <f t="shared" si="357"/>
        <v/>
      </c>
      <c r="O1446" s="408"/>
      <c r="P1446" s="408"/>
      <c r="Q1446" s="408"/>
      <c r="R1446" s="408"/>
      <c r="S1446" s="408"/>
      <c r="T1446" s="408"/>
      <c r="U1446" s="408"/>
      <c r="V1446" s="421"/>
      <c r="W1446" s="421"/>
      <c r="X1446" s="421"/>
      <c r="Y1446" s="421"/>
      <c r="Z1446" s="421"/>
      <c r="AA1446" s="421"/>
      <c r="AB1446" s="421"/>
      <c r="AC1446" s="421"/>
      <c r="AD1446" s="421"/>
      <c r="AE1446" s="421"/>
      <c r="AF1446" s="421"/>
      <c r="AG1446" s="421"/>
      <c r="AH1446" s="421"/>
      <c r="AI1446" s="421"/>
      <c r="AJ1446" s="421"/>
      <c r="AK1446" s="421"/>
      <c r="AL1446" s="421"/>
    </row>
    <row r="1447" spans="1:38">
      <c r="A1447" s="408">
        <v>5981</v>
      </c>
      <c r="B1447" s="83">
        <f t="array" ref="B1447">SUM(--(FREQUENCY(IF(C$2:C$3072=C1447, MATCH(D$2:D$3072, D$2:D$3072, 0)), ROW(D$2:D$3072)-ROW(D$2)+1) &gt; 0))</f>
        <v>76</v>
      </c>
      <c r="C1447" s="408">
        <v>41200007</v>
      </c>
      <c r="D1447" s="408" t="s">
        <v>3197</v>
      </c>
      <c r="E1447" s="408" t="s">
        <v>1405</v>
      </c>
      <c r="F1447" s="408" t="s">
        <v>1591</v>
      </c>
      <c r="G1447" s="408" t="s">
        <v>2666</v>
      </c>
      <c r="H1447" s="197">
        <f t="shared" si="358"/>
        <v>44</v>
      </c>
      <c r="I1447" s="408">
        <v>10</v>
      </c>
      <c r="J1447" s="408">
        <v>31</v>
      </c>
      <c r="K1447" s="186">
        <f t="shared" si="356"/>
        <v>45961</v>
      </c>
      <c r="L1447" s="408" t="s">
        <v>2395</v>
      </c>
      <c r="M1447" s="408" t="s">
        <v>1469</v>
      </c>
      <c r="N1447" s="408" t="str">
        <f t="shared" si="357"/>
        <v/>
      </c>
      <c r="O1447" s="408"/>
      <c r="P1447" s="408"/>
      <c r="Q1447" s="408"/>
      <c r="R1447" s="408"/>
      <c r="S1447" s="408"/>
      <c r="T1447" s="408"/>
      <c r="U1447" s="408"/>
      <c r="V1447" s="421"/>
      <c r="W1447" s="421"/>
      <c r="X1447" s="421"/>
      <c r="Y1447" s="421"/>
      <c r="Z1447" s="421"/>
      <c r="AA1447" s="421"/>
      <c r="AB1447" s="421"/>
      <c r="AC1447" s="421"/>
      <c r="AD1447" s="421"/>
      <c r="AE1447" s="421"/>
      <c r="AF1447" s="421"/>
      <c r="AG1447" s="421"/>
      <c r="AH1447" s="421"/>
      <c r="AI1447" s="421"/>
      <c r="AJ1447" s="421"/>
      <c r="AK1447" s="421"/>
      <c r="AL1447" s="421"/>
    </row>
    <row r="1448" spans="1:38">
      <c r="A1448" s="408">
        <v>5977</v>
      </c>
      <c r="B1448" s="83">
        <f t="array" ref="B1448">SUM(--(FREQUENCY(IF(C$2:C$3072=C1448, MATCH(D$2:D$3072, D$2:D$3072, 0)), ROW(D$2:D$3072)-ROW(D$2)+1) &gt; 0))</f>
        <v>25</v>
      </c>
      <c r="C1448" s="408">
        <v>41200158</v>
      </c>
      <c r="D1448" s="408" t="s">
        <v>3198</v>
      </c>
      <c r="E1448" s="408" t="s">
        <v>1405</v>
      </c>
      <c r="F1448" s="408" t="s">
        <v>1480</v>
      </c>
      <c r="G1448" s="408" t="s">
        <v>2675</v>
      </c>
      <c r="H1448" s="197">
        <f t="shared" si="358"/>
        <v>44</v>
      </c>
      <c r="I1448" s="408">
        <v>10</v>
      </c>
      <c r="J1448" s="408">
        <v>31</v>
      </c>
      <c r="K1448" s="186">
        <f t="shared" si="356"/>
        <v>45961</v>
      </c>
      <c r="L1448" s="408" t="s">
        <v>2391</v>
      </c>
      <c r="M1448" s="408" t="s">
        <v>2392</v>
      </c>
      <c r="N1448" s="408" t="s">
        <v>2877</v>
      </c>
      <c r="O1448" s="408" t="s">
        <v>2368</v>
      </c>
      <c r="P1448" s="408" t="s">
        <v>2371</v>
      </c>
      <c r="Q1448" s="408">
        <v>11001962</v>
      </c>
      <c r="R1448" s="408" t="s">
        <v>562</v>
      </c>
      <c r="S1448" s="408" t="s">
        <v>3132</v>
      </c>
      <c r="T1448" s="408"/>
      <c r="U1448" s="408"/>
      <c r="V1448" s="421"/>
      <c r="W1448" s="421"/>
      <c r="X1448" s="421"/>
      <c r="Y1448" s="421"/>
      <c r="Z1448" s="421"/>
      <c r="AA1448" s="421"/>
      <c r="AB1448" s="421"/>
      <c r="AC1448" s="421"/>
      <c r="AD1448" s="421"/>
      <c r="AE1448" s="421"/>
      <c r="AF1448" s="421"/>
      <c r="AG1448" s="421"/>
      <c r="AH1448" s="421"/>
      <c r="AI1448" s="421"/>
      <c r="AJ1448" s="421"/>
      <c r="AK1448" s="421"/>
      <c r="AL1448" s="421"/>
    </row>
    <row r="1449" spans="1:38">
      <c r="A1449" s="3">
        <v>6080</v>
      </c>
      <c r="B1449" s="83">
        <f t="array" ref="B1449">SUM(--(FREQUENCY(IF(C$2:C$3093=C1449, MATCH(D$2:D$3093, D$2:D$3093, 0)), ROW(D$2:D$3093)-ROW(D$2)+1) &gt; 0))</f>
        <v>76</v>
      </c>
      <c r="C1449" s="3">
        <v>41200007</v>
      </c>
      <c r="D1449" s="6" t="s">
        <v>3199</v>
      </c>
      <c r="E1449" s="3" t="s">
        <v>1405</v>
      </c>
      <c r="F1449" s="3" t="s">
        <v>1591</v>
      </c>
      <c r="G1449" s="68" t="str">
        <f t="shared" ref="G1449:G1453" si="359">IF(OR(ISNUMBER(SEARCH("DUAL",F1449)), ISNUMBER(SEARCH("IVAS",F1449))), "DUAL", "SINGLE")</f>
        <v>SINGLE</v>
      </c>
      <c r="H1449" s="197">
        <f t="shared" si="358"/>
        <v>45</v>
      </c>
      <c r="I1449" s="197">
        <v>11</v>
      </c>
      <c r="J1449" s="197">
        <v>3</v>
      </c>
      <c r="K1449" s="186">
        <f t="shared" si="356"/>
        <v>45964</v>
      </c>
      <c r="L1449" s="3" t="s">
        <v>2391</v>
      </c>
      <c r="M1449" s="3" t="s">
        <v>2392</v>
      </c>
      <c r="N1449" s="408" t="str">
        <f t="shared" si="357"/>
        <v/>
      </c>
      <c r="O1449" s="408"/>
      <c r="P1449" s="408"/>
      <c r="Q1449" s="408"/>
      <c r="R1449" s="408"/>
      <c r="S1449" s="408"/>
      <c r="T1449" s="408"/>
      <c r="U1449" s="408"/>
      <c r="V1449" s="421"/>
      <c r="W1449" s="421"/>
      <c r="X1449" s="421"/>
      <c r="Y1449" s="421"/>
      <c r="Z1449" s="421"/>
      <c r="AA1449" s="421"/>
      <c r="AB1449" s="421"/>
      <c r="AC1449" s="421"/>
      <c r="AD1449" s="421"/>
      <c r="AE1449" s="421"/>
      <c r="AF1449" s="421"/>
      <c r="AG1449" s="421"/>
      <c r="AH1449" s="421"/>
      <c r="AI1449" s="421"/>
      <c r="AJ1449" s="421"/>
      <c r="AK1449" s="421"/>
      <c r="AL1449" s="421"/>
    </row>
    <row r="1450" spans="1:38">
      <c r="A1450" s="3">
        <v>6080</v>
      </c>
      <c r="B1450" s="83">
        <f t="array" ref="B1450">SUM(--(FREQUENCY(IF(C$2:C$3093=C1450, MATCH(D$2:D$3093, D$2:D$3093, 0)), ROW(D$2:D$3093)-ROW(D$2)+1) &gt; 0))</f>
        <v>76</v>
      </c>
      <c r="C1450" s="3">
        <v>41200007</v>
      </c>
      <c r="D1450" s="6" t="s">
        <v>3200</v>
      </c>
      <c r="E1450" s="3" t="s">
        <v>1405</v>
      </c>
      <c r="F1450" s="3" t="s">
        <v>1591</v>
      </c>
      <c r="G1450" s="68" t="str">
        <f t="shared" si="359"/>
        <v>SINGLE</v>
      </c>
      <c r="H1450" s="197">
        <f t="shared" si="358"/>
        <v>45</v>
      </c>
      <c r="I1450" s="197">
        <v>11</v>
      </c>
      <c r="J1450" s="197">
        <v>3</v>
      </c>
      <c r="K1450" s="186">
        <f t="shared" si="356"/>
        <v>45964</v>
      </c>
      <c r="L1450" s="3" t="s">
        <v>2391</v>
      </c>
      <c r="M1450" s="3" t="s">
        <v>2392</v>
      </c>
      <c r="N1450" s="408" t="str">
        <f t="shared" si="357"/>
        <v/>
      </c>
      <c r="O1450" s="408"/>
      <c r="P1450" s="408"/>
      <c r="Q1450" s="408"/>
      <c r="R1450" s="408"/>
      <c r="S1450" s="408"/>
      <c r="T1450" s="408"/>
      <c r="U1450" s="408"/>
      <c r="V1450" s="421"/>
      <c r="W1450" s="421"/>
      <c r="X1450" s="421"/>
      <c r="Y1450" s="421"/>
      <c r="Z1450" s="421"/>
      <c r="AA1450" s="421"/>
      <c r="AB1450" s="421"/>
      <c r="AC1450" s="421"/>
      <c r="AD1450" s="421"/>
      <c r="AE1450" s="421"/>
      <c r="AF1450" s="421"/>
      <c r="AG1450" s="421"/>
      <c r="AH1450" s="421"/>
      <c r="AI1450" s="421"/>
      <c r="AJ1450" s="421"/>
      <c r="AK1450" s="421"/>
      <c r="AL1450" s="421"/>
    </row>
    <row r="1451" spans="1:38">
      <c r="A1451" s="3">
        <v>6176</v>
      </c>
      <c r="B1451" s="83">
        <f t="array" ref="B1451">SUM(--(FREQUENCY(IF(C$2:C$3093=C1451, MATCH(D$2:D$3093, D$2:D$3093, 0)), ROW(D$2:D$3093)-ROW(D$2)+1) &gt; 0))</f>
        <v>15</v>
      </c>
      <c r="C1451" s="3">
        <v>41200124</v>
      </c>
      <c r="D1451" s="6" t="s">
        <v>3201</v>
      </c>
      <c r="E1451" s="3" t="s">
        <v>1585</v>
      </c>
      <c r="F1451" s="3" t="s">
        <v>1476</v>
      </c>
      <c r="G1451" s="68" t="str">
        <f t="shared" si="359"/>
        <v>DUAL</v>
      </c>
      <c r="H1451" s="197">
        <f t="shared" si="358"/>
        <v>45</v>
      </c>
      <c r="I1451" s="197">
        <v>11</v>
      </c>
      <c r="J1451" s="197">
        <v>3</v>
      </c>
      <c r="K1451" s="186">
        <f t="shared" si="356"/>
        <v>45964</v>
      </c>
      <c r="L1451" s="3" t="s">
        <v>2395</v>
      </c>
      <c r="M1451" s="3" t="s">
        <v>1469</v>
      </c>
      <c r="N1451" s="408" t="str">
        <f t="shared" si="357"/>
        <v/>
      </c>
      <c r="O1451" s="408"/>
      <c r="P1451" s="408"/>
      <c r="Q1451" s="408"/>
      <c r="R1451" s="408"/>
      <c r="S1451" s="408"/>
      <c r="T1451" s="408"/>
      <c r="U1451" s="408"/>
      <c r="V1451" s="421"/>
      <c r="W1451" s="421"/>
      <c r="X1451" s="421"/>
      <c r="Y1451" s="421"/>
      <c r="Z1451" s="421"/>
      <c r="AA1451" s="421"/>
      <c r="AB1451" s="421"/>
      <c r="AC1451" s="421"/>
      <c r="AD1451" s="421"/>
      <c r="AE1451" s="421"/>
      <c r="AF1451" s="421"/>
      <c r="AG1451" s="421"/>
      <c r="AH1451" s="421"/>
      <c r="AI1451" s="421"/>
      <c r="AJ1451" s="421"/>
      <c r="AK1451" s="421"/>
      <c r="AL1451" s="421"/>
    </row>
    <row r="1452" spans="1:38">
      <c r="A1452" s="3">
        <v>6176</v>
      </c>
      <c r="B1452" s="83">
        <f t="array" ref="B1452">SUM(--(FREQUENCY(IF(C$2:C$3093=C1452, MATCH(D$2:D$3093, D$2:D$3093, 0)), ROW(D$2:D$3093)-ROW(D$2)+1) &gt; 0))</f>
        <v>15</v>
      </c>
      <c r="C1452" s="3">
        <v>41200124</v>
      </c>
      <c r="D1452" s="6" t="s">
        <v>3202</v>
      </c>
      <c r="E1452" s="3" t="s">
        <v>1585</v>
      </c>
      <c r="F1452" s="3" t="s">
        <v>1476</v>
      </c>
      <c r="G1452" s="68" t="str">
        <f t="shared" si="359"/>
        <v>DUAL</v>
      </c>
      <c r="H1452" s="197">
        <f t="shared" si="358"/>
        <v>45</v>
      </c>
      <c r="I1452" s="197">
        <v>11</v>
      </c>
      <c r="J1452" s="197">
        <v>3</v>
      </c>
      <c r="K1452" s="186">
        <f t="shared" si="356"/>
        <v>45964</v>
      </c>
      <c r="L1452" s="3" t="s">
        <v>2395</v>
      </c>
      <c r="M1452" s="3" t="s">
        <v>1469</v>
      </c>
      <c r="N1452" s="408" t="str">
        <f t="shared" si="357"/>
        <v/>
      </c>
      <c r="O1452" s="408"/>
      <c r="P1452" s="408"/>
      <c r="Q1452" s="408"/>
      <c r="R1452" s="408"/>
      <c r="S1452" s="408"/>
      <c r="T1452" s="408"/>
      <c r="U1452" s="408"/>
      <c r="V1452" s="421"/>
      <c r="W1452" s="421"/>
      <c r="X1452" s="421"/>
      <c r="Y1452" s="421"/>
      <c r="Z1452" s="421"/>
      <c r="AA1452" s="421"/>
      <c r="AB1452" s="421"/>
      <c r="AC1452" s="421"/>
      <c r="AD1452" s="421"/>
      <c r="AE1452" s="421"/>
      <c r="AF1452" s="421"/>
      <c r="AG1452" s="421"/>
      <c r="AH1452" s="421"/>
      <c r="AI1452" s="421"/>
      <c r="AJ1452" s="421"/>
      <c r="AK1452" s="421"/>
      <c r="AL1452" s="421"/>
    </row>
    <row r="1453" spans="1:38">
      <c r="A1453" s="3">
        <v>6058</v>
      </c>
      <c r="B1453" s="83">
        <f t="array" ref="B1453">SUM(--(FREQUENCY(IF(C$2:C$3093=C1453, MATCH(D$2:D$3093, D$2:D$3093, 0)), ROW(D$2:D$3093)-ROW(D$2)+1) &gt; 0))</f>
        <v>18</v>
      </c>
      <c r="C1453" s="3">
        <v>41200101</v>
      </c>
      <c r="D1453" s="3" t="s">
        <v>3203</v>
      </c>
      <c r="E1453" s="3" t="s">
        <v>1585</v>
      </c>
      <c r="F1453" s="3" t="s">
        <v>1476</v>
      </c>
      <c r="G1453" s="68" t="str">
        <f t="shared" si="359"/>
        <v>DUAL</v>
      </c>
      <c r="H1453" s="197">
        <f t="shared" si="358"/>
        <v>45</v>
      </c>
      <c r="I1453" s="197">
        <v>11</v>
      </c>
      <c r="J1453" s="197">
        <v>3</v>
      </c>
      <c r="K1453" s="186">
        <f t="shared" si="356"/>
        <v>45964</v>
      </c>
      <c r="L1453" s="3" t="s">
        <v>2395</v>
      </c>
      <c r="M1453" s="3" t="s">
        <v>1468</v>
      </c>
      <c r="N1453" s="408" t="str">
        <f t="shared" si="357"/>
        <v/>
      </c>
      <c r="O1453" s="408"/>
      <c r="P1453" s="408"/>
      <c r="Q1453" s="408"/>
      <c r="R1453" s="408"/>
      <c r="S1453" s="408"/>
      <c r="T1453" s="408"/>
      <c r="U1453" s="408"/>
      <c r="V1453" s="421"/>
      <c r="W1453" s="421"/>
      <c r="X1453" s="421"/>
      <c r="Y1453" s="421"/>
      <c r="Z1453" s="421"/>
      <c r="AA1453" s="421"/>
      <c r="AB1453" s="421"/>
      <c r="AC1453" s="421"/>
      <c r="AD1453" s="421"/>
      <c r="AE1453" s="421"/>
      <c r="AF1453" s="421"/>
      <c r="AG1453" s="421"/>
      <c r="AH1453" s="421"/>
      <c r="AI1453" s="421"/>
      <c r="AJ1453" s="421"/>
      <c r="AK1453" s="421"/>
      <c r="AL1453" s="421"/>
    </row>
    <row r="1454" spans="1:38">
      <c r="A1454" s="3">
        <v>6174</v>
      </c>
      <c r="B1454" s="83">
        <f t="array" ref="B1454">SUM(--(FREQUENCY(IF(C$2:C$3094=C1454, MATCH(D$2:D$3094, D$2:D$3094, 0)), ROW(D$2:D$3094)-ROW(D$2)+1) &gt; 0))</f>
        <v>20</v>
      </c>
      <c r="C1454" s="3">
        <v>41100435</v>
      </c>
      <c r="D1454" s="6" t="s">
        <v>3204</v>
      </c>
      <c r="E1454" s="3" t="s">
        <v>1585</v>
      </c>
      <c r="F1454" s="3" t="s">
        <v>1482</v>
      </c>
      <c r="G1454" s="68" t="str">
        <f t="shared" ref="G1454" si="360">IF(OR(ISNUMBER(SEARCH("DUAL",F1454)), ISNUMBER(SEARCH("IVAS",F1454))), "DUAL", "SINGLE")</f>
        <v>SINGLE</v>
      </c>
      <c r="H1454" s="197">
        <f t="shared" ref="H1454" si="361">WEEKNUM(K1454)</f>
        <v>45</v>
      </c>
      <c r="I1454" s="197">
        <v>11</v>
      </c>
      <c r="J1454" s="197">
        <v>3</v>
      </c>
      <c r="K1454" s="186">
        <f t="shared" ref="K1454" si="362">DATE(2025, I1454, J1454)</f>
        <v>45964</v>
      </c>
      <c r="L1454" s="3" t="s">
        <v>2391</v>
      </c>
      <c r="M1454" s="3" t="s">
        <v>1468</v>
      </c>
      <c r="N1454" s="408" t="str">
        <f t="shared" si="357"/>
        <v/>
      </c>
      <c r="O1454" s="408"/>
      <c r="P1454" s="408"/>
      <c r="Q1454" s="408"/>
      <c r="R1454" s="408"/>
      <c r="S1454" s="408"/>
      <c r="T1454" s="408"/>
      <c r="U1454" s="408"/>
      <c r="V1454" s="421"/>
      <c r="W1454" s="421"/>
      <c r="X1454" s="421"/>
      <c r="Y1454" s="421"/>
      <c r="Z1454" s="421"/>
      <c r="AA1454" s="421"/>
      <c r="AB1454" s="421"/>
      <c r="AC1454" s="421"/>
      <c r="AD1454" s="421"/>
      <c r="AE1454" s="421"/>
      <c r="AF1454" s="421"/>
      <c r="AG1454" s="421"/>
      <c r="AH1454" s="421"/>
      <c r="AI1454" s="421"/>
      <c r="AJ1454" s="421"/>
      <c r="AK1454" s="421"/>
      <c r="AL1454" s="421"/>
    </row>
    <row r="1455" spans="1:38">
      <c r="A1455" s="3">
        <v>5977</v>
      </c>
      <c r="B1455" s="83">
        <f t="array" ref="B1455">SUM(--(FREQUENCY(IF(C$2:C$3094=C1455, MATCH(D$2:D$3094, D$2:D$3094, 0)), ROW(D$2:D$3094)-ROW(D$2)+1) &gt; 0))</f>
        <v>25</v>
      </c>
      <c r="C1455" s="3">
        <v>41200158</v>
      </c>
      <c r="D1455" s="6" t="s">
        <v>3205</v>
      </c>
      <c r="E1455" s="3" t="s">
        <v>1405</v>
      </c>
      <c r="F1455" s="3" t="s">
        <v>1480</v>
      </c>
      <c r="G1455" s="68" t="str">
        <f t="shared" ref="G1455:G1461" si="363">IF(OR(ISNUMBER(SEARCH("DUAL",F1455)), ISNUMBER(SEARCH("IVAS",F1455))), "DUAL", "SINGLE")</f>
        <v>DUAL</v>
      </c>
      <c r="H1455" s="197">
        <f t="shared" ref="H1455:H1478" si="364">WEEKNUM(K1455)</f>
        <v>45</v>
      </c>
      <c r="I1455" s="197">
        <v>11</v>
      </c>
      <c r="J1455" s="197">
        <v>4</v>
      </c>
      <c r="K1455" s="186">
        <f t="shared" ref="K1455:K1468" si="365">DATE(2025, I1455, J1455)</f>
        <v>45965</v>
      </c>
      <c r="L1455" s="3" t="s">
        <v>2391</v>
      </c>
      <c r="M1455" s="3" t="s">
        <v>2392</v>
      </c>
      <c r="N1455" s="408" t="str">
        <f t="shared" si="357"/>
        <v>NG</v>
      </c>
      <c r="O1455" s="408" t="s">
        <v>2368</v>
      </c>
      <c r="P1455" s="408" t="s">
        <v>2371</v>
      </c>
      <c r="Q1455" s="408">
        <v>11001962</v>
      </c>
      <c r="R1455" s="408" t="s">
        <v>562</v>
      </c>
      <c r="S1455" s="408" t="s">
        <v>3132</v>
      </c>
      <c r="T1455" s="408"/>
      <c r="U1455" s="408"/>
      <c r="V1455" s="421"/>
      <c r="W1455" s="421"/>
      <c r="X1455" s="421"/>
      <c r="Y1455" s="421"/>
      <c r="Z1455" s="421"/>
      <c r="AA1455" s="421"/>
      <c r="AB1455" s="421"/>
      <c r="AC1455" s="421"/>
      <c r="AD1455" s="421"/>
      <c r="AE1455" s="421"/>
      <c r="AF1455" s="421"/>
      <c r="AG1455" s="421"/>
      <c r="AH1455" s="421"/>
      <c r="AI1455" s="421"/>
      <c r="AJ1455" s="421"/>
      <c r="AK1455" s="421"/>
      <c r="AL1455" s="421"/>
    </row>
    <row r="1456" spans="1:38">
      <c r="A1456" s="3">
        <v>5977</v>
      </c>
      <c r="B1456" s="83">
        <f t="array" ref="B1456">SUM(--(FREQUENCY(IF(C$2:C$3094=C1456, MATCH(D$2:D$3094, D$2:D$3094, 0)), ROW(D$2:D$3094)-ROW(D$2)+1) &gt; 0))</f>
        <v>25</v>
      </c>
      <c r="C1456" s="3">
        <v>41200158</v>
      </c>
      <c r="D1456" s="6" t="s">
        <v>3206</v>
      </c>
      <c r="E1456" s="3" t="s">
        <v>1405</v>
      </c>
      <c r="F1456" s="3" t="s">
        <v>1480</v>
      </c>
      <c r="G1456" s="68" t="str">
        <f t="shared" si="363"/>
        <v>DUAL</v>
      </c>
      <c r="H1456" s="197">
        <f t="shared" si="364"/>
        <v>45</v>
      </c>
      <c r="I1456" s="197">
        <v>11</v>
      </c>
      <c r="J1456" s="197">
        <v>4</v>
      </c>
      <c r="K1456" s="186">
        <f t="shared" si="365"/>
        <v>45965</v>
      </c>
      <c r="L1456" s="3" t="s">
        <v>2391</v>
      </c>
      <c r="M1456" s="3" t="s">
        <v>2392</v>
      </c>
      <c r="N1456" s="408" t="str">
        <f t="shared" si="357"/>
        <v/>
      </c>
      <c r="O1456" s="408"/>
      <c r="P1456" s="408"/>
      <c r="Q1456" s="408"/>
      <c r="R1456" s="408"/>
      <c r="S1456" s="408"/>
      <c r="T1456" s="408"/>
      <c r="U1456" s="408"/>
      <c r="V1456" s="421"/>
      <c r="W1456" s="421"/>
      <c r="X1456" s="421"/>
      <c r="Y1456" s="421"/>
      <c r="Z1456" s="421"/>
      <c r="AA1456" s="421"/>
      <c r="AB1456" s="421"/>
      <c r="AC1456" s="421"/>
      <c r="AD1456" s="421"/>
      <c r="AE1456" s="421"/>
      <c r="AF1456" s="421"/>
      <c r="AG1456" s="421"/>
      <c r="AH1456" s="421"/>
      <c r="AI1456" s="421"/>
      <c r="AJ1456" s="421"/>
      <c r="AK1456" s="421"/>
      <c r="AL1456" s="421"/>
    </row>
    <row r="1457" spans="1:38">
      <c r="A1457" s="3">
        <v>6124</v>
      </c>
      <c r="B1457" s="83">
        <f t="array" ref="B1457">SUM(--(FREQUENCY(IF(C$2:C$3094=C1457, MATCH(D$2:D$3094, D$2:D$3094, 0)), ROW(D$2:D$3094)-ROW(D$2)+1) &gt; 0))</f>
        <v>10</v>
      </c>
      <c r="C1457" s="3">
        <v>41100286</v>
      </c>
      <c r="D1457" s="6" t="s">
        <v>3207</v>
      </c>
      <c r="E1457" s="3" t="s">
        <v>1424</v>
      </c>
      <c r="F1457" s="3" t="s">
        <v>1476</v>
      </c>
      <c r="G1457" s="68" t="str">
        <f t="shared" si="363"/>
        <v>DUAL</v>
      </c>
      <c r="H1457" s="197">
        <f t="shared" si="364"/>
        <v>45</v>
      </c>
      <c r="I1457" s="197">
        <v>11</v>
      </c>
      <c r="J1457" s="197">
        <v>4</v>
      </c>
      <c r="K1457" s="186">
        <f t="shared" si="365"/>
        <v>45965</v>
      </c>
      <c r="L1457" s="3" t="s">
        <v>2391</v>
      </c>
      <c r="M1457" s="3" t="s">
        <v>2392</v>
      </c>
      <c r="N1457" s="408" t="str">
        <f t="shared" si="357"/>
        <v/>
      </c>
      <c r="O1457" s="408"/>
      <c r="P1457" s="408"/>
      <c r="Q1457" s="408"/>
      <c r="R1457" s="408"/>
      <c r="S1457" s="408"/>
      <c r="T1457" s="408"/>
      <c r="U1457" s="408"/>
      <c r="V1457" s="421"/>
      <c r="W1457" s="421"/>
      <c r="X1457" s="421"/>
      <c r="Y1457" s="421"/>
      <c r="Z1457" s="421"/>
      <c r="AA1457" s="421"/>
      <c r="AB1457" s="421"/>
      <c r="AC1457" s="421"/>
      <c r="AD1457" s="421"/>
      <c r="AE1457" s="421"/>
      <c r="AF1457" s="421"/>
      <c r="AG1457" s="421"/>
      <c r="AH1457" s="421"/>
      <c r="AI1457" s="421"/>
      <c r="AJ1457" s="421"/>
      <c r="AK1457" s="421"/>
      <c r="AL1457" s="421"/>
    </row>
    <row r="1458" spans="1:38">
      <c r="A1458" s="3">
        <v>5937</v>
      </c>
      <c r="B1458" s="83">
        <f t="array" ref="B1458">SUM(--(FREQUENCY(IF(C$2:C$3094=C1458, MATCH(D$2:D$3094, D$2:D$3094, 0)), ROW(D$2:D$3094)-ROW(D$2)+1) &gt; 0))</f>
        <v>20</v>
      </c>
      <c r="C1458" s="3">
        <v>41100435</v>
      </c>
      <c r="D1458" s="6" t="s">
        <v>3208</v>
      </c>
      <c r="E1458" s="3" t="s">
        <v>1585</v>
      </c>
      <c r="F1458" s="3" t="s">
        <v>1482</v>
      </c>
      <c r="G1458" s="68" t="str">
        <f t="shared" si="363"/>
        <v>SINGLE</v>
      </c>
      <c r="H1458" s="197">
        <f t="shared" si="364"/>
        <v>45</v>
      </c>
      <c r="I1458" s="197">
        <v>11</v>
      </c>
      <c r="J1458" s="197">
        <v>4</v>
      </c>
      <c r="K1458" s="186">
        <f t="shared" si="365"/>
        <v>45965</v>
      </c>
      <c r="L1458" s="3" t="s">
        <v>2391</v>
      </c>
      <c r="M1458" s="3" t="s">
        <v>2392</v>
      </c>
      <c r="N1458" s="408" t="str">
        <f t="shared" si="357"/>
        <v/>
      </c>
      <c r="O1458" s="408"/>
      <c r="P1458" s="408"/>
      <c r="Q1458" s="408"/>
      <c r="R1458" s="408"/>
      <c r="S1458" s="408"/>
      <c r="T1458" s="408"/>
      <c r="U1458" s="408"/>
      <c r="V1458" s="421"/>
      <c r="W1458" s="421"/>
      <c r="X1458" s="421"/>
      <c r="Y1458" s="421"/>
      <c r="Z1458" s="421"/>
      <c r="AA1458" s="421"/>
      <c r="AB1458" s="421"/>
      <c r="AC1458" s="421"/>
      <c r="AD1458" s="421"/>
      <c r="AE1458" s="421"/>
      <c r="AF1458" s="421"/>
      <c r="AG1458" s="421"/>
      <c r="AH1458" s="421"/>
      <c r="AI1458" s="421"/>
      <c r="AJ1458" s="421"/>
      <c r="AK1458" s="421"/>
      <c r="AL1458" s="421"/>
    </row>
    <row r="1459" spans="1:38">
      <c r="A1459" s="3">
        <v>6193</v>
      </c>
      <c r="B1459" s="83">
        <f t="array" ref="B1459">SUM(--(FREQUENCY(IF(C$2:C$3094=C1459, MATCH(D$2:D$3094, D$2:D$3094, 0)), ROW(D$2:D$3094)-ROW(D$2)+1) &gt; 0))</f>
        <v>8</v>
      </c>
      <c r="C1459" s="3">
        <v>41200048</v>
      </c>
      <c r="D1459" s="6" t="s">
        <v>3209</v>
      </c>
      <c r="E1459" s="3" t="s">
        <v>1426</v>
      </c>
      <c r="F1459" s="3" t="s">
        <v>1476</v>
      </c>
      <c r="G1459" s="68" t="str">
        <f t="shared" si="363"/>
        <v>DUAL</v>
      </c>
      <c r="H1459" s="197">
        <f t="shared" si="364"/>
        <v>45</v>
      </c>
      <c r="I1459" s="197">
        <v>11</v>
      </c>
      <c r="J1459" s="197">
        <v>4</v>
      </c>
      <c r="K1459" s="186">
        <f t="shared" si="365"/>
        <v>45965</v>
      </c>
      <c r="L1459" s="3" t="s">
        <v>2395</v>
      </c>
      <c r="M1459" s="3" t="s">
        <v>1469</v>
      </c>
      <c r="N1459" s="408" t="str">
        <f t="shared" si="357"/>
        <v/>
      </c>
      <c r="O1459" s="408"/>
      <c r="P1459" s="408"/>
      <c r="Q1459" s="408"/>
      <c r="R1459" s="408"/>
      <c r="S1459" s="408"/>
      <c r="T1459" s="408"/>
      <c r="U1459" s="408"/>
      <c r="V1459" s="421"/>
      <c r="W1459" s="421"/>
      <c r="X1459" s="421"/>
      <c r="Y1459" s="421"/>
      <c r="Z1459" s="421"/>
      <c r="AA1459" s="421"/>
      <c r="AB1459" s="421"/>
      <c r="AC1459" s="421"/>
      <c r="AD1459" s="421"/>
      <c r="AE1459" s="421"/>
      <c r="AF1459" s="421"/>
      <c r="AG1459" s="421"/>
      <c r="AH1459" s="421"/>
      <c r="AI1459" s="421"/>
      <c r="AJ1459" s="421"/>
      <c r="AK1459" s="421"/>
      <c r="AL1459" s="421"/>
    </row>
    <row r="1460" spans="1:38">
      <c r="A1460" s="3">
        <v>5951</v>
      </c>
      <c r="B1460" s="83">
        <f t="array" ref="B1460">SUM(--(FREQUENCY(IF(C$2:C$3094=C1460, MATCH(D$2:D$3094, D$2:D$3094, 0)), ROW(D$2:D$3094)-ROW(D$2)+1) &gt; 0))</f>
        <v>76</v>
      </c>
      <c r="C1460" s="3">
        <v>41200007</v>
      </c>
      <c r="D1460" s="6" t="s">
        <v>3210</v>
      </c>
      <c r="E1460" s="3" t="s">
        <v>1405</v>
      </c>
      <c r="F1460" s="3" t="s">
        <v>1591</v>
      </c>
      <c r="G1460" s="68" t="str">
        <f t="shared" si="363"/>
        <v>SINGLE</v>
      </c>
      <c r="H1460" s="197">
        <f t="shared" si="364"/>
        <v>45</v>
      </c>
      <c r="I1460" s="197">
        <v>11</v>
      </c>
      <c r="J1460" s="197">
        <v>4</v>
      </c>
      <c r="K1460" s="186">
        <f t="shared" si="365"/>
        <v>45965</v>
      </c>
      <c r="L1460" s="3" t="s">
        <v>2395</v>
      </c>
      <c r="M1460" s="3" t="s">
        <v>1469</v>
      </c>
      <c r="N1460" s="408" t="str">
        <f t="shared" si="357"/>
        <v>NG</v>
      </c>
      <c r="O1460" s="408" t="s">
        <v>2368</v>
      </c>
      <c r="P1460" s="408" t="s">
        <v>2414</v>
      </c>
      <c r="Q1460" s="408">
        <v>11001895</v>
      </c>
      <c r="R1460" s="408" t="s">
        <v>2441</v>
      </c>
      <c r="S1460" s="408" t="s">
        <v>3211</v>
      </c>
      <c r="T1460" s="408"/>
      <c r="U1460" s="408"/>
      <c r="V1460" s="421"/>
      <c r="W1460" s="421"/>
      <c r="X1460" s="421"/>
      <c r="Y1460" s="421"/>
      <c r="Z1460" s="421"/>
      <c r="AA1460" s="421"/>
      <c r="AB1460" s="421"/>
      <c r="AC1460" s="421"/>
      <c r="AD1460" s="421"/>
      <c r="AE1460" s="421"/>
      <c r="AF1460" s="421"/>
      <c r="AG1460" s="421"/>
      <c r="AH1460" s="421"/>
      <c r="AI1460" s="421"/>
      <c r="AJ1460" s="421"/>
      <c r="AK1460" s="421"/>
      <c r="AL1460" s="421"/>
    </row>
    <row r="1461" spans="1:38">
      <c r="A1461" s="293">
        <v>6090</v>
      </c>
      <c r="B1461" s="520">
        <f t="array" ref="B1461">SUM(--(FREQUENCY(IF(C$2:C$3094=C1461, MATCH(D$2:D$3094, D$2:D$3094, 0)), ROW(D$2:D$3094)-ROW(D$2)+1) &gt; 0))</f>
        <v>11</v>
      </c>
      <c r="C1461" s="293">
        <v>41200129</v>
      </c>
      <c r="D1461" s="521" t="s">
        <v>3212</v>
      </c>
      <c r="E1461" s="293" t="s">
        <v>1431</v>
      </c>
      <c r="F1461" s="293" t="s">
        <v>1591</v>
      </c>
      <c r="G1461" s="396" t="str">
        <f t="shared" si="363"/>
        <v>SINGLE</v>
      </c>
      <c r="H1461" s="197">
        <f t="shared" si="364"/>
        <v>45</v>
      </c>
      <c r="I1461" s="197">
        <v>11</v>
      </c>
      <c r="J1461" s="197">
        <v>4</v>
      </c>
      <c r="K1461" s="186">
        <f t="shared" si="365"/>
        <v>45965</v>
      </c>
      <c r="L1461" s="3" t="s">
        <v>2395</v>
      </c>
      <c r="M1461" s="3" t="s">
        <v>1469</v>
      </c>
      <c r="N1461" s="408" t="str">
        <f t="shared" si="357"/>
        <v/>
      </c>
      <c r="O1461" s="408"/>
      <c r="P1461" s="408"/>
      <c r="Q1461" s="408"/>
      <c r="R1461" s="408"/>
      <c r="S1461" s="408"/>
      <c r="T1461" s="408"/>
      <c r="U1461" s="408"/>
      <c r="V1461" s="421"/>
      <c r="W1461" s="421"/>
      <c r="X1461" s="421"/>
      <c r="Y1461" s="421"/>
      <c r="Z1461" s="421"/>
      <c r="AA1461" s="421"/>
      <c r="AB1461" s="421"/>
      <c r="AC1461" s="421"/>
      <c r="AD1461" s="421"/>
      <c r="AE1461" s="421"/>
      <c r="AF1461" s="421"/>
      <c r="AG1461" s="421"/>
      <c r="AH1461" s="421"/>
      <c r="AI1461" s="421"/>
      <c r="AJ1461" s="421"/>
      <c r="AK1461" s="421"/>
      <c r="AL1461" s="421"/>
    </row>
    <row r="1462" spans="1:38">
      <c r="A1462" s="408">
        <v>5981</v>
      </c>
      <c r="B1462" s="83">
        <f t="array" ref="B1462">SUM(--(FREQUENCY(IF(C$2:C$3072=C1462, MATCH(D$2:D$3072, D$2:D$3072, 0)), ROW(D$2:D$3072)-ROW(D$2)+1) &gt; 0))</f>
        <v>76</v>
      </c>
      <c r="C1462" s="408">
        <v>41200007</v>
      </c>
      <c r="D1462" s="408" t="s">
        <v>3213</v>
      </c>
      <c r="E1462" s="408" t="s">
        <v>1405</v>
      </c>
      <c r="F1462" s="408" t="s">
        <v>1591</v>
      </c>
      <c r="G1462" s="408" t="s">
        <v>2666</v>
      </c>
      <c r="H1462" s="197">
        <f t="shared" si="364"/>
        <v>45</v>
      </c>
      <c r="I1462" s="408">
        <v>11</v>
      </c>
      <c r="J1462" s="408">
        <v>5</v>
      </c>
      <c r="K1462" s="186">
        <f t="shared" si="365"/>
        <v>45966</v>
      </c>
      <c r="L1462" s="408" t="s">
        <v>2391</v>
      </c>
      <c r="M1462" s="408" t="s">
        <v>2392</v>
      </c>
      <c r="N1462" s="408" t="str">
        <f t="shared" si="357"/>
        <v/>
      </c>
      <c r="O1462" s="408"/>
      <c r="P1462" s="408"/>
      <c r="Q1462" s="408"/>
      <c r="R1462" s="408"/>
      <c r="S1462" s="408"/>
      <c r="T1462" s="408"/>
      <c r="U1462" s="408"/>
      <c r="V1462" s="421"/>
      <c r="W1462" s="421"/>
      <c r="X1462" s="421"/>
      <c r="Y1462" s="421"/>
      <c r="Z1462" s="421"/>
      <c r="AA1462" s="421"/>
      <c r="AB1462" s="421"/>
      <c r="AC1462" s="421"/>
      <c r="AD1462" s="421"/>
      <c r="AE1462" s="421"/>
      <c r="AF1462" s="421"/>
      <c r="AG1462" s="421"/>
      <c r="AH1462" s="421"/>
      <c r="AI1462" s="421"/>
      <c r="AJ1462" s="421"/>
      <c r="AK1462" s="421"/>
      <c r="AL1462" s="421"/>
    </row>
    <row r="1463" spans="1:38">
      <c r="A1463" s="408">
        <v>5981</v>
      </c>
      <c r="B1463" s="83">
        <f t="array" ref="B1463">SUM(--(FREQUENCY(IF(C$2:C$3072=C1463, MATCH(D$2:D$3072, D$2:D$3072, 0)), ROW(D$2:D$3072)-ROW(D$2)+1) &gt; 0))</f>
        <v>76</v>
      </c>
      <c r="C1463" s="408">
        <v>41200007</v>
      </c>
      <c r="D1463" s="408" t="s">
        <v>3214</v>
      </c>
      <c r="E1463" s="408" t="s">
        <v>1405</v>
      </c>
      <c r="F1463" s="408" t="s">
        <v>1591</v>
      </c>
      <c r="G1463" s="408" t="s">
        <v>2666</v>
      </c>
      <c r="H1463" s="197">
        <f t="shared" si="364"/>
        <v>45</v>
      </c>
      <c r="I1463" s="408">
        <v>11</v>
      </c>
      <c r="J1463" s="408">
        <v>5</v>
      </c>
      <c r="K1463" s="186">
        <f t="shared" si="365"/>
        <v>45966</v>
      </c>
      <c r="L1463" s="408" t="s">
        <v>2391</v>
      </c>
      <c r="M1463" s="408" t="s">
        <v>2392</v>
      </c>
      <c r="N1463" s="408" t="str">
        <f t="shared" si="357"/>
        <v/>
      </c>
      <c r="O1463" s="408"/>
      <c r="P1463" s="408"/>
      <c r="Q1463" s="408"/>
      <c r="R1463" s="408"/>
      <c r="S1463" s="408"/>
      <c r="T1463" s="408"/>
      <c r="U1463" s="408"/>
      <c r="V1463" s="421"/>
      <c r="W1463" s="421"/>
      <c r="X1463" s="421"/>
      <c r="Y1463" s="421"/>
      <c r="Z1463" s="421"/>
      <c r="AA1463" s="421"/>
      <c r="AB1463" s="421"/>
      <c r="AC1463" s="421"/>
      <c r="AD1463" s="421"/>
      <c r="AE1463" s="421"/>
      <c r="AF1463" s="421"/>
      <c r="AG1463" s="421"/>
      <c r="AH1463" s="421"/>
      <c r="AI1463" s="421"/>
      <c r="AJ1463" s="421"/>
      <c r="AK1463" s="421"/>
      <c r="AL1463" s="421"/>
    </row>
    <row r="1464" spans="1:38">
      <c r="A1464" s="408">
        <v>6106</v>
      </c>
      <c r="B1464" s="83">
        <f t="array" ref="B1464">SUM(--(FREQUENCY(IF(C$2:C$3072=C1464, MATCH(D$2:D$3072, D$2:D$3072, 0)), ROW(D$2:D$3072)-ROW(D$2)+1) &gt; 0))</f>
        <v>6</v>
      </c>
      <c r="C1464" s="408">
        <v>41200133</v>
      </c>
      <c r="D1464" s="408" t="s">
        <v>3215</v>
      </c>
      <c r="E1464" s="408" t="s">
        <v>1429</v>
      </c>
      <c r="F1464" s="408" t="s">
        <v>1476</v>
      </c>
      <c r="G1464" s="408" t="s">
        <v>2675</v>
      </c>
      <c r="H1464" s="197">
        <f t="shared" si="364"/>
        <v>45</v>
      </c>
      <c r="I1464" s="408">
        <v>11</v>
      </c>
      <c r="J1464" s="408">
        <v>5</v>
      </c>
      <c r="K1464" s="186">
        <f t="shared" si="365"/>
        <v>45966</v>
      </c>
      <c r="L1464" s="408" t="s">
        <v>2395</v>
      </c>
      <c r="M1464" s="408" t="s">
        <v>2392</v>
      </c>
      <c r="N1464" s="408" t="str">
        <f t="shared" si="357"/>
        <v/>
      </c>
      <c r="O1464" s="408"/>
      <c r="P1464" s="408"/>
      <c r="Q1464" s="408"/>
      <c r="R1464" s="408"/>
      <c r="S1464" s="408"/>
      <c r="T1464" s="408"/>
      <c r="U1464" s="408"/>
      <c r="V1464" s="421"/>
      <c r="W1464" s="421"/>
      <c r="X1464" s="421"/>
      <c r="Y1464" s="421"/>
      <c r="Z1464" s="421"/>
      <c r="AA1464" s="421"/>
      <c r="AB1464" s="421"/>
      <c r="AC1464" s="421"/>
      <c r="AD1464" s="421"/>
      <c r="AE1464" s="421"/>
      <c r="AF1464" s="421"/>
      <c r="AG1464" s="421"/>
      <c r="AH1464" s="421"/>
      <c r="AI1464" s="421"/>
      <c r="AJ1464" s="421"/>
      <c r="AK1464" s="421"/>
      <c r="AL1464" s="421"/>
    </row>
    <row r="1465" spans="1:38">
      <c r="A1465" s="408">
        <v>6106</v>
      </c>
      <c r="B1465" s="83">
        <f t="array" ref="B1465">SUM(--(FREQUENCY(IF(C$2:C$3072=C1465, MATCH(D$2:D$3072, D$2:D$3072, 0)), ROW(D$2:D$3072)-ROW(D$2)+1) &gt; 0))</f>
        <v>6</v>
      </c>
      <c r="C1465" s="408">
        <v>41200133</v>
      </c>
      <c r="D1465" s="408" t="s">
        <v>3216</v>
      </c>
      <c r="E1465" s="408" t="s">
        <v>1429</v>
      </c>
      <c r="F1465" s="408" t="s">
        <v>1476</v>
      </c>
      <c r="G1465" s="408" t="s">
        <v>2675</v>
      </c>
      <c r="H1465" s="197">
        <f t="shared" si="364"/>
        <v>45</v>
      </c>
      <c r="I1465" s="408">
        <v>11</v>
      </c>
      <c r="J1465" s="408">
        <v>5</v>
      </c>
      <c r="K1465" s="186">
        <f t="shared" si="365"/>
        <v>45966</v>
      </c>
      <c r="L1465" s="408" t="s">
        <v>2395</v>
      </c>
      <c r="M1465" s="408" t="s">
        <v>2392</v>
      </c>
      <c r="N1465" s="408" t="str">
        <f t="shared" si="357"/>
        <v/>
      </c>
      <c r="O1465" s="408"/>
      <c r="P1465" s="408"/>
      <c r="Q1465" s="408"/>
      <c r="R1465" s="408"/>
      <c r="S1465" s="408"/>
      <c r="T1465" s="408"/>
      <c r="U1465" s="408"/>
      <c r="V1465" s="421"/>
      <c r="W1465" s="421"/>
      <c r="X1465" s="421"/>
      <c r="Y1465" s="421"/>
      <c r="Z1465" s="421"/>
      <c r="AA1465" s="421"/>
      <c r="AB1465" s="421"/>
      <c r="AC1465" s="421"/>
      <c r="AD1465" s="421"/>
      <c r="AE1465" s="421"/>
      <c r="AF1465" s="421"/>
      <c r="AG1465" s="421"/>
      <c r="AH1465" s="421"/>
      <c r="AI1465" s="421"/>
      <c r="AJ1465" s="421"/>
      <c r="AK1465" s="421"/>
      <c r="AL1465" s="421"/>
    </row>
    <row r="1466" spans="1:38">
      <c r="A1466" s="408">
        <v>6107</v>
      </c>
      <c r="B1466" s="83">
        <f t="array" ref="B1466">SUM(--(FREQUENCY(IF(C$2:C$3072=C1466, MATCH(D$2:D$3072, D$2:D$3072, 0)), ROW(D$2:D$3072)-ROW(D$2)+1) &gt; 0))</f>
        <v>9</v>
      </c>
      <c r="C1466" s="408">
        <v>41200105</v>
      </c>
      <c r="D1466" s="408" t="s">
        <v>3217</v>
      </c>
      <c r="E1466" s="408" t="s">
        <v>1424</v>
      </c>
      <c r="F1466" s="408" t="s">
        <v>1476</v>
      </c>
      <c r="G1466" s="408" t="s">
        <v>2675</v>
      </c>
      <c r="H1466" s="197">
        <f t="shared" si="364"/>
        <v>45</v>
      </c>
      <c r="I1466" s="408">
        <v>11</v>
      </c>
      <c r="J1466" s="408">
        <v>5</v>
      </c>
      <c r="K1466" s="186">
        <f t="shared" si="365"/>
        <v>45966</v>
      </c>
      <c r="L1466" s="408" t="s">
        <v>2395</v>
      </c>
      <c r="M1466" s="408" t="s">
        <v>1468</v>
      </c>
      <c r="N1466" s="408" t="str">
        <f t="shared" si="357"/>
        <v/>
      </c>
      <c r="O1466" s="408"/>
      <c r="P1466" s="408"/>
      <c r="Q1466" s="408"/>
      <c r="R1466" s="408"/>
      <c r="S1466" s="408"/>
      <c r="T1466" s="408"/>
      <c r="U1466" s="408"/>
      <c r="V1466" s="421"/>
      <c r="W1466" s="421"/>
      <c r="X1466" s="421"/>
      <c r="Y1466" s="421"/>
      <c r="Z1466" s="421"/>
      <c r="AA1466" s="421"/>
      <c r="AB1466" s="421"/>
      <c r="AC1466" s="421"/>
      <c r="AD1466" s="421"/>
      <c r="AE1466" s="421"/>
      <c r="AF1466" s="421"/>
      <c r="AG1466" s="421"/>
      <c r="AH1466" s="421"/>
      <c r="AI1466" s="421"/>
      <c r="AJ1466" s="421"/>
      <c r="AK1466" s="421"/>
      <c r="AL1466" s="421"/>
    </row>
    <row r="1467" spans="1:38">
      <c r="A1467" s="408">
        <v>6193</v>
      </c>
      <c r="B1467" s="83">
        <f t="array" ref="B1467">SUM(--(FREQUENCY(IF(C$2:C$3072=C1467, MATCH(D$2:D$3072, D$2:D$3072, 0)), ROW(D$2:D$3072)-ROW(D$2)+1) &gt; 0))</f>
        <v>8</v>
      </c>
      <c r="C1467" s="408">
        <v>41200048</v>
      </c>
      <c r="D1467" s="408" t="s">
        <v>3218</v>
      </c>
      <c r="E1467" s="408" t="s">
        <v>1426</v>
      </c>
      <c r="F1467" s="408" t="s">
        <v>1476</v>
      </c>
      <c r="G1467" s="408" t="s">
        <v>2675</v>
      </c>
      <c r="H1467" s="197">
        <f t="shared" si="364"/>
        <v>45</v>
      </c>
      <c r="I1467" s="408">
        <v>11</v>
      </c>
      <c r="J1467" s="408">
        <v>5</v>
      </c>
      <c r="K1467" s="186">
        <f t="shared" si="365"/>
        <v>45966</v>
      </c>
      <c r="L1467" s="408" t="s">
        <v>2395</v>
      </c>
      <c r="M1467" s="408" t="s">
        <v>1469</v>
      </c>
      <c r="N1467" s="408" t="str">
        <f t="shared" si="357"/>
        <v/>
      </c>
      <c r="O1467" s="408"/>
      <c r="P1467" s="408"/>
      <c r="Q1467" s="408"/>
      <c r="R1467" s="408"/>
      <c r="S1467" s="408"/>
      <c r="T1467" s="408"/>
      <c r="U1467" s="408"/>
      <c r="V1467" s="421"/>
      <c r="W1467" s="421"/>
      <c r="X1467" s="421"/>
      <c r="Y1467" s="421"/>
      <c r="Z1467" s="421"/>
      <c r="AA1467" s="421"/>
      <c r="AB1467" s="421"/>
      <c r="AC1467" s="421"/>
      <c r="AD1467" s="421"/>
      <c r="AE1467" s="421"/>
      <c r="AF1467" s="421"/>
      <c r="AG1467" s="421"/>
      <c r="AH1467" s="421"/>
      <c r="AI1467" s="421"/>
      <c r="AJ1467" s="421"/>
      <c r="AK1467" s="421"/>
      <c r="AL1467" s="421"/>
    </row>
    <row r="1468" spans="1:38">
      <c r="A1468" s="408">
        <v>6193</v>
      </c>
      <c r="B1468" s="83">
        <f t="array" ref="B1468">SUM(--(FREQUENCY(IF(C$2:C$3072=C1468, MATCH(D$2:D$3072, D$2:D$3072, 0)), ROW(D$2:D$3072)-ROW(D$2)+1) &gt; 0))</f>
        <v>8</v>
      </c>
      <c r="C1468" s="408">
        <v>41200048</v>
      </c>
      <c r="D1468" s="408" t="s">
        <v>3219</v>
      </c>
      <c r="E1468" s="408" t="s">
        <v>1426</v>
      </c>
      <c r="F1468" s="408" t="s">
        <v>1476</v>
      </c>
      <c r="G1468" s="408" t="s">
        <v>2675</v>
      </c>
      <c r="H1468" s="197">
        <f t="shared" si="364"/>
        <v>45</v>
      </c>
      <c r="I1468" s="408">
        <v>11</v>
      </c>
      <c r="J1468" s="408">
        <v>5</v>
      </c>
      <c r="K1468" s="186">
        <f t="shared" si="365"/>
        <v>45966</v>
      </c>
      <c r="L1468" s="408" t="s">
        <v>2395</v>
      </c>
      <c r="M1468" s="408" t="s">
        <v>1469</v>
      </c>
      <c r="N1468" s="408" t="s">
        <v>2877</v>
      </c>
      <c r="O1468" s="408" t="s">
        <v>2368</v>
      </c>
      <c r="P1468" s="408" t="s">
        <v>2508</v>
      </c>
      <c r="Q1468" s="408">
        <v>13109840</v>
      </c>
      <c r="R1468" s="408" t="s">
        <v>3220</v>
      </c>
      <c r="S1468" s="408" t="s">
        <v>3221</v>
      </c>
      <c r="T1468" s="408"/>
      <c r="U1468" s="408"/>
      <c r="V1468" s="421"/>
      <c r="W1468" s="421"/>
      <c r="X1468" s="421"/>
      <c r="Y1468" s="421"/>
      <c r="Z1468" s="421"/>
      <c r="AA1468" s="421"/>
      <c r="AB1468" s="421"/>
      <c r="AC1468" s="421"/>
      <c r="AD1468" s="421"/>
      <c r="AE1468" s="421"/>
      <c r="AF1468" s="421"/>
      <c r="AG1468" s="421"/>
      <c r="AH1468" s="421"/>
      <c r="AI1468" s="421"/>
      <c r="AJ1468" s="421"/>
      <c r="AK1468" s="421"/>
      <c r="AL1468" s="421"/>
    </row>
    <row r="1469" spans="1:38">
      <c r="A1469" s="3">
        <v>6177</v>
      </c>
      <c r="B1469" s="83">
        <f t="array" ref="B1469">SUM(--(FREQUENCY(IF(C$2:C$3096=C1469, MATCH(D$2:D$3096, D$2:D$3096, 0)), ROW(D$2:D$3096)-ROW(D$2)+1) &gt; 0))</f>
        <v>15</v>
      </c>
      <c r="C1469" s="3">
        <v>41200124</v>
      </c>
      <c r="D1469" s="6" t="s">
        <v>3222</v>
      </c>
      <c r="E1469" s="3" t="s">
        <v>1585</v>
      </c>
      <c r="F1469" s="3" t="s">
        <v>1476</v>
      </c>
      <c r="G1469" s="68" t="s">
        <v>2675</v>
      </c>
      <c r="H1469" s="197">
        <f t="shared" si="364"/>
        <v>45</v>
      </c>
      <c r="I1469" s="197">
        <v>11</v>
      </c>
      <c r="J1469" s="197">
        <v>6</v>
      </c>
      <c r="K1469" s="186">
        <f t="shared" ref="K1469:K1478" si="366">DATE(2025, I1469, J1469)</f>
        <v>45967</v>
      </c>
      <c r="L1469" s="3" t="s">
        <v>2391</v>
      </c>
      <c r="M1469" s="3" t="s">
        <v>2392</v>
      </c>
      <c r="N1469" s="408" t="str">
        <f t="shared" si="357"/>
        <v/>
      </c>
      <c r="O1469" s="408"/>
      <c r="P1469" s="408"/>
      <c r="Q1469" s="408"/>
      <c r="R1469" s="408"/>
      <c r="S1469" s="408"/>
      <c r="T1469" s="408"/>
      <c r="U1469" s="408"/>
      <c r="V1469" s="421"/>
      <c r="W1469" s="421"/>
      <c r="X1469" s="421"/>
      <c r="Y1469" s="421"/>
      <c r="Z1469" s="421"/>
      <c r="AA1469" s="421"/>
      <c r="AB1469" s="421"/>
      <c r="AC1469" s="421"/>
      <c r="AD1469" s="421"/>
      <c r="AE1469" s="421"/>
      <c r="AF1469" s="421"/>
      <c r="AG1469" s="421"/>
      <c r="AH1469" s="421"/>
      <c r="AI1469" s="421"/>
      <c r="AJ1469" s="421"/>
      <c r="AK1469" s="421"/>
      <c r="AL1469" s="421"/>
    </row>
    <row r="1470" spans="1:38">
      <c r="A1470" s="3">
        <v>6116</v>
      </c>
      <c r="B1470" s="83">
        <f t="array" ref="B1470">SUM(--(FREQUENCY(IF(C$2:C$3096=C1470, MATCH(D$2:D$3096, D$2:D$3096, 0)), ROW(D$2:D$3096)-ROW(D$2)+1) &gt; 0))</f>
        <v>6</v>
      </c>
      <c r="C1470" s="3">
        <v>41100317</v>
      </c>
      <c r="D1470" s="6" t="s">
        <v>3223</v>
      </c>
      <c r="E1470" s="3" t="s">
        <v>1585</v>
      </c>
      <c r="F1470" s="3" t="s">
        <v>1476</v>
      </c>
      <c r="G1470" s="68" t="s">
        <v>2675</v>
      </c>
      <c r="H1470" s="197">
        <f t="shared" si="364"/>
        <v>45</v>
      </c>
      <c r="I1470" s="197">
        <v>11</v>
      </c>
      <c r="J1470" s="197">
        <v>6</v>
      </c>
      <c r="K1470" s="186">
        <f t="shared" si="366"/>
        <v>45967</v>
      </c>
      <c r="L1470" s="3" t="s">
        <v>2391</v>
      </c>
      <c r="M1470" s="3" t="s">
        <v>1468</v>
      </c>
      <c r="N1470" s="408" t="str">
        <f t="shared" si="357"/>
        <v/>
      </c>
      <c r="O1470" s="408"/>
      <c r="P1470" s="408"/>
      <c r="Q1470" s="408"/>
      <c r="R1470" s="408"/>
      <c r="S1470" s="408"/>
      <c r="T1470" s="408"/>
      <c r="U1470" s="408"/>
      <c r="V1470" s="421"/>
      <c r="W1470" s="421"/>
      <c r="X1470" s="421"/>
      <c r="Y1470" s="421"/>
      <c r="Z1470" s="421"/>
      <c r="AA1470" s="421"/>
      <c r="AB1470" s="421"/>
      <c r="AC1470" s="421"/>
      <c r="AD1470" s="421"/>
      <c r="AE1470" s="421"/>
      <c r="AF1470" s="421"/>
      <c r="AG1470" s="421"/>
      <c r="AH1470" s="421"/>
      <c r="AI1470" s="421"/>
      <c r="AJ1470" s="421"/>
      <c r="AK1470" s="421"/>
      <c r="AL1470" s="421"/>
    </row>
    <row r="1471" spans="1:38">
      <c r="A1471" s="3">
        <v>6092</v>
      </c>
      <c r="B1471" s="83">
        <f t="array" ref="B1471">SUM(--(FREQUENCY(IF(C$2:C$3096=C1471, MATCH(D$2:D$3096, D$2:D$3096, 0)), ROW(D$2:D$3096)-ROW(D$2)+1) &gt; 0))</f>
        <v>4</v>
      </c>
      <c r="C1471" s="3">
        <v>41200136</v>
      </c>
      <c r="D1471" s="6" t="s">
        <v>3224</v>
      </c>
      <c r="E1471" s="3" t="s">
        <v>1431</v>
      </c>
      <c r="F1471" s="3" t="s">
        <v>1482</v>
      </c>
      <c r="G1471" s="68" t="str">
        <f t="shared" ref="G1471:G1478" si="367">IF(OR(ISNUMBER(SEARCH("DUAL",F1471)), ISNUMBER(SEARCH("IVAS",F1471))), "DUAL", "SINGLE")</f>
        <v>SINGLE</v>
      </c>
      <c r="H1471" s="197">
        <f t="shared" si="364"/>
        <v>45</v>
      </c>
      <c r="I1471" s="197">
        <v>11</v>
      </c>
      <c r="J1471" s="197">
        <v>6</v>
      </c>
      <c r="K1471" s="186">
        <f t="shared" si="366"/>
        <v>45967</v>
      </c>
      <c r="L1471" s="3" t="s">
        <v>2395</v>
      </c>
      <c r="M1471" s="3" t="s">
        <v>1469</v>
      </c>
      <c r="N1471" s="408" t="str">
        <f t="shared" si="357"/>
        <v/>
      </c>
      <c r="O1471" s="408"/>
      <c r="P1471" s="408"/>
      <c r="Q1471" s="408"/>
      <c r="R1471" s="408"/>
      <c r="S1471" s="408"/>
      <c r="T1471" s="408"/>
      <c r="U1471" s="408"/>
      <c r="V1471" s="421"/>
      <c r="W1471" s="421"/>
      <c r="X1471" s="421"/>
      <c r="Y1471" s="421"/>
      <c r="Z1471" s="421"/>
      <c r="AA1471" s="421"/>
      <c r="AB1471" s="421"/>
      <c r="AC1471" s="421"/>
      <c r="AD1471" s="421"/>
      <c r="AE1471" s="421"/>
      <c r="AF1471" s="421"/>
      <c r="AG1471" s="421"/>
      <c r="AH1471" s="421"/>
      <c r="AI1471" s="421"/>
      <c r="AJ1471" s="421"/>
      <c r="AK1471" s="421"/>
      <c r="AL1471" s="421"/>
    </row>
    <row r="1472" spans="1:38">
      <c r="A1472" s="3">
        <v>6214</v>
      </c>
      <c r="B1472" s="83">
        <f t="array" ref="B1472">SUM(--(FREQUENCY(IF(C$2:C$3096=C1472, MATCH(D$2:D$3096, D$2:D$3096, 0)), ROW(D$2:D$3096)-ROW(D$2)+1) &gt; 0))</f>
        <v>6</v>
      </c>
      <c r="C1472" s="3">
        <v>41200184</v>
      </c>
      <c r="D1472" s="6" t="s">
        <v>3225</v>
      </c>
      <c r="E1472" s="3" t="s">
        <v>1394</v>
      </c>
      <c r="F1472" s="3" t="s">
        <v>1479</v>
      </c>
      <c r="G1472" s="68" t="str">
        <f t="shared" si="367"/>
        <v>SINGLE</v>
      </c>
      <c r="H1472" s="197">
        <f t="shared" si="364"/>
        <v>45</v>
      </c>
      <c r="I1472" s="197">
        <v>11</v>
      </c>
      <c r="J1472" s="197">
        <v>6</v>
      </c>
      <c r="K1472" s="186">
        <f t="shared" si="366"/>
        <v>45967</v>
      </c>
      <c r="L1472" s="3" t="s">
        <v>2395</v>
      </c>
      <c r="M1472" s="3" t="s">
        <v>1469</v>
      </c>
      <c r="N1472" s="408" t="str">
        <f t="shared" si="357"/>
        <v/>
      </c>
      <c r="O1472" s="408"/>
      <c r="P1472" s="408"/>
      <c r="Q1472" s="408"/>
      <c r="R1472" s="408"/>
      <c r="S1472" s="408"/>
      <c r="T1472" s="408"/>
      <c r="U1472" s="408"/>
      <c r="V1472" s="421"/>
      <c r="W1472" s="421"/>
      <c r="X1472" s="421"/>
      <c r="Y1472" s="421"/>
      <c r="Z1472" s="421"/>
      <c r="AA1472" s="421"/>
      <c r="AB1472" s="421"/>
      <c r="AC1472" s="421"/>
      <c r="AD1472" s="421"/>
      <c r="AE1472" s="421"/>
      <c r="AF1472" s="421"/>
      <c r="AG1472" s="421"/>
      <c r="AH1472" s="421"/>
      <c r="AI1472" s="421"/>
      <c r="AJ1472" s="421"/>
      <c r="AK1472" s="421"/>
      <c r="AL1472" s="421"/>
    </row>
    <row r="1473" spans="1:38">
      <c r="A1473" s="3">
        <v>6214</v>
      </c>
      <c r="B1473" s="83">
        <f t="array" ref="B1473">SUM(--(FREQUENCY(IF(C$2:C$3096=C1473, MATCH(D$2:D$3096, D$2:D$3096, 0)), ROW(D$2:D$3096)-ROW(D$2)+1) &gt; 0))</f>
        <v>6</v>
      </c>
      <c r="C1473" s="3">
        <v>41200184</v>
      </c>
      <c r="D1473" s="6" t="s">
        <v>3226</v>
      </c>
      <c r="E1473" s="3" t="s">
        <v>1394</v>
      </c>
      <c r="F1473" s="3" t="s">
        <v>1479</v>
      </c>
      <c r="G1473" s="68" t="str">
        <f t="shared" si="367"/>
        <v>SINGLE</v>
      </c>
      <c r="H1473" s="197">
        <f t="shared" si="364"/>
        <v>45</v>
      </c>
      <c r="I1473" s="197">
        <v>11</v>
      </c>
      <c r="J1473" s="197">
        <v>6</v>
      </c>
      <c r="K1473" s="186">
        <f t="shared" si="366"/>
        <v>45967</v>
      </c>
      <c r="L1473" s="3" t="s">
        <v>2395</v>
      </c>
      <c r="M1473" s="3" t="s">
        <v>1469</v>
      </c>
      <c r="N1473" s="408" t="s">
        <v>2877</v>
      </c>
      <c r="O1473" s="408" t="s">
        <v>2368</v>
      </c>
      <c r="P1473" s="408" t="s">
        <v>2371</v>
      </c>
      <c r="Q1473" s="408">
        <v>11001963</v>
      </c>
      <c r="R1473" s="408" t="s">
        <v>562</v>
      </c>
      <c r="S1473" s="408" t="s">
        <v>3227</v>
      </c>
      <c r="T1473" s="408"/>
      <c r="U1473" s="408"/>
      <c r="V1473" s="421"/>
      <c r="W1473" s="421"/>
      <c r="X1473" s="421"/>
      <c r="Y1473" s="421"/>
      <c r="Z1473" s="421"/>
      <c r="AA1473" s="421"/>
      <c r="AB1473" s="421"/>
      <c r="AC1473" s="421"/>
      <c r="AD1473" s="421"/>
      <c r="AE1473" s="421"/>
      <c r="AF1473" s="421"/>
      <c r="AG1473" s="421"/>
      <c r="AH1473" s="421"/>
      <c r="AI1473" s="421"/>
      <c r="AJ1473" s="421"/>
      <c r="AK1473" s="421"/>
      <c r="AL1473" s="421"/>
    </row>
    <row r="1474" spans="1:38">
      <c r="A1474" s="3">
        <v>6214</v>
      </c>
      <c r="B1474" s="83">
        <f t="array" ref="B1474">SUM(--(FREQUENCY(IF(C$2:C$3096=C1474, MATCH(D$2:D$3096, D$2:D$3096, 0)), ROW(D$2:D$3096)-ROW(D$2)+1) &gt; 0))</f>
        <v>6</v>
      </c>
      <c r="C1474" s="3">
        <v>41200184</v>
      </c>
      <c r="D1474" s="6" t="s">
        <v>3228</v>
      </c>
      <c r="E1474" s="3" t="s">
        <v>1394</v>
      </c>
      <c r="F1474" s="3" t="s">
        <v>1479</v>
      </c>
      <c r="G1474" s="68" t="str">
        <f t="shared" si="367"/>
        <v>SINGLE</v>
      </c>
      <c r="H1474" s="197">
        <f t="shared" si="364"/>
        <v>45</v>
      </c>
      <c r="I1474" s="197">
        <v>11</v>
      </c>
      <c r="J1474" s="197">
        <v>6</v>
      </c>
      <c r="K1474" s="186">
        <f t="shared" si="366"/>
        <v>45967</v>
      </c>
      <c r="L1474" s="3" t="s">
        <v>2395</v>
      </c>
      <c r="M1474" s="3" t="s">
        <v>1469</v>
      </c>
      <c r="N1474" s="408" t="str">
        <f t="shared" si="357"/>
        <v/>
      </c>
      <c r="O1474" s="408"/>
      <c r="P1474" s="408"/>
      <c r="Q1474" s="408"/>
      <c r="R1474" s="408"/>
      <c r="S1474" s="408"/>
      <c r="T1474" s="408"/>
      <c r="U1474" s="408"/>
      <c r="V1474" s="421"/>
      <c r="W1474" s="421"/>
      <c r="X1474" s="421"/>
      <c r="Y1474" s="421"/>
      <c r="Z1474" s="421"/>
      <c r="AA1474" s="421"/>
      <c r="AB1474" s="421"/>
      <c r="AC1474" s="421"/>
      <c r="AD1474" s="421"/>
      <c r="AE1474" s="421"/>
      <c r="AF1474" s="421"/>
      <c r="AG1474" s="421"/>
      <c r="AH1474" s="421"/>
      <c r="AI1474" s="421"/>
      <c r="AJ1474" s="421"/>
      <c r="AK1474" s="421"/>
      <c r="AL1474" s="421"/>
    </row>
    <row r="1475" spans="1:38">
      <c r="A1475" s="3">
        <v>6172</v>
      </c>
      <c r="B1475" s="83">
        <f t="array" ref="B1475">SUM(--(FREQUENCY(IF(C$2:C$3096=C1475, MATCH(D$2:D$3096, D$2:D$3096, 0)), ROW(D$2:D$3096)-ROW(D$2)+1) &gt; 0))</f>
        <v>30</v>
      </c>
      <c r="C1475" s="3">
        <v>41200109</v>
      </c>
      <c r="D1475" s="6" t="s">
        <v>3229</v>
      </c>
      <c r="E1475" s="3" t="s">
        <v>1585</v>
      </c>
      <c r="F1475" s="3" t="s">
        <v>1591</v>
      </c>
      <c r="G1475" s="68" t="str">
        <f t="shared" si="367"/>
        <v>SINGLE</v>
      </c>
      <c r="H1475" s="197">
        <f t="shared" si="364"/>
        <v>45</v>
      </c>
      <c r="I1475" s="197">
        <v>11</v>
      </c>
      <c r="J1475" s="197">
        <v>6</v>
      </c>
      <c r="K1475" s="186">
        <f t="shared" si="366"/>
        <v>45967</v>
      </c>
      <c r="L1475" s="3" t="s">
        <v>2391</v>
      </c>
      <c r="M1475" s="3" t="s">
        <v>2392</v>
      </c>
      <c r="N1475" s="408" t="str">
        <f t="shared" si="357"/>
        <v/>
      </c>
      <c r="O1475" s="408"/>
      <c r="P1475" s="408"/>
      <c r="Q1475" s="408"/>
      <c r="R1475" s="408"/>
      <c r="S1475" s="408"/>
      <c r="T1475" s="408"/>
      <c r="U1475" s="408"/>
      <c r="V1475" s="421"/>
      <c r="W1475" s="421"/>
      <c r="X1475" s="421"/>
      <c r="Y1475" s="421"/>
      <c r="Z1475" s="421"/>
      <c r="AA1475" s="421"/>
      <c r="AB1475" s="421"/>
      <c r="AC1475" s="421"/>
      <c r="AD1475" s="421"/>
      <c r="AE1475" s="421"/>
      <c r="AF1475" s="421"/>
      <c r="AG1475" s="421"/>
      <c r="AH1475" s="421"/>
      <c r="AI1475" s="421"/>
      <c r="AJ1475" s="421"/>
      <c r="AK1475" s="421"/>
      <c r="AL1475" s="421"/>
    </row>
    <row r="1476" spans="1:38">
      <c r="A1476" s="3">
        <v>6172</v>
      </c>
      <c r="B1476" s="83">
        <f t="array" ref="B1476">SUM(--(FREQUENCY(IF(C$2:C$3096=C1476, MATCH(D$2:D$3096, D$2:D$3096, 0)), ROW(D$2:D$3096)-ROW(D$2)+1) &gt; 0))</f>
        <v>30</v>
      </c>
      <c r="C1476" s="3">
        <v>41200109</v>
      </c>
      <c r="D1476" s="6" t="s">
        <v>3230</v>
      </c>
      <c r="E1476" s="3" t="s">
        <v>1585</v>
      </c>
      <c r="F1476" s="3" t="s">
        <v>1591</v>
      </c>
      <c r="G1476" s="68" t="str">
        <f t="shared" si="367"/>
        <v>SINGLE</v>
      </c>
      <c r="H1476" s="197">
        <f t="shared" si="364"/>
        <v>45</v>
      </c>
      <c r="I1476" s="197">
        <v>11</v>
      </c>
      <c r="J1476" s="197">
        <v>6</v>
      </c>
      <c r="K1476" s="186">
        <f t="shared" si="366"/>
        <v>45967</v>
      </c>
      <c r="L1476" s="3" t="s">
        <v>2391</v>
      </c>
      <c r="M1476" s="3" t="s">
        <v>2392</v>
      </c>
      <c r="N1476" s="408" t="str">
        <f t="shared" si="357"/>
        <v/>
      </c>
      <c r="O1476" s="408"/>
      <c r="P1476" s="408"/>
      <c r="Q1476" s="408"/>
      <c r="R1476" s="408"/>
      <c r="S1476" s="408"/>
      <c r="T1476" s="408"/>
      <c r="U1476" s="408"/>
      <c r="V1476" s="421"/>
      <c r="W1476" s="421"/>
      <c r="X1476" s="421"/>
      <c r="Y1476" s="421"/>
      <c r="Z1476" s="421"/>
      <c r="AA1476" s="421"/>
      <c r="AB1476" s="421"/>
      <c r="AC1476" s="421"/>
      <c r="AD1476" s="421"/>
      <c r="AE1476" s="421"/>
      <c r="AF1476" s="421"/>
      <c r="AG1476" s="421"/>
      <c r="AH1476" s="421"/>
      <c r="AI1476" s="421"/>
      <c r="AJ1476" s="421"/>
      <c r="AK1476" s="421"/>
      <c r="AL1476" s="421"/>
    </row>
    <row r="1477" spans="1:38">
      <c r="A1477" s="3">
        <v>6248</v>
      </c>
      <c r="B1477" s="83">
        <f t="array" ref="B1477">SUM(--(FREQUENCY(IF(C$2:C$3096=C1477, MATCH(D$2:D$3096, D$2:D$3096, 0)), ROW(D$2:D$3096)-ROW(D$2)+1) &gt; 0))</f>
        <v>20</v>
      </c>
      <c r="C1477" s="3">
        <v>41100435</v>
      </c>
      <c r="D1477" s="3" t="s">
        <v>3231</v>
      </c>
      <c r="E1477" s="3" t="s">
        <v>1585</v>
      </c>
      <c r="F1477" s="3" t="s">
        <v>1482</v>
      </c>
      <c r="G1477" s="68" t="str">
        <f t="shared" si="367"/>
        <v>SINGLE</v>
      </c>
      <c r="H1477" s="197">
        <f t="shared" si="364"/>
        <v>45</v>
      </c>
      <c r="I1477" s="197">
        <v>11</v>
      </c>
      <c r="J1477" s="197">
        <v>6</v>
      </c>
      <c r="K1477" s="186">
        <f t="shared" si="366"/>
        <v>45967</v>
      </c>
      <c r="L1477" s="3" t="s">
        <v>2391</v>
      </c>
      <c r="M1477" s="3" t="s">
        <v>2392</v>
      </c>
      <c r="N1477" s="408" t="str">
        <f t="shared" si="357"/>
        <v/>
      </c>
      <c r="O1477" s="408"/>
      <c r="P1477" s="408"/>
      <c r="Q1477" s="408"/>
      <c r="R1477" s="408"/>
      <c r="S1477" s="408"/>
      <c r="T1477" s="408"/>
      <c r="U1477" s="408"/>
      <c r="V1477" s="421"/>
      <c r="W1477" s="421"/>
      <c r="X1477" s="421"/>
      <c r="Y1477" s="421"/>
      <c r="Z1477" s="421"/>
      <c r="AA1477" s="421"/>
      <c r="AB1477" s="421"/>
      <c r="AC1477" s="421"/>
      <c r="AD1477" s="421"/>
      <c r="AE1477" s="421"/>
      <c r="AF1477" s="421"/>
      <c r="AG1477" s="421"/>
      <c r="AH1477" s="421"/>
      <c r="AI1477" s="421"/>
      <c r="AJ1477" s="421"/>
      <c r="AK1477" s="421"/>
      <c r="AL1477" s="421"/>
    </row>
    <row r="1478" spans="1:38">
      <c r="A1478" s="3">
        <v>6248</v>
      </c>
      <c r="B1478" s="83">
        <f t="array" ref="B1478">SUM(--(FREQUENCY(IF(C$2:C$3096=C1478, MATCH(D$2:D$3096, D$2:D$3096, 0)), ROW(D$2:D$3096)-ROW(D$2)+1) &gt; 0))</f>
        <v>20</v>
      </c>
      <c r="C1478" s="3">
        <v>41100435</v>
      </c>
      <c r="D1478" s="6" t="s">
        <v>3232</v>
      </c>
      <c r="E1478" s="3" t="s">
        <v>1585</v>
      </c>
      <c r="F1478" s="3" t="s">
        <v>1482</v>
      </c>
      <c r="G1478" s="68" t="str">
        <f t="shared" si="367"/>
        <v>SINGLE</v>
      </c>
      <c r="H1478" s="197">
        <f t="shared" si="364"/>
        <v>45</v>
      </c>
      <c r="I1478" s="197">
        <v>11</v>
      </c>
      <c r="J1478" s="197">
        <v>6</v>
      </c>
      <c r="K1478" s="186">
        <f t="shared" si="366"/>
        <v>45967</v>
      </c>
      <c r="L1478" s="3" t="s">
        <v>2391</v>
      </c>
      <c r="M1478" s="3" t="s">
        <v>2392</v>
      </c>
      <c r="N1478" s="408" t="str">
        <f t="shared" si="357"/>
        <v/>
      </c>
      <c r="O1478" s="408"/>
      <c r="P1478" s="408"/>
      <c r="Q1478" s="408"/>
      <c r="R1478" s="408"/>
      <c r="S1478" s="408"/>
      <c r="T1478" s="408"/>
      <c r="U1478" s="408"/>
      <c r="V1478" s="421"/>
      <c r="W1478" s="421"/>
      <c r="X1478" s="421"/>
      <c r="Y1478" s="421"/>
      <c r="Z1478" s="421"/>
      <c r="AA1478" s="421"/>
      <c r="AB1478" s="421"/>
      <c r="AC1478" s="421"/>
      <c r="AD1478" s="421"/>
      <c r="AE1478" s="421"/>
      <c r="AF1478" s="421"/>
      <c r="AG1478" s="421"/>
      <c r="AH1478" s="421"/>
      <c r="AI1478" s="421"/>
      <c r="AJ1478" s="421"/>
      <c r="AK1478" s="421"/>
      <c r="AL1478" s="421"/>
    </row>
    <row r="1479" spans="1:38">
      <c r="A1479" s="408">
        <v>5981</v>
      </c>
      <c r="B1479" s="83">
        <f t="array" ref="B1479">SUM(--(FREQUENCY(IF(C$2:C$3072=C1479, MATCH(D$2:D$3072, D$2:D$3072, 0)), ROW(D$2:D$3072)-ROW(D$2)+1) &gt; 0))</f>
        <v>76</v>
      </c>
      <c r="C1479" s="260">
        <v>41200007</v>
      </c>
      <c r="D1479" s="408" t="s">
        <v>3233</v>
      </c>
      <c r="E1479" s="3" t="s">
        <v>1405</v>
      </c>
      <c r="F1479" s="3" t="s">
        <v>1591</v>
      </c>
      <c r="G1479" s="68" t="str">
        <f t="shared" ref="G1479:G1486" si="368">IF(OR(ISNUMBER(SEARCH("DUAL",F1479)), ISNUMBER(SEARCH("IVAS",F1479))), "DUAL", "SINGLE")</f>
        <v>SINGLE</v>
      </c>
      <c r="H1479" s="197">
        <f t="shared" ref="H1479:H1486" si="369">WEEKNUM(K1479)</f>
        <v>45</v>
      </c>
      <c r="I1479" s="197">
        <v>11</v>
      </c>
      <c r="J1479" s="197">
        <v>7</v>
      </c>
      <c r="K1479" s="186">
        <f t="shared" ref="K1479:K1486" si="370">DATE(2025, I1479, J1479)</f>
        <v>45968</v>
      </c>
      <c r="L1479" s="3" t="s">
        <v>2391</v>
      </c>
      <c r="M1479" s="3" t="s">
        <v>2392</v>
      </c>
      <c r="N1479" s="408" t="str">
        <f t="shared" si="357"/>
        <v/>
      </c>
      <c r="O1479" s="408"/>
      <c r="P1479" s="408"/>
      <c r="Q1479" s="408"/>
      <c r="R1479" s="408"/>
      <c r="S1479" s="408"/>
      <c r="T1479" s="408"/>
      <c r="U1479" s="408"/>
      <c r="V1479" s="421"/>
      <c r="W1479" s="421"/>
      <c r="X1479" s="421"/>
      <c r="Y1479" s="421"/>
      <c r="Z1479" s="421"/>
      <c r="AA1479" s="421"/>
      <c r="AB1479" s="421"/>
      <c r="AC1479" s="421"/>
      <c r="AD1479" s="421"/>
      <c r="AE1479" s="421"/>
      <c r="AF1479" s="421"/>
      <c r="AG1479" s="421"/>
      <c r="AH1479" s="421"/>
      <c r="AI1479" s="421"/>
      <c r="AJ1479" s="421"/>
      <c r="AK1479" s="421"/>
      <c r="AL1479" s="421"/>
    </row>
    <row r="1480" spans="1:38">
      <c r="A1480" s="408">
        <v>5981</v>
      </c>
      <c r="B1480" s="83">
        <f t="array" ref="B1480">SUM(--(FREQUENCY(IF(C$2:C$3072=C1480, MATCH(D$2:D$3072, D$2:D$3072, 0)), ROW(D$2:D$3072)-ROW(D$2)+1) &gt; 0))</f>
        <v>76</v>
      </c>
      <c r="C1480" s="260">
        <v>41200007</v>
      </c>
      <c r="D1480" s="408" t="s">
        <v>3234</v>
      </c>
      <c r="E1480" s="3" t="s">
        <v>1405</v>
      </c>
      <c r="F1480" s="3" t="s">
        <v>1591</v>
      </c>
      <c r="G1480" s="68" t="str">
        <f t="shared" si="368"/>
        <v>SINGLE</v>
      </c>
      <c r="H1480" s="197">
        <f t="shared" si="369"/>
        <v>45</v>
      </c>
      <c r="I1480" s="197">
        <v>11</v>
      </c>
      <c r="J1480" s="197">
        <v>7</v>
      </c>
      <c r="K1480" s="186">
        <f t="shared" si="370"/>
        <v>45968</v>
      </c>
      <c r="L1480" s="3" t="s">
        <v>2391</v>
      </c>
      <c r="M1480" s="3" t="s">
        <v>2392</v>
      </c>
      <c r="N1480" s="408" t="str">
        <f t="shared" si="357"/>
        <v/>
      </c>
      <c r="O1480" s="408"/>
      <c r="P1480" s="408"/>
      <c r="Q1480" s="408"/>
      <c r="R1480" s="408"/>
      <c r="S1480" s="408"/>
      <c r="T1480" s="408"/>
      <c r="U1480" s="408"/>
      <c r="V1480" s="421"/>
      <c r="W1480" s="421"/>
      <c r="X1480" s="421"/>
      <c r="Y1480" s="421"/>
      <c r="Z1480" s="421"/>
      <c r="AA1480" s="421"/>
      <c r="AB1480" s="421"/>
      <c r="AC1480" s="421"/>
      <c r="AD1480" s="421"/>
      <c r="AE1480" s="421"/>
      <c r="AF1480" s="421"/>
      <c r="AG1480" s="421"/>
      <c r="AH1480" s="421"/>
      <c r="AI1480" s="421"/>
      <c r="AJ1480" s="421"/>
      <c r="AK1480" s="421"/>
      <c r="AL1480" s="421"/>
    </row>
    <row r="1481" spans="1:38">
      <c r="A1481" s="408">
        <v>5981</v>
      </c>
      <c r="B1481" s="83">
        <f t="array" ref="B1481">SUM(--(FREQUENCY(IF(C$2:C$3072=C1481, MATCH(D$2:D$3072, D$2:D$3072, 0)), ROW(D$2:D$3072)-ROW(D$2)+1) &gt; 0))</f>
        <v>76</v>
      </c>
      <c r="C1481" s="260">
        <v>41200007</v>
      </c>
      <c r="D1481" s="408" t="s">
        <v>3235</v>
      </c>
      <c r="E1481" s="3" t="s">
        <v>1405</v>
      </c>
      <c r="F1481" s="3" t="s">
        <v>1591</v>
      </c>
      <c r="G1481" s="68" t="str">
        <f t="shared" si="368"/>
        <v>SINGLE</v>
      </c>
      <c r="H1481" s="197">
        <f t="shared" si="369"/>
        <v>45</v>
      </c>
      <c r="I1481" s="197">
        <v>11</v>
      </c>
      <c r="J1481" s="197">
        <v>7</v>
      </c>
      <c r="K1481" s="186">
        <f t="shared" si="370"/>
        <v>45968</v>
      </c>
      <c r="L1481" s="3" t="s">
        <v>2391</v>
      </c>
      <c r="M1481" s="3" t="s">
        <v>2392</v>
      </c>
      <c r="N1481" s="408" t="str">
        <f t="shared" si="357"/>
        <v/>
      </c>
      <c r="O1481" s="408"/>
      <c r="P1481" s="408"/>
      <c r="Q1481" s="408"/>
      <c r="R1481" s="408"/>
      <c r="S1481" s="408"/>
      <c r="T1481" s="408"/>
      <c r="U1481" s="408"/>
      <c r="V1481" s="421"/>
      <c r="W1481" s="421"/>
      <c r="X1481" s="421"/>
      <c r="Y1481" s="421"/>
      <c r="Z1481" s="421"/>
      <c r="AA1481" s="421"/>
      <c r="AB1481" s="421"/>
      <c r="AC1481" s="421"/>
      <c r="AD1481" s="421"/>
      <c r="AE1481" s="421"/>
      <c r="AF1481" s="421"/>
      <c r="AG1481" s="421"/>
      <c r="AH1481" s="421"/>
      <c r="AI1481" s="421"/>
      <c r="AJ1481" s="421"/>
      <c r="AK1481" s="421"/>
      <c r="AL1481" s="421"/>
    </row>
    <row r="1482" spans="1:38">
      <c r="A1482" s="408">
        <v>6101</v>
      </c>
      <c r="B1482" s="83">
        <f t="array" ref="B1482">SUM(--(FREQUENCY(IF(C$2:C$3072=C1482, MATCH(D$2:D$3072, D$2:D$3072, 0)), ROW(D$2:D$3072)-ROW(D$2)+1) &gt; 0))</f>
        <v>2</v>
      </c>
      <c r="C1482" s="408">
        <v>41200025</v>
      </c>
      <c r="D1482" s="408" t="s">
        <v>3236</v>
      </c>
      <c r="E1482" s="3" t="s">
        <v>1405</v>
      </c>
      <c r="F1482" s="3" t="s">
        <v>1616</v>
      </c>
      <c r="G1482" s="68" t="str">
        <f t="shared" si="368"/>
        <v>SINGLE</v>
      </c>
      <c r="H1482" s="197">
        <f t="shared" si="369"/>
        <v>45</v>
      </c>
      <c r="I1482" s="197">
        <v>11</v>
      </c>
      <c r="J1482" s="197">
        <v>7</v>
      </c>
      <c r="K1482" s="186">
        <f t="shared" si="370"/>
        <v>45968</v>
      </c>
      <c r="L1482" s="3" t="s">
        <v>2392</v>
      </c>
      <c r="M1482" s="3" t="s">
        <v>1468</v>
      </c>
      <c r="N1482" s="408" t="str">
        <f t="shared" si="357"/>
        <v/>
      </c>
      <c r="O1482" s="408"/>
      <c r="P1482" s="408"/>
      <c r="Q1482" s="408"/>
      <c r="R1482" s="408"/>
      <c r="S1482" s="408"/>
      <c r="T1482" s="408"/>
      <c r="U1482" s="408"/>
      <c r="V1482" s="421"/>
      <c r="W1482" s="421"/>
      <c r="X1482" s="421"/>
      <c r="Y1482" s="421"/>
      <c r="Z1482" s="421"/>
      <c r="AA1482" s="421"/>
      <c r="AB1482" s="421"/>
      <c r="AC1482" s="421"/>
      <c r="AD1482" s="421"/>
      <c r="AE1482" s="421"/>
      <c r="AF1482" s="421"/>
      <c r="AG1482" s="421"/>
      <c r="AH1482" s="421"/>
      <c r="AI1482" s="421"/>
      <c r="AJ1482" s="421"/>
      <c r="AK1482" s="421"/>
      <c r="AL1482" s="421"/>
    </row>
    <row r="1483" spans="1:38">
      <c r="A1483" s="408">
        <v>6101</v>
      </c>
      <c r="B1483" s="83">
        <f t="array" ref="B1483">SUM(--(FREQUENCY(IF(C$2:C$3072=C1483, MATCH(D$2:D$3072, D$2:D$3072, 0)), ROW(D$2:D$3072)-ROW(D$2)+1) &gt; 0))</f>
        <v>2</v>
      </c>
      <c r="C1483" s="408">
        <v>41200025</v>
      </c>
      <c r="D1483" s="408" t="s">
        <v>3237</v>
      </c>
      <c r="E1483" s="3" t="s">
        <v>1405</v>
      </c>
      <c r="F1483" s="3" t="s">
        <v>1616</v>
      </c>
      <c r="G1483" s="68" t="str">
        <f t="shared" si="368"/>
        <v>SINGLE</v>
      </c>
      <c r="H1483" s="197">
        <f t="shared" si="369"/>
        <v>45</v>
      </c>
      <c r="I1483" s="197">
        <v>11</v>
      </c>
      <c r="J1483" s="197">
        <v>7</v>
      </c>
      <c r="K1483" s="186">
        <f t="shared" si="370"/>
        <v>45968</v>
      </c>
      <c r="L1483" s="3" t="s">
        <v>2392</v>
      </c>
      <c r="M1483" s="3" t="s">
        <v>1468</v>
      </c>
      <c r="N1483" s="408" t="str">
        <f t="shared" si="357"/>
        <v/>
      </c>
      <c r="O1483" s="408"/>
      <c r="P1483" s="408"/>
      <c r="Q1483" s="408"/>
      <c r="R1483" s="408"/>
      <c r="S1483" s="408"/>
      <c r="T1483" s="408"/>
      <c r="U1483" s="408"/>
      <c r="V1483" s="421"/>
      <c r="W1483" s="421"/>
      <c r="X1483" s="421"/>
      <c r="Y1483" s="421"/>
      <c r="Z1483" s="421"/>
      <c r="AA1483" s="421"/>
      <c r="AB1483" s="421"/>
      <c r="AC1483" s="421"/>
      <c r="AD1483" s="421"/>
      <c r="AE1483" s="421"/>
      <c r="AF1483" s="421"/>
      <c r="AG1483" s="421"/>
      <c r="AH1483" s="421"/>
      <c r="AI1483" s="421"/>
      <c r="AJ1483" s="421"/>
      <c r="AK1483" s="421"/>
      <c r="AL1483" s="421"/>
    </row>
    <row r="1484" spans="1:38">
      <c r="A1484" s="408">
        <v>6082</v>
      </c>
      <c r="B1484" s="83">
        <f t="array" ref="B1484">SUM(--(FREQUENCY(IF(C$2:C$3072=C1484, MATCH(D$2:D$3072, D$2:D$3072, 0)), ROW(D$2:D$3072)-ROW(D$2)+1) &gt; 0))</f>
        <v>63</v>
      </c>
      <c r="C1484" s="408">
        <v>41200006</v>
      </c>
      <c r="D1484" s="408" t="s">
        <v>3238</v>
      </c>
      <c r="E1484" s="3" t="s">
        <v>1405</v>
      </c>
      <c r="F1484" s="3" t="s">
        <v>1477</v>
      </c>
      <c r="G1484" s="68" t="str">
        <f t="shared" si="368"/>
        <v>SINGLE</v>
      </c>
      <c r="H1484" s="197">
        <f t="shared" si="369"/>
        <v>45</v>
      </c>
      <c r="I1484" s="197">
        <v>11</v>
      </c>
      <c r="J1484" s="197">
        <v>7</v>
      </c>
      <c r="K1484" s="186">
        <f t="shared" si="370"/>
        <v>45968</v>
      </c>
      <c r="L1484" s="3" t="s">
        <v>2395</v>
      </c>
      <c r="M1484" s="3" t="s">
        <v>1469</v>
      </c>
      <c r="N1484" s="408" t="str">
        <f t="shared" si="357"/>
        <v/>
      </c>
      <c r="O1484" s="408"/>
      <c r="P1484" s="408"/>
      <c r="Q1484" s="408"/>
      <c r="R1484" s="408"/>
      <c r="S1484" s="408"/>
      <c r="T1484" s="408"/>
      <c r="U1484" s="408"/>
      <c r="V1484" s="421"/>
      <c r="W1484" s="421"/>
      <c r="X1484" s="421"/>
      <c r="Y1484" s="421"/>
      <c r="Z1484" s="421"/>
      <c r="AA1484" s="421"/>
      <c r="AB1484" s="421"/>
      <c r="AC1484" s="421"/>
      <c r="AD1484" s="421"/>
      <c r="AE1484" s="421"/>
      <c r="AF1484" s="421"/>
      <c r="AG1484" s="421"/>
      <c r="AH1484" s="421"/>
      <c r="AI1484" s="421"/>
      <c r="AJ1484" s="421"/>
      <c r="AK1484" s="421"/>
      <c r="AL1484" s="421"/>
    </row>
    <row r="1485" spans="1:38">
      <c r="A1485" s="408">
        <v>6082</v>
      </c>
      <c r="B1485" s="83">
        <f t="array" ref="B1485">SUM(--(FREQUENCY(IF(C$2:C$3072=C1485, MATCH(D$2:D$3072, D$2:D$3072, 0)), ROW(D$2:D$3072)-ROW(D$2)+1) &gt; 0))</f>
        <v>63</v>
      </c>
      <c r="C1485" s="408">
        <v>41200006</v>
      </c>
      <c r="D1485" s="408" t="s">
        <v>3239</v>
      </c>
      <c r="E1485" s="3" t="s">
        <v>1405</v>
      </c>
      <c r="F1485" s="3" t="s">
        <v>1477</v>
      </c>
      <c r="G1485" s="68" t="str">
        <f t="shared" si="368"/>
        <v>SINGLE</v>
      </c>
      <c r="H1485" s="197">
        <f t="shared" si="369"/>
        <v>45</v>
      </c>
      <c r="I1485" s="197">
        <v>11</v>
      </c>
      <c r="J1485" s="197">
        <v>7</v>
      </c>
      <c r="K1485" s="186">
        <f t="shared" si="370"/>
        <v>45968</v>
      </c>
      <c r="L1485" s="3" t="s">
        <v>2395</v>
      </c>
      <c r="M1485" s="3" t="s">
        <v>1469</v>
      </c>
      <c r="N1485" s="408" t="str">
        <f t="shared" si="357"/>
        <v/>
      </c>
      <c r="O1485" s="408"/>
      <c r="P1485" s="408"/>
      <c r="Q1485" s="408"/>
      <c r="R1485" s="408"/>
      <c r="S1485" s="408"/>
      <c r="T1485" s="408"/>
      <c r="U1485" s="408"/>
      <c r="V1485" s="421"/>
      <c r="W1485" s="421"/>
      <c r="X1485" s="421"/>
      <c r="Y1485" s="421"/>
      <c r="Z1485" s="421"/>
      <c r="AA1485" s="421"/>
      <c r="AB1485" s="421"/>
      <c r="AC1485" s="421"/>
      <c r="AD1485" s="421"/>
      <c r="AE1485" s="421"/>
      <c r="AF1485" s="421"/>
      <c r="AG1485" s="421"/>
      <c r="AH1485" s="421"/>
      <c r="AI1485" s="421"/>
      <c r="AJ1485" s="421"/>
      <c r="AK1485" s="421"/>
      <c r="AL1485" s="421"/>
    </row>
    <row r="1486" spans="1:38">
      <c r="A1486" s="408">
        <v>6133</v>
      </c>
      <c r="B1486" s="83">
        <f t="array" ref="B1486">SUM(--(FREQUENCY(IF(C$2:C$3072=C1486, MATCH(D$2:D$3072, D$2:D$3072, 0)), ROW(D$2:D$3072)-ROW(D$2)+1) &gt; 0))</f>
        <v>9</v>
      </c>
      <c r="C1486" s="408">
        <v>41200125</v>
      </c>
      <c r="D1486" s="408" t="s">
        <v>3240</v>
      </c>
      <c r="E1486" s="3" t="s">
        <v>1585</v>
      </c>
      <c r="F1486" s="3" t="s">
        <v>1476</v>
      </c>
      <c r="G1486" s="68" t="str">
        <f t="shared" si="368"/>
        <v>DUAL</v>
      </c>
      <c r="H1486" s="197">
        <f t="shared" si="369"/>
        <v>45</v>
      </c>
      <c r="I1486" s="197">
        <v>11</v>
      </c>
      <c r="J1486" s="197">
        <v>7</v>
      </c>
      <c r="K1486" s="186">
        <f t="shared" si="370"/>
        <v>45968</v>
      </c>
      <c r="L1486" s="3" t="s">
        <v>2395</v>
      </c>
      <c r="M1486" s="3" t="s">
        <v>1469</v>
      </c>
      <c r="N1486" s="408" t="str">
        <f t="shared" si="357"/>
        <v/>
      </c>
      <c r="O1486" s="408"/>
      <c r="P1486" s="408"/>
      <c r="Q1486" s="408"/>
      <c r="R1486" s="408"/>
      <c r="S1486" s="408"/>
      <c r="T1486" s="408"/>
      <c r="U1486" s="408"/>
      <c r="V1486" s="421"/>
      <c r="W1486" s="421"/>
      <c r="X1486" s="421"/>
      <c r="Y1486" s="421"/>
      <c r="Z1486" s="421"/>
      <c r="AA1486" s="421"/>
      <c r="AB1486" s="421"/>
      <c r="AC1486" s="421"/>
      <c r="AD1486" s="421"/>
      <c r="AE1486" s="421"/>
      <c r="AF1486" s="421"/>
      <c r="AG1486" s="421"/>
      <c r="AH1486" s="421"/>
      <c r="AI1486" s="421"/>
      <c r="AJ1486" s="421"/>
      <c r="AK1486" s="421"/>
      <c r="AL1486" s="421"/>
    </row>
    <row r="1487" spans="1:38">
      <c r="A1487" s="3">
        <v>6287</v>
      </c>
      <c r="B1487" s="83">
        <f t="array" ref="B1487">SUM(--(FREQUENCY(IF(C$2:C$3098=C1487, MATCH(D$2:D$3098, D$2:D$3098, 0)), ROW(D$2:D$3098)-ROW(D$2)+1) &gt; 0))</f>
        <v>6</v>
      </c>
      <c r="C1487" s="3">
        <v>41200108</v>
      </c>
      <c r="D1487" s="6" t="s">
        <v>1990</v>
      </c>
      <c r="E1487" s="3" t="s">
        <v>1409</v>
      </c>
      <c r="F1487" s="3" t="s">
        <v>1479</v>
      </c>
      <c r="G1487" s="41" t="str">
        <f t="shared" ref="G1487:G1494" si="371">IF(OR(ISNUMBER(SEARCH("DUAL",F1487)), ISNUMBER(SEARCH("IVAS",F1487))), "DUAL", "SINGLE")</f>
        <v>SINGLE</v>
      </c>
      <c r="H1487" s="197">
        <f t="shared" ref="H1487:H1494" si="372">WEEKNUM(K1487)</f>
        <v>46</v>
      </c>
      <c r="I1487" s="197">
        <v>11</v>
      </c>
      <c r="J1487" s="197">
        <v>10</v>
      </c>
      <c r="K1487" s="186">
        <f t="shared" ref="K1487:K1494" si="373">DATE(2025, I1487, J1487)</f>
        <v>45971</v>
      </c>
      <c r="L1487" s="3" t="s">
        <v>2395</v>
      </c>
      <c r="M1487" s="3" t="s">
        <v>2392</v>
      </c>
      <c r="N1487" s="408" t="str">
        <f t="shared" si="357"/>
        <v/>
      </c>
      <c r="O1487" s="408"/>
      <c r="P1487" s="408"/>
      <c r="Q1487" s="408"/>
      <c r="R1487" s="408"/>
      <c r="S1487" s="408"/>
      <c r="T1487" s="408"/>
      <c r="U1487" s="408"/>
      <c r="V1487" s="421"/>
      <c r="W1487" s="421"/>
      <c r="X1487" s="421"/>
      <c r="Y1487" s="421"/>
      <c r="Z1487" s="421"/>
      <c r="AA1487" s="421"/>
      <c r="AB1487" s="421"/>
      <c r="AC1487" s="421"/>
      <c r="AD1487" s="421"/>
      <c r="AE1487" s="421"/>
      <c r="AF1487" s="421"/>
      <c r="AG1487" s="421"/>
      <c r="AH1487" s="421"/>
      <c r="AI1487" s="421"/>
      <c r="AJ1487" s="421"/>
      <c r="AK1487" s="421"/>
      <c r="AL1487" s="421"/>
    </row>
    <row r="1488" spans="1:38">
      <c r="A1488" s="3">
        <v>6251</v>
      </c>
      <c r="B1488" s="83">
        <f t="array" ref="B1488">SUM(--(FREQUENCY(IF(C$2:C$3098=C1488, MATCH(D$2:D$3098, D$2:D$3098, 0)), ROW(D$2:D$3098)-ROW(D$2)+1) &gt; 0))</f>
        <v>20</v>
      </c>
      <c r="C1488" s="3">
        <v>41100435</v>
      </c>
      <c r="D1488" s="6" t="s">
        <v>3241</v>
      </c>
      <c r="E1488" s="3" t="s">
        <v>1585</v>
      </c>
      <c r="F1488" s="3" t="s">
        <v>1482</v>
      </c>
      <c r="G1488" s="68" t="str">
        <f t="shared" si="371"/>
        <v>SINGLE</v>
      </c>
      <c r="H1488" s="197">
        <f t="shared" si="372"/>
        <v>46</v>
      </c>
      <c r="I1488" s="197">
        <v>11</v>
      </c>
      <c r="J1488" s="197">
        <v>10</v>
      </c>
      <c r="K1488" s="186">
        <f t="shared" si="373"/>
        <v>45971</v>
      </c>
      <c r="L1488" s="3" t="s">
        <v>2395</v>
      </c>
      <c r="M1488" s="3" t="s">
        <v>2392</v>
      </c>
      <c r="N1488" s="408" t="str">
        <f t="shared" si="357"/>
        <v/>
      </c>
      <c r="O1488" s="408"/>
      <c r="P1488" s="408"/>
      <c r="Q1488" s="408"/>
      <c r="R1488" s="408"/>
      <c r="S1488" s="408"/>
      <c r="T1488" s="408"/>
      <c r="U1488" s="408"/>
      <c r="V1488" s="421"/>
      <c r="W1488" s="421"/>
      <c r="X1488" s="421"/>
      <c r="Y1488" s="421"/>
      <c r="Z1488" s="421"/>
      <c r="AA1488" s="421"/>
      <c r="AB1488" s="421"/>
      <c r="AC1488" s="421"/>
      <c r="AD1488" s="421"/>
      <c r="AE1488" s="421"/>
      <c r="AF1488" s="421"/>
      <c r="AG1488" s="421"/>
      <c r="AH1488" s="421"/>
      <c r="AI1488" s="421"/>
      <c r="AJ1488" s="421"/>
      <c r="AK1488" s="421"/>
      <c r="AL1488" s="421"/>
    </row>
    <row r="1489" spans="1:38">
      <c r="A1489" s="3">
        <v>6193</v>
      </c>
      <c r="B1489" s="83">
        <f t="array" ref="B1489">SUM(--(FREQUENCY(IF(C$2:C$3098=C1489, MATCH(D$2:D$3098, D$2:D$3098, 0)), ROW(D$2:D$3098)-ROW(D$2)+1) &gt; 0))</f>
        <v>8</v>
      </c>
      <c r="C1489" s="3">
        <v>41200048</v>
      </c>
      <c r="D1489" s="6" t="s">
        <v>3242</v>
      </c>
      <c r="E1489" s="3" t="s">
        <v>1426</v>
      </c>
      <c r="F1489" s="3" t="s">
        <v>1476</v>
      </c>
      <c r="G1489" s="68" t="str">
        <f t="shared" si="371"/>
        <v>DUAL</v>
      </c>
      <c r="H1489" s="197">
        <f t="shared" si="372"/>
        <v>46</v>
      </c>
      <c r="I1489" s="197">
        <v>11</v>
      </c>
      <c r="J1489" s="197">
        <v>10</v>
      </c>
      <c r="K1489" s="186">
        <f t="shared" si="373"/>
        <v>45971</v>
      </c>
      <c r="L1489" s="3" t="s">
        <v>2391</v>
      </c>
      <c r="M1489" s="3" t="s">
        <v>2392</v>
      </c>
      <c r="N1489" s="408" t="str">
        <f t="shared" si="357"/>
        <v/>
      </c>
      <c r="O1489" s="408"/>
      <c r="P1489" s="408"/>
      <c r="Q1489" s="408"/>
      <c r="R1489" s="408"/>
      <c r="S1489" s="408"/>
      <c r="T1489" s="408"/>
      <c r="U1489" s="408"/>
      <c r="V1489" s="421"/>
      <c r="W1489" s="421"/>
      <c r="X1489" s="421"/>
      <c r="Y1489" s="421"/>
      <c r="Z1489" s="421"/>
      <c r="AA1489" s="421"/>
      <c r="AB1489" s="421"/>
      <c r="AC1489" s="421"/>
      <c r="AD1489" s="421"/>
      <c r="AE1489" s="421"/>
      <c r="AF1489" s="421"/>
      <c r="AG1489" s="421"/>
      <c r="AH1489" s="421"/>
      <c r="AI1489" s="421"/>
      <c r="AJ1489" s="421"/>
      <c r="AK1489" s="421"/>
      <c r="AL1489" s="421"/>
    </row>
    <row r="1490" spans="1:38">
      <c r="A1490" s="3">
        <v>6243</v>
      </c>
      <c r="B1490" s="83">
        <f t="array" ref="B1490">SUM(--(FREQUENCY(IF(C$2:C$3098=C1490, MATCH(D$2:D$3098, D$2:D$3098, 0)), ROW(D$2:D$3098)-ROW(D$2)+1) &gt; 0))</f>
        <v>37</v>
      </c>
      <c r="C1490" s="3">
        <v>41200076</v>
      </c>
      <c r="D1490" s="6" t="s">
        <v>3243</v>
      </c>
      <c r="E1490" s="3" t="s">
        <v>1585</v>
      </c>
      <c r="F1490" s="3" t="s">
        <v>1476</v>
      </c>
      <c r="G1490" s="68" t="str">
        <f t="shared" si="371"/>
        <v>DUAL</v>
      </c>
      <c r="H1490" s="197">
        <f t="shared" si="372"/>
        <v>46</v>
      </c>
      <c r="I1490" s="197">
        <v>11</v>
      </c>
      <c r="J1490" s="197">
        <v>10</v>
      </c>
      <c r="K1490" s="186">
        <f t="shared" si="373"/>
        <v>45971</v>
      </c>
      <c r="L1490" s="3" t="s">
        <v>2395</v>
      </c>
      <c r="M1490" s="3" t="s">
        <v>2392</v>
      </c>
      <c r="N1490" s="408" t="str">
        <f t="shared" si="357"/>
        <v/>
      </c>
      <c r="O1490" s="408"/>
      <c r="P1490" s="408"/>
      <c r="Q1490" s="408"/>
      <c r="R1490" s="408"/>
      <c r="S1490" s="408"/>
      <c r="T1490" s="408"/>
      <c r="U1490" s="408"/>
      <c r="V1490" s="421"/>
      <c r="W1490" s="421"/>
      <c r="X1490" s="421"/>
      <c r="Y1490" s="421"/>
      <c r="Z1490" s="421"/>
      <c r="AA1490" s="421"/>
      <c r="AB1490" s="421"/>
      <c r="AC1490" s="421"/>
      <c r="AD1490" s="421"/>
      <c r="AE1490" s="421"/>
      <c r="AF1490" s="421"/>
      <c r="AG1490" s="421"/>
      <c r="AH1490" s="421"/>
      <c r="AI1490" s="421"/>
      <c r="AJ1490" s="421"/>
      <c r="AK1490" s="421"/>
      <c r="AL1490" s="421"/>
    </row>
    <row r="1491" spans="1:38">
      <c r="A1491" s="3">
        <v>6243</v>
      </c>
      <c r="B1491" s="83">
        <f t="array" ref="B1491">SUM(--(FREQUENCY(IF(C$2:C$3098=C1491, MATCH(D$2:D$3098, D$2:D$3098, 0)), ROW(D$2:D$3098)-ROW(D$2)+1) &gt; 0))</f>
        <v>37</v>
      </c>
      <c r="C1491" s="3">
        <v>41200076</v>
      </c>
      <c r="D1491" s="6" t="s">
        <v>3244</v>
      </c>
      <c r="E1491" s="3" t="s">
        <v>1585</v>
      </c>
      <c r="F1491" s="3" t="s">
        <v>1476</v>
      </c>
      <c r="G1491" s="68" t="str">
        <f t="shared" si="371"/>
        <v>DUAL</v>
      </c>
      <c r="H1491" s="197">
        <f t="shared" si="372"/>
        <v>46</v>
      </c>
      <c r="I1491" s="197">
        <v>11</v>
      </c>
      <c r="J1491" s="197">
        <v>10</v>
      </c>
      <c r="K1491" s="186">
        <f t="shared" si="373"/>
        <v>45971</v>
      </c>
      <c r="L1491" s="3" t="s">
        <v>2395</v>
      </c>
      <c r="M1491" s="3" t="s">
        <v>2392</v>
      </c>
      <c r="N1491" s="408" t="str">
        <f t="shared" si="357"/>
        <v/>
      </c>
      <c r="O1491" s="408"/>
      <c r="P1491" s="408"/>
      <c r="Q1491" s="408"/>
      <c r="R1491" s="408"/>
      <c r="S1491" s="408"/>
      <c r="T1491" s="408"/>
      <c r="U1491" s="408"/>
      <c r="V1491" s="421"/>
      <c r="W1491" s="421"/>
      <c r="X1491" s="421"/>
      <c r="Y1491" s="421"/>
      <c r="Z1491" s="421"/>
      <c r="AA1491" s="421"/>
      <c r="AB1491" s="421"/>
      <c r="AC1491" s="421"/>
      <c r="AD1491" s="421"/>
      <c r="AE1491" s="421"/>
      <c r="AF1491" s="421"/>
      <c r="AG1491" s="421"/>
      <c r="AH1491" s="421"/>
      <c r="AI1491" s="421"/>
      <c r="AJ1491" s="421"/>
      <c r="AK1491" s="421"/>
      <c r="AL1491" s="421"/>
    </row>
    <row r="1492" spans="1:38">
      <c r="A1492" s="3">
        <v>6154</v>
      </c>
      <c r="B1492" s="83">
        <f t="array" ref="B1492">SUM(--(FREQUENCY(IF(C$2:C$3098=C1492, MATCH(D$2:D$3098, D$2:D$3098, 0)), ROW(D$2:D$3098)-ROW(D$2)+1) &gt; 0))</f>
        <v>6</v>
      </c>
      <c r="C1492" s="3">
        <v>41000544</v>
      </c>
      <c r="D1492" s="6" t="s">
        <v>3245</v>
      </c>
      <c r="E1492" s="3" t="s">
        <v>1405</v>
      </c>
      <c r="F1492" s="3" t="s">
        <v>1476</v>
      </c>
      <c r="G1492" s="43" t="str">
        <f t="shared" si="371"/>
        <v>DUAL</v>
      </c>
      <c r="H1492" s="197">
        <f t="shared" si="372"/>
        <v>46</v>
      </c>
      <c r="I1492" s="197">
        <v>11</v>
      </c>
      <c r="J1492" s="197">
        <v>10</v>
      </c>
      <c r="K1492" s="186">
        <f t="shared" si="373"/>
        <v>45971</v>
      </c>
      <c r="L1492" s="3" t="s">
        <v>2391</v>
      </c>
      <c r="M1492" s="3" t="s">
        <v>2392</v>
      </c>
      <c r="N1492" s="408" t="str">
        <f t="shared" si="357"/>
        <v/>
      </c>
      <c r="O1492" s="408"/>
      <c r="P1492" s="408"/>
      <c r="Q1492" s="408"/>
      <c r="R1492" s="408"/>
      <c r="S1492" s="408"/>
      <c r="T1492" s="408"/>
      <c r="U1492" s="408"/>
      <c r="V1492" s="421"/>
      <c r="W1492" s="421"/>
      <c r="X1492" s="421"/>
      <c r="Y1492" s="421"/>
      <c r="Z1492" s="421"/>
      <c r="AA1492" s="421"/>
      <c r="AB1492" s="421"/>
      <c r="AC1492" s="421"/>
      <c r="AD1492" s="421"/>
      <c r="AE1492" s="421"/>
      <c r="AF1492" s="421"/>
      <c r="AG1492" s="421"/>
      <c r="AH1492" s="421"/>
      <c r="AI1492" s="421"/>
      <c r="AJ1492" s="421"/>
      <c r="AK1492" s="421"/>
      <c r="AL1492" s="421"/>
    </row>
    <row r="1493" spans="1:38">
      <c r="A1493" s="3">
        <v>5854</v>
      </c>
      <c r="B1493" s="83">
        <f t="array" ref="B1493">SUM(--(FREQUENCY(IF(C$2:C$3098=C1493, MATCH(D$2:D$3098, D$2:D$3098, 0)), ROW(D$2:D$3098)-ROW(D$2)+1) &gt; 0))</f>
        <v>37</v>
      </c>
      <c r="C1493" s="3">
        <v>41200076</v>
      </c>
      <c r="D1493" s="6" t="s">
        <v>3246</v>
      </c>
      <c r="E1493" s="3" t="s">
        <v>1585</v>
      </c>
      <c r="F1493" s="3" t="s">
        <v>1476</v>
      </c>
      <c r="G1493" s="68" t="str">
        <f t="shared" si="371"/>
        <v>DUAL</v>
      </c>
      <c r="H1493" s="197">
        <f t="shared" si="372"/>
        <v>46</v>
      </c>
      <c r="I1493" s="197">
        <v>11</v>
      </c>
      <c r="J1493" s="197">
        <v>10</v>
      </c>
      <c r="K1493" s="186">
        <f t="shared" si="373"/>
        <v>45971</v>
      </c>
      <c r="L1493" s="3" t="s">
        <v>2395</v>
      </c>
      <c r="M1493" s="3" t="s">
        <v>1468</v>
      </c>
      <c r="N1493" s="408" t="str">
        <f t="shared" si="357"/>
        <v/>
      </c>
      <c r="O1493" s="408"/>
      <c r="P1493" s="408"/>
      <c r="Q1493" s="408"/>
      <c r="R1493" s="408"/>
      <c r="S1493" s="408"/>
      <c r="T1493" s="408"/>
      <c r="U1493" s="408"/>
      <c r="V1493" s="421"/>
      <c r="W1493" s="421"/>
      <c r="X1493" s="421"/>
      <c r="Y1493" s="421"/>
      <c r="Z1493" s="421"/>
      <c r="AA1493" s="421"/>
      <c r="AB1493" s="421"/>
      <c r="AC1493" s="421"/>
      <c r="AD1493" s="421"/>
      <c r="AE1493" s="421"/>
      <c r="AF1493" s="421"/>
      <c r="AG1493" s="421"/>
      <c r="AH1493" s="421"/>
      <c r="AI1493" s="421"/>
      <c r="AJ1493" s="421"/>
      <c r="AK1493" s="421"/>
      <c r="AL1493" s="421"/>
    </row>
    <row r="1494" spans="1:38">
      <c r="A1494" s="3">
        <v>6054</v>
      </c>
      <c r="B1494" s="83">
        <f t="array" ref="B1494">SUM(--(FREQUENCY(IF(C$2:C$3098=C1494, MATCH(D$2:D$3098, D$2:D$3098, 0)), ROW(D$2:D$3098)-ROW(D$2)+1) &gt; 0))</f>
        <v>6</v>
      </c>
      <c r="C1494" s="3">
        <v>41100584</v>
      </c>
      <c r="D1494" s="6" t="s">
        <v>3247</v>
      </c>
      <c r="E1494" s="3" t="s">
        <v>1422</v>
      </c>
      <c r="F1494" s="3" t="s">
        <v>1591</v>
      </c>
      <c r="G1494" s="68" t="str">
        <f t="shared" si="371"/>
        <v>SINGLE</v>
      </c>
      <c r="H1494" s="197">
        <f t="shared" si="372"/>
        <v>46</v>
      </c>
      <c r="I1494" s="197">
        <v>11</v>
      </c>
      <c r="J1494" s="197">
        <v>10</v>
      </c>
      <c r="K1494" s="186">
        <f t="shared" si="373"/>
        <v>45971</v>
      </c>
      <c r="L1494" s="3" t="s">
        <v>2395</v>
      </c>
      <c r="M1494" s="3" t="s">
        <v>1469</v>
      </c>
      <c r="N1494" s="408" t="str">
        <f t="shared" si="357"/>
        <v/>
      </c>
      <c r="O1494" s="408"/>
      <c r="P1494" s="408"/>
      <c r="Q1494" s="408"/>
      <c r="R1494" s="408"/>
      <c r="S1494" s="408"/>
      <c r="T1494" s="408"/>
      <c r="U1494" s="408"/>
      <c r="V1494" s="421"/>
      <c r="W1494" s="421"/>
      <c r="X1494" s="421"/>
      <c r="Y1494" s="421"/>
      <c r="Z1494" s="421"/>
      <c r="AA1494" s="421"/>
      <c r="AB1494" s="421"/>
      <c r="AC1494" s="421"/>
      <c r="AD1494" s="421"/>
      <c r="AE1494" s="421"/>
      <c r="AF1494" s="421"/>
      <c r="AG1494" s="421"/>
      <c r="AH1494" s="421"/>
      <c r="AI1494" s="421"/>
      <c r="AJ1494" s="421"/>
      <c r="AK1494" s="421"/>
      <c r="AL1494" s="421"/>
    </row>
    <row r="1495" spans="1:38">
      <c r="A1495" s="3">
        <v>6287</v>
      </c>
      <c r="B1495" s="83">
        <f t="array" ref="B1495">SUM(--(FREQUENCY(IF(C$2:C$3099=C1495, MATCH(D$2:D$3099, D$2:D$3099, 0)), ROW(D$2:D$3099)-ROW(D$2)+1) &gt; 0))</f>
        <v>1</v>
      </c>
      <c r="C1495" s="3">
        <v>41200180</v>
      </c>
      <c r="D1495" s="6" t="s">
        <v>1991</v>
      </c>
      <c r="E1495" s="3" t="s">
        <v>1409</v>
      </c>
      <c r="F1495" s="3" t="s">
        <v>1479</v>
      </c>
      <c r="G1495" s="41" t="str">
        <f>IF(OR(ISNUMBER(SEARCH("DUAL",F1495)), ISNUMBER(SEARCH("IVAS",F1495))), "DUAL", "SINGLE")</f>
        <v>SINGLE</v>
      </c>
      <c r="H1495" s="197">
        <f>WEEKNUM(K1495)</f>
        <v>46</v>
      </c>
      <c r="I1495" s="197">
        <v>11</v>
      </c>
      <c r="J1495" s="197">
        <v>11</v>
      </c>
      <c r="K1495" s="186">
        <f>DATE(2025, I1495, J1495)</f>
        <v>45972</v>
      </c>
      <c r="L1495" s="3" t="s">
        <v>2395</v>
      </c>
      <c r="M1495" s="3" t="s">
        <v>2392</v>
      </c>
      <c r="N1495" s="408" t="str">
        <f t="shared" si="357"/>
        <v/>
      </c>
      <c r="O1495" s="408"/>
      <c r="P1495" s="408"/>
      <c r="Q1495" s="408"/>
      <c r="R1495" s="408"/>
      <c r="S1495" s="408"/>
      <c r="T1495" s="408"/>
      <c r="U1495" s="408"/>
      <c r="V1495" s="421"/>
      <c r="W1495" s="421"/>
      <c r="X1495" s="421"/>
      <c r="Y1495" s="421"/>
      <c r="Z1495" s="421"/>
      <c r="AA1495" s="421"/>
      <c r="AB1495" s="421"/>
      <c r="AC1495" s="421"/>
      <c r="AD1495" s="421"/>
      <c r="AE1495" s="421"/>
      <c r="AF1495" s="421"/>
      <c r="AG1495" s="421"/>
      <c r="AH1495" s="421"/>
      <c r="AI1495" s="421"/>
      <c r="AJ1495" s="421"/>
      <c r="AK1495" s="421"/>
      <c r="AL1495" s="421"/>
    </row>
    <row r="1496" spans="1:38">
      <c r="A1496" s="3">
        <v>5981</v>
      </c>
      <c r="B1496" s="83">
        <f t="array" ref="B1496">SUM(--(FREQUENCY(IF(C$2:C$3099=C1496, MATCH(D$2:D$3099, D$2:D$3099, 0)), ROW(D$2:D$3099)-ROW(D$2)+1) &gt; 0))</f>
        <v>29</v>
      </c>
      <c r="C1496" s="3">
        <v>41200005</v>
      </c>
      <c r="D1496" s="6" t="s">
        <v>3248</v>
      </c>
      <c r="E1496" s="3" t="s">
        <v>1405</v>
      </c>
      <c r="F1496" s="3" t="s">
        <v>1591</v>
      </c>
      <c r="G1496" s="68" t="str">
        <f t="shared" ref="G1496:G1504" si="374">IF(OR(ISNUMBER(SEARCH("DUAL",F1496)), ISNUMBER(SEARCH("IVAS",F1496))), "DUAL", "SINGLE")</f>
        <v>SINGLE</v>
      </c>
      <c r="H1496" s="197">
        <f t="shared" ref="H1496:H1504" si="375">WEEKNUM(K1496)</f>
        <v>46</v>
      </c>
      <c r="I1496" s="197">
        <v>11</v>
      </c>
      <c r="J1496" s="197">
        <v>11</v>
      </c>
      <c r="K1496" s="186">
        <f t="shared" ref="K1496:K1504" si="376">DATE(2025, I1496, J1496)</f>
        <v>45972</v>
      </c>
      <c r="L1496" s="3" t="s">
        <v>2391</v>
      </c>
      <c r="M1496" s="3" t="s">
        <v>2392</v>
      </c>
      <c r="N1496" s="408" t="str">
        <f t="shared" si="357"/>
        <v/>
      </c>
      <c r="O1496" s="408"/>
      <c r="P1496" s="408"/>
      <c r="Q1496" s="408"/>
      <c r="R1496" s="408"/>
      <c r="S1496" s="408"/>
      <c r="T1496" s="408"/>
      <c r="U1496" s="408"/>
      <c r="V1496" s="421"/>
      <c r="W1496" s="421"/>
      <c r="X1496" s="421"/>
      <c r="Y1496" s="421"/>
      <c r="Z1496" s="421"/>
      <c r="AA1496" s="421"/>
      <c r="AB1496" s="421"/>
      <c r="AC1496" s="421"/>
      <c r="AD1496" s="421"/>
      <c r="AE1496" s="421"/>
      <c r="AF1496" s="421"/>
      <c r="AG1496" s="421"/>
      <c r="AH1496" s="421"/>
      <c r="AI1496" s="421"/>
      <c r="AJ1496" s="421"/>
      <c r="AK1496" s="421"/>
      <c r="AL1496" s="421"/>
    </row>
    <row r="1497" spans="1:38">
      <c r="A1497" s="3">
        <v>6184</v>
      </c>
      <c r="B1497" s="83">
        <f t="array" ref="B1497">SUM(--(FREQUENCY(IF(C$2:C$3099=C1497, MATCH(D$2:D$3099, D$2:D$3099, 0)), ROW(D$2:D$3099)-ROW(D$2)+1) &gt; 0))</f>
        <v>37</v>
      </c>
      <c r="C1497" s="3">
        <v>41200076</v>
      </c>
      <c r="D1497" s="6" t="s">
        <v>3249</v>
      </c>
      <c r="E1497" s="3" t="s">
        <v>1585</v>
      </c>
      <c r="F1497" s="3" t="s">
        <v>1476</v>
      </c>
      <c r="G1497" s="68" t="str">
        <f t="shared" si="374"/>
        <v>DUAL</v>
      </c>
      <c r="H1497" s="197">
        <f t="shared" si="375"/>
        <v>46</v>
      </c>
      <c r="I1497" s="197">
        <v>11</v>
      </c>
      <c r="J1497" s="197">
        <v>11</v>
      </c>
      <c r="K1497" s="186">
        <f t="shared" si="376"/>
        <v>45972</v>
      </c>
      <c r="L1497" s="3" t="s">
        <v>2391</v>
      </c>
      <c r="M1497" s="3" t="s">
        <v>2392</v>
      </c>
      <c r="N1497" s="408" t="str">
        <f t="shared" si="357"/>
        <v/>
      </c>
      <c r="O1497" s="408"/>
      <c r="P1497" s="408"/>
      <c r="Q1497" s="408"/>
      <c r="R1497" s="408"/>
      <c r="S1497" s="408"/>
      <c r="T1497" s="408"/>
      <c r="U1497" s="408"/>
      <c r="V1497" s="421"/>
      <c r="W1497" s="421"/>
      <c r="X1497" s="421"/>
      <c r="Y1497" s="421"/>
      <c r="Z1497" s="421"/>
      <c r="AA1497" s="421"/>
      <c r="AB1497" s="421"/>
      <c r="AC1497" s="421"/>
      <c r="AD1497" s="421"/>
      <c r="AE1497" s="421"/>
      <c r="AF1497" s="421"/>
      <c r="AG1497" s="421"/>
      <c r="AH1497" s="421"/>
      <c r="AI1497" s="421"/>
      <c r="AJ1497" s="421"/>
      <c r="AK1497" s="421"/>
      <c r="AL1497" s="421"/>
    </row>
    <row r="1498" spans="1:38">
      <c r="A1498" s="3">
        <v>6055</v>
      </c>
      <c r="B1498" s="83">
        <f t="array" ref="B1498">SUM(--(FREQUENCY(IF(C$2:C$3099=C1498, MATCH(D$2:D$3099, D$2:D$3099, 0)), ROW(D$2:D$3099)-ROW(D$2)+1) &gt; 0))</f>
        <v>6</v>
      </c>
      <c r="C1498" s="3">
        <v>41200088</v>
      </c>
      <c r="D1498" s="6" t="s">
        <v>3250</v>
      </c>
      <c r="E1498" s="3" t="s">
        <v>1422</v>
      </c>
      <c r="F1498" s="3" t="s">
        <v>1476</v>
      </c>
      <c r="G1498" s="68" t="str">
        <f t="shared" si="374"/>
        <v>DUAL</v>
      </c>
      <c r="H1498" s="197">
        <f t="shared" si="375"/>
        <v>46</v>
      </c>
      <c r="I1498" s="197">
        <v>11</v>
      </c>
      <c r="J1498" s="197">
        <v>11</v>
      </c>
      <c r="K1498" s="186">
        <f t="shared" si="376"/>
        <v>45972</v>
      </c>
      <c r="L1498" s="3" t="s">
        <v>2395</v>
      </c>
      <c r="M1498" s="3" t="s">
        <v>1468</v>
      </c>
      <c r="N1498" s="408" t="str">
        <f t="shared" si="357"/>
        <v/>
      </c>
      <c r="O1498" s="408"/>
      <c r="P1498" s="408"/>
      <c r="Q1498" s="408"/>
      <c r="R1498" s="408"/>
      <c r="S1498" s="408"/>
      <c r="T1498" s="408"/>
      <c r="U1498" s="408"/>
      <c r="V1498" s="421"/>
      <c r="W1498" s="421"/>
      <c r="X1498" s="421"/>
      <c r="Y1498" s="421"/>
      <c r="Z1498" s="421"/>
      <c r="AA1498" s="421"/>
      <c r="AB1498" s="421"/>
      <c r="AC1498" s="421"/>
      <c r="AD1498" s="421"/>
      <c r="AE1498" s="421"/>
      <c r="AF1498" s="421"/>
      <c r="AG1498" s="421"/>
      <c r="AH1498" s="421"/>
      <c r="AI1498" s="421"/>
      <c r="AJ1498" s="421"/>
      <c r="AK1498" s="421"/>
      <c r="AL1498" s="421"/>
    </row>
    <row r="1499" spans="1:38">
      <c r="A1499" s="3">
        <v>6090</v>
      </c>
      <c r="B1499" s="83">
        <f t="array" ref="B1499">SUM(--(FREQUENCY(IF(C$2:C$3099=C1499, MATCH(D$2:D$3099, D$2:D$3099, 0)), ROW(D$2:D$3099)-ROW(D$2)+1) &gt; 0))</f>
        <v>11</v>
      </c>
      <c r="C1499" s="3">
        <v>41200129</v>
      </c>
      <c r="D1499" s="6" t="s">
        <v>3251</v>
      </c>
      <c r="E1499" s="3" t="s">
        <v>1431</v>
      </c>
      <c r="F1499" s="3" t="s">
        <v>1591</v>
      </c>
      <c r="G1499" s="68" t="str">
        <f t="shared" si="374"/>
        <v>SINGLE</v>
      </c>
      <c r="H1499" s="197">
        <f t="shared" si="375"/>
        <v>46</v>
      </c>
      <c r="I1499" s="197">
        <v>11</v>
      </c>
      <c r="J1499" s="197">
        <v>11</v>
      </c>
      <c r="K1499" s="186">
        <f t="shared" si="376"/>
        <v>45972</v>
      </c>
      <c r="L1499" s="3" t="s">
        <v>2391</v>
      </c>
      <c r="M1499" s="3" t="s">
        <v>1468</v>
      </c>
      <c r="N1499" s="408" t="str">
        <f t="shared" si="357"/>
        <v/>
      </c>
      <c r="O1499" s="408"/>
      <c r="P1499" s="408"/>
      <c r="Q1499" s="408"/>
      <c r="R1499" s="408"/>
      <c r="S1499" s="408"/>
      <c r="T1499" s="408"/>
      <c r="U1499" s="408"/>
      <c r="V1499" s="421"/>
      <c r="W1499" s="421"/>
      <c r="X1499" s="421"/>
      <c r="Y1499" s="421"/>
      <c r="Z1499" s="421"/>
      <c r="AA1499" s="421"/>
      <c r="AB1499" s="421"/>
      <c r="AC1499" s="421"/>
      <c r="AD1499" s="421"/>
      <c r="AE1499" s="421"/>
      <c r="AF1499" s="421"/>
      <c r="AG1499" s="421"/>
      <c r="AH1499" s="421"/>
      <c r="AI1499" s="421"/>
      <c r="AJ1499" s="421"/>
      <c r="AK1499" s="421"/>
      <c r="AL1499" s="421"/>
    </row>
    <row r="1500" spans="1:38">
      <c r="A1500" s="3">
        <v>6090</v>
      </c>
      <c r="B1500" s="83">
        <f t="array" ref="B1500">SUM(--(FREQUENCY(IF(C$2:C$3099=C1500, MATCH(D$2:D$3099, D$2:D$3099, 0)), ROW(D$2:D$3099)-ROW(D$2)+1) &gt; 0))</f>
        <v>11</v>
      </c>
      <c r="C1500" s="3">
        <v>41200129</v>
      </c>
      <c r="D1500" s="6" t="s">
        <v>3252</v>
      </c>
      <c r="E1500" s="3" t="s">
        <v>1431</v>
      </c>
      <c r="F1500" s="3" t="s">
        <v>1591</v>
      </c>
      <c r="G1500" s="68" t="str">
        <f t="shared" si="374"/>
        <v>SINGLE</v>
      </c>
      <c r="H1500" s="197">
        <f t="shared" si="375"/>
        <v>46</v>
      </c>
      <c r="I1500" s="197">
        <v>11</v>
      </c>
      <c r="J1500" s="197">
        <v>11</v>
      </c>
      <c r="K1500" s="186">
        <f t="shared" si="376"/>
        <v>45972</v>
      </c>
      <c r="L1500" s="3" t="s">
        <v>2391</v>
      </c>
      <c r="M1500" s="3" t="s">
        <v>1468</v>
      </c>
      <c r="N1500" s="408" t="str">
        <f t="shared" si="357"/>
        <v/>
      </c>
      <c r="O1500" s="408"/>
      <c r="P1500" s="408"/>
      <c r="Q1500" s="408"/>
      <c r="R1500" s="408"/>
      <c r="S1500" s="408"/>
      <c r="T1500" s="408"/>
      <c r="U1500" s="408"/>
      <c r="V1500" s="421"/>
      <c r="W1500" s="421"/>
      <c r="X1500" s="421"/>
      <c r="Y1500" s="421"/>
      <c r="Z1500" s="421"/>
      <c r="AA1500" s="421"/>
      <c r="AB1500" s="421"/>
      <c r="AC1500" s="421"/>
      <c r="AD1500" s="421"/>
      <c r="AE1500" s="421"/>
      <c r="AF1500" s="421"/>
      <c r="AG1500" s="421"/>
      <c r="AH1500" s="421"/>
      <c r="AI1500" s="421"/>
      <c r="AJ1500" s="421"/>
      <c r="AK1500" s="421"/>
      <c r="AL1500" s="421"/>
    </row>
    <row r="1501" spans="1:38">
      <c r="A1501" s="3">
        <v>6103</v>
      </c>
      <c r="B1501" s="83">
        <f t="array" ref="B1501">SUM(--(FREQUENCY(IF(C$2:C$3099=C1501, MATCH(D$2:D$3099, D$2:D$3099, 0)), ROW(D$2:D$3099)-ROW(D$2)+1) &gt; 0))</f>
        <v>29</v>
      </c>
      <c r="C1501" s="3">
        <v>41200127</v>
      </c>
      <c r="D1501" s="6" t="s">
        <v>3253</v>
      </c>
      <c r="E1501" s="3" t="s">
        <v>1431</v>
      </c>
      <c r="F1501" s="3" t="s">
        <v>1591</v>
      </c>
      <c r="G1501" s="68" t="str">
        <f t="shared" si="374"/>
        <v>SINGLE</v>
      </c>
      <c r="H1501" s="197">
        <f t="shared" si="375"/>
        <v>46</v>
      </c>
      <c r="I1501" s="197">
        <v>11</v>
      </c>
      <c r="J1501" s="197">
        <v>11</v>
      </c>
      <c r="K1501" s="186">
        <f t="shared" si="376"/>
        <v>45972</v>
      </c>
      <c r="L1501" s="3" t="s">
        <v>2391</v>
      </c>
      <c r="M1501" s="3" t="s">
        <v>1468</v>
      </c>
      <c r="N1501" s="408" t="str">
        <f t="shared" si="357"/>
        <v/>
      </c>
      <c r="O1501" s="408"/>
      <c r="P1501" s="408"/>
      <c r="Q1501" s="408"/>
      <c r="R1501" s="408"/>
      <c r="S1501" s="408"/>
      <c r="T1501" s="408"/>
      <c r="U1501" s="408"/>
      <c r="V1501" s="421"/>
      <c r="W1501" s="421"/>
      <c r="X1501" s="421"/>
      <c r="Y1501" s="421"/>
      <c r="Z1501" s="421"/>
      <c r="AA1501" s="421"/>
      <c r="AB1501" s="421"/>
      <c r="AC1501" s="421"/>
      <c r="AD1501" s="421"/>
      <c r="AE1501" s="421"/>
      <c r="AF1501" s="421"/>
      <c r="AG1501" s="421"/>
      <c r="AH1501" s="421"/>
      <c r="AI1501" s="421"/>
      <c r="AJ1501" s="421"/>
      <c r="AK1501" s="421"/>
      <c r="AL1501" s="421"/>
    </row>
    <row r="1502" spans="1:38">
      <c r="A1502" s="3">
        <v>6181</v>
      </c>
      <c r="B1502" s="83">
        <f t="array" ref="B1502">SUM(--(FREQUENCY(IF(C$2:C$3099=C1502, MATCH(D$2:D$3099, D$2:D$3099, 0)), ROW(D$2:D$3099)-ROW(D$2)+1) &gt; 0))</f>
        <v>24</v>
      </c>
      <c r="C1502" s="3">
        <v>41200122</v>
      </c>
      <c r="D1502" s="6" t="s">
        <v>3254</v>
      </c>
      <c r="E1502" s="3" t="s">
        <v>1585</v>
      </c>
      <c r="F1502" s="3" t="s">
        <v>1476</v>
      </c>
      <c r="G1502" s="68" t="str">
        <f t="shared" si="374"/>
        <v>DUAL</v>
      </c>
      <c r="H1502" s="197">
        <f t="shared" si="375"/>
        <v>46</v>
      </c>
      <c r="I1502" s="197">
        <v>11</v>
      </c>
      <c r="J1502" s="197">
        <v>11</v>
      </c>
      <c r="K1502" s="186">
        <f t="shared" si="376"/>
        <v>45972</v>
      </c>
      <c r="L1502" s="3" t="s">
        <v>2395</v>
      </c>
      <c r="M1502" s="3" t="s">
        <v>1469</v>
      </c>
      <c r="N1502" s="408" t="str">
        <f t="shared" si="357"/>
        <v/>
      </c>
      <c r="O1502" s="408"/>
      <c r="P1502" s="408"/>
      <c r="Q1502" s="408"/>
      <c r="R1502" s="408"/>
      <c r="S1502" s="408"/>
      <c r="T1502" s="408"/>
      <c r="U1502" s="408"/>
      <c r="V1502" s="421"/>
      <c r="W1502" s="421"/>
      <c r="X1502" s="421"/>
      <c r="Y1502" s="421"/>
      <c r="Z1502" s="421"/>
      <c r="AA1502" s="421"/>
      <c r="AB1502" s="421"/>
      <c r="AC1502" s="421"/>
      <c r="AD1502" s="421"/>
      <c r="AE1502" s="421"/>
      <c r="AF1502" s="421"/>
      <c r="AG1502" s="421"/>
      <c r="AH1502" s="421"/>
      <c r="AI1502" s="421"/>
      <c r="AJ1502" s="421"/>
      <c r="AK1502" s="421"/>
      <c r="AL1502" s="421"/>
    </row>
    <row r="1503" spans="1:38">
      <c r="A1503" s="3">
        <v>6181</v>
      </c>
      <c r="B1503" s="83">
        <f t="array" ref="B1503">SUM(--(FREQUENCY(IF(C$2:C$3099=C1503, MATCH(D$2:D$3099, D$2:D$3099, 0)), ROW(D$2:D$3099)-ROW(D$2)+1) &gt; 0))</f>
        <v>24</v>
      </c>
      <c r="C1503" s="3">
        <v>41200122</v>
      </c>
      <c r="D1503" s="6" t="s">
        <v>3255</v>
      </c>
      <c r="E1503" s="3" t="s">
        <v>1585</v>
      </c>
      <c r="F1503" s="3" t="s">
        <v>1476</v>
      </c>
      <c r="G1503" s="68" t="str">
        <f t="shared" si="374"/>
        <v>DUAL</v>
      </c>
      <c r="H1503" s="197">
        <f t="shared" si="375"/>
        <v>46</v>
      </c>
      <c r="I1503" s="197">
        <v>11</v>
      </c>
      <c r="J1503" s="197">
        <v>11</v>
      </c>
      <c r="K1503" s="186">
        <f t="shared" si="376"/>
        <v>45972</v>
      </c>
      <c r="L1503" s="3" t="s">
        <v>2395</v>
      </c>
      <c r="M1503" s="3" t="s">
        <v>1469</v>
      </c>
      <c r="N1503" s="408" t="str">
        <f t="shared" si="357"/>
        <v>NG</v>
      </c>
      <c r="O1503" s="408" t="s">
        <v>2368</v>
      </c>
      <c r="P1503" s="408" t="s">
        <v>2371</v>
      </c>
      <c r="Q1503" s="408">
        <v>11001963</v>
      </c>
      <c r="R1503" s="408" t="s">
        <v>562</v>
      </c>
      <c r="S1503" s="408" t="s">
        <v>3227</v>
      </c>
      <c r="T1503" s="408"/>
      <c r="U1503" s="408"/>
      <c r="V1503" s="421"/>
      <c r="W1503" s="421"/>
      <c r="X1503" s="421"/>
      <c r="Y1503" s="421"/>
      <c r="Z1503" s="421"/>
      <c r="AA1503" s="421"/>
      <c r="AB1503" s="421"/>
      <c r="AC1503" s="421"/>
      <c r="AD1503" s="421"/>
      <c r="AE1503" s="421"/>
      <c r="AF1503" s="421"/>
      <c r="AG1503" s="421"/>
      <c r="AH1503" s="421"/>
      <c r="AI1503" s="421"/>
      <c r="AJ1503" s="421"/>
      <c r="AK1503" s="421"/>
      <c r="AL1503" s="421"/>
    </row>
    <row r="1504" spans="1:38">
      <c r="A1504" s="3">
        <v>6154</v>
      </c>
      <c r="B1504" s="83">
        <f t="array" ref="B1504">SUM(--(FREQUENCY(IF(C$2:C$3099=C1504, MATCH(D$2:D$3099, D$2:D$3099, 0)), ROW(D$2:D$3099)-ROW(D$2)+1) &gt; 0))</f>
        <v>6</v>
      </c>
      <c r="C1504" s="3">
        <v>41000544</v>
      </c>
      <c r="D1504" s="6" t="s">
        <v>3256</v>
      </c>
      <c r="E1504" s="3" t="s">
        <v>1405</v>
      </c>
      <c r="F1504" s="3" t="s">
        <v>1476</v>
      </c>
      <c r="G1504" s="68" t="str">
        <f t="shared" si="374"/>
        <v>DUAL</v>
      </c>
      <c r="H1504" s="197">
        <f t="shared" si="375"/>
        <v>46</v>
      </c>
      <c r="I1504" s="197">
        <v>11</v>
      </c>
      <c r="J1504" s="197">
        <v>11</v>
      </c>
      <c r="K1504" s="186">
        <f t="shared" si="376"/>
        <v>45972</v>
      </c>
      <c r="L1504" s="3" t="s">
        <v>2391</v>
      </c>
      <c r="M1504" s="3" t="s">
        <v>2392</v>
      </c>
      <c r="N1504" s="408" t="str">
        <f t="shared" si="357"/>
        <v/>
      </c>
      <c r="O1504" s="408"/>
      <c r="P1504" s="408"/>
      <c r="Q1504" s="408"/>
      <c r="R1504" s="408"/>
      <c r="S1504" s="408"/>
      <c r="T1504" s="408"/>
      <c r="U1504" s="408"/>
      <c r="V1504" s="421"/>
      <c r="W1504" s="421"/>
      <c r="X1504" s="421"/>
      <c r="Y1504" s="421"/>
      <c r="Z1504" s="421"/>
      <c r="AA1504" s="421"/>
      <c r="AB1504" s="421"/>
      <c r="AC1504" s="421"/>
      <c r="AD1504" s="421"/>
      <c r="AE1504" s="421"/>
      <c r="AF1504" s="421"/>
      <c r="AG1504" s="421"/>
      <c r="AH1504" s="421"/>
      <c r="AI1504" s="421"/>
      <c r="AJ1504" s="421"/>
      <c r="AK1504" s="421"/>
      <c r="AL1504" s="421"/>
    </row>
    <row r="1505" spans="1:38">
      <c r="A1505" s="3">
        <v>6121</v>
      </c>
      <c r="B1505" s="83">
        <f t="array" ref="B1505">SUM(--(FREQUENCY(IF(C$2:C$3099=C1505, MATCH(D$2:D$3099, D$2:D$3099, 0)), ROW(D$2:D$3099)-ROW(D$2)+1) &gt; 0))</f>
        <v>18</v>
      </c>
      <c r="C1505" s="3">
        <v>41200101</v>
      </c>
      <c r="D1505" s="6" t="s">
        <v>3257</v>
      </c>
      <c r="E1505" s="3" t="s">
        <v>1585</v>
      </c>
      <c r="F1505" s="3" t="s">
        <v>1476</v>
      </c>
      <c r="G1505" s="68" t="str">
        <f t="shared" ref="G1505:G1511" si="377">IF(OR(ISNUMBER(SEARCH("DUAL",F1505)), ISNUMBER(SEARCH("IVAS",F1505))), "DUAL", "SINGLE")</f>
        <v>DUAL</v>
      </c>
      <c r="H1505" s="197">
        <f t="shared" ref="H1505:H1511" si="378">WEEKNUM(K1505)</f>
        <v>46</v>
      </c>
      <c r="I1505" s="197">
        <v>11</v>
      </c>
      <c r="J1505" s="197">
        <v>12</v>
      </c>
      <c r="K1505" s="186">
        <f t="shared" ref="K1505:K1511" si="379">DATE(2025, I1505, J1505)</f>
        <v>45973</v>
      </c>
      <c r="L1505" s="3" t="s">
        <v>2391</v>
      </c>
      <c r="M1505" s="3" t="s">
        <v>2392</v>
      </c>
      <c r="N1505" s="408" t="str">
        <f t="shared" ref="N1505:N1572" si="380">IF(O1505&lt;&gt;"", "NG", "")</f>
        <v/>
      </c>
      <c r="O1505" s="408"/>
      <c r="P1505" s="408"/>
      <c r="Q1505" s="408"/>
      <c r="R1505" s="408"/>
      <c r="S1505" s="408"/>
      <c r="T1505" s="408"/>
      <c r="U1505" s="408"/>
      <c r="V1505" s="421"/>
      <c r="W1505" s="421"/>
      <c r="X1505" s="421"/>
      <c r="Y1505" s="421"/>
      <c r="Z1505" s="421"/>
      <c r="AA1505" s="421"/>
      <c r="AB1505" s="421"/>
      <c r="AC1505" s="421"/>
      <c r="AD1505" s="421"/>
      <c r="AE1505" s="421"/>
      <c r="AF1505" s="421"/>
      <c r="AG1505" s="421"/>
      <c r="AH1505" s="421"/>
      <c r="AI1505" s="421"/>
      <c r="AJ1505" s="421"/>
      <c r="AK1505" s="421"/>
      <c r="AL1505" s="421"/>
    </row>
    <row r="1506" spans="1:38">
      <c r="A1506" s="3">
        <v>6182</v>
      </c>
      <c r="B1506" s="83">
        <f t="array" ref="B1506">SUM(--(FREQUENCY(IF(C$2:C$3099=C1506, MATCH(D$2:D$3099, D$2:D$3099, 0)), ROW(D$2:D$3099)-ROW(D$2)+1) &gt; 0))</f>
        <v>25</v>
      </c>
      <c r="C1506" s="3">
        <v>41200158</v>
      </c>
      <c r="D1506" s="6" t="s">
        <v>3258</v>
      </c>
      <c r="E1506" s="3" t="s">
        <v>1405</v>
      </c>
      <c r="F1506" s="3" t="s">
        <v>1480</v>
      </c>
      <c r="G1506" s="68" t="str">
        <f t="shared" si="377"/>
        <v>DUAL</v>
      </c>
      <c r="H1506" s="197">
        <f t="shared" si="378"/>
        <v>46</v>
      </c>
      <c r="I1506" s="197">
        <v>11</v>
      </c>
      <c r="J1506" s="197">
        <v>12</v>
      </c>
      <c r="K1506" s="186">
        <f t="shared" si="379"/>
        <v>45973</v>
      </c>
      <c r="L1506" s="3" t="s">
        <v>2395</v>
      </c>
      <c r="M1506" s="3" t="s">
        <v>2392</v>
      </c>
      <c r="N1506" s="408" t="str">
        <f t="shared" si="380"/>
        <v/>
      </c>
      <c r="O1506" s="408"/>
      <c r="P1506" s="408"/>
      <c r="Q1506" s="408"/>
      <c r="R1506" s="408"/>
      <c r="S1506" s="408"/>
      <c r="T1506" s="408"/>
      <c r="U1506" s="408"/>
      <c r="V1506" s="421"/>
      <c r="W1506" s="421"/>
      <c r="X1506" s="421"/>
      <c r="Y1506" s="421"/>
      <c r="Z1506" s="421"/>
      <c r="AA1506" s="421"/>
      <c r="AB1506" s="421"/>
      <c r="AC1506" s="421"/>
      <c r="AD1506" s="421"/>
      <c r="AE1506" s="421"/>
      <c r="AF1506" s="421"/>
      <c r="AG1506" s="421"/>
      <c r="AH1506" s="421"/>
      <c r="AI1506" s="421"/>
      <c r="AJ1506" s="421"/>
      <c r="AK1506" s="421"/>
      <c r="AL1506" s="421"/>
    </row>
    <row r="1507" spans="1:38">
      <c r="A1507" s="3">
        <v>5981</v>
      </c>
      <c r="B1507" s="83">
        <f t="array" ref="B1507">SUM(--(FREQUENCY(IF(C$2:C$3099=C1507, MATCH(D$2:D$3099, D$2:D$3099, 0)), ROW(D$2:D$3099)-ROW(D$2)+1) &gt; 0))</f>
        <v>76</v>
      </c>
      <c r="C1507" s="3">
        <v>41200007</v>
      </c>
      <c r="D1507" s="6" t="s">
        <v>3259</v>
      </c>
      <c r="E1507" s="3" t="s">
        <v>1405</v>
      </c>
      <c r="F1507" s="3" t="s">
        <v>1591</v>
      </c>
      <c r="G1507" s="68" t="str">
        <f t="shared" si="377"/>
        <v>SINGLE</v>
      </c>
      <c r="H1507" s="197">
        <f t="shared" si="378"/>
        <v>46</v>
      </c>
      <c r="I1507" s="197">
        <v>11</v>
      </c>
      <c r="J1507" s="197">
        <v>12</v>
      </c>
      <c r="K1507" s="186">
        <f t="shared" si="379"/>
        <v>45973</v>
      </c>
      <c r="L1507" s="3" t="s">
        <v>2391</v>
      </c>
      <c r="M1507" s="3" t="s">
        <v>2392</v>
      </c>
      <c r="N1507" s="408" t="str">
        <f t="shared" si="380"/>
        <v/>
      </c>
      <c r="O1507" s="408"/>
      <c r="P1507" s="408"/>
      <c r="Q1507" s="408"/>
      <c r="R1507" s="408"/>
      <c r="S1507" s="408"/>
      <c r="T1507" s="408"/>
      <c r="U1507" s="408"/>
      <c r="V1507" s="421"/>
      <c r="W1507" s="421"/>
      <c r="X1507" s="421"/>
      <c r="Y1507" s="421"/>
      <c r="Z1507" s="421"/>
      <c r="AA1507" s="421"/>
      <c r="AB1507" s="421"/>
      <c r="AC1507" s="421"/>
      <c r="AD1507" s="421"/>
      <c r="AE1507" s="421"/>
      <c r="AF1507" s="421"/>
      <c r="AG1507" s="421"/>
      <c r="AH1507" s="421"/>
      <c r="AI1507" s="421"/>
      <c r="AJ1507" s="421"/>
      <c r="AK1507" s="421"/>
      <c r="AL1507" s="421"/>
    </row>
    <row r="1508" spans="1:38">
      <c r="A1508" s="3">
        <v>6103</v>
      </c>
      <c r="B1508" s="83">
        <f t="array" ref="B1508">SUM(--(FREQUENCY(IF(C$2:C$3099=C1508, MATCH(D$2:D$3099, D$2:D$3099, 0)), ROW(D$2:D$3099)-ROW(D$2)+1) &gt; 0))</f>
        <v>29</v>
      </c>
      <c r="C1508" s="3">
        <v>41200127</v>
      </c>
      <c r="D1508" s="6" t="s">
        <v>3260</v>
      </c>
      <c r="E1508" s="3" t="s">
        <v>1431</v>
      </c>
      <c r="F1508" s="3" t="s">
        <v>1591</v>
      </c>
      <c r="G1508" s="68" t="str">
        <f t="shared" si="377"/>
        <v>SINGLE</v>
      </c>
      <c r="H1508" s="197">
        <f t="shared" si="378"/>
        <v>46</v>
      </c>
      <c r="I1508" s="197">
        <v>11</v>
      </c>
      <c r="J1508" s="197">
        <v>12</v>
      </c>
      <c r="K1508" s="186">
        <f t="shared" si="379"/>
        <v>45973</v>
      </c>
      <c r="L1508" s="3" t="s">
        <v>2391</v>
      </c>
      <c r="M1508" s="3" t="s">
        <v>1468</v>
      </c>
      <c r="N1508" s="408" t="str">
        <f t="shared" si="380"/>
        <v/>
      </c>
      <c r="O1508" s="408"/>
      <c r="P1508" s="408"/>
      <c r="Q1508" s="408"/>
      <c r="R1508" s="408"/>
      <c r="S1508" s="408"/>
      <c r="T1508" s="408"/>
      <c r="U1508" s="408"/>
      <c r="V1508" s="421"/>
      <c r="W1508" s="421"/>
      <c r="X1508" s="421"/>
      <c r="Y1508" s="421"/>
      <c r="Z1508" s="421"/>
      <c r="AA1508" s="421"/>
      <c r="AB1508" s="421"/>
      <c r="AC1508" s="421"/>
      <c r="AD1508" s="421"/>
      <c r="AE1508" s="421"/>
      <c r="AF1508" s="421"/>
      <c r="AG1508" s="421"/>
      <c r="AH1508" s="421"/>
      <c r="AI1508" s="421"/>
      <c r="AJ1508" s="421"/>
      <c r="AK1508" s="421"/>
      <c r="AL1508" s="421"/>
    </row>
    <row r="1509" spans="1:38">
      <c r="A1509" s="3">
        <v>6103</v>
      </c>
      <c r="B1509" s="83">
        <f t="array" ref="B1509">SUM(--(FREQUENCY(IF(C$2:C$3099=C1509, MATCH(D$2:D$3099, D$2:D$3099, 0)), ROW(D$2:D$3099)-ROW(D$2)+1) &gt; 0))</f>
        <v>29</v>
      </c>
      <c r="C1509" s="3">
        <v>41200127</v>
      </c>
      <c r="D1509" s="6" t="s">
        <v>3261</v>
      </c>
      <c r="E1509" s="3" t="s">
        <v>1431</v>
      </c>
      <c r="F1509" s="3" t="s">
        <v>1591</v>
      </c>
      <c r="G1509" s="68" t="str">
        <f t="shared" si="377"/>
        <v>SINGLE</v>
      </c>
      <c r="H1509" s="197">
        <f t="shared" si="378"/>
        <v>46</v>
      </c>
      <c r="I1509" s="197">
        <v>11</v>
      </c>
      <c r="J1509" s="197">
        <v>12</v>
      </c>
      <c r="K1509" s="186">
        <f t="shared" si="379"/>
        <v>45973</v>
      </c>
      <c r="L1509" s="3" t="s">
        <v>2391</v>
      </c>
      <c r="M1509" s="3" t="s">
        <v>1468</v>
      </c>
      <c r="N1509" s="408" t="str">
        <f t="shared" si="380"/>
        <v/>
      </c>
      <c r="O1509" s="408"/>
      <c r="P1509" s="408"/>
      <c r="Q1509" s="408"/>
      <c r="R1509" s="408"/>
      <c r="S1509" s="408"/>
      <c r="T1509" s="408"/>
      <c r="U1509" s="408"/>
      <c r="V1509" s="421"/>
      <c r="W1509" s="421"/>
      <c r="X1509" s="421"/>
      <c r="Y1509" s="421"/>
      <c r="Z1509" s="421"/>
      <c r="AA1509" s="421"/>
      <c r="AB1509" s="421"/>
      <c r="AC1509" s="421"/>
      <c r="AD1509" s="421"/>
      <c r="AE1509" s="421"/>
      <c r="AF1509" s="421"/>
      <c r="AG1509" s="421"/>
      <c r="AH1509" s="421"/>
      <c r="AI1509" s="421"/>
      <c r="AJ1509" s="421"/>
      <c r="AK1509" s="421"/>
      <c r="AL1509" s="421"/>
    </row>
    <row r="1510" spans="1:38">
      <c r="A1510" s="3">
        <v>6182</v>
      </c>
      <c r="B1510" s="83">
        <f t="array" ref="B1510">SUM(--(FREQUENCY(IF(C$2:C$3099=C1510, MATCH(D$2:D$3099, D$2:D$3099, 0)), ROW(D$2:D$3099)-ROW(D$2)+1) &gt; 0))</f>
        <v>25</v>
      </c>
      <c r="C1510" s="3">
        <v>41200158</v>
      </c>
      <c r="D1510" s="6" t="s">
        <v>3262</v>
      </c>
      <c r="E1510" s="3" t="s">
        <v>1405</v>
      </c>
      <c r="F1510" s="3" t="s">
        <v>1480</v>
      </c>
      <c r="G1510" s="68" t="str">
        <f t="shared" si="377"/>
        <v>DUAL</v>
      </c>
      <c r="H1510" s="197">
        <f t="shared" si="378"/>
        <v>46</v>
      </c>
      <c r="I1510" s="197">
        <v>11</v>
      </c>
      <c r="J1510" s="197">
        <v>12</v>
      </c>
      <c r="K1510" s="186">
        <f t="shared" si="379"/>
        <v>45973</v>
      </c>
      <c r="L1510" s="3" t="s">
        <v>2395</v>
      </c>
      <c r="M1510" s="3" t="s">
        <v>1468</v>
      </c>
      <c r="N1510" s="408" t="str">
        <f t="shared" si="380"/>
        <v/>
      </c>
      <c r="O1510" s="408"/>
      <c r="P1510" s="408"/>
      <c r="Q1510" s="408"/>
      <c r="R1510" s="408"/>
      <c r="S1510" s="408"/>
      <c r="T1510" s="408"/>
      <c r="U1510" s="408"/>
      <c r="V1510" s="421"/>
      <c r="W1510" s="421"/>
      <c r="X1510" s="421"/>
      <c r="Y1510" s="421"/>
      <c r="Z1510" s="421"/>
      <c r="AA1510" s="421"/>
      <c r="AB1510" s="421"/>
      <c r="AC1510" s="421"/>
      <c r="AD1510" s="421"/>
      <c r="AE1510" s="421"/>
      <c r="AF1510" s="421"/>
      <c r="AG1510" s="421"/>
      <c r="AH1510" s="421"/>
      <c r="AI1510" s="421"/>
      <c r="AJ1510" s="421"/>
      <c r="AK1510" s="421"/>
      <c r="AL1510" s="421"/>
    </row>
    <row r="1511" spans="1:38">
      <c r="A1511" s="3">
        <v>6182</v>
      </c>
      <c r="B1511" s="83">
        <f t="array" ref="B1511">SUM(--(FREQUENCY(IF(C$2:C$3099=C1511, MATCH(D$2:D$3099, D$2:D$3099, 0)), ROW(D$2:D$3099)-ROW(D$2)+1) &gt; 0))</f>
        <v>25</v>
      </c>
      <c r="C1511" s="3">
        <v>41200158</v>
      </c>
      <c r="D1511" s="6" t="s">
        <v>3263</v>
      </c>
      <c r="E1511" s="3" t="s">
        <v>1405</v>
      </c>
      <c r="F1511" s="3" t="s">
        <v>1480</v>
      </c>
      <c r="G1511" s="68" t="str">
        <f t="shared" si="377"/>
        <v>DUAL</v>
      </c>
      <c r="H1511" s="197">
        <f t="shared" si="378"/>
        <v>46</v>
      </c>
      <c r="I1511" s="197">
        <v>11</v>
      </c>
      <c r="J1511" s="197">
        <v>12</v>
      </c>
      <c r="K1511" s="186">
        <f t="shared" si="379"/>
        <v>45973</v>
      </c>
      <c r="L1511" s="3" t="s">
        <v>2395</v>
      </c>
      <c r="M1511" s="3" t="s">
        <v>1468</v>
      </c>
      <c r="N1511" s="408" t="str">
        <f t="shared" si="380"/>
        <v/>
      </c>
      <c r="O1511" s="408"/>
      <c r="P1511" s="408"/>
      <c r="Q1511" s="408"/>
      <c r="R1511" s="408"/>
      <c r="S1511" s="408"/>
      <c r="T1511" s="408"/>
      <c r="U1511" s="408"/>
      <c r="V1511" s="421"/>
      <c r="W1511" s="421"/>
      <c r="X1511" s="421"/>
      <c r="Y1511" s="421"/>
      <c r="Z1511" s="421"/>
      <c r="AA1511" s="421"/>
      <c r="AB1511" s="421"/>
      <c r="AC1511" s="421"/>
      <c r="AD1511" s="421"/>
      <c r="AE1511" s="421"/>
      <c r="AF1511" s="421"/>
      <c r="AG1511" s="421"/>
      <c r="AH1511" s="421"/>
      <c r="AI1511" s="421"/>
      <c r="AJ1511" s="421"/>
      <c r="AK1511" s="421"/>
      <c r="AL1511" s="421"/>
    </row>
    <row r="1512" spans="1:38">
      <c r="A1512" s="3">
        <v>6121</v>
      </c>
      <c r="B1512" s="83">
        <f t="array" ref="B1512">SUM(--(FREQUENCY(IF(C$2:C$3100=C1512, MATCH(D$2:D$3100, D$2:D$3100, 0)), ROW(D$2:D$3100)-ROW(D$2)+1) &gt; 0))</f>
        <v>18</v>
      </c>
      <c r="C1512" s="3">
        <v>41200101</v>
      </c>
      <c r="D1512" s="6" t="s">
        <v>3264</v>
      </c>
      <c r="E1512" s="3" t="s">
        <v>1585</v>
      </c>
      <c r="F1512" s="3" t="s">
        <v>1476</v>
      </c>
      <c r="G1512" s="68" t="str">
        <f t="shared" ref="G1512:G1518" si="381">IF(OR(ISNUMBER(SEARCH("DUAL",F1512)), ISNUMBER(SEARCH("IVAS",F1512))), "DUAL", "SINGLE")</f>
        <v>DUAL</v>
      </c>
      <c r="H1512" s="197">
        <f t="shared" ref="H1512:H1518" si="382">WEEKNUM(K1512)</f>
        <v>46</v>
      </c>
      <c r="I1512" s="197">
        <v>11</v>
      </c>
      <c r="J1512" s="197">
        <v>13</v>
      </c>
      <c r="K1512" s="186">
        <f t="shared" ref="K1512:K1518" si="383">DATE(2025, I1512, J1512)</f>
        <v>45974</v>
      </c>
      <c r="L1512" s="3" t="s">
        <v>2391</v>
      </c>
      <c r="M1512" s="3" t="s">
        <v>2392</v>
      </c>
      <c r="N1512" s="408" t="str">
        <f t="shared" si="380"/>
        <v/>
      </c>
      <c r="O1512" s="408"/>
      <c r="P1512" s="408"/>
      <c r="Q1512" s="408"/>
      <c r="R1512" s="408"/>
      <c r="S1512" s="408"/>
      <c r="T1512" s="408"/>
      <c r="U1512" s="408"/>
      <c r="V1512" s="421"/>
      <c r="W1512" s="421"/>
      <c r="X1512" s="421"/>
      <c r="Y1512" s="421"/>
      <c r="Z1512" s="421"/>
      <c r="AA1512" s="421"/>
      <c r="AB1512" s="421"/>
      <c r="AC1512" s="421"/>
      <c r="AD1512" s="421"/>
      <c r="AE1512" s="421"/>
      <c r="AF1512" s="421"/>
      <c r="AG1512" s="421"/>
      <c r="AH1512" s="421"/>
      <c r="AI1512" s="421"/>
      <c r="AJ1512" s="421"/>
      <c r="AK1512" s="421"/>
      <c r="AL1512" s="421"/>
    </row>
    <row r="1513" spans="1:38">
      <c r="A1513" s="3">
        <v>6066</v>
      </c>
      <c r="B1513" s="83">
        <f t="array" ref="B1513">SUM(--(FREQUENCY(IF(C$2:C$3100=C1513, MATCH(D$2:D$3100, D$2:D$3100, 0)), ROW(D$2:D$3100)-ROW(D$2)+1) &gt; 0))</f>
        <v>6</v>
      </c>
      <c r="C1513" s="3">
        <v>41100317</v>
      </c>
      <c r="D1513" s="6" t="s">
        <v>3265</v>
      </c>
      <c r="E1513" s="3" t="s">
        <v>1585</v>
      </c>
      <c r="F1513" s="3" t="s">
        <v>1476</v>
      </c>
      <c r="G1513" s="68" t="str">
        <f t="shared" si="381"/>
        <v>DUAL</v>
      </c>
      <c r="H1513" s="197">
        <f t="shared" si="382"/>
        <v>46</v>
      </c>
      <c r="I1513" s="197">
        <v>11</v>
      </c>
      <c r="J1513" s="197">
        <v>13</v>
      </c>
      <c r="K1513" s="186">
        <f t="shared" si="383"/>
        <v>45974</v>
      </c>
      <c r="L1513" s="3" t="s">
        <v>2391</v>
      </c>
      <c r="M1513" s="3" t="s">
        <v>1468</v>
      </c>
      <c r="N1513" s="408" t="str">
        <f t="shared" si="380"/>
        <v/>
      </c>
      <c r="O1513" s="408"/>
      <c r="P1513" s="408"/>
      <c r="Q1513" s="408"/>
      <c r="R1513" s="408"/>
      <c r="S1513" s="408"/>
      <c r="T1513" s="408"/>
      <c r="U1513" s="408"/>
      <c r="V1513" s="421"/>
      <c r="W1513" s="421"/>
      <c r="X1513" s="421"/>
      <c r="Y1513" s="421"/>
      <c r="Z1513" s="421"/>
      <c r="AA1513" s="421"/>
      <c r="AB1513" s="421"/>
      <c r="AC1513" s="421"/>
      <c r="AD1513" s="421"/>
      <c r="AE1513" s="421"/>
      <c r="AF1513" s="421"/>
      <c r="AG1513" s="421"/>
      <c r="AH1513" s="421"/>
      <c r="AI1513" s="421"/>
      <c r="AJ1513" s="421"/>
      <c r="AK1513" s="421"/>
      <c r="AL1513" s="421"/>
    </row>
    <row r="1514" spans="1:38">
      <c r="A1514" s="3">
        <v>5976</v>
      </c>
      <c r="B1514" s="83">
        <f t="array" ref="B1514">SUM(--(FREQUENCY(IF(C$2:C$3100=C1514, MATCH(D$2:D$3100, D$2:D$3100, 0)), ROW(D$2:D$3100)-ROW(D$2)+1) &gt; 0))</f>
        <v>6</v>
      </c>
      <c r="C1514" s="3">
        <v>41200061</v>
      </c>
      <c r="D1514" s="6" t="s">
        <v>3266</v>
      </c>
      <c r="E1514" s="3" t="s">
        <v>1405</v>
      </c>
      <c r="F1514" s="3" t="s">
        <v>1480</v>
      </c>
      <c r="G1514" s="68" t="str">
        <f t="shared" si="381"/>
        <v>DUAL</v>
      </c>
      <c r="H1514" s="197">
        <f t="shared" si="382"/>
        <v>46</v>
      </c>
      <c r="I1514" s="197">
        <v>11</v>
      </c>
      <c r="J1514" s="197">
        <v>13</v>
      </c>
      <c r="K1514" s="186">
        <f t="shared" si="383"/>
        <v>45974</v>
      </c>
      <c r="L1514" s="3" t="s">
        <v>2391</v>
      </c>
      <c r="M1514" s="3" t="s">
        <v>2392</v>
      </c>
      <c r="N1514" s="408" t="str">
        <f t="shared" si="380"/>
        <v/>
      </c>
      <c r="O1514" s="408"/>
      <c r="P1514" s="408"/>
      <c r="Q1514" s="408"/>
      <c r="R1514" s="408"/>
      <c r="S1514" s="408"/>
      <c r="T1514" s="408"/>
      <c r="U1514" s="408"/>
      <c r="V1514" s="421"/>
      <c r="W1514" s="421"/>
      <c r="X1514" s="421"/>
      <c r="Y1514" s="421"/>
      <c r="Z1514" s="421"/>
      <c r="AA1514" s="421"/>
      <c r="AB1514" s="421"/>
      <c r="AC1514" s="421"/>
      <c r="AD1514" s="421"/>
      <c r="AE1514" s="421"/>
      <c r="AF1514" s="421"/>
      <c r="AG1514" s="421"/>
      <c r="AH1514" s="421"/>
      <c r="AI1514" s="421"/>
      <c r="AJ1514" s="421"/>
      <c r="AK1514" s="421"/>
      <c r="AL1514" s="421"/>
    </row>
    <row r="1515" spans="1:38">
      <c r="A1515" s="3">
        <v>5976</v>
      </c>
      <c r="B1515" s="83">
        <f t="array" ref="B1515">SUM(--(FREQUENCY(IF(C$2:C$3100=C1515, MATCH(D$2:D$3100, D$2:D$3100, 0)), ROW(D$2:D$3100)-ROW(D$2)+1) &gt; 0))</f>
        <v>6</v>
      </c>
      <c r="C1515" s="3">
        <v>41200061</v>
      </c>
      <c r="D1515" s="6" t="s">
        <v>3267</v>
      </c>
      <c r="E1515" s="3" t="s">
        <v>1405</v>
      </c>
      <c r="F1515" s="3" t="s">
        <v>1480</v>
      </c>
      <c r="G1515" s="68" t="str">
        <f t="shared" si="381"/>
        <v>DUAL</v>
      </c>
      <c r="H1515" s="197">
        <f t="shared" si="382"/>
        <v>46</v>
      </c>
      <c r="I1515" s="197">
        <v>11</v>
      </c>
      <c r="J1515" s="197">
        <v>13</v>
      </c>
      <c r="K1515" s="186">
        <f t="shared" si="383"/>
        <v>45974</v>
      </c>
      <c r="L1515" s="3" t="s">
        <v>2391</v>
      </c>
      <c r="M1515" s="3" t="s">
        <v>2392</v>
      </c>
      <c r="N1515" s="408" t="str">
        <f t="shared" si="380"/>
        <v>NG</v>
      </c>
      <c r="O1515" s="408" t="s">
        <v>2368</v>
      </c>
      <c r="P1515" s="408" t="s">
        <v>2371</v>
      </c>
      <c r="Q1515" s="408">
        <v>11001962</v>
      </c>
      <c r="R1515" s="408" t="s">
        <v>562</v>
      </c>
      <c r="S1515" s="408" t="s">
        <v>3268</v>
      </c>
      <c r="T1515" s="408"/>
      <c r="U1515" s="408"/>
      <c r="V1515" s="421"/>
      <c r="W1515" s="421"/>
      <c r="X1515" s="421"/>
      <c r="Y1515" s="421"/>
      <c r="Z1515" s="421"/>
      <c r="AA1515" s="421"/>
      <c r="AB1515" s="421"/>
      <c r="AC1515" s="421"/>
      <c r="AD1515" s="421"/>
      <c r="AE1515" s="421"/>
      <c r="AF1515" s="421"/>
      <c r="AG1515" s="421"/>
      <c r="AH1515" s="421"/>
      <c r="AI1515" s="421"/>
      <c r="AJ1515" s="421"/>
      <c r="AK1515" s="421"/>
      <c r="AL1515" s="421"/>
    </row>
    <row r="1516" spans="1:38">
      <c r="A1516" s="3">
        <v>5981</v>
      </c>
      <c r="B1516" s="83">
        <f t="array" ref="B1516">SUM(--(FREQUENCY(IF(C$2:C$3100=C1516, MATCH(D$2:D$3100, D$2:D$3100, 0)), ROW(D$2:D$3100)-ROW(D$2)+1) &gt; 0))</f>
        <v>76</v>
      </c>
      <c r="C1516" s="3">
        <v>41200007</v>
      </c>
      <c r="D1516" s="6" t="s">
        <v>3269</v>
      </c>
      <c r="E1516" s="3" t="s">
        <v>1405</v>
      </c>
      <c r="F1516" s="3" t="s">
        <v>1591</v>
      </c>
      <c r="G1516" s="68" t="str">
        <f t="shared" si="381"/>
        <v>SINGLE</v>
      </c>
      <c r="H1516" s="197">
        <f t="shared" si="382"/>
        <v>46</v>
      </c>
      <c r="I1516" s="197">
        <v>11</v>
      </c>
      <c r="J1516" s="197">
        <v>13</v>
      </c>
      <c r="K1516" s="186">
        <f t="shared" si="383"/>
        <v>45974</v>
      </c>
      <c r="L1516" s="3" t="s">
        <v>2391</v>
      </c>
      <c r="M1516" s="3" t="s">
        <v>2392</v>
      </c>
      <c r="N1516" s="408" t="str">
        <f t="shared" si="380"/>
        <v/>
      </c>
      <c r="O1516" s="408"/>
      <c r="P1516" s="408"/>
      <c r="Q1516" s="408"/>
      <c r="R1516" s="408"/>
      <c r="S1516" s="408"/>
      <c r="T1516" s="408"/>
      <c r="U1516" s="408"/>
      <c r="V1516" s="421"/>
      <c r="W1516" s="421"/>
      <c r="X1516" s="421"/>
      <c r="Y1516" s="421"/>
      <c r="Z1516" s="421"/>
      <c r="AA1516" s="421"/>
      <c r="AB1516" s="421"/>
      <c r="AC1516" s="421"/>
      <c r="AD1516" s="421"/>
      <c r="AE1516" s="421"/>
      <c r="AF1516" s="421"/>
      <c r="AG1516" s="421"/>
      <c r="AH1516" s="421"/>
      <c r="AI1516" s="421"/>
      <c r="AJ1516" s="421"/>
      <c r="AK1516" s="421"/>
      <c r="AL1516" s="421"/>
    </row>
    <row r="1517" spans="1:38">
      <c r="A1517" s="3">
        <v>5975</v>
      </c>
      <c r="B1517" s="83">
        <f t="array" ref="B1517">SUM(--(FREQUENCY(IF(C$2:C$3100=C1517, MATCH(D$2:D$3100, D$2:D$3100, 0)), ROW(D$2:D$3100)-ROW(D$2)+1) &gt; 0))</f>
        <v>6</v>
      </c>
      <c r="C1517" s="3">
        <v>41000598</v>
      </c>
      <c r="D1517" s="6" t="s">
        <v>3270</v>
      </c>
      <c r="E1517" s="3" t="s">
        <v>1405</v>
      </c>
      <c r="F1517" s="3" t="s">
        <v>1480</v>
      </c>
      <c r="G1517" s="68" t="str">
        <f t="shared" si="381"/>
        <v>DUAL</v>
      </c>
      <c r="H1517" s="197">
        <f t="shared" si="382"/>
        <v>46</v>
      </c>
      <c r="I1517" s="197">
        <v>11</v>
      </c>
      <c r="J1517" s="197">
        <v>13</v>
      </c>
      <c r="K1517" s="186">
        <f t="shared" si="383"/>
        <v>45974</v>
      </c>
      <c r="L1517" s="3" t="s">
        <v>2395</v>
      </c>
      <c r="M1517" s="3" t="s">
        <v>1469</v>
      </c>
      <c r="N1517" s="408" t="str">
        <f t="shared" si="380"/>
        <v/>
      </c>
      <c r="O1517" s="408"/>
      <c r="P1517" s="408"/>
      <c r="Q1517" s="408"/>
      <c r="R1517" s="408"/>
      <c r="S1517" s="408"/>
      <c r="T1517" s="408"/>
      <c r="U1517" s="408"/>
      <c r="V1517" s="421"/>
      <c r="W1517" s="421"/>
      <c r="X1517" s="421"/>
      <c r="Y1517" s="421"/>
      <c r="Z1517" s="421"/>
      <c r="AA1517" s="421"/>
      <c r="AB1517" s="421"/>
      <c r="AC1517" s="421"/>
      <c r="AD1517" s="421"/>
      <c r="AE1517" s="421"/>
      <c r="AF1517" s="421"/>
      <c r="AG1517" s="421"/>
      <c r="AH1517" s="421"/>
      <c r="AI1517" s="421"/>
      <c r="AJ1517" s="421"/>
      <c r="AK1517" s="421"/>
      <c r="AL1517" s="421"/>
    </row>
    <row r="1518" spans="1:38">
      <c r="A1518" s="3">
        <v>6121</v>
      </c>
      <c r="B1518" s="83">
        <f t="array" ref="B1518">SUM(--(FREQUENCY(IF(C$2:C$3100=C1518, MATCH(D$2:D$3100, D$2:D$3100, 0)), ROW(D$2:D$3100)-ROW(D$2)+1) &gt; 0))</f>
        <v>18</v>
      </c>
      <c r="C1518" s="3">
        <v>41200101</v>
      </c>
      <c r="D1518" s="6" t="s">
        <v>3271</v>
      </c>
      <c r="E1518" s="3" t="s">
        <v>1585</v>
      </c>
      <c r="F1518" s="3" t="s">
        <v>1476</v>
      </c>
      <c r="G1518" s="68" t="str">
        <f t="shared" si="381"/>
        <v>DUAL</v>
      </c>
      <c r="H1518" s="197">
        <f t="shared" si="382"/>
        <v>46</v>
      </c>
      <c r="I1518" s="197">
        <v>11</v>
      </c>
      <c r="J1518" s="197">
        <v>13</v>
      </c>
      <c r="K1518" s="186">
        <f t="shared" si="383"/>
        <v>45974</v>
      </c>
      <c r="L1518" s="3" t="s">
        <v>2555</v>
      </c>
      <c r="M1518" s="3" t="s">
        <v>2555</v>
      </c>
      <c r="N1518" s="408" t="str">
        <f t="shared" si="380"/>
        <v/>
      </c>
      <c r="O1518" s="408"/>
      <c r="P1518" s="408"/>
      <c r="Q1518" s="408"/>
      <c r="R1518" s="408"/>
      <c r="S1518" s="408"/>
      <c r="T1518" s="408"/>
      <c r="U1518" s="408"/>
      <c r="V1518" s="421"/>
      <c r="W1518" s="421"/>
      <c r="X1518" s="421"/>
      <c r="Y1518" s="421"/>
      <c r="Z1518" s="421"/>
      <c r="AA1518" s="421"/>
      <c r="AB1518" s="421"/>
      <c r="AC1518" s="421"/>
      <c r="AD1518" s="421"/>
      <c r="AE1518" s="421"/>
      <c r="AF1518" s="421"/>
      <c r="AG1518" s="421"/>
      <c r="AH1518" s="421"/>
      <c r="AI1518" s="421"/>
      <c r="AJ1518" s="421"/>
      <c r="AK1518" s="421"/>
      <c r="AL1518" s="421"/>
    </row>
    <row r="1519" spans="1:38">
      <c r="A1519" s="3">
        <v>5981</v>
      </c>
      <c r="B1519" s="83">
        <f t="array" ref="B1519">SUM(--(FREQUENCY(IF(C$2:C$3101=C1519, MATCH(D$2:D$3101, D$2:D$3101, 0)), ROW(D$2:D$3101)-ROW(D$2)+1) &gt; 0))</f>
        <v>76</v>
      </c>
      <c r="C1519" s="3">
        <v>41200007</v>
      </c>
      <c r="D1519" s="6" t="s">
        <v>3272</v>
      </c>
      <c r="E1519" s="3" t="s">
        <v>1405</v>
      </c>
      <c r="F1519" s="3" t="s">
        <v>1591</v>
      </c>
      <c r="G1519" s="68" t="str">
        <f t="shared" ref="G1519:G1520" si="384">IF(OR(ISNUMBER(SEARCH("DUAL",F1519)), ISNUMBER(SEARCH("IVAS",F1519))), "DUAL", "SINGLE")</f>
        <v>SINGLE</v>
      </c>
      <c r="H1519" s="197">
        <f t="shared" ref="H1519:H1520" si="385">WEEKNUM(K1519)</f>
        <v>46</v>
      </c>
      <c r="I1519" s="197">
        <v>11</v>
      </c>
      <c r="J1519" s="197">
        <v>13</v>
      </c>
      <c r="K1519" s="186">
        <f t="shared" ref="K1519:K1520" si="386">DATE(2025, I1519, J1519)</f>
        <v>45974</v>
      </c>
      <c r="L1519" s="3" t="s">
        <v>2391</v>
      </c>
      <c r="M1519" s="3" t="s">
        <v>1468</v>
      </c>
      <c r="N1519" s="408" t="str">
        <f t="shared" si="380"/>
        <v>NG</v>
      </c>
      <c r="O1519" s="408" t="s">
        <v>2368</v>
      </c>
      <c r="P1519" s="408" t="s">
        <v>2371</v>
      </c>
      <c r="Q1519" s="408">
        <v>11001962</v>
      </c>
      <c r="R1519" s="408" t="s">
        <v>562</v>
      </c>
      <c r="S1519" s="408" t="s">
        <v>3273</v>
      </c>
      <c r="T1519" s="408"/>
      <c r="U1519" s="408"/>
      <c r="V1519" s="421"/>
      <c r="W1519" s="421"/>
      <c r="X1519" s="421"/>
      <c r="Y1519" s="421"/>
      <c r="Z1519" s="421"/>
      <c r="AA1519" s="421"/>
      <c r="AB1519" s="421"/>
      <c r="AC1519" s="421"/>
      <c r="AD1519" s="421"/>
      <c r="AE1519" s="421"/>
      <c r="AF1519" s="421"/>
      <c r="AG1519" s="421"/>
      <c r="AH1519" s="421"/>
      <c r="AI1519" s="421"/>
      <c r="AJ1519" s="421"/>
      <c r="AK1519" s="421"/>
      <c r="AL1519" s="421"/>
    </row>
    <row r="1520" spans="1:38">
      <c r="A1520" s="3">
        <v>5981</v>
      </c>
      <c r="B1520" s="83">
        <f t="array" ref="B1520">SUM(--(FREQUENCY(IF(C$2:C$3101=C1520, MATCH(D$2:D$3101, D$2:D$3101, 0)), ROW(D$2:D$3101)-ROW(D$2)+1) &gt; 0))</f>
        <v>76</v>
      </c>
      <c r="C1520" s="3">
        <v>41200007</v>
      </c>
      <c r="D1520" s="6" t="s">
        <v>3274</v>
      </c>
      <c r="E1520" s="3" t="s">
        <v>1405</v>
      </c>
      <c r="F1520" s="3" t="s">
        <v>1591</v>
      </c>
      <c r="G1520" s="68" t="str">
        <f t="shared" si="384"/>
        <v>SINGLE</v>
      </c>
      <c r="H1520" s="197">
        <f t="shared" si="385"/>
        <v>46</v>
      </c>
      <c r="I1520" s="197">
        <v>11</v>
      </c>
      <c r="J1520" s="197">
        <v>13</v>
      </c>
      <c r="K1520" s="186">
        <f t="shared" si="386"/>
        <v>45974</v>
      </c>
      <c r="L1520" s="3" t="s">
        <v>2391</v>
      </c>
      <c r="M1520" s="3" t="s">
        <v>1468</v>
      </c>
      <c r="N1520" s="408" t="str">
        <f t="shared" si="380"/>
        <v>NG</v>
      </c>
      <c r="O1520" s="408" t="s">
        <v>2368</v>
      </c>
      <c r="P1520" s="408" t="s">
        <v>2371</v>
      </c>
      <c r="Q1520" s="408">
        <v>11001962</v>
      </c>
      <c r="R1520" s="408" t="s">
        <v>562</v>
      </c>
      <c r="S1520" s="408" t="s">
        <v>3275</v>
      </c>
      <c r="T1520" s="408"/>
      <c r="U1520" s="408"/>
      <c r="V1520" s="421"/>
      <c r="W1520" s="421"/>
      <c r="X1520" s="421"/>
      <c r="Y1520" s="421"/>
      <c r="Z1520" s="421"/>
      <c r="AA1520" s="421"/>
      <c r="AB1520" s="421"/>
      <c r="AC1520" s="421"/>
      <c r="AD1520" s="421"/>
      <c r="AE1520" s="421"/>
      <c r="AF1520" s="421"/>
      <c r="AG1520" s="421"/>
      <c r="AH1520" s="421"/>
      <c r="AI1520" s="421"/>
      <c r="AJ1520" s="421"/>
      <c r="AK1520" s="421"/>
      <c r="AL1520" s="421"/>
    </row>
    <row r="1521" spans="1:38">
      <c r="A1521" s="3">
        <v>5981</v>
      </c>
      <c r="B1521" s="83">
        <f t="array" ref="B1521">SUM(--(FREQUENCY(IF(C$2:C$3101=C1521, MATCH(D$2:D$3101, D$2:D$3101, 0)), ROW(D$2:D$3101)-ROW(D$2)+1) &gt; 0))</f>
        <v>76</v>
      </c>
      <c r="C1521" s="3">
        <v>41200007</v>
      </c>
      <c r="D1521" s="6" t="s">
        <v>3276</v>
      </c>
      <c r="E1521" s="3" t="s">
        <v>1405</v>
      </c>
      <c r="F1521" s="3" t="s">
        <v>1591</v>
      </c>
      <c r="G1521" s="68" t="str">
        <f t="shared" ref="G1521:G1529" si="387">IF(OR(ISNUMBER(SEARCH("DUAL",F1521)), ISNUMBER(SEARCH("IVAS",F1521))), "DUAL", "SINGLE")</f>
        <v>SINGLE</v>
      </c>
      <c r="H1521" s="197">
        <f t="shared" ref="H1521:H1584" si="388">WEEKNUM(K1521)</f>
        <v>46</v>
      </c>
      <c r="I1521" s="197">
        <v>11</v>
      </c>
      <c r="J1521" s="197">
        <v>14</v>
      </c>
      <c r="K1521" s="186">
        <f t="shared" ref="K1521:K1560" si="389">DATE(2025, I1521, J1521)</f>
        <v>45975</v>
      </c>
      <c r="L1521" s="3" t="s">
        <v>2391</v>
      </c>
      <c r="M1521" s="3" t="s">
        <v>1468</v>
      </c>
      <c r="N1521" s="408" t="str">
        <f t="shared" si="380"/>
        <v>NG</v>
      </c>
      <c r="O1521" s="408" t="s">
        <v>2368</v>
      </c>
      <c r="P1521" s="408" t="s">
        <v>2371</v>
      </c>
      <c r="Q1521" s="408">
        <v>11001962</v>
      </c>
      <c r="R1521" s="408" t="s">
        <v>562</v>
      </c>
      <c r="S1521" s="408" t="s">
        <v>3275</v>
      </c>
      <c r="T1521" s="408"/>
      <c r="U1521" s="408"/>
      <c r="V1521" s="421"/>
      <c r="W1521" s="421"/>
      <c r="X1521" s="421"/>
      <c r="Y1521" s="421"/>
      <c r="Z1521" s="421"/>
      <c r="AA1521" s="421"/>
      <c r="AB1521" s="421"/>
      <c r="AC1521" s="421"/>
      <c r="AD1521" s="421"/>
      <c r="AE1521" s="421"/>
      <c r="AF1521" s="421"/>
      <c r="AG1521" s="421"/>
      <c r="AH1521" s="421"/>
      <c r="AI1521" s="421"/>
      <c r="AJ1521" s="421"/>
      <c r="AK1521" s="421"/>
      <c r="AL1521" s="421"/>
    </row>
    <row r="1522" spans="1:38">
      <c r="A1522" s="3">
        <v>5981</v>
      </c>
      <c r="B1522" s="83">
        <f t="array" ref="B1522">SUM(--(FREQUENCY(IF(C$2:C$3101=C1522, MATCH(D$2:D$3101, D$2:D$3101, 0)), ROW(D$2:D$3101)-ROW(D$2)+1) &gt; 0))</f>
        <v>76</v>
      </c>
      <c r="C1522" s="3">
        <v>41200007</v>
      </c>
      <c r="D1522" s="6" t="s">
        <v>3276</v>
      </c>
      <c r="E1522" s="3" t="s">
        <v>1405</v>
      </c>
      <c r="F1522" s="3" t="s">
        <v>1591</v>
      </c>
      <c r="G1522" s="68" t="str">
        <f t="shared" ref="G1522:G1523" si="390">IF(OR(ISNUMBER(SEARCH("DUAL",F1522)), ISNUMBER(SEARCH("IVAS",F1522))), "DUAL", "SINGLE")</f>
        <v>SINGLE</v>
      </c>
      <c r="H1522" s="197">
        <f t="shared" ref="H1522:H1523" si="391">WEEKNUM(K1522)</f>
        <v>46</v>
      </c>
      <c r="I1522" s="197">
        <v>11</v>
      </c>
      <c r="J1522" s="197">
        <v>14</v>
      </c>
      <c r="K1522" s="186">
        <f t="shared" ref="K1522:K1523" si="392">DATE(2025, I1522, J1522)</f>
        <v>45975</v>
      </c>
      <c r="L1522" s="3" t="s">
        <v>2391</v>
      </c>
      <c r="M1522" s="3" t="s">
        <v>1468</v>
      </c>
      <c r="N1522" s="408" t="str">
        <f t="shared" ref="N1522:N1523" si="393">IF(O1522&lt;&gt;"", "NG", "")</f>
        <v>NG</v>
      </c>
      <c r="O1522" s="408" t="s">
        <v>2368</v>
      </c>
      <c r="P1522" s="408" t="s">
        <v>2371</v>
      </c>
      <c r="Q1522" s="408">
        <v>11001962</v>
      </c>
      <c r="R1522" s="408" t="s">
        <v>562</v>
      </c>
      <c r="S1522" s="408" t="s">
        <v>3277</v>
      </c>
      <c r="T1522" s="408"/>
      <c r="U1522" s="408"/>
      <c r="V1522" s="421"/>
      <c r="W1522" s="421"/>
      <c r="X1522" s="421"/>
      <c r="Y1522" s="421"/>
      <c r="Z1522" s="421"/>
      <c r="AA1522" s="421"/>
      <c r="AB1522" s="421"/>
      <c r="AC1522" s="421"/>
      <c r="AD1522" s="421"/>
      <c r="AE1522" s="421"/>
      <c r="AF1522" s="421"/>
      <c r="AG1522" s="421"/>
      <c r="AH1522" s="421"/>
      <c r="AI1522" s="421"/>
      <c r="AJ1522" s="421"/>
      <c r="AK1522" s="421"/>
      <c r="AL1522" s="421"/>
    </row>
    <row r="1523" spans="1:38">
      <c r="A1523" s="3">
        <v>5981</v>
      </c>
      <c r="B1523" s="83">
        <f t="array" ref="B1523">SUM(--(FREQUENCY(IF(C$2:C$3101=C1523, MATCH(D$2:D$3101, D$2:D$3101, 0)), ROW(D$2:D$3101)-ROW(D$2)+1) &gt; 0))</f>
        <v>76</v>
      </c>
      <c r="C1523" s="3">
        <v>41200007</v>
      </c>
      <c r="D1523" s="6" t="s">
        <v>3276</v>
      </c>
      <c r="E1523" s="3" t="s">
        <v>1405</v>
      </c>
      <c r="F1523" s="3" t="s">
        <v>1591</v>
      </c>
      <c r="G1523" s="68" t="str">
        <f t="shared" si="390"/>
        <v>SINGLE</v>
      </c>
      <c r="H1523" s="197">
        <f t="shared" si="391"/>
        <v>46</v>
      </c>
      <c r="I1523" s="197">
        <v>11</v>
      </c>
      <c r="J1523" s="197">
        <v>14</v>
      </c>
      <c r="K1523" s="186">
        <f t="shared" si="392"/>
        <v>45975</v>
      </c>
      <c r="L1523" s="3" t="s">
        <v>2391</v>
      </c>
      <c r="M1523" s="3" t="s">
        <v>1468</v>
      </c>
      <c r="N1523" s="408" t="str">
        <f t="shared" si="393"/>
        <v>NG</v>
      </c>
      <c r="O1523" s="408" t="s">
        <v>2368</v>
      </c>
      <c r="P1523" s="408" t="s">
        <v>2371</v>
      </c>
      <c r="Q1523" s="408">
        <v>11001962</v>
      </c>
      <c r="R1523" s="408" t="s">
        <v>562</v>
      </c>
      <c r="S1523" s="408" t="s">
        <v>3273</v>
      </c>
      <c r="T1523" s="408"/>
      <c r="U1523" s="408"/>
      <c r="V1523" s="421"/>
      <c r="W1523" s="421"/>
      <c r="X1523" s="421"/>
      <c r="Y1523" s="421"/>
      <c r="Z1523" s="421"/>
      <c r="AA1523" s="421"/>
      <c r="AB1523" s="421"/>
      <c r="AC1523" s="421"/>
      <c r="AD1523" s="421"/>
      <c r="AE1523" s="421"/>
      <c r="AF1523" s="421"/>
      <c r="AG1523" s="421"/>
      <c r="AH1523" s="421"/>
      <c r="AI1523" s="421"/>
      <c r="AJ1523" s="421"/>
      <c r="AK1523" s="421"/>
      <c r="AL1523" s="421"/>
    </row>
    <row r="1524" spans="1:38">
      <c r="A1524" s="3">
        <v>6132</v>
      </c>
      <c r="B1524" s="83">
        <f t="array" ref="B1524">SUM(--(FREQUENCY(IF(C$2:C$3101=C1524, MATCH(D$2:D$3101, D$2:D$3101, 0)), ROW(D$2:D$3101)-ROW(D$2)+1) &gt; 0))</f>
        <v>37</v>
      </c>
      <c r="C1524" s="3">
        <v>41200076</v>
      </c>
      <c r="D1524" s="6" t="s">
        <v>3278</v>
      </c>
      <c r="E1524" s="3" t="s">
        <v>1585</v>
      </c>
      <c r="F1524" s="3" t="s">
        <v>1476</v>
      </c>
      <c r="G1524" s="68" t="str">
        <f t="shared" si="387"/>
        <v>DUAL</v>
      </c>
      <c r="H1524" s="197">
        <f t="shared" si="388"/>
        <v>46</v>
      </c>
      <c r="I1524" s="197">
        <v>11</v>
      </c>
      <c r="J1524" s="197">
        <v>14</v>
      </c>
      <c r="K1524" s="186">
        <f t="shared" si="389"/>
        <v>45975</v>
      </c>
      <c r="L1524" s="3" t="s">
        <v>2391</v>
      </c>
      <c r="M1524" s="3" t="s">
        <v>2392</v>
      </c>
      <c r="N1524" s="408" t="str">
        <f t="shared" si="380"/>
        <v>NG</v>
      </c>
      <c r="O1524" s="408" t="s">
        <v>2368</v>
      </c>
      <c r="P1524" s="408" t="s">
        <v>2371</v>
      </c>
      <c r="Q1524" s="408">
        <v>11001962</v>
      </c>
      <c r="R1524" s="408" t="s">
        <v>562</v>
      </c>
      <c r="S1524" s="408" t="s">
        <v>3279</v>
      </c>
      <c r="T1524" s="408"/>
      <c r="U1524" s="408"/>
      <c r="V1524" s="421"/>
      <c r="W1524" s="421"/>
      <c r="X1524" s="421"/>
      <c r="Y1524" s="421"/>
      <c r="Z1524" s="421"/>
      <c r="AA1524" s="421"/>
      <c r="AB1524" s="421"/>
      <c r="AC1524" s="421"/>
      <c r="AD1524" s="421"/>
      <c r="AE1524" s="421"/>
      <c r="AF1524" s="421"/>
      <c r="AG1524" s="421"/>
      <c r="AH1524" s="421"/>
      <c r="AI1524" s="421"/>
      <c r="AJ1524" s="421"/>
      <c r="AK1524" s="421"/>
      <c r="AL1524" s="421"/>
    </row>
    <row r="1525" spans="1:38">
      <c r="A1525" s="3">
        <v>6132</v>
      </c>
      <c r="B1525" s="83">
        <f t="array" ref="B1525">SUM(--(FREQUENCY(IF(C$2:C$3101=C1525, MATCH(D$2:D$3101, D$2:D$3101, 0)), ROW(D$2:D$3101)-ROW(D$2)+1) &gt; 0))</f>
        <v>37</v>
      </c>
      <c r="C1525" s="3">
        <v>41200076</v>
      </c>
      <c r="D1525" s="6" t="s">
        <v>3280</v>
      </c>
      <c r="E1525" s="3" t="s">
        <v>1585</v>
      </c>
      <c r="F1525" s="3" t="s">
        <v>1476</v>
      </c>
      <c r="G1525" s="68" t="str">
        <f t="shared" si="387"/>
        <v>DUAL</v>
      </c>
      <c r="H1525" s="197">
        <f t="shared" si="388"/>
        <v>46</v>
      </c>
      <c r="I1525" s="197">
        <v>11</v>
      </c>
      <c r="J1525" s="197">
        <v>14</v>
      </c>
      <c r="K1525" s="186">
        <f t="shared" si="389"/>
        <v>45975</v>
      </c>
      <c r="L1525" s="3" t="s">
        <v>2391</v>
      </c>
      <c r="M1525" s="3" t="s">
        <v>2392</v>
      </c>
      <c r="N1525" s="408" t="str">
        <f t="shared" si="380"/>
        <v/>
      </c>
      <c r="O1525" s="408"/>
      <c r="P1525" s="408"/>
      <c r="Q1525" s="408"/>
      <c r="R1525" s="408"/>
      <c r="S1525" s="408"/>
      <c r="T1525" s="408"/>
      <c r="U1525" s="408"/>
      <c r="V1525" s="421"/>
      <c r="W1525" s="421"/>
      <c r="X1525" s="421"/>
      <c r="Y1525" s="421"/>
      <c r="Z1525" s="421"/>
      <c r="AA1525" s="421"/>
      <c r="AB1525" s="421"/>
      <c r="AC1525" s="421"/>
      <c r="AD1525" s="421"/>
      <c r="AE1525" s="421"/>
      <c r="AF1525" s="421"/>
      <c r="AG1525" s="421"/>
      <c r="AH1525" s="421"/>
      <c r="AI1525" s="421"/>
      <c r="AJ1525" s="421"/>
      <c r="AK1525" s="421"/>
      <c r="AL1525" s="421"/>
    </row>
    <row r="1526" spans="1:38">
      <c r="A1526" s="3">
        <v>6169</v>
      </c>
      <c r="B1526" s="83">
        <f t="array" ref="B1526">SUM(--(FREQUENCY(IF(C$2:C$3101=C1526, MATCH(D$2:D$3101, D$2:D$3101, 0)), ROW(D$2:D$3101)-ROW(D$2)+1) &gt; 0))</f>
        <v>18</v>
      </c>
      <c r="C1526" s="3">
        <v>41200171</v>
      </c>
      <c r="D1526" s="6" t="s">
        <v>3281</v>
      </c>
      <c r="E1526" s="3" t="s">
        <v>1394</v>
      </c>
      <c r="F1526" s="3" t="s">
        <v>1479</v>
      </c>
      <c r="G1526" s="68" t="str">
        <f t="shared" si="387"/>
        <v>SINGLE</v>
      </c>
      <c r="H1526" s="197">
        <f t="shared" si="388"/>
        <v>46</v>
      </c>
      <c r="I1526" s="197">
        <v>11</v>
      </c>
      <c r="J1526" s="197">
        <v>14</v>
      </c>
      <c r="K1526" s="186">
        <f t="shared" si="389"/>
        <v>45975</v>
      </c>
      <c r="L1526" s="3" t="s">
        <v>2391</v>
      </c>
      <c r="M1526" s="3" t="s">
        <v>2392</v>
      </c>
      <c r="N1526" s="408" t="str">
        <f t="shared" si="380"/>
        <v/>
      </c>
      <c r="O1526" s="408"/>
      <c r="P1526" s="408"/>
      <c r="Q1526" s="408"/>
      <c r="R1526" s="408"/>
      <c r="S1526" s="408"/>
      <c r="T1526" s="408"/>
      <c r="U1526" s="408"/>
      <c r="V1526" s="421"/>
      <c r="W1526" s="421"/>
      <c r="X1526" s="421"/>
      <c r="Y1526" s="421"/>
      <c r="Z1526" s="421"/>
      <c r="AA1526" s="421"/>
      <c r="AB1526" s="421"/>
      <c r="AC1526" s="421"/>
      <c r="AD1526" s="421"/>
      <c r="AE1526" s="421"/>
      <c r="AF1526" s="421"/>
      <c r="AG1526" s="421"/>
      <c r="AH1526" s="421"/>
      <c r="AI1526" s="421"/>
      <c r="AJ1526" s="421"/>
      <c r="AK1526" s="421"/>
      <c r="AL1526" s="421"/>
    </row>
    <row r="1527" spans="1:38">
      <c r="A1527" s="3">
        <v>6184</v>
      </c>
      <c r="B1527" s="83">
        <f t="array" ref="B1527">SUM(--(FREQUENCY(IF(C$2:C$3101=C1527, MATCH(D$2:D$3101, D$2:D$3101, 0)), ROW(D$2:D$3101)-ROW(D$2)+1) &gt; 0))</f>
        <v>37</v>
      </c>
      <c r="C1527" s="3">
        <v>41200076</v>
      </c>
      <c r="D1527" s="6" t="s">
        <v>3282</v>
      </c>
      <c r="E1527" s="3" t="s">
        <v>1585</v>
      </c>
      <c r="F1527" s="3" t="s">
        <v>1476</v>
      </c>
      <c r="G1527" s="68" t="str">
        <f t="shared" si="387"/>
        <v>DUAL</v>
      </c>
      <c r="H1527" s="197">
        <f t="shared" si="388"/>
        <v>46</v>
      </c>
      <c r="I1527" s="197">
        <v>11</v>
      </c>
      <c r="J1527" s="197">
        <v>14</v>
      </c>
      <c r="K1527" s="186">
        <f t="shared" si="389"/>
        <v>45975</v>
      </c>
      <c r="L1527" s="3" t="s">
        <v>2391</v>
      </c>
      <c r="M1527" s="3" t="s">
        <v>2392</v>
      </c>
      <c r="N1527" s="408" t="str">
        <f t="shared" si="380"/>
        <v/>
      </c>
      <c r="O1527" s="408"/>
      <c r="P1527" s="408"/>
      <c r="Q1527" s="408"/>
      <c r="R1527" s="408"/>
      <c r="S1527" s="408"/>
      <c r="T1527" s="408"/>
      <c r="U1527" s="408"/>
      <c r="V1527" s="421"/>
      <c r="W1527" s="421"/>
      <c r="X1527" s="421"/>
      <c r="Y1527" s="421"/>
      <c r="Z1527" s="421"/>
      <c r="AA1527" s="421"/>
      <c r="AB1527" s="421"/>
      <c r="AC1527" s="421"/>
      <c r="AD1527" s="421"/>
      <c r="AE1527" s="421"/>
      <c r="AF1527" s="421"/>
      <c r="AG1527" s="421"/>
      <c r="AH1527" s="421"/>
      <c r="AI1527" s="421"/>
      <c r="AJ1527" s="421"/>
      <c r="AK1527" s="421"/>
      <c r="AL1527" s="421"/>
    </row>
    <row r="1528" spans="1:38">
      <c r="A1528" s="3">
        <v>5974</v>
      </c>
      <c r="B1528" s="83">
        <f t="array" ref="B1528">SUM(--(FREQUENCY(IF(C$2:C$3101=C1528, MATCH(D$2:D$3101, D$2:D$3101, 0)), ROW(D$2:D$3101)-ROW(D$2)+1) &gt; 0))</f>
        <v>5</v>
      </c>
      <c r="C1528" s="3">
        <v>41000584</v>
      </c>
      <c r="D1528" s="6" t="s">
        <v>3283</v>
      </c>
      <c r="E1528" s="3" t="s">
        <v>1405</v>
      </c>
      <c r="F1528" s="3" t="s">
        <v>1581</v>
      </c>
      <c r="G1528" s="68" t="str">
        <f t="shared" si="387"/>
        <v>DUAL</v>
      </c>
      <c r="H1528" s="197">
        <f t="shared" si="388"/>
        <v>46</v>
      </c>
      <c r="I1528" s="197">
        <v>11</v>
      </c>
      <c r="J1528" s="197">
        <v>14</v>
      </c>
      <c r="K1528" s="186">
        <f t="shared" si="389"/>
        <v>45975</v>
      </c>
      <c r="L1528" s="3" t="s">
        <v>2392</v>
      </c>
      <c r="M1528" s="3" t="s">
        <v>1468</v>
      </c>
      <c r="N1528" s="408" t="str">
        <f t="shared" si="380"/>
        <v/>
      </c>
      <c r="O1528" s="408"/>
      <c r="P1528" s="408"/>
      <c r="Q1528" s="408"/>
      <c r="R1528" s="408"/>
      <c r="S1528" s="408"/>
      <c r="T1528" s="408"/>
      <c r="U1528" s="408"/>
      <c r="V1528" s="421"/>
      <c r="W1528" s="421"/>
      <c r="X1528" s="421"/>
      <c r="Y1528" s="421"/>
      <c r="Z1528" s="421"/>
      <c r="AA1528" s="421"/>
      <c r="AB1528" s="421"/>
      <c r="AC1528" s="421"/>
      <c r="AD1528" s="421"/>
      <c r="AE1528" s="421"/>
      <c r="AF1528" s="421"/>
      <c r="AG1528" s="421"/>
      <c r="AH1528" s="421"/>
      <c r="AI1528" s="421"/>
      <c r="AJ1528" s="421"/>
      <c r="AK1528" s="421"/>
      <c r="AL1528" s="421"/>
    </row>
    <row r="1529" spans="1:38">
      <c r="A1529" s="3">
        <v>5974</v>
      </c>
      <c r="B1529" s="83">
        <f t="array" ref="B1529">SUM(--(FREQUENCY(IF(C$2:C$3101=C1529, MATCH(D$2:D$3101, D$2:D$3101, 0)), ROW(D$2:D$3101)-ROW(D$2)+1) &gt; 0))</f>
        <v>5</v>
      </c>
      <c r="C1529" s="3">
        <v>41000584</v>
      </c>
      <c r="D1529" s="6" t="s">
        <v>3284</v>
      </c>
      <c r="E1529" s="3" t="s">
        <v>1405</v>
      </c>
      <c r="F1529" s="3" t="s">
        <v>1581</v>
      </c>
      <c r="G1529" s="68" t="str">
        <f t="shared" si="387"/>
        <v>DUAL</v>
      </c>
      <c r="H1529" s="197">
        <f t="shared" si="388"/>
        <v>46</v>
      </c>
      <c r="I1529" s="197">
        <v>11</v>
      </c>
      <c r="J1529" s="197">
        <v>14</v>
      </c>
      <c r="K1529" s="186">
        <f t="shared" si="389"/>
        <v>45975</v>
      </c>
      <c r="L1529" s="3" t="s">
        <v>2392</v>
      </c>
      <c r="M1529" s="3" t="s">
        <v>1468</v>
      </c>
      <c r="N1529" s="408" t="str">
        <f t="shared" si="380"/>
        <v/>
      </c>
      <c r="O1529" s="408"/>
      <c r="P1529" s="408"/>
      <c r="Q1529" s="408"/>
      <c r="R1529" s="408"/>
      <c r="S1529" s="408"/>
      <c r="T1529" s="408"/>
      <c r="U1529" s="408"/>
      <c r="V1529" s="421"/>
      <c r="W1529" s="421"/>
      <c r="X1529" s="421"/>
      <c r="Y1529" s="421"/>
      <c r="Z1529" s="421"/>
      <c r="AA1529" s="421"/>
      <c r="AB1529" s="421"/>
      <c r="AC1529" s="421"/>
      <c r="AD1529" s="421"/>
      <c r="AE1529" s="421"/>
      <c r="AF1529" s="421"/>
      <c r="AG1529" s="421"/>
      <c r="AH1529" s="421"/>
      <c r="AI1529" s="421"/>
      <c r="AJ1529" s="421"/>
      <c r="AK1529" s="421"/>
      <c r="AL1529" s="421"/>
    </row>
    <row r="1530" spans="1:38">
      <c r="A1530" s="3">
        <v>6188</v>
      </c>
      <c r="B1530" s="83">
        <v>3</v>
      </c>
      <c r="C1530" s="3">
        <v>41200029</v>
      </c>
      <c r="D1530" s="6" t="s">
        <v>3285</v>
      </c>
      <c r="E1530" s="3" t="s">
        <v>1405</v>
      </c>
      <c r="F1530" s="3" t="s">
        <v>1476</v>
      </c>
      <c r="G1530" s="3" t="s">
        <v>2675</v>
      </c>
      <c r="H1530" s="197">
        <f t="shared" si="388"/>
        <v>46</v>
      </c>
      <c r="I1530" s="197">
        <v>11</v>
      </c>
      <c r="J1530" s="197">
        <v>15</v>
      </c>
      <c r="K1530" s="186">
        <f t="shared" si="389"/>
        <v>45976</v>
      </c>
      <c r="L1530" s="186" t="s">
        <v>2395</v>
      </c>
      <c r="M1530" s="3" t="s">
        <v>1469</v>
      </c>
      <c r="N1530" s="408" t="str">
        <f t="shared" si="380"/>
        <v/>
      </c>
      <c r="O1530" s="408"/>
      <c r="P1530" s="408"/>
      <c r="Q1530" s="408"/>
      <c r="R1530" s="408"/>
      <c r="S1530" s="408"/>
      <c r="T1530" s="408"/>
      <c r="U1530" s="408"/>
      <c r="V1530" s="421"/>
      <c r="W1530" s="421"/>
      <c r="X1530" s="421"/>
      <c r="Y1530" s="421"/>
      <c r="Z1530" s="421"/>
      <c r="AA1530" s="421"/>
      <c r="AB1530" s="421"/>
      <c r="AC1530" s="421"/>
      <c r="AD1530" s="421"/>
      <c r="AE1530" s="421"/>
      <c r="AF1530" s="421"/>
      <c r="AG1530" s="421"/>
      <c r="AH1530" s="421"/>
      <c r="AI1530" s="421"/>
      <c r="AJ1530" s="421"/>
      <c r="AK1530" s="421"/>
      <c r="AL1530" s="421"/>
    </row>
    <row r="1531" spans="1:38">
      <c r="A1531" s="3">
        <v>6037</v>
      </c>
      <c r="B1531" s="83">
        <v>48</v>
      </c>
      <c r="C1531" s="3">
        <v>41200034</v>
      </c>
      <c r="D1531" s="6" t="s">
        <v>3286</v>
      </c>
      <c r="E1531" s="3" t="s">
        <v>1426</v>
      </c>
      <c r="F1531" s="3" t="s">
        <v>1476</v>
      </c>
      <c r="G1531" s="3" t="s">
        <v>2675</v>
      </c>
      <c r="H1531" s="197">
        <f t="shared" si="388"/>
        <v>46</v>
      </c>
      <c r="I1531" s="197">
        <v>11</v>
      </c>
      <c r="J1531" s="197">
        <v>15</v>
      </c>
      <c r="K1531" s="186">
        <f t="shared" si="389"/>
        <v>45976</v>
      </c>
      <c r="L1531" s="186" t="s">
        <v>2391</v>
      </c>
      <c r="M1531" s="3" t="s">
        <v>1468</v>
      </c>
      <c r="N1531" s="408" t="str">
        <f t="shared" si="380"/>
        <v/>
      </c>
      <c r="O1531" s="408"/>
      <c r="P1531" s="408"/>
      <c r="Q1531" s="408"/>
      <c r="R1531" s="408"/>
      <c r="S1531" s="408"/>
      <c r="T1531" s="408"/>
      <c r="U1531" s="408"/>
      <c r="V1531" s="421"/>
      <c r="W1531" s="421"/>
      <c r="X1531" s="421"/>
      <c r="Y1531" s="421"/>
      <c r="Z1531" s="421"/>
      <c r="AA1531" s="421"/>
      <c r="AB1531" s="421"/>
      <c r="AC1531" s="421"/>
      <c r="AD1531" s="421"/>
      <c r="AE1531" s="421"/>
      <c r="AF1531" s="421"/>
      <c r="AG1531" s="421"/>
      <c r="AH1531" s="421"/>
      <c r="AI1531" s="421"/>
      <c r="AJ1531" s="421"/>
      <c r="AK1531" s="421"/>
      <c r="AL1531" s="421"/>
    </row>
    <row r="1532" spans="1:38">
      <c r="A1532" s="3">
        <v>5975</v>
      </c>
      <c r="B1532" s="83">
        <v>19</v>
      </c>
      <c r="C1532" s="3">
        <v>41000598</v>
      </c>
      <c r="D1532" s="6" t="s">
        <v>3287</v>
      </c>
      <c r="E1532" s="3" t="s">
        <v>1405</v>
      </c>
      <c r="F1532" s="3" t="s">
        <v>1480</v>
      </c>
      <c r="G1532" s="3" t="s">
        <v>2675</v>
      </c>
      <c r="H1532" s="197">
        <f t="shared" si="388"/>
        <v>46</v>
      </c>
      <c r="I1532" s="197">
        <v>11</v>
      </c>
      <c r="J1532" s="197">
        <v>15</v>
      </c>
      <c r="K1532" s="186">
        <f t="shared" si="389"/>
        <v>45976</v>
      </c>
      <c r="L1532" s="186" t="s">
        <v>2395</v>
      </c>
      <c r="M1532" s="3" t="s">
        <v>1469</v>
      </c>
      <c r="N1532" s="408" t="str">
        <f t="shared" si="380"/>
        <v/>
      </c>
      <c r="O1532" s="408"/>
      <c r="P1532" s="408"/>
      <c r="Q1532" s="408"/>
      <c r="R1532" s="408"/>
      <c r="S1532" s="408"/>
      <c r="T1532" s="408"/>
      <c r="U1532" s="408"/>
      <c r="V1532" s="421"/>
      <c r="W1532" s="421"/>
      <c r="X1532" s="421"/>
      <c r="Y1532" s="421"/>
      <c r="Z1532" s="421"/>
      <c r="AA1532" s="421"/>
      <c r="AB1532" s="421"/>
      <c r="AC1532" s="421"/>
      <c r="AD1532" s="421"/>
      <c r="AE1532" s="421"/>
      <c r="AF1532" s="421"/>
      <c r="AG1532" s="421"/>
      <c r="AH1532" s="421"/>
      <c r="AI1532" s="421"/>
      <c r="AJ1532" s="421"/>
      <c r="AK1532" s="421"/>
      <c r="AL1532" s="421"/>
    </row>
    <row r="1533" spans="1:38">
      <c r="A1533" s="3">
        <v>6182</v>
      </c>
      <c r="B1533" s="83">
        <v>14</v>
      </c>
      <c r="C1533" s="3">
        <v>41200158</v>
      </c>
      <c r="D1533" s="6" t="s">
        <v>3288</v>
      </c>
      <c r="E1533" s="3" t="s">
        <v>1405</v>
      </c>
      <c r="F1533" s="3" t="s">
        <v>1480</v>
      </c>
      <c r="G1533" s="3" t="s">
        <v>2675</v>
      </c>
      <c r="H1533" s="197">
        <f t="shared" si="388"/>
        <v>46</v>
      </c>
      <c r="I1533" s="197">
        <v>11</v>
      </c>
      <c r="J1533" s="197">
        <v>15</v>
      </c>
      <c r="K1533" s="186">
        <f t="shared" si="389"/>
        <v>45976</v>
      </c>
      <c r="L1533" s="186" t="s">
        <v>2395</v>
      </c>
      <c r="M1533" s="3" t="s">
        <v>2392</v>
      </c>
      <c r="N1533" s="408" t="str">
        <f t="shared" si="380"/>
        <v/>
      </c>
      <c r="O1533" s="408"/>
      <c r="P1533" s="408"/>
      <c r="Q1533" s="408"/>
      <c r="R1533" s="408"/>
      <c r="S1533" s="408"/>
      <c r="T1533" s="408"/>
      <c r="U1533" s="408"/>
      <c r="V1533" s="421"/>
      <c r="W1533" s="421"/>
      <c r="X1533" s="421"/>
      <c r="Y1533" s="421"/>
      <c r="Z1533" s="421"/>
      <c r="AA1533" s="421"/>
      <c r="AB1533" s="421"/>
      <c r="AC1533" s="421"/>
      <c r="AD1533" s="421"/>
      <c r="AE1533" s="421"/>
      <c r="AF1533" s="421"/>
      <c r="AG1533" s="421"/>
      <c r="AH1533" s="421"/>
      <c r="AI1533" s="421"/>
      <c r="AJ1533" s="421"/>
      <c r="AK1533" s="421"/>
      <c r="AL1533" s="421"/>
    </row>
    <row r="1534" spans="1:38">
      <c r="A1534" s="3">
        <v>6182</v>
      </c>
      <c r="B1534" s="83">
        <v>14</v>
      </c>
      <c r="C1534" s="3">
        <v>41200158</v>
      </c>
      <c r="D1534" s="6" t="s">
        <v>3289</v>
      </c>
      <c r="E1534" s="3" t="s">
        <v>1405</v>
      </c>
      <c r="F1534" s="3" t="s">
        <v>1480</v>
      </c>
      <c r="G1534" s="3" t="s">
        <v>2675</v>
      </c>
      <c r="H1534" s="197">
        <f t="shared" si="388"/>
        <v>46</v>
      </c>
      <c r="I1534" s="197">
        <v>11</v>
      </c>
      <c r="J1534" s="197">
        <v>15</v>
      </c>
      <c r="K1534" s="186">
        <f t="shared" si="389"/>
        <v>45976</v>
      </c>
      <c r="L1534" s="186" t="s">
        <v>2395</v>
      </c>
      <c r="M1534" s="3" t="s">
        <v>2392</v>
      </c>
      <c r="N1534" s="408" t="str">
        <f t="shared" si="380"/>
        <v/>
      </c>
      <c r="O1534" s="408"/>
      <c r="P1534" s="408"/>
      <c r="Q1534" s="408"/>
      <c r="R1534" s="408"/>
      <c r="S1534" s="408"/>
      <c r="T1534" s="408"/>
      <c r="U1534" s="408"/>
      <c r="V1534" s="421"/>
      <c r="W1534" s="421"/>
      <c r="X1534" s="421"/>
      <c r="Y1534" s="421"/>
      <c r="Z1534" s="421"/>
      <c r="AA1534" s="421"/>
      <c r="AB1534" s="421"/>
      <c r="AC1534" s="421"/>
      <c r="AD1534" s="421"/>
      <c r="AE1534" s="421"/>
      <c r="AF1534" s="421"/>
      <c r="AG1534" s="421"/>
      <c r="AH1534" s="421"/>
      <c r="AI1534" s="421"/>
      <c r="AJ1534" s="421"/>
      <c r="AK1534" s="421"/>
      <c r="AL1534" s="421"/>
    </row>
    <row r="1535" spans="1:38">
      <c r="A1535" s="3">
        <v>6182</v>
      </c>
      <c r="B1535" s="83">
        <v>14</v>
      </c>
      <c r="C1535" s="3">
        <v>41200158</v>
      </c>
      <c r="D1535" s="6" t="s">
        <v>3290</v>
      </c>
      <c r="E1535" s="3" t="s">
        <v>1405</v>
      </c>
      <c r="F1535" s="3" t="s">
        <v>1480</v>
      </c>
      <c r="G1535" s="3" t="s">
        <v>2675</v>
      </c>
      <c r="H1535" s="197">
        <f t="shared" si="388"/>
        <v>46</v>
      </c>
      <c r="I1535" s="197">
        <v>11</v>
      </c>
      <c r="J1535" s="197">
        <v>15</v>
      </c>
      <c r="K1535" s="186">
        <f t="shared" si="389"/>
        <v>45976</v>
      </c>
      <c r="L1535" s="186" t="s">
        <v>2395</v>
      </c>
      <c r="M1535" s="3" t="s">
        <v>2392</v>
      </c>
      <c r="N1535" s="408" t="str">
        <f t="shared" si="380"/>
        <v/>
      </c>
      <c r="O1535" s="408"/>
      <c r="P1535" s="408"/>
      <c r="Q1535" s="408"/>
      <c r="R1535" s="408"/>
      <c r="S1535" s="408"/>
      <c r="T1535" s="408"/>
      <c r="U1535" s="408"/>
      <c r="V1535" s="421"/>
      <c r="W1535" s="421"/>
      <c r="X1535" s="421"/>
      <c r="Y1535" s="421"/>
      <c r="Z1535" s="421"/>
      <c r="AA1535" s="421"/>
      <c r="AB1535" s="421"/>
      <c r="AC1535" s="421"/>
      <c r="AD1535" s="421"/>
      <c r="AE1535" s="421"/>
      <c r="AF1535" s="421"/>
      <c r="AG1535" s="421"/>
      <c r="AH1535" s="421"/>
      <c r="AI1535" s="421"/>
      <c r="AJ1535" s="421"/>
      <c r="AK1535" s="421"/>
      <c r="AL1535" s="421"/>
    </row>
    <row r="1536" spans="1:38">
      <c r="A1536" s="408">
        <v>6172</v>
      </c>
      <c r="B1536" s="83">
        <v>26</v>
      </c>
      <c r="C1536" s="408">
        <v>41200109</v>
      </c>
      <c r="D1536" s="408" t="s">
        <v>3291</v>
      </c>
      <c r="E1536" s="408" t="s">
        <v>1585</v>
      </c>
      <c r="F1536" s="408" t="s">
        <v>1591</v>
      </c>
      <c r="G1536" s="408" t="s">
        <v>2666</v>
      </c>
      <c r="H1536" s="197">
        <f t="shared" si="388"/>
        <v>47</v>
      </c>
      <c r="I1536" s="408">
        <v>11</v>
      </c>
      <c r="J1536" s="408">
        <v>17</v>
      </c>
      <c r="K1536" s="186">
        <f t="shared" si="389"/>
        <v>45978</v>
      </c>
      <c r="L1536" s="408" t="s">
        <v>2391</v>
      </c>
      <c r="M1536" s="408" t="s">
        <v>2392</v>
      </c>
      <c r="N1536" s="408" t="str">
        <f t="shared" si="380"/>
        <v/>
      </c>
      <c r="O1536" s="408"/>
      <c r="P1536" s="408"/>
      <c r="Q1536" s="408"/>
      <c r="R1536" s="408"/>
      <c r="S1536" s="408"/>
      <c r="T1536" s="408"/>
      <c r="U1536" s="408"/>
      <c r="V1536" s="421"/>
      <c r="W1536" s="421"/>
      <c r="X1536" s="421"/>
      <c r="Y1536" s="421"/>
      <c r="Z1536" s="421"/>
      <c r="AA1536" s="421"/>
      <c r="AB1536" s="421"/>
      <c r="AC1536" s="421"/>
      <c r="AD1536" s="421"/>
      <c r="AE1536" s="421"/>
      <c r="AF1536" s="421"/>
      <c r="AG1536" s="421"/>
      <c r="AH1536" s="421"/>
      <c r="AI1536" s="421"/>
      <c r="AJ1536" s="421"/>
      <c r="AK1536" s="421"/>
      <c r="AL1536" s="421"/>
    </row>
    <row r="1537" spans="1:38">
      <c r="A1537" s="408">
        <v>6172</v>
      </c>
      <c r="B1537" s="83">
        <v>26</v>
      </c>
      <c r="C1537" s="408">
        <v>41200109</v>
      </c>
      <c r="D1537" s="408" t="s">
        <v>3292</v>
      </c>
      <c r="E1537" s="408" t="s">
        <v>1585</v>
      </c>
      <c r="F1537" s="408" t="s">
        <v>1591</v>
      </c>
      <c r="G1537" s="408" t="s">
        <v>2666</v>
      </c>
      <c r="H1537" s="197">
        <f t="shared" si="388"/>
        <v>47</v>
      </c>
      <c r="I1537" s="408">
        <v>11</v>
      </c>
      <c r="J1537" s="408">
        <v>17</v>
      </c>
      <c r="K1537" s="186">
        <f t="shared" si="389"/>
        <v>45978</v>
      </c>
      <c r="L1537" s="408" t="s">
        <v>2391</v>
      </c>
      <c r="M1537" s="408" t="s">
        <v>2392</v>
      </c>
      <c r="N1537" s="408" t="str">
        <f t="shared" si="380"/>
        <v/>
      </c>
      <c r="O1537" s="408"/>
      <c r="P1537" s="408"/>
      <c r="Q1537" s="408"/>
      <c r="R1537" s="408"/>
      <c r="S1537" s="408"/>
      <c r="T1537" s="408"/>
      <c r="U1537" s="408"/>
      <c r="V1537" s="421"/>
      <c r="W1537" s="421"/>
      <c r="X1537" s="421"/>
      <c r="Y1537" s="421"/>
      <c r="Z1537" s="421"/>
      <c r="AA1537" s="421"/>
      <c r="AB1537" s="421"/>
      <c r="AC1537" s="421"/>
      <c r="AD1537" s="421"/>
      <c r="AE1537" s="421"/>
      <c r="AF1537" s="421"/>
      <c r="AG1537" s="421"/>
      <c r="AH1537" s="421"/>
      <c r="AI1537" s="421"/>
      <c r="AJ1537" s="421"/>
      <c r="AK1537" s="421"/>
      <c r="AL1537" s="421"/>
    </row>
    <row r="1538" spans="1:38">
      <c r="A1538" s="408">
        <v>6105</v>
      </c>
      <c r="B1538" s="83">
        <v>16</v>
      </c>
      <c r="C1538" s="408">
        <v>41200121</v>
      </c>
      <c r="D1538" s="408" t="s">
        <v>3293</v>
      </c>
      <c r="E1538" s="408" t="s">
        <v>1403</v>
      </c>
      <c r="F1538" s="408" t="s">
        <v>1479</v>
      </c>
      <c r="G1538" s="408" t="s">
        <v>2666</v>
      </c>
      <c r="H1538" s="197">
        <f t="shared" si="388"/>
        <v>47</v>
      </c>
      <c r="I1538" s="408">
        <v>11</v>
      </c>
      <c r="J1538" s="408">
        <v>17</v>
      </c>
      <c r="K1538" s="186">
        <f t="shared" si="389"/>
        <v>45978</v>
      </c>
      <c r="L1538" s="408" t="s">
        <v>2391</v>
      </c>
      <c r="M1538" s="408" t="s">
        <v>2392</v>
      </c>
      <c r="N1538" s="408" t="str">
        <f t="shared" si="380"/>
        <v/>
      </c>
      <c r="O1538" s="408"/>
      <c r="P1538" s="408"/>
      <c r="Q1538" s="408"/>
      <c r="R1538" s="408"/>
      <c r="S1538" s="408"/>
      <c r="T1538" s="408"/>
      <c r="U1538" s="408"/>
      <c r="V1538" s="421"/>
      <c r="W1538" s="421"/>
      <c r="X1538" s="421"/>
      <c r="Y1538" s="421"/>
      <c r="Z1538" s="421"/>
      <c r="AA1538" s="421"/>
      <c r="AB1538" s="421"/>
      <c r="AC1538" s="421"/>
      <c r="AD1538" s="421"/>
      <c r="AE1538" s="421"/>
      <c r="AF1538" s="421"/>
      <c r="AG1538" s="421"/>
      <c r="AH1538" s="421"/>
      <c r="AI1538" s="421"/>
      <c r="AJ1538" s="421"/>
      <c r="AK1538" s="421"/>
      <c r="AL1538" s="421"/>
    </row>
    <row r="1539" spans="1:38">
      <c r="A1539" s="408">
        <v>6098</v>
      </c>
      <c r="B1539" s="83">
        <v>37</v>
      </c>
      <c r="C1539" s="408">
        <v>41200101</v>
      </c>
      <c r="D1539" s="408" t="s">
        <v>3294</v>
      </c>
      <c r="E1539" s="408" t="s">
        <v>1585</v>
      </c>
      <c r="F1539" s="408" t="s">
        <v>1476</v>
      </c>
      <c r="G1539" s="408" t="s">
        <v>2675</v>
      </c>
      <c r="H1539" s="197">
        <f t="shared" si="388"/>
        <v>47</v>
      </c>
      <c r="I1539" s="408">
        <v>11</v>
      </c>
      <c r="J1539" s="408">
        <v>17</v>
      </c>
      <c r="K1539" s="186">
        <f t="shared" si="389"/>
        <v>45978</v>
      </c>
      <c r="L1539" s="408" t="s">
        <v>2395</v>
      </c>
      <c r="M1539" s="408" t="s">
        <v>1468</v>
      </c>
      <c r="N1539" s="408" t="str">
        <f t="shared" si="380"/>
        <v/>
      </c>
      <c r="O1539" s="408"/>
      <c r="P1539" s="408"/>
      <c r="Q1539" s="408"/>
      <c r="R1539" s="408"/>
      <c r="S1539" s="408"/>
      <c r="T1539" s="408"/>
      <c r="U1539" s="408"/>
      <c r="V1539" s="421"/>
      <c r="W1539" s="421"/>
      <c r="X1539" s="421"/>
      <c r="Y1539" s="421"/>
      <c r="Z1539" s="421"/>
      <c r="AA1539" s="421"/>
      <c r="AB1539" s="421"/>
      <c r="AC1539" s="421"/>
      <c r="AD1539" s="421"/>
      <c r="AE1539" s="421"/>
      <c r="AF1539" s="421"/>
      <c r="AG1539" s="421"/>
      <c r="AH1539" s="421"/>
      <c r="AI1539" s="421"/>
      <c r="AJ1539" s="421"/>
      <c r="AK1539" s="421"/>
      <c r="AL1539" s="421"/>
    </row>
    <row r="1540" spans="1:38">
      <c r="A1540" s="408">
        <v>6098</v>
      </c>
      <c r="B1540" s="83">
        <v>37</v>
      </c>
      <c r="C1540" s="408">
        <v>41200101</v>
      </c>
      <c r="D1540" s="408" t="s">
        <v>3295</v>
      </c>
      <c r="E1540" s="408" t="s">
        <v>1585</v>
      </c>
      <c r="F1540" s="408" t="s">
        <v>1476</v>
      </c>
      <c r="G1540" s="408" t="s">
        <v>2675</v>
      </c>
      <c r="H1540" s="197">
        <f t="shared" si="388"/>
        <v>47</v>
      </c>
      <c r="I1540" s="408">
        <v>11</v>
      </c>
      <c r="J1540" s="408">
        <v>17</v>
      </c>
      <c r="K1540" s="186">
        <f t="shared" si="389"/>
        <v>45978</v>
      </c>
      <c r="L1540" s="408" t="s">
        <v>2395</v>
      </c>
      <c r="M1540" s="408" t="s">
        <v>1468</v>
      </c>
      <c r="N1540" s="408" t="str">
        <f t="shared" si="380"/>
        <v/>
      </c>
      <c r="O1540" s="408"/>
      <c r="P1540" s="408"/>
      <c r="Q1540" s="408"/>
      <c r="R1540" s="408"/>
      <c r="S1540" s="408"/>
      <c r="T1540" s="408"/>
      <c r="U1540" s="408"/>
      <c r="V1540" s="421"/>
      <c r="W1540" s="421"/>
      <c r="X1540" s="421"/>
      <c r="Y1540" s="421"/>
      <c r="Z1540" s="421"/>
      <c r="AA1540" s="421"/>
      <c r="AB1540" s="421"/>
      <c r="AC1540" s="421"/>
      <c r="AD1540" s="421"/>
      <c r="AE1540" s="421"/>
      <c r="AF1540" s="421"/>
      <c r="AG1540" s="421"/>
      <c r="AH1540" s="421"/>
      <c r="AI1540" s="421"/>
      <c r="AJ1540" s="421"/>
      <c r="AK1540" s="421"/>
      <c r="AL1540" s="421"/>
    </row>
    <row r="1541" spans="1:38">
      <c r="A1541" s="408">
        <v>6128</v>
      </c>
      <c r="B1541" s="83">
        <v>18</v>
      </c>
      <c r="C1541" s="408">
        <v>41100264</v>
      </c>
      <c r="D1541" s="408" t="s">
        <v>3296</v>
      </c>
      <c r="E1541" s="408" t="s">
        <v>1585</v>
      </c>
      <c r="F1541" s="408" t="s">
        <v>1591</v>
      </c>
      <c r="G1541" s="408" t="s">
        <v>2666</v>
      </c>
      <c r="H1541" s="197">
        <f t="shared" si="388"/>
        <v>47</v>
      </c>
      <c r="I1541" s="408">
        <v>11</v>
      </c>
      <c r="J1541" s="408">
        <v>17</v>
      </c>
      <c r="K1541" s="186">
        <f t="shared" si="389"/>
        <v>45978</v>
      </c>
      <c r="L1541" s="408" t="s">
        <v>2391</v>
      </c>
      <c r="M1541" s="408" t="s">
        <v>1468</v>
      </c>
      <c r="N1541" s="408" t="str">
        <f t="shared" si="380"/>
        <v/>
      </c>
      <c r="O1541" s="408"/>
      <c r="P1541" s="408"/>
      <c r="Q1541" s="408"/>
      <c r="R1541" s="408"/>
      <c r="S1541" s="408"/>
      <c r="T1541" s="408"/>
      <c r="U1541" s="408"/>
      <c r="V1541" s="421"/>
      <c r="W1541" s="421"/>
      <c r="X1541" s="421"/>
      <c r="Y1541" s="421"/>
      <c r="Z1541" s="421"/>
      <c r="AA1541" s="421"/>
      <c r="AB1541" s="421"/>
      <c r="AC1541" s="421"/>
      <c r="AD1541" s="421"/>
      <c r="AE1541" s="421"/>
      <c r="AF1541" s="421"/>
      <c r="AG1541" s="421"/>
      <c r="AH1541" s="421"/>
      <c r="AI1541" s="421"/>
      <c r="AJ1541" s="421"/>
      <c r="AK1541" s="421"/>
      <c r="AL1541" s="421"/>
    </row>
    <row r="1542" spans="1:38">
      <c r="A1542" s="408">
        <v>6128</v>
      </c>
      <c r="B1542" s="83">
        <v>18</v>
      </c>
      <c r="C1542" s="408">
        <v>41100264</v>
      </c>
      <c r="D1542" s="408" t="s">
        <v>3297</v>
      </c>
      <c r="E1542" s="408" t="s">
        <v>1585</v>
      </c>
      <c r="F1542" s="408" t="s">
        <v>1591</v>
      </c>
      <c r="G1542" s="408" t="s">
        <v>2666</v>
      </c>
      <c r="H1542" s="197">
        <f t="shared" si="388"/>
        <v>47</v>
      </c>
      <c r="I1542" s="408">
        <v>11</v>
      </c>
      <c r="J1542" s="408">
        <v>17</v>
      </c>
      <c r="K1542" s="186">
        <f t="shared" si="389"/>
        <v>45978</v>
      </c>
      <c r="L1542" s="408" t="s">
        <v>2391</v>
      </c>
      <c r="M1542" s="408" t="s">
        <v>1468</v>
      </c>
      <c r="N1542" s="408" t="str">
        <f t="shared" si="380"/>
        <v/>
      </c>
      <c r="O1542" s="408"/>
      <c r="P1542" s="408"/>
      <c r="Q1542" s="408"/>
      <c r="R1542" s="408"/>
      <c r="S1542" s="408"/>
      <c r="T1542" s="408"/>
      <c r="U1542" s="408"/>
      <c r="V1542" s="421"/>
      <c r="W1542" s="421"/>
      <c r="X1542" s="421"/>
      <c r="Y1542" s="421"/>
      <c r="Z1542" s="421"/>
      <c r="AA1542" s="421"/>
      <c r="AB1542" s="421"/>
      <c r="AC1542" s="421"/>
      <c r="AD1542" s="421"/>
      <c r="AE1542" s="421"/>
      <c r="AF1542" s="421"/>
      <c r="AG1542" s="421"/>
      <c r="AH1542" s="421"/>
      <c r="AI1542" s="421"/>
      <c r="AJ1542" s="421"/>
      <c r="AK1542" s="421"/>
      <c r="AL1542" s="421"/>
    </row>
    <row r="1543" spans="1:38">
      <c r="A1543" s="408">
        <v>6082</v>
      </c>
      <c r="B1543" s="83">
        <v>94</v>
      </c>
      <c r="C1543" s="408">
        <v>41200006</v>
      </c>
      <c r="D1543" s="408" t="s">
        <v>3298</v>
      </c>
      <c r="E1543" s="408" t="s">
        <v>1405</v>
      </c>
      <c r="F1543" s="408" t="s">
        <v>1477</v>
      </c>
      <c r="G1543" s="408" t="s">
        <v>2666</v>
      </c>
      <c r="H1543" s="197">
        <f t="shared" si="388"/>
        <v>47</v>
      </c>
      <c r="I1543" s="408">
        <v>11</v>
      </c>
      <c r="J1543" s="408">
        <v>17</v>
      </c>
      <c r="K1543" s="186">
        <f t="shared" si="389"/>
        <v>45978</v>
      </c>
      <c r="L1543" s="408" t="s">
        <v>2395</v>
      </c>
      <c r="M1543" s="408" t="s">
        <v>1469</v>
      </c>
      <c r="N1543" s="408" t="str">
        <f t="shared" si="380"/>
        <v/>
      </c>
      <c r="O1543" s="408"/>
      <c r="P1543" s="408"/>
      <c r="Q1543" s="408"/>
      <c r="R1543" s="408"/>
      <c r="S1543" s="408"/>
      <c r="T1543" s="408"/>
      <c r="U1543" s="408"/>
      <c r="V1543" s="421"/>
      <c r="W1543" s="421"/>
      <c r="X1543" s="421"/>
      <c r="Y1543" s="421"/>
      <c r="Z1543" s="421"/>
      <c r="AA1543" s="421"/>
      <c r="AB1543" s="421"/>
      <c r="AC1543" s="421"/>
      <c r="AD1543" s="421"/>
      <c r="AE1543" s="421"/>
      <c r="AF1543" s="421"/>
      <c r="AG1543" s="421"/>
      <c r="AH1543" s="421"/>
      <c r="AI1543" s="421"/>
      <c r="AJ1543" s="421"/>
      <c r="AK1543" s="421"/>
      <c r="AL1543" s="421"/>
    </row>
    <row r="1544" spans="1:38">
      <c r="A1544" s="408">
        <v>6082</v>
      </c>
      <c r="B1544" s="83">
        <v>94</v>
      </c>
      <c r="C1544" s="408">
        <v>41200006</v>
      </c>
      <c r="D1544" s="408" t="s">
        <v>3299</v>
      </c>
      <c r="E1544" s="408" t="s">
        <v>1405</v>
      </c>
      <c r="F1544" s="408" t="s">
        <v>1477</v>
      </c>
      <c r="G1544" s="408" t="s">
        <v>2666</v>
      </c>
      <c r="H1544" s="197">
        <f t="shared" si="388"/>
        <v>47</v>
      </c>
      <c r="I1544" s="408">
        <v>11</v>
      </c>
      <c r="J1544" s="408">
        <v>17</v>
      </c>
      <c r="K1544" s="186">
        <f t="shared" si="389"/>
        <v>45978</v>
      </c>
      <c r="L1544" s="408" t="s">
        <v>2395</v>
      </c>
      <c r="M1544" s="408" t="s">
        <v>1469</v>
      </c>
      <c r="N1544" s="408" t="str">
        <f t="shared" si="380"/>
        <v/>
      </c>
      <c r="O1544" s="408"/>
      <c r="P1544" s="408"/>
      <c r="Q1544" s="408"/>
      <c r="R1544" s="408"/>
      <c r="S1544" s="408"/>
      <c r="T1544" s="408"/>
      <c r="U1544" s="408"/>
      <c r="V1544" s="421"/>
      <c r="W1544" s="421"/>
      <c r="X1544" s="421"/>
      <c r="Y1544" s="421"/>
      <c r="Z1544" s="421"/>
      <c r="AA1544" s="421"/>
      <c r="AB1544" s="421"/>
      <c r="AC1544" s="421"/>
      <c r="AD1544" s="421"/>
      <c r="AE1544" s="421"/>
      <c r="AF1544" s="421"/>
      <c r="AG1544" s="421"/>
      <c r="AH1544" s="421"/>
      <c r="AI1544" s="421"/>
      <c r="AJ1544" s="421"/>
      <c r="AK1544" s="421"/>
      <c r="AL1544" s="421"/>
    </row>
    <row r="1545" spans="1:38">
      <c r="A1545" s="408">
        <v>6185</v>
      </c>
      <c r="B1545" s="83">
        <v>8</v>
      </c>
      <c r="C1545" s="408">
        <v>41200152</v>
      </c>
      <c r="D1545" s="408" t="s">
        <v>3300</v>
      </c>
      <c r="E1545" s="408" t="s">
        <v>1585</v>
      </c>
      <c r="F1545" s="408" t="s">
        <v>1476</v>
      </c>
      <c r="G1545" s="408" t="s">
        <v>2675</v>
      </c>
      <c r="H1545" s="197">
        <f t="shared" si="388"/>
        <v>47</v>
      </c>
      <c r="I1545" s="408">
        <v>11</v>
      </c>
      <c r="J1545" s="408">
        <v>17</v>
      </c>
      <c r="K1545" s="186">
        <f t="shared" si="389"/>
        <v>45978</v>
      </c>
      <c r="L1545" s="408" t="s">
        <v>2395</v>
      </c>
      <c r="M1545" s="408" t="s">
        <v>1469</v>
      </c>
      <c r="N1545" s="408" t="str">
        <f t="shared" si="380"/>
        <v/>
      </c>
      <c r="O1545" s="408"/>
      <c r="P1545" s="408"/>
      <c r="Q1545" s="408"/>
      <c r="R1545" s="408"/>
      <c r="S1545" s="408"/>
      <c r="T1545" s="408"/>
      <c r="U1545" s="408"/>
      <c r="V1545" s="421"/>
      <c r="W1545" s="421"/>
      <c r="X1545" s="421"/>
      <c r="Y1545" s="421"/>
      <c r="Z1545" s="421"/>
      <c r="AA1545" s="421"/>
      <c r="AB1545" s="421"/>
      <c r="AC1545" s="421"/>
      <c r="AD1545" s="421"/>
      <c r="AE1545" s="421"/>
      <c r="AF1545" s="421"/>
      <c r="AG1545" s="421"/>
      <c r="AH1545" s="421"/>
      <c r="AI1545" s="421"/>
      <c r="AJ1545" s="421"/>
      <c r="AK1545" s="421"/>
      <c r="AL1545" s="421"/>
    </row>
    <row r="1546" spans="1:38">
      <c r="A1546" s="3">
        <v>6134</v>
      </c>
      <c r="B1546" s="83">
        <v>11</v>
      </c>
      <c r="C1546" s="3">
        <v>41100374</v>
      </c>
      <c r="D1546" s="6" t="s">
        <v>3301</v>
      </c>
      <c r="E1546" s="3" t="s">
        <v>1585</v>
      </c>
      <c r="F1546" s="3" t="s">
        <v>1476</v>
      </c>
      <c r="G1546" s="68" t="s">
        <v>2675</v>
      </c>
      <c r="H1546" s="197">
        <f t="shared" si="388"/>
        <v>47</v>
      </c>
      <c r="I1546" s="197">
        <v>11</v>
      </c>
      <c r="J1546" s="408">
        <v>18</v>
      </c>
      <c r="K1546" s="186">
        <f t="shared" si="389"/>
        <v>45979</v>
      </c>
      <c r="L1546" s="3" t="s">
        <v>2391</v>
      </c>
      <c r="M1546" s="3" t="s">
        <v>2392</v>
      </c>
      <c r="N1546" s="408" t="str">
        <f t="shared" si="380"/>
        <v/>
      </c>
      <c r="O1546" s="408"/>
      <c r="P1546" s="408"/>
      <c r="Q1546" s="408"/>
      <c r="R1546" s="408"/>
      <c r="S1546" s="408"/>
      <c r="T1546" s="408"/>
      <c r="U1546" s="408"/>
      <c r="V1546" s="421"/>
      <c r="W1546" s="421"/>
      <c r="X1546" s="421"/>
      <c r="Y1546" s="421"/>
      <c r="Z1546" s="421"/>
      <c r="AA1546" s="421"/>
      <c r="AB1546" s="421"/>
      <c r="AC1546" s="421"/>
      <c r="AD1546" s="421"/>
      <c r="AE1546" s="421"/>
      <c r="AF1546" s="421"/>
      <c r="AG1546" s="421"/>
      <c r="AH1546" s="421"/>
      <c r="AI1546" s="421"/>
      <c r="AJ1546" s="421"/>
      <c r="AK1546" s="421"/>
      <c r="AL1546" s="421"/>
    </row>
    <row r="1547" spans="1:38">
      <c r="A1547" s="3">
        <v>6212</v>
      </c>
      <c r="B1547" s="83">
        <v>1</v>
      </c>
      <c r="C1547" s="3">
        <v>41200132</v>
      </c>
      <c r="D1547" s="6" t="s">
        <v>3302</v>
      </c>
      <c r="E1547" s="3" t="s">
        <v>1431</v>
      </c>
      <c r="F1547" s="3" t="s">
        <v>1476</v>
      </c>
      <c r="G1547" s="68" t="s">
        <v>2675</v>
      </c>
      <c r="H1547" s="197">
        <f t="shared" si="388"/>
        <v>47</v>
      </c>
      <c r="I1547" s="197">
        <v>11</v>
      </c>
      <c r="J1547" s="408">
        <v>18</v>
      </c>
      <c r="K1547" s="186">
        <f t="shared" si="389"/>
        <v>45979</v>
      </c>
      <c r="L1547" s="3" t="s">
        <v>2395</v>
      </c>
      <c r="M1547" s="3" t="s">
        <v>2392</v>
      </c>
      <c r="N1547" s="408" t="str">
        <f t="shared" si="380"/>
        <v/>
      </c>
      <c r="O1547" s="408"/>
      <c r="P1547" s="408"/>
      <c r="Q1547" s="408"/>
      <c r="R1547" s="408"/>
      <c r="S1547" s="408"/>
      <c r="T1547" s="408"/>
      <c r="U1547" s="408"/>
      <c r="V1547" s="421"/>
      <c r="W1547" s="421"/>
      <c r="X1547" s="421"/>
      <c r="Y1547" s="421"/>
      <c r="Z1547" s="421"/>
      <c r="AA1547" s="421"/>
      <c r="AB1547" s="421"/>
      <c r="AC1547" s="421"/>
      <c r="AD1547" s="421"/>
      <c r="AE1547" s="421"/>
      <c r="AF1547" s="421"/>
      <c r="AG1547" s="421"/>
      <c r="AH1547" s="421"/>
      <c r="AI1547" s="421"/>
      <c r="AJ1547" s="421"/>
      <c r="AK1547" s="421"/>
      <c r="AL1547" s="421"/>
    </row>
    <row r="1548" spans="1:38">
      <c r="A1548" s="408">
        <v>6173</v>
      </c>
      <c r="B1548" s="83">
        <v>10</v>
      </c>
      <c r="C1548" s="408">
        <v>41100502</v>
      </c>
      <c r="D1548" s="408" t="s">
        <v>3303</v>
      </c>
      <c r="E1548" s="408" t="s">
        <v>1585</v>
      </c>
      <c r="F1548" s="408" t="s">
        <v>1591</v>
      </c>
      <c r="G1548" s="408" t="s">
        <v>2666</v>
      </c>
      <c r="H1548" s="197">
        <f t="shared" si="388"/>
        <v>47</v>
      </c>
      <c r="I1548" s="408">
        <v>11</v>
      </c>
      <c r="J1548" s="408">
        <v>18</v>
      </c>
      <c r="K1548" s="186">
        <f t="shared" si="389"/>
        <v>45979</v>
      </c>
      <c r="L1548" s="408" t="s">
        <v>2391</v>
      </c>
      <c r="M1548" s="408" t="s">
        <v>1468</v>
      </c>
      <c r="N1548" s="408" t="str">
        <f t="shared" si="380"/>
        <v/>
      </c>
      <c r="O1548" s="408"/>
      <c r="P1548" s="408"/>
      <c r="Q1548" s="408"/>
      <c r="R1548" s="408"/>
      <c r="S1548" s="408"/>
      <c r="T1548" s="408"/>
      <c r="U1548" s="408"/>
      <c r="V1548" s="421"/>
      <c r="W1548" s="421"/>
      <c r="X1548" s="421"/>
      <c r="Y1548" s="421"/>
      <c r="Z1548" s="421"/>
      <c r="AA1548" s="421"/>
      <c r="AB1548" s="421"/>
      <c r="AC1548" s="421"/>
      <c r="AD1548" s="421"/>
      <c r="AE1548" s="421"/>
      <c r="AF1548" s="421"/>
      <c r="AG1548" s="421"/>
      <c r="AH1548" s="421"/>
      <c r="AI1548" s="421"/>
      <c r="AJ1548" s="421"/>
      <c r="AK1548" s="421"/>
      <c r="AL1548" s="421"/>
    </row>
    <row r="1549" spans="1:38">
      <c r="A1549" s="408">
        <v>6173</v>
      </c>
      <c r="B1549" s="83">
        <v>10</v>
      </c>
      <c r="C1549" s="408">
        <v>41100502</v>
      </c>
      <c r="D1549" s="408" t="s">
        <v>3304</v>
      </c>
      <c r="E1549" s="408" t="s">
        <v>1585</v>
      </c>
      <c r="F1549" s="408" t="s">
        <v>1591</v>
      </c>
      <c r="G1549" s="408" t="s">
        <v>2666</v>
      </c>
      <c r="H1549" s="197">
        <f t="shared" si="388"/>
        <v>47</v>
      </c>
      <c r="I1549" s="408">
        <v>11</v>
      </c>
      <c r="J1549" s="408">
        <v>18</v>
      </c>
      <c r="K1549" s="186">
        <f t="shared" si="389"/>
        <v>45979</v>
      </c>
      <c r="L1549" s="408" t="s">
        <v>2391</v>
      </c>
      <c r="M1549" s="408" t="s">
        <v>1468</v>
      </c>
      <c r="N1549" s="408" t="str">
        <f t="shared" si="380"/>
        <v/>
      </c>
      <c r="O1549" s="408"/>
      <c r="P1549" s="408"/>
      <c r="Q1549" s="408"/>
      <c r="R1549" s="408"/>
      <c r="S1549" s="408"/>
      <c r="T1549" s="408"/>
      <c r="U1549" s="408"/>
      <c r="V1549" s="421"/>
      <c r="W1549" s="421"/>
      <c r="X1549" s="421"/>
      <c r="Y1549" s="421"/>
      <c r="Z1549" s="421"/>
      <c r="AA1549" s="421"/>
      <c r="AB1549" s="421"/>
      <c r="AC1549" s="421"/>
      <c r="AD1549" s="421"/>
      <c r="AE1549" s="421"/>
      <c r="AF1549" s="421"/>
      <c r="AG1549" s="421"/>
      <c r="AH1549" s="421"/>
      <c r="AI1549" s="421"/>
      <c r="AJ1549" s="421"/>
      <c r="AK1549" s="421"/>
      <c r="AL1549" s="421"/>
    </row>
    <row r="1550" spans="1:38">
      <c r="A1550" s="408">
        <v>5977</v>
      </c>
      <c r="B1550" s="83">
        <v>17</v>
      </c>
      <c r="C1550" s="408">
        <v>41200158</v>
      </c>
      <c r="D1550" s="408" t="s">
        <v>3305</v>
      </c>
      <c r="E1550" s="408" t="s">
        <v>1405</v>
      </c>
      <c r="F1550" s="408" t="s">
        <v>1480</v>
      </c>
      <c r="G1550" s="408" t="s">
        <v>2675</v>
      </c>
      <c r="H1550" s="197">
        <f t="shared" si="388"/>
        <v>47</v>
      </c>
      <c r="I1550" s="408">
        <v>11</v>
      </c>
      <c r="J1550" s="408">
        <v>18</v>
      </c>
      <c r="K1550" s="186">
        <f t="shared" si="389"/>
        <v>45979</v>
      </c>
      <c r="L1550" s="408" t="s">
        <v>2395</v>
      </c>
      <c r="M1550" s="408" t="s">
        <v>1469</v>
      </c>
      <c r="N1550" s="408" t="str">
        <f t="shared" si="380"/>
        <v/>
      </c>
      <c r="O1550" s="408"/>
      <c r="P1550" s="408"/>
      <c r="Q1550" s="408"/>
      <c r="R1550" s="408"/>
      <c r="S1550" s="408"/>
      <c r="T1550" s="408"/>
      <c r="U1550" s="408"/>
      <c r="V1550" s="421"/>
      <c r="W1550" s="421"/>
      <c r="X1550" s="421"/>
      <c r="Y1550" s="421"/>
      <c r="Z1550" s="421"/>
      <c r="AA1550" s="421"/>
      <c r="AB1550" s="421"/>
      <c r="AC1550" s="421"/>
      <c r="AD1550" s="421"/>
      <c r="AE1550" s="421"/>
      <c r="AF1550" s="421"/>
      <c r="AG1550" s="421"/>
      <c r="AH1550" s="421"/>
      <c r="AI1550" s="421"/>
      <c r="AJ1550" s="421"/>
      <c r="AK1550" s="421"/>
      <c r="AL1550" s="421"/>
    </row>
    <row r="1551" spans="1:38">
      <c r="A1551" s="408">
        <v>5977</v>
      </c>
      <c r="B1551" s="83">
        <v>17</v>
      </c>
      <c r="C1551" s="408">
        <v>41200158</v>
      </c>
      <c r="D1551" s="408" t="s">
        <v>3306</v>
      </c>
      <c r="E1551" s="408" t="s">
        <v>1405</v>
      </c>
      <c r="F1551" s="408" t="s">
        <v>1480</v>
      </c>
      <c r="G1551" s="408" t="s">
        <v>2675</v>
      </c>
      <c r="H1551" s="197">
        <f t="shared" si="388"/>
        <v>47</v>
      </c>
      <c r="I1551" s="408">
        <v>11</v>
      </c>
      <c r="J1551" s="408">
        <v>18</v>
      </c>
      <c r="K1551" s="186">
        <f t="shared" si="389"/>
        <v>45979</v>
      </c>
      <c r="L1551" s="408" t="s">
        <v>2395</v>
      </c>
      <c r="M1551" s="408" t="s">
        <v>1469</v>
      </c>
      <c r="N1551" s="408" t="str">
        <f t="shared" si="380"/>
        <v/>
      </c>
      <c r="O1551" s="408"/>
      <c r="P1551" s="408"/>
      <c r="Q1551" s="408"/>
      <c r="R1551" s="408"/>
      <c r="S1551" s="408"/>
      <c r="T1551" s="408"/>
      <c r="U1551" s="408"/>
      <c r="V1551" s="421"/>
      <c r="W1551" s="421"/>
      <c r="X1551" s="421"/>
      <c r="Y1551" s="421"/>
      <c r="Z1551" s="421"/>
      <c r="AA1551" s="421"/>
      <c r="AB1551" s="421"/>
      <c r="AC1551" s="421"/>
      <c r="AD1551" s="421"/>
      <c r="AE1551" s="421"/>
      <c r="AF1551" s="421"/>
      <c r="AG1551" s="421"/>
      <c r="AH1551" s="421"/>
      <c r="AI1551" s="421"/>
      <c r="AJ1551" s="421"/>
      <c r="AK1551" s="421"/>
      <c r="AL1551" s="421"/>
    </row>
    <row r="1552" spans="1:38">
      <c r="A1552" s="408">
        <v>6185</v>
      </c>
      <c r="B1552" s="83">
        <v>8</v>
      </c>
      <c r="C1552" s="408">
        <v>41200152</v>
      </c>
      <c r="D1552" s="408" t="s">
        <v>3307</v>
      </c>
      <c r="E1552" s="408" t="s">
        <v>1585</v>
      </c>
      <c r="F1552" s="408" t="s">
        <v>1476</v>
      </c>
      <c r="G1552" s="408" t="s">
        <v>2675</v>
      </c>
      <c r="H1552" s="197">
        <f t="shared" si="388"/>
        <v>47</v>
      </c>
      <c r="I1552" s="408">
        <v>11</v>
      </c>
      <c r="J1552" s="408">
        <v>18</v>
      </c>
      <c r="K1552" s="186">
        <f t="shared" si="389"/>
        <v>45979</v>
      </c>
      <c r="L1552" s="408" t="s">
        <v>2395</v>
      </c>
      <c r="M1552" s="408" t="s">
        <v>1469</v>
      </c>
      <c r="N1552" s="408" t="str">
        <f t="shared" si="380"/>
        <v/>
      </c>
      <c r="O1552" s="408"/>
      <c r="P1552" s="408"/>
      <c r="Q1552" s="408"/>
      <c r="R1552" s="408"/>
      <c r="S1552" s="408"/>
      <c r="T1552" s="408"/>
      <c r="U1552" s="408"/>
      <c r="V1552" s="421"/>
      <c r="W1552" s="421"/>
      <c r="X1552" s="421"/>
      <c r="Y1552" s="421"/>
      <c r="Z1552" s="421"/>
      <c r="AA1552" s="421"/>
      <c r="AB1552" s="421"/>
      <c r="AC1552" s="421"/>
      <c r="AD1552" s="421"/>
      <c r="AE1552" s="421"/>
      <c r="AF1552" s="421"/>
      <c r="AG1552" s="421"/>
      <c r="AH1552" s="421"/>
      <c r="AI1552" s="421"/>
      <c r="AJ1552" s="421"/>
      <c r="AK1552" s="421"/>
      <c r="AL1552" s="421"/>
    </row>
    <row r="1553" spans="1:38">
      <c r="A1553" s="408">
        <v>6030</v>
      </c>
      <c r="B1553" s="83">
        <v>9</v>
      </c>
      <c r="C1553" s="408">
        <v>41100286</v>
      </c>
      <c r="D1553" s="408" t="s">
        <v>3308</v>
      </c>
      <c r="E1553" s="408" t="s">
        <v>1424</v>
      </c>
      <c r="F1553" s="408" t="s">
        <v>1476</v>
      </c>
      <c r="G1553" s="408" t="s">
        <v>2675</v>
      </c>
      <c r="H1553" s="197">
        <f t="shared" si="388"/>
        <v>47</v>
      </c>
      <c r="I1553" s="408">
        <v>11</v>
      </c>
      <c r="J1553" s="408">
        <v>19</v>
      </c>
      <c r="K1553" s="186">
        <f t="shared" si="389"/>
        <v>45980</v>
      </c>
      <c r="L1553" s="408" t="s">
        <v>2391</v>
      </c>
      <c r="M1553" s="408" t="s">
        <v>2392</v>
      </c>
      <c r="N1553" s="408" t="str">
        <f t="shared" si="380"/>
        <v/>
      </c>
      <c r="O1553" s="408"/>
      <c r="P1553" s="408"/>
      <c r="Q1553" s="408"/>
      <c r="R1553" s="408"/>
      <c r="S1553" s="408"/>
      <c r="T1553" s="408"/>
      <c r="U1553" s="408"/>
      <c r="V1553" s="421"/>
      <c r="W1553" s="421"/>
      <c r="X1553" s="421"/>
      <c r="Y1553" s="421"/>
      <c r="Z1553" s="421"/>
      <c r="AA1553" s="421"/>
      <c r="AB1553" s="421"/>
      <c r="AC1553" s="421"/>
      <c r="AD1553" s="421"/>
      <c r="AE1553" s="421"/>
      <c r="AF1553" s="421"/>
      <c r="AG1553" s="421"/>
      <c r="AH1553" s="421"/>
      <c r="AI1553" s="421"/>
      <c r="AJ1553" s="421"/>
      <c r="AK1553" s="421"/>
      <c r="AL1553" s="421"/>
    </row>
    <row r="1554" spans="1:38">
      <c r="A1554" s="408">
        <v>6054</v>
      </c>
      <c r="B1554" s="83">
        <v>5</v>
      </c>
      <c r="C1554" s="408">
        <v>41100584</v>
      </c>
      <c r="D1554" s="408" t="s">
        <v>3309</v>
      </c>
      <c r="E1554" s="408" t="s">
        <v>1422</v>
      </c>
      <c r="F1554" s="408" t="s">
        <v>1591</v>
      </c>
      <c r="G1554" s="408" t="s">
        <v>2666</v>
      </c>
      <c r="H1554" s="197">
        <f t="shared" si="388"/>
        <v>47</v>
      </c>
      <c r="I1554" s="408">
        <v>11</v>
      </c>
      <c r="J1554" s="408">
        <v>19</v>
      </c>
      <c r="K1554" s="186">
        <f t="shared" si="389"/>
        <v>45980</v>
      </c>
      <c r="L1554" s="408" t="s">
        <v>2391</v>
      </c>
      <c r="M1554" s="408" t="s">
        <v>2392</v>
      </c>
      <c r="N1554" s="408" t="str">
        <f t="shared" si="380"/>
        <v/>
      </c>
      <c r="O1554" s="408"/>
      <c r="P1554" s="408"/>
      <c r="Q1554" s="408"/>
      <c r="R1554" s="408"/>
      <c r="S1554" s="408"/>
      <c r="T1554" s="408"/>
      <c r="U1554" s="408"/>
      <c r="V1554" s="421"/>
      <c r="W1554" s="421"/>
      <c r="X1554" s="421"/>
      <c r="Y1554" s="421"/>
      <c r="Z1554" s="421"/>
      <c r="AA1554" s="421"/>
      <c r="AB1554" s="421"/>
      <c r="AC1554" s="421"/>
      <c r="AD1554" s="421"/>
      <c r="AE1554" s="421"/>
      <c r="AF1554" s="421"/>
      <c r="AG1554" s="421"/>
      <c r="AH1554" s="421"/>
      <c r="AI1554" s="421"/>
      <c r="AJ1554" s="421"/>
      <c r="AK1554" s="421"/>
      <c r="AL1554" s="421"/>
    </row>
    <row r="1555" spans="1:38">
      <c r="A1555" s="408">
        <v>6083</v>
      </c>
      <c r="B1555" s="83">
        <v>47</v>
      </c>
      <c r="C1555" s="408">
        <v>41200005</v>
      </c>
      <c r="D1555" s="408" t="s">
        <v>3310</v>
      </c>
      <c r="E1555" s="408" t="s">
        <v>1405</v>
      </c>
      <c r="F1555" s="408" t="s">
        <v>1591</v>
      </c>
      <c r="G1555" s="408" t="s">
        <v>2666</v>
      </c>
      <c r="H1555" s="197">
        <f t="shared" si="388"/>
        <v>47</v>
      </c>
      <c r="I1555" s="408">
        <v>11</v>
      </c>
      <c r="J1555" s="408">
        <v>19</v>
      </c>
      <c r="K1555" s="186">
        <f t="shared" si="389"/>
        <v>45980</v>
      </c>
      <c r="L1555" s="408" t="s">
        <v>2391</v>
      </c>
      <c r="M1555" s="408" t="s">
        <v>1468</v>
      </c>
      <c r="N1555" s="408" t="str">
        <f t="shared" si="380"/>
        <v>NG</v>
      </c>
      <c r="O1555" s="408" t="s">
        <v>2368</v>
      </c>
      <c r="P1555" s="408" t="s">
        <v>2371</v>
      </c>
      <c r="Q1555" s="408">
        <v>11001962</v>
      </c>
      <c r="R1555" s="408" t="s">
        <v>562</v>
      </c>
      <c r="S1555" s="408" t="s">
        <v>3277</v>
      </c>
      <c r="T1555" s="408"/>
      <c r="U1555" s="408" t="s">
        <v>3311</v>
      </c>
      <c r="V1555" s="421"/>
      <c r="W1555" s="421"/>
      <c r="X1555" s="421"/>
      <c r="Y1555" s="421"/>
      <c r="Z1555" s="421"/>
      <c r="AA1555" s="421"/>
      <c r="AB1555" s="421"/>
      <c r="AC1555" s="421"/>
      <c r="AD1555" s="421"/>
      <c r="AE1555" s="421"/>
      <c r="AF1555" s="421"/>
      <c r="AG1555" s="421"/>
      <c r="AH1555" s="421"/>
      <c r="AI1555" s="421"/>
      <c r="AJ1555" s="421"/>
      <c r="AK1555" s="421"/>
      <c r="AL1555" s="421"/>
    </row>
    <row r="1556" spans="1:38">
      <c r="A1556" s="408">
        <v>6083</v>
      </c>
      <c r="B1556" s="83">
        <v>47</v>
      </c>
      <c r="C1556" s="408">
        <v>41200005</v>
      </c>
      <c r="D1556" s="408" t="s">
        <v>3310</v>
      </c>
      <c r="E1556" s="408" t="s">
        <v>1405</v>
      </c>
      <c r="F1556" s="408" t="s">
        <v>1591</v>
      </c>
      <c r="G1556" s="408" t="s">
        <v>2666</v>
      </c>
      <c r="H1556" s="197">
        <f t="shared" si="388"/>
        <v>47</v>
      </c>
      <c r="I1556" s="408">
        <v>11</v>
      </c>
      <c r="J1556" s="408">
        <v>19</v>
      </c>
      <c r="K1556" s="186">
        <f t="shared" ref="K1556" si="394">DATE(2025, I1556, J1556)</f>
        <v>45980</v>
      </c>
      <c r="L1556" s="408" t="s">
        <v>2391</v>
      </c>
      <c r="M1556" s="408" t="s">
        <v>1468</v>
      </c>
      <c r="N1556" s="408" t="str">
        <f t="shared" si="380"/>
        <v>NG</v>
      </c>
      <c r="O1556" s="408" t="s">
        <v>2368</v>
      </c>
      <c r="P1556" s="408" t="s">
        <v>2371</v>
      </c>
      <c r="Q1556" s="408">
        <v>11001962</v>
      </c>
      <c r="R1556" s="408" t="s">
        <v>562</v>
      </c>
      <c r="S1556" s="408" t="s">
        <v>3273</v>
      </c>
      <c r="T1556" s="408"/>
      <c r="U1556" s="408" t="s">
        <v>3311</v>
      </c>
      <c r="V1556" s="421"/>
      <c r="W1556" s="421"/>
      <c r="X1556" s="421"/>
      <c r="Y1556" s="421"/>
      <c r="Z1556" s="421"/>
      <c r="AA1556" s="421"/>
      <c r="AB1556" s="421"/>
      <c r="AC1556" s="421"/>
      <c r="AD1556" s="421"/>
      <c r="AE1556" s="421"/>
      <c r="AF1556" s="421"/>
      <c r="AG1556" s="421"/>
      <c r="AH1556" s="421"/>
      <c r="AI1556" s="421"/>
      <c r="AJ1556" s="421"/>
      <c r="AK1556" s="421"/>
      <c r="AL1556" s="421"/>
    </row>
    <row r="1557" spans="1:38">
      <c r="A1557" s="408">
        <v>6083</v>
      </c>
      <c r="B1557" s="83">
        <v>47</v>
      </c>
      <c r="C1557" s="408">
        <v>41200005</v>
      </c>
      <c r="D1557" s="408" t="s">
        <v>3312</v>
      </c>
      <c r="E1557" s="408" t="s">
        <v>1405</v>
      </c>
      <c r="F1557" s="408" t="s">
        <v>1591</v>
      </c>
      <c r="G1557" s="408" t="s">
        <v>2666</v>
      </c>
      <c r="H1557" s="197">
        <f t="shared" si="388"/>
        <v>47</v>
      </c>
      <c r="I1557" s="408">
        <v>11</v>
      </c>
      <c r="J1557" s="408">
        <v>19</v>
      </c>
      <c r="K1557" s="186">
        <f t="shared" si="389"/>
        <v>45980</v>
      </c>
      <c r="L1557" s="408" t="s">
        <v>2391</v>
      </c>
      <c r="M1557" s="408" t="s">
        <v>1468</v>
      </c>
      <c r="N1557" s="408" t="str">
        <f t="shared" si="380"/>
        <v/>
      </c>
      <c r="O1557" s="408"/>
      <c r="P1557" s="408"/>
      <c r="Q1557" s="408"/>
      <c r="R1557" s="408"/>
      <c r="S1557" s="408"/>
      <c r="T1557" s="408"/>
      <c r="U1557" s="408"/>
      <c r="V1557" s="421"/>
      <c r="W1557" s="421"/>
      <c r="X1557" s="421"/>
      <c r="Y1557" s="421"/>
      <c r="Z1557" s="421"/>
      <c r="AA1557" s="421"/>
      <c r="AB1557" s="421"/>
      <c r="AC1557" s="421"/>
      <c r="AD1557" s="421"/>
      <c r="AE1557" s="421"/>
      <c r="AF1557" s="421"/>
      <c r="AG1557" s="421"/>
      <c r="AH1557" s="421"/>
      <c r="AI1557" s="421"/>
      <c r="AJ1557" s="421"/>
      <c r="AK1557" s="421"/>
      <c r="AL1557" s="421"/>
    </row>
    <row r="1558" spans="1:38">
      <c r="A1558" s="408">
        <v>6055</v>
      </c>
      <c r="B1558" s="83">
        <v>7</v>
      </c>
      <c r="C1558" s="408">
        <v>41200088</v>
      </c>
      <c r="D1558" s="408" t="s">
        <v>3313</v>
      </c>
      <c r="E1558" s="408" t="s">
        <v>1422</v>
      </c>
      <c r="F1558" s="408" t="s">
        <v>1476</v>
      </c>
      <c r="G1558" s="408" t="s">
        <v>2675</v>
      </c>
      <c r="H1558" s="197">
        <f t="shared" si="388"/>
        <v>47</v>
      </c>
      <c r="I1558" s="408">
        <v>11</v>
      </c>
      <c r="J1558" s="408">
        <v>19</v>
      </c>
      <c r="K1558" s="186">
        <f t="shared" si="389"/>
        <v>45980</v>
      </c>
      <c r="L1558" s="408" t="s">
        <v>2395</v>
      </c>
      <c r="M1558" s="408" t="s">
        <v>1469</v>
      </c>
      <c r="N1558" s="408" t="str">
        <f t="shared" si="380"/>
        <v/>
      </c>
      <c r="O1558" s="408"/>
      <c r="P1558" s="408"/>
      <c r="Q1558" s="408"/>
      <c r="R1558" s="408"/>
      <c r="S1558" s="408"/>
      <c r="T1558" s="408"/>
      <c r="U1558" s="408"/>
      <c r="V1558" s="421"/>
      <c r="W1558" s="421"/>
      <c r="X1558" s="421"/>
      <c r="Y1558" s="421"/>
      <c r="Z1558" s="421"/>
      <c r="AA1558" s="421"/>
      <c r="AB1558" s="421"/>
      <c r="AC1558" s="421"/>
      <c r="AD1558" s="421"/>
      <c r="AE1558" s="421"/>
      <c r="AF1558" s="421"/>
      <c r="AG1558" s="421"/>
      <c r="AH1558" s="421"/>
      <c r="AI1558" s="421"/>
      <c r="AJ1558" s="421"/>
      <c r="AK1558" s="421"/>
      <c r="AL1558" s="421"/>
    </row>
    <row r="1559" spans="1:38">
      <c r="A1559" s="408">
        <v>5977</v>
      </c>
      <c r="B1559" s="83">
        <v>17</v>
      </c>
      <c r="C1559" s="408">
        <v>41200158</v>
      </c>
      <c r="D1559" s="408" t="s">
        <v>3314</v>
      </c>
      <c r="E1559" s="408" t="s">
        <v>1405</v>
      </c>
      <c r="F1559" s="408" t="s">
        <v>1480</v>
      </c>
      <c r="G1559" s="408" t="s">
        <v>2675</v>
      </c>
      <c r="H1559" s="197">
        <f t="shared" si="388"/>
        <v>47</v>
      </c>
      <c r="I1559" s="408">
        <v>11</v>
      </c>
      <c r="J1559" s="408">
        <v>19</v>
      </c>
      <c r="K1559" s="186">
        <f>DATE(2025, I1559, J1559)</f>
        <v>45980</v>
      </c>
      <c r="L1559" s="408" t="s">
        <v>2395</v>
      </c>
      <c r="M1559" s="408" t="s">
        <v>1469</v>
      </c>
      <c r="N1559" s="408" t="str">
        <f t="shared" si="380"/>
        <v/>
      </c>
      <c r="O1559" s="408"/>
      <c r="P1559" s="408"/>
      <c r="Q1559" s="408"/>
      <c r="R1559" s="408"/>
      <c r="S1559" s="408"/>
      <c r="T1559" s="408"/>
      <c r="U1559" s="408"/>
      <c r="V1559" s="421"/>
      <c r="W1559" s="421"/>
      <c r="X1559" s="421"/>
      <c r="Y1559" s="421"/>
      <c r="Z1559" s="421"/>
      <c r="AA1559" s="421"/>
      <c r="AB1559" s="421"/>
      <c r="AC1559" s="421"/>
      <c r="AD1559" s="421"/>
      <c r="AE1559" s="421"/>
      <c r="AF1559" s="421"/>
      <c r="AG1559" s="421"/>
      <c r="AH1559" s="421"/>
      <c r="AI1559" s="421"/>
      <c r="AJ1559" s="421"/>
      <c r="AK1559" s="421"/>
      <c r="AL1559" s="421"/>
    </row>
    <row r="1560" spans="1:38">
      <c r="A1560" s="408">
        <v>6118</v>
      </c>
      <c r="B1560" s="83">
        <v>26</v>
      </c>
      <c r="C1560" s="408">
        <v>41200122</v>
      </c>
      <c r="D1560" s="408" t="s">
        <v>3315</v>
      </c>
      <c r="E1560" s="408" t="s">
        <v>1585</v>
      </c>
      <c r="F1560" s="408" t="s">
        <v>1476</v>
      </c>
      <c r="G1560" s="408" t="s">
        <v>2675</v>
      </c>
      <c r="H1560" s="197">
        <f t="shared" si="388"/>
        <v>47</v>
      </c>
      <c r="I1560" s="408">
        <v>11</v>
      </c>
      <c r="J1560" s="408">
        <v>19</v>
      </c>
      <c r="K1560" s="186">
        <f>DATE(2025, I1560, J1560)</f>
        <v>45980</v>
      </c>
      <c r="L1560" s="408" t="s">
        <v>2555</v>
      </c>
      <c r="M1560" s="408" t="s">
        <v>2555</v>
      </c>
      <c r="N1560" s="408" t="str">
        <f t="shared" si="380"/>
        <v/>
      </c>
      <c r="O1560" s="408"/>
      <c r="P1560" s="408"/>
      <c r="Q1560" s="408"/>
      <c r="R1560" s="408"/>
      <c r="S1560" s="408"/>
      <c r="T1560" s="408"/>
      <c r="U1560" s="408"/>
      <c r="V1560" s="421"/>
      <c r="W1560" s="421"/>
      <c r="X1560" s="421"/>
      <c r="Y1560" s="421"/>
      <c r="Z1560" s="421"/>
      <c r="AA1560" s="421"/>
      <c r="AB1560" s="421"/>
      <c r="AC1560" s="421"/>
      <c r="AD1560" s="421"/>
      <c r="AE1560" s="421"/>
      <c r="AF1560" s="421"/>
      <c r="AG1560" s="421"/>
      <c r="AH1560" s="421"/>
      <c r="AI1560" s="421"/>
      <c r="AJ1560" s="421"/>
      <c r="AK1560" s="421"/>
      <c r="AL1560" s="421"/>
    </row>
    <row r="1561" spans="1:38">
      <c r="A1561" s="408">
        <v>6131</v>
      </c>
      <c r="B1561" s="83">
        <f t="array" ref="B1561">SUM(--(FREQUENCY(IF(C$2:C$3072=C1561, MATCH(D$2:D$3072, D$2:D$3072, 0)), ROW(D$2:D$3072)-ROW(D$2)+1) &gt; 0))</f>
        <v>15</v>
      </c>
      <c r="C1561" s="408">
        <v>41200124</v>
      </c>
      <c r="D1561" s="408" t="s">
        <v>3316</v>
      </c>
      <c r="E1561" s="408" t="s">
        <v>1585</v>
      </c>
      <c r="F1561" s="408" t="s">
        <v>1476</v>
      </c>
      <c r="G1561" s="408" t="s">
        <v>2675</v>
      </c>
      <c r="H1561" s="197">
        <f t="shared" si="388"/>
        <v>47</v>
      </c>
      <c r="I1561" s="408">
        <v>11</v>
      </c>
      <c r="J1561" s="408">
        <v>20</v>
      </c>
      <c r="K1561" s="420">
        <f>DATE(2025, I1561, J1561)</f>
        <v>45981</v>
      </c>
      <c r="L1561" s="408" t="s">
        <v>2555</v>
      </c>
      <c r="M1561" s="408" t="s">
        <v>2555</v>
      </c>
      <c r="N1561" s="408" t="str">
        <f t="shared" si="380"/>
        <v/>
      </c>
      <c r="O1561" s="408"/>
      <c r="P1561" s="408"/>
      <c r="Q1561" s="408"/>
      <c r="R1561" s="408"/>
      <c r="S1561" s="408"/>
      <c r="T1561" s="408"/>
      <c r="U1561" s="408"/>
      <c r="V1561" s="421"/>
      <c r="W1561" s="421"/>
      <c r="X1561" s="421"/>
      <c r="Y1561" s="421"/>
      <c r="Z1561" s="421"/>
      <c r="AA1561" s="421"/>
      <c r="AB1561" s="421"/>
      <c r="AC1561" s="421"/>
      <c r="AD1561" s="421"/>
      <c r="AE1561" s="421"/>
      <c r="AF1561" s="421"/>
      <c r="AG1561" s="421"/>
      <c r="AH1561" s="421"/>
      <c r="AI1561" s="421"/>
      <c r="AJ1561" s="421"/>
      <c r="AK1561" s="421"/>
      <c r="AL1561" s="421"/>
    </row>
    <row r="1562" spans="1:38">
      <c r="A1562" s="408">
        <v>6226</v>
      </c>
      <c r="B1562" s="83">
        <f t="array" ref="B1562">SUM(--(FREQUENCY(IF(C$2:C$3072=C1562, MATCH(D$2:D$3072, D$2:D$3072, 0)), ROW(D$2:D$3072)-ROW(D$2)+1) &gt; 0))</f>
        <v>7</v>
      </c>
      <c r="C1562" s="408">
        <v>41200153</v>
      </c>
      <c r="D1562" s="408" t="s">
        <v>3317</v>
      </c>
      <c r="E1562" s="408" t="s">
        <v>1422</v>
      </c>
      <c r="F1562" s="408" t="s">
        <v>1476</v>
      </c>
      <c r="G1562" s="408" t="s">
        <v>2675</v>
      </c>
      <c r="H1562" s="197">
        <f t="shared" si="388"/>
        <v>47</v>
      </c>
      <c r="I1562" s="408">
        <v>11</v>
      </c>
      <c r="J1562" s="408">
        <v>20</v>
      </c>
      <c r="K1562" s="420">
        <f>DATE(2025, I1562, J1562)</f>
        <v>45981</v>
      </c>
      <c r="L1562" s="408" t="s">
        <v>2391</v>
      </c>
      <c r="M1562" s="408" t="s">
        <v>1468</v>
      </c>
      <c r="N1562" s="408" t="str">
        <f t="shared" si="380"/>
        <v/>
      </c>
      <c r="O1562" s="408"/>
      <c r="P1562" s="408"/>
      <c r="Q1562" s="408"/>
      <c r="R1562" s="408"/>
      <c r="S1562" s="408"/>
      <c r="T1562" s="408"/>
      <c r="U1562" s="408"/>
      <c r="V1562" s="421"/>
      <c r="W1562" s="421"/>
      <c r="X1562" s="421"/>
      <c r="Y1562" s="421"/>
      <c r="Z1562" s="421"/>
      <c r="AA1562" s="421"/>
      <c r="AB1562" s="421"/>
      <c r="AC1562" s="421"/>
      <c r="AD1562" s="421"/>
      <c r="AE1562" s="421"/>
      <c r="AF1562" s="421"/>
      <c r="AG1562" s="421"/>
      <c r="AH1562" s="421"/>
      <c r="AI1562" s="421"/>
      <c r="AJ1562" s="421"/>
      <c r="AK1562" s="421"/>
      <c r="AL1562" s="421"/>
    </row>
    <row r="1563" spans="1:38">
      <c r="A1563" s="408">
        <v>6171</v>
      </c>
      <c r="B1563" s="83">
        <f t="array" ref="B1563">SUM(--(FREQUENCY(IF(C$2:C$3072=C1563, MATCH(D$2:D$3072, D$2:D$3072, 0)), ROW(D$2:D$3072)-ROW(D$2)+1) &gt; 0))</f>
        <v>20</v>
      </c>
      <c r="C1563" s="408">
        <v>41100435</v>
      </c>
      <c r="D1563" s="408" t="s">
        <v>3318</v>
      </c>
      <c r="E1563" s="408" t="s">
        <v>1585</v>
      </c>
      <c r="F1563" s="408" t="s">
        <v>1482</v>
      </c>
      <c r="G1563" s="408" t="s">
        <v>2666</v>
      </c>
      <c r="H1563" s="197">
        <f t="shared" si="388"/>
        <v>47</v>
      </c>
      <c r="I1563" s="408">
        <v>11</v>
      </c>
      <c r="J1563" s="408">
        <v>20</v>
      </c>
      <c r="K1563" s="420">
        <f>DATE(2025, I1563, J1563)</f>
        <v>45981</v>
      </c>
      <c r="L1563" s="408" t="s">
        <v>2391</v>
      </c>
      <c r="M1563" s="408" t="s">
        <v>1468</v>
      </c>
      <c r="N1563" s="408" t="str">
        <f t="shared" si="380"/>
        <v/>
      </c>
      <c r="O1563" s="408"/>
      <c r="P1563" s="408"/>
      <c r="Q1563" s="408"/>
      <c r="R1563" s="408"/>
      <c r="S1563" s="408"/>
      <c r="T1563" s="408"/>
      <c r="U1563" s="408"/>
      <c r="V1563" s="421"/>
      <c r="W1563" s="421"/>
      <c r="X1563" s="421"/>
      <c r="Y1563" s="421"/>
      <c r="Z1563" s="421"/>
      <c r="AA1563" s="421"/>
      <c r="AB1563" s="421"/>
      <c r="AC1563" s="421"/>
      <c r="AD1563" s="421"/>
      <c r="AE1563" s="421"/>
      <c r="AF1563" s="421"/>
      <c r="AG1563" s="421"/>
      <c r="AH1563" s="421"/>
      <c r="AI1563" s="421"/>
      <c r="AJ1563" s="421"/>
      <c r="AK1563" s="421"/>
      <c r="AL1563" s="421"/>
    </row>
    <row r="1564" spans="1:38">
      <c r="A1564" s="408">
        <v>6083</v>
      </c>
      <c r="B1564" s="83">
        <f t="array" ref="B1564">SUM(--(FREQUENCY(IF(C$2:C$3072=C1564, MATCH(D$2:D$3072, D$2:D$3072, 0)), ROW(D$2:D$3072)-ROW(D$2)+1) &gt; 0))</f>
        <v>29</v>
      </c>
      <c r="C1564" s="408">
        <v>41200005</v>
      </c>
      <c r="D1564" s="408" t="s">
        <v>3319</v>
      </c>
      <c r="E1564" s="408" t="s">
        <v>1405</v>
      </c>
      <c r="F1564" s="408" t="s">
        <v>1591</v>
      </c>
      <c r="G1564" s="408" t="s">
        <v>2666</v>
      </c>
      <c r="H1564" s="197">
        <f t="shared" si="388"/>
        <v>47</v>
      </c>
      <c r="I1564" s="408">
        <v>11</v>
      </c>
      <c r="J1564" s="408">
        <v>20</v>
      </c>
      <c r="K1564" s="420">
        <f>DATE(2025, I1564, J1564)</f>
        <v>45981</v>
      </c>
      <c r="L1564" s="408" t="s">
        <v>2395</v>
      </c>
      <c r="M1564" s="408" t="s">
        <v>1469</v>
      </c>
      <c r="N1564" s="408" t="s">
        <v>2877</v>
      </c>
      <c r="O1564" s="408" t="s">
        <v>2368</v>
      </c>
      <c r="P1564" s="408" t="s">
        <v>2371</v>
      </c>
      <c r="Q1564" s="408">
        <v>11001962</v>
      </c>
      <c r="R1564" s="408" t="s">
        <v>562</v>
      </c>
      <c r="S1564" s="408" t="s">
        <v>3277</v>
      </c>
      <c r="T1564" s="408"/>
      <c r="U1564" s="408"/>
      <c r="V1564" s="421"/>
      <c r="W1564" s="421"/>
      <c r="X1564" s="421"/>
      <c r="Y1564" s="421"/>
      <c r="Z1564" s="421"/>
      <c r="AA1564" s="421"/>
      <c r="AB1564" s="421"/>
      <c r="AC1564" s="421"/>
      <c r="AD1564" s="421"/>
      <c r="AE1564" s="421"/>
      <c r="AF1564" s="421"/>
      <c r="AG1564" s="421"/>
      <c r="AH1564" s="421"/>
      <c r="AI1564" s="421"/>
      <c r="AJ1564" s="421"/>
      <c r="AK1564" s="421"/>
      <c r="AL1564" s="421"/>
    </row>
    <row r="1565" spans="1:38">
      <c r="A1565" s="408">
        <v>6083</v>
      </c>
      <c r="B1565" s="83">
        <f t="array" ref="B1565">SUM(--(FREQUENCY(IF(C$2:C$3072=C1565, MATCH(D$2:D$3072, D$2:D$3072, 0)), ROW(D$2:D$3072)-ROW(D$2)+1) &gt; 0))</f>
        <v>29</v>
      </c>
      <c r="C1565" s="408">
        <v>41200005</v>
      </c>
      <c r="D1565" s="408" t="s">
        <v>3319</v>
      </c>
      <c r="E1565" s="408" t="s">
        <v>1405</v>
      </c>
      <c r="F1565" s="408" t="s">
        <v>1591</v>
      </c>
      <c r="G1565" s="408" t="s">
        <v>2666</v>
      </c>
      <c r="H1565" s="197">
        <f t="shared" si="388"/>
        <v>47</v>
      </c>
      <c r="I1565" s="408">
        <v>11</v>
      </c>
      <c r="J1565" s="408">
        <v>20</v>
      </c>
      <c r="K1565" s="420">
        <f>DATE(2025, I1565, J1565)</f>
        <v>45981</v>
      </c>
      <c r="L1565" s="408" t="s">
        <v>2395</v>
      </c>
      <c r="M1565" s="408" t="s">
        <v>1469</v>
      </c>
      <c r="N1565" s="408" t="s">
        <v>2877</v>
      </c>
      <c r="O1565" s="408" t="s">
        <v>2368</v>
      </c>
      <c r="P1565" s="408" t="s">
        <v>2371</v>
      </c>
      <c r="Q1565" s="408">
        <v>11001962</v>
      </c>
      <c r="R1565" s="408" t="s">
        <v>562</v>
      </c>
      <c r="S1565" s="408" t="s">
        <v>3273</v>
      </c>
      <c r="T1565" s="408"/>
      <c r="U1565" s="408"/>
      <c r="V1565" s="421"/>
      <c r="W1565" s="421"/>
      <c r="X1565" s="421"/>
      <c r="Y1565" s="421"/>
      <c r="Z1565" s="421"/>
      <c r="AA1565" s="421"/>
      <c r="AB1565" s="421"/>
      <c r="AC1565" s="421"/>
      <c r="AD1565" s="421"/>
      <c r="AE1565" s="421"/>
      <c r="AF1565" s="421"/>
      <c r="AG1565" s="421"/>
      <c r="AH1565" s="421"/>
      <c r="AI1565" s="421"/>
      <c r="AJ1565" s="421"/>
      <c r="AK1565" s="421"/>
      <c r="AL1565" s="421"/>
    </row>
    <row r="1566" spans="1:38">
      <c r="A1566" s="408">
        <v>6083</v>
      </c>
      <c r="B1566" s="83">
        <f t="array" ref="B1566">SUM(--(FREQUENCY(IF(C$2:C$3072=C1566, MATCH(D$2:D$3072, D$2:D$3072, 0)), ROW(D$2:D$3072)-ROW(D$2)+1) &gt; 0))</f>
        <v>29</v>
      </c>
      <c r="C1566" s="408">
        <v>41200005</v>
      </c>
      <c r="D1566" s="408" t="s">
        <v>3319</v>
      </c>
      <c r="E1566" s="408" t="s">
        <v>1405</v>
      </c>
      <c r="F1566" s="408" t="s">
        <v>1591</v>
      </c>
      <c r="G1566" s="408" t="s">
        <v>2666</v>
      </c>
      <c r="H1566" s="197">
        <f t="shared" si="388"/>
        <v>47</v>
      </c>
      <c r="I1566" s="408">
        <v>11</v>
      </c>
      <c r="J1566" s="408">
        <v>20</v>
      </c>
      <c r="K1566" s="420">
        <f>DATE(2025, I1566, J1566)</f>
        <v>45981</v>
      </c>
      <c r="L1566" s="408" t="s">
        <v>2395</v>
      </c>
      <c r="M1566" s="408" t="s">
        <v>1469</v>
      </c>
      <c r="N1566" s="408" t="s">
        <v>2877</v>
      </c>
      <c r="O1566" s="408" t="s">
        <v>2368</v>
      </c>
      <c r="P1566" s="408" t="s">
        <v>2371</v>
      </c>
      <c r="Q1566" s="408">
        <v>11001962</v>
      </c>
      <c r="R1566" s="408" t="s">
        <v>562</v>
      </c>
      <c r="S1566" s="408" t="s">
        <v>3275</v>
      </c>
      <c r="T1566" s="408"/>
      <c r="U1566" s="408"/>
      <c r="V1566" s="421"/>
      <c r="W1566" s="421"/>
      <c r="X1566" s="421"/>
      <c r="Y1566" s="421"/>
      <c r="Z1566" s="421"/>
      <c r="AA1566" s="421"/>
      <c r="AB1566" s="421"/>
      <c r="AC1566" s="421"/>
      <c r="AD1566" s="421"/>
      <c r="AE1566" s="421"/>
      <c r="AF1566" s="421"/>
      <c r="AG1566" s="421"/>
      <c r="AH1566" s="421"/>
      <c r="AI1566" s="421"/>
      <c r="AJ1566" s="421"/>
      <c r="AK1566" s="421"/>
      <c r="AL1566" s="421"/>
    </row>
    <row r="1567" spans="1:38">
      <c r="A1567" s="408">
        <v>6083</v>
      </c>
      <c r="B1567" s="83">
        <f t="array" ref="B1567">SUM(--(FREQUENCY(IF(C$2:C$3072=C1567, MATCH(D$2:D$3072, D$2:D$3072, 0)), ROW(D$2:D$3072)-ROW(D$2)+1) &gt; 0))</f>
        <v>29</v>
      </c>
      <c r="C1567" s="408">
        <v>41200005</v>
      </c>
      <c r="D1567" s="408" t="s">
        <v>3320</v>
      </c>
      <c r="E1567" s="408" t="s">
        <v>1405</v>
      </c>
      <c r="F1567" s="408" t="s">
        <v>1591</v>
      </c>
      <c r="G1567" s="408" t="s">
        <v>2666</v>
      </c>
      <c r="H1567" s="197">
        <f>WEEKNUM(K1567)</f>
        <v>47</v>
      </c>
      <c r="I1567" s="408">
        <v>11</v>
      </c>
      <c r="J1567" s="408">
        <v>20</v>
      </c>
      <c r="K1567" s="420">
        <f>DATE(2025, I1567, J1567)</f>
        <v>45981</v>
      </c>
      <c r="L1567" s="408" t="s">
        <v>2395</v>
      </c>
      <c r="M1567" s="408" t="s">
        <v>1469</v>
      </c>
      <c r="N1567" s="408" t="str">
        <f>IF(O1567&lt;&gt;"", "NG", "")</f>
        <v/>
      </c>
      <c r="O1567" s="408"/>
      <c r="P1567" s="408"/>
      <c r="Q1567" s="408"/>
      <c r="R1567" s="408"/>
      <c r="S1567" s="408"/>
      <c r="T1567" s="408"/>
      <c r="U1567" s="408"/>
      <c r="V1567" s="421"/>
      <c r="W1567" s="421"/>
      <c r="X1567" s="421"/>
      <c r="Y1567" s="421"/>
      <c r="Z1567" s="421"/>
      <c r="AA1567" s="421"/>
      <c r="AB1567" s="421"/>
      <c r="AC1567" s="421"/>
      <c r="AD1567" s="421"/>
      <c r="AE1567" s="421"/>
      <c r="AF1567" s="421"/>
      <c r="AG1567" s="421"/>
      <c r="AH1567" s="421"/>
      <c r="AI1567" s="421"/>
      <c r="AJ1567" s="421"/>
      <c r="AK1567" s="421"/>
      <c r="AL1567" s="421"/>
    </row>
    <row r="1568" spans="1:38">
      <c r="A1568" s="408">
        <v>6226</v>
      </c>
      <c r="B1568" s="83">
        <f t="array" ref="B1568">SUM(--(FREQUENCY(IF(C$2:C$3072=C1568, MATCH(D$2:D$3072, D$2:D$3072, 0)), ROW(D$2:D$3072)-ROW(D$2)+1) &gt; 0))</f>
        <v>7</v>
      </c>
      <c r="C1568" s="408">
        <v>41200153</v>
      </c>
      <c r="D1568" s="408" t="s">
        <v>3321</v>
      </c>
      <c r="E1568" s="408" t="s">
        <v>1422</v>
      </c>
      <c r="F1568" s="408" t="s">
        <v>1476</v>
      </c>
      <c r="G1568" s="408" t="s">
        <v>2675</v>
      </c>
      <c r="H1568" s="197">
        <f>WEEKNUM(K1568)</f>
        <v>47</v>
      </c>
      <c r="I1568" s="408">
        <v>11</v>
      </c>
      <c r="J1568" s="408">
        <v>20</v>
      </c>
      <c r="K1568" s="420">
        <f>DATE(2025, I1568, J1568)</f>
        <v>45981</v>
      </c>
      <c r="L1568" s="408" t="s">
        <v>2391</v>
      </c>
      <c r="M1568" s="408" t="s">
        <v>1468</v>
      </c>
      <c r="N1568" s="408" t="str">
        <f>IF(O1568&lt;&gt;"", "NG", "")</f>
        <v/>
      </c>
      <c r="O1568" s="408"/>
      <c r="P1568" s="408"/>
      <c r="Q1568" s="408"/>
      <c r="R1568" s="408"/>
      <c r="S1568" s="408"/>
      <c r="T1568" s="408"/>
      <c r="U1568" s="408"/>
      <c r="V1568" s="421"/>
      <c r="W1568" s="421"/>
      <c r="X1568" s="421"/>
      <c r="Y1568" s="421"/>
      <c r="Z1568" s="421"/>
      <c r="AA1568" s="421"/>
      <c r="AB1568" s="421"/>
      <c r="AC1568" s="421"/>
      <c r="AD1568" s="421"/>
      <c r="AE1568" s="421"/>
      <c r="AF1568" s="421"/>
      <c r="AG1568" s="421"/>
      <c r="AH1568" s="421"/>
      <c r="AI1568" s="421"/>
      <c r="AJ1568" s="421"/>
      <c r="AK1568" s="421"/>
      <c r="AL1568" s="421"/>
    </row>
    <row r="1569" spans="1:38">
      <c r="A1569" s="408">
        <v>6226</v>
      </c>
      <c r="B1569" s="83">
        <f t="array" ref="B1569">SUM(--(FREQUENCY(IF(C$2:C$3072=C1569, MATCH(D$2:D$3072, D$2:D$3072, 0)), ROW(D$2:D$3072)-ROW(D$2)+1) &gt; 0))</f>
        <v>7</v>
      </c>
      <c r="C1569" s="408">
        <v>41200153</v>
      </c>
      <c r="D1569" s="408" t="s">
        <v>3322</v>
      </c>
      <c r="E1569" s="408" t="s">
        <v>1422</v>
      </c>
      <c r="F1569" s="408" t="s">
        <v>1476</v>
      </c>
      <c r="G1569" s="408" t="s">
        <v>2675</v>
      </c>
      <c r="H1569" s="197">
        <f>WEEKNUM(K1569)</f>
        <v>47</v>
      </c>
      <c r="I1569" s="408">
        <v>11</v>
      </c>
      <c r="J1569" s="408">
        <v>21</v>
      </c>
      <c r="K1569" s="420">
        <f>DATE(2025, I1569, J1569)</f>
        <v>45982</v>
      </c>
      <c r="L1569" s="408" t="s">
        <v>2391</v>
      </c>
      <c r="M1569" s="408" t="s">
        <v>1468</v>
      </c>
      <c r="N1569" s="408" t="str">
        <f>IF(O1569&lt;&gt;"", "NG", "")</f>
        <v>NG</v>
      </c>
      <c r="O1569" s="408" t="s">
        <v>2368</v>
      </c>
      <c r="P1569" s="408" t="s">
        <v>2508</v>
      </c>
      <c r="Q1569" s="408">
        <v>11006077</v>
      </c>
      <c r="R1569" s="408" t="s">
        <v>473</v>
      </c>
      <c r="S1569" s="408" t="s">
        <v>3323</v>
      </c>
      <c r="T1569" s="408"/>
      <c r="U1569" s="408"/>
      <c r="V1569" s="421"/>
      <c r="W1569" s="421"/>
      <c r="X1569" s="421"/>
      <c r="Y1569" s="421"/>
      <c r="Z1569" s="421"/>
      <c r="AA1569" s="421"/>
      <c r="AB1569" s="421"/>
      <c r="AC1569" s="421"/>
      <c r="AD1569" s="421"/>
      <c r="AE1569" s="421"/>
      <c r="AF1569" s="421"/>
      <c r="AG1569" s="421"/>
      <c r="AH1569" s="421"/>
      <c r="AI1569" s="421"/>
      <c r="AJ1569" s="421"/>
      <c r="AK1569" s="421"/>
      <c r="AL1569" s="421"/>
    </row>
    <row r="1570" spans="1:38">
      <c r="A1570" s="408">
        <v>6226</v>
      </c>
      <c r="B1570" s="83">
        <f t="array" ref="B1570">SUM(--(FREQUENCY(IF(C$2:C$3072=C1570, MATCH(D$2:D$3072, D$2:D$3072, 0)), ROW(D$2:D$3072)-ROW(D$2)+1) &gt; 0))</f>
        <v>7</v>
      </c>
      <c r="C1570" s="408">
        <v>41200153</v>
      </c>
      <c r="D1570" s="408" t="s">
        <v>3322</v>
      </c>
      <c r="E1570" s="408" t="s">
        <v>1422</v>
      </c>
      <c r="F1570" s="408" t="s">
        <v>1476</v>
      </c>
      <c r="G1570" s="408" t="s">
        <v>2675</v>
      </c>
      <c r="H1570" s="197">
        <f>WEEKNUM(K1570)</f>
        <v>47</v>
      </c>
      <c r="I1570" s="408">
        <v>11</v>
      </c>
      <c r="J1570" s="408">
        <v>21</v>
      </c>
      <c r="K1570" s="420">
        <f>DATE(2025, I1570, J1570)</f>
        <v>45982</v>
      </c>
      <c r="L1570" s="408" t="s">
        <v>2391</v>
      </c>
      <c r="M1570" s="408" t="s">
        <v>1468</v>
      </c>
      <c r="N1570" s="408" t="str">
        <f>IF(O1570&lt;&gt;"", "NG", "")</f>
        <v>NG</v>
      </c>
      <c r="O1570" s="408" t="s">
        <v>2368</v>
      </c>
      <c r="P1570" s="408" t="s">
        <v>2508</v>
      </c>
      <c r="Q1570" s="408">
        <v>11006077</v>
      </c>
      <c r="R1570" s="408" t="s">
        <v>473</v>
      </c>
      <c r="S1570" s="408" t="s">
        <v>3324</v>
      </c>
      <c r="T1570" s="408"/>
      <c r="U1570" s="408"/>
      <c r="V1570" s="421"/>
      <c r="W1570" s="421"/>
      <c r="X1570" s="421"/>
      <c r="Y1570" s="421"/>
      <c r="Z1570" s="421"/>
      <c r="AA1570" s="421"/>
      <c r="AB1570" s="421"/>
      <c r="AC1570" s="421"/>
      <c r="AD1570" s="421"/>
      <c r="AE1570" s="421"/>
      <c r="AF1570" s="421"/>
      <c r="AG1570" s="421"/>
      <c r="AH1570" s="421"/>
      <c r="AI1570" s="421"/>
      <c r="AJ1570" s="421"/>
      <c r="AK1570" s="421"/>
      <c r="AL1570" s="421"/>
    </row>
    <row r="1571" spans="1:38">
      <c r="A1571" s="408">
        <v>6226</v>
      </c>
      <c r="B1571" s="83">
        <f t="array" ref="B1571">SUM(--(FREQUENCY(IF(C$2:C$3072=C1571, MATCH(D$2:D$3072, D$2:D$3072, 0)), ROW(D$2:D$3072)-ROW(D$2)+1) &gt; 0))</f>
        <v>7</v>
      </c>
      <c r="C1571" s="408">
        <v>41200153</v>
      </c>
      <c r="D1571" s="408" t="s">
        <v>3325</v>
      </c>
      <c r="E1571" s="408" t="s">
        <v>1422</v>
      </c>
      <c r="F1571" s="408" t="s">
        <v>1476</v>
      </c>
      <c r="G1571" s="408" t="s">
        <v>2675</v>
      </c>
      <c r="H1571" s="197">
        <f>WEEKNUM(K1571)</f>
        <v>47</v>
      </c>
      <c r="I1571" s="408">
        <v>11</v>
      </c>
      <c r="J1571" s="408">
        <v>21</v>
      </c>
      <c r="K1571" s="420">
        <f t="shared" ref="K1571:K1635" si="395">DATE(2025, I1571, J1571)</f>
        <v>45982</v>
      </c>
      <c r="L1571" s="408" t="s">
        <v>2391</v>
      </c>
      <c r="M1571" s="408" t="s">
        <v>1468</v>
      </c>
      <c r="N1571" s="408" t="str">
        <f>IF(O1571&lt;&gt;"", "NG", "")</f>
        <v>NG</v>
      </c>
      <c r="O1571" s="408" t="s">
        <v>2368</v>
      </c>
      <c r="P1571" s="408" t="s">
        <v>2508</v>
      </c>
      <c r="Q1571" s="408">
        <v>11006077</v>
      </c>
      <c r="R1571" s="408" t="s">
        <v>473</v>
      </c>
      <c r="S1571" s="408" t="s">
        <v>3323</v>
      </c>
      <c r="T1571" s="408"/>
      <c r="U1571" s="408"/>
      <c r="V1571" s="421"/>
      <c r="W1571" s="421"/>
      <c r="X1571" s="421"/>
      <c r="Y1571" s="421"/>
      <c r="Z1571" s="421"/>
      <c r="AA1571" s="421"/>
      <c r="AB1571" s="421"/>
      <c r="AC1571" s="421"/>
      <c r="AD1571" s="421"/>
      <c r="AE1571" s="421"/>
      <c r="AF1571" s="421"/>
      <c r="AG1571" s="421"/>
      <c r="AH1571" s="421"/>
      <c r="AI1571" s="421"/>
      <c r="AJ1571" s="421"/>
      <c r="AK1571" s="421"/>
      <c r="AL1571" s="421"/>
    </row>
    <row r="1572" spans="1:38">
      <c r="A1572" s="3">
        <v>5977</v>
      </c>
      <c r="B1572" s="83">
        <f t="array" ref="B1572">SUM(--(FREQUENCY(IF(C$2:C$3100=C1572, MATCH(D$2:D$3100, D$2:D$3100, 0)), ROW(D$2:D$3100)-ROW(D$2)+1) &gt; 0))</f>
        <v>25</v>
      </c>
      <c r="C1572" s="3">
        <f>IFERROR(INDEX('SCR DATA'!B:B, MATCH($D1572, 'SCR DATA'!A:A, 0)), "")</f>
        <v>41200158</v>
      </c>
      <c r="D1572" s="6" t="s">
        <v>3326</v>
      </c>
      <c r="E1572" s="3" t="s">
        <v>1405</v>
      </c>
      <c r="F1572" s="68" t="s">
        <v>1480</v>
      </c>
      <c r="G1572" s="197" t="s">
        <v>2675</v>
      </c>
      <c r="H1572" s="197">
        <f t="shared" si="388"/>
        <v>47</v>
      </c>
      <c r="I1572" s="197">
        <v>11</v>
      </c>
      <c r="J1572" s="408">
        <v>21</v>
      </c>
      <c r="K1572" s="420">
        <f t="shared" si="395"/>
        <v>45982</v>
      </c>
      <c r="L1572" s="3" t="s">
        <v>2395</v>
      </c>
      <c r="M1572" s="408" t="s">
        <v>1469</v>
      </c>
      <c r="N1572" s="408" t="str">
        <f t="shared" si="380"/>
        <v/>
      </c>
      <c r="O1572" s="408"/>
      <c r="P1572" s="408"/>
      <c r="Q1572" s="408"/>
      <c r="R1572" s="408"/>
      <c r="S1572" s="408"/>
      <c r="T1572" s="408"/>
      <c r="U1572" s="408"/>
      <c r="V1572" s="421"/>
      <c r="W1572" s="421"/>
      <c r="X1572" s="421"/>
      <c r="Y1572" s="421"/>
      <c r="Z1572" s="421"/>
      <c r="AA1572" s="421"/>
      <c r="AB1572" s="421"/>
      <c r="AC1572" s="421"/>
      <c r="AD1572" s="421"/>
      <c r="AE1572" s="421"/>
      <c r="AF1572" s="421"/>
      <c r="AG1572" s="421"/>
      <c r="AH1572" s="421"/>
      <c r="AI1572" s="421"/>
      <c r="AJ1572" s="421"/>
      <c r="AK1572" s="421"/>
      <c r="AL1572" s="421"/>
    </row>
    <row r="1573" spans="1:38">
      <c r="A1573" s="3">
        <v>5977</v>
      </c>
      <c r="B1573" s="83">
        <f t="array" ref="B1573">SUM(--(FREQUENCY(IF(C$2:C$3100=C1573, MATCH(D$2:D$3100, D$2:D$3100, 0)), ROW(D$2:D$3100)-ROW(D$2)+1) &gt; 0))</f>
        <v>25</v>
      </c>
      <c r="C1573" s="3">
        <f>IFERROR(INDEX('SCR DATA'!B:B, MATCH($D1573, 'SCR DATA'!A:A, 0)), "")</f>
        <v>41200158</v>
      </c>
      <c r="D1573" s="6" t="s">
        <v>3327</v>
      </c>
      <c r="E1573" s="3" t="s">
        <v>1405</v>
      </c>
      <c r="F1573" s="68" t="s">
        <v>1480</v>
      </c>
      <c r="G1573" s="197" t="s">
        <v>2675</v>
      </c>
      <c r="H1573" s="197">
        <f t="shared" si="388"/>
        <v>47</v>
      </c>
      <c r="I1573" s="197">
        <v>11</v>
      </c>
      <c r="J1573" s="408">
        <v>21</v>
      </c>
      <c r="K1573" s="420">
        <f t="shared" si="395"/>
        <v>45982</v>
      </c>
      <c r="L1573" s="3" t="s">
        <v>2395</v>
      </c>
      <c r="M1573" s="408" t="s">
        <v>1469</v>
      </c>
      <c r="N1573" s="408" t="str">
        <f t="shared" ref="N1573:N1640" si="396">IF(O1573&lt;&gt;"", "NG", "")</f>
        <v/>
      </c>
      <c r="O1573" s="408"/>
      <c r="P1573" s="408"/>
      <c r="Q1573" s="408"/>
      <c r="R1573" s="408"/>
      <c r="S1573" s="408"/>
      <c r="T1573" s="408"/>
      <c r="U1573" s="408"/>
      <c r="V1573" s="421"/>
      <c r="W1573" s="421"/>
      <c r="X1573" s="421"/>
      <c r="Y1573" s="421"/>
      <c r="Z1573" s="421"/>
      <c r="AA1573" s="421"/>
      <c r="AB1573" s="421"/>
      <c r="AC1573" s="421"/>
      <c r="AD1573" s="421"/>
      <c r="AE1573" s="421"/>
      <c r="AF1573" s="421"/>
      <c r="AG1573" s="421"/>
      <c r="AH1573" s="421"/>
      <c r="AI1573" s="421"/>
      <c r="AJ1573" s="421"/>
      <c r="AK1573" s="421"/>
      <c r="AL1573" s="421"/>
    </row>
    <row r="1574" spans="1:38">
      <c r="A1574" s="3">
        <v>5977</v>
      </c>
      <c r="B1574" s="83">
        <f t="array" ref="B1574">SUM(--(FREQUENCY(IF(C$2:C$3100=C1574, MATCH(D$2:D$3100, D$2:D$3100, 0)), ROW(D$2:D$3100)-ROW(D$2)+1) &gt; 0))</f>
        <v>25</v>
      </c>
      <c r="C1574" s="3">
        <f>IFERROR(INDEX('SCR DATA'!B:B, MATCH($D1574, 'SCR DATA'!A:A, 0)), "")</f>
        <v>41200158</v>
      </c>
      <c r="D1574" s="6" t="s">
        <v>3328</v>
      </c>
      <c r="E1574" s="3" t="s">
        <v>1405</v>
      </c>
      <c r="F1574" s="68" t="s">
        <v>1480</v>
      </c>
      <c r="G1574" s="197" t="s">
        <v>2675</v>
      </c>
      <c r="H1574" s="197">
        <f t="shared" si="388"/>
        <v>47</v>
      </c>
      <c r="I1574" s="197">
        <v>11</v>
      </c>
      <c r="J1574" s="408">
        <v>21</v>
      </c>
      <c r="K1574" s="420">
        <f t="shared" si="395"/>
        <v>45982</v>
      </c>
      <c r="L1574" s="3" t="s">
        <v>2395</v>
      </c>
      <c r="M1574" s="408" t="s">
        <v>1469</v>
      </c>
      <c r="N1574" s="408" t="str">
        <f t="shared" si="396"/>
        <v/>
      </c>
      <c r="O1574" s="408"/>
      <c r="P1574" s="408"/>
      <c r="Q1574" s="408"/>
      <c r="R1574" s="408"/>
      <c r="S1574" s="408"/>
      <c r="T1574" s="408"/>
      <c r="U1574" s="408"/>
      <c r="V1574" s="421"/>
      <c r="W1574" s="421"/>
      <c r="X1574" s="421"/>
      <c r="Y1574" s="421"/>
      <c r="Z1574" s="421"/>
      <c r="AA1574" s="421"/>
      <c r="AB1574" s="421"/>
      <c r="AC1574" s="421"/>
      <c r="AD1574" s="421"/>
      <c r="AE1574" s="421"/>
      <c r="AF1574" s="421"/>
      <c r="AG1574" s="421"/>
      <c r="AH1574" s="421"/>
      <c r="AI1574" s="421"/>
      <c r="AJ1574" s="421"/>
      <c r="AK1574" s="421"/>
      <c r="AL1574" s="421"/>
    </row>
    <row r="1575" spans="1:38">
      <c r="A1575" s="3">
        <v>6210</v>
      </c>
      <c r="B1575" s="83">
        <f t="array" ref="B1575">SUM(--(FREQUENCY(IF(C$2:C$3100=C1575, MATCH(D$2:D$3100, D$2:D$3100, 0)), ROW(D$2:D$3100)-ROW(D$2)+1) &gt; 0))</f>
        <v>6</v>
      </c>
      <c r="C1575" s="3">
        <f>IFERROR(INDEX('SCR DATA'!B:B, MATCH($D1575, 'SCR DATA'!A:A, 0)), "")</f>
        <v>41200133</v>
      </c>
      <c r="D1575" s="6" t="s">
        <v>3329</v>
      </c>
      <c r="E1575" s="3" t="s">
        <v>1429</v>
      </c>
      <c r="F1575" s="68" t="s">
        <v>1476</v>
      </c>
      <c r="G1575" s="197" t="s">
        <v>2675</v>
      </c>
      <c r="H1575" s="197">
        <f t="shared" si="388"/>
        <v>47</v>
      </c>
      <c r="I1575" s="197">
        <v>11</v>
      </c>
      <c r="J1575" s="408">
        <v>21</v>
      </c>
      <c r="K1575" s="420">
        <f t="shared" si="395"/>
        <v>45982</v>
      </c>
      <c r="L1575" s="3" t="s">
        <v>2391</v>
      </c>
      <c r="M1575" s="408" t="s">
        <v>2392</v>
      </c>
      <c r="N1575" s="408" t="str">
        <f t="shared" si="396"/>
        <v/>
      </c>
      <c r="O1575" s="408"/>
      <c r="P1575" s="408"/>
      <c r="Q1575" s="408"/>
      <c r="R1575" s="408"/>
      <c r="S1575" s="408"/>
      <c r="T1575" s="408"/>
      <c r="U1575" s="408"/>
      <c r="V1575" s="421"/>
      <c r="W1575" s="421"/>
      <c r="X1575" s="421"/>
      <c r="Y1575" s="421"/>
      <c r="Z1575" s="421"/>
      <c r="AA1575" s="421"/>
      <c r="AB1575" s="421"/>
      <c r="AC1575" s="421"/>
      <c r="AD1575" s="421"/>
      <c r="AE1575" s="421"/>
      <c r="AF1575" s="421"/>
      <c r="AG1575" s="421"/>
      <c r="AH1575" s="421"/>
      <c r="AI1575" s="421"/>
      <c r="AJ1575" s="421"/>
      <c r="AK1575" s="421"/>
      <c r="AL1575" s="421"/>
    </row>
    <row r="1576" spans="1:38">
      <c r="A1576" s="3">
        <v>6183</v>
      </c>
      <c r="B1576" s="83">
        <f t="array" ref="B1576">SUM(--(FREQUENCY(IF(C$2:C$3100=C1576, MATCH(D$2:D$3100, D$2:D$3100, 0)), ROW(D$2:D$3100)-ROW(D$2)+1) &gt; 0))</f>
        <v>15</v>
      </c>
      <c r="C1576" s="3">
        <f>IFERROR(INDEX('SCR DATA'!B:B, MATCH($D1576, 'SCR DATA'!A:A, 0)), "")</f>
        <v>41200124</v>
      </c>
      <c r="D1576" s="6" t="s">
        <v>3330</v>
      </c>
      <c r="E1576" s="3" t="s">
        <v>1585</v>
      </c>
      <c r="F1576" s="68" t="s">
        <v>1476</v>
      </c>
      <c r="G1576" s="197" t="s">
        <v>2675</v>
      </c>
      <c r="H1576" s="197">
        <f t="shared" si="388"/>
        <v>47</v>
      </c>
      <c r="I1576" s="197">
        <v>11</v>
      </c>
      <c r="J1576" s="408">
        <v>21</v>
      </c>
      <c r="K1576" s="420">
        <f t="shared" si="395"/>
        <v>45982</v>
      </c>
      <c r="L1576" s="3" t="s">
        <v>2391</v>
      </c>
      <c r="M1576" s="408" t="s">
        <v>2392</v>
      </c>
      <c r="N1576" s="408" t="str">
        <f t="shared" si="396"/>
        <v/>
      </c>
      <c r="O1576" s="408"/>
      <c r="P1576" s="408"/>
      <c r="Q1576" s="408"/>
      <c r="R1576" s="408"/>
      <c r="S1576" s="408"/>
      <c r="T1576" s="408"/>
      <c r="U1576" s="408"/>
      <c r="V1576" s="421"/>
      <c r="W1576" s="421"/>
      <c r="X1576" s="421"/>
      <c r="Y1576" s="421"/>
      <c r="Z1576" s="421"/>
      <c r="AA1576" s="421"/>
      <c r="AB1576" s="421"/>
      <c r="AC1576" s="421"/>
      <c r="AD1576" s="421"/>
      <c r="AE1576" s="421"/>
      <c r="AF1576" s="421"/>
      <c r="AG1576" s="421"/>
      <c r="AH1576" s="421"/>
      <c r="AI1576" s="421"/>
      <c r="AJ1576" s="421"/>
      <c r="AK1576" s="421"/>
      <c r="AL1576" s="421"/>
    </row>
    <row r="1577" spans="1:38">
      <c r="A1577" s="3">
        <v>6183</v>
      </c>
      <c r="B1577" s="83">
        <f t="array" ref="B1577">SUM(--(FREQUENCY(IF(C$2:C$3100=C1577, MATCH(D$2:D$3100, D$2:D$3100, 0)), ROW(D$2:D$3100)-ROW(D$2)+1) &gt; 0))</f>
        <v>15</v>
      </c>
      <c r="C1577" s="3">
        <f>IFERROR(INDEX('SCR DATA'!B:B, MATCH($D1577, 'SCR DATA'!A:A, 0)), "")</f>
        <v>41200124</v>
      </c>
      <c r="D1577" s="6" t="s">
        <v>3331</v>
      </c>
      <c r="E1577" s="3" t="s">
        <v>1585</v>
      </c>
      <c r="F1577" s="68" t="s">
        <v>1476</v>
      </c>
      <c r="G1577" s="197" t="s">
        <v>2675</v>
      </c>
      <c r="H1577" s="197">
        <f t="shared" si="388"/>
        <v>47</v>
      </c>
      <c r="I1577" s="197">
        <v>11</v>
      </c>
      <c r="J1577" s="408">
        <v>21</v>
      </c>
      <c r="K1577" s="420">
        <f t="shared" si="395"/>
        <v>45982</v>
      </c>
      <c r="L1577" s="3" t="s">
        <v>2391</v>
      </c>
      <c r="M1577" s="408" t="s">
        <v>2392</v>
      </c>
      <c r="N1577" s="408" t="str">
        <f t="shared" si="396"/>
        <v/>
      </c>
      <c r="O1577" s="408"/>
      <c r="P1577" s="408"/>
      <c r="Q1577" s="408"/>
      <c r="R1577" s="408"/>
      <c r="S1577" s="408"/>
      <c r="T1577" s="408"/>
      <c r="U1577" s="408"/>
      <c r="V1577" s="421"/>
      <c r="W1577" s="421"/>
      <c r="X1577" s="421"/>
      <c r="Y1577" s="421"/>
      <c r="Z1577" s="421"/>
      <c r="AA1577" s="421"/>
      <c r="AB1577" s="421"/>
      <c r="AC1577" s="421"/>
      <c r="AD1577" s="421"/>
      <c r="AE1577" s="421"/>
      <c r="AF1577" s="421"/>
      <c r="AG1577" s="421"/>
      <c r="AH1577" s="421"/>
      <c r="AI1577" s="421"/>
      <c r="AJ1577" s="421"/>
      <c r="AK1577" s="421"/>
      <c r="AL1577" s="421"/>
    </row>
    <row r="1578" spans="1:38">
      <c r="A1578" s="3">
        <v>6247</v>
      </c>
      <c r="B1578" s="83">
        <f t="array" ref="B1578">SUM(--(FREQUENCY(IF(C$2:C$3100=C1578, MATCH(D$2:D$3100, D$2:D$3100, 0)), ROW(D$2:D$3100)-ROW(D$2)+1) &gt; 0))</f>
        <v>37</v>
      </c>
      <c r="C1578" s="3">
        <f>IFERROR(INDEX('SCR DATA'!B:B, MATCH($D1578, 'SCR DATA'!A:A, 0)), "")</f>
        <v>41200076</v>
      </c>
      <c r="D1578" s="6" t="s">
        <v>3332</v>
      </c>
      <c r="E1578" s="3" t="s">
        <v>1585</v>
      </c>
      <c r="F1578" s="68" t="s">
        <v>1476</v>
      </c>
      <c r="G1578" s="197" t="s">
        <v>2675</v>
      </c>
      <c r="H1578" s="197">
        <f t="shared" si="388"/>
        <v>47</v>
      </c>
      <c r="I1578" s="197">
        <v>11</v>
      </c>
      <c r="J1578" s="408">
        <v>21</v>
      </c>
      <c r="K1578" s="420">
        <f t="shared" si="395"/>
        <v>45982</v>
      </c>
      <c r="L1578" s="3" t="s">
        <v>2395</v>
      </c>
      <c r="M1578" s="408" t="s">
        <v>1469</v>
      </c>
      <c r="N1578" s="408" t="str">
        <f t="shared" si="396"/>
        <v>NG</v>
      </c>
      <c r="O1578" s="408" t="s">
        <v>2368</v>
      </c>
      <c r="P1578" s="408" t="s">
        <v>2371</v>
      </c>
      <c r="Q1578" s="408">
        <v>11001962</v>
      </c>
      <c r="R1578" s="408" t="s">
        <v>562</v>
      </c>
      <c r="S1578" s="408" t="s">
        <v>3333</v>
      </c>
      <c r="T1578" s="408"/>
      <c r="U1578" s="408"/>
      <c r="V1578" s="421"/>
      <c r="W1578" s="421"/>
      <c r="X1578" s="421"/>
      <c r="Y1578" s="421"/>
      <c r="Z1578" s="421"/>
      <c r="AA1578" s="421"/>
      <c r="AB1578" s="421"/>
      <c r="AC1578" s="421"/>
      <c r="AD1578" s="421"/>
      <c r="AE1578" s="421"/>
      <c r="AF1578" s="421"/>
      <c r="AG1578" s="421"/>
      <c r="AH1578" s="421"/>
      <c r="AI1578" s="421"/>
      <c r="AJ1578" s="421"/>
      <c r="AK1578" s="421"/>
      <c r="AL1578" s="421"/>
    </row>
    <row r="1579" spans="1:38">
      <c r="A1579" s="3">
        <v>6131</v>
      </c>
      <c r="B1579" s="83">
        <f t="array" ref="B1579">SUM(--(FREQUENCY(IF(C$2:C$3100=C1579, MATCH(D$2:D$3100, D$2:D$3100, 0)), ROW(D$2:D$3100)-ROW(D$2)+1) &gt; 0))</f>
        <v>15</v>
      </c>
      <c r="C1579" s="3">
        <f>IFERROR(INDEX('SCR DATA'!B:B, MATCH($D1579, 'SCR DATA'!A:A, 0)), "")</f>
        <v>41200124</v>
      </c>
      <c r="D1579" s="6" t="s">
        <v>3334</v>
      </c>
      <c r="E1579" s="3" t="s">
        <v>1585</v>
      </c>
      <c r="F1579" s="68" t="s">
        <v>1476</v>
      </c>
      <c r="G1579" s="197" t="s">
        <v>2675</v>
      </c>
      <c r="H1579" s="197">
        <f t="shared" si="388"/>
        <v>47</v>
      </c>
      <c r="I1579" s="197">
        <v>11</v>
      </c>
      <c r="J1579" s="408">
        <v>21</v>
      </c>
      <c r="K1579" s="420">
        <f t="shared" si="395"/>
        <v>45982</v>
      </c>
      <c r="L1579" s="3" t="s">
        <v>2555</v>
      </c>
      <c r="M1579" s="408" t="s">
        <v>2555</v>
      </c>
      <c r="N1579" s="408" t="str">
        <f t="shared" si="396"/>
        <v/>
      </c>
      <c r="O1579" s="408"/>
      <c r="P1579" s="408"/>
      <c r="Q1579" s="408"/>
      <c r="R1579" s="408"/>
      <c r="S1579" s="408"/>
      <c r="T1579" s="408"/>
      <c r="U1579" s="408"/>
      <c r="V1579" s="421"/>
      <c r="W1579" s="421"/>
      <c r="X1579" s="421"/>
      <c r="Y1579" s="421"/>
      <c r="Z1579" s="421"/>
      <c r="AA1579" s="421"/>
      <c r="AB1579" s="421"/>
      <c r="AC1579" s="421"/>
      <c r="AD1579" s="421"/>
      <c r="AE1579" s="421"/>
      <c r="AF1579" s="421"/>
      <c r="AG1579" s="421"/>
      <c r="AH1579" s="421"/>
      <c r="AI1579" s="421"/>
      <c r="AJ1579" s="421"/>
      <c r="AK1579" s="421"/>
      <c r="AL1579" s="421"/>
    </row>
    <row r="1580" spans="1:38">
      <c r="A1580" s="408">
        <v>6227</v>
      </c>
      <c r="B1580" s="83">
        <f t="array" ref="B1580">SUM(--(FREQUENCY(IF(C$2:C$3072=C1580, MATCH(D$2:D$3072, D$2:D$3072, 0)), ROW(D$2:D$3072)-ROW(D$2)+1) &gt; 0))</f>
        <v>5</v>
      </c>
      <c r="C1580" s="408">
        <v>41100321</v>
      </c>
      <c r="D1580" s="408" t="s">
        <v>3335</v>
      </c>
      <c r="E1580" s="408" t="s">
        <v>1422</v>
      </c>
      <c r="F1580" s="408" t="s">
        <v>1476</v>
      </c>
      <c r="G1580" s="408" t="s">
        <v>2675</v>
      </c>
      <c r="H1580" s="197">
        <f t="shared" si="388"/>
        <v>47</v>
      </c>
      <c r="I1580" s="408">
        <v>11</v>
      </c>
      <c r="J1580" s="408">
        <v>22</v>
      </c>
      <c r="K1580" s="420">
        <f t="shared" si="395"/>
        <v>45983</v>
      </c>
      <c r="L1580" s="408" t="s">
        <v>2391</v>
      </c>
      <c r="M1580" s="408" t="s">
        <v>1468</v>
      </c>
      <c r="N1580" s="408" t="str">
        <f t="shared" si="396"/>
        <v/>
      </c>
      <c r="O1580" s="408"/>
      <c r="P1580" s="408"/>
      <c r="Q1580" s="408"/>
      <c r="R1580" s="408"/>
      <c r="S1580" s="408"/>
      <c r="T1580" s="408"/>
      <c r="U1580" s="408"/>
      <c r="V1580" s="421"/>
      <c r="W1580" s="421"/>
      <c r="X1580" s="421"/>
      <c r="Y1580" s="421"/>
      <c r="Z1580" s="421"/>
      <c r="AA1580" s="421"/>
      <c r="AB1580" s="421"/>
      <c r="AC1580" s="421"/>
      <c r="AD1580" s="421"/>
      <c r="AE1580" s="421"/>
      <c r="AF1580" s="421"/>
      <c r="AG1580" s="421"/>
      <c r="AH1580" s="421"/>
      <c r="AI1580" s="421"/>
      <c r="AJ1580" s="421"/>
      <c r="AK1580" s="421"/>
      <c r="AL1580" s="421"/>
    </row>
    <row r="1581" spans="1:38">
      <c r="A1581" s="408">
        <v>6227</v>
      </c>
      <c r="B1581" s="83">
        <f t="array" ref="B1581">SUM(--(FREQUENCY(IF(C$2:C$3072=C1581, MATCH(D$2:D$3072, D$2:D$3072, 0)), ROW(D$2:D$3072)-ROW(D$2)+1) &gt; 0))</f>
        <v>5</v>
      </c>
      <c r="C1581" s="408">
        <v>41100321</v>
      </c>
      <c r="D1581" s="408" t="s">
        <v>3336</v>
      </c>
      <c r="E1581" s="408" t="s">
        <v>1422</v>
      </c>
      <c r="F1581" s="408" t="s">
        <v>1476</v>
      </c>
      <c r="G1581" s="408" t="s">
        <v>2675</v>
      </c>
      <c r="H1581" s="197">
        <f t="shared" si="388"/>
        <v>47</v>
      </c>
      <c r="I1581" s="408">
        <v>11</v>
      </c>
      <c r="J1581" s="408">
        <v>22</v>
      </c>
      <c r="K1581" s="420">
        <f t="shared" si="395"/>
        <v>45983</v>
      </c>
      <c r="L1581" s="408" t="s">
        <v>2391</v>
      </c>
      <c r="M1581" s="408" t="s">
        <v>1468</v>
      </c>
      <c r="N1581" s="408" t="str">
        <f t="shared" si="396"/>
        <v/>
      </c>
      <c r="O1581" s="408"/>
      <c r="P1581" s="408"/>
      <c r="Q1581" s="408"/>
      <c r="R1581" s="408"/>
      <c r="S1581" s="408"/>
      <c r="T1581" s="408"/>
      <c r="U1581" s="408"/>
      <c r="V1581" s="421"/>
      <c r="W1581" s="421"/>
      <c r="X1581" s="421"/>
      <c r="Y1581" s="421"/>
      <c r="Z1581" s="421"/>
      <c r="AA1581" s="421"/>
      <c r="AB1581" s="421"/>
      <c r="AC1581" s="421"/>
      <c r="AD1581" s="421"/>
      <c r="AE1581" s="421"/>
      <c r="AF1581" s="421"/>
      <c r="AG1581" s="421"/>
      <c r="AH1581" s="421"/>
      <c r="AI1581" s="421"/>
      <c r="AJ1581" s="421"/>
      <c r="AK1581" s="421"/>
      <c r="AL1581" s="421"/>
    </row>
    <row r="1582" spans="1:38">
      <c r="A1582" s="408">
        <v>6255</v>
      </c>
      <c r="B1582" s="83">
        <f t="array" ref="B1582">SUM(--(FREQUENCY(IF(C$2:C$3072=C1582, MATCH(D$2:D$3072, D$2:D$3072, 0)), ROW(D$2:D$3072)-ROW(D$2)+1) &gt; 0))</f>
        <v>5</v>
      </c>
      <c r="C1582" s="408">
        <v>41100321</v>
      </c>
      <c r="D1582" s="408" t="s">
        <v>3337</v>
      </c>
      <c r="E1582" s="408" t="s">
        <v>1422</v>
      </c>
      <c r="F1582" s="408" t="s">
        <v>1476</v>
      </c>
      <c r="G1582" s="408" t="s">
        <v>2675</v>
      </c>
      <c r="H1582" s="197">
        <f t="shared" si="388"/>
        <v>47</v>
      </c>
      <c r="I1582" s="408">
        <v>11</v>
      </c>
      <c r="J1582" s="408">
        <v>22</v>
      </c>
      <c r="K1582" s="420">
        <f t="shared" si="395"/>
        <v>45983</v>
      </c>
      <c r="L1582" s="408" t="s">
        <v>2395</v>
      </c>
      <c r="M1582" s="408" t="s">
        <v>1469</v>
      </c>
      <c r="N1582" s="408" t="str">
        <f t="shared" si="396"/>
        <v/>
      </c>
      <c r="O1582" s="408"/>
      <c r="P1582" s="408"/>
      <c r="Q1582" s="408"/>
      <c r="R1582" s="408"/>
      <c r="S1582" s="408"/>
      <c r="T1582" s="408"/>
      <c r="U1582" s="408"/>
      <c r="V1582" s="421"/>
      <c r="W1582" s="421"/>
      <c r="X1582" s="421"/>
      <c r="Y1582" s="421"/>
      <c r="Z1582" s="421"/>
      <c r="AA1582" s="421"/>
      <c r="AB1582" s="421"/>
      <c r="AC1582" s="421"/>
      <c r="AD1582" s="421"/>
      <c r="AE1582" s="421"/>
      <c r="AF1582" s="421"/>
      <c r="AG1582" s="421"/>
      <c r="AH1582" s="421"/>
      <c r="AI1582" s="421"/>
      <c r="AJ1582" s="421"/>
      <c r="AK1582" s="421"/>
      <c r="AL1582" s="421"/>
    </row>
    <row r="1583" spans="1:38">
      <c r="A1583" s="408">
        <v>6175</v>
      </c>
      <c r="B1583" s="83">
        <f t="array" ref="B1583">SUM(--(FREQUENCY(IF(C$2:C$3072=C1583, MATCH(D$2:D$3072, D$2:D$3072, 0)), ROW(D$2:D$3072)-ROW(D$2)+1) &gt; 0))</f>
        <v>9</v>
      </c>
      <c r="C1583" s="408">
        <v>41200125</v>
      </c>
      <c r="D1583" s="408" t="s">
        <v>3338</v>
      </c>
      <c r="E1583" s="408" t="s">
        <v>1585</v>
      </c>
      <c r="F1583" s="408" t="s">
        <v>1476</v>
      </c>
      <c r="G1583" s="408" t="s">
        <v>2675</v>
      </c>
      <c r="H1583" s="197">
        <f t="shared" si="388"/>
        <v>47</v>
      </c>
      <c r="I1583" s="408">
        <v>11</v>
      </c>
      <c r="J1583" s="408">
        <v>22</v>
      </c>
      <c r="K1583" s="420">
        <f t="shared" si="395"/>
        <v>45983</v>
      </c>
      <c r="L1583" s="408" t="s">
        <v>2395</v>
      </c>
      <c r="M1583" s="408" t="s">
        <v>1469</v>
      </c>
      <c r="N1583" s="408" t="str">
        <f t="shared" si="396"/>
        <v/>
      </c>
      <c r="O1583" s="408"/>
      <c r="P1583" s="408"/>
      <c r="Q1583" s="408"/>
      <c r="R1583" s="408"/>
      <c r="S1583" s="408"/>
      <c r="T1583" s="408"/>
      <c r="U1583" s="408"/>
      <c r="V1583" s="421"/>
      <c r="W1583" s="421"/>
      <c r="X1583" s="421"/>
      <c r="Y1583" s="421"/>
      <c r="Z1583" s="421"/>
      <c r="AA1583" s="421"/>
      <c r="AB1583" s="421"/>
      <c r="AC1583" s="421"/>
      <c r="AD1583" s="421"/>
      <c r="AE1583" s="421"/>
      <c r="AF1583" s="421"/>
      <c r="AG1583" s="421"/>
      <c r="AH1583" s="421"/>
      <c r="AI1583" s="421"/>
      <c r="AJ1583" s="421"/>
      <c r="AK1583" s="421"/>
      <c r="AL1583" s="421"/>
    </row>
    <row r="1584" spans="1:38">
      <c r="A1584" s="408">
        <v>5935</v>
      </c>
      <c r="B1584" s="83">
        <f t="array" ref="B1584">SUM(--(FREQUENCY(IF(C$2:C$3072=C1584, MATCH(D$2:D$3072, D$2:D$3072, 0)), ROW(D$2:D$3072)-ROW(D$2)+1) &gt; 0))</f>
        <v>24</v>
      </c>
      <c r="C1584" s="408">
        <v>41200122</v>
      </c>
      <c r="D1584" s="408" t="s">
        <v>3339</v>
      </c>
      <c r="E1584" s="408" t="s">
        <v>1585</v>
      </c>
      <c r="F1584" s="408" t="s">
        <v>1476</v>
      </c>
      <c r="G1584" s="408" t="s">
        <v>2675</v>
      </c>
      <c r="H1584" s="197">
        <f t="shared" si="388"/>
        <v>48</v>
      </c>
      <c r="I1584" s="408">
        <v>11</v>
      </c>
      <c r="J1584" s="408">
        <v>24</v>
      </c>
      <c r="K1584" s="420">
        <f t="shared" si="395"/>
        <v>45985</v>
      </c>
      <c r="L1584" s="408" t="s">
        <v>2391</v>
      </c>
      <c r="M1584" s="408" t="s">
        <v>2392</v>
      </c>
      <c r="N1584" s="408" t="str">
        <f t="shared" si="396"/>
        <v/>
      </c>
      <c r="O1584" s="408"/>
      <c r="P1584" s="408"/>
      <c r="Q1584" s="408"/>
      <c r="R1584" s="408"/>
      <c r="S1584" s="408"/>
      <c r="T1584" s="408"/>
      <c r="U1584" s="408"/>
      <c r="V1584" s="421"/>
      <c r="W1584" s="421"/>
      <c r="X1584" s="421"/>
      <c r="Y1584" s="421"/>
      <c r="Z1584" s="421"/>
      <c r="AA1584" s="421"/>
      <c r="AB1584" s="421"/>
      <c r="AC1584" s="421"/>
      <c r="AD1584" s="421"/>
      <c r="AE1584" s="421"/>
      <c r="AF1584" s="421"/>
      <c r="AG1584" s="421"/>
      <c r="AH1584" s="421"/>
      <c r="AI1584" s="421"/>
      <c r="AJ1584" s="421"/>
      <c r="AK1584" s="421"/>
      <c r="AL1584" s="421"/>
    </row>
    <row r="1585" spans="1:38">
      <c r="A1585" s="408">
        <v>6230</v>
      </c>
      <c r="B1585" s="83">
        <f t="array" ref="B1585">SUM(--(FREQUENCY(IF(C$2:C$3072=C1585, MATCH(D$2:D$3072, D$2:D$3072, 0)), ROW(D$2:D$3072)-ROW(D$2)+1) &gt; 0))</f>
        <v>5</v>
      </c>
      <c r="C1585" s="408">
        <v>41100696</v>
      </c>
      <c r="D1585" s="408" t="s">
        <v>3340</v>
      </c>
      <c r="E1585" s="408" t="s">
        <v>1433</v>
      </c>
      <c r="F1585" s="408" t="s">
        <v>1581</v>
      </c>
      <c r="G1585" s="408" t="s">
        <v>2675</v>
      </c>
      <c r="H1585" s="197">
        <f t="shared" ref="H1585:H1648" si="397">WEEKNUM(K1585)</f>
        <v>48</v>
      </c>
      <c r="I1585" s="408">
        <v>11</v>
      </c>
      <c r="J1585" s="408">
        <v>24</v>
      </c>
      <c r="K1585" s="420">
        <f t="shared" si="395"/>
        <v>45985</v>
      </c>
      <c r="L1585" s="408" t="s">
        <v>2392</v>
      </c>
      <c r="M1585" s="408" t="s">
        <v>2392</v>
      </c>
      <c r="N1585" s="408" t="s">
        <v>2877</v>
      </c>
      <c r="O1585" s="408" t="s">
        <v>2368</v>
      </c>
      <c r="P1585" s="408" t="s">
        <v>2371</v>
      </c>
      <c r="Q1585" s="408">
        <v>11001964</v>
      </c>
      <c r="R1585" s="408" t="s">
        <v>562</v>
      </c>
      <c r="S1585" s="408" t="s">
        <v>3341</v>
      </c>
      <c r="T1585" s="408"/>
      <c r="U1585" s="408"/>
      <c r="V1585" s="421"/>
      <c r="W1585" s="421"/>
      <c r="X1585" s="421"/>
      <c r="Y1585" s="421"/>
      <c r="Z1585" s="421"/>
      <c r="AA1585" s="421"/>
      <c r="AB1585" s="421"/>
      <c r="AC1585" s="421"/>
      <c r="AD1585" s="421"/>
      <c r="AE1585" s="421"/>
      <c r="AF1585" s="421"/>
      <c r="AG1585" s="421"/>
      <c r="AH1585" s="421"/>
      <c r="AI1585" s="421"/>
      <c r="AJ1585" s="421"/>
      <c r="AK1585" s="421"/>
      <c r="AL1585" s="421"/>
    </row>
    <row r="1586" spans="1:38">
      <c r="A1586" s="408">
        <v>6230</v>
      </c>
      <c r="B1586" s="83">
        <f t="array" ref="B1586">SUM(--(FREQUENCY(IF(C$2:C$3072=C1586, MATCH(D$2:D$3072, D$2:D$3072, 0)), ROW(D$2:D$3072)-ROW(D$2)+1) &gt; 0))</f>
        <v>5</v>
      </c>
      <c r="C1586" s="408">
        <v>41100696</v>
      </c>
      <c r="D1586" s="408" t="s">
        <v>3340</v>
      </c>
      <c r="E1586" s="408" t="s">
        <v>1433</v>
      </c>
      <c r="F1586" s="408" t="s">
        <v>1581</v>
      </c>
      <c r="G1586" s="408" t="s">
        <v>2675</v>
      </c>
      <c r="H1586" s="197">
        <f t="shared" si="397"/>
        <v>48</v>
      </c>
      <c r="I1586" s="408">
        <v>11</v>
      </c>
      <c r="J1586" s="408">
        <v>24</v>
      </c>
      <c r="K1586" s="420">
        <f t="shared" si="395"/>
        <v>45985</v>
      </c>
      <c r="L1586" s="408" t="s">
        <v>2392</v>
      </c>
      <c r="M1586" s="408" t="s">
        <v>2392</v>
      </c>
      <c r="N1586" s="408" t="s">
        <v>2877</v>
      </c>
      <c r="O1586" s="408" t="s">
        <v>2368</v>
      </c>
      <c r="P1586" s="408" t="s">
        <v>2371</v>
      </c>
      <c r="Q1586" s="408">
        <v>11001964</v>
      </c>
      <c r="R1586" s="408" t="s">
        <v>562</v>
      </c>
      <c r="S1586" s="408" t="s">
        <v>3341</v>
      </c>
      <c r="T1586" s="408"/>
      <c r="U1586" s="408"/>
      <c r="V1586" s="421"/>
      <c r="W1586" s="421"/>
      <c r="X1586" s="421"/>
      <c r="Y1586" s="421"/>
      <c r="Z1586" s="421"/>
      <c r="AA1586" s="421"/>
      <c r="AB1586" s="421"/>
      <c r="AC1586" s="421"/>
      <c r="AD1586" s="421"/>
      <c r="AE1586" s="421"/>
      <c r="AF1586" s="421"/>
      <c r="AG1586" s="421"/>
      <c r="AH1586" s="421"/>
      <c r="AI1586" s="421"/>
      <c r="AJ1586" s="421"/>
      <c r="AK1586" s="421"/>
      <c r="AL1586" s="421"/>
    </row>
    <row r="1587" spans="1:38">
      <c r="A1587" s="408">
        <v>6230</v>
      </c>
      <c r="B1587" s="83">
        <f t="array" ref="B1587">SUM(--(FREQUENCY(IF(C$2:C$3072=C1587, MATCH(D$2:D$3072, D$2:D$3072, 0)), ROW(D$2:D$3072)-ROW(D$2)+1) &gt; 0))</f>
        <v>5</v>
      </c>
      <c r="C1587" s="408">
        <v>41100696</v>
      </c>
      <c r="D1587" s="408" t="s">
        <v>3342</v>
      </c>
      <c r="E1587" s="408" t="s">
        <v>1433</v>
      </c>
      <c r="F1587" s="408" t="s">
        <v>1581</v>
      </c>
      <c r="G1587" s="408" t="s">
        <v>2675</v>
      </c>
      <c r="H1587" s="197">
        <f t="shared" si="397"/>
        <v>48</v>
      </c>
      <c r="I1587" s="408">
        <v>11</v>
      </c>
      <c r="J1587" s="408">
        <v>24</v>
      </c>
      <c r="K1587" s="420">
        <f t="shared" si="395"/>
        <v>45985</v>
      </c>
      <c r="L1587" s="408" t="s">
        <v>2392</v>
      </c>
      <c r="M1587" s="408" t="s">
        <v>2392</v>
      </c>
      <c r="N1587" s="408" t="s">
        <v>2877</v>
      </c>
      <c r="O1587" s="408" t="s">
        <v>2368</v>
      </c>
      <c r="P1587" s="408" t="s">
        <v>2371</v>
      </c>
      <c r="Q1587" s="408">
        <v>11001964</v>
      </c>
      <c r="R1587" s="408" t="s">
        <v>562</v>
      </c>
      <c r="S1587" s="408" t="s">
        <v>3341</v>
      </c>
      <c r="T1587" s="408"/>
      <c r="U1587" s="408"/>
      <c r="V1587" s="421"/>
      <c r="W1587" s="421"/>
      <c r="X1587" s="421"/>
      <c r="Y1587" s="421"/>
      <c r="Z1587" s="421"/>
      <c r="AA1587" s="421"/>
      <c r="AB1587" s="421"/>
      <c r="AC1587" s="421"/>
      <c r="AD1587" s="421"/>
      <c r="AE1587" s="421"/>
      <c r="AF1587" s="421"/>
      <c r="AG1587" s="421"/>
      <c r="AH1587" s="421"/>
      <c r="AI1587" s="421"/>
      <c r="AJ1587" s="421"/>
      <c r="AK1587" s="421"/>
      <c r="AL1587" s="421"/>
    </row>
    <row r="1588" spans="1:38">
      <c r="A1588" s="408">
        <v>6170</v>
      </c>
      <c r="B1588" s="83">
        <f t="array" ref="B1588">SUM(--(FREQUENCY(IF(C$2:C$3072=C1588, MATCH(D$2:D$3072, D$2:D$3072, 0)), ROW(D$2:D$3072)-ROW(D$2)+1) &gt; 0))</f>
        <v>9</v>
      </c>
      <c r="C1588" s="408">
        <v>41200125</v>
      </c>
      <c r="D1588" s="408" t="s">
        <v>3343</v>
      </c>
      <c r="E1588" s="408" t="s">
        <v>1585</v>
      </c>
      <c r="F1588" s="408" t="s">
        <v>1476</v>
      </c>
      <c r="G1588" s="408" t="s">
        <v>2675</v>
      </c>
      <c r="H1588" s="197">
        <f t="shared" si="397"/>
        <v>48</v>
      </c>
      <c r="I1588" s="408">
        <v>11</v>
      </c>
      <c r="J1588" s="408">
        <v>24</v>
      </c>
      <c r="K1588" s="420">
        <f t="shared" si="395"/>
        <v>45985</v>
      </c>
      <c r="L1588" s="408" t="s">
        <v>2391</v>
      </c>
      <c r="M1588" s="408" t="s">
        <v>1468</v>
      </c>
      <c r="N1588" s="408" t="str">
        <f t="shared" si="396"/>
        <v/>
      </c>
      <c r="O1588" s="408"/>
      <c r="P1588" s="408"/>
      <c r="Q1588" s="408"/>
      <c r="R1588" s="408"/>
      <c r="S1588" s="408"/>
      <c r="T1588" s="408"/>
      <c r="U1588" s="408"/>
      <c r="V1588" s="421"/>
      <c r="W1588" s="421"/>
      <c r="X1588" s="421"/>
      <c r="Y1588" s="421"/>
      <c r="Z1588" s="421"/>
      <c r="AA1588" s="421"/>
      <c r="AB1588" s="421"/>
      <c r="AC1588" s="421"/>
      <c r="AD1588" s="421"/>
      <c r="AE1588" s="421"/>
      <c r="AF1588" s="421"/>
      <c r="AG1588" s="421"/>
      <c r="AH1588" s="421"/>
      <c r="AI1588" s="421"/>
      <c r="AJ1588" s="421"/>
      <c r="AK1588" s="421"/>
      <c r="AL1588" s="421"/>
    </row>
    <row r="1589" spans="1:38">
      <c r="A1589" s="408">
        <v>6227</v>
      </c>
      <c r="B1589" s="83">
        <f t="array" ref="B1589">SUM(--(FREQUENCY(IF(C$2:C$3072=C1589, MATCH(D$2:D$3072, D$2:D$3072, 0)), ROW(D$2:D$3072)-ROW(D$2)+1) &gt; 0))</f>
        <v>5</v>
      </c>
      <c r="C1589" s="408">
        <v>41100321</v>
      </c>
      <c r="D1589" s="408" t="s">
        <v>3344</v>
      </c>
      <c r="E1589" s="408" t="s">
        <v>1422</v>
      </c>
      <c r="F1589" s="408" t="s">
        <v>1476</v>
      </c>
      <c r="G1589" s="408" t="s">
        <v>2675</v>
      </c>
      <c r="H1589" s="197">
        <f t="shared" si="397"/>
        <v>48</v>
      </c>
      <c r="I1589" s="408">
        <v>11</v>
      </c>
      <c r="J1589" s="408">
        <v>24</v>
      </c>
      <c r="K1589" s="420">
        <f t="shared" si="395"/>
        <v>45985</v>
      </c>
      <c r="L1589" s="408" t="s">
        <v>2395</v>
      </c>
      <c r="M1589" s="408" t="s">
        <v>1469</v>
      </c>
      <c r="N1589" s="408" t="str">
        <f t="shared" si="396"/>
        <v/>
      </c>
      <c r="O1589" s="408"/>
      <c r="P1589" s="408"/>
      <c r="Q1589" s="408"/>
      <c r="R1589" s="408"/>
      <c r="S1589" s="408"/>
      <c r="T1589" s="408"/>
      <c r="U1589" s="408"/>
      <c r="V1589" s="421"/>
      <c r="W1589" s="421"/>
      <c r="X1589" s="421"/>
      <c r="Y1589" s="421"/>
      <c r="Z1589" s="421"/>
      <c r="AA1589" s="421"/>
      <c r="AB1589" s="421"/>
      <c r="AC1589" s="421"/>
      <c r="AD1589" s="421"/>
      <c r="AE1589" s="421"/>
      <c r="AF1589" s="421"/>
      <c r="AG1589" s="421"/>
      <c r="AH1589" s="421"/>
      <c r="AI1589" s="421"/>
      <c r="AJ1589" s="421"/>
      <c r="AK1589" s="421"/>
      <c r="AL1589" s="421"/>
    </row>
    <row r="1590" spans="1:38">
      <c r="A1590" s="408">
        <v>6227</v>
      </c>
      <c r="B1590" s="83">
        <f t="array" ref="B1590">SUM(--(FREQUENCY(IF(C$2:C$3072=C1590, MATCH(D$2:D$3072, D$2:D$3072, 0)), ROW(D$2:D$3072)-ROW(D$2)+1) &gt; 0))</f>
        <v>5</v>
      </c>
      <c r="C1590" s="408">
        <v>41100321</v>
      </c>
      <c r="D1590" s="408" t="s">
        <v>3345</v>
      </c>
      <c r="E1590" s="408" t="s">
        <v>1422</v>
      </c>
      <c r="F1590" s="408" t="s">
        <v>1476</v>
      </c>
      <c r="G1590" s="408" t="s">
        <v>2675</v>
      </c>
      <c r="H1590" s="197">
        <f t="shared" si="397"/>
        <v>48</v>
      </c>
      <c r="I1590" s="408">
        <v>11</v>
      </c>
      <c r="J1590" s="408">
        <v>24</v>
      </c>
      <c r="K1590" s="420">
        <f t="shared" si="395"/>
        <v>45985</v>
      </c>
      <c r="L1590" s="408" t="s">
        <v>2395</v>
      </c>
      <c r="M1590" s="408" t="s">
        <v>1469</v>
      </c>
      <c r="N1590" s="408" t="str">
        <f t="shared" si="396"/>
        <v/>
      </c>
      <c r="O1590" s="408"/>
      <c r="P1590" s="408"/>
      <c r="Q1590" s="408"/>
      <c r="R1590" s="408"/>
      <c r="S1590" s="408"/>
      <c r="T1590" s="408"/>
      <c r="U1590" s="408"/>
      <c r="V1590" s="421"/>
      <c r="W1590" s="421"/>
      <c r="X1590" s="421"/>
      <c r="Y1590" s="421"/>
      <c r="Z1590" s="421"/>
      <c r="AA1590" s="421"/>
      <c r="AB1590" s="421"/>
      <c r="AC1590" s="421"/>
      <c r="AD1590" s="421"/>
      <c r="AE1590" s="421"/>
      <c r="AF1590" s="421"/>
      <c r="AG1590" s="421"/>
      <c r="AH1590" s="421"/>
      <c r="AI1590" s="421"/>
      <c r="AJ1590" s="421"/>
      <c r="AK1590" s="421"/>
      <c r="AL1590" s="421"/>
    </row>
    <row r="1591" spans="1:38">
      <c r="A1591" s="408">
        <v>6006</v>
      </c>
      <c r="B1591" s="83">
        <f t="array" ref="B1591">SUM(--(FREQUENCY(IF(C$2:C$3072=C1591, MATCH(D$2:D$3072, D$2:D$3072, 0)), ROW(D$2:D$3072)-ROW(D$2)+1) &gt; 0))</f>
        <v>63</v>
      </c>
      <c r="C1591" s="408">
        <v>41200006</v>
      </c>
      <c r="D1591" s="408" t="s">
        <v>3346</v>
      </c>
      <c r="E1591" s="408" t="s">
        <v>1405</v>
      </c>
      <c r="F1591" s="408" t="s">
        <v>1477</v>
      </c>
      <c r="G1591" s="408" t="s">
        <v>2666</v>
      </c>
      <c r="H1591" s="197">
        <f t="shared" si="397"/>
        <v>48</v>
      </c>
      <c r="I1591" s="408">
        <v>11</v>
      </c>
      <c r="J1591" s="408">
        <v>25</v>
      </c>
      <c r="K1591" s="420">
        <f t="shared" si="395"/>
        <v>45986</v>
      </c>
      <c r="L1591" s="408" t="s">
        <v>2391</v>
      </c>
      <c r="M1591" s="408" t="s">
        <v>2392</v>
      </c>
      <c r="N1591" s="408" t="str">
        <f t="shared" si="396"/>
        <v/>
      </c>
      <c r="O1591" s="408"/>
      <c r="P1591" s="408"/>
      <c r="Q1591" s="408"/>
      <c r="R1591" s="408"/>
      <c r="S1591" s="408"/>
      <c r="T1591" s="408"/>
      <c r="U1591" s="408"/>
      <c r="V1591" s="421"/>
      <c r="W1591" s="421"/>
      <c r="X1591" s="421"/>
      <c r="Y1591" s="421"/>
      <c r="Z1591" s="421"/>
      <c r="AA1591" s="421"/>
      <c r="AB1591" s="421"/>
      <c r="AC1591" s="421"/>
      <c r="AD1591" s="421"/>
      <c r="AE1591" s="421"/>
      <c r="AF1591" s="421"/>
      <c r="AG1591" s="421"/>
      <c r="AH1591" s="421"/>
      <c r="AI1591" s="421"/>
      <c r="AJ1591" s="421"/>
      <c r="AK1591" s="421"/>
      <c r="AL1591" s="421"/>
    </row>
    <row r="1592" spans="1:38">
      <c r="A1592" s="408">
        <v>6006</v>
      </c>
      <c r="B1592" s="83">
        <f t="array" ref="B1592">SUM(--(FREQUENCY(IF(C$2:C$3072=C1592, MATCH(D$2:D$3072, D$2:D$3072, 0)), ROW(D$2:D$3072)-ROW(D$2)+1) &gt; 0))</f>
        <v>63</v>
      </c>
      <c r="C1592" s="408">
        <v>41200006</v>
      </c>
      <c r="D1592" s="408" t="s">
        <v>3347</v>
      </c>
      <c r="E1592" s="408" t="s">
        <v>1405</v>
      </c>
      <c r="F1592" s="408" t="s">
        <v>1477</v>
      </c>
      <c r="G1592" s="408" t="s">
        <v>2666</v>
      </c>
      <c r="H1592" s="197">
        <f t="shared" si="397"/>
        <v>48</v>
      </c>
      <c r="I1592" s="408">
        <v>11</v>
      </c>
      <c r="J1592" s="408">
        <v>25</v>
      </c>
      <c r="K1592" s="420">
        <f t="shared" si="395"/>
        <v>45986</v>
      </c>
      <c r="L1592" s="408" t="s">
        <v>2391</v>
      </c>
      <c r="M1592" s="408" t="s">
        <v>2392</v>
      </c>
      <c r="N1592" s="408" t="str">
        <f t="shared" si="396"/>
        <v/>
      </c>
      <c r="O1592" s="408"/>
      <c r="P1592" s="408"/>
      <c r="Q1592" s="408"/>
      <c r="R1592" s="408"/>
      <c r="S1592" s="408"/>
      <c r="T1592" s="408"/>
      <c r="U1592" s="408"/>
      <c r="V1592" s="421"/>
      <c r="W1592" s="421"/>
      <c r="X1592" s="421"/>
      <c r="Y1592" s="421"/>
      <c r="Z1592" s="421"/>
      <c r="AA1592" s="421"/>
      <c r="AB1592" s="421"/>
      <c r="AC1592" s="421"/>
      <c r="AD1592" s="421"/>
      <c r="AE1592" s="421"/>
      <c r="AF1592" s="421"/>
      <c r="AG1592" s="421"/>
      <c r="AH1592" s="421"/>
      <c r="AI1592" s="421"/>
      <c r="AJ1592" s="421"/>
      <c r="AK1592" s="421"/>
      <c r="AL1592" s="421"/>
    </row>
    <row r="1593" spans="1:38">
      <c r="A1593" s="408">
        <v>6137</v>
      </c>
      <c r="B1593" s="83">
        <f t="array" ref="B1593">SUM(--(FREQUENCY(IF(C$2:C$3072=C1593, MATCH(D$2:D$3072, D$2:D$3072, 0)), ROW(D$2:D$3072)-ROW(D$2)+1) &gt; 0))</f>
        <v>8</v>
      </c>
      <c r="C1593" s="408">
        <v>41100338</v>
      </c>
      <c r="D1593" s="408" t="s">
        <v>3348</v>
      </c>
      <c r="E1593" s="408" t="s">
        <v>1585</v>
      </c>
      <c r="F1593" s="408" t="s">
        <v>1591</v>
      </c>
      <c r="G1593" s="408" t="s">
        <v>2666</v>
      </c>
      <c r="H1593" s="197">
        <f t="shared" si="397"/>
        <v>48</v>
      </c>
      <c r="I1593" s="408">
        <v>11</v>
      </c>
      <c r="J1593" s="408">
        <v>25</v>
      </c>
      <c r="K1593" s="420">
        <f t="shared" si="395"/>
        <v>45986</v>
      </c>
      <c r="L1593" s="408" t="s">
        <v>2391</v>
      </c>
      <c r="M1593" s="408" t="s">
        <v>2392</v>
      </c>
      <c r="N1593" s="408" t="str">
        <f t="shared" si="396"/>
        <v/>
      </c>
      <c r="O1593" s="408"/>
      <c r="P1593" s="408"/>
      <c r="Q1593" s="408"/>
      <c r="R1593" s="408"/>
      <c r="S1593" s="408"/>
      <c r="T1593" s="408"/>
      <c r="U1593" s="408"/>
      <c r="V1593" s="421"/>
      <c r="W1593" s="421"/>
      <c r="X1593" s="421"/>
      <c r="Y1593" s="421"/>
      <c r="Z1593" s="421"/>
      <c r="AA1593" s="421"/>
      <c r="AB1593" s="421"/>
      <c r="AC1593" s="421"/>
      <c r="AD1593" s="421"/>
      <c r="AE1593" s="421"/>
      <c r="AF1593" s="421"/>
      <c r="AG1593" s="421"/>
      <c r="AH1593" s="421"/>
      <c r="AI1593" s="421"/>
      <c r="AJ1593" s="421"/>
      <c r="AK1593" s="421"/>
      <c r="AL1593" s="421"/>
    </row>
    <row r="1594" spans="1:38">
      <c r="A1594" s="408">
        <v>6137</v>
      </c>
      <c r="B1594" s="83">
        <f t="array" ref="B1594">SUM(--(FREQUENCY(IF(C$2:C$3072=C1594, MATCH(D$2:D$3072, D$2:D$3072, 0)), ROW(D$2:D$3072)-ROW(D$2)+1) &gt; 0))</f>
        <v>8</v>
      </c>
      <c r="C1594" s="408">
        <v>41100338</v>
      </c>
      <c r="D1594" s="408" t="s">
        <v>3349</v>
      </c>
      <c r="E1594" s="408" t="s">
        <v>1585</v>
      </c>
      <c r="F1594" s="408" t="s">
        <v>1591</v>
      </c>
      <c r="G1594" s="408" t="s">
        <v>2666</v>
      </c>
      <c r="H1594" s="197">
        <f t="shared" si="397"/>
        <v>48</v>
      </c>
      <c r="I1594" s="408">
        <v>11</v>
      </c>
      <c r="J1594" s="408">
        <v>25</v>
      </c>
      <c r="K1594" s="420">
        <f t="shared" si="395"/>
        <v>45986</v>
      </c>
      <c r="L1594" s="408" t="s">
        <v>2391</v>
      </c>
      <c r="M1594" s="408" t="s">
        <v>2392</v>
      </c>
      <c r="N1594" s="408" t="str">
        <f t="shared" si="396"/>
        <v/>
      </c>
      <c r="O1594" s="408"/>
      <c r="P1594" s="408"/>
      <c r="Q1594" s="408"/>
      <c r="R1594" s="408"/>
      <c r="S1594" s="408"/>
      <c r="T1594" s="408"/>
      <c r="U1594" s="408"/>
      <c r="V1594" s="421"/>
      <c r="W1594" s="421"/>
      <c r="X1594" s="421"/>
      <c r="Y1594" s="421"/>
      <c r="Z1594" s="421"/>
      <c r="AA1594" s="421"/>
      <c r="AB1594" s="421"/>
      <c r="AC1594" s="421"/>
      <c r="AD1594" s="421"/>
      <c r="AE1594" s="421"/>
      <c r="AF1594" s="421"/>
      <c r="AG1594" s="421"/>
      <c r="AH1594" s="421"/>
      <c r="AI1594" s="421"/>
      <c r="AJ1594" s="421"/>
      <c r="AK1594" s="421"/>
      <c r="AL1594" s="421"/>
    </row>
    <row r="1595" spans="1:38">
      <c r="A1595" s="408">
        <v>6054</v>
      </c>
      <c r="B1595" s="83">
        <f t="array" ref="B1595">SUM(--(FREQUENCY(IF(C$2:C$3072=C1595, MATCH(D$2:D$3072, D$2:D$3072, 0)), ROW(D$2:D$3072)-ROW(D$2)+1) &gt; 0))</f>
        <v>6</v>
      </c>
      <c r="C1595" s="408">
        <v>41100584</v>
      </c>
      <c r="D1595" s="408" t="s">
        <v>3350</v>
      </c>
      <c r="E1595" s="408" t="s">
        <v>1422</v>
      </c>
      <c r="F1595" s="408" t="s">
        <v>1591</v>
      </c>
      <c r="G1595" s="408" t="s">
        <v>2666</v>
      </c>
      <c r="H1595" s="197">
        <f t="shared" si="397"/>
        <v>48</v>
      </c>
      <c r="I1595" s="408">
        <v>11</v>
      </c>
      <c r="J1595" s="408">
        <v>25</v>
      </c>
      <c r="K1595" s="420">
        <f t="shared" si="395"/>
        <v>45986</v>
      </c>
      <c r="L1595" s="408" t="s">
        <v>2391</v>
      </c>
      <c r="M1595" s="408" t="s">
        <v>1468</v>
      </c>
      <c r="N1595" s="408" t="str">
        <f t="shared" si="396"/>
        <v/>
      </c>
      <c r="O1595" s="408"/>
      <c r="P1595" s="408"/>
      <c r="Q1595" s="408"/>
      <c r="R1595" s="408"/>
      <c r="S1595" s="408"/>
      <c r="T1595" s="408"/>
      <c r="U1595" s="408"/>
      <c r="V1595" s="421"/>
      <c r="W1595" s="421"/>
      <c r="X1595" s="421"/>
      <c r="Y1595" s="421"/>
      <c r="Z1595" s="421"/>
      <c r="AA1595" s="421"/>
      <c r="AB1595" s="421"/>
      <c r="AC1595" s="421"/>
      <c r="AD1595" s="421"/>
      <c r="AE1595" s="421"/>
      <c r="AF1595" s="421"/>
      <c r="AG1595" s="421"/>
      <c r="AH1595" s="421"/>
      <c r="AI1595" s="421"/>
      <c r="AJ1595" s="421"/>
      <c r="AK1595" s="421"/>
      <c r="AL1595" s="421"/>
    </row>
    <row r="1596" spans="1:38">
      <c r="A1596" s="408">
        <v>6246</v>
      </c>
      <c r="B1596" s="83">
        <f t="array" ref="B1596">SUM(--(FREQUENCY(IF(C$2:C$3072=C1596, MATCH(D$2:D$3072, D$2:D$3072, 0)), ROW(D$2:D$3072)-ROW(D$2)+1) &gt; 0))</f>
        <v>2</v>
      </c>
      <c r="C1596" s="408">
        <v>41200004</v>
      </c>
      <c r="D1596" s="408" t="s">
        <v>3351</v>
      </c>
      <c r="E1596" s="408" t="s">
        <v>1424</v>
      </c>
      <c r="F1596" s="408" t="s">
        <v>1476</v>
      </c>
      <c r="G1596" s="408" t="s">
        <v>2675</v>
      </c>
      <c r="H1596" s="197">
        <f t="shared" si="397"/>
        <v>48</v>
      </c>
      <c r="I1596" s="408">
        <v>11</v>
      </c>
      <c r="J1596" s="408">
        <v>25</v>
      </c>
      <c r="K1596" s="420">
        <f t="shared" si="395"/>
        <v>45986</v>
      </c>
      <c r="L1596" s="408" t="s">
        <v>2395</v>
      </c>
      <c r="M1596" s="408" t="s">
        <v>1469</v>
      </c>
      <c r="N1596" s="408" t="str">
        <f t="shared" si="396"/>
        <v/>
      </c>
      <c r="O1596" s="408"/>
      <c r="P1596" s="408"/>
      <c r="Q1596" s="408"/>
      <c r="R1596" s="408"/>
      <c r="S1596" s="408"/>
      <c r="T1596" s="408"/>
      <c r="U1596" s="408"/>
      <c r="V1596" s="421"/>
      <c r="W1596" s="421"/>
      <c r="X1596" s="421"/>
      <c r="Y1596" s="421"/>
      <c r="Z1596" s="421"/>
      <c r="AA1596" s="421"/>
      <c r="AB1596" s="421"/>
      <c r="AC1596" s="421"/>
      <c r="AD1596" s="421"/>
      <c r="AE1596" s="421"/>
      <c r="AF1596" s="421"/>
      <c r="AG1596" s="421"/>
      <c r="AH1596" s="421"/>
      <c r="AI1596" s="421"/>
      <c r="AJ1596" s="421"/>
      <c r="AK1596" s="421"/>
      <c r="AL1596" s="421"/>
    </row>
    <row r="1597" spans="1:38">
      <c r="A1597" s="408">
        <v>5981</v>
      </c>
      <c r="B1597" s="83">
        <f t="array" ref="B1597">SUM(--(FREQUENCY(IF(C$2:C$3072=C1597, MATCH(D$2:D$3072, D$2:D$3072, 0)), ROW(D$2:D$3072)-ROW(D$2)+1) &gt; 0))</f>
        <v>76</v>
      </c>
      <c r="C1597" s="408">
        <v>41200007</v>
      </c>
      <c r="D1597" s="408" t="s">
        <v>3352</v>
      </c>
      <c r="E1597" s="408" t="s">
        <v>1405</v>
      </c>
      <c r="F1597" s="408" t="s">
        <v>1591</v>
      </c>
      <c r="G1597" s="408" t="s">
        <v>2666</v>
      </c>
      <c r="H1597" s="197">
        <f t="shared" si="397"/>
        <v>48</v>
      </c>
      <c r="I1597" s="408">
        <v>11</v>
      </c>
      <c r="J1597" s="408">
        <v>25</v>
      </c>
      <c r="K1597" s="420">
        <f t="shared" si="395"/>
        <v>45986</v>
      </c>
      <c r="L1597" s="408" t="s">
        <v>2395</v>
      </c>
      <c r="M1597" s="408" t="s">
        <v>1469</v>
      </c>
      <c r="N1597" s="408" t="s">
        <v>2877</v>
      </c>
      <c r="O1597" s="408" t="s">
        <v>2368</v>
      </c>
      <c r="P1597" s="408" t="s">
        <v>2371</v>
      </c>
      <c r="Q1597" s="408">
        <v>11001964</v>
      </c>
      <c r="R1597" s="408" t="s">
        <v>562</v>
      </c>
      <c r="S1597" s="408" t="s">
        <v>3277</v>
      </c>
      <c r="T1597" s="408"/>
      <c r="U1597" s="408"/>
      <c r="V1597" s="421"/>
      <c r="W1597" s="421"/>
      <c r="X1597" s="421"/>
      <c r="Y1597" s="421"/>
      <c r="Z1597" s="421"/>
      <c r="AA1597" s="421"/>
      <c r="AB1597" s="421"/>
      <c r="AC1597" s="421"/>
      <c r="AD1597" s="421"/>
      <c r="AE1597" s="421"/>
      <c r="AF1597" s="421"/>
      <c r="AG1597" s="421"/>
      <c r="AH1597" s="421"/>
      <c r="AI1597" s="421"/>
      <c r="AJ1597" s="421"/>
      <c r="AK1597" s="421"/>
      <c r="AL1597" s="421"/>
    </row>
    <row r="1598" spans="1:38">
      <c r="A1598" s="408">
        <v>5981</v>
      </c>
      <c r="B1598" s="83">
        <f t="array" ref="B1598">SUM(--(FREQUENCY(IF(C$2:C$3072=C1598, MATCH(D$2:D$3072, D$2:D$3072, 0)), ROW(D$2:D$3072)-ROW(D$2)+1) &gt; 0))</f>
        <v>76</v>
      </c>
      <c r="C1598" s="408">
        <v>41200007</v>
      </c>
      <c r="D1598" s="408" t="s">
        <v>3352</v>
      </c>
      <c r="E1598" s="408" t="s">
        <v>1405</v>
      </c>
      <c r="F1598" s="408" t="s">
        <v>1591</v>
      </c>
      <c r="G1598" s="408" t="s">
        <v>2666</v>
      </c>
      <c r="H1598" s="197">
        <f t="shared" si="397"/>
        <v>48</v>
      </c>
      <c r="I1598" s="408">
        <v>11</v>
      </c>
      <c r="J1598" s="408">
        <v>25</v>
      </c>
      <c r="K1598" s="420">
        <f t="shared" si="395"/>
        <v>45986</v>
      </c>
      <c r="L1598" s="408" t="s">
        <v>2395</v>
      </c>
      <c r="M1598" s="408" t="s">
        <v>1469</v>
      </c>
      <c r="N1598" s="408" t="s">
        <v>2877</v>
      </c>
      <c r="O1598" s="408" t="s">
        <v>2368</v>
      </c>
      <c r="P1598" s="408" t="s">
        <v>2371</v>
      </c>
      <c r="Q1598" s="408">
        <v>11001964</v>
      </c>
      <c r="R1598" s="408" t="s">
        <v>562</v>
      </c>
      <c r="S1598" s="408" t="s">
        <v>3275</v>
      </c>
      <c r="T1598" s="408"/>
      <c r="U1598" s="408"/>
      <c r="V1598" s="421"/>
      <c r="W1598" s="421"/>
      <c r="X1598" s="421"/>
      <c r="Y1598" s="421"/>
      <c r="Z1598" s="421"/>
      <c r="AA1598" s="421"/>
      <c r="AB1598" s="421"/>
      <c r="AC1598" s="421"/>
      <c r="AD1598" s="421"/>
      <c r="AE1598" s="421"/>
      <c r="AF1598" s="421"/>
      <c r="AG1598" s="421"/>
      <c r="AH1598" s="421"/>
      <c r="AI1598" s="421"/>
      <c r="AJ1598" s="421"/>
      <c r="AK1598" s="421"/>
      <c r="AL1598" s="421"/>
    </row>
    <row r="1599" spans="1:38">
      <c r="A1599" s="408">
        <v>5981</v>
      </c>
      <c r="B1599" s="83">
        <f t="array" ref="B1599">SUM(--(FREQUENCY(IF(C$2:C$3072=C1599, MATCH(D$2:D$3072, D$2:D$3072, 0)), ROW(D$2:D$3072)-ROW(D$2)+1) &gt; 0))</f>
        <v>76</v>
      </c>
      <c r="C1599" s="408">
        <v>41200007</v>
      </c>
      <c r="D1599" s="408" t="s">
        <v>3353</v>
      </c>
      <c r="E1599" s="408" t="s">
        <v>1405</v>
      </c>
      <c r="F1599" s="408" t="s">
        <v>1591</v>
      </c>
      <c r="G1599" s="408" t="s">
        <v>2666</v>
      </c>
      <c r="H1599" s="197">
        <f t="shared" si="397"/>
        <v>48</v>
      </c>
      <c r="I1599" s="408">
        <v>11</v>
      </c>
      <c r="J1599" s="408">
        <v>25</v>
      </c>
      <c r="K1599" s="420">
        <f t="shared" si="395"/>
        <v>45986</v>
      </c>
      <c r="L1599" s="408" t="s">
        <v>2395</v>
      </c>
      <c r="M1599" s="408" t="s">
        <v>1469</v>
      </c>
      <c r="N1599" s="408" t="s">
        <v>2877</v>
      </c>
      <c r="O1599" s="408" t="s">
        <v>2368</v>
      </c>
      <c r="P1599" s="408" t="s">
        <v>2371</v>
      </c>
      <c r="Q1599" s="408">
        <v>11001964</v>
      </c>
      <c r="R1599" s="408" t="s">
        <v>562</v>
      </c>
      <c r="S1599" s="408" t="s">
        <v>3277</v>
      </c>
      <c r="T1599" s="408"/>
      <c r="U1599" s="408"/>
      <c r="V1599" s="421"/>
      <c r="W1599" s="421"/>
      <c r="X1599" s="421"/>
      <c r="Y1599" s="421"/>
      <c r="Z1599" s="421"/>
      <c r="AA1599" s="421"/>
      <c r="AB1599" s="421"/>
      <c r="AC1599" s="421"/>
      <c r="AD1599" s="421"/>
      <c r="AE1599" s="421"/>
      <c r="AF1599" s="421"/>
      <c r="AG1599" s="421"/>
      <c r="AH1599" s="421"/>
      <c r="AI1599" s="421"/>
      <c r="AJ1599" s="421"/>
      <c r="AK1599" s="421"/>
      <c r="AL1599" s="421"/>
    </row>
    <row r="1600" spans="1:38">
      <c r="A1600" s="408">
        <v>5981</v>
      </c>
      <c r="B1600" s="83">
        <f t="array" ref="B1600">SUM(--(FREQUENCY(IF(C$2:C$3072=C1600, MATCH(D$2:D$3072, D$2:D$3072, 0)), ROW(D$2:D$3072)-ROW(D$2)+1) &gt; 0))</f>
        <v>76</v>
      </c>
      <c r="C1600" s="408">
        <v>41200007</v>
      </c>
      <c r="D1600" s="408" t="s">
        <v>3353</v>
      </c>
      <c r="E1600" s="408" t="s">
        <v>1405</v>
      </c>
      <c r="F1600" s="408" t="s">
        <v>1591</v>
      </c>
      <c r="G1600" s="408" t="s">
        <v>2666</v>
      </c>
      <c r="H1600" s="197">
        <f t="shared" si="397"/>
        <v>48</v>
      </c>
      <c r="I1600" s="408">
        <v>11</v>
      </c>
      <c r="J1600" s="408">
        <v>25</v>
      </c>
      <c r="K1600" s="420">
        <f t="shared" si="395"/>
        <v>45986</v>
      </c>
      <c r="L1600" s="408" t="s">
        <v>2395</v>
      </c>
      <c r="M1600" s="408" t="s">
        <v>1469</v>
      </c>
      <c r="N1600" s="408" t="s">
        <v>2877</v>
      </c>
      <c r="O1600" s="408" t="s">
        <v>2368</v>
      </c>
      <c r="P1600" s="408" t="s">
        <v>2371</v>
      </c>
      <c r="Q1600" s="408">
        <v>11001964</v>
      </c>
      <c r="R1600" s="408" t="s">
        <v>562</v>
      </c>
      <c r="S1600" s="408" t="s">
        <v>3273</v>
      </c>
      <c r="T1600" s="408"/>
      <c r="U1600" s="408"/>
      <c r="V1600" s="421"/>
      <c r="W1600" s="421"/>
      <c r="X1600" s="421"/>
      <c r="Y1600" s="421"/>
      <c r="Z1600" s="421"/>
      <c r="AA1600" s="421"/>
      <c r="AB1600" s="421"/>
      <c r="AC1600" s="421"/>
      <c r="AD1600" s="421"/>
      <c r="AE1600" s="421"/>
      <c r="AF1600" s="421"/>
      <c r="AG1600" s="421"/>
      <c r="AH1600" s="421"/>
      <c r="AI1600" s="421"/>
      <c r="AJ1600" s="421"/>
      <c r="AK1600" s="421"/>
      <c r="AL1600" s="421"/>
    </row>
    <row r="1601" spans="1:38">
      <c r="A1601" s="408">
        <v>6281</v>
      </c>
      <c r="B1601" s="83">
        <f t="array" ref="B1601">SUM(--(FREQUENCY(IF(C$2:C$3072=C1601, MATCH(D$2:D$3072, D$2:D$3072, 0)), ROW(D$2:D$3072)-ROW(D$2)+1) &gt; 0))</f>
        <v>1</v>
      </c>
      <c r="C1601" s="408">
        <v>41200037</v>
      </c>
      <c r="D1601" s="408" t="s">
        <v>2909</v>
      </c>
      <c r="E1601" s="408" t="s">
        <v>1426</v>
      </c>
      <c r="F1601" s="408" t="s">
        <v>1476</v>
      </c>
      <c r="G1601" s="408" t="s">
        <v>2675</v>
      </c>
      <c r="H1601" s="197">
        <f t="shared" si="397"/>
        <v>48</v>
      </c>
      <c r="I1601" s="408">
        <v>11</v>
      </c>
      <c r="J1601" s="408">
        <v>26</v>
      </c>
      <c r="K1601" s="420">
        <f t="shared" si="395"/>
        <v>45987</v>
      </c>
      <c r="L1601" s="408" t="s">
        <v>2391</v>
      </c>
      <c r="M1601" s="408" t="s">
        <v>2392</v>
      </c>
      <c r="N1601" s="408" t="str">
        <f t="shared" si="396"/>
        <v/>
      </c>
      <c r="O1601" s="408"/>
      <c r="P1601" s="408"/>
      <c r="Q1601" s="408"/>
      <c r="R1601" s="408"/>
      <c r="S1601" s="408"/>
      <c r="T1601" s="408"/>
      <c r="U1601" s="408"/>
      <c r="V1601" s="421"/>
      <c r="W1601" s="421"/>
      <c r="X1601" s="421"/>
      <c r="Y1601" s="421"/>
      <c r="Z1601" s="421"/>
      <c r="AA1601" s="421"/>
      <c r="AB1601" s="421"/>
      <c r="AC1601" s="421"/>
      <c r="AD1601" s="421"/>
      <c r="AE1601" s="421"/>
      <c r="AF1601" s="421"/>
      <c r="AG1601" s="421"/>
      <c r="AH1601" s="421"/>
      <c r="AI1601" s="421"/>
      <c r="AJ1601" s="421"/>
      <c r="AK1601" s="421"/>
      <c r="AL1601" s="421"/>
    </row>
    <row r="1602" spans="1:38">
      <c r="A1602" s="408">
        <v>6055</v>
      </c>
      <c r="B1602" s="83">
        <f t="array" ref="B1602">SUM(--(FREQUENCY(IF(C$2:C$3072=C1602, MATCH(D$2:D$3072, D$2:D$3072, 0)), ROW(D$2:D$3072)-ROW(D$2)+1) &gt; 0))</f>
        <v>6</v>
      </c>
      <c r="C1602" s="408">
        <v>41200088</v>
      </c>
      <c r="D1602" s="408" t="s">
        <v>3354</v>
      </c>
      <c r="E1602" s="408" t="s">
        <v>1422</v>
      </c>
      <c r="F1602" s="408" t="s">
        <v>1476</v>
      </c>
      <c r="G1602" s="408" t="s">
        <v>2675</v>
      </c>
      <c r="H1602" s="197">
        <f t="shared" si="397"/>
        <v>48</v>
      </c>
      <c r="I1602" s="408">
        <v>11</v>
      </c>
      <c r="J1602" s="408">
        <v>26</v>
      </c>
      <c r="K1602" s="420">
        <f t="shared" si="395"/>
        <v>45987</v>
      </c>
      <c r="L1602" s="408" t="s">
        <v>2391</v>
      </c>
      <c r="M1602" s="408" t="s">
        <v>2392</v>
      </c>
      <c r="N1602" s="408" t="str">
        <f t="shared" si="396"/>
        <v/>
      </c>
      <c r="O1602" s="408"/>
      <c r="P1602" s="408"/>
      <c r="Q1602" s="408"/>
      <c r="R1602" s="408"/>
      <c r="S1602" s="408"/>
      <c r="T1602" s="408"/>
      <c r="U1602" s="408"/>
      <c r="V1602" s="421"/>
      <c r="W1602" s="421"/>
      <c r="X1602" s="421"/>
      <c r="Y1602" s="421"/>
      <c r="Z1602" s="421"/>
      <c r="AA1602" s="421"/>
      <c r="AB1602" s="421"/>
      <c r="AC1602" s="421"/>
      <c r="AD1602" s="421"/>
      <c r="AE1602" s="421"/>
      <c r="AF1602" s="421"/>
      <c r="AG1602" s="421"/>
      <c r="AH1602" s="421"/>
      <c r="AI1602" s="421"/>
      <c r="AJ1602" s="421"/>
      <c r="AK1602" s="421"/>
      <c r="AL1602" s="421"/>
    </row>
    <row r="1603" spans="1:38">
      <c r="A1603" s="408">
        <v>6007</v>
      </c>
      <c r="B1603" s="83">
        <f t="array" ref="B1603">SUM(--(FREQUENCY(IF(C$2:C$3072=C1603, MATCH(D$2:D$3072, D$2:D$3072, 0)), ROW(D$2:D$3072)-ROW(D$2)+1) &gt; 0))</f>
        <v>29</v>
      </c>
      <c r="C1603" s="408">
        <v>41200005</v>
      </c>
      <c r="D1603" s="408" t="s">
        <v>3355</v>
      </c>
      <c r="E1603" s="408" t="s">
        <v>1405</v>
      </c>
      <c r="F1603" s="408" t="s">
        <v>1591</v>
      </c>
      <c r="G1603" s="408" t="s">
        <v>2666</v>
      </c>
      <c r="H1603" s="197">
        <f t="shared" si="397"/>
        <v>48</v>
      </c>
      <c r="I1603" s="408">
        <v>11</v>
      </c>
      <c r="J1603" s="408">
        <v>26</v>
      </c>
      <c r="K1603" s="420">
        <f t="shared" si="395"/>
        <v>45987</v>
      </c>
      <c r="L1603" s="408" t="s">
        <v>2391</v>
      </c>
      <c r="M1603" s="408" t="s">
        <v>2392</v>
      </c>
      <c r="N1603" s="408" t="str">
        <f t="shared" si="396"/>
        <v/>
      </c>
      <c r="O1603" s="408"/>
      <c r="P1603" s="408"/>
      <c r="Q1603" s="408"/>
      <c r="R1603" s="408"/>
      <c r="S1603" s="408"/>
      <c r="T1603" s="408"/>
      <c r="U1603" s="408"/>
      <c r="V1603" s="421"/>
      <c r="W1603" s="421"/>
      <c r="X1603" s="421"/>
      <c r="Y1603" s="421"/>
      <c r="Z1603" s="421"/>
      <c r="AA1603" s="421"/>
      <c r="AB1603" s="421"/>
      <c r="AC1603" s="421"/>
      <c r="AD1603" s="421"/>
      <c r="AE1603" s="421"/>
      <c r="AF1603" s="421"/>
      <c r="AG1603" s="421"/>
      <c r="AH1603" s="421"/>
      <c r="AI1603" s="421"/>
      <c r="AJ1603" s="421"/>
      <c r="AK1603" s="421"/>
      <c r="AL1603" s="421"/>
    </row>
    <row r="1604" spans="1:38">
      <c r="A1604" s="408">
        <v>6148</v>
      </c>
      <c r="B1604" s="83">
        <f t="array" ref="B1604">SUM(--(FREQUENCY(IF(C$2:C$3072=C1604, MATCH(D$2:D$3072, D$2:D$3072, 0)), ROW(D$2:D$3072)-ROW(D$2)+1) &gt; 0))</f>
        <v>1</v>
      </c>
      <c r="C1604" s="408">
        <v>41200181</v>
      </c>
      <c r="D1604" s="408" t="s">
        <v>3356</v>
      </c>
      <c r="E1604" s="408" t="s">
        <v>1405</v>
      </c>
      <c r="F1604" s="408" t="s">
        <v>1581</v>
      </c>
      <c r="G1604" s="408" t="s">
        <v>2675</v>
      </c>
      <c r="H1604" s="197">
        <f t="shared" si="397"/>
        <v>48</v>
      </c>
      <c r="I1604" s="408">
        <v>11</v>
      </c>
      <c r="J1604" s="408">
        <v>26</v>
      </c>
      <c r="K1604" s="420">
        <f t="shared" si="395"/>
        <v>45987</v>
      </c>
      <c r="L1604" s="408" t="s">
        <v>2392</v>
      </c>
      <c r="M1604" s="408" t="s">
        <v>2392</v>
      </c>
      <c r="N1604" s="408" t="str">
        <f t="shared" si="396"/>
        <v/>
      </c>
      <c r="O1604" s="408"/>
      <c r="P1604" s="408"/>
      <c r="Q1604" s="408"/>
      <c r="R1604" s="408"/>
      <c r="S1604" s="408"/>
      <c r="T1604" s="408"/>
      <c r="U1604" s="408"/>
      <c r="V1604" s="421"/>
      <c r="W1604" s="421"/>
      <c r="X1604" s="421"/>
      <c r="Y1604" s="421"/>
      <c r="Z1604" s="421"/>
      <c r="AA1604" s="421"/>
      <c r="AB1604" s="421"/>
      <c r="AC1604" s="421"/>
      <c r="AD1604" s="421"/>
      <c r="AE1604" s="421"/>
      <c r="AF1604" s="421"/>
      <c r="AG1604" s="421"/>
      <c r="AH1604" s="421"/>
      <c r="AI1604" s="421"/>
      <c r="AJ1604" s="421"/>
      <c r="AK1604" s="421"/>
      <c r="AL1604" s="421"/>
    </row>
    <row r="1605" spans="1:38">
      <c r="A1605" s="408">
        <v>6007</v>
      </c>
      <c r="B1605" s="83">
        <f t="array" ref="B1605">SUM(--(FREQUENCY(IF(C$2:C$3072=C1605, MATCH(D$2:D$3072, D$2:D$3072, 0)), ROW(D$2:D$3072)-ROW(D$2)+1) &gt; 0))</f>
        <v>29</v>
      </c>
      <c r="C1605" s="408">
        <v>41200005</v>
      </c>
      <c r="D1605" s="408" t="s">
        <v>3357</v>
      </c>
      <c r="E1605" s="408" t="s">
        <v>1405</v>
      </c>
      <c r="F1605" s="408" t="s">
        <v>1591</v>
      </c>
      <c r="G1605" s="408" t="s">
        <v>2666</v>
      </c>
      <c r="H1605" s="197">
        <f t="shared" si="397"/>
        <v>48</v>
      </c>
      <c r="I1605" s="408">
        <v>11</v>
      </c>
      <c r="J1605" s="408">
        <v>26</v>
      </c>
      <c r="K1605" s="420">
        <f t="shared" si="395"/>
        <v>45987</v>
      </c>
      <c r="L1605" s="408" t="s">
        <v>2391</v>
      </c>
      <c r="M1605" s="408" t="s">
        <v>2392</v>
      </c>
      <c r="N1605" s="408" t="str">
        <f t="shared" si="396"/>
        <v/>
      </c>
      <c r="O1605" s="408"/>
      <c r="P1605" s="408"/>
      <c r="Q1605" s="408"/>
      <c r="R1605" s="408"/>
      <c r="S1605" s="408"/>
      <c r="T1605" s="408"/>
      <c r="U1605" s="408"/>
      <c r="V1605" s="421"/>
      <c r="W1605" s="421"/>
      <c r="X1605" s="421"/>
      <c r="Y1605" s="421"/>
      <c r="Z1605" s="421"/>
      <c r="AA1605" s="421"/>
      <c r="AB1605" s="421"/>
      <c r="AC1605" s="421"/>
      <c r="AD1605" s="421"/>
      <c r="AE1605" s="421"/>
      <c r="AF1605" s="421"/>
      <c r="AG1605" s="421"/>
      <c r="AH1605" s="421"/>
      <c r="AI1605" s="421"/>
      <c r="AJ1605" s="421"/>
      <c r="AK1605" s="421"/>
      <c r="AL1605" s="421"/>
    </row>
    <row r="1606" spans="1:38">
      <c r="A1606" s="408">
        <v>6207</v>
      </c>
      <c r="B1606" s="83">
        <f t="array" ref="B1606">SUM(--(FREQUENCY(IF(C$2:C$3072=C1606, MATCH(D$2:D$3072, D$2:D$3072, 0)), ROW(D$2:D$3072)-ROW(D$2)+1) &gt; 0))</f>
        <v>76</v>
      </c>
      <c r="C1606" s="408">
        <v>41200007</v>
      </c>
      <c r="D1606" s="408" t="s">
        <v>3358</v>
      </c>
      <c r="E1606" s="408" t="s">
        <v>1405</v>
      </c>
      <c r="F1606" s="408" t="s">
        <v>1591</v>
      </c>
      <c r="G1606" s="408" t="s">
        <v>2666</v>
      </c>
      <c r="H1606" s="197">
        <f t="shared" si="397"/>
        <v>48</v>
      </c>
      <c r="I1606" s="408">
        <v>11</v>
      </c>
      <c r="J1606" s="408">
        <v>26</v>
      </c>
      <c r="K1606" s="420">
        <f t="shared" si="395"/>
        <v>45987</v>
      </c>
      <c r="L1606" s="408" t="s">
        <v>2391</v>
      </c>
      <c r="M1606" s="408" t="s">
        <v>1468</v>
      </c>
      <c r="N1606" s="408" t="str">
        <f t="shared" si="396"/>
        <v/>
      </c>
      <c r="O1606" s="408"/>
      <c r="P1606" s="408"/>
      <c r="Q1606" s="408"/>
      <c r="R1606" s="408"/>
      <c r="S1606" s="408"/>
      <c r="T1606" s="408"/>
      <c r="U1606" s="408"/>
      <c r="V1606" s="421"/>
      <c r="W1606" s="421"/>
      <c r="X1606" s="421"/>
      <c r="Y1606" s="421"/>
      <c r="Z1606" s="421"/>
      <c r="AA1606" s="421"/>
      <c r="AB1606" s="421"/>
      <c r="AC1606" s="421"/>
      <c r="AD1606" s="421"/>
      <c r="AE1606" s="421"/>
      <c r="AF1606" s="421"/>
      <c r="AG1606" s="421"/>
      <c r="AH1606" s="421"/>
      <c r="AI1606" s="421"/>
      <c r="AJ1606" s="421"/>
      <c r="AK1606" s="421"/>
      <c r="AL1606" s="421"/>
    </row>
    <row r="1607" spans="1:38">
      <c r="A1607" s="408">
        <v>6207</v>
      </c>
      <c r="B1607" s="83">
        <f t="array" ref="B1607">SUM(--(FREQUENCY(IF(C$2:C$3072=C1607, MATCH(D$2:D$3072, D$2:D$3072, 0)), ROW(D$2:D$3072)-ROW(D$2)+1) &gt; 0))</f>
        <v>76</v>
      </c>
      <c r="C1607" s="408">
        <v>41200007</v>
      </c>
      <c r="D1607" s="408" t="s">
        <v>3359</v>
      </c>
      <c r="E1607" s="408" t="s">
        <v>1405</v>
      </c>
      <c r="F1607" s="408" t="s">
        <v>1591</v>
      </c>
      <c r="G1607" s="408" t="s">
        <v>2666</v>
      </c>
      <c r="H1607" s="197">
        <f t="shared" si="397"/>
        <v>48</v>
      </c>
      <c r="I1607" s="408">
        <v>11</v>
      </c>
      <c r="J1607" s="408">
        <v>26</v>
      </c>
      <c r="K1607" s="420">
        <f t="shared" si="395"/>
        <v>45987</v>
      </c>
      <c r="L1607" s="408" t="s">
        <v>2391</v>
      </c>
      <c r="M1607" s="408" t="s">
        <v>1468</v>
      </c>
      <c r="N1607" s="408" t="s">
        <v>2877</v>
      </c>
      <c r="O1607" s="408" t="s">
        <v>2368</v>
      </c>
      <c r="P1607" s="408" t="s">
        <v>2371</v>
      </c>
      <c r="Q1607" s="408">
        <v>11001966</v>
      </c>
      <c r="R1607" s="408" t="s">
        <v>1151</v>
      </c>
      <c r="S1607" s="408" t="s">
        <v>3360</v>
      </c>
      <c r="T1607" s="408"/>
      <c r="U1607" s="408"/>
      <c r="V1607" s="421"/>
      <c r="W1607" s="421"/>
      <c r="X1607" s="421"/>
      <c r="Y1607" s="421"/>
      <c r="Z1607" s="421"/>
      <c r="AA1607" s="421"/>
      <c r="AB1607" s="421"/>
      <c r="AC1607" s="421"/>
      <c r="AD1607" s="421"/>
      <c r="AE1607" s="421"/>
      <c r="AF1607" s="421"/>
      <c r="AG1607" s="421"/>
      <c r="AH1607" s="421"/>
      <c r="AI1607" s="421"/>
      <c r="AJ1607" s="421"/>
      <c r="AK1607" s="421"/>
      <c r="AL1607" s="421"/>
    </row>
    <row r="1608" spans="1:38">
      <c r="A1608" s="408">
        <v>6207</v>
      </c>
      <c r="B1608" s="83">
        <f t="array" ref="B1608">SUM(--(FREQUENCY(IF(C$2:C$3072=C1608, MATCH(D$2:D$3072, D$2:D$3072, 0)), ROW(D$2:D$3072)-ROW(D$2)+1) &gt; 0))</f>
        <v>76</v>
      </c>
      <c r="C1608" s="408">
        <v>41200007</v>
      </c>
      <c r="D1608" s="408" t="s">
        <v>3359</v>
      </c>
      <c r="E1608" s="408" t="s">
        <v>1405</v>
      </c>
      <c r="F1608" s="408" t="s">
        <v>1591</v>
      </c>
      <c r="G1608" s="408" t="s">
        <v>2666</v>
      </c>
      <c r="H1608" s="197">
        <f t="shared" si="397"/>
        <v>48</v>
      </c>
      <c r="I1608" s="408">
        <v>11</v>
      </c>
      <c r="J1608" s="408">
        <v>26</v>
      </c>
      <c r="K1608" s="420">
        <f t="shared" si="395"/>
        <v>45987</v>
      </c>
      <c r="L1608" s="408" t="s">
        <v>2391</v>
      </c>
      <c r="M1608" s="408" t="s">
        <v>1468</v>
      </c>
      <c r="N1608" s="408" t="s">
        <v>2877</v>
      </c>
      <c r="O1608" s="408" t="s">
        <v>2368</v>
      </c>
      <c r="P1608" s="408" t="s">
        <v>2371</v>
      </c>
      <c r="Q1608" s="408">
        <v>11001964</v>
      </c>
      <c r="R1608" s="408" t="s">
        <v>562</v>
      </c>
      <c r="S1608" s="408" t="s">
        <v>3361</v>
      </c>
      <c r="T1608" s="408"/>
      <c r="U1608" s="408"/>
      <c r="V1608" s="421"/>
      <c r="W1608" s="421"/>
      <c r="X1608" s="421"/>
      <c r="Y1608" s="421"/>
      <c r="Z1608" s="421"/>
      <c r="AA1608" s="421"/>
      <c r="AB1608" s="421"/>
      <c r="AC1608" s="421"/>
      <c r="AD1608" s="421"/>
      <c r="AE1608" s="421"/>
      <c r="AF1608" s="421"/>
      <c r="AG1608" s="421"/>
      <c r="AH1608" s="421"/>
      <c r="AI1608" s="421"/>
      <c r="AJ1608" s="421"/>
      <c r="AK1608" s="421"/>
      <c r="AL1608" s="421"/>
    </row>
    <row r="1609" spans="1:38">
      <c r="A1609" s="408">
        <v>6102</v>
      </c>
      <c r="B1609" s="83">
        <f t="array" ref="B1609">SUM(--(FREQUENCY(IF(C$2:C$3072=C1609, MATCH(D$2:D$3072, D$2:D$3072, 0)), ROW(D$2:D$3072)-ROW(D$2)+1) &gt; 0))</f>
        <v>4</v>
      </c>
      <c r="C1609" s="408">
        <v>41200173</v>
      </c>
      <c r="D1609" s="408" t="s">
        <v>3362</v>
      </c>
      <c r="E1609" s="408" t="s">
        <v>1405</v>
      </c>
      <c r="F1609" s="408" t="s">
        <v>1591</v>
      </c>
      <c r="G1609" s="408" t="s">
        <v>2666</v>
      </c>
      <c r="H1609" s="197">
        <f t="shared" si="397"/>
        <v>48</v>
      </c>
      <c r="I1609" s="408">
        <v>11</v>
      </c>
      <c r="J1609" s="408">
        <v>26</v>
      </c>
      <c r="K1609" s="420">
        <f t="shared" si="395"/>
        <v>45987</v>
      </c>
      <c r="L1609" s="408" t="s">
        <v>2395</v>
      </c>
      <c r="M1609" s="408" t="s">
        <v>1469</v>
      </c>
      <c r="N1609" s="408" t="str">
        <f t="shared" si="396"/>
        <v/>
      </c>
      <c r="O1609" s="408"/>
      <c r="P1609" s="408"/>
      <c r="Q1609" s="408"/>
      <c r="R1609" s="408"/>
      <c r="S1609" s="408"/>
      <c r="T1609" s="408"/>
      <c r="U1609" s="408"/>
      <c r="V1609" s="421"/>
      <c r="W1609" s="421"/>
      <c r="X1609" s="421"/>
      <c r="Y1609" s="421"/>
      <c r="Z1609" s="421"/>
      <c r="AA1609" s="421"/>
      <c r="AB1609" s="421"/>
      <c r="AC1609" s="421"/>
      <c r="AD1609" s="421"/>
      <c r="AE1609" s="421"/>
      <c r="AF1609" s="421"/>
      <c r="AG1609" s="421"/>
      <c r="AH1609" s="421"/>
      <c r="AI1609" s="421"/>
      <c r="AJ1609" s="421"/>
      <c r="AK1609" s="421"/>
      <c r="AL1609" s="421"/>
    </row>
    <row r="1610" spans="1:38">
      <c r="A1610" s="408">
        <v>6102</v>
      </c>
      <c r="B1610" s="83">
        <f t="array" ref="B1610">SUM(--(FREQUENCY(IF(C$2:C$3072=C1610, MATCH(D$2:D$3072, D$2:D$3072, 0)), ROW(D$2:D$3072)-ROW(D$2)+1) &gt; 0))</f>
        <v>4</v>
      </c>
      <c r="C1610" s="408">
        <v>41200173</v>
      </c>
      <c r="D1610" s="408" t="s">
        <v>3363</v>
      </c>
      <c r="E1610" s="408" t="s">
        <v>1405</v>
      </c>
      <c r="F1610" s="408" t="s">
        <v>1591</v>
      </c>
      <c r="G1610" s="408" t="s">
        <v>2666</v>
      </c>
      <c r="H1610" s="197">
        <f t="shared" si="397"/>
        <v>48</v>
      </c>
      <c r="I1610" s="408">
        <v>11</v>
      </c>
      <c r="J1610" s="408">
        <v>26</v>
      </c>
      <c r="K1610" s="420">
        <f t="shared" si="395"/>
        <v>45987</v>
      </c>
      <c r="L1610" s="408" t="s">
        <v>2395</v>
      </c>
      <c r="M1610" s="408" t="s">
        <v>1469</v>
      </c>
      <c r="N1610" s="408" t="str">
        <f t="shared" si="396"/>
        <v/>
      </c>
      <c r="O1610" s="408"/>
      <c r="P1610" s="408"/>
      <c r="Q1610" s="408"/>
      <c r="R1610" s="408"/>
      <c r="S1610" s="408"/>
      <c r="T1610" s="408"/>
      <c r="U1610" s="408"/>
      <c r="V1610" s="421"/>
      <c r="W1610" s="421"/>
      <c r="X1610" s="421"/>
      <c r="Y1610" s="421"/>
      <c r="Z1610" s="421"/>
      <c r="AA1610" s="421"/>
      <c r="AB1610" s="421"/>
      <c r="AC1610" s="421"/>
      <c r="AD1610" s="421"/>
      <c r="AE1610" s="421"/>
      <c r="AF1610" s="421"/>
      <c r="AG1610" s="421"/>
      <c r="AH1610" s="421"/>
      <c r="AI1610" s="421"/>
      <c r="AJ1610" s="421"/>
      <c r="AK1610" s="421"/>
      <c r="AL1610" s="421"/>
    </row>
    <row r="1611" spans="1:38">
      <c r="A1611" s="408">
        <v>6199</v>
      </c>
      <c r="B1611" s="83">
        <f t="array" ref="B1611">SUM(--(FREQUENCY(IF(C$2:C$3072=C1611, MATCH(D$2:D$3072, D$2:D$3072, 0)), ROW(D$2:D$3072)-ROW(D$2)+1) &gt; 0))</f>
        <v>18</v>
      </c>
      <c r="C1611" s="408">
        <v>41200053</v>
      </c>
      <c r="D1611" s="408" t="s">
        <v>3364</v>
      </c>
      <c r="E1611" s="408" t="s">
        <v>1405</v>
      </c>
      <c r="F1611" s="408" t="s">
        <v>1616</v>
      </c>
      <c r="G1611" s="408" t="s">
        <v>2666</v>
      </c>
      <c r="H1611" s="197">
        <f t="shared" si="397"/>
        <v>48</v>
      </c>
      <c r="I1611" s="408">
        <v>11</v>
      </c>
      <c r="J1611" s="408">
        <v>27</v>
      </c>
      <c r="K1611" s="420">
        <f t="shared" si="395"/>
        <v>45988</v>
      </c>
      <c r="L1611" s="408" t="s">
        <v>2392</v>
      </c>
      <c r="M1611" s="408" t="s">
        <v>2392</v>
      </c>
      <c r="N1611" s="408" t="str">
        <f t="shared" si="396"/>
        <v/>
      </c>
      <c r="O1611" s="408"/>
      <c r="P1611" s="408"/>
      <c r="Q1611" s="408"/>
      <c r="R1611" s="408"/>
      <c r="S1611" s="408"/>
      <c r="T1611" s="408"/>
      <c r="U1611" s="408"/>
      <c r="V1611" s="421"/>
      <c r="W1611" s="421"/>
      <c r="X1611" s="421"/>
      <c r="Y1611" s="421"/>
      <c r="Z1611" s="421"/>
      <c r="AA1611" s="421"/>
      <c r="AB1611" s="421"/>
      <c r="AC1611" s="421"/>
      <c r="AD1611" s="421"/>
      <c r="AE1611" s="421"/>
      <c r="AF1611" s="421"/>
      <c r="AG1611" s="421"/>
      <c r="AH1611" s="421"/>
      <c r="AI1611" s="421"/>
      <c r="AJ1611" s="421"/>
      <c r="AK1611" s="421"/>
      <c r="AL1611" s="421"/>
    </row>
    <row r="1612" spans="1:38">
      <c r="A1612" s="408">
        <v>6199</v>
      </c>
      <c r="B1612" s="83">
        <f t="array" ref="B1612">SUM(--(FREQUENCY(IF(C$2:C$3072=C1612, MATCH(D$2:D$3072, D$2:D$3072, 0)), ROW(D$2:D$3072)-ROW(D$2)+1) &gt; 0))</f>
        <v>18</v>
      </c>
      <c r="C1612" s="408">
        <v>41200053</v>
      </c>
      <c r="D1612" s="408" t="s">
        <v>3365</v>
      </c>
      <c r="E1612" s="408" t="s">
        <v>1405</v>
      </c>
      <c r="F1612" s="408" t="s">
        <v>1616</v>
      </c>
      <c r="G1612" s="408" t="s">
        <v>2666</v>
      </c>
      <c r="H1612" s="197">
        <f t="shared" si="397"/>
        <v>48</v>
      </c>
      <c r="I1612" s="408">
        <v>11</v>
      </c>
      <c r="J1612" s="408">
        <v>27</v>
      </c>
      <c r="K1612" s="420">
        <f t="shared" si="395"/>
        <v>45988</v>
      </c>
      <c r="L1612" s="408" t="s">
        <v>2392</v>
      </c>
      <c r="M1612" s="408" t="s">
        <v>2392</v>
      </c>
      <c r="N1612" s="408" t="str">
        <f t="shared" si="396"/>
        <v/>
      </c>
      <c r="O1612" s="408"/>
      <c r="P1612" s="408"/>
      <c r="Q1612" s="408"/>
      <c r="R1612" s="408"/>
      <c r="S1612" s="408"/>
      <c r="T1612" s="408"/>
      <c r="U1612" s="408"/>
      <c r="V1612" s="421"/>
      <c r="W1612" s="421"/>
      <c r="X1612" s="421"/>
      <c r="Y1612" s="421"/>
      <c r="Z1612" s="421"/>
      <c r="AA1612" s="421"/>
      <c r="AB1612" s="421"/>
      <c r="AC1612" s="421"/>
      <c r="AD1612" s="421"/>
      <c r="AE1612" s="421"/>
      <c r="AF1612" s="421"/>
      <c r="AG1612" s="421"/>
      <c r="AH1612" s="421"/>
      <c r="AI1612" s="421"/>
      <c r="AJ1612" s="421"/>
      <c r="AK1612" s="421"/>
      <c r="AL1612" s="421"/>
    </row>
    <row r="1613" spans="1:38">
      <c r="A1613" s="408">
        <v>6199</v>
      </c>
      <c r="B1613" s="83">
        <f t="array" ref="B1613">SUM(--(FREQUENCY(IF(C$2:C$3072=C1613, MATCH(D$2:D$3072, D$2:D$3072, 0)), ROW(D$2:D$3072)-ROW(D$2)+1) &gt; 0))</f>
        <v>18</v>
      </c>
      <c r="C1613" s="408">
        <v>41200053</v>
      </c>
      <c r="D1613" s="408" t="s">
        <v>3366</v>
      </c>
      <c r="E1613" s="408" t="s">
        <v>1405</v>
      </c>
      <c r="F1613" s="408" t="s">
        <v>1616</v>
      </c>
      <c r="G1613" s="408" t="s">
        <v>2666</v>
      </c>
      <c r="H1613" s="197">
        <f t="shared" si="397"/>
        <v>48</v>
      </c>
      <c r="I1613" s="408">
        <v>11</v>
      </c>
      <c r="J1613" s="408">
        <v>27</v>
      </c>
      <c r="K1613" s="420">
        <f t="shared" si="395"/>
        <v>45988</v>
      </c>
      <c r="L1613" s="408" t="s">
        <v>2392</v>
      </c>
      <c r="M1613" s="408" t="s">
        <v>2392</v>
      </c>
      <c r="N1613" s="408" t="str">
        <f t="shared" si="396"/>
        <v/>
      </c>
      <c r="O1613" s="408"/>
      <c r="P1613" s="408"/>
      <c r="Q1613" s="408"/>
      <c r="R1613" s="408"/>
      <c r="S1613" s="408"/>
      <c r="T1613" s="408"/>
      <c r="U1613" s="408"/>
      <c r="V1613" s="421"/>
      <c r="W1613" s="421"/>
      <c r="X1613" s="421"/>
      <c r="Y1613" s="421"/>
      <c r="Z1613" s="421"/>
      <c r="AA1613" s="421"/>
      <c r="AB1613" s="421"/>
      <c r="AC1613" s="421"/>
      <c r="AD1613" s="421"/>
      <c r="AE1613" s="421"/>
      <c r="AF1613" s="421"/>
      <c r="AG1613" s="421"/>
      <c r="AH1613" s="421"/>
      <c r="AI1613" s="421"/>
      <c r="AJ1613" s="421"/>
      <c r="AK1613" s="421"/>
      <c r="AL1613" s="421"/>
    </row>
    <row r="1614" spans="1:38">
      <c r="A1614" s="408">
        <v>6264</v>
      </c>
      <c r="B1614" s="83">
        <f t="array" ref="B1614">SUM(--(FREQUENCY(IF(C$2:C$3072=C1614, MATCH(D$2:D$3072, D$2:D$3072, 0)), ROW(D$2:D$3072)-ROW(D$2)+1) &gt; 0))</f>
        <v>18</v>
      </c>
      <c r="C1614" s="408">
        <v>41200053</v>
      </c>
      <c r="D1614" s="408" t="s">
        <v>3367</v>
      </c>
      <c r="E1614" s="408" t="s">
        <v>1405</v>
      </c>
      <c r="F1614" s="408" t="s">
        <v>1616</v>
      </c>
      <c r="G1614" s="408" t="s">
        <v>2666</v>
      </c>
      <c r="H1614" s="197">
        <f t="shared" si="397"/>
        <v>48</v>
      </c>
      <c r="I1614" s="408">
        <v>11</v>
      </c>
      <c r="J1614" s="408">
        <v>27</v>
      </c>
      <c r="K1614" s="420">
        <f t="shared" si="395"/>
        <v>45988</v>
      </c>
      <c r="L1614" s="408" t="s">
        <v>2392</v>
      </c>
      <c r="M1614" s="408" t="s">
        <v>2392</v>
      </c>
      <c r="N1614" s="408" t="str">
        <f t="shared" si="396"/>
        <v/>
      </c>
      <c r="O1614" s="408"/>
      <c r="P1614" s="408"/>
      <c r="Q1614" s="408"/>
      <c r="R1614" s="408"/>
      <c r="S1614" s="408"/>
      <c r="T1614" s="408"/>
      <c r="U1614" s="408"/>
      <c r="V1614" s="421"/>
      <c r="W1614" s="421"/>
      <c r="X1614" s="421"/>
      <c r="Y1614" s="421"/>
      <c r="Z1614" s="421"/>
      <c r="AA1614" s="421"/>
      <c r="AB1614" s="421"/>
      <c r="AC1614" s="421"/>
      <c r="AD1614" s="421"/>
      <c r="AE1614" s="421"/>
      <c r="AF1614" s="421"/>
      <c r="AG1614" s="421"/>
      <c r="AH1614" s="421"/>
      <c r="AI1614" s="421"/>
      <c r="AJ1614" s="421"/>
      <c r="AK1614" s="421"/>
      <c r="AL1614" s="421"/>
    </row>
    <row r="1615" spans="1:38">
      <c r="A1615" s="408">
        <v>6041</v>
      </c>
      <c r="B1615" s="83">
        <f t="array" ref="B1615">SUM(--(FREQUENCY(IF(C$2:C$3072=C1615, MATCH(D$2:D$3072, D$2:D$3072, 0)), ROW(D$2:D$3072)-ROW(D$2)+1) &gt; 0))</f>
        <v>7</v>
      </c>
      <c r="C1615" s="408">
        <v>41200039</v>
      </c>
      <c r="D1615" s="408" t="s">
        <v>3368</v>
      </c>
      <c r="E1615" s="408" t="s">
        <v>1426</v>
      </c>
      <c r="F1615" s="408" t="s">
        <v>1476</v>
      </c>
      <c r="G1615" s="408" t="s">
        <v>2675</v>
      </c>
      <c r="H1615" s="197">
        <f t="shared" si="397"/>
        <v>48</v>
      </c>
      <c r="I1615" s="408">
        <v>11</v>
      </c>
      <c r="J1615" s="408">
        <v>27</v>
      </c>
      <c r="K1615" s="420">
        <f t="shared" si="395"/>
        <v>45988</v>
      </c>
      <c r="L1615" s="408" t="s">
        <v>2391</v>
      </c>
      <c r="M1615" s="408" t="s">
        <v>1468</v>
      </c>
      <c r="N1615" s="408" t="str">
        <f t="shared" si="396"/>
        <v/>
      </c>
      <c r="O1615" s="408"/>
      <c r="P1615" s="408"/>
      <c r="Q1615" s="408"/>
      <c r="R1615" s="408"/>
      <c r="S1615" s="408"/>
      <c r="T1615" s="408"/>
      <c r="U1615" s="408"/>
      <c r="V1615" s="421"/>
      <c r="W1615" s="421"/>
      <c r="X1615" s="421"/>
      <c r="Y1615" s="421"/>
      <c r="Z1615" s="421"/>
      <c r="AA1615" s="421"/>
      <c r="AB1615" s="421"/>
      <c r="AC1615" s="421"/>
      <c r="AD1615" s="421"/>
      <c r="AE1615" s="421"/>
      <c r="AF1615" s="421"/>
      <c r="AG1615" s="421"/>
      <c r="AH1615" s="421"/>
      <c r="AI1615" s="421"/>
      <c r="AJ1615" s="421"/>
      <c r="AK1615" s="421"/>
      <c r="AL1615" s="421"/>
    </row>
    <row r="1616" spans="1:38">
      <c r="A1616" s="408">
        <v>6117</v>
      </c>
      <c r="B1616" s="83">
        <f t="array" ref="B1616">SUM(--(FREQUENCY(IF(C$2:C$3072=C1616, MATCH(D$2:D$3072, D$2:D$3072, 0)), ROW(D$2:D$3072)-ROW(D$2)+1) &gt; 0))</f>
        <v>3</v>
      </c>
      <c r="C1616" s="408">
        <v>41200075</v>
      </c>
      <c r="D1616" s="408" t="s">
        <v>3369</v>
      </c>
      <c r="E1616" s="408" t="s">
        <v>1585</v>
      </c>
      <c r="F1616" s="408" t="s">
        <v>1476</v>
      </c>
      <c r="G1616" s="408" t="s">
        <v>2675</v>
      </c>
      <c r="H1616" s="197">
        <f t="shared" si="397"/>
        <v>48</v>
      </c>
      <c r="I1616" s="408">
        <v>11</v>
      </c>
      <c r="J1616" s="408">
        <v>27</v>
      </c>
      <c r="K1616" s="420">
        <f t="shared" si="395"/>
        <v>45988</v>
      </c>
      <c r="L1616" s="408" t="s">
        <v>2391</v>
      </c>
      <c r="M1616" s="408" t="s">
        <v>1468</v>
      </c>
      <c r="N1616" s="408" t="str">
        <f t="shared" si="396"/>
        <v/>
      </c>
      <c r="O1616" s="408"/>
      <c r="P1616" s="408"/>
      <c r="Q1616" s="408"/>
      <c r="R1616" s="408"/>
      <c r="S1616" s="408"/>
      <c r="T1616" s="408"/>
      <c r="U1616" s="408"/>
      <c r="V1616" s="421"/>
      <c r="W1616" s="421"/>
      <c r="X1616" s="421"/>
      <c r="Y1616" s="421"/>
      <c r="Z1616" s="421"/>
      <c r="AA1616" s="421"/>
      <c r="AB1616" s="421"/>
      <c r="AC1616" s="421"/>
      <c r="AD1616" s="421"/>
      <c r="AE1616" s="421"/>
      <c r="AF1616" s="421"/>
      <c r="AG1616" s="421"/>
      <c r="AH1616" s="421"/>
      <c r="AI1616" s="421"/>
      <c r="AJ1616" s="421"/>
      <c r="AK1616" s="421"/>
      <c r="AL1616" s="421"/>
    </row>
    <row r="1617" spans="1:38">
      <c r="A1617" s="408">
        <v>6117</v>
      </c>
      <c r="B1617" s="83">
        <f t="array" ref="B1617">SUM(--(FREQUENCY(IF(C$2:C$3072=C1617, MATCH(D$2:D$3072, D$2:D$3072, 0)), ROW(D$2:D$3072)-ROW(D$2)+1) &gt; 0))</f>
        <v>3</v>
      </c>
      <c r="C1617" s="408">
        <v>41200075</v>
      </c>
      <c r="D1617" s="408" t="s">
        <v>3370</v>
      </c>
      <c r="E1617" s="408" t="s">
        <v>1585</v>
      </c>
      <c r="F1617" s="408" t="s">
        <v>1476</v>
      </c>
      <c r="G1617" s="408" t="s">
        <v>2675</v>
      </c>
      <c r="H1617" s="197">
        <f t="shared" si="397"/>
        <v>48</v>
      </c>
      <c r="I1617" s="408">
        <v>11</v>
      </c>
      <c r="J1617" s="408">
        <v>27</v>
      </c>
      <c r="K1617" s="420">
        <f t="shared" si="395"/>
        <v>45988</v>
      </c>
      <c r="L1617" s="408" t="s">
        <v>2391</v>
      </c>
      <c r="M1617" s="408" t="s">
        <v>1468</v>
      </c>
      <c r="N1617" s="408" t="s">
        <v>2877</v>
      </c>
      <c r="O1617" s="408" t="s">
        <v>2368</v>
      </c>
      <c r="P1617" s="408" t="s">
        <v>2371</v>
      </c>
      <c r="Q1617" s="408">
        <v>11001966</v>
      </c>
      <c r="R1617" s="408" t="s">
        <v>1151</v>
      </c>
      <c r="S1617" s="408" t="s">
        <v>3371</v>
      </c>
      <c r="T1617" s="408"/>
      <c r="U1617" s="408"/>
      <c r="V1617" s="421"/>
      <c r="W1617" s="421"/>
      <c r="X1617" s="421"/>
      <c r="Y1617" s="421"/>
      <c r="Z1617" s="421"/>
      <c r="AA1617" s="421"/>
      <c r="AB1617" s="421"/>
      <c r="AC1617" s="421"/>
      <c r="AD1617" s="421"/>
      <c r="AE1617" s="421"/>
      <c r="AF1617" s="421"/>
      <c r="AG1617" s="421"/>
      <c r="AH1617" s="421"/>
      <c r="AI1617" s="421"/>
      <c r="AJ1617" s="421"/>
      <c r="AK1617" s="421"/>
      <c r="AL1617" s="421"/>
    </row>
    <row r="1618" spans="1:38">
      <c r="A1618" s="408">
        <v>6197</v>
      </c>
      <c r="B1618" s="83">
        <f t="array" ref="B1618">SUM(--(FREQUENCY(IF(C$2:C$3072=C1618, MATCH(D$2:D$3072, D$2:D$3072, 0)), ROW(D$2:D$3072)-ROW(D$2)+1) &gt; 0))</f>
        <v>63</v>
      </c>
      <c r="C1618" s="408">
        <v>41200006</v>
      </c>
      <c r="D1618" s="408" t="s">
        <v>3372</v>
      </c>
      <c r="E1618" s="408" t="s">
        <v>1405</v>
      </c>
      <c r="F1618" s="408" t="s">
        <v>1477</v>
      </c>
      <c r="G1618" s="408" t="s">
        <v>2666</v>
      </c>
      <c r="H1618" s="197">
        <f t="shared" si="397"/>
        <v>48</v>
      </c>
      <c r="I1618" s="408">
        <v>11</v>
      </c>
      <c r="J1618" s="408">
        <v>27</v>
      </c>
      <c r="K1618" s="420">
        <f t="shared" si="395"/>
        <v>45988</v>
      </c>
      <c r="L1618" s="408" t="s">
        <v>2395</v>
      </c>
      <c r="M1618" s="408" t="s">
        <v>1469</v>
      </c>
      <c r="N1618" s="408" t="str">
        <f t="shared" si="396"/>
        <v/>
      </c>
      <c r="O1618" s="408"/>
      <c r="P1618" s="408"/>
      <c r="Q1618" s="408"/>
      <c r="R1618" s="408"/>
      <c r="S1618" s="408"/>
      <c r="T1618" s="408"/>
      <c r="U1618" s="408"/>
      <c r="V1618" s="421"/>
      <c r="W1618" s="421"/>
      <c r="X1618" s="421"/>
      <c r="Y1618" s="421"/>
      <c r="Z1618" s="421"/>
      <c r="AA1618" s="421"/>
      <c r="AB1618" s="421"/>
      <c r="AC1618" s="421"/>
      <c r="AD1618" s="421"/>
      <c r="AE1618" s="421"/>
      <c r="AF1618" s="421"/>
      <c r="AG1618" s="421"/>
      <c r="AH1618" s="421"/>
      <c r="AI1618" s="421"/>
      <c r="AJ1618" s="421"/>
      <c r="AK1618" s="421"/>
      <c r="AL1618" s="421"/>
    </row>
    <row r="1619" spans="1:38">
      <c r="A1619" s="408">
        <v>6197</v>
      </c>
      <c r="B1619" s="83">
        <f t="array" ref="B1619">SUM(--(FREQUENCY(IF(C$2:C$3072=C1619, MATCH(D$2:D$3072, D$2:D$3072, 0)), ROW(D$2:D$3072)-ROW(D$2)+1) &gt; 0))</f>
        <v>63</v>
      </c>
      <c r="C1619" s="408">
        <v>41200006</v>
      </c>
      <c r="D1619" s="408" t="s">
        <v>3373</v>
      </c>
      <c r="E1619" s="408" t="s">
        <v>1405</v>
      </c>
      <c r="F1619" s="408" t="s">
        <v>1477</v>
      </c>
      <c r="G1619" s="408" t="s">
        <v>2666</v>
      </c>
      <c r="H1619" s="197">
        <f t="shared" si="397"/>
        <v>48</v>
      </c>
      <c r="I1619" s="408">
        <v>11</v>
      </c>
      <c r="J1619" s="408">
        <v>27</v>
      </c>
      <c r="K1619" s="420">
        <f t="shared" si="395"/>
        <v>45988</v>
      </c>
      <c r="L1619" s="408" t="s">
        <v>2395</v>
      </c>
      <c r="M1619" s="408" t="s">
        <v>1469</v>
      </c>
      <c r="N1619" s="408" t="s">
        <v>2877</v>
      </c>
      <c r="O1619" s="408" t="s">
        <v>2368</v>
      </c>
      <c r="P1619" s="408" t="s">
        <v>2371</v>
      </c>
      <c r="Q1619" s="408">
        <v>11001966</v>
      </c>
      <c r="R1619" s="408" t="s">
        <v>1151</v>
      </c>
      <c r="S1619" s="408" t="s">
        <v>3374</v>
      </c>
      <c r="T1619" s="408"/>
      <c r="U1619" s="408"/>
      <c r="V1619" s="421"/>
      <c r="W1619" s="421"/>
      <c r="X1619" s="421"/>
      <c r="Y1619" s="421"/>
      <c r="Z1619" s="421"/>
      <c r="AA1619" s="421"/>
      <c r="AB1619" s="421"/>
      <c r="AC1619" s="421"/>
      <c r="AD1619" s="421"/>
      <c r="AE1619" s="421"/>
      <c r="AF1619" s="421"/>
      <c r="AG1619" s="421"/>
      <c r="AH1619" s="421"/>
      <c r="AI1619" s="421"/>
      <c r="AJ1619" s="421"/>
      <c r="AK1619" s="421"/>
      <c r="AL1619" s="421"/>
    </row>
    <row r="1620" spans="1:38">
      <c r="A1620" s="408">
        <v>6197</v>
      </c>
      <c r="B1620" s="83">
        <f t="array" ref="B1620">SUM(--(FREQUENCY(IF(C$2:C$3072=C1620, MATCH(D$2:D$3072, D$2:D$3072, 0)), ROW(D$2:D$3072)-ROW(D$2)+1) &gt; 0))</f>
        <v>63</v>
      </c>
      <c r="C1620" s="408">
        <v>41200006</v>
      </c>
      <c r="D1620" s="408" t="s">
        <v>3373</v>
      </c>
      <c r="E1620" s="408" t="s">
        <v>1405</v>
      </c>
      <c r="F1620" s="408" t="s">
        <v>1477</v>
      </c>
      <c r="G1620" s="408" t="s">
        <v>2666</v>
      </c>
      <c r="H1620" s="197">
        <f t="shared" si="397"/>
        <v>48</v>
      </c>
      <c r="I1620" s="408">
        <v>11</v>
      </c>
      <c r="J1620" s="408">
        <v>27</v>
      </c>
      <c r="K1620" s="420">
        <f t="shared" si="395"/>
        <v>45988</v>
      </c>
      <c r="L1620" s="408" t="s">
        <v>2395</v>
      </c>
      <c r="M1620" s="408" t="s">
        <v>1469</v>
      </c>
      <c r="N1620" s="408" t="s">
        <v>2877</v>
      </c>
      <c r="O1620" s="408" t="s">
        <v>2368</v>
      </c>
      <c r="P1620" s="408" t="s">
        <v>2371</v>
      </c>
      <c r="Q1620" s="408">
        <v>11001968</v>
      </c>
      <c r="R1620" s="408" t="s">
        <v>473</v>
      </c>
      <c r="S1620" s="408" t="s">
        <v>3375</v>
      </c>
      <c r="T1620" s="408"/>
      <c r="U1620" s="408"/>
      <c r="V1620" s="421"/>
      <c r="W1620" s="421"/>
      <c r="X1620" s="421"/>
      <c r="Y1620" s="421"/>
      <c r="Z1620" s="421"/>
      <c r="AA1620" s="421"/>
      <c r="AB1620" s="421"/>
      <c r="AC1620" s="421"/>
      <c r="AD1620" s="421"/>
      <c r="AE1620" s="421"/>
      <c r="AF1620" s="421"/>
      <c r="AG1620" s="421"/>
      <c r="AH1620" s="421"/>
      <c r="AI1620" s="421"/>
      <c r="AJ1620" s="421"/>
      <c r="AK1620" s="421"/>
      <c r="AL1620" s="421"/>
    </row>
    <row r="1621" spans="1:38">
      <c r="A1621" s="408">
        <v>6294</v>
      </c>
      <c r="B1621" s="83">
        <f t="array" ref="B1621">SUM(--(FREQUENCY(IF(C$2:C$3072=C1621, MATCH(D$2:D$3072, D$2:D$3072, 0)), ROW(D$2:D$3072)-ROW(D$2)+1) &gt; 0))</f>
        <v>5</v>
      </c>
      <c r="C1621" s="408">
        <v>41100696</v>
      </c>
      <c r="D1621" s="408" t="s">
        <v>3376</v>
      </c>
      <c r="E1621" s="408" t="s">
        <v>1433</v>
      </c>
      <c r="F1621" s="408" t="s">
        <v>1581</v>
      </c>
      <c r="G1621" s="408" t="s">
        <v>2675</v>
      </c>
      <c r="H1621" s="197">
        <f t="shared" si="397"/>
        <v>48</v>
      </c>
      <c r="I1621" s="408">
        <v>11</v>
      </c>
      <c r="J1621" s="408">
        <v>28</v>
      </c>
      <c r="K1621" s="420">
        <f t="shared" si="395"/>
        <v>45989</v>
      </c>
      <c r="L1621" s="408" t="s">
        <v>2392</v>
      </c>
      <c r="M1621" s="408" t="s">
        <v>2392</v>
      </c>
      <c r="N1621" s="408" t="str">
        <f t="shared" si="396"/>
        <v/>
      </c>
      <c r="O1621" s="408"/>
      <c r="P1621" s="408"/>
      <c r="Q1621" s="408"/>
      <c r="R1621" s="408"/>
      <c r="S1621" s="408"/>
      <c r="T1621" s="408"/>
      <c r="U1621" s="408"/>
      <c r="V1621" s="421"/>
      <c r="W1621" s="421"/>
      <c r="X1621" s="421"/>
      <c r="Y1621" s="421"/>
      <c r="Z1621" s="421"/>
      <c r="AA1621" s="421"/>
      <c r="AB1621" s="421"/>
      <c r="AC1621" s="421"/>
      <c r="AD1621" s="421"/>
      <c r="AE1621" s="421"/>
      <c r="AF1621" s="421"/>
      <c r="AG1621" s="421"/>
      <c r="AH1621" s="421"/>
      <c r="AI1621" s="421"/>
      <c r="AJ1621" s="421"/>
      <c r="AK1621" s="421"/>
      <c r="AL1621" s="421"/>
    </row>
    <row r="1622" spans="1:38">
      <c r="A1622" s="408">
        <v>6195</v>
      </c>
      <c r="B1622" s="83">
        <f t="array" ref="B1622">SUM(--(FREQUENCY(IF(C$2:C$3072=C1622, MATCH(D$2:D$3072, D$2:D$3072, 0)), ROW(D$2:D$3072)-ROW(D$2)+1) &gt; 0))</f>
        <v>7</v>
      </c>
      <c r="C1622" s="408">
        <v>41200153</v>
      </c>
      <c r="D1622" s="408" t="s">
        <v>3377</v>
      </c>
      <c r="E1622" s="408" t="s">
        <v>1422</v>
      </c>
      <c r="F1622" s="408" t="s">
        <v>1476</v>
      </c>
      <c r="G1622" s="408" t="s">
        <v>2675</v>
      </c>
      <c r="H1622" s="197">
        <f t="shared" si="397"/>
        <v>48</v>
      </c>
      <c r="I1622" s="408">
        <v>11</v>
      </c>
      <c r="J1622" s="408">
        <v>28</v>
      </c>
      <c r="K1622" s="420">
        <f t="shared" si="395"/>
        <v>45989</v>
      </c>
      <c r="L1622" s="408" t="s">
        <v>2391</v>
      </c>
      <c r="M1622" s="408" t="s">
        <v>1468</v>
      </c>
      <c r="N1622" s="408" t="str">
        <f t="shared" si="396"/>
        <v/>
      </c>
      <c r="O1622" s="408"/>
      <c r="P1622" s="408"/>
      <c r="Q1622" s="408"/>
      <c r="R1622" s="408"/>
      <c r="S1622" s="408"/>
      <c r="T1622" s="408"/>
      <c r="U1622" s="408"/>
      <c r="V1622" s="421"/>
      <c r="W1622" s="421"/>
      <c r="X1622" s="421"/>
      <c r="Y1622" s="421"/>
      <c r="Z1622" s="421"/>
      <c r="AA1622" s="421"/>
      <c r="AB1622" s="421"/>
      <c r="AC1622" s="421"/>
      <c r="AD1622" s="421"/>
      <c r="AE1622" s="421"/>
      <c r="AF1622" s="421"/>
      <c r="AG1622" s="421"/>
      <c r="AH1622" s="421"/>
      <c r="AI1622" s="421"/>
      <c r="AJ1622" s="421"/>
      <c r="AK1622" s="421"/>
      <c r="AL1622" s="421"/>
    </row>
    <row r="1623" spans="1:38">
      <c r="A1623" s="408">
        <v>6141</v>
      </c>
      <c r="B1623" s="83">
        <f t="array" ref="B1623">SUM(--(FREQUENCY(IF(C$2:C$3072=C1623, MATCH(D$2:D$3072, D$2:D$3072, 0)), ROW(D$2:D$3072)-ROW(D$2)+1) &gt; 0))</f>
        <v>30</v>
      </c>
      <c r="C1623" s="408">
        <v>41200109</v>
      </c>
      <c r="D1623" s="408" t="s">
        <v>3378</v>
      </c>
      <c r="E1623" s="408" t="s">
        <v>1585</v>
      </c>
      <c r="F1623" s="408" t="s">
        <v>1591</v>
      </c>
      <c r="G1623" s="408" t="s">
        <v>2666</v>
      </c>
      <c r="H1623" s="197">
        <f t="shared" si="397"/>
        <v>48</v>
      </c>
      <c r="I1623" s="408">
        <v>11</v>
      </c>
      <c r="J1623" s="408">
        <v>28</v>
      </c>
      <c r="K1623" s="420">
        <f t="shared" si="395"/>
        <v>45989</v>
      </c>
      <c r="L1623" s="408" t="s">
        <v>2391</v>
      </c>
      <c r="M1623" s="408" t="s">
        <v>1468</v>
      </c>
      <c r="N1623" s="408" t="str">
        <f t="shared" si="396"/>
        <v/>
      </c>
      <c r="O1623" s="408"/>
      <c r="P1623" s="408"/>
      <c r="Q1623" s="408"/>
      <c r="R1623" s="408"/>
      <c r="S1623" s="408"/>
      <c r="T1623" s="408"/>
      <c r="U1623" s="408"/>
      <c r="V1623" s="421"/>
      <c r="W1623" s="421"/>
      <c r="X1623" s="421"/>
      <c r="Y1623" s="421"/>
      <c r="Z1623" s="421"/>
      <c r="AA1623" s="421"/>
      <c r="AB1623" s="421"/>
      <c r="AC1623" s="421"/>
      <c r="AD1623" s="421"/>
      <c r="AE1623" s="421"/>
      <c r="AF1623" s="421"/>
      <c r="AG1623" s="421"/>
      <c r="AH1623" s="421"/>
      <c r="AI1623" s="421"/>
      <c r="AJ1623" s="421"/>
      <c r="AK1623" s="421"/>
      <c r="AL1623" s="421"/>
    </row>
    <row r="1624" spans="1:38">
      <c r="A1624" s="408">
        <v>6141</v>
      </c>
      <c r="B1624" s="83">
        <f t="array" ref="B1624">SUM(--(FREQUENCY(IF(C$2:C$3072=C1624, MATCH(D$2:D$3072, D$2:D$3072, 0)), ROW(D$2:D$3072)-ROW(D$2)+1) &gt; 0))</f>
        <v>30</v>
      </c>
      <c r="C1624" s="408">
        <v>41200109</v>
      </c>
      <c r="D1624" s="408" t="s">
        <v>3379</v>
      </c>
      <c r="E1624" s="408" t="s">
        <v>1585</v>
      </c>
      <c r="F1624" s="408" t="s">
        <v>1591</v>
      </c>
      <c r="G1624" s="408" t="s">
        <v>2666</v>
      </c>
      <c r="H1624" s="197">
        <f t="shared" si="397"/>
        <v>48</v>
      </c>
      <c r="I1624" s="408">
        <v>11</v>
      </c>
      <c r="J1624" s="408">
        <v>28</v>
      </c>
      <c r="K1624" s="420">
        <f t="shared" si="395"/>
        <v>45989</v>
      </c>
      <c r="L1624" s="408" t="s">
        <v>2391</v>
      </c>
      <c r="M1624" s="408" t="s">
        <v>1468</v>
      </c>
      <c r="N1624" s="408" t="str">
        <f t="shared" si="396"/>
        <v/>
      </c>
      <c r="O1624" s="408"/>
      <c r="P1624" s="408"/>
      <c r="Q1624" s="408"/>
      <c r="R1624" s="408"/>
      <c r="S1624" s="408"/>
      <c r="T1624" s="408"/>
      <c r="U1624" s="408"/>
      <c r="V1624" s="421"/>
      <c r="W1624" s="421"/>
      <c r="X1624" s="421"/>
      <c r="Y1624" s="421"/>
      <c r="Z1624" s="421"/>
      <c r="AA1624" s="421"/>
      <c r="AB1624" s="421"/>
      <c r="AC1624" s="421"/>
      <c r="AD1624" s="421"/>
      <c r="AE1624" s="421"/>
      <c r="AF1624" s="421"/>
      <c r="AG1624" s="421"/>
      <c r="AH1624" s="421"/>
      <c r="AI1624" s="421"/>
      <c r="AJ1624" s="421"/>
      <c r="AK1624" s="421"/>
      <c r="AL1624" s="421"/>
    </row>
    <row r="1625" spans="1:38">
      <c r="A1625" s="408">
        <v>6082</v>
      </c>
      <c r="B1625" s="83">
        <f t="array" ref="B1625">SUM(--(FREQUENCY(IF(C$2:C$3072=C1625, MATCH(D$2:D$3072, D$2:D$3072, 0)), ROW(D$2:D$3072)-ROW(D$2)+1) &gt; 0))</f>
        <v>63</v>
      </c>
      <c r="C1625" s="408">
        <v>41200006</v>
      </c>
      <c r="D1625" s="408" t="s">
        <v>3380</v>
      </c>
      <c r="E1625" s="408" t="s">
        <v>1405</v>
      </c>
      <c r="F1625" s="408" t="s">
        <v>1477</v>
      </c>
      <c r="G1625" s="408" t="s">
        <v>2666</v>
      </c>
      <c r="H1625" s="197">
        <f t="shared" si="397"/>
        <v>48</v>
      </c>
      <c r="I1625" s="408">
        <v>11</v>
      </c>
      <c r="J1625" s="408">
        <v>28</v>
      </c>
      <c r="K1625" s="420">
        <f t="shared" si="395"/>
        <v>45989</v>
      </c>
      <c r="L1625" s="408" t="s">
        <v>2395</v>
      </c>
      <c r="M1625" s="408" t="s">
        <v>1469</v>
      </c>
      <c r="N1625" s="408" t="str">
        <f t="shared" si="396"/>
        <v/>
      </c>
      <c r="O1625" s="408"/>
      <c r="P1625" s="408"/>
      <c r="Q1625" s="408"/>
      <c r="R1625" s="408"/>
      <c r="S1625" s="408"/>
      <c r="T1625" s="408"/>
      <c r="U1625" s="408"/>
      <c r="V1625" s="421"/>
      <c r="W1625" s="421"/>
      <c r="X1625" s="421"/>
      <c r="Y1625" s="421"/>
      <c r="Z1625" s="421"/>
      <c r="AA1625" s="421"/>
      <c r="AB1625" s="421"/>
      <c r="AC1625" s="421"/>
      <c r="AD1625" s="421"/>
      <c r="AE1625" s="421"/>
      <c r="AF1625" s="421"/>
      <c r="AG1625" s="421"/>
      <c r="AH1625" s="421"/>
      <c r="AI1625" s="421"/>
      <c r="AJ1625" s="421"/>
      <c r="AK1625" s="421"/>
      <c r="AL1625" s="421"/>
    </row>
    <row r="1626" spans="1:38">
      <c r="A1626" s="408">
        <v>6351</v>
      </c>
      <c r="B1626" s="83">
        <f t="array" ref="B1626">SUM(--(FREQUENCY(IF(C$2:C$3072=C1626, MATCH(D$2:D$3072, D$2:D$3072, 0)), ROW(D$2:D$3072)-ROW(D$2)+1) &gt; 0))</f>
        <v>5</v>
      </c>
      <c r="C1626" s="408">
        <v>41200042</v>
      </c>
      <c r="D1626" s="408" t="s">
        <v>3381</v>
      </c>
      <c r="E1626" s="408" t="s">
        <v>1426</v>
      </c>
      <c r="F1626" s="408" t="s">
        <v>1476</v>
      </c>
      <c r="G1626" s="408" t="s">
        <v>2675</v>
      </c>
      <c r="H1626" s="197">
        <f t="shared" si="397"/>
        <v>49</v>
      </c>
      <c r="I1626" s="197">
        <v>12</v>
      </c>
      <c r="J1626" s="408">
        <v>1</v>
      </c>
      <c r="K1626" s="420">
        <f t="shared" si="395"/>
        <v>45992</v>
      </c>
      <c r="L1626" s="420" t="s">
        <v>2391</v>
      </c>
      <c r="M1626" s="408" t="s">
        <v>1468</v>
      </c>
      <c r="N1626" s="408" t="str">
        <f t="shared" si="396"/>
        <v/>
      </c>
      <c r="O1626" s="408"/>
      <c r="P1626" s="408"/>
      <c r="Q1626" s="408"/>
      <c r="R1626" s="408"/>
      <c r="S1626" s="408"/>
      <c r="T1626" s="408"/>
      <c r="U1626" s="408"/>
      <c r="V1626" s="421"/>
      <c r="W1626" s="421"/>
      <c r="X1626" s="421"/>
      <c r="Y1626" s="421"/>
      <c r="Z1626" s="421"/>
      <c r="AA1626" s="421"/>
      <c r="AB1626" s="421"/>
      <c r="AC1626" s="421"/>
      <c r="AD1626" s="421"/>
      <c r="AE1626" s="421"/>
      <c r="AF1626" s="421"/>
      <c r="AG1626" s="421"/>
      <c r="AH1626" s="421"/>
      <c r="AI1626" s="421"/>
      <c r="AJ1626" s="421"/>
      <c r="AK1626" s="421"/>
      <c r="AL1626" s="421"/>
    </row>
    <row r="1627" spans="1:38">
      <c r="A1627" s="408">
        <v>6207</v>
      </c>
      <c r="B1627" s="83">
        <f t="array" ref="B1627">SUM(--(FREQUENCY(IF(C$2:C$3072=C1627, MATCH(D$2:D$3072, D$2:D$3072, 0)), ROW(D$2:D$3072)-ROW(D$2)+1) &gt; 0))</f>
        <v>76</v>
      </c>
      <c r="C1627" s="408">
        <v>41200007</v>
      </c>
      <c r="D1627" s="408" t="s">
        <v>3382</v>
      </c>
      <c r="E1627" s="408" t="s">
        <v>1405</v>
      </c>
      <c r="F1627" s="408" t="s">
        <v>1591</v>
      </c>
      <c r="G1627" s="408" t="s">
        <v>2666</v>
      </c>
      <c r="H1627" s="197">
        <f t="shared" si="397"/>
        <v>49</v>
      </c>
      <c r="I1627" s="197">
        <v>12</v>
      </c>
      <c r="J1627" s="408">
        <v>1</v>
      </c>
      <c r="K1627" s="420">
        <f t="shared" si="395"/>
        <v>45992</v>
      </c>
      <c r="L1627" s="420" t="s">
        <v>2395</v>
      </c>
      <c r="M1627" s="408" t="s">
        <v>1469</v>
      </c>
      <c r="N1627" s="408" t="str">
        <f t="shared" si="396"/>
        <v>NG</v>
      </c>
      <c r="O1627" s="408" t="s">
        <v>2368</v>
      </c>
      <c r="P1627" s="408" t="s">
        <v>2371</v>
      </c>
      <c r="Q1627" s="408">
        <v>11001964</v>
      </c>
      <c r="R1627" s="408" t="s">
        <v>562</v>
      </c>
      <c r="S1627" s="408" t="s">
        <v>3273</v>
      </c>
      <c r="T1627" s="408"/>
      <c r="U1627" s="408"/>
      <c r="V1627" s="421"/>
      <c r="W1627" s="421"/>
      <c r="X1627" s="421"/>
      <c r="Y1627" s="421"/>
      <c r="Z1627" s="421"/>
      <c r="AA1627" s="421"/>
      <c r="AB1627" s="421"/>
      <c r="AC1627" s="421"/>
      <c r="AD1627" s="421"/>
      <c r="AE1627" s="421"/>
      <c r="AF1627" s="421"/>
      <c r="AG1627" s="421"/>
      <c r="AH1627" s="421"/>
      <c r="AI1627" s="421"/>
      <c r="AJ1627" s="421"/>
      <c r="AK1627" s="421"/>
      <c r="AL1627" s="421"/>
    </row>
    <row r="1628" spans="1:38">
      <c r="A1628" s="408">
        <v>6207</v>
      </c>
      <c r="B1628" s="83">
        <f t="array" ref="B1628">SUM(--(FREQUENCY(IF(C$2:C$3072=C1628, MATCH(D$2:D$3072, D$2:D$3072, 0)), ROW(D$2:D$3072)-ROW(D$2)+1) &gt; 0))</f>
        <v>76</v>
      </c>
      <c r="C1628" s="408">
        <v>41200007</v>
      </c>
      <c r="D1628" s="408" t="s">
        <v>3382</v>
      </c>
      <c r="E1628" s="408" t="s">
        <v>1405</v>
      </c>
      <c r="F1628" s="408" t="s">
        <v>1591</v>
      </c>
      <c r="G1628" s="408" t="s">
        <v>2666</v>
      </c>
      <c r="H1628" s="197">
        <f t="shared" si="397"/>
        <v>49</v>
      </c>
      <c r="I1628" s="197">
        <v>12</v>
      </c>
      <c r="J1628" s="408">
        <v>1</v>
      </c>
      <c r="K1628" s="420">
        <f t="shared" ref="K1628" si="398">DATE(2025, I1628, J1628)</f>
        <v>45992</v>
      </c>
      <c r="L1628" s="420" t="s">
        <v>2395</v>
      </c>
      <c r="M1628" s="408" t="s">
        <v>1469</v>
      </c>
      <c r="N1628" s="408" t="str">
        <f t="shared" si="396"/>
        <v>NG</v>
      </c>
      <c r="O1628" s="408" t="s">
        <v>2368</v>
      </c>
      <c r="P1628" s="408" t="s">
        <v>2371</v>
      </c>
      <c r="Q1628" s="408">
        <v>11001964</v>
      </c>
      <c r="R1628" s="408" t="s">
        <v>562</v>
      </c>
      <c r="S1628" s="408" t="s">
        <v>3275</v>
      </c>
      <c r="T1628" s="408"/>
      <c r="U1628" s="408"/>
      <c r="V1628" s="421"/>
      <c r="W1628" s="421"/>
      <c r="X1628" s="421"/>
      <c r="Y1628" s="421"/>
      <c r="Z1628" s="421"/>
      <c r="AA1628" s="421"/>
      <c r="AB1628" s="421"/>
      <c r="AC1628" s="421"/>
      <c r="AD1628" s="421"/>
      <c r="AE1628" s="421"/>
      <c r="AF1628" s="421"/>
      <c r="AG1628" s="421"/>
      <c r="AH1628" s="421"/>
      <c r="AI1628" s="421"/>
      <c r="AJ1628" s="421"/>
      <c r="AK1628" s="421"/>
      <c r="AL1628" s="421"/>
    </row>
    <row r="1629" spans="1:38">
      <c r="A1629" s="408">
        <v>6207</v>
      </c>
      <c r="B1629" s="83">
        <f t="array" ref="B1629">SUM(--(FREQUENCY(IF(C$2:C$3072=C1629, MATCH(D$2:D$3072, D$2:D$3072, 0)), ROW(D$2:D$3072)-ROW(D$2)+1) &gt; 0))</f>
        <v>76</v>
      </c>
      <c r="C1629" s="408">
        <v>41200007</v>
      </c>
      <c r="D1629" s="408" t="s">
        <v>3383</v>
      </c>
      <c r="E1629" s="408" t="s">
        <v>1405</v>
      </c>
      <c r="F1629" s="408" t="s">
        <v>1591</v>
      </c>
      <c r="G1629" s="408" t="s">
        <v>2666</v>
      </c>
      <c r="H1629" s="197">
        <f t="shared" si="397"/>
        <v>49</v>
      </c>
      <c r="I1629" s="197">
        <v>12</v>
      </c>
      <c r="J1629" s="408">
        <v>1</v>
      </c>
      <c r="K1629" s="420">
        <f t="shared" si="395"/>
        <v>45992</v>
      </c>
      <c r="L1629" s="420" t="s">
        <v>2395</v>
      </c>
      <c r="M1629" s="408" t="s">
        <v>1469</v>
      </c>
      <c r="N1629" s="408" t="str">
        <f t="shared" si="396"/>
        <v/>
      </c>
      <c r="O1629" s="408"/>
      <c r="P1629" s="408"/>
      <c r="Q1629" s="408"/>
      <c r="R1629" s="408"/>
      <c r="S1629" s="408"/>
      <c r="T1629" s="408"/>
      <c r="U1629" s="408"/>
      <c r="V1629" s="421"/>
      <c r="W1629" s="421"/>
      <c r="X1629" s="421"/>
      <c r="Y1629" s="421"/>
      <c r="Z1629" s="421"/>
      <c r="AA1629" s="421"/>
      <c r="AB1629" s="421"/>
      <c r="AC1629" s="421"/>
      <c r="AD1629" s="421"/>
      <c r="AE1629" s="421"/>
      <c r="AF1629" s="421"/>
      <c r="AG1629" s="421"/>
      <c r="AH1629" s="421"/>
      <c r="AI1629" s="421"/>
      <c r="AJ1629" s="421"/>
      <c r="AK1629" s="421"/>
      <c r="AL1629" s="421"/>
    </row>
    <row r="1630" spans="1:38">
      <c r="A1630" s="408">
        <v>6036</v>
      </c>
      <c r="B1630" s="83">
        <f t="array" ref="B1630">SUM(--(FREQUENCY(IF(C$2:C$3072=C1630, MATCH(D$2:D$3072, D$2:D$3072, 0)), ROW(D$2:D$3072)-ROW(D$2)+1) &gt; 0))</f>
        <v>19</v>
      </c>
      <c r="C1630" s="408">
        <v>41200033</v>
      </c>
      <c r="D1630" s="408" t="s">
        <v>3384</v>
      </c>
      <c r="E1630" s="408" t="s">
        <v>1426</v>
      </c>
      <c r="F1630" s="408" t="s">
        <v>1476</v>
      </c>
      <c r="G1630" s="408" t="s">
        <v>2675</v>
      </c>
      <c r="H1630" s="197">
        <f t="shared" si="397"/>
        <v>49</v>
      </c>
      <c r="I1630" s="197">
        <v>12</v>
      </c>
      <c r="J1630" s="408">
        <v>1</v>
      </c>
      <c r="K1630" s="420">
        <f t="shared" si="395"/>
        <v>45992</v>
      </c>
      <c r="L1630" s="420" t="s">
        <v>2555</v>
      </c>
      <c r="M1630" s="408" t="s">
        <v>2555</v>
      </c>
      <c r="N1630" s="408" t="str">
        <f t="shared" si="396"/>
        <v/>
      </c>
      <c r="O1630" s="408"/>
      <c r="P1630" s="408"/>
      <c r="Q1630" s="408"/>
      <c r="R1630" s="408"/>
      <c r="S1630" s="408"/>
      <c r="T1630" s="408"/>
      <c r="U1630" s="408"/>
      <c r="V1630" s="421"/>
      <c r="W1630" s="421"/>
      <c r="X1630" s="421"/>
      <c r="Y1630" s="421"/>
      <c r="Z1630" s="421"/>
      <c r="AA1630" s="421"/>
      <c r="AB1630" s="421"/>
      <c r="AC1630" s="421"/>
      <c r="AD1630" s="421"/>
      <c r="AE1630" s="421"/>
      <c r="AF1630" s="421"/>
      <c r="AG1630" s="421"/>
      <c r="AH1630" s="421"/>
      <c r="AI1630" s="421"/>
      <c r="AJ1630" s="421"/>
      <c r="AK1630" s="421"/>
      <c r="AL1630" s="421"/>
    </row>
    <row r="1631" spans="1:38">
      <c r="A1631" s="408">
        <v>6229</v>
      </c>
      <c r="B1631" s="83">
        <f t="array" ref="B1631">SUM(--(FREQUENCY(IF(C$2:C$3072=C1631, MATCH(D$2:D$3072, D$2:D$3072, 0)), ROW(D$2:D$3072)-ROW(D$2)+1) &gt; 0))</f>
        <v>1</v>
      </c>
      <c r="C1631" s="408">
        <v>41200175</v>
      </c>
      <c r="D1631" s="408" t="s">
        <v>3385</v>
      </c>
      <c r="E1631" s="408" t="s">
        <v>1424</v>
      </c>
      <c r="F1631" s="408" t="s">
        <v>1476</v>
      </c>
      <c r="G1631" s="408" t="s">
        <v>2675</v>
      </c>
      <c r="H1631" s="197">
        <f t="shared" si="397"/>
        <v>49</v>
      </c>
      <c r="I1631" s="197">
        <v>12</v>
      </c>
      <c r="J1631" s="408">
        <v>1</v>
      </c>
      <c r="K1631" s="420">
        <f t="shared" si="395"/>
        <v>45992</v>
      </c>
      <c r="L1631" s="420" t="s">
        <v>2395</v>
      </c>
      <c r="M1631" s="408" t="s">
        <v>1469</v>
      </c>
      <c r="N1631" s="408" t="str">
        <f t="shared" si="396"/>
        <v>NG</v>
      </c>
      <c r="O1631" s="408" t="s">
        <v>2368</v>
      </c>
      <c r="P1631" s="408" t="s">
        <v>2508</v>
      </c>
      <c r="Q1631" s="408">
        <v>11006077</v>
      </c>
      <c r="R1631" s="408" t="s">
        <v>473</v>
      </c>
      <c r="S1631" s="408" t="s">
        <v>3324</v>
      </c>
      <c r="T1631" s="408"/>
      <c r="U1631" s="408"/>
      <c r="V1631" s="421"/>
      <c r="W1631" s="421"/>
      <c r="X1631" s="421"/>
      <c r="Y1631" s="421"/>
      <c r="Z1631" s="421"/>
      <c r="AA1631" s="421"/>
      <c r="AB1631" s="421"/>
      <c r="AC1631" s="421"/>
      <c r="AD1631" s="421"/>
      <c r="AE1631" s="421"/>
      <c r="AF1631" s="421"/>
      <c r="AG1631" s="421"/>
      <c r="AH1631" s="421"/>
      <c r="AI1631" s="421"/>
      <c r="AJ1631" s="421"/>
      <c r="AK1631" s="421"/>
      <c r="AL1631" s="421"/>
    </row>
    <row r="1632" spans="1:38">
      <c r="A1632" s="408">
        <v>6181</v>
      </c>
      <c r="B1632" s="83">
        <f t="array" ref="B1632">SUM(--(FREQUENCY(IF(C$2:C$3072=C1632, MATCH(D$2:D$3072, D$2:D$3072, 0)), ROW(D$2:D$3072)-ROW(D$2)+1) &gt; 0))</f>
        <v>24</v>
      </c>
      <c r="C1632" s="408">
        <v>41200122</v>
      </c>
      <c r="D1632" s="408" t="s">
        <v>3386</v>
      </c>
      <c r="E1632" s="408" t="s">
        <v>1585</v>
      </c>
      <c r="F1632" s="408" t="s">
        <v>1476</v>
      </c>
      <c r="G1632" s="408" t="s">
        <v>2675</v>
      </c>
      <c r="H1632" s="197">
        <f t="shared" si="397"/>
        <v>49</v>
      </c>
      <c r="I1632" s="197">
        <v>12</v>
      </c>
      <c r="J1632" s="408">
        <v>1</v>
      </c>
      <c r="K1632" s="420">
        <f t="shared" si="395"/>
        <v>45992</v>
      </c>
      <c r="L1632" s="420" t="s">
        <v>2391</v>
      </c>
      <c r="M1632" s="408" t="s">
        <v>2392</v>
      </c>
      <c r="N1632" s="408" t="str">
        <f t="shared" si="396"/>
        <v>NG</v>
      </c>
      <c r="O1632" s="408" t="s">
        <v>2368</v>
      </c>
      <c r="P1632" s="408" t="s">
        <v>2371</v>
      </c>
      <c r="Q1632" s="408">
        <v>11001962</v>
      </c>
      <c r="R1632" s="408" t="s">
        <v>562</v>
      </c>
      <c r="S1632" s="408" t="s">
        <v>3387</v>
      </c>
      <c r="T1632" s="408"/>
      <c r="U1632" s="408"/>
      <c r="V1632" s="421"/>
      <c r="W1632" s="421"/>
      <c r="X1632" s="421"/>
      <c r="Y1632" s="421"/>
      <c r="Z1632" s="421"/>
      <c r="AA1632" s="421"/>
      <c r="AB1632" s="421"/>
      <c r="AC1632" s="421"/>
      <c r="AD1632" s="421"/>
      <c r="AE1632" s="421"/>
      <c r="AF1632" s="421"/>
      <c r="AG1632" s="421"/>
      <c r="AH1632" s="421"/>
      <c r="AI1632" s="421"/>
      <c r="AJ1632" s="421"/>
      <c r="AK1632" s="421"/>
      <c r="AL1632" s="421"/>
    </row>
    <row r="1633" spans="1:38">
      <c r="A1633" s="408">
        <v>6289</v>
      </c>
      <c r="B1633" s="83">
        <f t="array" ref="B1633">SUM(--(FREQUENCY(IF(C$2:C$3072=C1633, MATCH(D$2:D$3072, D$2:D$3072, 0)), ROW(D$2:D$3072)-ROW(D$2)+1) &gt; 0))</f>
        <v>3</v>
      </c>
      <c r="C1633" s="408">
        <v>41200149</v>
      </c>
      <c r="D1633" s="408" t="s">
        <v>3388</v>
      </c>
      <c r="E1633" s="408" t="s">
        <v>1426</v>
      </c>
      <c r="F1633" s="408" t="s">
        <v>1476</v>
      </c>
      <c r="G1633" s="408" t="s">
        <v>2675</v>
      </c>
      <c r="H1633" s="197">
        <f t="shared" si="397"/>
        <v>49</v>
      </c>
      <c r="I1633" s="197">
        <v>12</v>
      </c>
      <c r="J1633" s="408">
        <v>2</v>
      </c>
      <c r="K1633" s="420">
        <f t="shared" si="395"/>
        <v>45993</v>
      </c>
      <c r="L1633" s="420" t="s">
        <v>2391</v>
      </c>
      <c r="M1633" s="408" t="s">
        <v>2392</v>
      </c>
      <c r="N1633" s="408" t="str">
        <f t="shared" si="396"/>
        <v/>
      </c>
      <c r="O1633" s="408"/>
      <c r="P1633" s="408"/>
      <c r="Q1633" s="408"/>
      <c r="R1633" s="408"/>
      <c r="S1633" s="408"/>
      <c r="T1633" s="408"/>
      <c r="U1633" s="408"/>
      <c r="V1633" s="421"/>
      <c r="W1633" s="421"/>
      <c r="X1633" s="421"/>
      <c r="Y1633" s="421"/>
      <c r="Z1633" s="421"/>
      <c r="AA1633" s="421"/>
      <c r="AB1633" s="421"/>
      <c r="AC1633" s="421"/>
      <c r="AD1633" s="421"/>
      <c r="AE1633" s="421"/>
      <c r="AF1633" s="421"/>
      <c r="AG1633" s="421"/>
      <c r="AH1633" s="421"/>
      <c r="AI1633" s="421"/>
      <c r="AJ1633" s="421"/>
      <c r="AK1633" s="421"/>
      <c r="AL1633" s="421"/>
    </row>
    <row r="1634" spans="1:38">
      <c r="A1634" s="408">
        <v>6185</v>
      </c>
      <c r="B1634" s="83">
        <f t="array" ref="B1634">SUM(--(FREQUENCY(IF(C$2:C$3072=C1634, MATCH(D$2:D$3072, D$2:D$3072, 0)), ROW(D$2:D$3072)-ROW(D$2)+1) &gt; 0))</f>
        <v>8</v>
      </c>
      <c r="C1634" s="408">
        <v>41200152</v>
      </c>
      <c r="D1634" s="408" t="s">
        <v>3389</v>
      </c>
      <c r="E1634" s="408" t="s">
        <v>1585</v>
      </c>
      <c r="F1634" s="408" t="s">
        <v>1476</v>
      </c>
      <c r="G1634" s="408" t="s">
        <v>2675</v>
      </c>
      <c r="H1634" s="197">
        <f t="shared" si="397"/>
        <v>49</v>
      </c>
      <c r="I1634" s="197">
        <v>12</v>
      </c>
      <c r="J1634" s="408">
        <v>2</v>
      </c>
      <c r="K1634" s="420">
        <f t="shared" si="395"/>
        <v>45993</v>
      </c>
      <c r="L1634" s="420" t="s">
        <v>2555</v>
      </c>
      <c r="M1634" s="408" t="s">
        <v>2555</v>
      </c>
      <c r="N1634" s="408" t="str">
        <f t="shared" si="396"/>
        <v/>
      </c>
      <c r="O1634" s="408"/>
      <c r="P1634" s="408"/>
      <c r="Q1634" s="408"/>
      <c r="R1634" s="408"/>
      <c r="S1634" s="408"/>
      <c r="T1634" s="408"/>
      <c r="U1634" s="408"/>
      <c r="V1634" s="421"/>
      <c r="W1634" s="421"/>
      <c r="X1634" s="421"/>
      <c r="Y1634" s="421"/>
      <c r="Z1634" s="421"/>
      <c r="AA1634" s="421"/>
      <c r="AB1634" s="421"/>
      <c r="AC1634" s="421"/>
      <c r="AD1634" s="421"/>
      <c r="AE1634" s="421"/>
      <c r="AF1634" s="421"/>
      <c r="AG1634" s="421"/>
      <c r="AH1634" s="421"/>
      <c r="AI1634" s="421"/>
      <c r="AJ1634" s="421"/>
      <c r="AK1634" s="421"/>
      <c r="AL1634" s="421"/>
    </row>
    <row r="1635" spans="1:38">
      <c r="A1635" s="408">
        <v>6185</v>
      </c>
      <c r="B1635" s="83">
        <f t="array" ref="B1635">SUM(--(FREQUENCY(IF(C$2:C$3072=C1635, MATCH(D$2:D$3072, D$2:D$3072, 0)), ROW(D$2:D$3072)-ROW(D$2)+1) &gt; 0))</f>
        <v>8</v>
      </c>
      <c r="C1635" s="408">
        <v>41200152</v>
      </c>
      <c r="D1635" s="408" t="s">
        <v>3390</v>
      </c>
      <c r="E1635" s="408" t="s">
        <v>1585</v>
      </c>
      <c r="F1635" s="408" t="s">
        <v>1476</v>
      </c>
      <c r="G1635" s="408" t="s">
        <v>2675</v>
      </c>
      <c r="H1635" s="197">
        <f t="shared" si="397"/>
        <v>49</v>
      </c>
      <c r="I1635" s="197">
        <v>12</v>
      </c>
      <c r="J1635" s="408">
        <v>2</v>
      </c>
      <c r="K1635" s="420">
        <f t="shared" si="395"/>
        <v>45993</v>
      </c>
      <c r="L1635" s="420" t="s">
        <v>2555</v>
      </c>
      <c r="M1635" s="408" t="s">
        <v>2555</v>
      </c>
      <c r="N1635" s="408" t="str">
        <f t="shared" si="396"/>
        <v/>
      </c>
      <c r="O1635" s="408"/>
      <c r="P1635" s="408"/>
      <c r="Q1635" s="408"/>
      <c r="R1635" s="408"/>
      <c r="S1635" s="408"/>
      <c r="T1635" s="408"/>
      <c r="U1635" s="408"/>
      <c r="V1635" s="421"/>
      <c r="W1635" s="421"/>
      <c r="X1635" s="421"/>
      <c r="Y1635" s="421"/>
      <c r="Z1635" s="421"/>
      <c r="AA1635" s="421"/>
      <c r="AB1635" s="421"/>
      <c r="AC1635" s="421"/>
      <c r="AD1635" s="421"/>
      <c r="AE1635" s="421"/>
      <c r="AF1635" s="421"/>
      <c r="AG1635" s="421"/>
      <c r="AH1635" s="421"/>
      <c r="AI1635" s="421"/>
      <c r="AJ1635" s="421"/>
      <c r="AK1635" s="421"/>
      <c r="AL1635" s="421"/>
    </row>
    <row r="1636" spans="1:38">
      <c r="A1636" s="408">
        <v>6207</v>
      </c>
      <c r="B1636" s="83">
        <f t="array" ref="B1636">SUM(--(FREQUENCY(IF(C$2:C$3072=C1636, MATCH(D$2:D$3072, D$2:D$3072, 0)), ROW(D$2:D$3072)-ROW(D$2)+1) &gt; 0))</f>
        <v>76</v>
      </c>
      <c r="C1636" s="408">
        <v>41200007</v>
      </c>
      <c r="D1636" s="408" t="s">
        <v>3391</v>
      </c>
      <c r="E1636" s="408" t="s">
        <v>1405</v>
      </c>
      <c r="F1636" s="408" t="s">
        <v>1591</v>
      </c>
      <c r="G1636" s="408" t="s">
        <v>2666</v>
      </c>
      <c r="H1636" s="197">
        <f t="shared" si="397"/>
        <v>49</v>
      </c>
      <c r="I1636" s="197">
        <v>12</v>
      </c>
      <c r="J1636" s="408">
        <v>2</v>
      </c>
      <c r="K1636" s="420">
        <f t="shared" ref="K1636:K1669" si="399">DATE(2025, I1636, J1636)</f>
        <v>45993</v>
      </c>
      <c r="L1636" s="420" t="s">
        <v>2395</v>
      </c>
      <c r="M1636" s="408" t="s">
        <v>1469</v>
      </c>
      <c r="N1636" s="408" t="str">
        <f t="shared" si="396"/>
        <v/>
      </c>
      <c r="O1636" s="408"/>
      <c r="P1636" s="408"/>
      <c r="Q1636" s="408"/>
      <c r="R1636" s="408"/>
      <c r="S1636" s="408"/>
      <c r="T1636" s="408"/>
      <c r="U1636" s="408"/>
      <c r="V1636" s="421"/>
      <c r="W1636" s="421"/>
      <c r="X1636" s="421"/>
      <c r="Y1636" s="421"/>
      <c r="Z1636" s="421"/>
      <c r="AA1636" s="421"/>
      <c r="AB1636" s="421"/>
      <c r="AC1636" s="421"/>
      <c r="AD1636" s="421"/>
      <c r="AE1636" s="421"/>
      <c r="AF1636" s="421"/>
      <c r="AG1636" s="421"/>
      <c r="AH1636" s="421"/>
      <c r="AI1636" s="421"/>
      <c r="AJ1636" s="421"/>
      <c r="AK1636" s="421"/>
      <c r="AL1636" s="421"/>
    </row>
    <row r="1637" spans="1:38">
      <c r="A1637" s="408">
        <v>6207</v>
      </c>
      <c r="B1637" s="83">
        <f t="array" ref="B1637">SUM(--(FREQUENCY(IF(C$2:C$3072=C1637, MATCH(D$2:D$3072, D$2:D$3072, 0)), ROW(D$2:D$3072)-ROW(D$2)+1) &gt; 0))</f>
        <v>76</v>
      </c>
      <c r="C1637" s="408">
        <v>41200007</v>
      </c>
      <c r="D1637" s="408" t="s">
        <v>3392</v>
      </c>
      <c r="E1637" s="408" t="s">
        <v>1405</v>
      </c>
      <c r="F1637" s="408" t="s">
        <v>1591</v>
      </c>
      <c r="G1637" s="408" t="s">
        <v>2666</v>
      </c>
      <c r="H1637" s="197">
        <f t="shared" si="397"/>
        <v>49</v>
      </c>
      <c r="I1637" s="197">
        <v>12</v>
      </c>
      <c r="J1637" s="408">
        <v>2</v>
      </c>
      <c r="K1637" s="420">
        <f t="shared" si="399"/>
        <v>45993</v>
      </c>
      <c r="L1637" s="420" t="s">
        <v>2395</v>
      </c>
      <c r="M1637" s="408" t="s">
        <v>1469</v>
      </c>
      <c r="N1637" s="408" t="str">
        <f t="shared" si="396"/>
        <v/>
      </c>
      <c r="O1637" s="408"/>
      <c r="P1637" s="408"/>
      <c r="Q1637" s="408"/>
      <c r="R1637" s="408"/>
      <c r="S1637" s="408"/>
      <c r="T1637" s="408"/>
      <c r="U1637" s="408"/>
      <c r="V1637" s="421"/>
      <c r="W1637" s="421"/>
      <c r="X1637" s="421"/>
      <c r="Y1637" s="421"/>
      <c r="Z1637" s="421"/>
      <c r="AA1637" s="421"/>
      <c r="AB1637" s="421"/>
      <c r="AC1637" s="421"/>
      <c r="AD1637" s="421"/>
      <c r="AE1637" s="421"/>
      <c r="AF1637" s="421"/>
      <c r="AG1637" s="421"/>
      <c r="AH1637" s="421"/>
      <c r="AI1637" s="421"/>
      <c r="AJ1637" s="421"/>
      <c r="AK1637" s="421"/>
      <c r="AL1637" s="421"/>
    </row>
    <row r="1638" spans="1:38">
      <c r="A1638" s="408">
        <v>6207</v>
      </c>
      <c r="B1638" s="83">
        <f t="array" ref="B1638">SUM(--(FREQUENCY(IF(C$2:C$3072=C1638, MATCH(D$2:D$3072, D$2:D$3072, 0)), ROW(D$2:D$3072)-ROW(D$2)+1) &gt; 0))</f>
        <v>76</v>
      </c>
      <c r="C1638" s="408">
        <v>41200007</v>
      </c>
      <c r="D1638" s="408" t="s">
        <v>3393</v>
      </c>
      <c r="E1638" s="408" t="s">
        <v>1405</v>
      </c>
      <c r="F1638" s="408" t="s">
        <v>1591</v>
      </c>
      <c r="G1638" s="408" t="s">
        <v>2666</v>
      </c>
      <c r="H1638" s="197">
        <f t="shared" si="397"/>
        <v>49</v>
      </c>
      <c r="I1638" s="197">
        <v>12</v>
      </c>
      <c r="J1638" s="408">
        <v>2</v>
      </c>
      <c r="K1638" s="420">
        <f t="shared" si="399"/>
        <v>45993</v>
      </c>
      <c r="L1638" s="408" t="s">
        <v>2395</v>
      </c>
      <c r="M1638" s="408" t="s">
        <v>1469</v>
      </c>
      <c r="N1638" s="408" t="str">
        <f t="shared" si="396"/>
        <v/>
      </c>
      <c r="O1638" s="408"/>
      <c r="P1638" s="408"/>
      <c r="Q1638" s="408"/>
      <c r="R1638" s="408"/>
      <c r="S1638" s="408"/>
      <c r="T1638" s="408"/>
      <c r="U1638" s="408"/>
      <c r="V1638" s="421"/>
      <c r="W1638" s="421"/>
      <c r="X1638" s="421"/>
      <c r="Y1638" s="421"/>
      <c r="Z1638" s="421"/>
      <c r="AA1638" s="421"/>
      <c r="AB1638" s="421"/>
      <c r="AC1638" s="421"/>
      <c r="AD1638" s="421"/>
      <c r="AE1638" s="421"/>
      <c r="AF1638" s="421"/>
      <c r="AG1638" s="421"/>
      <c r="AH1638" s="421"/>
      <c r="AI1638" s="421"/>
      <c r="AJ1638" s="421"/>
      <c r="AK1638" s="421"/>
      <c r="AL1638" s="421"/>
    </row>
    <row r="1639" spans="1:38">
      <c r="A1639" s="408">
        <v>6067</v>
      </c>
      <c r="B1639" s="83">
        <f t="array" ref="B1639">SUM(--(FREQUENCY(IF(C$2:C$3072=C1639, MATCH(D$2:D$3072, D$2:D$3072, 0)), ROW(D$2:D$3072)-ROW(D$2)+1) &gt; 0))</f>
        <v>20</v>
      </c>
      <c r="C1639" s="408">
        <v>41100435</v>
      </c>
      <c r="D1639" s="408" t="s">
        <v>3394</v>
      </c>
      <c r="E1639" s="408" t="s">
        <v>1585</v>
      </c>
      <c r="F1639" s="408" t="s">
        <v>1482</v>
      </c>
      <c r="G1639" s="408" t="s">
        <v>2666</v>
      </c>
      <c r="H1639" s="197">
        <f t="shared" si="397"/>
        <v>49</v>
      </c>
      <c r="I1639" s="197">
        <v>12</v>
      </c>
      <c r="J1639" s="408">
        <v>2</v>
      </c>
      <c r="K1639" s="420">
        <f t="shared" si="399"/>
        <v>45993</v>
      </c>
      <c r="L1639" s="408" t="s">
        <v>2391</v>
      </c>
      <c r="M1639" s="408" t="s">
        <v>2392</v>
      </c>
      <c r="N1639" s="408" t="str">
        <f t="shared" si="396"/>
        <v/>
      </c>
      <c r="O1639" s="408"/>
      <c r="P1639" s="408"/>
      <c r="Q1639" s="408"/>
      <c r="R1639" s="408"/>
      <c r="S1639" s="408"/>
      <c r="T1639" s="408"/>
      <c r="U1639" s="408"/>
      <c r="V1639" s="421"/>
      <c r="W1639" s="421"/>
      <c r="X1639" s="421"/>
      <c r="Y1639" s="421"/>
      <c r="Z1639" s="421"/>
      <c r="AA1639" s="421"/>
      <c r="AB1639" s="421"/>
      <c r="AC1639" s="421"/>
      <c r="AD1639" s="421"/>
      <c r="AE1639" s="421"/>
      <c r="AF1639" s="421"/>
      <c r="AG1639" s="421"/>
      <c r="AH1639" s="421"/>
      <c r="AI1639" s="421"/>
      <c r="AJ1639" s="421"/>
      <c r="AK1639" s="421"/>
      <c r="AL1639" s="421"/>
    </row>
    <row r="1640" spans="1:38">
      <c r="A1640" s="3">
        <v>6208</v>
      </c>
      <c r="B1640" s="83">
        <f t="array" ref="B1640">SUM(--(FREQUENCY(IF(C$2:C$3072=C1640, MATCH(D$2:D$3072, D$2:D$3072, 0)), ROW(D$2:D$3072)-ROW(D$2)+1) &gt; 0))</f>
        <v>6</v>
      </c>
      <c r="C1640" s="3">
        <v>41000598</v>
      </c>
      <c r="D1640" s="6" t="s">
        <v>3395</v>
      </c>
      <c r="E1640" s="3" t="s">
        <v>1405</v>
      </c>
      <c r="F1640" s="3" t="s">
        <v>1480</v>
      </c>
      <c r="G1640" s="68" t="s">
        <v>2675</v>
      </c>
      <c r="H1640" s="197">
        <f t="shared" si="397"/>
        <v>49</v>
      </c>
      <c r="I1640" s="197">
        <v>12</v>
      </c>
      <c r="J1640" s="408">
        <v>3</v>
      </c>
      <c r="K1640" s="420">
        <f t="shared" si="399"/>
        <v>45994</v>
      </c>
      <c r="L1640" s="3" t="s">
        <v>2395</v>
      </c>
      <c r="M1640" s="3" t="s">
        <v>1469</v>
      </c>
      <c r="N1640" s="408" t="str">
        <f t="shared" si="396"/>
        <v/>
      </c>
      <c r="O1640" s="408"/>
      <c r="P1640" s="408"/>
      <c r="Q1640" s="408"/>
      <c r="R1640" s="408"/>
      <c r="S1640" s="408"/>
      <c r="T1640" s="408"/>
      <c r="U1640" s="408"/>
      <c r="V1640" s="421"/>
      <c r="W1640" s="421"/>
      <c r="X1640" s="421"/>
      <c r="Y1640" s="421"/>
      <c r="Z1640" s="421"/>
      <c r="AA1640" s="421"/>
      <c r="AB1640" s="421"/>
      <c r="AC1640" s="421"/>
      <c r="AD1640" s="421"/>
      <c r="AE1640" s="421"/>
      <c r="AF1640" s="421"/>
      <c r="AG1640" s="421"/>
      <c r="AH1640" s="421"/>
      <c r="AI1640" s="421"/>
      <c r="AJ1640" s="421"/>
      <c r="AK1640" s="421"/>
      <c r="AL1640" s="421"/>
    </row>
    <row r="1641" spans="1:38">
      <c r="A1641" s="3">
        <v>6166</v>
      </c>
      <c r="B1641" s="83">
        <f t="array" ref="B1641">SUM(--(FREQUENCY(IF(C$2:C$3072=C1641, MATCH(D$2:D$3072, D$2:D$3072, 0)), ROW(D$2:D$3072)-ROW(D$2)+1) &gt; 0))</f>
        <v>6</v>
      </c>
      <c r="C1641" s="3">
        <v>41200087</v>
      </c>
      <c r="D1641" s="6" t="s">
        <v>3396</v>
      </c>
      <c r="E1641" s="3" t="s">
        <v>1429</v>
      </c>
      <c r="F1641" s="3" t="s">
        <v>1476</v>
      </c>
      <c r="G1641" s="68" t="s">
        <v>2675</v>
      </c>
      <c r="H1641" s="197">
        <f t="shared" si="397"/>
        <v>49</v>
      </c>
      <c r="I1641" s="197">
        <v>12</v>
      </c>
      <c r="J1641" s="408">
        <v>3</v>
      </c>
      <c r="K1641" s="420">
        <f t="shared" si="399"/>
        <v>45994</v>
      </c>
      <c r="L1641" s="3" t="s">
        <v>2555</v>
      </c>
      <c r="M1641" s="3" t="s">
        <v>2555</v>
      </c>
      <c r="N1641" s="408" t="str">
        <f t="shared" ref="N1641:N1717" si="400">IF(O1641&lt;&gt;"", "NG", "")</f>
        <v/>
      </c>
      <c r="O1641" s="408"/>
      <c r="P1641" s="408"/>
      <c r="Q1641" s="408"/>
      <c r="R1641" s="408"/>
      <c r="S1641" s="408"/>
      <c r="T1641" s="408"/>
      <c r="U1641" s="408"/>
      <c r="V1641" s="421"/>
      <c r="W1641" s="421"/>
      <c r="X1641" s="421"/>
      <c r="Y1641" s="421"/>
      <c r="Z1641" s="421"/>
      <c r="AA1641" s="421"/>
      <c r="AB1641" s="421"/>
      <c r="AC1641" s="421"/>
      <c r="AD1641" s="421"/>
      <c r="AE1641" s="421"/>
      <c r="AF1641" s="421"/>
      <c r="AG1641" s="421"/>
      <c r="AH1641" s="421"/>
      <c r="AI1641" s="421"/>
      <c r="AJ1641" s="421"/>
      <c r="AK1641" s="421"/>
      <c r="AL1641" s="421"/>
    </row>
    <row r="1642" spans="1:38">
      <c r="A1642" s="3">
        <v>6166</v>
      </c>
      <c r="B1642" s="83">
        <f t="array" ref="B1642">SUM(--(FREQUENCY(IF(C$2:C$3072=C1642, MATCH(D$2:D$3072, D$2:D$3072, 0)), ROW(D$2:D$3072)-ROW(D$2)+1) &gt; 0))</f>
        <v>6</v>
      </c>
      <c r="C1642" s="3">
        <v>41200087</v>
      </c>
      <c r="D1642" s="6" t="s">
        <v>3397</v>
      </c>
      <c r="E1642" s="3" t="s">
        <v>1429</v>
      </c>
      <c r="F1642" s="3" t="s">
        <v>1476</v>
      </c>
      <c r="G1642" s="68" t="s">
        <v>2675</v>
      </c>
      <c r="H1642" s="197">
        <f t="shared" si="397"/>
        <v>49</v>
      </c>
      <c r="I1642" s="197">
        <v>12</v>
      </c>
      <c r="J1642" s="408">
        <v>3</v>
      </c>
      <c r="K1642" s="420">
        <f t="shared" si="399"/>
        <v>45994</v>
      </c>
      <c r="L1642" s="3" t="s">
        <v>2555</v>
      </c>
      <c r="M1642" s="3" t="s">
        <v>2555</v>
      </c>
      <c r="N1642" s="408" t="str">
        <f t="shared" si="400"/>
        <v/>
      </c>
      <c r="O1642" s="408"/>
      <c r="P1642" s="408"/>
      <c r="Q1642" s="408"/>
      <c r="R1642" s="408"/>
      <c r="S1642" s="408"/>
      <c r="T1642" s="408"/>
      <c r="U1642" s="408"/>
      <c r="V1642" s="421"/>
      <c r="W1642" s="421"/>
      <c r="X1642" s="421"/>
      <c r="Y1642" s="421"/>
      <c r="Z1642" s="421"/>
      <c r="AA1642" s="421"/>
      <c r="AB1642" s="421"/>
      <c r="AC1642" s="421"/>
      <c r="AD1642" s="421"/>
      <c r="AE1642" s="421"/>
      <c r="AF1642" s="421"/>
      <c r="AG1642" s="421"/>
      <c r="AH1642" s="421"/>
      <c r="AI1642" s="421"/>
      <c r="AJ1642" s="421"/>
      <c r="AK1642" s="421"/>
      <c r="AL1642" s="421"/>
    </row>
    <row r="1643" spans="1:38">
      <c r="A1643" s="408">
        <v>5974</v>
      </c>
      <c r="B1643" s="83">
        <f t="array" ref="B1643">SUM(--(FREQUENCY(IF(C$2:C$3072=C1643, MATCH(D$2:D$3072, D$2:D$3072, 0)), ROW(D$2:D$3072)-ROW(D$2)+1) &gt; 0))</f>
        <v>5</v>
      </c>
      <c r="C1643" s="408">
        <v>41000584</v>
      </c>
      <c r="D1643" s="408" t="s">
        <v>3398</v>
      </c>
      <c r="E1643" s="408" t="s">
        <v>1405</v>
      </c>
      <c r="F1643" s="408" t="s">
        <v>1581</v>
      </c>
      <c r="G1643" s="408" t="s">
        <v>2675</v>
      </c>
      <c r="H1643" s="197">
        <f t="shared" si="397"/>
        <v>49</v>
      </c>
      <c r="I1643" s="197">
        <v>12</v>
      </c>
      <c r="J1643" s="408">
        <v>3</v>
      </c>
      <c r="K1643" s="420">
        <f t="shared" si="399"/>
        <v>45994</v>
      </c>
      <c r="L1643" s="408" t="s">
        <v>2392</v>
      </c>
      <c r="M1643" s="408" t="s">
        <v>2392</v>
      </c>
      <c r="N1643" s="408" t="str">
        <f t="shared" si="400"/>
        <v/>
      </c>
      <c r="O1643" s="408"/>
      <c r="P1643" s="408"/>
      <c r="Q1643" s="408"/>
      <c r="R1643" s="408"/>
      <c r="S1643" s="408"/>
      <c r="T1643" s="408"/>
      <c r="U1643" s="408"/>
      <c r="V1643" s="421"/>
      <c r="W1643" s="421"/>
      <c r="X1643" s="421"/>
      <c r="Y1643" s="421"/>
      <c r="Z1643" s="421"/>
      <c r="AA1643" s="421"/>
      <c r="AB1643" s="421"/>
      <c r="AC1643" s="421"/>
      <c r="AD1643" s="421"/>
      <c r="AE1643" s="421"/>
      <c r="AF1643" s="421"/>
      <c r="AG1643" s="421"/>
      <c r="AH1643" s="421"/>
      <c r="AI1643" s="421"/>
      <c r="AJ1643" s="421"/>
      <c r="AK1643" s="421"/>
      <c r="AL1643" s="421"/>
    </row>
    <row r="1644" spans="1:38">
      <c r="A1644" s="408">
        <v>6254</v>
      </c>
      <c r="B1644" s="83">
        <f t="array" ref="B1644">SUM(--(FREQUENCY(IF(C$2:C$3072=C1644, MATCH(D$2:D$3072, D$2:D$3072, 0)), ROW(D$2:D$3072)-ROW(D$2)+1) &gt; 0))</f>
        <v>37</v>
      </c>
      <c r="C1644" s="408">
        <v>41200076</v>
      </c>
      <c r="D1644" s="408" t="s">
        <v>3399</v>
      </c>
      <c r="E1644" s="408" t="s">
        <v>1585</v>
      </c>
      <c r="F1644" s="408" t="s">
        <v>1476</v>
      </c>
      <c r="G1644" s="408" t="s">
        <v>2675</v>
      </c>
      <c r="H1644" s="197">
        <f t="shared" si="397"/>
        <v>49</v>
      </c>
      <c r="I1644" s="197">
        <v>12</v>
      </c>
      <c r="J1644" s="408">
        <v>3</v>
      </c>
      <c r="K1644" s="420">
        <f t="shared" si="399"/>
        <v>45994</v>
      </c>
      <c r="L1644" s="408" t="s">
        <v>2391</v>
      </c>
      <c r="M1644" s="408" t="s">
        <v>1468</v>
      </c>
      <c r="N1644" s="408" t="str">
        <f t="shared" si="400"/>
        <v/>
      </c>
      <c r="O1644" s="408"/>
      <c r="P1644" s="408"/>
      <c r="Q1644" s="408"/>
      <c r="R1644" s="408"/>
      <c r="S1644" s="408"/>
      <c r="T1644" s="408"/>
      <c r="U1644" s="408"/>
      <c r="V1644" s="421"/>
      <c r="W1644" s="421"/>
      <c r="X1644" s="421"/>
      <c r="Y1644" s="421"/>
      <c r="Z1644" s="421"/>
      <c r="AA1644" s="421"/>
      <c r="AB1644" s="421"/>
      <c r="AC1644" s="421"/>
      <c r="AD1644" s="421"/>
      <c r="AE1644" s="421"/>
      <c r="AF1644" s="421"/>
      <c r="AG1644" s="421"/>
      <c r="AH1644" s="421"/>
      <c r="AI1644" s="421"/>
      <c r="AJ1644" s="421"/>
      <c r="AK1644" s="421"/>
      <c r="AL1644" s="421"/>
    </row>
    <row r="1645" spans="1:38">
      <c r="A1645" s="408">
        <v>6064</v>
      </c>
      <c r="B1645" s="83">
        <f t="array" ref="B1645">SUM(--(FREQUENCY(IF(C$2:C$3072=C1645, MATCH(D$2:D$3072, D$2:D$3072, 0)), ROW(D$2:D$3072)-ROW(D$2)+1) &gt; 0))</f>
        <v>3</v>
      </c>
      <c r="C1645" s="408">
        <v>41200066</v>
      </c>
      <c r="D1645" s="408" t="s">
        <v>3400</v>
      </c>
      <c r="E1645" s="408" t="s">
        <v>1424</v>
      </c>
      <c r="F1645" s="408" t="s">
        <v>1476</v>
      </c>
      <c r="G1645" s="408" t="s">
        <v>2675</v>
      </c>
      <c r="H1645" s="197">
        <f t="shared" si="397"/>
        <v>49</v>
      </c>
      <c r="I1645" s="197">
        <v>12</v>
      </c>
      <c r="J1645" s="408">
        <v>3</v>
      </c>
      <c r="K1645" s="420">
        <f t="shared" si="399"/>
        <v>45994</v>
      </c>
      <c r="L1645" s="408" t="s">
        <v>2395</v>
      </c>
      <c r="M1645" s="408" t="s">
        <v>1469</v>
      </c>
      <c r="N1645" s="408" t="str">
        <f t="shared" si="400"/>
        <v/>
      </c>
      <c r="O1645" s="408"/>
      <c r="P1645" s="408"/>
      <c r="Q1645" s="408"/>
      <c r="R1645" s="408"/>
      <c r="S1645" s="408"/>
      <c r="T1645" s="408"/>
      <c r="U1645" s="408"/>
      <c r="V1645" s="421"/>
      <c r="W1645" s="421"/>
      <c r="X1645" s="421"/>
      <c r="Y1645" s="421"/>
      <c r="Z1645" s="421"/>
      <c r="AA1645" s="421"/>
      <c r="AB1645" s="421"/>
      <c r="AC1645" s="421"/>
      <c r="AD1645" s="421"/>
      <c r="AE1645" s="421"/>
      <c r="AF1645" s="421"/>
      <c r="AG1645" s="421"/>
      <c r="AH1645" s="421"/>
      <c r="AI1645" s="421"/>
      <c r="AJ1645" s="421"/>
      <c r="AK1645" s="421"/>
      <c r="AL1645" s="421"/>
    </row>
    <row r="1646" spans="1:38">
      <c r="A1646" s="408">
        <v>6221</v>
      </c>
      <c r="B1646" s="83">
        <f t="array" ref="B1646">SUM(--(FREQUENCY(IF(C$2:C$3072=C1646, MATCH(D$2:D$3072, D$2:D$3072, 0)), ROW(D$2:D$3072)-ROW(D$2)+1) &gt; 0))</f>
        <v>29</v>
      </c>
      <c r="C1646" s="408">
        <v>41200127</v>
      </c>
      <c r="D1646" s="408" t="s">
        <v>3401</v>
      </c>
      <c r="E1646" s="408" t="s">
        <v>1431</v>
      </c>
      <c r="F1646" s="408" t="s">
        <v>1591</v>
      </c>
      <c r="G1646" s="408" t="s">
        <v>2666</v>
      </c>
      <c r="H1646" s="197">
        <f t="shared" si="397"/>
        <v>49</v>
      </c>
      <c r="I1646" s="197">
        <v>12</v>
      </c>
      <c r="J1646" s="408">
        <v>4</v>
      </c>
      <c r="K1646" s="420">
        <f t="shared" si="399"/>
        <v>45995</v>
      </c>
      <c r="L1646" s="408" t="s">
        <v>2391</v>
      </c>
      <c r="M1646" s="408" t="s">
        <v>2392</v>
      </c>
      <c r="N1646" s="408" t="str">
        <f t="shared" si="400"/>
        <v/>
      </c>
      <c r="O1646" s="408"/>
      <c r="P1646" s="408"/>
      <c r="Q1646" s="408"/>
      <c r="R1646" s="408"/>
      <c r="S1646" s="408"/>
      <c r="T1646" s="408"/>
      <c r="U1646" s="408"/>
      <c r="V1646" s="421"/>
      <c r="W1646" s="421"/>
      <c r="X1646" s="421"/>
      <c r="Y1646" s="421"/>
      <c r="Z1646" s="421"/>
      <c r="AA1646" s="421"/>
      <c r="AB1646" s="421"/>
      <c r="AC1646" s="421"/>
      <c r="AD1646" s="421"/>
      <c r="AE1646" s="421"/>
      <c r="AF1646" s="421"/>
      <c r="AG1646" s="421"/>
      <c r="AH1646" s="421"/>
      <c r="AI1646" s="421"/>
      <c r="AJ1646" s="421"/>
      <c r="AK1646" s="421"/>
      <c r="AL1646" s="421"/>
    </row>
    <row r="1647" spans="1:38">
      <c r="A1647" s="408">
        <v>6331</v>
      </c>
      <c r="B1647" s="83">
        <f t="array" ref="B1647">SUM(--(FREQUENCY(IF(C$2:C$3072=C1647, MATCH(D$2:D$3072, D$2:D$3072, 0)), ROW(D$2:D$3072)-ROW(D$2)+1) &gt; 0))</f>
        <v>1</v>
      </c>
      <c r="C1647" s="408">
        <v>41100064</v>
      </c>
      <c r="D1647" s="408" t="s">
        <v>3402</v>
      </c>
      <c r="E1647" s="408" t="s">
        <v>1433</v>
      </c>
      <c r="F1647" s="408" t="s">
        <v>1480</v>
      </c>
      <c r="G1647" s="408" t="s">
        <v>2675</v>
      </c>
      <c r="H1647" s="197">
        <f t="shared" si="397"/>
        <v>49</v>
      </c>
      <c r="I1647" s="197">
        <v>12</v>
      </c>
      <c r="J1647" s="408">
        <v>4</v>
      </c>
      <c r="K1647" s="420">
        <f t="shared" si="399"/>
        <v>45995</v>
      </c>
      <c r="L1647" s="408" t="s">
        <v>2391</v>
      </c>
      <c r="M1647" s="408" t="s">
        <v>2392</v>
      </c>
      <c r="N1647" s="408" t="str">
        <f t="shared" si="400"/>
        <v/>
      </c>
      <c r="O1647" s="408"/>
      <c r="P1647" s="408"/>
      <c r="Q1647" s="408"/>
      <c r="R1647" s="408"/>
      <c r="S1647" s="408"/>
      <c r="T1647" s="408"/>
      <c r="U1647" s="408"/>
      <c r="V1647" s="421"/>
      <c r="W1647" s="421"/>
      <c r="X1647" s="421"/>
      <c r="Y1647" s="421"/>
      <c r="Z1647" s="421"/>
      <c r="AA1647" s="421"/>
      <c r="AB1647" s="421"/>
      <c r="AC1647" s="421"/>
      <c r="AD1647" s="421"/>
      <c r="AE1647" s="421"/>
      <c r="AF1647" s="421"/>
      <c r="AG1647" s="421"/>
      <c r="AH1647" s="421"/>
      <c r="AI1647" s="421"/>
      <c r="AJ1647" s="421"/>
      <c r="AK1647" s="421"/>
      <c r="AL1647" s="421"/>
    </row>
    <row r="1648" spans="1:38">
      <c r="A1648" s="408">
        <v>6116</v>
      </c>
      <c r="B1648" s="83">
        <f t="array" ref="B1648">SUM(--(FREQUENCY(IF(C$2:C$3072=C1648, MATCH(D$2:D$3072, D$2:D$3072, 0)), ROW(D$2:D$3072)-ROW(D$2)+1) &gt; 0))</f>
        <v>6</v>
      </c>
      <c r="C1648" s="408">
        <v>41100317</v>
      </c>
      <c r="D1648" s="408" t="s">
        <v>3403</v>
      </c>
      <c r="E1648" s="408" t="s">
        <v>1585</v>
      </c>
      <c r="F1648" s="408" t="s">
        <v>1476</v>
      </c>
      <c r="G1648" s="408" t="s">
        <v>2675</v>
      </c>
      <c r="H1648" s="197">
        <f t="shared" si="397"/>
        <v>49</v>
      </c>
      <c r="I1648" s="197">
        <v>12</v>
      </c>
      <c r="J1648" s="408">
        <v>4</v>
      </c>
      <c r="K1648" s="420">
        <f t="shared" si="399"/>
        <v>45995</v>
      </c>
      <c r="L1648" s="408" t="s">
        <v>2391</v>
      </c>
      <c r="M1648" s="408" t="s">
        <v>1468</v>
      </c>
      <c r="N1648" s="408" t="str">
        <f t="shared" si="400"/>
        <v>NG</v>
      </c>
      <c r="O1648" s="408" t="s">
        <v>2368</v>
      </c>
      <c r="P1648" s="408" t="s">
        <v>2371</v>
      </c>
      <c r="Q1648" s="408">
        <v>11001963</v>
      </c>
      <c r="R1648" s="408" t="s">
        <v>562</v>
      </c>
      <c r="S1648" s="408" t="s">
        <v>3404</v>
      </c>
      <c r="T1648" s="408"/>
      <c r="U1648" s="408"/>
      <c r="V1648" s="421"/>
      <c r="W1648" s="421"/>
      <c r="X1648" s="421"/>
      <c r="Y1648" s="421"/>
      <c r="Z1648" s="421"/>
      <c r="AA1648" s="421"/>
      <c r="AB1648" s="421"/>
      <c r="AC1648" s="421"/>
      <c r="AD1648" s="421"/>
      <c r="AE1648" s="421"/>
      <c r="AF1648" s="421"/>
      <c r="AG1648" s="421"/>
      <c r="AH1648" s="421"/>
      <c r="AI1648" s="421"/>
      <c r="AJ1648" s="421"/>
      <c r="AK1648" s="421"/>
      <c r="AL1648" s="421"/>
    </row>
    <row r="1649" spans="1:38">
      <c r="A1649" s="408">
        <v>6082</v>
      </c>
      <c r="B1649" s="83">
        <f t="array" ref="B1649">SUM(--(FREQUENCY(IF(C$2:C$3072=C1649, MATCH(D$2:D$3072, D$2:D$3072, 0)), ROW(D$2:D$3072)-ROW(D$2)+1) &gt; 0))</f>
        <v>63</v>
      </c>
      <c r="C1649" s="408">
        <v>41200006</v>
      </c>
      <c r="D1649" s="408" t="s">
        <v>3405</v>
      </c>
      <c r="E1649" s="408" t="s">
        <v>1405</v>
      </c>
      <c r="F1649" s="408" t="s">
        <v>1477</v>
      </c>
      <c r="G1649" s="408" t="s">
        <v>2666</v>
      </c>
      <c r="H1649" s="197">
        <f t="shared" ref="H1649:H1656" si="401">WEEKNUM(K1649)</f>
        <v>49</v>
      </c>
      <c r="I1649" s="197">
        <v>12</v>
      </c>
      <c r="J1649" s="408">
        <v>4</v>
      </c>
      <c r="K1649" s="420">
        <f t="shared" si="399"/>
        <v>45995</v>
      </c>
      <c r="L1649" s="408" t="s">
        <v>2395</v>
      </c>
      <c r="M1649" s="408" t="s">
        <v>1469</v>
      </c>
      <c r="N1649" s="408" t="str">
        <f t="shared" si="400"/>
        <v/>
      </c>
      <c r="O1649" s="408"/>
      <c r="P1649" s="408"/>
      <c r="Q1649" s="408"/>
      <c r="R1649" s="408"/>
      <c r="S1649" s="408"/>
      <c r="T1649" s="408"/>
      <c r="U1649" s="408"/>
      <c r="V1649" s="421"/>
      <c r="W1649" s="421"/>
      <c r="X1649" s="421"/>
      <c r="Y1649" s="421"/>
      <c r="Z1649" s="421"/>
      <c r="AA1649" s="421"/>
      <c r="AB1649" s="421"/>
      <c r="AC1649" s="421"/>
      <c r="AD1649" s="421"/>
      <c r="AE1649" s="421"/>
      <c r="AF1649" s="421"/>
      <c r="AG1649" s="421"/>
      <c r="AH1649" s="421"/>
      <c r="AI1649" s="421"/>
      <c r="AJ1649" s="421"/>
      <c r="AK1649" s="421"/>
      <c r="AL1649" s="421"/>
    </row>
    <row r="1650" spans="1:38">
      <c r="A1650" s="408">
        <v>6082</v>
      </c>
      <c r="B1650" s="83">
        <f t="array" ref="B1650">SUM(--(FREQUENCY(IF(C$2:C$3072=C1650, MATCH(D$2:D$3072, D$2:D$3072, 0)), ROW(D$2:D$3072)-ROW(D$2)+1) &gt; 0))</f>
        <v>63</v>
      </c>
      <c r="C1650" s="408">
        <v>41200006</v>
      </c>
      <c r="D1650" s="408" t="s">
        <v>3406</v>
      </c>
      <c r="E1650" s="408" t="s">
        <v>1405</v>
      </c>
      <c r="F1650" s="408" t="s">
        <v>1477</v>
      </c>
      <c r="G1650" s="408" t="s">
        <v>2666</v>
      </c>
      <c r="H1650" s="197">
        <f t="shared" si="401"/>
        <v>49</v>
      </c>
      <c r="I1650" s="197">
        <v>12</v>
      </c>
      <c r="J1650" s="408">
        <v>4</v>
      </c>
      <c r="K1650" s="420">
        <f t="shared" si="399"/>
        <v>45995</v>
      </c>
      <c r="L1650" s="408" t="s">
        <v>2395</v>
      </c>
      <c r="M1650" s="408" t="s">
        <v>1469</v>
      </c>
      <c r="N1650" s="408" t="str">
        <f t="shared" si="400"/>
        <v/>
      </c>
      <c r="O1650" s="408"/>
      <c r="P1650" s="408"/>
      <c r="Q1650" s="408"/>
      <c r="R1650" s="408"/>
      <c r="S1650" s="408"/>
      <c r="T1650" s="408"/>
      <c r="U1650" s="408"/>
      <c r="V1650" s="421"/>
      <c r="W1650" s="421"/>
      <c r="X1650" s="421"/>
      <c r="Y1650" s="421"/>
      <c r="Z1650" s="421"/>
      <c r="AA1650" s="421"/>
      <c r="AB1650" s="421"/>
      <c r="AC1650" s="421"/>
      <c r="AD1650" s="421"/>
      <c r="AE1650" s="421"/>
      <c r="AF1650" s="421"/>
      <c r="AG1650" s="421"/>
      <c r="AH1650" s="421"/>
      <c r="AI1650" s="421"/>
      <c r="AJ1650" s="421"/>
      <c r="AK1650" s="421"/>
      <c r="AL1650" s="421"/>
    </row>
    <row r="1651" spans="1:38">
      <c r="A1651" s="408">
        <v>6082</v>
      </c>
      <c r="B1651" s="83">
        <f t="array" ref="B1651">SUM(--(FREQUENCY(IF(C$2:C$3072=C1651, MATCH(D$2:D$3072, D$2:D$3072, 0)), ROW(D$2:D$3072)-ROW(D$2)+1) &gt; 0))</f>
        <v>63</v>
      </c>
      <c r="C1651" s="408">
        <v>41200006</v>
      </c>
      <c r="D1651" s="408" t="s">
        <v>3407</v>
      </c>
      <c r="E1651" s="408" t="s">
        <v>1405</v>
      </c>
      <c r="F1651" s="408" t="s">
        <v>1477</v>
      </c>
      <c r="G1651" s="408" t="s">
        <v>2666</v>
      </c>
      <c r="H1651" s="197">
        <f t="shared" si="401"/>
        <v>49</v>
      </c>
      <c r="I1651" s="197">
        <v>12</v>
      </c>
      <c r="J1651" s="408">
        <v>5</v>
      </c>
      <c r="K1651" s="420">
        <f t="shared" si="399"/>
        <v>45996</v>
      </c>
      <c r="L1651" s="408" t="s">
        <v>2395</v>
      </c>
      <c r="M1651" s="408" t="s">
        <v>1469</v>
      </c>
      <c r="N1651" s="408" t="str">
        <f t="shared" si="400"/>
        <v/>
      </c>
      <c r="O1651" s="408"/>
      <c r="P1651" s="408"/>
      <c r="Q1651" s="408"/>
      <c r="R1651" s="408"/>
      <c r="S1651" s="408"/>
      <c r="T1651" s="408"/>
      <c r="U1651" s="408"/>
      <c r="V1651" s="421"/>
      <c r="W1651" s="421"/>
      <c r="X1651" s="421"/>
      <c r="Y1651" s="421"/>
      <c r="Z1651" s="421"/>
      <c r="AA1651" s="421"/>
      <c r="AB1651" s="421"/>
      <c r="AC1651" s="421"/>
      <c r="AD1651" s="421"/>
      <c r="AE1651" s="421"/>
      <c r="AF1651" s="421"/>
      <c r="AG1651" s="421"/>
      <c r="AH1651" s="421"/>
      <c r="AI1651" s="421"/>
      <c r="AJ1651" s="421"/>
      <c r="AK1651" s="421"/>
      <c r="AL1651" s="421"/>
    </row>
    <row r="1652" spans="1:38">
      <c r="A1652" s="408">
        <v>6163</v>
      </c>
      <c r="B1652" s="83">
        <f t="array" ref="B1652">SUM(--(FREQUENCY(IF(C$2:C$3072=C1652, MATCH(D$2:D$3072, D$2:D$3072, 0)), ROW(D$2:D$3072)-ROW(D$2)+1) &gt; 0))</f>
        <v>6</v>
      </c>
      <c r="C1652" s="408">
        <v>41200133</v>
      </c>
      <c r="D1652" s="408" t="s">
        <v>3408</v>
      </c>
      <c r="E1652" s="408" t="s">
        <v>1429</v>
      </c>
      <c r="F1652" s="408" t="s">
        <v>1476</v>
      </c>
      <c r="G1652" s="408" t="s">
        <v>2666</v>
      </c>
      <c r="H1652" s="197">
        <f t="shared" si="401"/>
        <v>49</v>
      </c>
      <c r="I1652" s="197">
        <v>12</v>
      </c>
      <c r="J1652" s="408">
        <v>5</v>
      </c>
      <c r="K1652" s="420">
        <f t="shared" si="399"/>
        <v>45996</v>
      </c>
      <c r="L1652" s="408" t="s">
        <v>2391</v>
      </c>
      <c r="M1652" s="408" t="s">
        <v>2395</v>
      </c>
      <c r="N1652" s="408" t="str">
        <f t="shared" si="400"/>
        <v/>
      </c>
      <c r="O1652" s="408"/>
      <c r="P1652" s="408"/>
      <c r="Q1652" s="408"/>
      <c r="R1652" s="408"/>
      <c r="S1652" s="408"/>
      <c r="T1652" s="408"/>
      <c r="U1652" s="408"/>
      <c r="V1652" s="421"/>
      <c r="W1652" s="421"/>
      <c r="X1652" s="421"/>
      <c r="Y1652" s="421"/>
      <c r="Z1652" s="421"/>
      <c r="AA1652" s="421"/>
      <c r="AB1652" s="421"/>
      <c r="AC1652" s="421"/>
      <c r="AD1652" s="421"/>
      <c r="AE1652" s="421"/>
      <c r="AF1652" s="421"/>
      <c r="AG1652" s="421"/>
      <c r="AH1652" s="421"/>
      <c r="AI1652" s="421"/>
      <c r="AJ1652" s="421"/>
      <c r="AK1652" s="421"/>
      <c r="AL1652" s="421"/>
    </row>
    <row r="1653" spans="1:38">
      <c r="A1653" s="408">
        <v>5975</v>
      </c>
      <c r="B1653" s="83">
        <f t="array" ref="B1653">SUM(--(FREQUENCY(IF(C$2:C$3072=C1653, MATCH(D$2:D$3072, D$2:D$3072, 0)), ROW(D$2:D$3072)-ROW(D$2)+1) &gt; 0))</f>
        <v>6</v>
      </c>
      <c r="C1653" s="408">
        <v>41000598</v>
      </c>
      <c r="D1653" s="408" t="s">
        <v>3409</v>
      </c>
      <c r="E1653" s="408" t="s">
        <v>1405</v>
      </c>
      <c r="F1653" s="408" t="s">
        <v>1480</v>
      </c>
      <c r="G1653" s="408" t="s">
        <v>2666</v>
      </c>
      <c r="H1653" s="197">
        <f t="shared" si="401"/>
        <v>49</v>
      </c>
      <c r="I1653" s="197">
        <v>12</v>
      </c>
      <c r="J1653" s="408">
        <v>5</v>
      </c>
      <c r="K1653" s="420">
        <f t="shared" si="399"/>
        <v>45996</v>
      </c>
      <c r="L1653" s="408" t="s">
        <v>2391</v>
      </c>
      <c r="M1653" s="408" t="s">
        <v>2391</v>
      </c>
      <c r="N1653" s="408" t="str">
        <f t="shared" si="400"/>
        <v/>
      </c>
      <c r="O1653" s="408"/>
      <c r="P1653" s="408"/>
      <c r="Q1653" s="408"/>
      <c r="R1653" s="408"/>
      <c r="S1653" s="408"/>
      <c r="T1653" s="408"/>
      <c r="U1653" s="408"/>
      <c r="V1653" s="421"/>
      <c r="W1653" s="421"/>
      <c r="X1653" s="421"/>
      <c r="Y1653" s="421"/>
      <c r="Z1653" s="421"/>
      <c r="AA1653" s="421"/>
      <c r="AB1653" s="421"/>
      <c r="AC1653" s="421"/>
      <c r="AD1653" s="421"/>
      <c r="AE1653" s="421"/>
      <c r="AF1653" s="421"/>
      <c r="AG1653" s="421"/>
      <c r="AH1653" s="421"/>
      <c r="AI1653" s="421"/>
      <c r="AJ1653" s="421"/>
      <c r="AK1653" s="421"/>
      <c r="AL1653" s="421"/>
    </row>
    <row r="1654" spans="1:38">
      <c r="A1654" s="408">
        <v>5975</v>
      </c>
      <c r="B1654" s="83">
        <f t="array" ref="B1654">SUM(--(FREQUENCY(IF(C$2:C$3072=C1654, MATCH(D$2:D$3072, D$2:D$3072, 0)), ROW(D$2:D$3072)-ROW(D$2)+1) &gt; 0))</f>
        <v>6</v>
      </c>
      <c r="C1654" s="408">
        <v>41000598</v>
      </c>
      <c r="D1654" s="408" t="s">
        <v>3410</v>
      </c>
      <c r="E1654" s="408" t="s">
        <v>1405</v>
      </c>
      <c r="F1654" s="408" t="s">
        <v>1480</v>
      </c>
      <c r="G1654" s="408" t="s">
        <v>2666</v>
      </c>
      <c r="H1654" s="197">
        <f t="shared" si="401"/>
        <v>49</v>
      </c>
      <c r="I1654" s="197">
        <v>12</v>
      </c>
      <c r="J1654" s="408">
        <v>5</v>
      </c>
      <c r="K1654" s="420">
        <f t="shared" si="399"/>
        <v>45996</v>
      </c>
      <c r="L1654" s="408" t="s">
        <v>2391</v>
      </c>
      <c r="M1654" s="408" t="s">
        <v>2391</v>
      </c>
      <c r="N1654" s="408" t="str">
        <f t="shared" si="400"/>
        <v>NG</v>
      </c>
      <c r="O1654" s="408" t="s">
        <v>2368</v>
      </c>
      <c r="P1654" s="408" t="s">
        <v>2563</v>
      </c>
      <c r="Q1654" s="408">
        <v>11002335</v>
      </c>
      <c r="R1654" s="408" t="s">
        <v>69</v>
      </c>
      <c r="S1654" s="408" t="s">
        <v>3411</v>
      </c>
      <c r="T1654" s="408"/>
      <c r="U1654" s="408"/>
      <c r="V1654" s="421"/>
      <c r="W1654" s="421"/>
      <c r="X1654" s="421"/>
      <c r="Y1654" s="421"/>
      <c r="Z1654" s="421"/>
      <c r="AA1654" s="421"/>
      <c r="AB1654" s="421"/>
      <c r="AC1654" s="421"/>
      <c r="AD1654" s="421"/>
      <c r="AE1654" s="421"/>
      <c r="AF1654" s="421"/>
      <c r="AG1654" s="421"/>
      <c r="AH1654" s="421"/>
      <c r="AI1654" s="421"/>
      <c r="AJ1654" s="421"/>
      <c r="AK1654" s="421"/>
      <c r="AL1654" s="421"/>
    </row>
    <row r="1655" spans="1:38">
      <c r="A1655" s="408">
        <v>6213</v>
      </c>
      <c r="B1655" s="83">
        <f t="array" ref="B1655">SUM(--(FREQUENCY(IF(C$2:C$3072=C1655, MATCH(D$2:D$3072, D$2:D$3072, 0)), ROW(D$2:D$3072)-ROW(D$2)+1) &gt; 0))</f>
        <v>11</v>
      </c>
      <c r="C1655" s="408">
        <v>41200129</v>
      </c>
      <c r="D1655" s="408" t="s">
        <v>3412</v>
      </c>
      <c r="E1655" s="408" t="s">
        <v>1431</v>
      </c>
      <c r="F1655" s="408" t="s">
        <v>1591</v>
      </c>
      <c r="G1655" s="408" t="s">
        <v>2666</v>
      </c>
      <c r="H1655" s="197">
        <f t="shared" si="401"/>
        <v>49</v>
      </c>
      <c r="I1655" s="197">
        <v>12</v>
      </c>
      <c r="J1655" s="408">
        <v>5</v>
      </c>
      <c r="K1655" s="420">
        <f t="shared" si="399"/>
        <v>45996</v>
      </c>
      <c r="L1655" s="408" t="s">
        <v>2391</v>
      </c>
      <c r="M1655" s="408" t="s">
        <v>2391</v>
      </c>
      <c r="N1655" s="408" t="str">
        <f t="shared" si="400"/>
        <v/>
      </c>
      <c r="O1655" s="408"/>
      <c r="P1655" s="408"/>
      <c r="Q1655" s="408"/>
      <c r="R1655" s="408"/>
      <c r="S1655" s="408"/>
      <c r="T1655" s="408"/>
      <c r="U1655" s="408"/>
      <c r="V1655" s="421"/>
      <c r="W1655" s="421"/>
      <c r="X1655" s="421"/>
      <c r="Y1655" s="421"/>
      <c r="Z1655" s="421"/>
      <c r="AA1655" s="421"/>
      <c r="AB1655" s="421"/>
      <c r="AC1655" s="421"/>
      <c r="AD1655" s="421"/>
      <c r="AE1655" s="421"/>
      <c r="AF1655" s="421"/>
      <c r="AG1655" s="421"/>
      <c r="AH1655" s="421"/>
      <c r="AI1655" s="421"/>
      <c r="AJ1655" s="421"/>
      <c r="AK1655" s="421"/>
      <c r="AL1655" s="421"/>
    </row>
    <row r="1656" spans="1:38">
      <c r="A1656" s="408">
        <v>5976</v>
      </c>
      <c r="B1656" s="83">
        <f t="array" ref="B1656">SUM(--(FREQUENCY(IF(C$2:C$3072=C1656, MATCH(D$2:D$3072, D$2:D$3072, 0)), ROW(D$2:D$3072)-ROW(D$2)+1) &gt; 0))</f>
        <v>6</v>
      </c>
      <c r="C1656" s="408">
        <v>41200061</v>
      </c>
      <c r="D1656" s="408" t="s">
        <v>3413</v>
      </c>
      <c r="E1656" s="408" t="s">
        <v>1405</v>
      </c>
      <c r="F1656" s="408" t="s">
        <v>1480</v>
      </c>
      <c r="G1656" s="408" t="s">
        <v>2666</v>
      </c>
      <c r="H1656" s="197">
        <f t="shared" si="401"/>
        <v>49</v>
      </c>
      <c r="I1656" s="197">
        <v>12</v>
      </c>
      <c r="J1656" s="408">
        <v>5</v>
      </c>
      <c r="K1656" s="420">
        <f t="shared" si="399"/>
        <v>45996</v>
      </c>
      <c r="L1656" s="408" t="s">
        <v>2395</v>
      </c>
      <c r="M1656" s="408" t="s">
        <v>2391</v>
      </c>
      <c r="N1656" s="408" t="str">
        <f t="shared" si="400"/>
        <v/>
      </c>
      <c r="O1656" s="408"/>
      <c r="P1656" s="408"/>
      <c r="Q1656" s="408"/>
      <c r="R1656" s="408"/>
      <c r="S1656" s="408"/>
      <c r="T1656" s="408"/>
      <c r="U1656" s="408"/>
      <c r="V1656" s="421"/>
      <c r="W1656" s="421"/>
      <c r="X1656" s="421"/>
      <c r="Y1656" s="421"/>
      <c r="Z1656" s="421"/>
      <c r="AA1656" s="421"/>
      <c r="AB1656" s="421"/>
      <c r="AC1656" s="421"/>
      <c r="AD1656" s="421"/>
      <c r="AE1656" s="421"/>
      <c r="AF1656" s="421"/>
      <c r="AG1656" s="421"/>
      <c r="AH1656" s="421"/>
      <c r="AI1656" s="421"/>
      <c r="AJ1656" s="421"/>
      <c r="AK1656" s="421"/>
      <c r="AL1656" s="421"/>
    </row>
    <row r="1657" spans="1:38">
      <c r="A1657" s="3">
        <v>6104</v>
      </c>
      <c r="B1657" s="83">
        <f t="array" ref="B1657">SUM(--(FREQUENCY(IF(C$2:C$3072=C1657, MATCH(D$2:D$3072, D$2:D$3072, 0)), ROW(D$2:D$3072)-ROW(D$2)+1) &gt; 0))</f>
        <v>1</v>
      </c>
      <c r="C1657" s="3">
        <f>IFERROR(INDEX('SCR DATA'!B:B, MATCH($D1657, 'SCR DATA'!A:A, 0)), "")</f>
        <v>41200092</v>
      </c>
      <c r="D1657" s="6" t="s">
        <v>3414</v>
      </c>
      <c r="E1657" s="3" t="s">
        <v>1424</v>
      </c>
      <c r="F1657" s="68" t="s">
        <v>1476</v>
      </c>
      <c r="G1657" s="197" t="s">
        <v>2675</v>
      </c>
      <c r="H1657" s="197">
        <f>WEEKNUM(K1657)</f>
        <v>50</v>
      </c>
      <c r="I1657" s="197">
        <v>12</v>
      </c>
      <c r="J1657" s="408">
        <v>8</v>
      </c>
      <c r="K1657" s="420">
        <f t="shared" si="399"/>
        <v>45999</v>
      </c>
      <c r="L1657" s="3" t="s">
        <v>2391</v>
      </c>
      <c r="M1657" s="408" t="s">
        <v>1468</v>
      </c>
      <c r="N1657" s="408" t="str">
        <f t="shared" si="400"/>
        <v/>
      </c>
      <c r="O1657" s="408"/>
      <c r="P1657" s="408"/>
      <c r="Q1657" s="408"/>
      <c r="R1657" s="408"/>
      <c r="S1657" s="408"/>
      <c r="T1657" s="408"/>
      <c r="U1657" s="408"/>
      <c r="V1657" s="421"/>
      <c r="W1657" s="421"/>
      <c r="X1657" s="421"/>
      <c r="Y1657" s="421"/>
      <c r="Z1657" s="421"/>
      <c r="AA1657" s="421"/>
      <c r="AB1657" s="421"/>
      <c r="AC1657" s="421"/>
      <c r="AD1657" s="421"/>
      <c r="AE1657" s="421"/>
      <c r="AF1657" s="421"/>
      <c r="AG1657" s="421"/>
      <c r="AH1657" s="421"/>
      <c r="AI1657" s="421"/>
      <c r="AJ1657" s="421"/>
      <c r="AK1657" s="421"/>
      <c r="AL1657" s="421"/>
    </row>
    <row r="1658" spans="1:38">
      <c r="A1658" s="3">
        <v>6140</v>
      </c>
      <c r="B1658" s="83">
        <f t="array" ref="B1658">SUM(--(FREQUENCY(IF(C$2:C$3072=C1658, MATCH(D$2:D$3072, D$2:D$3072, 0)), ROW(D$2:D$3072)-ROW(D$2)+1) &gt; 0))</f>
        <v>12</v>
      </c>
      <c r="C1658" s="3">
        <f>IFERROR(INDEX('SCR DATA'!B:B, MATCH($D1658, 'SCR DATA'!A:A, 0)), "")</f>
        <v>41100502</v>
      </c>
      <c r="D1658" s="6" t="s">
        <v>3415</v>
      </c>
      <c r="E1658" s="3" t="s">
        <v>1585</v>
      </c>
      <c r="F1658" s="68" t="s">
        <v>1591</v>
      </c>
      <c r="G1658" s="197" t="s">
        <v>2666</v>
      </c>
      <c r="H1658" s="197">
        <f t="shared" ref="H1658:H1669" si="402">WEEKNUM(K1658)</f>
        <v>50</v>
      </c>
      <c r="I1658" s="197">
        <v>12</v>
      </c>
      <c r="J1658" s="408">
        <v>8</v>
      </c>
      <c r="K1658" s="420">
        <f t="shared" si="399"/>
        <v>45999</v>
      </c>
      <c r="L1658" s="3" t="s">
        <v>2395</v>
      </c>
      <c r="M1658" s="408" t="s">
        <v>1469</v>
      </c>
      <c r="N1658" s="408" t="str">
        <f t="shared" si="400"/>
        <v/>
      </c>
      <c r="O1658" s="408"/>
      <c r="P1658" s="408"/>
      <c r="Q1658" s="408"/>
      <c r="R1658" s="408"/>
      <c r="S1658" s="408"/>
      <c r="T1658" s="408"/>
      <c r="U1658" s="408"/>
      <c r="V1658" s="421"/>
      <c r="W1658" s="421"/>
      <c r="X1658" s="421"/>
      <c r="Y1658" s="421"/>
      <c r="Z1658" s="421"/>
      <c r="AA1658" s="421"/>
      <c r="AB1658" s="421"/>
      <c r="AC1658" s="421"/>
      <c r="AD1658" s="421"/>
      <c r="AE1658" s="421"/>
      <c r="AF1658" s="421"/>
      <c r="AG1658" s="421"/>
      <c r="AH1658" s="421"/>
      <c r="AI1658" s="421"/>
      <c r="AJ1658" s="421"/>
      <c r="AK1658" s="421"/>
      <c r="AL1658" s="421"/>
    </row>
    <row r="1659" spans="1:38">
      <c r="A1659" s="3">
        <v>6140</v>
      </c>
      <c r="B1659" s="83">
        <f t="array" ref="B1659">SUM(--(FREQUENCY(IF(C$2:C$3072=C1659, MATCH(D$2:D$3072, D$2:D$3072, 0)), ROW(D$2:D$3072)-ROW(D$2)+1) &gt; 0))</f>
        <v>12</v>
      </c>
      <c r="C1659" s="3">
        <f>IFERROR(INDEX('SCR DATA'!B:B, MATCH($D1659, 'SCR DATA'!A:A, 0)), "")</f>
        <v>41100502</v>
      </c>
      <c r="D1659" s="6" t="s">
        <v>3416</v>
      </c>
      <c r="E1659" s="3" t="s">
        <v>1585</v>
      </c>
      <c r="F1659" s="68" t="s">
        <v>1591</v>
      </c>
      <c r="G1659" s="197" t="s">
        <v>2666</v>
      </c>
      <c r="H1659" s="197">
        <f t="shared" si="402"/>
        <v>50</v>
      </c>
      <c r="I1659" s="197">
        <v>12</v>
      </c>
      <c r="J1659" s="408">
        <v>8</v>
      </c>
      <c r="K1659" s="420">
        <f t="shared" si="399"/>
        <v>45999</v>
      </c>
      <c r="L1659" s="3" t="s">
        <v>2395</v>
      </c>
      <c r="M1659" s="408" t="s">
        <v>1469</v>
      </c>
      <c r="N1659" s="408" t="str">
        <f t="shared" si="400"/>
        <v/>
      </c>
      <c r="O1659" s="408"/>
      <c r="P1659" s="408"/>
      <c r="Q1659" s="408"/>
      <c r="R1659" s="408"/>
      <c r="S1659" s="408"/>
      <c r="T1659" s="408"/>
      <c r="U1659" s="408"/>
      <c r="V1659" s="421"/>
      <c r="W1659" s="421"/>
      <c r="X1659" s="421"/>
      <c r="Y1659" s="421"/>
      <c r="Z1659" s="421"/>
      <c r="AA1659" s="421"/>
      <c r="AB1659" s="421"/>
      <c r="AC1659" s="421"/>
      <c r="AD1659" s="421"/>
      <c r="AE1659" s="421"/>
      <c r="AF1659" s="421"/>
      <c r="AG1659" s="421"/>
      <c r="AH1659" s="421"/>
      <c r="AI1659" s="421"/>
      <c r="AJ1659" s="421"/>
      <c r="AK1659" s="421"/>
      <c r="AL1659" s="421"/>
    </row>
    <row r="1660" spans="1:38">
      <c r="A1660" s="3">
        <v>5977</v>
      </c>
      <c r="B1660" s="83">
        <f t="array" ref="B1660">SUM(--(FREQUENCY(IF(C$2:C$3072=C1660, MATCH(D$2:D$3072, D$2:D$3072, 0)), ROW(D$2:D$3072)-ROW(D$2)+1) &gt; 0))</f>
        <v>25</v>
      </c>
      <c r="C1660" s="3">
        <f>IFERROR(INDEX('SCR DATA'!B:B, MATCH($D1660, 'SCR DATA'!A:A, 0)), "")</f>
        <v>41200158</v>
      </c>
      <c r="D1660" s="6" t="s">
        <v>3417</v>
      </c>
      <c r="E1660" s="3" t="s">
        <v>1405</v>
      </c>
      <c r="F1660" s="68" t="s">
        <v>1480</v>
      </c>
      <c r="G1660" s="197" t="s">
        <v>2675</v>
      </c>
      <c r="H1660" s="197">
        <f t="shared" si="402"/>
        <v>50</v>
      </c>
      <c r="I1660" s="197">
        <v>12</v>
      </c>
      <c r="J1660" s="408">
        <v>8</v>
      </c>
      <c r="K1660" s="420">
        <f t="shared" si="399"/>
        <v>45999</v>
      </c>
      <c r="L1660" s="3" t="s">
        <v>2395</v>
      </c>
      <c r="M1660" s="408" t="s">
        <v>1469</v>
      </c>
      <c r="N1660" s="408" t="str">
        <f t="shared" si="400"/>
        <v/>
      </c>
      <c r="O1660" s="408"/>
      <c r="P1660" s="408"/>
      <c r="Q1660" s="408"/>
      <c r="R1660" s="408"/>
      <c r="S1660" s="408"/>
      <c r="T1660" s="408"/>
      <c r="U1660" s="408"/>
      <c r="V1660" s="421"/>
      <c r="W1660" s="421"/>
      <c r="X1660" s="421"/>
      <c r="Y1660" s="421"/>
      <c r="Z1660" s="421"/>
      <c r="AA1660" s="421"/>
      <c r="AB1660" s="421"/>
      <c r="AC1660" s="421"/>
      <c r="AD1660" s="421"/>
      <c r="AE1660" s="421"/>
      <c r="AF1660" s="421"/>
      <c r="AG1660" s="421"/>
      <c r="AH1660" s="421"/>
      <c r="AI1660" s="421"/>
      <c r="AJ1660" s="421"/>
      <c r="AK1660" s="421"/>
      <c r="AL1660" s="421"/>
    </row>
    <row r="1661" spans="1:38">
      <c r="A1661" s="3">
        <v>5977</v>
      </c>
      <c r="B1661" s="83">
        <f t="array" ref="B1661">SUM(--(FREQUENCY(IF(C$2:C$3072=C1661, MATCH(D$2:D$3072, D$2:D$3072, 0)), ROW(D$2:D$3072)-ROW(D$2)+1) &gt; 0))</f>
        <v>25</v>
      </c>
      <c r="C1661" s="3">
        <f>IFERROR(INDEX('SCR DATA'!B:B, MATCH($D1661, 'SCR DATA'!A:A, 0)), "")</f>
        <v>41200158</v>
      </c>
      <c r="D1661" s="6" t="s">
        <v>3418</v>
      </c>
      <c r="E1661" s="3" t="s">
        <v>1405</v>
      </c>
      <c r="F1661" s="68" t="s">
        <v>1480</v>
      </c>
      <c r="G1661" s="197" t="s">
        <v>2675</v>
      </c>
      <c r="H1661" s="197">
        <f t="shared" si="402"/>
        <v>50</v>
      </c>
      <c r="I1661" s="197">
        <v>12</v>
      </c>
      <c r="J1661" s="408">
        <v>8</v>
      </c>
      <c r="K1661" s="420">
        <f t="shared" si="399"/>
        <v>45999</v>
      </c>
      <c r="L1661" s="3" t="s">
        <v>2395</v>
      </c>
      <c r="M1661" s="408" t="s">
        <v>1469</v>
      </c>
      <c r="N1661" s="408" t="str">
        <f t="shared" si="400"/>
        <v/>
      </c>
      <c r="O1661" s="408"/>
      <c r="P1661" s="408"/>
      <c r="Q1661" s="408"/>
      <c r="R1661" s="408"/>
      <c r="S1661" s="408"/>
      <c r="T1661" s="408"/>
      <c r="U1661" s="408"/>
      <c r="V1661" s="421"/>
      <c r="W1661" s="421"/>
      <c r="X1661" s="421"/>
      <c r="Y1661" s="421"/>
      <c r="Z1661" s="421"/>
      <c r="AA1661" s="421"/>
      <c r="AB1661" s="421"/>
      <c r="AC1661" s="421"/>
      <c r="AD1661" s="421"/>
      <c r="AE1661" s="421"/>
      <c r="AF1661" s="421"/>
      <c r="AG1661" s="421"/>
      <c r="AH1661" s="421"/>
      <c r="AI1661" s="421"/>
      <c r="AJ1661" s="421"/>
      <c r="AK1661" s="421"/>
      <c r="AL1661" s="421"/>
    </row>
    <row r="1662" spans="1:38">
      <c r="A1662" s="408">
        <v>5977</v>
      </c>
      <c r="B1662" s="83">
        <f t="array" ref="B1662">SUM(--(FREQUENCY(IF(C$2:C$3072=C1662, MATCH(D$2:D$3072, D$2:D$3072, 0)), ROW(D$2:D$3072)-ROW(D$2)+1) &gt; 0))</f>
        <v>25</v>
      </c>
      <c r="C1662" s="408">
        <v>41200158</v>
      </c>
      <c r="D1662" s="408" t="s">
        <v>3419</v>
      </c>
      <c r="E1662" s="408" t="s">
        <v>1405</v>
      </c>
      <c r="F1662" s="408" t="s">
        <v>1480</v>
      </c>
      <c r="G1662" s="408" t="s">
        <v>2675</v>
      </c>
      <c r="H1662" s="197">
        <f t="shared" si="402"/>
        <v>50</v>
      </c>
      <c r="I1662" s="408">
        <v>12</v>
      </c>
      <c r="J1662" s="408">
        <v>9</v>
      </c>
      <c r="K1662" s="420">
        <f t="shared" si="399"/>
        <v>46000</v>
      </c>
      <c r="L1662" s="408" t="s">
        <v>2391</v>
      </c>
      <c r="M1662" s="408" t="s">
        <v>2392</v>
      </c>
      <c r="N1662" s="408" t="str">
        <f t="shared" si="400"/>
        <v/>
      </c>
      <c r="O1662" s="408"/>
      <c r="P1662" s="408"/>
      <c r="Q1662" s="408"/>
      <c r="R1662" s="408"/>
      <c r="S1662" s="408"/>
      <c r="T1662" s="408"/>
      <c r="U1662" s="408"/>
      <c r="V1662" s="421"/>
      <c r="W1662" s="421"/>
      <c r="X1662" s="421"/>
      <c r="Y1662" s="421"/>
      <c r="Z1662" s="421"/>
      <c r="AA1662" s="421"/>
      <c r="AB1662" s="421"/>
      <c r="AC1662" s="421"/>
      <c r="AD1662" s="421"/>
      <c r="AE1662" s="421"/>
      <c r="AF1662" s="421"/>
      <c r="AG1662" s="421"/>
      <c r="AH1662" s="421"/>
      <c r="AI1662" s="421"/>
      <c r="AJ1662" s="421"/>
      <c r="AK1662" s="421"/>
      <c r="AL1662" s="421"/>
    </row>
    <row r="1663" spans="1:38">
      <c r="A1663" s="408">
        <v>5977</v>
      </c>
      <c r="B1663" s="83">
        <f t="array" ref="B1663">SUM(--(FREQUENCY(IF(C$2:C$3072=C1663, MATCH(D$2:D$3072, D$2:D$3072, 0)), ROW(D$2:D$3072)-ROW(D$2)+1) &gt; 0))</f>
        <v>25</v>
      </c>
      <c r="C1663" s="408">
        <v>41200158</v>
      </c>
      <c r="D1663" s="408" t="s">
        <v>3420</v>
      </c>
      <c r="E1663" s="408" t="s">
        <v>1405</v>
      </c>
      <c r="F1663" s="408" t="s">
        <v>1480</v>
      </c>
      <c r="G1663" s="408" t="s">
        <v>2675</v>
      </c>
      <c r="H1663" s="197">
        <f t="shared" si="402"/>
        <v>50</v>
      </c>
      <c r="I1663" s="408">
        <v>12</v>
      </c>
      <c r="J1663" s="408">
        <v>9</v>
      </c>
      <c r="K1663" s="420">
        <f t="shared" si="399"/>
        <v>46000</v>
      </c>
      <c r="L1663" s="408" t="s">
        <v>2391</v>
      </c>
      <c r="M1663" s="408" t="s">
        <v>2392</v>
      </c>
      <c r="N1663" s="408" t="str">
        <f t="shared" si="400"/>
        <v/>
      </c>
      <c r="O1663" s="408"/>
      <c r="P1663" s="408"/>
      <c r="Q1663" s="408"/>
      <c r="R1663" s="408"/>
      <c r="S1663" s="408"/>
      <c r="T1663" s="408"/>
      <c r="U1663" s="408"/>
      <c r="V1663" s="421"/>
      <c r="W1663" s="421"/>
      <c r="X1663" s="421"/>
      <c r="Y1663" s="421"/>
      <c r="Z1663" s="421"/>
      <c r="AA1663" s="421"/>
      <c r="AB1663" s="421"/>
      <c r="AC1663" s="421"/>
      <c r="AD1663" s="421"/>
      <c r="AE1663" s="421"/>
      <c r="AF1663" s="421"/>
      <c r="AG1663" s="421"/>
      <c r="AH1663" s="421"/>
      <c r="AI1663" s="421"/>
      <c r="AJ1663" s="421"/>
      <c r="AK1663" s="421"/>
      <c r="AL1663" s="421"/>
    </row>
    <row r="1664" spans="1:38">
      <c r="A1664" s="408">
        <v>6119</v>
      </c>
      <c r="B1664" s="83">
        <f t="array" ref="B1664">SUM(--(FREQUENCY(IF(C$2:C$3072=C1664, MATCH(D$2:D$3072, D$2:D$3072, 0)), ROW(D$2:D$3072)-ROW(D$2)+1) &gt; 0))</f>
        <v>37</v>
      </c>
      <c r="C1664" s="408">
        <v>41200076</v>
      </c>
      <c r="D1664" s="408" t="s">
        <v>3421</v>
      </c>
      <c r="E1664" s="408" t="s">
        <v>1585</v>
      </c>
      <c r="F1664" s="408" t="s">
        <v>1476</v>
      </c>
      <c r="G1664" s="408" t="s">
        <v>2675</v>
      </c>
      <c r="H1664" s="197">
        <f t="shared" si="402"/>
        <v>50</v>
      </c>
      <c r="I1664" s="408">
        <v>12</v>
      </c>
      <c r="J1664" s="408">
        <v>9</v>
      </c>
      <c r="K1664" s="420">
        <f t="shared" si="399"/>
        <v>46000</v>
      </c>
      <c r="L1664" s="408" t="s">
        <v>2391</v>
      </c>
      <c r="M1664" s="408" t="s">
        <v>2392</v>
      </c>
      <c r="N1664" s="408" t="str">
        <f t="shared" si="400"/>
        <v/>
      </c>
      <c r="O1664" s="408"/>
      <c r="P1664" s="408"/>
      <c r="Q1664" s="408"/>
      <c r="R1664" s="408"/>
      <c r="S1664" s="408"/>
      <c r="T1664" s="408"/>
      <c r="U1664" s="408"/>
      <c r="V1664" s="421"/>
      <c r="W1664" s="421"/>
      <c r="X1664" s="421"/>
      <c r="Y1664" s="421"/>
      <c r="Z1664" s="421"/>
      <c r="AA1664" s="421"/>
      <c r="AB1664" s="421"/>
      <c r="AC1664" s="421"/>
      <c r="AD1664" s="421"/>
      <c r="AE1664" s="421"/>
      <c r="AF1664" s="421"/>
      <c r="AG1664" s="421"/>
      <c r="AH1664" s="421"/>
      <c r="AI1664" s="421"/>
      <c r="AJ1664" s="421"/>
      <c r="AK1664" s="421"/>
      <c r="AL1664" s="421"/>
    </row>
    <row r="1665" spans="1:38">
      <c r="A1665" s="408">
        <v>6118</v>
      </c>
      <c r="B1665" s="83">
        <f t="array" ref="B1665">SUM(--(FREQUENCY(IF(C$2:C$3072=C1665, MATCH(D$2:D$3072, D$2:D$3072, 0)), ROW(D$2:D$3072)-ROW(D$2)+1) &gt; 0))</f>
        <v>24</v>
      </c>
      <c r="C1665" s="408">
        <v>41200122</v>
      </c>
      <c r="D1665" s="408" t="s">
        <v>3422</v>
      </c>
      <c r="E1665" s="408" t="s">
        <v>1585</v>
      </c>
      <c r="F1665" s="408" t="s">
        <v>1476</v>
      </c>
      <c r="G1665" s="408" t="s">
        <v>2675</v>
      </c>
      <c r="H1665" s="197">
        <f t="shared" si="402"/>
        <v>50</v>
      </c>
      <c r="I1665" s="408">
        <v>12</v>
      </c>
      <c r="J1665" s="408">
        <v>9</v>
      </c>
      <c r="K1665" s="420">
        <f t="shared" si="399"/>
        <v>46000</v>
      </c>
      <c r="L1665" s="408" t="s">
        <v>2555</v>
      </c>
      <c r="M1665" s="408" t="s">
        <v>2555</v>
      </c>
      <c r="N1665" s="408" t="str">
        <f t="shared" si="400"/>
        <v/>
      </c>
      <c r="O1665" s="408"/>
      <c r="P1665" s="408"/>
      <c r="Q1665" s="408"/>
      <c r="R1665" s="408"/>
      <c r="S1665" s="408"/>
      <c r="T1665" s="408"/>
      <c r="U1665" s="408"/>
      <c r="V1665" s="421"/>
      <c r="W1665" s="421"/>
      <c r="X1665" s="421"/>
      <c r="Y1665" s="421"/>
      <c r="Z1665" s="421"/>
      <c r="AA1665" s="421"/>
      <c r="AB1665" s="421"/>
      <c r="AC1665" s="421"/>
      <c r="AD1665" s="421"/>
      <c r="AE1665" s="421"/>
      <c r="AF1665" s="421"/>
      <c r="AG1665" s="421"/>
      <c r="AH1665" s="421"/>
      <c r="AI1665" s="421"/>
      <c r="AJ1665" s="421"/>
      <c r="AK1665" s="421"/>
      <c r="AL1665" s="421"/>
    </row>
    <row r="1666" spans="1:38">
      <c r="A1666" s="408">
        <v>6349</v>
      </c>
      <c r="B1666" s="83">
        <f t="array" ref="B1666">SUM(--(FREQUENCY(IF(C$2:C$3072=C1666, MATCH(D$2:D$3072, D$2:D$3072, 0)), ROW(D$2:D$3072)-ROW(D$2)+1) &gt; 0))</f>
        <v>2</v>
      </c>
      <c r="C1666" s="408">
        <v>41200201</v>
      </c>
      <c r="D1666" s="408" t="s">
        <v>3423</v>
      </c>
      <c r="E1666" s="408" t="s">
        <v>1404</v>
      </c>
      <c r="F1666" s="408" t="s">
        <v>1479</v>
      </c>
      <c r="G1666" s="408" t="s">
        <v>2666</v>
      </c>
      <c r="H1666" s="197">
        <f t="shared" si="402"/>
        <v>50</v>
      </c>
      <c r="I1666" s="408">
        <v>12</v>
      </c>
      <c r="J1666" s="408">
        <v>9</v>
      </c>
      <c r="K1666" s="420">
        <f t="shared" si="399"/>
        <v>46000</v>
      </c>
      <c r="L1666" s="408" t="s">
        <v>2391</v>
      </c>
      <c r="M1666" s="408" t="s">
        <v>1468</v>
      </c>
      <c r="N1666" s="408" t="s">
        <v>2877</v>
      </c>
      <c r="O1666" s="408" t="s">
        <v>2368</v>
      </c>
      <c r="P1666" s="408" t="s">
        <v>2371</v>
      </c>
      <c r="Q1666" s="408">
        <v>11001964</v>
      </c>
      <c r="R1666" s="408" t="s">
        <v>562</v>
      </c>
      <c r="S1666" s="408" t="s">
        <v>3424</v>
      </c>
      <c r="T1666" s="408"/>
      <c r="U1666" s="408"/>
      <c r="V1666" s="421"/>
      <c r="W1666" s="421"/>
      <c r="X1666" s="421"/>
      <c r="Y1666" s="421"/>
      <c r="Z1666" s="421"/>
      <c r="AA1666" s="421"/>
      <c r="AB1666" s="421"/>
      <c r="AC1666" s="421"/>
      <c r="AD1666" s="421"/>
      <c r="AE1666" s="421"/>
      <c r="AF1666" s="421"/>
      <c r="AG1666" s="421"/>
      <c r="AH1666" s="421"/>
      <c r="AI1666" s="421"/>
      <c r="AJ1666" s="421"/>
      <c r="AK1666" s="421"/>
      <c r="AL1666" s="421"/>
    </row>
    <row r="1667" spans="1:38">
      <c r="A1667" s="408">
        <v>6349</v>
      </c>
      <c r="B1667" s="83">
        <f t="array" ref="B1667">SUM(--(FREQUENCY(IF(C$2:C$3072=C1667, MATCH(D$2:D$3072, D$2:D$3072, 0)), ROW(D$2:D$3072)-ROW(D$2)+1) &gt; 0))</f>
        <v>2</v>
      </c>
      <c r="C1667" s="408">
        <v>41200201</v>
      </c>
      <c r="D1667" s="408" t="s">
        <v>3423</v>
      </c>
      <c r="E1667" s="408" t="s">
        <v>1404</v>
      </c>
      <c r="F1667" s="408" t="s">
        <v>1479</v>
      </c>
      <c r="G1667" s="408" t="s">
        <v>2666</v>
      </c>
      <c r="H1667" s="197">
        <f t="shared" ref="H1667:H1668" si="403">WEEKNUM(K1667)</f>
        <v>50</v>
      </c>
      <c r="I1667" s="408">
        <v>12</v>
      </c>
      <c r="J1667" s="408">
        <v>9</v>
      </c>
      <c r="K1667" s="420">
        <f t="shared" ref="K1667:K1668" si="404">DATE(2025, I1667, J1667)</f>
        <v>46000</v>
      </c>
      <c r="L1667" s="408" t="s">
        <v>2391</v>
      </c>
      <c r="M1667" s="408" t="s">
        <v>1468</v>
      </c>
      <c r="N1667" s="408" t="s">
        <v>2877</v>
      </c>
      <c r="O1667" s="408" t="s">
        <v>2368</v>
      </c>
      <c r="P1667" s="408" t="s">
        <v>2371</v>
      </c>
      <c r="Q1667" s="408">
        <v>11001964</v>
      </c>
      <c r="R1667" s="408" t="s">
        <v>562</v>
      </c>
      <c r="S1667" s="408" t="s">
        <v>3425</v>
      </c>
      <c r="T1667" s="408"/>
      <c r="U1667" s="408"/>
      <c r="V1667" s="421"/>
      <c r="W1667" s="421"/>
      <c r="X1667" s="421"/>
      <c r="Y1667" s="421"/>
      <c r="Z1667" s="421"/>
      <c r="AA1667" s="421"/>
      <c r="AB1667" s="421"/>
      <c r="AC1667" s="421"/>
      <c r="AD1667" s="421"/>
      <c r="AE1667" s="421"/>
      <c r="AF1667" s="421"/>
      <c r="AG1667" s="421"/>
      <c r="AH1667" s="421"/>
      <c r="AI1667" s="421"/>
      <c r="AJ1667" s="421"/>
      <c r="AK1667" s="421"/>
      <c r="AL1667" s="421"/>
    </row>
    <row r="1668" spans="1:38">
      <c r="A1668" s="408">
        <v>6349</v>
      </c>
      <c r="B1668" s="83">
        <f t="array" ref="B1668">SUM(--(FREQUENCY(IF(C$2:C$3072=C1668, MATCH(D$2:D$3072, D$2:D$3072, 0)), ROW(D$2:D$3072)-ROW(D$2)+1) &gt; 0))</f>
        <v>2</v>
      </c>
      <c r="C1668" s="408">
        <v>41200201</v>
      </c>
      <c r="D1668" s="408" t="s">
        <v>3426</v>
      </c>
      <c r="E1668" s="408" t="s">
        <v>1404</v>
      </c>
      <c r="F1668" s="408" t="s">
        <v>1479</v>
      </c>
      <c r="G1668" s="408" t="s">
        <v>2666</v>
      </c>
      <c r="H1668" s="197">
        <f t="shared" si="403"/>
        <v>50</v>
      </c>
      <c r="I1668" s="408">
        <v>12</v>
      </c>
      <c r="J1668" s="408">
        <v>9</v>
      </c>
      <c r="K1668" s="420">
        <f t="shared" si="404"/>
        <v>46000</v>
      </c>
      <c r="L1668" s="408" t="s">
        <v>2391</v>
      </c>
      <c r="M1668" s="408" t="s">
        <v>1468</v>
      </c>
      <c r="N1668" s="408" t="s">
        <v>2877</v>
      </c>
      <c r="O1668" s="408" t="s">
        <v>2368</v>
      </c>
      <c r="P1668" s="408" t="s">
        <v>2371</v>
      </c>
      <c r="Q1668" s="408">
        <v>11001964</v>
      </c>
      <c r="R1668" s="408" t="s">
        <v>562</v>
      </c>
      <c r="S1668" s="408" t="s">
        <v>3424</v>
      </c>
      <c r="T1668" s="408"/>
      <c r="U1668" s="408"/>
      <c r="V1668" s="421"/>
      <c r="W1668" s="421"/>
      <c r="X1668" s="421"/>
      <c r="Y1668" s="421"/>
      <c r="Z1668" s="421"/>
      <c r="AA1668" s="421"/>
      <c r="AB1668" s="421"/>
      <c r="AC1668" s="421"/>
      <c r="AD1668" s="421"/>
      <c r="AE1668" s="421"/>
      <c r="AF1668" s="421"/>
      <c r="AG1668" s="421"/>
      <c r="AH1668" s="421"/>
      <c r="AI1668" s="421"/>
      <c r="AJ1668" s="421"/>
      <c r="AK1668" s="421"/>
      <c r="AL1668" s="421"/>
    </row>
    <row r="1669" spans="1:38">
      <c r="A1669" s="408">
        <v>6349</v>
      </c>
      <c r="B1669" s="83">
        <f t="array" ref="B1669">SUM(--(FREQUENCY(IF(C$2:C$3072=C1669, MATCH(D$2:D$3072, D$2:D$3072, 0)), ROW(D$2:D$3072)-ROW(D$2)+1) &gt; 0))</f>
        <v>2</v>
      </c>
      <c r="C1669" s="408">
        <v>41200201</v>
      </c>
      <c r="D1669" s="408" t="s">
        <v>3426</v>
      </c>
      <c r="E1669" s="408" t="s">
        <v>1404</v>
      </c>
      <c r="F1669" s="408" t="s">
        <v>1479</v>
      </c>
      <c r="G1669" s="408" t="s">
        <v>2666</v>
      </c>
      <c r="H1669" s="197">
        <f t="shared" si="402"/>
        <v>50</v>
      </c>
      <c r="I1669" s="408">
        <v>12</v>
      </c>
      <c r="J1669" s="408">
        <v>9</v>
      </c>
      <c r="K1669" s="420">
        <f t="shared" si="399"/>
        <v>46000</v>
      </c>
      <c r="L1669" s="408" t="s">
        <v>2391</v>
      </c>
      <c r="M1669" s="408" t="s">
        <v>1468</v>
      </c>
      <c r="N1669" s="408" t="s">
        <v>2877</v>
      </c>
      <c r="O1669" s="408" t="s">
        <v>2368</v>
      </c>
      <c r="P1669" s="408" t="s">
        <v>2371</v>
      </c>
      <c r="Q1669" s="408">
        <v>11001964</v>
      </c>
      <c r="R1669" s="408" t="s">
        <v>562</v>
      </c>
      <c r="S1669" s="408" t="s">
        <v>3425</v>
      </c>
      <c r="T1669" s="408"/>
      <c r="U1669" s="408"/>
      <c r="V1669" s="421"/>
      <c r="W1669" s="421"/>
      <c r="X1669" s="421"/>
      <c r="Y1669" s="421"/>
      <c r="Z1669" s="421"/>
      <c r="AA1669" s="421"/>
      <c r="AB1669" s="421"/>
      <c r="AC1669" s="421"/>
      <c r="AD1669" s="421"/>
      <c r="AE1669" s="421"/>
      <c r="AF1669" s="421"/>
      <c r="AG1669" s="421"/>
      <c r="AH1669" s="421"/>
      <c r="AI1669" s="421"/>
      <c r="AJ1669" s="421"/>
      <c r="AK1669" s="421"/>
      <c r="AL1669" s="421"/>
    </row>
    <row r="1670" spans="1:38">
      <c r="A1670" s="408">
        <v>6291</v>
      </c>
      <c r="B1670" s="83">
        <f t="array" ref="B1670">SUM(--(FREQUENCY(IF(C$2:C$3072=C1670, MATCH(D$2:D$3072, D$2:D$3072, 0)), ROW(D$2:D$3072)-ROW(D$2)+1) &gt; 0))</f>
        <v>2</v>
      </c>
      <c r="C1670" s="408">
        <v>41200198</v>
      </c>
      <c r="D1670" s="408" t="s">
        <v>3427</v>
      </c>
      <c r="E1670" s="408" t="s">
        <v>1395</v>
      </c>
      <c r="F1670" s="408" t="s">
        <v>1476</v>
      </c>
      <c r="G1670" s="408" t="s">
        <v>2675</v>
      </c>
      <c r="H1670" s="197">
        <f t="shared" ref="H1670:H1685" si="405">WEEKNUM(K1670)</f>
        <v>50</v>
      </c>
      <c r="I1670" s="408">
        <v>12</v>
      </c>
      <c r="J1670" s="408">
        <v>10</v>
      </c>
      <c r="K1670" s="420">
        <f t="shared" ref="K1670:K1685" si="406">DATE(2025, I1670, J1670)</f>
        <v>46001</v>
      </c>
      <c r="L1670" s="408" t="s">
        <v>2391</v>
      </c>
      <c r="M1670" s="408" t="s">
        <v>2392</v>
      </c>
      <c r="N1670" s="408" t="str">
        <f t="shared" ref="N1670:N1671" si="407">IF(O1670&lt;&gt;"", "NG", "")</f>
        <v>NG</v>
      </c>
      <c r="O1670" s="408" t="s">
        <v>2368</v>
      </c>
      <c r="P1670" s="408" t="s">
        <v>2371</v>
      </c>
      <c r="Q1670" s="408">
        <v>11001968</v>
      </c>
      <c r="R1670" s="408" t="s">
        <v>473</v>
      </c>
      <c r="S1670" s="408" t="s">
        <v>3425</v>
      </c>
      <c r="T1670" s="408"/>
      <c r="U1670" s="408"/>
      <c r="V1670" s="421"/>
      <c r="W1670" s="421"/>
      <c r="X1670" s="421"/>
      <c r="Y1670" s="421"/>
      <c r="Z1670" s="421"/>
      <c r="AA1670" s="421"/>
      <c r="AB1670" s="421"/>
      <c r="AC1670" s="421"/>
      <c r="AD1670" s="421"/>
      <c r="AE1670" s="421"/>
      <c r="AF1670" s="421"/>
      <c r="AG1670" s="421"/>
      <c r="AH1670" s="421"/>
      <c r="AI1670" s="421"/>
      <c r="AJ1670" s="421"/>
      <c r="AK1670" s="421"/>
      <c r="AL1670" s="421"/>
    </row>
    <row r="1671" spans="1:38">
      <c r="A1671" s="408">
        <v>6291</v>
      </c>
      <c r="B1671" s="83">
        <f t="array" ref="B1671">SUM(--(FREQUENCY(IF(C$2:C$3072=C1671, MATCH(D$2:D$3072, D$2:D$3072, 0)), ROW(D$2:D$3072)-ROW(D$2)+1) &gt; 0))</f>
        <v>2</v>
      </c>
      <c r="C1671" s="408">
        <v>41200198</v>
      </c>
      <c r="D1671" s="408" t="s">
        <v>3427</v>
      </c>
      <c r="E1671" s="408" t="s">
        <v>1395</v>
      </c>
      <c r="F1671" s="408" t="s">
        <v>1476</v>
      </c>
      <c r="G1671" s="408" t="s">
        <v>2675</v>
      </c>
      <c r="H1671" s="197">
        <f t="shared" ref="H1671" si="408">WEEKNUM(K1671)</f>
        <v>50</v>
      </c>
      <c r="I1671" s="408">
        <v>12</v>
      </c>
      <c r="J1671" s="408">
        <v>10</v>
      </c>
      <c r="K1671" s="420">
        <f t="shared" ref="K1671" si="409">DATE(2025, I1671, J1671)</f>
        <v>46001</v>
      </c>
      <c r="L1671" s="408" t="s">
        <v>2391</v>
      </c>
      <c r="M1671" s="408" t="s">
        <v>2392</v>
      </c>
      <c r="N1671" s="408" t="str">
        <f t="shared" si="407"/>
        <v>NG</v>
      </c>
      <c r="O1671" s="408" t="s">
        <v>2368</v>
      </c>
      <c r="P1671" s="408" t="s">
        <v>2371</v>
      </c>
      <c r="Q1671" s="408">
        <v>11001968</v>
      </c>
      <c r="R1671" s="408" t="s">
        <v>473</v>
      </c>
      <c r="S1671" s="408" t="s">
        <v>3428</v>
      </c>
      <c r="T1671" s="408"/>
      <c r="U1671" s="408"/>
      <c r="V1671" s="421"/>
      <c r="W1671" s="421"/>
      <c r="X1671" s="421"/>
      <c r="Y1671" s="421"/>
      <c r="Z1671" s="421"/>
      <c r="AA1671" s="421"/>
      <c r="AB1671" s="421"/>
      <c r="AC1671" s="421"/>
      <c r="AD1671" s="421"/>
      <c r="AE1671" s="421"/>
      <c r="AF1671" s="421"/>
      <c r="AG1671" s="421"/>
      <c r="AH1671" s="421"/>
      <c r="AI1671" s="421"/>
      <c r="AJ1671" s="421"/>
      <c r="AK1671" s="421"/>
      <c r="AL1671" s="421"/>
    </row>
    <row r="1672" spans="1:38">
      <c r="A1672" s="408">
        <v>6291</v>
      </c>
      <c r="B1672" s="83">
        <f t="array" ref="B1672">SUM(--(FREQUENCY(IF(C$2:C$3072=C1672, MATCH(D$2:D$3072, D$2:D$3072, 0)), ROW(D$2:D$3072)-ROW(D$2)+1) &gt; 0))</f>
        <v>2</v>
      </c>
      <c r="C1672" s="408">
        <v>41200198</v>
      </c>
      <c r="D1672" s="408" t="s">
        <v>3427</v>
      </c>
      <c r="E1672" s="408" t="s">
        <v>1395</v>
      </c>
      <c r="F1672" s="408" t="s">
        <v>1476</v>
      </c>
      <c r="G1672" s="408" t="s">
        <v>2675</v>
      </c>
      <c r="H1672" s="197">
        <f t="shared" ref="H1672" si="410">WEEKNUM(K1672)</f>
        <v>50</v>
      </c>
      <c r="I1672" s="408">
        <v>12</v>
      </c>
      <c r="J1672" s="408">
        <v>10</v>
      </c>
      <c r="K1672" s="420">
        <f t="shared" ref="K1672" si="411">DATE(2025, I1672, J1672)</f>
        <v>46001</v>
      </c>
      <c r="L1672" s="408" t="s">
        <v>2391</v>
      </c>
      <c r="M1672" s="408" t="s">
        <v>2392</v>
      </c>
      <c r="N1672" s="408" t="str">
        <f t="shared" ref="N1672" si="412">IF(O1672&lt;&gt;"", "NG", "")</f>
        <v>NG</v>
      </c>
      <c r="O1672" s="408" t="s">
        <v>2368</v>
      </c>
      <c r="P1672" s="408" t="s">
        <v>3429</v>
      </c>
      <c r="Q1672" s="408">
        <v>11000169</v>
      </c>
      <c r="R1672" s="408" t="s">
        <v>1151</v>
      </c>
      <c r="S1672" s="408" t="s">
        <v>3430</v>
      </c>
      <c r="T1672" s="408"/>
      <c r="U1672" s="408"/>
      <c r="V1672" s="421"/>
      <c r="W1672" s="421"/>
      <c r="X1672" s="421"/>
      <c r="Y1672" s="421"/>
      <c r="Z1672" s="421"/>
      <c r="AA1672" s="421"/>
      <c r="AB1672" s="421"/>
      <c r="AC1672" s="421"/>
      <c r="AD1672" s="421"/>
      <c r="AE1672" s="421"/>
      <c r="AF1672" s="421"/>
      <c r="AG1672" s="421"/>
      <c r="AH1672" s="421"/>
      <c r="AI1672" s="421"/>
      <c r="AJ1672" s="421"/>
      <c r="AK1672" s="421"/>
      <c r="AL1672" s="421"/>
    </row>
    <row r="1673" spans="1:38">
      <c r="A1673" s="408">
        <v>6291</v>
      </c>
      <c r="B1673" s="83">
        <f t="array" ref="B1673">SUM(--(FREQUENCY(IF(C$2:C$3072=C1673, MATCH(D$2:D$3072, D$2:D$3072, 0)), ROW(D$2:D$3072)-ROW(D$2)+1) &gt; 0))</f>
        <v>2</v>
      </c>
      <c r="C1673" s="408">
        <v>41200198</v>
      </c>
      <c r="D1673" s="408" t="s">
        <v>3427</v>
      </c>
      <c r="E1673" s="408" t="s">
        <v>1395</v>
      </c>
      <c r="F1673" s="408" t="s">
        <v>1476</v>
      </c>
      <c r="G1673" s="408" t="s">
        <v>2675</v>
      </c>
      <c r="H1673" s="197">
        <f t="shared" ref="H1673" si="413">WEEKNUM(K1673)</f>
        <v>50</v>
      </c>
      <c r="I1673" s="408">
        <v>12</v>
      </c>
      <c r="J1673" s="408">
        <v>10</v>
      </c>
      <c r="K1673" s="420">
        <f t="shared" ref="K1673" si="414">DATE(2025, I1673, J1673)</f>
        <v>46001</v>
      </c>
      <c r="L1673" s="408" t="s">
        <v>2391</v>
      </c>
      <c r="M1673" s="408" t="s">
        <v>2392</v>
      </c>
      <c r="N1673" s="408" t="str">
        <f t="shared" ref="N1673" si="415">IF(O1673&lt;&gt;"", "NG", "")</f>
        <v>NG</v>
      </c>
      <c r="O1673" s="408" t="s">
        <v>2368</v>
      </c>
      <c r="P1673" s="408" t="s">
        <v>2682</v>
      </c>
      <c r="Q1673" s="408"/>
      <c r="R1673" s="408"/>
      <c r="S1673" s="408" t="s">
        <v>3431</v>
      </c>
      <c r="T1673" s="408"/>
      <c r="U1673" s="408"/>
      <c r="V1673" s="421"/>
      <c r="W1673" s="421"/>
      <c r="X1673" s="421"/>
      <c r="Y1673" s="421"/>
      <c r="Z1673" s="421"/>
      <c r="AA1673" s="421"/>
      <c r="AB1673" s="421"/>
      <c r="AC1673" s="421"/>
      <c r="AD1673" s="421"/>
      <c r="AE1673" s="421"/>
      <c r="AF1673" s="421"/>
      <c r="AG1673" s="421"/>
      <c r="AH1673" s="421"/>
      <c r="AI1673" s="421"/>
      <c r="AJ1673" s="421"/>
      <c r="AK1673" s="421"/>
      <c r="AL1673" s="421"/>
    </row>
    <row r="1674" spans="1:38">
      <c r="A1674" s="408">
        <v>6290</v>
      </c>
      <c r="B1674" s="83">
        <f t="array" ref="B1674">SUM(--(FREQUENCY(IF(C$2:C$3072=C1674, MATCH(D$2:D$3072, D$2:D$3072, 0)), ROW(D$2:D$3072)-ROW(D$2)+1) &gt; 0))</f>
        <v>6</v>
      </c>
      <c r="C1674" s="408">
        <v>41200193</v>
      </c>
      <c r="D1674" s="408" t="s">
        <v>3432</v>
      </c>
      <c r="E1674" s="408" t="s">
        <v>1395</v>
      </c>
      <c r="F1674" s="408" t="s">
        <v>1476</v>
      </c>
      <c r="G1674" s="408" t="s">
        <v>2675</v>
      </c>
      <c r="H1674" s="197">
        <f t="shared" si="405"/>
        <v>50</v>
      </c>
      <c r="I1674" s="408">
        <v>12</v>
      </c>
      <c r="J1674" s="408">
        <v>10</v>
      </c>
      <c r="K1674" s="420">
        <f t="shared" si="406"/>
        <v>46001</v>
      </c>
      <c r="L1674" s="408" t="s">
        <v>2391</v>
      </c>
      <c r="M1674" s="408" t="s">
        <v>2392</v>
      </c>
      <c r="N1674" s="408" t="str">
        <f t="shared" si="400"/>
        <v>NG</v>
      </c>
      <c r="O1674" s="408" t="s">
        <v>2368</v>
      </c>
      <c r="P1674" s="408" t="s">
        <v>2371</v>
      </c>
      <c r="Q1674" s="408">
        <v>11001964</v>
      </c>
      <c r="R1674" s="408" t="s">
        <v>562</v>
      </c>
      <c r="S1674" s="408" t="s">
        <v>3425</v>
      </c>
      <c r="T1674" s="408"/>
      <c r="U1674" s="408"/>
      <c r="V1674" s="421"/>
      <c r="W1674" s="421"/>
      <c r="X1674" s="421"/>
      <c r="Y1674" s="421"/>
      <c r="Z1674" s="421"/>
      <c r="AA1674" s="421"/>
      <c r="AB1674" s="421"/>
      <c r="AC1674" s="421"/>
      <c r="AD1674" s="421"/>
      <c r="AE1674" s="421"/>
      <c r="AF1674" s="421"/>
      <c r="AG1674" s="421"/>
      <c r="AH1674" s="421"/>
      <c r="AI1674" s="421"/>
      <c r="AJ1674" s="421"/>
      <c r="AK1674" s="421"/>
      <c r="AL1674" s="421"/>
    </row>
    <row r="1675" spans="1:38">
      <c r="A1675" s="408">
        <v>6038</v>
      </c>
      <c r="B1675" s="83">
        <f t="array" ref="B1675">SUM(--(FREQUENCY(IF(C$2:C$3072=C1675, MATCH(D$2:D$3072, D$2:D$3072, 0)), ROW(D$2:D$3072)-ROW(D$2)+1) &gt; 0))</f>
        <v>1</v>
      </c>
      <c r="C1675" s="408">
        <v>41200035</v>
      </c>
      <c r="D1675" s="408" t="s">
        <v>3433</v>
      </c>
      <c r="E1675" s="408" t="s">
        <v>1426</v>
      </c>
      <c r="F1675" s="408" t="s">
        <v>1476</v>
      </c>
      <c r="G1675" s="408" t="s">
        <v>2675</v>
      </c>
      <c r="H1675" s="197">
        <f t="shared" si="405"/>
        <v>50</v>
      </c>
      <c r="I1675" s="408">
        <v>12</v>
      </c>
      <c r="J1675" s="408">
        <v>10</v>
      </c>
      <c r="K1675" s="420">
        <f t="shared" si="406"/>
        <v>46001</v>
      </c>
      <c r="L1675" s="408" t="s">
        <v>2391</v>
      </c>
      <c r="M1675" s="408" t="s">
        <v>1468</v>
      </c>
      <c r="N1675" s="408" t="str">
        <f t="shared" si="400"/>
        <v>NG</v>
      </c>
      <c r="O1675" s="408" t="s">
        <v>2368</v>
      </c>
      <c r="P1675" s="408" t="s">
        <v>2371</v>
      </c>
      <c r="Q1675" s="408">
        <v>11001962</v>
      </c>
      <c r="R1675" s="408" t="s">
        <v>562</v>
      </c>
      <c r="S1675" s="408" t="s">
        <v>3434</v>
      </c>
      <c r="T1675" s="408"/>
      <c r="U1675" s="408"/>
      <c r="V1675" s="421"/>
      <c r="W1675" s="421"/>
      <c r="X1675" s="421"/>
      <c r="Y1675" s="421"/>
      <c r="Z1675" s="421"/>
      <c r="AA1675" s="421"/>
      <c r="AB1675" s="421"/>
      <c r="AC1675" s="421"/>
      <c r="AD1675" s="421"/>
      <c r="AE1675" s="421"/>
      <c r="AF1675" s="421"/>
      <c r="AG1675" s="421"/>
      <c r="AH1675" s="421"/>
      <c r="AI1675" s="421"/>
      <c r="AJ1675" s="421"/>
      <c r="AK1675" s="421"/>
      <c r="AL1675" s="421"/>
    </row>
    <row r="1676" spans="1:38">
      <c r="A1676" s="408">
        <v>6109</v>
      </c>
      <c r="B1676" s="83">
        <f t="array" ref="B1676">SUM(--(FREQUENCY(IF(C$2:C$3072=C1676, MATCH(D$2:D$3072, D$2:D$3072, 0)), ROW(D$2:D$3072)-ROW(D$2)+1) &gt; 0))</f>
        <v>7</v>
      </c>
      <c r="C1676" s="408">
        <v>41100665</v>
      </c>
      <c r="D1676" s="408" t="s">
        <v>3435</v>
      </c>
      <c r="E1676" s="408" t="s">
        <v>1416</v>
      </c>
      <c r="F1676" s="408" t="s">
        <v>3180</v>
      </c>
      <c r="G1676" s="408" t="s">
        <v>2666</v>
      </c>
      <c r="H1676" s="197">
        <f t="shared" si="405"/>
        <v>50</v>
      </c>
      <c r="I1676" s="408">
        <v>12</v>
      </c>
      <c r="J1676" s="408">
        <v>10</v>
      </c>
      <c r="K1676" s="420">
        <f t="shared" si="406"/>
        <v>46001</v>
      </c>
      <c r="L1676" s="408" t="s">
        <v>2395</v>
      </c>
      <c r="M1676" s="408" t="s">
        <v>1469</v>
      </c>
      <c r="N1676" s="408" t="str">
        <f t="shared" si="400"/>
        <v/>
      </c>
      <c r="O1676" s="408"/>
      <c r="P1676" s="408"/>
      <c r="Q1676" s="408"/>
      <c r="R1676" s="408"/>
      <c r="S1676" s="408"/>
      <c r="T1676" s="408"/>
      <c r="U1676" s="408"/>
      <c r="V1676" s="421"/>
      <c r="W1676" s="421"/>
      <c r="X1676" s="421"/>
      <c r="Y1676" s="421"/>
      <c r="Z1676" s="421"/>
      <c r="AA1676" s="421"/>
      <c r="AB1676" s="421"/>
      <c r="AC1676" s="421"/>
      <c r="AD1676" s="421"/>
      <c r="AE1676" s="421"/>
      <c r="AF1676" s="421"/>
      <c r="AG1676" s="421"/>
      <c r="AH1676" s="421"/>
      <c r="AI1676" s="421"/>
      <c r="AJ1676" s="421"/>
      <c r="AK1676" s="421"/>
      <c r="AL1676" s="421"/>
    </row>
    <row r="1677" spans="1:38">
      <c r="A1677" s="408">
        <v>6109</v>
      </c>
      <c r="B1677" s="83">
        <f t="array" ref="B1677">SUM(--(FREQUENCY(IF(C$2:C$3072=C1677, MATCH(D$2:D$3072, D$2:D$3072, 0)), ROW(D$2:D$3072)-ROW(D$2)+1) &gt; 0))</f>
        <v>7</v>
      </c>
      <c r="C1677" s="408">
        <v>41100665</v>
      </c>
      <c r="D1677" s="408" t="s">
        <v>3436</v>
      </c>
      <c r="E1677" s="408" t="s">
        <v>1416</v>
      </c>
      <c r="F1677" s="408" t="s">
        <v>3180</v>
      </c>
      <c r="G1677" s="408" t="s">
        <v>2666</v>
      </c>
      <c r="H1677" s="197">
        <f t="shared" si="405"/>
        <v>50</v>
      </c>
      <c r="I1677" s="408">
        <v>12</v>
      </c>
      <c r="J1677" s="408">
        <v>10</v>
      </c>
      <c r="K1677" s="420">
        <f t="shared" si="406"/>
        <v>46001</v>
      </c>
      <c r="L1677" s="408" t="s">
        <v>2395</v>
      </c>
      <c r="M1677" s="408" t="s">
        <v>1469</v>
      </c>
      <c r="N1677" s="408" t="str">
        <f t="shared" si="400"/>
        <v/>
      </c>
      <c r="O1677" s="408"/>
      <c r="P1677" s="408"/>
      <c r="Q1677" s="408"/>
      <c r="R1677" s="408"/>
      <c r="S1677" s="408"/>
      <c r="T1677" s="408"/>
      <c r="U1677" s="408"/>
      <c r="V1677" s="421"/>
      <c r="W1677" s="421"/>
      <c r="X1677" s="421"/>
      <c r="Y1677" s="421"/>
      <c r="Z1677" s="421"/>
      <c r="AA1677" s="421"/>
      <c r="AB1677" s="421"/>
      <c r="AC1677" s="421"/>
      <c r="AD1677" s="421"/>
      <c r="AE1677" s="421"/>
      <c r="AF1677" s="421"/>
      <c r="AG1677" s="421"/>
      <c r="AH1677" s="421"/>
      <c r="AI1677" s="421"/>
      <c r="AJ1677" s="421"/>
      <c r="AK1677" s="421"/>
      <c r="AL1677" s="421"/>
    </row>
    <row r="1678" spans="1:38">
      <c r="A1678" s="408">
        <v>6109</v>
      </c>
      <c r="B1678" s="83">
        <f t="array" ref="B1678">SUM(--(FREQUENCY(IF(C$2:C$3072=C1678, MATCH(D$2:D$3072, D$2:D$3072, 0)), ROW(D$2:D$3072)-ROW(D$2)+1) &gt; 0))</f>
        <v>7</v>
      </c>
      <c r="C1678" s="408">
        <v>41100665</v>
      </c>
      <c r="D1678" s="408" t="s">
        <v>3437</v>
      </c>
      <c r="E1678" s="408" t="s">
        <v>1416</v>
      </c>
      <c r="F1678" s="408" t="s">
        <v>3180</v>
      </c>
      <c r="G1678" s="408" t="s">
        <v>2666</v>
      </c>
      <c r="H1678" s="197">
        <f t="shared" si="405"/>
        <v>50</v>
      </c>
      <c r="I1678" s="408">
        <v>12</v>
      </c>
      <c r="J1678" s="408">
        <v>10</v>
      </c>
      <c r="K1678" s="420">
        <f t="shared" si="406"/>
        <v>46001</v>
      </c>
      <c r="L1678" s="408" t="s">
        <v>2395</v>
      </c>
      <c r="M1678" s="408" t="s">
        <v>1469</v>
      </c>
      <c r="N1678" s="408" t="str">
        <f t="shared" si="400"/>
        <v/>
      </c>
      <c r="O1678" s="408"/>
      <c r="P1678" s="408"/>
      <c r="Q1678" s="408"/>
      <c r="R1678" s="408"/>
      <c r="S1678" s="408"/>
      <c r="T1678" s="408"/>
      <c r="U1678" s="408"/>
      <c r="V1678" s="421"/>
      <c r="W1678" s="421"/>
      <c r="X1678" s="421"/>
      <c r="Y1678" s="421"/>
      <c r="Z1678" s="421"/>
      <c r="AA1678" s="421"/>
      <c r="AB1678" s="421"/>
      <c r="AC1678" s="421"/>
      <c r="AD1678" s="421"/>
      <c r="AE1678" s="421"/>
      <c r="AF1678" s="421"/>
      <c r="AG1678" s="421"/>
      <c r="AH1678" s="421"/>
      <c r="AI1678" s="421"/>
      <c r="AJ1678" s="421"/>
      <c r="AK1678" s="421"/>
      <c r="AL1678" s="421"/>
    </row>
    <row r="1679" spans="1:38">
      <c r="A1679" s="408">
        <v>6058</v>
      </c>
      <c r="B1679" s="83">
        <f t="array" ref="B1679">SUM(--(FREQUENCY(IF(C$2:C$3072=C1679, MATCH(D$2:D$3072, D$2:D$3072, 0)), ROW(D$2:D$3072)-ROW(D$2)+1) &gt; 0))</f>
        <v>18</v>
      </c>
      <c r="C1679" s="408">
        <v>41200101</v>
      </c>
      <c r="D1679" s="408" t="s">
        <v>3438</v>
      </c>
      <c r="E1679" s="408" t="s">
        <v>1585</v>
      </c>
      <c r="F1679" s="408" t="s">
        <v>1476</v>
      </c>
      <c r="G1679" s="408" t="s">
        <v>2675</v>
      </c>
      <c r="H1679" s="197">
        <f>WEEKNUM(K1679)</f>
        <v>50</v>
      </c>
      <c r="I1679" s="408">
        <v>12</v>
      </c>
      <c r="J1679" s="408">
        <v>11</v>
      </c>
      <c r="K1679" s="420">
        <f>DATE(2025, I1679, J1679)</f>
        <v>46002</v>
      </c>
      <c r="L1679" s="408" t="s">
        <v>2395</v>
      </c>
      <c r="M1679" s="408" t="s">
        <v>1468</v>
      </c>
      <c r="N1679" s="408" t="str">
        <f>IF(O1679&lt;&gt;"", "NG", "")</f>
        <v/>
      </c>
      <c r="O1679" s="408"/>
      <c r="P1679" s="408"/>
      <c r="Q1679" s="408"/>
      <c r="R1679" s="408"/>
      <c r="S1679" s="408"/>
      <c r="T1679" s="408"/>
      <c r="U1679" s="408"/>
      <c r="V1679" s="421"/>
      <c r="W1679" s="421"/>
      <c r="X1679" s="421"/>
      <c r="Y1679" s="421"/>
      <c r="Z1679" s="421"/>
      <c r="AA1679" s="421"/>
      <c r="AB1679" s="421"/>
      <c r="AC1679" s="421"/>
      <c r="AD1679" s="421"/>
      <c r="AE1679" s="421"/>
      <c r="AF1679" s="421"/>
      <c r="AG1679" s="421"/>
      <c r="AH1679" s="421"/>
      <c r="AI1679" s="421"/>
      <c r="AJ1679" s="421"/>
      <c r="AK1679" s="421"/>
      <c r="AL1679" s="421"/>
    </row>
    <row r="1680" spans="1:38">
      <c r="A1680" s="408">
        <v>6109</v>
      </c>
      <c r="B1680" s="83">
        <f t="array" ref="B1680">SUM(--(FREQUENCY(IF(C$2:C$3072=C1680, MATCH(D$2:D$3072, D$2:D$3072, 0)), ROW(D$2:D$3072)-ROW(D$2)+1) &gt; 0))</f>
        <v>7</v>
      </c>
      <c r="C1680" s="408">
        <v>41100665</v>
      </c>
      <c r="D1680" s="408" t="s">
        <v>3439</v>
      </c>
      <c r="E1680" s="408" t="s">
        <v>1416</v>
      </c>
      <c r="F1680" s="408" t="s">
        <v>3180</v>
      </c>
      <c r="G1680" s="408" t="s">
        <v>2666</v>
      </c>
      <c r="H1680" s="197">
        <f t="shared" si="405"/>
        <v>50</v>
      </c>
      <c r="I1680" s="408">
        <v>12</v>
      </c>
      <c r="J1680" s="408">
        <v>11</v>
      </c>
      <c r="K1680" s="420">
        <f t="shared" si="406"/>
        <v>46002</v>
      </c>
      <c r="L1680" s="408" t="s">
        <v>2395</v>
      </c>
      <c r="M1680" s="408" t="s">
        <v>2392</v>
      </c>
      <c r="N1680" s="408" t="str">
        <f t="shared" si="400"/>
        <v/>
      </c>
      <c r="O1680" s="408"/>
      <c r="P1680" s="408"/>
      <c r="Q1680" s="408"/>
      <c r="R1680" s="408"/>
      <c r="S1680" s="408"/>
      <c r="T1680" s="408"/>
      <c r="U1680" s="408"/>
      <c r="V1680" s="421"/>
      <c r="W1680" s="421"/>
      <c r="X1680" s="421"/>
      <c r="Y1680" s="421"/>
      <c r="Z1680" s="421"/>
      <c r="AA1680" s="421"/>
      <c r="AB1680" s="421"/>
      <c r="AC1680" s="421"/>
      <c r="AD1680" s="421"/>
      <c r="AE1680" s="421"/>
      <c r="AF1680" s="421"/>
      <c r="AG1680" s="421"/>
      <c r="AH1680" s="421"/>
      <c r="AI1680" s="421"/>
      <c r="AJ1680" s="421"/>
      <c r="AK1680" s="421"/>
      <c r="AL1680" s="421"/>
    </row>
    <row r="1681" spans="1:38">
      <c r="A1681" s="408">
        <v>6109</v>
      </c>
      <c r="B1681" s="83">
        <f t="array" ref="B1681">SUM(--(FREQUENCY(IF(C$2:C$3072=C1681, MATCH(D$2:D$3072, D$2:D$3072, 0)), ROW(D$2:D$3072)-ROW(D$2)+1) &gt; 0))</f>
        <v>7</v>
      </c>
      <c r="C1681" s="408">
        <v>41100665</v>
      </c>
      <c r="D1681" s="408" t="s">
        <v>3440</v>
      </c>
      <c r="E1681" s="408" t="s">
        <v>1416</v>
      </c>
      <c r="F1681" s="408" t="s">
        <v>3180</v>
      </c>
      <c r="G1681" s="408" t="s">
        <v>2666</v>
      </c>
      <c r="H1681" s="197">
        <f t="shared" si="405"/>
        <v>50</v>
      </c>
      <c r="I1681" s="408">
        <v>12</v>
      </c>
      <c r="J1681" s="408">
        <v>11</v>
      </c>
      <c r="K1681" s="420">
        <f t="shared" si="406"/>
        <v>46002</v>
      </c>
      <c r="L1681" s="408" t="s">
        <v>2395</v>
      </c>
      <c r="M1681" s="408" t="s">
        <v>2392</v>
      </c>
      <c r="N1681" s="408" t="str">
        <f t="shared" si="400"/>
        <v/>
      </c>
      <c r="O1681" s="408"/>
      <c r="P1681" s="408"/>
      <c r="Q1681" s="408"/>
      <c r="R1681" s="408"/>
      <c r="S1681" s="408"/>
      <c r="T1681" s="408"/>
      <c r="U1681" s="408"/>
      <c r="V1681" s="421"/>
      <c r="W1681" s="421"/>
      <c r="X1681" s="421"/>
      <c r="Y1681" s="421"/>
      <c r="Z1681" s="421"/>
      <c r="AA1681" s="421"/>
      <c r="AB1681" s="421"/>
      <c r="AC1681" s="421"/>
      <c r="AD1681" s="421"/>
      <c r="AE1681" s="421"/>
      <c r="AF1681" s="421"/>
      <c r="AG1681" s="421"/>
      <c r="AH1681" s="421"/>
      <c r="AI1681" s="421"/>
      <c r="AJ1681" s="421"/>
      <c r="AK1681" s="421"/>
      <c r="AL1681" s="421"/>
    </row>
    <row r="1682" spans="1:38">
      <c r="A1682" s="408">
        <v>6109</v>
      </c>
      <c r="B1682" s="83">
        <f t="array" ref="B1682">SUM(--(FREQUENCY(IF(C$2:C$3072=C1682, MATCH(D$2:D$3072, D$2:D$3072, 0)), ROW(D$2:D$3072)-ROW(D$2)+1) &gt; 0))</f>
        <v>7</v>
      </c>
      <c r="C1682" s="408">
        <v>41100665</v>
      </c>
      <c r="D1682" s="408" t="s">
        <v>3441</v>
      </c>
      <c r="E1682" s="408" t="s">
        <v>1416</v>
      </c>
      <c r="F1682" s="408" t="s">
        <v>3180</v>
      </c>
      <c r="G1682" s="408" t="s">
        <v>2666</v>
      </c>
      <c r="H1682" s="197">
        <f t="shared" si="405"/>
        <v>50</v>
      </c>
      <c r="I1682" s="408">
        <v>12</v>
      </c>
      <c r="J1682" s="408">
        <v>11</v>
      </c>
      <c r="K1682" s="420">
        <f t="shared" si="406"/>
        <v>46002</v>
      </c>
      <c r="L1682" s="408" t="s">
        <v>2395</v>
      </c>
      <c r="M1682" s="408" t="s">
        <v>2392</v>
      </c>
      <c r="N1682" s="408" t="str">
        <f t="shared" si="400"/>
        <v/>
      </c>
      <c r="O1682" s="408"/>
      <c r="P1682" s="408"/>
      <c r="Q1682" s="408"/>
      <c r="R1682" s="408"/>
      <c r="S1682" s="408"/>
      <c r="T1682" s="408"/>
      <c r="U1682" s="408"/>
      <c r="V1682" s="421"/>
      <c r="W1682" s="421"/>
      <c r="X1682" s="421"/>
      <c r="Y1682" s="421"/>
      <c r="Z1682" s="421"/>
      <c r="AA1682" s="421"/>
      <c r="AB1682" s="421"/>
      <c r="AC1682" s="421"/>
      <c r="AD1682" s="421"/>
      <c r="AE1682" s="421"/>
      <c r="AF1682" s="421"/>
      <c r="AG1682" s="421"/>
      <c r="AH1682" s="421"/>
      <c r="AI1682" s="421"/>
      <c r="AJ1682" s="421"/>
      <c r="AK1682" s="421"/>
      <c r="AL1682" s="421"/>
    </row>
    <row r="1683" spans="1:38">
      <c r="A1683" s="3">
        <v>6228</v>
      </c>
      <c r="B1683" s="83">
        <f t="array" ref="B1683">SUM(--(FREQUENCY(IF(C$2:C$3072=C1683, MATCH(D$2:D$3072, D$2:D$3072, 0)), ROW(D$2:D$3072)-ROW(D$2)+1) &gt; 0))</f>
        <v>1</v>
      </c>
      <c r="C1683" s="3">
        <v>41200174</v>
      </c>
      <c r="D1683" s="6" t="s">
        <v>3442</v>
      </c>
      <c r="E1683" s="3" t="s">
        <v>1424</v>
      </c>
      <c r="F1683" s="3" t="s">
        <v>1476</v>
      </c>
      <c r="G1683" s="3" t="s">
        <v>2675</v>
      </c>
      <c r="H1683" s="197">
        <f t="shared" si="405"/>
        <v>50</v>
      </c>
      <c r="I1683" s="197">
        <v>12</v>
      </c>
      <c r="J1683" s="408">
        <v>11</v>
      </c>
      <c r="K1683" s="420">
        <f t="shared" si="406"/>
        <v>46002</v>
      </c>
      <c r="L1683" s="186" t="s">
        <v>2395</v>
      </c>
      <c r="M1683" s="3" t="s">
        <v>1469</v>
      </c>
      <c r="N1683" s="408" t="str">
        <f t="shared" si="400"/>
        <v/>
      </c>
      <c r="O1683" s="408"/>
      <c r="P1683" s="408"/>
      <c r="Q1683" s="408"/>
      <c r="R1683" s="408"/>
      <c r="S1683" s="408"/>
      <c r="T1683" s="408"/>
      <c r="U1683" s="408"/>
      <c r="V1683" s="421"/>
      <c r="W1683" s="421"/>
      <c r="X1683" s="421"/>
      <c r="Y1683" s="421"/>
      <c r="Z1683" s="421"/>
      <c r="AA1683" s="421"/>
      <c r="AB1683" s="421"/>
      <c r="AC1683" s="421"/>
      <c r="AD1683" s="421"/>
      <c r="AE1683" s="421"/>
      <c r="AF1683" s="421"/>
      <c r="AG1683" s="421"/>
      <c r="AH1683" s="421"/>
      <c r="AI1683" s="421"/>
      <c r="AJ1683" s="421"/>
      <c r="AK1683" s="421"/>
      <c r="AL1683" s="421"/>
    </row>
    <row r="1684" spans="1:38">
      <c r="A1684" s="3">
        <v>6302</v>
      </c>
      <c r="B1684" s="83">
        <f t="array" ref="B1684">SUM(--(FREQUENCY(IF(C$2:C$3072=C1684, MATCH(D$2:D$3072, D$2:D$3072, 0)), ROW(D$2:D$3072)-ROW(D$2)+1) &gt; 0))</f>
        <v>6</v>
      </c>
      <c r="C1684" s="3">
        <v>41200193</v>
      </c>
      <c r="D1684" s="6" t="s">
        <v>3443</v>
      </c>
      <c r="E1684" s="3" t="s">
        <v>1395</v>
      </c>
      <c r="F1684" s="3" t="s">
        <v>1476</v>
      </c>
      <c r="G1684" s="3" t="s">
        <v>2675</v>
      </c>
      <c r="H1684" s="197">
        <f t="shared" si="405"/>
        <v>50</v>
      </c>
      <c r="I1684" s="197">
        <v>12</v>
      </c>
      <c r="J1684" s="408">
        <v>11</v>
      </c>
      <c r="K1684" s="420">
        <f t="shared" si="406"/>
        <v>46002</v>
      </c>
      <c r="L1684" s="186" t="s">
        <v>2391</v>
      </c>
      <c r="M1684" s="3" t="s">
        <v>2392</v>
      </c>
      <c r="N1684" s="408" t="str">
        <f t="shared" si="400"/>
        <v/>
      </c>
      <c r="O1684" s="408"/>
      <c r="P1684" s="408"/>
      <c r="Q1684" s="408"/>
      <c r="R1684" s="408"/>
      <c r="S1684" s="408"/>
      <c r="T1684" s="408"/>
      <c r="U1684" s="408"/>
      <c r="V1684" s="421"/>
      <c r="W1684" s="421"/>
      <c r="X1684" s="421"/>
      <c r="Y1684" s="421"/>
      <c r="Z1684" s="421"/>
      <c r="AA1684" s="421"/>
      <c r="AB1684" s="421"/>
      <c r="AC1684" s="421"/>
      <c r="AD1684" s="421"/>
      <c r="AE1684" s="421"/>
      <c r="AF1684" s="421"/>
      <c r="AG1684" s="421"/>
      <c r="AH1684" s="421"/>
      <c r="AI1684" s="421"/>
      <c r="AJ1684" s="421"/>
      <c r="AK1684" s="421"/>
      <c r="AL1684" s="421"/>
    </row>
    <row r="1685" spans="1:38">
      <c r="A1685" s="3">
        <v>6302</v>
      </c>
      <c r="B1685" s="83">
        <f t="array" ref="B1685">SUM(--(FREQUENCY(IF(C$2:C$3072=C1685, MATCH(D$2:D$3072, D$2:D$3072, 0)), ROW(D$2:D$3072)-ROW(D$2)+1) &gt; 0))</f>
        <v>6</v>
      </c>
      <c r="C1685" s="3">
        <v>41200193</v>
      </c>
      <c r="D1685" s="6" t="s">
        <v>3444</v>
      </c>
      <c r="E1685" s="3" t="s">
        <v>1395</v>
      </c>
      <c r="F1685" s="3" t="s">
        <v>1476</v>
      </c>
      <c r="G1685" s="3" t="s">
        <v>2675</v>
      </c>
      <c r="H1685" s="197">
        <f t="shared" si="405"/>
        <v>50</v>
      </c>
      <c r="I1685" s="197">
        <v>12</v>
      </c>
      <c r="J1685" s="408">
        <v>11</v>
      </c>
      <c r="K1685" s="420">
        <f t="shared" si="406"/>
        <v>46002</v>
      </c>
      <c r="L1685" s="186" t="s">
        <v>2391</v>
      </c>
      <c r="M1685" s="3" t="s">
        <v>2392</v>
      </c>
      <c r="N1685" s="408" t="str">
        <f t="shared" si="400"/>
        <v/>
      </c>
      <c r="O1685" s="408"/>
      <c r="P1685" s="408"/>
      <c r="Q1685" s="408"/>
      <c r="R1685" s="408"/>
      <c r="S1685" s="408"/>
      <c r="T1685" s="408"/>
      <c r="U1685" s="408"/>
      <c r="V1685" s="421"/>
      <c r="W1685" s="421"/>
      <c r="X1685" s="421"/>
      <c r="Y1685" s="421"/>
      <c r="Z1685" s="421"/>
      <c r="AA1685" s="421"/>
      <c r="AB1685" s="421"/>
      <c r="AC1685" s="421"/>
      <c r="AD1685" s="421"/>
      <c r="AE1685" s="421"/>
      <c r="AF1685" s="421"/>
      <c r="AG1685" s="421"/>
      <c r="AH1685" s="421"/>
      <c r="AI1685" s="421"/>
      <c r="AJ1685" s="421"/>
      <c r="AK1685" s="421"/>
      <c r="AL1685" s="421"/>
    </row>
    <row r="1686" spans="1:38">
      <c r="A1686" s="3">
        <v>6080</v>
      </c>
      <c r="B1686" s="83">
        <f t="array" ref="B1686">SUM(--(FREQUENCY(IF(C$2:C$3072=C1686, MATCH(D$2:D$3072, D$2:D$3072, 0)), ROW(D$2:D$3072)-ROW(D$2)+1) &gt; 0))</f>
        <v>76</v>
      </c>
      <c r="C1686" s="3">
        <v>41200007</v>
      </c>
      <c r="D1686" s="6" t="s">
        <v>3445</v>
      </c>
      <c r="E1686" s="3" t="s">
        <v>1405</v>
      </c>
      <c r="F1686" s="3" t="s">
        <v>1591</v>
      </c>
      <c r="G1686" s="3" t="s">
        <v>2666</v>
      </c>
      <c r="H1686" s="197">
        <f>WEEKNUM(K1686)</f>
        <v>50</v>
      </c>
      <c r="I1686" s="197">
        <v>12</v>
      </c>
      <c r="J1686" s="197">
        <v>12</v>
      </c>
      <c r="K1686" s="420">
        <f>DATE(2025, I1686, J1686)</f>
        <v>46003</v>
      </c>
      <c r="L1686" s="186" t="s">
        <v>2391</v>
      </c>
      <c r="M1686" s="3" t="s">
        <v>2392</v>
      </c>
      <c r="N1686" s="408" t="str">
        <f>IF(O1686&lt;&gt;"", "NG", "")</f>
        <v/>
      </c>
      <c r="O1686" s="408"/>
      <c r="P1686" s="408"/>
      <c r="Q1686" s="408"/>
      <c r="R1686" s="408"/>
      <c r="S1686" s="408"/>
      <c r="T1686" s="408"/>
      <c r="U1686" s="408"/>
      <c r="V1686" s="421"/>
      <c r="W1686" s="421"/>
      <c r="X1686" s="421"/>
      <c r="Y1686" s="421"/>
      <c r="Z1686" s="421"/>
      <c r="AA1686" s="421"/>
      <c r="AB1686" s="421"/>
      <c r="AC1686" s="421"/>
      <c r="AD1686" s="421"/>
      <c r="AE1686" s="421"/>
      <c r="AF1686" s="421"/>
      <c r="AG1686" s="421"/>
      <c r="AH1686" s="421"/>
      <c r="AI1686" s="421"/>
      <c r="AJ1686" s="421"/>
      <c r="AK1686" s="421"/>
      <c r="AL1686" s="421"/>
    </row>
    <row r="1687" spans="1:38">
      <c r="A1687" s="3">
        <v>6080</v>
      </c>
      <c r="B1687" s="83">
        <f t="array" ref="B1687">SUM(--(FREQUENCY(IF(C$2:C$3072=C1687, MATCH(D$2:D$3072, D$2:D$3072, 0)), ROW(D$2:D$3072)-ROW(D$2)+1) &gt; 0))</f>
        <v>76</v>
      </c>
      <c r="C1687" s="3">
        <v>41200007</v>
      </c>
      <c r="D1687" s="6" t="s">
        <v>3446</v>
      </c>
      <c r="E1687" s="3" t="s">
        <v>1405</v>
      </c>
      <c r="F1687" s="3" t="s">
        <v>1591</v>
      </c>
      <c r="G1687" s="3" t="s">
        <v>2666</v>
      </c>
      <c r="H1687" s="197">
        <f>WEEKNUM(K1687)</f>
        <v>50</v>
      </c>
      <c r="I1687" s="197">
        <v>12</v>
      </c>
      <c r="J1687" s="197">
        <v>12</v>
      </c>
      <c r="K1687" s="420">
        <f>DATE(2025, I1687, J1687)</f>
        <v>46003</v>
      </c>
      <c r="L1687" s="186" t="s">
        <v>2391</v>
      </c>
      <c r="M1687" s="3" t="s">
        <v>2392</v>
      </c>
      <c r="N1687" s="408" t="str">
        <f>IF(O1687&lt;&gt;"", "NG", "")</f>
        <v/>
      </c>
      <c r="O1687" s="408"/>
      <c r="P1687" s="408"/>
      <c r="Q1687" s="408"/>
      <c r="R1687" s="408"/>
      <c r="S1687" s="408"/>
      <c r="T1687" s="408"/>
      <c r="U1687" s="408"/>
      <c r="V1687" s="421"/>
      <c r="W1687" s="421"/>
      <c r="X1687" s="421"/>
      <c r="Y1687" s="421"/>
      <c r="Z1687" s="421"/>
      <c r="AA1687" s="421"/>
      <c r="AB1687" s="421"/>
      <c r="AC1687" s="421"/>
      <c r="AD1687" s="421"/>
      <c r="AE1687" s="421"/>
      <c r="AF1687" s="421"/>
      <c r="AG1687" s="421"/>
      <c r="AH1687" s="421"/>
      <c r="AI1687" s="421"/>
      <c r="AJ1687" s="421"/>
      <c r="AK1687" s="421"/>
      <c r="AL1687" s="421"/>
    </row>
    <row r="1688" spans="1:38">
      <c r="A1688" s="3">
        <v>6130</v>
      </c>
      <c r="B1688" s="83">
        <f t="array" ref="B1688">SUM(--(FREQUENCY(IF(C$2:C$3072=C1688, MATCH(D$2:D$3072, D$2:D$3072, 0)), ROW(D$2:D$3072)-ROW(D$2)+1) &gt; 0))</f>
        <v>24</v>
      </c>
      <c r="C1688" s="3">
        <f>IFERROR(INDEX('SCR DATA'!B:B, MATCH($D1688, 'SCR DATA'!A:A, 0)), "")</f>
        <v>41200122</v>
      </c>
      <c r="D1688" s="6" t="s">
        <v>3447</v>
      </c>
      <c r="E1688" s="3" t="s">
        <v>1585</v>
      </c>
      <c r="F1688" s="3" t="s">
        <v>1476</v>
      </c>
      <c r="G1688" s="68" t="str">
        <f t="shared" ref="G1688:G1691" si="416">IF(OR(ISNUMBER(SEARCH("DUAL",F1688)), ISNUMBER(SEARCH("IVAS",F1688))), "DUAL", "SINGLE")</f>
        <v>DUAL</v>
      </c>
      <c r="H1688" s="197">
        <f t="shared" ref="H1688:H1703" si="417">WEEKNUM(K1688)</f>
        <v>50</v>
      </c>
      <c r="I1688" s="197">
        <v>12</v>
      </c>
      <c r="J1688" s="197">
        <v>12</v>
      </c>
      <c r="K1688" s="186">
        <f t="shared" ref="K1688:K1703" si="418">DATE(2025, I1688, J1688)</f>
        <v>46003</v>
      </c>
      <c r="L1688" s="3" t="s">
        <v>2395</v>
      </c>
      <c r="M1688" s="3" t="s">
        <v>2392</v>
      </c>
      <c r="N1688" s="408" t="str">
        <f t="shared" si="400"/>
        <v/>
      </c>
      <c r="O1688" s="408"/>
      <c r="P1688" s="408"/>
      <c r="Q1688" s="408"/>
      <c r="R1688" s="408"/>
      <c r="S1688" s="408"/>
      <c r="T1688" s="408"/>
      <c r="U1688" s="408"/>
      <c r="V1688" s="421"/>
      <c r="W1688" s="421"/>
      <c r="X1688" s="421"/>
      <c r="Y1688" s="421"/>
      <c r="Z1688" s="421"/>
      <c r="AA1688" s="421"/>
      <c r="AB1688" s="421"/>
      <c r="AC1688" s="421"/>
      <c r="AD1688" s="421"/>
      <c r="AE1688" s="421"/>
      <c r="AF1688" s="421"/>
      <c r="AG1688" s="421"/>
      <c r="AH1688" s="421"/>
      <c r="AI1688" s="421"/>
      <c r="AJ1688" s="421"/>
      <c r="AK1688" s="421"/>
      <c r="AL1688" s="421"/>
    </row>
    <row r="1689" spans="1:38">
      <c r="A1689" s="3">
        <v>6409</v>
      </c>
      <c r="B1689" s="83">
        <f t="array" ref="B1689">SUM(--(FREQUENCY(IF(C$2:C$3072=C1689, MATCH(D$2:D$3072, D$2:D$3072, 0)), ROW(D$2:D$3072)-ROW(D$2)+1) &gt; 0))</f>
        <v>37</v>
      </c>
      <c r="C1689" s="3">
        <f>IFERROR(INDEX('SCR DATA'!B:B, MATCH($D1689, 'SCR DATA'!A:A, 0)), "")</f>
        <v>41200076</v>
      </c>
      <c r="D1689" s="6" t="s">
        <v>3448</v>
      </c>
      <c r="E1689" s="3" t="s">
        <v>1585</v>
      </c>
      <c r="F1689" s="3" t="s">
        <v>1476</v>
      </c>
      <c r="G1689" s="68" t="str">
        <f t="shared" si="416"/>
        <v>DUAL</v>
      </c>
      <c r="H1689" s="197">
        <f t="shared" si="417"/>
        <v>50</v>
      </c>
      <c r="I1689" s="197">
        <v>12</v>
      </c>
      <c r="J1689" s="197">
        <v>12</v>
      </c>
      <c r="K1689" s="186">
        <f t="shared" si="418"/>
        <v>46003</v>
      </c>
      <c r="L1689" s="3" t="s">
        <v>2395</v>
      </c>
      <c r="M1689" s="3" t="s">
        <v>1468</v>
      </c>
      <c r="N1689" s="408" t="str">
        <f t="shared" si="400"/>
        <v/>
      </c>
      <c r="O1689" s="408"/>
      <c r="P1689" s="408"/>
      <c r="Q1689" s="408"/>
      <c r="R1689" s="408"/>
      <c r="S1689" s="408"/>
      <c r="T1689" s="408"/>
      <c r="U1689" s="408"/>
      <c r="V1689" s="421"/>
      <c r="W1689" s="421"/>
      <c r="X1689" s="421"/>
      <c r="Y1689" s="421"/>
      <c r="Z1689" s="421"/>
      <c r="AA1689" s="421"/>
      <c r="AB1689" s="421"/>
      <c r="AC1689" s="421"/>
      <c r="AD1689" s="421"/>
      <c r="AE1689" s="421"/>
      <c r="AF1689" s="421"/>
      <c r="AG1689" s="421"/>
      <c r="AH1689" s="421"/>
      <c r="AI1689" s="421"/>
      <c r="AJ1689" s="421"/>
      <c r="AK1689" s="421"/>
      <c r="AL1689" s="421"/>
    </row>
    <row r="1690" spans="1:38">
      <c r="A1690" s="3">
        <v>5977</v>
      </c>
      <c r="B1690" s="83">
        <f t="array" ref="B1690">SUM(--(FREQUENCY(IF(C$2:C$3072=C1690, MATCH(D$2:D$3072, D$2:D$3072, 0)), ROW(D$2:D$3072)-ROW(D$2)+1) &gt; 0))</f>
        <v>25</v>
      </c>
      <c r="C1690" s="3">
        <f>IFERROR(INDEX('SCR DATA'!B:B, MATCH($D1690, 'SCR DATA'!A:A, 0)), "")</f>
        <v>41200158</v>
      </c>
      <c r="D1690" s="6" t="s">
        <v>3449</v>
      </c>
      <c r="E1690" s="3" t="s">
        <v>1405</v>
      </c>
      <c r="F1690" s="3" t="s">
        <v>1480</v>
      </c>
      <c r="G1690" s="68" t="str">
        <f t="shared" si="416"/>
        <v>DUAL</v>
      </c>
      <c r="H1690" s="197">
        <f t="shared" si="417"/>
        <v>50</v>
      </c>
      <c r="I1690" s="197">
        <v>12</v>
      </c>
      <c r="J1690" s="197">
        <v>12</v>
      </c>
      <c r="K1690" s="186">
        <f t="shared" si="418"/>
        <v>46003</v>
      </c>
      <c r="L1690" s="3" t="s">
        <v>2395</v>
      </c>
      <c r="M1690" s="3" t="s">
        <v>1469</v>
      </c>
      <c r="N1690" s="408" t="str">
        <f t="shared" si="400"/>
        <v>NG</v>
      </c>
      <c r="O1690" s="408" t="s">
        <v>2368</v>
      </c>
      <c r="P1690" s="408" t="s">
        <v>3450</v>
      </c>
      <c r="Q1690" s="408">
        <v>11003763</v>
      </c>
      <c r="R1690" s="408" t="s">
        <v>103</v>
      </c>
      <c r="S1690" s="408" t="s">
        <v>3451</v>
      </c>
      <c r="T1690" s="408"/>
      <c r="U1690" s="408"/>
      <c r="V1690" s="421"/>
      <c r="W1690" s="421"/>
      <c r="X1690" s="421"/>
      <c r="Y1690" s="421"/>
      <c r="Z1690" s="421"/>
      <c r="AA1690" s="421"/>
      <c r="AB1690" s="421"/>
      <c r="AC1690" s="421"/>
      <c r="AD1690" s="421"/>
      <c r="AE1690" s="421"/>
      <c r="AF1690" s="421"/>
      <c r="AG1690" s="421"/>
      <c r="AH1690" s="421"/>
      <c r="AI1690" s="421"/>
      <c r="AJ1690" s="421"/>
      <c r="AK1690" s="421"/>
      <c r="AL1690" s="421"/>
    </row>
    <row r="1691" spans="1:38">
      <c r="A1691" s="3">
        <v>5977</v>
      </c>
      <c r="B1691" s="83">
        <f t="array" ref="B1691">SUM(--(FREQUENCY(IF(C$2:C$3072=C1691, MATCH(D$2:D$3072, D$2:D$3072, 0)), ROW(D$2:D$3072)-ROW(D$2)+1) &gt; 0))</f>
        <v>25</v>
      </c>
      <c r="C1691" s="3">
        <f>IFERROR(INDEX('SCR DATA'!B:B, MATCH($D1691, 'SCR DATA'!A:A, 0)), "")</f>
        <v>41200158</v>
      </c>
      <c r="D1691" s="3" t="s">
        <v>3452</v>
      </c>
      <c r="E1691" s="3" t="s">
        <v>1405</v>
      </c>
      <c r="F1691" s="3" t="s">
        <v>1480</v>
      </c>
      <c r="G1691" s="68" t="str">
        <f t="shared" si="416"/>
        <v>DUAL</v>
      </c>
      <c r="H1691" s="197">
        <f t="shared" si="417"/>
        <v>50</v>
      </c>
      <c r="I1691" s="197">
        <v>12</v>
      </c>
      <c r="J1691" s="197">
        <v>12</v>
      </c>
      <c r="K1691" s="186">
        <f t="shared" si="418"/>
        <v>46003</v>
      </c>
      <c r="L1691" s="3" t="s">
        <v>2395</v>
      </c>
      <c r="M1691" s="3" t="s">
        <v>1469</v>
      </c>
      <c r="N1691" s="408" t="str">
        <f t="shared" si="400"/>
        <v/>
      </c>
      <c r="O1691" s="408"/>
      <c r="P1691" s="408"/>
      <c r="Q1691" s="408"/>
      <c r="R1691" s="408"/>
      <c r="S1691" s="408"/>
      <c r="T1691" s="408"/>
      <c r="U1691" s="408"/>
      <c r="V1691" s="421"/>
      <c r="W1691" s="421"/>
      <c r="X1691" s="421"/>
      <c r="Y1691" s="421"/>
      <c r="Z1691" s="421"/>
      <c r="AA1691" s="421"/>
      <c r="AB1691" s="421"/>
      <c r="AC1691" s="421"/>
      <c r="AD1691" s="421"/>
      <c r="AE1691" s="421"/>
      <c r="AF1691" s="421"/>
      <c r="AG1691" s="421"/>
      <c r="AH1691" s="421"/>
      <c r="AI1691" s="421"/>
      <c r="AJ1691" s="421"/>
      <c r="AK1691" s="421"/>
      <c r="AL1691" s="421"/>
    </row>
    <row r="1692" spans="1:38">
      <c r="A1692" s="408">
        <v>6184</v>
      </c>
      <c r="B1692" s="83">
        <f t="array" ref="B1692">SUM(--(FREQUENCY(IF(C$2:C$3072=C1692, MATCH(D$2:D$3072, D$2:D$3072, 0)), ROW(D$2:D$3072)-ROW(D$2)+1) &gt; 0))</f>
        <v>37</v>
      </c>
      <c r="C1692" s="408">
        <v>41200076</v>
      </c>
      <c r="D1692" s="408" t="s">
        <v>3453</v>
      </c>
      <c r="E1692" s="408" t="s">
        <v>1585</v>
      </c>
      <c r="F1692" s="408" t="s">
        <v>1476</v>
      </c>
      <c r="G1692" s="408" t="s">
        <v>2675</v>
      </c>
      <c r="H1692" s="197">
        <f t="shared" si="417"/>
        <v>51</v>
      </c>
      <c r="I1692" s="408">
        <v>12</v>
      </c>
      <c r="J1692" s="408">
        <v>15</v>
      </c>
      <c r="K1692" s="186">
        <f t="shared" si="418"/>
        <v>46006</v>
      </c>
      <c r="L1692" s="408" t="s">
        <v>2395</v>
      </c>
      <c r="M1692" s="408" t="s">
        <v>1468</v>
      </c>
      <c r="N1692" s="408" t="str">
        <f t="shared" si="400"/>
        <v>NG</v>
      </c>
      <c r="O1692" s="408" t="s">
        <v>2368</v>
      </c>
      <c r="P1692" s="408" t="s">
        <v>2508</v>
      </c>
      <c r="Q1692" s="408">
        <v>11006077</v>
      </c>
      <c r="R1692" s="408" t="s">
        <v>473</v>
      </c>
      <c r="S1692" s="408" t="s">
        <v>3324</v>
      </c>
      <c r="T1692" s="408"/>
      <c r="U1692" s="408"/>
      <c r="V1692" s="421"/>
      <c r="W1692" s="421"/>
      <c r="X1692" s="421"/>
      <c r="Y1692" s="421"/>
      <c r="Z1692" s="421"/>
      <c r="AA1692" s="421"/>
      <c r="AB1692" s="421"/>
      <c r="AC1692" s="421"/>
      <c r="AD1692" s="421"/>
      <c r="AE1692" s="421"/>
      <c r="AF1692" s="421"/>
      <c r="AG1692" s="421"/>
      <c r="AH1692" s="421"/>
      <c r="AI1692" s="421"/>
      <c r="AJ1692" s="421"/>
      <c r="AK1692" s="421"/>
      <c r="AL1692" s="421"/>
    </row>
    <row r="1693" spans="1:38">
      <c r="A1693" s="408">
        <v>6184</v>
      </c>
      <c r="B1693" s="83">
        <f t="array" ref="B1693">SUM(--(FREQUENCY(IF(C$2:C$3072=C1693, MATCH(D$2:D$3072, D$2:D$3072, 0)), ROW(D$2:D$3072)-ROW(D$2)+1) &gt; 0))</f>
        <v>37</v>
      </c>
      <c r="C1693" s="408">
        <v>41200076</v>
      </c>
      <c r="D1693" s="408" t="s">
        <v>3454</v>
      </c>
      <c r="E1693" s="408" t="s">
        <v>1585</v>
      </c>
      <c r="F1693" s="408" t="s">
        <v>1476</v>
      </c>
      <c r="G1693" s="408" t="s">
        <v>2675</v>
      </c>
      <c r="H1693" s="197">
        <f t="shared" si="417"/>
        <v>51</v>
      </c>
      <c r="I1693" s="408">
        <v>12</v>
      </c>
      <c r="J1693" s="408">
        <v>15</v>
      </c>
      <c r="K1693" s="186">
        <f t="shared" si="418"/>
        <v>46006</v>
      </c>
      <c r="L1693" s="408" t="s">
        <v>2395</v>
      </c>
      <c r="M1693" s="408" t="s">
        <v>1468</v>
      </c>
      <c r="N1693" s="408" t="str">
        <f t="shared" si="400"/>
        <v/>
      </c>
      <c r="O1693" s="408"/>
      <c r="P1693" s="408"/>
      <c r="Q1693" s="408"/>
      <c r="R1693" s="408"/>
      <c r="S1693" s="408"/>
      <c r="T1693" s="408"/>
      <c r="U1693" s="408"/>
      <c r="V1693" s="421"/>
      <c r="W1693" s="421"/>
      <c r="X1693" s="421"/>
      <c r="Y1693" s="421"/>
      <c r="Z1693" s="421"/>
      <c r="AA1693" s="421"/>
      <c r="AB1693" s="421"/>
      <c r="AC1693" s="421"/>
      <c r="AD1693" s="421"/>
      <c r="AE1693" s="421"/>
      <c r="AF1693" s="421"/>
      <c r="AG1693" s="421"/>
      <c r="AH1693" s="421"/>
      <c r="AI1693" s="421"/>
      <c r="AJ1693" s="421"/>
      <c r="AK1693" s="421"/>
      <c r="AL1693" s="421"/>
    </row>
    <row r="1694" spans="1:38">
      <c r="A1694" s="408">
        <v>6311</v>
      </c>
      <c r="B1694" s="83">
        <f t="array" ref="B1694">SUM(--(FREQUENCY(IF(C$2:C$3072=C1694, MATCH(D$2:D$3072, D$2:D$3072, 0)), ROW(D$2:D$3072)-ROW(D$2)+1) &gt; 0))</f>
        <v>24</v>
      </c>
      <c r="C1694" s="408">
        <v>41200122</v>
      </c>
      <c r="D1694" s="408" t="s">
        <v>3455</v>
      </c>
      <c r="E1694" s="408" t="s">
        <v>1585</v>
      </c>
      <c r="F1694" s="408" t="s">
        <v>1476</v>
      </c>
      <c r="G1694" s="408" t="s">
        <v>2675</v>
      </c>
      <c r="H1694" s="197">
        <f t="shared" si="417"/>
        <v>51</v>
      </c>
      <c r="I1694" s="408">
        <v>12</v>
      </c>
      <c r="J1694" s="408">
        <v>15</v>
      </c>
      <c r="K1694" s="186">
        <f t="shared" si="418"/>
        <v>46006</v>
      </c>
      <c r="L1694" s="408" t="s">
        <v>2395</v>
      </c>
      <c r="M1694" s="408" t="s">
        <v>2392</v>
      </c>
      <c r="N1694" s="408" t="str">
        <f t="shared" si="400"/>
        <v/>
      </c>
      <c r="O1694" s="408"/>
      <c r="P1694" s="408"/>
      <c r="Q1694" s="408"/>
      <c r="R1694" s="408"/>
      <c r="S1694" s="408"/>
      <c r="T1694" s="408"/>
      <c r="U1694" s="408"/>
      <c r="V1694" s="421"/>
      <c r="W1694" s="421"/>
      <c r="X1694" s="421"/>
      <c r="Y1694" s="421"/>
      <c r="Z1694" s="421"/>
      <c r="AA1694" s="421"/>
      <c r="AB1694" s="421"/>
      <c r="AC1694" s="421"/>
      <c r="AD1694" s="421"/>
      <c r="AE1694" s="421"/>
      <c r="AF1694" s="421"/>
      <c r="AG1694" s="421"/>
      <c r="AH1694" s="421"/>
      <c r="AI1694" s="421"/>
      <c r="AJ1694" s="421"/>
      <c r="AK1694" s="421"/>
      <c r="AL1694" s="421"/>
    </row>
    <row r="1695" spans="1:38">
      <c r="A1695" s="408">
        <v>5977</v>
      </c>
      <c r="B1695" s="83">
        <f t="array" ref="B1695">SUM(--(FREQUENCY(IF(C$2:C$3072=C1695, MATCH(D$2:D$3072, D$2:D$3072, 0)), ROW(D$2:D$3072)-ROW(D$2)+1) &gt; 0))</f>
        <v>25</v>
      </c>
      <c r="C1695" s="408">
        <v>41200158</v>
      </c>
      <c r="D1695" s="408" t="s">
        <v>3456</v>
      </c>
      <c r="E1695" s="408" t="s">
        <v>1405</v>
      </c>
      <c r="F1695" s="408" t="s">
        <v>1480</v>
      </c>
      <c r="G1695" s="408" t="s">
        <v>2675</v>
      </c>
      <c r="H1695" s="197">
        <f t="shared" si="417"/>
        <v>51</v>
      </c>
      <c r="I1695" s="408">
        <v>12</v>
      </c>
      <c r="J1695" s="408">
        <v>15</v>
      </c>
      <c r="K1695" s="186">
        <f t="shared" si="418"/>
        <v>46006</v>
      </c>
      <c r="L1695" s="408" t="s">
        <v>2395</v>
      </c>
      <c r="M1695" s="414" t="s">
        <v>1468</v>
      </c>
      <c r="N1695" s="414" t="str">
        <f t="shared" si="400"/>
        <v>NG</v>
      </c>
      <c r="O1695" s="414" t="s">
        <v>2368</v>
      </c>
      <c r="P1695" s="414" t="s">
        <v>2371</v>
      </c>
      <c r="Q1695" s="414">
        <v>11001966</v>
      </c>
      <c r="R1695" s="414" t="s">
        <v>1151</v>
      </c>
      <c r="S1695" s="414" t="s">
        <v>3457</v>
      </c>
      <c r="T1695" s="414"/>
      <c r="U1695" s="414"/>
      <c r="V1695" s="421"/>
      <c r="W1695" s="421"/>
      <c r="X1695" s="421"/>
      <c r="Y1695" s="421"/>
      <c r="Z1695" s="421"/>
      <c r="AA1695" s="421"/>
      <c r="AB1695" s="421"/>
      <c r="AC1695" s="421"/>
      <c r="AD1695" s="421"/>
      <c r="AE1695" s="421"/>
      <c r="AF1695" s="421"/>
      <c r="AG1695" s="421"/>
      <c r="AH1695" s="421"/>
      <c r="AI1695" s="421"/>
      <c r="AJ1695" s="421"/>
      <c r="AK1695" s="421"/>
      <c r="AL1695" s="421"/>
    </row>
    <row r="1696" spans="1:38">
      <c r="A1696" s="408">
        <v>5977</v>
      </c>
      <c r="B1696" s="83">
        <f t="array" ref="B1696">SUM(--(FREQUENCY(IF(C$2:C$3072=C1696, MATCH(D$2:D$3072, D$2:D$3072, 0)), ROW(D$2:D$3072)-ROW(D$2)+1) &gt; 0))</f>
        <v>25</v>
      </c>
      <c r="C1696" s="408">
        <v>41200158</v>
      </c>
      <c r="D1696" s="408" t="s">
        <v>3456</v>
      </c>
      <c r="E1696" s="408" t="s">
        <v>1405</v>
      </c>
      <c r="F1696" s="408" t="s">
        <v>1480</v>
      </c>
      <c r="G1696" s="408" t="s">
        <v>2675</v>
      </c>
      <c r="H1696" s="197">
        <f t="shared" ref="H1696:H1702" si="419">WEEKNUM(K1696)</f>
        <v>51</v>
      </c>
      <c r="I1696" s="408">
        <v>12</v>
      </c>
      <c r="J1696" s="408">
        <v>15</v>
      </c>
      <c r="K1696" s="186">
        <f t="shared" ref="K1696:K1702" si="420">DATE(2025, I1696, J1696)</f>
        <v>46006</v>
      </c>
      <c r="L1696" s="408" t="s">
        <v>2395</v>
      </c>
      <c r="M1696" s="414" t="s">
        <v>1468</v>
      </c>
      <c r="N1696" s="414" t="str">
        <f t="shared" si="400"/>
        <v>NG</v>
      </c>
      <c r="O1696" s="414" t="s">
        <v>2368</v>
      </c>
      <c r="P1696" s="414" t="s">
        <v>2371</v>
      </c>
      <c r="Q1696" s="414">
        <v>11001966</v>
      </c>
      <c r="R1696" s="414" t="s">
        <v>1151</v>
      </c>
      <c r="S1696" s="414" t="s">
        <v>3458</v>
      </c>
      <c r="T1696" s="414"/>
      <c r="U1696" s="414"/>
      <c r="V1696" s="421"/>
      <c r="W1696" s="421"/>
      <c r="X1696" s="421"/>
      <c r="Y1696" s="421"/>
      <c r="Z1696" s="421"/>
      <c r="AA1696" s="421"/>
      <c r="AB1696" s="421"/>
      <c r="AC1696" s="421"/>
      <c r="AD1696" s="421"/>
      <c r="AE1696" s="421"/>
      <c r="AF1696" s="421"/>
      <c r="AG1696" s="421"/>
      <c r="AH1696" s="421"/>
      <c r="AI1696" s="421"/>
      <c r="AJ1696" s="421"/>
      <c r="AK1696" s="421"/>
      <c r="AL1696" s="421"/>
    </row>
    <row r="1697" spans="1:38">
      <c r="A1697" s="408">
        <v>5977</v>
      </c>
      <c r="B1697" s="83">
        <f t="array" ref="B1697">SUM(--(FREQUENCY(IF(C$2:C$3072=C1697, MATCH(D$2:D$3072, D$2:D$3072, 0)), ROW(D$2:D$3072)-ROW(D$2)+1) &gt; 0))</f>
        <v>25</v>
      </c>
      <c r="C1697" s="408">
        <v>41200158</v>
      </c>
      <c r="D1697" s="408" t="s">
        <v>3456</v>
      </c>
      <c r="E1697" s="408" t="s">
        <v>1405</v>
      </c>
      <c r="F1697" s="408" t="s">
        <v>1480</v>
      </c>
      <c r="G1697" s="408" t="s">
        <v>2675</v>
      </c>
      <c r="H1697" s="197">
        <f t="shared" si="419"/>
        <v>51</v>
      </c>
      <c r="I1697" s="408">
        <v>12</v>
      </c>
      <c r="J1697" s="408">
        <v>15</v>
      </c>
      <c r="K1697" s="186">
        <f t="shared" si="420"/>
        <v>46006</v>
      </c>
      <c r="L1697" s="408" t="s">
        <v>2395</v>
      </c>
      <c r="M1697" s="414" t="s">
        <v>1468</v>
      </c>
      <c r="N1697" s="414" t="str">
        <f t="shared" ref="N1697:N1698" si="421">IF(O1697&lt;&gt;"", "NG", "")</f>
        <v>NG</v>
      </c>
      <c r="O1697" s="414" t="s">
        <v>2368</v>
      </c>
      <c r="P1697" s="414" t="s">
        <v>2371</v>
      </c>
      <c r="Q1697" s="414">
        <v>11001966</v>
      </c>
      <c r="R1697" s="414" t="s">
        <v>1151</v>
      </c>
      <c r="S1697" s="414" t="s">
        <v>3459</v>
      </c>
      <c r="T1697" s="414"/>
      <c r="U1697" s="414"/>
      <c r="V1697" s="421"/>
      <c r="W1697" s="421"/>
      <c r="X1697" s="421"/>
      <c r="Y1697" s="421"/>
      <c r="Z1697" s="421"/>
      <c r="AA1697" s="421"/>
      <c r="AB1697" s="421"/>
      <c r="AC1697" s="421"/>
      <c r="AD1697" s="421"/>
      <c r="AE1697" s="421"/>
      <c r="AF1697" s="421"/>
      <c r="AG1697" s="421"/>
      <c r="AH1697" s="421"/>
      <c r="AI1697" s="421"/>
      <c r="AJ1697" s="421"/>
      <c r="AK1697" s="421"/>
      <c r="AL1697" s="421"/>
    </row>
    <row r="1698" spans="1:38">
      <c r="A1698" s="408">
        <v>5977</v>
      </c>
      <c r="B1698" s="83">
        <f t="array" ref="B1698">SUM(--(FREQUENCY(IF(C$2:C$3072=C1698, MATCH(D$2:D$3072, D$2:D$3072, 0)), ROW(D$2:D$3072)-ROW(D$2)+1) &gt; 0))</f>
        <v>25</v>
      </c>
      <c r="C1698" s="408">
        <v>41200158</v>
      </c>
      <c r="D1698" s="408" t="s">
        <v>3456</v>
      </c>
      <c r="E1698" s="408" t="s">
        <v>1405</v>
      </c>
      <c r="F1698" s="408" t="s">
        <v>1480</v>
      </c>
      <c r="G1698" s="408" t="s">
        <v>2675</v>
      </c>
      <c r="H1698" s="197">
        <f t="shared" ref="H1698" si="422">WEEKNUM(K1698)</f>
        <v>51</v>
      </c>
      <c r="I1698" s="408">
        <v>12</v>
      </c>
      <c r="J1698" s="408">
        <v>15</v>
      </c>
      <c r="K1698" s="186">
        <f t="shared" ref="K1698" si="423">DATE(2025, I1698, J1698)</f>
        <v>46006</v>
      </c>
      <c r="L1698" s="408" t="s">
        <v>2395</v>
      </c>
      <c r="M1698" s="414" t="s">
        <v>1468</v>
      </c>
      <c r="N1698" s="414" t="str">
        <f t="shared" si="421"/>
        <v>NG</v>
      </c>
      <c r="O1698" s="414" t="s">
        <v>2368</v>
      </c>
      <c r="P1698" s="414" t="s">
        <v>2371</v>
      </c>
      <c r="Q1698" s="414">
        <v>11001966</v>
      </c>
      <c r="R1698" s="414" t="s">
        <v>1151</v>
      </c>
      <c r="S1698" s="414" t="s">
        <v>3460</v>
      </c>
      <c r="T1698" s="414"/>
      <c r="U1698" s="414"/>
      <c r="V1698" s="421"/>
      <c r="W1698" s="421"/>
      <c r="X1698" s="421"/>
      <c r="Y1698" s="421"/>
      <c r="Z1698" s="421"/>
      <c r="AA1698" s="421"/>
      <c r="AB1698" s="421"/>
      <c r="AC1698" s="421"/>
      <c r="AD1698" s="421"/>
      <c r="AE1698" s="421"/>
      <c r="AF1698" s="421"/>
      <c r="AG1698" s="421"/>
      <c r="AH1698" s="421"/>
      <c r="AI1698" s="421"/>
      <c r="AJ1698" s="421"/>
      <c r="AK1698" s="421"/>
      <c r="AL1698" s="421"/>
    </row>
    <row r="1699" spans="1:38">
      <c r="A1699" s="408">
        <v>5977</v>
      </c>
      <c r="B1699" s="83">
        <f t="array" ref="B1699">SUM(--(FREQUENCY(IF(C$2:C$3072=C1699, MATCH(D$2:D$3072, D$2:D$3072, 0)), ROW(D$2:D$3072)-ROW(D$2)+1) &gt; 0))</f>
        <v>25</v>
      </c>
      <c r="C1699" s="408">
        <v>41200158</v>
      </c>
      <c r="D1699" s="408" t="s">
        <v>3456</v>
      </c>
      <c r="E1699" s="408" t="s">
        <v>1405</v>
      </c>
      <c r="F1699" s="408" t="s">
        <v>1480</v>
      </c>
      <c r="G1699" s="408" t="s">
        <v>2675</v>
      </c>
      <c r="H1699" s="197">
        <f t="shared" si="419"/>
        <v>51</v>
      </c>
      <c r="I1699" s="408">
        <v>12</v>
      </c>
      <c r="J1699" s="408">
        <v>15</v>
      </c>
      <c r="K1699" s="186">
        <f t="shared" si="420"/>
        <v>46006</v>
      </c>
      <c r="L1699" s="408" t="s">
        <v>2395</v>
      </c>
      <c r="M1699" s="414" t="s">
        <v>1468</v>
      </c>
      <c r="N1699" s="414" t="str">
        <f t="shared" si="400"/>
        <v>NG</v>
      </c>
      <c r="O1699" s="414" t="s">
        <v>2368</v>
      </c>
      <c r="P1699" s="414" t="s">
        <v>2371</v>
      </c>
      <c r="Q1699" s="414">
        <v>11001964</v>
      </c>
      <c r="R1699" s="414" t="s">
        <v>562</v>
      </c>
      <c r="S1699" s="414" t="s">
        <v>3461</v>
      </c>
      <c r="T1699" s="414"/>
      <c r="U1699" s="414"/>
      <c r="V1699" s="421"/>
      <c r="W1699" s="421"/>
      <c r="X1699" s="421"/>
      <c r="Y1699" s="421"/>
      <c r="Z1699" s="421"/>
      <c r="AA1699" s="421"/>
      <c r="AB1699" s="421"/>
      <c r="AC1699" s="421"/>
      <c r="AD1699" s="421"/>
      <c r="AE1699" s="421"/>
      <c r="AF1699" s="421"/>
      <c r="AG1699" s="421"/>
      <c r="AH1699" s="421"/>
      <c r="AI1699" s="421"/>
      <c r="AJ1699" s="421"/>
      <c r="AK1699" s="421"/>
      <c r="AL1699" s="421"/>
    </row>
    <row r="1700" spans="1:38">
      <c r="A1700" s="408">
        <v>5977</v>
      </c>
      <c r="B1700" s="83">
        <f t="array" ref="B1700">SUM(--(FREQUENCY(IF(C$2:C$3072=C1700, MATCH(D$2:D$3072, D$2:D$3072, 0)), ROW(D$2:D$3072)-ROW(D$2)+1) &gt; 0))</f>
        <v>25</v>
      </c>
      <c r="C1700" s="408">
        <v>41200158</v>
      </c>
      <c r="D1700" s="408" t="s">
        <v>3456</v>
      </c>
      <c r="E1700" s="408" t="s">
        <v>1405</v>
      </c>
      <c r="F1700" s="408" t="s">
        <v>1480</v>
      </c>
      <c r="G1700" s="408" t="s">
        <v>2675</v>
      </c>
      <c r="H1700" s="197">
        <f t="shared" si="419"/>
        <v>51</v>
      </c>
      <c r="I1700" s="408">
        <v>12</v>
      </c>
      <c r="J1700" s="408">
        <v>15</v>
      </c>
      <c r="K1700" s="186">
        <f t="shared" si="420"/>
        <v>46006</v>
      </c>
      <c r="L1700" s="408" t="s">
        <v>2395</v>
      </c>
      <c r="M1700" s="414" t="s">
        <v>1468</v>
      </c>
      <c r="N1700" s="414" t="str">
        <f t="shared" si="400"/>
        <v>NG</v>
      </c>
      <c r="O1700" s="414" t="s">
        <v>2368</v>
      </c>
      <c r="P1700" s="414" t="s">
        <v>2371</v>
      </c>
      <c r="Q1700" s="414">
        <v>11001964</v>
      </c>
      <c r="R1700" s="414" t="s">
        <v>562</v>
      </c>
      <c r="S1700" s="414" t="s">
        <v>3462</v>
      </c>
      <c r="T1700" s="414"/>
      <c r="U1700" s="414"/>
      <c r="V1700" s="421"/>
      <c r="W1700" s="421"/>
      <c r="X1700" s="421"/>
      <c r="Y1700" s="421"/>
      <c r="Z1700" s="421"/>
      <c r="AA1700" s="421"/>
      <c r="AB1700" s="421"/>
      <c r="AC1700" s="421"/>
      <c r="AD1700" s="421"/>
      <c r="AE1700" s="421"/>
      <c r="AF1700" s="421"/>
      <c r="AG1700" s="421"/>
      <c r="AH1700" s="421"/>
      <c r="AI1700" s="421"/>
      <c r="AJ1700" s="421"/>
      <c r="AK1700" s="421"/>
      <c r="AL1700" s="421"/>
    </row>
    <row r="1701" spans="1:38">
      <c r="A1701" s="408">
        <v>5977</v>
      </c>
      <c r="B1701" s="83">
        <f t="array" ref="B1701">SUM(--(FREQUENCY(IF(C$2:C$3072=C1701, MATCH(D$2:D$3072, D$2:D$3072, 0)), ROW(D$2:D$3072)-ROW(D$2)+1) &gt; 0))</f>
        <v>25</v>
      </c>
      <c r="C1701" s="408">
        <v>41200158</v>
      </c>
      <c r="D1701" s="408" t="s">
        <v>3456</v>
      </c>
      <c r="E1701" s="408" t="s">
        <v>1405</v>
      </c>
      <c r="F1701" s="408" t="s">
        <v>1480</v>
      </c>
      <c r="G1701" s="408" t="s">
        <v>2675</v>
      </c>
      <c r="H1701" s="197">
        <f t="shared" si="419"/>
        <v>51</v>
      </c>
      <c r="I1701" s="408">
        <v>12</v>
      </c>
      <c r="J1701" s="408">
        <v>15</v>
      </c>
      <c r="K1701" s="186">
        <f t="shared" si="420"/>
        <v>46006</v>
      </c>
      <c r="L1701" s="408" t="s">
        <v>2395</v>
      </c>
      <c r="M1701" s="414" t="s">
        <v>1468</v>
      </c>
      <c r="N1701" s="414" t="str">
        <f t="shared" si="400"/>
        <v>NG</v>
      </c>
      <c r="O1701" s="414" t="s">
        <v>2368</v>
      </c>
      <c r="P1701" s="414" t="s">
        <v>2371</v>
      </c>
      <c r="Q1701" s="414">
        <v>11001964</v>
      </c>
      <c r="R1701" s="414" t="s">
        <v>562</v>
      </c>
      <c r="S1701" s="414" t="s">
        <v>3463</v>
      </c>
      <c r="T1701" s="414"/>
      <c r="U1701" s="414"/>
      <c r="V1701" s="421"/>
      <c r="W1701" s="421"/>
      <c r="X1701" s="421"/>
      <c r="Y1701" s="421"/>
      <c r="Z1701" s="421"/>
      <c r="AA1701" s="421"/>
      <c r="AB1701" s="421"/>
      <c r="AC1701" s="421"/>
      <c r="AD1701" s="421"/>
      <c r="AE1701" s="421"/>
      <c r="AF1701" s="421"/>
      <c r="AG1701" s="421"/>
      <c r="AH1701" s="421"/>
      <c r="AI1701" s="421"/>
      <c r="AJ1701" s="421"/>
      <c r="AK1701" s="421"/>
      <c r="AL1701" s="421"/>
    </row>
    <row r="1702" spans="1:38">
      <c r="A1702" s="408">
        <v>5977</v>
      </c>
      <c r="B1702" s="83">
        <f t="array" ref="B1702">SUM(--(FREQUENCY(IF(C$2:C$3072=C1702, MATCH(D$2:D$3072, D$2:D$3072, 0)), ROW(D$2:D$3072)-ROW(D$2)+1) &gt; 0))</f>
        <v>25</v>
      </c>
      <c r="C1702" s="408">
        <v>41200158</v>
      </c>
      <c r="D1702" s="408" t="s">
        <v>3456</v>
      </c>
      <c r="E1702" s="408" t="s">
        <v>1405</v>
      </c>
      <c r="F1702" s="408" t="s">
        <v>1480</v>
      </c>
      <c r="G1702" s="408" t="s">
        <v>2675</v>
      </c>
      <c r="H1702" s="197">
        <f t="shared" si="419"/>
        <v>51</v>
      </c>
      <c r="I1702" s="408">
        <v>12</v>
      </c>
      <c r="J1702" s="408">
        <v>15</v>
      </c>
      <c r="K1702" s="186">
        <f t="shared" si="420"/>
        <v>46006</v>
      </c>
      <c r="L1702" s="408" t="s">
        <v>2395</v>
      </c>
      <c r="M1702" s="414" t="s">
        <v>1468</v>
      </c>
      <c r="N1702" s="414" t="str">
        <f t="shared" si="400"/>
        <v>NG</v>
      </c>
      <c r="O1702" s="414" t="s">
        <v>2368</v>
      </c>
      <c r="P1702" s="414" t="s">
        <v>2371</v>
      </c>
      <c r="Q1702" s="414">
        <v>11001964</v>
      </c>
      <c r="R1702" s="414" t="s">
        <v>562</v>
      </c>
      <c r="S1702" s="414" t="s">
        <v>3464</v>
      </c>
      <c r="T1702" s="414"/>
      <c r="U1702" s="414"/>
      <c r="V1702" s="421"/>
      <c r="W1702" s="421"/>
      <c r="X1702" s="421"/>
      <c r="Y1702" s="421"/>
      <c r="Z1702" s="421"/>
      <c r="AA1702" s="421"/>
      <c r="AB1702" s="421"/>
      <c r="AC1702" s="421"/>
      <c r="AD1702" s="421"/>
      <c r="AE1702" s="421"/>
      <c r="AF1702" s="421"/>
      <c r="AG1702" s="421"/>
      <c r="AH1702" s="421"/>
      <c r="AI1702" s="421"/>
      <c r="AJ1702" s="421"/>
      <c r="AK1702" s="421"/>
      <c r="AL1702" s="421"/>
    </row>
    <row r="1703" spans="1:38">
      <c r="A1703" s="408">
        <v>5977</v>
      </c>
      <c r="B1703" s="83">
        <f t="array" ref="B1703">SUM(--(FREQUENCY(IF(C$2:C$3072=C1703, MATCH(D$2:D$3072, D$2:D$3072, 0)), ROW(D$2:D$3072)-ROW(D$2)+1) &gt; 0))</f>
        <v>25</v>
      </c>
      <c r="C1703" s="408">
        <v>41200158</v>
      </c>
      <c r="D1703" s="408" t="s">
        <v>3465</v>
      </c>
      <c r="E1703" s="408" t="s">
        <v>1405</v>
      </c>
      <c r="F1703" s="408" t="s">
        <v>1480</v>
      </c>
      <c r="G1703" s="408" t="s">
        <v>2675</v>
      </c>
      <c r="H1703" s="197">
        <f t="shared" si="417"/>
        <v>51</v>
      </c>
      <c r="I1703" s="408">
        <v>12</v>
      </c>
      <c r="J1703" s="408">
        <v>15</v>
      </c>
      <c r="K1703" s="186">
        <f t="shared" si="418"/>
        <v>46006</v>
      </c>
      <c r="L1703" s="408" t="s">
        <v>2395</v>
      </c>
      <c r="M1703" s="414" t="s">
        <v>1468</v>
      </c>
      <c r="N1703" s="414" t="str">
        <f t="shared" si="400"/>
        <v>NG</v>
      </c>
      <c r="O1703" s="414" t="s">
        <v>2368</v>
      </c>
      <c r="P1703" s="414" t="s">
        <v>2371</v>
      </c>
      <c r="Q1703" s="414">
        <v>11001966</v>
      </c>
      <c r="R1703" s="414" t="s">
        <v>1151</v>
      </c>
      <c r="S1703" s="414" t="s">
        <v>3457</v>
      </c>
      <c r="T1703" s="408"/>
      <c r="U1703" s="408"/>
      <c r="V1703" s="421"/>
      <c r="W1703" s="421"/>
      <c r="X1703" s="421"/>
      <c r="Y1703" s="421"/>
      <c r="Z1703" s="421"/>
      <c r="AA1703" s="421"/>
      <c r="AB1703" s="421"/>
      <c r="AC1703" s="421"/>
      <c r="AD1703" s="421"/>
      <c r="AE1703" s="421"/>
      <c r="AF1703" s="421"/>
      <c r="AG1703" s="421"/>
      <c r="AH1703" s="421"/>
      <c r="AI1703" s="421"/>
      <c r="AJ1703" s="421"/>
      <c r="AK1703" s="421"/>
      <c r="AL1703" s="421"/>
    </row>
    <row r="1704" spans="1:38">
      <c r="A1704" s="408">
        <v>5977</v>
      </c>
      <c r="B1704" s="83">
        <f t="array" ref="B1704">SUM(--(FREQUENCY(IF(C$2:C$3072=C1704, MATCH(D$2:D$3072, D$2:D$3072, 0)), ROW(D$2:D$3072)-ROW(D$2)+1) &gt; 0))</f>
        <v>25</v>
      </c>
      <c r="C1704" s="408">
        <v>41200158</v>
      </c>
      <c r="D1704" s="408" t="s">
        <v>3465</v>
      </c>
      <c r="E1704" s="408" t="s">
        <v>1405</v>
      </c>
      <c r="F1704" s="408" t="s">
        <v>1480</v>
      </c>
      <c r="G1704" s="408" t="s">
        <v>2675</v>
      </c>
      <c r="H1704" s="197">
        <f t="shared" ref="H1704:H1758" si="424">WEEKNUM(K1704)</f>
        <v>51</v>
      </c>
      <c r="I1704" s="408">
        <v>12</v>
      </c>
      <c r="J1704" s="408">
        <v>15</v>
      </c>
      <c r="K1704" s="186">
        <f t="shared" ref="K1704:K1708" si="425">DATE(2025, I1704, J1704)</f>
        <v>46006</v>
      </c>
      <c r="L1704" s="408" t="s">
        <v>2395</v>
      </c>
      <c r="M1704" s="414" t="s">
        <v>1468</v>
      </c>
      <c r="N1704" s="414" t="str">
        <f t="shared" ref="N1704:N1708" si="426">IF(O1704&lt;&gt;"", "NG", "")</f>
        <v>NG</v>
      </c>
      <c r="O1704" s="414" t="s">
        <v>2368</v>
      </c>
      <c r="P1704" s="414" t="s">
        <v>2371</v>
      </c>
      <c r="Q1704" s="414">
        <v>11001966</v>
      </c>
      <c r="R1704" s="414" t="s">
        <v>1151</v>
      </c>
      <c r="S1704" s="414" t="s">
        <v>3458</v>
      </c>
      <c r="T1704" s="408"/>
      <c r="U1704" s="408"/>
      <c r="V1704" s="421"/>
      <c r="W1704" s="421"/>
      <c r="X1704" s="421"/>
      <c r="Y1704" s="421"/>
      <c r="Z1704" s="421"/>
      <c r="AA1704" s="421"/>
      <c r="AB1704" s="421"/>
      <c r="AC1704" s="421"/>
      <c r="AD1704" s="421"/>
      <c r="AE1704" s="421"/>
      <c r="AF1704" s="421"/>
      <c r="AG1704" s="421"/>
      <c r="AH1704" s="421"/>
      <c r="AI1704" s="421"/>
      <c r="AJ1704" s="421"/>
      <c r="AK1704" s="421"/>
      <c r="AL1704" s="421"/>
    </row>
    <row r="1705" spans="1:38">
      <c r="A1705" s="408">
        <v>5977</v>
      </c>
      <c r="B1705" s="83">
        <f t="array" ref="B1705">SUM(--(FREQUENCY(IF(C$2:C$3072=C1705, MATCH(D$2:D$3072, D$2:D$3072, 0)), ROW(D$2:D$3072)-ROW(D$2)+1) &gt; 0))</f>
        <v>25</v>
      </c>
      <c r="C1705" s="408">
        <v>41200158</v>
      </c>
      <c r="D1705" s="408" t="s">
        <v>3465</v>
      </c>
      <c r="E1705" s="408" t="s">
        <v>1405</v>
      </c>
      <c r="F1705" s="408" t="s">
        <v>1480</v>
      </c>
      <c r="G1705" s="408" t="s">
        <v>2675</v>
      </c>
      <c r="H1705" s="197">
        <f t="shared" si="424"/>
        <v>51</v>
      </c>
      <c r="I1705" s="408">
        <v>12</v>
      </c>
      <c r="J1705" s="408">
        <v>15</v>
      </c>
      <c r="K1705" s="186">
        <f t="shared" si="425"/>
        <v>46006</v>
      </c>
      <c r="L1705" s="408" t="s">
        <v>2395</v>
      </c>
      <c r="M1705" s="414" t="s">
        <v>1468</v>
      </c>
      <c r="N1705" s="414" t="str">
        <f t="shared" si="426"/>
        <v>NG</v>
      </c>
      <c r="O1705" s="414" t="s">
        <v>2368</v>
      </c>
      <c r="P1705" s="414" t="s">
        <v>2371</v>
      </c>
      <c r="Q1705" s="414">
        <v>11001964</v>
      </c>
      <c r="R1705" s="414" t="s">
        <v>562</v>
      </c>
      <c r="S1705" s="414" t="s">
        <v>3466</v>
      </c>
      <c r="T1705" s="408"/>
      <c r="U1705" s="408"/>
      <c r="V1705" s="421"/>
      <c r="W1705" s="421"/>
      <c r="X1705" s="421"/>
      <c r="Y1705" s="421"/>
      <c r="Z1705" s="421"/>
      <c r="AA1705" s="421"/>
      <c r="AB1705" s="421"/>
      <c r="AC1705" s="421"/>
      <c r="AD1705" s="421"/>
      <c r="AE1705" s="421"/>
      <c r="AF1705" s="421"/>
      <c r="AG1705" s="421"/>
      <c r="AH1705" s="421"/>
      <c r="AI1705" s="421"/>
      <c r="AJ1705" s="421"/>
      <c r="AK1705" s="421"/>
      <c r="AL1705" s="421"/>
    </row>
    <row r="1706" spans="1:38">
      <c r="A1706" s="408">
        <v>5977</v>
      </c>
      <c r="B1706" s="83">
        <f t="array" ref="B1706">SUM(--(FREQUENCY(IF(C$2:C$3072=C1706, MATCH(D$2:D$3072, D$2:D$3072, 0)), ROW(D$2:D$3072)-ROW(D$2)+1) &gt; 0))</f>
        <v>25</v>
      </c>
      <c r="C1706" s="408">
        <v>41200158</v>
      </c>
      <c r="D1706" s="408" t="s">
        <v>3465</v>
      </c>
      <c r="E1706" s="408" t="s">
        <v>1405</v>
      </c>
      <c r="F1706" s="408" t="s">
        <v>1480</v>
      </c>
      <c r="G1706" s="408" t="s">
        <v>2675</v>
      </c>
      <c r="H1706" s="197">
        <f t="shared" si="424"/>
        <v>51</v>
      </c>
      <c r="I1706" s="408">
        <v>12</v>
      </c>
      <c r="J1706" s="408">
        <v>15</v>
      </c>
      <c r="K1706" s="186">
        <f t="shared" si="425"/>
        <v>46006</v>
      </c>
      <c r="L1706" s="408" t="s">
        <v>2395</v>
      </c>
      <c r="M1706" s="414" t="s">
        <v>1468</v>
      </c>
      <c r="N1706" s="414" t="str">
        <f t="shared" si="426"/>
        <v>NG</v>
      </c>
      <c r="O1706" s="414" t="s">
        <v>2368</v>
      </c>
      <c r="P1706" s="414" t="s">
        <v>2371</v>
      </c>
      <c r="Q1706" s="414">
        <v>11001964</v>
      </c>
      <c r="R1706" s="414" t="s">
        <v>562</v>
      </c>
      <c r="S1706" s="414" t="s">
        <v>3462</v>
      </c>
      <c r="T1706" s="408"/>
      <c r="U1706" s="408"/>
      <c r="V1706" s="421"/>
      <c r="W1706" s="421"/>
      <c r="X1706" s="421"/>
      <c r="Y1706" s="421"/>
      <c r="Z1706" s="421"/>
      <c r="AA1706" s="421"/>
      <c r="AB1706" s="421"/>
      <c r="AC1706" s="421"/>
      <c r="AD1706" s="421"/>
      <c r="AE1706" s="421"/>
      <c r="AF1706" s="421"/>
      <c r="AG1706" s="421"/>
      <c r="AH1706" s="421"/>
      <c r="AI1706" s="421"/>
      <c r="AJ1706" s="421"/>
      <c r="AK1706" s="421"/>
      <c r="AL1706" s="421"/>
    </row>
    <row r="1707" spans="1:38">
      <c r="A1707" s="408">
        <v>5977</v>
      </c>
      <c r="B1707" s="83">
        <f t="array" ref="B1707">SUM(--(FREQUENCY(IF(C$2:C$3072=C1707, MATCH(D$2:D$3072, D$2:D$3072, 0)), ROW(D$2:D$3072)-ROW(D$2)+1) &gt; 0))</f>
        <v>25</v>
      </c>
      <c r="C1707" s="408">
        <v>41200158</v>
      </c>
      <c r="D1707" s="408" t="s">
        <v>3465</v>
      </c>
      <c r="E1707" s="408" t="s">
        <v>1405</v>
      </c>
      <c r="F1707" s="408" t="s">
        <v>1480</v>
      </c>
      <c r="G1707" s="408" t="s">
        <v>2675</v>
      </c>
      <c r="H1707" s="197">
        <f t="shared" si="424"/>
        <v>51</v>
      </c>
      <c r="I1707" s="408">
        <v>12</v>
      </c>
      <c r="J1707" s="408">
        <v>15</v>
      </c>
      <c r="K1707" s="186">
        <f t="shared" si="425"/>
        <v>46006</v>
      </c>
      <c r="L1707" s="408" t="s">
        <v>2395</v>
      </c>
      <c r="M1707" s="414" t="s">
        <v>1468</v>
      </c>
      <c r="N1707" s="414" t="str">
        <f t="shared" si="426"/>
        <v>NG</v>
      </c>
      <c r="O1707" s="414" t="s">
        <v>2368</v>
      </c>
      <c r="P1707" s="414" t="s">
        <v>2371</v>
      </c>
      <c r="Q1707" s="414">
        <v>11001964</v>
      </c>
      <c r="R1707" s="414" t="s">
        <v>562</v>
      </c>
      <c r="S1707" s="414" t="s">
        <v>3467</v>
      </c>
      <c r="T1707" s="408"/>
      <c r="U1707" s="408"/>
      <c r="V1707" s="421"/>
      <c r="W1707" s="421"/>
      <c r="X1707" s="421"/>
      <c r="Y1707" s="421"/>
      <c r="Z1707" s="421"/>
      <c r="AA1707" s="421"/>
      <c r="AB1707" s="421"/>
      <c r="AC1707" s="421"/>
      <c r="AD1707" s="421"/>
      <c r="AE1707" s="421"/>
      <c r="AF1707" s="421"/>
      <c r="AG1707" s="421"/>
      <c r="AH1707" s="421"/>
      <c r="AI1707" s="421"/>
      <c r="AJ1707" s="421"/>
      <c r="AK1707" s="421"/>
      <c r="AL1707" s="421"/>
    </row>
    <row r="1708" spans="1:38">
      <c r="A1708" s="408">
        <v>5977</v>
      </c>
      <c r="B1708" s="83">
        <f t="array" ref="B1708">SUM(--(FREQUENCY(IF(C$2:C$3072=C1708, MATCH(D$2:D$3072, D$2:D$3072, 0)), ROW(D$2:D$3072)-ROW(D$2)+1) &gt; 0))</f>
        <v>25</v>
      </c>
      <c r="C1708" s="408">
        <v>41200158</v>
      </c>
      <c r="D1708" s="408" t="s">
        <v>3465</v>
      </c>
      <c r="E1708" s="408" t="s">
        <v>1405</v>
      </c>
      <c r="F1708" s="408" t="s">
        <v>1480</v>
      </c>
      <c r="G1708" s="408" t="s">
        <v>2675</v>
      </c>
      <c r="H1708" s="197">
        <f t="shared" si="424"/>
        <v>51</v>
      </c>
      <c r="I1708" s="408">
        <v>12</v>
      </c>
      <c r="J1708" s="408">
        <v>15</v>
      </c>
      <c r="K1708" s="186">
        <f t="shared" si="425"/>
        <v>46006</v>
      </c>
      <c r="L1708" s="408" t="s">
        <v>2395</v>
      </c>
      <c r="M1708" s="414" t="s">
        <v>1468</v>
      </c>
      <c r="N1708" s="414" t="str">
        <f t="shared" si="426"/>
        <v>NG</v>
      </c>
      <c r="O1708" s="414" t="s">
        <v>2368</v>
      </c>
      <c r="P1708" s="414" t="s">
        <v>2371</v>
      </c>
      <c r="Q1708" s="414">
        <v>11001966</v>
      </c>
      <c r="R1708" s="414" t="s">
        <v>1151</v>
      </c>
      <c r="S1708" s="414" t="s">
        <v>3459</v>
      </c>
      <c r="T1708" s="408"/>
      <c r="U1708" s="408"/>
      <c r="V1708" s="421"/>
      <c r="W1708" s="421"/>
      <c r="X1708" s="421"/>
      <c r="Y1708" s="421"/>
      <c r="Z1708" s="421"/>
      <c r="AA1708" s="421"/>
      <c r="AB1708" s="421"/>
      <c r="AC1708" s="421"/>
      <c r="AD1708" s="421"/>
      <c r="AE1708" s="421"/>
      <c r="AF1708" s="421"/>
      <c r="AG1708" s="421"/>
      <c r="AH1708" s="421"/>
      <c r="AI1708" s="421"/>
      <c r="AJ1708" s="421"/>
      <c r="AK1708" s="421"/>
      <c r="AL1708" s="421"/>
    </row>
    <row r="1709" spans="1:38">
      <c r="A1709" s="408">
        <v>5977</v>
      </c>
      <c r="B1709" s="83">
        <f t="array" ref="B1709">SUM(--(FREQUENCY(IF(C$2:C$3072=C1709, MATCH(D$2:D$3072, D$2:D$3072, 0)), ROW(D$2:D$3072)-ROW(D$2)+1) &gt; 0))</f>
        <v>25</v>
      </c>
      <c r="C1709" s="408">
        <v>41200158</v>
      </c>
      <c r="D1709" s="408" t="s">
        <v>3465</v>
      </c>
      <c r="E1709" s="408" t="s">
        <v>1405</v>
      </c>
      <c r="F1709" s="408" t="s">
        <v>1480</v>
      </c>
      <c r="G1709" s="408" t="s">
        <v>2675</v>
      </c>
      <c r="H1709" s="197">
        <f t="shared" ref="H1709" si="427">WEEKNUM(K1709)</f>
        <v>51</v>
      </c>
      <c r="I1709" s="408">
        <v>12</v>
      </c>
      <c r="J1709" s="408">
        <v>15</v>
      </c>
      <c r="K1709" s="186">
        <f t="shared" ref="K1709:K1758" si="428">DATE(2025, I1709, J1709)</f>
        <v>46006</v>
      </c>
      <c r="L1709" s="408" t="s">
        <v>2395</v>
      </c>
      <c r="M1709" s="414" t="s">
        <v>1468</v>
      </c>
      <c r="N1709" s="414" t="str">
        <f t="shared" ref="N1709" si="429">IF(O1709&lt;&gt;"", "NG", "")</f>
        <v>NG</v>
      </c>
      <c r="O1709" s="414" t="s">
        <v>2368</v>
      </c>
      <c r="P1709" s="414" t="s">
        <v>2371</v>
      </c>
      <c r="Q1709" s="414">
        <v>11001966</v>
      </c>
      <c r="R1709" s="414" t="s">
        <v>1151</v>
      </c>
      <c r="S1709" s="414" t="s">
        <v>3460</v>
      </c>
      <c r="T1709" s="408"/>
      <c r="U1709" s="408"/>
      <c r="V1709" s="421"/>
      <c r="W1709" s="421"/>
      <c r="X1709" s="421"/>
      <c r="Y1709" s="421"/>
      <c r="Z1709" s="421"/>
      <c r="AA1709" s="421"/>
      <c r="AB1709" s="421"/>
      <c r="AC1709" s="421"/>
      <c r="AD1709" s="421"/>
      <c r="AE1709" s="421"/>
      <c r="AF1709" s="421"/>
      <c r="AG1709" s="421"/>
      <c r="AH1709" s="421"/>
      <c r="AI1709" s="421"/>
      <c r="AJ1709" s="421"/>
      <c r="AK1709" s="421"/>
      <c r="AL1709" s="421"/>
    </row>
    <row r="1710" spans="1:38" s="180" customFormat="1">
      <c r="A1710" s="414">
        <v>6303</v>
      </c>
      <c r="B1710" s="123">
        <f t="array" ref="B1710">SUM(--(FREQUENCY(IF(C$2:C$3072=C1710, MATCH(D$2:D$3072, D$2:D$3072, 0)), ROW(D$2:D$3072)-ROW(D$2)+1) &gt; 0))</f>
        <v>2</v>
      </c>
      <c r="C1710" s="414">
        <v>41200198</v>
      </c>
      <c r="D1710" s="414" t="s">
        <v>3468</v>
      </c>
      <c r="E1710" s="414" t="s">
        <v>1395</v>
      </c>
      <c r="F1710" s="414" t="s">
        <v>1476</v>
      </c>
      <c r="G1710" s="414" t="s">
        <v>2675</v>
      </c>
      <c r="H1710" s="526">
        <f t="shared" si="424"/>
        <v>51</v>
      </c>
      <c r="I1710" s="414">
        <v>12</v>
      </c>
      <c r="J1710" s="414">
        <v>16</v>
      </c>
      <c r="K1710" s="554">
        <f t="shared" si="428"/>
        <v>46007</v>
      </c>
      <c r="L1710" s="414" t="s">
        <v>2391</v>
      </c>
      <c r="M1710" s="414" t="s">
        <v>2392</v>
      </c>
      <c r="N1710" s="414" t="s">
        <v>2877</v>
      </c>
      <c r="O1710" s="414" t="s">
        <v>2368</v>
      </c>
      <c r="P1710" s="414" t="s">
        <v>2371</v>
      </c>
      <c r="Q1710" s="414">
        <v>11001964</v>
      </c>
      <c r="R1710" s="414" t="s">
        <v>562</v>
      </c>
      <c r="S1710" s="414" t="s">
        <v>3469</v>
      </c>
      <c r="T1710" s="414"/>
      <c r="U1710" s="414"/>
      <c r="V1710" s="419"/>
      <c r="W1710" s="419"/>
      <c r="X1710" s="419"/>
      <c r="Y1710" s="419"/>
      <c r="Z1710" s="419"/>
      <c r="AA1710" s="419"/>
      <c r="AB1710" s="419"/>
      <c r="AC1710" s="419"/>
      <c r="AD1710" s="419"/>
      <c r="AE1710" s="419"/>
      <c r="AF1710" s="419"/>
      <c r="AG1710" s="419"/>
      <c r="AH1710" s="419"/>
      <c r="AI1710" s="419"/>
      <c r="AJ1710" s="419"/>
      <c r="AK1710" s="419"/>
      <c r="AL1710" s="419"/>
    </row>
    <row r="1711" spans="1:38" s="180" customFormat="1">
      <c r="A1711" s="414">
        <v>6303</v>
      </c>
      <c r="B1711" s="123">
        <f t="array" ref="B1711">SUM(--(FREQUENCY(IF(C$2:C$3072=C1711, MATCH(D$2:D$3072, D$2:D$3072, 0)), ROW(D$2:D$3072)-ROW(D$2)+1) &gt; 0))</f>
        <v>2</v>
      </c>
      <c r="C1711" s="414">
        <v>41200198</v>
      </c>
      <c r="D1711" s="414" t="s">
        <v>3468</v>
      </c>
      <c r="E1711" s="414" t="s">
        <v>1395</v>
      </c>
      <c r="F1711" s="414" t="s">
        <v>1476</v>
      </c>
      <c r="G1711" s="414" t="s">
        <v>2675</v>
      </c>
      <c r="H1711" s="526">
        <f t="shared" ref="H1711:H1712" si="430">WEEKNUM(K1711)</f>
        <v>51</v>
      </c>
      <c r="I1711" s="414">
        <v>12</v>
      </c>
      <c r="J1711" s="414">
        <v>16</v>
      </c>
      <c r="K1711" s="554">
        <f t="shared" ref="K1711:K1712" si="431">DATE(2025, I1711, J1711)</f>
        <v>46007</v>
      </c>
      <c r="L1711" s="414" t="s">
        <v>2391</v>
      </c>
      <c r="M1711" s="414" t="s">
        <v>2392</v>
      </c>
      <c r="N1711" s="414" t="s">
        <v>2877</v>
      </c>
      <c r="O1711" s="414" t="s">
        <v>2368</v>
      </c>
      <c r="P1711" s="414" t="s">
        <v>2371</v>
      </c>
      <c r="Q1711" s="414">
        <v>11001966</v>
      </c>
      <c r="R1711" s="414" t="s">
        <v>1151</v>
      </c>
      <c r="S1711" s="414" t="s">
        <v>3470</v>
      </c>
      <c r="T1711" s="414"/>
      <c r="U1711" s="414"/>
      <c r="V1711" s="419"/>
      <c r="W1711" s="419"/>
      <c r="X1711" s="419"/>
      <c r="Y1711" s="419"/>
      <c r="Z1711" s="419"/>
      <c r="AA1711" s="419"/>
      <c r="AB1711" s="419"/>
      <c r="AC1711" s="419"/>
      <c r="AD1711" s="419"/>
      <c r="AE1711" s="419"/>
      <c r="AF1711" s="419"/>
      <c r="AG1711" s="419"/>
      <c r="AH1711" s="419"/>
      <c r="AI1711" s="419"/>
      <c r="AJ1711" s="419"/>
      <c r="AK1711" s="419"/>
      <c r="AL1711" s="419"/>
    </row>
    <row r="1712" spans="1:38" s="180" customFormat="1">
      <c r="A1712" s="414">
        <v>6303</v>
      </c>
      <c r="B1712" s="123">
        <f t="array" ref="B1712">SUM(--(FREQUENCY(IF(C$2:C$3072=C1712, MATCH(D$2:D$3072, D$2:D$3072, 0)), ROW(D$2:D$3072)-ROW(D$2)+1) &gt; 0))</f>
        <v>2</v>
      </c>
      <c r="C1712" s="414">
        <v>41200198</v>
      </c>
      <c r="D1712" s="414" t="s">
        <v>3468</v>
      </c>
      <c r="E1712" s="414" t="s">
        <v>1395</v>
      </c>
      <c r="F1712" s="414" t="s">
        <v>1476</v>
      </c>
      <c r="G1712" s="414" t="s">
        <v>2675</v>
      </c>
      <c r="H1712" s="526">
        <f t="shared" si="430"/>
        <v>51</v>
      </c>
      <c r="I1712" s="414">
        <v>12</v>
      </c>
      <c r="J1712" s="414">
        <v>16</v>
      </c>
      <c r="K1712" s="554">
        <f t="shared" si="431"/>
        <v>46007</v>
      </c>
      <c r="L1712" s="414" t="s">
        <v>2391</v>
      </c>
      <c r="M1712" s="414" t="s">
        <v>2392</v>
      </c>
      <c r="N1712" s="414" t="s">
        <v>2877</v>
      </c>
      <c r="O1712" s="414" t="s">
        <v>2368</v>
      </c>
      <c r="P1712" s="414" t="s">
        <v>2371</v>
      </c>
      <c r="Q1712" s="414">
        <v>11001966</v>
      </c>
      <c r="R1712" s="414" t="s">
        <v>1151</v>
      </c>
      <c r="S1712" s="414" t="s">
        <v>3471</v>
      </c>
      <c r="T1712" s="414"/>
      <c r="U1712" s="414"/>
      <c r="V1712" s="419"/>
      <c r="W1712" s="419"/>
      <c r="X1712" s="419"/>
      <c r="Y1712" s="419"/>
      <c r="Z1712" s="419"/>
      <c r="AA1712" s="419"/>
      <c r="AB1712" s="419"/>
      <c r="AC1712" s="419"/>
      <c r="AD1712" s="419"/>
      <c r="AE1712" s="419"/>
      <c r="AF1712" s="419"/>
      <c r="AG1712" s="419"/>
      <c r="AH1712" s="419"/>
      <c r="AI1712" s="419"/>
      <c r="AJ1712" s="419"/>
      <c r="AK1712" s="419"/>
      <c r="AL1712" s="419"/>
    </row>
    <row r="1713" spans="1:38">
      <c r="A1713" s="408">
        <v>6345</v>
      </c>
      <c r="B1713" s="83">
        <f t="array" ref="B1713">SUM(--(FREQUENCY(IF(C$2:C$3072=C1713, MATCH(D$2:D$3072, D$2:D$3072, 0)), ROW(D$2:D$3072)-ROW(D$2)+1) &gt; 0))</f>
        <v>7</v>
      </c>
      <c r="C1713" s="408">
        <v>41200039</v>
      </c>
      <c r="D1713" s="408" t="s">
        <v>3472</v>
      </c>
      <c r="E1713" s="408" t="s">
        <v>1426</v>
      </c>
      <c r="F1713" s="408" t="s">
        <v>1476</v>
      </c>
      <c r="G1713" s="408" t="s">
        <v>2675</v>
      </c>
      <c r="H1713" s="197">
        <f t="shared" si="424"/>
        <v>51</v>
      </c>
      <c r="I1713" s="408">
        <v>12</v>
      </c>
      <c r="J1713" s="408">
        <v>16</v>
      </c>
      <c r="K1713" s="186">
        <f t="shared" si="428"/>
        <v>46007</v>
      </c>
      <c r="L1713" s="408" t="s">
        <v>2391</v>
      </c>
      <c r="M1713" s="408" t="s">
        <v>1468</v>
      </c>
      <c r="N1713" s="408" t="str">
        <f t="shared" si="400"/>
        <v/>
      </c>
      <c r="O1713" s="408"/>
      <c r="P1713" s="408"/>
      <c r="Q1713" s="408"/>
      <c r="R1713" s="408"/>
      <c r="S1713" s="408"/>
      <c r="T1713" s="408"/>
      <c r="U1713" s="408"/>
      <c r="V1713" s="421"/>
      <c r="W1713" s="421"/>
      <c r="X1713" s="421"/>
      <c r="Y1713" s="421"/>
      <c r="Z1713" s="421"/>
      <c r="AA1713" s="421"/>
      <c r="AB1713" s="421"/>
      <c r="AC1713" s="421"/>
      <c r="AD1713" s="421"/>
      <c r="AE1713" s="421"/>
      <c r="AF1713" s="421"/>
      <c r="AG1713" s="421"/>
      <c r="AH1713" s="421"/>
      <c r="AI1713" s="421"/>
      <c r="AJ1713" s="421"/>
      <c r="AK1713" s="421"/>
      <c r="AL1713" s="421"/>
    </row>
    <row r="1714" spans="1:38">
      <c r="A1714" s="408">
        <v>6249</v>
      </c>
      <c r="B1714" s="83">
        <f t="array" ref="B1714">SUM(--(FREQUENCY(IF(C$2:C$3072=C1714, MATCH(D$2:D$3072, D$2:D$3072, 0)), ROW(D$2:D$3072)-ROW(D$2)+1) &gt; 0))</f>
        <v>10</v>
      </c>
      <c r="C1714" s="408">
        <v>41100286</v>
      </c>
      <c r="D1714" s="408" t="s">
        <v>3473</v>
      </c>
      <c r="E1714" s="408" t="s">
        <v>1424</v>
      </c>
      <c r="F1714" s="408" t="s">
        <v>1476</v>
      </c>
      <c r="G1714" s="408" t="s">
        <v>2675</v>
      </c>
      <c r="H1714" s="197">
        <f t="shared" si="424"/>
        <v>51</v>
      </c>
      <c r="I1714" s="408">
        <v>12</v>
      </c>
      <c r="J1714" s="408">
        <v>16</v>
      </c>
      <c r="K1714" s="186">
        <f t="shared" si="428"/>
        <v>46007</v>
      </c>
      <c r="L1714" s="408" t="s">
        <v>2395</v>
      </c>
      <c r="M1714" s="408" t="s">
        <v>1469</v>
      </c>
      <c r="N1714" s="408" t="str">
        <f t="shared" si="400"/>
        <v/>
      </c>
      <c r="O1714" s="408"/>
      <c r="P1714" s="408"/>
      <c r="Q1714" s="408"/>
      <c r="R1714" s="408"/>
      <c r="S1714" s="408"/>
      <c r="T1714" s="408"/>
      <c r="U1714" s="408"/>
      <c r="V1714" s="421"/>
      <c r="W1714" s="421"/>
      <c r="X1714" s="421"/>
      <c r="Y1714" s="421"/>
      <c r="Z1714" s="421"/>
      <c r="AA1714" s="421"/>
      <c r="AB1714" s="421"/>
      <c r="AC1714" s="421"/>
      <c r="AD1714" s="421"/>
      <c r="AE1714" s="421"/>
      <c r="AF1714" s="421"/>
      <c r="AG1714" s="421"/>
      <c r="AH1714" s="421"/>
      <c r="AI1714" s="421"/>
      <c r="AJ1714" s="421"/>
      <c r="AK1714" s="421"/>
      <c r="AL1714" s="421"/>
    </row>
    <row r="1715" spans="1:38">
      <c r="A1715" s="408">
        <v>6342</v>
      </c>
      <c r="B1715" s="83">
        <f t="array" ref="B1715">SUM(--(FREQUENCY(IF(C$2:C$3072=C1715, MATCH(D$2:D$3072, D$2:D$3072, 0)), ROW(D$2:D$3072)-ROW(D$2)+1) &gt; 0))</f>
        <v>19</v>
      </c>
      <c r="C1715" s="408">
        <v>41200033</v>
      </c>
      <c r="D1715" s="408" t="s">
        <v>3474</v>
      </c>
      <c r="E1715" s="408" t="s">
        <v>1426</v>
      </c>
      <c r="F1715" s="408" t="s">
        <v>1476</v>
      </c>
      <c r="G1715" s="408" t="s">
        <v>2675</v>
      </c>
      <c r="H1715" s="197">
        <f t="shared" si="424"/>
        <v>51</v>
      </c>
      <c r="I1715" s="408">
        <v>12</v>
      </c>
      <c r="J1715" s="408">
        <v>16</v>
      </c>
      <c r="K1715" s="186">
        <f t="shared" si="428"/>
        <v>46007</v>
      </c>
      <c r="L1715" s="408" t="s">
        <v>2395</v>
      </c>
      <c r="M1715" s="408" t="s">
        <v>2392</v>
      </c>
      <c r="N1715" s="408" t="str">
        <f t="shared" si="400"/>
        <v/>
      </c>
      <c r="O1715" s="408"/>
      <c r="P1715" s="408"/>
      <c r="Q1715" s="408"/>
      <c r="R1715" s="408"/>
      <c r="S1715" s="408"/>
      <c r="T1715" s="408"/>
      <c r="U1715" s="408"/>
      <c r="V1715" s="421"/>
      <c r="W1715" s="421"/>
      <c r="X1715" s="421"/>
      <c r="Y1715" s="421"/>
      <c r="Z1715" s="421"/>
      <c r="AA1715" s="421"/>
      <c r="AB1715" s="421"/>
      <c r="AC1715" s="421"/>
      <c r="AD1715" s="421"/>
      <c r="AE1715" s="421"/>
      <c r="AF1715" s="421"/>
      <c r="AG1715" s="421"/>
      <c r="AH1715" s="421"/>
      <c r="AI1715" s="421"/>
      <c r="AJ1715" s="421"/>
      <c r="AK1715" s="421"/>
      <c r="AL1715" s="421"/>
    </row>
    <row r="1716" spans="1:38">
      <c r="A1716" s="408">
        <v>6342</v>
      </c>
      <c r="B1716" s="83">
        <f t="array" ref="B1716">SUM(--(FREQUENCY(IF(C$2:C$3072=C1716, MATCH(D$2:D$3072, D$2:D$3072, 0)), ROW(D$2:D$3072)-ROW(D$2)+1) &gt; 0))</f>
        <v>19</v>
      </c>
      <c r="C1716" s="408">
        <v>41200033</v>
      </c>
      <c r="D1716" s="408" t="s">
        <v>3475</v>
      </c>
      <c r="E1716" s="408" t="s">
        <v>1426</v>
      </c>
      <c r="F1716" s="408" t="s">
        <v>1476</v>
      </c>
      <c r="G1716" s="408" t="s">
        <v>2675</v>
      </c>
      <c r="H1716" s="197">
        <f t="shared" si="424"/>
        <v>51</v>
      </c>
      <c r="I1716" s="408">
        <v>12</v>
      </c>
      <c r="J1716" s="408">
        <v>16</v>
      </c>
      <c r="K1716" s="186">
        <f t="shared" si="428"/>
        <v>46007</v>
      </c>
      <c r="L1716" s="408" t="s">
        <v>2395</v>
      </c>
      <c r="M1716" s="408" t="s">
        <v>2392</v>
      </c>
      <c r="N1716" s="408" t="str">
        <f t="shared" si="400"/>
        <v/>
      </c>
      <c r="O1716" s="408"/>
      <c r="P1716" s="408"/>
      <c r="Q1716" s="408"/>
      <c r="R1716" s="408"/>
      <c r="S1716" s="408"/>
      <c r="T1716" s="408"/>
      <c r="U1716" s="408"/>
      <c r="V1716" s="421"/>
      <c r="W1716" s="421"/>
      <c r="X1716" s="421"/>
      <c r="Y1716" s="421"/>
      <c r="Z1716" s="421"/>
      <c r="AA1716" s="421"/>
      <c r="AB1716" s="421"/>
      <c r="AC1716" s="421"/>
      <c r="AD1716" s="421"/>
      <c r="AE1716" s="421"/>
      <c r="AF1716" s="421"/>
      <c r="AG1716" s="421"/>
      <c r="AH1716" s="421"/>
      <c r="AI1716" s="421"/>
      <c r="AJ1716" s="421"/>
      <c r="AK1716" s="421"/>
      <c r="AL1716" s="421"/>
    </row>
    <row r="1717" spans="1:38">
      <c r="A1717" s="408">
        <v>6293</v>
      </c>
      <c r="B1717" s="83">
        <f t="array" ref="B1717">SUM(--(FREQUENCY(IF(C$2:C$3072=C1717, MATCH(D$2:D$3072, D$2:D$3072, 0)), ROW(D$2:D$3072)-ROW(D$2)+1) &gt; 0))</f>
        <v>1</v>
      </c>
      <c r="C1717" s="408">
        <v>41200069</v>
      </c>
      <c r="D1717" s="408" t="s">
        <v>3476</v>
      </c>
      <c r="E1717" s="408" t="s">
        <v>1433</v>
      </c>
      <c r="F1717" s="408" t="s">
        <v>1591</v>
      </c>
      <c r="G1717" s="408" t="s">
        <v>2666</v>
      </c>
      <c r="H1717" s="197">
        <f t="shared" si="424"/>
        <v>51</v>
      </c>
      <c r="I1717" s="408">
        <v>12</v>
      </c>
      <c r="J1717" s="408">
        <v>16</v>
      </c>
      <c r="K1717" s="186">
        <f t="shared" si="428"/>
        <v>46007</v>
      </c>
      <c r="L1717" s="408" t="s">
        <v>2391</v>
      </c>
      <c r="M1717" s="408" t="s">
        <v>1468</v>
      </c>
      <c r="N1717" s="408" t="str">
        <f t="shared" si="400"/>
        <v/>
      </c>
      <c r="O1717" s="408"/>
      <c r="P1717" s="408"/>
      <c r="Q1717" s="408"/>
      <c r="R1717" s="408"/>
      <c r="S1717" s="408"/>
      <c r="T1717" s="408"/>
      <c r="U1717" s="408"/>
      <c r="V1717" s="421"/>
      <c r="W1717" s="421"/>
      <c r="X1717" s="421"/>
      <c r="Y1717" s="421"/>
      <c r="Z1717" s="421"/>
      <c r="AA1717" s="421"/>
      <c r="AB1717" s="421"/>
      <c r="AC1717" s="421"/>
      <c r="AD1717" s="421"/>
      <c r="AE1717" s="421"/>
      <c r="AF1717" s="421"/>
      <c r="AG1717" s="421"/>
      <c r="AH1717" s="421"/>
      <c r="AI1717" s="421"/>
      <c r="AJ1717" s="421"/>
      <c r="AK1717" s="421"/>
      <c r="AL1717" s="421"/>
    </row>
    <row r="1718" spans="1:38">
      <c r="A1718" s="408">
        <v>6288</v>
      </c>
      <c r="B1718" s="83">
        <f t="array" ref="B1718">SUM(--(FREQUENCY(IF(C$2:C$3072=C1718, MATCH(D$2:D$3072, D$2:D$3072, 0)), ROW(D$2:D$3072)-ROW(D$2)+1) &gt; 0))</f>
        <v>4</v>
      </c>
      <c r="C1718" s="408">
        <v>41100695</v>
      </c>
      <c r="D1718" s="408" t="s">
        <v>3477</v>
      </c>
      <c r="E1718" s="408" t="s">
        <v>1433</v>
      </c>
      <c r="F1718" s="408" t="s">
        <v>1616</v>
      </c>
      <c r="G1718" s="408" t="s">
        <v>2666</v>
      </c>
      <c r="H1718" s="197">
        <f t="shared" si="424"/>
        <v>51</v>
      </c>
      <c r="I1718" s="408">
        <v>12</v>
      </c>
      <c r="J1718" s="408">
        <v>16</v>
      </c>
      <c r="K1718" s="186">
        <f t="shared" si="428"/>
        <v>46007</v>
      </c>
      <c r="L1718" s="408" t="s">
        <v>2392</v>
      </c>
      <c r="M1718" s="408" t="s">
        <v>2392</v>
      </c>
      <c r="N1718" s="408" t="str">
        <f t="shared" ref="N1718:N1791" si="432">IF(O1718&lt;&gt;"", "NG", "")</f>
        <v/>
      </c>
      <c r="O1718" s="408"/>
      <c r="P1718" s="408"/>
      <c r="Q1718" s="408"/>
      <c r="R1718" s="408"/>
      <c r="S1718" s="408"/>
      <c r="T1718" s="408"/>
      <c r="U1718" s="408"/>
      <c r="V1718" s="421"/>
      <c r="W1718" s="421"/>
      <c r="X1718" s="421"/>
      <c r="Y1718" s="421"/>
      <c r="Z1718" s="421"/>
      <c r="AA1718" s="421"/>
      <c r="AB1718" s="421"/>
      <c r="AC1718" s="421"/>
      <c r="AD1718" s="421"/>
      <c r="AE1718" s="421"/>
      <c r="AF1718" s="421"/>
      <c r="AG1718" s="421"/>
      <c r="AH1718" s="421"/>
      <c r="AI1718" s="421"/>
      <c r="AJ1718" s="421"/>
      <c r="AK1718" s="421"/>
      <c r="AL1718" s="421"/>
    </row>
    <row r="1719" spans="1:38">
      <c r="A1719" s="408">
        <v>6288</v>
      </c>
      <c r="B1719" s="83">
        <f t="array" ref="B1719">SUM(--(FREQUENCY(IF(C$2:C$3072=C1719, MATCH(D$2:D$3072, D$2:D$3072, 0)), ROW(D$2:D$3072)-ROW(D$2)+1) &gt; 0))</f>
        <v>4</v>
      </c>
      <c r="C1719" s="408">
        <v>41100695</v>
      </c>
      <c r="D1719" s="408" t="s">
        <v>3478</v>
      </c>
      <c r="E1719" s="408" t="s">
        <v>1433</v>
      </c>
      <c r="F1719" s="408" t="s">
        <v>1616</v>
      </c>
      <c r="G1719" s="408" t="s">
        <v>2666</v>
      </c>
      <c r="H1719" s="197">
        <f t="shared" si="424"/>
        <v>51</v>
      </c>
      <c r="I1719" s="408">
        <v>12</v>
      </c>
      <c r="J1719" s="408">
        <v>16</v>
      </c>
      <c r="K1719" s="186">
        <f t="shared" si="428"/>
        <v>46007</v>
      </c>
      <c r="L1719" s="408" t="s">
        <v>2392</v>
      </c>
      <c r="M1719" s="408" t="s">
        <v>2392</v>
      </c>
      <c r="N1719" s="408" t="s">
        <v>2877</v>
      </c>
      <c r="O1719" s="408" t="s">
        <v>2368</v>
      </c>
      <c r="P1719" s="408" t="s">
        <v>2371</v>
      </c>
      <c r="Q1719" s="408">
        <v>11001964</v>
      </c>
      <c r="R1719" s="408" t="s">
        <v>562</v>
      </c>
      <c r="S1719" s="408" t="s">
        <v>3479</v>
      </c>
      <c r="T1719" s="408"/>
      <c r="U1719" s="408"/>
      <c r="V1719" s="421"/>
      <c r="W1719" s="421"/>
      <c r="X1719" s="421"/>
      <c r="Y1719" s="421"/>
      <c r="Z1719" s="421"/>
      <c r="AA1719" s="421"/>
      <c r="AB1719" s="421"/>
      <c r="AC1719" s="421"/>
      <c r="AD1719" s="421"/>
      <c r="AE1719" s="421"/>
      <c r="AF1719" s="421"/>
      <c r="AG1719" s="421"/>
      <c r="AH1719" s="421"/>
      <c r="AI1719" s="421"/>
      <c r="AJ1719" s="421"/>
      <c r="AK1719" s="421"/>
      <c r="AL1719" s="421"/>
    </row>
    <row r="1720" spans="1:38">
      <c r="A1720" s="408">
        <v>6344</v>
      </c>
      <c r="B1720" s="83">
        <f t="array" ref="B1720">SUM(--(FREQUENCY(IF(C$2:C$3072=C1720, MATCH(D$2:D$3072, D$2:D$3072, 0)), ROW(D$2:D$3072)-ROW(D$2)+1) &gt; 0))</f>
        <v>25</v>
      </c>
      <c r="C1720" s="408">
        <v>41200034</v>
      </c>
      <c r="D1720" s="408" t="s">
        <v>3480</v>
      </c>
      <c r="E1720" s="408" t="s">
        <v>1426</v>
      </c>
      <c r="F1720" s="408" t="s">
        <v>1476</v>
      </c>
      <c r="G1720" s="408" t="s">
        <v>2675</v>
      </c>
      <c r="H1720" s="197">
        <f t="shared" si="424"/>
        <v>51</v>
      </c>
      <c r="I1720" s="408">
        <v>12</v>
      </c>
      <c r="J1720" s="408">
        <v>17</v>
      </c>
      <c r="K1720" s="186">
        <f t="shared" si="428"/>
        <v>46008</v>
      </c>
      <c r="L1720" s="408" t="s">
        <v>2395</v>
      </c>
      <c r="M1720" s="408" t="s">
        <v>2392</v>
      </c>
      <c r="N1720" s="408" t="str">
        <f t="shared" si="432"/>
        <v/>
      </c>
      <c r="O1720" s="408"/>
      <c r="P1720" s="408"/>
      <c r="Q1720" s="408"/>
      <c r="R1720" s="408"/>
      <c r="S1720" s="408"/>
      <c r="T1720" s="408"/>
      <c r="U1720" s="408"/>
      <c r="V1720" s="421"/>
      <c r="W1720" s="421"/>
      <c r="X1720" s="421"/>
      <c r="Y1720" s="421"/>
      <c r="Z1720" s="421"/>
      <c r="AA1720" s="421"/>
      <c r="AB1720" s="421"/>
      <c r="AC1720" s="421"/>
      <c r="AD1720" s="421"/>
      <c r="AE1720" s="421"/>
      <c r="AF1720" s="421"/>
      <c r="AG1720" s="421"/>
      <c r="AH1720" s="421"/>
      <c r="AI1720" s="421"/>
      <c r="AJ1720" s="421"/>
      <c r="AK1720" s="421"/>
      <c r="AL1720" s="421"/>
    </row>
    <row r="1721" spans="1:38">
      <c r="A1721" s="408">
        <v>6344</v>
      </c>
      <c r="B1721" s="83">
        <f t="array" ref="B1721">SUM(--(FREQUENCY(IF(C$2:C$3072=C1721, MATCH(D$2:D$3072, D$2:D$3072, 0)), ROW(D$2:D$3072)-ROW(D$2)+1) &gt; 0))</f>
        <v>25</v>
      </c>
      <c r="C1721" s="408">
        <v>41200034</v>
      </c>
      <c r="D1721" s="408" t="s">
        <v>3481</v>
      </c>
      <c r="E1721" s="408" t="s">
        <v>1426</v>
      </c>
      <c r="F1721" s="408" t="s">
        <v>1476</v>
      </c>
      <c r="G1721" s="408" t="s">
        <v>2675</v>
      </c>
      <c r="H1721" s="197">
        <f t="shared" si="424"/>
        <v>51</v>
      </c>
      <c r="I1721" s="408">
        <v>12</v>
      </c>
      <c r="J1721" s="408">
        <v>17</v>
      </c>
      <c r="K1721" s="186">
        <f t="shared" si="428"/>
        <v>46008</v>
      </c>
      <c r="L1721" s="408" t="s">
        <v>2395</v>
      </c>
      <c r="M1721" s="408" t="s">
        <v>2392</v>
      </c>
      <c r="N1721" s="408" t="str">
        <f t="shared" si="432"/>
        <v/>
      </c>
      <c r="O1721" s="408"/>
      <c r="P1721" s="408"/>
      <c r="Q1721" s="408"/>
      <c r="R1721" s="408"/>
      <c r="S1721" s="408"/>
      <c r="T1721" s="408"/>
      <c r="U1721" s="408"/>
      <c r="V1721" s="421"/>
      <c r="W1721" s="421"/>
      <c r="X1721" s="421"/>
      <c r="Y1721" s="421"/>
      <c r="Z1721" s="421"/>
      <c r="AA1721" s="421"/>
      <c r="AB1721" s="421"/>
      <c r="AC1721" s="421"/>
      <c r="AD1721" s="421"/>
      <c r="AE1721" s="421"/>
      <c r="AF1721" s="421"/>
      <c r="AG1721" s="421"/>
      <c r="AH1721" s="421"/>
      <c r="AI1721" s="421"/>
      <c r="AJ1721" s="421"/>
      <c r="AK1721" s="421"/>
      <c r="AL1721" s="421"/>
    </row>
    <row r="1722" spans="1:38">
      <c r="A1722" s="408">
        <v>6346</v>
      </c>
      <c r="B1722" s="83">
        <f t="array" ref="B1722">SUM(--(FREQUENCY(IF(C$2:C$3072=C1722, MATCH(D$2:D$3072, D$2:D$3072, 0)), ROW(D$2:D$3072)-ROW(D$2)+1) &gt; 0))</f>
        <v>1</v>
      </c>
      <c r="C1722" s="408">
        <v>41200043</v>
      </c>
      <c r="D1722" s="408" t="s">
        <v>3482</v>
      </c>
      <c r="E1722" s="408" t="s">
        <v>1426</v>
      </c>
      <c r="F1722" s="408" t="s">
        <v>1476</v>
      </c>
      <c r="G1722" s="408" t="s">
        <v>2675</v>
      </c>
      <c r="H1722" s="197">
        <f t="shared" si="424"/>
        <v>51</v>
      </c>
      <c r="I1722" s="408">
        <v>12</v>
      </c>
      <c r="J1722" s="408">
        <v>17</v>
      </c>
      <c r="K1722" s="186">
        <f t="shared" si="428"/>
        <v>46008</v>
      </c>
      <c r="L1722" s="408" t="s">
        <v>2395</v>
      </c>
      <c r="M1722" s="408" t="s">
        <v>1469</v>
      </c>
      <c r="N1722" s="408" t="str">
        <f t="shared" si="432"/>
        <v/>
      </c>
      <c r="O1722" s="408"/>
      <c r="P1722" s="408"/>
      <c r="Q1722" s="408"/>
      <c r="R1722" s="408"/>
      <c r="S1722" s="408"/>
      <c r="T1722" s="408"/>
      <c r="U1722" s="408"/>
      <c r="V1722" s="421"/>
      <c r="W1722" s="421"/>
      <c r="X1722" s="421"/>
      <c r="Y1722" s="421"/>
      <c r="Z1722" s="421"/>
      <c r="AA1722" s="421"/>
      <c r="AB1722" s="421"/>
      <c r="AC1722" s="421"/>
      <c r="AD1722" s="421"/>
      <c r="AE1722" s="421"/>
      <c r="AF1722" s="421"/>
      <c r="AG1722" s="421"/>
      <c r="AH1722" s="421"/>
      <c r="AI1722" s="421"/>
      <c r="AJ1722" s="421"/>
      <c r="AK1722" s="421"/>
      <c r="AL1722" s="421"/>
    </row>
    <row r="1723" spans="1:38">
      <c r="A1723" s="408">
        <v>6345</v>
      </c>
      <c r="B1723" s="83">
        <f t="array" ref="B1723">SUM(--(FREQUENCY(IF(C$2:C$3072=C1723, MATCH(D$2:D$3072, D$2:D$3072, 0)), ROW(D$2:D$3072)-ROW(D$2)+1) &gt; 0))</f>
        <v>7</v>
      </c>
      <c r="C1723" s="408">
        <v>41200039</v>
      </c>
      <c r="D1723" s="408" t="s">
        <v>3483</v>
      </c>
      <c r="E1723" s="408" t="s">
        <v>1426</v>
      </c>
      <c r="F1723" s="408" t="s">
        <v>1476</v>
      </c>
      <c r="G1723" s="408" t="s">
        <v>2675</v>
      </c>
      <c r="H1723" s="197">
        <f t="shared" si="424"/>
        <v>51</v>
      </c>
      <c r="I1723" s="408">
        <v>12</v>
      </c>
      <c r="J1723" s="408">
        <v>17</v>
      </c>
      <c r="K1723" s="186">
        <f t="shared" si="428"/>
        <v>46008</v>
      </c>
      <c r="L1723" s="408" t="s">
        <v>2391</v>
      </c>
      <c r="M1723" s="408" t="s">
        <v>1468</v>
      </c>
      <c r="N1723" s="408" t="str">
        <f t="shared" si="432"/>
        <v/>
      </c>
      <c r="O1723" s="408"/>
      <c r="P1723" s="408"/>
      <c r="Q1723" s="408"/>
      <c r="R1723" s="408"/>
      <c r="S1723" s="408"/>
      <c r="T1723" s="408"/>
      <c r="U1723" s="408"/>
      <c r="V1723" s="421"/>
      <c r="W1723" s="421"/>
      <c r="X1723" s="421"/>
      <c r="Y1723" s="421"/>
      <c r="Z1723" s="421"/>
      <c r="AA1723" s="421"/>
      <c r="AB1723" s="421"/>
      <c r="AC1723" s="421"/>
      <c r="AD1723" s="421"/>
      <c r="AE1723" s="421"/>
      <c r="AF1723" s="421"/>
      <c r="AG1723" s="421"/>
      <c r="AH1723" s="421"/>
      <c r="AI1723" s="421"/>
      <c r="AJ1723" s="421"/>
      <c r="AK1723" s="421"/>
      <c r="AL1723" s="421"/>
    </row>
    <row r="1724" spans="1:38">
      <c r="A1724" s="408">
        <v>6304</v>
      </c>
      <c r="B1724" s="83">
        <f t="array" ref="B1724">SUM(--(FREQUENCY(IF(C$2:C$3072=C1724, MATCH(D$2:D$3072, D$2:D$3072, 0)), ROW(D$2:D$3072)-ROW(D$2)+1) &gt; 0))</f>
        <v>76</v>
      </c>
      <c r="C1724" s="408">
        <v>41200007</v>
      </c>
      <c r="D1724" s="408" t="s">
        <v>3484</v>
      </c>
      <c r="E1724" s="408" t="s">
        <v>1405</v>
      </c>
      <c r="F1724" s="408" t="s">
        <v>1591</v>
      </c>
      <c r="G1724" s="408" t="s">
        <v>2666</v>
      </c>
      <c r="H1724" s="197">
        <f t="shared" si="424"/>
        <v>51</v>
      </c>
      <c r="I1724" s="408">
        <v>12</v>
      </c>
      <c r="J1724" s="408">
        <v>17</v>
      </c>
      <c r="K1724" s="186">
        <f t="shared" si="428"/>
        <v>46008</v>
      </c>
      <c r="L1724" s="408" t="s">
        <v>2395</v>
      </c>
      <c r="M1724" s="408" t="s">
        <v>1469</v>
      </c>
      <c r="N1724" s="408" t="str">
        <f t="shared" si="432"/>
        <v/>
      </c>
      <c r="O1724" s="408"/>
      <c r="P1724" s="408"/>
      <c r="Q1724" s="408"/>
      <c r="R1724" s="408"/>
      <c r="S1724" s="408"/>
      <c r="T1724" s="408"/>
      <c r="U1724" s="408"/>
      <c r="V1724" s="421"/>
      <c r="W1724" s="421"/>
      <c r="X1724" s="421"/>
      <c r="Y1724" s="421"/>
      <c r="Z1724" s="421"/>
      <c r="AA1724" s="421"/>
      <c r="AB1724" s="421"/>
      <c r="AC1724" s="421"/>
      <c r="AD1724" s="421"/>
      <c r="AE1724" s="421"/>
      <c r="AF1724" s="421"/>
      <c r="AG1724" s="421"/>
      <c r="AH1724" s="421"/>
      <c r="AI1724" s="421"/>
      <c r="AJ1724" s="421"/>
      <c r="AK1724" s="421"/>
      <c r="AL1724" s="421"/>
    </row>
    <row r="1725" spans="1:38">
      <c r="A1725" s="408">
        <v>6304</v>
      </c>
      <c r="B1725" s="83">
        <f t="array" ref="B1725">SUM(--(FREQUENCY(IF(C$2:C$3072=C1725, MATCH(D$2:D$3072, D$2:D$3072, 0)), ROW(D$2:D$3072)-ROW(D$2)+1) &gt; 0))</f>
        <v>76</v>
      </c>
      <c r="C1725" s="408">
        <v>41200007</v>
      </c>
      <c r="D1725" s="408" t="s">
        <v>3485</v>
      </c>
      <c r="E1725" s="408" t="s">
        <v>1405</v>
      </c>
      <c r="F1725" s="408" t="s">
        <v>1591</v>
      </c>
      <c r="G1725" s="408" t="s">
        <v>2666</v>
      </c>
      <c r="H1725" s="197">
        <f t="shared" si="424"/>
        <v>51</v>
      </c>
      <c r="I1725" s="408">
        <v>12</v>
      </c>
      <c r="J1725" s="408">
        <v>17</v>
      </c>
      <c r="K1725" s="186">
        <f t="shared" si="428"/>
        <v>46008</v>
      </c>
      <c r="L1725" s="408" t="s">
        <v>2395</v>
      </c>
      <c r="M1725" s="408" t="s">
        <v>1469</v>
      </c>
      <c r="N1725" s="408" t="str">
        <f t="shared" si="432"/>
        <v/>
      </c>
      <c r="O1725" s="408"/>
      <c r="P1725" s="408"/>
      <c r="Q1725" s="408"/>
      <c r="R1725" s="408"/>
      <c r="S1725" s="408"/>
      <c r="T1725" s="408"/>
      <c r="U1725" s="408"/>
      <c r="V1725" s="421"/>
      <c r="W1725" s="421"/>
      <c r="X1725" s="421"/>
      <c r="Y1725" s="421"/>
      <c r="Z1725" s="421"/>
      <c r="AA1725" s="421"/>
      <c r="AB1725" s="421"/>
      <c r="AC1725" s="421"/>
      <c r="AD1725" s="421"/>
      <c r="AE1725" s="421"/>
      <c r="AF1725" s="421"/>
      <c r="AG1725" s="421"/>
      <c r="AH1725" s="421"/>
      <c r="AI1725" s="421"/>
      <c r="AJ1725" s="421"/>
      <c r="AK1725" s="421"/>
      <c r="AL1725" s="421"/>
    </row>
    <row r="1726" spans="1:38">
      <c r="A1726" s="408">
        <v>6125</v>
      </c>
      <c r="B1726" s="83">
        <f t="array" ref="B1726">SUM(--(FREQUENCY(IF(C$2:C$3072=C1726, MATCH(D$2:D$3072, D$2:D$3072, 0)), ROW(D$2:D$3072)-ROW(D$2)+1) &gt; 0))</f>
        <v>12</v>
      </c>
      <c r="C1726" s="408">
        <v>41100502</v>
      </c>
      <c r="D1726" s="408" t="s">
        <v>3486</v>
      </c>
      <c r="E1726" s="408" t="s">
        <v>1585</v>
      </c>
      <c r="F1726" s="408" t="s">
        <v>1591</v>
      </c>
      <c r="G1726" s="408" t="s">
        <v>2666</v>
      </c>
      <c r="H1726" s="197">
        <f t="shared" si="424"/>
        <v>51</v>
      </c>
      <c r="I1726" s="408">
        <v>12</v>
      </c>
      <c r="J1726" s="408">
        <v>17</v>
      </c>
      <c r="K1726" s="186">
        <f t="shared" si="428"/>
        <v>46008</v>
      </c>
      <c r="L1726" s="408" t="s">
        <v>2395</v>
      </c>
      <c r="M1726" s="408" t="s">
        <v>1469</v>
      </c>
      <c r="N1726" s="408" t="str">
        <f t="shared" si="432"/>
        <v>NG</v>
      </c>
      <c r="O1726" s="408" t="s">
        <v>2368</v>
      </c>
      <c r="P1726" s="408" t="s">
        <v>2371</v>
      </c>
      <c r="Q1726" s="408">
        <v>11001967</v>
      </c>
      <c r="R1726" s="408" t="s">
        <v>1151</v>
      </c>
      <c r="S1726" s="408" t="s">
        <v>3487</v>
      </c>
      <c r="T1726" s="408"/>
      <c r="U1726" s="408"/>
      <c r="V1726" s="421"/>
      <c r="W1726" s="421"/>
      <c r="X1726" s="421"/>
      <c r="Y1726" s="421"/>
      <c r="Z1726" s="421"/>
      <c r="AA1726" s="421"/>
      <c r="AB1726" s="421"/>
      <c r="AC1726" s="421"/>
      <c r="AD1726" s="421"/>
      <c r="AE1726" s="421"/>
      <c r="AF1726" s="421"/>
      <c r="AG1726" s="421"/>
      <c r="AH1726" s="421"/>
      <c r="AI1726" s="421"/>
      <c r="AJ1726" s="421"/>
      <c r="AK1726" s="421"/>
      <c r="AL1726" s="421"/>
    </row>
    <row r="1727" spans="1:38">
      <c r="A1727" s="408">
        <v>6125</v>
      </c>
      <c r="B1727" s="83">
        <f t="array" ref="B1727">SUM(--(FREQUENCY(IF(C$2:C$3072=C1727, MATCH(D$2:D$3072, D$2:D$3072, 0)), ROW(D$2:D$3072)-ROW(D$2)+1) &gt; 0))</f>
        <v>12</v>
      </c>
      <c r="C1727" s="408">
        <v>41100502</v>
      </c>
      <c r="D1727" s="408" t="s">
        <v>3488</v>
      </c>
      <c r="E1727" s="408" t="s">
        <v>1585</v>
      </c>
      <c r="F1727" s="408" t="s">
        <v>1591</v>
      </c>
      <c r="G1727" s="408" t="s">
        <v>2666</v>
      </c>
      <c r="H1727" s="197">
        <f t="shared" si="424"/>
        <v>51</v>
      </c>
      <c r="I1727" s="408">
        <v>12</v>
      </c>
      <c r="J1727" s="408">
        <v>17</v>
      </c>
      <c r="K1727" s="186">
        <f t="shared" si="428"/>
        <v>46008</v>
      </c>
      <c r="L1727" s="408" t="s">
        <v>2395</v>
      </c>
      <c r="M1727" s="408" t="s">
        <v>1469</v>
      </c>
      <c r="N1727" s="408" t="str">
        <f t="shared" si="432"/>
        <v/>
      </c>
      <c r="O1727" s="408"/>
      <c r="P1727" s="408"/>
      <c r="Q1727" s="408"/>
      <c r="R1727" s="408"/>
      <c r="S1727" s="408"/>
      <c r="T1727" s="408"/>
      <c r="U1727" s="408"/>
      <c r="V1727" s="421"/>
      <c r="W1727" s="421"/>
      <c r="X1727" s="421"/>
      <c r="Y1727" s="421"/>
      <c r="Z1727" s="421"/>
      <c r="AA1727" s="421"/>
      <c r="AB1727" s="421"/>
      <c r="AC1727" s="421"/>
      <c r="AD1727" s="421"/>
      <c r="AE1727" s="421"/>
      <c r="AF1727" s="421"/>
      <c r="AG1727" s="421"/>
      <c r="AH1727" s="421"/>
      <c r="AI1727" s="421"/>
      <c r="AJ1727" s="421"/>
      <c r="AK1727" s="421"/>
      <c r="AL1727" s="421"/>
    </row>
    <row r="1728" spans="1:38">
      <c r="A1728" s="408">
        <v>6042</v>
      </c>
      <c r="B1728" s="83">
        <f t="array" ref="B1728">SUM(--(FREQUENCY(IF(C$2:C$3072=C1728, MATCH(D$2:D$3072, D$2:D$3072, 0)), ROW(D$2:D$3072)-ROW(D$2)+1) &gt; 0))</f>
        <v>5</v>
      </c>
      <c r="C1728" s="408">
        <v>41200042</v>
      </c>
      <c r="D1728" s="408" t="s">
        <v>3489</v>
      </c>
      <c r="E1728" s="408" t="s">
        <v>1426</v>
      </c>
      <c r="F1728" s="408" t="s">
        <v>1476</v>
      </c>
      <c r="G1728" s="408" t="s">
        <v>2675</v>
      </c>
      <c r="H1728" s="197">
        <f t="shared" si="424"/>
        <v>51</v>
      </c>
      <c r="I1728" s="408">
        <v>12</v>
      </c>
      <c r="J1728" s="408">
        <v>18</v>
      </c>
      <c r="K1728" s="186">
        <f t="shared" si="428"/>
        <v>46009</v>
      </c>
      <c r="L1728" s="408" t="s">
        <v>2391</v>
      </c>
      <c r="M1728" s="408" t="s">
        <v>2392</v>
      </c>
      <c r="N1728" s="408" t="str">
        <f t="shared" si="432"/>
        <v>NG</v>
      </c>
      <c r="O1728" s="408" t="s">
        <v>2368</v>
      </c>
      <c r="P1728" s="408" t="s">
        <v>2371</v>
      </c>
      <c r="Q1728" s="408">
        <v>11001964</v>
      </c>
      <c r="R1728" s="408" t="s">
        <v>562</v>
      </c>
      <c r="S1728" s="408" t="s">
        <v>3490</v>
      </c>
      <c r="T1728" s="408"/>
      <c r="U1728" s="408"/>
      <c r="V1728" s="421"/>
      <c r="W1728" s="421"/>
      <c r="X1728" s="421"/>
      <c r="Y1728" s="421"/>
      <c r="Z1728" s="421"/>
      <c r="AA1728" s="421"/>
      <c r="AB1728" s="421"/>
      <c r="AC1728" s="421"/>
      <c r="AD1728" s="421"/>
      <c r="AE1728" s="421"/>
      <c r="AF1728" s="421"/>
      <c r="AG1728" s="421"/>
      <c r="AH1728" s="421"/>
      <c r="AI1728" s="421"/>
      <c r="AJ1728" s="421"/>
      <c r="AK1728" s="421"/>
      <c r="AL1728" s="421"/>
    </row>
    <row r="1729" spans="1:38">
      <c r="A1729" s="408">
        <v>6037</v>
      </c>
      <c r="B1729" s="83">
        <f t="array" ref="B1729">SUM(--(FREQUENCY(IF(C$2:C$3072=C1729, MATCH(D$2:D$3072, D$2:D$3072, 0)), ROW(D$2:D$3072)-ROW(D$2)+1) &gt; 0))</f>
        <v>25</v>
      </c>
      <c r="C1729" s="408">
        <v>41200034</v>
      </c>
      <c r="D1729" s="408" t="s">
        <v>3491</v>
      </c>
      <c r="E1729" s="408" t="s">
        <v>1426</v>
      </c>
      <c r="F1729" s="408" t="s">
        <v>1476</v>
      </c>
      <c r="G1729" s="408" t="s">
        <v>2675</v>
      </c>
      <c r="H1729" s="197">
        <f t="shared" si="424"/>
        <v>51</v>
      </c>
      <c r="I1729" s="408">
        <v>12</v>
      </c>
      <c r="J1729" s="408">
        <v>18</v>
      </c>
      <c r="K1729" s="186">
        <f t="shared" si="428"/>
        <v>46009</v>
      </c>
      <c r="L1729" s="408" t="s">
        <v>2395</v>
      </c>
      <c r="M1729" s="408" t="s">
        <v>1468</v>
      </c>
      <c r="N1729" s="408" t="str">
        <f t="shared" si="432"/>
        <v/>
      </c>
      <c r="O1729" s="408"/>
      <c r="P1729" s="408"/>
      <c r="Q1729" s="408"/>
      <c r="R1729" s="408"/>
      <c r="S1729" s="408"/>
      <c r="T1729" s="408"/>
      <c r="U1729" s="408"/>
      <c r="V1729" s="421"/>
      <c r="W1729" s="421"/>
      <c r="X1729" s="421"/>
      <c r="Y1729" s="421"/>
      <c r="Z1729" s="421"/>
      <c r="AA1729" s="421"/>
      <c r="AB1729" s="421"/>
      <c r="AC1729" s="421"/>
      <c r="AD1729" s="421"/>
      <c r="AE1729" s="421"/>
      <c r="AF1729" s="421"/>
      <c r="AG1729" s="421"/>
      <c r="AH1729" s="421"/>
      <c r="AI1729" s="421"/>
      <c r="AJ1729" s="421"/>
      <c r="AK1729" s="421"/>
      <c r="AL1729" s="421"/>
    </row>
    <row r="1730" spans="1:38" s="180" customFormat="1">
      <c r="A1730" s="414">
        <v>6155</v>
      </c>
      <c r="B1730" s="83">
        <f t="array" ref="B1730">SUM(--(FREQUENCY(IF(C$2:C$3072=C1730, MATCH(D$2:D$3072, D$2:D$3072, 0)), ROW(D$2:D$3072)-ROW(D$2)+1) &gt; 0))</f>
        <v>2</v>
      </c>
      <c r="C1730" s="414">
        <v>41200079</v>
      </c>
      <c r="D1730" s="414" t="s">
        <v>3492</v>
      </c>
      <c r="E1730" s="414" t="s">
        <v>1405</v>
      </c>
      <c r="F1730" s="414" t="s">
        <v>1480</v>
      </c>
      <c r="G1730" s="414" t="s">
        <v>2675</v>
      </c>
      <c r="H1730" s="526">
        <f t="shared" si="424"/>
        <v>51</v>
      </c>
      <c r="I1730" s="414">
        <v>12</v>
      </c>
      <c r="J1730" s="414">
        <v>18</v>
      </c>
      <c r="K1730" s="554">
        <f t="shared" si="428"/>
        <v>46009</v>
      </c>
      <c r="L1730" s="414" t="s">
        <v>2395</v>
      </c>
      <c r="M1730" s="414" t="s">
        <v>1468</v>
      </c>
      <c r="N1730" s="414" t="str">
        <f t="shared" si="432"/>
        <v>NG</v>
      </c>
      <c r="O1730" s="414" t="s">
        <v>2368</v>
      </c>
      <c r="P1730" s="408" t="s">
        <v>2371</v>
      </c>
      <c r="Q1730" s="414">
        <v>11001964</v>
      </c>
      <c r="R1730" s="414" t="s">
        <v>562</v>
      </c>
      <c r="S1730" s="414" t="s">
        <v>3493</v>
      </c>
      <c r="T1730" s="414"/>
      <c r="U1730" s="414"/>
      <c r="V1730" s="419"/>
      <c r="W1730" s="419"/>
      <c r="X1730" s="419"/>
      <c r="Y1730" s="419"/>
      <c r="Z1730" s="419"/>
      <c r="AA1730" s="419"/>
      <c r="AB1730" s="419"/>
      <c r="AC1730" s="419"/>
      <c r="AD1730" s="419"/>
      <c r="AE1730" s="419"/>
      <c r="AF1730" s="419"/>
      <c r="AG1730" s="419"/>
      <c r="AH1730" s="419"/>
      <c r="AI1730" s="419"/>
      <c r="AJ1730" s="419"/>
      <c r="AK1730" s="419"/>
      <c r="AL1730" s="419"/>
    </row>
    <row r="1731" spans="1:38" s="180" customFormat="1">
      <c r="A1731" s="414">
        <v>6155</v>
      </c>
      <c r="B1731" s="83">
        <f t="array" ref="B1731">SUM(--(FREQUENCY(IF(C$2:C$3072=C1731, MATCH(D$2:D$3072, D$2:D$3072, 0)), ROW(D$2:D$3072)-ROW(D$2)+1) &gt; 0))</f>
        <v>2</v>
      </c>
      <c r="C1731" s="414">
        <v>41200079</v>
      </c>
      <c r="D1731" s="414" t="s">
        <v>3492</v>
      </c>
      <c r="E1731" s="414" t="s">
        <v>1405</v>
      </c>
      <c r="F1731" s="414" t="s">
        <v>1480</v>
      </c>
      <c r="G1731" s="414" t="s">
        <v>2675</v>
      </c>
      <c r="H1731" s="526">
        <f t="shared" ref="H1731" si="433">WEEKNUM(K1731)</f>
        <v>51</v>
      </c>
      <c r="I1731" s="414">
        <v>12</v>
      </c>
      <c r="J1731" s="414">
        <v>18</v>
      </c>
      <c r="K1731" s="554">
        <f t="shared" ref="K1731" si="434">DATE(2025, I1731, J1731)</f>
        <v>46009</v>
      </c>
      <c r="L1731" s="414" t="s">
        <v>2395</v>
      </c>
      <c r="M1731" s="414" t="s">
        <v>1468</v>
      </c>
      <c r="N1731" s="414" t="str">
        <f t="shared" ref="N1731" si="435">IF(O1731&lt;&gt;"", "NG", "")</f>
        <v>NG</v>
      </c>
      <c r="O1731" s="414" t="s">
        <v>2368</v>
      </c>
      <c r="P1731" s="414" t="s">
        <v>2371</v>
      </c>
      <c r="Q1731" s="414">
        <v>11001964</v>
      </c>
      <c r="R1731" s="414" t="s">
        <v>562</v>
      </c>
      <c r="S1731" s="414" t="s">
        <v>3494</v>
      </c>
      <c r="T1731" s="414"/>
      <c r="U1731" s="414"/>
      <c r="V1731" s="419"/>
      <c r="W1731" s="419"/>
      <c r="X1731" s="419"/>
      <c r="Y1731" s="419"/>
      <c r="Z1731" s="419"/>
      <c r="AA1731" s="419"/>
      <c r="AB1731" s="419"/>
      <c r="AC1731" s="419"/>
      <c r="AD1731" s="419"/>
      <c r="AE1731" s="419"/>
      <c r="AF1731" s="419"/>
      <c r="AG1731" s="419"/>
      <c r="AH1731" s="419"/>
      <c r="AI1731" s="419"/>
      <c r="AJ1731" s="419"/>
      <c r="AK1731" s="419"/>
      <c r="AL1731" s="419"/>
    </row>
    <row r="1732" spans="1:38">
      <c r="A1732" s="408">
        <v>5977</v>
      </c>
      <c r="B1732" s="83">
        <f t="array" ref="B1732">SUM(--(FREQUENCY(IF(C$2:C$3072=C1732, MATCH(D$2:D$3072, D$2:D$3072, 0)), ROW(D$2:D$3072)-ROW(D$2)+1) &gt; 0))</f>
        <v>25</v>
      </c>
      <c r="C1732" s="408">
        <v>41200158</v>
      </c>
      <c r="D1732" s="408" t="s">
        <v>3495</v>
      </c>
      <c r="E1732" s="408" t="s">
        <v>1405</v>
      </c>
      <c r="F1732" s="408" t="s">
        <v>1480</v>
      </c>
      <c r="G1732" s="408" t="s">
        <v>2675</v>
      </c>
      <c r="H1732" s="197">
        <f t="shared" si="424"/>
        <v>51</v>
      </c>
      <c r="I1732" s="408">
        <v>12</v>
      </c>
      <c r="J1732" s="408">
        <v>18</v>
      </c>
      <c r="K1732" s="186">
        <f t="shared" si="428"/>
        <v>46009</v>
      </c>
      <c r="L1732" s="408" t="s">
        <v>2395</v>
      </c>
      <c r="M1732" s="408" t="s">
        <v>1468</v>
      </c>
      <c r="N1732" s="408" t="str">
        <f t="shared" si="432"/>
        <v>NG</v>
      </c>
      <c r="O1732" s="408" t="s">
        <v>2368</v>
      </c>
      <c r="P1732" s="414" t="s">
        <v>2371</v>
      </c>
      <c r="Q1732" s="414">
        <v>11001964</v>
      </c>
      <c r="R1732" s="414" t="s">
        <v>562</v>
      </c>
      <c r="S1732" s="414" t="s">
        <v>3490</v>
      </c>
      <c r="T1732" s="408"/>
      <c r="U1732" s="408"/>
      <c r="V1732" s="421"/>
      <c r="W1732" s="421"/>
      <c r="X1732" s="421"/>
      <c r="Y1732" s="421"/>
      <c r="Z1732" s="421"/>
      <c r="AA1732" s="421"/>
      <c r="AB1732" s="421"/>
      <c r="AC1732" s="421"/>
      <c r="AD1732" s="421"/>
      <c r="AE1732" s="421"/>
      <c r="AF1732" s="421"/>
      <c r="AG1732" s="421"/>
      <c r="AH1732" s="421"/>
      <c r="AI1732" s="421"/>
      <c r="AJ1732" s="421"/>
      <c r="AK1732" s="421"/>
      <c r="AL1732" s="421"/>
    </row>
    <row r="1733" spans="1:38">
      <c r="A1733" s="408">
        <v>5977</v>
      </c>
      <c r="B1733" s="83">
        <f t="array" ref="B1733">SUM(--(FREQUENCY(IF(C$2:C$3072=C1733, MATCH(D$2:D$3072, D$2:D$3072, 0)), ROW(D$2:D$3072)-ROW(D$2)+1) &gt; 0))</f>
        <v>25</v>
      </c>
      <c r="C1733" s="408">
        <v>41200158</v>
      </c>
      <c r="D1733" s="408" t="s">
        <v>3495</v>
      </c>
      <c r="E1733" s="408" t="s">
        <v>1405</v>
      </c>
      <c r="F1733" s="408" t="s">
        <v>1480</v>
      </c>
      <c r="G1733" s="408" t="s">
        <v>2675</v>
      </c>
      <c r="H1733" s="197">
        <f t="shared" ref="H1733:H1735" si="436">WEEKNUM(K1733)</f>
        <v>51</v>
      </c>
      <c r="I1733" s="408">
        <v>12</v>
      </c>
      <c r="J1733" s="408">
        <v>18</v>
      </c>
      <c r="K1733" s="186">
        <f t="shared" ref="K1733:K1735" si="437">DATE(2025, I1733, J1733)</f>
        <v>46009</v>
      </c>
      <c r="L1733" s="408" t="s">
        <v>2395</v>
      </c>
      <c r="M1733" s="408" t="s">
        <v>1468</v>
      </c>
      <c r="N1733" s="408" t="str">
        <f t="shared" ref="N1733:N1735" si="438">IF(O1733&lt;&gt;"", "NG", "")</f>
        <v>NG</v>
      </c>
      <c r="O1733" s="408" t="s">
        <v>2368</v>
      </c>
      <c r="P1733" s="414" t="s">
        <v>2371</v>
      </c>
      <c r="Q1733" s="414">
        <v>11001964</v>
      </c>
      <c r="R1733" s="414" t="s">
        <v>562</v>
      </c>
      <c r="S1733" s="414" t="s">
        <v>3494</v>
      </c>
      <c r="T1733" s="408"/>
      <c r="U1733" s="408"/>
      <c r="V1733" s="421"/>
      <c r="W1733" s="421"/>
      <c r="X1733" s="421"/>
      <c r="Y1733" s="421"/>
      <c r="Z1733" s="421"/>
      <c r="AA1733" s="421"/>
      <c r="AB1733" s="421"/>
      <c r="AC1733" s="421"/>
      <c r="AD1733" s="421"/>
      <c r="AE1733" s="421"/>
      <c r="AF1733" s="421"/>
      <c r="AG1733" s="421"/>
      <c r="AH1733" s="421"/>
      <c r="AI1733" s="421"/>
      <c r="AJ1733" s="421"/>
      <c r="AK1733" s="421"/>
      <c r="AL1733" s="421"/>
    </row>
    <row r="1734" spans="1:38">
      <c r="A1734" s="408">
        <v>5977</v>
      </c>
      <c r="B1734" s="83">
        <f t="array" ref="B1734">SUM(--(FREQUENCY(IF(C$2:C$3072=C1734, MATCH(D$2:D$3072, D$2:D$3072, 0)), ROW(D$2:D$3072)-ROW(D$2)+1) &gt; 0))</f>
        <v>25</v>
      </c>
      <c r="C1734" s="408">
        <v>41200158</v>
      </c>
      <c r="D1734" s="408" t="s">
        <v>3495</v>
      </c>
      <c r="E1734" s="408" t="s">
        <v>1405</v>
      </c>
      <c r="F1734" s="408" t="s">
        <v>1480</v>
      </c>
      <c r="G1734" s="408" t="s">
        <v>2675</v>
      </c>
      <c r="H1734" s="197">
        <f t="shared" si="436"/>
        <v>51</v>
      </c>
      <c r="I1734" s="408">
        <v>12</v>
      </c>
      <c r="J1734" s="408">
        <v>18</v>
      </c>
      <c r="K1734" s="186">
        <f t="shared" si="437"/>
        <v>46009</v>
      </c>
      <c r="L1734" s="408" t="s">
        <v>2395</v>
      </c>
      <c r="M1734" s="408" t="s">
        <v>1468</v>
      </c>
      <c r="N1734" s="408" t="str">
        <f t="shared" si="438"/>
        <v>NG</v>
      </c>
      <c r="O1734" s="408" t="s">
        <v>2368</v>
      </c>
      <c r="P1734" s="414" t="s">
        <v>2371</v>
      </c>
      <c r="Q1734" s="414">
        <v>11001964</v>
      </c>
      <c r="R1734" s="414" t="s">
        <v>562</v>
      </c>
      <c r="S1734" s="414" t="s">
        <v>3496</v>
      </c>
      <c r="T1734" s="408"/>
      <c r="U1734" s="408"/>
      <c r="V1734" s="421"/>
      <c r="W1734" s="421"/>
      <c r="X1734" s="421"/>
      <c r="Y1734" s="421"/>
      <c r="Z1734" s="421"/>
      <c r="AA1734" s="421"/>
      <c r="AB1734" s="421"/>
      <c r="AC1734" s="421"/>
      <c r="AD1734" s="421"/>
      <c r="AE1734" s="421"/>
      <c r="AF1734" s="421"/>
      <c r="AG1734" s="421"/>
      <c r="AH1734" s="421"/>
      <c r="AI1734" s="421"/>
      <c r="AJ1734" s="421"/>
      <c r="AK1734" s="421"/>
      <c r="AL1734" s="421"/>
    </row>
    <row r="1735" spans="1:38">
      <c r="A1735" s="408">
        <v>5977</v>
      </c>
      <c r="B1735" s="83">
        <f t="array" ref="B1735">SUM(--(FREQUENCY(IF(C$2:C$3072=C1735, MATCH(D$2:D$3072, D$2:D$3072, 0)), ROW(D$2:D$3072)-ROW(D$2)+1) &gt; 0))</f>
        <v>25</v>
      </c>
      <c r="C1735" s="408">
        <v>41200158</v>
      </c>
      <c r="D1735" s="408" t="s">
        <v>3495</v>
      </c>
      <c r="E1735" s="408" t="s">
        <v>1405</v>
      </c>
      <c r="F1735" s="408" t="s">
        <v>1480</v>
      </c>
      <c r="G1735" s="408" t="s">
        <v>2675</v>
      </c>
      <c r="H1735" s="197">
        <f t="shared" si="436"/>
        <v>51</v>
      </c>
      <c r="I1735" s="408">
        <v>12</v>
      </c>
      <c r="J1735" s="408">
        <v>18</v>
      </c>
      <c r="K1735" s="186">
        <f t="shared" si="437"/>
        <v>46009</v>
      </c>
      <c r="L1735" s="408" t="s">
        <v>2395</v>
      </c>
      <c r="M1735" s="408" t="s">
        <v>1468</v>
      </c>
      <c r="N1735" s="408" t="str">
        <f t="shared" si="438"/>
        <v>NG</v>
      </c>
      <c r="O1735" s="408" t="s">
        <v>2368</v>
      </c>
      <c r="P1735" s="414" t="s">
        <v>2371</v>
      </c>
      <c r="Q1735" s="414">
        <v>11001964</v>
      </c>
      <c r="R1735" s="414" t="s">
        <v>562</v>
      </c>
      <c r="S1735" s="414" t="s">
        <v>3493</v>
      </c>
      <c r="T1735" s="408"/>
      <c r="U1735" s="408"/>
      <c r="V1735" s="421"/>
      <c r="W1735" s="421"/>
      <c r="X1735" s="421"/>
      <c r="Y1735" s="421"/>
      <c r="Z1735" s="421"/>
      <c r="AA1735" s="421"/>
      <c r="AB1735" s="421"/>
      <c r="AC1735" s="421"/>
      <c r="AD1735" s="421"/>
      <c r="AE1735" s="421"/>
      <c r="AF1735" s="421"/>
      <c r="AG1735" s="421"/>
      <c r="AH1735" s="421"/>
      <c r="AI1735" s="421"/>
      <c r="AJ1735" s="421"/>
      <c r="AK1735" s="421"/>
      <c r="AL1735" s="421"/>
    </row>
    <row r="1736" spans="1:38">
      <c r="A1736" s="408">
        <v>6348</v>
      </c>
      <c r="B1736" s="83">
        <f t="array" ref="B1736">SUM(--(FREQUENCY(IF(C$2:C$3072=C1736, MATCH(D$2:D$3072, D$2:D$3072, 0)), ROW(D$2:D$3072)-ROW(D$2)+1) &gt; 0))</f>
        <v>22</v>
      </c>
      <c r="C1736" s="408">
        <v>41200047</v>
      </c>
      <c r="D1736" s="408" t="s">
        <v>3497</v>
      </c>
      <c r="E1736" s="408" t="s">
        <v>1426</v>
      </c>
      <c r="F1736" s="408" t="s">
        <v>1476</v>
      </c>
      <c r="G1736" s="408" t="s">
        <v>2675</v>
      </c>
      <c r="H1736" s="197">
        <f t="shared" si="424"/>
        <v>51</v>
      </c>
      <c r="I1736" s="408">
        <v>12</v>
      </c>
      <c r="J1736" s="408">
        <v>18</v>
      </c>
      <c r="K1736" s="186">
        <f t="shared" si="428"/>
        <v>46009</v>
      </c>
      <c r="L1736" s="408" t="s">
        <v>2395</v>
      </c>
      <c r="M1736" s="408" t="s">
        <v>1469</v>
      </c>
      <c r="N1736" s="408" t="str">
        <f t="shared" si="432"/>
        <v>NG</v>
      </c>
      <c r="O1736" s="408" t="s">
        <v>2368</v>
      </c>
      <c r="P1736" s="408" t="s">
        <v>2371</v>
      </c>
      <c r="Q1736" s="408">
        <v>11001966</v>
      </c>
      <c r="R1736" s="408" t="s">
        <v>1151</v>
      </c>
      <c r="S1736" s="408" t="s">
        <v>3498</v>
      </c>
      <c r="T1736" s="408"/>
      <c r="U1736" s="408"/>
      <c r="V1736" s="421"/>
      <c r="W1736" s="421"/>
      <c r="X1736" s="421"/>
      <c r="Y1736" s="421"/>
      <c r="Z1736" s="421"/>
      <c r="AA1736" s="421"/>
      <c r="AB1736" s="421"/>
      <c r="AC1736" s="421"/>
      <c r="AD1736" s="421"/>
      <c r="AE1736" s="421"/>
      <c r="AF1736" s="421"/>
      <c r="AG1736" s="421"/>
      <c r="AH1736" s="421"/>
      <c r="AI1736" s="421"/>
      <c r="AJ1736" s="421"/>
      <c r="AK1736" s="421"/>
      <c r="AL1736" s="421"/>
    </row>
    <row r="1737" spans="1:38">
      <c r="A1737" s="408">
        <v>6348</v>
      </c>
      <c r="B1737" s="83">
        <f t="array" ref="B1737">SUM(--(FREQUENCY(IF(C$2:C$3072=C1737, MATCH(D$2:D$3072, D$2:D$3072, 0)), ROW(D$2:D$3072)-ROW(D$2)+1) &gt; 0))</f>
        <v>22</v>
      </c>
      <c r="C1737" s="408">
        <v>41200047</v>
      </c>
      <c r="D1737" s="408" t="s">
        <v>3499</v>
      </c>
      <c r="E1737" s="408" t="s">
        <v>1426</v>
      </c>
      <c r="F1737" s="408" t="s">
        <v>1476</v>
      </c>
      <c r="G1737" s="408" t="s">
        <v>2675</v>
      </c>
      <c r="H1737" s="197">
        <f t="shared" si="424"/>
        <v>51</v>
      </c>
      <c r="I1737" s="408">
        <v>12</v>
      </c>
      <c r="J1737" s="408">
        <v>18</v>
      </c>
      <c r="K1737" s="186">
        <f t="shared" si="428"/>
        <v>46009</v>
      </c>
      <c r="L1737" s="408" t="s">
        <v>2395</v>
      </c>
      <c r="M1737" s="408" t="s">
        <v>1469</v>
      </c>
      <c r="N1737" s="408" t="str">
        <f t="shared" si="432"/>
        <v>NG</v>
      </c>
      <c r="O1737" s="408" t="s">
        <v>2368</v>
      </c>
      <c r="P1737" s="408" t="s">
        <v>2371</v>
      </c>
      <c r="Q1737" s="408">
        <v>11001962</v>
      </c>
      <c r="R1737" s="408" t="s">
        <v>562</v>
      </c>
      <c r="S1737" s="408" t="s">
        <v>3500</v>
      </c>
      <c r="T1737" s="408"/>
      <c r="U1737" s="408"/>
      <c r="V1737" s="421"/>
      <c r="W1737" s="421"/>
      <c r="X1737" s="421"/>
      <c r="Y1737" s="421"/>
      <c r="Z1737" s="421"/>
      <c r="AA1737" s="421"/>
      <c r="AB1737" s="421"/>
      <c r="AC1737" s="421"/>
      <c r="AD1737" s="421"/>
      <c r="AE1737" s="421"/>
      <c r="AF1737" s="421"/>
      <c r="AG1737" s="421"/>
      <c r="AH1737" s="421"/>
      <c r="AI1737" s="421"/>
      <c r="AJ1737" s="421"/>
      <c r="AK1737" s="421"/>
      <c r="AL1737" s="421"/>
    </row>
    <row r="1738" spans="1:38">
      <c r="A1738" s="408">
        <v>6348</v>
      </c>
      <c r="B1738" s="83">
        <f t="array" ref="B1738">SUM(--(FREQUENCY(IF(C$2:C$3072=C1738, MATCH(D$2:D$3072, D$2:D$3072, 0)), ROW(D$2:D$3072)-ROW(D$2)+1) &gt; 0))</f>
        <v>22</v>
      </c>
      <c r="C1738" s="408">
        <v>41200047</v>
      </c>
      <c r="D1738" s="408" t="s">
        <v>3501</v>
      </c>
      <c r="E1738" s="408" t="s">
        <v>1426</v>
      </c>
      <c r="F1738" s="408" t="s">
        <v>1476</v>
      </c>
      <c r="G1738" s="408" t="s">
        <v>2675</v>
      </c>
      <c r="H1738" s="197">
        <f t="shared" si="424"/>
        <v>51</v>
      </c>
      <c r="I1738" s="408">
        <v>12</v>
      </c>
      <c r="J1738" s="408">
        <v>18</v>
      </c>
      <c r="K1738" s="186">
        <f t="shared" si="428"/>
        <v>46009</v>
      </c>
      <c r="L1738" s="408" t="s">
        <v>2395</v>
      </c>
      <c r="M1738" s="408" t="s">
        <v>1469</v>
      </c>
      <c r="N1738" s="408" t="str">
        <f t="shared" si="432"/>
        <v/>
      </c>
      <c r="O1738" s="408"/>
      <c r="P1738" s="408"/>
      <c r="Q1738" s="408"/>
      <c r="R1738" s="408"/>
      <c r="S1738" s="408"/>
      <c r="T1738" s="408"/>
      <c r="U1738" s="408"/>
      <c r="V1738" s="421"/>
      <c r="W1738" s="421"/>
      <c r="X1738" s="421"/>
      <c r="Y1738" s="421"/>
      <c r="Z1738" s="421"/>
      <c r="AA1738" s="421"/>
      <c r="AB1738" s="421"/>
      <c r="AC1738" s="421"/>
      <c r="AD1738" s="421"/>
      <c r="AE1738" s="421"/>
      <c r="AF1738" s="421"/>
      <c r="AG1738" s="421"/>
      <c r="AH1738" s="421"/>
      <c r="AI1738" s="421"/>
      <c r="AJ1738" s="421"/>
      <c r="AK1738" s="421"/>
      <c r="AL1738" s="421"/>
    </row>
    <row r="1739" spans="1:38">
      <c r="A1739" s="408">
        <v>6299</v>
      </c>
      <c r="B1739" s="83">
        <f t="array" ref="B1739">SUM(--(FREQUENCY(IF(C$2:C$3072=C1739, MATCH(D$2:D$3072, D$2:D$3072, 0)), ROW(D$2:D$3072)-ROW(D$2)+1) &gt; 0))</f>
        <v>2</v>
      </c>
      <c r="C1739" s="408">
        <v>41200195</v>
      </c>
      <c r="D1739" s="408" t="s">
        <v>3502</v>
      </c>
      <c r="E1739" s="408" t="s">
        <v>1395</v>
      </c>
      <c r="F1739" s="408" t="s">
        <v>1476</v>
      </c>
      <c r="G1739" s="408" t="s">
        <v>2675</v>
      </c>
      <c r="H1739" s="197">
        <f t="shared" si="424"/>
        <v>51</v>
      </c>
      <c r="I1739" s="408">
        <v>12</v>
      </c>
      <c r="J1739" s="408">
        <v>18</v>
      </c>
      <c r="K1739" s="186">
        <f t="shared" si="428"/>
        <v>46009</v>
      </c>
      <c r="L1739" s="408" t="s">
        <v>2391</v>
      </c>
      <c r="M1739" s="408" t="s">
        <v>2392</v>
      </c>
      <c r="N1739" s="408" t="str">
        <f t="shared" si="432"/>
        <v/>
      </c>
      <c r="O1739" s="408"/>
      <c r="P1739" s="408"/>
      <c r="Q1739" s="408"/>
      <c r="R1739" s="408"/>
      <c r="S1739" s="408"/>
      <c r="T1739" s="408"/>
      <c r="U1739" s="408"/>
      <c r="V1739" s="421"/>
      <c r="W1739" s="421"/>
      <c r="X1739" s="421"/>
      <c r="Y1739" s="421"/>
      <c r="Z1739" s="421"/>
      <c r="AA1739" s="421"/>
      <c r="AB1739" s="421"/>
      <c r="AC1739" s="421"/>
      <c r="AD1739" s="421"/>
      <c r="AE1739" s="421"/>
      <c r="AF1739" s="421"/>
      <c r="AG1739" s="421"/>
      <c r="AH1739" s="421"/>
      <c r="AI1739" s="421"/>
      <c r="AJ1739" s="421"/>
      <c r="AK1739" s="421"/>
      <c r="AL1739" s="421"/>
    </row>
    <row r="1740" spans="1:38" s="180" customFormat="1">
      <c r="A1740" s="414">
        <v>6299</v>
      </c>
      <c r="B1740" s="83">
        <f t="array" ref="B1740">SUM(--(FREQUENCY(IF(C$2:C$3072=C1740, MATCH(D$2:D$3072, D$2:D$3072, 0)), ROW(D$2:D$3072)-ROW(D$2)+1) &gt; 0))</f>
        <v>2</v>
      </c>
      <c r="C1740" s="414">
        <v>41200195</v>
      </c>
      <c r="D1740" s="414" t="s">
        <v>3503</v>
      </c>
      <c r="E1740" s="414" t="s">
        <v>1395</v>
      </c>
      <c r="F1740" s="414" t="s">
        <v>1476</v>
      </c>
      <c r="G1740" s="414" t="s">
        <v>2675</v>
      </c>
      <c r="H1740" s="197">
        <f t="shared" si="424"/>
        <v>51</v>
      </c>
      <c r="I1740" s="414">
        <v>12</v>
      </c>
      <c r="J1740" s="414">
        <v>18</v>
      </c>
      <c r="K1740" s="554">
        <f t="shared" si="428"/>
        <v>46009</v>
      </c>
      <c r="L1740" s="414" t="s">
        <v>2391</v>
      </c>
      <c r="M1740" s="414" t="s">
        <v>2392</v>
      </c>
      <c r="N1740" s="414" t="str">
        <f t="shared" si="432"/>
        <v>NG</v>
      </c>
      <c r="O1740" s="414" t="s">
        <v>2368</v>
      </c>
      <c r="P1740" s="414" t="s">
        <v>2371</v>
      </c>
      <c r="Q1740" s="414">
        <v>11001968</v>
      </c>
      <c r="R1740" s="414" t="s">
        <v>473</v>
      </c>
      <c r="S1740" s="414" t="s">
        <v>3504</v>
      </c>
      <c r="T1740" s="414"/>
      <c r="U1740" s="414"/>
      <c r="V1740" s="419"/>
      <c r="W1740" s="419"/>
      <c r="X1740" s="419"/>
      <c r="Y1740" s="419"/>
      <c r="Z1740" s="419"/>
      <c r="AA1740" s="419"/>
      <c r="AB1740" s="419"/>
      <c r="AC1740" s="419"/>
      <c r="AD1740" s="419"/>
      <c r="AE1740" s="419"/>
      <c r="AF1740" s="419"/>
      <c r="AG1740" s="419"/>
      <c r="AH1740" s="419"/>
      <c r="AI1740" s="419"/>
      <c r="AJ1740" s="419"/>
      <c r="AK1740" s="419"/>
      <c r="AL1740" s="419"/>
    </row>
    <row r="1741" spans="1:38" s="180" customFormat="1">
      <c r="A1741" s="414">
        <v>6299</v>
      </c>
      <c r="B1741" s="83">
        <f t="array" ref="B1741">SUM(--(FREQUENCY(IF(C$2:C$3072=C1741, MATCH(D$2:D$3072, D$2:D$3072, 0)), ROW(D$2:D$3072)-ROW(D$2)+1) &gt; 0))</f>
        <v>2</v>
      </c>
      <c r="C1741" s="414">
        <v>41200195</v>
      </c>
      <c r="D1741" s="414" t="s">
        <v>3503</v>
      </c>
      <c r="E1741" s="414" t="s">
        <v>1395</v>
      </c>
      <c r="F1741" s="414" t="s">
        <v>1476</v>
      </c>
      <c r="G1741" s="414" t="s">
        <v>2675</v>
      </c>
      <c r="H1741" s="197">
        <f t="shared" si="424"/>
        <v>51</v>
      </c>
      <c r="I1741" s="414">
        <v>12</v>
      </c>
      <c r="J1741" s="414">
        <v>18</v>
      </c>
      <c r="K1741" s="554">
        <f t="shared" ref="K1741" si="439">DATE(2025, I1741, J1741)</f>
        <v>46009</v>
      </c>
      <c r="L1741" s="414" t="s">
        <v>2391</v>
      </c>
      <c r="M1741" s="414" t="s">
        <v>2392</v>
      </c>
      <c r="N1741" s="414" t="str">
        <f t="shared" ref="N1741" si="440">IF(O1741&lt;&gt;"", "NG", "")</f>
        <v>NG</v>
      </c>
      <c r="O1741" s="414" t="s">
        <v>2368</v>
      </c>
      <c r="P1741" s="414" t="s">
        <v>2371</v>
      </c>
      <c r="Q1741" s="414">
        <v>11001968</v>
      </c>
      <c r="R1741" s="414" t="s">
        <v>473</v>
      </c>
      <c r="S1741" s="414" t="s">
        <v>3505</v>
      </c>
      <c r="T1741" s="414"/>
      <c r="U1741" s="414"/>
      <c r="V1741" s="419"/>
      <c r="W1741" s="419"/>
      <c r="X1741" s="419"/>
      <c r="Y1741" s="419"/>
      <c r="Z1741" s="419"/>
      <c r="AA1741" s="419"/>
      <c r="AB1741" s="419"/>
      <c r="AC1741" s="419"/>
      <c r="AD1741" s="419"/>
      <c r="AE1741" s="419"/>
      <c r="AF1741" s="419"/>
      <c r="AG1741" s="419"/>
      <c r="AH1741" s="419"/>
      <c r="AI1741" s="419"/>
      <c r="AJ1741" s="419"/>
      <c r="AK1741" s="419"/>
      <c r="AL1741" s="419"/>
    </row>
    <row r="1742" spans="1:38">
      <c r="A1742" s="408">
        <v>6234</v>
      </c>
      <c r="B1742" s="83">
        <f t="array" ref="B1742">SUM(--(FREQUENCY(IF(C$2:C$3072=C1742, MATCH(D$2:D$3072, D$2:D$3072, 0)), ROW(D$2:D$3072)-ROW(D$2)+1) &gt; 0))</f>
        <v>4</v>
      </c>
      <c r="C1742" s="408">
        <v>41100227</v>
      </c>
      <c r="D1742" s="408" t="s">
        <v>3506</v>
      </c>
      <c r="E1742" s="408" t="s">
        <v>1424</v>
      </c>
      <c r="F1742" s="408" t="s">
        <v>1476</v>
      </c>
      <c r="G1742" s="408" t="s">
        <v>2675</v>
      </c>
      <c r="H1742" s="197">
        <f t="shared" si="424"/>
        <v>51</v>
      </c>
      <c r="I1742" s="408">
        <v>12</v>
      </c>
      <c r="J1742" s="408">
        <v>19</v>
      </c>
      <c r="K1742" s="186">
        <f t="shared" si="428"/>
        <v>46010</v>
      </c>
      <c r="L1742" s="408" t="s">
        <v>2391</v>
      </c>
      <c r="M1742" s="408" t="s">
        <v>2392</v>
      </c>
      <c r="N1742" s="408" t="str">
        <f t="shared" si="432"/>
        <v/>
      </c>
      <c r="O1742" s="408"/>
      <c r="P1742" s="408"/>
      <c r="Q1742" s="408"/>
      <c r="R1742" s="408"/>
      <c r="S1742" s="408"/>
      <c r="T1742" s="408"/>
      <c r="U1742" s="408"/>
      <c r="V1742" s="421"/>
      <c r="W1742" s="421"/>
      <c r="X1742" s="421"/>
      <c r="Y1742" s="421"/>
      <c r="Z1742" s="421"/>
      <c r="AA1742" s="421"/>
      <c r="AB1742" s="421"/>
      <c r="AC1742" s="421"/>
      <c r="AD1742" s="421"/>
      <c r="AE1742" s="421"/>
      <c r="AF1742" s="421"/>
      <c r="AG1742" s="421"/>
      <c r="AH1742" s="421"/>
      <c r="AI1742" s="421"/>
      <c r="AJ1742" s="421"/>
      <c r="AK1742" s="421"/>
      <c r="AL1742" s="421"/>
    </row>
    <row r="1743" spans="1:38">
      <c r="A1743" s="408">
        <v>6378</v>
      </c>
      <c r="B1743" s="83">
        <f t="array" ref="B1743">SUM(--(FREQUENCY(IF(C$2:C$3072=C1743, MATCH(D$2:D$3072, D$2:D$3072, 0)), ROW(D$2:D$3072)-ROW(D$2)+1) &gt; 0))</f>
        <v>7</v>
      </c>
      <c r="C1743" s="408">
        <v>41200153</v>
      </c>
      <c r="D1743" s="408" t="s">
        <v>3507</v>
      </c>
      <c r="E1743" s="408" t="s">
        <v>1422</v>
      </c>
      <c r="F1743" s="408" t="s">
        <v>1476</v>
      </c>
      <c r="G1743" s="408" t="s">
        <v>2675</v>
      </c>
      <c r="H1743" s="197">
        <f t="shared" si="424"/>
        <v>51</v>
      </c>
      <c r="I1743" s="408">
        <v>12</v>
      </c>
      <c r="J1743" s="408">
        <v>19</v>
      </c>
      <c r="K1743" s="186">
        <f t="shared" si="428"/>
        <v>46010</v>
      </c>
      <c r="L1743" s="408" t="s">
        <v>2395</v>
      </c>
      <c r="M1743" s="408" t="s">
        <v>2392</v>
      </c>
      <c r="N1743" s="408" t="str">
        <f t="shared" si="432"/>
        <v>NG</v>
      </c>
      <c r="O1743" s="408" t="s">
        <v>2368</v>
      </c>
      <c r="P1743" s="408" t="s">
        <v>3508</v>
      </c>
      <c r="Q1743" s="408">
        <v>12002885</v>
      </c>
      <c r="R1743" s="408" t="s">
        <v>3509</v>
      </c>
      <c r="S1743" s="408" t="s">
        <v>3510</v>
      </c>
      <c r="T1743" s="408"/>
      <c r="U1743" s="408"/>
      <c r="V1743" s="421"/>
      <c r="W1743" s="421"/>
      <c r="X1743" s="421"/>
      <c r="Y1743" s="421"/>
      <c r="Z1743" s="421"/>
      <c r="AA1743" s="421"/>
      <c r="AB1743" s="421"/>
      <c r="AC1743" s="421"/>
      <c r="AD1743" s="421"/>
      <c r="AE1743" s="421"/>
      <c r="AF1743" s="421"/>
      <c r="AG1743" s="421"/>
      <c r="AH1743" s="421"/>
      <c r="AI1743" s="421"/>
      <c r="AJ1743" s="421"/>
      <c r="AK1743" s="421"/>
      <c r="AL1743" s="421"/>
    </row>
    <row r="1744" spans="1:38">
      <c r="A1744" s="408">
        <v>6302</v>
      </c>
      <c r="B1744" s="83">
        <f t="array" ref="B1744">SUM(--(FREQUENCY(IF(C$2:C$3072=C1744, MATCH(D$2:D$3072, D$2:D$3072, 0)), ROW(D$2:D$3072)-ROW(D$2)+1) &gt; 0))</f>
        <v>6</v>
      </c>
      <c r="C1744" s="408">
        <v>41200193</v>
      </c>
      <c r="D1744" s="408" t="s">
        <v>3511</v>
      </c>
      <c r="E1744" s="408" t="s">
        <v>1395</v>
      </c>
      <c r="F1744" s="408" t="s">
        <v>1476</v>
      </c>
      <c r="G1744" s="408" t="s">
        <v>2675</v>
      </c>
      <c r="H1744" s="197">
        <f t="shared" si="424"/>
        <v>51</v>
      </c>
      <c r="I1744" s="408">
        <v>12</v>
      </c>
      <c r="J1744" s="408">
        <v>19</v>
      </c>
      <c r="K1744" s="186">
        <f t="shared" si="428"/>
        <v>46010</v>
      </c>
      <c r="L1744" s="408" t="s">
        <v>2391</v>
      </c>
      <c r="M1744" s="408" t="s">
        <v>2392</v>
      </c>
      <c r="N1744" s="408" t="str">
        <f t="shared" si="432"/>
        <v/>
      </c>
      <c r="O1744" s="408"/>
      <c r="P1744" s="408"/>
      <c r="Q1744" s="408"/>
      <c r="R1744" s="408"/>
      <c r="S1744" s="408"/>
      <c r="T1744" s="408"/>
      <c r="U1744" s="408"/>
      <c r="V1744" s="421"/>
      <c r="W1744" s="421"/>
      <c r="X1744" s="421"/>
      <c r="Y1744" s="421"/>
      <c r="Z1744" s="421"/>
      <c r="AA1744" s="421"/>
      <c r="AB1744" s="421"/>
      <c r="AC1744" s="421"/>
      <c r="AD1744" s="421"/>
      <c r="AE1744" s="421"/>
      <c r="AF1744" s="421"/>
      <c r="AG1744" s="421"/>
      <c r="AH1744" s="421"/>
      <c r="AI1744" s="421"/>
      <c r="AJ1744" s="421"/>
      <c r="AK1744" s="421"/>
      <c r="AL1744" s="421"/>
    </row>
    <row r="1745" spans="1:38">
      <c r="A1745" s="408">
        <v>6377</v>
      </c>
      <c r="B1745" s="83">
        <f t="array" ref="B1745">SUM(--(FREQUENCY(IF(C$2:C$3072=C1745, MATCH(D$2:D$3072, D$2:D$3072, 0)), ROW(D$2:D$3072)-ROW(D$2)+1) &gt; 0))</f>
        <v>10</v>
      </c>
      <c r="C1745" s="408">
        <v>41200119</v>
      </c>
      <c r="D1745" s="408" t="s">
        <v>3512</v>
      </c>
      <c r="E1745" s="408" t="s">
        <v>1422</v>
      </c>
      <c r="F1745" s="408" t="s">
        <v>1476</v>
      </c>
      <c r="G1745" s="408" t="s">
        <v>2675</v>
      </c>
      <c r="H1745" s="197">
        <f t="shared" si="424"/>
        <v>51</v>
      </c>
      <c r="I1745" s="408">
        <v>12</v>
      </c>
      <c r="J1745" s="408">
        <v>19</v>
      </c>
      <c r="K1745" s="186">
        <f t="shared" si="428"/>
        <v>46010</v>
      </c>
      <c r="L1745" s="408" t="s">
        <v>2391</v>
      </c>
      <c r="M1745" s="408" t="s">
        <v>1468</v>
      </c>
      <c r="N1745" s="408" t="str">
        <f t="shared" si="432"/>
        <v>NG</v>
      </c>
      <c r="O1745" s="408" t="s">
        <v>2368</v>
      </c>
      <c r="P1745" s="408" t="s">
        <v>2589</v>
      </c>
      <c r="Q1745" s="408">
        <v>12101036</v>
      </c>
      <c r="R1745" s="408" t="s">
        <v>3513</v>
      </c>
      <c r="S1745" s="408" t="s">
        <v>3514</v>
      </c>
      <c r="T1745" s="408"/>
      <c r="U1745" s="408"/>
      <c r="V1745" s="421"/>
      <c r="W1745" s="421"/>
      <c r="X1745" s="421"/>
      <c r="Y1745" s="421"/>
      <c r="Z1745" s="421"/>
      <c r="AA1745" s="421"/>
      <c r="AB1745" s="421"/>
      <c r="AC1745" s="421"/>
      <c r="AD1745" s="421"/>
      <c r="AE1745" s="421"/>
      <c r="AF1745" s="421"/>
      <c r="AG1745" s="421"/>
      <c r="AH1745" s="421"/>
      <c r="AI1745" s="421"/>
      <c r="AJ1745" s="421"/>
      <c r="AK1745" s="421"/>
      <c r="AL1745" s="421"/>
    </row>
    <row r="1746" spans="1:38">
      <c r="A1746" s="408">
        <v>6325</v>
      </c>
      <c r="B1746" s="83">
        <f t="array" ref="B1746">SUM(--(FREQUENCY(IF(C$2:C$3072=C1746, MATCH(D$2:D$3072, D$2:D$3072, 0)), ROW(D$2:D$3072)-ROW(D$2)+1) &gt; 0))</f>
        <v>3</v>
      </c>
      <c r="C1746" s="408">
        <v>41200116</v>
      </c>
      <c r="D1746" s="408" t="s">
        <v>3515</v>
      </c>
      <c r="E1746" s="408" t="s">
        <v>1409</v>
      </c>
      <c r="F1746" s="408" t="s">
        <v>1479</v>
      </c>
      <c r="G1746" s="408" t="s">
        <v>2666</v>
      </c>
      <c r="H1746" s="197">
        <f t="shared" si="424"/>
        <v>51</v>
      </c>
      <c r="I1746" s="408">
        <v>12</v>
      </c>
      <c r="J1746" s="408">
        <v>19</v>
      </c>
      <c r="K1746" s="186">
        <f t="shared" si="428"/>
        <v>46010</v>
      </c>
      <c r="L1746" s="408" t="s">
        <v>2391</v>
      </c>
      <c r="M1746" s="408" t="s">
        <v>1468</v>
      </c>
      <c r="N1746" s="408" t="str">
        <f t="shared" si="432"/>
        <v>NG</v>
      </c>
      <c r="O1746" s="408" t="s">
        <v>2368</v>
      </c>
      <c r="P1746" s="408" t="s">
        <v>2371</v>
      </c>
      <c r="Q1746" s="408">
        <v>11001964</v>
      </c>
      <c r="R1746" s="408" t="s">
        <v>562</v>
      </c>
      <c r="S1746" s="555" t="s">
        <v>3516</v>
      </c>
      <c r="T1746" s="408"/>
      <c r="U1746" s="408"/>
      <c r="V1746" s="421"/>
      <c r="W1746" s="421"/>
      <c r="X1746" s="421"/>
      <c r="Y1746" s="421"/>
      <c r="Z1746" s="421"/>
      <c r="AA1746" s="421"/>
      <c r="AB1746" s="421"/>
      <c r="AC1746" s="421"/>
      <c r="AD1746" s="421"/>
      <c r="AE1746" s="421"/>
      <c r="AF1746" s="421"/>
      <c r="AG1746" s="421"/>
      <c r="AH1746" s="421"/>
      <c r="AI1746" s="421"/>
      <c r="AJ1746" s="421"/>
      <c r="AK1746" s="421"/>
      <c r="AL1746" s="421"/>
    </row>
    <row r="1747" spans="1:38">
      <c r="A1747" s="408">
        <v>6325</v>
      </c>
      <c r="B1747" s="83">
        <f t="array" ref="B1747">SUM(--(FREQUENCY(IF(C$2:C$3072=C1747, MATCH(D$2:D$3072, D$2:D$3072, 0)), ROW(D$2:D$3072)-ROW(D$2)+1) &gt; 0))</f>
        <v>3</v>
      </c>
      <c r="C1747" s="408">
        <v>41200116</v>
      </c>
      <c r="D1747" s="408" t="s">
        <v>3517</v>
      </c>
      <c r="E1747" s="408" t="s">
        <v>1409</v>
      </c>
      <c r="F1747" s="408" t="s">
        <v>1479</v>
      </c>
      <c r="G1747" s="408" t="s">
        <v>2666</v>
      </c>
      <c r="H1747" s="197">
        <f t="shared" si="424"/>
        <v>51</v>
      </c>
      <c r="I1747" s="408">
        <v>12</v>
      </c>
      <c r="J1747" s="408">
        <v>19</v>
      </c>
      <c r="K1747" s="186">
        <f t="shared" si="428"/>
        <v>46010</v>
      </c>
      <c r="L1747" s="408" t="s">
        <v>2391</v>
      </c>
      <c r="M1747" s="408" t="s">
        <v>1468</v>
      </c>
      <c r="N1747" s="408" t="str">
        <f t="shared" si="432"/>
        <v/>
      </c>
      <c r="O1747" s="408"/>
      <c r="P1747" s="408"/>
      <c r="Q1747" s="408"/>
      <c r="R1747" s="408"/>
      <c r="S1747" s="408"/>
      <c r="T1747" s="408"/>
      <c r="U1747" s="408"/>
      <c r="V1747" s="421"/>
      <c r="W1747" s="421"/>
      <c r="X1747" s="421"/>
      <c r="Y1747" s="421"/>
      <c r="Z1747" s="421"/>
      <c r="AA1747" s="421"/>
      <c r="AB1747" s="421"/>
      <c r="AC1747" s="421"/>
      <c r="AD1747" s="421"/>
      <c r="AE1747" s="421"/>
      <c r="AF1747" s="421"/>
      <c r="AG1747" s="421"/>
      <c r="AH1747" s="421"/>
      <c r="AI1747" s="421"/>
      <c r="AJ1747" s="421"/>
      <c r="AK1747" s="421"/>
      <c r="AL1747" s="421"/>
    </row>
    <row r="1748" spans="1:38">
      <c r="A1748" s="408">
        <v>6325</v>
      </c>
      <c r="B1748" s="83">
        <f t="array" ref="B1748">SUM(--(FREQUENCY(IF(C$2:C$3072=C1748, MATCH(D$2:D$3072, D$2:D$3072, 0)), ROW(D$2:D$3072)-ROW(D$2)+1) &gt; 0))</f>
        <v>3</v>
      </c>
      <c r="C1748" s="408">
        <v>41200116</v>
      </c>
      <c r="D1748" s="408" t="s">
        <v>3518</v>
      </c>
      <c r="E1748" s="408" t="s">
        <v>1409</v>
      </c>
      <c r="F1748" s="408" t="s">
        <v>1479</v>
      </c>
      <c r="G1748" s="408" t="s">
        <v>2666</v>
      </c>
      <c r="H1748" s="197">
        <f t="shared" si="424"/>
        <v>51</v>
      </c>
      <c r="I1748" s="408">
        <v>12</v>
      </c>
      <c r="J1748" s="408">
        <v>19</v>
      </c>
      <c r="K1748" s="186">
        <f t="shared" si="428"/>
        <v>46010</v>
      </c>
      <c r="L1748" s="408" t="s">
        <v>2391</v>
      </c>
      <c r="M1748" s="408" t="s">
        <v>1468</v>
      </c>
      <c r="N1748" s="408" t="str">
        <f t="shared" ref="N1748:N1750" si="441">IF(O1748&lt;&gt;"", "NG", "")</f>
        <v>NG</v>
      </c>
      <c r="O1748" s="408" t="s">
        <v>2368</v>
      </c>
      <c r="P1748" s="408" t="s">
        <v>2371</v>
      </c>
      <c r="Q1748" s="408">
        <v>11001964</v>
      </c>
      <c r="R1748" s="408" t="s">
        <v>562</v>
      </c>
      <c r="S1748" s="292" t="s">
        <v>3519</v>
      </c>
      <c r="T1748" s="408"/>
      <c r="U1748" s="408"/>
      <c r="V1748" s="421"/>
      <c r="W1748" s="421"/>
      <c r="X1748" s="421"/>
      <c r="Y1748" s="421"/>
      <c r="Z1748" s="421"/>
      <c r="AA1748" s="421"/>
      <c r="AB1748" s="421"/>
      <c r="AC1748" s="421"/>
      <c r="AD1748" s="421"/>
      <c r="AE1748" s="421"/>
      <c r="AF1748" s="421"/>
      <c r="AG1748" s="421"/>
      <c r="AH1748" s="421"/>
      <c r="AI1748" s="421"/>
      <c r="AJ1748" s="421"/>
      <c r="AK1748" s="421"/>
      <c r="AL1748" s="421"/>
    </row>
    <row r="1749" spans="1:38" s="180" customFormat="1">
      <c r="A1749" s="414">
        <v>6298</v>
      </c>
      <c r="B1749" s="83">
        <f t="array" ref="B1749">SUM(--(FREQUENCY(IF(C$2:C$3072=C1749, MATCH(D$2:D$3072, D$2:D$3072, 0)), ROW(D$2:D$3072)-ROW(D$2)+1) &gt; 0))</f>
        <v>2</v>
      </c>
      <c r="C1749" s="414">
        <v>41200191</v>
      </c>
      <c r="D1749" s="414" t="s">
        <v>3520</v>
      </c>
      <c r="E1749" s="414" t="s">
        <v>1395</v>
      </c>
      <c r="F1749" s="414" t="s">
        <v>1476</v>
      </c>
      <c r="G1749" s="414" t="s">
        <v>2675</v>
      </c>
      <c r="H1749" s="526">
        <f t="shared" si="424"/>
        <v>52</v>
      </c>
      <c r="I1749" s="414">
        <v>12</v>
      </c>
      <c r="J1749" s="414">
        <v>22</v>
      </c>
      <c r="K1749" s="554">
        <f t="shared" si="428"/>
        <v>46013</v>
      </c>
      <c r="L1749" s="414" t="s">
        <v>2391</v>
      </c>
      <c r="M1749" s="414" t="s">
        <v>2392</v>
      </c>
      <c r="N1749" s="414" t="str">
        <f t="shared" si="441"/>
        <v>NG</v>
      </c>
      <c r="O1749" s="414" t="s">
        <v>2368</v>
      </c>
      <c r="P1749" s="414" t="s">
        <v>2371</v>
      </c>
      <c r="Q1749" s="414">
        <v>11001968</v>
      </c>
      <c r="R1749" s="414" t="s">
        <v>473</v>
      </c>
      <c r="S1749" s="414" t="s">
        <v>3521</v>
      </c>
      <c r="T1749" s="414"/>
      <c r="U1749" s="414"/>
      <c r="V1749" s="419"/>
      <c r="W1749" s="419"/>
      <c r="X1749" s="419"/>
      <c r="Y1749" s="419"/>
      <c r="Z1749" s="419"/>
      <c r="AA1749" s="419"/>
      <c r="AB1749" s="419"/>
      <c r="AC1749" s="419"/>
      <c r="AD1749" s="419"/>
      <c r="AE1749" s="419"/>
      <c r="AF1749" s="419"/>
      <c r="AG1749" s="419"/>
      <c r="AH1749" s="419"/>
      <c r="AI1749" s="419"/>
      <c r="AJ1749" s="419"/>
      <c r="AK1749" s="419"/>
      <c r="AL1749" s="419"/>
    </row>
    <row r="1750" spans="1:38" s="180" customFormat="1">
      <c r="A1750" s="414">
        <v>6298</v>
      </c>
      <c r="B1750" s="83">
        <f t="array" ref="B1750">SUM(--(FREQUENCY(IF(C$2:C$3072=C1750, MATCH(D$2:D$3072, D$2:D$3072, 0)), ROW(D$2:D$3072)-ROW(D$2)+1) &gt; 0))</f>
        <v>2</v>
      </c>
      <c r="C1750" s="414">
        <v>41200191</v>
      </c>
      <c r="D1750" s="414" t="s">
        <v>3520</v>
      </c>
      <c r="E1750" s="414" t="s">
        <v>1395</v>
      </c>
      <c r="F1750" s="414" t="s">
        <v>1476</v>
      </c>
      <c r="G1750" s="414" t="s">
        <v>2675</v>
      </c>
      <c r="H1750" s="526">
        <f t="shared" ref="H1750" si="442">WEEKNUM(K1750)</f>
        <v>52</v>
      </c>
      <c r="I1750" s="414">
        <v>12</v>
      </c>
      <c r="J1750" s="414">
        <v>22</v>
      </c>
      <c r="K1750" s="554">
        <f t="shared" ref="K1750" si="443">DATE(2025, I1750, J1750)</f>
        <v>46013</v>
      </c>
      <c r="L1750" s="414" t="s">
        <v>2391</v>
      </c>
      <c r="M1750" s="414" t="s">
        <v>2392</v>
      </c>
      <c r="N1750" s="414" t="str">
        <f t="shared" si="441"/>
        <v>NG</v>
      </c>
      <c r="O1750" s="414" t="s">
        <v>2368</v>
      </c>
      <c r="P1750" s="414" t="s">
        <v>2371</v>
      </c>
      <c r="Q1750" s="414">
        <v>11001968</v>
      </c>
      <c r="R1750" s="414" t="s">
        <v>473</v>
      </c>
      <c r="S1750" s="414" t="s">
        <v>3522</v>
      </c>
      <c r="T1750" s="414"/>
      <c r="U1750" s="414"/>
      <c r="V1750" s="419"/>
      <c r="W1750" s="419"/>
      <c r="X1750" s="419"/>
      <c r="Y1750" s="419"/>
      <c r="Z1750" s="419"/>
      <c r="AA1750" s="419"/>
      <c r="AB1750" s="419"/>
      <c r="AC1750" s="419"/>
      <c r="AD1750" s="419"/>
      <c r="AE1750" s="419"/>
      <c r="AF1750" s="419"/>
      <c r="AG1750" s="419"/>
      <c r="AH1750" s="419"/>
      <c r="AI1750" s="419"/>
      <c r="AJ1750" s="419"/>
      <c r="AK1750" s="419"/>
      <c r="AL1750" s="419"/>
    </row>
    <row r="1751" spans="1:38" s="180" customFormat="1">
      <c r="A1751" s="414">
        <v>6298</v>
      </c>
      <c r="B1751" s="83">
        <f t="array" ref="B1751">SUM(--(FREQUENCY(IF(C$2:C$3072=C1751, MATCH(D$2:D$3072, D$2:D$3072, 0)), ROW(D$2:D$3072)-ROW(D$2)+1) &gt; 0))</f>
        <v>2</v>
      </c>
      <c r="C1751" s="414">
        <v>41200191</v>
      </c>
      <c r="D1751" s="414" t="s">
        <v>3523</v>
      </c>
      <c r="E1751" s="414" t="s">
        <v>1395</v>
      </c>
      <c r="F1751" s="414" t="s">
        <v>1476</v>
      </c>
      <c r="G1751" s="414" t="s">
        <v>2675</v>
      </c>
      <c r="H1751" s="526">
        <f t="shared" si="424"/>
        <v>52</v>
      </c>
      <c r="I1751" s="414">
        <v>12</v>
      </c>
      <c r="J1751" s="414">
        <v>22</v>
      </c>
      <c r="K1751" s="554">
        <f t="shared" si="428"/>
        <v>46013</v>
      </c>
      <c r="L1751" s="414" t="s">
        <v>2391</v>
      </c>
      <c r="M1751" s="414" t="s">
        <v>2392</v>
      </c>
      <c r="N1751" s="414" t="str">
        <f t="shared" si="432"/>
        <v>NG</v>
      </c>
      <c r="O1751" s="414" t="s">
        <v>2368</v>
      </c>
      <c r="P1751" s="414" t="s">
        <v>2371</v>
      </c>
      <c r="Q1751" s="414">
        <v>11001968</v>
      </c>
      <c r="R1751" s="414" t="s">
        <v>473</v>
      </c>
      <c r="S1751" s="414" t="s">
        <v>3521</v>
      </c>
      <c r="T1751" s="414"/>
      <c r="U1751" s="414"/>
      <c r="V1751" s="419"/>
      <c r="W1751" s="419"/>
      <c r="X1751" s="419"/>
      <c r="Y1751" s="419"/>
      <c r="Z1751" s="419"/>
      <c r="AA1751" s="419"/>
      <c r="AB1751" s="419"/>
      <c r="AC1751" s="419"/>
      <c r="AD1751" s="419"/>
      <c r="AE1751" s="419"/>
      <c r="AF1751" s="419"/>
      <c r="AG1751" s="419"/>
      <c r="AH1751" s="419"/>
      <c r="AI1751" s="419"/>
      <c r="AJ1751" s="419"/>
      <c r="AK1751" s="419"/>
      <c r="AL1751" s="419"/>
    </row>
    <row r="1752" spans="1:38" s="180" customFormat="1">
      <c r="A1752" s="414">
        <v>6298</v>
      </c>
      <c r="B1752" s="83">
        <f t="array" ref="B1752">SUM(--(FREQUENCY(IF(C$2:C$3072=C1752, MATCH(D$2:D$3072, D$2:D$3072, 0)), ROW(D$2:D$3072)-ROW(D$2)+1) &gt; 0))</f>
        <v>2</v>
      </c>
      <c r="C1752" s="414">
        <v>41200191</v>
      </c>
      <c r="D1752" s="414" t="s">
        <v>3523</v>
      </c>
      <c r="E1752" s="414" t="s">
        <v>1395</v>
      </c>
      <c r="F1752" s="414" t="s">
        <v>1476</v>
      </c>
      <c r="G1752" s="414" t="s">
        <v>2675</v>
      </c>
      <c r="H1752" s="526">
        <f t="shared" ref="H1752" si="444">WEEKNUM(K1752)</f>
        <v>52</v>
      </c>
      <c r="I1752" s="414">
        <v>12</v>
      </c>
      <c r="J1752" s="414">
        <v>22</v>
      </c>
      <c r="K1752" s="554">
        <f t="shared" ref="K1752" si="445">DATE(2025, I1752, J1752)</f>
        <v>46013</v>
      </c>
      <c r="L1752" s="414" t="s">
        <v>2391</v>
      </c>
      <c r="M1752" s="414" t="s">
        <v>2392</v>
      </c>
      <c r="N1752" s="414" t="str">
        <f t="shared" si="432"/>
        <v>NG</v>
      </c>
      <c r="O1752" s="414" t="s">
        <v>2368</v>
      </c>
      <c r="P1752" s="414" t="s">
        <v>2371</v>
      </c>
      <c r="Q1752" s="414">
        <v>11001968</v>
      </c>
      <c r="R1752" s="414" t="s">
        <v>473</v>
      </c>
      <c r="S1752" s="414" t="s">
        <v>3524</v>
      </c>
      <c r="T1752" s="414"/>
      <c r="U1752" s="414"/>
      <c r="V1752" s="419"/>
      <c r="W1752" s="419"/>
      <c r="X1752" s="419"/>
      <c r="Y1752" s="419"/>
      <c r="Z1752" s="419"/>
      <c r="AA1752" s="419"/>
      <c r="AB1752" s="419"/>
      <c r="AC1752" s="419"/>
      <c r="AD1752" s="419"/>
      <c r="AE1752" s="419"/>
      <c r="AF1752" s="419"/>
      <c r="AG1752" s="419"/>
      <c r="AH1752" s="419"/>
      <c r="AI1752" s="419"/>
      <c r="AJ1752" s="419"/>
      <c r="AK1752" s="419"/>
      <c r="AL1752" s="419"/>
    </row>
    <row r="1753" spans="1:38">
      <c r="A1753" s="408">
        <v>6300</v>
      </c>
      <c r="B1753" s="83">
        <f t="array" ref="B1753">SUM(--(FREQUENCY(IF(C$2:C$3072=C1753, MATCH(D$2:D$3072, D$2:D$3072, 0)), ROW(D$2:D$3072)-ROW(D$2)+1) &gt; 0))</f>
        <v>1</v>
      </c>
      <c r="C1753" s="408">
        <v>41200196</v>
      </c>
      <c r="D1753" s="408" t="s">
        <v>3525</v>
      </c>
      <c r="E1753" s="408" t="s">
        <v>1395</v>
      </c>
      <c r="F1753" s="408" t="s">
        <v>1476</v>
      </c>
      <c r="G1753" s="408" t="s">
        <v>2675</v>
      </c>
      <c r="H1753" s="197">
        <f t="shared" si="424"/>
        <v>52</v>
      </c>
      <c r="I1753" s="408">
        <v>12</v>
      </c>
      <c r="J1753" s="408">
        <v>22</v>
      </c>
      <c r="K1753" s="186">
        <f t="shared" si="428"/>
        <v>46013</v>
      </c>
      <c r="L1753" s="408" t="s">
        <v>2391</v>
      </c>
      <c r="M1753" s="408" t="s">
        <v>2392</v>
      </c>
      <c r="N1753" s="408" t="str">
        <f t="shared" si="432"/>
        <v>NG</v>
      </c>
      <c r="O1753" s="408" t="s">
        <v>2368</v>
      </c>
      <c r="P1753" s="408" t="s">
        <v>2371</v>
      </c>
      <c r="Q1753" s="408">
        <v>11001968</v>
      </c>
      <c r="R1753" s="408" t="s">
        <v>473</v>
      </c>
      <c r="S1753" s="408" t="s">
        <v>3522</v>
      </c>
      <c r="T1753" s="408"/>
      <c r="U1753" s="408"/>
      <c r="V1753" s="421"/>
      <c r="W1753" s="421"/>
      <c r="X1753" s="421"/>
      <c r="Y1753" s="421"/>
      <c r="Z1753" s="421"/>
      <c r="AA1753" s="421"/>
      <c r="AB1753" s="421"/>
      <c r="AC1753" s="421"/>
      <c r="AD1753" s="421"/>
      <c r="AE1753" s="421"/>
      <c r="AF1753" s="421"/>
      <c r="AG1753" s="421"/>
      <c r="AH1753" s="421"/>
      <c r="AI1753" s="421"/>
      <c r="AJ1753" s="421"/>
      <c r="AK1753" s="421"/>
      <c r="AL1753" s="421"/>
    </row>
    <row r="1754" spans="1:38">
      <c r="A1754" s="408">
        <v>6347</v>
      </c>
      <c r="B1754" s="83">
        <f t="array" ref="B1754">SUM(--(FREQUENCY(IF(C$2:C$3072=C1754, MATCH(D$2:D$3072, D$2:D$3072, 0)), ROW(D$2:D$3072)-ROW(D$2)+1) &gt; 0))</f>
        <v>8</v>
      </c>
      <c r="C1754" s="408">
        <v>41200048</v>
      </c>
      <c r="D1754" s="408" t="s">
        <v>3526</v>
      </c>
      <c r="E1754" s="408" t="s">
        <v>1426</v>
      </c>
      <c r="F1754" s="408" t="s">
        <v>1476</v>
      </c>
      <c r="G1754" s="408" t="s">
        <v>2675</v>
      </c>
      <c r="H1754" s="197">
        <f t="shared" si="424"/>
        <v>52</v>
      </c>
      <c r="I1754" s="408">
        <v>12</v>
      </c>
      <c r="J1754" s="408">
        <v>22</v>
      </c>
      <c r="K1754" s="186">
        <f t="shared" si="428"/>
        <v>46013</v>
      </c>
      <c r="L1754" s="408" t="s">
        <v>2391</v>
      </c>
      <c r="M1754" s="408" t="s">
        <v>2392</v>
      </c>
      <c r="N1754" s="408" t="str">
        <f t="shared" si="432"/>
        <v/>
      </c>
      <c r="O1754" s="408"/>
      <c r="P1754" s="408"/>
      <c r="Q1754" s="408"/>
      <c r="R1754" s="408"/>
      <c r="S1754" s="408"/>
      <c r="T1754" s="408"/>
      <c r="U1754" s="408"/>
      <c r="V1754" s="421"/>
      <c r="W1754" s="421"/>
      <c r="X1754" s="421"/>
      <c r="Y1754" s="421"/>
      <c r="Z1754" s="421"/>
      <c r="AA1754" s="421"/>
      <c r="AB1754" s="421"/>
      <c r="AC1754" s="421"/>
      <c r="AD1754" s="421"/>
      <c r="AE1754" s="421"/>
      <c r="AF1754" s="421"/>
      <c r="AG1754" s="421"/>
      <c r="AH1754" s="421"/>
      <c r="AI1754" s="421"/>
      <c r="AJ1754" s="421"/>
      <c r="AK1754" s="421"/>
      <c r="AL1754" s="421"/>
    </row>
    <row r="1755" spans="1:38">
      <c r="A1755" s="408">
        <v>6356</v>
      </c>
      <c r="B1755" s="83">
        <f t="array" ref="B1755">SUM(--(FREQUENCY(IF(C$2:C$3072=C1755, MATCH(D$2:D$3072, D$2:D$3072, 0)), ROW(D$2:D$3072)-ROW(D$2)+1) &gt; 0))</f>
        <v>9</v>
      </c>
      <c r="C1755" s="408">
        <v>41200125</v>
      </c>
      <c r="D1755" s="408" t="s">
        <v>3527</v>
      </c>
      <c r="E1755" s="408" t="s">
        <v>1585</v>
      </c>
      <c r="F1755" s="408" t="s">
        <v>1476</v>
      </c>
      <c r="G1755" s="408" t="s">
        <v>2675</v>
      </c>
      <c r="H1755" s="197">
        <f t="shared" si="424"/>
        <v>52</v>
      </c>
      <c r="I1755" s="408">
        <v>12</v>
      </c>
      <c r="J1755" s="408">
        <v>22</v>
      </c>
      <c r="K1755" s="186">
        <f t="shared" si="428"/>
        <v>46013</v>
      </c>
      <c r="L1755" s="408" t="s">
        <v>2395</v>
      </c>
      <c r="M1755" s="408" t="s">
        <v>1468</v>
      </c>
      <c r="N1755" s="408" t="str">
        <f t="shared" si="432"/>
        <v/>
      </c>
      <c r="O1755" s="408"/>
      <c r="P1755" s="408"/>
      <c r="Q1755" s="408"/>
      <c r="R1755" s="408"/>
      <c r="S1755" s="408"/>
      <c r="T1755" s="408"/>
      <c r="U1755" s="408"/>
      <c r="V1755" s="421"/>
      <c r="W1755" s="421"/>
      <c r="X1755" s="421"/>
      <c r="Y1755" s="421"/>
      <c r="Z1755" s="421"/>
      <c r="AA1755" s="421"/>
      <c r="AB1755" s="421"/>
      <c r="AC1755" s="421"/>
      <c r="AD1755" s="421"/>
      <c r="AE1755" s="421"/>
      <c r="AF1755" s="421"/>
      <c r="AG1755" s="421"/>
      <c r="AH1755" s="421"/>
      <c r="AI1755" s="421"/>
      <c r="AJ1755" s="421"/>
      <c r="AK1755" s="421"/>
      <c r="AL1755" s="421"/>
    </row>
    <row r="1756" spans="1:38">
      <c r="A1756" s="408">
        <v>6150</v>
      </c>
      <c r="B1756" s="83">
        <f t="array" ref="B1756">SUM(--(FREQUENCY(IF(C$2:C$3072=C1756, MATCH(D$2:D$3072, D$2:D$3072, 0)), ROW(D$2:D$3072)-ROW(D$2)+1) &gt; 0))</f>
        <v>5</v>
      </c>
      <c r="C1756" s="408">
        <v>41200038</v>
      </c>
      <c r="D1756" s="408" t="s">
        <v>3528</v>
      </c>
      <c r="E1756" s="408" t="s">
        <v>1426</v>
      </c>
      <c r="F1756" s="408" t="s">
        <v>1476</v>
      </c>
      <c r="G1756" s="408" t="s">
        <v>2675</v>
      </c>
      <c r="H1756" s="197">
        <f t="shared" si="424"/>
        <v>52</v>
      </c>
      <c r="I1756" s="408">
        <v>12</v>
      </c>
      <c r="J1756" s="408">
        <v>22</v>
      </c>
      <c r="K1756" s="186">
        <f t="shared" si="428"/>
        <v>46013</v>
      </c>
      <c r="L1756" s="408" t="s">
        <v>2395</v>
      </c>
      <c r="M1756" s="408" t="s">
        <v>1468</v>
      </c>
      <c r="N1756" s="408" t="str">
        <f t="shared" si="432"/>
        <v/>
      </c>
      <c r="O1756" s="408"/>
      <c r="P1756" s="408"/>
      <c r="Q1756" s="408"/>
      <c r="R1756" s="408"/>
      <c r="S1756" s="408"/>
      <c r="T1756" s="408"/>
      <c r="U1756" s="408"/>
      <c r="V1756" s="421"/>
      <c r="W1756" s="421"/>
      <c r="X1756" s="421"/>
      <c r="Y1756" s="421"/>
      <c r="Z1756" s="421"/>
      <c r="AA1756" s="421"/>
      <c r="AB1756" s="421"/>
      <c r="AC1756" s="421"/>
      <c r="AD1756" s="421"/>
      <c r="AE1756" s="421"/>
      <c r="AF1756" s="421"/>
      <c r="AG1756" s="421"/>
      <c r="AH1756" s="421"/>
      <c r="AI1756" s="421"/>
      <c r="AJ1756" s="421"/>
      <c r="AK1756" s="421"/>
      <c r="AL1756" s="421"/>
    </row>
    <row r="1757" spans="1:38">
      <c r="A1757" s="408">
        <v>6334</v>
      </c>
      <c r="B1757" s="83">
        <f t="array" ref="B1757">SUM(--(FREQUENCY(IF(C$2:C$3072=C1757, MATCH(D$2:D$3072, D$2:D$3072, 0)), ROW(D$2:D$3072)-ROW(D$2)+1) &gt; 0))</f>
        <v>30</v>
      </c>
      <c r="C1757" s="408">
        <v>41200109</v>
      </c>
      <c r="D1757" s="408" t="s">
        <v>3529</v>
      </c>
      <c r="E1757" s="408" t="s">
        <v>1585</v>
      </c>
      <c r="F1757" s="408" t="s">
        <v>1591</v>
      </c>
      <c r="G1757" s="408" t="s">
        <v>2666</v>
      </c>
      <c r="H1757" s="197">
        <f t="shared" si="424"/>
        <v>52</v>
      </c>
      <c r="I1757" s="408">
        <v>12</v>
      </c>
      <c r="J1757" s="408">
        <v>22</v>
      </c>
      <c r="K1757" s="186">
        <f t="shared" si="428"/>
        <v>46013</v>
      </c>
      <c r="L1757" s="408" t="s">
        <v>2395</v>
      </c>
      <c r="M1757" s="408" t="s">
        <v>1469</v>
      </c>
      <c r="N1757" s="408" t="str">
        <f t="shared" si="432"/>
        <v/>
      </c>
      <c r="O1757" s="408"/>
      <c r="P1757" s="408"/>
      <c r="Q1757" s="408"/>
      <c r="R1757" s="408"/>
      <c r="S1757" s="408"/>
      <c r="T1757" s="408"/>
      <c r="U1757" s="408"/>
      <c r="V1757" s="421"/>
      <c r="W1757" s="421"/>
      <c r="X1757" s="421"/>
      <c r="Y1757" s="421"/>
      <c r="Z1757" s="421"/>
      <c r="AA1757" s="421"/>
      <c r="AB1757" s="421"/>
      <c r="AC1757" s="421"/>
      <c r="AD1757" s="421"/>
      <c r="AE1757" s="421"/>
      <c r="AF1757" s="421"/>
      <c r="AG1757" s="421"/>
      <c r="AH1757" s="421"/>
      <c r="AI1757" s="421"/>
      <c r="AJ1757" s="421"/>
      <c r="AK1757" s="421"/>
      <c r="AL1757" s="421"/>
    </row>
    <row r="1758" spans="1:38">
      <c r="A1758" s="408">
        <v>6334</v>
      </c>
      <c r="B1758" s="83">
        <f t="array" ref="B1758">SUM(--(FREQUENCY(IF(C$2:C$3072=C1758, MATCH(D$2:D$3072, D$2:D$3072, 0)), ROW(D$2:D$3072)-ROW(D$2)+1) &gt; 0))</f>
        <v>30</v>
      </c>
      <c r="C1758" s="408">
        <v>41200109</v>
      </c>
      <c r="D1758" s="408" t="s">
        <v>3530</v>
      </c>
      <c r="E1758" s="408" t="s">
        <v>1585</v>
      </c>
      <c r="F1758" s="408" t="s">
        <v>1591</v>
      </c>
      <c r="G1758" s="408" t="s">
        <v>2666</v>
      </c>
      <c r="H1758" s="197">
        <f t="shared" si="424"/>
        <v>52</v>
      </c>
      <c r="I1758" s="408">
        <v>12</v>
      </c>
      <c r="J1758" s="408">
        <v>22</v>
      </c>
      <c r="K1758" s="186">
        <f t="shared" si="428"/>
        <v>46013</v>
      </c>
      <c r="L1758" s="408" t="s">
        <v>2395</v>
      </c>
      <c r="M1758" s="408" t="s">
        <v>1469</v>
      </c>
      <c r="N1758" s="408" t="str">
        <f t="shared" si="432"/>
        <v/>
      </c>
      <c r="O1758" s="408"/>
      <c r="P1758" s="408"/>
      <c r="Q1758" s="408"/>
      <c r="R1758" s="408"/>
      <c r="S1758" s="408"/>
      <c r="T1758" s="408"/>
      <c r="U1758" s="408"/>
      <c r="V1758" s="421"/>
      <c r="W1758" s="421"/>
      <c r="X1758" s="421"/>
      <c r="Y1758" s="421"/>
      <c r="Z1758" s="421"/>
      <c r="AA1758" s="421"/>
      <c r="AB1758" s="421"/>
      <c r="AC1758" s="421"/>
      <c r="AD1758" s="421"/>
      <c r="AE1758" s="421"/>
      <c r="AF1758" s="421"/>
      <c r="AG1758" s="421"/>
      <c r="AH1758" s="421"/>
      <c r="AI1758" s="421"/>
      <c r="AJ1758" s="421"/>
      <c r="AK1758" s="421"/>
      <c r="AL1758" s="421"/>
    </row>
    <row r="1759" spans="1:38">
      <c r="A1759" s="408">
        <v>6352</v>
      </c>
      <c r="B1759" s="83">
        <f t="array" ref="B1759">SUM(--(FREQUENCY(IF(C$2:C$3072=C1759, MATCH(D$2:D$3072, D$2:D$3072, 0)), ROW(D$2:D$3072)-ROW(D$2)+1) &gt; 0))</f>
        <v>37</v>
      </c>
      <c r="C1759" s="408">
        <v>41200076</v>
      </c>
      <c r="D1759" s="408" t="s">
        <v>3531</v>
      </c>
      <c r="E1759" s="408" t="s">
        <v>1585</v>
      </c>
      <c r="F1759" s="408" t="s">
        <v>1476</v>
      </c>
      <c r="G1759" s="408" t="s">
        <v>2675</v>
      </c>
      <c r="H1759" s="197">
        <f t="shared" ref="H1759:H1791" si="446">WEEKNUM(K1759)</f>
        <v>52</v>
      </c>
      <c r="I1759" s="408">
        <v>12</v>
      </c>
      <c r="J1759" s="408">
        <v>23</v>
      </c>
      <c r="K1759" s="186">
        <f t="shared" ref="K1759:K1791" si="447">DATE(2025, I1759, J1759)</f>
        <v>46014</v>
      </c>
      <c r="L1759" s="408" t="s">
        <v>2395</v>
      </c>
      <c r="M1759" s="408" t="s">
        <v>2392</v>
      </c>
      <c r="N1759" s="408" t="str">
        <f t="shared" si="432"/>
        <v/>
      </c>
      <c r="O1759" s="408"/>
      <c r="P1759" s="408"/>
      <c r="Q1759" s="408"/>
      <c r="R1759" s="408"/>
      <c r="S1759" s="408"/>
      <c r="T1759" s="408"/>
      <c r="U1759" s="408"/>
      <c r="V1759" s="421"/>
      <c r="W1759" s="421"/>
      <c r="X1759" s="421"/>
      <c r="Y1759" s="421"/>
      <c r="Z1759" s="421"/>
      <c r="AA1759" s="421"/>
      <c r="AB1759" s="421"/>
      <c r="AC1759" s="421"/>
      <c r="AD1759" s="421"/>
      <c r="AE1759" s="421"/>
      <c r="AF1759" s="421"/>
      <c r="AG1759" s="421"/>
      <c r="AH1759" s="421"/>
      <c r="AI1759" s="421"/>
      <c r="AJ1759" s="421"/>
      <c r="AK1759" s="421"/>
      <c r="AL1759" s="421"/>
    </row>
    <row r="1760" spans="1:38">
      <c r="A1760" s="408">
        <v>6332</v>
      </c>
      <c r="B1760" s="83">
        <f t="array" ref="B1760">SUM(--(FREQUENCY(IF(C$2:C$3072=C1760, MATCH(D$2:D$3072, D$2:D$3072, 0)), ROW(D$2:D$3072)-ROW(D$2)+1) &gt; 0))</f>
        <v>15</v>
      </c>
      <c r="C1760" s="408">
        <v>41200124</v>
      </c>
      <c r="D1760" s="408" t="s">
        <v>3532</v>
      </c>
      <c r="E1760" s="408" t="s">
        <v>1585</v>
      </c>
      <c r="F1760" s="408" t="s">
        <v>1476</v>
      </c>
      <c r="G1760" s="408" t="s">
        <v>2675</v>
      </c>
      <c r="H1760" s="197">
        <f t="shared" si="446"/>
        <v>52</v>
      </c>
      <c r="I1760" s="408">
        <v>12</v>
      </c>
      <c r="J1760" s="408">
        <v>23</v>
      </c>
      <c r="K1760" s="186">
        <f t="shared" si="447"/>
        <v>46014</v>
      </c>
      <c r="L1760" s="408" t="s">
        <v>2395</v>
      </c>
      <c r="M1760" s="408" t="s">
        <v>1469</v>
      </c>
      <c r="N1760" s="408" t="str">
        <f t="shared" si="432"/>
        <v/>
      </c>
      <c r="O1760" s="408"/>
      <c r="P1760" s="408"/>
      <c r="Q1760" s="408"/>
      <c r="R1760" s="408"/>
      <c r="S1760" s="408"/>
      <c r="T1760" s="408"/>
      <c r="U1760" s="408"/>
      <c r="V1760" s="421"/>
      <c r="W1760" s="421"/>
      <c r="X1760" s="421"/>
      <c r="Y1760" s="421"/>
      <c r="Z1760" s="421"/>
      <c r="AA1760" s="421"/>
      <c r="AB1760" s="421"/>
      <c r="AC1760" s="421"/>
      <c r="AD1760" s="421"/>
      <c r="AE1760" s="421"/>
      <c r="AF1760" s="421"/>
      <c r="AG1760" s="421"/>
      <c r="AH1760" s="421"/>
      <c r="AI1760" s="421"/>
      <c r="AJ1760" s="421"/>
      <c r="AK1760" s="421"/>
      <c r="AL1760" s="421"/>
    </row>
    <row r="1761" spans="1:38">
      <c r="A1761" s="408">
        <v>6332</v>
      </c>
      <c r="B1761" s="83">
        <f t="array" ref="B1761">SUM(--(FREQUENCY(IF(C$2:C$3072=C1761, MATCH(D$2:D$3072, D$2:D$3072, 0)), ROW(D$2:D$3072)-ROW(D$2)+1) &gt; 0))</f>
        <v>15</v>
      </c>
      <c r="C1761" s="408">
        <v>41200124</v>
      </c>
      <c r="D1761" s="408" t="s">
        <v>3533</v>
      </c>
      <c r="E1761" s="408" t="s">
        <v>1585</v>
      </c>
      <c r="F1761" s="408" t="s">
        <v>1476</v>
      </c>
      <c r="G1761" s="408" t="s">
        <v>2675</v>
      </c>
      <c r="H1761" s="197">
        <f t="shared" si="446"/>
        <v>52</v>
      </c>
      <c r="I1761" s="408">
        <v>12</v>
      </c>
      <c r="J1761" s="408">
        <v>23</v>
      </c>
      <c r="K1761" s="186">
        <f t="shared" si="447"/>
        <v>46014</v>
      </c>
      <c r="L1761" s="408" t="s">
        <v>2395</v>
      </c>
      <c r="M1761" s="408" t="s">
        <v>1469</v>
      </c>
      <c r="N1761" s="408" t="str">
        <f t="shared" si="432"/>
        <v/>
      </c>
      <c r="O1761" s="408"/>
      <c r="P1761" s="408"/>
      <c r="Q1761" s="408"/>
      <c r="R1761" s="408"/>
      <c r="S1761" s="408"/>
      <c r="T1761" s="408"/>
      <c r="U1761" s="408"/>
      <c r="V1761" s="421"/>
      <c r="W1761" s="421"/>
      <c r="X1761" s="421"/>
      <c r="Y1761" s="421"/>
      <c r="Z1761" s="421"/>
      <c r="AA1761" s="421"/>
      <c r="AB1761" s="421"/>
      <c r="AC1761" s="421"/>
      <c r="AD1761" s="421"/>
      <c r="AE1761" s="421"/>
      <c r="AF1761" s="421"/>
      <c r="AG1761" s="421"/>
      <c r="AH1761" s="421"/>
      <c r="AI1761" s="421"/>
      <c r="AJ1761" s="421"/>
      <c r="AK1761" s="421"/>
      <c r="AL1761" s="421"/>
    </row>
    <row r="1762" spans="1:38">
      <c r="A1762" s="408">
        <v>6295</v>
      </c>
      <c r="B1762" s="83">
        <f t="array" ref="B1762">SUM(--(FREQUENCY(IF(C$2:C$3072=C1762, MATCH(D$2:D$3072, D$2:D$3072, 0)), ROW(D$2:D$3072)-ROW(D$2)+1) &gt; 0))</f>
        <v>6</v>
      </c>
      <c r="C1762" s="408">
        <v>41200108</v>
      </c>
      <c r="D1762" s="408" t="s">
        <v>3534</v>
      </c>
      <c r="E1762" s="408" t="s">
        <v>1409</v>
      </c>
      <c r="F1762" s="408" t="s">
        <v>1479</v>
      </c>
      <c r="G1762" s="408" t="s">
        <v>2666</v>
      </c>
      <c r="H1762" s="197">
        <f t="shared" si="446"/>
        <v>52</v>
      </c>
      <c r="I1762" s="408">
        <v>12</v>
      </c>
      <c r="J1762" s="408">
        <v>23</v>
      </c>
      <c r="K1762" s="186">
        <f t="shared" si="447"/>
        <v>46014</v>
      </c>
      <c r="L1762" s="408" t="s">
        <v>2391</v>
      </c>
      <c r="M1762" s="408" t="s">
        <v>2392</v>
      </c>
      <c r="N1762" s="408" t="str">
        <f t="shared" si="432"/>
        <v/>
      </c>
      <c r="O1762" s="408"/>
      <c r="P1762" s="408"/>
      <c r="Q1762" s="408"/>
      <c r="R1762" s="408"/>
      <c r="S1762" s="408"/>
      <c r="T1762" s="408"/>
      <c r="U1762" s="408"/>
      <c r="V1762" s="421"/>
      <c r="W1762" s="421"/>
      <c r="X1762" s="421"/>
      <c r="Y1762" s="421"/>
      <c r="Z1762" s="421"/>
      <c r="AA1762" s="421"/>
      <c r="AB1762" s="421"/>
      <c r="AC1762" s="421"/>
      <c r="AD1762" s="421"/>
      <c r="AE1762" s="421"/>
      <c r="AF1762" s="421"/>
      <c r="AG1762" s="421"/>
      <c r="AH1762" s="421"/>
      <c r="AI1762" s="421"/>
      <c r="AJ1762" s="421"/>
      <c r="AK1762" s="421"/>
      <c r="AL1762" s="421"/>
    </row>
    <row r="1763" spans="1:38">
      <c r="A1763" s="408">
        <v>6295</v>
      </c>
      <c r="B1763" s="83">
        <f t="array" ref="B1763">SUM(--(FREQUENCY(IF(C$2:C$3072=C1763, MATCH(D$2:D$3072, D$2:D$3072, 0)), ROW(D$2:D$3072)-ROW(D$2)+1) &gt; 0))</f>
        <v>6</v>
      </c>
      <c r="C1763" s="408">
        <v>41200108</v>
      </c>
      <c r="D1763" s="408" t="s">
        <v>3535</v>
      </c>
      <c r="E1763" s="408" t="s">
        <v>1409</v>
      </c>
      <c r="F1763" s="408" t="s">
        <v>1479</v>
      </c>
      <c r="G1763" s="408" t="s">
        <v>2666</v>
      </c>
      <c r="H1763" s="197">
        <f t="shared" si="446"/>
        <v>52</v>
      </c>
      <c r="I1763" s="408">
        <v>12</v>
      </c>
      <c r="J1763" s="408">
        <v>23</v>
      </c>
      <c r="K1763" s="186">
        <f t="shared" si="447"/>
        <v>46014</v>
      </c>
      <c r="L1763" s="408" t="s">
        <v>2391</v>
      </c>
      <c r="M1763" s="408" t="s">
        <v>2392</v>
      </c>
      <c r="N1763" s="408" t="str">
        <f t="shared" si="432"/>
        <v/>
      </c>
      <c r="O1763" s="408"/>
      <c r="P1763" s="408"/>
      <c r="Q1763" s="408"/>
      <c r="R1763" s="408"/>
      <c r="S1763" s="408"/>
      <c r="T1763" s="408"/>
      <c r="U1763" s="408"/>
      <c r="V1763" s="421"/>
      <c r="W1763" s="421"/>
      <c r="X1763" s="421"/>
      <c r="Y1763" s="421"/>
      <c r="Z1763" s="421"/>
      <c r="AA1763" s="421"/>
      <c r="AB1763" s="421"/>
      <c r="AC1763" s="421"/>
      <c r="AD1763" s="421"/>
      <c r="AE1763" s="421"/>
      <c r="AF1763" s="421"/>
      <c r="AG1763" s="421"/>
      <c r="AH1763" s="421"/>
      <c r="AI1763" s="421"/>
      <c r="AJ1763" s="421"/>
      <c r="AK1763" s="421"/>
      <c r="AL1763" s="421"/>
    </row>
    <row r="1764" spans="1:38">
      <c r="A1764" s="408">
        <v>6302</v>
      </c>
      <c r="B1764" s="83">
        <f t="array" ref="B1764">SUM(--(FREQUENCY(IF(C$2:C$3072=C1764, MATCH(D$2:D$3072, D$2:D$3072, 0)), ROW(D$2:D$3072)-ROW(D$2)+1) &gt; 0))</f>
        <v>6</v>
      </c>
      <c r="C1764" s="408">
        <v>41200193</v>
      </c>
      <c r="D1764" s="408" t="s">
        <v>3536</v>
      </c>
      <c r="E1764" s="408" t="s">
        <v>1395</v>
      </c>
      <c r="F1764" s="408" t="s">
        <v>1476</v>
      </c>
      <c r="G1764" s="408" t="s">
        <v>2675</v>
      </c>
      <c r="H1764" s="197">
        <f t="shared" si="446"/>
        <v>52</v>
      </c>
      <c r="I1764" s="408">
        <v>12</v>
      </c>
      <c r="J1764" s="408">
        <v>23</v>
      </c>
      <c r="K1764" s="186">
        <f t="shared" si="447"/>
        <v>46014</v>
      </c>
      <c r="L1764" s="408" t="s">
        <v>2391</v>
      </c>
      <c r="M1764" s="408" t="s">
        <v>2392</v>
      </c>
      <c r="N1764" s="408" t="str">
        <f t="shared" ref="N1764" si="448">IF(O1764&lt;&gt;"", "NG", "")</f>
        <v>NG</v>
      </c>
      <c r="O1764" s="408" t="s">
        <v>2368</v>
      </c>
      <c r="P1764" s="408" t="s">
        <v>2589</v>
      </c>
      <c r="Q1764" s="408">
        <v>12101037</v>
      </c>
      <c r="R1764" s="408" t="s">
        <v>3513</v>
      </c>
      <c r="S1764" s="408" t="s">
        <v>3514</v>
      </c>
      <c r="T1764" s="408"/>
      <c r="U1764" s="408"/>
      <c r="V1764" s="421"/>
      <c r="W1764" s="421"/>
      <c r="X1764" s="421"/>
      <c r="Y1764" s="421"/>
      <c r="Z1764" s="421"/>
      <c r="AA1764" s="421"/>
      <c r="AB1764" s="421"/>
      <c r="AC1764" s="421"/>
      <c r="AD1764" s="421"/>
      <c r="AE1764" s="421"/>
      <c r="AF1764" s="421"/>
      <c r="AG1764" s="421"/>
      <c r="AH1764" s="421"/>
      <c r="AI1764" s="421"/>
      <c r="AJ1764" s="421"/>
      <c r="AK1764" s="421"/>
      <c r="AL1764" s="421"/>
    </row>
    <row r="1765" spans="1:38">
      <c r="A1765" s="408">
        <v>6121</v>
      </c>
      <c r="B1765" s="83">
        <f t="array" ref="B1765">SUM(--(FREQUENCY(IF(C$2:C$3072=C1765, MATCH(D$2:D$3072, D$2:D$3072, 0)), ROW(D$2:D$3072)-ROW(D$2)+1) &gt; 0))</f>
        <v>18</v>
      </c>
      <c r="C1765" s="408">
        <v>41200101</v>
      </c>
      <c r="D1765" s="408" t="s">
        <v>3537</v>
      </c>
      <c r="E1765" s="408" t="s">
        <v>1585</v>
      </c>
      <c r="F1765" s="408" t="s">
        <v>1476</v>
      </c>
      <c r="G1765" s="408" t="s">
        <v>2675</v>
      </c>
      <c r="H1765" s="197">
        <f t="shared" si="446"/>
        <v>52</v>
      </c>
      <c r="I1765" s="408">
        <v>12</v>
      </c>
      <c r="J1765" s="408">
        <v>23</v>
      </c>
      <c r="K1765" s="186">
        <f t="shared" si="447"/>
        <v>46014</v>
      </c>
      <c r="L1765" s="408" t="s">
        <v>2555</v>
      </c>
      <c r="M1765" s="408" t="s">
        <v>2555</v>
      </c>
      <c r="N1765" s="408" t="str">
        <f t="shared" si="432"/>
        <v/>
      </c>
      <c r="O1765" s="408"/>
      <c r="P1765" s="408"/>
      <c r="Q1765" s="408"/>
      <c r="R1765" s="408"/>
      <c r="S1765" s="408"/>
      <c r="T1765" s="408"/>
      <c r="U1765" s="408"/>
      <c r="V1765" s="421"/>
      <c r="W1765" s="421"/>
      <c r="X1765" s="421"/>
      <c r="Y1765" s="421"/>
      <c r="Z1765" s="421"/>
      <c r="AA1765" s="421"/>
      <c r="AB1765" s="421"/>
      <c r="AC1765" s="421"/>
      <c r="AD1765" s="421"/>
      <c r="AE1765" s="421"/>
      <c r="AF1765" s="421"/>
      <c r="AG1765" s="421"/>
      <c r="AH1765" s="421"/>
      <c r="AI1765" s="421"/>
      <c r="AJ1765" s="421"/>
      <c r="AK1765" s="421"/>
      <c r="AL1765" s="421"/>
    </row>
    <row r="1766" spans="1:38">
      <c r="A1766" s="408">
        <v>6333</v>
      </c>
      <c r="B1766" s="83">
        <f t="array" ref="B1766">SUM(--(FREQUENCY(IF(C$2:C$3072=C1766, MATCH(D$2:D$3072, D$2:D$3072, 0)), ROW(D$2:D$3072)-ROW(D$2)+1) &gt; 0))</f>
        <v>24</v>
      </c>
      <c r="C1766" s="408">
        <v>41200122</v>
      </c>
      <c r="D1766" s="408" t="s">
        <v>3538</v>
      </c>
      <c r="E1766" s="408" t="s">
        <v>1585</v>
      </c>
      <c r="F1766" s="408" t="s">
        <v>1476</v>
      </c>
      <c r="G1766" s="408" t="s">
        <v>2675</v>
      </c>
      <c r="H1766" s="197">
        <f t="shared" si="446"/>
        <v>52</v>
      </c>
      <c r="I1766" s="408">
        <v>12</v>
      </c>
      <c r="J1766" s="408">
        <v>24</v>
      </c>
      <c r="K1766" s="186">
        <f t="shared" si="447"/>
        <v>46015</v>
      </c>
      <c r="L1766" s="408" t="s">
        <v>2391</v>
      </c>
      <c r="M1766" s="408" t="s">
        <v>2392</v>
      </c>
      <c r="N1766" s="408" t="str">
        <f t="shared" si="432"/>
        <v/>
      </c>
      <c r="O1766" s="408"/>
      <c r="P1766" s="408"/>
      <c r="Q1766" s="408"/>
      <c r="R1766" s="408"/>
      <c r="S1766" s="408"/>
      <c r="T1766" s="408"/>
      <c r="U1766" s="408"/>
      <c r="V1766" s="421"/>
      <c r="W1766" s="421"/>
      <c r="X1766" s="421"/>
      <c r="Y1766" s="421"/>
      <c r="Z1766" s="421"/>
      <c r="AA1766" s="421"/>
      <c r="AB1766" s="421"/>
      <c r="AC1766" s="421"/>
      <c r="AD1766" s="421"/>
      <c r="AE1766" s="421"/>
      <c r="AF1766" s="421"/>
      <c r="AG1766" s="421"/>
      <c r="AH1766" s="421"/>
      <c r="AI1766" s="421"/>
      <c r="AJ1766" s="421"/>
      <c r="AK1766" s="421"/>
      <c r="AL1766" s="421"/>
    </row>
    <row r="1767" spans="1:38">
      <c r="A1767" s="408">
        <v>6252</v>
      </c>
      <c r="B1767" s="83">
        <f t="array" ref="B1767">SUM(--(FREQUENCY(IF(C$2:C$3072=C1767, MATCH(D$2:D$3072, D$2:D$3072, 0)), ROW(D$2:D$3072)-ROW(D$2)+1) &gt; 0))</f>
        <v>6</v>
      </c>
      <c r="C1767" s="408">
        <v>41100317</v>
      </c>
      <c r="D1767" s="408" t="s">
        <v>3539</v>
      </c>
      <c r="E1767" s="408" t="s">
        <v>1585</v>
      </c>
      <c r="F1767" s="408" t="s">
        <v>1476</v>
      </c>
      <c r="G1767" s="408" t="s">
        <v>2675</v>
      </c>
      <c r="H1767" s="197">
        <f t="shared" si="446"/>
        <v>52</v>
      </c>
      <c r="I1767" s="408">
        <v>12</v>
      </c>
      <c r="J1767" s="408">
        <v>24</v>
      </c>
      <c r="K1767" s="186">
        <f t="shared" si="447"/>
        <v>46015</v>
      </c>
      <c r="L1767" s="408" t="s">
        <v>2391</v>
      </c>
      <c r="M1767" s="408" t="s">
        <v>1468</v>
      </c>
      <c r="N1767" s="408" t="str">
        <f t="shared" si="432"/>
        <v/>
      </c>
      <c r="O1767" s="408"/>
      <c r="P1767" s="408"/>
      <c r="Q1767" s="408"/>
      <c r="R1767" s="408"/>
      <c r="S1767" s="408"/>
      <c r="T1767" s="408"/>
      <c r="U1767" s="408"/>
      <c r="V1767" s="421"/>
      <c r="W1767" s="421"/>
      <c r="X1767" s="421"/>
      <c r="Y1767" s="421"/>
      <c r="Z1767" s="421"/>
      <c r="AA1767" s="421"/>
      <c r="AB1767" s="421"/>
      <c r="AC1767" s="421"/>
      <c r="AD1767" s="421"/>
      <c r="AE1767" s="421"/>
      <c r="AF1767" s="421"/>
      <c r="AG1767" s="421"/>
      <c r="AH1767" s="421"/>
      <c r="AI1767" s="421"/>
      <c r="AJ1767" s="421"/>
      <c r="AK1767" s="421"/>
      <c r="AL1767" s="421"/>
    </row>
    <row r="1768" spans="1:38">
      <c r="A1768" s="408">
        <v>6371</v>
      </c>
      <c r="B1768" s="83">
        <f t="array" ref="B1768">SUM(--(FREQUENCY(IF(C$2:C$3072=C1768, MATCH(D$2:D$3072, D$2:D$3072, 0)), ROW(D$2:D$3072)-ROW(D$2)+1) &gt; 0))</f>
        <v>18</v>
      </c>
      <c r="C1768" s="408">
        <v>41200171</v>
      </c>
      <c r="D1768" s="408" t="s">
        <v>3540</v>
      </c>
      <c r="E1768" s="408" t="s">
        <v>1394</v>
      </c>
      <c r="F1768" s="408" t="s">
        <v>1479</v>
      </c>
      <c r="G1768" s="408" t="s">
        <v>2666</v>
      </c>
      <c r="H1768" s="197">
        <f t="shared" si="446"/>
        <v>52</v>
      </c>
      <c r="I1768" s="408">
        <v>12</v>
      </c>
      <c r="J1768" s="408">
        <v>24</v>
      </c>
      <c r="K1768" s="186">
        <f t="shared" si="447"/>
        <v>46015</v>
      </c>
      <c r="L1768" s="408" t="s">
        <v>2395</v>
      </c>
      <c r="M1768" s="408" t="s">
        <v>2392</v>
      </c>
      <c r="N1768" s="408" t="str">
        <f t="shared" si="432"/>
        <v>NG</v>
      </c>
      <c r="O1768" s="408" t="s">
        <v>2368</v>
      </c>
      <c r="P1768" s="408" t="s">
        <v>3541</v>
      </c>
      <c r="Q1768" s="408">
        <v>13111554</v>
      </c>
      <c r="R1768" s="408" t="s">
        <v>3542</v>
      </c>
      <c r="S1768" s="408" t="s">
        <v>3543</v>
      </c>
      <c r="T1768" s="408"/>
      <c r="U1768" s="408"/>
      <c r="V1768" s="421"/>
      <c r="W1768" s="421"/>
      <c r="X1768" s="421"/>
      <c r="Y1768" s="421"/>
      <c r="Z1768" s="421"/>
      <c r="AA1768" s="421"/>
      <c r="AB1768" s="421"/>
      <c r="AC1768" s="421"/>
      <c r="AD1768" s="421"/>
      <c r="AE1768" s="421"/>
      <c r="AF1768" s="421"/>
      <c r="AG1768" s="421"/>
      <c r="AH1768" s="421"/>
      <c r="AI1768" s="421"/>
      <c r="AJ1768" s="421"/>
      <c r="AK1768" s="421"/>
      <c r="AL1768" s="421"/>
    </row>
    <row r="1769" spans="1:38">
      <c r="A1769" s="408">
        <v>6341</v>
      </c>
      <c r="B1769" s="83">
        <f t="array" ref="B1769">SUM(--(FREQUENCY(IF(C$2:C$3072=C1769, MATCH(D$2:D$3072, D$2:D$3072, 0)), ROW(D$2:D$3072)-ROW(D$2)+1) &gt; 0))</f>
        <v>2</v>
      </c>
      <c r="C1769" s="408">
        <v>41000600</v>
      </c>
      <c r="D1769" s="408" t="s">
        <v>3544</v>
      </c>
      <c r="E1769" s="408" t="s">
        <v>1405</v>
      </c>
      <c r="F1769" s="408" t="s">
        <v>1479</v>
      </c>
      <c r="G1769" s="408" t="s">
        <v>2666</v>
      </c>
      <c r="H1769" s="197">
        <f t="shared" si="446"/>
        <v>52</v>
      </c>
      <c r="I1769" s="408">
        <v>12</v>
      </c>
      <c r="J1769" s="408">
        <v>24</v>
      </c>
      <c r="K1769" s="186">
        <f t="shared" si="447"/>
        <v>46015</v>
      </c>
      <c r="L1769" s="408" t="s">
        <v>2391</v>
      </c>
      <c r="M1769" s="408" t="s">
        <v>2392</v>
      </c>
      <c r="N1769" s="408" t="str">
        <f t="shared" si="432"/>
        <v/>
      </c>
      <c r="O1769" s="408"/>
      <c r="P1769" s="408"/>
      <c r="Q1769" s="408"/>
      <c r="R1769" s="408"/>
      <c r="S1769" s="408"/>
      <c r="T1769" s="408"/>
      <c r="U1769" s="408"/>
      <c r="V1769" s="421"/>
      <c r="W1769" s="421"/>
      <c r="X1769" s="421"/>
      <c r="Y1769" s="421"/>
      <c r="Z1769" s="421"/>
      <c r="AA1769" s="421"/>
      <c r="AB1769" s="421"/>
      <c r="AC1769" s="421"/>
      <c r="AD1769" s="421"/>
      <c r="AE1769" s="421"/>
      <c r="AF1769" s="421"/>
      <c r="AG1769" s="421"/>
      <c r="AH1769" s="421"/>
      <c r="AI1769" s="421"/>
      <c r="AJ1769" s="421"/>
      <c r="AK1769" s="421"/>
      <c r="AL1769" s="421"/>
    </row>
    <row r="1770" spans="1:38">
      <c r="A1770" s="408">
        <v>6341</v>
      </c>
      <c r="B1770" s="83">
        <f t="array" ref="B1770">SUM(--(FREQUENCY(IF(C$2:C$3072=C1770, MATCH(D$2:D$3072, D$2:D$3072, 0)), ROW(D$2:D$3072)-ROW(D$2)+1) &gt; 0))</f>
        <v>2</v>
      </c>
      <c r="C1770" s="408">
        <v>41000600</v>
      </c>
      <c r="D1770" s="408" t="s">
        <v>3545</v>
      </c>
      <c r="E1770" s="408" t="s">
        <v>1405</v>
      </c>
      <c r="F1770" s="408" t="s">
        <v>1479</v>
      </c>
      <c r="G1770" s="408" t="s">
        <v>2666</v>
      </c>
      <c r="H1770" s="197">
        <f t="shared" si="446"/>
        <v>52</v>
      </c>
      <c r="I1770" s="408">
        <v>12</v>
      </c>
      <c r="J1770" s="408">
        <v>26</v>
      </c>
      <c r="K1770" s="186">
        <f t="shared" si="447"/>
        <v>46017</v>
      </c>
      <c r="L1770" s="408" t="s">
        <v>2391</v>
      </c>
      <c r="M1770" s="408" t="s">
        <v>2392</v>
      </c>
      <c r="N1770" s="408" t="str">
        <f t="shared" si="432"/>
        <v/>
      </c>
      <c r="O1770" s="408"/>
      <c r="P1770" s="408"/>
      <c r="Q1770" s="408"/>
      <c r="R1770" s="408"/>
      <c r="S1770" s="408"/>
      <c r="T1770" s="408"/>
      <c r="U1770" s="408"/>
      <c r="V1770" s="421"/>
      <c r="W1770" s="421"/>
      <c r="X1770" s="421"/>
      <c r="Y1770" s="421"/>
      <c r="Z1770" s="421"/>
      <c r="AA1770" s="421"/>
      <c r="AB1770" s="421"/>
      <c r="AC1770" s="421"/>
      <c r="AD1770" s="421"/>
      <c r="AE1770" s="421"/>
      <c r="AF1770" s="421"/>
      <c r="AG1770" s="421"/>
      <c r="AH1770" s="421"/>
      <c r="AI1770" s="421"/>
      <c r="AJ1770" s="421"/>
      <c r="AK1770" s="421"/>
      <c r="AL1770" s="421"/>
    </row>
    <row r="1771" spans="1:38">
      <c r="A1771" s="408">
        <v>6290</v>
      </c>
      <c r="B1771" s="83">
        <f t="array" ref="B1771">SUM(--(FREQUENCY(IF(C$2:C$3072=C1771, MATCH(D$2:D$3072, D$2:D$3072, 0)), ROW(D$2:D$3072)-ROW(D$2)+1) &gt; 0))</f>
        <v>6</v>
      </c>
      <c r="C1771" s="408">
        <v>41200193</v>
      </c>
      <c r="D1771" s="408" t="s">
        <v>3546</v>
      </c>
      <c r="E1771" s="408" t="s">
        <v>1395</v>
      </c>
      <c r="F1771" s="408" t="s">
        <v>1476</v>
      </c>
      <c r="G1771" s="408" t="s">
        <v>2675</v>
      </c>
      <c r="H1771" s="197">
        <f t="shared" si="446"/>
        <v>52</v>
      </c>
      <c r="I1771" s="408">
        <v>12</v>
      </c>
      <c r="J1771" s="408">
        <v>26</v>
      </c>
      <c r="K1771" s="186">
        <f t="shared" si="447"/>
        <v>46017</v>
      </c>
      <c r="L1771" s="408" t="s">
        <v>2391</v>
      </c>
      <c r="M1771" s="408" t="s">
        <v>2392</v>
      </c>
      <c r="N1771" s="408" t="s">
        <v>2877</v>
      </c>
      <c r="O1771" s="408" t="s">
        <v>2368</v>
      </c>
      <c r="P1771" s="408" t="s">
        <v>2371</v>
      </c>
      <c r="Q1771" s="408">
        <v>11001968</v>
      </c>
      <c r="R1771" s="408" t="s">
        <v>473</v>
      </c>
      <c r="S1771" s="408" t="s">
        <v>3547</v>
      </c>
      <c r="T1771" s="408"/>
      <c r="U1771" s="408"/>
      <c r="V1771" s="421"/>
      <c r="W1771" s="421"/>
      <c r="X1771" s="421"/>
      <c r="Y1771" s="421"/>
      <c r="Z1771" s="421"/>
      <c r="AA1771" s="421"/>
      <c r="AB1771" s="421"/>
      <c r="AC1771" s="421"/>
      <c r="AD1771" s="421"/>
      <c r="AE1771" s="421"/>
      <c r="AF1771" s="421"/>
      <c r="AG1771" s="421"/>
      <c r="AH1771" s="421"/>
      <c r="AI1771" s="421"/>
      <c r="AJ1771" s="421"/>
      <c r="AK1771" s="421"/>
      <c r="AL1771" s="421"/>
    </row>
    <row r="1772" spans="1:38">
      <c r="A1772" s="408">
        <v>6290</v>
      </c>
      <c r="B1772" s="83">
        <f t="array" ref="B1772">SUM(--(FREQUENCY(IF(C$2:C$3072=C1772, MATCH(D$2:D$3072, D$2:D$3072, 0)), ROW(D$2:D$3072)-ROW(D$2)+1) &gt; 0))</f>
        <v>6</v>
      </c>
      <c r="C1772" s="408">
        <v>41200193</v>
      </c>
      <c r="D1772" s="408" t="s">
        <v>3546</v>
      </c>
      <c r="E1772" s="408" t="s">
        <v>1395</v>
      </c>
      <c r="F1772" s="408" t="s">
        <v>1476</v>
      </c>
      <c r="G1772" s="408" t="s">
        <v>2675</v>
      </c>
      <c r="H1772" s="197">
        <f t="shared" si="446"/>
        <v>52</v>
      </c>
      <c r="I1772" s="408">
        <v>12</v>
      </c>
      <c r="J1772" s="408">
        <v>26</v>
      </c>
      <c r="K1772" s="186">
        <f t="shared" si="447"/>
        <v>46017</v>
      </c>
      <c r="L1772" s="408" t="s">
        <v>2391</v>
      </c>
      <c r="M1772" s="408" t="s">
        <v>2392</v>
      </c>
      <c r="N1772" s="408" t="s">
        <v>2877</v>
      </c>
      <c r="O1772" s="408" t="s">
        <v>2368</v>
      </c>
      <c r="P1772" s="408" t="s">
        <v>2371</v>
      </c>
      <c r="Q1772" s="408">
        <v>11001968</v>
      </c>
      <c r="R1772" s="408" t="s">
        <v>473</v>
      </c>
      <c r="S1772" s="408" t="s">
        <v>3548</v>
      </c>
      <c r="T1772" s="408"/>
      <c r="U1772" s="408"/>
      <c r="V1772" s="421"/>
      <c r="W1772" s="421"/>
      <c r="X1772" s="421"/>
      <c r="Y1772" s="421"/>
      <c r="Z1772" s="421"/>
      <c r="AA1772" s="421"/>
      <c r="AB1772" s="421"/>
      <c r="AC1772" s="421"/>
      <c r="AD1772" s="421"/>
      <c r="AE1772" s="421"/>
      <c r="AF1772" s="421"/>
      <c r="AG1772" s="421"/>
      <c r="AH1772" s="421"/>
      <c r="AI1772" s="421"/>
      <c r="AJ1772" s="421"/>
      <c r="AK1772" s="421"/>
      <c r="AL1772" s="421"/>
    </row>
    <row r="1773" spans="1:38">
      <c r="A1773" s="408">
        <v>6292</v>
      </c>
      <c r="B1773" s="83">
        <f t="array" ref="B1773">SUM(--(FREQUENCY(IF(C$2:C$3072=C1773, MATCH(D$2:D$3072, D$2:D$3072, 0)), ROW(D$2:D$3072)-ROW(D$2)+1) &gt; 0))</f>
        <v>5</v>
      </c>
      <c r="C1773" s="408">
        <v>41200200</v>
      </c>
      <c r="D1773" s="408" t="s">
        <v>3549</v>
      </c>
      <c r="E1773" s="408" t="s">
        <v>1395</v>
      </c>
      <c r="F1773" s="408" t="s">
        <v>1476</v>
      </c>
      <c r="G1773" s="408" t="s">
        <v>2675</v>
      </c>
      <c r="H1773" s="197">
        <f t="shared" si="446"/>
        <v>52</v>
      </c>
      <c r="I1773" s="408">
        <v>12</v>
      </c>
      <c r="J1773" s="408">
        <v>26</v>
      </c>
      <c r="K1773" s="186">
        <f t="shared" si="447"/>
        <v>46017</v>
      </c>
      <c r="L1773" s="408" t="s">
        <v>2395</v>
      </c>
      <c r="M1773" s="408" t="s">
        <v>1469</v>
      </c>
      <c r="N1773" s="408" t="str">
        <f t="shared" si="432"/>
        <v/>
      </c>
      <c r="O1773" s="408"/>
      <c r="P1773" s="408"/>
      <c r="Q1773" s="408"/>
      <c r="R1773" s="408"/>
      <c r="S1773" s="408"/>
      <c r="T1773" s="408"/>
      <c r="U1773" s="408"/>
      <c r="V1773" s="421"/>
      <c r="W1773" s="421"/>
      <c r="X1773" s="421"/>
      <c r="Y1773" s="421"/>
      <c r="Z1773" s="421"/>
      <c r="AA1773" s="421"/>
      <c r="AB1773" s="421"/>
      <c r="AC1773" s="421"/>
      <c r="AD1773" s="421"/>
      <c r="AE1773" s="421"/>
      <c r="AF1773" s="421"/>
      <c r="AG1773" s="421"/>
      <c r="AH1773" s="421"/>
      <c r="AI1773" s="421"/>
      <c r="AJ1773" s="421"/>
      <c r="AK1773" s="421"/>
      <c r="AL1773" s="421"/>
    </row>
    <row r="1774" spans="1:38">
      <c r="A1774" s="408">
        <v>6065</v>
      </c>
      <c r="B1774" s="83">
        <f t="array" ref="B1774">SUM(--(FREQUENCY(IF(C$2:C$3072=C1774, MATCH(D$2:D$3072, D$2:D$3072, 0)), ROW(D$2:D$3072)-ROW(D$2)+1) &gt; 0))</f>
        <v>18</v>
      </c>
      <c r="C1774" s="408">
        <v>41200101</v>
      </c>
      <c r="D1774" s="408" t="s">
        <v>3550</v>
      </c>
      <c r="E1774" s="408" t="s">
        <v>1585</v>
      </c>
      <c r="F1774" s="408" t="s">
        <v>1476</v>
      </c>
      <c r="G1774" s="408" t="s">
        <v>2675</v>
      </c>
      <c r="H1774" s="197">
        <f t="shared" si="446"/>
        <v>52</v>
      </c>
      <c r="I1774" s="408">
        <v>12</v>
      </c>
      <c r="J1774" s="408">
        <v>26</v>
      </c>
      <c r="K1774" s="186">
        <f t="shared" si="447"/>
        <v>46017</v>
      </c>
      <c r="L1774" s="408" t="s">
        <v>2395</v>
      </c>
      <c r="M1774" s="408" t="s">
        <v>2392</v>
      </c>
      <c r="N1774" s="408" t="s">
        <v>2877</v>
      </c>
      <c r="O1774" s="408" t="s">
        <v>2368</v>
      </c>
      <c r="P1774" s="408" t="s">
        <v>2589</v>
      </c>
      <c r="Q1774" s="408"/>
      <c r="R1774" s="408"/>
      <c r="S1774" s="408" t="s">
        <v>3551</v>
      </c>
      <c r="T1774" s="408"/>
      <c r="U1774" s="408"/>
      <c r="V1774" s="421"/>
      <c r="W1774" s="421"/>
      <c r="X1774" s="421"/>
      <c r="Y1774" s="421"/>
      <c r="Z1774" s="421"/>
      <c r="AA1774" s="421"/>
      <c r="AB1774" s="421"/>
      <c r="AC1774" s="421"/>
      <c r="AD1774" s="421"/>
      <c r="AE1774" s="421"/>
      <c r="AF1774" s="421"/>
      <c r="AG1774" s="421"/>
      <c r="AH1774" s="421"/>
      <c r="AI1774" s="421"/>
      <c r="AJ1774" s="421"/>
      <c r="AK1774" s="421"/>
      <c r="AL1774" s="421"/>
    </row>
    <row r="1775" spans="1:38">
      <c r="A1775" s="408">
        <v>6065</v>
      </c>
      <c r="B1775" s="83">
        <f t="array" ref="B1775">SUM(--(FREQUENCY(IF(C$2:C$3072=C1775, MATCH(D$2:D$3072, D$2:D$3072, 0)), ROW(D$2:D$3072)-ROW(D$2)+1) &gt; 0))</f>
        <v>18</v>
      </c>
      <c r="C1775" s="408">
        <v>41200101</v>
      </c>
      <c r="D1775" s="408" t="s">
        <v>3552</v>
      </c>
      <c r="E1775" s="408" t="s">
        <v>1585</v>
      </c>
      <c r="F1775" s="408" t="s">
        <v>1476</v>
      </c>
      <c r="G1775" s="408" t="s">
        <v>2675</v>
      </c>
      <c r="H1775" s="197">
        <f t="shared" si="446"/>
        <v>52</v>
      </c>
      <c r="I1775" s="408">
        <v>12</v>
      </c>
      <c r="J1775" s="408">
        <v>26</v>
      </c>
      <c r="K1775" s="186">
        <f t="shared" si="447"/>
        <v>46017</v>
      </c>
      <c r="L1775" s="408" t="s">
        <v>2395</v>
      </c>
      <c r="M1775" s="408" t="s">
        <v>2392</v>
      </c>
      <c r="N1775" s="408" t="s">
        <v>2877</v>
      </c>
      <c r="O1775" s="408" t="s">
        <v>1569</v>
      </c>
      <c r="P1775" s="408" t="s">
        <v>2508</v>
      </c>
      <c r="Q1775" s="408">
        <v>11006077</v>
      </c>
      <c r="R1775" s="408" t="s">
        <v>473</v>
      </c>
      <c r="S1775" s="408" t="s">
        <v>3553</v>
      </c>
      <c r="T1775" s="408"/>
      <c r="U1775" s="408"/>
      <c r="V1775" s="421"/>
      <c r="W1775" s="421"/>
      <c r="X1775" s="421"/>
      <c r="Y1775" s="421"/>
      <c r="Z1775" s="421"/>
      <c r="AA1775" s="421"/>
      <c r="AB1775" s="421"/>
      <c r="AC1775" s="421"/>
      <c r="AD1775" s="421"/>
      <c r="AE1775" s="421"/>
      <c r="AF1775" s="421"/>
      <c r="AG1775" s="421"/>
      <c r="AH1775" s="421"/>
      <c r="AI1775" s="421"/>
      <c r="AJ1775" s="421"/>
      <c r="AK1775" s="421"/>
      <c r="AL1775" s="421"/>
    </row>
    <row r="1776" spans="1:38">
      <c r="A1776" s="408">
        <v>6301</v>
      </c>
      <c r="B1776" s="83">
        <f t="array" ref="B1776">SUM(--(FREQUENCY(IF(C$2:C$3072=C1776, MATCH(D$2:D$3072, D$2:D$3072, 0)), ROW(D$2:D$3072)-ROW(D$2)+1) &gt; 0))</f>
        <v>5</v>
      </c>
      <c r="C1776" s="408">
        <v>41200200</v>
      </c>
      <c r="D1776" s="408" t="s">
        <v>3554</v>
      </c>
      <c r="E1776" s="408" t="s">
        <v>1395</v>
      </c>
      <c r="F1776" s="408" t="s">
        <v>1478</v>
      </c>
      <c r="G1776" s="408" t="s">
        <v>2675</v>
      </c>
      <c r="H1776" s="197">
        <f t="shared" si="446"/>
        <v>52</v>
      </c>
      <c r="I1776" s="408">
        <v>12</v>
      </c>
      <c r="J1776" s="408">
        <v>26</v>
      </c>
      <c r="K1776" s="186">
        <f t="shared" si="447"/>
        <v>46017</v>
      </c>
      <c r="L1776" s="408" t="s">
        <v>2395</v>
      </c>
      <c r="M1776" s="408" t="s">
        <v>1469</v>
      </c>
      <c r="N1776" s="408" t="str">
        <f t="shared" si="432"/>
        <v/>
      </c>
      <c r="O1776" s="408"/>
      <c r="P1776" s="408"/>
      <c r="Q1776" s="408"/>
      <c r="R1776" s="408"/>
      <c r="S1776" s="408"/>
      <c r="T1776" s="408"/>
      <c r="U1776" s="408"/>
      <c r="V1776" s="421"/>
      <c r="W1776" s="421"/>
      <c r="X1776" s="421"/>
      <c r="Y1776" s="421"/>
      <c r="Z1776" s="421"/>
      <c r="AA1776" s="421"/>
      <c r="AB1776" s="421"/>
      <c r="AC1776" s="421"/>
      <c r="AD1776" s="421"/>
      <c r="AE1776" s="421"/>
      <c r="AF1776" s="421"/>
      <c r="AG1776" s="421"/>
      <c r="AH1776" s="421"/>
      <c r="AI1776" s="421"/>
      <c r="AJ1776" s="421"/>
      <c r="AK1776" s="421"/>
      <c r="AL1776" s="421"/>
    </row>
    <row r="1777" spans="1:38">
      <c r="A1777" s="408">
        <v>6301</v>
      </c>
      <c r="B1777" s="83">
        <f t="array" ref="B1777">SUM(--(FREQUENCY(IF(C$2:C$3072=C1777, MATCH(D$2:D$3072, D$2:D$3072, 0)), ROW(D$2:D$3072)-ROW(D$2)+1) &gt; 0))</f>
        <v>5</v>
      </c>
      <c r="C1777" s="408">
        <v>41200200</v>
      </c>
      <c r="D1777" s="408" t="s">
        <v>3555</v>
      </c>
      <c r="E1777" s="408" t="s">
        <v>1395</v>
      </c>
      <c r="F1777" s="408" t="s">
        <v>1478</v>
      </c>
      <c r="G1777" s="408" t="s">
        <v>2675</v>
      </c>
      <c r="H1777" s="197">
        <f t="shared" si="446"/>
        <v>52</v>
      </c>
      <c r="I1777" s="408">
        <v>12</v>
      </c>
      <c r="J1777" s="408">
        <v>26</v>
      </c>
      <c r="K1777" s="186">
        <f t="shared" si="447"/>
        <v>46017</v>
      </c>
      <c r="L1777" s="408" t="s">
        <v>2395</v>
      </c>
      <c r="M1777" s="408" t="s">
        <v>1469</v>
      </c>
      <c r="N1777" s="408" t="str">
        <f t="shared" si="432"/>
        <v/>
      </c>
      <c r="O1777" s="408"/>
      <c r="P1777" s="408"/>
      <c r="Q1777" s="408"/>
      <c r="R1777" s="408"/>
      <c r="S1777" s="408"/>
      <c r="T1777" s="408"/>
      <c r="U1777" s="408"/>
      <c r="V1777" s="421"/>
      <c r="W1777" s="421"/>
      <c r="X1777" s="421"/>
      <c r="Y1777" s="421"/>
      <c r="Z1777" s="421"/>
      <c r="AA1777" s="421"/>
      <c r="AB1777" s="421"/>
      <c r="AC1777" s="421"/>
      <c r="AD1777" s="421"/>
      <c r="AE1777" s="421"/>
      <c r="AF1777" s="421"/>
      <c r="AG1777" s="421"/>
      <c r="AH1777" s="421"/>
      <c r="AI1777" s="421"/>
      <c r="AJ1777" s="421"/>
      <c r="AK1777" s="421"/>
      <c r="AL1777" s="421"/>
    </row>
    <row r="1778" spans="1:38" s="180" customFormat="1">
      <c r="A1778" s="414">
        <v>6301</v>
      </c>
      <c r="B1778" s="123">
        <f t="array" ref="B1778">SUM(--(FREQUENCY(IF(C$2:C$3072=C1778, MATCH(D$2:D$3072, D$2:D$3072, 0)), ROW(D$2:D$3072)-ROW(D$2)+1) &gt; 0))</f>
        <v>5</v>
      </c>
      <c r="C1778" s="414">
        <v>41200200</v>
      </c>
      <c r="D1778" s="414" t="s">
        <v>3556</v>
      </c>
      <c r="E1778" s="414" t="s">
        <v>1395</v>
      </c>
      <c r="F1778" s="414" t="s">
        <v>1478</v>
      </c>
      <c r="G1778" s="414" t="s">
        <v>2675</v>
      </c>
      <c r="H1778" s="526">
        <f t="shared" si="446"/>
        <v>52</v>
      </c>
      <c r="I1778" s="414">
        <v>12</v>
      </c>
      <c r="J1778" s="414">
        <v>26</v>
      </c>
      <c r="K1778" s="554">
        <f t="shared" si="447"/>
        <v>46017</v>
      </c>
      <c r="L1778" s="414" t="s">
        <v>2395</v>
      </c>
      <c r="M1778" s="414" t="s">
        <v>1469</v>
      </c>
      <c r="N1778" s="414" t="str">
        <f t="shared" si="432"/>
        <v>NG</v>
      </c>
      <c r="O1778" s="414" t="s">
        <v>2368</v>
      </c>
      <c r="P1778" s="414" t="s">
        <v>2371</v>
      </c>
      <c r="Q1778" s="414">
        <v>11001968</v>
      </c>
      <c r="R1778" s="414" t="s">
        <v>473</v>
      </c>
      <c r="S1778" s="414" t="s">
        <v>3557</v>
      </c>
      <c r="T1778" s="414"/>
      <c r="U1778" s="414"/>
      <c r="V1778" s="419"/>
      <c r="W1778" s="419"/>
      <c r="X1778" s="419"/>
      <c r="Y1778" s="419"/>
      <c r="Z1778" s="419"/>
      <c r="AA1778" s="419"/>
      <c r="AB1778" s="419"/>
      <c r="AC1778" s="419"/>
      <c r="AD1778" s="419"/>
      <c r="AE1778" s="419"/>
      <c r="AF1778" s="419"/>
      <c r="AG1778" s="419"/>
      <c r="AH1778" s="419"/>
      <c r="AI1778" s="419"/>
      <c r="AJ1778" s="419"/>
      <c r="AK1778" s="419"/>
      <c r="AL1778" s="419"/>
    </row>
    <row r="1779" spans="1:38" s="180" customFormat="1">
      <c r="A1779" s="414">
        <v>6301</v>
      </c>
      <c r="B1779" s="123">
        <f t="array" ref="B1779">SUM(--(FREQUENCY(IF(C$2:C$3072=C1779, MATCH(D$2:D$3072, D$2:D$3072, 0)), ROW(D$2:D$3072)-ROW(D$2)+1) &gt; 0))</f>
        <v>5</v>
      </c>
      <c r="C1779" s="414">
        <v>41200200</v>
      </c>
      <c r="D1779" s="414" t="s">
        <v>3556</v>
      </c>
      <c r="E1779" s="414" t="s">
        <v>1395</v>
      </c>
      <c r="F1779" s="414" t="s">
        <v>1478</v>
      </c>
      <c r="G1779" s="414" t="s">
        <v>2675</v>
      </c>
      <c r="H1779" s="526">
        <f t="shared" ref="H1779:H1780" si="449">WEEKNUM(K1779)</f>
        <v>52</v>
      </c>
      <c r="I1779" s="414">
        <v>12</v>
      </c>
      <c r="J1779" s="414">
        <v>26</v>
      </c>
      <c r="K1779" s="554">
        <f t="shared" ref="K1779:K1780" si="450">DATE(2025, I1779, J1779)</f>
        <v>46017</v>
      </c>
      <c r="L1779" s="414" t="s">
        <v>2395</v>
      </c>
      <c r="M1779" s="414" t="s">
        <v>1469</v>
      </c>
      <c r="N1779" s="414" t="str">
        <f t="shared" ref="N1779:N1780" si="451">IF(O1779&lt;&gt;"", "NG", "")</f>
        <v>NG</v>
      </c>
      <c r="O1779" s="414" t="s">
        <v>2368</v>
      </c>
      <c r="P1779" s="414" t="s">
        <v>2371</v>
      </c>
      <c r="Q1779" s="414">
        <v>11001968</v>
      </c>
      <c r="R1779" s="414" t="s">
        <v>473</v>
      </c>
      <c r="S1779" s="414" t="s">
        <v>3558</v>
      </c>
      <c r="T1779" s="414"/>
      <c r="U1779" s="414"/>
      <c r="V1779" s="419"/>
      <c r="W1779" s="419"/>
      <c r="X1779" s="419"/>
      <c r="Y1779" s="419"/>
      <c r="Z1779" s="419"/>
      <c r="AA1779" s="419"/>
      <c r="AB1779" s="419"/>
      <c r="AC1779" s="419"/>
      <c r="AD1779" s="419"/>
      <c r="AE1779" s="419"/>
      <c r="AF1779" s="419"/>
      <c r="AG1779" s="419"/>
      <c r="AH1779" s="419"/>
      <c r="AI1779" s="419"/>
      <c r="AJ1779" s="419"/>
      <c r="AK1779" s="419"/>
      <c r="AL1779" s="419"/>
    </row>
    <row r="1780" spans="1:38" s="180" customFormat="1">
      <c r="A1780" s="414">
        <v>6301</v>
      </c>
      <c r="B1780" s="123">
        <f t="array" ref="B1780">SUM(--(FREQUENCY(IF(C$2:C$3072=C1780, MATCH(D$2:D$3072, D$2:D$3072, 0)), ROW(D$2:D$3072)-ROW(D$2)+1) &gt; 0))</f>
        <v>5</v>
      </c>
      <c r="C1780" s="414">
        <v>41200200</v>
      </c>
      <c r="D1780" s="414" t="s">
        <v>3556</v>
      </c>
      <c r="E1780" s="414" t="s">
        <v>1395</v>
      </c>
      <c r="F1780" s="414" t="s">
        <v>1478</v>
      </c>
      <c r="G1780" s="414" t="s">
        <v>2675</v>
      </c>
      <c r="H1780" s="526">
        <f t="shared" si="449"/>
        <v>52</v>
      </c>
      <c r="I1780" s="414">
        <v>12</v>
      </c>
      <c r="J1780" s="414">
        <v>26</v>
      </c>
      <c r="K1780" s="554">
        <f t="shared" si="450"/>
        <v>46017</v>
      </c>
      <c r="L1780" s="414" t="s">
        <v>2395</v>
      </c>
      <c r="M1780" s="414" t="s">
        <v>1469</v>
      </c>
      <c r="N1780" s="414" t="str">
        <f t="shared" si="451"/>
        <v>NG</v>
      </c>
      <c r="O1780" s="414" t="s">
        <v>2368</v>
      </c>
      <c r="P1780" s="414" t="s">
        <v>2371</v>
      </c>
      <c r="Q1780" s="414">
        <v>11001968</v>
      </c>
      <c r="R1780" s="414" t="s">
        <v>473</v>
      </c>
      <c r="S1780" s="414" t="s">
        <v>3559</v>
      </c>
      <c r="T1780" s="414"/>
      <c r="U1780" s="414"/>
      <c r="V1780" s="419"/>
      <c r="W1780" s="419"/>
      <c r="X1780" s="419"/>
      <c r="Y1780" s="419"/>
      <c r="Z1780" s="419"/>
      <c r="AA1780" s="419"/>
      <c r="AB1780" s="419"/>
      <c r="AC1780" s="419"/>
      <c r="AD1780" s="419"/>
      <c r="AE1780" s="419"/>
      <c r="AF1780" s="419"/>
      <c r="AG1780" s="419"/>
      <c r="AH1780" s="419"/>
      <c r="AI1780" s="419"/>
      <c r="AJ1780" s="419"/>
      <c r="AK1780" s="419"/>
      <c r="AL1780" s="419"/>
    </row>
    <row r="1781" spans="1:38">
      <c r="A1781" s="408">
        <v>6396</v>
      </c>
      <c r="B1781" s="83">
        <f t="array" ref="B1781">SUM(--(FREQUENCY(IF(C$2:C$3072=C1781, MATCH(D$2:D$3072, D$2:D$3072, 0)), ROW(D$2:D$3072)-ROW(D$2)+1) &gt; 0))</f>
        <v>1</v>
      </c>
      <c r="C1781" s="408">
        <v>41200202</v>
      </c>
      <c r="D1781" s="408" t="s">
        <v>3560</v>
      </c>
      <c r="E1781" s="408" t="s">
        <v>1424</v>
      </c>
      <c r="F1781" s="408" t="s">
        <v>1476</v>
      </c>
      <c r="G1781" s="408" t="s">
        <v>2675</v>
      </c>
      <c r="H1781" s="197">
        <f t="shared" si="446"/>
        <v>53</v>
      </c>
      <c r="I1781" s="408">
        <v>12</v>
      </c>
      <c r="J1781" s="408">
        <v>29</v>
      </c>
      <c r="K1781" s="186">
        <f t="shared" si="447"/>
        <v>46020</v>
      </c>
      <c r="L1781" s="408" t="s">
        <v>2391</v>
      </c>
      <c r="M1781" s="408" t="s">
        <v>2392</v>
      </c>
      <c r="N1781" s="408" t="str">
        <f t="shared" si="432"/>
        <v>NG</v>
      </c>
      <c r="O1781" s="408" t="s">
        <v>2368</v>
      </c>
      <c r="P1781" s="408" t="s">
        <v>2371</v>
      </c>
      <c r="Q1781" s="408">
        <v>11001964</v>
      </c>
      <c r="R1781" s="408" t="s">
        <v>562</v>
      </c>
      <c r="S1781" s="408" t="s">
        <v>3561</v>
      </c>
      <c r="T1781" s="408"/>
      <c r="U1781" s="408"/>
      <c r="V1781" s="421"/>
      <c r="W1781" s="421"/>
      <c r="X1781" s="421"/>
      <c r="Y1781" s="421"/>
      <c r="Z1781" s="421"/>
      <c r="AA1781" s="421"/>
      <c r="AB1781" s="421"/>
      <c r="AC1781" s="421"/>
      <c r="AD1781" s="421"/>
      <c r="AE1781" s="421"/>
      <c r="AF1781" s="421"/>
      <c r="AG1781" s="421"/>
      <c r="AH1781" s="421"/>
      <c r="AI1781" s="421"/>
      <c r="AJ1781" s="421"/>
      <c r="AK1781" s="421"/>
      <c r="AL1781" s="421"/>
    </row>
    <row r="1782" spans="1:38">
      <c r="A1782" s="408">
        <v>6316</v>
      </c>
      <c r="B1782" s="83">
        <f t="array" ref="B1782">SUM(--(FREQUENCY(IF(C$2:C$3072=C1782, MATCH(D$2:D$3072, D$2:D$3072, 0)), ROW(D$2:D$3072)-ROW(D$2)+1) &gt; 0))</f>
        <v>9</v>
      </c>
      <c r="C1782" s="408">
        <v>41200105</v>
      </c>
      <c r="D1782" s="408" t="s">
        <v>3562</v>
      </c>
      <c r="E1782" s="408" t="s">
        <v>1424</v>
      </c>
      <c r="F1782" s="408" t="s">
        <v>1476</v>
      </c>
      <c r="G1782" s="408" t="s">
        <v>2675</v>
      </c>
      <c r="H1782" s="197">
        <f t="shared" si="446"/>
        <v>53</v>
      </c>
      <c r="I1782" s="408">
        <v>12</v>
      </c>
      <c r="J1782" s="408">
        <v>29</v>
      </c>
      <c r="K1782" s="186">
        <f t="shared" si="447"/>
        <v>46020</v>
      </c>
      <c r="L1782" s="408" t="s">
        <v>2391</v>
      </c>
      <c r="M1782" s="408" t="s">
        <v>1468</v>
      </c>
      <c r="N1782" s="408" t="str">
        <f t="shared" si="432"/>
        <v/>
      </c>
      <c r="O1782" s="408"/>
      <c r="P1782" s="408"/>
      <c r="Q1782" s="408"/>
      <c r="R1782" s="408"/>
      <c r="S1782" s="408"/>
      <c r="T1782" s="408"/>
      <c r="U1782" s="408"/>
      <c r="V1782" s="421"/>
      <c r="W1782" s="421"/>
      <c r="X1782" s="421"/>
      <c r="Y1782" s="421"/>
      <c r="Z1782" s="421"/>
      <c r="AA1782" s="421"/>
      <c r="AB1782" s="421"/>
      <c r="AC1782" s="421"/>
      <c r="AD1782" s="421"/>
      <c r="AE1782" s="421"/>
      <c r="AF1782" s="421"/>
      <c r="AG1782" s="421"/>
      <c r="AH1782" s="421"/>
      <c r="AI1782" s="421"/>
      <c r="AJ1782" s="421"/>
      <c r="AK1782" s="421"/>
      <c r="AL1782" s="421"/>
    </row>
    <row r="1783" spans="1:38">
      <c r="A1783" s="408">
        <v>6405</v>
      </c>
      <c r="B1783" s="83">
        <f t="array" ref="B1783">SUM(--(FREQUENCY(IF(C$2:C$3072=C1783, MATCH(D$2:D$3072, D$2:D$3072, 0)), ROW(D$2:D$3072)-ROW(D$2)+1) &gt; 0))</f>
        <v>1</v>
      </c>
      <c r="C1783" s="408">
        <v>41000583</v>
      </c>
      <c r="D1783" s="408" t="s">
        <v>3563</v>
      </c>
      <c r="E1783" s="408" t="s">
        <v>3564</v>
      </c>
      <c r="F1783" s="408" t="s">
        <v>3565</v>
      </c>
      <c r="G1783" s="408" t="s">
        <v>2666</v>
      </c>
      <c r="H1783" s="197">
        <f t="shared" si="446"/>
        <v>53</v>
      </c>
      <c r="I1783" s="408">
        <v>12</v>
      </c>
      <c r="J1783" s="408">
        <v>29</v>
      </c>
      <c r="K1783" s="186">
        <f t="shared" si="447"/>
        <v>46020</v>
      </c>
      <c r="L1783" s="408" t="s">
        <v>2391</v>
      </c>
      <c r="M1783" s="408" t="s">
        <v>2392</v>
      </c>
      <c r="N1783" s="408" t="str">
        <f t="shared" si="432"/>
        <v/>
      </c>
      <c r="O1783" s="408"/>
      <c r="P1783" s="408"/>
      <c r="Q1783" s="408"/>
      <c r="R1783" s="408"/>
      <c r="S1783" s="408"/>
      <c r="T1783" s="408"/>
      <c r="U1783" s="408"/>
      <c r="V1783" s="421"/>
      <c r="W1783" s="421"/>
      <c r="X1783" s="421"/>
      <c r="Y1783" s="421"/>
      <c r="Z1783" s="421"/>
      <c r="AA1783" s="421"/>
      <c r="AB1783" s="421"/>
      <c r="AC1783" s="421"/>
      <c r="AD1783" s="421"/>
      <c r="AE1783" s="421"/>
      <c r="AF1783" s="421"/>
      <c r="AG1783" s="421"/>
      <c r="AH1783" s="421"/>
      <c r="AI1783" s="421"/>
      <c r="AJ1783" s="421"/>
      <c r="AK1783" s="421"/>
      <c r="AL1783" s="421"/>
    </row>
    <row r="1784" spans="1:38">
      <c r="A1784" s="408">
        <v>6301</v>
      </c>
      <c r="B1784" s="83">
        <f t="array" ref="B1784">SUM(--(FREQUENCY(IF(C$2:C$3072=C1784, MATCH(D$2:D$3072, D$2:D$3072, 0)), ROW(D$2:D$3072)-ROW(D$2)+1) &gt; 0))</f>
        <v>5</v>
      </c>
      <c r="C1784" s="408">
        <v>41200200</v>
      </c>
      <c r="D1784" s="408" t="s">
        <v>3566</v>
      </c>
      <c r="E1784" s="408" t="s">
        <v>1395</v>
      </c>
      <c r="F1784" s="408" t="s">
        <v>1478</v>
      </c>
      <c r="G1784" s="408" t="s">
        <v>2675</v>
      </c>
      <c r="H1784" s="197">
        <f t="shared" si="446"/>
        <v>53</v>
      </c>
      <c r="I1784" s="408">
        <v>12</v>
      </c>
      <c r="J1784" s="408">
        <v>29</v>
      </c>
      <c r="K1784" s="186">
        <f t="shared" si="447"/>
        <v>46020</v>
      </c>
      <c r="L1784" s="408" t="s">
        <v>2395</v>
      </c>
      <c r="M1784" s="408" t="s">
        <v>1469</v>
      </c>
      <c r="N1784" s="408" t="str">
        <f t="shared" si="432"/>
        <v/>
      </c>
      <c r="O1784" s="408"/>
      <c r="P1784" s="408"/>
      <c r="Q1784" s="408"/>
      <c r="R1784" s="408"/>
      <c r="S1784" s="408"/>
      <c r="T1784" s="408"/>
      <c r="U1784" s="408"/>
      <c r="V1784" s="421"/>
      <c r="W1784" s="421"/>
      <c r="X1784" s="421"/>
      <c r="Y1784" s="421"/>
      <c r="Z1784" s="421"/>
      <c r="AA1784" s="421"/>
      <c r="AB1784" s="421"/>
      <c r="AC1784" s="421"/>
      <c r="AD1784" s="421"/>
      <c r="AE1784" s="421"/>
      <c r="AF1784" s="421"/>
      <c r="AG1784" s="421"/>
      <c r="AH1784" s="421"/>
      <c r="AI1784" s="421"/>
      <c r="AJ1784" s="421"/>
      <c r="AK1784" s="421"/>
      <c r="AL1784" s="421"/>
    </row>
    <row r="1785" spans="1:38">
      <c r="A1785" s="408">
        <v>6327</v>
      </c>
      <c r="B1785" s="83">
        <v>18</v>
      </c>
      <c r="C1785" s="408">
        <v>41200039</v>
      </c>
      <c r="D1785" s="408" t="s">
        <v>3567</v>
      </c>
      <c r="E1785" s="408" t="s">
        <v>1426</v>
      </c>
      <c r="F1785" s="408" t="s">
        <v>1476</v>
      </c>
      <c r="G1785" s="408" t="s">
        <v>2675</v>
      </c>
      <c r="H1785" s="197">
        <f t="shared" si="446"/>
        <v>53</v>
      </c>
      <c r="I1785" s="408">
        <v>12</v>
      </c>
      <c r="J1785" s="408">
        <v>30</v>
      </c>
      <c r="K1785" s="186">
        <f t="shared" si="447"/>
        <v>46021</v>
      </c>
      <c r="L1785" s="408" t="s">
        <v>2391</v>
      </c>
      <c r="M1785" s="408" t="s">
        <v>2392</v>
      </c>
      <c r="N1785" s="408" t="str">
        <f t="shared" si="432"/>
        <v>NG</v>
      </c>
      <c r="O1785" s="408" t="s">
        <v>2368</v>
      </c>
      <c r="P1785" s="408" t="s">
        <v>2508</v>
      </c>
      <c r="Q1785" s="408">
        <v>11006077</v>
      </c>
      <c r="R1785" s="408" t="s">
        <v>473</v>
      </c>
      <c r="S1785" s="408" t="s">
        <v>3568</v>
      </c>
      <c r="T1785" s="408"/>
      <c r="U1785" s="408"/>
      <c r="V1785" s="421"/>
      <c r="W1785" s="421"/>
      <c r="X1785" s="421"/>
      <c r="Y1785" s="421"/>
      <c r="Z1785" s="421"/>
      <c r="AA1785" s="421"/>
      <c r="AB1785" s="421"/>
      <c r="AC1785" s="421"/>
      <c r="AD1785" s="421"/>
      <c r="AE1785" s="421"/>
      <c r="AF1785" s="421"/>
      <c r="AG1785" s="421"/>
      <c r="AH1785" s="421"/>
      <c r="AI1785" s="421"/>
      <c r="AJ1785" s="421"/>
      <c r="AK1785" s="421"/>
      <c r="AL1785" s="421"/>
    </row>
    <row r="1786" spans="1:38">
      <c r="A1786" s="408">
        <v>6361</v>
      </c>
      <c r="B1786" s="83">
        <v>77</v>
      </c>
      <c r="C1786" s="408">
        <v>41200076</v>
      </c>
      <c r="D1786" s="408" t="s">
        <v>3569</v>
      </c>
      <c r="E1786" s="408" t="s">
        <v>1585</v>
      </c>
      <c r="F1786" s="408" t="s">
        <v>1476</v>
      </c>
      <c r="G1786" s="408" t="s">
        <v>2675</v>
      </c>
      <c r="H1786" s="197">
        <f t="shared" si="446"/>
        <v>53</v>
      </c>
      <c r="I1786" s="408">
        <v>12</v>
      </c>
      <c r="J1786" s="408">
        <v>30</v>
      </c>
      <c r="K1786" s="186">
        <f t="shared" si="447"/>
        <v>46021</v>
      </c>
      <c r="L1786" s="408" t="s">
        <v>2391</v>
      </c>
      <c r="M1786" s="408" t="s">
        <v>2392</v>
      </c>
      <c r="N1786" s="408" t="str">
        <f t="shared" si="432"/>
        <v/>
      </c>
      <c r="O1786" s="408"/>
      <c r="P1786" s="408"/>
      <c r="Q1786" s="408"/>
      <c r="R1786" s="408"/>
      <c r="S1786" s="408"/>
      <c r="T1786" s="408"/>
      <c r="U1786" s="408"/>
      <c r="V1786" s="421"/>
      <c r="W1786" s="421"/>
      <c r="X1786" s="421"/>
      <c r="Y1786" s="421"/>
      <c r="Z1786" s="421"/>
      <c r="AA1786" s="421"/>
      <c r="AB1786" s="421"/>
      <c r="AC1786" s="421"/>
      <c r="AD1786" s="421"/>
      <c r="AE1786" s="421"/>
      <c r="AF1786" s="421"/>
      <c r="AG1786" s="421"/>
      <c r="AH1786" s="421"/>
      <c r="AI1786" s="421"/>
      <c r="AJ1786" s="421"/>
      <c r="AK1786" s="421"/>
      <c r="AL1786" s="421"/>
    </row>
    <row r="1787" spans="1:38">
      <c r="A1787" s="408">
        <v>6309</v>
      </c>
      <c r="B1787" s="83">
        <v>41</v>
      </c>
      <c r="C1787" s="408">
        <v>41200101</v>
      </c>
      <c r="D1787" s="408" t="s">
        <v>3570</v>
      </c>
      <c r="E1787" s="408" t="s">
        <v>1585</v>
      </c>
      <c r="F1787" s="408" t="s">
        <v>1476</v>
      </c>
      <c r="G1787" s="408" t="s">
        <v>2675</v>
      </c>
      <c r="H1787" s="197">
        <f t="shared" si="446"/>
        <v>53</v>
      </c>
      <c r="I1787" s="408">
        <v>12</v>
      </c>
      <c r="J1787" s="408">
        <v>30</v>
      </c>
      <c r="K1787" s="186">
        <f t="shared" si="447"/>
        <v>46021</v>
      </c>
      <c r="L1787" s="408" t="s">
        <v>2391</v>
      </c>
      <c r="M1787" s="408" t="s">
        <v>1468</v>
      </c>
      <c r="N1787" s="408" t="s">
        <v>2877</v>
      </c>
      <c r="O1787" s="408" t="s">
        <v>2368</v>
      </c>
      <c r="P1787" s="408" t="s">
        <v>2508</v>
      </c>
      <c r="Q1787" s="408">
        <v>11006077</v>
      </c>
      <c r="R1787" s="408" t="s">
        <v>473</v>
      </c>
      <c r="S1787" s="408" t="s">
        <v>3568</v>
      </c>
      <c r="T1787" s="408"/>
      <c r="U1787" s="408"/>
      <c r="V1787" s="421"/>
      <c r="W1787" s="421"/>
      <c r="X1787" s="421"/>
      <c r="Y1787" s="421"/>
      <c r="Z1787" s="421"/>
      <c r="AA1787" s="421"/>
      <c r="AB1787" s="421"/>
      <c r="AC1787" s="421"/>
      <c r="AD1787" s="421"/>
      <c r="AE1787" s="421"/>
      <c r="AF1787" s="421"/>
      <c r="AG1787" s="421"/>
      <c r="AH1787" s="421"/>
      <c r="AI1787" s="421"/>
      <c r="AJ1787" s="421"/>
      <c r="AK1787" s="421"/>
      <c r="AL1787" s="421"/>
    </row>
    <row r="1788" spans="1:38">
      <c r="A1788" s="408">
        <v>6348</v>
      </c>
      <c r="B1788" s="83">
        <v>44</v>
      </c>
      <c r="C1788" s="408">
        <v>41200047</v>
      </c>
      <c r="D1788" s="408" t="s">
        <v>3571</v>
      </c>
      <c r="E1788" s="408" t="s">
        <v>1426</v>
      </c>
      <c r="F1788" s="408" t="s">
        <v>1476</v>
      </c>
      <c r="G1788" s="408" t="s">
        <v>2675</v>
      </c>
      <c r="H1788" s="197">
        <f t="shared" si="446"/>
        <v>53</v>
      </c>
      <c r="I1788" s="408">
        <v>12</v>
      </c>
      <c r="J1788" s="408">
        <v>30</v>
      </c>
      <c r="K1788" s="186">
        <f t="shared" si="447"/>
        <v>46021</v>
      </c>
      <c r="L1788" s="408" t="s">
        <v>2391</v>
      </c>
      <c r="M1788" s="408" t="s">
        <v>1468</v>
      </c>
      <c r="N1788" s="408" t="str">
        <f t="shared" si="432"/>
        <v/>
      </c>
      <c r="O1788" s="408"/>
      <c r="P1788" s="408"/>
      <c r="Q1788" s="408"/>
      <c r="R1788" s="408"/>
      <c r="S1788" s="408"/>
      <c r="T1788" s="408"/>
      <c r="U1788" s="408"/>
      <c r="V1788" s="421"/>
      <c r="W1788" s="421"/>
      <c r="X1788" s="421"/>
      <c r="Y1788" s="421"/>
      <c r="Z1788" s="421"/>
      <c r="AA1788" s="421"/>
      <c r="AB1788" s="421"/>
      <c r="AC1788" s="421"/>
      <c r="AD1788" s="421"/>
      <c r="AE1788" s="421"/>
      <c r="AF1788" s="421"/>
      <c r="AG1788" s="421"/>
      <c r="AH1788" s="421"/>
      <c r="AI1788" s="421"/>
      <c r="AJ1788" s="421"/>
      <c r="AK1788" s="421"/>
      <c r="AL1788" s="421"/>
    </row>
    <row r="1789" spans="1:38" s="180" customFormat="1">
      <c r="A1789" s="414">
        <v>6348</v>
      </c>
      <c r="B1789" s="123">
        <v>44</v>
      </c>
      <c r="C1789" s="414">
        <v>41200047</v>
      </c>
      <c r="D1789" s="414" t="s">
        <v>3572</v>
      </c>
      <c r="E1789" s="414" t="s">
        <v>1426</v>
      </c>
      <c r="F1789" s="414" t="s">
        <v>1476</v>
      </c>
      <c r="G1789" s="414" t="s">
        <v>2675</v>
      </c>
      <c r="H1789" s="526">
        <f t="shared" ref="H1789" si="452">WEEKNUM(K1789)</f>
        <v>53</v>
      </c>
      <c r="I1789" s="414">
        <v>12</v>
      </c>
      <c r="J1789" s="414">
        <v>30</v>
      </c>
      <c r="K1789" s="554">
        <f t="shared" ref="K1789" si="453">DATE(2025, I1789, J1789)</f>
        <v>46021</v>
      </c>
      <c r="L1789" s="414" t="s">
        <v>2391</v>
      </c>
      <c r="M1789" s="414" t="s">
        <v>1468</v>
      </c>
      <c r="N1789" s="414" t="str">
        <f t="shared" ref="N1789" si="454">IF(O1789&lt;&gt;"", "NG", "")</f>
        <v>NG</v>
      </c>
      <c r="O1789" s="414" t="s">
        <v>2368</v>
      </c>
      <c r="P1789" s="414" t="s">
        <v>2508</v>
      </c>
      <c r="Q1789" s="414">
        <v>11006077</v>
      </c>
      <c r="R1789" s="414" t="s">
        <v>473</v>
      </c>
      <c r="S1789" s="414" t="s">
        <v>3568</v>
      </c>
      <c r="T1789" s="414"/>
      <c r="U1789" s="414"/>
      <c r="V1789" s="419"/>
      <c r="W1789" s="419"/>
      <c r="X1789" s="419"/>
      <c r="Y1789" s="419"/>
      <c r="Z1789" s="419"/>
      <c r="AA1789" s="419"/>
      <c r="AB1789" s="419"/>
      <c r="AC1789" s="419"/>
      <c r="AD1789" s="419"/>
      <c r="AE1789" s="419"/>
      <c r="AF1789" s="419"/>
      <c r="AG1789" s="419"/>
      <c r="AH1789" s="419"/>
      <c r="AI1789" s="419"/>
      <c r="AJ1789" s="419"/>
      <c r="AK1789" s="419"/>
      <c r="AL1789" s="419"/>
    </row>
    <row r="1790" spans="1:38" s="180" customFormat="1">
      <c r="A1790" s="414">
        <v>6348</v>
      </c>
      <c r="B1790" s="123">
        <v>44</v>
      </c>
      <c r="C1790" s="414">
        <v>41200047</v>
      </c>
      <c r="D1790" s="414" t="s">
        <v>3572</v>
      </c>
      <c r="E1790" s="414" t="s">
        <v>1426</v>
      </c>
      <c r="F1790" s="414" t="s">
        <v>1476</v>
      </c>
      <c r="G1790" s="414" t="s">
        <v>2675</v>
      </c>
      <c r="H1790" s="526">
        <f t="shared" si="446"/>
        <v>53</v>
      </c>
      <c r="I1790" s="414">
        <v>12</v>
      </c>
      <c r="J1790" s="414">
        <v>30</v>
      </c>
      <c r="K1790" s="554">
        <f t="shared" si="447"/>
        <v>46021</v>
      </c>
      <c r="L1790" s="414" t="s">
        <v>2391</v>
      </c>
      <c r="M1790" s="414" t="s">
        <v>1468</v>
      </c>
      <c r="N1790" s="414" t="str">
        <f t="shared" si="432"/>
        <v>NG</v>
      </c>
      <c r="O1790" s="414" t="s">
        <v>2368</v>
      </c>
      <c r="P1790" s="414" t="s">
        <v>2508</v>
      </c>
      <c r="Q1790" s="414">
        <v>11006077</v>
      </c>
      <c r="R1790" s="414" t="s">
        <v>473</v>
      </c>
      <c r="S1790" s="414" t="s">
        <v>3573</v>
      </c>
      <c r="T1790" s="414"/>
      <c r="U1790" s="414"/>
      <c r="V1790" s="419"/>
      <c r="W1790" s="419"/>
      <c r="X1790" s="419"/>
      <c r="Y1790" s="419"/>
      <c r="Z1790" s="419"/>
      <c r="AA1790" s="419"/>
      <c r="AB1790" s="419"/>
      <c r="AC1790" s="419"/>
      <c r="AD1790" s="419"/>
      <c r="AE1790" s="419"/>
      <c r="AF1790" s="419"/>
      <c r="AG1790" s="419"/>
      <c r="AH1790" s="419"/>
      <c r="AI1790" s="419"/>
      <c r="AJ1790" s="419"/>
      <c r="AK1790" s="419"/>
      <c r="AL1790" s="419"/>
    </row>
    <row r="1791" spans="1:38">
      <c r="A1791" s="408">
        <v>6348</v>
      </c>
      <c r="B1791" s="83">
        <v>44</v>
      </c>
      <c r="C1791" s="408">
        <v>41200047</v>
      </c>
      <c r="D1791" s="408" t="s">
        <v>3574</v>
      </c>
      <c r="E1791" s="408" t="s">
        <v>1426</v>
      </c>
      <c r="F1791" s="408" t="s">
        <v>1476</v>
      </c>
      <c r="G1791" s="408" t="s">
        <v>2675</v>
      </c>
      <c r="H1791" s="197">
        <f t="shared" si="446"/>
        <v>53</v>
      </c>
      <c r="I1791" s="408">
        <v>12</v>
      </c>
      <c r="J1791" s="408">
        <v>30</v>
      </c>
      <c r="K1791" s="186">
        <f t="shared" si="447"/>
        <v>46021</v>
      </c>
      <c r="L1791" s="408" t="s">
        <v>2391</v>
      </c>
      <c r="M1791" s="408" t="s">
        <v>1468</v>
      </c>
      <c r="N1791" s="408" t="str">
        <f t="shared" si="432"/>
        <v>NG</v>
      </c>
      <c r="O1791" s="408" t="s">
        <v>2368</v>
      </c>
      <c r="P1791" s="408" t="s">
        <v>2508</v>
      </c>
      <c r="Q1791" s="408">
        <v>11006077</v>
      </c>
      <c r="R1791" s="408" t="s">
        <v>473</v>
      </c>
      <c r="S1791" s="408" t="s">
        <v>3568</v>
      </c>
      <c r="T1791" s="408"/>
      <c r="U1791" s="408"/>
      <c r="V1791" s="421"/>
      <c r="W1791" s="421"/>
      <c r="X1791" s="421"/>
      <c r="Y1791" s="421"/>
      <c r="Z1791" s="421"/>
      <c r="AA1791" s="421"/>
      <c r="AB1791" s="421"/>
      <c r="AC1791" s="421"/>
      <c r="AD1791" s="421"/>
      <c r="AE1791" s="421"/>
      <c r="AF1791" s="421"/>
      <c r="AG1791" s="421"/>
      <c r="AH1791" s="421"/>
      <c r="AI1791" s="421"/>
      <c r="AJ1791" s="421"/>
      <c r="AK1791" s="421"/>
      <c r="AL1791" s="421"/>
    </row>
    <row r="1792" spans="1:38" hidden="1">
      <c r="A1792" s="408"/>
      <c r="B1792" s="83" t="e">
        <f t="array" ref="B1792">SUM(--(FREQUENCY(IF(C$2:C$3072=C1792, MATCH(D$2:D$3072, D$2:D$3072, 0)), ROW(D$2:D$3072)-ROW(D$2)+1) &gt; 0))</f>
        <v>#N/A</v>
      </c>
      <c r="C1792" s="408"/>
      <c r="D1792" s="408"/>
      <c r="E1792" s="408"/>
      <c r="F1792" s="408"/>
      <c r="G1792" s="408"/>
      <c r="H1792" s="408"/>
      <c r="I1792" s="408"/>
      <c r="J1792" s="408"/>
      <c r="K1792" s="408"/>
      <c r="L1792" s="408"/>
      <c r="M1792" s="408"/>
      <c r="N1792" s="408" t="str">
        <f t="shared" ref="N1792:N1855" si="455">IF(O1792&lt;&gt;"", "NG", "")</f>
        <v/>
      </c>
      <c r="O1792" s="408"/>
      <c r="P1792" s="408"/>
      <c r="Q1792" s="408"/>
      <c r="R1792" s="408"/>
      <c r="S1792" s="408"/>
      <c r="T1792" s="408"/>
      <c r="U1792" s="408"/>
      <c r="V1792" s="421"/>
      <c r="W1792" s="421"/>
      <c r="X1792" s="421"/>
      <c r="Y1792" s="421"/>
      <c r="Z1792" s="421"/>
      <c r="AA1792" s="421"/>
      <c r="AB1792" s="421"/>
      <c r="AC1792" s="421"/>
      <c r="AD1792" s="421"/>
      <c r="AE1792" s="421"/>
      <c r="AF1792" s="421"/>
      <c r="AG1792" s="421"/>
      <c r="AH1792" s="421"/>
      <c r="AI1792" s="421"/>
      <c r="AJ1792" s="421"/>
      <c r="AK1792" s="421"/>
      <c r="AL1792" s="421"/>
    </row>
    <row r="1793" spans="1:38" hidden="1">
      <c r="A1793" s="408"/>
      <c r="B1793" s="83" t="e">
        <f t="array" ref="B1793">SUM(--(FREQUENCY(IF(C$2:C$3072=C1793, MATCH(D$2:D$3072, D$2:D$3072, 0)), ROW(D$2:D$3072)-ROW(D$2)+1) &gt; 0))</f>
        <v>#N/A</v>
      </c>
      <c r="C1793" s="408"/>
      <c r="D1793" s="408"/>
      <c r="E1793" s="408"/>
      <c r="F1793" s="408"/>
      <c r="G1793" s="408"/>
      <c r="H1793" s="408"/>
      <c r="I1793" s="408"/>
      <c r="J1793" s="408"/>
      <c r="K1793" s="408"/>
      <c r="L1793" s="408"/>
      <c r="M1793" s="408"/>
      <c r="N1793" s="408" t="str">
        <f t="shared" si="455"/>
        <v/>
      </c>
      <c r="O1793" s="408"/>
      <c r="P1793" s="408"/>
      <c r="Q1793" s="408"/>
      <c r="R1793" s="408"/>
      <c r="S1793" s="408"/>
      <c r="T1793" s="408"/>
      <c r="U1793" s="408"/>
      <c r="V1793" s="421"/>
      <c r="W1793" s="421"/>
      <c r="X1793" s="421"/>
      <c r="Y1793" s="421"/>
      <c r="Z1793" s="421"/>
      <c r="AA1793" s="421"/>
      <c r="AB1793" s="421"/>
      <c r="AC1793" s="421"/>
      <c r="AD1793" s="421"/>
      <c r="AE1793" s="421"/>
      <c r="AF1793" s="421"/>
      <c r="AG1793" s="421"/>
      <c r="AH1793" s="421"/>
      <c r="AI1793" s="421"/>
      <c r="AJ1793" s="421"/>
      <c r="AK1793" s="421"/>
      <c r="AL1793" s="421"/>
    </row>
    <row r="1794" spans="1:38" hidden="1">
      <c r="A1794" s="408"/>
      <c r="B1794" s="83" t="e">
        <f t="array" ref="B1794">SUM(--(FREQUENCY(IF(C$2:C$3072=C1794, MATCH(D$2:D$3072, D$2:D$3072, 0)), ROW(D$2:D$3072)-ROW(D$2)+1) &gt; 0))</f>
        <v>#N/A</v>
      </c>
      <c r="C1794" s="408"/>
      <c r="D1794" s="408"/>
      <c r="E1794" s="408"/>
      <c r="F1794" s="408"/>
      <c r="G1794" s="408"/>
      <c r="H1794" s="408"/>
      <c r="I1794" s="408"/>
      <c r="J1794" s="408"/>
      <c r="K1794" s="408"/>
      <c r="L1794" s="408"/>
      <c r="M1794" s="408"/>
      <c r="N1794" s="408" t="str">
        <f t="shared" si="455"/>
        <v/>
      </c>
      <c r="O1794" s="408"/>
      <c r="P1794" s="408"/>
      <c r="Q1794" s="408"/>
      <c r="R1794" s="408"/>
      <c r="S1794" s="408"/>
      <c r="T1794" s="408"/>
      <c r="U1794" s="408"/>
      <c r="V1794" s="421"/>
      <c r="W1794" s="421"/>
      <c r="X1794" s="421"/>
      <c r="Y1794" s="421"/>
      <c r="Z1794" s="421"/>
      <c r="AA1794" s="421"/>
      <c r="AB1794" s="421"/>
      <c r="AC1794" s="421"/>
      <c r="AD1794" s="421"/>
      <c r="AE1794" s="421"/>
      <c r="AF1794" s="421"/>
      <c r="AG1794" s="421"/>
      <c r="AH1794" s="421"/>
      <c r="AI1794" s="421"/>
      <c r="AJ1794" s="421"/>
      <c r="AK1794" s="421"/>
      <c r="AL1794" s="421"/>
    </row>
    <row r="1795" spans="1:38" hidden="1">
      <c r="A1795" s="408"/>
      <c r="B1795" s="83" t="e">
        <f t="array" ref="B1795">SUM(--(FREQUENCY(IF(C$2:C$3072=C1795, MATCH(D$2:D$3072, D$2:D$3072, 0)), ROW(D$2:D$3072)-ROW(D$2)+1) &gt; 0))</f>
        <v>#N/A</v>
      </c>
      <c r="C1795" s="408"/>
      <c r="D1795" s="408"/>
      <c r="E1795" s="408"/>
      <c r="F1795" s="408"/>
      <c r="G1795" s="408"/>
      <c r="H1795" s="408"/>
      <c r="I1795" s="408"/>
      <c r="J1795" s="408"/>
      <c r="K1795" s="408"/>
      <c r="L1795" s="408"/>
      <c r="M1795" s="408"/>
      <c r="N1795" s="408" t="str">
        <f t="shared" si="455"/>
        <v/>
      </c>
      <c r="O1795" s="408"/>
      <c r="P1795" s="408"/>
      <c r="Q1795" s="408"/>
      <c r="R1795" s="408"/>
      <c r="S1795" s="408"/>
      <c r="T1795" s="408"/>
      <c r="U1795" s="408"/>
      <c r="V1795" s="421"/>
      <c r="W1795" s="421"/>
      <c r="X1795" s="421"/>
      <c r="Y1795" s="421"/>
      <c r="Z1795" s="421"/>
      <c r="AA1795" s="421"/>
      <c r="AB1795" s="421"/>
      <c r="AC1795" s="421"/>
      <c r="AD1795" s="421"/>
      <c r="AE1795" s="421"/>
      <c r="AF1795" s="421"/>
      <c r="AG1795" s="421"/>
      <c r="AH1795" s="421"/>
      <c r="AI1795" s="421"/>
      <c r="AJ1795" s="421"/>
      <c r="AK1795" s="421"/>
      <c r="AL1795" s="421"/>
    </row>
    <row r="1796" spans="1:38" hidden="1">
      <c r="A1796" s="408"/>
      <c r="B1796" s="83" t="e">
        <f t="array" ref="B1796">SUM(--(FREQUENCY(IF(C$2:C$3072=C1796, MATCH(D$2:D$3072, D$2:D$3072, 0)), ROW(D$2:D$3072)-ROW(D$2)+1) &gt; 0))</f>
        <v>#N/A</v>
      </c>
      <c r="C1796" s="408"/>
      <c r="D1796" s="408"/>
      <c r="E1796" s="408"/>
      <c r="F1796" s="408"/>
      <c r="G1796" s="408"/>
      <c r="H1796" s="408"/>
      <c r="I1796" s="408"/>
      <c r="J1796" s="408"/>
      <c r="K1796" s="408"/>
      <c r="L1796" s="408"/>
      <c r="M1796" s="408"/>
      <c r="N1796" s="408" t="str">
        <f t="shared" si="455"/>
        <v/>
      </c>
      <c r="O1796" s="408"/>
      <c r="P1796" s="408"/>
      <c r="Q1796" s="408"/>
      <c r="R1796" s="408"/>
      <c r="S1796" s="408"/>
      <c r="T1796" s="408"/>
      <c r="U1796" s="408"/>
      <c r="V1796" s="421"/>
      <c r="W1796" s="421"/>
      <c r="X1796" s="421"/>
      <c r="Y1796" s="421"/>
      <c r="Z1796" s="421"/>
      <c r="AA1796" s="421"/>
      <c r="AB1796" s="421"/>
      <c r="AC1796" s="421"/>
      <c r="AD1796" s="421"/>
      <c r="AE1796" s="421"/>
      <c r="AF1796" s="421"/>
      <c r="AG1796" s="421"/>
      <c r="AH1796" s="421"/>
      <c r="AI1796" s="421"/>
      <c r="AJ1796" s="421"/>
      <c r="AK1796" s="421"/>
      <c r="AL1796" s="421"/>
    </row>
    <row r="1797" spans="1:38" hidden="1">
      <c r="A1797" s="408"/>
      <c r="B1797" s="83" t="e">
        <f t="array" ref="B1797">SUM(--(FREQUENCY(IF(C$2:C$3072=C1797, MATCH(D$2:D$3072, D$2:D$3072, 0)), ROW(D$2:D$3072)-ROW(D$2)+1) &gt; 0))</f>
        <v>#N/A</v>
      </c>
      <c r="C1797" s="408"/>
      <c r="D1797" s="408"/>
      <c r="E1797" s="408"/>
      <c r="F1797" s="408"/>
      <c r="G1797" s="408"/>
      <c r="H1797" s="408"/>
      <c r="I1797" s="408"/>
      <c r="J1797" s="408"/>
      <c r="K1797" s="408"/>
      <c r="L1797" s="408"/>
      <c r="M1797" s="408"/>
      <c r="N1797" s="408" t="str">
        <f t="shared" si="455"/>
        <v/>
      </c>
      <c r="O1797" s="408"/>
      <c r="P1797" s="408"/>
      <c r="Q1797" s="408"/>
      <c r="R1797" s="408"/>
      <c r="S1797" s="408"/>
      <c r="T1797" s="408"/>
      <c r="U1797" s="408"/>
      <c r="V1797" s="421"/>
      <c r="W1797" s="421"/>
      <c r="X1797" s="421"/>
      <c r="Y1797" s="421"/>
      <c r="Z1797" s="421"/>
      <c r="AA1797" s="421"/>
      <c r="AB1797" s="421"/>
      <c r="AC1797" s="421"/>
      <c r="AD1797" s="421"/>
      <c r="AE1797" s="421"/>
      <c r="AF1797" s="421"/>
      <c r="AG1797" s="421"/>
      <c r="AH1797" s="421"/>
      <c r="AI1797" s="421"/>
      <c r="AJ1797" s="421"/>
      <c r="AK1797" s="421"/>
      <c r="AL1797" s="421"/>
    </row>
    <row r="1798" spans="1:38" hidden="1">
      <c r="A1798" s="408"/>
      <c r="B1798" s="83" t="e">
        <f t="array" ref="B1798">SUM(--(FREQUENCY(IF(C$2:C$3072=C1798, MATCH(D$2:D$3072, D$2:D$3072, 0)), ROW(D$2:D$3072)-ROW(D$2)+1) &gt; 0))</f>
        <v>#N/A</v>
      </c>
      <c r="C1798" s="408"/>
      <c r="D1798" s="408"/>
      <c r="E1798" s="408"/>
      <c r="F1798" s="408"/>
      <c r="G1798" s="408"/>
      <c r="H1798" s="408"/>
      <c r="I1798" s="408"/>
      <c r="J1798" s="408"/>
      <c r="K1798" s="408"/>
      <c r="L1798" s="408"/>
      <c r="M1798" s="408"/>
      <c r="N1798" s="408" t="str">
        <f t="shared" si="455"/>
        <v/>
      </c>
      <c r="O1798" s="408"/>
      <c r="P1798" s="408"/>
      <c r="Q1798" s="408"/>
      <c r="R1798" s="408"/>
      <c r="S1798" s="408"/>
      <c r="T1798" s="408"/>
      <c r="U1798" s="408"/>
      <c r="V1798" s="421"/>
      <c r="W1798" s="421"/>
      <c r="X1798" s="421"/>
      <c r="Y1798" s="421"/>
      <c r="Z1798" s="421"/>
      <c r="AA1798" s="421"/>
      <c r="AB1798" s="421"/>
      <c r="AC1798" s="421"/>
      <c r="AD1798" s="421"/>
      <c r="AE1798" s="421"/>
      <c r="AF1798" s="421"/>
      <c r="AG1798" s="421"/>
      <c r="AH1798" s="421"/>
      <c r="AI1798" s="421"/>
      <c r="AJ1798" s="421"/>
      <c r="AK1798" s="421"/>
      <c r="AL1798" s="421"/>
    </row>
    <row r="1799" spans="1:38" hidden="1">
      <c r="A1799" s="408"/>
      <c r="B1799" s="83" t="e">
        <f t="array" ref="B1799">SUM(--(FREQUENCY(IF(C$2:C$3072=C1799, MATCH(D$2:D$3072, D$2:D$3072, 0)), ROW(D$2:D$3072)-ROW(D$2)+1) &gt; 0))</f>
        <v>#N/A</v>
      </c>
      <c r="C1799" s="408"/>
      <c r="D1799" s="408"/>
      <c r="E1799" s="408"/>
      <c r="F1799" s="408"/>
      <c r="G1799" s="408"/>
      <c r="H1799" s="408"/>
      <c r="I1799" s="408"/>
      <c r="J1799" s="408"/>
      <c r="K1799" s="408"/>
      <c r="L1799" s="408"/>
      <c r="M1799" s="408"/>
      <c r="N1799" s="408" t="str">
        <f t="shared" si="455"/>
        <v/>
      </c>
      <c r="O1799" s="408"/>
      <c r="P1799" s="408"/>
      <c r="Q1799" s="408"/>
      <c r="R1799" s="408"/>
      <c r="S1799" s="408"/>
      <c r="T1799" s="408"/>
      <c r="U1799" s="408"/>
      <c r="V1799" s="421"/>
      <c r="W1799" s="421"/>
      <c r="X1799" s="421"/>
      <c r="Y1799" s="421"/>
      <c r="Z1799" s="421"/>
      <c r="AA1799" s="421"/>
      <c r="AB1799" s="421"/>
      <c r="AC1799" s="421"/>
      <c r="AD1799" s="421"/>
      <c r="AE1799" s="421"/>
      <c r="AF1799" s="421"/>
      <c r="AG1799" s="421"/>
      <c r="AH1799" s="421"/>
      <c r="AI1799" s="421"/>
      <c r="AJ1799" s="421"/>
      <c r="AK1799" s="421"/>
      <c r="AL1799" s="421"/>
    </row>
    <row r="1800" spans="1:38" hidden="1">
      <c r="A1800" s="408"/>
      <c r="B1800" s="83" t="e">
        <f t="array" ref="B1800">SUM(--(FREQUENCY(IF(C$2:C$3072=C1800, MATCH(D$2:D$3072, D$2:D$3072, 0)), ROW(D$2:D$3072)-ROW(D$2)+1) &gt; 0))</f>
        <v>#N/A</v>
      </c>
      <c r="C1800" s="408"/>
      <c r="D1800" s="408"/>
      <c r="E1800" s="408"/>
      <c r="F1800" s="408"/>
      <c r="G1800" s="408"/>
      <c r="H1800" s="408"/>
      <c r="I1800" s="408"/>
      <c r="J1800" s="408"/>
      <c r="K1800" s="408"/>
      <c r="L1800" s="408"/>
      <c r="M1800" s="408"/>
      <c r="N1800" s="408" t="str">
        <f t="shared" si="455"/>
        <v/>
      </c>
      <c r="O1800" s="408"/>
      <c r="P1800" s="408"/>
      <c r="Q1800" s="408"/>
      <c r="R1800" s="408"/>
      <c r="S1800" s="408"/>
      <c r="T1800" s="408"/>
      <c r="U1800" s="408"/>
      <c r="V1800" s="421"/>
      <c r="W1800" s="421"/>
      <c r="X1800" s="421"/>
      <c r="Y1800" s="421"/>
      <c r="Z1800" s="421"/>
      <c r="AA1800" s="421"/>
      <c r="AB1800" s="421"/>
      <c r="AC1800" s="421"/>
      <c r="AD1800" s="421"/>
      <c r="AE1800" s="421"/>
      <c r="AF1800" s="421"/>
      <c r="AG1800" s="421"/>
      <c r="AH1800" s="421"/>
      <c r="AI1800" s="421"/>
      <c r="AJ1800" s="421"/>
      <c r="AK1800" s="421"/>
      <c r="AL1800" s="421"/>
    </row>
    <row r="1801" spans="1:38" hidden="1">
      <c r="A1801" s="408"/>
      <c r="B1801" s="83" t="e">
        <f t="array" ref="B1801">SUM(--(FREQUENCY(IF(C$2:C$3072=C1801, MATCH(D$2:D$3072, D$2:D$3072, 0)), ROW(D$2:D$3072)-ROW(D$2)+1) &gt; 0))</f>
        <v>#N/A</v>
      </c>
      <c r="C1801" s="408"/>
      <c r="D1801" s="408"/>
      <c r="E1801" s="408"/>
      <c r="F1801" s="408"/>
      <c r="G1801" s="408"/>
      <c r="H1801" s="408"/>
      <c r="I1801" s="408"/>
      <c r="J1801" s="408"/>
      <c r="K1801" s="408"/>
      <c r="L1801" s="408"/>
      <c r="M1801" s="408"/>
      <c r="N1801" s="408" t="str">
        <f t="shared" si="455"/>
        <v/>
      </c>
      <c r="O1801" s="408"/>
      <c r="P1801" s="408"/>
      <c r="Q1801" s="408"/>
      <c r="R1801" s="408"/>
      <c r="S1801" s="408"/>
      <c r="T1801" s="408"/>
      <c r="U1801" s="408"/>
      <c r="V1801" s="421"/>
      <c r="W1801" s="421"/>
      <c r="X1801" s="421"/>
      <c r="Y1801" s="421"/>
      <c r="Z1801" s="421"/>
      <c r="AA1801" s="421"/>
      <c r="AB1801" s="421"/>
      <c r="AC1801" s="421"/>
      <c r="AD1801" s="421"/>
      <c r="AE1801" s="421"/>
      <c r="AF1801" s="421"/>
      <c r="AG1801" s="421"/>
      <c r="AH1801" s="421"/>
      <c r="AI1801" s="421"/>
      <c r="AJ1801" s="421"/>
      <c r="AK1801" s="421"/>
      <c r="AL1801" s="421"/>
    </row>
    <row r="1802" spans="1:38" hidden="1">
      <c r="A1802" s="408"/>
      <c r="B1802" s="83" t="e">
        <f t="array" ref="B1802">SUM(--(FREQUENCY(IF(C$2:C$3072=C1802, MATCH(D$2:D$3072, D$2:D$3072, 0)), ROW(D$2:D$3072)-ROW(D$2)+1) &gt; 0))</f>
        <v>#N/A</v>
      </c>
      <c r="C1802" s="408"/>
      <c r="D1802" s="408"/>
      <c r="E1802" s="408"/>
      <c r="F1802" s="408"/>
      <c r="G1802" s="408"/>
      <c r="H1802" s="408"/>
      <c r="I1802" s="408"/>
      <c r="J1802" s="408"/>
      <c r="K1802" s="408"/>
      <c r="L1802" s="408"/>
      <c r="M1802" s="408"/>
      <c r="N1802" s="408" t="str">
        <f t="shared" si="455"/>
        <v/>
      </c>
      <c r="O1802" s="408"/>
      <c r="P1802" s="408"/>
      <c r="Q1802" s="408"/>
      <c r="R1802" s="408"/>
      <c r="S1802" s="408"/>
      <c r="T1802" s="408"/>
      <c r="U1802" s="408"/>
      <c r="V1802" s="421"/>
      <c r="W1802" s="421"/>
      <c r="X1802" s="421"/>
      <c r="Y1802" s="421"/>
      <c r="Z1802" s="421"/>
      <c r="AA1802" s="421"/>
      <c r="AB1802" s="421"/>
      <c r="AC1802" s="421"/>
      <c r="AD1802" s="421"/>
      <c r="AE1802" s="421"/>
      <c r="AF1802" s="421"/>
      <c r="AG1802" s="421"/>
      <c r="AH1802" s="421"/>
      <c r="AI1802" s="421"/>
      <c r="AJ1802" s="421"/>
      <c r="AK1802" s="421"/>
      <c r="AL1802" s="421"/>
    </row>
    <row r="1803" spans="1:38" hidden="1">
      <c r="A1803" s="408"/>
      <c r="B1803" s="83" t="e">
        <f t="array" ref="B1803">SUM(--(FREQUENCY(IF(C$2:C$3072=C1803, MATCH(D$2:D$3072, D$2:D$3072, 0)), ROW(D$2:D$3072)-ROW(D$2)+1) &gt; 0))</f>
        <v>#N/A</v>
      </c>
      <c r="C1803" s="408"/>
      <c r="D1803" s="408"/>
      <c r="E1803" s="408"/>
      <c r="F1803" s="408"/>
      <c r="G1803" s="408"/>
      <c r="H1803" s="408"/>
      <c r="I1803" s="408"/>
      <c r="J1803" s="408"/>
      <c r="K1803" s="408"/>
      <c r="L1803" s="408"/>
      <c r="M1803" s="408"/>
      <c r="N1803" s="408" t="str">
        <f t="shared" si="455"/>
        <v/>
      </c>
      <c r="O1803" s="408"/>
      <c r="P1803" s="408"/>
      <c r="Q1803" s="408"/>
      <c r="R1803" s="408"/>
      <c r="S1803" s="408"/>
      <c r="T1803" s="408"/>
      <c r="U1803" s="408"/>
      <c r="V1803" s="421"/>
      <c r="W1803" s="421"/>
      <c r="X1803" s="421"/>
      <c r="Y1803" s="421"/>
      <c r="Z1803" s="421"/>
      <c r="AA1803" s="421"/>
      <c r="AB1803" s="421"/>
      <c r="AC1803" s="421"/>
      <c r="AD1803" s="421"/>
      <c r="AE1803" s="421"/>
      <c r="AF1803" s="421"/>
      <c r="AG1803" s="421"/>
      <c r="AH1803" s="421"/>
      <c r="AI1803" s="421"/>
      <c r="AJ1803" s="421"/>
      <c r="AK1803" s="421"/>
      <c r="AL1803" s="421"/>
    </row>
    <row r="1804" spans="1:38" hidden="1">
      <c r="A1804" s="408"/>
      <c r="B1804" s="83" t="e">
        <f t="array" ref="B1804">SUM(--(FREQUENCY(IF(C$2:C$3072=C1804, MATCH(D$2:D$3072, D$2:D$3072, 0)), ROW(D$2:D$3072)-ROW(D$2)+1) &gt; 0))</f>
        <v>#N/A</v>
      </c>
      <c r="C1804" s="408"/>
      <c r="D1804" s="408"/>
      <c r="E1804" s="408"/>
      <c r="F1804" s="408"/>
      <c r="G1804" s="408"/>
      <c r="H1804" s="408"/>
      <c r="I1804" s="408"/>
      <c r="J1804" s="408"/>
      <c r="K1804" s="408"/>
      <c r="L1804" s="408"/>
      <c r="M1804" s="408"/>
      <c r="N1804" s="408" t="str">
        <f t="shared" si="455"/>
        <v/>
      </c>
      <c r="O1804" s="408"/>
      <c r="P1804" s="408"/>
      <c r="Q1804" s="408"/>
      <c r="R1804" s="408"/>
      <c r="S1804" s="408"/>
      <c r="T1804" s="408"/>
      <c r="U1804" s="408"/>
      <c r="V1804" s="421"/>
      <c r="W1804" s="421"/>
      <c r="X1804" s="421"/>
      <c r="Y1804" s="421"/>
      <c r="Z1804" s="421"/>
      <c r="AA1804" s="421"/>
      <c r="AB1804" s="421"/>
      <c r="AC1804" s="421"/>
      <c r="AD1804" s="421"/>
      <c r="AE1804" s="421"/>
      <c r="AF1804" s="421"/>
      <c r="AG1804" s="421"/>
      <c r="AH1804" s="421"/>
      <c r="AI1804" s="421"/>
      <c r="AJ1804" s="421"/>
      <c r="AK1804" s="421"/>
      <c r="AL1804" s="421"/>
    </row>
    <row r="1805" spans="1:38" hidden="1">
      <c r="A1805" s="408"/>
      <c r="B1805" s="83" t="e">
        <f t="array" ref="B1805">SUM(--(FREQUENCY(IF(C$2:C$3072=C1805, MATCH(D$2:D$3072, D$2:D$3072, 0)), ROW(D$2:D$3072)-ROW(D$2)+1) &gt; 0))</f>
        <v>#N/A</v>
      </c>
      <c r="C1805" s="408"/>
      <c r="D1805" s="408"/>
      <c r="E1805" s="408"/>
      <c r="F1805" s="408"/>
      <c r="G1805" s="408"/>
      <c r="H1805" s="408"/>
      <c r="I1805" s="408"/>
      <c r="J1805" s="408"/>
      <c r="K1805" s="408"/>
      <c r="L1805" s="408"/>
      <c r="M1805" s="408"/>
      <c r="N1805" s="408" t="str">
        <f t="shared" si="455"/>
        <v/>
      </c>
      <c r="O1805" s="408"/>
      <c r="P1805" s="408"/>
      <c r="Q1805" s="408"/>
      <c r="R1805" s="408"/>
      <c r="S1805" s="408"/>
      <c r="T1805" s="408"/>
      <c r="U1805" s="408"/>
      <c r="V1805" s="421"/>
      <c r="W1805" s="421"/>
      <c r="X1805" s="421"/>
      <c r="Y1805" s="421"/>
      <c r="Z1805" s="421"/>
      <c r="AA1805" s="421"/>
      <c r="AB1805" s="421"/>
      <c r="AC1805" s="421"/>
      <c r="AD1805" s="421"/>
      <c r="AE1805" s="421"/>
      <c r="AF1805" s="421"/>
      <c r="AG1805" s="421"/>
      <c r="AH1805" s="421"/>
      <c r="AI1805" s="421"/>
      <c r="AJ1805" s="421"/>
      <c r="AK1805" s="421"/>
      <c r="AL1805" s="421"/>
    </row>
    <row r="1806" spans="1:38" hidden="1">
      <c r="A1806" s="408"/>
      <c r="B1806" s="83" t="e">
        <f t="array" ref="B1806">SUM(--(FREQUENCY(IF(C$2:C$3072=C1806, MATCH(D$2:D$3072, D$2:D$3072, 0)), ROW(D$2:D$3072)-ROW(D$2)+1) &gt; 0))</f>
        <v>#N/A</v>
      </c>
      <c r="C1806" s="408"/>
      <c r="D1806" s="408"/>
      <c r="E1806" s="408"/>
      <c r="F1806" s="408"/>
      <c r="G1806" s="408"/>
      <c r="H1806" s="408"/>
      <c r="I1806" s="408"/>
      <c r="J1806" s="408"/>
      <c r="K1806" s="408"/>
      <c r="L1806" s="408"/>
      <c r="M1806" s="408"/>
      <c r="N1806" s="408" t="str">
        <f t="shared" si="455"/>
        <v/>
      </c>
      <c r="O1806" s="408"/>
      <c r="P1806" s="408"/>
      <c r="Q1806" s="408"/>
      <c r="R1806" s="408"/>
      <c r="S1806" s="408"/>
      <c r="T1806" s="408"/>
      <c r="U1806" s="408"/>
      <c r="V1806" s="421"/>
      <c r="W1806" s="421"/>
      <c r="X1806" s="421"/>
      <c r="Y1806" s="421"/>
      <c r="Z1806" s="421"/>
      <c r="AA1806" s="421"/>
      <c r="AB1806" s="421"/>
      <c r="AC1806" s="421"/>
      <c r="AD1806" s="421"/>
      <c r="AE1806" s="421"/>
      <c r="AF1806" s="421"/>
      <c r="AG1806" s="421"/>
      <c r="AH1806" s="421"/>
      <c r="AI1806" s="421"/>
      <c r="AJ1806" s="421"/>
      <c r="AK1806" s="421"/>
      <c r="AL1806" s="421"/>
    </row>
    <row r="1807" spans="1:38" hidden="1">
      <c r="A1807" s="408"/>
      <c r="B1807" s="83" t="e">
        <f t="array" ref="B1807">SUM(--(FREQUENCY(IF(C$2:C$3072=C1807, MATCH(D$2:D$3072, D$2:D$3072, 0)), ROW(D$2:D$3072)-ROW(D$2)+1) &gt; 0))</f>
        <v>#N/A</v>
      </c>
      <c r="C1807" s="408"/>
      <c r="D1807" s="408"/>
      <c r="E1807" s="408"/>
      <c r="F1807" s="408"/>
      <c r="G1807" s="408"/>
      <c r="H1807" s="408"/>
      <c r="I1807" s="408"/>
      <c r="J1807" s="408"/>
      <c r="K1807" s="408"/>
      <c r="L1807" s="408"/>
      <c r="M1807" s="408"/>
      <c r="N1807" s="408" t="str">
        <f t="shared" si="455"/>
        <v/>
      </c>
      <c r="O1807" s="408"/>
      <c r="P1807" s="408"/>
      <c r="Q1807" s="408"/>
      <c r="R1807" s="408"/>
      <c r="S1807" s="408"/>
      <c r="T1807" s="408"/>
      <c r="U1807" s="408"/>
      <c r="V1807" s="421"/>
      <c r="W1807" s="421"/>
      <c r="X1807" s="421"/>
      <c r="Y1807" s="421"/>
      <c r="Z1807" s="421"/>
      <c r="AA1807" s="421"/>
      <c r="AB1807" s="421"/>
      <c r="AC1807" s="421"/>
      <c r="AD1807" s="421"/>
      <c r="AE1807" s="421"/>
      <c r="AF1807" s="421"/>
      <c r="AG1807" s="421"/>
      <c r="AH1807" s="421"/>
      <c r="AI1807" s="421"/>
      <c r="AJ1807" s="421"/>
      <c r="AK1807" s="421"/>
      <c r="AL1807" s="421"/>
    </row>
    <row r="1808" spans="1:38" hidden="1">
      <c r="A1808" s="408"/>
      <c r="B1808" s="83" t="e">
        <f t="array" ref="B1808">SUM(--(FREQUENCY(IF(C$2:C$3072=C1808, MATCH(D$2:D$3072, D$2:D$3072, 0)), ROW(D$2:D$3072)-ROW(D$2)+1) &gt; 0))</f>
        <v>#N/A</v>
      </c>
      <c r="C1808" s="408"/>
      <c r="D1808" s="408"/>
      <c r="E1808" s="408"/>
      <c r="F1808" s="408"/>
      <c r="G1808" s="408"/>
      <c r="H1808" s="408"/>
      <c r="I1808" s="408"/>
      <c r="J1808" s="408"/>
      <c r="K1808" s="408"/>
      <c r="L1808" s="408"/>
      <c r="M1808" s="408"/>
      <c r="N1808" s="408" t="str">
        <f t="shared" si="455"/>
        <v/>
      </c>
      <c r="O1808" s="408"/>
      <c r="P1808" s="408"/>
      <c r="Q1808" s="408"/>
      <c r="R1808" s="408"/>
      <c r="S1808" s="408"/>
      <c r="T1808" s="408"/>
      <c r="U1808" s="408"/>
      <c r="V1808" s="421"/>
      <c r="W1808" s="421"/>
      <c r="X1808" s="421"/>
      <c r="Y1808" s="421"/>
      <c r="Z1808" s="421"/>
      <c r="AA1808" s="421"/>
      <c r="AB1808" s="421"/>
      <c r="AC1808" s="421"/>
      <c r="AD1808" s="421"/>
      <c r="AE1808" s="421"/>
      <c r="AF1808" s="421"/>
      <c r="AG1808" s="421"/>
      <c r="AH1808" s="421"/>
      <c r="AI1808" s="421"/>
      <c r="AJ1808" s="421"/>
      <c r="AK1808" s="421"/>
      <c r="AL1808" s="421"/>
    </row>
    <row r="1809" spans="1:38" hidden="1">
      <c r="A1809" s="408"/>
      <c r="B1809" s="83" t="e">
        <f t="array" ref="B1809">SUM(--(FREQUENCY(IF(C$2:C$3072=C1809, MATCH(D$2:D$3072, D$2:D$3072, 0)), ROW(D$2:D$3072)-ROW(D$2)+1) &gt; 0))</f>
        <v>#N/A</v>
      </c>
      <c r="C1809" s="408"/>
      <c r="D1809" s="408"/>
      <c r="E1809" s="408"/>
      <c r="F1809" s="408"/>
      <c r="G1809" s="408"/>
      <c r="H1809" s="408"/>
      <c r="I1809" s="408"/>
      <c r="J1809" s="408"/>
      <c r="K1809" s="408"/>
      <c r="L1809" s="408"/>
      <c r="M1809" s="408"/>
      <c r="N1809" s="408" t="str">
        <f t="shared" si="455"/>
        <v/>
      </c>
      <c r="O1809" s="408"/>
      <c r="P1809" s="408"/>
      <c r="Q1809" s="408"/>
      <c r="R1809" s="408"/>
      <c r="S1809" s="408"/>
      <c r="T1809" s="408"/>
      <c r="U1809" s="408"/>
      <c r="V1809" s="421"/>
      <c r="W1809" s="421"/>
      <c r="X1809" s="421"/>
      <c r="Y1809" s="421"/>
      <c r="Z1809" s="421"/>
      <c r="AA1809" s="421"/>
      <c r="AB1809" s="421"/>
      <c r="AC1809" s="421"/>
      <c r="AD1809" s="421"/>
      <c r="AE1809" s="421"/>
      <c r="AF1809" s="421"/>
      <c r="AG1809" s="421"/>
      <c r="AH1809" s="421"/>
      <c r="AI1809" s="421"/>
      <c r="AJ1809" s="421"/>
      <c r="AK1809" s="421"/>
      <c r="AL1809" s="421"/>
    </row>
    <row r="1810" spans="1:38" hidden="1">
      <c r="A1810" s="408"/>
      <c r="B1810" s="83" t="e">
        <f t="array" ref="B1810">SUM(--(FREQUENCY(IF(C$2:C$3072=C1810, MATCH(D$2:D$3072, D$2:D$3072, 0)), ROW(D$2:D$3072)-ROW(D$2)+1) &gt; 0))</f>
        <v>#N/A</v>
      </c>
      <c r="C1810" s="408"/>
      <c r="D1810" s="408"/>
      <c r="E1810" s="408"/>
      <c r="F1810" s="408"/>
      <c r="G1810" s="408"/>
      <c r="H1810" s="408"/>
      <c r="I1810" s="408"/>
      <c r="J1810" s="408"/>
      <c r="K1810" s="408"/>
      <c r="L1810" s="408"/>
      <c r="M1810" s="408"/>
      <c r="N1810" s="408" t="str">
        <f t="shared" si="455"/>
        <v/>
      </c>
      <c r="O1810" s="408"/>
      <c r="P1810" s="408"/>
      <c r="Q1810" s="408"/>
      <c r="R1810" s="408"/>
      <c r="S1810" s="408"/>
      <c r="T1810" s="408"/>
      <c r="U1810" s="408"/>
      <c r="V1810" s="421"/>
      <c r="W1810" s="421"/>
      <c r="X1810" s="421"/>
      <c r="Y1810" s="421"/>
      <c r="Z1810" s="421"/>
      <c r="AA1810" s="421"/>
      <c r="AB1810" s="421"/>
      <c r="AC1810" s="421"/>
      <c r="AD1810" s="421"/>
      <c r="AE1810" s="421"/>
      <c r="AF1810" s="421"/>
      <c r="AG1810" s="421"/>
      <c r="AH1810" s="421"/>
      <c r="AI1810" s="421"/>
      <c r="AJ1810" s="421"/>
      <c r="AK1810" s="421"/>
      <c r="AL1810" s="421"/>
    </row>
    <row r="1811" spans="1:38" hidden="1">
      <c r="A1811" s="408"/>
      <c r="B1811" s="83" t="e">
        <f t="array" ref="B1811">SUM(--(FREQUENCY(IF(C$2:C$3072=C1811, MATCH(D$2:D$3072, D$2:D$3072, 0)), ROW(D$2:D$3072)-ROW(D$2)+1) &gt; 0))</f>
        <v>#N/A</v>
      </c>
      <c r="C1811" s="408"/>
      <c r="D1811" s="408"/>
      <c r="E1811" s="408"/>
      <c r="F1811" s="408"/>
      <c r="G1811" s="408"/>
      <c r="H1811" s="408"/>
      <c r="I1811" s="408"/>
      <c r="J1811" s="408"/>
      <c r="K1811" s="408"/>
      <c r="L1811" s="408"/>
      <c r="M1811" s="408"/>
      <c r="N1811" s="408" t="str">
        <f t="shared" si="455"/>
        <v/>
      </c>
      <c r="O1811" s="408"/>
      <c r="P1811" s="408"/>
      <c r="Q1811" s="408"/>
      <c r="R1811" s="408"/>
      <c r="S1811" s="408"/>
      <c r="T1811" s="408"/>
      <c r="U1811" s="408"/>
      <c r="V1811" s="421"/>
      <c r="W1811" s="421"/>
      <c r="X1811" s="421"/>
      <c r="Y1811" s="421"/>
      <c r="Z1811" s="421"/>
      <c r="AA1811" s="421"/>
      <c r="AB1811" s="421"/>
      <c r="AC1811" s="421"/>
      <c r="AD1811" s="421"/>
      <c r="AE1811" s="421"/>
      <c r="AF1811" s="421"/>
      <c r="AG1811" s="421"/>
      <c r="AH1811" s="421"/>
      <c r="AI1811" s="421"/>
      <c r="AJ1811" s="421"/>
      <c r="AK1811" s="421"/>
      <c r="AL1811" s="421"/>
    </row>
    <row r="1812" spans="1:38" hidden="1">
      <c r="A1812" s="408"/>
      <c r="B1812" s="83" t="e">
        <f t="array" ref="B1812">SUM(--(FREQUENCY(IF(C$2:C$3072=C1812, MATCH(D$2:D$3072, D$2:D$3072, 0)), ROW(D$2:D$3072)-ROW(D$2)+1) &gt; 0))</f>
        <v>#N/A</v>
      </c>
      <c r="C1812" s="408"/>
      <c r="D1812" s="408"/>
      <c r="E1812" s="408"/>
      <c r="F1812" s="408"/>
      <c r="G1812" s="408"/>
      <c r="H1812" s="408"/>
      <c r="I1812" s="408"/>
      <c r="J1812" s="408"/>
      <c r="K1812" s="408"/>
      <c r="L1812" s="408"/>
      <c r="M1812" s="408"/>
      <c r="N1812" s="408" t="str">
        <f t="shared" si="455"/>
        <v/>
      </c>
      <c r="O1812" s="408"/>
      <c r="P1812" s="408"/>
      <c r="Q1812" s="408"/>
      <c r="R1812" s="408"/>
      <c r="S1812" s="408"/>
      <c r="T1812" s="408"/>
      <c r="U1812" s="408"/>
      <c r="V1812" s="421"/>
      <c r="W1812" s="421"/>
      <c r="X1812" s="421"/>
      <c r="Y1812" s="421"/>
      <c r="Z1812" s="421"/>
      <c r="AA1812" s="421"/>
      <c r="AB1812" s="421"/>
      <c r="AC1812" s="421"/>
      <c r="AD1812" s="421"/>
      <c r="AE1812" s="421"/>
      <c r="AF1812" s="421"/>
      <c r="AG1812" s="421"/>
      <c r="AH1812" s="421"/>
      <c r="AI1812" s="421"/>
      <c r="AJ1812" s="421"/>
      <c r="AK1812" s="421"/>
      <c r="AL1812" s="421"/>
    </row>
    <row r="1813" spans="1:38" hidden="1">
      <c r="A1813" s="408"/>
      <c r="B1813" s="83" t="e">
        <f t="array" ref="B1813">SUM(--(FREQUENCY(IF(C$2:C$3072=C1813, MATCH(D$2:D$3072, D$2:D$3072, 0)), ROW(D$2:D$3072)-ROW(D$2)+1) &gt; 0))</f>
        <v>#N/A</v>
      </c>
      <c r="C1813" s="408"/>
      <c r="D1813" s="408"/>
      <c r="E1813" s="408"/>
      <c r="F1813" s="408"/>
      <c r="G1813" s="408"/>
      <c r="H1813" s="408"/>
      <c r="I1813" s="408"/>
      <c r="J1813" s="408"/>
      <c r="K1813" s="408"/>
      <c r="L1813" s="408"/>
      <c r="M1813" s="408"/>
      <c r="N1813" s="408" t="str">
        <f t="shared" si="455"/>
        <v/>
      </c>
      <c r="O1813" s="408"/>
      <c r="P1813" s="408"/>
      <c r="Q1813" s="408"/>
      <c r="R1813" s="408"/>
      <c r="S1813" s="408"/>
      <c r="T1813" s="408"/>
      <c r="U1813" s="408"/>
      <c r="V1813" s="421"/>
      <c r="W1813" s="421"/>
      <c r="X1813" s="421"/>
      <c r="Y1813" s="421"/>
      <c r="Z1813" s="421"/>
      <c r="AA1813" s="421"/>
      <c r="AB1813" s="421"/>
      <c r="AC1813" s="421"/>
      <c r="AD1813" s="421"/>
      <c r="AE1813" s="421"/>
      <c r="AF1813" s="421"/>
      <c r="AG1813" s="421"/>
      <c r="AH1813" s="421"/>
      <c r="AI1813" s="421"/>
      <c r="AJ1813" s="421"/>
      <c r="AK1813" s="421"/>
      <c r="AL1813" s="421"/>
    </row>
    <row r="1814" spans="1:38" hidden="1">
      <c r="A1814" s="408"/>
      <c r="B1814" s="83" t="e">
        <f t="array" ref="B1814">SUM(--(FREQUENCY(IF(C$2:C$3072=C1814, MATCH(D$2:D$3072, D$2:D$3072, 0)), ROW(D$2:D$3072)-ROW(D$2)+1) &gt; 0))</f>
        <v>#N/A</v>
      </c>
      <c r="C1814" s="408"/>
      <c r="D1814" s="408"/>
      <c r="E1814" s="408"/>
      <c r="F1814" s="408"/>
      <c r="G1814" s="408"/>
      <c r="H1814" s="408"/>
      <c r="I1814" s="408"/>
      <c r="J1814" s="408"/>
      <c r="K1814" s="408"/>
      <c r="L1814" s="408"/>
      <c r="M1814" s="408"/>
      <c r="N1814" s="408" t="str">
        <f t="shared" si="455"/>
        <v/>
      </c>
      <c r="O1814" s="408"/>
      <c r="P1814" s="408"/>
      <c r="Q1814" s="408"/>
      <c r="R1814" s="408"/>
      <c r="S1814" s="408"/>
      <c r="T1814" s="408"/>
      <c r="U1814" s="408"/>
      <c r="V1814" s="421"/>
      <c r="W1814" s="421"/>
      <c r="X1814" s="421"/>
      <c r="Y1814" s="421"/>
      <c r="Z1814" s="421"/>
      <c r="AA1814" s="421"/>
      <c r="AB1814" s="421"/>
      <c r="AC1814" s="421"/>
      <c r="AD1814" s="421"/>
      <c r="AE1814" s="421"/>
      <c r="AF1814" s="421"/>
      <c r="AG1814" s="421"/>
      <c r="AH1814" s="421"/>
      <c r="AI1814" s="421"/>
      <c r="AJ1814" s="421"/>
      <c r="AK1814" s="421"/>
      <c r="AL1814" s="421"/>
    </row>
    <row r="1815" spans="1:38" hidden="1">
      <c r="A1815" s="408"/>
      <c r="B1815" s="83" t="e">
        <f t="array" ref="B1815">SUM(--(FREQUENCY(IF(C$2:C$3072=C1815, MATCH(D$2:D$3072, D$2:D$3072, 0)), ROW(D$2:D$3072)-ROW(D$2)+1) &gt; 0))</f>
        <v>#N/A</v>
      </c>
      <c r="C1815" s="408"/>
      <c r="D1815" s="408"/>
      <c r="E1815" s="408"/>
      <c r="F1815" s="408"/>
      <c r="G1815" s="408"/>
      <c r="H1815" s="408"/>
      <c r="I1815" s="408"/>
      <c r="J1815" s="408"/>
      <c r="K1815" s="408"/>
      <c r="L1815" s="408"/>
      <c r="M1815" s="408"/>
      <c r="N1815" s="408" t="str">
        <f t="shared" si="455"/>
        <v/>
      </c>
      <c r="O1815" s="408"/>
      <c r="P1815" s="408"/>
      <c r="Q1815" s="408"/>
      <c r="R1815" s="408"/>
      <c r="S1815" s="408"/>
      <c r="T1815" s="408"/>
      <c r="U1815" s="408"/>
      <c r="V1815" s="421"/>
      <c r="W1815" s="421"/>
      <c r="X1815" s="421"/>
      <c r="Y1815" s="421"/>
      <c r="Z1815" s="421"/>
      <c r="AA1815" s="421"/>
      <c r="AB1815" s="421"/>
      <c r="AC1815" s="421"/>
      <c r="AD1815" s="421"/>
      <c r="AE1815" s="421"/>
      <c r="AF1815" s="421"/>
      <c r="AG1815" s="421"/>
      <c r="AH1815" s="421"/>
      <c r="AI1815" s="421"/>
      <c r="AJ1815" s="421"/>
      <c r="AK1815" s="421"/>
      <c r="AL1815" s="421"/>
    </row>
    <row r="1816" spans="1:38" hidden="1">
      <c r="A1816" s="408"/>
      <c r="B1816" s="83" t="e">
        <f t="array" ref="B1816">SUM(--(FREQUENCY(IF(C$2:C$3072=C1816, MATCH(D$2:D$3072, D$2:D$3072, 0)), ROW(D$2:D$3072)-ROW(D$2)+1) &gt; 0))</f>
        <v>#N/A</v>
      </c>
      <c r="C1816" s="408"/>
      <c r="D1816" s="408"/>
      <c r="E1816" s="408"/>
      <c r="F1816" s="408"/>
      <c r="G1816" s="408"/>
      <c r="H1816" s="408"/>
      <c r="I1816" s="408"/>
      <c r="J1816" s="408"/>
      <c r="K1816" s="408"/>
      <c r="L1816" s="408"/>
      <c r="M1816" s="408"/>
      <c r="N1816" s="408" t="str">
        <f t="shared" si="455"/>
        <v/>
      </c>
      <c r="O1816" s="408"/>
      <c r="P1816" s="408"/>
      <c r="Q1816" s="408"/>
      <c r="R1816" s="408"/>
      <c r="S1816" s="408"/>
      <c r="T1816" s="408"/>
      <c r="U1816" s="408"/>
      <c r="V1816" s="421"/>
      <c r="W1816" s="421"/>
      <c r="X1816" s="421"/>
      <c r="Y1816" s="421"/>
      <c r="Z1816" s="421"/>
      <c r="AA1816" s="421"/>
      <c r="AB1816" s="421"/>
      <c r="AC1816" s="421"/>
      <c r="AD1816" s="421"/>
      <c r="AE1816" s="421"/>
      <c r="AF1816" s="421"/>
      <c r="AG1816" s="421"/>
      <c r="AH1816" s="421"/>
      <c r="AI1816" s="421"/>
      <c r="AJ1816" s="421"/>
      <c r="AK1816" s="421"/>
      <c r="AL1816" s="421"/>
    </row>
    <row r="1817" spans="1:38" hidden="1">
      <c r="A1817" s="408"/>
      <c r="B1817" s="83" t="e">
        <f t="array" ref="B1817">SUM(--(FREQUENCY(IF(C$2:C$3072=C1817, MATCH(D$2:D$3072, D$2:D$3072, 0)), ROW(D$2:D$3072)-ROW(D$2)+1) &gt; 0))</f>
        <v>#N/A</v>
      </c>
      <c r="C1817" s="408"/>
      <c r="D1817" s="408"/>
      <c r="E1817" s="408"/>
      <c r="F1817" s="408"/>
      <c r="G1817" s="408"/>
      <c r="H1817" s="408"/>
      <c r="I1817" s="408"/>
      <c r="J1817" s="408"/>
      <c r="K1817" s="408"/>
      <c r="L1817" s="408"/>
      <c r="M1817" s="408"/>
      <c r="N1817" s="408" t="str">
        <f t="shared" si="455"/>
        <v/>
      </c>
      <c r="O1817" s="408"/>
      <c r="P1817" s="408"/>
      <c r="Q1817" s="408"/>
      <c r="R1817" s="408"/>
      <c r="S1817" s="408"/>
      <c r="T1817" s="408"/>
      <c r="U1817" s="408"/>
      <c r="V1817" s="421"/>
      <c r="W1817" s="421"/>
      <c r="X1817" s="421"/>
      <c r="Y1817" s="421"/>
      <c r="Z1817" s="421"/>
      <c r="AA1817" s="421"/>
      <c r="AB1817" s="421"/>
      <c r="AC1817" s="421"/>
      <c r="AD1817" s="421"/>
      <c r="AE1817" s="421"/>
      <c r="AF1817" s="421"/>
      <c r="AG1817" s="421"/>
      <c r="AH1817" s="421"/>
      <c r="AI1817" s="421"/>
      <c r="AJ1817" s="421"/>
      <c r="AK1817" s="421"/>
      <c r="AL1817" s="421"/>
    </row>
    <row r="1818" spans="1:38" hidden="1">
      <c r="A1818" s="408"/>
      <c r="B1818" s="83" t="e">
        <f t="array" ref="B1818">SUM(--(FREQUENCY(IF(C$2:C$3072=C1818, MATCH(D$2:D$3072, D$2:D$3072, 0)), ROW(D$2:D$3072)-ROW(D$2)+1) &gt; 0))</f>
        <v>#N/A</v>
      </c>
      <c r="C1818" s="408"/>
      <c r="D1818" s="408"/>
      <c r="E1818" s="408"/>
      <c r="F1818" s="408"/>
      <c r="G1818" s="408"/>
      <c r="H1818" s="408"/>
      <c r="I1818" s="408"/>
      <c r="J1818" s="408"/>
      <c r="K1818" s="408"/>
      <c r="L1818" s="408"/>
      <c r="M1818" s="408"/>
      <c r="N1818" s="408" t="str">
        <f t="shared" si="455"/>
        <v/>
      </c>
      <c r="O1818" s="408"/>
      <c r="P1818" s="408"/>
      <c r="Q1818" s="408"/>
      <c r="R1818" s="408"/>
      <c r="S1818" s="408"/>
      <c r="T1818" s="408"/>
      <c r="U1818" s="408"/>
      <c r="V1818" s="421"/>
      <c r="W1818" s="421"/>
      <c r="X1818" s="421"/>
      <c r="Y1818" s="421"/>
      <c r="Z1818" s="421"/>
      <c r="AA1818" s="421"/>
      <c r="AB1818" s="421"/>
      <c r="AC1818" s="421"/>
      <c r="AD1818" s="421"/>
      <c r="AE1818" s="421"/>
      <c r="AF1818" s="421"/>
      <c r="AG1818" s="421"/>
      <c r="AH1818" s="421"/>
      <c r="AI1818" s="421"/>
      <c r="AJ1818" s="421"/>
      <c r="AK1818" s="421"/>
      <c r="AL1818" s="421"/>
    </row>
    <row r="1819" spans="1:38" hidden="1">
      <c r="A1819" s="408"/>
      <c r="B1819" s="83" t="e">
        <f t="array" ref="B1819">SUM(--(FREQUENCY(IF(C$2:C$3072=C1819, MATCH(D$2:D$3072, D$2:D$3072, 0)), ROW(D$2:D$3072)-ROW(D$2)+1) &gt; 0))</f>
        <v>#N/A</v>
      </c>
      <c r="C1819" s="408"/>
      <c r="D1819" s="408"/>
      <c r="E1819" s="408"/>
      <c r="F1819" s="408"/>
      <c r="G1819" s="408"/>
      <c r="H1819" s="408"/>
      <c r="I1819" s="408"/>
      <c r="J1819" s="408"/>
      <c r="K1819" s="408"/>
      <c r="L1819" s="408"/>
      <c r="M1819" s="408"/>
      <c r="N1819" s="408" t="str">
        <f t="shared" si="455"/>
        <v/>
      </c>
      <c r="O1819" s="408"/>
      <c r="P1819" s="408"/>
      <c r="Q1819" s="408"/>
      <c r="R1819" s="408"/>
      <c r="S1819" s="408"/>
      <c r="T1819" s="408"/>
      <c r="U1819" s="408"/>
      <c r="V1819" s="421"/>
      <c r="W1819" s="421"/>
      <c r="X1819" s="421"/>
      <c r="Y1819" s="421"/>
      <c r="Z1819" s="421"/>
      <c r="AA1819" s="421"/>
      <c r="AB1819" s="421"/>
      <c r="AC1819" s="421"/>
      <c r="AD1819" s="421"/>
      <c r="AE1819" s="421"/>
      <c r="AF1819" s="421"/>
      <c r="AG1819" s="421"/>
      <c r="AH1819" s="421"/>
      <c r="AI1819" s="421"/>
      <c r="AJ1819" s="421"/>
      <c r="AK1819" s="421"/>
      <c r="AL1819" s="421"/>
    </row>
    <row r="1820" spans="1:38" hidden="1">
      <c r="A1820" s="408"/>
      <c r="B1820" s="83" t="e">
        <f t="array" ref="B1820">SUM(--(FREQUENCY(IF(C$2:C$3072=C1820, MATCH(D$2:D$3072, D$2:D$3072, 0)), ROW(D$2:D$3072)-ROW(D$2)+1) &gt; 0))</f>
        <v>#N/A</v>
      </c>
      <c r="C1820" s="408"/>
      <c r="D1820" s="408"/>
      <c r="E1820" s="408"/>
      <c r="F1820" s="408"/>
      <c r="G1820" s="408"/>
      <c r="H1820" s="408"/>
      <c r="I1820" s="408"/>
      <c r="J1820" s="408"/>
      <c r="K1820" s="408"/>
      <c r="L1820" s="408"/>
      <c r="M1820" s="408"/>
      <c r="N1820" s="408" t="str">
        <f t="shared" si="455"/>
        <v/>
      </c>
      <c r="O1820" s="408"/>
      <c r="P1820" s="408"/>
      <c r="Q1820" s="408"/>
      <c r="R1820" s="408"/>
      <c r="S1820" s="408"/>
      <c r="T1820" s="408"/>
      <c r="U1820" s="408"/>
      <c r="V1820" s="421"/>
      <c r="W1820" s="421"/>
      <c r="X1820" s="421"/>
      <c r="Y1820" s="421"/>
      <c r="Z1820" s="421"/>
      <c r="AA1820" s="421"/>
      <c r="AB1820" s="421"/>
      <c r="AC1820" s="421"/>
      <c r="AD1820" s="421"/>
      <c r="AE1820" s="421"/>
      <c r="AF1820" s="421"/>
      <c r="AG1820" s="421"/>
      <c r="AH1820" s="421"/>
      <c r="AI1820" s="421"/>
      <c r="AJ1820" s="421"/>
      <c r="AK1820" s="421"/>
      <c r="AL1820" s="421"/>
    </row>
    <row r="1821" spans="1:38" hidden="1">
      <c r="A1821" s="408"/>
      <c r="B1821" s="83" t="e">
        <f t="array" ref="B1821">SUM(--(FREQUENCY(IF(C$2:C$3072=C1821, MATCH(D$2:D$3072, D$2:D$3072, 0)), ROW(D$2:D$3072)-ROW(D$2)+1) &gt; 0))</f>
        <v>#N/A</v>
      </c>
      <c r="C1821" s="408"/>
      <c r="D1821" s="408"/>
      <c r="E1821" s="408"/>
      <c r="F1821" s="408"/>
      <c r="G1821" s="408"/>
      <c r="H1821" s="408"/>
      <c r="I1821" s="408"/>
      <c r="J1821" s="408"/>
      <c r="K1821" s="408"/>
      <c r="L1821" s="408"/>
      <c r="M1821" s="408"/>
      <c r="N1821" s="408" t="str">
        <f t="shared" si="455"/>
        <v/>
      </c>
      <c r="O1821" s="408"/>
      <c r="P1821" s="408"/>
      <c r="Q1821" s="408"/>
      <c r="R1821" s="408"/>
      <c r="S1821" s="408"/>
      <c r="T1821" s="408"/>
      <c r="U1821" s="408"/>
      <c r="V1821" s="421"/>
      <c r="W1821" s="421"/>
      <c r="X1821" s="421"/>
      <c r="Y1821" s="421"/>
      <c r="Z1821" s="421"/>
      <c r="AA1821" s="421"/>
      <c r="AB1821" s="421"/>
      <c r="AC1821" s="421"/>
      <c r="AD1821" s="421"/>
      <c r="AE1821" s="421"/>
      <c r="AF1821" s="421"/>
      <c r="AG1821" s="421"/>
      <c r="AH1821" s="421"/>
      <c r="AI1821" s="421"/>
      <c r="AJ1821" s="421"/>
      <c r="AK1821" s="421"/>
      <c r="AL1821" s="421"/>
    </row>
    <row r="1822" spans="1:38" hidden="1">
      <c r="A1822" s="408"/>
      <c r="B1822" s="83" t="e">
        <f t="array" ref="B1822">SUM(--(FREQUENCY(IF(C$2:C$3072=C1822, MATCH(D$2:D$3072, D$2:D$3072, 0)), ROW(D$2:D$3072)-ROW(D$2)+1) &gt; 0))</f>
        <v>#N/A</v>
      </c>
      <c r="C1822" s="408"/>
      <c r="D1822" s="408"/>
      <c r="E1822" s="408"/>
      <c r="F1822" s="408"/>
      <c r="G1822" s="408"/>
      <c r="H1822" s="408"/>
      <c r="I1822" s="408"/>
      <c r="J1822" s="408"/>
      <c r="K1822" s="408"/>
      <c r="L1822" s="408"/>
      <c r="M1822" s="408"/>
      <c r="N1822" s="408" t="str">
        <f t="shared" si="455"/>
        <v/>
      </c>
      <c r="O1822" s="408"/>
      <c r="P1822" s="408"/>
      <c r="Q1822" s="408"/>
      <c r="R1822" s="408"/>
      <c r="S1822" s="408"/>
      <c r="T1822" s="408"/>
      <c r="U1822" s="408"/>
      <c r="V1822" s="421"/>
      <c r="W1822" s="421"/>
      <c r="X1822" s="421"/>
      <c r="Y1822" s="421"/>
      <c r="Z1822" s="421"/>
      <c r="AA1822" s="421"/>
      <c r="AB1822" s="421"/>
      <c r="AC1822" s="421"/>
      <c r="AD1822" s="421"/>
      <c r="AE1822" s="421"/>
      <c r="AF1822" s="421"/>
      <c r="AG1822" s="421"/>
      <c r="AH1822" s="421"/>
      <c r="AI1822" s="421"/>
      <c r="AJ1822" s="421"/>
      <c r="AK1822" s="421"/>
      <c r="AL1822" s="421"/>
    </row>
    <row r="1823" spans="1:38" hidden="1">
      <c r="A1823" s="408"/>
      <c r="B1823" s="83" t="e">
        <f t="array" ref="B1823">SUM(--(FREQUENCY(IF(C$2:C$3072=C1823, MATCH(D$2:D$3072, D$2:D$3072, 0)), ROW(D$2:D$3072)-ROW(D$2)+1) &gt; 0))</f>
        <v>#N/A</v>
      </c>
      <c r="C1823" s="408"/>
      <c r="D1823" s="408"/>
      <c r="E1823" s="408"/>
      <c r="F1823" s="408"/>
      <c r="G1823" s="408"/>
      <c r="H1823" s="408"/>
      <c r="I1823" s="408"/>
      <c r="J1823" s="408"/>
      <c r="K1823" s="408"/>
      <c r="L1823" s="408"/>
      <c r="M1823" s="408"/>
      <c r="N1823" s="408" t="str">
        <f t="shared" si="455"/>
        <v/>
      </c>
      <c r="O1823" s="408"/>
      <c r="P1823" s="408"/>
      <c r="Q1823" s="408"/>
      <c r="R1823" s="408"/>
      <c r="S1823" s="408"/>
      <c r="T1823" s="408"/>
      <c r="U1823" s="408"/>
      <c r="V1823" s="421"/>
      <c r="W1823" s="421"/>
      <c r="X1823" s="421"/>
      <c r="Y1823" s="421"/>
      <c r="Z1823" s="421"/>
      <c r="AA1823" s="421"/>
      <c r="AB1823" s="421"/>
      <c r="AC1823" s="421"/>
      <c r="AD1823" s="421"/>
      <c r="AE1823" s="421"/>
      <c r="AF1823" s="421"/>
      <c r="AG1823" s="421"/>
      <c r="AH1823" s="421"/>
      <c r="AI1823" s="421"/>
      <c r="AJ1823" s="421"/>
      <c r="AK1823" s="421"/>
      <c r="AL1823" s="421"/>
    </row>
    <row r="1824" spans="1:38" hidden="1">
      <c r="A1824" s="408"/>
      <c r="B1824" s="83" t="e">
        <f t="array" ref="B1824">SUM(--(FREQUENCY(IF(C$2:C$3072=C1824, MATCH(D$2:D$3072, D$2:D$3072, 0)), ROW(D$2:D$3072)-ROW(D$2)+1) &gt; 0))</f>
        <v>#N/A</v>
      </c>
      <c r="C1824" s="408"/>
      <c r="D1824" s="408"/>
      <c r="E1824" s="408"/>
      <c r="F1824" s="408"/>
      <c r="G1824" s="408"/>
      <c r="H1824" s="408"/>
      <c r="I1824" s="408"/>
      <c r="J1824" s="408"/>
      <c r="K1824" s="408"/>
      <c r="L1824" s="408"/>
      <c r="M1824" s="408"/>
      <c r="N1824" s="408" t="str">
        <f t="shared" si="455"/>
        <v/>
      </c>
      <c r="O1824" s="408"/>
      <c r="P1824" s="408"/>
      <c r="Q1824" s="408"/>
      <c r="R1824" s="408"/>
      <c r="S1824" s="408"/>
      <c r="T1824" s="408"/>
      <c r="U1824" s="408"/>
      <c r="V1824" s="421"/>
      <c r="W1824" s="421"/>
      <c r="X1824" s="421"/>
      <c r="Y1824" s="421"/>
      <c r="Z1824" s="421"/>
      <c r="AA1824" s="421"/>
      <c r="AB1824" s="421"/>
      <c r="AC1824" s="421"/>
      <c r="AD1824" s="421"/>
      <c r="AE1824" s="421"/>
      <c r="AF1824" s="421"/>
      <c r="AG1824" s="421"/>
      <c r="AH1824" s="421"/>
      <c r="AI1824" s="421"/>
      <c r="AJ1824" s="421"/>
      <c r="AK1824" s="421"/>
      <c r="AL1824" s="421"/>
    </row>
    <row r="1825" spans="1:38" hidden="1">
      <c r="A1825" s="408"/>
      <c r="B1825" s="83" t="e">
        <f t="array" ref="B1825">SUM(--(FREQUENCY(IF(C$2:C$3072=C1825, MATCH(D$2:D$3072, D$2:D$3072, 0)), ROW(D$2:D$3072)-ROW(D$2)+1) &gt; 0))</f>
        <v>#N/A</v>
      </c>
      <c r="C1825" s="408"/>
      <c r="D1825" s="408"/>
      <c r="E1825" s="408"/>
      <c r="F1825" s="408"/>
      <c r="G1825" s="408"/>
      <c r="H1825" s="408"/>
      <c r="I1825" s="408"/>
      <c r="J1825" s="408"/>
      <c r="K1825" s="408"/>
      <c r="L1825" s="408"/>
      <c r="M1825" s="408"/>
      <c r="N1825" s="408" t="str">
        <f t="shared" si="455"/>
        <v/>
      </c>
      <c r="O1825" s="408"/>
      <c r="P1825" s="408"/>
      <c r="Q1825" s="408"/>
      <c r="R1825" s="408"/>
      <c r="S1825" s="408"/>
      <c r="T1825" s="408"/>
      <c r="U1825" s="408"/>
      <c r="V1825" s="421"/>
      <c r="W1825" s="421"/>
      <c r="X1825" s="421"/>
      <c r="Y1825" s="421"/>
      <c r="Z1825" s="421"/>
      <c r="AA1825" s="421"/>
      <c r="AB1825" s="421"/>
      <c r="AC1825" s="421"/>
      <c r="AD1825" s="421"/>
      <c r="AE1825" s="421"/>
      <c r="AF1825" s="421"/>
      <c r="AG1825" s="421"/>
      <c r="AH1825" s="421"/>
      <c r="AI1825" s="421"/>
      <c r="AJ1825" s="421"/>
      <c r="AK1825" s="421"/>
      <c r="AL1825" s="421"/>
    </row>
    <row r="1826" spans="1:38" hidden="1">
      <c r="A1826" s="408"/>
      <c r="B1826" s="83" t="e">
        <f t="array" ref="B1826">SUM(--(FREQUENCY(IF(C$2:C$3072=C1826, MATCH(D$2:D$3072, D$2:D$3072, 0)), ROW(D$2:D$3072)-ROW(D$2)+1) &gt; 0))</f>
        <v>#N/A</v>
      </c>
      <c r="C1826" s="408"/>
      <c r="D1826" s="408"/>
      <c r="E1826" s="408"/>
      <c r="F1826" s="408"/>
      <c r="G1826" s="408"/>
      <c r="H1826" s="408"/>
      <c r="I1826" s="408"/>
      <c r="J1826" s="408"/>
      <c r="K1826" s="408"/>
      <c r="L1826" s="408"/>
      <c r="M1826" s="408"/>
      <c r="N1826" s="408" t="str">
        <f t="shared" si="455"/>
        <v/>
      </c>
      <c r="O1826" s="408"/>
      <c r="P1826" s="408"/>
      <c r="Q1826" s="408"/>
      <c r="R1826" s="408"/>
      <c r="S1826" s="408"/>
      <c r="T1826" s="408"/>
      <c r="U1826" s="408"/>
      <c r="V1826" s="421"/>
      <c r="W1826" s="421"/>
      <c r="X1826" s="421"/>
      <c r="Y1826" s="421"/>
      <c r="Z1826" s="421"/>
      <c r="AA1826" s="421"/>
      <c r="AB1826" s="421"/>
      <c r="AC1826" s="421"/>
      <c r="AD1826" s="421"/>
      <c r="AE1826" s="421"/>
      <c r="AF1826" s="421"/>
      <c r="AG1826" s="421"/>
      <c r="AH1826" s="421"/>
      <c r="AI1826" s="421"/>
      <c r="AJ1826" s="421"/>
      <c r="AK1826" s="421"/>
      <c r="AL1826" s="421"/>
    </row>
    <row r="1827" spans="1:38" hidden="1">
      <c r="A1827" s="408"/>
      <c r="B1827" s="83" t="e">
        <f t="array" ref="B1827">SUM(--(FREQUENCY(IF(C$2:C$3072=C1827, MATCH(D$2:D$3072, D$2:D$3072, 0)), ROW(D$2:D$3072)-ROW(D$2)+1) &gt; 0))</f>
        <v>#N/A</v>
      </c>
      <c r="C1827" s="408"/>
      <c r="D1827" s="408"/>
      <c r="E1827" s="408"/>
      <c r="F1827" s="408"/>
      <c r="G1827" s="408"/>
      <c r="H1827" s="408"/>
      <c r="I1827" s="408"/>
      <c r="J1827" s="408"/>
      <c r="K1827" s="408"/>
      <c r="L1827" s="408"/>
      <c r="M1827" s="408"/>
      <c r="N1827" s="408" t="str">
        <f t="shared" si="455"/>
        <v/>
      </c>
      <c r="O1827" s="408"/>
      <c r="P1827" s="408"/>
      <c r="Q1827" s="408"/>
      <c r="R1827" s="408"/>
      <c r="S1827" s="408"/>
      <c r="T1827" s="408"/>
      <c r="U1827" s="408"/>
      <c r="V1827" s="421"/>
      <c r="W1827" s="421"/>
      <c r="X1827" s="421"/>
      <c r="Y1827" s="421"/>
      <c r="Z1827" s="421"/>
      <c r="AA1827" s="421"/>
      <c r="AB1827" s="421"/>
      <c r="AC1827" s="421"/>
      <c r="AD1827" s="421"/>
      <c r="AE1827" s="421"/>
      <c r="AF1827" s="421"/>
      <c r="AG1827" s="421"/>
      <c r="AH1827" s="421"/>
      <c r="AI1827" s="421"/>
      <c r="AJ1827" s="421"/>
      <c r="AK1827" s="421"/>
      <c r="AL1827" s="421"/>
    </row>
    <row r="1828" spans="1:38" hidden="1">
      <c r="A1828" s="408"/>
      <c r="B1828" s="83" t="e">
        <f t="array" ref="B1828">SUM(--(FREQUENCY(IF(C$2:C$3072=C1828, MATCH(D$2:D$3072, D$2:D$3072, 0)), ROW(D$2:D$3072)-ROW(D$2)+1) &gt; 0))</f>
        <v>#N/A</v>
      </c>
      <c r="C1828" s="408"/>
      <c r="D1828" s="408"/>
      <c r="E1828" s="408"/>
      <c r="F1828" s="408"/>
      <c r="G1828" s="408"/>
      <c r="H1828" s="408"/>
      <c r="I1828" s="408"/>
      <c r="J1828" s="408"/>
      <c r="K1828" s="408"/>
      <c r="L1828" s="408"/>
      <c r="M1828" s="408"/>
      <c r="N1828" s="408" t="str">
        <f t="shared" si="455"/>
        <v/>
      </c>
      <c r="O1828" s="408"/>
      <c r="P1828" s="408"/>
      <c r="Q1828" s="408"/>
      <c r="R1828" s="408"/>
      <c r="S1828" s="408"/>
      <c r="T1828" s="408"/>
      <c r="U1828" s="408"/>
      <c r="V1828" s="421"/>
      <c r="W1828" s="421"/>
      <c r="X1828" s="421"/>
      <c r="Y1828" s="421"/>
      <c r="Z1828" s="421"/>
      <c r="AA1828" s="421"/>
      <c r="AB1828" s="421"/>
      <c r="AC1828" s="421"/>
      <c r="AD1828" s="421"/>
      <c r="AE1828" s="421"/>
      <c r="AF1828" s="421"/>
      <c r="AG1828" s="421"/>
      <c r="AH1828" s="421"/>
      <c r="AI1828" s="421"/>
      <c r="AJ1828" s="421"/>
      <c r="AK1828" s="421"/>
      <c r="AL1828" s="421"/>
    </row>
    <row r="1829" spans="1:38" hidden="1">
      <c r="A1829" s="408"/>
      <c r="B1829" s="83" t="e">
        <f t="array" ref="B1829">SUM(--(FREQUENCY(IF(C$2:C$3072=C1829, MATCH(D$2:D$3072, D$2:D$3072, 0)), ROW(D$2:D$3072)-ROW(D$2)+1) &gt; 0))</f>
        <v>#N/A</v>
      </c>
      <c r="C1829" s="408"/>
      <c r="D1829" s="408"/>
      <c r="E1829" s="408"/>
      <c r="F1829" s="408"/>
      <c r="G1829" s="408"/>
      <c r="H1829" s="408"/>
      <c r="I1829" s="408"/>
      <c r="J1829" s="408"/>
      <c r="K1829" s="408"/>
      <c r="L1829" s="408"/>
      <c r="M1829" s="408"/>
      <c r="N1829" s="408" t="str">
        <f t="shared" si="455"/>
        <v/>
      </c>
      <c r="O1829" s="408"/>
      <c r="P1829" s="408"/>
      <c r="Q1829" s="408"/>
      <c r="R1829" s="408"/>
      <c r="S1829" s="408"/>
      <c r="T1829" s="408"/>
      <c r="U1829" s="408"/>
      <c r="V1829" s="421"/>
      <c r="W1829" s="421"/>
      <c r="X1829" s="421"/>
      <c r="Y1829" s="421"/>
      <c r="Z1829" s="421"/>
      <c r="AA1829" s="421"/>
      <c r="AB1829" s="421"/>
      <c r="AC1829" s="421"/>
      <c r="AD1829" s="421"/>
      <c r="AE1829" s="421"/>
      <c r="AF1829" s="421"/>
      <c r="AG1829" s="421"/>
      <c r="AH1829" s="421"/>
      <c r="AI1829" s="421"/>
      <c r="AJ1829" s="421"/>
      <c r="AK1829" s="421"/>
      <c r="AL1829" s="421"/>
    </row>
    <row r="1830" spans="1:38" hidden="1">
      <c r="A1830" s="408"/>
      <c r="B1830" s="83" t="e">
        <f t="array" ref="B1830">SUM(--(FREQUENCY(IF(C$2:C$3072=C1830, MATCH(D$2:D$3072, D$2:D$3072, 0)), ROW(D$2:D$3072)-ROW(D$2)+1) &gt; 0))</f>
        <v>#N/A</v>
      </c>
      <c r="C1830" s="408"/>
      <c r="D1830" s="408"/>
      <c r="E1830" s="408"/>
      <c r="F1830" s="408"/>
      <c r="G1830" s="408"/>
      <c r="H1830" s="408"/>
      <c r="I1830" s="408"/>
      <c r="J1830" s="408"/>
      <c r="K1830" s="408"/>
      <c r="L1830" s="408"/>
      <c r="M1830" s="408"/>
      <c r="N1830" s="408" t="str">
        <f t="shared" si="455"/>
        <v/>
      </c>
      <c r="O1830" s="408"/>
      <c r="P1830" s="408"/>
      <c r="Q1830" s="408"/>
      <c r="R1830" s="408"/>
      <c r="S1830" s="408"/>
      <c r="T1830" s="408"/>
      <c r="U1830" s="408"/>
      <c r="V1830" s="421"/>
      <c r="W1830" s="421"/>
      <c r="X1830" s="421"/>
      <c r="Y1830" s="421"/>
      <c r="Z1830" s="421"/>
      <c r="AA1830" s="421"/>
      <c r="AB1830" s="421"/>
      <c r="AC1830" s="421"/>
      <c r="AD1830" s="421"/>
      <c r="AE1830" s="421"/>
      <c r="AF1830" s="421"/>
      <c r="AG1830" s="421"/>
      <c r="AH1830" s="421"/>
      <c r="AI1830" s="421"/>
      <c r="AJ1830" s="421"/>
      <c r="AK1830" s="421"/>
      <c r="AL1830" s="421"/>
    </row>
    <row r="1831" spans="1:38" hidden="1">
      <c r="A1831" s="408"/>
      <c r="B1831" s="83" t="e">
        <f t="array" ref="B1831">SUM(--(FREQUENCY(IF(C$2:C$3072=C1831, MATCH(D$2:D$3072, D$2:D$3072, 0)), ROW(D$2:D$3072)-ROW(D$2)+1) &gt; 0))</f>
        <v>#N/A</v>
      </c>
      <c r="C1831" s="408"/>
      <c r="D1831" s="408"/>
      <c r="E1831" s="408"/>
      <c r="F1831" s="408"/>
      <c r="G1831" s="408"/>
      <c r="H1831" s="408"/>
      <c r="I1831" s="408"/>
      <c r="J1831" s="408"/>
      <c r="K1831" s="408"/>
      <c r="L1831" s="408"/>
      <c r="M1831" s="408"/>
      <c r="N1831" s="408" t="str">
        <f t="shared" si="455"/>
        <v/>
      </c>
      <c r="O1831" s="408"/>
      <c r="P1831" s="408"/>
      <c r="Q1831" s="408"/>
      <c r="R1831" s="408"/>
      <c r="S1831" s="408"/>
      <c r="T1831" s="408"/>
      <c r="U1831" s="408"/>
      <c r="V1831" s="421"/>
      <c r="W1831" s="421"/>
      <c r="X1831" s="421"/>
      <c r="Y1831" s="421"/>
      <c r="Z1831" s="421"/>
      <c r="AA1831" s="421"/>
      <c r="AB1831" s="421"/>
      <c r="AC1831" s="421"/>
      <c r="AD1831" s="421"/>
      <c r="AE1831" s="421"/>
      <c r="AF1831" s="421"/>
      <c r="AG1831" s="421"/>
      <c r="AH1831" s="421"/>
      <c r="AI1831" s="421"/>
      <c r="AJ1831" s="421"/>
      <c r="AK1831" s="421"/>
      <c r="AL1831" s="421"/>
    </row>
    <row r="1832" spans="1:38" hidden="1">
      <c r="A1832" s="408"/>
      <c r="B1832" s="83" t="e">
        <f t="array" ref="B1832">SUM(--(FREQUENCY(IF(C$2:C$3072=C1832, MATCH(D$2:D$3072, D$2:D$3072, 0)), ROW(D$2:D$3072)-ROW(D$2)+1) &gt; 0))</f>
        <v>#N/A</v>
      </c>
      <c r="C1832" s="408"/>
      <c r="D1832" s="408"/>
      <c r="E1832" s="408"/>
      <c r="F1832" s="408"/>
      <c r="G1832" s="408"/>
      <c r="H1832" s="408"/>
      <c r="I1832" s="408"/>
      <c r="J1832" s="408"/>
      <c r="K1832" s="408"/>
      <c r="L1832" s="408"/>
      <c r="M1832" s="408"/>
      <c r="N1832" s="408" t="str">
        <f t="shared" si="455"/>
        <v/>
      </c>
      <c r="O1832" s="408"/>
      <c r="P1832" s="408"/>
      <c r="Q1832" s="408"/>
      <c r="R1832" s="408"/>
      <c r="S1832" s="408"/>
      <c r="T1832" s="408"/>
      <c r="U1832" s="408"/>
      <c r="V1832" s="421"/>
      <c r="W1832" s="421"/>
      <c r="X1832" s="421"/>
      <c r="Y1832" s="421"/>
      <c r="Z1832" s="421"/>
      <c r="AA1832" s="421"/>
      <c r="AB1832" s="421"/>
      <c r="AC1832" s="421"/>
      <c r="AD1832" s="421"/>
      <c r="AE1832" s="421"/>
      <c r="AF1832" s="421"/>
      <c r="AG1832" s="421"/>
      <c r="AH1832" s="421"/>
      <c r="AI1832" s="421"/>
      <c r="AJ1832" s="421"/>
      <c r="AK1832" s="421"/>
      <c r="AL1832" s="421"/>
    </row>
    <row r="1833" spans="1:38" hidden="1">
      <c r="A1833" s="408"/>
      <c r="B1833" s="83" t="e">
        <f t="array" ref="B1833">SUM(--(FREQUENCY(IF(C$2:C$3072=C1833, MATCH(D$2:D$3072, D$2:D$3072, 0)), ROW(D$2:D$3072)-ROW(D$2)+1) &gt; 0))</f>
        <v>#N/A</v>
      </c>
      <c r="C1833" s="408"/>
      <c r="D1833" s="408"/>
      <c r="E1833" s="408"/>
      <c r="F1833" s="408"/>
      <c r="G1833" s="408"/>
      <c r="H1833" s="408"/>
      <c r="I1833" s="408"/>
      <c r="J1833" s="408"/>
      <c r="K1833" s="408"/>
      <c r="L1833" s="408"/>
      <c r="M1833" s="408"/>
      <c r="N1833" s="408" t="str">
        <f t="shared" si="455"/>
        <v/>
      </c>
      <c r="O1833" s="408"/>
      <c r="P1833" s="408"/>
      <c r="Q1833" s="408"/>
      <c r="R1833" s="408"/>
      <c r="S1833" s="408"/>
      <c r="T1833" s="408"/>
      <c r="U1833" s="408"/>
      <c r="V1833" s="421"/>
      <c r="W1833" s="421"/>
      <c r="X1833" s="421"/>
      <c r="Y1833" s="421"/>
      <c r="Z1833" s="421"/>
      <c r="AA1833" s="421"/>
      <c r="AB1833" s="421"/>
      <c r="AC1833" s="421"/>
      <c r="AD1833" s="421"/>
      <c r="AE1833" s="421"/>
      <c r="AF1833" s="421"/>
      <c r="AG1833" s="421"/>
      <c r="AH1833" s="421"/>
      <c r="AI1833" s="421"/>
      <c r="AJ1833" s="421"/>
      <c r="AK1833" s="421"/>
      <c r="AL1833" s="421"/>
    </row>
    <row r="1834" spans="1:38" hidden="1">
      <c r="A1834" s="408"/>
      <c r="B1834" s="83" t="e">
        <f t="array" ref="B1834">SUM(--(FREQUENCY(IF(C$2:C$3072=C1834, MATCH(D$2:D$3072, D$2:D$3072, 0)), ROW(D$2:D$3072)-ROW(D$2)+1) &gt; 0))</f>
        <v>#N/A</v>
      </c>
      <c r="C1834" s="408"/>
      <c r="D1834" s="408"/>
      <c r="E1834" s="408"/>
      <c r="F1834" s="408"/>
      <c r="G1834" s="408"/>
      <c r="H1834" s="408"/>
      <c r="I1834" s="408"/>
      <c r="J1834" s="408"/>
      <c r="K1834" s="408"/>
      <c r="L1834" s="408"/>
      <c r="M1834" s="408"/>
      <c r="N1834" s="408" t="str">
        <f t="shared" si="455"/>
        <v/>
      </c>
      <c r="O1834" s="408"/>
      <c r="P1834" s="408"/>
      <c r="Q1834" s="408"/>
      <c r="R1834" s="408"/>
      <c r="S1834" s="408"/>
      <c r="T1834" s="408"/>
      <c r="U1834" s="408"/>
      <c r="V1834" s="421"/>
      <c r="W1834" s="421"/>
      <c r="X1834" s="421"/>
      <c r="Y1834" s="421"/>
      <c r="Z1834" s="421"/>
      <c r="AA1834" s="421"/>
      <c r="AB1834" s="421"/>
      <c r="AC1834" s="421"/>
      <c r="AD1834" s="421"/>
      <c r="AE1834" s="421"/>
      <c r="AF1834" s="421"/>
      <c r="AG1834" s="421"/>
      <c r="AH1834" s="421"/>
      <c r="AI1834" s="421"/>
      <c r="AJ1834" s="421"/>
      <c r="AK1834" s="421"/>
      <c r="AL1834" s="421"/>
    </row>
    <row r="1835" spans="1:38" hidden="1">
      <c r="A1835" s="408"/>
      <c r="B1835" s="83" t="e">
        <f t="array" ref="B1835">SUM(--(FREQUENCY(IF(C$2:C$3072=C1835, MATCH(D$2:D$3072, D$2:D$3072, 0)), ROW(D$2:D$3072)-ROW(D$2)+1) &gt; 0))</f>
        <v>#N/A</v>
      </c>
      <c r="C1835" s="408"/>
      <c r="D1835" s="408"/>
      <c r="E1835" s="408"/>
      <c r="F1835" s="408"/>
      <c r="G1835" s="408"/>
      <c r="H1835" s="408"/>
      <c r="I1835" s="408"/>
      <c r="J1835" s="408"/>
      <c r="K1835" s="408"/>
      <c r="L1835" s="408"/>
      <c r="M1835" s="408"/>
      <c r="N1835" s="408" t="str">
        <f t="shared" si="455"/>
        <v/>
      </c>
      <c r="O1835" s="408"/>
      <c r="P1835" s="408"/>
      <c r="Q1835" s="408"/>
      <c r="R1835" s="408"/>
      <c r="S1835" s="408"/>
      <c r="T1835" s="408"/>
      <c r="U1835" s="408"/>
      <c r="V1835" s="421"/>
      <c r="W1835" s="421"/>
      <c r="X1835" s="421"/>
      <c r="Y1835" s="421"/>
      <c r="Z1835" s="421"/>
      <c r="AA1835" s="421"/>
      <c r="AB1835" s="421"/>
      <c r="AC1835" s="421"/>
      <c r="AD1835" s="421"/>
      <c r="AE1835" s="421"/>
      <c r="AF1835" s="421"/>
      <c r="AG1835" s="421"/>
      <c r="AH1835" s="421"/>
      <c r="AI1835" s="421"/>
      <c r="AJ1835" s="421"/>
      <c r="AK1835" s="421"/>
      <c r="AL1835" s="421"/>
    </row>
    <row r="1836" spans="1:38" hidden="1">
      <c r="A1836" s="408"/>
      <c r="B1836" s="83" t="e">
        <f t="array" ref="B1836">SUM(--(FREQUENCY(IF(C$2:C$3072=C1836, MATCH(D$2:D$3072, D$2:D$3072, 0)), ROW(D$2:D$3072)-ROW(D$2)+1) &gt; 0))</f>
        <v>#N/A</v>
      </c>
      <c r="C1836" s="408"/>
      <c r="D1836" s="408"/>
      <c r="E1836" s="408"/>
      <c r="F1836" s="408"/>
      <c r="G1836" s="408"/>
      <c r="H1836" s="408"/>
      <c r="I1836" s="408"/>
      <c r="J1836" s="408"/>
      <c r="K1836" s="408"/>
      <c r="L1836" s="408"/>
      <c r="M1836" s="408"/>
      <c r="N1836" s="408" t="str">
        <f t="shared" si="455"/>
        <v/>
      </c>
      <c r="O1836" s="408"/>
      <c r="P1836" s="408"/>
      <c r="Q1836" s="408"/>
      <c r="R1836" s="408"/>
      <c r="S1836" s="408"/>
      <c r="T1836" s="408"/>
      <c r="U1836" s="408"/>
      <c r="V1836" s="421"/>
      <c r="W1836" s="421"/>
      <c r="X1836" s="421"/>
      <c r="Y1836" s="421"/>
      <c r="Z1836" s="421"/>
      <c r="AA1836" s="421"/>
      <c r="AB1836" s="421"/>
      <c r="AC1836" s="421"/>
      <c r="AD1836" s="421"/>
      <c r="AE1836" s="421"/>
      <c r="AF1836" s="421"/>
      <c r="AG1836" s="421"/>
      <c r="AH1836" s="421"/>
      <c r="AI1836" s="421"/>
      <c r="AJ1836" s="421"/>
      <c r="AK1836" s="421"/>
      <c r="AL1836" s="421"/>
    </row>
    <row r="1837" spans="1:38" hidden="1">
      <c r="A1837" s="408"/>
      <c r="B1837" s="83" t="e">
        <f t="array" ref="B1837">SUM(--(FREQUENCY(IF(C$2:C$3072=C1837, MATCH(D$2:D$3072, D$2:D$3072, 0)), ROW(D$2:D$3072)-ROW(D$2)+1) &gt; 0))</f>
        <v>#N/A</v>
      </c>
      <c r="C1837" s="408"/>
      <c r="D1837" s="408"/>
      <c r="E1837" s="408"/>
      <c r="F1837" s="408"/>
      <c r="G1837" s="408"/>
      <c r="H1837" s="408"/>
      <c r="I1837" s="408"/>
      <c r="J1837" s="408"/>
      <c r="K1837" s="408"/>
      <c r="L1837" s="408"/>
      <c r="M1837" s="408"/>
      <c r="N1837" s="408" t="str">
        <f t="shared" si="455"/>
        <v/>
      </c>
      <c r="O1837" s="408"/>
      <c r="P1837" s="408"/>
      <c r="Q1837" s="408"/>
      <c r="R1837" s="408"/>
      <c r="S1837" s="408"/>
      <c r="T1837" s="408"/>
      <c r="U1837" s="408"/>
      <c r="V1837" s="421"/>
      <c r="W1837" s="421"/>
      <c r="X1837" s="421"/>
      <c r="Y1837" s="421"/>
      <c r="Z1837" s="421"/>
      <c r="AA1837" s="421"/>
      <c r="AB1837" s="421"/>
      <c r="AC1837" s="421"/>
      <c r="AD1837" s="421"/>
      <c r="AE1837" s="421"/>
      <c r="AF1837" s="421"/>
      <c r="AG1837" s="421"/>
      <c r="AH1837" s="421"/>
      <c r="AI1837" s="421"/>
      <c r="AJ1837" s="421"/>
      <c r="AK1837" s="421"/>
      <c r="AL1837" s="421"/>
    </row>
    <row r="1838" spans="1:38" hidden="1">
      <c r="A1838" s="408"/>
      <c r="B1838" s="83" t="e">
        <f t="array" ref="B1838">SUM(--(FREQUENCY(IF(C$2:C$3072=C1838, MATCH(D$2:D$3072, D$2:D$3072, 0)), ROW(D$2:D$3072)-ROW(D$2)+1) &gt; 0))</f>
        <v>#N/A</v>
      </c>
      <c r="C1838" s="408"/>
      <c r="D1838" s="408"/>
      <c r="E1838" s="408"/>
      <c r="F1838" s="408"/>
      <c r="G1838" s="408"/>
      <c r="H1838" s="408"/>
      <c r="I1838" s="408"/>
      <c r="J1838" s="408"/>
      <c r="K1838" s="408"/>
      <c r="L1838" s="408"/>
      <c r="M1838" s="408"/>
      <c r="N1838" s="408" t="str">
        <f t="shared" si="455"/>
        <v/>
      </c>
      <c r="O1838" s="408"/>
      <c r="P1838" s="408"/>
      <c r="Q1838" s="408"/>
      <c r="R1838" s="408"/>
      <c r="S1838" s="408"/>
      <c r="T1838" s="408"/>
      <c r="U1838" s="408"/>
      <c r="V1838" s="421"/>
      <c r="W1838" s="421"/>
      <c r="X1838" s="421"/>
      <c r="Y1838" s="421"/>
      <c r="Z1838" s="421"/>
      <c r="AA1838" s="421"/>
      <c r="AB1838" s="421"/>
      <c r="AC1838" s="421"/>
      <c r="AD1838" s="421"/>
      <c r="AE1838" s="421"/>
      <c r="AF1838" s="421"/>
      <c r="AG1838" s="421"/>
      <c r="AH1838" s="421"/>
      <c r="AI1838" s="421"/>
      <c r="AJ1838" s="421"/>
      <c r="AK1838" s="421"/>
      <c r="AL1838" s="421"/>
    </row>
    <row r="1839" spans="1:38" hidden="1">
      <c r="A1839" s="408"/>
      <c r="B1839" s="83" t="e">
        <f t="array" ref="B1839">SUM(--(FREQUENCY(IF(C$2:C$3072=C1839, MATCH(D$2:D$3072, D$2:D$3072, 0)), ROW(D$2:D$3072)-ROW(D$2)+1) &gt; 0))</f>
        <v>#N/A</v>
      </c>
      <c r="C1839" s="408"/>
      <c r="D1839" s="408"/>
      <c r="E1839" s="408"/>
      <c r="F1839" s="408"/>
      <c r="G1839" s="408"/>
      <c r="H1839" s="408"/>
      <c r="I1839" s="408"/>
      <c r="J1839" s="408"/>
      <c r="K1839" s="408"/>
      <c r="L1839" s="408"/>
      <c r="M1839" s="408"/>
      <c r="N1839" s="408" t="str">
        <f t="shared" si="455"/>
        <v/>
      </c>
      <c r="O1839" s="408"/>
      <c r="P1839" s="408"/>
      <c r="Q1839" s="408"/>
      <c r="R1839" s="408"/>
      <c r="S1839" s="408"/>
      <c r="T1839" s="408"/>
      <c r="U1839" s="408"/>
      <c r="V1839" s="421"/>
      <c r="W1839" s="421"/>
      <c r="X1839" s="421"/>
      <c r="Y1839" s="421"/>
      <c r="Z1839" s="421"/>
      <c r="AA1839" s="421"/>
      <c r="AB1839" s="421"/>
      <c r="AC1839" s="421"/>
      <c r="AD1839" s="421"/>
      <c r="AE1839" s="421"/>
      <c r="AF1839" s="421"/>
      <c r="AG1839" s="421"/>
      <c r="AH1839" s="421"/>
      <c r="AI1839" s="421"/>
      <c r="AJ1839" s="421"/>
      <c r="AK1839" s="421"/>
      <c r="AL1839" s="421"/>
    </row>
    <row r="1840" spans="1:38" hidden="1">
      <c r="A1840" s="408"/>
      <c r="B1840" s="83" t="e">
        <f t="array" ref="B1840">SUM(--(FREQUENCY(IF(C$2:C$3072=C1840, MATCH(D$2:D$3072, D$2:D$3072, 0)), ROW(D$2:D$3072)-ROW(D$2)+1) &gt; 0))</f>
        <v>#N/A</v>
      </c>
      <c r="C1840" s="408"/>
      <c r="D1840" s="408"/>
      <c r="E1840" s="408"/>
      <c r="F1840" s="408"/>
      <c r="G1840" s="408"/>
      <c r="H1840" s="408"/>
      <c r="I1840" s="408"/>
      <c r="J1840" s="408"/>
      <c r="K1840" s="408"/>
      <c r="L1840" s="408"/>
      <c r="M1840" s="408"/>
      <c r="N1840" s="408" t="str">
        <f t="shared" si="455"/>
        <v/>
      </c>
      <c r="O1840" s="408"/>
      <c r="P1840" s="408"/>
      <c r="Q1840" s="408"/>
      <c r="R1840" s="408"/>
      <c r="S1840" s="408"/>
      <c r="T1840" s="408"/>
      <c r="U1840" s="408"/>
      <c r="V1840" s="421"/>
      <c r="W1840" s="421"/>
      <c r="X1840" s="421"/>
      <c r="Y1840" s="421"/>
      <c r="Z1840" s="421"/>
      <c r="AA1840" s="421"/>
      <c r="AB1840" s="421"/>
      <c r="AC1840" s="421"/>
      <c r="AD1840" s="421"/>
      <c r="AE1840" s="421"/>
      <c r="AF1840" s="421"/>
      <c r="AG1840" s="421"/>
      <c r="AH1840" s="421"/>
      <c r="AI1840" s="421"/>
      <c r="AJ1840" s="421"/>
      <c r="AK1840" s="421"/>
      <c r="AL1840" s="421"/>
    </row>
    <row r="1841" spans="1:38" hidden="1">
      <c r="A1841" s="408"/>
      <c r="B1841" s="83" t="e">
        <f t="array" ref="B1841">SUM(--(FREQUENCY(IF(C$2:C$3072=C1841, MATCH(D$2:D$3072, D$2:D$3072, 0)), ROW(D$2:D$3072)-ROW(D$2)+1) &gt; 0))</f>
        <v>#N/A</v>
      </c>
      <c r="C1841" s="408"/>
      <c r="D1841" s="408"/>
      <c r="E1841" s="408"/>
      <c r="F1841" s="408"/>
      <c r="G1841" s="408"/>
      <c r="H1841" s="408"/>
      <c r="I1841" s="408"/>
      <c r="J1841" s="408"/>
      <c r="K1841" s="408"/>
      <c r="L1841" s="408"/>
      <c r="M1841" s="408"/>
      <c r="N1841" s="408" t="str">
        <f t="shared" si="455"/>
        <v/>
      </c>
      <c r="O1841" s="408"/>
      <c r="P1841" s="408"/>
      <c r="Q1841" s="408"/>
      <c r="R1841" s="408"/>
      <c r="S1841" s="408"/>
      <c r="T1841" s="408"/>
      <c r="U1841" s="408"/>
      <c r="V1841" s="421"/>
      <c r="W1841" s="421"/>
      <c r="X1841" s="421"/>
      <c r="Y1841" s="421"/>
      <c r="Z1841" s="421"/>
      <c r="AA1841" s="421"/>
      <c r="AB1841" s="421"/>
      <c r="AC1841" s="421"/>
      <c r="AD1841" s="421"/>
      <c r="AE1841" s="421"/>
      <c r="AF1841" s="421"/>
      <c r="AG1841" s="421"/>
      <c r="AH1841" s="421"/>
      <c r="AI1841" s="421"/>
      <c r="AJ1841" s="421"/>
      <c r="AK1841" s="421"/>
      <c r="AL1841" s="421"/>
    </row>
    <row r="1842" spans="1:38" hidden="1">
      <c r="A1842" s="408"/>
      <c r="B1842" s="83" t="e">
        <f t="array" ref="B1842">SUM(--(FREQUENCY(IF(C$2:C$3072=C1842, MATCH(D$2:D$3072, D$2:D$3072, 0)), ROW(D$2:D$3072)-ROW(D$2)+1) &gt; 0))</f>
        <v>#N/A</v>
      </c>
      <c r="C1842" s="408"/>
      <c r="D1842" s="408"/>
      <c r="E1842" s="408"/>
      <c r="F1842" s="408"/>
      <c r="G1842" s="408"/>
      <c r="H1842" s="408"/>
      <c r="I1842" s="408"/>
      <c r="J1842" s="408"/>
      <c r="K1842" s="408"/>
      <c r="L1842" s="408"/>
      <c r="M1842" s="408"/>
      <c r="N1842" s="408" t="str">
        <f t="shared" si="455"/>
        <v/>
      </c>
      <c r="O1842" s="408"/>
      <c r="P1842" s="408"/>
      <c r="Q1842" s="408"/>
      <c r="R1842" s="408"/>
      <c r="S1842" s="408"/>
      <c r="T1842" s="408"/>
      <c r="U1842" s="408"/>
      <c r="V1842" s="421"/>
      <c r="W1842" s="421"/>
      <c r="X1842" s="421"/>
      <c r="Y1842" s="421"/>
      <c r="Z1842" s="421"/>
      <c r="AA1842" s="421"/>
      <c r="AB1842" s="421"/>
      <c r="AC1842" s="421"/>
      <c r="AD1842" s="421"/>
      <c r="AE1842" s="421"/>
      <c r="AF1842" s="421"/>
      <c r="AG1842" s="421"/>
      <c r="AH1842" s="421"/>
      <c r="AI1842" s="421"/>
      <c r="AJ1842" s="421"/>
      <c r="AK1842" s="421"/>
      <c r="AL1842" s="421"/>
    </row>
    <row r="1843" spans="1:38" hidden="1">
      <c r="A1843" s="408"/>
      <c r="B1843" s="83" t="e">
        <f t="array" ref="B1843">SUM(--(FREQUENCY(IF(C$2:C$3072=C1843, MATCH(D$2:D$3072, D$2:D$3072, 0)), ROW(D$2:D$3072)-ROW(D$2)+1) &gt; 0))</f>
        <v>#N/A</v>
      </c>
      <c r="C1843" s="408"/>
      <c r="D1843" s="408"/>
      <c r="E1843" s="408"/>
      <c r="F1843" s="408"/>
      <c r="G1843" s="408"/>
      <c r="H1843" s="408"/>
      <c r="I1843" s="408"/>
      <c r="J1843" s="408"/>
      <c r="K1843" s="408"/>
      <c r="L1843" s="408"/>
      <c r="M1843" s="408"/>
      <c r="N1843" s="408" t="str">
        <f t="shared" si="455"/>
        <v/>
      </c>
      <c r="O1843" s="408"/>
      <c r="P1843" s="408"/>
      <c r="Q1843" s="408"/>
      <c r="R1843" s="408"/>
      <c r="S1843" s="408"/>
      <c r="T1843" s="408"/>
      <c r="U1843" s="408"/>
      <c r="V1843" s="421"/>
      <c r="W1843" s="421"/>
      <c r="X1843" s="421"/>
      <c r="Y1843" s="421"/>
      <c r="Z1843" s="421"/>
      <c r="AA1843" s="421"/>
      <c r="AB1843" s="421"/>
      <c r="AC1843" s="421"/>
      <c r="AD1843" s="421"/>
      <c r="AE1843" s="421"/>
      <c r="AF1843" s="421"/>
      <c r="AG1843" s="421"/>
      <c r="AH1843" s="421"/>
      <c r="AI1843" s="421"/>
      <c r="AJ1843" s="421"/>
      <c r="AK1843" s="421"/>
      <c r="AL1843" s="421"/>
    </row>
    <row r="1844" spans="1:38" hidden="1">
      <c r="A1844" s="408"/>
      <c r="B1844" s="83" t="e">
        <f t="array" ref="B1844">SUM(--(FREQUENCY(IF(C$2:C$3072=C1844, MATCH(D$2:D$3072, D$2:D$3072, 0)), ROW(D$2:D$3072)-ROW(D$2)+1) &gt; 0))</f>
        <v>#N/A</v>
      </c>
      <c r="C1844" s="408"/>
      <c r="D1844" s="408"/>
      <c r="E1844" s="408"/>
      <c r="F1844" s="408"/>
      <c r="G1844" s="408"/>
      <c r="H1844" s="408"/>
      <c r="I1844" s="408"/>
      <c r="J1844" s="408"/>
      <c r="K1844" s="408"/>
      <c r="L1844" s="408"/>
      <c r="M1844" s="408"/>
      <c r="N1844" s="408" t="str">
        <f t="shared" si="455"/>
        <v/>
      </c>
      <c r="O1844" s="408"/>
      <c r="P1844" s="408"/>
      <c r="Q1844" s="408"/>
      <c r="R1844" s="408"/>
      <c r="S1844" s="408"/>
      <c r="T1844" s="408"/>
      <c r="U1844" s="408"/>
      <c r="V1844" s="421"/>
      <c r="W1844" s="421"/>
      <c r="X1844" s="421"/>
      <c r="Y1844" s="421"/>
      <c r="Z1844" s="421"/>
      <c r="AA1844" s="421"/>
      <c r="AB1844" s="421"/>
      <c r="AC1844" s="421"/>
      <c r="AD1844" s="421"/>
      <c r="AE1844" s="421"/>
      <c r="AF1844" s="421"/>
      <c r="AG1844" s="421"/>
      <c r="AH1844" s="421"/>
      <c r="AI1844" s="421"/>
      <c r="AJ1844" s="421"/>
      <c r="AK1844" s="421"/>
      <c r="AL1844" s="421"/>
    </row>
    <row r="1845" spans="1:38" hidden="1">
      <c r="A1845" s="408"/>
      <c r="B1845" s="83" t="e">
        <f t="array" ref="B1845">SUM(--(FREQUENCY(IF(C$2:C$3072=C1845, MATCH(D$2:D$3072, D$2:D$3072, 0)), ROW(D$2:D$3072)-ROW(D$2)+1) &gt; 0))</f>
        <v>#N/A</v>
      </c>
      <c r="C1845" s="408"/>
      <c r="D1845" s="408"/>
      <c r="E1845" s="408"/>
      <c r="F1845" s="408"/>
      <c r="G1845" s="408"/>
      <c r="H1845" s="408"/>
      <c r="I1845" s="408"/>
      <c r="J1845" s="408"/>
      <c r="K1845" s="408"/>
      <c r="L1845" s="408"/>
      <c r="M1845" s="408"/>
      <c r="N1845" s="408" t="str">
        <f t="shared" si="455"/>
        <v/>
      </c>
      <c r="O1845" s="408"/>
      <c r="P1845" s="408"/>
      <c r="Q1845" s="408"/>
      <c r="R1845" s="408"/>
      <c r="S1845" s="408"/>
      <c r="T1845" s="408"/>
      <c r="U1845" s="408"/>
      <c r="V1845" s="421"/>
      <c r="W1845" s="421"/>
      <c r="X1845" s="421"/>
      <c r="Y1845" s="421"/>
      <c r="Z1845" s="421"/>
      <c r="AA1845" s="421"/>
      <c r="AB1845" s="421"/>
      <c r="AC1845" s="421"/>
      <c r="AD1845" s="421"/>
      <c r="AE1845" s="421"/>
      <c r="AF1845" s="421"/>
      <c r="AG1845" s="421"/>
      <c r="AH1845" s="421"/>
      <c r="AI1845" s="421"/>
      <c r="AJ1845" s="421"/>
      <c r="AK1845" s="421"/>
      <c r="AL1845" s="421"/>
    </row>
    <row r="1846" spans="1:38" hidden="1">
      <c r="A1846" s="408"/>
      <c r="B1846" s="83" t="e">
        <f t="array" ref="B1846">SUM(--(FREQUENCY(IF(C$2:C$3072=C1846, MATCH(D$2:D$3072, D$2:D$3072, 0)), ROW(D$2:D$3072)-ROW(D$2)+1) &gt; 0))</f>
        <v>#N/A</v>
      </c>
      <c r="C1846" s="408"/>
      <c r="D1846" s="408"/>
      <c r="E1846" s="408"/>
      <c r="F1846" s="408"/>
      <c r="G1846" s="408"/>
      <c r="H1846" s="408"/>
      <c r="I1846" s="408"/>
      <c r="J1846" s="408"/>
      <c r="K1846" s="408"/>
      <c r="L1846" s="408"/>
      <c r="M1846" s="408"/>
      <c r="N1846" s="408" t="str">
        <f t="shared" si="455"/>
        <v/>
      </c>
      <c r="O1846" s="408"/>
      <c r="P1846" s="408"/>
      <c r="Q1846" s="408"/>
      <c r="R1846" s="408"/>
      <c r="S1846" s="408"/>
      <c r="T1846" s="408"/>
      <c r="U1846" s="408"/>
      <c r="V1846" s="421"/>
      <c r="W1846" s="421"/>
      <c r="X1846" s="421"/>
      <c r="Y1846" s="421"/>
      <c r="Z1846" s="421"/>
      <c r="AA1846" s="421"/>
      <c r="AB1846" s="421"/>
      <c r="AC1846" s="421"/>
      <c r="AD1846" s="421"/>
      <c r="AE1846" s="421"/>
      <c r="AF1846" s="421"/>
      <c r="AG1846" s="421"/>
      <c r="AH1846" s="421"/>
      <c r="AI1846" s="421"/>
      <c r="AJ1846" s="421"/>
      <c r="AK1846" s="421"/>
      <c r="AL1846" s="421"/>
    </row>
    <row r="1847" spans="1:38" hidden="1">
      <c r="A1847" s="408"/>
      <c r="B1847" s="83" t="e">
        <f t="array" ref="B1847">SUM(--(FREQUENCY(IF(C$2:C$3072=C1847, MATCH(D$2:D$3072, D$2:D$3072, 0)), ROW(D$2:D$3072)-ROW(D$2)+1) &gt; 0))</f>
        <v>#N/A</v>
      </c>
      <c r="C1847" s="408"/>
      <c r="D1847" s="408"/>
      <c r="E1847" s="408"/>
      <c r="F1847" s="408"/>
      <c r="G1847" s="408"/>
      <c r="H1847" s="408"/>
      <c r="I1847" s="408"/>
      <c r="J1847" s="408"/>
      <c r="K1847" s="408"/>
      <c r="L1847" s="408"/>
      <c r="M1847" s="408"/>
      <c r="N1847" s="408" t="str">
        <f t="shared" si="455"/>
        <v/>
      </c>
      <c r="O1847" s="408"/>
      <c r="P1847" s="408"/>
      <c r="Q1847" s="408"/>
      <c r="R1847" s="408"/>
      <c r="S1847" s="408"/>
      <c r="T1847" s="408"/>
      <c r="U1847" s="408"/>
      <c r="V1847" s="421"/>
      <c r="W1847" s="421"/>
      <c r="X1847" s="421"/>
      <c r="Y1847" s="421"/>
      <c r="Z1847" s="421"/>
      <c r="AA1847" s="421"/>
      <c r="AB1847" s="421"/>
      <c r="AC1847" s="421"/>
      <c r="AD1847" s="421"/>
      <c r="AE1847" s="421"/>
      <c r="AF1847" s="421"/>
      <c r="AG1847" s="421"/>
      <c r="AH1847" s="421"/>
      <c r="AI1847" s="421"/>
      <c r="AJ1847" s="421"/>
      <c r="AK1847" s="421"/>
      <c r="AL1847" s="421"/>
    </row>
    <row r="1848" spans="1:38" hidden="1">
      <c r="A1848" s="408"/>
      <c r="B1848" s="83" t="e">
        <f t="array" ref="B1848">SUM(--(FREQUENCY(IF(C$2:C$3072=C1848, MATCH(D$2:D$3072, D$2:D$3072, 0)), ROW(D$2:D$3072)-ROW(D$2)+1) &gt; 0))</f>
        <v>#N/A</v>
      </c>
      <c r="C1848" s="408"/>
      <c r="D1848" s="408"/>
      <c r="E1848" s="408"/>
      <c r="F1848" s="408"/>
      <c r="G1848" s="408"/>
      <c r="H1848" s="408"/>
      <c r="I1848" s="408"/>
      <c r="J1848" s="408"/>
      <c r="K1848" s="408"/>
      <c r="L1848" s="408"/>
      <c r="M1848" s="408"/>
      <c r="N1848" s="408" t="str">
        <f t="shared" si="455"/>
        <v/>
      </c>
      <c r="O1848" s="408"/>
      <c r="P1848" s="408"/>
      <c r="Q1848" s="408"/>
      <c r="R1848" s="408"/>
      <c r="S1848" s="408"/>
      <c r="T1848" s="408"/>
      <c r="U1848" s="408"/>
      <c r="V1848" s="421"/>
      <c r="W1848" s="421"/>
      <c r="X1848" s="421"/>
      <c r="Y1848" s="421"/>
      <c r="Z1848" s="421"/>
      <c r="AA1848" s="421"/>
      <c r="AB1848" s="421"/>
      <c r="AC1848" s="421"/>
      <c r="AD1848" s="421"/>
      <c r="AE1848" s="421"/>
      <c r="AF1848" s="421"/>
      <c r="AG1848" s="421"/>
      <c r="AH1848" s="421"/>
      <c r="AI1848" s="421"/>
      <c r="AJ1848" s="421"/>
      <c r="AK1848" s="421"/>
      <c r="AL1848" s="421"/>
    </row>
    <row r="1849" spans="1:38" hidden="1">
      <c r="A1849" s="408"/>
      <c r="B1849" s="83" t="e">
        <f t="array" ref="B1849">SUM(--(FREQUENCY(IF(C$2:C$3072=C1849, MATCH(D$2:D$3072, D$2:D$3072, 0)), ROW(D$2:D$3072)-ROW(D$2)+1) &gt; 0))</f>
        <v>#N/A</v>
      </c>
      <c r="C1849" s="408"/>
      <c r="D1849" s="408"/>
      <c r="E1849" s="408"/>
      <c r="F1849" s="408"/>
      <c r="G1849" s="408"/>
      <c r="H1849" s="408"/>
      <c r="I1849" s="408"/>
      <c r="J1849" s="408"/>
      <c r="K1849" s="408"/>
      <c r="L1849" s="408"/>
      <c r="M1849" s="408"/>
      <c r="N1849" s="408" t="str">
        <f t="shared" si="455"/>
        <v/>
      </c>
      <c r="O1849" s="408"/>
      <c r="P1849" s="408"/>
      <c r="Q1849" s="408"/>
      <c r="R1849" s="408"/>
      <c r="S1849" s="408"/>
      <c r="T1849" s="408"/>
      <c r="U1849" s="408"/>
      <c r="V1849" s="421"/>
      <c r="W1849" s="421"/>
      <c r="X1849" s="421"/>
      <c r="Y1849" s="421"/>
      <c r="Z1849" s="421"/>
      <c r="AA1849" s="421"/>
      <c r="AB1849" s="421"/>
      <c r="AC1849" s="421"/>
      <c r="AD1849" s="421"/>
      <c r="AE1849" s="421"/>
      <c r="AF1849" s="421"/>
      <c r="AG1849" s="421"/>
      <c r="AH1849" s="421"/>
      <c r="AI1849" s="421"/>
      <c r="AJ1849" s="421"/>
      <c r="AK1849" s="421"/>
      <c r="AL1849" s="421"/>
    </row>
    <row r="1850" spans="1:38" hidden="1">
      <c r="A1850" s="408"/>
      <c r="B1850" s="83" t="e">
        <f t="array" ref="B1850">SUM(--(FREQUENCY(IF(C$2:C$3072=C1850, MATCH(D$2:D$3072, D$2:D$3072, 0)), ROW(D$2:D$3072)-ROW(D$2)+1) &gt; 0))</f>
        <v>#N/A</v>
      </c>
      <c r="C1850" s="408"/>
      <c r="D1850" s="408"/>
      <c r="E1850" s="408"/>
      <c r="F1850" s="408"/>
      <c r="G1850" s="408"/>
      <c r="H1850" s="408"/>
      <c r="I1850" s="408"/>
      <c r="J1850" s="408"/>
      <c r="K1850" s="408"/>
      <c r="L1850" s="408"/>
      <c r="M1850" s="408"/>
      <c r="N1850" s="408" t="str">
        <f t="shared" si="455"/>
        <v/>
      </c>
      <c r="O1850" s="408"/>
      <c r="P1850" s="408"/>
      <c r="Q1850" s="408"/>
      <c r="R1850" s="408"/>
      <c r="S1850" s="408"/>
      <c r="T1850" s="408"/>
      <c r="U1850" s="408"/>
      <c r="V1850" s="421"/>
      <c r="W1850" s="421"/>
      <c r="X1850" s="421"/>
      <c r="Y1850" s="421"/>
      <c r="Z1850" s="421"/>
      <c r="AA1850" s="421"/>
      <c r="AB1850" s="421"/>
      <c r="AC1850" s="421"/>
      <c r="AD1850" s="421"/>
      <c r="AE1850" s="421"/>
      <c r="AF1850" s="421"/>
      <c r="AG1850" s="421"/>
      <c r="AH1850" s="421"/>
      <c r="AI1850" s="421"/>
      <c r="AJ1850" s="421"/>
      <c r="AK1850" s="421"/>
      <c r="AL1850" s="421"/>
    </row>
    <row r="1851" spans="1:38" hidden="1">
      <c r="A1851" s="408"/>
      <c r="B1851" s="83" t="e">
        <f t="array" ref="B1851">SUM(--(FREQUENCY(IF(C$2:C$3072=C1851, MATCH(D$2:D$3072, D$2:D$3072, 0)), ROW(D$2:D$3072)-ROW(D$2)+1) &gt; 0))</f>
        <v>#N/A</v>
      </c>
      <c r="C1851" s="408"/>
      <c r="D1851" s="408"/>
      <c r="E1851" s="408"/>
      <c r="F1851" s="408"/>
      <c r="G1851" s="408"/>
      <c r="H1851" s="408"/>
      <c r="I1851" s="408"/>
      <c r="J1851" s="408"/>
      <c r="K1851" s="408"/>
      <c r="L1851" s="408"/>
      <c r="M1851" s="408"/>
      <c r="N1851" s="408" t="str">
        <f t="shared" si="455"/>
        <v/>
      </c>
      <c r="O1851" s="408"/>
      <c r="P1851" s="408"/>
      <c r="Q1851" s="408"/>
      <c r="R1851" s="408"/>
      <c r="S1851" s="408"/>
      <c r="T1851" s="408"/>
      <c r="U1851" s="408"/>
      <c r="V1851" s="421"/>
      <c r="W1851" s="421"/>
      <c r="X1851" s="421"/>
      <c r="Y1851" s="421"/>
      <c r="Z1851" s="421"/>
      <c r="AA1851" s="421"/>
      <c r="AB1851" s="421"/>
      <c r="AC1851" s="421"/>
      <c r="AD1851" s="421"/>
      <c r="AE1851" s="421"/>
      <c r="AF1851" s="421"/>
      <c r="AG1851" s="421"/>
      <c r="AH1851" s="421"/>
      <c r="AI1851" s="421"/>
      <c r="AJ1851" s="421"/>
      <c r="AK1851" s="421"/>
      <c r="AL1851" s="421"/>
    </row>
    <row r="1852" spans="1:38" hidden="1">
      <c r="A1852" s="408"/>
      <c r="B1852" s="83" t="e">
        <f t="array" ref="B1852">SUM(--(FREQUENCY(IF(C$2:C$3072=C1852, MATCH(D$2:D$3072, D$2:D$3072, 0)), ROW(D$2:D$3072)-ROW(D$2)+1) &gt; 0))</f>
        <v>#N/A</v>
      </c>
      <c r="C1852" s="408"/>
      <c r="D1852" s="408"/>
      <c r="E1852" s="408"/>
      <c r="F1852" s="408"/>
      <c r="G1852" s="408"/>
      <c r="H1852" s="408"/>
      <c r="I1852" s="408"/>
      <c r="J1852" s="408"/>
      <c r="K1852" s="408"/>
      <c r="L1852" s="408"/>
      <c r="M1852" s="408"/>
      <c r="N1852" s="408" t="str">
        <f t="shared" si="455"/>
        <v/>
      </c>
      <c r="O1852" s="408"/>
      <c r="P1852" s="408"/>
      <c r="Q1852" s="408"/>
      <c r="R1852" s="408"/>
      <c r="S1852" s="408"/>
      <c r="T1852" s="408"/>
      <c r="U1852" s="408"/>
      <c r="V1852" s="421"/>
      <c r="W1852" s="421"/>
      <c r="X1852" s="421"/>
      <c r="Y1852" s="421"/>
      <c r="Z1852" s="421"/>
      <c r="AA1852" s="421"/>
      <c r="AB1852" s="421"/>
      <c r="AC1852" s="421"/>
      <c r="AD1852" s="421"/>
      <c r="AE1852" s="421"/>
      <c r="AF1852" s="421"/>
      <c r="AG1852" s="421"/>
      <c r="AH1852" s="421"/>
      <c r="AI1852" s="421"/>
      <c r="AJ1852" s="421"/>
      <c r="AK1852" s="421"/>
      <c r="AL1852" s="421"/>
    </row>
    <row r="1853" spans="1:38" hidden="1">
      <c r="A1853" s="408"/>
      <c r="B1853" s="83" t="e">
        <f t="array" ref="B1853">SUM(--(FREQUENCY(IF(C$2:C$3072=C1853, MATCH(D$2:D$3072, D$2:D$3072, 0)), ROW(D$2:D$3072)-ROW(D$2)+1) &gt; 0))</f>
        <v>#N/A</v>
      </c>
      <c r="C1853" s="408"/>
      <c r="D1853" s="408"/>
      <c r="E1853" s="408"/>
      <c r="F1853" s="408"/>
      <c r="G1853" s="408"/>
      <c r="H1853" s="408"/>
      <c r="I1853" s="408"/>
      <c r="J1853" s="408"/>
      <c r="K1853" s="408"/>
      <c r="L1853" s="408"/>
      <c r="M1853" s="408"/>
      <c r="N1853" s="408" t="str">
        <f t="shared" si="455"/>
        <v/>
      </c>
      <c r="O1853" s="408"/>
      <c r="P1853" s="408"/>
      <c r="Q1853" s="408"/>
      <c r="R1853" s="408"/>
      <c r="S1853" s="408"/>
      <c r="T1853" s="408"/>
      <c r="U1853" s="408"/>
      <c r="V1853" s="421"/>
      <c r="W1853" s="421"/>
      <c r="X1853" s="421"/>
      <c r="Y1853" s="421"/>
      <c r="Z1853" s="421"/>
      <c r="AA1853" s="421"/>
      <c r="AB1853" s="421"/>
      <c r="AC1853" s="421"/>
      <c r="AD1853" s="421"/>
      <c r="AE1853" s="421"/>
      <c r="AF1853" s="421"/>
      <c r="AG1853" s="421"/>
      <c r="AH1853" s="421"/>
      <c r="AI1853" s="421"/>
      <c r="AJ1853" s="421"/>
      <c r="AK1853" s="421"/>
      <c r="AL1853" s="421"/>
    </row>
    <row r="1854" spans="1:38" hidden="1">
      <c r="A1854" s="408"/>
      <c r="B1854" s="83" t="e">
        <f t="array" ref="B1854">SUM(--(FREQUENCY(IF(C$2:C$3072=C1854, MATCH(D$2:D$3072, D$2:D$3072, 0)), ROW(D$2:D$3072)-ROW(D$2)+1) &gt; 0))</f>
        <v>#N/A</v>
      </c>
      <c r="C1854" s="408"/>
      <c r="D1854" s="408"/>
      <c r="E1854" s="408"/>
      <c r="F1854" s="408"/>
      <c r="G1854" s="408"/>
      <c r="H1854" s="408"/>
      <c r="I1854" s="408"/>
      <c r="J1854" s="408"/>
      <c r="K1854" s="408"/>
      <c r="L1854" s="408"/>
      <c r="M1854" s="408"/>
      <c r="N1854" s="408" t="str">
        <f t="shared" si="455"/>
        <v/>
      </c>
      <c r="O1854" s="408"/>
      <c r="P1854" s="408"/>
      <c r="Q1854" s="408"/>
      <c r="R1854" s="408"/>
      <c r="S1854" s="408"/>
      <c r="T1854" s="408"/>
      <c r="U1854" s="408"/>
      <c r="V1854" s="421"/>
      <c r="W1854" s="421"/>
      <c r="X1854" s="421"/>
      <c r="Y1854" s="421"/>
      <c r="Z1854" s="421"/>
      <c r="AA1854" s="421"/>
      <c r="AB1854" s="421"/>
      <c r="AC1854" s="421"/>
      <c r="AD1854" s="421"/>
      <c r="AE1854" s="421"/>
      <c r="AF1854" s="421"/>
      <c r="AG1854" s="421"/>
      <c r="AH1854" s="421"/>
      <c r="AI1854" s="421"/>
      <c r="AJ1854" s="421"/>
      <c r="AK1854" s="421"/>
      <c r="AL1854" s="421"/>
    </row>
    <row r="1855" spans="1:38" hidden="1">
      <c r="A1855" s="408"/>
      <c r="B1855" s="83" t="e">
        <f t="array" ref="B1855">SUM(--(FREQUENCY(IF(C$2:C$3072=C1855, MATCH(D$2:D$3072, D$2:D$3072, 0)), ROW(D$2:D$3072)-ROW(D$2)+1) &gt; 0))</f>
        <v>#N/A</v>
      </c>
      <c r="C1855" s="408"/>
      <c r="D1855" s="408"/>
      <c r="E1855" s="408"/>
      <c r="F1855" s="408"/>
      <c r="G1855" s="408"/>
      <c r="H1855" s="408"/>
      <c r="I1855" s="408"/>
      <c r="J1855" s="408"/>
      <c r="K1855" s="408"/>
      <c r="L1855" s="408"/>
      <c r="M1855" s="408"/>
      <c r="N1855" s="408" t="str">
        <f t="shared" si="455"/>
        <v/>
      </c>
      <c r="O1855" s="408"/>
      <c r="P1855" s="408"/>
      <c r="Q1855" s="408"/>
      <c r="R1855" s="408"/>
      <c r="S1855" s="408"/>
      <c r="T1855" s="408"/>
      <c r="U1855" s="408"/>
      <c r="V1855" s="421"/>
      <c r="W1855" s="421"/>
      <c r="X1855" s="421"/>
      <c r="Y1855" s="421"/>
      <c r="Z1855" s="421"/>
      <c r="AA1855" s="421"/>
      <c r="AB1855" s="421"/>
      <c r="AC1855" s="421"/>
      <c r="AD1855" s="421"/>
      <c r="AE1855" s="421"/>
      <c r="AF1855" s="421"/>
      <c r="AG1855" s="421"/>
      <c r="AH1855" s="421"/>
      <c r="AI1855" s="421"/>
      <c r="AJ1855" s="421"/>
      <c r="AK1855" s="421"/>
      <c r="AL1855" s="421"/>
    </row>
    <row r="1856" spans="1:38" hidden="1">
      <c r="A1856" s="408"/>
      <c r="B1856" s="83" t="e">
        <f t="array" ref="B1856">SUM(--(FREQUENCY(IF(C$2:C$3072=C1856, MATCH(D$2:D$3072, D$2:D$3072, 0)), ROW(D$2:D$3072)-ROW(D$2)+1) &gt; 0))</f>
        <v>#N/A</v>
      </c>
      <c r="C1856" s="408"/>
      <c r="D1856" s="408"/>
      <c r="E1856" s="408"/>
      <c r="F1856" s="408"/>
      <c r="G1856" s="408"/>
      <c r="H1856" s="408"/>
      <c r="I1856" s="408"/>
      <c r="J1856" s="408"/>
      <c r="K1856" s="408"/>
      <c r="L1856" s="408"/>
      <c r="M1856" s="408"/>
      <c r="N1856" s="408" t="str">
        <f t="shared" ref="N1856:N1919" si="456">IF(O1856&lt;&gt;"", "NG", "")</f>
        <v/>
      </c>
      <c r="O1856" s="408"/>
      <c r="P1856" s="408"/>
      <c r="Q1856" s="408"/>
      <c r="R1856" s="408"/>
      <c r="S1856" s="408"/>
      <c r="T1856" s="408"/>
      <c r="U1856" s="408"/>
      <c r="V1856" s="421"/>
      <c r="W1856" s="421"/>
      <c r="X1856" s="421"/>
      <c r="Y1856" s="421"/>
      <c r="Z1856" s="421"/>
      <c r="AA1856" s="421"/>
      <c r="AB1856" s="421"/>
      <c r="AC1856" s="421"/>
      <c r="AD1856" s="421"/>
      <c r="AE1856" s="421"/>
      <c r="AF1856" s="421"/>
      <c r="AG1856" s="421"/>
      <c r="AH1856" s="421"/>
      <c r="AI1856" s="421"/>
      <c r="AJ1856" s="421"/>
      <c r="AK1856" s="421"/>
      <c r="AL1856" s="421"/>
    </row>
    <row r="1857" spans="1:38" hidden="1">
      <c r="A1857" s="408"/>
      <c r="B1857" s="83" t="e">
        <f t="array" ref="B1857">SUM(--(FREQUENCY(IF(C$2:C$3072=C1857, MATCH(D$2:D$3072, D$2:D$3072, 0)), ROW(D$2:D$3072)-ROW(D$2)+1) &gt; 0))</f>
        <v>#N/A</v>
      </c>
      <c r="C1857" s="408"/>
      <c r="D1857" s="408"/>
      <c r="E1857" s="408"/>
      <c r="F1857" s="408"/>
      <c r="G1857" s="408"/>
      <c r="H1857" s="408"/>
      <c r="I1857" s="408"/>
      <c r="J1857" s="408"/>
      <c r="K1857" s="408"/>
      <c r="L1857" s="408"/>
      <c r="M1857" s="408"/>
      <c r="N1857" s="408" t="str">
        <f t="shared" si="456"/>
        <v/>
      </c>
      <c r="O1857" s="408"/>
      <c r="P1857" s="408"/>
      <c r="Q1857" s="408"/>
      <c r="R1857" s="408"/>
      <c r="S1857" s="408"/>
      <c r="T1857" s="408"/>
      <c r="U1857" s="408"/>
      <c r="V1857" s="421"/>
      <c r="W1857" s="421"/>
      <c r="X1857" s="421"/>
      <c r="Y1857" s="421"/>
      <c r="Z1857" s="421"/>
      <c r="AA1857" s="421"/>
      <c r="AB1857" s="421"/>
      <c r="AC1857" s="421"/>
      <c r="AD1857" s="421"/>
      <c r="AE1857" s="421"/>
      <c r="AF1857" s="421"/>
      <c r="AG1857" s="421"/>
      <c r="AH1857" s="421"/>
      <c r="AI1857" s="421"/>
      <c r="AJ1857" s="421"/>
      <c r="AK1857" s="421"/>
      <c r="AL1857" s="421"/>
    </row>
    <row r="1858" spans="1:38" hidden="1">
      <c r="A1858" s="408"/>
      <c r="B1858" s="83" t="e">
        <f t="array" ref="B1858">SUM(--(FREQUENCY(IF(C$2:C$3072=C1858, MATCH(D$2:D$3072, D$2:D$3072, 0)), ROW(D$2:D$3072)-ROW(D$2)+1) &gt; 0))</f>
        <v>#N/A</v>
      </c>
      <c r="C1858" s="408"/>
      <c r="D1858" s="408"/>
      <c r="E1858" s="408"/>
      <c r="F1858" s="408"/>
      <c r="G1858" s="408"/>
      <c r="H1858" s="408"/>
      <c r="I1858" s="408"/>
      <c r="J1858" s="408"/>
      <c r="K1858" s="408"/>
      <c r="L1858" s="408"/>
      <c r="M1858" s="408"/>
      <c r="N1858" s="408" t="str">
        <f t="shared" si="456"/>
        <v/>
      </c>
      <c r="O1858" s="408"/>
      <c r="P1858" s="408"/>
      <c r="Q1858" s="408"/>
      <c r="R1858" s="408"/>
      <c r="S1858" s="408"/>
      <c r="T1858" s="408"/>
      <c r="U1858" s="408"/>
      <c r="V1858" s="421"/>
      <c r="W1858" s="421"/>
      <c r="X1858" s="421"/>
      <c r="Y1858" s="421"/>
      <c r="Z1858" s="421"/>
      <c r="AA1858" s="421"/>
      <c r="AB1858" s="421"/>
      <c r="AC1858" s="421"/>
      <c r="AD1858" s="421"/>
      <c r="AE1858" s="421"/>
      <c r="AF1858" s="421"/>
      <c r="AG1858" s="421"/>
      <c r="AH1858" s="421"/>
      <c r="AI1858" s="421"/>
      <c r="AJ1858" s="421"/>
      <c r="AK1858" s="421"/>
      <c r="AL1858" s="421"/>
    </row>
    <row r="1859" spans="1:38" hidden="1">
      <c r="A1859" s="408"/>
      <c r="B1859" s="83" t="e">
        <f t="array" ref="B1859">SUM(--(FREQUENCY(IF(C$2:C$3072=C1859, MATCH(D$2:D$3072, D$2:D$3072, 0)), ROW(D$2:D$3072)-ROW(D$2)+1) &gt; 0))</f>
        <v>#N/A</v>
      </c>
      <c r="C1859" s="408"/>
      <c r="D1859" s="408"/>
      <c r="E1859" s="408"/>
      <c r="F1859" s="408"/>
      <c r="G1859" s="408"/>
      <c r="H1859" s="408"/>
      <c r="I1859" s="408"/>
      <c r="J1859" s="408"/>
      <c r="K1859" s="408"/>
      <c r="L1859" s="408"/>
      <c r="M1859" s="408"/>
      <c r="N1859" s="408" t="str">
        <f t="shared" si="456"/>
        <v/>
      </c>
      <c r="O1859" s="408"/>
      <c r="P1859" s="408"/>
      <c r="Q1859" s="408"/>
      <c r="R1859" s="408"/>
      <c r="S1859" s="408"/>
      <c r="T1859" s="408"/>
      <c r="U1859" s="408"/>
      <c r="V1859" s="421"/>
      <c r="W1859" s="421"/>
      <c r="X1859" s="421"/>
      <c r="Y1859" s="421"/>
      <c r="Z1859" s="421"/>
      <c r="AA1859" s="421"/>
      <c r="AB1859" s="421"/>
      <c r="AC1859" s="421"/>
      <c r="AD1859" s="421"/>
      <c r="AE1859" s="421"/>
      <c r="AF1859" s="421"/>
      <c r="AG1859" s="421"/>
      <c r="AH1859" s="421"/>
      <c r="AI1859" s="421"/>
      <c r="AJ1859" s="421"/>
      <c r="AK1859" s="421"/>
      <c r="AL1859" s="421"/>
    </row>
    <row r="1860" spans="1:38" hidden="1">
      <c r="A1860" s="408"/>
      <c r="B1860" s="83" t="e">
        <f t="array" ref="B1860">SUM(--(FREQUENCY(IF(C$2:C$3072=C1860, MATCH(D$2:D$3072, D$2:D$3072, 0)), ROW(D$2:D$3072)-ROW(D$2)+1) &gt; 0))</f>
        <v>#N/A</v>
      </c>
      <c r="C1860" s="408"/>
      <c r="D1860" s="408"/>
      <c r="E1860" s="408"/>
      <c r="F1860" s="408"/>
      <c r="G1860" s="408"/>
      <c r="H1860" s="408"/>
      <c r="I1860" s="408"/>
      <c r="J1860" s="408"/>
      <c r="K1860" s="408"/>
      <c r="L1860" s="408"/>
      <c r="M1860" s="408"/>
      <c r="N1860" s="408" t="str">
        <f t="shared" si="456"/>
        <v/>
      </c>
      <c r="O1860" s="408"/>
      <c r="P1860" s="408"/>
      <c r="Q1860" s="408"/>
      <c r="R1860" s="408"/>
      <c r="S1860" s="408"/>
      <c r="T1860" s="408"/>
      <c r="U1860" s="408"/>
      <c r="V1860" s="421"/>
      <c r="W1860" s="421"/>
      <c r="X1860" s="421"/>
      <c r="Y1860" s="421"/>
      <c r="Z1860" s="421"/>
      <c r="AA1860" s="421"/>
      <c r="AB1860" s="421"/>
      <c r="AC1860" s="421"/>
      <c r="AD1860" s="421"/>
      <c r="AE1860" s="421"/>
      <c r="AF1860" s="421"/>
      <c r="AG1860" s="421"/>
      <c r="AH1860" s="421"/>
      <c r="AI1860" s="421"/>
      <c r="AJ1860" s="421"/>
      <c r="AK1860" s="421"/>
      <c r="AL1860" s="421"/>
    </row>
    <row r="1861" spans="1:38" hidden="1">
      <c r="A1861" s="408"/>
      <c r="B1861" s="83" t="e">
        <f t="array" ref="B1861">SUM(--(FREQUENCY(IF(C$2:C$3072=C1861, MATCH(D$2:D$3072, D$2:D$3072, 0)), ROW(D$2:D$3072)-ROW(D$2)+1) &gt; 0))</f>
        <v>#N/A</v>
      </c>
      <c r="C1861" s="408"/>
      <c r="D1861" s="408"/>
      <c r="E1861" s="408"/>
      <c r="F1861" s="408"/>
      <c r="G1861" s="408"/>
      <c r="H1861" s="408"/>
      <c r="I1861" s="408"/>
      <c r="J1861" s="408"/>
      <c r="K1861" s="408"/>
      <c r="L1861" s="408"/>
      <c r="M1861" s="408"/>
      <c r="N1861" s="408" t="str">
        <f t="shared" si="456"/>
        <v/>
      </c>
      <c r="O1861" s="408"/>
      <c r="P1861" s="408"/>
      <c r="Q1861" s="408"/>
      <c r="R1861" s="408"/>
      <c r="S1861" s="408"/>
      <c r="T1861" s="408"/>
      <c r="U1861" s="408"/>
      <c r="V1861" s="421"/>
      <c r="W1861" s="421"/>
      <c r="X1861" s="421"/>
      <c r="Y1861" s="421"/>
      <c r="Z1861" s="421"/>
      <c r="AA1861" s="421"/>
      <c r="AB1861" s="421"/>
      <c r="AC1861" s="421"/>
      <c r="AD1861" s="421"/>
      <c r="AE1861" s="421"/>
      <c r="AF1861" s="421"/>
      <c r="AG1861" s="421"/>
      <c r="AH1861" s="421"/>
      <c r="AI1861" s="421"/>
      <c r="AJ1861" s="421"/>
      <c r="AK1861" s="421"/>
      <c r="AL1861" s="421"/>
    </row>
    <row r="1862" spans="1:38" hidden="1">
      <c r="A1862" s="408"/>
      <c r="B1862" s="83" t="e">
        <f t="array" ref="B1862">SUM(--(FREQUENCY(IF(C$2:C$3072=C1862, MATCH(D$2:D$3072, D$2:D$3072, 0)), ROW(D$2:D$3072)-ROW(D$2)+1) &gt; 0))</f>
        <v>#N/A</v>
      </c>
      <c r="C1862" s="408"/>
      <c r="D1862" s="408"/>
      <c r="E1862" s="408"/>
      <c r="F1862" s="408"/>
      <c r="G1862" s="408"/>
      <c r="H1862" s="408"/>
      <c r="I1862" s="408"/>
      <c r="J1862" s="408"/>
      <c r="K1862" s="408"/>
      <c r="L1862" s="408"/>
      <c r="M1862" s="408"/>
      <c r="N1862" s="408" t="str">
        <f t="shared" si="456"/>
        <v/>
      </c>
      <c r="O1862" s="408"/>
      <c r="P1862" s="408"/>
      <c r="Q1862" s="408"/>
      <c r="R1862" s="408"/>
      <c r="S1862" s="408"/>
      <c r="T1862" s="408"/>
      <c r="U1862" s="408"/>
      <c r="V1862" s="421"/>
      <c r="W1862" s="421"/>
      <c r="X1862" s="421"/>
      <c r="Y1862" s="421"/>
      <c r="Z1862" s="421"/>
      <c r="AA1862" s="421"/>
      <c r="AB1862" s="421"/>
      <c r="AC1862" s="421"/>
      <c r="AD1862" s="421"/>
      <c r="AE1862" s="421"/>
      <c r="AF1862" s="421"/>
      <c r="AG1862" s="421"/>
      <c r="AH1862" s="421"/>
      <c r="AI1862" s="421"/>
      <c r="AJ1862" s="421"/>
      <c r="AK1862" s="421"/>
      <c r="AL1862" s="421"/>
    </row>
    <row r="1863" spans="1:38" hidden="1">
      <c r="A1863" s="408"/>
      <c r="B1863" s="83" t="e">
        <f t="array" ref="B1863">SUM(--(FREQUENCY(IF(C$2:C$3072=C1863, MATCH(D$2:D$3072, D$2:D$3072, 0)), ROW(D$2:D$3072)-ROW(D$2)+1) &gt; 0))</f>
        <v>#N/A</v>
      </c>
      <c r="C1863" s="408"/>
      <c r="D1863" s="408"/>
      <c r="E1863" s="408"/>
      <c r="F1863" s="408"/>
      <c r="G1863" s="408"/>
      <c r="H1863" s="408"/>
      <c r="I1863" s="408"/>
      <c r="J1863" s="408"/>
      <c r="K1863" s="408"/>
      <c r="L1863" s="408"/>
      <c r="M1863" s="408"/>
      <c r="N1863" s="408" t="str">
        <f t="shared" si="456"/>
        <v/>
      </c>
      <c r="O1863" s="408"/>
      <c r="P1863" s="408"/>
      <c r="Q1863" s="408"/>
      <c r="R1863" s="408"/>
      <c r="S1863" s="408"/>
      <c r="T1863" s="408"/>
      <c r="U1863" s="408"/>
      <c r="V1863" s="421"/>
      <c r="W1863" s="421"/>
      <c r="X1863" s="421"/>
      <c r="Y1863" s="421"/>
      <c r="Z1863" s="421"/>
      <c r="AA1863" s="421"/>
      <c r="AB1863" s="421"/>
      <c r="AC1863" s="421"/>
      <c r="AD1863" s="421"/>
      <c r="AE1863" s="421"/>
      <c r="AF1863" s="421"/>
      <c r="AG1863" s="421"/>
      <c r="AH1863" s="421"/>
      <c r="AI1863" s="421"/>
      <c r="AJ1863" s="421"/>
      <c r="AK1863" s="421"/>
      <c r="AL1863" s="421"/>
    </row>
    <row r="1864" spans="1:38" hidden="1">
      <c r="A1864" s="408"/>
      <c r="B1864" s="83" t="e">
        <f t="array" ref="B1864">SUM(--(FREQUENCY(IF(C$2:C$3072=C1864, MATCH(D$2:D$3072, D$2:D$3072, 0)), ROW(D$2:D$3072)-ROW(D$2)+1) &gt; 0))</f>
        <v>#N/A</v>
      </c>
      <c r="C1864" s="408"/>
      <c r="D1864" s="408"/>
      <c r="E1864" s="408"/>
      <c r="F1864" s="408"/>
      <c r="G1864" s="408"/>
      <c r="H1864" s="408"/>
      <c r="I1864" s="408"/>
      <c r="J1864" s="408"/>
      <c r="K1864" s="408"/>
      <c r="L1864" s="408"/>
      <c r="M1864" s="408"/>
      <c r="N1864" s="408" t="str">
        <f t="shared" si="456"/>
        <v/>
      </c>
      <c r="O1864" s="408"/>
      <c r="P1864" s="408"/>
      <c r="Q1864" s="408"/>
      <c r="R1864" s="408"/>
      <c r="S1864" s="408"/>
      <c r="T1864" s="408"/>
      <c r="U1864" s="408"/>
      <c r="V1864" s="421"/>
      <c r="W1864" s="421"/>
      <c r="X1864" s="421"/>
      <c r="Y1864" s="421"/>
      <c r="Z1864" s="421"/>
      <c r="AA1864" s="421"/>
      <c r="AB1864" s="421"/>
      <c r="AC1864" s="421"/>
      <c r="AD1864" s="421"/>
      <c r="AE1864" s="421"/>
      <c r="AF1864" s="421"/>
      <c r="AG1864" s="421"/>
      <c r="AH1864" s="421"/>
      <c r="AI1864" s="421"/>
      <c r="AJ1864" s="421"/>
      <c r="AK1864" s="421"/>
      <c r="AL1864" s="421"/>
    </row>
    <row r="1865" spans="1:38" hidden="1">
      <c r="A1865" s="408"/>
      <c r="B1865" s="83" t="e">
        <f t="array" ref="B1865">SUM(--(FREQUENCY(IF(C$2:C$3072=C1865, MATCH(D$2:D$3072, D$2:D$3072, 0)), ROW(D$2:D$3072)-ROW(D$2)+1) &gt; 0))</f>
        <v>#N/A</v>
      </c>
      <c r="C1865" s="408"/>
      <c r="D1865" s="408"/>
      <c r="E1865" s="408"/>
      <c r="F1865" s="408"/>
      <c r="G1865" s="408"/>
      <c r="H1865" s="408"/>
      <c r="I1865" s="408"/>
      <c r="J1865" s="408"/>
      <c r="K1865" s="408"/>
      <c r="L1865" s="408"/>
      <c r="M1865" s="408"/>
      <c r="N1865" s="408" t="str">
        <f t="shared" si="456"/>
        <v/>
      </c>
      <c r="O1865" s="408"/>
      <c r="P1865" s="408"/>
      <c r="Q1865" s="408"/>
      <c r="R1865" s="408"/>
      <c r="S1865" s="408"/>
      <c r="T1865" s="408"/>
      <c r="U1865" s="408"/>
      <c r="V1865" s="421"/>
      <c r="W1865" s="421"/>
      <c r="X1865" s="421"/>
      <c r="Y1865" s="421"/>
      <c r="Z1865" s="421"/>
      <c r="AA1865" s="421"/>
      <c r="AB1865" s="421"/>
      <c r="AC1865" s="421"/>
      <c r="AD1865" s="421"/>
      <c r="AE1865" s="421"/>
      <c r="AF1865" s="421"/>
      <c r="AG1865" s="421"/>
      <c r="AH1865" s="421"/>
      <c r="AI1865" s="421"/>
      <c r="AJ1865" s="421"/>
      <c r="AK1865" s="421"/>
      <c r="AL1865" s="421"/>
    </row>
    <row r="1866" spans="1:38" hidden="1">
      <c r="A1866" s="408"/>
      <c r="B1866" s="83" t="e">
        <f t="array" ref="B1866">SUM(--(FREQUENCY(IF(C$2:C$3072=C1866, MATCH(D$2:D$3072, D$2:D$3072, 0)), ROW(D$2:D$3072)-ROW(D$2)+1) &gt; 0))</f>
        <v>#N/A</v>
      </c>
      <c r="C1866" s="408"/>
      <c r="D1866" s="408"/>
      <c r="E1866" s="408"/>
      <c r="F1866" s="408"/>
      <c r="G1866" s="408"/>
      <c r="H1866" s="408"/>
      <c r="I1866" s="408"/>
      <c r="J1866" s="408"/>
      <c r="K1866" s="408"/>
      <c r="L1866" s="408"/>
      <c r="M1866" s="408"/>
      <c r="N1866" s="408" t="str">
        <f t="shared" si="456"/>
        <v/>
      </c>
      <c r="O1866" s="408"/>
      <c r="P1866" s="408"/>
      <c r="Q1866" s="408"/>
      <c r="R1866" s="408"/>
      <c r="S1866" s="408"/>
      <c r="T1866" s="408"/>
      <c r="U1866" s="408"/>
      <c r="V1866" s="421"/>
      <c r="W1866" s="421"/>
      <c r="X1866" s="421"/>
      <c r="Y1866" s="421"/>
      <c r="Z1866" s="421"/>
      <c r="AA1866" s="421"/>
      <c r="AB1866" s="421"/>
      <c r="AC1866" s="421"/>
      <c r="AD1866" s="421"/>
      <c r="AE1866" s="421"/>
      <c r="AF1866" s="421"/>
      <c r="AG1866" s="421"/>
      <c r="AH1866" s="421"/>
      <c r="AI1866" s="421"/>
      <c r="AJ1866" s="421"/>
      <c r="AK1866" s="421"/>
      <c r="AL1866" s="421"/>
    </row>
    <row r="1867" spans="1:38" hidden="1">
      <c r="A1867" s="408"/>
      <c r="B1867" s="83" t="e">
        <f t="array" ref="B1867">SUM(--(FREQUENCY(IF(C$2:C$3072=C1867, MATCH(D$2:D$3072, D$2:D$3072, 0)), ROW(D$2:D$3072)-ROW(D$2)+1) &gt; 0))</f>
        <v>#N/A</v>
      </c>
      <c r="C1867" s="408"/>
      <c r="D1867" s="408"/>
      <c r="E1867" s="408"/>
      <c r="F1867" s="408"/>
      <c r="G1867" s="408"/>
      <c r="H1867" s="408"/>
      <c r="I1867" s="408"/>
      <c r="J1867" s="408"/>
      <c r="K1867" s="408"/>
      <c r="L1867" s="408"/>
      <c r="M1867" s="408"/>
      <c r="N1867" s="408" t="str">
        <f t="shared" si="456"/>
        <v/>
      </c>
      <c r="O1867" s="408"/>
      <c r="P1867" s="408"/>
      <c r="Q1867" s="408"/>
      <c r="R1867" s="408"/>
      <c r="S1867" s="408"/>
      <c r="T1867" s="408"/>
      <c r="U1867" s="408"/>
      <c r="V1867" s="421"/>
      <c r="W1867" s="421"/>
      <c r="X1867" s="421"/>
      <c r="Y1867" s="421"/>
      <c r="Z1867" s="421"/>
      <c r="AA1867" s="421"/>
      <c r="AB1867" s="421"/>
      <c r="AC1867" s="421"/>
      <c r="AD1867" s="421"/>
      <c r="AE1867" s="421"/>
      <c r="AF1867" s="421"/>
      <c r="AG1867" s="421"/>
      <c r="AH1867" s="421"/>
      <c r="AI1867" s="421"/>
      <c r="AJ1867" s="421"/>
      <c r="AK1867" s="421"/>
      <c r="AL1867" s="421"/>
    </row>
    <row r="1868" spans="1:38" hidden="1">
      <c r="A1868" s="408"/>
      <c r="B1868" s="83" t="e">
        <f t="array" ref="B1868">SUM(--(FREQUENCY(IF(C$2:C$3072=C1868, MATCH(D$2:D$3072, D$2:D$3072, 0)), ROW(D$2:D$3072)-ROW(D$2)+1) &gt; 0))</f>
        <v>#N/A</v>
      </c>
      <c r="C1868" s="408"/>
      <c r="D1868" s="408"/>
      <c r="E1868" s="408"/>
      <c r="F1868" s="408"/>
      <c r="G1868" s="408"/>
      <c r="H1868" s="408"/>
      <c r="I1868" s="408"/>
      <c r="J1868" s="408"/>
      <c r="K1868" s="408"/>
      <c r="L1868" s="408"/>
      <c r="M1868" s="408"/>
      <c r="N1868" s="408" t="str">
        <f t="shared" si="456"/>
        <v/>
      </c>
      <c r="O1868" s="408"/>
      <c r="P1868" s="408"/>
      <c r="Q1868" s="408"/>
      <c r="R1868" s="408"/>
      <c r="S1868" s="408"/>
      <c r="T1868" s="408"/>
      <c r="U1868" s="408"/>
      <c r="V1868" s="421"/>
      <c r="W1868" s="421"/>
      <c r="X1868" s="421"/>
      <c r="Y1868" s="421"/>
      <c r="Z1868" s="421"/>
      <c r="AA1868" s="421"/>
      <c r="AB1868" s="421"/>
      <c r="AC1868" s="421"/>
      <c r="AD1868" s="421"/>
      <c r="AE1868" s="421"/>
      <c r="AF1868" s="421"/>
      <c r="AG1868" s="421"/>
      <c r="AH1868" s="421"/>
      <c r="AI1868" s="421"/>
      <c r="AJ1868" s="421"/>
      <c r="AK1868" s="421"/>
      <c r="AL1868" s="421"/>
    </row>
    <row r="1869" spans="1:38" hidden="1">
      <c r="A1869" s="408"/>
      <c r="B1869" s="83" t="e">
        <f t="array" ref="B1869">SUM(--(FREQUENCY(IF(C$2:C$3072=C1869, MATCH(D$2:D$3072, D$2:D$3072, 0)), ROW(D$2:D$3072)-ROW(D$2)+1) &gt; 0))</f>
        <v>#N/A</v>
      </c>
      <c r="C1869" s="408"/>
      <c r="D1869" s="408"/>
      <c r="E1869" s="408"/>
      <c r="F1869" s="408"/>
      <c r="G1869" s="408"/>
      <c r="H1869" s="408"/>
      <c r="I1869" s="408"/>
      <c r="J1869" s="408"/>
      <c r="K1869" s="408"/>
      <c r="L1869" s="408"/>
      <c r="M1869" s="408"/>
      <c r="N1869" s="408" t="str">
        <f t="shared" si="456"/>
        <v/>
      </c>
      <c r="O1869" s="408"/>
      <c r="P1869" s="408"/>
      <c r="Q1869" s="408"/>
      <c r="R1869" s="408"/>
      <c r="S1869" s="408"/>
      <c r="T1869" s="408"/>
      <c r="U1869" s="408"/>
      <c r="V1869" s="421"/>
      <c r="W1869" s="421"/>
      <c r="X1869" s="421"/>
      <c r="Y1869" s="421"/>
      <c r="Z1869" s="421"/>
      <c r="AA1869" s="421"/>
      <c r="AB1869" s="421"/>
      <c r="AC1869" s="421"/>
      <c r="AD1869" s="421"/>
      <c r="AE1869" s="421"/>
      <c r="AF1869" s="421"/>
      <c r="AG1869" s="421"/>
      <c r="AH1869" s="421"/>
      <c r="AI1869" s="421"/>
      <c r="AJ1869" s="421"/>
      <c r="AK1869" s="421"/>
      <c r="AL1869" s="421"/>
    </row>
    <row r="1870" spans="1:38" hidden="1">
      <c r="A1870" s="408"/>
      <c r="B1870" s="83" t="e">
        <f t="array" ref="B1870">SUM(--(FREQUENCY(IF(C$2:C$3072=C1870, MATCH(D$2:D$3072, D$2:D$3072, 0)), ROW(D$2:D$3072)-ROW(D$2)+1) &gt; 0))</f>
        <v>#N/A</v>
      </c>
      <c r="C1870" s="408"/>
      <c r="D1870" s="408"/>
      <c r="E1870" s="408"/>
      <c r="F1870" s="408"/>
      <c r="G1870" s="408"/>
      <c r="H1870" s="408"/>
      <c r="I1870" s="408"/>
      <c r="J1870" s="408"/>
      <c r="K1870" s="408"/>
      <c r="L1870" s="408"/>
      <c r="M1870" s="408"/>
      <c r="N1870" s="408" t="str">
        <f t="shared" si="456"/>
        <v/>
      </c>
      <c r="O1870" s="408"/>
      <c r="P1870" s="408"/>
      <c r="Q1870" s="408"/>
      <c r="R1870" s="408"/>
      <c r="S1870" s="408"/>
      <c r="T1870" s="408"/>
      <c r="U1870" s="408"/>
      <c r="V1870" s="421"/>
      <c r="W1870" s="421"/>
      <c r="X1870" s="421"/>
      <c r="Y1870" s="421"/>
      <c r="Z1870" s="421"/>
      <c r="AA1870" s="421"/>
      <c r="AB1870" s="421"/>
      <c r="AC1870" s="421"/>
      <c r="AD1870" s="421"/>
      <c r="AE1870" s="421"/>
      <c r="AF1870" s="421"/>
      <c r="AG1870" s="421"/>
      <c r="AH1870" s="421"/>
      <c r="AI1870" s="421"/>
      <c r="AJ1870" s="421"/>
      <c r="AK1870" s="421"/>
      <c r="AL1870" s="421"/>
    </row>
    <row r="1871" spans="1:38" hidden="1">
      <c r="A1871" s="408"/>
      <c r="B1871" s="83" t="e">
        <f t="array" ref="B1871">SUM(--(FREQUENCY(IF(C$2:C$3072=C1871, MATCH(D$2:D$3072, D$2:D$3072, 0)), ROW(D$2:D$3072)-ROW(D$2)+1) &gt; 0))</f>
        <v>#N/A</v>
      </c>
      <c r="C1871" s="408"/>
      <c r="D1871" s="408"/>
      <c r="E1871" s="408"/>
      <c r="F1871" s="408"/>
      <c r="G1871" s="408"/>
      <c r="H1871" s="408"/>
      <c r="I1871" s="408"/>
      <c r="J1871" s="408"/>
      <c r="K1871" s="408"/>
      <c r="L1871" s="408"/>
      <c r="M1871" s="408"/>
      <c r="N1871" s="408" t="str">
        <f t="shared" si="456"/>
        <v/>
      </c>
      <c r="O1871" s="408"/>
      <c r="P1871" s="408"/>
      <c r="Q1871" s="408"/>
      <c r="R1871" s="408"/>
      <c r="S1871" s="408"/>
      <c r="T1871" s="408"/>
      <c r="U1871" s="408"/>
      <c r="V1871" s="421"/>
      <c r="W1871" s="421"/>
      <c r="X1871" s="421"/>
      <c r="Y1871" s="421"/>
      <c r="Z1871" s="421"/>
      <c r="AA1871" s="421"/>
      <c r="AB1871" s="421"/>
      <c r="AC1871" s="421"/>
      <c r="AD1871" s="421"/>
      <c r="AE1871" s="421"/>
      <c r="AF1871" s="421"/>
      <c r="AG1871" s="421"/>
      <c r="AH1871" s="421"/>
      <c r="AI1871" s="421"/>
      <c r="AJ1871" s="421"/>
      <c r="AK1871" s="421"/>
      <c r="AL1871" s="421"/>
    </row>
    <row r="1872" spans="1:38" hidden="1">
      <c r="A1872" s="408"/>
      <c r="B1872" s="83" t="e">
        <f t="array" ref="B1872">SUM(--(FREQUENCY(IF(C$2:C$3072=C1872, MATCH(D$2:D$3072, D$2:D$3072, 0)), ROW(D$2:D$3072)-ROW(D$2)+1) &gt; 0))</f>
        <v>#N/A</v>
      </c>
      <c r="C1872" s="408"/>
      <c r="D1872" s="408"/>
      <c r="E1872" s="408"/>
      <c r="F1872" s="408"/>
      <c r="G1872" s="408"/>
      <c r="H1872" s="408"/>
      <c r="I1872" s="408"/>
      <c r="J1872" s="408"/>
      <c r="K1872" s="408"/>
      <c r="L1872" s="408"/>
      <c r="M1872" s="408"/>
      <c r="N1872" s="408" t="str">
        <f t="shared" si="456"/>
        <v/>
      </c>
      <c r="O1872" s="408"/>
      <c r="P1872" s="408"/>
      <c r="Q1872" s="408"/>
      <c r="R1872" s="408"/>
      <c r="S1872" s="408"/>
      <c r="T1872" s="408"/>
      <c r="U1872" s="408"/>
      <c r="V1872" s="421"/>
      <c r="W1872" s="421"/>
      <c r="X1872" s="421"/>
      <c r="Y1872" s="421"/>
      <c r="Z1872" s="421"/>
      <c r="AA1872" s="421"/>
      <c r="AB1872" s="421"/>
      <c r="AC1872" s="421"/>
      <c r="AD1872" s="421"/>
      <c r="AE1872" s="421"/>
      <c r="AF1872" s="421"/>
      <c r="AG1872" s="421"/>
      <c r="AH1872" s="421"/>
      <c r="AI1872" s="421"/>
      <c r="AJ1872" s="421"/>
      <c r="AK1872" s="421"/>
      <c r="AL1872" s="421"/>
    </row>
    <row r="1873" spans="1:38" hidden="1">
      <c r="A1873" s="408"/>
      <c r="B1873" s="83" t="e">
        <f t="array" ref="B1873">SUM(--(FREQUENCY(IF(C$2:C$3072=C1873, MATCH(D$2:D$3072, D$2:D$3072, 0)), ROW(D$2:D$3072)-ROW(D$2)+1) &gt; 0))</f>
        <v>#N/A</v>
      </c>
      <c r="C1873" s="408"/>
      <c r="D1873" s="408"/>
      <c r="E1873" s="408"/>
      <c r="F1873" s="408"/>
      <c r="G1873" s="408"/>
      <c r="H1873" s="408"/>
      <c r="I1873" s="408"/>
      <c r="J1873" s="408"/>
      <c r="K1873" s="408"/>
      <c r="L1873" s="408"/>
      <c r="M1873" s="408"/>
      <c r="N1873" s="408" t="str">
        <f t="shared" si="456"/>
        <v/>
      </c>
      <c r="O1873" s="408"/>
      <c r="P1873" s="408"/>
      <c r="Q1873" s="408"/>
      <c r="R1873" s="408"/>
      <c r="S1873" s="408"/>
      <c r="T1873" s="408"/>
      <c r="U1873" s="408"/>
      <c r="V1873" s="421"/>
      <c r="W1873" s="421"/>
      <c r="X1873" s="421"/>
      <c r="Y1873" s="421"/>
      <c r="Z1873" s="421"/>
      <c r="AA1873" s="421"/>
      <c r="AB1873" s="421"/>
      <c r="AC1873" s="421"/>
      <c r="AD1873" s="421"/>
      <c r="AE1873" s="421"/>
      <c r="AF1873" s="421"/>
      <c r="AG1873" s="421"/>
      <c r="AH1873" s="421"/>
      <c r="AI1873" s="421"/>
      <c r="AJ1873" s="421"/>
      <c r="AK1873" s="421"/>
      <c r="AL1873" s="421"/>
    </row>
    <row r="1874" spans="1:38" hidden="1">
      <c r="A1874" s="408"/>
      <c r="B1874" s="83" t="e">
        <f t="array" ref="B1874">SUM(--(FREQUENCY(IF(C$2:C$3072=C1874, MATCH(D$2:D$3072, D$2:D$3072, 0)), ROW(D$2:D$3072)-ROW(D$2)+1) &gt; 0))</f>
        <v>#N/A</v>
      </c>
      <c r="C1874" s="408"/>
      <c r="D1874" s="408"/>
      <c r="E1874" s="408"/>
      <c r="F1874" s="408"/>
      <c r="G1874" s="408"/>
      <c r="H1874" s="408"/>
      <c r="I1874" s="408"/>
      <c r="J1874" s="408"/>
      <c r="K1874" s="408"/>
      <c r="L1874" s="408"/>
      <c r="M1874" s="408"/>
      <c r="N1874" s="408" t="str">
        <f t="shared" si="456"/>
        <v/>
      </c>
      <c r="O1874" s="408"/>
      <c r="P1874" s="408"/>
      <c r="Q1874" s="408"/>
      <c r="R1874" s="408"/>
      <c r="S1874" s="408"/>
      <c r="T1874" s="408"/>
      <c r="U1874" s="408"/>
      <c r="V1874" s="421"/>
      <c r="W1874" s="421"/>
      <c r="X1874" s="421"/>
      <c r="Y1874" s="421"/>
      <c r="Z1874" s="421"/>
      <c r="AA1874" s="421"/>
      <c r="AB1874" s="421"/>
      <c r="AC1874" s="421"/>
      <c r="AD1874" s="421"/>
      <c r="AE1874" s="421"/>
      <c r="AF1874" s="421"/>
      <c r="AG1874" s="421"/>
      <c r="AH1874" s="421"/>
      <c r="AI1874" s="421"/>
      <c r="AJ1874" s="421"/>
      <c r="AK1874" s="421"/>
      <c r="AL1874" s="421"/>
    </row>
    <row r="1875" spans="1:38" hidden="1">
      <c r="A1875" s="408"/>
      <c r="B1875" s="83" t="e">
        <f t="array" ref="B1875">SUM(--(FREQUENCY(IF(C$2:C$3072=C1875, MATCH(D$2:D$3072, D$2:D$3072, 0)), ROW(D$2:D$3072)-ROW(D$2)+1) &gt; 0))</f>
        <v>#N/A</v>
      </c>
      <c r="C1875" s="408"/>
      <c r="D1875" s="408"/>
      <c r="E1875" s="408"/>
      <c r="F1875" s="408"/>
      <c r="G1875" s="408"/>
      <c r="H1875" s="408"/>
      <c r="I1875" s="408"/>
      <c r="J1875" s="408"/>
      <c r="K1875" s="408"/>
      <c r="L1875" s="408"/>
      <c r="M1875" s="408"/>
      <c r="N1875" s="408" t="str">
        <f t="shared" si="456"/>
        <v/>
      </c>
      <c r="O1875" s="408"/>
      <c r="P1875" s="408"/>
      <c r="Q1875" s="408"/>
      <c r="R1875" s="408"/>
      <c r="S1875" s="408"/>
      <c r="T1875" s="408"/>
      <c r="U1875" s="408"/>
      <c r="V1875" s="421"/>
      <c r="W1875" s="421"/>
      <c r="X1875" s="421"/>
      <c r="Y1875" s="421"/>
      <c r="Z1875" s="421"/>
      <c r="AA1875" s="421"/>
      <c r="AB1875" s="421"/>
      <c r="AC1875" s="421"/>
      <c r="AD1875" s="421"/>
      <c r="AE1875" s="421"/>
      <c r="AF1875" s="421"/>
      <c r="AG1875" s="421"/>
      <c r="AH1875" s="421"/>
      <c r="AI1875" s="421"/>
      <c r="AJ1875" s="421"/>
      <c r="AK1875" s="421"/>
      <c r="AL1875" s="421"/>
    </row>
    <row r="1876" spans="1:38" hidden="1">
      <c r="A1876" s="408"/>
      <c r="B1876" s="83" t="e">
        <f t="array" ref="B1876">SUM(--(FREQUENCY(IF(C$2:C$3072=C1876, MATCH(D$2:D$3072, D$2:D$3072, 0)), ROW(D$2:D$3072)-ROW(D$2)+1) &gt; 0))</f>
        <v>#N/A</v>
      </c>
      <c r="C1876" s="408"/>
      <c r="D1876" s="408"/>
      <c r="E1876" s="408"/>
      <c r="F1876" s="408"/>
      <c r="G1876" s="408"/>
      <c r="H1876" s="408"/>
      <c r="I1876" s="408"/>
      <c r="J1876" s="408"/>
      <c r="K1876" s="408"/>
      <c r="L1876" s="408"/>
      <c r="M1876" s="408"/>
      <c r="N1876" s="408" t="str">
        <f t="shared" si="456"/>
        <v/>
      </c>
      <c r="O1876" s="408"/>
      <c r="P1876" s="408"/>
      <c r="Q1876" s="408"/>
      <c r="R1876" s="408"/>
      <c r="S1876" s="408"/>
      <c r="T1876" s="408"/>
      <c r="U1876" s="408"/>
      <c r="V1876" s="421"/>
      <c r="W1876" s="421"/>
      <c r="X1876" s="421"/>
      <c r="Y1876" s="421"/>
      <c r="Z1876" s="421"/>
      <c r="AA1876" s="421"/>
      <c r="AB1876" s="421"/>
      <c r="AC1876" s="421"/>
      <c r="AD1876" s="421"/>
      <c r="AE1876" s="421"/>
      <c r="AF1876" s="421"/>
      <c r="AG1876" s="421"/>
      <c r="AH1876" s="421"/>
      <c r="AI1876" s="421"/>
      <c r="AJ1876" s="421"/>
      <c r="AK1876" s="421"/>
      <c r="AL1876" s="421"/>
    </row>
    <row r="1877" spans="1:38" hidden="1">
      <c r="A1877" s="408"/>
      <c r="B1877" s="83" t="e">
        <f t="array" ref="B1877">SUM(--(FREQUENCY(IF(C$2:C$3072=C1877, MATCH(D$2:D$3072, D$2:D$3072, 0)), ROW(D$2:D$3072)-ROW(D$2)+1) &gt; 0))</f>
        <v>#N/A</v>
      </c>
      <c r="C1877" s="408"/>
      <c r="D1877" s="408"/>
      <c r="E1877" s="408"/>
      <c r="F1877" s="408"/>
      <c r="G1877" s="408"/>
      <c r="H1877" s="408"/>
      <c r="I1877" s="408"/>
      <c r="J1877" s="408"/>
      <c r="K1877" s="408"/>
      <c r="L1877" s="408"/>
      <c r="M1877" s="408"/>
      <c r="N1877" s="408" t="str">
        <f t="shared" si="456"/>
        <v/>
      </c>
      <c r="O1877" s="408"/>
      <c r="P1877" s="408"/>
      <c r="Q1877" s="408"/>
      <c r="R1877" s="408"/>
      <c r="S1877" s="408"/>
      <c r="T1877" s="408"/>
      <c r="U1877" s="408"/>
      <c r="V1877" s="421"/>
      <c r="W1877" s="421"/>
      <c r="X1877" s="421"/>
      <c r="Y1877" s="421"/>
      <c r="Z1877" s="421"/>
      <c r="AA1877" s="421"/>
      <c r="AB1877" s="421"/>
      <c r="AC1877" s="421"/>
      <c r="AD1877" s="421"/>
      <c r="AE1877" s="421"/>
      <c r="AF1877" s="421"/>
      <c r="AG1877" s="421"/>
      <c r="AH1877" s="421"/>
      <c r="AI1877" s="421"/>
      <c r="AJ1877" s="421"/>
      <c r="AK1877" s="421"/>
      <c r="AL1877" s="421"/>
    </row>
    <row r="1878" spans="1:38" hidden="1">
      <c r="A1878" s="408"/>
      <c r="B1878" s="83" t="e">
        <f t="array" ref="B1878">SUM(--(FREQUENCY(IF(C$2:C$3072=C1878, MATCH(D$2:D$3072, D$2:D$3072, 0)), ROW(D$2:D$3072)-ROW(D$2)+1) &gt; 0))</f>
        <v>#N/A</v>
      </c>
      <c r="C1878" s="408"/>
      <c r="D1878" s="408"/>
      <c r="E1878" s="408"/>
      <c r="F1878" s="408"/>
      <c r="G1878" s="408"/>
      <c r="H1878" s="408"/>
      <c r="I1878" s="408"/>
      <c r="J1878" s="408"/>
      <c r="K1878" s="408"/>
      <c r="L1878" s="408"/>
      <c r="M1878" s="408"/>
      <c r="N1878" s="408" t="str">
        <f t="shared" si="456"/>
        <v/>
      </c>
      <c r="O1878" s="408"/>
      <c r="P1878" s="408"/>
      <c r="Q1878" s="408"/>
      <c r="R1878" s="408"/>
      <c r="S1878" s="408"/>
      <c r="T1878" s="408"/>
      <c r="U1878" s="408"/>
      <c r="V1878" s="421"/>
      <c r="W1878" s="421"/>
      <c r="X1878" s="421"/>
      <c r="Y1878" s="421"/>
      <c r="Z1878" s="421"/>
      <c r="AA1878" s="421"/>
      <c r="AB1878" s="421"/>
      <c r="AC1878" s="421"/>
      <c r="AD1878" s="421"/>
      <c r="AE1878" s="421"/>
      <c r="AF1878" s="421"/>
      <c r="AG1878" s="421"/>
      <c r="AH1878" s="421"/>
      <c r="AI1878" s="421"/>
      <c r="AJ1878" s="421"/>
      <c r="AK1878" s="421"/>
      <c r="AL1878" s="421"/>
    </row>
    <row r="1879" spans="1:38" hidden="1">
      <c r="A1879" s="408"/>
      <c r="B1879" s="83" t="e">
        <f t="array" ref="B1879">SUM(--(FREQUENCY(IF(C$2:C$3072=C1879, MATCH(D$2:D$3072, D$2:D$3072, 0)), ROW(D$2:D$3072)-ROW(D$2)+1) &gt; 0))</f>
        <v>#N/A</v>
      </c>
      <c r="C1879" s="408"/>
      <c r="D1879" s="408"/>
      <c r="E1879" s="408"/>
      <c r="F1879" s="408"/>
      <c r="G1879" s="408"/>
      <c r="H1879" s="408"/>
      <c r="I1879" s="408"/>
      <c r="J1879" s="408"/>
      <c r="K1879" s="408"/>
      <c r="L1879" s="408"/>
      <c r="M1879" s="408"/>
      <c r="N1879" s="408" t="str">
        <f t="shared" si="456"/>
        <v/>
      </c>
      <c r="O1879" s="408"/>
      <c r="P1879" s="408"/>
      <c r="Q1879" s="408"/>
      <c r="R1879" s="408"/>
      <c r="S1879" s="408"/>
      <c r="T1879" s="408"/>
      <c r="U1879" s="408"/>
      <c r="V1879" s="421"/>
      <c r="W1879" s="421"/>
      <c r="X1879" s="421"/>
      <c r="Y1879" s="421"/>
      <c r="Z1879" s="421"/>
      <c r="AA1879" s="421"/>
      <c r="AB1879" s="421"/>
      <c r="AC1879" s="421"/>
      <c r="AD1879" s="421"/>
      <c r="AE1879" s="421"/>
      <c r="AF1879" s="421"/>
      <c r="AG1879" s="421"/>
      <c r="AH1879" s="421"/>
      <c r="AI1879" s="421"/>
      <c r="AJ1879" s="421"/>
      <c r="AK1879" s="421"/>
      <c r="AL1879" s="421"/>
    </row>
    <row r="1880" spans="1:38" hidden="1">
      <c r="A1880" s="408"/>
      <c r="B1880" s="83" t="e">
        <f t="array" ref="B1880">SUM(--(FREQUENCY(IF(C$2:C$3072=C1880, MATCH(D$2:D$3072, D$2:D$3072, 0)), ROW(D$2:D$3072)-ROW(D$2)+1) &gt; 0))</f>
        <v>#N/A</v>
      </c>
      <c r="C1880" s="408"/>
      <c r="D1880" s="408"/>
      <c r="E1880" s="408"/>
      <c r="F1880" s="408"/>
      <c r="G1880" s="408"/>
      <c r="H1880" s="408"/>
      <c r="I1880" s="408"/>
      <c r="J1880" s="408"/>
      <c r="K1880" s="408"/>
      <c r="L1880" s="408"/>
      <c r="M1880" s="408"/>
      <c r="N1880" s="408" t="str">
        <f t="shared" si="456"/>
        <v/>
      </c>
      <c r="O1880" s="408"/>
      <c r="P1880" s="408"/>
      <c r="Q1880" s="408"/>
      <c r="R1880" s="408"/>
      <c r="S1880" s="408"/>
      <c r="T1880" s="408"/>
      <c r="U1880" s="408"/>
      <c r="V1880" s="421"/>
      <c r="W1880" s="421"/>
      <c r="X1880" s="421"/>
      <c r="Y1880" s="421"/>
      <c r="Z1880" s="421"/>
      <c r="AA1880" s="421"/>
      <c r="AB1880" s="421"/>
      <c r="AC1880" s="421"/>
      <c r="AD1880" s="421"/>
      <c r="AE1880" s="421"/>
      <c r="AF1880" s="421"/>
      <c r="AG1880" s="421"/>
      <c r="AH1880" s="421"/>
      <c r="AI1880" s="421"/>
      <c r="AJ1880" s="421"/>
      <c r="AK1880" s="421"/>
      <c r="AL1880" s="421"/>
    </row>
    <row r="1881" spans="1:38" hidden="1">
      <c r="A1881" s="408"/>
      <c r="B1881" s="83" t="e">
        <f t="array" ref="B1881">SUM(--(FREQUENCY(IF(C$2:C$3072=C1881, MATCH(D$2:D$3072, D$2:D$3072, 0)), ROW(D$2:D$3072)-ROW(D$2)+1) &gt; 0))</f>
        <v>#N/A</v>
      </c>
      <c r="C1881" s="408"/>
      <c r="D1881" s="408"/>
      <c r="E1881" s="408"/>
      <c r="F1881" s="408"/>
      <c r="G1881" s="408"/>
      <c r="H1881" s="408"/>
      <c r="I1881" s="408"/>
      <c r="J1881" s="408"/>
      <c r="K1881" s="408"/>
      <c r="L1881" s="408"/>
      <c r="M1881" s="408"/>
      <c r="N1881" s="408" t="str">
        <f t="shared" si="456"/>
        <v/>
      </c>
      <c r="O1881" s="408"/>
      <c r="P1881" s="408"/>
      <c r="Q1881" s="408"/>
      <c r="R1881" s="408"/>
      <c r="S1881" s="408"/>
      <c r="T1881" s="408"/>
      <c r="U1881" s="408"/>
      <c r="V1881" s="421"/>
      <c r="W1881" s="421"/>
      <c r="X1881" s="421"/>
      <c r="Y1881" s="421"/>
      <c r="Z1881" s="421"/>
      <c r="AA1881" s="421"/>
      <c r="AB1881" s="421"/>
      <c r="AC1881" s="421"/>
      <c r="AD1881" s="421"/>
      <c r="AE1881" s="421"/>
      <c r="AF1881" s="421"/>
      <c r="AG1881" s="421"/>
      <c r="AH1881" s="421"/>
      <c r="AI1881" s="421"/>
      <c r="AJ1881" s="421"/>
      <c r="AK1881" s="421"/>
      <c r="AL1881" s="421"/>
    </row>
    <row r="1882" spans="1:38" hidden="1">
      <c r="A1882" s="408"/>
      <c r="B1882" s="83" t="e">
        <f t="array" ref="B1882">SUM(--(FREQUENCY(IF(C$2:C$3072=C1882, MATCH(D$2:D$3072, D$2:D$3072, 0)), ROW(D$2:D$3072)-ROW(D$2)+1) &gt; 0))</f>
        <v>#N/A</v>
      </c>
      <c r="C1882" s="408"/>
      <c r="D1882" s="408"/>
      <c r="E1882" s="408"/>
      <c r="F1882" s="408"/>
      <c r="G1882" s="408"/>
      <c r="H1882" s="408"/>
      <c r="I1882" s="408"/>
      <c r="J1882" s="408"/>
      <c r="K1882" s="408"/>
      <c r="L1882" s="408"/>
      <c r="M1882" s="408"/>
      <c r="N1882" s="408" t="str">
        <f t="shared" si="456"/>
        <v/>
      </c>
      <c r="O1882" s="408"/>
      <c r="P1882" s="408"/>
      <c r="Q1882" s="408"/>
      <c r="R1882" s="408"/>
      <c r="S1882" s="408"/>
      <c r="T1882" s="408"/>
      <c r="U1882" s="408"/>
      <c r="V1882" s="421"/>
      <c r="W1882" s="421"/>
      <c r="X1882" s="421"/>
      <c r="Y1882" s="421"/>
      <c r="Z1882" s="421"/>
      <c r="AA1882" s="421"/>
      <c r="AB1882" s="421"/>
      <c r="AC1882" s="421"/>
      <c r="AD1882" s="421"/>
      <c r="AE1882" s="421"/>
      <c r="AF1882" s="421"/>
      <c r="AG1882" s="421"/>
      <c r="AH1882" s="421"/>
      <c r="AI1882" s="421"/>
      <c r="AJ1882" s="421"/>
      <c r="AK1882" s="421"/>
      <c r="AL1882" s="421"/>
    </row>
    <row r="1883" spans="1:38" hidden="1">
      <c r="A1883" s="408"/>
      <c r="B1883" s="83" t="e">
        <f t="array" ref="B1883">SUM(--(FREQUENCY(IF(C$2:C$3072=C1883, MATCH(D$2:D$3072, D$2:D$3072, 0)), ROW(D$2:D$3072)-ROW(D$2)+1) &gt; 0))</f>
        <v>#N/A</v>
      </c>
      <c r="C1883" s="408"/>
      <c r="D1883" s="408"/>
      <c r="E1883" s="408"/>
      <c r="F1883" s="408"/>
      <c r="G1883" s="408"/>
      <c r="H1883" s="408"/>
      <c r="I1883" s="408"/>
      <c r="J1883" s="408"/>
      <c r="K1883" s="408"/>
      <c r="L1883" s="408"/>
      <c r="M1883" s="408"/>
      <c r="N1883" s="408" t="str">
        <f t="shared" si="456"/>
        <v/>
      </c>
      <c r="O1883" s="408"/>
      <c r="P1883" s="408"/>
      <c r="Q1883" s="408"/>
      <c r="R1883" s="408"/>
      <c r="S1883" s="408"/>
      <c r="T1883" s="408"/>
      <c r="U1883" s="408"/>
      <c r="V1883" s="421"/>
      <c r="W1883" s="421"/>
      <c r="X1883" s="421"/>
      <c r="Y1883" s="421"/>
      <c r="Z1883" s="421"/>
      <c r="AA1883" s="421"/>
      <c r="AB1883" s="421"/>
      <c r="AC1883" s="421"/>
      <c r="AD1883" s="421"/>
      <c r="AE1883" s="421"/>
      <c r="AF1883" s="421"/>
      <c r="AG1883" s="421"/>
      <c r="AH1883" s="421"/>
      <c r="AI1883" s="421"/>
      <c r="AJ1883" s="421"/>
      <c r="AK1883" s="421"/>
      <c r="AL1883" s="421"/>
    </row>
    <row r="1884" spans="1:38" hidden="1">
      <c r="A1884" s="408"/>
      <c r="B1884" s="83" t="e">
        <f t="array" ref="B1884">SUM(--(FREQUENCY(IF(C$2:C$3072=C1884, MATCH(D$2:D$3072, D$2:D$3072, 0)), ROW(D$2:D$3072)-ROW(D$2)+1) &gt; 0))</f>
        <v>#N/A</v>
      </c>
      <c r="C1884" s="408"/>
      <c r="D1884" s="408"/>
      <c r="E1884" s="408"/>
      <c r="F1884" s="408"/>
      <c r="G1884" s="408"/>
      <c r="H1884" s="408"/>
      <c r="I1884" s="408"/>
      <c r="J1884" s="408"/>
      <c r="K1884" s="408"/>
      <c r="L1884" s="408"/>
      <c r="M1884" s="408"/>
      <c r="N1884" s="408" t="str">
        <f t="shared" si="456"/>
        <v/>
      </c>
      <c r="O1884" s="408"/>
      <c r="P1884" s="408"/>
      <c r="Q1884" s="408"/>
      <c r="R1884" s="408"/>
      <c r="S1884" s="408"/>
      <c r="T1884" s="408"/>
      <c r="U1884" s="408"/>
      <c r="V1884" s="421"/>
      <c r="W1884" s="421"/>
      <c r="X1884" s="421"/>
      <c r="Y1884" s="421"/>
      <c r="Z1884" s="421"/>
      <c r="AA1884" s="421"/>
      <c r="AB1884" s="421"/>
      <c r="AC1884" s="421"/>
      <c r="AD1884" s="421"/>
      <c r="AE1884" s="421"/>
      <c r="AF1884" s="421"/>
      <c r="AG1884" s="421"/>
      <c r="AH1884" s="421"/>
      <c r="AI1884" s="421"/>
      <c r="AJ1884" s="421"/>
      <c r="AK1884" s="421"/>
      <c r="AL1884" s="421"/>
    </row>
    <row r="1885" spans="1:38" hidden="1">
      <c r="A1885" s="408"/>
      <c r="B1885" s="83" t="e">
        <f t="array" ref="B1885">SUM(--(FREQUENCY(IF(C$2:C$3072=C1885, MATCH(D$2:D$3072, D$2:D$3072, 0)), ROW(D$2:D$3072)-ROW(D$2)+1) &gt; 0))</f>
        <v>#N/A</v>
      </c>
      <c r="C1885" s="408"/>
      <c r="D1885" s="408"/>
      <c r="E1885" s="408"/>
      <c r="F1885" s="408"/>
      <c r="G1885" s="408"/>
      <c r="H1885" s="408"/>
      <c r="I1885" s="408"/>
      <c r="J1885" s="408"/>
      <c r="K1885" s="408"/>
      <c r="L1885" s="408"/>
      <c r="M1885" s="408"/>
      <c r="N1885" s="408" t="str">
        <f t="shared" si="456"/>
        <v/>
      </c>
      <c r="O1885" s="408"/>
      <c r="P1885" s="408"/>
      <c r="Q1885" s="408"/>
      <c r="R1885" s="408"/>
      <c r="S1885" s="408"/>
      <c r="T1885" s="408"/>
      <c r="U1885" s="408"/>
      <c r="V1885" s="421"/>
      <c r="W1885" s="421"/>
      <c r="X1885" s="421"/>
      <c r="Y1885" s="421"/>
      <c r="Z1885" s="421"/>
      <c r="AA1885" s="421"/>
      <c r="AB1885" s="421"/>
      <c r="AC1885" s="421"/>
      <c r="AD1885" s="421"/>
      <c r="AE1885" s="421"/>
      <c r="AF1885" s="421"/>
      <c r="AG1885" s="421"/>
      <c r="AH1885" s="421"/>
      <c r="AI1885" s="421"/>
      <c r="AJ1885" s="421"/>
      <c r="AK1885" s="421"/>
      <c r="AL1885" s="421"/>
    </row>
    <row r="1886" spans="1:38" hidden="1">
      <c r="A1886" s="408"/>
      <c r="B1886" s="83" t="e">
        <f t="array" ref="B1886">SUM(--(FREQUENCY(IF(C$2:C$3072=C1886, MATCH(D$2:D$3072, D$2:D$3072, 0)), ROW(D$2:D$3072)-ROW(D$2)+1) &gt; 0))</f>
        <v>#N/A</v>
      </c>
      <c r="C1886" s="408"/>
      <c r="D1886" s="408"/>
      <c r="E1886" s="408"/>
      <c r="F1886" s="408"/>
      <c r="G1886" s="408"/>
      <c r="H1886" s="408"/>
      <c r="I1886" s="408"/>
      <c r="J1886" s="408"/>
      <c r="K1886" s="408"/>
      <c r="L1886" s="408"/>
      <c r="M1886" s="408"/>
      <c r="N1886" s="408" t="str">
        <f t="shared" si="456"/>
        <v/>
      </c>
      <c r="O1886" s="408"/>
      <c r="P1886" s="408"/>
      <c r="Q1886" s="408"/>
      <c r="R1886" s="408"/>
      <c r="S1886" s="408"/>
      <c r="T1886" s="408"/>
      <c r="U1886" s="408"/>
      <c r="V1886" s="421"/>
      <c r="W1886" s="421"/>
      <c r="X1886" s="421"/>
      <c r="Y1886" s="421"/>
      <c r="Z1886" s="421"/>
      <c r="AA1886" s="421"/>
      <c r="AB1886" s="421"/>
      <c r="AC1886" s="421"/>
      <c r="AD1886" s="421"/>
      <c r="AE1886" s="421"/>
      <c r="AF1886" s="421"/>
      <c r="AG1886" s="421"/>
      <c r="AH1886" s="421"/>
      <c r="AI1886" s="421"/>
      <c r="AJ1886" s="421"/>
      <c r="AK1886" s="421"/>
      <c r="AL1886" s="421"/>
    </row>
    <row r="1887" spans="1:38" hidden="1">
      <c r="A1887" s="408"/>
      <c r="B1887" s="83" t="e">
        <f t="array" ref="B1887">SUM(--(FREQUENCY(IF(C$2:C$3072=C1887, MATCH(D$2:D$3072, D$2:D$3072, 0)), ROW(D$2:D$3072)-ROW(D$2)+1) &gt; 0))</f>
        <v>#N/A</v>
      </c>
      <c r="C1887" s="408"/>
      <c r="D1887" s="408"/>
      <c r="E1887" s="408"/>
      <c r="F1887" s="408"/>
      <c r="G1887" s="408"/>
      <c r="H1887" s="408"/>
      <c r="I1887" s="408"/>
      <c r="J1887" s="408"/>
      <c r="K1887" s="408"/>
      <c r="L1887" s="408"/>
      <c r="M1887" s="408"/>
      <c r="N1887" s="408" t="str">
        <f t="shared" si="456"/>
        <v/>
      </c>
      <c r="O1887" s="408"/>
      <c r="P1887" s="408"/>
      <c r="Q1887" s="408"/>
      <c r="R1887" s="408"/>
      <c r="S1887" s="408"/>
      <c r="T1887" s="408"/>
      <c r="U1887" s="408"/>
      <c r="V1887" s="421"/>
      <c r="W1887" s="421"/>
      <c r="X1887" s="421"/>
      <c r="Y1887" s="421"/>
      <c r="Z1887" s="421"/>
      <c r="AA1887" s="421"/>
      <c r="AB1887" s="421"/>
      <c r="AC1887" s="421"/>
      <c r="AD1887" s="421"/>
      <c r="AE1887" s="421"/>
      <c r="AF1887" s="421"/>
      <c r="AG1887" s="421"/>
      <c r="AH1887" s="421"/>
      <c r="AI1887" s="421"/>
      <c r="AJ1887" s="421"/>
      <c r="AK1887" s="421"/>
      <c r="AL1887" s="421"/>
    </row>
    <row r="1888" spans="1:38" hidden="1">
      <c r="A1888" s="408"/>
      <c r="B1888" s="83" t="e">
        <f t="array" ref="B1888">SUM(--(FREQUENCY(IF(C$2:C$3072=C1888, MATCH(D$2:D$3072, D$2:D$3072, 0)), ROW(D$2:D$3072)-ROW(D$2)+1) &gt; 0))</f>
        <v>#N/A</v>
      </c>
      <c r="C1888" s="408"/>
      <c r="D1888" s="408"/>
      <c r="E1888" s="408"/>
      <c r="F1888" s="408"/>
      <c r="G1888" s="408"/>
      <c r="H1888" s="408"/>
      <c r="I1888" s="408"/>
      <c r="J1888" s="408"/>
      <c r="K1888" s="408"/>
      <c r="L1888" s="408"/>
      <c r="M1888" s="408"/>
      <c r="N1888" s="408" t="str">
        <f t="shared" si="456"/>
        <v/>
      </c>
      <c r="O1888" s="408"/>
      <c r="P1888" s="408"/>
      <c r="Q1888" s="408"/>
      <c r="R1888" s="408"/>
      <c r="S1888" s="408"/>
      <c r="T1888" s="408"/>
      <c r="U1888" s="408"/>
      <c r="V1888" s="421"/>
      <c r="W1888" s="421"/>
      <c r="X1888" s="421"/>
      <c r="Y1888" s="421"/>
      <c r="Z1888" s="421"/>
      <c r="AA1888" s="421"/>
      <c r="AB1888" s="421"/>
      <c r="AC1888" s="421"/>
      <c r="AD1888" s="421"/>
      <c r="AE1888" s="421"/>
      <c r="AF1888" s="421"/>
      <c r="AG1888" s="421"/>
      <c r="AH1888" s="421"/>
      <c r="AI1888" s="421"/>
      <c r="AJ1888" s="421"/>
      <c r="AK1888" s="421"/>
      <c r="AL1888" s="421"/>
    </row>
    <row r="1889" spans="1:38" hidden="1">
      <c r="A1889" s="408"/>
      <c r="B1889" s="83" t="e">
        <f t="array" ref="B1889">SUM(--(FREQUENCY(IF(C$2:C$3072=C1889, MATCH(D$2:D$3072, D$2:D$3072, 0)), ROW(D$2:D$3072)-ROW(D$2)+1) &gt; 0))</f>
        <v>#N/A</v>
      </c>
      <c r="C1889" s="408"/>
      <c r="D1889" s="408"/>
      <c r="E1889" s="408"/>
      <c r="F1889" s="408"/>
      <c r="G1889" s="408"/>
      <c r="H1889" s="408"/>
      <c r="I1889" s="408"/>
      <c r="J1889" s="408"/>
      <c r="K1889" s="408"/>
      <c r="L1889" s="408"/>
      <c r="M1889" s="408"/>
      <c r="N1889" s="408" t="str">
        <f t="shared" si="456"/>
        <v/>
      </c>
      <c r="O1889" s="408"/>
      <c r="P1889" s="408"/>
      <c r="Q1889" s="408"/>
      <c r="R1889" s="408"/>
      <c r="S1889" s="408"/>
      <c r="T1889" s="408"/>
      <c r="U1889" s="408"/>
      <c r="V1889" s="421"/>
      <c r="W1889" s="421"/>
      <c r="X1889" s="421"/>
      <c r="Y1889" s="421"/>
      <c r="Z1889" s="421"/>
      <c r="AA1889" s="421"/>
      <c r="AB1889" s="421"/>
      <c r="AC1889" s="421"/>
      <c r="AD1889" s="421"/>
      <c r="AE1889" s="421"/>
      <c r="AF1889" s="421"/>
      <c r="AG1889" s="421"/>
      <c r="AH1889" s="421"/>
      <c r="AI1889" s="421"/>
      <c r="AJ1889" s="421"/>
      <c r="AK1889" s="421"/>
      <c r="AL1889" s="421"/>
    </row>
    <row r="1890" spans="1:38" hidden="1">
      <c r="A1890" s="408"/>
      <c r="B1890" s="83" t="e">
        <f t="array" ref="B1890">SUM(--(FREQUENCY(IF(C$2:C$3072=C1890, MATCH(D$2:D$3072, D$2:D$3072, 0)), ROW(D$2:D$3072)-ROW(D$2)+1) &gt; 0))</f>
        <v>#N/A</v>
      </c>
      <c r="C1890" s="408"/>
      <c r="D1890" s="408"/>
      <c r="E1890" s="408"/>
      <c r="F1890" s="408"/>
      <c r="G1890" s="408"/>
      <c r="H1890" s="408"/>
      <c r="I1890" s="408"/>
      <c r="J1890" s="408"/>
      <c r="K1890" s="408"/>
      <c r="L1890" s="408"/>
      <c r="M1890" s="408"/>
      <c r="N1890" s="408" t="str">
        <f t="shared" si="456"/>
        <v/>
      </c>
      <c r="O1890" s="408"/>
      <c r="P1890" s="408"/>
      <c r="Q1890" s="408"/>
      <c r="R1890" s="408"/>
      <c r="S1890" s="408"/>
      <c r="T1890" s="408"/>
      <c r="U1890" s="408"/>
      <c r="V1890" s="421"/>
      <c r="W1890" s="421"/>
      <c r="X1890" s="421"/>
      <c r="Y1890" s="421"/>
      <c r="Z1890" s="421"/>
      <c r="AA1890" s="421"/>
      <c r="AB1890" s="421"/>
      <c r="AC1890" s="421"/>
      <c r="AD1890" s="421"/>
      <c r="AE1890" s="421"/>
      <c r="AF1890" s="421"/>
      <c r="AG1890" s="421"/>
      <c r="AH1890" s="421"/>
      <c r="AI1890" s="421"/>
      <c r="AJ1890" s="421"/>
      <c r="AK1890" s="421"/>
      <c r="AL1890" s="421"/>
    </row>
    <row r="1891" spans="1:38" hidden="1">
      <c r="A1891" s="408"/>
      <c r="B1891" s="83" t="e">
        <f t="array" ref="B1891">SUM(--(FREQUENCY(IF(C$2:C$3072=C1891, MATCH(D$2:D$3072, D$2:D$3072, 0)), ROW(D$2:D$3072)-ROW(D$2)+1) &gt; 0))</f>
        <v>#N/A</v>
      </c>
      <c r="C1891" s="408"/>
      <c r="D1891" s="408"/>
      <c r="E1891" s="408"/>
      <c r="F1891" s="408"/>
      <c r="G1891" s="408"/>
      <c r="H1891" s="408"/>
      <c r="I1891" s="408"/>
      <c r="J1891" s="408"/>
      <c r="K1891" s="408"/>
      <c r="L1891" s="408"/>
      <c r="M1891" s="408"/>
      <c r="N1891" s="408" t="str">
        <f t="shared" si="456"/>
        <v/>
      </c>
      <c r="O1891" s="408"/>
      <c r="P1891" s="408"/>
      <c r="Q1891" s="408"/>
      <c r="R1891" s="408"/>
      <c r="S1891" s="408"/>
      <c r="T1891" s="408"/>
      <c r="U1891" s="408"/>
      <c r="V1891" s="421"/>
      <c r="W1891" s="421"/>
      <c r="X1891" s="421"/>
      <c r="Y1891" s="421"/>
      <c r="Z1891" s="421"/>
      <c r="AA1891" s="421"/>
      <c r="AB1891" s="421"/>
      <c r="AC1891" s="421"/>
      <c r="AD1891" s="421"/>
      <c r="AE1891" s="421"/>
      <c r="AF1891" s="421"/>
      <c r="AG1891" s="421"/>
      <c r="AH1891" s="421"/>
      <c r="AI1891" s="421"/>
      <c r="AJ1891" s="421"/>
      <c r="AK1891" s="421"/>
      <c r="AL1891" s="421"/>
    </row>
    <row r="1892" spans="1:38" hidden="1">
      <c r="A1892" s="408"/>
      <c r="B1892" s="83" t="e">
        <f t="array" ref="B1892">SUM(--(FREQUENCY(IF(C$2:C$3072=C1892, MATCH(D$2:D$3072, D$2:D$3072, 0)), ROW(D$2:D$3072)-ROW(D$2)+1) &gt; 0))</f>
        <v>#N/A</v>
      </c>
      <c r="C1892" s="408"/>
      <c r="D1892" s="408"/>
      <c r="E1892" s="408"/>
      <c r="F1892" s="408"/>
      <c r="G1892" s="408"/>
      <c r="H1892" s="408"/>
      <c r="I1892" s="408"/>
      <c r="J1892" s="408"/>
      <c r="K1892" s="408"/>
      <c r="L1892" s="408"/>
      <c r="M1892" s="408"/>
      <c r="N1892" s="408" t="str">
        <f t="shared" si="456"/>
        <v/>
      </c>
      <c r="O1892" s="408"/>
      <c r="P1892" s="408"/>
      <c r="Q1892" s="408"/>
      <c r="R1892" s="408"/>
      <c r="S1892" s="408"/>
      <c r="T1892" s="408"/>
      <c r="U1892" s="408"/>
      <c r="V1892" s="421"/>
      <c r="W1892" s="421"/>
      <c r="X1892" s="421"/>
      <c r="Y1892" s="421"/>
      <c r="Z1892" s="421"/>
      <c r="AA1892" s="421"/>
      <c r="AB1892" s="421"/>
      <c r="AC1892" s="421"/>
      <c r="AD1892" s="421"/>
      <c r="AE1892" s="421"/>
      <c r="AF1892" s="421"/>
      <c r="AG1892" s="421"/>
      <c r="AH1892" s="421"/>
      <c r="AI1892" s="421"/>
      <c r="AJ1892" s="421"/>
      <c r="AK1892" s="421"/>
      <c r="AL1892" s="421"/>
    </row>
    <row r="1893" spans="1:38" hidden="1">
      <c r="A1893" s="408"/>
      <c r="B1893" s="83" t="e">
        <f t="array" ref="B1893">SUM(--(FREQUENCY(IF(C$2:C$3072=C1893, MATCH(D$2:D$3072, D$2:D$3072, 0)), ROW(D$2:D$3072)-ROW(D$2)+1) &gt; 0))</f>
        <v>#N/A</v>
      </c>
      <c r="C1893" s="408"/>
      <c r="D1893" s="408"/>
      <c r="E1893" s="408"/>
      <c r="F1893" s="408"/>
      <c r="G1893" s="408"/>
      <c r="H1893" s="408"/>
      <c r="I1893" s="408"/>
      <c r="J1893" s="408"/>
      <c r="K1893" s="408"/>
      <c r="L1893" s="408"/>
      <c r="M1893" s="408"/>
      <c r="N1893" s="408" t="str">
        <f t="shared" si="456"/>
        <v/>
      </c>
      <c r="O1893" s="408"/>
      <c r="P1893" s="408"/>
      <c r="Q1893" s="408"/>
      <c r="R1893" s="408"/>
      <c r="S1893" s="408"/>
      <c r="T1893" s="408"/>
      <c r="U1893" s="408"/>
      <c r="V1893" s="421"/>
      <c r="W1893" s="421"/>
      <c r="X1893" s="421"/>
      <c r="Y1893" s="421"/>
      <c r="Z1893" s="421"/>
      <c r="AA1893" s="421"/>
      <c r="AB1893" s="421"/>
      <c r="AC1893" s="421"/>
      <c r="AD1893" s="421"/>
      <c r="AE1893" s="421"/>
      <c r="AF1893" s="421"/>
      <c r="AG1893" s="421"/>
      <c r="AH1893" s="421"/>
      <c r="AI1893" s="421"/>
      <c r="AJ1893" s="421"/>
      <c r="AK1893" s="421"/>
      <c r="AL1893" s="421"/>
    </row>
    <row r="1894" spans="1:38" hidden="1">
      <c r="A1894" s="408"/>
      <c r="B1894" s="83" t="e">
        <f t="array" ref="B1894">SUM(--(FREQUENCY(IF(C$2:C$3072=C1894, MATCH(D$2:D$3072, D$2:D$3072, 0)), ROW(D$2:D$3072)-ROW(D$2)+1) &gt; 0))</f>
        <v>#N/A</v>
      </c>
      <c r="C1894" s="408"/>
      <c r="D1894" s="408"/>
      <c r="E1894" s="408"/>
      <c r="F1894" s="408"/>
      <c r="G1894" s="408"/>
      <c r="H1894" s="408"/>
      <c r="I1894" s="408"/>
      <c r="J1894" s="408"/>
      <c r="K1894" s="408"/>
      <c r="L1894" s="408"/>
      <c r="M1894" s="408"/>
      <c r="N1894" s="408" t="str">
        <f t="shared" si="456"/>
        <v/>
      </c>
      <c r="O1894" s="408"/>
      <c r="P1894" s="408"/>
      <c r="Q1894" s="408"/>
      <c r="R1894" s="408"/>
      <c r="S1894" s="408"/>
      <c r="T1894" s="408"/>
      <c r="U1894" s="408"/>
      <c r="V1894" s="421"/>
      <c r="W1894" s="421"/>
      <c r="X1894" s="421"/>
      <c r="Y1894" s="421"/>
      <c r="Z1894" s="421"/>
      <c r="AA1894" s="421"/>
      <c r="AB1894" s="421"/>
      <c r="AC1894" s="421"/>
      <c r="AD1894" s="421"/>
      <c r="AE1894" s="421"/>
      <c r="AF1894" s="421"/>
      <c r="AG1894" s="421"/>
      <c r="AH1894" s="421"/>
      <c r="AI1894" s="421"/>
      <c r="AJ1894" s="421"/>
      <c r="AK1894" s="421"/>
      <c r="AL1894" s="421"/>
    </row>
    <row r="1895" spans="1:38" hidden="1">
      <c r="A1895" s="408"/>
      <c r="B1895" s="83" t="e">
        <f t="array" ref="B1895">SUM(--(FREQUENCY(IF(C$2:C$3072=C1895, MATCH(D$2:D$3072, D$2:D$3072, 0)), ROW(D$2:D$3072)-ROW(D$2)+1) &gt; 0))</f>
        <v>#N/A</v>
      </c>
      <c r="C1895" s="408"/>
      <c r="D1895" s="408"/>
      <c r="E1895" s="408"/>
      <c r="F1895" s="408"/>
      <c r="G1895" s="408"/>
      <c r="H1895" s="408"/>
      <c r="I1895" s="408"/>
      <c r="J1895" s="408"/>
      <c r="K1895" s="408"/>
      <c r="L1895" s="408"/>
      <c r="M1895" s="408"/>
      <c r="N1895" s="408" t="str">
        <f t="shared" si="456"/>
        <v/>
      </c>
      <c r="O1895" s="408"/>
      <c r="P1895" s="408"/>
      <c r="Q1895" s="408"/>
      <c r="R1895" s="408"/>
      <c r="S1895" s="408"/>
      <c r="T1895" s="408"/>
      <c r="U1895" s="408"/>
      <c r="V1895" s="421"/>
      <c r="W1895" s="421"/>
      <c r="X1895" s="421"/>
      <c r="Y1895" s="421"/>
      <c r="Z1895" s="421"/>
      <c r="AA1895" s="421"/>
      <c r="AB1895" s="421"/>
      <c r="AC1895" s="421"/>
      <c r="AD1895" s="421"/>
      <c r="AE1895" s="421"/>
      <c r="AF1895" s="421"/>
      <c r="AG1895" s="421"/>
      <c r="AH1895" s="421"/>
      <c r="AI1895" s="421"/>
      <c r="AJ1895" s="421"/>
      <c r="AK1895" s="421"/>
      <c r="AL1895" s="421"/>
    </row>
    <row r="1896" spans="1:38" hidden="1">
      <c r="A1896" s="408"/>
      <c r="B1896" s="83" t="e">
        <f t="array" ref="B1896">SUM(--(FREQUENCY(IF(C$2:C$3072=C1896, MATCH(D$2:D$3072, D$2:D$3072, 0)), ROW(D$2:D$3072)-ROW(D$2)+1) &gt; 0))</f>
        <v>#N/A</v>
      </c>
      <c r="C1896" s="408"/>
      <c r="D1896" s="408"/>
      <c r="E1896" s="408"/>
      <c r="F1896" s="408"/>
      <c r="G1896" s="408"/>
      <c r="H1896" s="408"/>
      <c r="I1896" s="408"/>
      <c r="J1896" s="408"/>
      <c r="K1896" s="408"/>
      <c r="L1896" s="408"/>
      <c r="M1896" s="408"/>
      <c r="N1896" s="408" t="str">
        <f t="shared" si="456"/>
        <v/>
      </c>
      <c r="O1896" s="408"/>
      <c r="P1896" s="408"/>
      <c r="Q1896" s="408"/>
      <c r="R1896" s="408"/>
      <c r="S1896" s="408"/>
      <c r="T1896" s="408"/>
      <c r="U1896" s="408"/>
      <c r="V1896" s="421"/>
      <c r="W1896" s="421"/>
      <c r="X1896" s="421"/>
      <c r="Y1896" s="421"/>
      <c r="Z1896" s="421"/>
      <c r="AA1896" s="421"/>
      <c r="AB1896" s="421"/>
      <c r="AC1896" s="421"/>
      <c r="AD1896" s="421"/>
      <c r="AE1896" s="421"/>
      <c r="AF1896" s="421"/>
      <c r="AG1896" s="421"/>
      <c r="AH1896" s="421"/>
      <c r="AI1896" s="421"/>
      <c r="AJ1896" s="421"/>
      <c r="AK1896" s="421"/>
      <c r="AL1896" s="421"/>
    </row>
    <row r="1897" spans="1:38" hidden="1">
      <c r="A1897" s="408"/>
      <c r="B1897" s="83" t="e">
        <f t="array" ref="B1897">SUM(--(FREQUENCY(IF(C$2:C$3072=C1897, MATCH(D$2:D$3072, D$2:D$3072, 0)), ROW(D$2:D$3072)-ROW(D$2)+1) &gt; 0))</f>
        <v>#N/A</v>
      </c>
      <c r="C1897" s="408"/>
      <c r="D1897" s="408"/>
      <c r="E1897" s="408"/>
      <c r="F1897" s="408"/>
      <c r="G1897" s="408"/>
      <c r="H1897" s="408"/>
      <c r="I1897" s="408"/>
      <c r="J1897" s="408"/>
      <c r="K1897" s="408"/>
      <c r="L1897" s="408"/>
      <c r="M1897" s="408"/>
      <c r="N1897" s="408" t="str">
        <f t="shared" si="456"/>
        <v/>
      </c>
      <c r="O1897" s="408"/>
      <c r="P1897" s="408"/>
      <c r="Q1897" s="408"/>
      <c r="R1897" s="408"/>
      <c r="S1897" s="408"/>
      <c r="T1897" s="408"/>
      <c r="U1897" s="408"/>
      <c r="V1897" s="421"/>
      <c r="W1897" s="421"/>
      <c r="X1897" s="421"/>
      <c r="Y1897" s="421"/>
      <c r="Z1897" s="421"/>
      <c r="AA1897" s="421"/>
      <c r="AB1897" s="421"/>
      <c r="AC1897" s="421"/>
      <c r="AD1897" s="421"/>
      <c r="AE1897" s="421"/>
      <c r="AF1897" s="421"/>
      <c r="AG1897" s="421"/>
      <c r="AH1897" s="421"/>
      <c r="AI1897" s="421"/>
      <c r="AJ1897" s="421"/>
      <c r="AK1897" s="421"/>
      <c r="AL1897" s="421"/>
    </row>
    <row r="1898" spans="1:38" hidden="1">
      <c r="A1898" s="408"/>
      <c r="B1898" s="83" t="e">
        <f t="array" ref="B1898">SUM(--(FREQUENCY(IF(C$2:C$3072=C1898, MATCH(D$2:D$3072, D$2:D$3072, 0)), ROW(D$2:D$3072)-ROW(D$2)+1) &gt; 0))</f>
        <v>#N/A</v>
      </c>
      <c r="C1898" s="408"/>
      <c r="D1898" s="408"/>
      <c r="E1898" s="408"/>
      <c r="F1898" s="408"/>
      <c r="G1898" s="408"/>
      <c r="H1898" s="408"/>
      <c r="I1898" s="408"/>
      <c r="J1898" s="408"/>
      <c r="K1898" s="408"/>
      <c r="L1898" s="408"/>
      <c r="M1898" s="408"/>
      <c r="N1898" s="408" t="str">
        <f t="shared" si="456"/>
        <v/>
      </c>
      <c r="O1898" s="408"/>
      <c r="P1898" s="408"/>
      <c r="Q1898" s="408"/>
      <c r="R1898" s="408"/>
      <c r="S1898" s="408"/>
      <c r="T1898" s="408"/>
      <c r="U1898" s="408"/>
      <c r="V1898" s="421"/>
      <c r="W1898" s="421"/>
      <c r="X1898" s="421"/>
      <c r="Y1898" s="421"/>
      <c r="Z1898" s="421"/>
      <c r="AA1898" s="421"/>
      <c r="AB1898" s="421"/>
      <c r="AC1898" s="421"/>
      <c r="AD1898" s="421"/>
      <c r="AE1898" s="421"/>
      <c r="AF1898" s="421"/>
      <c r="AG1898" s="421"/>
      <c r="AH1898" s="421"/>
      <c r="AI1898" s="421"/>
      <c r="AJ1898" s="421"/>
      <c r="AK1898" s="421"/>
      <c r="AL1898" s="421"/>
    </row>
    <row r="1899" spans="1:38" hidden="1">
      <c r="A1899" s="408"/>
      <c r="B1899" s="83" t="e">
        <f t="array" ref="B1899">SUM(--(FREQUENCY(IF(C$2:C$3072=C1899, MATCH(D$2:D$3072, D$2:D$3072, 0)), ROW(D$2:D$3072)-ROW(D$2)+1) &gt; 0))</f>
        <v>#N/A</v>
      </c>
      <c r="C1899" s="408"/>
      <c r="D1899" s="408"/>
      <c r="E1899" s="408"/>
      <c r="F1899" s="408"/>
      <c r="G1899" s="408"/>
      <c r="H1899" s="408"/>
      <c r="I1899" s="408"/>
      <c r="J1899" s="408"/>
      <c r="K1899" s="408"/>
      <c r="L1899" s="408"/>
      <c r="M1899" s="408"/>
      <c r="N1899" s="408" t="str">
        <f t="shared" si="456"/>
        <v/>
      </c>
      <c r="O1899" s="408"/>
      <c r="P1899" s="408"/>
      <c r="Q1899" s="408"/>
      <c r="R1899" s="408"/>
      <c r="S1899" s="408"/>
      <c r="T1899" s="408"/>
      <c r="U1899" s="408"/>
      <c r="V1899" s="421"/>
      <c r="W1899" s="421"/>
      <c r="X1899" s="421"/>
      <c r="Y1899" s="421"/>
      <c r="Z1899" s="421"/>
      <c r="AA1899" s="421"/>
      <c r="AB1899" s="421"/>
      <c r="AC1899" s="421"/>
      <c r="AD1899" s="421"/>
      <c r="AE1899" s="421"/>
      <c r="AF1899" s="421"/>
      <c r="AG1899" s="421"/>
      <c r="AH1899" s="421"/>
      <c r="AI1899" s="421"/>
      <c r="AJ1899" s="421"/>
      <c r="AK1899" s="421"/>
      <c r="AL1899" s="421"/>
    </row>
    <row r="1900" spans="1:38" hidden="1">
      <c r="A1900" s="408"/>
      <c r="B1900" s="83" t="e">
        <f t="array" ref="B1900">SUM(--(FREQUENCY(IF(C$2:C$3072=C1900, MATCH(D$2:D$3072, D$2:D$3072, 0)), ROW(D$2:D$3072)-ROW(D$2)+1) &gt; 0))</f>
        <v>#N/A</v>
      </c>
      <c r="C1900" s="408"/>
      <c r="D1900" s="408"/>
      <c r="E1900" s="408"/>
      <c r="F1900" s="408"/>
      <c r="G1900" s="408"/>
      <c r="H1900" s="408"/>
      <c r="I1900" s="408"/>
      <c r="J1900" s="408"/>
      <c r="K1900" s="408"/>
      <c r="L1900" s="408"/>
      <c r="M1900" s="408"/>
      <c r="N1900" s="408" t="str">
        <f t="shared" si="456"/>
        <v/>
      </c>
      <c r="O1900" s="408"/>
      <c r="P1900" s="408"/>
      <c r="Q1900" s="408"/>
      <c r="R1900" s="408"/>
      <c r="S1900" s="408"/>
      <c r="T1900" s="408"/>
      <c r="U1900" s="408"/>
      <c r="V1900" s="421"/>
      <c r="W1900" s="421"/>
      <c r="X1900" s="421"/>
      <c r="Y1900" s="421"/>
      <c r="Z1900" s="421"/>
      <c r="AA1900" s="421"/>
      <c r="AB1900" s="421"/>
      <c r="AC1900" s="421"/>
      <c r="AD1900" s="421"/>
      <c r="AE1900" s="421"/>
      <c r="AF1900" s="421"/>
      <c r="AG1900" s="421"/>
      <c r="AH1900" s="421"/>
      <c r="AI1900" s="421"/>
      <c r="AJ1900" s="421"/>
      <c r="AK1900" s="421"/>
      <c r="AL1900" s="421"/>
    </row>
    <row r="1901" spans="1:38" hidden="1">
      <c r="A1901" s="408"/>
      <c r="B1901" s="83" t="e">
        <f t="array" ref="B1901">SUM(--(FREQUENCY(IF(C$2:C$3072=C1901, MATCH(D$2:D$3072, D$2:D$3072, 0)), ROW(D$2:D$3072)-ROW(D$2)+1) &gt; 0))</f>
        <v>#N/A</v>
      </c>
      <c r="C1901" s="408"/>
      <c r="D1901" s="408"/>
      <c r="E1901" s="408"/>
      <c r="F1901" s="408"/>
      <c r="G1901" s="408"/>
      <c r="H1901" s="408"/>
      <c r="I1901" s="408"/>
      <c r="J1901" s="408"/>
      <c r="K1901" s="408"/>
      <c r="L1901" s="408"/>
      <c r="M1901" s="408"/>
      <c r="N1901" s="408" t="str">
        <f t="shared" si="456"/>
        <v/>
      </c>
      <c r="O1901" s="408"/>
      <c r="P1901" s="408"/>
      <c r="Q1901" s="408"/>
      <c r="R1901" s="408"/>
      <c r="S1901" s="408"/>
      <c r="T1901" s="408"/>
      <c r="U1901" s="408"/>
      <c r="V1901" s="421"/>
      <c r="W1901" s="421"/>
      <c r="X1901" s="421"/>
      <c r="Y1901" s="421"/>
      <c r="Z1901" s="421"/>
      <c r="AA1901" s="421"/>
      <c r="AB1901" s="421"/>
      <c r="AC1901" s="421"/>
      <c r="AD1901" s="421"/>
      <c r="AE1901" s="421"/>
      <c r="AF1901" s="421"/>
      <c r="AG1901" s="421"/>
      <c r="AH1901" s="421"/>
      <c r="AI1901" s="421"/>
      <c r="AJ1901" s="421"/>
      <c r="AK1901" s="421"/>
      <c r="AL1901" s="421"/>
    </row>
    <row r="1902" spans="1:38" hidden="1">
      <c r="A1902" s="408"/>
      <c r="B1902" s="83" t="e">
        <f t="array" ref="B1902">SUM(--(FREQUENCY(IF(C$2:C$3072=C1902, MATCH(D$2:D$3072, D$2:D$3072, 0)), ROW(D$2:D$3072)-ROW(D$2)+1) &gt; 0))</f>
        <v>#N/A</v>
      </c>
      <c r="C1902" s="408"/>
      <c r="D1902" s="408"/>
      <c r="E1902" s="408"/>
      <c r="F1902" s="408"/>
      <c r="G1902" s="408"/>
      <c r="H1902" s="408"/>
      <c r="I1902" s="408"/>
      <c r="J1902" s="408"/>
      <c r="K1902" s="408"/>
      <c r="L1902" s="408"/>
      <c r="M1902" s="408"/>
      <c r="N1902" s="408" t="str">
        <f t="shared" si="456"/>
        <v/>
      </c>
      <c r="O1902" s="408"/>
      <c r="P1902" s="408"/>
      <c r="Q1902" s="408"/>
      <c r="R1902" s="408"/>
      <c r="S1902" s="408"/>
      <c r="T1902" s="408"/>
      <c r="U1902" s="408"/>
      <c r="V1902" s="421"/>
      <c r="W1902" s="421"/>
      <c r="X1902" s="421"/>
      <c r="Y1902" s="421"/>
      <c r="Z1902" s="421"/>
      <c r="AA1902" s="421"/>
      <c r="AB1902" s="421"/>
      <c r="AC1902" s="421"/>
      <c r="AD1902" s="421"/>
      <c r="AE1902" s="421"/>
      <c r="AF1902" s="421"/>
      <c r="AG1902" s="421"/>
      <c r="AH1902" s="421"/>
      <c r="AI1902" s="421"/>
      <c r="AJ1902" s="421"/>
      <c r="AK1902" s="421"/>
      <c r="AL1902" s="421"/>
    </row>
    <row r="1903" spans="1:38" hidden="1">
      <c r="A1903" s="408"/>
      <c r="B1903" s="83" t="e">
        <f t="array" ref="B1903">SUM(--(FREQUENCY(IF(C$2:C$3072=C1903, MATCH(D$2:D$3072, D$2:D$3072, 0)), ROW(D$2:D$3072)-ROW(D$2)+1) &gt; 0))</f>
        <v>#N/A</v>
      </c>
      <c r="C1903" s="408"/>
      <c r="D1903" s="408"/>
      <c r="E1903" s="408"/>
      <c r="F1903" s="408"/>
      <c r="G1903" s="408"/>
      <c r="H1903" s="408"/>
      <c r="I1903" s="408"/>
      <c r="J1903" s="408"/>
      <c r="K1903" s="408"/>
      <c r="L1903" s="408"/>
      <c r="M1903" s="408"/>
      <c r="N1903" s="408" t="str">
        <f t="shared" si="456"/>
        <v/>
      </c>
      <c r="O1903" s="408"/>
      <c r="P1903" s="408"/>
      <c r="Q1903" s="408"/>
      <c r="R1903" s="408"/>
      <c r="S1903" s="408"/>
      <c r="T1903" s="408"/>
      <c r="U1903" s="408"/>
      <c r="V1903" s="421"/>
      <c r="W1903" s="421"/>
      <c r="X1903" s="421"/>
      <c r="Y1903" s="421"/>
      <c r="Z1903" s="421"/>
      <c r="AA1903" s="421"/>
      <c r="AB1903" s="421"/>
      <c r="AC1903" s="421"/>
      <c r="AD1903" s="421"/>
      <c r="AE1903" s="421"/>
      <c r="AF1903" s="421"/>
      <c r="AG1903" s="421"/>
      <c r="AH1903" s="421"/>
      <c r="AI1903" s="421"/>
      <c r="AJ1903" s="421"/>
      <c r="AK1903" s="421"/>
      <c r="AL1903" s="421"/>
    </row>
    <row r="1904" spans="1:38" hidden="1">
      <c r="A1904" s="408"/>
      <c r="B1904" s="83" t="e">
        <f t="array" ref="B1904">SUM(--(FREQUENCY(IF(C$2:C$3072=C1904, MATCH(D$2:D$3072, D$2:D$3072, 0)), ROW(D$2:D$3072)-ROW(D$2)+1) &gt; 0))</f>
        <v>#N/A</v>
      </c>
      <c r="C1904" s="408"/>
      <c r="D1904" s="408"/>
      <c r="E1904" s="408"/>
      <c r="F1904" s="408"/>
      <c r="G1904" s="408"/>
      <c r="H1904" s="408"/>
      <c r="I1904" s="408"/>
      <c r="J1904" s="408"/>
      <c r="K1904" s="408"/>
      <c r="L1904" s="408"/>
      <c r="M1904" s="408"/>
      <c r="N1904" s="408" t="str">
        <f t="shared" si="456"/>
        <v/>
      </c>
      <c r="O1904" s="408"/>
      <c r="P1904" s="408"/>
      <c r="Q1904" s="408"/>
      <c r="R1904" s="408"/>
      <c r="S1904" s="408"/>
      <c r="T1904" s="408"/>
      <c r="U1904" s="408"/>
      <c r="V1904" s="421"/>
      <c r="W1904" s="421"/>
      <c r="X1904" s="421"/>
      <c r="Y1904" s="421"/>
      <c r="Z1904" s="421"/>
      <c r="AA1904" s="421"/>
      <c r="AB1904" s="421"/>
      <c r="AC1904" s="421"/>
      <c r="AD1904" s="421"/>
      <c r="AE1904" s="421"/>
      <c r="AF1904" s="421"/>
      <c r="AG1904" s="421"/>
      <c r="AH1904" s="421"/>
      <c r="AI1904" s="421"/>
      <c r="AJ1904" s="421"/>
      <c r="AK1904" s="421"/>
      <c r="AL1904" s="421"/>
    </row>
    <row r="1905" spans="1:38" hidden="1">
      <c r="A1905" s="408"/>
      <c r="B1905" s="83" t="e">
        <f t="array" ref="B1905">SUM(--(FREQUENCY(IF(C$2:C$3072=C1905, MATCH(D$2:D$3072, D$2:D$3072, 0)), ROW(D$2:D$3072)-ROW(D$2)+1) &gt; 0))</f>
        <v>#N/A</v>
      </c>
      <c r="C1905" s="408"/>
      <c r="D1905" s="408"/>
      <c r="E1905" s="408"/>
      <c r="F1905" s="408"/>
      <c r="G1905" s="408"/>
      <c r="H1905" s="408"/>
      <c r="I1905" s="408"/>
      <c r="J1905" s="408"/>
      <c r="K1905" s="408"/>
      <c r="L1905" s="408"/>
      <c r="M1905" s="408"/>
      <c r="N1905" s="408" t="str">
        <f t="shared" si="456"/>
        <v/>
      </c>
      <c r="O1905" s="408"/>
      <c r="P1905" s="408"/>
      <c r="Q1905" s="408"/>
      <c r="R1905" s="408"/>
      <c r="S1905" s="408"/>
      <c r="T1905" s="408"/>
      <c r="U1905" s="408"/>
      <c r="V1905" s="421"/>
      <c r="W1905" s="421"/>
      <c r="X1905" s="421"/>
      <c r="Y1905" s="421"/>
      <c r="Z1905" s="421"/>
      <c r="AA1905" s="421"/>
      <c r="AB1905" s="421"/>
      <c r="AC1905" s="421"/>
      <c r="AD1905" s="421"/>
      <c r="AE1905" s="421"/>
      <c r="AF1905" s="421"/>
      <c r="AG1905" s="421"/>
      <c r="AH1905" s="421"/>
      <c r="AI1905" s="421"/>
      <c r="AJ1905" s="421"/>
      <c r="AK1905" s="421"/>
      <c r="AL1905" s="421"/>
    </row>
    <row r="1906" spans="1:38" hidden="1">
      <c r="A1906" s="408"/>
      <c r="B1906" s="83" t="e">
        <f t="array" ref="B1906">SUM(--(FREQUENCY(IF(C$2:C$3072=C1906, MATCH(D$2:D$3072, D$2:D$3072, 0)), ROW(D$2:D$3072)-ROW(D$2)+1) &gt; 0))</f>
        <v>#N/A</v>
      </c>
      <c r="C1906" s="408"/>
      <c r="D1906" s="408"/>
      <c r="E1906" s="408"/>
      <c r="F1906" s="408"/>
      <c r="G1906" s="408"/>
      <c r="H1906" s="408"/>
      <c r="I1906" s="408"/>
      <c r="J1906" s="408"/>
      <c r="K1906" s="408"/>
      <c r="L1906" s="408"/>
      <c r="M1906" s="408"/>
      <c r="N1906" s="408" t="str">
        <f t="shared" si="456"/>
        <v/>
      </c>
      <c r="O1906" s="408"/>
      <c r="P1906" s="408"/>
      <c r="Q1906" s="408"/>
      <c r="R1906" s="408"/>
      <c r="S1906" s="408"/>
      <c r="T1906" s="408"/>
      <c r="U1906" s="408"/>
      <c r="V1906" s="421"/>
      <c r="W1906" s="421"/>
      <c r="X1906" s="421"/>
      <c r="Y1906" s="421"/>
      <c r="Z1906" s="421"/>
      <c r="AA1906" s="421"/>
      <c r="AB1906" s="421"/>
      <c r="AC1906" s="421"/>
      <c r="AD1906" s="421"/>
      <c r="AE1906" s="421"/>
      <c r="AF1906" s="421"/>
      <c r="AG1906" s="421"/>
      <c r="AH1906" s="421"/>
      <c r="AI1906" s="421"/>
      <c r="AJ1906" s="421"/>
      <c r="AK1906" s="421"/>
      <c r="AL1906" s="421"/>
    </row>
    <row r="1907" spans="1:38" hidden="1">
      <c r="A1907" s="408"/>
      <c r="B1907" s="83" t="e">
        <f t="array" ref="B1907">SUM(--(FREQUENCY(IF(C$2:C$3072=C1907, MATCH(D$2:D$3072, D$2:D$3072, 0)), ROW(D$2:D$3072)-ROW(D$2)+1) &gt; 0))</f>
        <v>#N/A</v>
      </c>
      <c r="C1907" s="408"/>
      <c r="D1907" s="408"/>
      <c r="E1907" s="408"/>
      <c r="F1907" s="408"/>
      <c r="G1907" s="408"/>
      <c r="H1907" s="408"/>
      <c r="I1907" s="408"/>
      <c r="J1907" s="408"/>
      <c r="K1907" s="408"/>
      <c r="L1907" s="408"/>
      <c r="M1907" s="408"/>
      <c r="N1907" s="408" t="str">
        <f t="shared" si="456"/>
        <v/>
      </c>
      <c r="O1907" s="408"/>
      <c r="P1907" s="408"/>
      <c r="Q1907" s="408"/>
      <c r="R1907" s="408"/>
      <c r="S1907" s="408"/>
      <c r="T1907" s="408"/>
      <c r="U1907" s="408"/>
      <c r="V1907" s="421"/>
      <c r="W1907" s="421"/>
      <c r="X1907" s="421"/>
      <c r="Y1907" s="421"/>
      <c r="Z1907" s="421"/>
      <c r="AA1907" s="421"/>
      <c r="AB1907" s="421"/>
      <c r="AC1907" s="421"/>
      <c r="AD1907" s="421"/>
      <c r="AE1907" s="421"/>
      <c r="AF1907" s="421"/>
      <c r="AG1907" s="421"/>
      <c r="AH1907" s="421"/>
      <c r="AI1907" s="421"/>
      <c r="AJ1907" s="421"/>
      <c r="AK1907" s="421"/>
      <c r="AL1907" s="421"/>
    </row>
    <row r="1908" spans="1:38" hidden="1">
      <c r="A1908" s="408"/>
      <c r="B1908" s="83" t="e">
        <f t="array" ref="B1908">SUM(--(FREQUENCY(IF(C$2:C$3072=C1908, MATCH(D$2:D$3072, D$2:D$3072, 0)), ROW(D$2:D$3072)-ROW(D$2)+1) &gt; 0))</f>
        <v>#N/A</v>
      </c>
      <c r="C1908" s="408"/>
      <c r="D1908" s="408"/>
      <c r="E1908" s="408"/>
      <c r="F1908" s="408"/>
      <c r="G1908" s="408"/>
      <c r="H1908" s="408"/>
      <c r="I1908" s="408"/>
      <c r="J1908" s="408"/>
      <c r="K1908" s="408"/>
      <c r="L1908" s="408"/>
      <c r="M1908" s="408"/>
      <c r="N1908" s="408" t="str">
        <f t="shared" si="456"/>
        <v/>
      </c>
      <c r="O1908" s="408"/>
      <c r="P1908" s="408"/>
      <c r="Q1908" s="408"/>
      <c r="R1908" s="408"/>
      <c r="S1908" s="408"/>
      <c r="T1908" s="408"/>
      <c r="U1908" s="408"/>
      <c r="V1908" s="421"/>
      <c r="W1908" s="421"/>
      <c r="X1908" s="421"/>
      <c r="Y1908" s="421"/>
      <c r="Z1908" s="421"/>
      <c r="AA1908" s="421"/>
      <c r="AB1908" s="421"/>
      <c r="AC1908" s="421"/>
      <c r="AD1908" s="421"/>
      <c r="AE1908" s="421"/>
      <c r="AF1908" s="421"/>
      <c r="AG1908" s="421"/>
      <c r="AH1908" s="421"/>
      <c r="AI1908" s="421"/>
      <c r="AJ1908" s="421"/>
      <c r="AK1908" s="421"/>
      <c r="AL1908" s="421"/>
    </row>
    <row r="1909" spans="1:38" hidden="1">
      <c r="A1909" s="408"/>
      <c r="B1909" s="83" t="e">
        <f t="array" ref="B1909">SUM(--(FREQUENCY(IF(C$2:C$3072=C1909, MATCH(D$2:D$3072, D$2:D$3072, 0)), ROW(D$2:D$3072)-ROW(D$2)+1) &gt; 0))</f>
        <v>#N/A</v>
      </c>
      <c r="C1909" s="408"/>
      <c r="D1909" s="408"/>
      <c r="E1909" s="408"/>
      <c r="F1909" s="408"/>
      <c r="G1909" s="408"/>
      <c r="H1909" s="408"/>
      <c r="I1909" s="408"/>
      <c r="J1909" s="408"/>
      <c r="K1909" s="408"/>
      <c r="L1909" s="408"/>
      <c r="M1909" s="408"/>
      <c r="N1909" s="408" t="str">
        <f t="shared" si="456"/>
        <v/>
      </c>
      <c r="O1909" s="408"/>
      <c r="P1909" s="408"/>
      <c r="Q1909" s="408"/>
      <c r="R1909" s="408"/>
      <c r="S1909" s="408"/>
      <c r="T1909" s="408"/>
      <c r="U1909" s="408"/>
      <c r="V1909" s="421"/>
      <c r="W1909" s="421"/>
      <c r="X1909" s="421"/>
      <c r="Y1909" s="421"/>
      <c r="Z1909" s="421"/>
      <c r="AA1909" s="421"/>
      <c r="AB1909" s="421"/>
      <c r="AC1909" s="421"/>
      <c r="AD1909" s="421"/>
      <c r="AE1909" s="421"/>
      <c r="AF1909" s="421"/>
      <c r="AG1909" s="421"/>
      <c r="AH1909" s="421"/>
      <c r="AI1909" s="421"/>
      <c r="AJ1909" s="421"/>
      <c r="AK1909" s="421"/>
      <c r="AL1909" s="421"/>
    </row>
    <row r="1910" spans="1:38" hidden="1">
      <c r="A1910" s="408"/>
      <c r="B1910" s="83" t="e">
        <f t="array" ref="B1910">SUM(--(FREQUENCY(IF(C$2:C$3072=C1910, MATCH(D$2:D$3072, D$2:D$3072, 0)), ROW(D$2:D$3072)-ROW(D$2)+1) &gt; 0))</f>
        <v>#N/A</v>
      </c>
      <c r="C1910" s="408"/>
      <c r="D1910" s="408"/>
      <c r="E1910" s="408"/>
      <c r="F1910" s="408"/>
      <c r="G1910" s="408"/>
      <c r="H1910" s="408"/>
      <c r="I1910" s="408"/>
      <c r="J1910" s="408"/>
      <c r="K1910" s="408"/>
      <c r="L1910" s="408"/>
      <c r="M1910" s="408"/>
      <c r="N1910" s="408" t="str">
        <f t="shared" si="456"/>
        <v/>
      </c>
      <c r="O1910" s="408"/>
      <c r="P1910" s="408"/>
      <c r="Q1910" s="408"/>
      <c r="R1910" s="408"/>
      <c r="S1910" s="408"/>
      <c r="T1910" s="408"/>
      <c r="U1910" s="408"/>
      <c r="V1910" s="421"/>
      <c r="W1910" s="421"/>
      <c r="X1910" s="421"/>
      <c r="Y1910" s="421"/>
      <c r="Z1910" s="421"/>
      <c r="AA1910" s="421"/>
      <c r="AB1910" s="421"/>
      <c r="AC1910" s="421"/>
      <c r="AD1910" s="421"/>
      <c r="AE1910" s="421"/>
      <c r="AF1910" s="421"/>
      <c r="AG1910" s="421"/>
      <c r="AH1910" s="421"/>
      <c r="AI1910" s="421"/>
      <c r="AJ1910" s="421"/>
      <c r="AK1910" s="421"/>
      <c r="AL1910" s="421"/>
    </row>
    <row r="1911" spans="1:38" hidden="1">
      <c r="A1911" s="408"/>
      <c r="B1911" s="83" t="e">
        <f t="array" ref="B1911">SUM(--(FREQUENCY(IF(C$2:C$3072=C1911, MATCH(D$2:D$3072, D$2:D$3072, 0)), ROW(D$2:D$3072)-ROW(D$2)+1) &gt; 0))</f>
        <v>#N/A</v>
      </c>
      <c r="C1911" s="408"/>
      <c r="D1911" s="408"/>
      <c r="E1911" s="408"/>
      <c r="F1911" s="408"/>
      <c r="G1911" s="408"/>
      <c r="H1911" s="408"/>
      <c r="I1911" s="408"/>
      <c r="J1911" s="408"/>
      <c r="K1911" s="408"/>
      <c r="L1911" s="408"/>
      <c r="M1911" s="408"/>
      <c r="N1911" s="408" t="str">
        <f t="shared" si="456"/>
        <v/>
      </c>
      <c r="O1911" s="408"/>
      <c r="P1911" s="408"/>
      <c r="Q1911" s="408"/>
      <c r="R1911" s="408"/>
      <c r="S1911" s="408"/>
      <c r="T1911" s="408"/>
      <c r="U1911" s="408"/>
      <c r="V1911" s="421"/>
      <c r="W1911" s="421"/>
      <c r="X1911" s="421"/>
      <c r="Y1911" s="421"/>
      <c r="Z1911" s="421"/>
      <c r="AA1911" s="421"/>
      <c r="AB1911" s="421"/>
      <c r="AC1911" s="421"/>
      <c r="AD1911" s="421"/>
      <c r="AE1911" s="421"/>
      <c r="AF1911" s="421"/>
      <c r="AG1911" s="421"/>
      <c r="AH1911" s="421"/>
      <c r="AI1911" s="421"/>
      <c r="AJ1911" s="421"/>
      <c r="AK1911" s="421"/>
      <c r="AL1911" s="421"/>
    </row>
    <row r="1912" spans="1:38" hidden="1">
      <c r="A1912" s="408"/>
      <c r="B1912" s="83" t="e">
        <f t="array" ref="B1912">SUM(--(FREQUENCY(IF(C$2:C$3072=C1912, MATCH(D$2:D$3072, D$2:D$3072, 0)), ROW(D$2:D$3072)-ROW(D$2)+1) &gt; 0))</f>
        <v>#N/A</v>
      </c>
      <c r="C1912" s="408"/>
      <c r="D1912" s="408"/>
      <c r="E1912" s="408"/>
      <c r="F1912" s="408"/>
      <c r="G1912" s="408"/>
      <c r="H1912" s="408"/>
      <c r="I1912" s="408"/>
      <c r="J1912" s="408"/>
      <c r="K1912" s="408"/>
      <c r="L1912" s="408"/>
      <c r="M1912" s="408"/>
      <c r="N1912" s="408" t="str">
        <f t="shared" si="456"/>
        <v/>
      </c>
      <c r="O1912" s="408"/>
      <c r="P1912" s="408"/>
      <c r="Q1912" s="408"/>
      <c r="R1912" s="408"/>
      <c r="S1912" s="408"/>
      <c r="T1912" s="408"/>
      <c r="U1912" s="408"/>
      <c r="V1912" s="421"/>
      <c r="W1912" s="421"/>
      <c r="X1912" s="421"/>
      <c r="Y1912" s="421"/>
      <c r="Z1912" s="421"/>
      <c r="AA1912" s="421"/>
      <c r="AB1912" s="421"/>
      <c r="AC1912" s="421"/>
      <c r="AD1912" s="421"/>
      <c r="AE1912" s="421"/>
      <c r="AF1912" s="421"/>
      <c r="AG1912" s="421"/>
      <c r="AH1912" s="421"/>
      <c r="AI1912" s="421"/>
      <c r="AJ1912" s="421"/>
      <c r="AK1912" s="421"/>
      <c r="AL1912" s="421"/>
    </row>
    <row r="1913" spans="1:38" hidden="1">
      <c r="A1913" s="408"/>
      <c r="B1913" s="83" t="e">
        <f t="array" ref="B1913">SUM(--(FREQUENCY(IF(C$2:C$3072=C1913, MATCH(D$2:D$3072, D$2:D$3072, 0)), ROW(D$2:D$3072)-ROW(D$2)+1) &gt; 0))</f>
        <v>#N/A</v>
      </c>
      <c r="C1913" s="408"/>
      <c r="D1913" s="408"/>
      <c r="E1913" s="408"/>
      <c r="F1913" s="408"/>
      <c r="G1913" s="408"/>
      <c r="H1913" s="408"/>
      <c r="I1913" s="408"/>
      <c r="J1913" s="408"/>
      <c r="K1913" s="408"/>
      <c r="L1913" s="408"/>
      <c r="M1913" s="408"/>
      <c r="N1913" s="408" t="str">
        <f t="shared" si="456"/>
        <v/>
      </c>
      <c r="O1913" s="408"/>
      <c r="P1913" s="408"/>
      <c r="Q1913" s="408"/>
      <c r="R1913" s="408"/>
      <c r="S1913" s="408"/>
      <c r="T1913" s="408"/>
      <c r="U1913" s="408"/>
      <c r="V1913" s="421"/>
      <c r="W1913" s="421"/>
      <c r="X1913" s="421"/>
      <c r="Y1913" s="421"/>
      <c r="Z1913" s="421"/>
      <c r="AA1913" s="421"/>
      <c r="AB1913" s="421"/>
      <c r="AC1913" s="421"/>
      <c r="AD1913" s="421"/>
      <c r="AE1913" s="421"/>
      <c r="AF1913" s="421"/>
      <c r="AG1913" s="421"/>
      <c r="AH1913" s="421"/>
      <c r="AI1913" s="421"/>
      <c r="AJ1913" s="421"/>
      <c r="AK1913" s="421"/>
      <c r="AL1913" s="421"/>
    </row>
    <row r="1914" spans="1:38" hidden="1">
      <c r="A1914" s="408"/>
      <c r="B1914" s="83" t="e">
        <f t="array" ref="B1914">SUM(--(FREQUENCY(IF(C$2:C$3072=C1914, MATCH(D$2:D$3072, D$2:D$3072, 0)), ROW(D$2:D$3072)-ROW(D$2)+1) &gt; 0))</f>
        <v>#N/A</v>
      </c>
      <c r="C1914" s="408"/>
      <c r="D1914" s="408"/>
      <c r="E1914" s="408"/>
      <c r="F1914" s="408"/>
      <c r="G1914" s="408"/>
      <c r="H1914" s="408"/>
      <c r="I1914" s="408"/>
      <c r="J1914" s="408"/>
      <c r="K1914" s="408"/>
      <c r="L1914" s="408"/>
      <c r="M1914" s="408"/>
      <c r="N1914" s="408" t="str">
        <f t="shared" si="456"/>
        <v/>
      </c>
      <c r="O1914" s="408"/>
      <c r="P1914" s="408"/>
      <c r="Q1914" s="408"/>
      <c r="R1914" s="408"/>
      <c r="S1914" s="408"/>
      <c r="T1914" s="408"/>
      <c r="U1914" s="408"/>
      <c r="V1914" s="421"/>
      <c r="W1914" s="421"/>
      <c r="X1914" s="421"/>
      <c r="Y1914" s="421"/>
      <c r="Z1914" s="421"/>
      <c r="AA1914" s="421"/>
      <c r="AB1914" s="421"/>
      <c r="AC1914" s="421"/>
      <c r="AD1914" s="421"/>
      <c r="AE1914" s="421"/>
      <c r="AF1914" s="421"/>
      <c r="AG1914" s="421"/>
      <c r="AH1914" s="421"/>
      <c r="AI1914" s="421"/>
      <c r="AJ1914" s="421"/>
      <c r="AK1914" s="421"/>
      <c r="AL1914" s="421"/>
    </row>
    <row r="1915" spans="1:38" hidden="1">
      <c r="A1915" s="408"/>
      <c r="B1915" s="83" t="e">
        <f t="array" ref="B1915">SUM(--(FREQUENCY(IF(C$2:C$3072=C1915, MATCH(D$2:D$3072, D$2:D$3072, 0)), ROW(D$2:D$3072)-ROW(D$2)+1) &gt; 0))</f>
        <v>#N/A</v>
      </c>
      <c r="C1915" s="408"/>
      <c r="D1915" s="408"/>
      <c r="E1915" s="408"/>
      <c r="F1915" s="408"/>
      <c r="G1915" s="408"/>
      <c r="H1915" s="408"/>
      <c r="I1915" s="408"/>
      <c r="J1915" s="408"/>
      <c r="K1915" s="408"/>
      <c r="L1915" s="408"/>
      <c r="M1915" s="408"/>
      <c r="N1915" s="408" t="str">
        <f t="shared" si="456"/>
        <v/>
      </c>
      <c r="O1915" s="408"/>
      <c r="P1915" s="408"/>
      <c r="Q1915" s="408"/>
      <c r="R1915" s="408"/>
      <c r="S1915" s="408"/>
      <c r="T1915" s="408"/>
      <c r="U1915" s="408"/>
      <c r="V1915" s="421"/>
      <c r="W1915" s="421"/>
      <c r="X1915" s="421"/>
      <c r="Y1915" s="421"/>
      <c r="Z1915" s="421"/>
      <c r="AA1915" s="421"/>
      <c r="AB1915" s="421"/>
      <c r="AC1915" s="421"/>
      <c r="AD1915" s="421"/>
      <c r="AE1915" s="421"/>
      <c r="AF1915" s="421"/>
      <c r="AG1915" s="421"/>
      <c r="AH1915" s="421"/>
      <c r="AI1915" s="421"/>
      <c r="AJ1915" s="421"/>
      <c r="AK1915" s="421"/>
      <c r="AL1915" s="421"/>
    </row>
    <row r="1916" spans="1:38" hidden="1">
      <c r="A1916" s="408"/>
      <c r="B1916" s="83" t="e">
        <f t="array" ref="B1916">SUM(--(FREQUENCY(IF(C$2:C$3072=C1916, MATCH(D$2:D$3072, D$2:D$3072, 0)), ROW(D$2:D$3072)-ROW(D$2)+1) &gt; 0))</f>
        <v>#N/A</v>
      </c>
      <c r="C1916" s="408"/>
      <c r="D1916" s="408"/>
      <c r="E1916" s="408"/>
      <c r="F1916" s="408"/>
      <c r="G1916" s="408"/>
      <c r="H1916" s="408"/>
      <c r="I1916" s="408"/>
      <c r="J1916" s="408"/>
      <c r="K1916" s="408"/>
      <c r="L1916" s="408"/>
      <c r="M1916" s="408"/>
      <c r="N1916" s="408" t="str">
        <f t="shared" si="456"/>
        <v/>
      </c>
      <c r="O1916" s="408"/>
      <c r="P1916" s="408"/>
      <c r="Q1916" s="408"/>
      <c r="R1916" s="408"/>
      <c r="S1916" s="408"/>
      <c r="T1916" s="408"/>
      <c r="U1916" s="408"/>
      <c r="V1916" s="421"/>
      <c r="W1916" s="421"/>
      <c r="X1916" s="421"/>
      <c r="Y1916" s="421"/>
      <c r="Z1916" s="421"/>
      <c r="AA1916" s="421"/>
      <c r="AB1916" s="421"/>
      <c r="AC1916" s="421"/>
      <c r="AD1916" s="421"/>
      <c r="AE1916" s="421"/>
      <c r="AF1916" s="421"/>
      <c r="AG1916" s="421"/>
      <c r="AH1916" s="421"/>
      <c r="AI1916" s="421"/>
      <c r="AJ1916" s="421"/>
      <c r="AK1916" s="421"/>
      <c r="AL1916" s="421"/>
    </row>
    <row r="1917" spans="1:38" hidden="1">
      <c r="A1917" s="408"/>
      <c r="B1917" s="83" t="e">
        <f t="array" ref="B1917">SUM(--(FREQUENCY(IF(C$2:C$3072=C1917, MATCH(D$2:D$3072, D$2:D$3072, 0)), ROW(D$2:D$3072)-ROW(D$2)+1) &gt; 0))</f>
        <v>#N/A</v>
      </c>
      <c r="C1917" s="408"/>
      <c r="D1917" s="408"/>
      <c r="E1917" s="408"/>
      <c r="F1917" s="408"/>
      <c r="G1917" s="408"/>
      <c r="H1917" s="408"/>
      <c r="I1917" s="408"/>
      <c r="J1917" s="408"/>
      <c r="K1917" s="408"/>
      <c r="L1917" s="408"/>
      <c r="M1917" s="408"/>
      <c r="N1917" s="408" t="str">
        <f t="shared" si="456"/>
        <v/>
      </c>
      <c r="O1917" s="408"/>
      <c r="P1917" s="408"/>
      <c r="Q1917" s="408"/>
      <c r="R1917" s="408"/>
      <c r="S1917" s="408"/>
      <c r="T1917" s="408"/>
      <c r="U1917" s="408"/>
      <c r="V1917" s="421"/>
      <c r="W1917" s="421"/>
      <c r="X1917" s="421"/>
      <c r="Y1917" s="421"/>
      <c r="Z1917" s="421"/>
      <c r="AA1917" s="421"/>
      <c r="AB1917" s="421"/>
      <c r="AC1917" s="421"/>
      <c r="AD1917" s="421"/>
      <c r="AE1917" s="421"/>
      <c r="AF1917" s="421"/>
      <c r="AG1917" s="421"/>
      <c r="AH1917" s="421"/>
      <c r="AI1917" s="421"/>
      <c r="AJ1917" s="421"/>
      <c r="AK1917" s="421"/>
      <c r="AL1917" s="421"/>
    </row>
    <row r="1918" spans="1:38" hidden="1">
      <c r="A1918" s="408"/>
      <c r="B1918" s="83" t="e">
        <f t="array" ref="B1918">SUM(--(FREQUENCY(IF(C$2:C$3072=C1918, MATCH(D$2:D$3072, D$2:D$3072, 0)), ROW(D$2:D$3072)-ROW(D$2)+1) &gt; 0))</f>
        <v>#N/A</v>
      </c>
      <c r="C1918" s="408"/>
      <c r="D1918" s="408"/>
      <c r="E1918" s="408"/>
      <c r="F1918" s="408"/>
      <c r="G1918" s="408"/>
      <c r="H1918" s="408"/>
      <c r="I1918" s="408"/>
      <c r="J1918" s="408"/>
      <c r="K1918" s="408"/>
      <c r="L1918" s="408"/>
      <c r="M1918" s="408"/>
      <c r="N1918" s="408" t="str">
        <f t="shared" si="456"/>
        <v/>
      </c>
      <c r="O1918" s="408"/>
      <c r="P1918" s="408"/>
      <c r="Q1918" s="408"/>
      <c r="R1918" s="408"/>
      <c r="S1918" s="408"/>
      <c r="T1918" s="408"/>
      <c r="U1918" s="408"/>
      <c r="V1918" s="421"/>
      <c r="W1918" s="421"/>
      <c r="X1918" s="421"/>
      <c r="Y1918" s="421"/>
      <c r="Z1918" s="421"/>
      <c r="AA1918" s="421"/>
      <c r="AB1918" s="421"/>
      <c r="AC1918" s="421"/>
      <c r="AD1918" s="421"/>
      <c r="AE1918" s="421"/>
      <c r="AF1918" s="421"/>
      <c r="AG1918" s="421"/>
      <c r="AH1918" s="421"/>
      <c r="AI1918" s="421"/>
      <c r="AJ1918" s="421"/>
      <c r="AK1918" s="421"/>
      <c r="AL1918" s="421"/>
    </row>
    <row r="1919" spans="1:38" hidden="1">
      <c r="A1919" s="408"/>
      <c r="B1919" s="83" t="e">
        <f t="array" ref="B1919">SUM(--(FREQUENCY(IF(C$2:C$3072=C1919, MATCH(D$2:D$3072, D$2:D$3072, 0)), ROW(D$2:D$3072)-ROW(D$2)+1) &gt; 0))</f>
        <v>#N/A</v>
      </c>
      <c r="C1919" s="408"/>
      <c r="D1919" s="408"/>
      <c r="E1919" s="408"/>
      <c r="F1919" s="408"/>
      <c r="G1919" s="408"/>
      <c r="H1919" s="408"/>
      <c r="I1919" s="408"/>
      <c r="J1919" s="408"/>
      <c r="K1919" s="408"/>
      <c r="L1919" s="408"/>
      <c r="M1919" s="408"/>
      <c r="N1919" s="408" t="str">
        <f t="shared" si="456"/>
        <v/>
      </c>
      <c r="O1919" s="408"/>
      <c r="P1919" s="408"/>
      <c r="Q1919" s="408"/>
      <c r="R1919" s="408"/>
      <c r="S1919" s="408"/>
      <c r="T1919" s="408"/>
      <c r="U1919" s="408"/>
      <c r="V1919" s="421"/>
      <c r="W1919" s="421"/>
      <c r="X1919" s="421"/>
      <c r="Y1919" s="421"/>
      <c r="Z1919" s="421"/>
      <c r="AA1919" s="421"/>
      <c r="AB1919" s="421"/>
      <c r="AC1919" s="421"/>
      <c r="AD1919" s="421"/>
      <c r="AE1919" s="421"/>
      <c r="AF1919" s="421"/>
      <c r="AG1919" s="421"/>
      <c r="AH1919" s="421"/>
      <c r="AI1919" s="421"/>
      <c r="AJ1919" s="421"/>
      <c r="AK1919" s="421"/>
      <c r="AL1919" s="421"/>
    </row>
    <row r="1920" spans="1:38" hidden="1">
      <c r="A1920" s="408"/>
      <c r="B1920" s="83" t="e">
        <f t="array" ref="B1920">SUM(--(FREQUENCY(IF(C$2:C$3072=C1920, MATCH(D$2:D$3072, D$2:D$3072, 0)), ROW(D$2:D$3072)-ROW(D$2)+1) &gt; 0))</f>
        <v>#N/A</v>
      </c>
      <c r="C1920" s="408"/>
      <c r="D1920" s="408"/>
      <c r="E1920" s="408"/>
      <c r="F1920" s="408"/>
      <c r="G1920" s="408"/>
      <c r="H1920" s="408"/>
      <c r="I1920" s="408"/>
      <c r="J1920" s="408"/>
      <c r="K1920" s="408"/>
      <c r="L1920" s="408"/>
      <c r="M1920" s="408"/>
      <c r="N1920" s="408" t="str">
        <f t="shared" ref="N1920:N1983" si="457">IF(O1920&lt;&gt;"", "NG", "")</f>
        <v/>
      </c>
      <c r="O1920" s="408"/>
      <c r="P1920" s="408"/>
      <c r="Q1920" s="408"/>
      <c r="R1920" s="408"/>
      <c r="S1920" s="408"/>
      <c r="T1920" s="408"/>
      <c r="U1920" s="408"/>
      <c r="V1920" s="421"/>
      <c r="W1920" s="421"/>
      <c r="X1920" s="421"/>
      <c r="Y1920" s="421"/>
      <c r="Z1920" s="421"/>
      <c r="AA1920" s="421"/>
      <c r="AB1920" s="421"/>
      <c r="AC1920" s="421"/>
      <c r="AD1920" s="421"/>
      <c r="AE1920" s="421"/>
      <c r="AF1920" s="421"/>
      <c r="AG1920" s="421"/>
      <c r="AH1920" s="421"/>
      <c r="AI1920" s="421"/>
      <c r="AJ1920" s="421"/>
      <c r="AK1920" s="421"/>
      <c r="AL1920" s="421"/>
    </row>
    <row r="1921" spans="1:38" hidden="1">
      <c r="A1921" s="408"/>
      <c r="B1921" s="83" t="e">
        <f t="array" ref="B1921">SUM(--(FREQUENCY(IF(C$2:C$3072=C1921, MATCH(D$2:D$3072, D$2:D$3072, 0)), ROW(D$2:D$3072)-ROW(D$2)+1) &gt; 0))</f>
        <v>#N/A</v>
      </c>
      <c r="C1921" s="408"/>
      <c r="D1921" s="408"/>
      <c r="E1921" s="408"/>
      <c r="F1921" s="408"/>
      <c r="G1921" s="408"/>
      <c r="H1921" s="408"/>
      <c r="I1921" s="408"/>
      <c r="J1921" s="408"/>
      <c r="K1921" s="408"/>
      <c r="L1921" s="408"/>
      <c r="M1921" s="408"/>
      <c r="N1921" s="408" t="str">
        <f t="shared" si="457"/>
        <v/>
      </c>
      <c r="O1921" s="408"/>
      <c r="P1921" s="408"/>
      <c r="Q1921" s="408"/>
      <c r="R1921" s="408"/>
      <c r="S1921" s="408"/>
      <c r="T1921" s="408"/>
      <c r="U1921" s="408"/>
      <c r="V1921" s="421"/>
      <c r="W1921" s="421"/>
      <c r="X1921" s="421"/>
      <c r="Y1921" s="421"/>
      <c r="Z1921" s="421"/>
      <c r="AA1921" s="421"/>
      <c r="AB1921" s="421"/>
      <c r="AC1921" s="421"/>
      <c r="AD1921" s="421"/>
      <c r="AE1921" s="421"/>
      <c r="AF1921" s="421"/>
      <c r="AG1921" s="421"/>
      <c r="AH1921" s="421"/>
      <c r="AI1921" s="421"/>
      <c r="AJ1921" s="421"/>
      <c r="AK1921" s="421"/>
      <c r="AL1921" s="421"/>
    </row>
    <row r="1922" spans="1:38" hidden="1">
      <c r="A1922" s="408"/>
      <c r="B1922" s="83" t="e">
        <f t="array" ref="B1922">SUM(--(FREQUENCY(IF(C$2:C$3072=C1922, MATCH(D$2:D$3072, D$2:D$3072, 0)), ROW(D$2:D$3072)-ROW(D$2)+1) &gt; 0))</f>
        <v>#N/A</v>
      </c>
      <c r="C1922" s="408"/>
      <c r="D1922" s="408"/>
      <c r="E1922" s="408"/>
      <c r="F1922" s="408"/>
      <c r="G1922" s="408"/>
      <c r="H1922" s="408"/>
      <c r="I1922" s="408"/>
      <c r="J1922" s="408"/>
      <c r="K1922" s="408"/>
      <c r="L1922" s="408"/>
      <c r="M1922" s="408"/>
      <c r="N1922" s="408" t="str">
        <f t="shared" si="457"/>
        <v/>
      </c>
      <c r="O1922" s="408"/>
      <c r="P1922" s="408"/>
      <c r="Q1922" s="408"/>
      <c r="R1922" s="408"/>
      <c r="S1922" s="408"/>
      <c r="T1922" s="408"/>
      <c r="U1922" s="408"/>
      <c r="V1922" s="421"/>
      <c r="W1922" s="421"/>
      <c r="X1922" s="421"/>
      <c r="Y1922" s="421"/>
      <c r="Z1922" s="421"/>
      <c r="AA1922" s="421"/>
      <c r="AB1922" s="421"/>
      <c r="AC1922" s="421"/>
      <c r="AD1922" s="421"/>
      <c r="AE1922" s="421"/>
      <c r="AF1922" s="421"/>
      <c r="AG1922" s="421"/>
      <c r="AH1922" s="421"/>
      <c r="AI1922" s="421"/>
      <c r="AJ1922" s="421"/>
      <c r="AK1922" s="421"/>
      <c r="AL1922" s="421"/>
    </row>
    <row r="1923" spans="1:38" hidden="1">
      <c r="A1923" s="408"/>
      <c r="B1923" s="83" t="e">
        <f t="array" ref="B1923">SUM(--(FREQUENCY(IF(C$2:C$3072=C1923, MATCH(D$2:D$3072, D$2:D$3072, 0)), ROW(D$2:D$3072)-ROW(D$2)+1) &gt; 0))</f>
        <v>#N/A</v>
      </c>
      <c r="C1923" s="408"/>
      <c r="D1923" s="408"/>
      <c r="E1923" s="408"/>
      <c r="F1923" s="408"/>
      <c r="G1923" s="408"/>
      <c r="H1923" s="408"/>
      <c r="I1923" s="408"/>
      <c r="J1923" s="408"/>
      <c r="K1923" s="408"/>
      <c r="L1923" s="408"/>
      <c r="M1923" s="408"/>
      <c r="N1923" s="408" t="str">
        <f t="shared" si="457"/>
        <v/>
      </c>
      <c r="O1923" s="408"/>
      <c r="P1923" s="408"/>
      <c r="Q1923" s="408"/>
      <c r="R1923" s="408"/>
      <c r="S1923" s="408"/>
      <c r="T1923" s="408"/>
      <c r="U1923" s="408"/>
      <c r="V1923" s="421"/>
      <c r="W1923" s="421"/>
      <c r="X1923" s="421"/>
      <c r="Y1923" s="421"/>
      <c r="Z1923" s="421"/>
      <c r="AA1923" s="421"/>
      <c r="AB1923" s="421"/>
      <c r="AC1923" s="421"/>
      <c r="AD1923" s="421"/>
      <c r="AE1923" s="421"/>
      <c r="AF1923" s="421"/>
      <c r="AG1923" s="421"/>
      <c r="AH1923" s="421"/>
      <c r="AI1923" s="421"/>
      <c r="AJ1923" s="421"/>
      <c r="AK1923" s="421"/>
      <c r="AL1923" s="421"/>
    </row>
    <row r="1924" spans="1:38" hidden="1">
      <c r="A1924" s="408"/>
      <c r="B1924" s="83" t="e">
        <f t="array" ref="B1924">SUM(--(FREQUENCY(IF(C$2:C$3072=C1924, MATCH(D$2:D$3072, D$2:D$3072, 0)), ROW(D$2:D$3072)-ROW(D$2)+1) &gt; 0))</f>
        <v>#N/A</v>
      </c>
      <c r="C1924" s="408"/>
      <c r="D1924" s="408"/>
      <c r="E1924" s="408"/>
      <c r="F1924" s="408"/>
      <c r="G1924" s="408"/>
      <c r="H1924" s="408"/>
      <c r="I1924" s="408"/>
      <c r="J1924" s="408"/>
      <c r="K1924" s="408"/>
      <c r="L1924" s="408"/>
      <c r="M1924" s="408"/>
      <c r="N1924" s="408" t="str">
        <f t="shared" si="457"/>
        <v/>
      </c>
      <c r="O1924" s="408"/>
      <c r="P1924" s="408"/>
      <c r="Q1924" s="408"/>
      <c r="R1924" s="408"/>
      <c r="S1924" s="408"/>
      <c r="T1924" s="408"/>
      <c r="U1924" s="408"/>
      <c r="V1924" s="421"/>
      <c r="W1924" s="421"/>
      <c r="X1924" s="421"/>
      <c r="Y1924" s="421"/>
      <c r="Z1924" s="421"/>
      <c r="AA1924" s="421"/>
      <c r="AB1924" s="421"/>
      <c r="AC1924" s="421"/>
      <c r="AD1924" s="421"/>
      <c r="AE1924" s="421"/>
      <c r="AF1924" s="421"/>
      <c r="AG1924" s="421"/>
      <c r="AH1924" s="421"/>
      <c r="AI1924" s="421"/>
      <c r="AJ1924" s="421"/>
      <c r="AK1924" s="421"/>
      <c r="AL1924" s="421"/>
    </row>
    <row r="1925" spans="1:38" hidden="1">
      <c r="A1925" s="408"/>
      <c r="B1925" s="83" t="e">
        <f t="array" ref="B1925">SUM(--(FREQUENCY(IF(C$2:C$3072=C1925, MATCH(D$2:D$3072, D$2:D$3072, 0)), ROW(D$2:D$3072)-ROW(D$2)+1) &gt; 0))</f>
        <v>#N/A</v>
      </c>
      <c r="C1925" s="408"/>
      <c r="D1925" s="408"/>
      <c r="E1925" s="408"/>
      <c r="F1925" s="408"/>
      <c r="G1925" s="408"/>
      <c r="H1925" s="408"/>
      <c r="I1925" s="408"/>
      <c r="J1925" s="408"/>
      <c r="K1925" s="408"/>
      <c r="L1925" s="408"/>
      <c r="M1925" s="408"/>
      <c r="N1925" s="408" t="str">
        <f t="shared" si="457"/>
        <v/>
      </c>
      <c r="O1925" s="408"/>
      <c r="P1925" s="408"/>
      <c r="Q1925" s="408"/>
      <c r="R1925" s="408"/>
      <c r="S1925" s="408"/>
      <c r="T1925" s="408"/>
      <c r="U1925" s="408"/>
      <c r="V1925" s="421"/>
      <c r="W1925" s="421"/>
      <c r="X1925" s="421"/>
      <c r="Y1925" s="421"/>
      <c r="Z1925" s="421"/>
      <c r="AA1925" s="421"/>
      <c r="AB1925" s="421"/>
      <c r="AC1925" s="421"/>
      <c r="AD1925" s="421"/>
      <c r="AE1925" s="421"/>
      <c r="AF1925" s="421"/>
      <c r="AG1925" s="421"/>
      <c r="AH1925" s="421"/>
      <c r="AI1925" s="421"/>
      <c r="AJ1925" s="421"/>
      <c r="AK1925" s="421"/>
      <c r="AL1925" s="421"/>
    </row>
    <row r="1926" spans="1:38" hidden="1">
      <c r="A1926" s="408"/>
      <c r="B1926" s="83" t="e">
        <f t="array" ref="B1926">SUM(--(FREQUENCY(IF(C$2:C$3072=C1926, MATCH(D$2:D$3072, D$2:D$3072, 0)), ROW(D$2:D$3072)-ROW(D$2)+1) &gt; 0))</f>
        <v>#N/A</v>
      </c>
      <c r="C1926" s="408"/>
      <c r="D1926" s="408"/>
      <c r="E1926" s="408"/>
      <c r="F1926" s="408"/>
      <c r="G1926" s="408"/>
      <c r="H1926" s="408"/>
      <c r="I1926" s="408"/>
      <c r="J1926" s="408"/>
      <c r="K1926" s="408"/>
      <c r="L1926" s="408"/>
      <c r="M1926" s="408"/>
      <c r="N1926" s="408" t="str">
        <f t="shared" si="457"/>
        <v/>
      </c>
      <c r="O1926" s="408"/>
      <c r="P1926" s="408"/>
      <c r="Q1926" s="408"/>
      <c r="R1926" s="408"/>
      <c r="S1926" s="408"/>
      <c r="T1926" s="408"/>
      <c r="U1926" s="408"/>
      <c r="V1926" s="421"/>
      <c r="W1926" s="421"/>
      <c r="X1926" s="421"/>
      <c r="Y1926" s="421"/>
      <c r="Z1926" s="421"/>
      <c r="AA1926" s="421"/>
      <c r="AB1926" s="421"/>
      <c r="AC1926" s="421"/>
      <c r="AD1926" s="421"/>
      <c r="AE1926" s="421"/>
      <c r="AF1926" s="421"/>
      <c r="AG1926" s="421"/>
      <c r="AH1926" s="421"/>
      <c r="AI1926" s="421"/>
      <c r="AJ1926" s="421"/>
      <c r="AK1926" s="421"/>
      <c r="AL1926" s="421"/>
    </row>
    <row r="1927" spans="1:38" hidden="1">
      <c r="A1927" s="408"/>
      <c r="B1927" s="83" t="e">
        <f t="array" ref="B1927">SUM(--(FREQUENCY(IF(C$2:C$3072=C1927, MATCH(D$2:D$3072, D$2:D$3072, 0)), ROW(D$2:D$3072)-ROW(D$2)+1) &gt; 0))</f>
        <v>#N/A</v>
      </c>
      <c r="C1927" s="408"/>
      <c r="D1927" s="408"/>
      <c r="E1927" s="408"/>
      <c r="F1927" s="408"/>
      <c r="G1927" s="408"/>
      <c r="H1927" s="408"/>
      <c r="I1927" s="408"/>
      <c r="J1927" s="408"/>
      <c r="K1927" s="408"/>
      <c r="L1927" s="408"/>
      <c r="M1927" s="408"/>
      <c r="N1927" s="408" t="str">
        <f t="shared" si="457"/>
        <v/>
      </c>
      <c r="O1927" s="408"/>
      <c r="P1927" s="408"/>
      <c r="Q1927" s="408"/>
      <c r="R1927" s="408"/>
      <c r="S1927" s="408"/>
      <c r="T1927" s="408"/>
      <c r="U1927" s="408"/>
      <c r="V1927" s="421"/>
      <c r="W1927" s="421"/>
      <c r="X1927" s="421"/>
      <c r="Y1927" s="421"/>
      <c r="Z1927" s="421"/>
      <c r="AA1927" s="421"/>
      <c r="AB1927" s="421"/>
      <c r="AC1927" s="421"/>
      <c r="AD1927" s="421"/>
      <c r="AE1927" s="421"/>
      <c r="AF1927" s="421"/>
      <c r="AG1927" s="421"/>
      <c r="AH1927" s="421"/>
      <c r="AI1927" s="421"/>
      <c r="AJ1927" s="421"/>
      <c r="AK1927" s="421"/>
      <c r="AL1927" s="421"/>
    </row>
    <row r="1928" spans="1:38" hidden="1">
      <c r="A1928" s="408"/>
      <c r="B1928" s="83" t="e">
        <f t="array" ref="B1928">SUM(--(FREQUENCY(IF(C$2:C$3072=C1928, MATCH(D$2:D$3072, D$2:D$3072, 0)), ROW(D$2:D$3072)-ROW(D$2)+1) &gt; 0))</f>
        <v>#N/A</v>
      </c>
      <c r="C1928" s="408"/>
      <c r="D1928" s="408"/>
      <c r="E1928" s="408"/>
      <c r="F1928" s="408"/>
      <c r="G1928" s="408"/>
      <c r="H1928" s="408"/>
      <c r="I1928" s="408"/>
      <c r="J1928" s="408"/>
      <c r="K1928" s="408"/>
      <c r="L1928" s="408"/>
      <c r="M1928" s="408"/>
      <c r="N1928" s="408" t="str">
        <f t="shared" si="457"/>
        <v/>
      </c>
      <c r="O1928" s="408"/>
      <c r="P1928" s="408"/>
      <c r="Q1928" s="408"/>
      <c r="R1928" s="408"/>
      <c r="S1928" s="408"/>
      <c r="T1928" s="408"/>
      <c r="U1928" s="408"/>
      <c r="V1928" s="421"/>
      <c r="W1928" s="421"/>
      <c r="X1928" s="421"/>
      <c r="Y1928" s="421"/>
      <c r="Z1928" s="421"/>
      <c r="AA1928" s="421"/>
      <c r="AB1928" s="421"/>
      <c r="AC1928" s="421"/>
      <c r="AD1928" s="421"/>
      <c r="AE1928" s="421"/>
      <c r="AF1928" s="421"/>
      <c r="AG1928" s="421"/>
      <c r="AH1928" s="421"/>
      <c r="AI1928" s="421"/>
      <c r="AJ1928" s="421"/>
      <c r="AK1928" s="421"/>
      <c r="AL1928" s="421"/>
    </row>
    <row r="1929" spans="1:38" hidden="1">
      <c r="A1929" s="408"/>
      <c r="B1929" s="83" t="e">
        <f t="array" ref="B1929">SUM(--(FREQUENCY(IF(C$2:C$3072=C1929, MATCH(D$2:D$3072, D$2:D$3072, 0)), ROW(D$2:D$3072)-ROW(D$2)+1) &gt; 0))</f>
        <v>#N/A</v>
      </c>
      <c r="C1929" s="408"/>
      <c r="D1929" s="408"/>
      <c r="E1929" s="408"/>
      <c r="F1929" s="408"/>
      <c r="G1929" s="408"/>
      <c r="H1929" s="408"/>
      <c r="I1929" s="408"/>
      <c r="J1929" s="408"/>
      <c r="K1929" s="408"/>
      <c r="L1929" s="408"/>
      <c r="M1929" s="408"/>
      <c r="N1929" s="408" t="str">
        <f t="shared" si="457"/>
        <v/>
      </c>
      <c r="O1929" s="408"/>
      <c r="P1929" s="408"/>
      <c r="Q1929" s="408"/>
      <c r="R1929" s="408"/>
      <c r="S1929" s="408"/>
      <c r="T1929" s="408"/>
      <c r="U1929" s="408"/>
      <c r="V1929" s="421"/>
      <c r="W1929" s="421"/>
      <c r="X1929" s="421"/>
      <c r="Y1929" s="421"/>
      <c r="Z1929" s="421"/>
      <c r="AA1929" s="421"/>
      <c r="AB1929" s="421"/>
      <c r="AC1929" s="421"/>
      <c r="AD1929" s="421"/>
      <c r="AE1929" s="421"/>
      <c r="AF1929" s="421"/>
      <c r="AG1929" s="421"/>
      <c r="AH1929" s="421"/>
      <c r="AI1929" s="421"/>
      <c r="AJ1929" s="421"/>
      <c r="AK1929" s="421"/>
      <c r="AL1929" s="421"/>
    </row>
    <row r="1930" spans="1:38" hidden="1">
      <c r="A1930" s="408"/>
      <c r="B1930" s="83" t="e">
        <f t="array" ref="B1930">SUM(--(FREQUENCY(IF(C$2:C$3072=C1930, MATCH(D$2:D$3072, D$2:D$3072, 0)), ROW(D$2:D$3072)-ROW(D$2)+1) &gt; 0))</f>
        <v>#N/A</v>
      </c>
      <c r="C1930" s="408"/>
      <c r="D1930" s="408"/>
      <c r="E1930" s="408"/>
      <c r="F1930" s="408"/>
      <c r="G1930" s="408"/>
      <c r="H1930" s="408"/>
      <c r="I1930" s="408"/>
      <c r="J1930" s="408"/>
      <c r="K1930" s="408"/>
      <c r="L1930" s="408"/>
      <c r="M1930" s="408"/>
      <c r="N1930" s="408" t="str">
        <f t="shared" si="457"/>
        <v/>
      </c>
      <c r="O1930" s="408"/>
      <c r="P1930" s="408"/>
      <c r="Q1930" s="408"/>
      <c r="R1930" s="408"/>
      <c r="S1930" s="408"/>
      <c r="T1930" s="408"/>
      <c r="U1930" s="408"/>
      <c r="V1930" s="421"/>
      <c r="W1930" s="421"/>
      <c r="X1930" s="421"/>
      <c r="Y1930" s="421"/>
      <c r="Z1930" s="421"/>
      <c r="AA1930" s="421"/>
      <c r="AB1930" s="421"/>
      <c r="AC1930" s="421"/>
      <c r="AD1930" s="421"/>
      <c r="AE1930" s="421"/>
      <c r="AF1930" s="421"/>
      <c r="AG1930" s="421"/>
      <c r="AH1930" s="421"/>
      <c r="AI1930" s="421"/>
      <c r="AJ1930" s="421"/>
      <c r="AK1930" s="421"/>
      <c r="AL1930" s="421"/>
    </row>
    <row r="1931" spans="1:38" hidden="1">
      <c r="A1931" s="408"/>
      <c r="B1931" s="83" t="e">
        <f t="array" ref="B1931">SUM(--(FREQUENCY(IF(C$2:C$3072=C1931, MATCH(D$2:D$3072, D$2:D$3072, 0)), ROW(D$2:D$3072)-ROW(D$2)+1) &gt; 0))</f>
        <v>#N/A</v>
      </c>
      <c r="C1931" s="408"/>
      <c r="D1931" s="408"/>
      <c r="E1931" s="408"/>
      <c r="F1931" s="408"/>
      <c r="G1931" s="408"/>
      <c r="H1931" s="408"/>
      <c r="I1931" s="408"/>
      <c r="J1931" s="408"/>
      <c r="K1931" s="408"/>
      <c r="L1931" s="408"/>
      <c r="M1931" s="408"/>
      <c r="N1931" s="408" t="str">
        <f t="shared" si="457"/>
        <v/>
      </c>
      <c r="O1931" s="408"/>
      <c r="P1931" s="408"/>
      <c r="Q1931" s="408"/>
      <c r="R1931" s="408"/>
      <c r="S1931" s="408"/>
      <c r="T1931" s="408"/>
      <c r="U1931" s="408"/>
      <c r="V1931" s="421"/>
      <c r="W1931" s="421"/>
      <c r="X1931" s="421"/>
      <c r="Y1931" s="421"/>
      <c r="Z1931" s="421"/>
      <c r="AA1931" s="421"/>
      <c r="AB1931" s="421"/>
      <c r="AC1931" s="421"/>
      <c r="AD1931" s="421"/>
      <c r="AE1931" s="421"/>
      <c r="AF1931" s="421"/>
      <c r="AG1931" s="421"/>
      <c r="AH1931" s="421"/>
      <c r="AI1931" s="421"/>
      <c r="AJ1931" s="421"/>
      <c r="AK1931" s="421"/>
      <c r="AL1931" s="421"/>
    </row>
    <row r="1932" spans="1:38" hidden="1">
      <c r="A1932" s="408"/>
      <c r="B1932" s="83" t="e">
        <f t="array" ref="B1932">SUM(--(FREQUENCY(IF(C$2:C$3072=C1932, MATCH(D$2:D$3072, D$2:D$3072, 0)), ROW(D$2:D$3072)-ROW(D$2)+1) &gt; 0))</f>
        <v>#N/A</v>
      </c>
      <c r="C1932" s="408"/>
      <c r="D1932" s="408"/>
      <c r="E1932" s="408"/>
      <c r="F1932" s="408"/>
      <c r="G1932" s="408"/>
      <c r="H1932" s="408"/>
      <c r="I1932" s="408"/>
      <c r="J1932" s="408"/>
      <c r="K1932" s="408"/>
      <c r="L1932" s="408"/>
      <c r="M1932" s="408"/>
      <c r="N1932" s="408" t="str">
        <f t="shared" si="457"/>
        <v/>
      </c>
      <c r="O1932" s="408"/>
      <c r="P1932" s="408"/>
      <c r="Q1932" s="408"/>
      <c r="R1932" s="408"/>
      <c r="S1932" s="408"/>
      <c r="T1932" s="408"/>
      <c r="U1932" s="408"/>
      <c r="V1932" s="421"/>
      <c r="W1932" s="421"/>
      <c r="X1932" s="421"/>
      <c r="Y1932" s="421"/>
      <c r="Z1932" s="421"/>
      <c r="AA1932" s="421"/>
      <c r="AB1932" s="421"/>
      <c r="AC1932" s="421"/>
      <c r="AD1932" s="421"/>
      <c r="AE1932" s="421"/>
      <c r="AF1932" s="421"/>
      <c r="AG1932" s="421"/>
      <c r="AH1932" s="421"/>
      <c r="AI1932" s="421"/>
      <c r="AJ1932" s="421"/>
      <c r="AK1932" s="421"/>
      <c r="AL1932" s="421"/>
    </row>
    <row r="1933" spans="1:38" hidden="1">
      <c r="A1933" s="408"/>
      <c r="B1933" s="83" t="e">
        <f t="array" ref="B1933">SUM(--(FREQUENCY(IF(C$2:C$3072=C1933, MATCH(D$2:D$3072, D$2:D$3072, 0)), ROW(D$2:D$3072)-ROW(D$2)+1) &gt; 0))</f>
        <v>#N/A</v>
      </c>
      <c r="C1933" s="408"/>
      <c r="D1933" s="408"/>
      <c r="E1933" s="408"/>
      <c r="F1933" s="408"/>
      <c r="G1933" s="408"/>
      <c r="H1933" s="408"/>
      <c r="I1933" s="408"/>
      <c r="J1933" s="408"/>
      <c r="K1933" s="408"/>
      <c r="L1933" s="408"/>
      <c r="M1933" s="408"/>
      <c r="N1933" s="408" t="str">
        <f t="shared" si="457"/>
        <v/>
      </c>
      <c r="O1933" s="408"/>
      <c r="P1933" s="408"/>
      <c r="Q1933" s="408"/>
      <c r="R1933" s="408"/>
      <c r="S1933" s="408"/>
      <c r="T1933" s="408"/>
      <c r="U1933" s="408"/>
      <c r="V1933" s="421"/>
      <c r="W1933" s="421"/>
      <c r="X1933" s="421"/>
      <c r="Y1933" s="421"/>
      <c r="Z1933" s="421"/>
      <c r="AA1933" s="421"/>
      <c r="AB1933" s="421"/>
      <c r="AC1933" s="421"/>
      <c r="AD1933" s="421"/>
      <c r="AE1933" s="421"/>
      <c r="AF1933" s="421"/>
      <c r="AG1933" s="421"/>
      <c r="AH1933" s="421"/>
      <c r="AI1933" s="421"/>
      <c r="AJ1933" s="421"/>
      <c r="AK1933" s="421"/>
      <c r="AL1933" s="421"/>
    </row>
    <row r="1934" spans="1:38" hidden="1">
      <c r="A1934" s="408"/>
      <c r="B1934" s="83" t="e">
        <f t="array" ref="B1934">SUM(--(FREQUENCY(IF(C$2:C$3072=C1934, MATCH(D$2:D$3072, D$2:D$3072, 0)), ROW(D$2:D$3072)-ROW(D$2)+1) &gt; 0))</f>
        <v>#N/A</v>
      </c>
      <c r="C1934" s="408"/>
      <c r="D1934" s="408"/>
      <c r="E1934" s="408"/>
      <c r="F1934" s="408"/>
      <c r="G1934" s="408"/>
      <c r="H1934" s="408"/>
      <c r="I1934" s="408"/>
      <c r="J1934" s="408"/>
      <c r="K1934" s="408"/>
      <c r="L1934" s="408"/>
      <c r="M1934" s="408"/>
      <c r="N1934" s="408" t="str">
        <f t="shared" si="457"/>
        <v/>
      </c>
      <c r="O1934" s="408"/>
      <c r="P1934" s="408"/>
      <c r="Q1934" s="408"/>
      <c r="R1934" s="408"/>
      <c r="S1934" s="408"/>
      <c r="T1934" s="408"/>
      <c r="U1934" s="408"/>
      <c r="V1934" s="421"/>
      <c r="W1934" s="421"/>
      <c r="X1934" s="421"/>
      <c r="Y1934" s="421"/>
      <c r="Z1934" s="421"/>
      <c r="AA1934" s="421"/>
      <c r="AB1934" s="421"/>
      <c r="AC1934" s="421"/>
      <c r="AD1934" s="421"/>
      <c r="AE1934" s="421"/>
      <c r="AF1934" s="421"/>
      <c r="AG1934" s="421"/>
      <c r="AH1934" s="421"/>
      <c r="AI1934" s="421"/>
      <c r="AJ1934" s="421"/>
      <c r="AK1934" s="421"/>
      <c r="AL1934" s="421"/>
    </row>
    <row r="1935" spans="1:38" hidden="1">
      <c r="A1935" s="408"/>
      <c r="B1935" s="83" t="e">
        <f t="array" ref="B1935">SUM(--(FREQUENCY(IF(C$2:C$3072=C1935, MATCH(D$2:D$3072, D$2:D$3072, 0)), ROW(D$2:D$3072)-ROW(D$2)+1) &gt; 0))</f>
        <v>#N/A</v>
      </c>
      <c r="C1935" s="408"/>
      <c r="D1935" s="408"/>
      <c r="E1935" s="408"/>
      <c r="F1935" s="408"/>
      <c r="G1935" s="408"/>
      <c r="H1935" s="408"/>
      <c r="I1935" s="408"/>
      <c r="J1935" s="408"/>
      <c r="K1935" s="408"/>
      <c r="L1935" s="408"/>
      <c r="M1935" s="408"/>
      <c r="N1935" s="408" t="str">
        <f t="shared" si="457"/>
        <v/>
      </c>
      <c r="O1935" s="408"/>
      <c r="P1935" s="408"/>
      <c r="Q1935" s="408"/>
      <c r="R1935" s="408"/>
      <c r="S1935" s="408"/>
      <c r="T1935" s="408"/>
      <c r="U1935" s="408"/>
      <c r="V1935" s="421"/>
      <c r="W1935" s="421"/>
      <c r="X1935" s="421"/>
      <c r="Y1935" s="421"/>
      <c r="Z1935" s="421"/>
      <c r="AA1935" s="421"/>
      <c r="AB1935" s="421"/>
      <c r="AC1935" s="421"/>
      <c r="AD1935" s="421"/>
      <c r="AE1935" s="421"/>
      <c r="AF1935" s="421"/>
      <c r="AG1935" s="421"/>
      <c r="AH1935" s="421"/>
      <c r="AI1935" s="421"/>
      <c r="AJ1935" s="421"/>
      <c r="AK1935" s="421"/>
      <c r="AL1935" s="421"/>
    </row>
    <row r="1936" spans="1:38" hidden="1">
      <c r="A1936" s="408"/>
      <c r="B1936" s="83" t="e">
        <f t="array" ref="B1936">SUM(--(FREQUENCY(IF(C$2:C$3072=C1936, MATCH(D$2:D$3072, D$2:D$3072, 0)), ROW(D$2:D$3072)-ROW(D$2)+1) &gt; 0))</f>
        <v>#N/A</v>
      </c>
      <c r="C1936" s="408"/>
      <c r="D1936" s="408"/>
      <c r="E1936" s="408"/>
      <c r="F1936" s="408"/>
      <c r="G1936" s="408"/>
      <c r="H1936" s="408"/>
      <c r="I1936" s="408"/>
      <c r="J1936" s="408"/>
      <c r="K1936" s="408"/>
      <c r="L1936" s="408"/>
      <c r="M1936" s="408"/>
      <c r="N1936" s="408" t="str">
        <f t="shared" si="457"/>
        <v/>
      </c>
      <c r="O1936" s="408"/>
      <c r="P1936" s="408"/>
      <c r="Q1936" s="408"/>
      <c r="R1936" s="408"/>
      <c r="S1936" s="408"/>
      <c r="T1936" s="408"/>
      <c r="U1936" s="408"/>
      <c r="V1936" s="421"/>
      <c r="W1936" s="421"/>
      <c r="X1936" s="421"/>
      <c r="Y1936" s="421"/>
      <c r="Z1936" s="421"/>
      <c r="AA1936" s="421"/>
      <c r="AB1936" s="421"/>
      <c r="AC1936" s="421"/>
      <c r="AD1936" s="421"/>
      <c r="AE1936" s="421"/>
      <c r="AF1936" s="421"/>
      <c r="AG1936" s="421"/>
      <c r="AH1936" s="421"/>
      <c r="AI1936" s="421"/>
      <c r="AJ1936" s="421"/>
      <c r="AK1936" s="421"/>
      <c r="AL1936" s="421"/>
    </row>
    <row r="1937" spans="1:38" hidden="1">
      <c r="A1937" s="408"/>
      <c r="B1937" s="83" t="e">
        <f t="array" ref="B1937">SUM(--(FREQUENCY(IF(C$2:C$3072=C1937, MATCH(D$2:D$3072, D$2:D$3072, 0)), ROW(D$2:D$3072)-ROW(D$2)+1) &gt; 0))</f>
        <v>#N/A</v>
      </c>
      <c r="C1937" s="408"/>
      <c r="D1937" s="408"/>
      <c r="E1937" s="408"/>
      <c r="F1937" s="408"/>
      <c r="G1937" s="408"/>
      <c r="H1937" s="408"/>
      <c r="I1937" s="408"/>
      <c r="J1937" s="408"/>
      <c r="K1937" s="408"/>
      <c r="L1937" s="408"/>
      <c r="M1937" s="408"/>
      <c r="N1937" s="408" t="str">
        <f t="shared" si="457"/>
        <v/>
      </c>
      <c r="O1937" s="408"/>
      <c r="P1937" s="408"/>
      <c r="Q1937" s="408"/>
      <c r="R1937" s="408"/>
      <c r="S1937" s="408"/>
      <c r="T1937" s="408"/>
      <c r="U1937" s="408"/>
      <c r="V1937" s="421"/>
      <c r="W1937" s="421"/>
      <c r="X1937" s="421"/>
      <c r="Y1937" s="421"/>
      <c r="Z1937" s="421"/>
      <c r="AA1937" s="421"/>
      <c r="AB1937" s="421"/>
      <c r="AC1937" s="421"/>
      <c r="AD1937" s="421"/>
      <c r="AE1937" s="421"/>
      <c r="AF1937" s="421"/>
      <c r="AG1937" s="421"/>
      <c r="AH1937" s="421"/>
      <c r="AI1937" s="421"/>
      <c r="AJ1937" s="421"/>
      <c r="AK1937" s="421"/>
      <c r="AL1937" s="421"/>
    </row>
    <row r="1938" spans="1:38" hidden="1">
      <c r="A1938" s="408"/>
      <c r="B1938" s="83" t="e">
        <f t="array" ref="B1938">SUM(--(FREQUENCY(IF(C$2:C$3072=C1938, MATCH(D$2:D$3072, D$2:D$3072, 0)), ROW(D$2:D$3072)-ROW(D$2)+1) &gt; 0))</f>
        <v>#N/A</v>
      </c>
      <c r="C1938" s="408"/>
      <c r="D1938" s="408"/>
      <c r="E1938" s="408"/>
      <c r="F1938" s="408"/>
      <c r="G1938" s="408"/>
      <c r="H1938" s="408"/>
      <c r="I1938" s="408"/>
      <c r="J1938" s="408"/>
      <c r="K1938" s="408"/>
      <c r="L1938" s="408"/>
      <c r="M1938" s="408"/>
      <c r="N1938" s="408" t="str">
        <f t="shared" si="457"/>
        <v/>
      </c>
      <c r="O1938" s="408"/>
      <c r="P1938" s="408"/>
      <c r="Q1938" s="408"/>
      <c r="R1938" s="408"/>
      <c r="S1938" s="408"/>
      <c r="T1938" s="408"/>
      <c r="U1938" s="408"/>
      <c r="V1938" s="421"/>
      <c r="W1938" s="421"/>
      <c r="X1938" s="421"/>
      <c r="Y1938" s="421"/>
      <c r="Z1938" s="421"/>
      <c r="AA1938" s="421"/>
      <c r="AB1938" s="421"/>
      <c r="AC1938" s="421"/>
      <c r="AD1938" s="421"/>
      <c r="AE1938" s="421"/>
      <c r="AF1938" s="421"/>
      <c r="AG1938" s="421"/>
      <c r="AH1938" s="421"/>
      <c r="AI1938" s="421"/>
      <c r="AJ1938" s="421"/>
      <c r="AK1938" s="421"/>
      <c r="AL1938" s="421"/>
    </row>
    <row r="1939" spans="1:38" hidden="1">
      <c r="A1939" s="408"/>
      <c r="B1939" s="83" t="e">
        <f t="array" ref="B1939">SUM(--(FREQUENCY(IF(C$2:C$3072=C1939, MATCH(D$2:D$3072, D$2:D$3072, 0)), ROW(D$2:D$3072)-ROW(D$2)+1) &gt; 0))</f>
        <v>#N/A</v>
      </c>
      <c r="C1939" s="408"/>
      <c r="D1939" s="408"/>
      <c r="E1939" s="408"/>
      <c r="F1939" s="408"/>
      <c r="G1939" s="408"/>
      <c r="H1939" s="408"/>
      <c r="I1939" s="408"/>
      <c r="J1939" s="408"/>
      <c r="K1939" s="408"/>
      <c r="L1939" s="408"/>
      <c r="M1939" s="408"/>
      <c r="N1939" s="408" t="str">
        <f t="shared" si="457"/>
        <v/>
      </c>
      <c r="O1939" s="408"/>
      <c r="P1939" s="408"/>
      <c r="Q1939" s="408"/>
      <c r="R1939" s="408"/>
      <c r="S1939" s="408"/>
      <c r="T1939" s="408"/>
      <c r="U1939" s="408"/>
      <c r="V1939" s="421"/>
      <c r="W1939" s="421"/>
      <c r="X1939" s="421"/>
      <c r="Y1939" s="421"/>
      <c r="Z1939" s="421"/>
      <c r="AA1939" s="421"/>
      <c r="AB1939" s="421"/>
      <c r="AC1939" s="421"/>
      <c r="AD1939" s="421"/>
      <c r="AE1939" s="421"/>
      <c r="AF1939" s="421"/>
      <c r="AG1939" s="421"/>
      <c r="AH1939" s="421"/>
      <c r="AI1939" s="421"/>
      <c r="AJ1939" s="421"/>
      <c r="AK1939" s="421"/>
      <c r="AL1939" s="421"/>
    </row>
    <row r="1940" spans="1:38" hidden="1">
      <c r="A1940" s="408"/>
      <c r="B1940" s="83" t="e">
        <f t="array" ref="B1940">SUM(--(FREQUENCY(IF(C$2:C$3072=C1940, MATCH(D$2:D$3072, D$2:D$3072, 0)), ROW(D$2:D$3072)-ROW(D$2)+1) &gt; 0))</f>
        <v>#N/A</v>
      </c>
      <c r="C1940" s="408"/>
      <c r="D1940" s="408"/>
      <c r="E1940" s="408"/>
      <c r="F1940" s="408"/>
      <c r="G1940" s="408"/>
      <c r="H1940" s="408"/>
      <c r="I1940" s="408"/>
      <c r="J1940" s="408"/>
      <c r="K1940" s="408"/>
      <c r="L1940" s="408"/>
      <c r="M1940" s="408"/>
      <c r="N1940" s="408" t="str">
        <f t="shared" si="457"/>
        <v/>
      </c>
      <c r="O1940" s="408"/>
      <c r="P1940" s="408"/>
      <c r="Q1940" s="408"/>
      <c r="R1940" s="408"/>
      <c r="S1940" s="408"/>
      <c r="T1940" s="408"/>
      <c r="U1940" s="408"/>
      <c r="V1940" s="421"/>
      <c r="W1940" s="421"/>
      <c r="X1940" s="421"/>
      <c r="Y1940" s="421"/>
      <c r="Z1940" s="421"/>
      <c r="AA1940" s="421"/>
      <c r="AB1940" s="421"/>
      <c r="AC1940" s="421"/>
      <c r="AD1940" s="421"/>
      <c r="AE1940" s="421"/>
      <c r="AF1940" s="421"/>
      <c r="AG1940" s="421"/>
      <c r="AH1940" s="421"/>
      <c r="AI1940" s="421"/>
      <c r="AJ1940" s="421"/>
      <c r="AK1940" s="421"/>
      <c r="AL1940" s="421"/>
    </row>
    <row r="1941" spans="1:38" hidden="1">
      <c r="A1941" s="408"/>
      <c r="B1941" s="83" t="e">
        <f t="array" ref="B1941">SUM(--(FREQUENCY(IF(C$2:C$3072=C1941, MATCH(D$2:D$3072, D$2:D$3072, 0)), ROW(D$2:D$3072)-ROW(D$2)+1) &gt; 0))</f>
        <v>#N/A</v>
      </c>
      <c r="C1941" s="408"/>
      <c r="D1941" s="408"/>
      <c r="E1941" s="408"/>
      <c r="F1941" s="408"/>
      <c r="G1941" s="408"/>
      <c r="H1941" s="408"/>
      <c r="I1941" s="408"/>
      <c r="J1941" s="408"/>
      <c r="K1941" s="408"/>
      <c r="L1941" s="408"/>
      <c r="M1941" s="408"/>
      <c r="N1941" s="408" t="str">
        <f t="shared" si="457"/>
        <v/>
      </c>
      <c r="O1941" s="408"/>
      <c r="P1941" s="408"/>
      <c r="Q1941" s="408"/>
      <c r="R1941" s="408"/>
      <c r="S1941" s="408"/>
      <c r="T1941" s="408"/>
      <c r="U1941" s="408"/>
      <c r="V1941" s="421"/>
      <c r="W1941" s="421"/>
      <c r="X1941" s="421"/>
      <c r="Y1941" s="421"/>
      <c r="Z1941" s="421"/>
      <c r="AA1941" s="421"/>
      <c r="AB1941" s="421"/>
      <c r="AC1941" s="421"/>
      <c r="AD1941" s="421"/>
      <c r="AE1941" s="421"/>
      <c r="AF1941" s="421"/>
      <c r="AG1941" s="421"/>
      <c r="AH1941" s="421"/>
      <c r="AI1941" s="421"/>
      <c r="AJ1941" s="421"/>
      <c r="AK1941" s="421"/>
      <c r="AL1941" s="421"/>
    </row>
    <row r="1942" spans="1:38" hidden="1">
      <c r="A1942" s="408"/>
      <c r="B1942" s="83" t="e">
        <f t="array" ref="B1942">SUM(--(FREQUENCY(IF(C$2:C$3072=C1942, MATCH(D$2:D$3072, D$2:D$3072, 0)), ROW(D$2:D$3072)-ROW(D$2)+1) &gt; 0))</f>
        <v>#N/A</v>
      </c>
      <c r="C1942" s="408"/>
      <c r="D1942" s="408"/>
      <c r="E1942" s="408"/>
      <c r="F1942" s="408"/>
      <c r="G1942" s="408"/>
      <c r="H1942" s="408"/>
      <c r="I1942" s="408"/>
      <c r="J1942" s="408"/>
      <c r="K1942" s="408"/>
      <c r="L1942" s="408"/>
      <c r="M1942" s="408"/>
      <c r="N1942" s="408" t="str">
        <f t="shared" si="457"/>
        <v/>
      </c>
      <c r="O1942" s="408"/>
      <c r="P1942" s="408"/>
      <c r="Q1942" s="408"/>
      <c r="R1942" s="408"/>
      <c r="S1942" s="408"/>
      <c r="T1942" s="408"/>
      <c r="U1942" s="408"/>
      <c r="V1942" s="421"/>
      <c r="W1942" s="421"/>
      <c r="X1942" s="421"/>
      <c r="Y1942" s="421"/>
      <c r="Z1942" s="421"/>
      <c r="AA1942" s="421"/>
      <c r="AB1942" s="421"/>
      <c r="AC1942" s="421"/>
      <c r="AD1942" s="421"/>
      <c r="AE1942" s="421"/>
      <c r="AF1942" s="421"/>
      <c r="AG1942" s="421"/>
      <c r="AH1942" s="421"/>
      <c r="AI1942" s="421"/>
      <c r="AJ1942" s="421"/>
      <c r="AK1942" s="421"/>
      <c r="AL1942" s="421"/>
    </row>
    <row r="1943" spans="1:38" hidden="1">
      <c r="A1943" s="408"/>
      <c r="B1943" s="83" t="e">
        <f t="array" ref="B1943">SUM(--(FREQUENCY(IF(C$2:C$3072=C1943, MATCH(D$2:D$3072, D$2:D$3072, 0)), ROW(D$2:D$3072)-ROW(D$2)+1) &gt; 0))</f>
        <v>#N/A</v>
      </c>
      <c r="C1943" s="408"/>
      <c r="D1943" s="408"/>
      <c r="E1943" s="408"/>
      <c r="F1943" s="408"/>
      <c r="G1943" s="408"/>
      <c r="H1943" s="408"/>
      <c r="I1943" s="408"/>
      <c r="J1943" s="408"/>
      <c r="K1943" s="408"/>
      <c r="L1943" s="408"/>
      <c r="M1943" s="408"/>
      <c r="N1943" s="408" t="str">
        <f t="shared" si="457"/>
        <v/>
      </c>
      <c r="O1943" s="408"/>
      <c r="P1943" s="408"/>
      <c r="Q1943" s="408"/>
      <c r="R1943" s="408"/>
      <c r="S1943" s="408"/>
      <c r="T1943" s="408"/>
      <c r="U1943" s="408"/>
      <c r="V1943" s="421"/>
      <c r="W1943" s="421"/>
      <c r="X1943" s="421"/>
      <c r="Y1943" s="421"/>
      <c r="Z1943" s="421"/>
      <c r="AA1943" s="421"/>
      <c r="AB1943" s="421"/>
      <c r="AC1943" s="421"/>
      <c r="AD1943" s="421"/>
      <c r="AE1943" s="421"/>
      <c r="AF1943" s="421"/>
      <c r="AG1943" s="421"/>
      <c r="AH1943" s="421"/>
      <c r="AI1943" s="421"/>
      <c r="AJ1943" s="421"/>
      <c r="AK1943" s="421"/>
      <c r="AL1943" s="421"/>
    </row>
    <row r="1944" spans="1:38" hidden="1">
      <c r="A1944" s="408"/>
      <c r="B1944" s="83" t="e">
        <f t="array" ref="B1944">SUM(--(FREQUENCY(IF(C$2:C$3072=C1944, MATCH(D$2:D$3072, D$2:D$3072, 0)), ROW(D$2:D$3072)-ROW(D$2)+1) &gt; 0))</f>
        <v>#N/A</v>
      </c>
      <c r="C1944" s="408"/>
      <c r="D1944" s="408"/>
      <c r="E1944" s="408"/>
      <c r="F1944" s="408"/>
      <c r="G1944" s="408"/>
      <c r="H1944" s="408"/>
      <c r="I1944" s="408"/>
      <c r="J1944" s="408"/>
      <c r="K1944" s="408"/>
      <c r="L1944" s="408"/>
      <c r="M1944" s="408"/>
      <c r="N1944" s="408" t="str">
        <f t="shared" si="457"/>
        <v/>
      </c>
      <c r="O1944" s="408"/>
      <c r="P1944" s="408"/>
      <c r="Q1944" s="408"/>
      <c r="R1944" s="408"/>
      <c r="S1944" s="408"/>
      <c r="T1944" s="408"/>
      <c r="U1944" s="408"/>
      <c r="V1944" s="421"/>
      <c r="W1944" s="421"/>
      <c r="X1944" s="421"/>
      <c r="Y1944" s="421"/>
      <c r="Z1944" s="421"/>
      <c r="AA1944" s="421"/>
      <c r="AB1944" s="421"/>
      <c r="AC1944" s="421"/>
      <c r="AD1944" s="421"/>
      <c r="AE1944" s="421"/>
      <c r="AF1944" s="421"/>
      <c r="AG1944" s="421"/>
      <c r="AH1944" s="421"/>
      <c r="AI1944" s="421"/>
      <c r="AJ1944" s="421"/>
      <c r="AK1944" s="421"/>
      <c r="AL1944" s="421"/>
    </row>
    <row r="1945" spans="1:38" hidden="1">
      <c r="A1945" s="408"/>
      <c r="B1945" s="83" t="e">
        <f t="array" ref="B1945">SUM(--(FREQUENCY(IF(C$2:C$3072=C1945, MATCH(D$2:D$3072, D$2:D$3072, 0)), ROW(D$2:D$3072)-ROW(D$2)+1) &gt; 0))</f>
        <v>#N/A</v>
      </c>
      <c r="C1945" s="408"/>
      <c r="D1945" s="408"/>
      <c r="E1945" s="408"/>
      <c r="F1945" s="408"/>
      <c r="G1945" s="408"/>
      <c r="H1945" s="408"/>
      <c r="I1945" s="408"/>
      <c r="J1945" s="408"/>
      <c r="K1945" s="408"/>
      <c r="L1945" s="408"/>
      <c r="M1945" s="408"/>
      <c r="N1945" s="408" t="str">
        <f t="shared" si="457"/>
        <v/>
      </c>
      <c r="O1945" s="408"/>
      <c r="P1945" s="408"/>
      <c r="Q1945" s="408"/>
      <c r="R1945" s="408"/>
      <c r="S1945" s="408"/>
      <c r="T1945" s="408"/>
      <c r="U1945" s="408"/>
      <c r="V1945" s="421"/>
      <c r="W1945" s="421"/>
      <c r="X1945" s="421"/>
      <c r="Y1945" s="421"/>
      <c r="Z1945" s="421"/>
      <c r="AA1945" s="421"/>
      <c r="AB1945" s="421"/>
      <c r="AC1945" s="421"/>
      <c r="AD1945" s="421"/>
      <c r="AE1945" s="421"/>
      <c r="AF1945" s="421"/>
      <c r="AG1945" s="421"/>
      <c r="AH1945" s="421"/>
      <c r="AI1945" s="421"/>
      <c r="AJ1945" s="421"/>
      <c r="AK1945" s="421"/>
      <c r="AL1945" s="421"/>
    </row>
    <row r="1946" spans="1:38" hidden="1">
      <c r="A1946" s="408"/>
      <c r="B1946" s="83" t="e">
        <f t="array" ref="B1946">SUM(--(FREQUENCY(IF(C$2:C$3072=C1946, MATCH(D$2:D$3072, D$2:D$3072, 0)), ROW(D$2:D$3072)-ROW(D$2)+1) &gt; 0))</f>
        <v>#N/A</v>
      </c>
      <c r="C1946" s="408"/>
      <c r="D1946" s="408"/>
      <c r="E1946" s="408"/>
      <c r="F1946" s="408"/>
      <c r="G1946" s="408"/>
      <c r="H1946" s="408"/>
      <c r="I1946" s="408"/>
      <c r="J1946" s="408"/>
      <c r="K1946" s="408"/>
      <c r="L1946" s="408"/>
      <c r="M1946" s="408"/>
      <c r="N1946" s="408" t="str">
        <f t="shared" si="457"/>
        <v/>
      </c>
      <c r="O1946" s="408"/>
      <c r="P1946" s="408"/>
      <c r="Q1946" s="408"/>
      <c r="R1946" s="408"/>
      <c r="S1946" s="408"/>
      <c r="T1946" s="408"/>
      <c r="U1946" s="408"/>
      <c r="V1946" s="421"/>
      <c r="W1946" s="421"/>
      <c r="X1946" s="421"/>
      <c r="Y1946" s="421"/>
      <c r="Z1946" s="421"/>
      <c r="AA1946" s="421"/>
      <c r="AB1946" s="421"/>
      <c r="AC1946" s="421"/>
      <c r="AD1946" s="421"/>
      <c r="AE1946" s="421"/>
      <c r="AF1946" s="421"/>
      <c r="AG1946" s="421"/>
      <c r="AH1946" s="421"/>
      <c r="AI1946" s="421"/>
      <c r="AJ1946" s="421"/>
      <c r="AK1946" s="421"/>
      <c r="AL1946" s="421"/>
    </row>
    <row r="1947" spans="1:38" hidden="1">
      <c r="A1947" s="408"/>
      <c r="B1947" s="83" t="e">
        <f t="array" ref="B1947">SUM(--(FREQUENCY(IF(C$2:C$3072=C1947, MATCH(D$2:D$3072, D$2:D$3072, 0)), ROW(D$2:D$3072)-ROW(D$2)+1) &gt; 0))</f>
        <v>#N/A</v>
      </c>
      <c r="C1947" s="408"/>
      <c r="D1947" s="408"/>
      <c r="E1947" s="408"/>
      <c r="F1947" s="408"/>
      <c r="G1947" s="408"/>
      <c r="H1947" s="408"/>
      <c r="I1947" s="408"/>
      <c r="J1947" s="408"/>
      <c r="K1947" s="408"/>
      <c r="L1947" s="408"/>
      <c r="M1947" s="408"/>
      <c r="N1947" s="408" t="str">
        <f t="shared" si="457"/>
        <v/>
      </c>
      <c r="O1947" s="408"/>
      <c r="P1947" s="408"/>
      <c r="Q1947" s="408"/>
      <c r="R1947" s="408"/>
      <c r="S1947" s="408"/>
      <c r="T1947" s="408"/>
      <c r="U1947" s="408"/>
      <c r="V1947" s="421"/>
      <c r="W1947" s="421"/>
      <c r="X1947" s="421"/>
      <c r="Y1947" s="421"/>
      <c r="Z1947" s="421"/>
      <c r="AA1947" s="421"/>
      <c r="AB1947" s="421"/>
      <c r="AC1947" s="421"/>
      <c r="AD1947" s="421"/>
      <c r="AE1947" s="421"/>
      <c r="AF1947" s="421"/>
      <c r="AG1947" s="421"/>
      <c r="AH1947" s="421"/>
      <c r="AI1947" s="421"/>
      <c r="AJ1947" s="421"/>
      <c r="AK1947" s="421"/>
      <c r="AL1947" s="421"/>
    </row>
    <row r="1948" spans="1:38" hidden="1">
      <c r="A1948" s="408"/>
      <c r="B1948" s="83" t="e">
        <f t="array" ref="B1948">SUM(--(FREQUENCY(IF(C$2:C$3072=C1948, MATCH(D$2:D$3072, D$2:D$3072, 0)), ROW(D$2:D$3072)-ROW(D$2)+1) &gt; 0))</f>
        <v>#N/A</v>
      </c>
      <c r="C1948" s="408"/>
      <c r="D1948" s="408"/>
      <c r="E1948" s="408"/>
      <c r="F1948" s="408"/>
      <c r="G1948" s="408"/>
      <c r="H1948" s="408"/>
      <c r="I1948" s="408"/>
      <c r="J1948" s="408"/>
      <c r="K1948" s="408"/>
      <c r="L1948" s="408"/>
      <c r="M1948" s="408"/>
      <c r="N1948" s="408" t="str">
        <f t="shared" si="457"/>
        <v/>
      </c>
      <c r="O1948" s="408"/>
      <c r="P1948" s="408"/>
      <c r="Q1948" s="408"/>
      <c r="R1948" s="408"/>
      <c r="S1948" s="408"/>
      <c r="T1948" s="408"/>
      <c r="U1948" s="408"/>
      <c r="V1948" s="421"/>
      <c r="W1948" s="421"/>
      <c r="X1948" s="421"/>
      <c r="Y1948" s="421"/>
      <c r="Z1948" s="421"/>
      <c r="AA1948" s="421"/>
      <c r="AB1948" s="421"/>
      <c r="AC1948" s="421"/>
      <c r="AD1948" s="421"/>
      <c r="AE1948" s="421"/>
      <c r="AF1948" s="421"/>
      <c r="AG1948" s="421"/>
      <c r="AH1948" s="421"/>
      <c r="AI1948" s="421"/>
      <c r="AJ1948" s="421"/>
      <c r="AK1948" s="421"/>
      <c r="AL1948" s="421"/>
    </row>
    <row r="1949" spans="1:38" hidden="1">
      <c r="A1949" s="408"/>
      <c r="B1949" s="83" t="e">
        <f t="array" ref="B1949">SUM(--(FREQUENCY(IF(C$2:C$3072=C1949, MATCH(D$2:D$3072, D$2:D$3072, 0)), ROW(D$2:D$3072)-ROW(D$2)+1) &gt; 0))</f>
        <v>#N/A</v>
      </c>
      <c r="C1949" s="408"/>
      <c r="D1949" s="408"/>
      <c r="E1949" s="408"/>
      <c r="F1949" s="408"/>
      <c r="G1949" s="408"/>
      <c r="H1949" s="408"/>
      <c r="I1949" s="408"/>
      <c r="J1949" s="408"/>
      <c r="K1949" s="408"/>
      <c r="L1949" s="408"/>
      <c r="M1949" s="408"/>
      <c r="N1949" s="408" t="str">
        <f t="shared" si="457"/>
        <v/>
      </c>
      <c r="O1949" s="408"/>
      <c r="P1949" s="408"/>
      <c r="Q1949" s="408"/>
      <c r="R1949" s="408"/>
      <c r="S1949" s="408"/>
      <c r="T1949" s="408"/>
      <c r="U1949" s="408"/>
      <c r="V1949" s="421"/>
      <c r="W1949" s="421"/>
      <c r="X1949" s="421"/>
      <c r="Y1949" s="421"/>
      <c r="Z1949" s="421"/>
      <c r="AA1949" s="421"/>
      <c r="AB1949" s="421"/>
      <c r="AC1949" s="421"/>
      <c r="AD1949" s="421"/>
      <c r="AE1949" s="421"/>
      <c r="AF1949" s="421"/>
      <c r="AG1949" s="421"/>
      <c r="AH1949" s="421"/>
      <c r="AI1949" s="421"/>
      <c r="AJ1949" s="421"/>
      <c r="AK1949" s="421"/>
      <c r="AL1949" s="421"/>
    </row>
    <row r="1950" spans="1:38" hidden="1">
      <c r="A1950" s="408"/>
      <c r="B1950" s="83" t="e">
        <f t="array" ref="B1950">SUM(--(FREQUENCY(IF(C$2:C$3072=C1950, MATCH(D$2:D$3072, D$2:D$3072, 0)), ROW(D$2:D$3072)-ROW(D$2)+1) &gt; 0))</f>
        <v>#N/A</v>
      </c>
      <c r="C1950" s="408"/>
      <c r="D1950" s="408"/>
      <c r="E1950" s="408"/>
      <c r="F1950" s="408"/>
      <c r="G1950" s="408"/>
      <c r="H1950" s="408"/>
      <c r="I1950" s="408"/>
      <c r="J1950" s="408"/>
      <c r="K1950" s="408"/>
      <c r="L1950" s="408"/>
      <c r="M1950" s="408"/>
      <c r="N1950" s="408" t="str">
        <f t="shared" si="457"/>
        <v/>
      </c>
      <c r="O1950" s="408"/>
      <c r="P1950" s="408"/>
      <c r="Q1950" s="408"/>
      <c r="R1950" s="408"/>
      <c r="S1950" s="408"/>
      <c r="T1950" s="408"/>
      <c r="U1950" s="408"/>
      <c r="V1950" s="421"/>
      <c r="W1950" s="421"/>
      <c r="X1950" s="421"/>
      <c r="Y1950" s="421"/>
      <c r="Z1950" s="421"/>
      <c r="AA1950" s="421"/>
      <c r="AB1950" s="421"/>
      <c r="AC1950" s="421"/>
      <c r="AD1950" s="421"/>
      <c r="AE1950" s="421"/>
      <c r="AF1950" s="421"/>
      <c r="AG1950" s="421"/>
      <c r="AH1950" s="421"/>
      <c r="AI1950" s="421"/>
      <c r="AJ1950" s="421"/>
      <c r="AK1950" s="421"/>
      <c r="AL1950" s="421"/>
    </row>
    <row r="1951" spans="1:38" hidden="1">
      <c r="A1951" s="408"/>
      <c r="B1951" s="83" t="e">
        <f t="array" ref="B1951">SUM(--(FREQUENCY(IF(C$2:C$3072=C1951, MATCH(D$2:D$3072, D$2:D$3072, 0)), ROW(D$2:D$3072)-ROW(D$2)+1) &gt; 0))</f>
        <v>#N/A</v>
      </c>
      <c r="C1951" s="408"/>
      <c r="D1951" s="408"/>
      <c r="E1951" s="408"/>
      <c r="F1951" s="408"/>
      <c r="G1951" s="408"/>
      <c r="H1951" s="408"/>
      <c r="I1951" s="408"/>
      <c r="J1951" s="408"/>
      <c r="K1951" s="408"/>
      <c r="L1951" s="408"/>
      <c r="M1951" s="408"/>
      <c r="N1951" s="408" t="str">
        <f t="shared" si="457"/>
        <v/>
      </c>
      <c r="O1951" s="408"/>
      <c r="P1951" s="408"/>
      <c r="Q1951" s="408"/>
      <c r="R1951" s="408"/>
      <c r="S1951" s="408"/>
      <c r="T1951" s="408"/>
      <c r="U1951" s="408"/>
      <c r="V1951" s="421"/>
      <c r="W1951" s="421"/>
      <c r="X1951" s="421"/>
      <c r="Y1951" s="421"/>
      <c r="Z1951" s="421"/>
      <c r="AA1951" s="421"/>
      <c r="AB1951" s="421"/>
      <c r="AC1951" s="421"/>
      <c r="AD1951" s="421"/>
      <c r="AE1951" s="421"/>
      <c r="AF1951" s="421"/>
      <c r="AG1951" s="421"/>
      <c r="AH1951" s="421"/>
      <c r="AI1951" s="421"/>
      <c r="AJ1951" s="421"/>
      <c r="AK1951" s="421"/>
      <c r="AL1951" s="421"/>
    </row>
    <row r="1952" spans="1:38" hidden="1">
      <c r="A1952" s="408"/>
      <c r="B1952" s="83" t="e">
        <f t="array" ref="B1952">SUM(--(FREQUENCY(IF(C$2:C$3072=C1952, MATCH(D$2:D$3072, D$2:D$3072, 0)), ROW(D$2:D$3072)-ROW(D$2)+1) &gt; 0))</f>
        <v>#N/A</v>
      </c>
      <c r="C1952" s="408"/>
      <c r="D1952" s="408"/>
      <c r="E1952" s="408"/>
      <c r="F1952" s="408"/>
      <c r="G1952" s="408"/>
      <c r="H1952" s="408"/>
      <c r="I1952" s="408"/>
      <c r="J1952" s="408"/>
      <c r="K1952" s="408"/>
      <c r="L1952" s="408"/>
      <c r="M1952" s="408"/>
      <c r="N1952" s="408" t="str">
        <f t="shared" si="457"/>
        <v/>
      </c>
      <c r="O1952" s="408"/>
      <c r="P1952" s="408"/>
      <c r="Q1952" s="408"/>
      <c r="R1952" s="408"/>
      <c r="S1952" s="408"/>
      <c r="T1952" s="408"/>
      <c r="U1952" s="408"/>
      <c r="V1952" s="421"/>
      <c r="W1952" s="421"/>
      <c r="X1952" s="421"/>
      <c r="Y1952" s="421"/>
      <c r="Z1952" s="421"/>
      <c r="AA1952" s="421"/>
      <c r="AB1952" s="421"/>
      <c r="AC1952" s="421"/>
      <c r="AD1952" s="421"/>
      <c r="AE1952" s="421"/>
      <c r="AF1952" s="421"/>
      <c r="AG1952" s="421"/>
      <c r="AH1952" s="421"/>
      <c r="AI1952" s="421"/>
      <c r="AJ1952" s="421"/>
      <c r="AK1952" s="421"/>
      <c r="AL1952" s="421"/>
    </row>
    <row r="1953" spans="1:38" hidden="1">
      <c r="A1953" s="408"/>
      <c r="B1953" s="83" t="e">
        <f t="array" ref="B1953">SUM(--(FREQUENCY(IF(C$2:C$3072=C1953, MATCH(D$2:D$3072, D$2:D$3072, 0)), ROW(D$2:D$3072)-ROW(D$2)+1) &gt; 0))</f>
        <v>#N/A</v>
      </c>
      <c r="C1953" s="408"/>
      <c r="D1953" s="408"/>
      <c r="E1953" s="408"/>
      <c r="F1953" s="408"/>
      <c r="G1953" s="408"/>
      <c r="H1953" s="408"/>
      <c r="I1953" s="408"/>
      <c r="J1953" s="408"/>
      <c r="K1953" s="408"/>
      <c r="L1953" s="408"/>
      <c r="M1953" s="408"/>
      <c r="N1953" s="408" t="str">
        <f t="shared" si="457"/>
        <v/>
      </c>
      <c r="O1953" s="408"/>
      <c r="P1953" s="408"/>
      <c r="Q1953" s="408"/>
      <c r="R1953" s="408"/>
      <c r="S1953" s="408"/>
      <c r="T1953" s="408"/>
      <c r="U1953" s="408"/>
      <c r="V1953" s="421"/>
      <c r="W1953" s="421"/>
      <c r="X1953" s="421"/>
      <c r="Y1953" s="421"/>
      <c r="Z1953" s="421"/>
      <c r="AA1953" s="421"/>
      <c r="AB1953" s="421"/>
      <c r="AC1953" s="421"/>
      <c r="AD1953" s="421"/>
      <c r="AE1953" s="421"/>
      <c r="AF1953" s="421"/>
      <c r="AG1953" s="421"/>
      <c r="AH1953" s="421"/>
      <c r="AI1953" s="421"/>
      <c r="AJ1953" s="421"/>
      <c r="AK1953" s="421"/>
      <c r="AL1953" s="421"/>
    </row>
    <row r="1954" spans="1:38" hidden="1">
      <c r="A1954" s="408"/>
      <c r="B1954" s="83" t="e">
        <f t="array" ref="B1954">SUM(--(FREQUENCY(IF(C$2:C$3072=C1954, MATCH(D$2:D$3072, D$2:D$3072, 0)), ROW(D$2:D$3072)-ROW(D$2)+1) &gt; 0))</f>
        <v>#N/A</v>
      </c>
      <c r="C1954" s="408"/>
      <c r="D1954" s="408"/>
      <c r="E1954" s="408"/>
      <c r="F1954" s="408"/>
      <c r="G1954" s="408"/>
      <c r="H1954" s="408"/>
      <c r="I1954" s="408"/>
      <c r="J1954" s="408"/>
      <c r="K1954" s="408"/>
      <c r="L1954" s="408"/>
      <c r="M1954" s="408"/>
      <c r="N1954" s="408" t="str">
        <f t="shared" si="457"/>
        <v/>
      </c>
      <c r="O1954" s="408"/>
      <c r="P1954" s="408"/>
      <c r="Q1954" s="408"/>
      <c r="R1954" s="408"/>
      <c r="S1954" s="408"/>
      <c r="T1954" s="408"/>
      <c r="U1954" s="408"/>
      <c r="V1954" s="421"/>
      <c r="W1954" s="421"/>
      <c r="X1954" s="421"/>
      <c r="Y1954" s="421"/>
      <c r="Z1954" s="421"/>
      <c r="AA1954" s="421"/>
      <c r="AB1954" s="421"/>
      <c r="AC1954" s="421"/>
      <c r="AD1954" s="421"/>
      <c r="AE1954" s="421"/>
      <c r="AF1954" s="421"/>
      <c r="AG1954" s="421"/>
      <c r="AH1954" s="421"/>
      <c r="AI1954" s="421"/>
      <c r="AJ1954" s="421"/>
      <c r="AK1954" s="421"/>
      <c r="AL1954" s="421"/>
    </row>
    <row r="1955" spans="1:38" hidden="1">
      <c r="A1955" s="408"/>
      <c r="B1955" s="83" t="e">
        <f t="array" ref="B1955">SUM(--(FREQUENCY(IF(C$2:C$3072=C1955, MATCH(D$2:D$3072, D$2:D$3072, 0)), ROW(D$2:D$3072)-ROW(D$2)+1) &gt; 0))</f>
        <v>#N/A</v>
      </c>
      <c r="C1955" s="408"/>
      <c r="D1955" s="408"/>
      <c r="E1955" s="408"/>
      <c r="F1955" s="408"/>
      <c r="G1955" s="408"/>
      <c r="H1955" s="408"/>
      <c r="I1955" s="408"/>
      <c r="J1955" s="408"/>
      <c r="K1955" s="408"/>
      <c r="L1955" s="408"/>
      <c r="M1955" s="408"/>
      <c r="N1955" s="408" t="str">
        <f t="shared" si="457"/>
        <v/>
      </c>
      <c r="O1955" s="408"/>
      <c r="P1955" s="408"/>
      <c r="Q1955" s="408"/>
      <c r="R1955" s="408"/>
      <c r="S1955" s="408"/>
      <c r="T1955" s="408"/>
      <c r="U1955" s="408"/>
      <c r="V1955" s="421"/>
      <c r="W1955" s="421"/>
      <c r="X1955" s="421"/>
      <c r="Y1955" s="421"/>
      <c r="Z1955" s="421"/>
      <c r="AA1955" s="421"/>
      <c r="AB1955" s="421"/>
      <c r="AC1955" s="421"/>
      <c r="AD1955" s="421"/>
      <c r="AE1955" s="421"/>
      <c r="AF1955" s="421"/>
      <c r="AG1955" s="421"/>
      <c r="AH1955" s="421"/>
      <c r="AI1955" s="421"/>
      <c r="AJ1955" s="421"/>
      <c r="AK1955" s="421"/>
      <c r="AL1955" s="421"/>
    </row>
    <row r="1956" spans="1:38" hidden="1">
      <c r="A1956" s="408"/>
      <c r="B1956" s="83" t="e">
        <f t="array" ref="B1956">SUM(--(FREQUENCY(IF(C$2:C$3072=C1956, MATCH(D$2:D$3072, D$2:D$3072, 0)), ROW(D$2:D$3072)-ROW(D$2)+1) &gt; 0))</f>
        <v>#N/A</v>
      </c>
      <c r="C1956" s="408"/>
      <c r="D1956" s="408"/>
      <c r="E1956" s="408"/>
      <c r="F1956" s="408"/>
      <c r="G1956" s="408"/>
      <c r="H1956" s="408"/>
      <c r="I1956" s="408"/>
      <c r="J1956" s="408"/>
      <c r="K1956" s="408"/>
      <c r="L1956" s="408"/>
      <c r="M1956" s="408"/>
      <c r="N1956" s="408" t="str">
        <f t="shared" si="457"/>
        <v/>
      </c>
      <c r="O1956" s="408"/>
      <c r="P1956" s="408"/>
      <c r="Q1956" s="408"/>
      <c r="R1956" s="408"/>
      <c r="S1956" s="408"/>
      <c r="T1956" s="408"/>
      <c r="U1956" s="408"/>
      <c r="V1956" s="421"/>
      <c r="W1956" s="421"/>
      <c r="X1956" s="421"/>
      <c r="Y1956" s="421"/>
      <c r="Z1956" s="421"/>
      <c r="AA1956" s="421"/>
      <c r="AB1956" s="421"/>
      <c r="AC1956" s="421"/>
      <c r="AD1956" s="421"/>
      <c r="AE1956" s="421"/>
      <c r="AF1956" s="421"/>
      <c r="AG1956" s="421"/>
      <c r="AH1956" s="421"/>
      <c r="AI1956" s="421"/>
      <c r="AJ1956" s="421"/>
      <c r="AK1956" s="421"/>
      <c r="AL1956" s="421"/>
    </row>
    <row r="1957" spans="1:38" hidden="1">
      <c r="A1957" s="408"/>
      <c r="B1957" s="83" t="e">
        <f t="array" ref="B1957">SUM(--(FREQUENCY(IF(C$2:C$3072=C1957, MATCH(D$2:D$3072, D$2:D$3072, 0)), ROW(D$2:D$3072)-ROW(D$2)+1) &gt; 0))</f>
        <v>#N/A</v>
      </c>
      <c r="C1957" s="408"/>
      <c r="D1957" s="408"/>
      <c r="E1957" s="408"/>
      <c r="F1957" s="408"/>
      <c r="G1957" s="408"/>
      <c r="H1957" s="408"/>
      <c r="I1957" s="408"/>
      <c r="J1957" s="408"/>
      <c r="K1957" s="408"/>
      <c r="L1957" s="408"/>
      <c r="M1957" s="408"/>
      <c r="N1957" s="408" t="str">
        <f t="shared" si="457"/>
        <v/>
      </c>
      <c r="O1957" s="408"/>
      <c r="P1957" s="408"/>
      <c r="Q1957" s="408"/>
      <c r="R1957" s="408"/>
      <c r="S1957" s="408"/>
      <c r="T1957" s="408"/>
      <c r="U1957" s="408"/>
      <c r="V1957" s="421"/>
      <c r="W1957" s="421"/>
      <c r="X1957" s="421"/>
      <c r="Y1957" s="421"/>
      <c r="Z1957" s="421"/>
      <c r="AA1957" s="421"/>
      <c r="AB1957" s="421"/>
      <c r="AC1957" s="421"/>
      <c r="AD1957" s="421"/>
      <c r="AE1957" s="421"/>
      <c r="AF1957" s="421"/>
      <c r="AG1957" s="421"/>
      <c r="AH1957" s="421"/>
      <c r="AI1957" s="421"/>
      <c r="AJ1957" s="421"/>
      <c r="AK1957" s="421"/>
      <c r="AL1957" s="421"/>
    </row>
    <row r="1958" spans="1:38" hidden="1">
      <c r="A1958" s="408"/>
      <c r="B1958" s="83" t="e">
        <f t="array" ref="B1958">SUM(--(FREQUENCY(IF(C$2:C$3072=C1958, MATCH(D$2:D$3072, D$2:D$3072, 0)), ROW(D$2:D$3072)-ROW(D$2)+1) &gt; 0))</f>
        <v>#N/A</v>
      </c>
      <c r="C1958" s="408"/>
      <c r="D1958" s="408"/>
      <c r="E1958" s="408"/>
      <c r="F1958" s="408"/>
      <c r="G1958" s="408"/>
      <c r="H1958" s="408"/>
      <c r="I1958" s="408"/>
      <c r="J1958" s="408"/>
      <c r="K1958" s="408"/>
      <c r="L1958" s="408"/>
      <c r="M1958" s="408"/>
      <c r="N1958" s="408" t="str">
        <f t="shared" si="457"/>
        <v/>
      </c>
      <c r="O1958" s="408"/>
      <c r="P1958" s="408"/>
      <c r="Q1958" s="408"/>
      <c r="R1958" s="408"/>
      <c r="S1958" s="408"/>
      <c r="T1958" s="408"/>
      <c r="U1958" s="408"/>
      <c r="V1958" s="421"/>
      <c r="W1958" s="421"/>
      <c r="X1958" s="421"/>
      <c r="Y1958" s="421"/>
      <c r="Z1958" s="421"/>
      <c r="AA1958" s="421"/>
      <c r="AB1958" s="421"/>
      <c r="AC1958" s="421"/>
      <c r="AD1958" s="421"/>
      <c r="AE1958" s="421"/>
      <c r="AF1958" s="421"/>
      <c r="AG1958" s="421"/>
      <c r="AH1958" s="421"/>
      <c r="AI1958" s="421"/>
      <c r="AJ1958" s="421"/>
      <c r="AK1958" s="421"/>
      <c r="AL1958" s="421"/>
    </row>
    <row r="1959" spans="1:38" hidden="1">
      <c r="A1959" s="408"/>
      <c r="B1959" s="83" t="e">
        <f t="array" ref="B1959">SUM(--(FREQUENCY(IF(C$2:C$3072=C1959, MATCH(D$2:D$3072, D$2:D$3072, 0)), ROW(D$2:D$3072)-ROW(D$2)+1) &gt; 0))</f>
        <v>#N/A</v>
      </c>
      <c r="C1959" s="408"/>
      <c r="D1959" s="408"/>
      <c r="E1959" s="408"/>
      <c r="F1959" s="408"/>
      <c r="G1959" s="408"/>
      <c r="H1959" s="408"/>
      <c r="I1959" s="408"/>
      <c r="J1959" s="408"/>
      <c r="K1959" s="408"/>
      <c r="L1959" s="408"/>
      <c r="M1959" s="408"/>
      <c r="N1959" s="408" t="str">
        <f t="shared" si="457"/>
        <v/>
      </c>
      <c r="O1959" s="408"/>
      <c r="P1959" s="408"/>
      <c r="Q1959" s="408"/>
      <c r="R1959" s="408"/>
      <c r="S1959" s="408"/>
      <c r="T1959" s="408"/>
      <c r="U1959" s="408"/>
      <c r="V1959" s="421"/>
      <c r="W1959" s="421"/>
      <c r="X1959" s="421"/>
      <c r="Y1959" s="421"/>
      <c r="Z1959" s="421"/>
      <c r="AA1959" s="421"/>
      <c r="AB1959" s="421"/>
      <c r="AC1959" s="421"/>
      <c r="AD1959" s="421"/>
      <c r="AE1959" s="421"/>
      <c r="AF1959" s="421"/>
      <c r="AG1959" s="421"/>
      <c r="AH1959" s="421"/>
      <c r="AI1959" s="421"/>
      <c r="AJ1959" s="421"/>
      <c r="AK1959" s="421"/>
      <c r="AL1959" s="421"/>
    </row>
    <row r="1960" spans="1:38" hidden="1">
      <c r="A1960" s="408"/>
      <c r="B1960" s="83" t="e">
        <f t="array" ref="B1960">SUM(--(FREQUENCY(IF(C$2:C$3072=C1960, MATCH(D$2:D$3072, D$2:D$3072, 0)), ROW(D$2:D$3072)-ROW(D$2)+1) &gt; 0))</f>
        <v>#N/A</v>
      </c>
      <c r="C1960" s="408"/>
      <c r="D1960" s="408"/>
      <c r="E1960" s="408"/>
      <c r="F1960" s="408"/>
      <c r="G1960" s="408"/>
      <c r="H1960" s="408"/>
      <c r="I1960" s="408"/>
      <c r="J1960" s="408"/>
      <c r="K1960" s="408"/>
      <c r="L1960" s="408"/>
      <c r="M1960" s="408"/>
      <c r="N1960" s="408" t="str">
        <f t="shared" si="457"/>
        <v/>
      </c>
      <c r="O1960" s="408"/>
      <c r="P1960" s="408"/>
      <c r="Q1960" s="408"/>
      <c r="R1960" s="408"/>
      <c r="S1960" s="408"/>
      <c r="T1960" s="408"/>
      <c r="U1960" s="408"/>
      <c r="V1960" s="421"/>
      <c r="W1960" s="421"/>
      <c r="X1960" s="421"/>
      <c r="Y1960" s="421"/>
      <c r="Z1960" s="421"/>
      <c r="AA1960" s="421"/>
      <c r="AB1960" s="421"/>
      <c r="AC1960" s="421"/>
      <c r="AD1960" s="421"/>
      <c r="AE1960" s="421"/>
      <c r="AF1960" s="421"/>
      <c r="AG1960" s="421"/>
      <c r="AH1960" s="421"/>
      <c r="AI1960" s="421"/>
      <c r="AJ1960" s="421"/>
      <c r="AK1960" s="421"/>
      <c r="AL1960" s="421"/>
    </row>
    <row r="1961" spans="1:38" hidden="1">
      <c r="A1961" s="408"/>
      <c r="B1961" s="83" t="e">
        <f t="array" ref="B1961">SUM(--(FREQUENCY(IF(C$2:C$3072=C1961, MATCH(D$2:D$3072, D$2:D$3072, 0)), ROW(D$2:D$3072)-ROW(D$2)+1) &gt; 0))</f>
        <v>#N/A</v>
      </c>
      <c r="C1961" s="408"/>
      <c r="D1961" s="408"/>
      <c r="E1961" s="408"/>
      <c r="F1961" s="408"/>
      <c r="G1961" s="408"/>
      <c r="H1961" s="408"/>
      <c r="I1961" s="408"/>
      <c r="J1961" s="408"/>
      <c r="K1961" s="408"/>
      <c r="L1961" s="408"/>
      <c r="M1961" s="408"/>
      <c r="N1961" s="408" t="str">
        <f t="shared" si="457"/>
        <v/>
      </c>
      <c r="O1961" s="408"/>
      <c r="P1961" s="408"/>
      <c r="Q1961" s="408"/>
      <c r="R1961" s="408"/>
      <c r="S1961" s="408"/>
      <c r="T1961" s="408"/>
      <c r="U1961" s="408"/>
      <c r="V1961" s="421"/>
      <c r="W1961" s="421"/>
      <c r="X1961" s="421"/>
      <c r="Y1961" s="421"/>
      <c r="Z1961" s="421"/>
      <c r="AA1961" s="421"/>
      <c r="AB1961" s="421"/>
      <c r="AC1961" s="421"/>
      <c r="AD1961" s="421"/>
      <c r="AE1961" s="421"/>
      <c r="AF1961" s="421"/>
      <c r="AG1961" s="421"/>
      <c r="AH1961" s="421"/>
      <c r="AI1961" s="421"/>
      <c r="AJ1961" s="421"/>
      <c r="AK1961" s="421"/>
      <c r="AL1961" s="421"/>
    </row>
    <row r="1962" spans="1:38" hidden="1">
      <c r="A1962" s="408"/>
      <c r="B1962" s="83" t="e">
        <f t="array" ref="B1962">SUM(--(FREQUENCY(IF(C$2:C$3072=C1962, MATCH(D$2:D$3072, D$2:D$3072, 0)), ROW(D$2:D$3072)-ROW(D$2)+1) &gt; 0))</f>
        <v>#N/A</v>
      </c>
      <c r="C1962" s="408"/>
      <c r="D1962" s="408"/>
      <c r="E1962" s="408"/>
      <c r="F1962" s="408"/>
      <c r="G1962" s="408"/>
      <c r="H1962" s="408"/>
      <c r="I1962" s="408"/>
      <c r="J1962" s="408"/>
      <c r="K1962" s="408"/>
      <c r="L1962" s="408"/>
      <c r="M1962" s="408"/>
      <c r="N1962" s="408" t="str">
        <f t="shared" si="457"/>
        <v/>
      </c>
      <c r="O1962" s="408"/>
      <c r="P1962" s="408"/>
      <c r="Q1962" s="408"/>
      <c r="R1962" s="408"/>
      <c r="S1962" s="408"/>
      <c r="T1962" s="408"/>
      <c r="U1962" s="408"/>
      <c r="V1962" s="421"/>
      <c r="W1962" s="421"/>
      <c r="X1962" s="421"/>
      <c r="Y1962" s="421"/>
      <c r="Z1962" s="421"/>
      <c r="AA1962" s="421"/>
      <c r="AB1962" s="421"/>
      <c r="AC1962" s="421"/>
      <c r="AD1962" s="421"/>
      <c r="AE1962" s="421"/>
      <c r="AF1962" s="421"/>
      <c r="AG1962" s="421"/>
      <c r="AH1962" s="421"/>
      <c r="AI1962" s="421"/>
      <c r="AJ1962" s="421"/>
      <c r="AK1962" s="421"/>
      <c r="AL1962" s="421"/>
    </row>
    <row r="1963" spans="1:38" hidden="1">
      <c r="A1963" s="408"/>
      <c r="B1963" s="83" t="e">
        <f t="array" ref="B1963">SUM(--(FREQUENCY(IF(C$2:C$3072=C1963, MATCH(D$2:D$3072, D$2:D$3072, 0)), ROW(D$2:D$3072)-ROW(D$2)+1) &gt; 0))</f>
        <v>#N/A</v>
      </c>
      <c r="C1963" s="408"/>
      <c r="D1963" s="408"/>
      <c r="E1963" s="408"/>
      <c r="F1963" s="408"/>
      <c r="G1963" s="408"/>
      <c r="H1963" s="408"/>
      <c r="I1963" s="408"/>
      <c r="J1963" s="408"/>
      <c r="K1963" s="408"/>
      <c r="L1963" s="408"/>
      <c r="M1963" s="408"/>
      <c r="N1963" s="408" t="str">
        <f t="shared" si="457"/>
        <v/>
      </c>
      <c r="O1963" s="408"/>
      <c r="P1963" s="408"/>
      <c r="Q1963" s="408"/>
      <c r="R1963" s="408"/>
      <c r="S1963" s="408"/>
      <c r="T1963" s="408"/>
      <c r="U1963" s="408"/>
      <c r="V1963" s="421"/>
      <c r="W1963" s="421"/>
      <c r="X1963" s="421"/>
      <c r="Y1963" s="421"/>
      <c r="Z1963" s="421"/>
      <c r="AA1963" s="421"/>
      <c r="AB1963" s="421"/>
      <c r="AC1963" s="421"/>
      <c r="AD1963" s="421"/>
      <c r="AE1963" s="421"/>
      <c r="AF1963" s="421"/>
      <c r="AG1963" s="421"/>
      <c r="AH1963" s="421"/>
      <c r="AI1963" s="421"/>
      <c r="AJ1963" s="421"/>
      <c r="AK1963" s="421"/>
      <c r="AL1963" s="421"/>
    </row>
    <row r="1964" spans="1:38" hidden="1">
      <c r="A1964" s="408"/>
      <c r="B1964" s="83" t="e">
        <f t="array" ref="B1964">SUM(--(FREQUENCY(IF(C$2:C$3072=C1964, MATCH(D$2:D$3072, D$2:D$3072, 0)), ROW(D$2:D$3072)-ROW(D$2)+1) &gt; 0))</f>
        <v>#N/A</v>
      </c>
      <c r="C1964" s="408"/>
      <c r="D1964" s="408"/>
      <c r="E1964" s="408"/>
      <c r="F1964" s="408"/>
      <c r="G1964" s="408"/>
      <c r="H1964" s="408"/>
      <c r="I1964" s="408"/>
      <c r="J1964" s="408"/>
      <c r="K1964" s="408"/>
      <c r="L1964" s="408"/>
      <c r="M1964" s="408"/>
      <c r="N1964" s="408" t="str">
        <f t="shared" si="457"/>
        <v/>
      </c>
      <c r="O1964" s="408"/>
      <c r="P1964" s="408"/>
      <c r="Q1964" s="408"/>
      <c r="R1964" s="408"/>
      <c r="S1964" s="408"/>
      <c r="T1964" s="408"/>
      <c r="U1964" s="408"/>
      <c r="V1964" s="421"/>
      <c r="W1964" s="421"/>
      <c r="X1964" s="421"/>
      <c r="Y1964" s="421"/>
      <c r="Z1964" s="421"/>
      <c r="AA1964" s="421"/>
      <c r="AB1964" s="421"/>
      <c r="AC1964" s="421"/>
      <c r="AD1964" s="421"/>
      <c r="AE1964" s="421"/>
      <c r="AF1964" s="421"/>
      <c r="AG1964" s="421"/>
      <c r="AH1964" s="421"/>
      <c r="AI1964" s="421"/>
      <c r="AJ1964" s="421"/>
      <c r="AK1964" s="421"/>
      <c r="AL1964" s="421"/>
    </row>
    <row r="1965" spans="1:38" hidden="1">
      <c r="A1965" s="408"/>
      <c r="B1965" s="83" t="e">
        <f t="array" ref="B1965">SUM(--(FREQUENCY(IF(C$2:C$3072=C1965, MATCH(D$2:D$3072, D$2:D$3072, 0)), ROW(D$2:D$3072)-ROW(D$2)+1) &gt; 0))</f>
        <v>#N/A</v>
      </c>
      <c r="C1965" s="408"/>
      <c r="D1965" s="408"/>
      <c r="E1965" s="408"/>
      <c r="F1965" s="408"/>
      <c r="G1965" s="408"/>
      <c r="H1965" s="408"/>
      <c r="I1965" s="408"/>
      <c r="J1965" s="408"/>
      <c r="K1965" s="408"/>
      <c r="L1965" s="408"/>
      <c r="M1965" s="408"/>
      <c r="N1965" s="408" t="str">
        <f t="shared" si="457"/>
        <v/>
      </c>
      <c r="O1965" s="408"/>
      <c r="P1965" s="408"/>
      <c r="Q1965" s="408"/>
      <c r="R1965" s="408"/>
      <c r="S1965" s="408"/>
      <c r="T1965" s="408"/>
      <c r="U1965" s="408"/>
      <c r="V1965" s="421"/>
      <c r="W1965" s="421"/>
      <c r="X1965" s="421"/>
      <c r="Y1965" s="421"/>
      <c r="Z1965" s="421"/>
      <c r="AA1965" s="421"/>
      <c r="AB1965" s="421"/>
      <c r="AC1965" s="421"/>
      <c r="AD1965" s="421"/>
      <c r="AE1965" s="421"/>
      <c r="AF1965" s="421"/>
      <c r="AG1965" s="421"/>
      <c r="AH1965" s="421"/>
      <c r="AI1965" s="421"/>
      <c r="AJ1965" s="421"/>
      <c r="AK1965" s="421"/>
      <c r="AL1965" s="421"/>
    </row>
    <row r="1966" spans="1:38" hidden="1">
      <c r="A1966" s="408"/>
      <c r="B1966" s="83" t="e">
        <f t="array" ref="B1966">SUM(--(FREQUENCY(IF(C$2:C$3072=C1966, MATCH(D$2:D$3072, D$2:D$3072, 0)), ROW(D$2:D$3072)-ROW(D$2)+1) &gt; 0))</f>
        <v>#N/A</v>
      </c>
      <c r="C1966" s="408"/>
      <c r="D1966" s="408"/>
      <c r="E1966" s="408"/>
      <c r="F1966" s="408"/>
      <c r="G1966" s="408"/>
      <c r="H1966" s="408"/>
      <c r="I1966" s="408"/>
      <c r="J1966" s="408"/>
      <c r="K1966" s="408"/>
      <c r="L1966" s="408"/>
      <c r="M1966" s="408"/>
      <c r="N1966" s="408" t="str">
        <f t="shared" si="457"/>
        <v/>
      </c>
      <c r="O1966" s="408"/>
      <c r="P1966" s="408"/>
      <c r="Q1966" s="408"/>
      <c r="R1966" s="408"/>
      <c r="S1966" s="408"/>
      <c r="T1966" s="408"/>
      <c r="U1966" s="408"/>
      <c r="V1966" s="421"/>
      <c r="W1966" s="421"/>
      <c r="X1966" s="421"/>
      <c r="Y1966" s="421"/>
      <c r="Z1966" s="421"/>
      <c r="AA1966" s="421"/>
      <c r="AB1966" s="421"/>
      <c r="AC1966" s="421"/>
      <c r="AD1966" s="421"/>
      <c r="AE1966" s="421"/>
      <c r="AF1966" s="421"/>
      <c r="AG1966" s="421"/>
      <c r="AH1966" s="421"/>
      <c r="AI1966" s="421"/>
      <c r="AJ1966" s="421"/>
      <c r="AK1966" s="421"/>
      <c r="AL1966" s="421"/>
    </row>
    <row r="1967" spans="1:38" hidden="1">
      <c r="A1967" s="408"/>
      <c r="B1967" s="83" t="e">
        <f t="array" ref="B1967">SUM(--(FREQUENCY(IF(C$2:C$3072=C1967, MATCH(D$2:D$3072, D$2:D$3072, 0)), ROW(D$2:D$3072)-ROW(D$2)+1) &gt; 0))</f>
        <v>#N/A</v>
      </c>
      <c r="C1967" s="408"/>
      <c r="D1967" s="408"/>
      <c r="E1967" s="408"/>
      <c r="F1967" s="408"/>
      <c r="G1967" s="408"/>
      <c r="H1967" s="408"/>
      <c r="I1967" s="408"/>
      <c r="J1967" s="408"/>
      <c r="K1967" s="408"/>
      <c r="L1967" s="408"/>
      <c r="M1967" s="408"/>
      <c r="N1967" s="408" t="str">
        <f t="shared" si="457"/>
        <v/>
      </c>
      <c r="O1967" s="408"/>
      <c r="P1967" s="408"/>
      <c r="Q1967" s="408"/>
      <c r="R1967" s="408"/>
      <c r="S1967" s="408"/>
      <c r="T1967" s="408"/>
      <c r="U1967" s="408"/>
      <c r="V1967" s="421"/>
      <c r="W1967" s="421"/>
      <c r="X1967" s="421"/>
      <c r="Y1967" s="421"/>
      <c r="Z1967" s="421"/>
      <c r="AA1967" s="421"/>
      <c r="AB1967" s="421"/>
      <c r="AC1967" s="421"/>
      <c r="AD1967" s="421"/>
      <c r="AE1967" s="421"/>
      <c r="AF1967" s="421"/>
      <c r="AG1967" s="421"/>
      <c r="AH1967" s="421"/>
      <c r="AI1967" s="421"/>
      <c r="AJ1967" s="421"/>
      <c r="AK1967" s="421"/>
      <c r="AL1967" s="421"/>
    </row>
    <row r="1968" spans="1:38" hidden="1">
      <c r="A1968" s="408"/>
      <c r="B1968" s="83" t="e">
        <f t="array" ref="B1968">SUM(--(FREQUENCY(IF(C$2:C$3072=C1968, MATCH(D$2:D$3072, D$2:D$3072, 0)), ROW(D$2:D$3072)-ROW(D$2)+1) &gt; 0))</f>
        <v>#N/A</v>
      </c>
      <c r="C1968" s="408"/>
      <c r="D1968" s="408"/>
      <c r="E1968" s="408"/>
      <c r="F1968" s="408"/>
      <c r="G1968" s="408"/>
      <c r="H1968" s="408"/>
      <c r="I1968" s="408"/>
      <c r="J1968" s="408"/>
      <c r="K1968" s="408"/>
      <c r="L1968" s="408"/>
      <c r="M1968" s="408"/>
      <c r="N1968" s="408" t="str">
        <f t="shared" si="457"/>
        <v/>
      </c>
      <c r="O1968" s="408"/>
      <c r="P1968" s="408"/>
      <c r="Q1968" s="408"/>
      <c r="R1968" s="408"/>
      <c r="S1968" s="408"/>
      <c r="T1968" s="408"/>
      <c r="U1968" s="408"/>
      <c r="V1968" s="421"/>
      <c r="W1968" s="421"/>
      <c r="X1968" s="421"/>
      <c r="Y1968" s="421"/>
      <c r="Z1968" s="421"/>
      <c r="AA1968" s="421"/>
      <c r="AB1968" s="421"/>
      <c r="AC1968" s="421"/>
      <c r="AD1968" s="421"/>
      <c r="AE1968" s="421"/>
      <c r="AF1968" s="421"/>
      <c r="AG1968" s="421"/>
      <c r="AH1968" s="421"/>
      <c r="AI1968" s="421"/>
      <c r="AJ1968" s="421"/>
      <c r="AK1968" s="421"/>
      <c r="AL1968" s="421"/>
    </row>
    <row r="1969" spans="1:38" hidden="1">
      <c r="A1969" s="408"/>
      <c r="B1969" s="83" t="e">
        <f t="array" ref="B1969">SUM(--(FREQUENCY(IF(C$2:C$3072=C1969, MATCH(D$2:D$3072, D$2:D$3072, 0)), ROW(D$2:D$3072)-ROW(D$2)+1) &gt; 0))</f>
        <v>#N/A</v>
      </c>
      <c r="C1969" s="408"/>
      <c r="D1969" s="408"/>
      <c r="E1969" s="408"/>
      <c r="F1969" s="408"/>
      <c r="G1969" s="408"/>
      <c r="H1969" s="408"/>
      <c r="I1969" s="408"/>
      <c r="J1969" s="408"/>
      <c r="K1969" s="408"/>
      <c r="L1969" s="408"/>
      <c r="M1969" s="408"/>
      <c r="N1969" s="408" t="str">
        <f t="shared" si="457"/>
        <v/>
      </c>
      <c r="O1969" s="408"/>
      <c r="P1969" s="408"/>
      <c r="Q1969" s="408"/>
      <c r="R1969" s="408"/>
      <c r="S1969" s="408"/>
      <c r="T1969" s="408"/>
      <c r="U1969" s="408"/>
      <c r="V1969" s="421"/>
      <c r="W1969" s="421"/>
      <c r="X1969" s="421"/>
      <c r="Y1969" s="421"/>
      <c r="Z1969" s="421"/>
      <c r="AA1969" s="421"/>
      <c r="AB1969" s="421"/>
      <c r="AC1969" s="421"/>
      <c r="AD1969" s="421"/>
      <c r="AE1969" s="421"/>
      <c r="AF1969" s="421"/>
      <c r="AG1969" s="421"/>
      <c r="AH1969" s="421"/>
      <c r="AI1969" s="421"/>
      <c r="AJ1969" s="421"/>
      <c r="AK1969" s="421"/>
      <c r="AL1969" s="421"/>
    </row>
    <row r="1970" spans="1:38" hidden="1">
      <c r="A1970" s="408"/>
      <c r="B1970" s="83" t="e">
        <f t="array" ref="B1970">SUM(--(FREQUENCY(IF(C$2:C$3072=C1970, MATCH(D$2:D$3072, D$2:D$3072, 0)), ROW(D$2:D$3072)-ROW(D$2)+1) &gt; 0))</f>
        <v>#N/A</v>
      </c>
      <c r="C1970" s="408"/>
      <c r="D1970" s="408"/>
      <c r="E1970" s="408"/>
      <c r="F1970" s="408"/>
      <c r="G1970" s="408"/>
      <c r="H1970" s="408"/>
      <c r="I1970" s="408"/>
      <c r="J1970" s="408"/>
      <c r="K1970" s="408"/>
      <c r="L1970" s="408"/>
      <c r="M1970" s="408"/>
      <c r="N1970" s="408" t="str">
        <f t="shared" si="457"/>
        <v/>
      </c>
      <c r="O1970" s="408"/>
      <c r="P1970" s="408"/>
      <c r="Q1970" s="408"/>
      <c r="R1970" s="408"/>
      <c r="S1970" s="408"/>
      <c r="T1970" s="408"/>
      <c r="U1970" s="408"/>
      <c r="V1970" s="421"/>
      <c r="W1970" s="421"/>
      <c r="X1970" s="421"/>
      <c r="Y1970" s="421"/>
      <c r="Z1970" s="421"/>
      <c r="AA1970" s="421"/>
      <c r="AB1970" s="421"/>
      <c r="AC1970" s="421"/>
      <c r="AD1970" s="421"/>
      <c r="AE1970" s="421"/>
      <c r="AF1970" s="421"/>
      <c r="AG1970" s="421"/>
      <c r="AH1970" s="421"/>
      <c r="AI1970" s="421"/>
      <c r="AJ1970" s="421"/>
      <c r="AK1970" s="421"/>
      <c r="AL1970" s="421"/>
    </row>
    <row r="1971" spans="1:38" hidden="1">
      <c r="A1971" s="408"/>
      <c r="B1971" s="83" t="e">
        <f t="array" ref="B1971">SUM(--(FREQUENCY(IF(C$2:C$3072=C1971, MATCH(D$2:D$3072, D$2:D$3072, 0)), ROW(D$2:D$3072)-ROW(D$2)+1) &gt; 0))</f>
        <v>#N/A</v>
      </c>
      <c r="C1971" s="408"/>
      <c r="D1971" s="408"/>
      <c r="E1971" s="408"/>
      <c r="F1971" s="408"/>
      <c r="G1971" s="408"/>
      <c r="H1971" s="408"/>
      <c r="I1971" s="408"/>
      <c r="J1971" s="408"/>
      <c r="K1971" s="408"/>
      <c r="L1971" s="408"/>
      <c r="M1971" s="408"/>
      <c r="N1971" s="408" t="str">
        <f t="shared" si="457"/>
        <v/>
      </c>
      <c r="O1971" s="408"/>
      <c r="P1971" s="408"/>
      <c r="Q1971" s="408"/>
      <c r="R1971" s="408"/>
      <c r="S1971" s="408"/>
      <c r="T1971" s="408"/>
      <c r="U1971" s="408"/>
      <c r="V1971" s="421"/>
      <c r="W1971" s="421"/>
      <c r="X1971" s="421"/>
      <c r="Y1971" s="421"/>
      <c r="Z1971" s="421"/>
      <c r="AA1971" s="421"/>
      <c r="AB1971" s="421"/>
      <c r="AC1971" s="421"/>
      <c r="AD1971" s="421"/>
      <c r="AE1971" s="421"/>
      <c r="AF1971" s="421"/>
      <c r="AG1971" s="421"/>
      <c r="AH1971" s="421"/>
      <c r="AI1971" s="421"/>
      <c r="AJ1971" s="421"/>
      <c r="AK1971" s="421"/>
      <c r="AL1971" s="421"/>
    </row>
    <row r="1972" spans="1:38" hidden="1">
      <c r="A1972" s="408"/>
      <c r="B1972" s="83" t="e">
        <f t="array" ref="B1972">SUM(--(FREQUENCY(IF(C$2:C$3072=C1972, MATCH(D$2:D$3072, D$2:D$3072, 0)), ROW(D$2:D$3072)-ROW(D$2)+1) &gt; 0))</f>
        <v>#N/A</v>
      </c>
      <c r="C1972" s="408"/>
      <c r="D1972" s="408"/>
      <c r="E1972" s="408"/>
      <c r="F1972" s="408"/>
      <c r="G1972" s="408"/>
      <c r="H1972" s="408"/>
      <c r="I1972" s="408"/>
      <c r="J1972" s="408"/>
      <c r="K1972" s="408"/>
      <c r="L1972" s="408"/>
      <c r="M1972" s="408"/>
      <c r="N1972" s="408" t="str">
        <f t="shared" si="457"/>
        <v/>
      </c>
      <c r="O1972" s="408"/>
      <c r="P1972" s="408"/>
      <c r="Q1972" s="408"/>
      <c r="R1972" s="408"/>
      <c r="S1972" s="408"/>
      <c r="T1972" s="408"/>
      <c r="U1972" s="408"/>
      <c r="V1972" s="421"/>
      <c r="W1972" s="421"/>
      <c r="X1972" s="421"/>
      <c r="Y1972" s="421"/>
      <c r="Z1972" s="421"/>
      <c r="AA1972" s="421"/>
      <c r="AB1972" s="421"/>
      <c r="AC1972" s="421"/>
      <c r="AD1972" s="421"/>
      <c r="AE1972" s="421"/>
      <c r="AF1972" s="421"/>
      <c r="AG1972" s="421"/>
      <c r="AH1972" s="421"/>
      <c r="AI1972" s="421"/>
      <c r="AJ1972" s="421"/>
      <c r="AK1972" s="421"/>
      <c r="AL1972" s="421"/>
    </row>
    <row r="1973" spans="1:38" hidden="1">
      <c r="A1973" s="408"/>
      <c r="B1973" s="83" t="e">
        <f t="array" ref="B1973">SUM(--(FREQUENCY(IF(C$2:C$3072=C1973, MATCH(D$2:D$3072, D$2:D$3072, 0)), ROW(D$2:D$3072)-ROW(D$2)+1) &gt; 0))</f>
        <v>#N/A</v>
      </c>
      <c r="C1973" s="408"/>
      <c r="D1973" s="408"/>
      <c r="E1973" s="408"/>
      <c r="F1973" s="408"/>
      <c r="G1973" s="408"/>
      <c r="H1973" s="408"/>
      <c r="I1973" s="408"/>
      <c r="J1973" s="408"/>
      <c r="K1973" s="408"/>
      <c r="L1973" s="408"/>
      <c r="M1973" s="408"/>
      <c r="N1973" s="408" t="str">
        <f t="shared" si="457"/>
        <v/>
      </c>
      <c r="O1973" s="408"/>
      <c r="P1973" s="408"/>
      <c r="Q1973" s="408"/>
      <c r="R1973" s="408"/>
      <c r="S1973" s="408"/>
      <c r="T1973" s="408"/>
      <c r="U1973" s="408"/>
      <c r="V1973" s="421"/>
      <c r="W1973" s="421"/>
      <c r="X1973" s="421"/>
      <c r="Y1973" s="421"/>
      <c r="Z1973" s="421"/>
      <c r="AA1973" s="421"/>
      <c r="AB1973" s="421"/>
      <c r="AC1973" s="421"/>
      <c r="AD1973" s="421"/>
      <c r="AE1973" s="421"/>
      <c r="AF1973" s="421"/>
      <c r="AG1973" s="421"/>
      <c r="AH1973" s="421"/>
      <c r="AI1973" s="421"/>
      <c r="AJ1973" s="421"/>
      <c r="AK1973" s="421"/>
      <c r="AL1973" s="421"/>
    </row>
    <row r="1974" spans="1:38" hidden="1">
      <c r="A1974" s="408"/>
      <c r="B1974" s="83" t="e">
        <f t="array" ref="B1974">SUM(--(FREQUENCY(IF(C$2:C$3072=C1974, MATCH(D$2:D$3072, D$2:D$3072, 0)), ROW(D$2:D$3072)-ROW(D$2)+1) &gt; 0))</f>
        <v>#N/A</v>
      </c>
      <c r="C1974" s="408"/>
      <c r="D1974" s="408"/>
      <c r="E1974" s="408"/>
      <c r="F1974" s="408"/>
      <c r="G1974" s="408"/>
      <c r="H1974" s="408"/>
      <c r="I1974" s="408"/>
      <c r="J1974" s="408"/>
      <c r="K1974" s="408"/>
      <c r="L1974" s="408"/>
      <c r="M1974" s="408"/>
      <c r="N1974" s="408" t="str">
        <f t="shared" si="457"/>
        <v/>
      </c>
      <c r="O1974" s="408"/>
      <c r="P1974" s="408"/>
      <c r="Q1974" s="408"/>
      <c r="R1974" s="408"/>
      <c r="S1974" s="408"/>
      <c r="T1974" s="408"/>
      <c r="U1974" s="408"/>
      <c r="V1974" s="421"/>
      <c r="W1974" s="421"/>
      <c r="X1974" s="421"/>
      <c r="Y1974" s="421"/>
      <c r="Z1974" s="421"/>
      <c r="AA1974" s="421"/>
      <c r="AB1974" s="421"/>
      <c r="AC1974" s="421"/>
      <c r="AD1974" s="421"/>
      <c r="AE1974" s="421"/>
      <c r="AF1974" s="421"/>
      <c r="AG1974" s="421"/>
      <c r="AH1974" s="421"/>
      <c r="AI1974" s="421"/>
      <c r="AJ1974" s="421"/>
      <c r="AK1974" s="421"/>
      <c r="AL1974" s="421"/>
    </row>
    <row r="1975" spans="1:38" hidden="1">
      <c r="A1975" s="408"/>
      <c r="B1975" s="83" t="e">
        <f t="array" ref="B1975">SUM(--(FREQUENCY(IF(C$2:C$3072=C1975, MATCH(D$2:D$3072, D$2:D$3072, 0)), ROW(D$2:D$3072)-ROW(D$2)+1) &gt; 0))</f>
        <v>#N/A</v>
      </c>
      <c r="C1975" s="408"/>
      <c r="D1975" s="408"/>
      <c r="E1975" s="408"/>
      <c r="F1975" s="408"/>
      <c r="G1975" s="408"/>
      <c r="H1975" s="408"/>
      <c r="I1975" s="408"/>
      <c r="J1975" s="408"/>
      <c r="K1975" s="408"/>
      <c r="L1975" s="408"/>
      <c r="M1975" s="408"/>
      <c r="N1975" s="408" t="str">
        <f t="shared" si="457"/>
        <v/>
      </c>
      <c r="O1975" s="408"/>
      <c r="P1975" s="408"/>
      <c r="Q1975" s="408"/>
      <c r="R1975" s="408"/>
      <c r="S1975" s="408"/>
      <c r="T1975" s="408"/>
      <c r="U1975" s="408"/>
      <c r="V1975" s="421"/>
      <c r="W1975" s="421"/>
      <c r="X1975" s="421"/>
      <c r="Y1975" s="421"/>
      <c r="Z1975" s="421"/>
      <c r="AA1975" s="421"/>
      <c r="AB1975" s="421"/>
      <c r="AC1975" s="421"/>
      <c r="AD1975" s="421"/>
      <c r="AE1975" s="421"/>
      <c r="AF1975" s="421"/>
      <c r="AG1975" s="421"/>
      <c r="AH1975" s="421"/>
      <c r="AI1975" s="421"/>
      <c r="AJ1975" s="421"/>
      <c r="AK1975" s="421"/>
      <c r="AL1975" s="421"/>
    </row>
    <row r="1976" spans="1:38" hidden="1">
      <c r="A1976" s="408"/>
      <c r="B1976" s="83" t="e">
        <f t="array" ref="B1976">SUM(--(FREQUENCY(IF(C$2:C$3072=C1976, MATCH(D$2:D$3072, D$2:D$3072, 0)), ROW(D$2:D$3072)-ROW(D$2)+1) &gt; 0))</f>
        <v>#N/A</v>
      </c>
      <c r="C1976" s="408"/>
      <c r="D1976" s="408"/>
      <c r="E1976" s="408"/>
      <c r="F1976" s="408"/>
      <c r="G1976" s="408"/>
      <c r="H1976" s="408"/>
      <c r="I1976" s="408"/>
      <c r="J1976" s="408"/>
      <c r="K1976" s="408"/>
      <c r="L1976" s="408"/>
      <c r="M1976" s="408"/>
      <c r="N1976" s="408" t="str">
        <f t="shared" si="457"/>
        <v/>
      </c>
      <c r="O1976" s="408"/>
      <c r="P1976" s="408"/>
      <c r="Q1976" s="408"/>
      <c r="R1976" s="408"/>
      <c r="S1976" s="408"/>
      <c r="T1976" s="408"/>
      <c r="U1976" s="408"/>
      <c r="V1976" s="421"/>
      <c r="W1976" s="421"/>
      <c r="X1976" s="421"/>
      <c r="Y1976" s="421"/>
      <c r="Z1976" s="421"/>
      <c r="AA1976" s="421"/>
      <c r="AB1976" s="421"/>
      <c r="AC1976" s="421"/>
      <c r="AD1976" s="421"/>
      <c r="AE1976" s="421"/>
      <c r="AF1976" s="421"/>
      <c r="AG1976" s="421"/>
      <c r="AH1976" s="421"/>
      <c r="AI1976" s="421"/>
      <c r="AJ1976" s="421"/>
      <c r="AK1976" s="421"/>
      <c r="AL1976" s="421"/>
    </row>
    <row r="1977" spans="1:38" hidden="1">
      <c r="A1977" s="408"/>
      <c r="B1977" s="83" t="e">
        <f t="array" ref="B1977">SUM(--(FREQUENCY(IF(C$2:C$3072=C1977, MATCH(D$2:D$3072, D$2:D$3072, 0)), ROW(D$2:D$3072)-ROW(D$2)+1) &gt; 0))</f>
        <v>#N/A</v>
      </c>
      <c r="C1977" s="408"/>
      <c r="D1977" s="408"/>
      <c r="E1977" s="408"/>
      <c r="F1977" s="408"/>
      <c r="G1977" s="408"/>
      <c r="H1977" s="408"/>
      <c r="I1977" s="408"/>
      <c r="J1977" s="408"/>
      <c r="K1977" s="408"/>
      <c r="L1977" s="408"/>
      <c r="M1977" s="408"/>
      <c r="N1977" s="408" t="str">
        <f t="shared" si="457"/>
        <v/>
      </c>
      <c r="O1977" s="408"/>
      <c r="P1977" s="408"/>
      <c r="Q1977" s="408"/>
      <c r="R1977" s="408"/>
      <c r="S1977" s="408"/>
      <c r="T1977" s="408"/>
      <c r="U1977" s="408"/>
      <c r="V1977" s="421"/>
      <c r="W1977" s="421"/>
      <c r="X1977" s="421"/>
      <c r="Y1977" s="421"/>
      <c r="Z1977" s="421"/>
      <c r="AA1977" s="421"/>
      <c r="AB1977" s="421"/>
      <c r="AC1977" s="421"/>
      <c r="AD1977" s="421"/>
      <c r="AE1977" s="421"/>
      <c r="AF1977" s="421"/>
      <c r="AG1977" s="421"/>
      <c r="AH1977" s="421"/>
      <c r="AI1977" s="421"/>
      <c r="AJ1977" s="421"/>
      <c r="AK1977" s="421"/>
      <c r="AL1977" s="421"/>
    </row>
    <row r="1978" spans="1:38" hidden="1">
      <c r="A1978" s="408"/>
      <c r="B1978" s="83" t="e">
        <f t="array" ref="B1978">SUM(--(FREQUENCY(IF(C$2:C$3072=C1978, MATCH(D$2:D$3072, D$2:D$3072, 0)), ROW(D$2:D$3072)-ROW(D$2)+1) &gt; 0))</f>
        <v>#N/A</v>
      </c>
      <c r="C1978" s="408"/>
      <c r="D1978" s="408"/>
      <c r="E1978" s="408"/>
      <c r="F1978" s="408"/>
      <c r="G1978" s="408"/>
      <c r="H1978" s="408"/>
      <c r="I1978" s="408"/>
      <c r="J1978" s="408"/>
      <c r="K1978" s="408"/>
      <c r="L1978" s="408"/>
      <c r="M1978" s="408"/>
      <c r="N1978" s="408" t="str">
        <f t="shared" si="457"/>
        <v/>
      </c>
      <c r="O1978" s="408"/>
      <c r="P1978" s="408"/>
      <c r="Q1978" s="408"/>
      <c r="R1978" s="408"/>
      <c r="S1978" s="408"/>
      <c r="T1978" s="408"/>
      <c r="U1978" s="408"/>
      <c r="V1978" s="421"/>
      <c r="W1978" s="421"/>
      <c r="X1978" s="421"/>
      <c r="Y1978" s="421"/>
      <c r="Z1978" s="421"/>
      <c r="AA1978" s="421"/>
      <c r="AB1978" s="421"/>
      <c r="AC1978" s="421"/>
      <c r="AD1978" s="421"/>
      <c r="AE1978" s="421"/>
      <c r="AF1978" s="421"/>
      <c r="AG1978" s="421"/>
      <c r="AH1978" s="421"/>
      <c r="AI1978" s="421"/>
      <c r="AJ1978" s="421"/>
      <c r="AK1978" s="421"/>
      <c r="AL1978" s="421"/>
    </row>
    <row r="1979" spans="1:38" hidden="1">
      <c r="A1979" s="408"/>
      <c r="B1979" s="83" t="e">
        <f t="array" ref="B1979">SUM(--(FREQUENCY(IF(C$2:C$3072=C1979, MATCH(D$2:D$3072, D$2:D$3072, 0)), ROW(D$2:D$3072)-ROW(D$2)+1) &gt; 0))</f>
        <v>#N/A</v>
      </c>
      <c r="C1979" s="408"/>
      <c r="D1979" s="408"/>
      <c r="E1979" s="408"/>
      <c r="F1979" s="408"/>
      <c r="G1979" s="408"/>
      <c r="H1979" s="408"/>
      <c r="I1979" s="408"/>
      <c r="J1979" s="408"/>
      <c r="K1979" s="408"/>
      <c r="L1979" s="408"/>
      <c r="M1979" s="408"/>
      <c r="N1979" s="408" t="str">
        <f t="shared" si="457"/>
        <v/>
      </c>
      <c r="O1979" s="408"/>
      <c r="P1979" s="408"/>
      <c r="Q1979" s="408"/>
      <c r="R1979" s="408"/>
      <c r="S1979" s="408"/>
      <c r="T1979" s="408"/>
      <c r="U1979" s="408"/>
      <c r="V1979" s="421"/>
      <c r="W1979" s="421"/>
      <c r="X1979" s="421"/>
      <c r="Y1979" s="421"/>
      <c r="Z1979" s="421"/>
      <c r="AA1979" s="421"/>
      <c r="AB1979" s="421"/>
      <c r="AC1979" s="421"/>
      <c r="AD1979" s="421"/>
      <c r="AE1979" s="421"/>
      <c r="AF1979" s="421"/>
      <c r="AG1979" s="421"/>
      <c r="AH1979" s="421"/>
      <c r="AI1979" s="421"/>
      <c r="AJ1979" s="421"/>
      <c r="AK1979" s="421"/>
      <c r="AL1979" s="421"/>
    </row>
    <row r="1980" spans="1:38" hidden="1">
      <c r="A1980" s="408"/>
      <c r="B1980" s="83" t="e">
        <f t="array" ref="B1980">SUM(--(FREQUENCY(IF(C$2:C$3072=C1980, MATCH(D$2:D$3072, D$2:D$3072, 0)), ROW(D$2:D$3072)-ROW(D$2)+1) &gt; 0))</f>
        <v>#N/A</v>
      </c>
      <c r="C1980" s="408"/>
      <c r="D1980" s="408"/>
      <c r="E1980" s="408"/>
      <c r="F1980" s="408"/>
      <c r="G1980" s="408"/>
      <c r="H1980" s="408"/>
      <c r="I1980" s="408"/>
      <c r="J1980" s="408"/>
      <c r="K1980" s="408"/>
      <c r="L1980" s="408"/>
      <c r="M1980" s="408"/>
      <c r="N1980" s="408" t="str">
        <f t="shared" si="457"/>
        <v/>
      </c>
      <c r="O1980" s="408"/>
      <c r="P1980" s="408"/>
      <c r="Q1980" s="408"/>
      <c r="R1980" s="408"/>
      <c r="S1980" s="408"/>
      <c r="T1980" s="408"/>
      <c r="U1980" s="408"/>
      <c r="V1980" s="421"/>
      <c r="W1980" s="421"/>
      <c r="X1980" s="421"/>
      <c r="Y1980" s="421"/>
      <c r="Z1980" s="421"/>
      <c r="AA1980" s="421"/>
      <c r="AB1980" s="421"/>
      <c r="AC1980" s="421"/>
      <c r="AD1980" s="421"/>
      <c r="AE1980" s="421"/>
      <c r="AF1980" s="421"/>
      <c r="AG1980" s="421"/>
      <c r="AH1980" s="421"/>
      <c r="AI1980" s="421"/>
      <c r="AJ1980" s="421"/>
      <c r="AK1980" s="421"/>
      <c r="AL1980" s="421"/>
    </row>
    <row r="1981" spans="1:38" hidden="1">
      <c r="A1981" s="408"/>
      <c r="B1981" s="83" t="e">
        <f t="array" ref="B1981">SUM(--(FREQUENCY(IF(C$2:C$3072=C1981, MATCH(D$2:D$3072, D$2:D$3072, 0)), ROW(D$2:D$3072)-ROW(D$2)+1) &gt; 0))</f>
        <v>#N/A</v>
      </c>
      <c r="C1981" s="408"/>
      <c r="D1981" s="408"/>
      <c r="E1981" s="408"/>
      <c r="F1981" s="408"/>
      <c r="G1981" s="408"/>
      <c r="H1981" s="408"/>
      <c r="I1981" s="408"/>
      <c r="J1981" s="408"/>
      <c r="K1981" s="408"/>
      <c r="L1981" s="408"/>
      <c r="M1981" s="408"/>
      <c r="N1981" s="408" t="str">
        <f t="shared" si="457"/>
        <v/>
      </c>
      <c r="O1981" s="408"/>
      <c r="P1981" s="408"/>
      <c r="Q1981" s="408"/>
      <c r="R1981" s="408"/>
      <c r="S1981" s="408"/>
      <c r="T1981" s="408"/>
      <c r="U1981" s="408"/>
      <c r="V1981" s="421"/>
      <c r="W1981" s="421"/>
      <c r="X1981" s="421"/>
      <c r="Y1981" s="421"/>
      <c r="Z1981" s="421"/>
      <c r="AA1981" s="421"/>
      <c r="AB1981" s="421"/>
      <c r="AC1981" s="421"/>
      <c r="AD1981" s="421"/>
      <c r="AE1981" s="421"/>
      <c r="AF1981" s="421"/>
      <c r="AG1981" s="421"/>
      <c r="AH1981" s="421"/>
      <c r="AI1981" s="421"/>
      <c r="AJ1981" s="421"/>
      <c r="AK1981" s="421"/>
      <c r="AL1981" s="421"/>
    </row>
    <row r="1982" spans="1:38" hidden="1">
      <c r="A1982" s="408"/>
      <c r="B1982" s="83" t="e">
        <f t="array" ref="B1982">SUM(--(FREQUENCY(IF(C$2:C$3072=C1982, MATCH(D$2:D$3072, D$2:D$3072, 0)), ROW(D$2:D$3072)-ROW(D$2)+1) &gt; 0))</f>
        <v>#N/A</v>
      </c>
      <c r="C1982" s="408"/>
      <c r="D1982" s="408"/>
      <c r="E1982" s="408"/>
      <c r="F1982" s="408"/>
      <c r="G1982" s="408"/>
      <c r="H1982" s="408"/>
      <c r="I1982" s="408"/>
      <c r="J1982" s="408"/>
      <c r="K1982" s="408"/>
      <c r="L1982" s="408"/>
      <c r="M1982" s="408"/>
      <c r="N1982" s="408" t="str">
        <f t="shared" si="457"/>
        <v/>
      </c>
      <c r="O1982" s="408"/>
      <c r="P1982" s="408"/>
      <c r="Q1982" s="408"/>
      <c r="R1982" s="408"/>
      <c r="S1982" s="408"/>
      <c r="T1982" s="408"/>
      <c r="U1982" s="408"/>
      <c r="V1982" s="421"/>
      <c r="W1982" s="421"/>
      <c r="X1982" s="421"/>
      <c r="Y1982" s="421"/>
      <c r="Z1982" s="421"/>
      <c r="AA1982" s="421"/>
      <c r="AB1982" s="421"/>
      <c r="AC1982" s="421"/>
      <c r="AD1982" s="421"/>
      <c r="AE1982" s="421"/>
      <c r="AF1982" s="421"/>
      <c r="AG1982" s="421"/>
      <c r="AH1982" s="421"/>
      <c r="AI1982" s="421"/>
      <c r="AJ1982" s="421"/>
      <c r="AK1982" s="421"/>
      <c r="AL1982" s="421"/>
    </row>
    <row r="1983" spans="1:38" hidden="1">
      <c r="A1983" s="408"/>
      <c r="B1983" s="83" t="e">
        <f t="array" ref="B1983">SUM(--(FREQUENCY(IF(C$2:C$3072=C1983, MATCH(D$2:D$3072, D$2:D$3072, 0)), ROW(D$2:D$3072)-ROW(D$2)+1) &gt; 0))</f>
        <v>#N/A</v>
      </c>
      <c r="C1983" s="408"/>
      <c r="D1983" s="408"/>
      <c r="E1983" s="408"/>
      <c r="F1983" s="408"/>
      <c r="G1983" s="408"/>
      <c r="H1983" s="408"/>
      <c r="I1983" s="408"/>
      <c r="J1983" s="408"/>
      <c r="K1983" s="408"/>
      <c r="L1983" s="408"/>
      <c r="M1983" s="408"/>
      <c r="N1983" s="408" t="str">
        <f t="shared" si="457"/>
        <v/>
      </c>
      <c r="O1983" s="408"/>
      <c r="P1983" s="408"/>
      <c r="Q1983" s="408"/>
      <c r="R1983" s="408"/>
      <c r="S1983" s="408"/>
      <c r="T1983" s="408"/>
      <c r="U1983" s="408"/>
      <c r="V1983" s="421"/>
      <c r="W1983" s="421"/>
      <c r="X1983" s="421"/>
      <c r="Y1983" s="421"/>
      <c r="Z1983" s="421"/>
      <c r="AA1983" s="421"/>
      <c r="AB1983" s="421"/>
      <c r="AC1983" s="421"/>
      <c r="AD1983" s="421"/>
      <c r="AE1983" s="421"/>
      <c r="AF1983" s="421"/>
      <c r="AG1983" s="421"/>
      <c r="AH1983" s="421"/>
      <c r="AI1983" s="421"/>
      <c r="AJ1983" s="421"/>
      <c r="AK1983" s="421"/>
      <c r="AL1983" s="421"/>
    </row>
    <row r="1984" spans="1:38" hidden="1">
      <c r="A1984" s="408"/>
      <c r="B1984" s="83" t="e">
        <f t="array" ref="B1984">SUM(--(FREQUENCY(IF(C$2:C$3072=C1984, MATCH(D$2:D$3072, D$2:D$3072, 0)), ROW(D$2:D$3072)-ROW(D$2)+1) &gt; 0))</f>
        <v>#N/A</v>
      </c>
      <c r="C1984" s="408"/>
      <c r="D1984" s="408"/>
      <c r="E1984" s="408"/>
      <c r="F1984" s="408"/>
      <c r="G1984" s="408"/>
      <c r="H1984" s="408"/>
      <c r="I1984" s="408"/>
      <c r="J1984" s="408"/>
      <c r="K1984" s="408"/>
      <c r="L1984" s="408"/>
      <c r="M1984" s="408"/>
      <c r="N1984" s="408" t="str">
        <f t="shared" ref="N1984:N2047" si="458">IF(O1984&lt;&gt;"", "NG", "")</f>
        <v/>
      </c>
      <c r="O1984" s="408"/>
      <c r="P1984" s="408"/>
      <c r="Q1984" s="408"/>
      <c r="R1984" s="408"/>
      <c r="S1984" s="408"/>
      <c r="T1984" s="408"/>
      <c r="U1984" s="408"/>
      <c r="V1984" s="421"/>
      <c r="W1984" s="421"/>
      <c r="X1984" s="421"/>
      <c r="Y1984" s="421"/>
      <c r="Z1984" s="421"/>
      <c r="AA1984" s="421"/>
      <c r="AB1984" s="421"/>
      <c r="AC1984" s="421"/>
      <c r="AD1984" s="421"/>
      <c r="AE1984" s="421"/>
      <c r="AF1984" s="421"/>
      <c r="AG1984" s="421"/>
      <c r="AH1984" s="421"/>
      <c r="AI1984" s="421"/>
      <c r="AJ1984" s="421"/>
      <c r="AK1984" s="421"/>
      <c r="AL1984" s="421"/>
    </row>
    <row r="1985" spans="1:38" hidden="1">
      <c r="A1985" s="408"/>
      <c r="B1985" s="83" t="e">
        <f t="array" ref="B1985">SUM(--(FREQUENCY(IF(C$2:C$3072=C1985, MATCH(D$2:D$3072, D$2:D$3072, 0)), ROW(D$2:D$3072)-ROW(D$2)+1) &gt; 0))</f>
        <v>#N/A</v>
      </c>
      <c r="C1985" s="408"/>
      <c r="D1985" s="408"/>
      <c r="E1985" s="408"/>
      <c r="F1985" s="408"/>
      <c r="G1985" s="408"/>
      <c r="H1985" s="408"/>
      <c r="I1985" s="408"/>
      <c r="J1985" s="408"/>
      <c r="K1985" s="408"/>
      <c r="L1985" s="408"/>
      <c r="M1985" s="408"/>
      <c r="N1985" s="408" t="str">
        <f t="shared" si="458"/>
        <v/>
      </c>
      <c r="O1985" s="408"/>
      <c r="P1985" s="408"/>
      <c r="Q1985" s="408"/>
      <c r="R1985" s="408"/>
      <c r="S1985" s="408"/>
      <c r="T1985" s="408"/>
      <c r="U1985" s="408"/>
      <c r="V1985" s="421"/>
      <c r="W1985" s="421"/>
      <c r="X1985" s="421"/>
      <c r="Y1985" s="421"/>
      <c r="Z1985" s="421"/>
      <c r="AA1985" s="421"/>
      <c r="AB1985" s="421"/>
      <c r="AC1985" s="421"/>
      <c r="AD1985" s="421"/>
      <c r="AE1985" s="421"/>
      <c r="AF1985" s="421"/>
      <c r="AG1985" s="421"/>
      <c r="AH1985" s="421"/>
      <c r="AI1985" s="421"/>
      <c r="AJ1985" s="421"/>
      <c r="AK1985" s="421"/>
      <c r="AL1985" s="421"/>
    </row>
    <row r="1986" spans="1:38" hidden="1">
      <c r="A1986" s="408"/>
      <c r="B1986" s="83" t="e">
        <f t="array" ref="B1986">SUM(--(FREQUENCY(IF(C$2:C$3072=C1986, MATCH(D$2:D$3072, D$2:D$3072, 0)), ROW(D$2:D$3072)-ROW(D$2)+1) &gt; 0))</f>
        <v>#N/A</v>
      </c>
      <c r="C1986" s="408"/>
      <c r="D1986" s="408"/>
      <c r="E1986" s="408"/>
      <c r="F1986" s="408"/>
      <c r="G1986" s="408"/>
      <c r="H1986" s="408"/>
      <c r="I1986" s="408"/>
      <c r="J1986" s="408"/>
      <c r="K1986" s="408"/>
      <c r="L1986" s="408"/>
      <c r="M1986" s="408"/>
      <c r="N1986" s="408" t="str">
        <f t="shared" si="458"/>
        <v/>
      </c>
      <c r="O1986" s="408"/>
      <c r="P1986" s="408"/>
      <c r="Q1986" s="408"/>
      <c r="R1986" s="408"/>
      <c r="S1986" s="408"/>
      <c r="T1986" s="408"/>
      <c r="U1986" s="408"/>
      <c r="V1986" s="421"/>
      <c r="W1986" s="421"/>
      <c r="X1986" s="421"/>
      <c r="Y1986" s="421"/>
      <c r="Z1986" s="421"/>
      <c r="AA1986" s="421"/>
      <c r="AB1986" s="421"/>
      <c r="AC1986" s="421"/>
      <c r="AD1986" s="421"/>
      <c r="AE1986" s="421"/>
      <c r="AF1986" s="421"/>
      <c r="AG1986" s="421"/>
      <c r="AH1986" s="421"/>
      <c r="AI1986" s="421"/>
      <c r="AJ1986" s="421"/>
      <c r="AK1986" s="421"/>
      <c r="AL1986" s="421"/>
    </row>
    <row r="1987" spans="1:38" hidden="1">
      <c r="A1987" s="408"/>
      <c r="B1987" s="83" t="e">
        <f t="array" ref="B1987">SUM(--(FREQUENCY(IF(C$2:C$3072=C1987, MATCH(D$2:D$3072, D$2:D$3072, 0)), ROW(D$2:D$3072)-ROW(D$2)+1) &gt; 0))</f>
        <v>#N/A</v>
      </c>
      <c r="C1987" s="408"/>
      <c r="D1987" s="408"/>
      <c r="E1987" s="408"/>
      <c r="F1987" s="408"/>
      <c r="G1987" s="408"/>
      <c r="H1987" s="408"/>
      <c r="I1987" s="408"/>
      <c r="J1987" s="408"/>
      <c r="K1987" s="408"/>
      <c r="L1987" s="408"/>
      <c r="M1987" s="408"/>
      <c r="N1987" s="408" t="str">
        <f t="shared" si="458"/>
        <v/>
      </c>
      <c r="O1987" s="408"/>
      <c r="P1987" s="408"/>
      <c r="Q1987" s="408"/>
      <c r="R1987" s="408"/>
      <c r="S1987" s="408"/>
      <c r="T1987" s="408"/>
      <c r="U1987" s="408"/>
      <c r="V1987" s="421"/>
      <c r="W1987" s="421"/>
      <c r="X1987" s="421"/>
      <c r="Y1987" s="421"/>
      <c r="Z1987" s="421"/>
      <c r="AA1987" s="421"/>
      <c r="AB1987" s="421"/>
      <c r="AC1987" s="421"/>
      <c r="AD1987" s="421"/>
      <c r="AE1987" s="421"/>
      <c r="AF1987" s="421"/>
      <c r="AG1987" s="421"/>
      <c r="AH1987" s="421"/>
      <c r="AI1987" s="421"/>
      <c r="AJ1987" s="421"/>
      <c r="AK1987" s="421"/>
      <c r="AL1987" s="421"/>
    </row>
    <row r="1988" spans="1:38" hidden="1">
      <c r="A1988" s="408"/>
      <c r="B1988" s="83" t="e">
        <f t="array" ref="B1988">SUM(--(FREQUENCY(IF(C$2:C$3072=C1988, MATCH(D$2:D$3072, D$2:D$3072, 0)), ROW(D$2:D$3072)-ROW(D$2)+1) &gt; 0))</f>
        <v>#N/A</v>
      </c>
      <c r="C1988" s="408"/>
      <c r="D1988" s="408"/>
      <c r="E1988" s="408"/>
      <c r="F1988" s="408"/>
      <c r="G1988" s="408"/>
      <c r="H1988" s="408"/>
      <c r="I1988" s="408"/>
      <c r="J1988" s="408"/>
      <c r="K1988" s="408"/>
      <c r="L1988" s="408"/>
      <c r="M1988" s="408"/>
      <c r="N1988" s="408" t="str">
        <f t="shared" si="458"/>
        <v/>
      </c>
      <c r="O1988" s="408"/>
      <c r="P1988" s="408"/>
      <c r="Q1988" s="408"/>
      <c r="R1988" s="408"/>
      <c r="S1988" s="408"/>
      <c r="T1988" s="408"/>
      <c r="U1988" s="408"/>
      <c r="V1988" s="421"/>
      <c r="W1988" s="421"/>
      <c r="X1988" s="421"/>
      <c r="Y1988" s="421"/>
      <c r="Z1988" s="421"/>
      <c r="AA1988" s="421"/>
      <c r="AB1988" s="421"/>
      <c r="AC1988" s="421"/>
      <c r="AD1988" s="421"/>
      <c r="AE1988" s="421"/>
      <c r="AF1988" s="421"/>
      <c r="AG1988" s="421"/>
      <c r="AH1988" s="421"/>
      <c r="AI1988" s="421"/>
      <c r="AJ1988" s="421"/>
      <c r="AK1988" s="421"/>
      <c r="AL1988" s="421"/>
    </row>
    <row r="1989" spans="1:38" hidden="1">
      <c r="A1989" s="408"/>
      <c r="B1989" s="83" t="e">
        <f t="array" ref="B1989">SUM(--(FREQUENCY(IF(C$2:C$3072=C1989, MATCH(D$2:D$3072, D$2:D$3072, 0)), ROW(D$2:D$3072)-ROW(D$2)+1) &gt; 0))</f>
        <v>#N/A</v>
      </c>
      <c r="C1989" s="408"/>
      <c r="D1989" s="408"/>
      <c r="E1989" s="408"/>
      <c r="F1989" s="408"/>
      <c r="G1989" s="408"/>
      <c r="H1989" s="408"/>
      <c r="I1989" s="408"/>
      <c r="J1989" s="408"/>
      <c r="K1989" s="408"/>
      <c r="L1989" s="408"/>
      <c r="M1989" s="408"/>
      <c r="N1989" s="408" t="str">
        <f t="shared" si="458"/>
        <v/>
      </c>
      <c r="O1989" s="408"/>
      <c r="P1989" s="408"/>
      <c r="Q1989" s="408"/>
      <c r="R1989" s="408"/>
      <c r="S1989" s="408"/>
      <c r="T1989" s="408"/>
      <c r="U1989" s="408"/>
      <c r="V1989" s="421"/>
      <c r="W1989" s="421"/>
      <c r="X1989" s="421"/>
      <c r="Y1989" s="421"/>
      <c r="Z1989" s="421"/>
      <c r="AA1989" s="421"/>
      <c r="AB1989" s="421"/>
      <c r="AC1989" s="421"/>
      <c r="AD1989" s="421"/>
      <c r="AE1989" s="421"/>
      <c r="AF1989" s="421"/>
      <c r="AG1989" s="421"/>
      <c r="AH1989" s="421"/>
      <c r="AI1989" s="421"/>
      <c r="AJ1989" s="421"/>
      <c r="AK1989" s="421"/>
      <c r="AL1989" s="421"/>
    </row>
    <row r="1990" spans="1:38" hidden="1">
      <c r="A1990" s="408"/>
      <c r="B1990" s="83" t="e">
        <f t="array" ref="B1990">SUM(--(FREQUENCY(IF(C$2:C$3072=C1990, MATCH(D$2:D$3072, D$2:D$3072, 0)), ROW(D$2:D$3072)-ROW(D$2)+1) &gt; 0))</f>
        <v>#N/A</v>
      </c>
      <c r="C1990" s="408"/>
      <c r="D1990" s="408"/>
      <c r="E1990" s="408"/>
      <c r="F1990" s="408"/>
      <c r="G1990" s="408"/>
      <c r="H1990" s="408"/>
      <c r="I1990" s="408"/>
      <c r="J1990" s="408"/>
      <c r="K1990" s="408"/>
      <c r="L1990" s="408"/>
      <c r="M1990" s="408"/>
      <c r="N1990" s="408" t="str">
        <f t="shared" si="458"/>
        <v/>
      </c>
      <c r="O1990" s="408"/>
      <c r="P1990" s="408"/>
      <c r="Q1990" s="408"/>
      <c r="R1990" s="408"/>
      <c r="S1990" s="408"/>
      <c r="T1990" s="408"/>
      <c r="U1990" s="408"/>
      <c r="V1990" s="421"/>
      <c r="W1990" s="421"/>
      <c r="X1990" s="421"/>
      <c r="Y1990" s="421"/>
      <c r="Z1990" s="421"/>
      <c r="AA1990" s="421"/>
      <c r="AB1990" s="421"/>
      <c r="AC1990" s="421"/>
      <c r="AD1990" s="421"/>
      <c r="AE1990" s="421"/>
      <c r="AF1990" s="421"/>
      <c r="AG1990" s="421"/>
      <c r="AH1990" s="421"/>
      <c r="AI1990" s="421"/>
      <c r="AJ1990" s="421"/>
      <c r="AK1990" s="421"/>
      <c r="AL1990" s="421"/>
    </row>
    <row r="1991" spans="1:38" hidden="1">
      <c r="A1991" s="408"/>
      <c r="B1991" s="83" t="e">
        <f t="array" ref="B1991">SUM(--(FREQUENCY(IF(C$2:C$3072=C1991, MATCH(D$2:D$3072, D$2:D$3072, 0)), ROW(D$2:D$3072)-ROW(D$2)+1) &gt; 0))</f>
        <v>#N/A</v>
      </c>
      <c r="C1991" s="408"/>
      <c r="D1991" s="408"/>
      <c r="E1991" s="408"/>
      <c r="F1991" s="408"/>
      <c r="G1991" s="408"/>
      <c r="H1991" s="408"/>
      <c r="I1991" s="408"/>
      <c r="J1991" s="408"/>
      <c r="K1991" s="408"/>
      <c r="L1991" s="408"/>
      <c r="M1991" s="408"/>
      <c r="N1991" s="408" t="str">
        <f t="shared" si="458"/>
        <v/>
      </c>
      <c r="O1991" s="408"/>
      <c r="P1991" s="408"/>
      <c r="Q1991" s="408"/>
      <c r="R1991" s="408"/>
      <c r="S1991" s="408"/>
      <c r="T1991" s="408"/>
      <c r="U1991" s="408"/>
      <c r="V1991" s="421"/>
      <c r="W1991" s="421"/>
      <c r="X1991" s="421"/>
      <c r="Y1991" s="421"/>
      <c r="Z1991" s="421"/>
      <c r="AA1991" s="421"/>
      <c r="AB1991" s="421"/>
      <c r="AC1991" s="421"/>
      <c r="AD1991" s="421"/>
      <c r="AE1991" s="421"/>
      <c r="AF1991" s="421"/>
      <c r="AG1991" s="421"/>
      <c r="AH1991" s="421"/>
      <c r="AI1991" s="421"/>
      <c r="AJ1991" s="421"/>
      <c r="AK1991" s="421"/>
      <c r="AL1991" s="421"/>
    </row>
    <row r="1992" spans="1:38" hidden="1">
      <c r="A1992" s="408"/>
      <c r="B1992" s="83" t="e">
        <f t="array" ref="B1992">SUM(--(FREQUENCY(IF(C$2:C$3072=C1992, MATCH(D$2:D$3072, D$2:D$3072, 0)), ROW(D$2:D$3072)-ROW(D$2)+1) &gt; 0))</f>
        <v>#N/A</v>
      </c>
      <c r="C1992" s="408"/>
      <c r="D1992" s="408"/>
      <c r="E1992" s="408"/>
      <c r="F1992" s="408"/>
      <c r="G1992" s="408"/>
      <c r="H1992" s="408"/>
      <c r="I1992" s="408"/>
      <c r="J1992" s="408"/>
      <c r="K1992" s="408"/>
      <c r="L1992" s="408"/>
      <c r="M1992" s="408"/>
      <c r="N1992" s="408" t="str">
        <f t="shared" si="458"/>
        <v/>
      </c>
      <c r="O1992" s="408"/>
      <c r="P1992" s="408"/>
      <c r="Q1992" s="408"/>
      <c r="R1992" s="408"/>
      <c r="S1992" s="408"/>
      <c r="T1992" s="408"/>
      <c r="U1992" s="408"/>
      <c r="V1992" s="421"/>
      <c r="W1992" s="421"/>
      <c r="X1992" s="421"/>
      <c r="Y1992" s="421"/>
      <c r="Z1992" s="421"/>
      <c r="AA1992" s="421"/>
      <c r="AB1992" s="421"/>
      <c r="AC1992" s="421"/>
      <c r="AD1992" s="421"/>
      <c r="AE1992" s="421"/>
      <c r="AF1992" s="421"/>
      <c r="AG1992" s="421"/>
      <c r="AH1992" s="421"/>
      <c r="AI1992" s="421"/>
      <c r="AJ1992" s="421"/>
      <c r="AK1992" s="421"/>
      <c r="AL1992" s="421"/>
    </row>
    <row r="1993" spans="1:38" hidden="1">
      <c r="A1993" s="408"/>
      <c r="B1993" s="83" t="e">
        <f t="array" ref="B1993">SUM(--(FREQUENCY(IF(C$2:C$3072=C1993, MATCH(D$2:D$3072, D$2:D$3072, 0)), ROW(D$2:D$3072)-ROW(D$2)+1) &gt; 0))</f>
        <v>#N/A</v>
      </c>
      <c r="C1993" s="408"/>
      <c r="D1993" s="408"/>
      <c r="E1993" s="408"/>
      <c r="F1993" s="408"/>
      <c r="G1993" s="408"/>
      <c r="H1993" s="408"/>
      <c r="I1993" s="408"/>
      <c r="J1993" s="408"/>
      <c r="K1993" s="408"/>
      <c r="L1993" s="408"/>
      <c r="M1993" s="408"/>
      <c r="N1993" s="408" t="str">
        <f t="shared" si="458"/>
        <v/>
      </c>
      <c r="O1993" s="408"/>
      <c r="P1993" s="408"/>
      <c r="Q1993" s="408"/>
      <c r="R1993" s="408"/>
      <c r="S1993" s="408"/>
      <c r="T1993" s="408"/>
      <c r="U1993" s="408"/>
      <c r="V1993" s="421"/>
      <c r="W1993" s="421"/>
      <c r="X1993" s="421"/>
      <c r="Y1993" s="421"/>
      <c r="Z1993" s="421"/>
      <c r="AA1993" s="421"/>
      <c r="AB1993" s="421"/>
      <c r="AC1993" s="421"/>
      <c r="AD1993" s="421"/>
      <c r="AE1993" s="421"/>
      <c r="AF1993" s="421"/>
      <c r="AG1993" s="421"/>
      <c r="AH1993" s="421"/>
      <c r="AI1993" s="421"/>
      <c r="AJ1993" s="421"/>
      <c r="AK1993" s="421"/>
      <c r="AL1993" s="421"/>
    </row>
    <row r="1994" spans="1:38" hidden="1">
      <c r="A1994" s="408"/>
      <c r="B1994" s="83" t="e">
        <f t="array" ref="B1994">SUM(--(FREQUENCY(IF(C$2:C$3072=C1994, MATCH(D$2:D$3072, D$2:D$3072, 0)), ROW(D$2:D$3072)-ROW(D$2)+1) &gt; 0))</f>
        <v>#N/A</v>
      </c>
      <c r="C1994" s="408"/>
      <c r="D1994" s="408"/>
      <c r="E1994" s="408"/>
      <c r="F1994" s="408"/>
      <c r="G1994" s="408"/>
      <c r="H1994" s="408"/>
      <c r="I1994" s="408"/>
      <c r="J1994" s="408"/>
      <c r="K1994" s="408"/>
      <c r="L1994" s="408"/>
      <c r="M1994" s="408"/>
      <c r="N1994" s="408" t="str">
        <f t="shared" si="458"/>
        <v/>
      </c>
      <c r="O1994" s="408"/>
      <c r="P1994" s="408"/>
      <c r="Q1994" s="408"/>
      <c r="R1994" s="408"/>
      <c r="S1994" s="408"/>
      <c r="T1994" s="408"/>
      <c r="U1994" s="408"/>
      <c r="V1994" s="421"/>
      <c r="W1994" s="421"/>
      <c r="X1994" s="421"/>
      <c r="Y1994" s="421"/>
      <c r="Z1994" s="421"/>
      <c r="AA1994" s="421"/>
      <c r="AB1994" s="421"/>
      <c r="AC1994" s="421"/>
      <c r="AD1994" s="421"/>
      <c r="AE1994" s="421"/>
      <c r="AF1994" s="421"/>
      <c r="AG1994" s="421"/>
      <c r="AH1994" s="421"/>
      <c r="AI1994" s="421"/>
      <c r="AJ1994" s="421"/>
      <c r="AK1994" s="421"/>
      <c r="AL1994" s="421"/>
    </row>
    <row r="1995" spans="1:38" hidden="1">
      <c r="A1995" s="408"/>
      <c r="B1995" s="83" t="e">
        <f t="array" ref="B1995">SUM(--(FREQUENCY(IF(C$2:C$3072=C1995, MATCH(D$2:D$3072, D$2:D$3072, 0)), ROW(D$2:D$3072)-ROW(D$2)+1) &gt; 0))</f>
        <v>#N/A</v>
      </c>
      <c r="C1995" s="408"/>
      <c r="D1995" s="408"/>
      <c r="E1995" s="408"/>
      <c r="F1995" s="408"/>
      <c r="G1995" s="408"/>
      <c r="H1995" s="408"/>
      <c r="I1995" s="408"/>
      <c r="J1995" s="408"/>
      <c r="K1995" s="408"/>
      <c r="L1995" s="408"/>
      <c r="M1995" s="408"/>
      <c r="N1995" s="408" t="str">
        <f t="shared" si="458"/>
        <v/>
      </c>
      <c r="O1995" s="408"/>
      <c r="P1995" s="408"/>
      <c r="Q1995" s="408"/>
      <c r="R1995" s="408"/>
      <c r="S1995" s="408"/>
      <c r="T1995" s="408"/>
      <c r="U1995" s="408"/>
      <c r="V1995" s="421"/>
      <c r="W1995" s="421"/>
      <c r="X1995" s="421"/>
      <c r="Y1995" s="421"/>
      <c r="Z1995" s="421"/>
      <c r="AA1995" s="421"/>
      <c r="AB1995" s="421"/>
      <c r="AC1995" s="421"/>
      <c r="AD1995" s="421"/>
      <c r="AE1995" s="421"/>
      <c r="AF1995" s="421"/>
      <c r="AG1995" s="421"/>
      <c r="AH1995" s="421"/>
      <c r="AI1995" s="421"/>
      <c r="AJ1995" s="421"/>
      <c r="AK1995" s="421"/>
      <c r="AL1995" s="421"/>
    </row>
    <row r="1996" spans="1:38" hidden="1">
      <c r="A1996" s="408"/>
      <c r="B1996" s="83" t="e">
        <f t="array" ref="B1996">SUM(--(FREQUENCY(IF(C$2:C$3072=C1996, MATCH(D$2:D$3072, D$2:D$3072, 0)), ROW(D$2:D$3072)-ROW(D$2)+1) &gt; 0))</f>
        <v>#N/A</v>
      </c>
      <c r="C1996" s="408"/>
      <c r="D1996" s="408"/>
      <c r="E1996" s="408"/>
      <c r="F1996" s="408"/>
      <c r="G1996" s="408"/>
      <c r="H1996" s="408"/>
      <c r="I1996" s="408"/>
      <c r="J1996" s="408"/>
      <c r="K1996" s="408"/>
      <c r="L1996" s="408"/>
      <c r="M1996" s="408"/>
      <c r="N1996" s="408" t="str">
        <f t="shared" si="458"/>
        <v/>
      </c>
      <c r="O1996" s="408"/>
      <c r="P1996" s="408"/>
      <c r="Q1996" s="408"/>
      <c r="R1996" s="408"/>
      <c r="S1996" s="408"/>
      <c r="T1996" s="408"/>
      <c r="U1996" s="408"/>
      <c r="V1996" s="421"/>
      <c r="W1996" s="421"/>
      <c r="X1996" s="421"/>
      <c r="Y1996" s="421"/>
      <c r="Z1996" s="421"/>
      <c r="AA1996" s="421"/>
      <c r="AB1996" s="421"/>
      <c r="AC1996" s="421"/>
      <c r="AD1996" s="421"/>
      <c r="AE1996" s="421"/>
      <c r="AF1996" s="421"/>
      <c r="AG1996" s="421"/>
      <c r="AH1996" s="421"/>
      <c r="AI1996" s="421"/>
      <c r="AJ1996" s="421"/>
      <c r="AK1996" s="421"/>
      <c r="AL1996" s="421"/>
    </row>
    <row r="1997" spans="1:38" hidden="1">
      <c r="A1997" s="408"/>
      <c r="B1997" s="83" t="e">
        <f t="array" ref="B1997">SUM(--(FREQUENCY(IF(C$2:C$3072=C1997, MATCH(D$2:D$3072, D$2:D$3072, 0)), ROW(D$2:D$3072)-ROW(D$2)+1) &gt; 0))</f>
        <v>#N/A</v>
      </c>
      <c r="C1997" s="408"/>
      <c r="D1997" s="408"/>
      <c r="E1997" s="408"/>
      <c r="F1997" s="408"/>
      <c r="G1997" s="408"/>
      <c r="H1997" s="408"/>
      <c r="I1997" s="408"/>
      <c r="J1997" s="408"/>
      <c r="K1997" s="408"/>
      <c r="L1997" s="408"/>
      <c r="M1997" s="408"/>
      <c r="N1997" s="408" t="str">
        <f t="shared" si="458"/>
        <v/>
      </c>
      <c r="O1997" s="408"/>
      <c r="P1997" s="408"/>
      <c r="Q1997" s="408"/>
      <c r="R1997" s="408"/>
      <c r="S1997" s="408"/>
      <c r="T1997" s="408"/>
      <c r="U1997" s="408"/>
      <c r="V1997" s="421"/>
      <c r="W1997" s="421"/>
      <c r="X1997" s="421"/>
      <c r="Y1997" s="421"/>
      <c r="Z1997" s="421"/>
      <c r="AA1997" s="421"/>
      <c r="AB1997" s="421"/>
      <c r="AC1997" s="421"/>
      <c r="AD1997" s="421"/>
      <c r="AE1997" s="421"/>
      <c r="AF1997" s="421"/>
      <c r="AG1997" s="421"/>
      <c r="AH1997" s="421"/>
      <c r="AI1997" s="421"/>
      <c r="AJ1997" s="421"/>
      <c r="AK1997" s="421"/>
      <c r="AL1997" s="421"/>
    </row>
    <row r="1998" spans="1:38" hidden="1">
      <c r="A1998" s="408"/>
      <c r="B1998" s="83" t="e">
        <f t="array" ref="B1998">SUM(--(FREQUENCY(IF(C$2:C$3072=C1998, MATCH(D$2:D$3072, D$2:D$3072, 0)), ROW(D$2:D$3072)-ROW(D$2)+1) &gt; 0))</f>
        <v>#N/A</v>
      </c>
      <c r="C1998" s="408"/>
      <c r="D1998" s="408"/>
      <c r="E1998" s="408"/>
      <c r="F1998" s="408"/>
      <c r="G1998" s="408"/>
      <c r="H1998" s="408"/>
      <c r="I1998" s="408"/>
      <c r="J1998" s="408"/>
      <c r="K1998" s="408"/>
      <c r="L1998" s="408"/>
      <c r="M1998" s="408"/>
      <c r="N1998" s="408" t="str">
        <f t="shared" si="458"/>
        <v/>
      </c>
      <c r="O1998" s="408"/>
      <c r="P1998" s="408"/>
      <c r="Q1998" s="408"/>
      <c r="R1998" s="408"/>
      <c r="S1998" s="408"/>
      <c r="T1998" s="408"/>
      <c r="U1998" s="408"/>
      <c r="V1998" s="421"/>
      <c r="W1998" s="421"/>
      <c r="X1998" s="421"/>
      <c r="Y1998" s="421"/>
      <c r="Z1998" s="421"/>
      <c r="AA1998" s="421"/>
      <c r="AB1998" s="421"/>
      <c r="AC1998" s="421"/>
      <c r="AD1998" s="421"/>
      <c r="AE1998" s="421"/>
      <c r="AF1998" s="421"/>
      <c r="AG1998" s="421"/>
      <c r="AH1998" s="421"/>
      <c r="AI1998" s="421"/>
      <c r="AJ1998" s="421"/>
      <c r="AK1998" s="421"/>
      <c r="AL1998" s="421"/>
    </row>
    <row r="1999" spans="1:38" hidden="1">
      <c r="A1999" s="408"/>
      <c r="B1999" s="83" t="e">
        <f t="array" ref="B1999">SUM(--(FREQUENCY(IF(C$2:C$3072=C1999, MATCH(D$2:D$3072, D$2:D$3072, 0)), ROW(D$2:D$3072)-ROW(D$2)+1) &gt; 0))</f>
        <v>#N/A</v>
      </c>
      <c r="C1999" s="408"/>
      <c r="D1999" s="408"/>
      <c r="E1999" s="408"/>
      <c r="F1999" s="408"/>
      <c r="G1999" s="408"/>
      <c r="H1999" s="408"/>
      <c r="I1999" s="408"/>
      <c r="J1999" s="408"/>
      <c r="K1999" s="408"/>
      <c r="L1999" s="408"/>
      <c r="M1999" s="408"/>
      <c r="N1999" s="408" t="str">
        <f t="shared" si="458"/>
        <v/>
      </c>
      <c r="O1999" s="408"/>
      <c r="P1999" s="408"/>
      <c r="Q1999" s="408"/>
      <c r="R1999" s="408"/>
      <c r="S1999" s="408"/>
      <c r="T1999" s="408"/>
      <c r="U1999" s="408"/>
      <c r="V1999" s="421"/>
      <c r="W1999" s="421"/>
      <c r="X1999" s="421"/>
      <c r="Y1999" s="421"/>
      <c r="Z1999" s="421"/>
      <c r="AA1999" s="421"/>
      <c r="AB1999" s="421"/>
      <c r="AC1999" s="421"/>
      <c r="AD1999" s="421"/>
      <c r="AE1999" s="421"/>
      <c r="AF1999" s="421"/>
      <c r="AG1999" s="421"/>
      <c r="AH1999" s="421"/>
      <c r="AI1999" s="421"/>
      <c r="AJ1999" s="421"/>
      <c r="AK1999" s="421"/>
      <c r="AL1999" s="421"/>
    </row>
    <row r="2000" spans="1:38" hidden="1">
      <c r="A2000" s="408"/>
      <c r="B2000" s="83" t="e">
        <f t="array" ref="B2000">SUM(--(FREQUENCY(IF(C$2:C$3072=C2000, MATCH(D$2:D$3072, D$2:D$3072, 0)), ROW(D$2:D$3072)-ROW(D$2)+1) &gt; 0))</f>
        <v>#N/A</v>
      </c>
      <c r="C2000" s="408"/>
      <c r="D2000" s="408"/>
      <c r="E2000" s="408"/>
      <c r="F2000" s="408"/>
      <c r="G2000" s="408"/>
      <c r="H2000" s="408"/>
      <c r="I2000" s="408"/>
      <c r="J2000" s="408"/>
      <c r="K2000" s="408"/>
      <c r="L2000" s="408"/>
      <c r="M2000" s="408"/>
      <c r="N2000" s="408" t="str">
        <f t="shared" si="458"/>
        <v/>
      </c>
      <c r="O2000" s="408"/>
      <c r="P2000" s="408"/>
      <c r="Q2000" s="408"/>
      <c r="R2000" s="408"/>
      <c r="S2000" s="408"/>
      <c r="T2000" s="408"/>
      <c r="U2000" s="408"/>
      <c r="V2000" s="421"/>
      <c r="W2000" s="421"/>
      <c r="X2000" s="421"/>
      <c r="Y2000" s="421"/>
      <c r="Z2000" s="421"/>
      <c r="AA2000" s="421"/>
      <c r="AB2000" s="421"/>
      <c r="AC2000" s="421"/>
      <c r="AD2000" s="421"/>
      <c r="AE2000" s="421"/>
      <c r="AF2000" s="421"/>
      <c r="AG2000" s="421"/>
      <c r="AH2000" s="421"/>
      <c r="AI2000" s="421"/>
      <c r="AJ2000" s="421"/>
      <c r="AK2000" s="421"/>
      <c r="AL2000" s="421"/>
    </row>
    <row r="2001" spans="1:38" hidden="1">
      <c r="A2001" s="408"/>
      <c r="B2001" s="83" t="e">
        <f t="array" ref="B2001">SUM(--(FREQUENCY(IF(C$2:C$3072=C2001, MATCH(D$2:D$3072, D$2:D$3072, 0)), ROW(D$2:D$3072)-ROW(D$2)+1) &gt; 0))</f>
        <v>#N/A</v>
      </c>
      <c r="C2001" s="408"/>
      <c r="D2001" s="408"/>
      <c r="E2001" s="408"/>
      <c r="F2001" s="408"/>
      <c r="G2001" s="408"/>
      <c r="H2001" s="408"/>
      <c r="I2001" s="408"/>
      <c r="J2001" s="408"/>
      <c r="K2001" s="408"/>
      <c r="L2001" s="408"/>
      <c r="M2001" s="408"/>
      <c r="N2001" s="408" t="str">
        <f t="shared" si="458"/>
        <v/>
      </c>
      <c r="O2001" s="408"/>
      <c r="P2001" s="408"/>
      <c r="Q2001" s="408"/>
      <c r="R2001" s="408"/>
      <c r="S2001" s="408"/>
      <c r="T2001" s="408"/>
      <c r="U2001" s="408"/>
      <c r="V2001" s="421"/>
      <c r="W2001" s="421"/>
      <c r="X2001" s="421"/>
      <c r="Y2001" s="421"/>
      <c r="Z2001" s="421"/>
      <c r="AA2001" s="421"/>
      <c r="AB2001" s="421"/>
      <c r="AC2001" s="421"/>
      <c r="AD2001" s="421"/>
      <c r="AE2001" s="421"/>
      <c r="AF2001" s="421"/>
      <c r="AG2001" s="421"/>
      <c r="AH2001" s="421"/>
      <c r="AI2001" s="421"/>
      <c r="AJ2001" s="421"/>
      <c r="AK2001" s="421"/>
      <c r="AL2001" s="421"/>
    </row>
    <row r="2002" spans="1:38" hidden="1">
      <c r="A2002" s="408"/>
      <c r="B2002" s="83" t="e">
        <f t="array" ref="B2002">SUM(--(FREQUENCY(IF(C$2:C$3072=C2002, MATCH(D$2:D$3072, D$2:D$3072, 0)), ROW(D$2:D$3072)-ROW(D$2)+1) &gt; 0))</f>
        <v>#N/A</v>
      </c>
      <c r="C2002" s="408"/>
      <c r="D2002" s="408"/>
      <c r="E2002" s="408"/>
      <c r="F2002" s="408"/>
      <c r="G2002" s="408"/>
      <c r="H2002" s="408"/>
      <c r="I2002" s="408"/>
      <c r="J2002" s="408"/>
      <c r="K2002" s="408"/>
      <c r="L2002" s="408"/>
      <c r="M2002" s="408"/>
      <c r="N2002" s="408" t="str">
        <f t="shared" si="458"/>
        <v/>
      </c>
      <c r="O2002" s="408"/>
      <c r="P2002" s="408"/>
      <c r="Q2002" s="408"/>
      <c r="R2002" s="408"/>
      <c r="S2002" s="408"/>
      <c r="T2002" s="408"/>
      <c r="U2002" s="408"/>
      <c r="V2002" s="421"/>
      <c r="W2002" s="421"/>
      <c r="X2002" s="421"/>
      <c r="Y2002" s="421"/>
      <c r="Z2002" s="421"/>
      <c r="AA2002" s="421"/>
      <c r="AB2002" s="421"/>
      <c r="AC2002" s="421"/>
      <c r="AD2002" s="421"/>
      <c r="AE2002" s="421"/>
      <c r="AF2002" s="421"/>
      <c r="AG2002" s="421"/>
      <c r="AH2002" s="421"/>
      <c r="AI2002" s="421"/>
      <c r="AJ2002" s="421"/>
      <c r="AK2002" s="421"/>
      <c r="AL2002" s="421"/>
    </row>
    <row r="2003" spans="1:38" hidden="1">
      <c r="A2003" s="408"/>
      <c r="B2003" s="83" t="e">
        <f t="array" ref="B2003">SUM(--(FREQUENCY(IF(C$2:C$3072=C2003, MATCH(D$2:D$3072, D$2:D$3072, 0)), ROW(D$2:D$3072)-ROW(D$2)+1) &gt; 0))</f>
        <v>#N/A</v>
      </c>
      <c r="C2003" s="408"/>
      <c r="D2003" s="408"/>
      <c r="E2003" s="408"/>
      <c r="F2003" s="408"/>
      <c r="G2003" s="408"/>
      <c r="H2003" s="408"/>
      <c r="I2003" s="408"/>
      <c r="J2003" s="408"/>
      <c r="K2003" s="408"/>
      <c r="L2003" s="408"/>
      <c r="M2003" s="408"/>
      <c r="N2003" s="408" t="str">
        <f t="shared" si="458"/>
        <v/>
      </c>
      <c r="O2003" s="408"/>
      <c r="P2003" s="408"/>
      <c r="Q2003" s="408"/>
      <c r="R2003" s="408"/>
      <c r="S2003" s="408"/>
      <c r="T2003" s="408"/>
      <c r="U2003" s="408"/>
      <c r="V2003" s="421"/>
      <c r="W2003" s="421"/>
      <c r="X2003" s="421"/>
      <c r="Y2003" s="421"/>
      <c r="Z2003" s="421"/>
      <c r="AA2003" s="421"/>
      <c r="AB2003" s="421"/>
      <c r="AC2003" s="421"/>
      <c r="AD2003" s="421"/>
      <c r="AE2003" s="421"/>
      <c r="AF2003" s="421"/>
      <c r="AG2003" s="421"/>
      <c r="AH2003" s="421"/>
      <c r="AI2003" s="421"/>
      <c r="AJ2003" s="421"/>
      <c r="AK2003" s="421"/>
      <c r="AL2003" s="421"/>
    </row>
    <row r="2004" spans="1:38" hidden="1">
      <c r="A2004" s="408"/>
      <c r="B2004" s="83" t="e">
        <f t="array" ref="B2004">SUM(--(FREQUENCY(IF(C$2:C$3072=C2004, MATCH(D$2:D$3072, D$2:D$3072, 0)), ROW(D$2:D$3072)-ROW(D$2)+1) &gt; 0))</f>
        <v>#N/A</v>
      </c>
      <c r="C2004" s="408"/>
      <c r="D2004" s="408"/>
      <c r="E2004" s="408"/>
      <c r="F2004" s="408"/>
      <c r="G2004" s="408"/>
      <c r="H2004" s="408"/>
      <c r="I2004" s="408"/>
      <c r="J2004" s="408"/>
      <c r="K2004" s="408"/>
      <c r="L2004" s="408"/>
      <c r="M2004" s="408"/>
      <c r="N2004" s="408" t="str">
        <f t="shared" si="458"/>
        <v/>
      </c>
      <c r="O2004" s="408"/>
      <c r="P2004" s="408"/>
      <c r="Q2004" s="408"/>
      <c r="R2004" s="408"/>
      <c r="S2004" s="408"/>
      <c r="T2004" s="408"/>
      <c r="U2004" s="408"/>
      <c r="V2004" s="421"/>
      <c r="W2004" s="421"/>
      <c r="X2004" s="421"/>
      <c r="Y2004" s="421"/>
      <c r="Z2004" s="421"/>
      <c r="AA2004" s="421"/>
      <c r="AB2004" s="421"/>
      <c r="AC2004" s="421"/>
      <c r="AD2004" s="421"/>
      <c r="AE2004" s="421"/>
      <c r="AF2004" s="421"/>
      <c r="AG2004" s="421"/>
      <c r="AH2004" s="421"/>
      <c r="AI2004" s="421"/>
      <c r="AJ2004" s="421"/>
      <c r="AK2004" s="421"/>
      <c r="AL2004" s="421"/>
    </row>
    <row r="2005" spans="1:38" hidden="1">
      <c r="A2005" s="408"/>
      <c r="B2005" s="83" t="e">
        <f t="array" ref="B2005">SUM(--(FREQUENCY(IF(C$2:C$3072=C2005, MATCH(D$2:D$3072, D$2:D$3072, 0)), ROW(D$2:D$3072)-ROW(D$2)+1) &gt; 0))</f>
        <v>#N/A</v>
      </c>
      <c r="C2005" s="408"/>
      <c r="D2005" s="408"/>
      <c r="E2005" s="408"/>
      <c r="F2005" s="408"/>
      <c r="G2005" s="408"/>
      <c r="H2005" s="408"/>
      <c r="I2005" s="408"/>
      <c r="J2005" s="408"/>
      <c r="K2005" s="408"/>
      <c r="L2005" s="408"/>
      <c r="M2005" s="408"/>
      <c r="N2005" s="408" t="str">
        <f t="shared" si="458"/>
        <v/>
      </c>
      <c r="O2005" s="408"/>
      <c r="P2005" s="408"/>
      <c r="Q2005" s="408"/>
      <c r="R2005" s="408"/>
      <c r="S2005" s="408"/>
      <c r="T2005" s="408"/>
      <c r="U2005" s="408"/>
      <c r="V2005" s="421"/>
      <c r="W2005" s="421"/>
      <c r="X2005" s="421"/>
      <c r="Y2005" s="421"/>
      <c r="Z2005" s="421"/>
      <c r="AA2005" s="421"/>
      <c r="AB2005" s="421"/>
      <c r="AC2005" s="421"/>
      <c r="AD2005" s="421"/>
      <c r="AE2005" s="421"/>
      <c r="AF2005" s="421"/>
      <c r="AG2005" s="421"/>
      <c r="AH2005" s="421"/>
      <c r="AI2005" s="421"/>
      <c r="AJ2005" s="421"/>
      <c r="AK2005" s="421"/>
      <c r="AL2005" s="421"/>
    </row>
    <row r="2006" spans="1:38" hidden="1">
      <c r="A2006" s="408"/>
      <c r="B2006" s="83" t="e">
        <f t="array" ref="B2006">SUM(--(FREQUENCY(IF(C$2:C$3072=C2006, MATCH(D$2:D$3072, D$2:D$3072, 0)), ROW(D$2:D$3072)-ROW(D$2)+1) &gt; 0))</f>
        <v>#N/A</v>
      </c>
      <c r="C2006" s="408"/>
      <c r="D2006" s="408"/>
      <c r="E2006" s="408"/>
      <c r="F2006" s="408"/>
      <c r="G2006" s="408"/>
      <c r="H2006" s="408"/>
      <c r="I2006" s="408"/>
      <c r="J2006" s="408"/>
      <c r="K2006" s="408"/>
      <c r="L2006" s="408"/>
      <c r="M2006" s="408"/>
      <c r="N2006" s="408" t="str">
        <f t="shared" si="458"/>
        <v/>
      </c>
      <c r="O2006" s="408"/>
      <c r="P2006" s="408"/>
      <c r="Q2006" s="408"/>
      <c r="R2006" s="408"/>
      <c r="S2006" s="408"/>
      <c r="T2006" s="408"/>
      <c r="U2006" s="408"/>
      <c r="V2006" s="421"/>
      <c r="W2006" s="421"/>
      <c r="X2006" s="421"/>
      <c r="Y2006" s="421"/>
      <c r="Z2006" s="421"/>
      <c r="AA2006" s="421"/>
      <c r="AB2006" s="421"/>
      <c r="AC2006" s="421"/>
      <c r="AD2006" s="421"/>
      <c r="AE2006" s="421"/>
      <c r="AF2006" s="421"/>
      <c r="AG2006" s="421"/>
      <c r="AH2006" s="421"/>
      <c r="AI2006" s="421"/>
      <c r="AJ2006" s="421"/>
      <c r="AK2006" s="421"/>
      <c r="AL2006" s="421"/>
    </row>
    <row r="2007" spans="1:38" hidden="1">
      <c r="A2007" s="408"/>
      <c r="B2007" s="83" t="e">
        <f t="array" ref="B2007">SUM(--(FREQUENCY(IF(C$2:C$3072=C2007, MATCH(D$2:D$3072, D$2:D$3072, 0)), ROW(D$2:D$3072)-ROW(D$2)+1) &gt; 0))</f>
        <v>#N/A</v>
      </c>
      <c r="C2007" s="408"/>
      <c r="D2007" s="408"/>
      <c r="E2007" s="408"/>
      <c r="F2007" s="408"/>
      <c r="G2007" s="408"/>
      <c r="H2007" s="408"/>
      <c r="I2007" s="408"/>
      <c r="J2007" s="408"/>
      <c r="K2007" s="408"/>
      <c r="L2007" s="408"/>
      <c r="M2007" s="408"/>
      <c r="N2007" s="408" t="str">
        <f t="shared" si="458"/>
        <v/>
      </c>
      <c r="O2007" s="408"/>
      <c r="P2007" s="408"/>
      <c r="Q2007" s="408"/>
      <c r="R2007" s="408"/>
      <c r="S2007" s="408"/>
      <c r="T2007" s="408"/>
      <c r="U2007" s="408"/>
      <c r="V2007" s="421"/>
      <c r="W2007" s="421"/>
      <c r="X2007" s="421"/>
      <c r="Y2007" s="421"/>
      <c r="Z2007" s="421"/>
      <c r="AA2007" s="421"/>
      <c r="AB2007" s="421"/>
      <c r="AC2007" s="421"/>
      <c r="AD2007" s="421"/>
      <c r="AE2007" s="421"/>
      <c r="AF2007" s="421"/>
      <c r="AG2007" s="421"/>
      <c r="AH2007" s="421"/>
      <c r="AI2007" s="421"/>
      <c r="AJ2007" s="421"/>
      <c r="AK2007" s="421"/>
      <c r="AL2007" s="421"/>
    </row>
    <row r="2008" spans="1:38" hidden="1">
      <c r="A2008" s="408"/>
      <c r="B2008" s="83" t="e">
        <f t="array" ref="B2008">SUM(--(FREQUENCY(IF(C$2:C$3072=C2008, MATCH(D$2:D$3072, D$2:D$3072, 0)), ROW(D$2:D$3072)-ROW(D$2)+1) &gt; 0))</f>
        <v>#N/A</v>
      </c>
      <c r="C2008" s="408"/>
      <c r="D2008" s="408"/>
      <c r="E2008" s="408"/>
      <c r="F2008" s="408"/>
      <c r="G2008" s="408"/>
      <c r="H2008" s="408"/>
      <c r="I2008" s="408"/>
      <c r="J2008" s="408"/>
      <c r="K2008" s="408"/>
      <c r="L2008" s="408"/>
      <c r="M2008" s="408"/>
      <c r="N2008" s="408" t="str">
        <f t="shared" si="458"/>
        <v/>
      </c>
      <c r="O2008" s="408"/>
      <c r="P2008" s="408"/>
      <c r="Q2008" s="408"/>
      <c r="R2008" s="408"/>
      <c r="S2008" s="408"/>
      <c r="T2008" s="408"/>
      <c r="U2008" s="408"/>
      <c r="V2008" s="421"/>
      <c r="W2008" s="421"/>
      <c r="X2008" s="421"/>
      <c r="Y2008" s="421"/>
      <c r="Z2008" s="421"/>
      <c r="AA2008" s="421"/>
      <c r="AB2008" s="421"/>
      <c r="AC2008" s="421"/>
      <c r="AD2008" s="421"/>
      <c r="AE2008" s="421"/>
      <c r="AF2008" s="421"/>
      <c r="AG2008" s="421"/>
      <c r="AH2008" s="421"/>
      <c r="AI2008" s="421"/>
      <c r="AJ2008" s="421"/>
      <c r="AK2008" s="421"/>
      <c r="AL2008" s="421"/>
    </row>
    <row r="2009" spans="1:38" hidden="1">
      <c r="A2009" s="408"/>
      <c r="B2009" s="83" t="e">
        <f t="array" ref="B2009">SUM(--(FREQUENCY(IF(C$2:C$3072=C2009, MATCH(D$2:D$3072, D$2:D$3072, 0)), ROW(D$2:D$3072)-ROW(D$2)+1) &gt; 0))</f>
        <v>#N/A</v>
      </c>
      <c r="C2009" s="408"/>
      <c r="D2009" s="408"/>
      <c r="E2009" s="408"/>
      <c r="F2009" s="408"/>
      <c r="G2009" s="408"/>
      <c r="H2009" s="408"/>
      <c r="I2009" s="408"/>
      <c r="J2009" s="408"/>
      <c r="K2009" s="408"/>
      <c r="L2009" s="408"/>
      <c r="M2009" s="408"/>
      <c r="N2009" s="408" t="str">
        <f t="shared" si="458"/>
        <v/>
      </c>
      <c r="O2009" s="408"/>
      <c r="P2009" s="408"/>
      <c r="Q2009" s="408"/>
      <c r="R2009" s="408"/>
      <c r="S2009" s="408"/>
      <c r="T2009" s="408"/>
      <c r="U2009" s="408"/>
      <c r="V2009" s="421"/>
      <c r="W2009" s="421"/>
      <c r="X2009" s="421"/>
      <c r="Y2009" s="421"/>
      <c r="Z2009" s="421"/>
      <c r="AA2009" s="421"/>
      <c r="AB2009" s="421"/>
      <c r="AC2009" s="421"/>
      <c r="AD2009" s="421"/>
      <c r="AE2009" s="421"/>
      <c r="AF2009" s="421"/>
      <c r="AG2009" s="421"/>
      <c r="AH2009" s="421"/>
      <c r="AI2009" s="421"/>
      <c r="AJ2009" s="421"/>
      <c r="AK2009" s="421"/>
      <c r="AL2009" s="421"/>
    </row>
    <row r="2010" spans="1:38" hidden="1">
      <c r="A2010" s="408"/>
      <c r="B2010" s="83" t="e">
        <f t="array" ref="B2010">SUM(--(FREQUENCY(IF(C$2:C$3072=C2010, MATCH(D$2:D$3072, D$2:D$3072, 0)), ROW(D$2:D$3072)-ROW(D$2)+1) &gt; 0))</f>
        <v>#N/A</v>
      </c>
      <c r="C2010" s="408"/>
      <c r="D2010" s="408"/>
      <c r="E2010" s="408"/>
      <c r="F2010" s="408"/>
      <c r="G2010" s="408"/>
      <c r="H2010" s="408"/>
      <c r="I2010" s="408"/>
      <c r="J2010" s="408"/>
      <c r="K2010" s="408"/>
      <c r="L2010" s="408"/>
      <c r="M2010" s="408"/>
      <c r="N2010" s="408" t="str">
        <f t="shared" si="458"/>
        <v/>
      </c>
      <c r="O2010" s="408"/>
      <c r="P2010" s="408"/>
      <c r="Q2010" s="408"/>
      <c r="R2010" s="408"/>
      <c r="S2010" s="408"/>
      <c r="T2010" s="408"/>
      <c r="U2010" s="408"/>
      <c r="V2010" s="421"/>
      <c r="W2010" s="421"/>
      <c r="X2010" s="421"/>
      <c r="Y2010" s="421"/>
      <c r="Z2010" s="421"/>
      <c r="AA2010" s="421"/>
      <c r="AB2010" s="421"/>
      <c r="AC2010" s="421"/>
      <c r="AD2010" s="421"/>
      <c r="AE2010" s="421"/>
      <c r="AF2010" s="421"/>
      <c r="AG2010" s="421"/>
      <c r="AH2010" s="421"/>
      <c r="AI2010" s="421"/>
      <c r="AJ2010" s="421"/>
      <c r="AK2010" s="421"/>
      <c r="AL2010" s="421"/>
    </row>
    <row r="2011" spans="1:38" hidden="1">
      <c r="A2011" s="408"/>
      <c r="B2011" s="83" t="e">
        <f t="array" ref="B2011">SUM(--(FREQUENCY(IF(C$2:C$3072=C2011, MATCH(D$2:D$3072, D$2:D$3072, 0)), ROW(D$2:D$3072)-ROW(D$2)+1) &gt; 0))</f>
        <v>#N/A</v>
      </c>
      <c r="C2011" s="408"/>
      <c r="D2011" s="408"/>
      <c r="E2011" s="408"/>
      <c r="F2011" s="408"/>
      <c r="G2011" s="408"/>
      <c r="H2011" s="408"/>
      <c r="I2011" s="408"/>
      <c r="J2011" s="408"/>
      <c r="K2011" s="408"/>
      <c r="L2011" s="408"/>
      <c r="M2011" s="408"/>
      <c r="N2011" s="408" t="str">
        <f t="shared" si="458"/>
        <v/>
      </c>
      <c r="O2011" s="408"/>
      <c r="P2011" s="408"/>
      <c r="Q2011" s="408"/>
      <c r="R2011" s="408"/>
      <c r="S2011" s="408"/>
      <c r="T2011" s="408"/>
      <c r="U2011" s="408"/>
      <c r="V2011" s="421"/>
      <c r="W2011" s="421"/>
      <c r="X2011" s="421"/>
      <c r="Y2011" s="421"/>
      <c r="Z2011" s="421"/>
      <c r="AA2011" s="421"/>
      <c r="AB2011" s="421"/>
      <c r="AC2011" s="421"/>
      <c r="AD2011" s="421"/>
      <c r="AE2011" s="421"/>
      <c r="AF2011" s="421"/>
      <c r="AG2011" s="421"/>
      <c r="AH2011" s="421"/>
      <c r="AI2011" s="421"/>
      <c r="AJ2011" s="421"/>
      <c r="AK2011" s="421"/>
      <c r="AL2011" s="421"/>
    </row>
    <row r="2012" spans="1:38" hidden="1">
      <c r="A2012" s="408"/>
      <c r="B2012" s="83" t="e">
        <f t="array" ref="B2012">SUM(--(FREQUENCY(IF(C$2:C$3072=C2012, MATCH(D$2:D$3072, D$2:D$3072, 0)), ROW(D$2:D$3072)-ROW(D$2)+1) &gt; 0))</f>
        <v>#N/A</v>
      </c>
      <c r="C2012" s="408"/>
      <c r="D2012" s="408"/>
      <c r="E2012" s="408"/>
      <c r="F2012" s="408"/>
      <c r="G2012" s="408"/>
      <c r="H2012" s="408"/>
      <c r="I2012" s="408"/>
      <c r="J2012" s="408"/>
      <c r="K2012" s="408"/>
      <c r="L2012" s="408"/>
      <c r="M2012" s="408"/>
      <c r="N2012" s="408" t="str">
        <f t="shared" si="458"/>
        <v/>
      </c>
      <c r="O2012" s="408"/>
      <c r="P2012" s="408"/>
      <c r="Q2012" s="408"/>
      <c r="R2012" s="408"/>
      <c r="S2012" s="408"/>
      <c r="T2012" s="408"/>
      <c r="U2012" s="408"/>
      <c r="V2012" s="421"/>
      <c r="W2012" s="421"/>
      <c r="X2012" s="421"/>
      <c r="Y2012" s="421"/>
      <c r="Z2012" s="421"/>
      <c r="AA2012" s="421"/>
      <c r="AB2012" s="421"/>
      <c r="AC2012" s="421"/>
      <c r="AD2012" s="421"/>
      <c r="AE2012" s="421"/>
      <c r="AF2012" s="421"/>
      <c r="AG2012" s="421"/>
      <c r="AH2012" s="421"/>
      <c r="AI2012" s="421"/>
      <c r="AJ2012" s="421"/>
      <c r="AK2012" s="421"/>
      <c r="AL2012" s="421"/>
    </row>
    <row r="2013" spans="1:38" hidden="1">
      <c r="A2013" s="408"/>
      <c r="B2013" s="83" t="e">
        <f t="array" ref="B2013">SUM(--(FREQUENCY(IF(C$2:C$3072=C2013, MATCH(D$2:D$3072, D$2:D$3072, 0)), ROW(D$2:D$3072)-ROW(D$2)+1) &gt; 0))</f>
        <v>#N/A</v>
      </c>
      <c r="C2013" s="408"/>
      <c r="D2013" s="408"/>
      <c r="E2013" s="408"/>
      <c r="F2013" s="408"/>
      <c r="G2013" s="408"/>
      <c r="H2013" s="408"/>
      <c r="I2013" s="408"/>
      <c r="J2013" s="408"/>
      <c r="K2013" s="408"/>
      <c r="L2013" s="408"/>
      <c r="M2013" s="408"/>
      <c r="N2013" s="408" t="str">
        <f t="shared" si="458"/>
        <v/>
      </c>
      <c r="O2013" s="408"/>
      <c r="P2013" s="408"/>
      <c r="Q2013" s="408"/>
      <c r="R2013" s="408"/>
      <c r="S2013" s="408"/>
      <c r="T2013" s="408"/>
      <c r="U2013" s="408"/>
      <c r="V2013" s="421"/>
      <c r="W2013" s="421"/>
      <c r="X2013" s="421"/>
      <c r="Y2013" s="421"/>
      <c r="Z2013" s="421"/>
      <c r="AA2013" s="421"/>
      <c r="AB2013" s="421"/>
      <c r="AC2013" s="421"/>
      <c r="AD2013" s="421"/>
      <c r="AE2013" s="421"/>
      <c r="AF2013" s="421"/>
      <c r="AG2013" s="421"/>
      <c r="AH2013" s="421"/>
      <c r="AI2013" s="421"/>
      <c r="AJ2013" s="421"/>
      <c r="AK2013" s="421"/>
      <c r="AL2013" s="421"/>
    </row>
    <row r="2014" spans="1:38" hidden="1">
      <c r="A2014" s="408"/>
      <c r="B2014" s="83" t="e">
        <f t="array" ref="B2014">SUM(--(FREQUENCY(IF(C$2:C$3072=C2014, MATCH(D$2:D$3072, D$2:D$3072, 0)), ROW(D$2:D$3072)-ROW(D$2)+1) &gt; 0))</f>
        <v>#N/A</v>
      </c>
      <c r="C2014" s="408"/>
      <c r="D2014" s="408"/>
      <c r="E2014" s="408"/>
      <c r="F2014" s="408"/>
      <c r="G2014" s="408"/>
      <c r="H2014" s="408"/>
      <c r="I2014" s="408"/>
      <c r="J2014" s="408"/>
      <c r="K2014" s="408"/>
      <c r="L2014" s="408"/>
      <c r="M2014" s="408"/>
      <c r="N2014" s="408" t="str">
        <f t="shared" si="458"/>
        <v/>
      </c>
      <c r="O2014" s="408"/>
      <c r="P2014" s="408"/>
      <c r="Q2014" s="408"/>
      <c r="R2014" s="408"/>
      <c r="S2014" s="408"/>
      <c r="T2014" s="408"/>
      <c r="U2014" s="408"/>
      <c r="V2014" s="421"/>
      <c r="W2014" s="421"/>
      <c r="X2014" s="421"/>
      <c r="Y2014" s="421"/>
      <c r="Z2014" s="421"/>
      <c r="AA2014" s="421"/>
      <c r="AB2014" s="421"/>
      <c r="AC2014" s="421"/>
      <c r="AD2014" s="421"/>
      <c r="AE2014" s="421"/>
      <c r="AF2014" s="421"/>
      <c r="AG2014" s="421"/>
      <c r="AH2014" s="421"/>
      <c r="AI2014" s="421"/>
      <c r="AJ2014" s="421"/>
      <c r="AK2014" s="421"/>
      <c r="AL2014" s="421"/>
    </row>
    <row r="2015" spans="1:38" hidden="1">
      <c r="A2015" s="408"/>
      <c r="B2015" s="83" t="e">
        <f t="array" ref="B2015">SUM(--(FREQUENCY(IF(C$2:C$3072=C2015, MATCH(D$2:D$3072, D$2:D$3072, 0)), ROW(D$2:D$3072)-ROW(D$2)+1) &gt; 0))</f>
        <v>#N/A</v>
      </c>
      <c r="C2015" s="408"/>
      <c r="D2015" s="408"/>
      <c r="E2015" s="408"/>
      <c r="F2015" s="408"/>
      <c r="G2015" s="408"/>
      <c r="H2015" s="408"/>
      <c r="I2015" s="408"/>
      <c r="J2015" s="408"/>
      <c r="K2015" s="408"/>
      <c r="L2015" s="408"/>
      <c r="M2015" s="408"/>
      <c r="N2015" s="408" t="str">
        <f t="shared" si="458"/>
        <v/>
      </c>
      <c r="O2015" s="408"/>
      <c r="P2015" s="408"/>
      <c r="Q2015" s="408"/>
      <c r="R2015" s="408"/>
      <c r="S2015" s="408"/>
      <c r="T2015" s="408"/>
      <c r="U2015" s="408"/>
      <c r="V2015" s="421"/>
      <c r="W2015" s="421"/>
      <c r="X2015" s="421"/>
      <c r="Y2015" s="421"/>
      <c r="Z2015" s="421"/>
      <c r="AA2015" s="421"/>
      <c r="AB2015" s="421"/>
      <c r="AC2015" s="421"/>
      <c r="AD2015" s="421"/>
      <c r="AE2015" s="421"/>
      <c r="AF2015" s="421"/>
      <c r="AG2015" s="421"/>
      <c r="AH2015" s="421"/>
      <c r="AI2015" s="421"/>
      <c r="AJ2015" s="421"/>
      <c r="AK2015" s="421"/>
      <c r="AL2015" s="421"/>
    </row>
    <row r="2016" spans="1:38" hidden="1">
      <c r="A2016" s="408"/>
      <c r="B2016" s="83" t="e">
        <f t="array" ref="B2016">SUM(--(FREQUENCY(IF(C$2:C$3072=C2016, MATCH(D$2:D$3072, D$2:D$3072, 0)), ROW(D$2:D$3072)-ROW(D$2)+1) &gt; 0))</f>
        <v>#N/A</v>
      </c>
      <c r="C2016" s="408"/>
      <c r="D2016" s="408"/>
      <c r="E2016" s="408"/>
      <c r="F2016" s="408"/>
      <c r="G2016" s="408"/>
      <c r="H2016" s="408"/>
      <c r="I2016" s="408"/>
      <c r="J2016" s="408"/>
      <c r="K2016" s="408"/>
      <c r="L2016" s="408"/>
      <c r="M2016" s="408"/>
      <c r="N2016" s="408" t="str">
        <f t="shared" si="458"/>
        <v/>
      </c>
      <c r="O2016" s="408"/>
      <c r="P2016" s="408"/>
      <c r="Q2016" s="408"/>
      <c r="R2016" s="408"/>
      <c r="S2016" s="408"/>
      <c r="T2016" s="408"/>
      <c r="U2016" s="408"/>
      <c r="V2016" s="421"/>
      <c r="W2016" s="421"/>
      <c r="X2016" s="421"/>
      <c r="Y2016" s="421"/>
      <c r="Z2016" s="421"/>
      <c r="AA2016" s="421"/>
      <c r="AB2016" s="421"/>
      <c r="AC2016" s="421"/>
      <c r="AD2016" s="421"/>
      <c r="AE2016" s="421"/>
      <c r="AF2016" s="421"/>
      <c r="AG2016" s="421"/>
      <c r="AH2016" s="421"/>
      <c r="AI2016" s="421"/>
      <c r="AJ2016" s="421"/>
      <c r="AK2016" s="421"/>
      <c r="AL2016" s="421"/>
    </row>
    <row r="2017" spans="1:38" hidden="1">
      <c r="A2017" s="408"/>
      <c r="B2017" s="83" t="e">
        <f t="array" ref="B2017">SUM(--(FREQUENCY(IF(C$2:C$3072=C2017, MATCH(D$2:D$3072, D$2:D$3072, 0)), ROW(D$2:D$3072)-ROW(D$2)+1) &gt; 0))</f>
        <v>#N/A</v>
      </c>
      <c r="C2017" s="408"/>
      <c r="D2017" s="408"/>
      <c r="E2017" s="408"/>
      <c r="F2017" s="408"/>
      <c r="G2017" s="408"/>
      <c r="H2017" s="408"/>
      <c r="I2017" s="408"/>
      <c r="J2017" s="408"/>
      <c r="K2017" s="408"/>
      <c r="L2017" s="408"/>
      <c r="M2017" s="408"/>
      <c r="N2017" s="408" t="str">
        <f t="shared" si="458"/>
        <v/>
      </c>
      <c r="O2017" s="408"/>
      <c r="P2017" s="408"/>
      <c r="Q2017" s="408"/>
      <c r="R2017" s="408"/>
      <c r="S2017" s="408"/>
      <c r="T2017" s="408"/>
      <c r="U2017" s="408"/>
      <c r="V2017" s="421"/>
      <c r="W2017" s="421"/>
      <c r="X2017" s="421"/>
      <c r="Y2017" s="421"/>
      <c r="Z2017" s="421"/>
      <c r="AA2017" s="421"/>
      <c r="AB2017" s="421"/>
      <c r="AC2017" s="421"/>
      <c r="AD2017" s="421"/>
      <c r="AE2017" s="421"/>
      <c r="AF2017" s="421"/>
      <c r="AG2017" s="421"/>
      <c r="AH2017" s="421"/>
      <c r="AI2017" s="421"/>
      <c r="AJ2017" s="421"/>
      <c r="AK2017" s="421"/>
      <c r="AL2017" s="421"/>
    </row>
    <row r="2018" spans="1:38" hidden="1">
      <c r="A2018" s="408"/>
      <c r="B2018" s="83" t="e">
        <f t="array" ref="B2018">SUM(--(FREQUENCY(IF(C$2:C$3072=C2018, MATCH(D$2:D$3072, D$2:D$3072, 0)), ROW(D$2:D$3072)-ROW(D$2)+1) &gt; 0))</f>
        <v>#N/A</v>
      </c>
      <c r="C2018" s="408"/>
      <c r="D2018" s="408"/>
      <c r="E2018" s="408"/>
      <c r="F2018" s="408"/>
      <c r="G2018" s="408"/>
      <c r="H2018" s="408"/>
      <c r="I2018" s="408"/>
      <c r="J2018" s="408"/>
      <c r="K2018" s="408"/>
      <c r="L2018" s="408"/>
      <c r="M2018" s="408"/>
      <c r="N2018" s="408" t="str">
        <f t="shared" si="458"/>
        <v/>
      </c>
      <c r="O2018" s="408"/>
      <c r="P2018" s="408"/>
      <c r="Q2018" s="408"/>
      <c r="R2018" s="408"/>
      <c r="S2018" s="408"/>
      <c r="T2018" s="408"/>
      <c r="U2018" s="408"/>
      <c r="V2018" s="421"/>
      <c r="W2018" s="421"/>
      <c r="X2018" s="421"/>
      <c r="Y2018" s="421"/>
      <c r="Z2018" s="421"/>
      <c r="AA2018" s="421"/>
      <c r="AB2018" s="421"/>
      <c r="AC2018" s="421"/>
      <c r="AD2018" s="421"/>
      <c r="AE2018" s="421"/>
      <c r="AF2018" s="421"/>
      <c r="AG2018" s="421"/>
      <c r="AH2018" s="421"/>
      <c r="AI2018" s="421"/>
      <c r="AJ2018" s="421"/>
      <c r="AK2018" s="421"/>
      <c r="AL2018" s="421"/>
    </row>
    <row r="2019" spans="1:38" hidden="1">
      <c r="A2019" s="408"/>
      <c r="B2019" s="83" t="e">
        <f t="array" ref="B2019">SUM(--(FREQUENCY(IF(C$2:C$3072=C2019, MATCH(D$2:D$3072, D$2:D$3072, 0)), ROW(D$2:D$3072)-ROW(D$2)+1) &gt; 0))</f>
        <v>#N/A</v>
      </c>
      <c r="C2019" s="408"/>
      <c r="D2019" s="408"/>
      <c r="E2019" s="408"/>
      <c r="F2019" s="408"/>
      <c r="G2019" s="408"/>
      <c r="H2019" s="408"/>
      <c r="I2019" s="408"/>
      <c r="J2019" s="408"/>
      <c r="K2019" s="408"/>
      <c r="L2019" s="408"/>
      <c r="M2019" s="408"/>
      <c r="N2019" s="408" t="str">
        <f t="shared" si="458"/>
        <v/>
      </c>
      <c r="O2019" s="408"/>
      <c r="P2019" s="408"/>
      <c r="Q2019" s="408"/>
      <c r="R2019" s="408"/>
      <c r="S2019" s="408"/>
      <c r="T2019" s="408"/>
      <c r="U2019" s="408"/>
      <c r="V2019" s="421"/>
      <c r="W2019" s="421"/>
      <c r="X2019" s="421"/>
      <c r="Y2019" s="421"/>
      <c r="Z2019" s="421"/>
      <c r="AA2019" s="421"/>
      <c r="AB2019" s="421"/>
      <c r="AC2019" s="421"/>
      <c r="AD2019" s="421"/>
      <c r="AE2019" s="421"/>
      <c r="AF2019" s="421"/>
      <c r="AG2019" s="421"/>
      <c r="AH2019" s="421"/>
      <c r="AI2019" s="421"/>
      <c r="AJ2019" s="421"/>
      <c r="AK2019" s="421"/>
      <c r="AL2019" s="421"/>
    </row>
    <row r="2020" spans="1:38" hidden="1">
      <c r="A2020" s="408"/>
      <c r="B2020" s="83" t="e">
        <f t="array" ref="B2020">SUM(--(FREQUENCY(IF(C$2:C$3072=C2020, MATCH(D$2:D$3072, D$2:D$3072, 0)), ROW(D$2:D$3072)-ROW(D$2)+1) &gt; 0))</f>
        <v>#N/A</v>
      </c>
      <c r="C2020" s="408"/>
      <c r="D2020" s="408"/>
      <c r="E2020" s="408"/>
      <c r="F2020" s="408"/>
      <c r="G2020" s="408"/>
      <c r="H2020" s="408"/>
      <c r="I2020" s="408"/>
      <c r="J2020" s="408"/>
      <c r="K2020" s="408"/>
      <c r="L2020" s="408"/>
      <c r="M2020" s="408"/>
      <c r="N2020" s="408" t="str">
        <f t="shared" si="458"/>
        <v/>
      </c>
      <c r="O2020" s="408"/>
      <c r="P2020" s="408"/>
      <c r="Q2020" s="408"/>
      <c r="R2020" s="408"/>
      <c r="S2020" s="408"/>
      <c r="T2020" s="408"/>
      <c r="U2020" s="408"/>
      <c r="V2020" s="421"/>
      <c r="W2020" s="421"/>
      <c r="X2020" s="421"/>
      <c r="Y2020" s="421"/>
      <c r="Z2020" s="421"/>
      <c r="AA2020" s="421"/>
      <c r="AB2020" s="421"/>
      <c r="AC2020" s="421"/>
      <c r="AD2020" s="421"/>
      <c r="AE2020" s="421"/>
      <c r="AF2020" s="421"/>
      <c r="AG2020" s="421"/>
      <c r="AH2020" s="421"/>
      <c r="AI2020" s="421"/>
      <c r="AJ2020" s="421"/>
      <c r="AK2020" s="421"/>
      <c r="AL2020" s="421"/>
    </row>
    <row r="2021" spans="1:38" hidden="1">
      <c r="A2021" s="408"/>
      <c r="B2021" s="83" t="e">
        <f t="array" ref="B2021">SUM(--(FREQUENCY(IF(C$2:C$3072=C2021, MATCH(D$2:D$3072, D$2:D$3072, 0)), ROW(D$2:D$3072)-ROW(D$2)+1) &gt; 0))</f>
        <v>#N/A</v>
      </c>
      <c r="C2021" s="408"/>
      <c r="D2021" s="408"/>
      <c r="E2021" s="408"/>
      <c r="F2021" s="408"/>
      <c r="G2021" s="408"/>
      <c r="H2021" s="408"/>
      <c r="I2021" s="408"/>
      <c r="J2021" s="408"/>
      <c r="K2021" s="408"/>
      <c r="L2021" s="408"/>
      <c r="M2021" s="408"/>
      <c r="N2021" s="408" t="str">
        <f t="shared" si="458"/>
        <v/>
      </c>
      <c r="O2021" s="408"/>
      <c r="P2021" s="408"/>
      <c r="Q2021" s="408"/>
      <c r="R2021" s="408"/>
      <c r="S2021" s="408"/>
      <c r="T2021" s="408"/>
      <c r="U2021" s="408"/>
      <c r="V2021" s="421"/>
      <c r="W2021" s="421"/>
      <c r="X2021" s="421"/>
      <c r="Y2021" s="421"/>
      <c r="Z2021" s="421"/>
      <c r="AA2021" s="421"/>
      <c r="AB2021" s="421"/>
      <c r="AC2021" s="421"/>
      <c r="AD2021" s="421"/>
      <c r="AE2021" s="421"/>
      <c r="AF2021" s="421"/>
      <c r="AG2021" s="421"/>
      <c r="AH2021" s="421"/>
      <c r="AI2021" s="421"/>
      <c r="AJ2021" s="421"/>
      <c r="AK2021" s="421"/>
      <c r="AL2021" s="421"/>
    </row>
    <row r="2022" spans="1:38" hidden="1">
      <c r="A2022" s="408"/>
      <c r="B2022" s="83" t="e">
        <f t="array" ref="B2022">SUM(--(FREQUENCY(IF(C$2:C$3072=C2022, MATCH(D$2:D$3072, D$2:D$3072, 0)), ROW(D$2:D$3072)-ROW(D$2)+1) &gt; 0))</f>
        <v>#N/A</v>
      </c>
      <c r="C2022" s="408"/>
      <c r="D2022" s="408"/>
      <c r="E2022" s="408"/>
      <c r="F2022" s="408"/>
      <c r="G2022" s="408"/>
      <c r="H2022" s="408"/>
      <c r="I2022" s="408"/>
      <c r="J2022" s="408"/>
      <c r="K2022" s="408"/>
      <c r="L2022" s="408"/>
      <c r="M2022" s="408"/>
      <c r="N2022" s="408" t="str">
        <f t="shared" si="458"/>
        <v/>
      </c>
      <c r="O2022" s="408"/>
      <c r="P2022" s="408"/>
      <c r="Q2022" s="408"/>
      <c r="R2022" s="408"/>
      <c r="S2022" s="408"/>
      <c r="T2022" s="408"/>
      <c r="U2022" s="408"/>
      <c r="V2022" s="421"/>
      <c r="W2022" s="421"/>
      <c r="X2022" s="421"/>
      <c r="Y2022" s="421"/>
      <c r="Z2022" s="421"/>
      <c r="AA2022" s="421"/>
      <c r="AB2022" s="421"/>
      <c r="AC2022" s="421"/>
      <c r="AD2022" s="421"/>
      <c r="AE2022" s="421"/>
      <c r="AF2022" s="421"/>
      <c r="AG2022" s="421"/>
      <c r="AH2022" s="421"/>
      <c r="AI2022" s="421"/>
      <c r="AJ2022" s="421"/>
      <c r="AK2022" s="421"/>
      <c r="AL2022" s="421"/>
    </row>
    <row r="2023" spans="1:38" hidden="1">
      <c r="A2023" s="408"/>
      <c r="B2023" s="83" t="e">
        <f t="array" ref="B2023">SUM(--(FREQUENCY(IF(C$2:C$3072=C2023, MATCH(D$2:D$3072, D$2:D$3072, 0)), ROW(D$2:D$3072)-ROW(D$2)+1) &gt; 0))</f>
        <v>#N/A</v>
      </c>
      <c r="C2023" s="408"/>
      <c r="D2023" s="408"/>
      <c r="E2023" s="408"/>
      <c r="F2023" s="408"/>
      <c r="G2023" s="408"/>
      <c r="H2023" s="408"/>
      <c r="I2023" s="408"/>
      <c r="J2023" s="408"/>
      <c r="K2023" s="408"/>
      <c r="L2023" s="408"/>
      <c r="M2023" s="408"/>
      <c r="N2023" s="408" t="str">
        <f t="shared" si="458"/>
        <v/>
      </c>
      <c r="O2023" s="408"/>
      <c r="P2023" s="408"/>
      <c r="Q2023" s="408"/>
      <c r="R2023" s="408"/>
      <c r="S2023" s="408"/>
      <c r="T2023" s="408"/>
      <c r="U2023" s="408"/>
      <c r="V2023" s="421"/>
      <c r="W2023" s="421"/>
      <c r="X2023" s="421"/>
      <c r="Y2023" s="421"/>
      <c r="Z2023" s="421"/>
      <c r="AA2023" s="421"/>
      <c r="AB2023" s="421"/>
      <c r="AC2023" s="421"/>
      <c r="AD2023" s="421"/>
      <c r="AE2023" s="421"/>
      <c r="AF2023" s="421"/>
      <c r="AG2023" s="421"/>
      <c r="AH2023" s="421"/>
      <c r="AI2023" s="421"/>
      <c r="AJ2023" s="421"/>
      <c r="AK2023" s="421"/>
      <c r="AL2023" s="421"/>
    </row>
    <row r="2024" spans="1:38" hidden="1">
      <c r="A2024" s="408"/>
      <c r="B2024" s="83" t="e">
        <f t="array" ref="B2024">SUM(--(FREQUENCY(IF(C$2:C$3072=C2024, MATCH(D$2:D$3072, D$2:D$3072, 0)), ROW(D$2:D$3072)-ROW(D$2)+1) &gt; 0))</f>
        <v>#N/A</v>
      </c>
      <c r="C2024" s="408"/>
      <c r="D2024" s="408"/>
      <c r="E2024" s="408"/>
      <c r="F2024" s="408"/>
      <c r="G2024" s="408"/>
      <c r="H2024" s="408"/>
      <c r="I2024" s="408"/>
      <c r="J2024" s="408"/>
      <c r="K2024" s="408"/>
      <c r="L2024" s="408"/>
      <c r="M2024" s="408"/>
      <c r="N2024" s="408" t="str">
        <f t="shared" si="458"/>
        <v/>
      </c>
      <c r="O2024" s="408"/>
      <c r="P2024" s="408"/>
      <c r="Q2024" s="408"/>
      <c r="R2024" s="408"/>
      <c r="S2024" s="408"/>
      <c r="T2024" s="408"/>
      <c r="U2024" s="408"/>
      <c r="V2024" s="421"/>
      <c r="W2024" s="421"/>
      <c r="X2024" s="421"/>
      <c r="Y2024" s="421"/>
      <c r="Z2024" s="421"/>
      <c r="AA2024" s="421"/>
      <c r="AB2024" s="421"/>
      <c r="AC2024" s="421"/>
      <c r="AD2024" s="421"/>
      <c r="AE2024" s="421"/>
      <c r="AF2024" s="421"/>
      <c r="AG2024" s="421"/>
      <c r="AH2024" s="421"/>
      <c r="AI2024" s="421"/>
      <c r="AJ2024" s="421"/>
      <c r="AK2024" s="421"/>
      <c r="AL2024" s="421"/>
    </row>
    <row r="2025" spans="1:38" hidden="1">
      <c r="A2025" s="408"/>
      <c r="B2025" s="83" t="e">
        <f t="array" ref="B2025">SUM(--(FREQUENCY(IF(C$2:C$3072=C2025, MATCH(D$2:D$3072, D$2:D$3072, 0)), ROW(D$2:D$3072)-ROW(D$2)+1) &gt; 0))</f>
        <v>#N/A</v>
      </c>
      <c r="C2025" s="408"/>
      <c r="D2025" s="408"/>
      <c r="E2025" s="408"/>
      <c r="F2025" s="408"/>
      <c r="G2025" s="408"/>
      <c r="H2025" s="408"/>
      <c r="I2025" s="408"/>
      <c r="J2025" s="408"/>
      <c r="K2025" s="408"/>
      <c r="L2025" s="408"/>
      <c r="M2025" s="408"/>
      <c r="N2025" s="408" t="str">
        <f t="shared" si="458"/>
        <v/>
      </c>
      <c r="O2025" s="408"/>
      <c r="P2025" s="408"/>
      <c r="Q2025" s="408"/>
      <c r="R2025" s="408"/>
      <c r="S2025" s="408"/>
      <c r="T2025" s="408"/>
      <c r="U2025" s="408"/>
      <c r="V2025" s="421"/>
      <c r="W2025" s="421"/>
      <c r="X2025" s="421"/>
      <c r="Y2025" s="421"/>
      <c r="Z2025" s="421"/>
      <c r="AA2025" s="421"/>
      <c r="AB2025" s="421"/>
      <c r="AC2025" s="421"/>
      <c r="AD2025" s="421"/>
      <c r="AE2025" s="421"/>
      <c r="AF2025" s="421"/>
      <c r="AG2025" s="421"/>
      <c r="AH2025" s="421"/>
      <c r="AI2025" s="421"/>
      <c r="AJ2025" s="421"/>
      <c r="AK2025" s="421"/>
      <c r="AL2025" s="421"/>
    </row>
    <row r="2026" spans="1:38" hidden="1">
      <c r="A2026" s="408"/>
      <c r="B2026" s="83" t="e">
        <f t="array" ref="B2026">SUM(--(FREQUENCY(IF(C$2:C$3072=C2026, MATCH(D$2:D$3072, D$2:D$3072, 0)), ROW(D$2:D$3072)-ROW(D$2)+1) &gt; 0))</f>
        <v>#N/A</v>
      </c>
      <c r="C2026" s="408"/>
      <c r="D2026" s="408"/>
      <c r="E2026" s="408"/>
      <c r="F2026" s="408"/>
      <c r="G2026" s="408"/>
      <c r="H2026" s="408"/>
      <c r="I2026" s="408"/>
      <c r="J2026" s="408"/>
      <c r="K2026" s="408"/>
      <c r="L2026" s="408"/>
      <c r="M2026" s="408"/>
      <c r="N2026" s="408" t="str">
        <f t="shared" si="458"/>
        <v/>
      </c>
      <c r="O2026" s="408"/>
      <c r="P2026" s="408"/>
      <c r="Q2026" s="408"/>
      <c r="R2026" s="408"/>
      <c r="S2026" s="408"/>
      <c r="T2026" s="408"/>
      <c r="U2026" s="408"/>
      <c r="V2026" s="421"/>
      <c r="W2026" s="421"/>
      <c r="X2026" s="421"/>
      <c r="Y2026" s="421"/>
      <c r="Z2026" s="421"/>
      <c r="AA2026" s="421"/>
      <c r="AB2026" s="421"/>
      <c r="AC2026" s="421"/>
      <c r="AD2026" s="421"/>
      <c r="AE2026" s="421"/>
      <c r="AF2026" s="421"/>
      <c r="AG2026" s="421"/>
      <c r="AH2026" s="421"/>
      <c r="AI2026" s="421"/>
      <c r="AJ2026" s="421"/>
      <c r="AK2026" s="421"/>
      <c r="AL2026" s="421"/>
    </row>
    <row r="2027" spans="1:38" hidden="1">
      <c r="A2027" s="408"/>
      <c r="B2027" s="83" t="e">
        <f t="array" ref="B2027">SUM(--(FREQUENCY(IF(C$2:C$3072=C2027, MATCH(D$2:D$3072, D$2:D$3072, 0)), ROW(D$2:D$3072)-ROW(D$2)+1) &gt; 0))</f>
        <v>#N/A</v>
      </c>
      <c r="C2027" s="408"/>
      <c r="D2027" s="408"/>
      <c r="E2027" s="408"/>
      <c r="F2027" s="408"/>
      <c r="G2027" s="408"/>
      <c r="H2027" s="408"/>
      <c r="I2027" s="408"/>
      <c r="J2027" s="408"/>
      <c r="K2027" s="408"/>
      <c r="L2027" s="408"/>
      <c r="M2027" s="408"/>
      <c r="N2027" s="408" t="str">
        <f t="shared" si="458"/>
        <v/>
      </c>
      <c r="O2027" s="408"/>
      <c r="P2027" s="408"/>
      <c r="Q2027" s="408"/>
      <c r="R2027" s="408"/>
      <c r="S2027" s="408"/>
      <c r="T2027" s="408"/>
      <c r="U2027" s="408"/>
      <c r="V2027" s="421"/>
      <c r="W2027" s="421"/>
      <c r="X2027" s="421"/>
      <c r="Y2027" s="421"/>
      <c r="Z2027" s="421"/>
      <c r="AA2027" s="421"/>
      <c r="AB2027" s="421"/>
      <c r="AC2027" s="421"/>
      <c r="AD2027" s="421"/>
      <c r="AE2027" s="421"/>
      <c r="AF2027" s="421"/>
      <c r="AG2027" s="421"/>
      <c r="AH2027" s="421"/>
      <c r="AI2027" s="421"/>
      <c r="AJ2027" s="421"/>
      <c r="AK2027" s="421"/>
      <c r="AL2027" s="421"/>
    </row>
    <row r="2028" spans="1:38" hidden="1">
      <c r="A2028" s="408"/>
      <c r="B2028" s="83" t="e">
        <f t="array" ref="B2028">SUM(--(FREQUENCY(IF(C$2:C$3072=C2028, MATCH(D$2:D$3072, D$2:D$3072, 0)), ROW(D$2:D$3072)-ROW(D$2)+1) &gt; 0))</f>
        <v>#N/A</v>
      </c>
      <c r="C2028" s="408"/>
      <c r="D2028" s="408"/>
      <c r="E2028" s="408"/>
      <c r="F2028" s="408"/>
      <c r="G2028" s="408"/>
      <c r="H2028" s="408"/>
      <c r="I2028" s="408"/>
      <c r="J2028" s="408"/>
      <c r="K2028" s="408"/>
      <c r="L2028" s="408"/>
      <c r="M2028" s="408"/>
      <c r="N2028" s="408" t="str">
        <f t="shared" si="458"/>
        <v/>
      </c>
      <c r="O2028" s="408"/>
      <c r="P2028" s="408"/>
      <c r="Q2028" s="408"/>
      <c r="R2028" s="408"/>
      <c r="S2028" s="408"/>
      <c r="T2028" s="408"/>
      <c r="U2028" s="408"/>
      <c r="V2028" s="421"/>
      <c r="W2028" s="421"/>
      <c r="X2028" s="421"/>
      <c r="Y2028" s="421"/>
      <c r="Z2028" s="421"/>
      <c r="AA2028" s="421"/>
      <c r="AB2028" s="421"/>
      <c r="AC2028" s="421"/>
      <c r="AD2028" s="421"/>
      <c r="AE2028" s="421"/>
      <c r="AF2028" s="421"/>
      <c r="AG2028" s="421"/>
      <c r="AH2028" s="421"/>
      <c r="AI2028" s="421"/>
      <c r="AJ2028" s="421"/>
      <c r="AK2028" s="421"/>
      <c r="AL2028" s="421"/>
    </row>
    <row r="2029" spans="1:38" hidden="1">
      <c r="A2029" s="408"/>
      <c r="B2029" s="83" t="e">
        <f t="array" ref="B2029">SUM(--(FREQUENCY(IF(C$2:C$3072=C2029, MATCH(D$2:D$3072, D$2:D$3072, 0)), ROW(D$2:D$3072)-ROW(D$2)+1) &gt; 0))</f>
        <v>#N/A</v>
      </c>
      <c r="C2029" s="408"/>
      <c r="D2029" s="408"/>
      <c r="E2029" s="408"/>
      <c r="F2029" s="408"/>
      <c r="G2029" s="408"/>
      <c r="H2029" s="408"/>
      <c r="I2029" s="408"/>
      <c r="J2029" s="408"/>
      <c r="K2029" s="408"/>
      <c r="L2029" s="408"/>
      <c r="M2029" s="408"/>
      <c r="N2029" s="408" t="str">
        <f t="shared" si="458"/>
        <v/>
      </c>
      <c r="O2029" s="408"/>
      <c r="P2029" s="408"/>
      <c r="Q2029" s="408"/>
      <c r="R2029" s="408"/>
      <c r="S2029" s="408"/>
      <c r="T2029" s="408"/>
      <c r="U2029" s="408"/>
      <c r="V2029" s="421"/>
      <c r="W2029" s="421"/>
      <c r="X2029" s="421"/>
      <c r="Y2029" s="421"/>
      <c r="Z2029" s="421"/>
      <c r="AA2029" s="421"/>
      <c r="AB2029" s="421"/>
      <c r="AC2029" s="421"/>
      <c r="AD2029" s="421"/>
      <c r="AE2029" s="421"/>
      <c r="AF2029" s="421"/>
      <c r="AG2029" s="421"/>
      <c r="AH2029" s="421"/>
      <c r="AI2029" s="421"/>
      <c r="AJ2029" s="421"/>
      <c r="AK2029" s="421"/>
      <c r="AL2029" s="421"/>
    </row>
    <row r="2030" spans="1:38" hidden="1">
      <c r="A2030" s="408"/>
      <c r="B2030" s="83" t="e">
        <f t="array" ref="B2030">SUM(--(FREQUENCY(IF(C$2:C$3072=C2030, MATCH(D$2:D$3072, D$2:D$3072, 0)), ROW(D$2:D$3072)-ROW(D$2)+1) &gt; 0))</f>
        <v>#N/A</v>
      </c>
      <c r="C2030" s="408"/>
      <c r="D2030" s="408"/>
      <c r="E2030" s="408"/>
      <c r="F2030" s="408"/>
      <c r="G2030" s="408"/>
      <c r="H2030" s="408"/>
      <c r="I2030" s="408"/>
      <c r="J2030" s="408"/>
      <c r="K2030" s="408"/>
      <c r="L2030" s="408"/>
      <c r="M2030" s="408"/>
      <c r="N2030" s="408" t="str">
        <f t="shared" si="458"/>
        <v/>
      </c>
      <c r="O2030" s="408"/>
      <c r="P2030" s="408"/>
      <c r="Q2030" s="408"/>
      <c r="R2030" s="408"/>
      <c r="S2030" s="408"/>
      <c r="T2030" s="408"/>
      <c r="U2030" s="408"/>
      <c r="V2030" s="421"/>
      <c r="W2030" s="421"/>
      <c r="X2030" s="421"/>
      <c r="Y2030" s="421"/>
      <c r="Z2030" s="421"/>
      <c r="AA2030" s="421"/>
      <c r="AB2030" s="421"/>
      <c r="AC2030" s="421"/>
      <c r="AD2030" s="421"/>
      <c r="AE2030" s="421"/>
      <c r="AF2030" s="421"/>
      <c r="AG2030" s="421"/>
      <c r="AH2030" s="421"/>
      <c r="AI2030" s="421"/>
      <c r="AJ2030" s="421"/>
      <c r="AK2030" s="421"/>
      <c r="AL2030" s="421"/>
    </row>
    <row r="2031" spans="1:38" hidden="1">
      <c r="A2031" s="408"/>
      <c r="B2031" s="83" t="e">
        <f t="array" ref="B2031">SUM(--(FREQUENCY(IF(C$2:C$3072=C2031, MATCH(D$2:D$3072, D$2:D$3072, 0)), ROW(D$2:D$3072)-ROW(D$2)+1) &gt; 0))</f>
        <v>#N/A</v>
      </c>
      <c r="C2031" s="408"/>
      <c r="D2031" s="408"/>
      <c r="E2031" s="408"/>
      <c r="F2031" s="408"/>
      <c r="G2031" s="408"/>
      <c r="H2031" s="408"/>
      <c r="I2031" s="408"/>
      <c r="J2031" s="408"/>
      <c r="K2031" s="408"/>
      <c r="L2031" s="408"/>
      <c r="M2031" s="408"/>
      <c r="N2031" s="408" t="str">
        <f t="shared" si="458"/>
        <v/>
      </c>
      <c r="O2031" s="408"/>
      <c r="P2031" s="408"/>
      <c r="Q2031" s="408"/>
      <c r="R2031" s="408"/>
      <c r="S2031" s="408"/>
      <c r="T2031" s="408"/>
      <c r="U2031" s="408"/>
      <c r="V2031" s="421"/>
      <c r="W2031" s="421"/>
      <c r="X2031" s="421"/>
      <c r="Y2031" s="421"/>
      <c r="Z2031" s="421"/>
      <c r="AA2031" s="421"/>
      <c r="AB2031" s="421"/>
      <c r="AC2031" s="421"/>
      <c r="AD2031" s="421"/>
      <c r="AE2031" s="421"/>
      <c r="AF2031" s="421"/>
      <c r="AG2031" s="421"/>
      <c r="AH2031" s="421"/>
      <c r="AI2031" s="421"/>
      <c r="AJ2031" s="421"/>
      <c r="AK2031" s="421"/>
      <c r="AL2031" s="421"/>
    </row>
    <row r="2032" spans="1:38" hidden="1">
      <c r="A2032" s="408"/>
      <c r="B2032" s="83" t="e">
        <f t="array" ref="B2032">SUM(--(FREQUENCY(IF(C$2:C$3072=C2032, MATCH(D$2:D$3072, D$2:D$3072, 0)), ROW(D$2:D$3072)-ROW(D$2)+1) &gt; 0))</f>
        <v>#N/A</v>
      </c>
      <c r="C2032" s="408"/>
      <c r="D2032" s="408"/>
      <c r="E2032" s="408"/>
      <c r="F2032" s="408"/>
      <c r="G2032" s="408"/>
      <c r="H2032" s="408"/>
      <c r="I2032" s="408"/>
      <c r="J2032" s="408"/>
      <c r="K2032" s="408"/>
      <c r="L2032" s="408"/>
      <c r="M2032" s="408"/>
      <c r="N2032" s="408" t="str">
        <f t="shared" si="458"/>
        <v/>
      </c>
      <c r="O2032" s="408"/>
      <c r="P2032" s="408"/>
      <c r="Q2032" s="408"/>
      <c r="R2032" s="408"/>
      <c r="S2032" s="408"/>
      <c r="T2032" s="408"/>
      <c r="U2032" s="408"/>
      <c r="V2032" s="421"/>
      <c r="W2032" s="421"/>
      <c r="X2032" s="421"/>
      <c r="Y2032" s="421"/>
      <c r="Z2032" s="421"/>
      <c r="AA2032" s="421"/>
      <c r="AB2032" s="421"/>
      <c r="AC2032" s="421"/>
      <c r="AD2032" s="421"/>
      <c r="AE2032" s="421"/>
      <c r="AF2032" s="421"/>
      <c r="AG2032" s="421"/>
      <c r="AH2032" s="421"/>
      <c r="AI2032" s="421"/>
      <c r="AJ2032" s="421"/>
      <c r="AK2032" s="421"/>
      <c r="AL2032" s="421"/>
    </row>
    <row r="2033" spans="1:38" hidden="1">
      <c r="A2033" s="408"/>
      <c r="B2033" s="83" t="e">
        <f t="array" ref="B2033">SUM(--(FREQUENCY(IF(C$2:C$3072=C2033, MATCH(D$2:D$3072, D$2:D$3072, 0)), ROW(D$2:D$3072)-ROW(D$2)+1) &gt; 0))</f>
        <v>#N/A</v>
      </c>
      <c r="C2033" s="408"/>
      <c r="D2033" s="408"/>
      <c r="E2033" s="408"/>
      <c r="F2033" s="408"/>
      <c r="G2033" s="408"/>
      <c r="H2033" s="408"/>
      <c r="I2033" s="408"/>
      <c r="J2033" s="408"/>
      <c r="K2033" s="408"/>
      <c r="L2033" s="408"/>
      <c r="M2033" s="408"/>
      <c r="N2033" s="408" t="str">
        <f t="shared" si="458"/>
        <v/>
      </c>
      <c r="O2033" s="408"/>
      <c r="P2033" s="408"/>
      <c r="Q2033" s="408"/>
      <c r="R2033" s="408"/>
      <c r="S2033" s="408"/>
      <c r="T2033" s="408"/>
      <c r="U2033" s="408"/>
      <c r="V2033" s="421"/>
      <c r="W2033" s="421"/>
      <c r="X2033" s="421"/>
      <c r="Y2033" s="421"/>
      <c r="Z2033" s="421"/>
      <c r="AA2033" s="421"/>
      <c r="AB2033" s="421"/>
      <c r="AC2033" s="421"/>
      <c r="AD2033" s="421"/>
      <c r="AE2033" s="421"/>
      <c r="AF2033" s="421"/>
      <c r="AG2033" s="421"/>
      <c r="AH2033" s="421"/>
      <c r="AI2033" s="421"/>
      <c r="AJ2033" s="421"/>
      <c r="AK2033" s="421"/>
      <c r="AL2033" s="421"/>
    </row>
    <row r="2034" spans="1:38" hidden="1">
      <c r="A2034" s="408"/>
      <c r="B2034" s="83" t="e">
        <f t="array" ref="B2034">SUM(--(FREQUENCY(IF(C$2:C$3072=C2034, MATCH(D$2:D$3072, D$2:D$3072, 0)), ROW(D$2:D$3072)-ROW(D$2)+1) &gt; 0))</f>
        <v>#N/A</v>
      </c>
      <c r="C2034" s="408"/>
      <c r="D2034" s="408"/>
      <c r="E2034" s="408"/>
      <c r="F2034" s="408"/>
      <c r="G2034" s="408"/>
      <c r="H2034" s="408"/>
      <c r="I2034" s="408"/>
      <c r="J2034" s="408"/>
      <c r="K2034" s="408"/>
      <c r="L2034" s="408"/>
      <c r="M2034" s="408"/>
      <c r="N2034" s="408" t="str">
        <f t="shared" si="458"/>
        <v/>
      </c>
      <c r="O2034" s="408"/>
      <c r="P2034" s="408"/>
      <c r="Q2034" s="408"/>
      <c r="R2034" s="408"/>
      <c r="S2034" s="408"/>
      <c r="T2034" s="408"/>
      <c r="U2034" s="408"/>
      <c r="V2034" s="421"/>
      <c r="W2034" s="421"/>
      <c r="X2034" s="421"/>
      <c r="Y2034" s="421"/>
      <c r="Z2034" s="421"/>
      <c r="AA2034" s="421"/>
      <c r="AB2034" s="421"/>
      <c r="AC2034" s="421"/>
      <c r="AD2034" s="421"/>
      <c r="AE2034" s="421"/>
      <c r="AF2034" s="421"/>
      <c r="AG2034" s="421"/>
      <c r="AH2034" s="421"/>
      <c r="AI2034" s="421"/>
      <c r="AJ2034" s="421"/>
      <c r="AK2034" s="421"/>
      <c r="AL2034" s="421"/>
    </row>
    <row r="2035" spans="1:38" hidden="1">
      <c r="A2035" s="408"/>
      <c r="B2035" s="83" t="e">
        <f t="array" ref="B2035">SUM(--(FREQUENCY(IF(C$2:C$3072=C2035, MATCH(D$2:D$3072, D$2:D$3072, 0)), ROW(D$2:D$3072)-ROW(D$2)+1) &gt; 0))</f>
        <v>#N/A</v>
      </c>
      <c r="C2035" s="408"/>
      <c r="D2035" s="408"/>
      <c r="E2035" s="408"/>
      <c r="F2035" s="408"/>
      <c r="G2035" s="408"/>
      <c r="H2035" s="408"/>
      <c r="I2035" s="408"/>
      <c r="J2035" s="408"/>
      <c r="K2035" s="408"/>
      <c r="L2035" s="408"/>
      <c r="M2035" s="408"/>
      <c r="N2035" s="408" t="str">
        <f t="shared" si="458"/>
        <v/>
      </c>
      <c r="O2035" s="408"/>
      <c r="P2035" s="408"/>
      <c r="Q2035" s="408"/>
      <c r="R2035" s="408"/>
      <c r="S2035" s="408"/>
      <c r="T2035" s="408"/>
      <c r="U2035" s="408"/>
      <c r="V2035" s="421"/>
      <c r="W2035" s="421"/>
      <c r="X2035" s="421"/>
      <c r="Y2035" s="421"/>
      <c r="Z2035" s="421"/>
      <c r="AA2035" s="421"/>
      <c r="AB2035" s="421"/>
      <c r="AC2035" s="421"/>
      <c r="AD2035" s="421"/>
      <c r="AE2035" s="421"/>
      <c r="AF2035" s="421"/>
      <c r="AG2035" s="421"/>
      <c r="AH2035" s="421"/>
      <c r="AI2035" s="421"/>
      <c r="AJ2035" s="421"/>
      <c r="AK2035" s="421"/>
      <c r="AL2035" s="421"/>
    </row>
    <row r="2036" spans="1:38" hidden="1">
      <c r="A2036" s="408"/>
      <c r="B2036" s="83" t="e">
        <f t="array" ref="B2036">SUM(--(FREQUENCY(IF(C$2:C$3072=C2036, MATCH(D$2:D$3072, D$2:D$3072, 0)), ROW(D$2:D$3072)-ROW(D$2)+1) &gt; 0))</f>
        <v>#N/A</v>
      </c>
      <c r="C2036" s="408"/>
      <c r="D2036" s="408"/>
      <c r="E2036" s="408"/>
      <c r="F2036" s="408"/>
      <c r="G2036" s="408"/>
      <c r="H2036" s="408"/>
      <c r="I2036" s="408"/>
      <c r="J2036" s="408"/>
      <c r="K2036" s="408"/>
      <c r="L2036" s="408"/>
      <c r="M2036" s="408"/>
      <c r="N2036" s="408" t="str">
        <f t="shared" si="458"/>
        <v/>
      </c>
      <c r="O2036" s="408"/>
      <c r="P2036" s="408"/>
      <c r="Q2036" s="408"/>
      <c r="R2036" s="408"/>
      <c r="S2036" s="408"/>
      <c r="T2036" s="408"/>
      <c r="U2036" s="408"/>
      <c r="V2036" s="421"/>
      <c r="W2036" s="421"/>
      <c r="X2036" s="421"/>
      <c r="Y2036" s="421"/>
      <c r="Z2036" s="421"/>
      <c r="AA2036" s="421"/>
      <c r="AB2036" s="421"/>
      <c r="AC2036" s="421"/>
      <c r="AD2036" s="421"/>
      <c r="AE2036" s="421"/>
      <c r="AF2036" s="421"/>
      <c r="AG2036" s="421"/>
      <c r="AH2036" s="421"/>
      <c r="AI2036" s="421"/>
      <c r="AJ2036" s="421"/>
      <c r="AK2036" s="421"/>
      <c r="AL2036" s="421"/>
    </row>
    <row r="2037" spans="1:38" hidden="1">
      <c r="A2037" s="408"/>
      <c r="B2037" s="83" t="e">
        <f t="array" ref="B2037">SUM(--(FREQUENCY(IF(C$2:C$3072=C2037, MATCH(D$2:D$3072, D$2:D$3072, 0)), ROW(D$2:D$3072)-ROW(D$2)+1) &gt; 0))</f>
        <v>#N/A</v>
      </c>
      <c r="C2037" s="408"/>
      <c r="D2037" s="408"/>
      <c r="E2037" s="408"/>
      <c r="F2037" s="408"/>
      <c r="G2037" s="408"/>
      <c r="H2037" s="408"/>
      <c r="I2037" s="408"/>
      <c r="J2037" s="408"/>
      <c r="K2037" s="408"/>
      <c r="L2037" s="408"/>
      <c r="M2037" s="408"/>
      <c r="N2037" s="408" t="str">
        <f t="shared" si="458"/>
        <v/>
      </c>
      <c r="O2037" s="408"/>
      <c r="P2037" s="408"/>
      <c r="Q2037" s="408"/>
      <c r="R2037" s="408"/>
      <c r="S2037" s="408"/>
      <c r="T2037" s="408"/>
      <c r="U2037" s="408"/>
      <c r="V2037" s="421"/>
      <c r="W2037" s="421"/>
      <c r="X2037" s="421"/>
      <c r="Y2037" s="421"/>
      <c r="Z2037" s="421"/>
      <c r="AA2037" s="421"/>
      <c r="AB2037" s="421"/>
      <c r="AC2037" s="421"/>
      <c r="AD2037" s="421"/>
      <c r="AE2037" s="421"/>
      <c r="AF2037" s="421"/>
      <c r="AG2037" s="421"/>
      <c r="AH2037" s="421"/>
      <c r="AI2037" s="421"/>
      <c r="AJ2037" s="421"/>
      <c r="AK2037" s="421"/>
      <c r="AL2037" s="421"/>
    </row>
    <row r="2038" spans="1:38" hidden="1">
      <c r="A2038" s="408"/>
      <c r="B2038" s="83" t="e">
        <f t="array" ref="B2038">SUM(--(FREQUENCY(IF(C$2:C$3072=C2038, MATCH(D$2:D$3072, D$2:D$3072, 0)), ROW(D$2:D$3072)-ROW(D$2)+1) &gt; 0))</f>
        <v>#N/A</v>
      </c>
      <c r="C2038" s="408"/>
      <c r="D2038" s="408"/>
      <c r="E2038" s="408"/>
      <c r="F2038" s="408"/>
      <c r="G2038" s="408"/>
      <c r="H2038" s="408"/>
      <c r="I2038" s="408"/>
      <c r="J2038" s="408"/>
      <c r="K2038" s="408"/>
      <c r="L2038" s="408"/>
      <c r="M2038" s="408"/>
      <c r="N2038" s="408" t="str">
        <f t="shared" si="458"/>
        <v/>
      </c>
      <c r="O2038" s="408"/>
      <c r="P2038" s="408"/>
      <c r="Q2038" s="408"/>
      <c r="R2038" s="408"/>
      <c r="S2038" s="408"/>
      <c r="T2038" s="408"/>
      <c r="U2038" s="408"/>
      <c r="V2038" s="421"/>
      <c r="W2038" s="421"/>
      <c r="X2038" s="421"/>
      <c r="Y2038" s="421"/>
      <c r="Z2038" s="421"/>
      <c r="AA2038" s="421"/>
      <c r="AB2038" s="421"/>
      <c r="AC2038" s="421"/>
      <c r="AD2038" s="421"/>
      <c r="AE2038" s="421"/>
      <c r="AF2038" s="421"/>
      <c r="AG2038" s="421"/>
      <c r="AH2038" s="421"/>
      <c r="AI2038" s="421"/>
      <c r="AJ2038" s="421"/>
      <c r="AK2038" s="421"/>
      <c r="AL2038" s="421"/>
    </row>
    <row r="2039" spans="1:38" hidden="1">
      <c r="A2039" s="408"/>
      <c r="B2039" s="83" t="e">
        <f t="array" ref="B2039">SUM(--(FREQUENCY(IF(C$2:C$3072=C2039, MATCH(D$2:D$3072, D$2:D$3072, 0)), ROW(D$2:D$3072)-ROW(D$2)+1) &gt; 0))</f>
        <v>#N/A</v>
      </c>
      <c r="C2039" s="408"/>
      <c r="D2039" s="408"/>
      <c r="E2039" s="408"/>
      <c r="F2039" s="408"/>
      <c r="G2039" s="408"/>
      <c r="H2039" s="408"/>
      <c r="I2039" s="408"/>
      <c r="J2039" s="408"/>
      <c r="K2039" s="408"/>
      <c r="L2039" s="408"/>
      <c r="M2039" s="408"/>
      <c r="N2039" s="408" t="str">
        <f t="shared" si="458"/>
        <v/>
      </c>
      <c r="O2039" s="408"/>
      <c r="P2039" s="408"/>
      <c r="Q2039" s="408"/>
      <c r="R2039" s="408"/>
      <c r="S2039" s="408"/>
      <c r="T2039" s="408"/>
      <c r="U2039" s="408"/>
      <c r="V2039" s="421"/>
      <c r="W2039" s="421"/>
      <c r="X2039" s="421"/>
      <c r="Y2039" s="421"/>
      <c r="Z2039" s="421"/>
      <c r="AA2039" s="421"/>
      <c r="AB2039" s="421"/>
      <c r="AC2039" s="421"/>
      <c r="AD2039" s="421"/>
      <c r="AE2039" s="421"/>
      <c r="AF2039" s="421"/>
      <c r="AG2039" s="421"/>
      <c r="AH2039" s="421"/>
      <c r="AI2039" s="421"/>
      <c r="AJ2039" s="421"/>
      <c r="AK2039" s="421"/>
      <c r="AL2039" s="421"/>
    </row>
    <row r="2040" spans="1:38" hidden="1">
      <c r="A2040" s="408"/>
      <c r="B2040" s="83" t="e">
        <f t="array" ref="B2040">SUM(--(FREQUENCY(IF(C$2:C$3072=C2040, MATCH(D$2:D$3072, D$2:D$3072, 0)), ROW(D$2:D$3072)-ROW(D$2)+1) &gt; 0))</f>
        <v>#N/A</v>
      </c>
      <c r="C2040" s="408"/>
      <c r="D2040" s="408"/>
      <c r="E2040" s="408"/>
      <c r="F2040" s="408"/>
      <c r="G2040" s="408"/>
      <c r="H2040" s="408"/>
      <c r="I2040" s="408"/>
      <c r="J2040" s="408"/>
      <c r="K2040" s="408"/>
      <c r="L2040" s="408"/>
      <c r="M2040" s="408"/>
      <c r="N2040" s="408" t="str">
        <f t="shared" si="458"/>
        <v/>
      </c>
      <c r="O2040" s="408"/>
      <c r="P2040" s="408"/>
      <c r="Q2040" s="408"/>
      <c r="R2040" s="408"/>
      <c r="S2040" s="408"/>
      <c r="T2040" s="408"/>
      <c r="U2040" s="408"/>
      <c r="V2040" s="421"/>
      <c r="W2040" s="421"/>
      <c r="X2040" s="421"/>
      <c r="Y2040" s="421"/>
      <c r="Z2040" s="421"/>
      <c r="AA2040" s="421"/>
      <c r="AB2040" s="421"/>
      <c r="AC2040" s="421"/>
      <c r="AD2040" s="421"/>
      <c r="AE2040" s="421"/>
      <c r="AF2040" s="421"/>
      <c r="AG2040" s="421"/>
      <c r="AH2040" s="421"/>
      <c r="AI2040" s="421"/>
      <c r="AJ2040" s="421"/>
      <c r="AK2040" s="421"/>
      <c r="AL2040" s="421"/>
    </row>
    <row r="2041" spans="1:38" hidden="1">
      <c r="A2041" s="408"/>
      <c r="B2041" s="83" t="e">
        <f t="array" ref="B2041">SUM(--(FREQUENCY(IF(C$2:C$3072=C2041, MATCH(D$2:D$3072, D$2:D$3072, 0)), ROW(D$2:D$3072)-ROW(D$2)+1) &gt; 0))</f>
        <v>#N/A</v>
      </c>
      <c r="C2041" s="408"/>
      <c r="D2041" s="408"/>
      <c r="E2041" s="408"/>
      <c r="F2041" s="408"/>
      <c r="G2041" s="408"/>
      <c r="H2041" s="408"/>
      <c r="I2041" s="408"/>
      <c r="J2041" s="408"/>
      <c r="K2041" s="408"/>
      <c r="L2041" s="408"/>
      <c r="M2041" s="408"/>
      <c r="N2041" s="408" t="str">
        <f t="shared" si="458"/>
        <v/>
      </c>
      <c r="O2041" s="408"/>
      <c r="P2041" s="408"/>
      <c r="Q2041" s="408"/>
      <c r="R2041" s="408"/>
      <c r="S2041" s="408"/>
      <c r="T2041" s="408"/>
      <c r="U2041" s="408"/>
      <c r="V2041" s="421"/>
      <c r="W2041" s="421"/>
      <c r="X2041" s="421"/>
      <c r="Y2041" s="421"/>
      <c r="Z2041" s="421"/>
      <c r="AA2041" s="421"/>
      <c r="AB2041" s="421"/>
      <c r="AC2041" s="421"/>
      <c r="AD2041" s="421"/>
      <c r="AE2041" s="421"/>
      <c r="AF2041" s="421"/>
      <c r="AG2041" s="421"/>
      <c r="AH2041" s="421"/>
      <c r="AI2041" s="421"/>
      <c r="AJ2041" s="421"/>
      <c r="AK2041" s="421"/>
      <c r="AL2041" s="421"/>
    </row>
    <row r="2042" spans="1:38" hidden="1">
      <c r="A2042" s="408"/>
      <c r="B2042" s="83" t="e">
        <f t="array" ref="B2042">SUM(--(FREQUENCY(IF(C$2:C$3072=C2042, MATCH(D$2:D$3072, D$2:D$3072, 0)), ROW(D$2:D$3072)-ROW(D$2)+1) &gt; 0))</f>
        <v>#N/A</v>
      </c>
      <c r="C2042" s="408"/>
      <c r="D2042" s="408"/>
      <c r="E2042" s="408"/>
      <c r="F2042" s="408"/>
      <c r="G2042" s="408"/>
      <c r="H2042" s="408"/>
      <c r="I2042" s="408"/>
      <c r="J2042" s="408"/>
      <c r="K2042" s="408"/>
      <c r="L2042" s="408"/>
      <c r="M2042" s="408"/>
      <c r="N2042" s="408" t="str">
        <f t="shared" si="458"/>
        <v/>
      </c>
      <c r="O2042" s="408"/>
      <c r="P2042" s="408"/>
      <c r="Q2042" s="408"/>
      <c r="R2042" s="408"/>
      <c r="S2042" s="408"/>
      <c r="T2042" s="408"/>
      <c r="U2042" s="408"/>
      <c r="V2042" s="421"/>
      <c r="W2042" s="421"/>
      <c r="X2042" s="421"/>
      <c r="Y2042" s="421"/>
      <c r="Z2042" s="421"/>
      <c r="AA2042" s="421"/>
      <c r="AB2042" s="421"/>
      <c r="AC2042" s="421"/>
      <c r="AD2042" s="421"/>
      <c r="AE2042" s="421"/>
      <c r="AF2042" s="421"/>
      <c r="AG2042" s="421"/>
      <c r="AH2042" s="421"/>
      <c r="AI2042" s="421"/>
      <c r="AJ2042" s="421"/>
      <c r="AK2042" s="421"/>
      <c r="AL2042" s="421"/>
    </row>
    <row r="2043" spans="1:38" hidden="1">
      <c r="A2043" s="408"/>
      <c r="B2043" s="83" t="e">
        <f t="array" ref="B2043">SUM(--(FREQUENCY(IF(C$2:C$3072=C2043, MATCH(D$2:D$3072, D$2:D$3072, 0)), ROW(D$2:D$3072)-ROW(D$2)+1) &gt; 0))</f>
        <v>#N/A</v>
      </c>
      <c r="C2043" s="408"/>
      <c r="D2043" s="408"/>
      <c r="E2043" s="408"/>
      <c r="F2043" s="408"/>
      <c r="G2043" s="408"/>
      <c r="H2043" s="408"/>
      <c r="I2043" s="408"/>
      <c r="J2043" s="408"/>
      <c r="K2043" s="408"/>
      <c r="L2043" s="408"/>
      <c r="M2043" s="408"/>
      <c r="N2043" s="408" t="str">
        <f t="shared" si="458"/>
        <v/>
      </c>
      <c r="O2043" s="408"/>
      <c r="P2043" s="408"/>
      <c r="Q2043" s="408"/>
      <c r="R2043" s="408"/>
      <c r="S2043" s="408"/>
      <c r="T2043" s="408"/>
      <c r="U2043" s="408"/>
      <c r="V2043" s="421"/>
      <c r="W2043" s="421"/>
      <c r="X2043" s="421"/>
      <c r="Y2043" s="421"/>
      <c r="Z2043" s="421"/>
      <c r="AA2043" s="421"/>
      <c r="AB2043" s="421"/>
      <c r="AC2043" s="421"/>
      <c r="AD2043" s="421"/>
      <c r="AE2043" s="421"/>
      <c r="AF2043" s="421"/>
      <c r="AG2043" s="421"/>
      <c r="AH2043" s="421"/>
      <c r="AI2043" s="421"/>
      <c r="AJ2043" s="421"/>
      <c r="AK2043" s="421"/>
      <c r="AL2043" s="421"/>
    </row>
    <row r="2044" spans="1:38" hidden="1">
      <c r="A2044" s="408"/>
      <c r="B2044" s="83" t="e">
        <f t="array" ref="B2044">SUM(--(FREQUENCY(IF(C$2:C$3072=C2044, MATCH(D$2:D$3072, D$2:D$3072, 0)), ROW(D$2:D$3072)-ROW(D$2)+1) &gt; 0))</f>
        <v>#N/A</v>
      </c>
      <c r="C2044" s="408"/>
      <c r="D2044" s="408"/>
      <c r="E2044" s="408"/>
      <c r="F2044" s="408"/>
      <c r="G2044" s="408"/>
      <c r="H2044" s="408"/>
      <c r="I2044" s="408"/>
      <c r="J2044" s="408"/>
      <c r="K2044" s="408"/>
      <c r="L2044" s="408"/>
      <c r="M2044" s="408"/>
      <c r="N2044" s="408" t="str">
        <f t="shared" si="458"/>
        <v/>
      </c>
      <c r="O2044" s="408"/>
      <c r="P2044" s="408"/>
      <c r="Q2044" s="408"/>
      <c r="R2044" s="408"/>
      <c r="S2044" s="408"/>
      <c r="T2044" s="408"/>
      <c r="U2044" s="408"/>
      <c r="V2044" s="421"/>
      <c r="W2044" s="421"/>
      <c r="X2044" s="421"/>
      <c r="Y2044" s="421"/>
      <c r="Z2044" s="421"/>
      <c r="AA2044" s="421"/>
      <c r="AB2044" s="421"/>
      <c r="AC2044" s="421"/>
      <c r="AD2044" s="421"/>
      <c r="AE2044" s="421"/>
      <c r="AF2044" s="421"/>
      <c r="AG2044" s="421"/>
      <c r="AH2044" s="421"/>
      <c r="AI2044" s="421"/>
      <c r="AJ2044" s="421"/>
      <c r="AK2044" s="421"/>
      <c r="AL2044" s="421"/>
    </row>
    <row r="2045" spans="1:38" hidden="1">
      <c r="A2045" s="408"/>
      <c r="B2045" s="83" t="e">
        <f t="array" ref="B2045">SUM(--(FREQUENCY(IF(C$2:C$3072=C2045, MATCH(D$2:D$3072, D$2:D$3072, 0)), ROW(D$2:D$3072)-ROW(D$2)+1) &gt; 0))</f>
        <v>#N/A</v>
      </c>
      <c r="C2045" s="408"/>
      <c r="D2045" s="408"/>
      <c r="E2045" s="408"/>
      <c r="F2045" s="408"/>
      <c r="G2045" s="408"/>
      <c r="H2045" s="408"/>
      <c r="I2045" s="408"/>
      <c r="J2045" s="408"/>
      <c r="K2045" s="408"/>
      <c r="L2045" s="408"/>
      <c r="M2045" s="408"/>
      <c r="N2045" s="408" t="str">
        <f t="shared" si="458"/>
        <v/>
      </c>
      <c r="O2045" s="408"/>
      <c r="P2045" s="408"/>
      <c r="Q2045" s="408"/>
      <c r="R2045" s="408"/>
      <c r="S2045" s="408"/>
      <c r="T2045" s="408"/>
      <c r="U2045" s="408"/>
      <c r="V2045" s="421"/>
      <c r="W2045" s="421"/>
      <c r="X2045" s="421"/>
      <c r="Y2045" s="421"/>
      <c r="Z2045" s="421"/>
      <c r="AA2045" s="421"/>
      <c r="AB2045" s="421"/>
      <c r="AC2045" s="421"/>
      <c r="AD2045" s="421"/>
      <c r="AE2045" s="421"/>
      <c r="AF2045" s="421"/>
      <c r="AG2045" s="421"/>
      <c r="AH2045" s="421"/>
      <c r="AI2045" s="421"/>
      <c r="AJ2045" s="421"/>
      <c r="AK2045" s="421"/>
      <c r="AL2045" s="421"/>
    </row>
    <row r="2046" spans="1:38" hidden="1">
      <c r="A2046" s="408"/>
      <c r="B2046" s="83" t="e">
        <f t="array" ref="B2046">SUM(--(FREQUENCY(IF(C$2:C$3072=C2046, MATCH(D$2:D$3072, D$2:D$3072, 0)), ROW(D$2:D$3072)-ROW(D$2)+1) &gt; 0))</f>
        <v>#N/A</v>
      </c>
      <c r="C2046" s="408"/>
      <c r="D2046" s="408"/>
      <c r="E2046" s="408"/>
      <c r="F2046" s="408"/>
      <c r="G2046" s="408"/>
      <c r="H2046" s="408"/>
      <c r="I2046" s="408"/>
      <c r="J2046" s="408"/>
      <c r="K2046" s="408"/>
      <c r="L2046" s="408"/>
      <c r="M2046" s="408"/>
      <c r="N2046" s="408" t="str">
        <f t="shared" si="458"/>
        <v/>
      </c>
      <c r="O2046" s="408"/>
      <c r="P2046" s="408"/>
      <c r="Q2046" s="408"/>
      <c r="R2046" s="408"/>
      <c r="S2046" s="408"/>
      <c r="T2046" s="408"/>
      <c r="U2046" s="408"/>
      <c r="V2046" s="421"/>
      <c r="W2046" s="421"/>
      <c r="X2046" s="421"/>
      <c r="Y2046" s="421"/>
      <c r="Z2046" s="421"/>
      <c r="AA2046" s="421"/>
      <c r="AB2046" s="421"/>
      <c r="AC2046" s="421"/>
      <c r="AD2046" s="421"/>
      <c r="AE2046" s="421"/>
      <c r="AF2046" s="421"/>
      <c r="AG2046" s="421"/>
      <c r="AH2046" s="421"/>
      <c r="AI2046" s="421"/>
      <c r="AJ2046" s="421"/>
      <c r="AK2046" s="421"/>
      <c r="AL2046" s="421"/>
    </row>
    <row r="2047" spans="1:38" hidden="1">
      <c r="A2047" s="408"/>
      <c r="B2047" s="83" t="e">
        <f t="array" ref="B2047">SUM(--(FREQUENCY(IF(C$2:C$3072=C2047, MATCH(D$2:D$3072, D$2:D$3072, 0)), ROW(D$2:D$3072)-ROW(D$2)+1) &gt; 0))</f>
        <v>#N/A</v>
      </c>
      <c r="C2047" s="408"/>
      <c r="D2047" s="408"/>
      <c r="E2047" s="408"/>
      <c r="F2047" s="408"/>
      <c r="G2047" s="408"/>
      <c r="H2047" s="408"/>
      <c r="I2047" s="408"/>
      <c r="J2047" s="408"/>
      <c r="K2047" s="408"/>
      <c r="L2047" s="408"/>
      <c r="M2047" s="408"/>
      <c r="N2047" s="408" t="str">
        <f t="shared" si="458"/>
        <v/>
      </c>
      <c r="O2047" s="408"/>
      <c r="P2047" s="408"/>
      <c r="Q2047" s="408"/>
      <c r="R2047" s="408"/>
      <c r="S2047" s="408"/>
      <c r="T2047" s="408"/>
      <c r="U2047" s="408"/>
      <c r="V2047" s="421"/>
      <c r="W2047" s="421"/>
      <c r="X2047" s="421"/>
      <c r="Y2047" s="421"/>
      <c r="Z2047" s="421"/>
      <c r="AA2047" s="421"/>
      <c r="AB2047" s="421"/>
      <c r="AC2047" s="421"/>
      <c r="AD2047" s="421"/>
      <c r="AE2047" s="421"/>
      <c r="AF2047" s="421"/>
      <c r="AG2047" s="421"/>
      <c r="AH2047" s="421"/>
      <c r="AI2047" s="421"/>
      <c r="AJ2047" s="421"/>
      <c r="AK2047" s="421"/>
      <c r="AL2047" s="421"/>
    </row>
    <row r="2048" spans="1:38" hidden="1">
      <c r="A2048" s="408"/>
      <c r="B2048" s="83" t="e">
        <f t="array" ref="B2048">SUM(--(FREQUENCY(IF(C$2:C$3072=C2048, MATCH(D$2:D$3072, D$2:D$3072, 0)), ROW(D$2:D$3072)-ROW(D$2)+1) &gt; 0))</f>
        <v>#N/A</v>
      </c>
      <c r="C2048" s="408"/>
      <c r="D2048" s="408"/>
      <c r="E2048" s="408"/>
      <c r="F2048" s="408"/>
      <c r="G2048" s="408"/>
      <c r="H2048" s="408"/>
      <c r="I2048" s="408"/>
      <c r="J2048" s="408"/>
      <c r="K2048" s="408"/>
      <c r="L2048" s="408"/>
      <c r="M2048" s="408"/>
      <c r="N2048" s="408" t="str">
        <f t="shared" ref="N2048:N2111" si="459">IF(O2048&lt;&gt;"", "NG", "")</f>
        <v/>
      </c>
      <c r="O2048" s="408"/>
      <c r="P2048" s="408"/>
      <c r="Q2048" s="408"/>
      <c r="R2048" s="408"/>
      <c r="S2048" s="408"/>
      <c r="T2048" s="408"/>
      <c r="U2048" s="408"/>
      <c r="V2048" s="421"/>
      <c r="W2048" s="421"/>
      <c r="X2048" s="421"/>
      <c r="Y2048" s="421"/>
      <c r="Z2048" s="421"/>
      <c r="AA2048" s="421"/>
      <c r="AB2048" s="421"/>
      <c r="AC2048" s="421"/>
      <c r="AD2048" s="421"/>
      <c r="AE2048" s="421"/>
      <c r="AF2048" s="421"/>
      <c r="AG2048" s="421"/>
      <c r="AH2048" s="421"/>
      <c r="AI2048" s="421"/>
      <c r="AJ2048" s="421"/>
      <c r="AK2048" s="421"/>
      <c r="AL2048" s="421"/>
    </row>
    <row r="2049" spans="1:38" hidden="1">
      <c r="A2049" s="408"/>
      <c r="B2049" s="83" t="e">
        <f t="array" ref="B2049">SUM(--(FREQUENCY(IF(C$2:C$3072=C2049, MATCH(D$2:D$3072, D$2:D$3072, 0)), ROW(D$2:D$3072)-ROW(D$2)+1) &gt; 0))</f>
        <v>#N/A</v>
      </c>
      <c r="C2049" s="408"/>
      <c r="D2049" s="408"/>
      <c r="E2049" s="408"/>
      <c r="F2049" s="408"/>
      <c r="G2049" s="408"/>
      <c r="H2049" s="408"/>
      <c r="I2049" s="408"/>
      <c r="J2049" s="408"/>
      <c r="K2049" s="408"/>
      <c r="L2049" s="408"/>
      <c r="M2049" s="408"/>
      <c r="N2049" s="408" t="str">
        <f t="shared" si="459"/>
        <v/>
      </c>
      <c r="O2049" s="408"/>
      <c r="P2049" s="408"/>
      <c r="Q2049" s="408"/>
      <c r="R2049" s="408"/>
      <c r="S2049" s="408"/>
      <c r="T2049" s="408"/>
      <c r="U2049" s="408"/>
      <c r="V2049" s="421"/>
      <c r="W2049" s="421"/>
      <c r="X2049" s="421"/>
      <c r="Y2049" s="421"/>
      <c r="Z2049" s="421"/>
      <c r="AA2049" s="421"/>
      <c r="AB2049" s="421"/>
      <c r="AC2049" s="421"/>
      <c r="AD2049" s="421"/>
      <c r="AE2049" s="421"/>
      <c r="AF2049" s="421"/>
      <c r="AG2049" s="421"/>
      <c r="AH2049" s="421"/>
      <c r="AI2049" s="421"/>
      <c r="AJ2049" s="421"/>
      <c r="AK2049" s="421"/>
      <c r="AL2049" s="421"/>
    </row>
    <row r="2050" spans="1:38" hidden="1">
      <c r="A2050" s="408"/>
      <c r="B2050" s="83" t="e">
        <f t="array" ref="B2050">SUM(--(FREQUENCY(IF(C$2:C$3072=C2050, MATCH(D$2:D$3072, D$2:D$3072, 0)), ROW(D$2:D$3072)-ROW(D$2)+1) &gt; 0))</f>
        <v>#N/A</v>
      </c>
      <c r="C2050" s="408"/>
      <c r="D2050" s="408"/>
      <c r="E2050" s="408"/>
      <c r="F2050" s="408"/>
      <c r="G2050" s="408"/>
      <c r="H2050" s="408"/>
      <c r="I2050" s="408"/>
      <c r="J2050" s="408"/>
      <c r="K2050" s="408"/>
      <c r="L2050" s="408"/>
      <c r="M2050" s="408"/>
      <c r="N2050" s="408" t="str">
        <f t="shared" si="459"/>
        <v/>
      </c>
      <c r="O2050" s="408"/>
      <c r="P2050" s="408"/>
      <c r="Q2050" s="408"/>
      <c r="R2050" s="408"/>
      <c r="S2050" s="408"/>
      <c r="T2050" s="408"/>
      <c r="U2050" s="408"/>
      <c r="V2050" s="421"/>
      <c r="W2050" s="421"/>
      <c r="X2050" s="421"/>
      <c r="Y2050" s="421"/>
      <c r="Z2050" s="421"/>
      <c r="AA2050" s="421"/>
      <c r="AB2050" s="421"/>
      <c r="AC2050" s="421"/>
      <c r="AD2050" s="421"/>
      <c r="AE2050" s="421"/>
      <c r="AF2050" s="421"/>
      <c r="AG2050" s="421"/>
      <c r="AH2050" s="421"/>
      <c r="AI2050" s="421"/>
      <c r="AJ2050" s="421"/>
      <c r="AK2050" s="421"/>
      <c r="AL2050" s="421"/>
    </row>
    <row r="2051" spans="1:38" hidden="1">
      <c r="A2051" s="408"/>
      <c r="B2051" s="83" t="e">
        <f t="array" ref="B2051">SUM(--(FREQUENCY(IF(C$2:C$3072=C2051, MATCH(D$2:D$3072, D$2:D$3072, 0)), ROW(D$2:D$3072)-ROW(D$2)+1) &gt; 0))</f>
        <v>#N/A</v>
      </c>
      <c r="C2051" s="408"/>
      <c r="D2051" s="408"/>
      <c r="E2051" s="408"/>
      <c r="F2051" s="408"/>
      <c r="G2051" s="408"/>
      <c r="H2051" s="408"/>
      <c r="I2051" s="408"/>
      <c r="J2051" s="408"/>
      <c r="K2051" s="408"/>
      <c r="L2051" s="408"/>
      <c r="M2051" s="408"/>
      <c r="N2051" s="408" t="str">
        <f t="shared" si="459"/>
        <v/>
      </c>
      <c r="O2051" s="408"/>
      <c r="P2051" s="408"/>
      <c r="Q2051" s="408"/>
      <c r="R2051" s="408"/>
      <c r="S2051" s="408"/>
      <c r="T2051" s="408"/>
      <c r="U2051" s="408"/>
      <c r="V2051" s="421"/>
      <c r="W2051" s="421"/>
      <c r="X2051" s="421"/>
      <c r="Y2051" s="421"/>
      <c r="Z2051" s="421"/>
      <c r="AA2051" s="421"/>
      <c r="AB2051" s="421"/>
      <c r="AC2051" s="421"/>
      <c r="AD2051" s="421"/>
      <c r="AE2051" s="421"/>
      <c r="AF2051" s="421"/>
      <c r="AG2051" s="421"/>
      <c r="AH2051" s="421"/>
      <c r="AI2051" s="421"/>
      <c r="AJ2051" s="421"/>
      <c r="AK2051" s="421"/>
      <c r="AL2051" s="421"/>
    </row>
    <row r="2052" spans="1:38" hidden="1">
      <c r="A2052" s="408"/>
      <c r="B2052" s="83" t="e">
        <f t="array" ref="B2052">SUM(--(FREQUENCY(IF(C$2:C$3072=C2052, MATCH(D$2:D$3072, D$2:D$3072, 0)), ROW(D$2:D$3072)-ROW(D$2)+1) &gt; 0))</f>
        <v>#N/A</v>
      </c>
      <c r="C2052" s="408"/>
      <c r="D2052" s="408"/>
      <c r="E2052" s="408"/>
      <c r="F2052" s="408"/>
      <c r="G2052" s="408"/>
      <c r="H2052" s="408"/>
      <c r="I2052" s="408"/>
      <c r="J2052" s="408"/>
      <c r="K2052" s="408"/>
      <c r="L2052" s="408"/>
      <c r="M2052" s="408"/>
      <c r="N2052" s="408" t="str">
        <f t="shared" si="459"/>
        <v/>
      </c>
      <c r="O2052" s="408"/>
      <c r="P2052" s="408"/>
      <c r="Q2052" s="408"/>
      <c r="R2052" s="408"/>
      <c r="S2052" s="408"/>
      <c r="T2052" s="408"/>
      <c r="U2052" s="408"/>
      <c r="V2052" s="421"/>
      <c r="W2052" s="421"/>
      <c r="X2052" s="421"/>
      <c r="Y2052" s="421"/>
      <c r="Z2052" s="421"/>
      <c r="AA2052" s="421"/>
      <c r="AB2052" s="421"/>
      <c r="AC2052" s="421"/>
      <c r="AD2052" s="421"/>
      <c r="AE2052" s="421"/>
      <c r="AF2052" s="421"/>
      <c r="AG2052" s="421"/>
      <c r="AH2052" s="421"/>
      <c r="AI2052" s="421"/>
      <c r="AJ2052" s="421"/>
      <c r="AK2052" s="421"/>
      <c r="AL2052" s="421"/>
    </row>
    <row r="2053" spans="1:38" hidden="1">
      <c r="A2053" s="408"/>
      <c r="B2053" s="83" t="e">
        <f t="array" ref="B2053">SUM(--(FREQUENCY(IF(C$2:C$3072=C2053, MATCH(D$2:D$3072, D$2:D$3072, 0)), ROW(D$2:D$3072)-ROW(D$2)+1) &gt; 0))</f>
        <v>#N/A</v>
      </c>
      <c r="C2053" s="408"/>
      <c r="D2053" s="408"/>
      <c r="E2053" s="408"/>
      <c r="F2053" s="408"/>
      <c r="G2053" s="408"/>
      <c r="H2053" s="408"/>
      <c r="I2053" s="408"/>
      <c r="J2053" s="408"/>
      <c r="K2053" s="408"/>
      <c r="L2053" s="408"/>
      <c r="M2053" s="408"/>
      <c r="N2053" s="408" t="str">
        <f t="shared" si="459"/>
        <v/>
      </c>
      <c r="O2053" s="408"/>
      <c r="P2053" s="408"/>
      <c r="Q2053" s="408"/>
      <c r="R2053" s="408"/>
      <c r="S2053" s="408"/>
      <c r="T2053" s="408"/>
      <c r="U2053" s="408"/>
      <c r="V2053" s="421"/>
      <c r="W2053" s="421"/>
      <c r="X2053" s="421"/>
      <c r="Y2053" s="421"/>
      <c r="Z2053" s="421"/>
      <c r="AA2053" s="421"/>
      <c r="AB2053" s="421"/>
      <c r="AC2053" s="421"/>
      <c r="AD2053" s="421"/>
      <c r="AE2053" s="421"/>
      <c r="AF2053" s="421"/>
      <c r="AG2053" s="421"/>
      <c r="AH2053" s="421"/>
      <c r="AI2053" s="421"/>
      <c r="AJ2053" s="421"/>
      <c r="AK2053" s="421"/>
      <c r="AL2053" s="421"/>
    </row>
    <row r="2054" spans="1:38" hidden="1">
      <c r="A2054" s="408"/>
      <c r="B2054" s="83" t="e">
        <f t="array" ref="B2054">SUM(--(FREQUENCY(IF(C$2:C$3072=C2054, MATCH(D$2:D$3072, D$2:D$3072, 0)), ROW(D$2:D$3072)-ROW(D$2)+1) &gt; 0))</f>
        <v>#N/A</v>
      </c>
      <c r="C2054" s="408"/>
      <c r="D2054" s="408"/>
      <c r="E2054" s="408"/>
      <c r="F2054" s="408"/>
      <c r="G2054" s="408"/>
      <c r="H2054" s="408"/>
      <c r="I2054" s="408"/>
      <c r="J2054" s="408"/>
      <c r="K2054" s="408"/>
      <c r="L2054" s="408"/>
      <c r="M2054" s="408"/>
      <c r="N2054" s="408" t="str">
        <f t="shared" si="459"/>
        <v/>
      </c>
      <c r="O2054" s="408"/>
      <c r="P2054" s="408"/>
      <c r="Q2054" s="408"/>
      <c r="R2054" s="408"/>
      <c r="S2054" s="408"/>
      <c r="T2054" s="408"/>
      <c r="U2054" s="408"/>
      <c r="V2054" s="421"/>
      <c r="W2054" s="421"/>
      <c r="X2054" s="421"/>
      <c r="Y2054" s="421"/>
      <c r="Z2054" s="421"/>
      <c r="AA2054" s="421"/>
      <c r="AB2054" s="421"/>
      <c r="AC2054" s="421"/>
      <c r="AD2054" s="421"/>
      <c r="AE2054" s="421"/>
      <c r="AF2054" s="421"/>
      <c r="AG2054" s="421"/>
      <c r="AH2054" s="421"/>
      <c r="AI2054" s="421"/>
      <c r="AJ2054" s="421"/>
      <c r="AK2054" s="421"/>
      <c r="AL2054" s="421"/>
    </row>
    <row r="2055" spans="1:38" hidden="1">
      <c r="A2055" s="408"/>
      <c r="B2055" s="83" t="e">
        <f t="array" ref="B2055">SUM(--(FREQUENCY(IF(C$2:C$3072=C2055, MATCH(D$2:D$3072, D$2:D$3072, 0)), ROW(D$2:D$3072)-ROW(D$2)+1) &gt; 0))</f>
        <v>#N/A</v>
      </c>
      <c r="C2055" s="408"/>
      <c r="D2055" s="408"/>
      <c r="E2055" s="408"/>
      <c r="F2055" s="408"/>
      <c r="G2055" s="408"/>
      <c r="H2055" s="408"/>
      <c r="I2055" s="408"/>
      <c r="J2055" s="408"/>
      <c r="K2055" s="408"/>
      <c r="L2055" s="408"/>
      <c r="M2055" s="408"/>
      <c r="N2055" s="408" t="str">
        <f t="shared" si="459"/>
        <v/>
      </c>
      <c r="O2055" s="408"/>
      <c r="P2055" s="408"/>
      <c r="Q2055" s="408"/>
      <c r="R2055" s="408"/>
      <c r="S2055" s="408"/>
      <c r="T2055" s="408"/>
      <c r="U2055" s="408"/>
      <c r="V2055" s="421"/>
      <c r="W2055" s="421"/>
      <c r="X2055" s="421"/>
      <c r="Y2055" s="421"/>
      <c r="Z2055" s="421"/>
      <c r="AA2055" s="421"/>
      <c r="AB2055" s="421"/>
      <c r="AC2055" s="421"/>
      <c r="AD2055" s="421"/>
      <c r="AE2055" s="421"/>
      <c r="AF2055" s="421"/>
      <c r="AG2055" s="421"/>
      <c r="AH2055" s="421"/>
      <c r="AI2055" s="421"/>
      <c r="AJ2055" s="421"/>
      <c r="AK2055" s="421"/>
      <c r="AL2055" s="421"/>
    </row>
    <row r="2056" spans="1:38" hidden="1">
      <c r="A2056" s="408"/>
      <c r="B2056" s="83" t="e">
        <f t="array" ref="B2056">SUM(--(FREQUENCY(IF(C$2:C$3072=C2056, MATCH(D$2:D$3072, D$2:D$3072, 0)), ROW(D$2:D$3072)-ROW(D$2)+1) &gt; 0))</f>
        <v>#N/A</v>
      </c>
      <c r="C2056" s="408"/>
      <c r="D2056" s="408"/>
      <c r="E2056" s="408"/>
      <c r="F2056" s="408"/>
      <c r="G2056" s="408"/>
      <c r="H2056" s="408"/>
      <c r="I2056" s="408"/>
      <c r="J2056" s="408"/>
      <c r="K2056" s="408"/>
      <c r="L2056" s="408"/>
      <c r="M2056" s="408"/>
      <c r="N2056" s="408" t="str">
        <f t="shared" si="459"/>
        <v/>
      </c>
      <c r="O2056" s="408"/>
      <c r="P2056" s="408"/>
      <c r="Q2056" s="408"/>
      <c r="R2056" s="408"/>
      <c r="S2056" s="408"/>
      <c r="T2056" s="408"/>
      <c r="U2056" s="408"/>
      <c r="V2056" s="421"/>
      <c r="W2056" s="421"/>
      <c r="X2056" s="421"/>
      <c r="Y2056" s="421"/>
      <c r="Z2056" s="421"/>
      <c r="AA2056" s="421"/>
      <c r="AB2056" s="421"/>
      <c r="AC2056" s="421"/>
      <c r="AD2056" s="421"/>
      <c r="AE2056" s="421"/>
      <c r="AF2056" s="421"/>
      <c r="AG2056" s="421"/>
      <c r="AH2056" s="421"/>
      <c r="AI2056" s="421"/>
      <c r="AJ2056" s="421"/>
      <c r="AK2056" s="421"/>
      <c r="AL2056" s="421"/>
    </row>
    <row r="2057" spans="1:38" hidden="1">
      <c r="A2057" s="408"/>
      <c r="B2057" s="83" t="e">
        <f t="array" ref="B2057">SUM(--(FREQUENCY(IF(C$2:C$3072=C2057, MATCH(D$2:D$3072, D$2:D$3072, 0)), ROW(D$2:D$3072)-ROW(D$2)+1) &gt; 0))</f>
        <v>#N/A</v>
      </c>
      <c r="C2057" s="408"/>
      <c r="D2057" s="408"/>
      <c r="E2057" s="408"/>
      <c r="F2057" s="408"/>
      <c r="G2057" s="408"/>
      <c r="H2057" s="408"/>
      <c r="I2057" s="408"/>
      <c r="J2057" s="408"/>
      <c r="K2057" s="408"/>
      <c r="L2057" s="408"/>
      <c r="M2057" s="408"/>
      <c r="N2057" s="408" t="str">
        <f t="shared" si="459"/>
        <v/>
      </c>
      <c r="O2057" s="408"/>
      <c r="P2057" s="408"/>
      <c r="Q2057" s="408"/>
      <c r="R2057" s="408"/>
      <c r="S2057" s="408"/>
      <c r="T2057" s="408"/>
      <c r="U2057" s="408"/>
      <c r="V2057" s="421"/>
      <c r="W2057" s="421"/>
      <c r="X2057" s="421"/>
      <c r="Y2057" s="421"/>
      <c r="Z2057" s="421"/>
      <c r="AA2057" s="421"/>
      <c r="AB2057" s="421"/>
      <c r="AC2057" s="421"/>
      <c r="AD2057" s="421"/>
      <c r="AE2057" s="421"/>
      <c r="AF2057" s="421"/>
      <c r="AG2057" s="421"/>
      <c r="AH2057" s="421"/>
      <c r="AI2057" s="421"/>
      <c r="AJ2057" s="421"/>
      <c r="AK2057" s="421"/>
      <c r="AL2057" s="421"/>
    </row>
    <row r="2058" spans="1:38" hidden="1">
      <c r="A2058" s="408"/>
      <c r="B2058" s="83" t="e">
        <f t="array" ref="B2058">SUM(--(FREQUENCY(IF(C$2:C$3072=C2058, MATCH(D$2:D$3072, D$2:D$3072, 0)), ROW(D$2:D$3072)-ROW(D$2)+1) &gt; 0))</f>
        <v>#N/A</v>
      </c>
      <c r="C2058" s="408"/>
      <c r="D2058" s="408"/>
      <c r="E2058" s="408"/>
      <c r="F2058" s="408"/>
      <c r="G2058" s="408"/>
      <c r="H2058" s="408"/>
      <c r="I2058" s="408"/>
      <c r="J2058" s="408"/>
      <c r="K2058" s="408"/>
      <c r="L2058" s="408"/>
      <c r="M2058" s="408"/>
      <c r="N2058" s="408" t="str">
        <f t="shared" si="459"/>
        <v/>
      </c>
      <c r="O2058" s="408"/>
      <c r="P2058" s="408"/>
      <c r="Q2058" s="408"/>
      <c r="R2058" s="408"/>
      <c r="S2058" s="408"/>
      <c r="T2058" s="408"/>
      <c r="U2058" s="408"/>
      <c r="V2058" s="421"/>
      <c r="W2058" s="421"/>
      <c r="X2058" s="421"/>
      <c r="Y2058" s="421"/>
      <c r="Z2058" s="421"/>
      <c r="AA2058" s="421"/>
      <c r="AB2058" s="421"/>
      <c r="AC2058" s="421"/>
      <c r="AD2058" s="421"/>
      <c r="AE2058" s="421"/>
      <c r="AF2058" s="421"/>
      <c r="AG2058" s="421"/>
      <c r="AH2058" s="421"/>
      <c r="AI2058" s="421"/>
      <c r="AJ2058" s="421"/>
      <c r="AK2058" s="421"/>
      <c r="AL2058" s="421"/>
    </row>
    <row r="2059" spans="1:38" hidden="1">
      <c r="A2059" s="408"/>
      <c r="B2059" s="83" t="e">
        <f t="array" ref="B2059">SUM(--(FREQUENCY(IF(C$2:C$3072=C2059, MATCH(D$2:D$3072, D$2:D$3072, 0)), ROW(D$2:D$3072)-ROW(D$2)+1) &gt; 0))</f>
        <v>#N/A</v>
      </c>
      <c r="C2059" s="408"/>
      <c r="D2059" s="408"/>
      <c r="E2059" s="408"/>
      <c r="F2059" s="408"/>
      <c r="G2059" s="408"/>
      <c r="H2059" s="408"/>
      <c r="I2059" s="408"/>
      <c r="J2059" s="408"/>
      <c r="K2059" s="408"/>
      <c r="L2059" s="408"/>
      <c r="M2059" s="408"/>
      <c r="N2059" s="408" t="str">
        <f t="shared" si="459"/>
        <v/>
      </c>
      <c r="O2059" s="408"/>
      <c r="P2059" s="408"/>
      <c r="Q2059" s="408"/>
      <c r="R2059" s="408"/>
      <c r="S2059" s="408"/>
      <c r="T2059" s="408"/>
      <c r="U2059" s="408"/>
      <c r="V2059" s="421"/>
      <c r="W2059" s="421"/>
      <c r="X2059" s="421"/>
      <c r="Y2059" s="421"/>
      <c r="Z2059" s="421"/>
      <c r="AA2059" s="421"/>
      <c r="AB2059" s="421"/>
      <c r="AC2059" s="421"/>
      <c r="AD2059" s="421"/>
      <c r="AE2059" s="421"/>
      <c r="AF2059" s="421"/>
      <c r="AG2059" s="421"/>
      <c r="AH2059" s="421"/>
      <c r="AI2059" s="421"/>
      <c r="AJ2059" s="421"/>
      <c r="AK2059" s="421"/>
      <c r="AL2059" s="421"/>
    </row>
    <row r="2060" spans="1:38" hidden="1">
      <c r="A2060" s="408"/>
      <c r="B2060" s="83" t="e">
        <f t="array" ref="B2060">SUM(--(FREQUENCY(IF(C$2:C$3072=C2060, MATCH(D$2:D$3072, D$2:D$3072, 0)), ROW(D$2:D$3072)-ROW(D$2)+1) &gt; 0))</f>
        <v>#N/A</v>
      </c>
      <c r="C2060" s="408"/>
      <c r="D2060" s="408"/>
      <c r="E2060" s="408"/>
      <c r="F2060" s="408"/>
      <c r="G2060" s="408"/>
      <c r="H2060" s="408"/>
      <c r="I2060" s="408"/>
      <c r="J2060" s="408"/>
      <c r="K2060" s="408"/>
      <c r="L2060" s="408"/>
      <c r="M2060" s="408"/>
      <c r="N2060" s="408" t="str">
        <f t="shared" si="459"/>
        <v/>
      </c>
      <c r="O2060" s="408"/>
      <c r="P2060" s="408"/>
      <c r="Q2060" s="408"/>
      <c r="R2060" s="408"/>
      <c r="S2060" s="408"/>
      <c r="T2060" s="408"/>
      <c r="U2060" s="408"/>
      <c r="V2060" s="421"/>
      <c r="W2060" s="421"/>
      <c r="X2060" s="421"/>
      <c r="Y2060" s="421"/>
      <c r="Z2060" s="421"/>
      <c r="AA2060" s="421"/>
      <c r="AB2060" s="421"/>
      <c r="AC2060" s="421"/>
      <c r="AD2060" s="421"/>
      <c r="AE2060" s="421"/>
      <c r="AF2060" s="421"/>
      <c r="AG2060" s="421"/>
      <c r="AH2060" s="421"/>
      <c r="AI2060" s="421"/>
      <c r="AJ2060" s="421"/>
      <c r="AK2060" s="421"/>
      <c r="AL2060" s="421"/>
    </row>
    <row r="2061" spans="1:38" hidden="1">
      <c r="A2061" s="408"/>
      <c r="B2061" s="83" t="e">
        <f t="array" ref="B2061">SUM(--(FREQUENCY(IF(C$2:C$3072=C2061, MATCH(D$2:D$3072, D$2:D$3072, 0)), ROW(D$2:D$3072)-ROW(D$2)+1) &gt; 0))</f>
        <v>#N/A</v>
      </c>
      <c r="C2061" s="408"/>
      <c r="D2061" s="408"/>
      <c r="E2061" s="408"/>
      <c r="F2061" s="408"/>
      <c r="G2061" s="408"/>
      <c r="H2061" s="408"/>
      <c r="I2061" s="408"/>
      <c r="J2061" s="408"/>
      <c r="K2061" s="408"/>
      <c r="L2061" s="408"/>
      <c r="M2061" s="408"/>
      <c r="N2061" s="408" t="str">
        <f t="shared" si="459"/>
        <v/>
      </c>
      <c r="O2061" s="408"/>
      <c r="P2061" s="408"/>
      <c r="Q2061" s="408"/>
      <c r="R2061" s="408"/>
      <c r="S2061" s="408"/>
      <c r="T2061" s="408"/>
      <c r="U2061" s="408"/>
      <c r="V2061" s="421"/>
      <c r="W2061" s="421"/>
      <c r="X2061" s="421"/>
      <c r="Y2061" s="421"/>
      <c r="Z2061" s="421"/>
      <c r="AA2061" s="421"/>
      <c r="AB2061" s="421"/>
      <c r="AC2061" s="421"/>
      <c r="AD2061" s="421"/>
      <c r="AE2061" s="421"/>
      <c r="AF2061" s="421"/>
      <c r="AG2061" s="421"/>
      <c r="AH2061" s="421"/>
      <c r="AI2061" s="421"/>
      <c r="AJ2061" s="421"/>
      <c r="AK2061" s="421"/>
      <c r="AL2061" s="421"/>
    </row>
    <row r="2062" spans="1:38" hidden="1">
      <c r="A2062" s="408"/>
      <c r="B2062" s="83" t="e">
        <f t="array" ref="B2062">SUM(--(FREQUENCY(IF(C$2:C$3072=C2062, MATCH(D$2:D$3072, D$2:D$3072, 0)), ROW(D$2:D$3072)-ROW(D$2)+1) &gt; 0))</f>
        <v>#N/A</v>
      </c>
      <c r="C2062" s="408"/>
      <c r="D2062" s="408"/>
      <c r="E2062" s="408"/>
      <c r="F2062" s="408"/>
      <c r="G2062" s="408"/>
      <c r="H2062" s="408"/>
      <c r="I2062" s="408"/>
      <c r="J2062" s="408"/>
      <c r="K2062" s="408"/>
      <c r="L2062" s="408"/>
      <c r="M2062" s="408"/>
      <c r="N2062" s="408" t="str">
        <f t="shared" si="459"/>
        <v/>
      </c>
      <c r="O2062" s="408"/>
      <c r="P2062" s="408"/>
      <c r="Q2062" s="408"/>
      <c r="R2062" s="408"/>
      <c r="S2062" s="408"/>
      <c r="T2062" s="408"/>
      <c r="U2062" s="408"/>
      <c r="V2062" s="421"/>
      <c r="W2062" s="421"/>
      <c r="X2062" s="421"/>
      <c r="Y2062" s="421"/>
      <c r="Z2062" s="421"/>
      <c r="AA2062" s="421"/>
      <c r="AB2062" s="421"/>
      <c r="AC2062" s="421"/>
      <c r="AD2062" s="421"/>
      <c r="AE2062" s="421"/>
      <c r="AF2062" s="421"/>
      <c r="AG2062" s="421"/>
      <c r="AH2062" s="421"/>
      <c r="AI2062" s="421"/>
      <c r="AJ2062" s="421"/>
      <c r="AK2062" s="421"/>
      <c r="AL2062" s="421"/>
    </row>
    <row r="2063" spans="1:38" hidden="1">
      <c r="A2063" s="408"/>
      <c r="B2063" s="83" t="e">
        <f t="array" ref="B2063">SUM(--(FREQUENCY(IF(C$2:C$3072=C2063, MATCH(D$2:D$3072, D$2:D$3072, 0)), ROW(D$2:D$3072)-ROW(D$2)+1) &gt; 0))</f>
        <v>#N/A</v>
      </c>
      <c r="C2063" s="408"/>
      <c r="D2063" s="408"/>
      <c r="E2063" s="408"/>
      <c r="F2063" s="408"/>
      <c r="G2063" s="408"/>
      <c r="H2063" s="408"/>
      <c r="I2063" s="408"/>
      <c r="J2063" s="408"/>
      <c r="K2063" s="408"/>
      <c r="L2063" s="408"/>
      <c r="M2063" s="408"/>
      <c r="N2063" s="408" t="str">
        <f t="shared" si="459"/>
        <v/>
      </c>
      <c r="O2063" s="408"/>
      <c r="P2063" s="408"/>
      <c r="Q2063" s="408"/>
      <c r="R2063" s="408"/>
      <c r="S2063" s="408"/>
      <c r="T2063" s="408"/>
      <c r="U2063" s="408"/>
      <c r="V2063" s="421"/>
      <c r="W2063" s="421"/>
      <c r="X2063" s="421"/>
      <c r="Y2063" s="421"/>
      <c r="Z2063" s="421"/>
      <c r="AA2063" s="421"/>
      <c r="AB2063" s="421"/>
      <c r="AC2063" s="421"/>
      <c r="AD2063" s="421"/>
      <c r="AE2063" s="421"/>
      <c r="AF2063" s="421"/>
      <c r="AG2063" s="421"/>
      <c r="AH2063" s="421"/>
      <c r="AI2063" s="421"/>
      <c r="AJ2063" s="421"/>
      <c r="AK2063" s="421"/>
      <c r="AL2063" s="421"/>
    </row>
    <row r="2064" spans="1:38" hidden="1">
      <c r="A2064" s="408"/>
      <c r="B2064" s="83" t="e">
        <f t="array" ref="B2064">SUM(--(FREQUENCY(IF(C$2:C$3072=C2064, MATCH(D$2:D$3072, D$2:D$3072, 0)), ROW(D$2:D$3072)-ROW(D$2)+1) &gt; 0))</f>
        <v>#N/A</v>
      </c>
      <c r="C2064" s="408"/>
      <c r="D2064" s="408"/>
      <c r="E2064" s="408"/>
      <c r="F2064" s="408"/>
      <c r="G2064" s="408"/>
      <c r="H2064" s="408"/>
      <c r="I2064" s="408"/>
      <c r="J2064" s="408"/>
      <c r="K2064" s="408"/>
      <c r="L2064" s="408"/>
      <c r="M2064" s="408"/>
      <c r="N2064" s="408" t="str">
        <f t="shared" si="459"/>
        <v/>
      </c>
      <c r="O2064" s="408"/>
      <c r="P2064" s="408"/>
      <c r="Q2064" s="408"/>
      <c r="R2064" s="408"/>
      <c r="S2064" s="408"/>
      <c r="T2064" s="408"/>
      <c r="U2064" s="408"/>
      <c r="V2064" s="421"/>
      <c r="W2064" s="421"/>
      <c r="X2064" s="421"/>
      <c r="Y2064" s="421"/>
      <c r="Z2064" s="421"/>
      <c r="AA2064" s="421"/>
      <c r="AB2064" s="421"/>
      <c r="AC2064" s="421"/>
      <c r="AD2064" s="421"/>
      <c r="AE2064" s="421"/>
      <c r="AF2064" s="421"/>
      <c r="AG2064" s="421"/>
      <c r="AH2064" s="421"/>
      <c r="AI2064" s="421"/>
      <c r="AJ2064" s="421"/>
      <c r="AK2064" s="421"/>
      <c r="AL2064" s="421"/>
    </row>
    <row r="2065" spans="1:38" hidden="1">
      <c r="A2065" s="408"/>
      <c r="B2065" s="83" t="e">
        <f t="array" ref="B2065">SUM(--(FREQUENCY(IF(C$2:C$3072=C2065, MATCH(D$2:D$3072, D$2:D$3072, 0)), ROW(D$2:D$3072)-ROW(D$2)+1) &gt; 0))</f>
        <v>#N/A</v>
      </c>
      <c r="C2065" s="408"/>
      <c r="D2065" s="408"/>
      <c r="E2065" s="408"/>
      <c r="F2065" s="408"/>
      <c r="G2065" s="408"/>
      <c r="H2065" s="408"/>
      <c r="I2065" s="408"/>
      <c r="J2065" s="408"/>
      <c r="K2065" s="408"/>
      <c r="L2065" s="408"/>
      <c r="M2065" s="408"/>
      <c r="N2065" s="408" t="str">
        <f t="shared" si="459"/>
        <v/>
      </c>
      <c r="O2065" s="408"/>
      <c r="P2065" s="408"/>
      <c r="Q2065" s="408"/>
      <c r="R2065" s="408"/>
      <c r="S2065" s="408"/>
      <c r="T2065" s="408"/>
      <c r="U2065" s="408"/>
      <c r="V2065" s="421"/>
      <c r="W2065" s="421"/>
      <c r="X2065" s="421"/>
      <c r="Y2065" s="421"/>
      <c r="Z2065" s="421"/>
      <c r="AA2065" s="421"/>
      <c r="AB2065" s="421"/>
      <c r="AC2065" s="421"/>
      <c r="AD2065" s="421"/>
      <c r="AE2065" s="421"/>
      <c r="AF2065" s="421"/>
      <c r="AG2065" s="421"/>
      <c r="AH2065" s="421"/>
      <c r="AI2065" s="421"/>
      <c r="AJ2065" s="421"/>
      <c r="AK2065" s="421"/>
      <c r="AL2065" s="421"/>
    </row>
    <row r="2066" spans="1:38" hidden="1">
      <c r="A2066" s="408"/>
      <c r="B2066" s="83" t="e">
        <f t="array" ref="B2066">SUM(--(FREQUENCY(IF(C$2:C$3072=C2066, MATCH(D$2:D$3072, D$2:D$3072, 0)), ROW(D$2:D$3072)-ROW(D$2)+1) &gt; 0))</f>
        <v>#N/A</v>
      </c>
      <c r="C2066" s="408"/>
      <c r="D2066" s="408"/>
      <c r="E2066" s="408"/>
      <c r="F2066" s="408"/>
      <c r="G2066" s="408"/>
      <c r="H2066" s="408"/>
      <c r="I2066" s="408"/>
      <c r="J2066" s="408"/>
      <c r="K2066" s="408"/>
      <c r="L2066" s="408"/>
      <c r="M2066" s="408"/>
      <c r="N2066" s="408" t="str">
        <f t="shared" si="459"/>
        <v/>
      </c>
      <c r="O2066" s="408"/>
      <c r="P2066" s="408"/>
      <c r="Q2066" s="408"/>
      <c r="R2066" s="408"/>
      <c r="S2066" s="408"/>
      <c r="T2066" s="408"/>
      <c r="U2066" s="408"/>
      <c r="V2066" s="421"/>
      <c r="W2066" s="421"/>
      <c r="X2066" s="421"/>
      <c r="Y2066" s="421"/>
      <c r="Z2066" s="421"/>
      <c r="AA2066" s="421"/>
      <c r="AB2066" s="421"/>
      <c r="AC2066" s="421"/>
      <c r="AD2066" s="421"/>
      <c r="AE2066" s="421"/>
      <c r="AF2066" s="421"/>
      <c r="AG2066" s="421"/>
      <c r="AH2066" s="421"/>
      <c r="AI2066" s="421"/>
      <c r="AJ2066" s="421"/>
      <c r="AK2066" s="421"/>
      <c r="AL2066" s="421"/>
    </row>
    <row r="2067" spans="1:38" hidden="1">
      <c r="A2067" s="408"/>
      <c r="B2067" s="83" t="e">
        <f t="array" ref="B2067">SUM(--(FREQUENCY(IF(C$2:C$3072=C2067, MATCH(D$2:D$3072, D$2:D$3072, 0)), ROW(D$2:D$3072)-ROW(D$2)+1) &gt; 0))</f>
        <v>#N/A</v>
      </c>
      <c r="C2067" s="408"/>
      <c r="D2067" s="408"/>
      <c r="E2067" s="408"/>
      <c r="F2067" s="408"/>
      <c r="G2067" s="408"/>
      <c r="H2067" s="408"/>
      <c r="I2067" s="408"/>
      <c r="J2067" s="408"/>
      <c r="K2067" s="408"/>
      <c r="L2067" s="408"/>
      <c r="M2067" s="408"/>
      <c r="N2067" s="408" t="str">
        <f t="shared" si="459"/>
        <v/>
      </c>
      <c r="O2067" s="408"/>
      <c r="P2067" s="408"/>
      <c r="Q2067" s="408"/>
      <c r="R2067" s="408"/>
      <c r="S2067" s="408"/>
      <c r="T2067" s="408"/>
      <c r="U2067" s="408"/>
      <c r="V2067" s="421"/>
      <c r="W2067" s="421"/>
      <c r="X2067" s="421"/>
      <c r="Y2067" s="421"/>
      <c r="Z2067" s="421"/>
      <c r="AA2067" s="421"/>
      <c r="AB2067" s="421"/>
      <c r="AC2067" s="421"/>
      <c r="AD2067" s="421"/>
      <c r="AE2067" s="421"/>
      <c r="AF2067" s="421"/>
      <c r="AG2067" s="421"/>
      <c r="AH2067" s="421"/>
      <c r="AI2067" s="421"/>
      <c r="AJ2067" s="421"/>
      <c r="AK2067" s="421"/>
      <c r="AL2067" s="421"/>
    </row>
    <row r="2068" spans="1:38" hidden="1">
      <c r="A2068" s="408"/>
      <c r="B2068" s="83" t="e">
        <f t="array" ref="B2068">SUM(--(FREQUENCY(IF(C$2:C$3072=C2068, MATCH(D$2:D$3072, D$2:D$3072, 0)), ROW(D$2:D$3072)-ROW(D$2)+1) &gt; 0))</f>
        <v>#N/A</v>
      </c>
      <c r="C2068" s="408"/>
      <c r="D2068" s="408"/>
      <c r="E2068" s="408"/>
      <c r="F2068" s="408"/>
      <c r="G2068" s="408"/>
      <c r="H2068" s="408"/>
      <c r="I2068" s="408"/>
      <c r="J2068" s="408"/>
      <c r="K2068" s="408"/>
      <c r="L2068" s="408"/>
      <c r="M2068" s="408"/>
      <c r="N2068" s="408" t="str">
        <f t="shared" si="459"/>
        <v/>
      </c>
      <c r="O2068" s="408"/>
      <c r="P2068" s="408"/>
      <c r="Q2068" s="408"/>
      <c r="R2068" s="408"/>
      <c r="S2068" s="408"/>
      <c r="T2068" s="408"/>
      <c r="U2068" s="408"/>
      <c r="V2068" s="421"/>
      <c r="W2068" s="421"/>
      <c r="X2068" s="421"/>
      <c r="Y2068" s="421"/>
      <c r="Z2068" s="421"/>
      <c r="AA2068" s="421"/>
      <c r="AB2068" s="421"/>
      <c r="AC2068" s="421"/>
      <c r="AD2068" s="421"/>
      <c r="AE2068" s="421"/>
      <c r="AF2068" s="421"/>
      <c r="AG2068" s="421"/>
      <c r="AH2068" s="421"/>
      <c r="AI2068" s="421"/>
      <c r="AJ2068" s="421"/>
      <c r="AK2068" s="421"/>
      <c r="AL2068" s="421"/>
    </row>
    <row r="2069" spans="1:38" hidden="1">
      <c r="A2069" s="408"/>
      <c r="B2069" s="83" t="e">
        <f t="array" ref="B2069">SUM(--(FREQUENCY(IF(C$2:C$3072=C2069, MATCH(D$2:D$3072, D$2:D$3072, 0)), ROW(D$2:D$3072)-ROW(D$2)+1) &gt; 0))</f>
        <v>#N/A</v>
      </c>
      <c r="C2069" s="408"/>
      <c r="D2069" s="408"/>
      <c r="E2069" s="408"/>
      <c r="F2069" s="408"/>
      <c r="G2069" s="408"/>
      <c r="H2069" s="408"/>
      <c r="I2069" s="408"/>
      <c r="J2069" s="408"/>
      <c r="K2069" s="408"/>
      <c r="L2069" s="408"/>
      <c r="M2069" s="408"/>
      <c r="N2069" s="408" t="str">
        <f t="shared" si="459"/>
        <v/>
      </c>
      <c r="O2069" s="408"/>
      <c r="P2069" s="408"/>
      <c r="Q2069" s="408"/>
      <c r="R2069" s="408"/>
      <c r="S2069" s="408"/>
      <c r="T2069" s="408"/>
      <c r="U2069" s="408"/>
      <c r="V2069" s="421"/>
      <c r="W2069" s="421"/>
      <c r="X2069" s="421"/>
      <c r="Y2069" s="421"/>
      <c r="Z2069" s="421"/>
      <c r="AA2069" s="421"/>
      <c r="AB2069" s="421"/>
      <c r="AC2069" s="421"/>
      <c r="AD2069" s="421"/>
      <c r="AE2069" s="421"/>
      <c r="AF2069" s="421"/>
      <c r="AG2069" s="421"/>
      <c r="AH2069" s="421"/>
      <c r="AI2069" s="421"/>
      <c r="AJ2069" s="421"/>
      <c r="AK2069" s="421"/>
      <c r="AL2069" s="421"/>
    </row>
    <row r="2070" spans="1:38" hidden="1">
      <c r="A2070" s="408"/>
      <c r="B2070" s="83" t="e">
        <f t="array" ref="B2070">SUM(--(FREQUENCY(IF(C$2:C$3072=C2070, MATCH(D$2:D$3072, D$2:D$3072, 0)), ROW(D$2:D$3072)-ROW(D$2)+1) &gt; 0))</f>
        <v>#N/A</v>
      </c>
      <c r="C2070" s="408"/>
      <c r="D2070" s="408"/>
      <c r="E2070" s="408"/>
      <c r="F2070" s="408"/>
      <c r="G2070" s="408"/>
      <c r="H2070" s="408"/>
      <c r="I2070" s="408"/>
      <c r="J2070" s="408"/>
      <c r="K2070" s="408"/>
      <c r="L2070" s="408"/>
      <c r="M2070" s="408"/>
      <c r="N2070" s="408" t="str">
        <f t="shared" si="459"/>
        <v/>
      </c>
      <c r="O2070" s="408"/>
      <c r="P2070" s="408"/>
      <c r="Q2070" s="408"/>
      <c r="R2070" s="408"/>
      <c r="S2070" s="408"/>
      <c r="T2070" s="408"/>
      <c r="U2070" s="408"/>
      <c r="V2070" s="421"/>
      <c r="W2070" s="421"/>
      <c r="X2070" s="421"/>
      <c r="Y2070" s="421"/>
      <c r="Z2070" s="421"/>
      <c r="AA2070" s="421"/>
      <c r="AB2070" s="421"/>
      <c r="AC2070" s="421"/>
      <c r="AD2070" s="421"/>
      <c r="AE2070" s="421"/>
      <c r="AF2070" s="421"/>
      <c r="AG2070" s="421"/>
      <c r="AH2070" s="421"/>
      <c r="AI2070" s="421"/>
      <c r="AJ2070" s="421"/>
      <c r="AK2070" s="421"/>
      <c r="AL2070" s="421"/>
    </row>
    <row r="2071" spans="1:38" hidden="1">
      <c r="A2071" s="408"/>
      <c r="B2071" s="83" t="e">
        <f t="array" ref="B2071">SUM(--(FREQUENCY(IF(C$2:C$3072=C2071, MATCH(D$2:D$3072, D$2:D$3072, 0)), ROW(D$2:D$3072)-ROW(D$2)+1) &gt; 0))</f>
        <v>#N/A</v>
      </c>
      <c r="C2071" s="408"/>
      <c r="D2071" s="408"/>
      <c r="E2071" s="408"/>
      <c r="F2071" s="408"/>
      <c r="G2071" s="408"/>
      <c r="H2071" s="408"/>
      <c r="I2071" s="408"/>
      <c r="J2071" s="408"/>
      <c r="K2071" s="408"/>
      <c r="L2071" s="408"/>
      <c r="M2071" s="408"/>
      <c r="N2071" s="408" t="str">
        <f t="shared" si="459"/>
        <v/>
      </c>
      <c r="O2071" s="408"/>
      <c r="P2071" s="408"/>
      <c r="Q2071" s="408"/>
      <c r="R2071" s="408"/>
      <c r="S2071" s="408"/>
      <c r="T2071" s="408"/>
      <c r="U2071" s="408"/>
      <c r="V2071" s="421"/>
      <c r="W2071" s="421"/>
      <c r="X2071" s="421"/>
      <c r="Y2071" s="421"/>
      <c r="Z2071" s="421"/>
      <c r="AA2071" s="421"/>
      <c r="AB2071" s="421"/>
      <c r="AC2071" s="421"/>
      <c r="AD2071" s="421"/>
      <c r="AE2071" s="421"/>
      <c r="AF2071" s="421"/>
      <c r="AG2071" s="421"/>
      <c r="AH2071" s="421"/>
      <c r="AI2071" s="421"/>
      <c r="AJ2071" s="421"/>
      <c r="AK2071" s="421"/>
      <c r="AL2071" s="421"/>
    </row>
    <row r="2072" spans="1:38" hidden="1">
      <c r="A2072" s="408"/>
      <c r="B2072" s="83" t="e">
        <f t="array" ref="B2072">SUM(--(FREQUENCY(IF(C$2:C$3072=C2072, MATCH(D$2:D$3072, D$2:D$3072, 0)), ROW(D$2:D$3072)-ROW(D$2)+1) &gt; 0))</f>
        <v>#N/A</v>
      </c>
      <c r="C2072" s="408"/>
      <c r="D2072" s="408"/>
      <c r="E2072" s="408"/>
      <c r="F2072" s="408"/>
      <c r="G2072" s="408"/>
      <c r="H2072" s="408"/>
      <c r="I2072" s="408"/>
      <c r="J2072" s="408"/>
      <c r="K2072" s="408"/>
      <c r="L2072" s="408"/>
      <c r="M2072" s="408"/>
      <c r="N2072" s="408" t="str">
        <f t="shared" si="459"/>
        <v/>
      </c>
      <c r="O2072" s="408"/>
      <c r="P2072" s="408"/>
      <c r="Q2072" s="408"/>
      <c r="R2072" s="408"/>
      <c r="S2072" s="408"/>
      <c r="T2072" s="408"/>
      <c r="U2072" s="408"/>
      <c r="V2072" s="421"/>
      <c r="W2072" s="421"/>
      <c r="X2072" s="421"/>
      <c r="Y2072" s="421"/>
      <c r="Z2072" s="421"/>
      <c r="AA2072" s="421"/>
      <c r="AB2072" s="421"/>
      <c r="AC2072" s="421"/>
      <c r="AD2072" s="421"/>
      <c r="AE2072" s="421"/>
      <c r="AF2072" s="421"/>
      <c r="AG2072" s="421"/>
      <c r="AH2072" s="421"/>
      <c r="AI2072" s="421"/>
      <c r="AJ2072" s="421"/>
      <c r="AK2072" s="421"/>
      <c r="AL2072" s="421"/>
    </row>
    <row r="2073" spans="1:38" hidden="1">
      <c r="A2073" s="408"/>
      <c r="B2073" s="83" t="e">
        <f t="array" ref="B2073">SUM(--(FREQUENCY(IF(C$2:C$3072=C2073, MATCH(D$2:D$3072, D$2:D$3072, 0)), ROW(D$2:D$3072)-ROW(D$2)+1) &gt; 0))</f>
        <v>#N/A</v>
      </c>
      <c r="C2073" s="408"/>
      <c r="D2073" s="408"/>
      <c r="E2073" s="408"/>
      <c r="F2073" s="408"/>
      <c r="G2073" s="408"/>
      <c r="H2073" s="408"/>
      <c r="I2073" s="408"/>
      <c r="J2073" s="408"/>
      <c r="K2073" s="408"/>
      <c r="L2073" s="408"/>
      <c r="M2073" s="408"/>
      <c r="N2073" s="408" t="str">
        <f t="shared" si="459"/>
        <v/>
      </c>
      <c r="O2073" s="408"/>
      <c r="P2073" s="408"/>
      <c r="Q2073" s="408"/>
      <c r="R2073" s="408"/>
      <c r="S2073" s="408"/>
      <c r="T2073" s="408"/>
      <c r="U2073" s="408"/>
      <c r="V2073" s="421"/>
      <c r="W2073" s="421"/>
      <c r="X2073" s="421"/>
      <c r="Y2073" s="421"/>
      <c r="Z2073" s="421"/>
      <c r="AA2073" s="421"/>
      <c r="AB2073" s="421"/>
      <c r="AC2073" s="421"/>
      <c r="AD2073" s="421"/>
      <c r="AE2073" s="421"/>
      <c r="AF2073" s="421"/>
      <c r="AG2073" s="421"/>
      <c r="AH2073" s="421"/>
      <c r="AI2073" s="421"/>
      <c r="AJ2073" s="421"/>
      <c r="AK2073" s="421"/>
      <c r="AL2073" s="421"/>
    </row>
    <row r="2074" spans="1:38" hidden="1">
      <c r="A2074" s="408"/>
      <c r="B2074" s="83" t="e">
        <f t="array" ref="B2074">SUM(--(FREQUENCY(IF(C$2:C$3072=C2074, MATCH(D$2:D$3072, D$2:D$3072, 0)), ROW(D$2:D$3072)-ROW(D$2)+1) &gt; 0))</f>
        <v>#N/A</v>
      </c>
      <c r="C2074" s="408"/>
      <c r="D2074" s="408"/>
      <c r="E2074" s="408"/>
      <c r="F2074" s="408"/>
      <c r="G2074" s="408"/>
      <c r="H2074" s="408"/>
      <c r="I2074" s="408"/>
      <c r="J2074" s="408"/>
      <c r="K2074" s="408"/>
      <c r="L2074" s="408"/>
      <c r="M2074" s="408"/>
      <c r="N2074" s="408" t="str">
        <f t="shared" si="459"/>
        <v/>
      </c>
      <c r="O2074" s="408"/>
      <c r="P2074" s="408"/>
      <c r="Q2074" s="408"/>
      <c r="R2074" s="408"/>
      <c r="S2074" s="408"/>
      <c r="T2074" s="408"/>
      <c r="U2074" s="408"/>
      <c r="V2074" s="421"/>
      <c r="W2074" s="421"/>
      <c r="X2074" s="421"/>
      <c r="Y2074" s="421"/>
      <c r="Z2074" s="421"/>
      <c r="AA2074" s="421"/>
      <c r="AB2074" s="421"/>
      <c r="AC2074" s="421"/>
      <c r="AD2074" s="421"/>
      <c r="AE2074" s="421"/>
      <c r="AF2074" s="421"/>
      <c r="AG2074" s="421"/>
      <c r="AH2074" s="421"/>
      <c r="AI2074" s="421"/>
      <c r="AJ2074" s="421"/>
      <c r="AK2074" s="421"/>
      <c r="AL2074" s="421"/>
    </row>
    <row r="2075" spans="1:38" hidden="1">
      <c r="A2075" s="408"/>
      <c r="B2075" s="83" t="e">
        <f t="array" ref="B2075">SUM(--(FREQUENCY(IF(C$2:C$3072=C2075, MATCH(D$2:D$3072, D$2:D$3072, 0)), ROW(D$2:D$3072)-ROW(D$2)+1) &gt; 0))</f>
        <v>#N/A</v>
      </c>
      <c r="C2075" s="408"/>
      <c r="D2075" s="408"/>
      <c r="E2075" s="408"/>
      <c r="F2075" s="408"/>
      <c r="G2075" s="408"/>
      <c r="H2075" s="408"/>
      <c r="I2075" s="408"/>
      <c r="J2075" s="408"/>
      <c r="K2075" s="408"/>
      <c r="L2075" s="408"/>
      <c r="M2075" s="408"/>
      <c r="N2075" s="408" t="str">
        <f t="shared" si="459"/>
        <v/>
      </c>
      <c r="O2075" s="408"/>
      <c r="P2075" s="408"/>
      <c r="Q2075" s="408"/>
      <c r="R2075" s="408"/>
      <c r="S2075" s="408"/>
      <c r="T2075" s="408"/>
      <c r="U2075" s="408"/>
      <c r="V2075" s="421"/>
      <c r="W2075" s="421"/>
      <c r="X2075" s="421"/>
      <c r="Y2075" s="421"/>
      <c r="Z2075" s="421"/>
      <c r="AA2075" s="421"/>
      <c r="AB2075" s="421"/>
      <c r="AC2075" s="421"/>
      <c r="AD2075" s="421"/>
      <c r="AE2075" s="421"/>
      <c r="AF2075" s="421"/>
      <c r="AG2075" s="421"/>
      <c r="AH2075" s="421"/>
      <c r="AI2075" s="421"/>
      <c r="AJ2075" s="421"/>
      <c r="AK2075" s="421"/>
      <c r="AL2075" s="421"/>
    </row>
    <row r="2076" spans="1:38" hidden="1">
      <c r="A2076" s="408"/>
      <c r="B2076" s="83" t="e">
        <f t="array" ref="B2076">SUM(--(FREQUENCY(IF(C$2:C$3072=C2076, MATCH(D$2:D$3072, D$2:D$3072, 0)), ROW(D$2:D$3072)-ROW(D$2)+1) &gt; 0))</f>
        <v>#N/A</v>
      </c>
      <c r="C2076" s="408"/>
      <c r="D2076" s="408"/>
      <c r="E2076" s="408"/>
      <c r="F2076" s="408"/>
      <c r="G2076" s="408"/>
      <c r="H2076" s="408"/>
      <c r="I2076" s="408"/>
      <c r="J2076" s="408"/>
      <c r="K2076" s="408"/>
      <c r="L2076" s="408"/>
      <c r="M2076" s="408"/>
      <c r="N2076" s="408" t="str">
        <f t="shared" si="459"/>
        <v/>
      </c>
      <c r="O2076" s="408"/>
      <c r="P2076" s="408"/>
      <c r="Q2076" s="408"/>
      <c r="R2076" s="408"/>
      <c r="S2076" s="408"/>
      <c r="T2076" s="408"/>
      <c r="U2076" s="408"/>
      <c r="V2076" s="421"/>
      <c r="W2076" s="421"/>
      <c r="X2076" s="421"/>
      <c r="Y2076" s="421"/>
      <c r="Z2076" s="421"/>
      <c r="AA2076" s="421"/>
      <c r="AB2076" s="421"/>
      <c r="AC2076" s="421"/>
      <c r="AD2076" s="421"/>
      <c r="AE2076" s="421"/>
      <c r="AF2076" s="421"/>
      <c r="AG2076" s="421"/>
      <c r="AH2076" s="421"/>
      <c r="AI2076" s="421"/>
      <c r="AJ2076" s="421"/>
      <c r="AK2076" s="421"/>
      <c r="AL2076" s="421"/>
    </row>
    <row r="2077" spans="1:38" hidden="1">
      <c r="A2077" s="408"/>
      <c r="B2077" s="83" t="e">
        <f t="array" ref="B2077">SUM(--(FREQUENCY(IF(C$2:C$3072=C2077, MATCH(D$2:D$3072, D$2:D$3072, 0)), ROW(D$2:D$3072)-ROW(D$2)+1) &gt; 0))</f>
        <v>#N/A</v>
      </c>
      <c r="C2077" s="408"/>
      <c r="D2077" s="408"/>
      <c r="E2077" s="408"/>
      <c r="F2077" s="408"/>
      <c r="G2077" s="408"/>
      <c r="H2077" s="408"/>
      <c r="I2077" s="408"/>
      <c r="J2077" s="408"/>
      <c r="K2077" s="408"/>
      <c r="L2077" s="408"/>
      <c r="M2077" s="408"/>
      <c r="N2077" s="408" t="str">
        <f t="shared" si="459"/>
        <v/>
      </c>
      <c r="O2077" s="408"/>
      <c r="P2077" s="408"/>
      <c r="Q2077" s="408"/>
      <c r="R2077" s="408"/>
      <c r="S2077" s="408"/>
      <c r="T2077" s="408"/>
      <c r="U2077" s="408"/>
      <c r="V2077" s="421"/>
      <c r="W2077" s="421"/>
      <c r="X2077" s="421"/>
      <c r="Y2077" s="421"/>
      <c r="Z2077" s="421"/>
      <c r="AA2077" s="421"/>
      <c r="AB2077" s="421"/>
      <c r="AC2077" s="421"/>
      <c r="AD2077" s="421"/>
      <c r="AE2077" s="421"/>
      <c r="AF2077" s="421"/>
      <c r="AG2077" s="421"/>
      <c r="AH2077" s="421"/>
      <c r="AI2077" s="421"/>
      <c r="AJ2077" s="421"/>
      <c r="AK2077" s="421"/>
      <c r="AL2077" s="421"/>
    </row>
    <row r="2078" spans="1:38" hidden="1">
      <c r="A2078" s="408"/>
      <c r="B2078" s="83" t="e">
        <f t="array" ref="B2078">SUM(--(FREQUENCY(IF(C$2:C$3072=C2078, MATCH(D$2:D$3072, D$2:D$3072, 0)), ROW(D$2:D$3072)-ROW(D$2)+1) &gt; 0))</f>
        <v>#N/A</v>
      </c>
      <c r="C2078" s="408"/>
      <c r="D2078" s="408"/>
      <c r="E2078" s="408"/>
      <c r="F2078" s="408"/>
      <c r="G2078" s="408"/>
      <c r="H2078" s="408"/>
      <c r="I2078" s="408"/>
      <c r="J2078" s="408"/>
      <c r="K2078" s="408"/>
      <c r="L2078" s="408"/>
      <c r="M2078" s="408"/>
      <c r="N2078" s="408" t="str">
        <f t="shared" si="459"/>
        <v/>
      </c>
      <c r="O2078" s="408"/>
      <c r="P2078" s="408"/>
      <c r="Q2078" s="408"/>
      <c r="R2078" s="408"/>
      <c r="S2078" s="408"/>
      <c r="T2078" s="408"/>
      <c r="U2078" s="408"/>
      <c r="V2078" s="421"/>
      <c r="W2078" s="421"/>
      <c r="X2078" s="421"/>
      <c r="Y2078" s="421"/>
      <c r="Z2078" s="421"/>
      <c r="AA2078" s="421"/>
      <c r="AB2078" s="421"/>
      <c r="AC2078" s="421"/>
      <c r="AD2078" s="421"/>
      <c r="AE2078" s="421"/>
      <c r="AF2078" s="421"/>
      <c r="AG2078" s="421"/>
      <c r="AH2078" s="421"/>
      <c r="AI2078" s="421"/>
      <c r="AJ2078" s="421"/>
      <c r="AK2078" s="421"/>
      <c r="AL2078" s="421"/>
    </row>
    <row r="2079" spans="1:38" hidden="1">
      <c r="A2079" s="408"/>
      <c r="B2079" s="83" t="e">
        <f t="array" ref="B2079">SUM(--(FREQUENCY(IF(C$2:C$3072=C2079, MATCH(D$2:D$3072, D$2:D$3072, 0)), ROW(D$2:D$3072)-ROW(D$2)+1) &gt; 0))</f>
        <v>#N/A</v>
      </c>
      <c r="C2079" s="408"/>
      <c r="D2079" s="408"/>
      <c r="E2079" s="408"/>
      <c r="F2079" s="408"/>
      <c r="G2079" s="408"/>
      <c r="H2079" s="408"/>
      <c r="I2079" s="408"/>
      <c r="J2079" s="408"/>
      <c r="K2079" s="408"/>
      <c r="L2079" s="408"/>
      <c r="M2079" s="408"/>
      <c r="N2079" s="408" t="str">
        <f t="shared" si="459"/>
        <v/>
      </c>
      <c r="O2079" s="408"/>
      <c r="P2079" s="408"/>
      <c r="Q2079" s="408"/>
      <c r="R2079" s="408"/>
      <c r="S2079" s="408"/>
      <c r="T2079" s="408"/>
      <c r="U2079" s="408"/>
      <c r="V2079" s="421"/>
      <c r="W2079" s="421"/>
      <c r="X2079" s="421"/>
      <c r="Y2079" s="421"/>
      <c r="Z2079" s="421"/>
      <c r="AA2079" s="421"/>
      <c r="AB2079" s="421"/>
      <c r="AC2079" s="421"/>
      <c r="AD2079" s="421"/>
      <c r="AE2079" s="421"/>
      <c r="AF2079" s="421"/>
      <c r="AG2079" s="421"/>
      <c r="AH2079" s="421"/>
      <c r="AI2079" s="421"/>
      <c r="AJ2079" s="421"/>
      <c r="AK2079" s="421"/>
      <c r="AL2079" s="421"/>
    </row>
    <row r="2080" spans="1:38" hidden="1">
      <c r="A2080" s="408"/>
      <c r="B2080" s="83" t="e">
        <f t="array" ref="B2080">SUM(--(FREQUENCY(IF(C$2:C$3072=C2080, MATCH(D$2:D$3072, D$2:D$3072, 0)), ROW(D$2:D$3072)-ROW(D$2)+1) &gt; 0))</f>
        <v>#N/A</v>
      </c>
      <c r="C2080" s="408"/>
      <c r="D2080" s="408"/>
      <c r="E2080" s="408"/>
      <c r="F2080" s="408"/>
      <c r="G2080" s="408"/>
      <c r="H2080" s="408"/>
      <c r="I2080" s="408"/>
      <c r="J2080" s="408"/>
      <c r="K2080" s="408"/>
      <c r="L2080" s="408"/>
      <c r="M2080" s="408"/>
      <c r="N2080" s="408" t="str">
        <f t="shared" si="459"/>
        <v/>
      </c>
      <c r="O2080" s="408"/>
      <c r="P2080" s="408"/>
      <c r="Q2080" s="408"/>
      <c r="R2080" s="408"/>
      <c r="S2080" s="408"/>
      <c r="T2080" s="408"/>
      <c r="U2080" s="408"/>
      <c r="V2080" s="421"/>
      <c r="W2080" s="421"/>
      <c r="X2080" s="421"/>
      <c r="Y2080" s="421"/>
      <c r="Z2080" s="421"/>
      <c r="AA2080" s="421"/>
      <c r="AB2080" s="421"/>
      <c r="AC2080" s="421"/>
      <c r="AD2080" s="421"/>
      <c r="AE2080" s="421"/>
      <c r="AF2080" s="421"/>
      <c r="AG2080" s="421"/>
      <c r="AH2080" s="421"/>
      <c r="AI2080" s="421"/>
      <c r="AJ2080" s="421"/>
      <c r="AK2080" s="421"/>
      <c r="AL2080" s="421"/>
    </row>
    <row r="2081" spans="1:38" hidden="1">
      <c r="A2081" s="408"/>
      <c r="B2081" s="83" t="e">
        <f t="array" ref="B2081">SUM(--(FREQUENCY(IF(C$2:C$3072=C2081, MATCH(D$2:D$3072, D$2:D$3072, 0)), ROW(D$2:D$3072)-ROW(D$2)+1) &gt; 0))</f>
        <v>#N/A</v>
      </c>
      <c r="C2081" s="408"/>
      <c r="D2081" s="408"/>
      <c r="E2081" s="408"/>
      <c r="F2081" s="408"/>
      <c r="G2081" s="408"/>
      <c r="H2081" s="408"/>
      <c r="I2081" s="408"/>
      <c r="J2081" s="408"/>
      <c r="K2081" s="408"/>
      <c r="L2081" s="408"/>
      <c r="M2081" s="408"/>
      <c r="N2081" s="408" t="str">
        <f t="shared" si="459"/>
        <v/>
      </c>
      <c r="O2081" s="408"/>
      <c r="P2081" s="408"/>
      <c r="Q2081" s="408"/>
      <c r="R2081" s="408"/>
      <c r="S2081" s="408"/>
      <c r="T2081" s="408"/>
      <c r="U2081" s="408"/>
      <c r="V2081" s="421"/>
      <c r="W2081" s="421"/>
      <c r="X2081" s="421"/>
      <c r="Y2081" s="421"/>
      <c r="Z2081" s="421"/>
      <c r="AA2081" s="421"/>
      <c r="AB2081" s="421"/>
      <c r="AC2081" s="421"/>
      <c r="AD2081" s="421"/>
      <c r="AE2081" s="421"/>
      <c r="AF2081" s="421"/>
      <c r="AG2081" s="421"/>
      <c r="AH2081" s="421"/>
      <c r="AI2081" s="421"/>
      <c r="AJ2081" s="421"/>
      <c r="AK2081" s="421"/>
      <c r="AL2081" s="421"/>
    </row>
    <row r="2082" spans="1:38" hidden="1">
      <c r="A2082" s="408"/>
      <c r="B2082" s="83" t="e">
        <f t="array" ref="B2082">SUM(--(FREQUENCY(IF(C$2:C$3072=C2082, MATCH(D$2:D$3072, D$2:D$3072, 0)), ROW(D$2:D$3072)-ROW(D$2)+1) &gt; 0))</f>
        <v>#N/A</v>
      </c>
      <c r="C2082" s="408"/>
      <c r="D2082" s="408"/>
      <c r="E2082" s="408"/>
      <c r="F2082" s="408"/>
      <c r="G2082" s="408"/>
      <c r="H2082" s="408"/>
      <c r="I2082" s="408"/>
      <c r="J2082" s="408"/>
      <c r="K2082" s="408"/>
      <c r="L2082" s="408"/>
      <c r="M2082" s="408"/>
      <c r="N2082" s="408" t="str">
        <f t="shared" si="459"/>
        <v/>
      </c>
      <c r="O2082" s="408"/>
      <c r="P2082" s="408"/>
      <c r="Q2082" s="408"/>
      <c r="R2082" s="408"/>
      <c r="S2082" s="408"/>
      <c r="T2082" s="408"/>
      <c r="U2082" s="408"/>
      <c r="V2082" s="421"/>
      <c r="W2082" s="421"/>
      <c r="X2082" s="421"/>
      <c r="Y2082" s="421"/>
      <c r="Z2082" s="421"/>
      <c r="AA2082" s="421"/>
      <c r="AB2082" s="421"/>
      <c r="AC2082" s="421"/>
      <c r="AD2082" s="421"/>
      <c r="AE2082" s="421"/>
      <c r="AF2082" s="421"/>
      <c r="AG2082" s="421"/>
      <c r="AH2082" s="421"/>
      <c r="AI2082" s="421"/>
      <c r="AJ2082" s="421"/>
      <c r="AK2082" s="421"/>
      <c r="AL2082" s="421"/>
    </row>
    <row r="2083" spans="1:38" hidden="1">
      <c r="A2083" s="408"/>
      <c r="B2083" s="83" t="e">
        <f t="array" ref="B2083">SUM(--(FREQUENCY(IF(C$2:C$3072=C2083, MATCH(D$2:D$3072, D$2:D$3072, 0)), ROW(D$2:D$3072)-ROW(D$2)+1) &gt; 0))</f>
        <v>#N/A</v>
      </c>
      <c r="C2083" s="408"/>
      <c r="D2083" s="408"/>
      <c r="E2083" s="408"/>
      <c r="F2083" s="408"/>
      <c r="G2083" s="408"/>
      <c r="H2083" s="408"/>
      <c r="I2083" s="408"/>
      <c r="J2083" s="408"/>
      <c r="K2083" s="408"/>
      <c r="L2083" s="408"/>
      <c r="M2083" s="408"/>
      <c r="N2083" s="408" t="str">
        <f t="shared" si="459"/>
        <v/>
      </c>
      <c r="O2083" s="408"/>
      <c r="P2083" s="408"/>
      <c r="Q2083" s="408"/>
      <c r="R2083" s="408"/>
      <c r="S2083" s="408"/>
      <c r="T2083" s="408"/>
      <c r="U2083" s="408"/>
      <c r="V2083" s="421"/>
      <c r="W2083" s="421"/>
      <c r="X2083" s="421"/>
      <c r="Y2083" s="421"/>
      <c r="Z2083" s="421"/>
      <c r="AA2083" s="421"/>
      <c r="AB2083" s="421"/>
      <c r="AC2083" s="421"/>
      <c r="AD2083" s="421"/>
      <c r="AE2083" s="421"/>
      <c r="AF2083" s="421"/>
      <c r="AG2083" s="421"/>
      <c r="AH2083" s="421"/>
      <c r="AI2083" s="421"/>
      <c r="AJ2083" s="421"/>
      <c r="AK2083" s="421"/>
      <c r="AL2083" s="421"/>
    </row>
    <row r="2084" spans="1:38" hidden="1">
      <c r="A2084" s="408"/>
      <c r="B2084" s="83" t="e">
        <f t="array" ref="B2084">SUM(--(FREQUENCY(IF(C$2:C$3072=C2084, MATCH(D$2:D$3072, D$2:D$3072, 0)), ROW(D$2:D$3072)-ROW(D$2)+1) &gt; 0))</f>
        <v>#N/A</v>
      </c>
      <c r="C2084" s="408"/>
      <c r="D2084" s="408"/>
      <c r="E2084" s="408"/>
      <c r="F2084" s="408"/>
      <c r="G2084" s="408"/>
      <c r="H2084" s="408"/>
      <c r="I2084" s="408"/>
      <c r="J2084" s="408"/>
      <c r="K2084" s="408"/>
      <c r="L2084" s="408"/>
      <c r="M2084" s="408"/>
      <c r="N2084" s="408" t="str">
        <f t="shared" si="459"/>
        <v/>
      </c>
      <c r="O2084" s="408"/>
      <c r="P2084" s="408"/>
      <c r="Q2084" s="408"/>
      <c r="R2084" s="408"/>
      <c r="S2084" s="408"/>
      <c r="T2084" s="408"/>
      <c r="U2084" s="408"/>
      <c r="V2084" s="421"/>
      <c r="W2084" s="421"/>
      <c r="X2084" s="421"/>
      <c r="Y2084" s="421"/>
      <c r="Z2084" s="421"/>
      <c r="AA2084" s="421"/>
      <c r="AB2084" s="421"/>
      <c r="AC2084" s="421"/>
      <c r="AD2084" s="421"/>
      <c r="AE2084" s="421"/>
      <c r="AF2084" s="421"/>
      <c r="AG2084" s="421"/>
      <c r="AH2084" s="421"/>
      <c r="AI2084" s="421"/>
      <c r="AJ2084" s="421"/>
      <c r="AK2084" s="421"/>
      <c r="AL2084" s="421"/>
    </row>
    <row r="2085" spans="1:38" hidden="1">
      <c r="A2085" s="408"/>
      <c r="B2085" s="83" t="e">
        <f t="array" ref="B2085">SUM(--(FREQUENCY(IF(C$2:C$3072=C2085, MATCH(D$2:D$3072, D$2:D$3072, 0)), ROW(D$2:D$3072)-ROW(D$2)+1) &gt; 0))</f>
        <v>#N/A</v>
      </c>
      <c r="C2085" s="408"/>
      <c r="D2085" s="408"/>
      <c r="E2085" s="408"/>
      <c r="F2085" s="408"/>
      <c r="G2085" s="408"/>
      <c r="H2085" s="408"/>
      <c r="I2085" s="408"/>
      <c r="J2085" s="408"/>
      <c r="K2085" s="408"/>
      <c r="L2085" s="408"/>
      <c r="M2085" s="408"/>
      <c r="N2085" s="408" t="str">
        <f t="shared" si="459"/>
        <v/>
      </c>
      <c r="O2085" s="408"/>
      <c r="P2085" s="408"/>
      <c r="Q2085" s="408"/>
      <c r="R2085" s="408"/>
      <c r="S2085" s="408"/>
      <c r="T2085" s="408"/>
      <c r="U2085" s="408"/>
      <c r="V2085" s="421"/>
      <c r="W2085" s="421"/>
      <c r="X2085" s="421"/>
      <c r="Y2085" s="421"/>
      <c r="Z2085" s="421"/>
      <c r="AA2085" s="421"/>
      <c r="AB2085" s="421"/>
      <c r="AC2085" s="421"/>
      <c r="AD2085" s="421"/>
      <c r="AE2085" s="421"/>
      <c r="AF2085" s="421"/>
      <c r="AG2085" s="421"/>
      <c r="AH2085" s="421"/>
      <c r="AI2085" s="421"/>
      <c r="AJ2085" s="421"/>
      <c r="AK2085" s="421"/>
      <c r="AL2085" s="421"/>
    </row>
    <row r="2086" spans="1:38" hidden="1">
      <c r="A2086" s="408"/>
      <c r="B2086" s="83" t="e">
        <f t="array" ref="B2086">SUM(--(FREQUENCY(IF(C$2:C$3072=C2086, MATCH(D$2:D$3072, D$2:D$3072, 0)), ROW(D$2:D$3072)-ROW(D$2)+1) &gt; 0))</f>
        <v>#N/A</v>
      </c>
      <c r="C2086" s="408"/>
      <c r="D2086" s="408"/>
      <c r="E2086" s="408"/>
      <c r="F2086" s="408"/>
      <c r="G2086" s="408"/>
      <c r="H2086" s="408"/>
      <c r="I2086" s="408"/>
      <c r="J2086" s="408"/>
      <c r="K2086" s="408"/>
      <c r="L2086" s="408"/>
      <c r="M2086" s="408"/>
      <c r="N2086" s="408" t="str">
        <f t="shared" si="459"/>
        <v/>
      </c>
      <c r="O2086" s="408"/>
      <c r="P2086" s="408"/>
      <c r="Q2086" s="408"/>
      <c r="R2086" s="408"/>
      <c r="S2086" s="408"/>
      <c r="T2086" s="408"/>
      <c r="U2086" s="408"/>
      <c r="V2086" s="421"/>
      <c r="W2086" s="421"/>
      <c r="X2086" s="421"/>
      <c r="Y2086" s="421"/>
      <c r="Z2086" s="421"/>
      <c r="AA2086" s="421"/>
      <c r="AB2086" s="421"/>
      <c r="AC2086" s="421"/>
      <c r="AD2086" s="421"/>
      <c r="AE2086" s="421"/>
      <c r="AF2086" s="421"/>
      <c r="AG2086" s="421"/>
      <c r="AH2086" s="421"/>
      <c r="AI2086" s="421"/>
      <c r="AJ2086" s="421"/>
      <c r="AK2086" s="421"/>
      <c r="AL2086" s="421"/>
    </row>
    <row r="2087" spans="1:38" hidden="1">
      <c r="A2087" s="408"/>
      <c r="B2087" s="83" t="e">
        <f t="array" ref="B2087">SUM(--(FREQUENCY(IF(C$2:C$3072=C2087, MATCH(D$2:D$3072, D$2:D$3072, 0)), ROW(D$2:D$3072)-ROW(D$2)+1) &gt; 0))</f>
        <v>#N/A</v>
      </c>
      <c r="C2087" s="408"/>
      <c r="D2087" s="408"/>
      <c r="E2087" s="408"/>
      <c r="F2087" s="408"/>
      <c r="G2087" s="408"/>
      <c r="H2087" s="408"/>
      <c r="I2087" s="408"/>
      <c r="J2087" s="408"/>
      <c r="K2087" s="408"/>
      <c r="L2087" s="408"/>
      <c r="M2087" s="408"/>
      <c r="N2087" s="408" t="str">
        <f t="shared" si="459"/>
        <v/>
      </c>
      <c r="O2087" s="408"/>
      <c r="P2087" s="408"/>
      <c r="Q2087" s="408"/>
      <c r="R2087" s="408"/>
      <c r="S2087" s="408"/>
      <c r="T2087" s="408"/>
      <c r="U2087" s="408"/>
      <c r="V2087" s="421"/>
      <c r="W2087" s="421"/>
      <c r="X2087" s="421"/>
      <c r="Y2087" s="421"/>
      <c r="Z2087" s="421"/>
      <c r="AA2087" s="421"/>
      <c r="AB2087" s="421"/>
      <c r="AC2087" s="421"/>
      <c r="AD2087" s="421"/>
      <c r="AE2087" s="421"/>
      <c r="AF2087" s="421"/>
      <c r="AG2087" s="421"/>
      <c r="AH2087" s="421"/>
      <c r="AI2087" s="421"/>
      <c r="AJ2087" s="421"/>
      <c r="AK2087" s="421"/>
      <c r="AL2087" s="421"/>
    </row>
    <row r="2088" spans="1:38" hidden="1">
      <c r="A2088" s="408"/>
      <c r="B2088" s="83" t="e">
        <f t="array" ref="B2088">SUM(--(FREQUENCY(IF(C$2:C$3072=C2088, MATCH(D$2:D$3072, D$2:D$3072, 0)), ROW(D$2:D$3072)-ROW(D$2)+1) &gt; 0))</f>
        <v>#N/A</v>
      </c>
      <c r="C2088" s="408"/>
      <c r="D2088" s="408"/>
      <c r="E2088" s="408"/>
      <c r="F2088" s="408"/>
      <c r="G2088" s="408"/>
      <c r="H2088" s="408"/>
      <c r="I2088" s="408"/>
      <c r="J2088" s="408"/>
      <c r="K2088" s="408"/>
      <c r="L2088" s="408"/>
      <c r="M2088" s="408"/>
      <c r="N2088" s="408" t="str">
        <f t="shared" si="459"/>
        <v/>
      </c>
      <c r="O2088" s="408"/>
      <c r="P2088" s="408"/>
      <c r="Q2088" s="408"/>
      <c r="R2088" s="408"/>
      <c r="S2088" s="408"/>
      <c r="T2088" s="408"/>
      <c r="U2088" s="408"/>
      <c r="V2088" s="421"/>
      <c r="W2088" s="421"/>
      <c r="X2088" s="421"/>
      <c r="Y2088" s="421"/>
      <c r="Z2088" s="421"/>
      <c r="AA2088" s="421"/>
      <c r="AB2088" s="421"/>
      <c r="AC2088" s="421"/>
      <c r="AD2088" s="421"/>
      <c r="AE2088" s="421"/>
      <c r="AF2088" s="421"/>
      <c r="AG2088" s="421"/>
      <c r="AH2088" s="421"/>
      <c r="AI2088" s="421"/>
      <c r="AJ2088" s="421"/>
      <c r="AK2088" s="421"/>
      <c r="AL2088" s="421"/>
    </row>
    <row r="2089" spans="1:38" hidden="1">
      <c r="A2089" s="408"/>
      <c r="B2089" s="83" t="e">
        <f t="array" ref="B2089">SUM(--(FREQUENCY(IF(C$2:C$3072=C2089, MATCH(D$2:D$3072, D$2:D$3072, 0)), ROW(D$2:D$3072)-ROW(D$2)+1) &gt; 0))</f>
        <v>#N/A</v>
      </c>
      <c r="C2089" s="408"/>
      <c r="D2089" s="408"/>
      <c r="E2089" s="408"/>
      <c r="F2089" s="408"/>
      <c r="G2089" s="408"/>
      <c r="H2089" s="408"/>
      <c r="I2089" s="408"/>
      <c r="J2089" s="408"/>
      <c r="K2089" s="408"/>
      <c r="L2089" s="408"/>
      <c r="M2089" s="408"/>
      <c r="N2089" s="408" t="str">
        <f t="shared" si="459"/>
        <v/>
      </c>
      <c r="O2089" s="408"/>
      <c r="P2089" s="408"/>
      <c r="Q2089" s="408"/>
      <c r="R2089" s="408"/>
      <c r="S2089" s="408"/>
      <c r="T2089" s="408"/>
      <c r="U2089" s="408"/>
      <c r="V2089" s="421"/>
      <c r="W2089" s="421"/>
      <c r="X2089" s="421"/>
      <c r="Y2089" s="421"/>
      <c r="Z2089" s="421"/>
      <c r="AA2089" s="421"/>
      <c r="AB2089" s="421"/>
      <c r="AC2089" s="421"/>
      <c r="AD2089" s="421"/>
      <c r="AE2089" s="421"/>
      <c r="AF2089" s="421"/>
      <c r="AG2089" s="421"/>
      <c r="AH2089" s="421"/>
      <c r="AI2089" s="421"/>
      <c r="AJ2089" s="421"/>
      <c r="AK2089" s="421"/>
      <c r="AL2089" s="421"/>
    </row>
    <row r="2090" spans="1:38" hidden="1">
      <c r="A2090" s="408"/>
      <c r="B2090" s="83" t="e">
        <f t="array" ref="B2090">SUM(--(FREQUENCY(IF(C$2:C$3072=C2090, MATCH(D$2:D$3072, D$2:D$3072, 0)), ROW(D$2:D$3072)-ROW(D$2)+1) &gt; 0))</f>
        <v>#N/A</v>
      </c>
      <c r="C2090" s="408"/>
      <c r="D2090" s="408"/>
      <c r="E2090" s="408"/>
      <c r="F2090" s="408"/>
      <c r="G2090" s="408"/>
      <c r="H2090" s="408"/>
      <c r="I2090" s="408"/>
      <c r="J2090" s="408"/>
      <c r="K2090" s="408"/>
      <c r="L2090" s="408"/>
      <c r="M2090" s="408"/>
      <c r="N2090" s="408" t="str">
        <f t="shared" si="459"/>
        <v/>
      </c>
      <c r="O2090" s="408"/>
      <c r="P2090" s="408"/>
      <c r="Q2090" s="408"/>
      <c r="R2090" s="408"/>
      <c r="S2090" s="408"/>
      <c r="T2090" s="408"/>
      <c r="U2090" s="408"/>
      <c r="V2090" s="421"/>
      <c r="W2090" s="421"/>
      <c r="X2090" s="421"/>
      <c r="Y2090" s="421"/>
      <c r="Z2090" s="421"/>
      <c r="AA2090" s="421"/>
      <c r="AB2090" s="421"/>
      <c r="AC2090" s="421"/>
      <c r="AD2090" s="421"/>
      <c r="AE2090" s="421"/>
      <c r="AF2090" s="421"/>
      <c r="AG2090" s="421"/>
      <c r="AH2090" s="421"/>
      <c r="AI2090" s="421"/>
      <c r="AJ2090" s="421"/>
      <c r="AK2090" s="421"/>
      <c r="AL2090" s="421"/>
    </row>
    <row r="2091" spans="1:38" hidden="1">
      <c r="A2091" s="408"/>
      <c r="B2091" s="83" t="e">
        <f t="array" ref="B2091">SUM(--(FREQUENCY(IF(C$2:C$3072=C2091, MATCH(D$2:D$3072, D$2:D$3072, 0)), ROW(D$2:D$3072)-ROW(D$2)+1) &gt; 0))</f>
        <v>#N/A</v>
      </c>
      <c r="C2091" s="408"/>
      <c r="D2091" s="408"/>
      <c r="E2091" s="408"/>
      <c r="F2091" s="408"/>
      <c r="G2091" s="408"/>
      <c r="H2091" s="408"/>
      <c r="I2091" s="408"/>
      <c r="J2091" s="408"/>
      <c r="K2091" s="408"/>
      <c r="L2091" s="408"/>
      <c r="M2091" s="408"/>
      <c r="N2091" s="408" t="str">
        <f t="shared" si="459"/>
        <v/>
      </c>
      <c r="O2091" s="408"/>
      <c r="P2091" s="408"/>
      <c r="Q2091" s="408"/>
      <c r="R2091" s="408"/>
      <c r="S2091" s="408"/>
      <c r="T2091" s="408"/>
      <c r="U2091" s="408"/>
      <c r="V2091" s="421"/>
      <c r="W2091" s="421"/>
      <c r="X2091" s="421"/>
      <c r="Y2091" s="421"/>
      <c r="Z2091" s="421"/>
      <c r="AA2091" s="421"/>
      <c r="AB2091" s="421"/>
      <c r="AC2091" s="421"/>
      <c r="AD2091" s="421"/>
      <c r="AE2091" s="421"/>
      <c r="AF2091" s="421"/>
      <c r="AG2091" s="421"/>
      <c r="AH2091" s="421"/>
      <c r="AI2091" s="421"/>
      <c r="AJ2091" s="421"/>
      <c r="AK2091" s="421"/>
      <c r="AL2091" s="421"/>
    </row>
    <row r="2092" spans="1:38" hidden="1">
      <c r="A2092" s="408"/>
      <c r="B2092" s="83" t="e">
        <f t="array" ref="B2092">SUM(--(FREQUENCY(IF(C$2:C$3072=C2092, MATCH(D$2:D$3072, D$2:D$3072, 0)), ROW(D$2:D$3072)-ROW(D$2)+1) &gt; 0))</f>
        <v>#N/A</v>
      </c>
      <c r="C2092" s="408"/>
      <c r="D2092" s="408"/>
      <c r="E2092" s="408"/>
      <c r="F2092" s="408"/>
      <c r="G2092" s="408"/>
      <c r="H2092" s="408"/>
      <c r="I2092" s="408"/>
      <c r="J2092" s="408"/>
      <c r="K2092" s="408"/>
      <c r="L2092" s="408"/>
      <c r="M2092" s="408"/>
      <c r="N2092" s="408" t="str">
        <f t="shared" si="459"/>
        <v/>
      </c>
      <c r="O2092" s="408"/>
      <c r="P2092" s="408"/>
      <c r="Q2092" s="408"/>
      <c r="R2092" s="408"/>
      <c r="S2092" s="408"/>
      <c r="T2092" s="408"/>
      <c r="U2092" s="408"/>
      <c r="V2092" s="421"/>
      <c r="W2092" s="421"/>
      <c r="X2092" s="421"/>
      <c r="Y2092" s="421"/>
      <c r="Z2092" s="421"/>
      <c r="AA2092" s="421"/>
      <c r="AB2092" s="421"/>
      <c r="AC2092" s="421"/>
      <c r="AD2092" s="421"/>
      <c r="AE2092" s="421"/>
      <c r="AF2092" s="421"/>
      <c r="AG2092" s="421"/>
      <c r="AH2092" s="421"/>
      <c r="AI2092" s="421"/>
      <c r="AJ2092" s="421"/>
      <c r="AK2092" s="421"/>
      <c r="AL2092" s="421"/>
    </row>
    <row r="2093" spans="1:38" hidden="1">
      <c r="A2093" s="408"/>
      <c r="B2093" s="83" t="e">
        <f t="array" ref="B2093">SUM(--(FREQUENCY(IF(C$2:C$3072=C2093, MATCH(D$2:D$3072, D$2:D$3072, 0)), ROW(D$2:D$3072)-ROW(D$2)+1) &gt; 0))</f>
        <v>#N/A</v>
      </c>
      <c r="C2093" s="408"/>
      <c r="D2093" s="408"/>
      <c r="E2093" s="408"/>
      <c r="F2093" s="408"/>
      <c r="G2093" s="408"/>
      <c r="H2093" s="408"/>
      <c r="I2093" s="408"/>
      <c r="J2093" s="408"/>
      <c r="K2093" s="408"/>
      <c r="L2093" s="408"/>
      <c r="M2093" s="408"/>
      <c r="N2093" s="408" t="str">
        <f t="shared" si="459"/>
        <v/>
      </c>
      <c r="O2093" s="408"/>
      <c r="P2093" s="408"/>
      <c r="Q2093" s="408"/>
      <c r="R2093" s="408"/>
      <c r="S2093" s="408"/>
      <c r="T2093" s="408"/>
      <c r="U2093" s="408"/>
      <c r="V2093" s="421"/>
      <c r="W2093" s="421"/>
      <c r="X2093" s="421"/>
      <c r="Y2093" s="421"/>
      <c r="Z2093" s="421"/>
      <c r="AA2093" s="421"/>
      <c r="AB2093" s="421"/>
      <c r="AC2093" s="421"/>
      <c r="AD2093" s="421"/>
      <c r="AE2093" s="421"/>
      <c r="AF2093" s="421"/>
      <c r="AG2093" s="421"/>
      <c r="AH2093" s="421"/>
      <c r="AI2093" s="421"/>
      <c r="AJ2093" s="421"/>
      <c r="AK2093" s="421"/>
      <c r="AL2093" s="421"/>
    </row>
    <row r="2094" spans="1:38" hidden="1">
      <c r="A2094" s="408"/>
      <c r="B2094" s="83" t="e">
        <f t="array" ref="B2094">SUM(--(FREQUENCY(IF(C$2:C$3072=C2094, MATCH(D$2:D$3072, D$2:D$3072, 0)), ROW(D$2:D$3072)-ROW(D$2)+1) &gt; 0))</f>
        <v>#N/A</v>
      </c>
      <c r="C2094" s="408"/>
      <c r="D2094" s="408"/>
      <c r="E2094" s="408"/>
      <c r="F2094" s="408"/>
      <c r="G2094" s="408"/>
      <c r="H2094" s="408"/>
      <c r="I2094" s="408"/>
      <c r="J2094" s="408"/>
      <c r="K2094" s="408"/>
      <c r="L2094" s="408"/>
      <c r="M2094" s="408"/>
      <c r="N2094" s="408" t="str">
        <f t="shared" si="459"/>
        <v/>
      </c>
      <c r="O2094" s="408"/>
      <c r="P2094" s="408"/>
      <c r="Q2094" s="408"/>
      <c r="R2094" s="408"/>
      <c r="S2094" s="408"/>
      <c r="T2094" s="408"/>
      <c r="U2094" s="408"/>
      <c r="V2094" s="421"/>
      <c r="W2094" s="421"/>
      <c r="X2094" s="421"/>
      <c r="Y2094" s="421"/>
      <c r="Z2094" s="421"/>
      <c r="AA2094" s="421"/>
      <c r="AB2094" s="421"/>
      <c r="AC2094" s="421"/>
      <c r="AD2094" s="421"/>
      <c r="AE2094" s="421"/>
      <c r="AF2094" s="421"/>
      <c r="AG2094" s="421"/>
      <c r="AH2094" s="421"/>
      <c r="AI2094" s="421"/>
      <c r="AJ2094" s="421"/>
      <c r="AK2094" s="421"/>
      <c r="AL2094" s="421"/>
    </row>
    <row r="2095" spans="1:38" hidden="1">
      <c r="A2095" s="408"/>
      <c r="B2095" s="83" t="e">
        <f t="array" ref="B2095">SUM(--(FREQUENCY(IF(C$2:C$3072=C2095, MATCH(D$2:D$3072, D$2:D$3072, 0)), ROW(D$2:D$3072)-ROW(D$2)+1) &gt; 0))</f>
        <v>#N/A</v>
      </c>
      <c r="C2095" s="408"/>
      <c r="D2095" s="408"/>
      <c r="E2095" s="408"/>
      <c r="F2095" s="408"/>
      <c r="G2095" s="408"/>
      <c r="H2095" s="408"/>
      <c r="I2095" s="408"/>
      <c r="J2095" s="408"/>
      <c r="K2095" s="408"/>
      <c r="L2095" s="408"/>
      <c r="M2095" s="408"/>
      <c r="N2095" s="408" t="str">
        <f t="shared" si="459"/>
        <v/>
      </c>
      <c r="O2095" s="408"/>
      <c r="P2095" s="408"/>
      <c r="Q2095" s="408"/>
      <c r="R2095" s="408"/>
      <c r="S2095" s="408"/>
      <c r="T2095" s="408"/>
      <c r="U2095" s="408"/>
      <c r="V2095" s="421"/>
      <c r="W2095" s="421"/>
      <c r="X2095" s="421"/>
      <c r="Y2095" s="421"/>
      <c r="Z2095" s="421"/>
      <c r="AA2095" s="421"/>
      <c r="AB2095" s="421"/>
      <c r="AC2095" s="421"/>
      <c r="AD2095" s="421"/>
      <c r="AE2095" s="421"/>
      <c r="AF2095" s="421"/>
      <c r="AG2095" s="421"/>
      <c r="AH2095" s="421"/>
      <c r="AI2095" s="421"/>
      <c r="AJ2095" s="421"/>
      <c r="AK2095" s="421"/>
      <c r="AL2095" s="421"/>
    </row>
    <row r="2096" spans="1:38" hidden="1">
      <c r="A2096" s="408"/>
      <c r="B2096" s="83" t="e">
        <f t="array" ref="B2096">SUM(--(FREQUENCY(IF(C$2:C$3072=C2096, MATCH(D$2:D$3072, D$2:D$3072, 0)), ROW(D$2:D$3072)-ROW(D$2)+1) &gt; 0))</f>
        <v>#N/A</v>
      </c>
      <c r="C2096" s="408"/>
      <c r="D2096" s="408"/>
      <c r="E2096" s="408"/>
      <c r="F2096" s="408"/>
      <c r="G2096" s="408"/>
      <c r="H2096" s="408"/>
      <c r="I2096" s="408"/>
      <c r="J2096" s="408"/>
      <c r="K2096" s="408"/>
      <c r="L2096" s="408"/>
      <c r="M2096" s="408"/>
      <c r="N2096" s="408" t="str">
        <f t="shared" si="459"/>
        <v/>
      </c>
      <c r="O2096" s="408"/>
      <c r="P2096" s="408"/>
      <c r="Q2096" s="408"/>
      <c r="R2096" s="408"/>
      <c r="S2096" s="408"/>
      <c r="T2096" s="408"/>
      <c r="U2096" s="408"/>
      <c r="V2096" s="421"/>
      <c r="W2096" s="421"/>
      <c r="X2096" s="421"/>
      <c r="Y2096" s="421"/>
      <c r="Z2096" s="421"/>
      <c r="AA2096" s="421"/>
      <c r="AB2096" s="421"/>
      <c r="AC2096" s="421"/>
      <c r="AD2096" s="421"/>
      <c r="AE2096" s="421"/>
      <c r="AF2096" s="421"/>
      <c r="AG2096" s="421"/>
      <c r="AH2096" s="421"/>
      <c r="AI2096" s="421"/>
      <c r="AJ2096" s="421"/>
      <c r="AK2096" s="421"/>
      <c r="AL2096" s="421"/>
    </row>
    <row r="2097" spans="1:38" hidden="1">
      <c r="A2097" s="408"/>
      <c r="B2097" s="83" t="e">
        <f t="array" ref="B2097">SUM(--(FREQUENCY(IF(C$2:C$3072=C2097, MATCH(D$2:D$3072, D$2:D$3072, 0)), ROW(D$2:D$3072)-ROW(D$2)+1) &gt; 0))</f>
        <v>#N/A</v>
      </c>
      <c r="C2097" s="408"/>
      <c r="D2097" s="408"/>
      <c r="E2097" s="408"/>
      <c r="F2097" s="408"/>
      <c r="G2097" s="408"/>
      <c r="H2097" s="408"/>
      <c r="I2097" s="408"/>
      <c r="J2097" s="408"/>
      <c r="K2097" s="408"/>
      <c r="L2097" s="408"/>
      <c r="M2097" s="408"/>
      <c r="N2097" s="408" t="str">
        <f t="shared" si="459"/>
        <v/>
      </c>
      <c r="O2097" s="408"/>
      <c r="P2097" s="408"/>
      <c r="Q2097" s="408"/>
      <c r="R2097" s="408"/>
      <c r="S2097" s="408"/>
      <c r="T2097" s="408"/>
      <c r="U2097" s="408"/>
      <c r="V2097" s="421"/>
      <c r="W2097" s="421"/>
      <c r="X2097" s="421"/>
      <c r="Y2097" s="421"/>
      <c r="Z2097" s="421"/>
      <c r="AA2097" s="421"/>
      <c r="AB2097" s="421"/>
      <c r="AC2097" s="421"/>
      <c r="AD2097" s="421"/>
      <c r="AE2097" s="421"/>
      <c r="AF2097" s="421"/>
      <c r="AG2097" s="421"/>
      <c r="AH2097" s="421"/>
      <c r="AI2097" s="421"/>
      <c r="AJ2097" s="421"/>
      <c r="AK2097" s="421"/>
      <c r="AL2097" s="421"/>
    </row>
    <row r="2098" spans="1:38" hidden="1">
      <c r="A2098" s="408"/>
      <c r="B2098" s="83" t="e">
        <f t="array" ref="B2098">SUM(--(FREQUENCY(IF(C$2:C$3072=C2098, MATCH(D$2:D$3072, D$2:D$3072, 0)), ROW(D$2:D$3072)-ROW(D$2)+1) &gt; 0))</f>
        <v>#N/A</v>
      </c>
      <c r="C2098" s="408"/>
      <c r="D2098" s="408"/>
      <c r="E2098" s="408"/>
      <c r="F2098" s="408"/>
      <c r="G2098" s="408"/>
      <c r="H2098" s="408"/>
      <c r="I2098" s="408"/>
      <c r="J2098" s="408"/>
      <c r="K2098" s="408"/>
      <c r="L2098" s="408"/>
      <c r="M2098" s="408"/>
      <c r="N2098" s="408" t="str">
        <f t="shared" si="459"/>
        <v/>
      </c>
      <c r="O2098" s="408"/>
      <c r="P2098" s="408"/>
      <c r="Q2098" s="408"/>
      <c r="R2098" s="408"/>
      <c r="S2098" s="408"/>
      <c r="T2098" s="408"/>
      <c r="U2098" s="408"/>
      <c r="V2098" s="421"/>
      <c r="W2098" s="421"/>
      <c r="X2098" s="421"/>
      <c r="Y2098" s="421"/>
      <c r="Z2098" s="421"/>
      <c r="AA2098" s="421"/>
      <c r="AB2098" s="421"/>
      <c r="AC2098" s="421"/>
      <c r="AD2098" s="421"/>
      <c r="AE2098" s="421"/>
      <c r="AF2098" s="421"/>
      <c r="AG2098" s="421"/>
      <c r="AH2098" s="421"/>
      <c r="AI2098" s="421"/>
      <c r="AJ2098" s="421"/>
      <c r="AK2098" s="421"/>
      <c r="AL2098" s="421"/>
    </row>
    <row r="2099" spans="1:38" hidden="1">
      <c r="A2099" s="408"/>
      <c r="B2099" s="83" t="e">
        <f t="array" ref="B2099">SUM(--(FREQUENCY(IF(C$2:C$3072=C2099, MATCH(D$2:D$3072, D$2:D$3072, 0)), ROW(D$2:D$3072)-ROW(D$2)+1) &gt; 0))</f>
        <v>#N/A</v>
      </c>
      <c r="C2099" s="408"/>
      <c r="D2099" s="408"/>
      <c r="E2099" s="408"/>
      <c r="F2099" s="408"/>
      <c r="G2099" s="408"/>
      <c r="H2099" s="408"/>
      <c r="I2099" s="408"/>
      <c r="J2099" s="408"/>
      <c r="K2099" s="408"/>
      <c r="L2099" s="408"/>
      <c r="M2099" s="408"/>
      <c r="N2099" s="408" t="str">
        <f t="shared" si="459"/>
        <v/>
      </c>
      <c r="O2099" s="408"/>
      <c r="P2099" s="408"/>
      <c r="Q2099" s="408"/>
      <c r="R2099" s="408"/>
      <c r="S2099" s="408"/>
      <c r="T2099" s="408"/>
      <c r="U2099" s="408"/>
      <c r="V2099" s="421"/>
      <c r="W2099" s="421"/>
      <c r="X2099" s="421"/>
      <c r="Y2099" s="421"/>
      <c r="Z2099" s="421"/>
      <c r="AA2099" s="421"/>
      <c r="AB2099" s="421"/>
      <c r="AC2099" s="421"/>
      <c r="AD2099" s="421"/>
      <c r="AE2099" s="421"/>
      <c r="AF2099" s="421"/>
      <c r="AG2099" s="421"/>
      <c r="AH2099" s="421"/>
      <c r="AI2099" s="421"/>
      <c r="AJ2099" s="421"/>
      <c r="AK2099" s="421"/>
      <c r="AL2099" s="421"/>
    </row>
    <row r="2100" spans="1:38" hidden="1">
      <c r="A2100" s="408"/>
      <c r="B2100" s="83" t="e">
        <f t="array" ref="B2100">SUM(--(FREQUENCY(IF(C$2:C$3072=C2100, MATCH(D$2:D$3072, D$2:D$3072, 0)), ROW(D$2:D$3072)-ROW(D$2)+1) &gt; 0))</f>
        <v>#N/A</v>
      </c>
      <c r="C2100" s="408"/>
      <c r="D2100" s="408"/>
      <c r="E2100" s="408"/>
      <c r="F2100" s="408"/>
      <c r="G2100" s="408"/>
      <c r="H2100" s="408"/>
      <c r="I2100" s="408"/>
      <c r="J2100" s="408"/>
      <c r="K2100" s="408"/>
      <c r="L2100" s="408"/>
      <c r="M2100" s="408"/>
      <c r="N2100" s="408" t="str">
        <f t="shared" si="459"/>
        <v/>
      </c>
      <c r="O2100" s="408"/>
      <c r="P2100" s="408"/>
      <c r="Q2100" s="408"/>
      <c r="R2100" s="408"/>
      <c r="S2100" s="408"/>
      <c r="T2100" s="408"/>
      <c r="U2100" s="408"/>
      <c r="V2100" s="421"/>
      <c r="W2100" s="421"/>
      <c r="X2100" s="421"/>
      <c r="Y2100" s="421"/>
      <c r="Z2100" s="421"/>
      <c r="AA2100" s="421"/>
      <c r="AB2100" s="421"/>
      <c r="AC2100" s="421"/>
      <c r="AD2100" s="421"/>
      <c r="AE2100" s="421"/>
      <c r="AF2100" s="421"/>
      <c r="AG2100" s="421"/>
      <c r="AH2100" s="421"/>
      <c r="AI2100" s="421"/>
      <c r="AJ2100" s="421"/>
      <c r="AK2100" s="421"/>
      <c r="AL2100" s="421"/>
    </row>
    <row r="2101" spans="1:38" hidden="1">
      <c r="A2101" s="408"/>
      <c r="B2101" s="83" t="e">
        <f t="array" ref="B2101">SUM(--(FREQUENCY(IF(C$2:C$3072=C2101, MATCH(D$2:D$3072, D$2:D$3072, 0)), ROW(D$2:D$3072)-ROW(D$2)+1) &gt; 0))</f>
        <v>#N/A</v>
      </c>
      <c r="C2101" s="408"/>
      <c r="D2101" s="408"/>
      <c r="E2101" s="408"/>
      <c r="F2101" s="408"/>
      <c r="G2101" s="408"/>
      <c r="H2101" s="408"/>
      <c r="I2101" s="408"/>
      <c r="J2101" s="408"/>
      <c r="K2101" s="408"/>
      <c r="L2101" s="408"/>
      <c r="M2101" s="408"/>
      <c r="N2101" s="408" t="str">
        <f t="shared" si="459"/>
        <v/>
      </c>
      <c r="O2101" s="408"/>
      <c r="P2101" s="408"/>
      <c r="Q2101" s="408"/>
      <c r="R2101" s="408"/>
      <c r="S2101" s="408"/>
      <c r="T2101" s="408"/>
      <c r="U2101" s="408"/>
      <c r="V2101" s="421"/>
      <c r="W2101" s="421"/>
      <c r="X2101" s="421"/>
      <c r="Y2101" s="421"/>
      <c r="Z2101" s="421"/>
      <c r="AA2101" s="421"/>
      <c r="AB2101" s="421"/>
      <c r="AC2101" s="421"/>
      <c r="AD2101" s="421"/>
      <c r="AE2101" s="421"/>
      <c r="AF2101" s="421"/>
      <c r="AG2101" s="421"/>
      <c r="AH2101" s="421"/>
      <c r="AI2101" s="421"/>
      <c r="AJ2101" s="421"/>
      <c r="AK2101" s="421"/>
      <c r="AL2101" s="421"/>
    </row>
    <row r="2102" spans="1:38" hidden="1">
      <c r="A2102" s="408"/>
      <c r="B2102" s="83" t="e">
        <f t="array" ref="B2102">SUM(--(FREQUENCY(IF(C$2:C$3072=C2102, MATCH(D$2:D$3072, D$2:D$3072, 0)), ROW(D$2:D$3072)-ROW(D$2)+1) &gt; 0))</f>
        <v>#N/A</v>
      </c>
      <c r="C2102" s="408"/>
      <c r="D2102" s="408"/>
      <c r="E2102" s="408"/>
      <c r="F2102" s="408"/>
      <c r="G2102" s="408"/>
      <c r="H2102" s="408"/>
      <c r="I2102" s="408"/>
      <c r="J2102" s="408"/>
      <c r="K2102" s="408"/>
      <c r="L2102" s="408"/>
      <c r="M2102" s="408"/>
      <c r="N2102" s="408" t="str">
        <f t="shared" si="459"/>
        <v/>
      </c>
      <c r="O2102" s="408"/>
      <c r="P2102" s="408"/>
      <c r="Q2102" s="408"/>
      <c r="R2102" s="408"/>
      <c r="S2102" s="408"/>
      <c r="T2102" s="408"/>
      <c r="U2102" s="408"/>
      <c r="V2102" s="421"/>
      <c r="W2102" s="421"/>
      <c r="X2102" s="421"/>
      <c r="Y2102" s="421"/>
      <c r="Z2102" s="421"/>
      <c r="AA2102" s="421"/>
      <c r="AB2102" s="421"/>
      <c r="AC2102" s="421"/>
      <c r="AD2102" s="421"/>
      <c r="AE2102" s="421"/>
      <c r="AF2102" s="421"/>
      <c r="AG2102" s="421"/>
      <c r="AH2102" s="421"/>
      <c r="AI2102" s="421"/>
      <c r="AJ2102" s="421"/>
      <c r="AK2102" s="421"/>
      <c r="AL2102" s="421"/>
    </row>
    <row r="2103" spans="1:38" hidden="1">
      <c r="A2103" s="408"/>
      <c r="B2103" s="83" t="e">
        <f t="array" ref="B2103">SUM(--(FREQUENCY(IF(C$2:C$3072=C2103, MATCH(D$2:D$3072, D$2:D$3072, 0)), ROW(D$2:D$3072)-ROW(D$2)+1) &gt; 0))</f>
        <v>#N/A</v>
      </c>
      <c r="C2103" s="408"/>
      <c r="D2103" s="408"/>
      <c r="E2103" s="408"/>
      <c r="F2103" s="408"/>
      <c r="G2103" s="408"/>
      <c r="H2103" s="408"/>
      <c r="I2103" s="408"/>
      <c r="J2103" s="408"/>
      <c r="K2103" s="408"/>
      <c r="L2103" s="408"/>
      <c r="M2103" s="408"/>
      <c r="N2103" s="408" t="str">
        <f t="shared" si="459"/>
        <v/>
      </c>
      <c r="O2103" s="408"/>
      <c r="P2103" s="408"/>
      <c r="Q2103" s="408"/>
      <c r="R2103" s="408"/>
      <c r="S2103" s="408"/>
      <c r="T2103" s="408"/>
      <c r="U2103" s="408"/>
      <c r="V2103" s="421"/>
      <c r="W2103" s="421"/>
      <c r="X2103" s="421"/>
      <c r="Y2103" s="421"/>
      <c r="Z2103" s="421"/>
      <c r="AA2103" s="421"/>
      <c r="AB2103" s="421"/>
      <c r="AC2103" s="421"/>
      <c r="AD2103" s="421"/>
      <c r="AE2103" s="421"/>
      <c r="AF2103" s="421"/>
      <c r="AG2103" s="421"/>
      <c r="AH2103" s="421"/>
      <c r="AI2103" s="421"/>
      <c r="AJ2103" s="421"/>
      <c r="AK2103" s="421"/>
      <c r="AL2103" s="421"/>
    </row>
    <row r="2104" spans="1:38" hidden="1">
      <c r="A2104" s="408"/>
      <c r="B2104" s="83" t="e">
        <f t="array" ref="B2104">SUM(--(FREQUENCY(IF(C$2:C$3072=C2104, MATCH(D$2:D$3072, D$2:D$3072, 0)), ROW(D$2:D$3072)-ROW(D$2)+1) &gt; 0))</f>
        <v>#N/A</v>
      </c>
      <c r="C2104" s="408"/>
      <c r="D2104" s="408"/>
      <c r="E2104" s="408"/>
      <c r="F2104" s="408"/>
      <c r="G2104" s="408"/>
      <c r="H2104" s="408"/>
      <c r="I2104" s="408"/>
      <c r="J2104" s="408"/>
      <c r="K2104" s="408"/>
      <c r="L2104" s="408"/>
      <c r="M2104" s="408"/>
      <c r="N2104" s="408" t="str">
        <f t="shared" si="459"/>
        <v/>
      </c>
      <c r="O2104" s="408"/>
      <c r="P2104" s="408"/>
      <c r="Q2104" s="408"/>
      <c r="R2104" s="408"/>
      <c r="S2104" s="408"/>
      <c r="T2104" s="408"/>
      <c r="U2104" s="408"/>
      <c r="V2104" s="421"/>
      <c r="W2104" s="421"/>
      <c r="X2104" s="421"/>
      <c r="Y2104" s="421"/>
      <c r="Z2104" s="421"/>
      <c r="AA2104" s="421"/>
      <c r="AB2104" s="421"/>
      <c r="AC2104" s="421"/>
      <c r="AD2104" s="421"/>
      <c r="AE2104" s="421"/>
      <c r="AF2104" s="421"/>
      <c r="AG2104" s="421"/>
      <c r="AH2104" s="421"/>
      <c r="AI2104" s="421"/>
      <c r="AJ2104" s="421"/>
      <c r="AK2104" s="421"/>
      <c r="AL2104" s="421"/>
    </row>
    <row r="2105" spans="1:38" hidden="1">
      <c r="A2105" s="408"/>
      <c r="B2105" s="83" t="e">
        <f t="array" ref="B2105">SUM(--(FREQUENCY(IF(C$2:C$3072=C2105, MATCH(D$2:D$3072, D$2:D$3072, 0)), ROW(D$2:D$3072)-ROW(D$2)+1) &gt; 0))</f>
        <v>#N/A</v>
      </c>
      <c r="C2105" s="408"/>
      <c r="D2105" s="408"/>
      <c r="E2105" s="408"/>
      <c r="F2105" s="408"/>
      <c r="G2105" s="408"/>
      <c r="H2105" s="408"/>
      <c r="I2105" s="408"/>
      <c r="J2105" s="408"/>
      <c r="K2105" s="408"/>
      <c r="L2105" s="408"/>
      <c r="M2105" s="408"/>
      <c r="N2105" s="408" t="str">
        <f t="shared" si="459"/>
        <v/>
      </c>
      <c r="O2105" s="408"/>
      <c r="P2105" s="408"/>
      <c r="Q2105" s="408"/>
      <c r="R2105" s="408"/>
      <c r="S2105" s="408"/>
      <c r="T2105" s="408"/>
      <c r="U2105" s="408"/>
      <c r="V2105" s="421"/>
      <c r="W2105" s="421"/>
      <c r="X2105" s="421"/>
      <c r="Y2105" s="421"/>
      <c r="Z2105" s="421"/>
      <c r="AA2105" s="421"/>
      <c r="AB2105" s="421"/>
      <c r="AC2105" s="421"/>
      <c r="AD2105" s="421"/>
      <c r="AE2105" s="421"/>
      <c r="AF2105" s="421"/>
      <c r="AG2105" s="421"/>
      <c r="AH2105" s="421"/>
      <c r="AI2105" s="421"/>
      <c r="AJ2105" s="421"/>
      <c r="AK2105" s="421"/>
      <c r="AL2105" s="421"/>
    </row>
    <row r="2106" spans="1:38" hidden="1">
      <c r="A2106" s="408"/>
      <c r="B2106" s="83" t="e">
        <f t="array" ref="B2106">SUM(--(FREQUENCY(IF(C$2:C$3072=C2106, MATCH(D$2:D$3072, D$2:D$3072, 0)), ROW(D$2:D$3072)-ROW(D$2)+1) &gt; 0))</f>
        <v>#N/A</v>
      </c>
      <c r="C2106" s="408"/>
      <c r="D2106" s="408"/>
      <c r="E2106" s="408"/>
      <c r="F2106" s="408"/>
      <c r="G2106" s="408"/>
      <c r="H2106" s="408"/>
      <c r="I2106" s="408"/>
      <c r="J2106" s="408"/>
      <c r="K2106" s="408"/>
      <c r="L2106" s="408"/>
      <c r="M2106" s="408"/>
      <c r="N2106" s="408" t="str">
        <f t="shared" si="459"/>
        <v/>
      </c>
      <c r="O2106" s="408"/>
      <c r="P2106" s="408"/>
      <c r="Q2106" s="408"/>
      <c r="R2106" s="408"/>
      <c r="S2106" s="408"/>
      <c r="T2106" s="408"/>
      <c r="U2106" s="408"/>
      <c r="V2106" s="421"/>
      <c r="W2106" s="421"/>
      <c r="X2106" s="421"/>
      <c r="Y2106" s="421"/>
      <c r="Z2106" s="421"/>
      <c r="AA2106" s="421"/>
      <c r="AB2106" s="421"/>
      <c r="AC2106" s="421"/>
      <c r="AD2106" s="421"/>
      <c r="AE2106" s="421"/>
      <c r="AF2106" s="421"/>
      <c r="AG2106" s="421"/>
      <c r="AH2106" s="421"/>
      <c r="AI2106" s="421"/>
      <c r="AJ2106" s="421"/>
      <c r="AK2106" s="421"/>
      <c r="AL2106" s="421"/>
    </row>
    <row r="2107" spans="1:38" hidden="1">
      <c r="A2107" s="408"/>
      <c r="B2107" s="83" t="e">
        <f t="array" ref="B2107">SUM(--(FREQUENCY(IF(C$2:C$3072=C2107, MATCH(D$2:D$3072, D$2:D$3072, 0)), ROW(D$2:D$3072)-ROW(D$2)+1) &gt; 0))</f>
        <v>#N/A</v>
      </c>
      <c r="C2107" s="408"/>
      <c r="D2107" s="408"/>
      <c r="E2107" s="408"/>
      <c r="F2107" s="408"/>
      <c r="G2107" s="408"/>
      <c r="H2107" s="408"/>
      <c r="I2107" s="408"/>
      <c r="J2107" s="408"/>
      <c r="K2107" s="408"/>
      <c r="L2107" s="408"/>
      <c r="M2107" s="408"/>
      <c r="N2107" s="408" t="str">
        <f t="shared" si="459"/>
        <v/>
      </c>
      <c r="O2107" s="408"/>
      <c r="P2107" s="408"/>
      <c r="Q2107" s="408"/>
      <c r="R2107" s="408"/>
      <c r="S2107" s="408"/>
      <c r="T2107" s="408"/>
      <c r="U2107" s="408"/>
      <c r="V2107" s="421"/>
      <c r="W2107" s="421"/>
      <c r="X2107" s="421"/>
      <c r="Y2107" s="421"/>
      <c r="Z2107" s="421"/>
      <c r="AA2107" s="421"/>
      <c r="AB2107" s="421"/>
      <c r="AC2107" s="421"/>
      <c r="AD2107" s="421"/>
      <c r="AE2107" s="421"/>
      <c r="AF2107" s="421"/>
      <c r="AG2107" s="421"/>
      <c r="AH2107" s="421"/>
      <c r="AI2107" s="421"/>
      <c r="AJ2107" s="421"/>
      <c r="AK2107" s="421"/>
      <c r="AL2107" s="421"/>
    </row>
    <row r="2108" spans="1:38" hidden="1">
      <c r="A2108" s="408"/>
      <c r="B2108" s="83" t="e">
        <f t="array" ref="B2108">SUM(--(FREQUENCY(IF(C$2:C$3072=C2108, MATCH(D$2:D$3072, D$2:D$3072, 0)), ROW(D$2:D$3072)-ROW(D$2)+1) &gt; 0))</f>
        <v>#N/A</v>
      </c>
      <c r="C2108" s="408"/>
      <c r="D2108" s="408"/>
      <c r="E2108" s="408"/>
      <c r="F2108" s="408"/>
      <c r="G2108" s="408"/>
      <c r="H2108" s="408"/>
      <c r="I2108" s="408"/>
      <c r="J2108" s="408"/>
      <c r="K2108" s="408"/>
      <c r="L2108" s="408"/>
      <c r="M2108" s="408"/>
      <c r="N2108" s="408" t="str">
        <f t="shared" si="459"/>
        <v/>
      </c>
      <c r="O2108" s="408"/>
      <c r="P2108" s="408"/>
      <c r="Q2108" s="408"/>
      <c r="R2108" s="408"/>
      <c r="S2108" s="408"/>
      <c r="T2108" s="408"/>
      <c r="U2108" s="408"/>
      <c r="V2108" s="421"/>
      <c r="W2108" s="421"/>
      <c r="X2108" s="421"/>
      <c r="Y2108" s="421"/>
      <c r="Z2108" s="421"/>
      <c r="AA2108" s="421"/>
      <c r="AB2108" s="421"/>
      <c r="AC2108" s="421"/>
      <c r="AD2108" s="421"/>
      <c r="AE2108" s="421"/>
      <c r="AF2108" s="421"/>
      <c r="AG2108" s="421"/>
      <c r="AH2108" s="421"/>
      <c r="AI2108" s="421"/>
      <c r="AJ2108" s="421"/>
      <c r="AK2108" s="421"/>
      <c r="AL2108" s="421"/>
    </row>
    <row r="2109" spans="1:38" hidden="1">
      <c r="A2109" s="408"/>
      <c r="B2109" s="83" t="e">
        <f t="array" ref="B2109">SUM(--(FREQUENCY(IF(C$2:C$3072=C2109, MATCH(D$2:D$3072, D$2:D$3072, 0)), ROW(D$2:D$3072)-ROW(D$2)+1) &gt; 0))</f>
        <v>#N/A</v>
      </c>
      <c r="C2109" s="408"/>
      <c r="D2109" s="408"/>
      <c r="E2109" s="408"/>
      <c r="F2109" s="408"/>
      <c r="G2109" s="408"/>
      <c r="H2109" s="408"/>
      <c r="I2109" s="408"/>
      <c r="J2109" s="408"/>
      <c r="K2109" s="408"/>
      <c r="L2109" s="408"/>
      <c r="M2109" s="408"/>
      <c r="N2109" s="408" t="str">
        <f t="shared" si="459"/>
        <v/>
      </c>
      <c r="O2109" s="408"/>
      <c r="P2109" s="408"/>
      <c r="Q2109" s="408"/>
      <c r="R2109" s="408"/>
      <c r="S2109" s="408"/>
      <c r="T2109" s="408"/>
      <c r="U2109" s="408"/>
      <c r="V2109" s="421"/>
      <c r="W2109" s="421"/>
      <c r="X2109" s="421"/>
      <c r="Y2109" s="421"/>
      <c r="Z2109" s="421"/>
      <c r="AA2109" s="421"/>
      <c r="AB2109" s="421"/>
      <c r="AC2109" s="421"/>
      <c r="AD2109" s="421"/>
      <c r="AE2109" s="421"/>
      <c r="AF2109" s="421"/>
      <c r="AG2109" s="421"/>
      <c r="AH2109" s="421"/>
      <c r="AI2109" s="421"/>
      <c r="AJ2109" s="421"/>
      <c r="AK2109" s="421"/>
      <c r="AL2109" s="421"/>
    </row>
    <row r="2110" spans="1:38" hidden="1">
      <c r="A2110" s="408"/>
      <c r="B2110" s="83" t="e">
        <f t="array" ref="B2110">SUM(--(FREQUENCY(IF(C$2:C$3072=C2110, MATCH(D$2:D$3072, D$2:D$3072, 0)), ROW(D$2:D$3072)-ROW(D$2)+1) &gt; 0))</f>
        <v>#N/A</v>
      </c>
      <c r="C2110" s="408"/>
      <c r="D2110" s="408"/>
      <c r="E2110" s="408"/>
      <c r="F2110" s="408"/>
      <c r="G2110" s="408"/>
      <c r="H2110" s="408"/>
      <c r="I2110" s="408"/>
      <c r="J2110" s="408"/>
      <c r="K2110" s="408"/>
      <c r="L2110" s="408"/>
      <c r="M2110" s="408"/>
      <c r="N2110" s="408" t="str">
        <f t="shared" si="459"/>
        <v/>
      </c>
      <c r="O2110" s="408"/>
      <c r="P2110" s="408"/>
      <c r="Q2110" s="408"/>
      <c r="R2110" s="408"/>
      <c r="S2110" s="408"/>
      <c r="T2110" s="408"/>
      <c r="U2110" s="408"/>
      <c r="V2110" s="421"/>
      <c r="W2110" s="421"/>
      <c r="X2110" s="421"/>
      <c r="Y2110" s="421"/>
      <c r="Z2110" s="421"/>
      <c r="AA2110" s="421"/>
      <c r="AB2110" s="421"/>
      <c r="AC2110" s="421"/>
      <c r="AD2110" s="421"/>
      <c r="AE2110" s="421"/>
      <c r="AF2110" s="421"/>
      <c r="AG2110" s="421"/>
      <c r="AH2110" s="421"/>
      <c r="AI2110" s="421"/>
      <c r="AJ2110" s="421"/>
      <c r="AK2110" s="421"/>
      <c r="AL2110" s="421"/>
    </row>
    <row r="2111" spans="1:38" hidden="1">
      <c r="A2111" s="408"/>
      <c r="B2111" s="83" t="e">
        <f t="array" ref="B2111">SUM(--(FREQUENCY(IF(C$2:C$3072=C2111, MATCH(D$2:D$3072, D$2:D$3072, 0)), ROW(D$2:D$3072)-ROW(D$2)+1) &gt; 0))</f>
        <v>#N/A</v>
      </c>
      <c r="C2111" s="408"/>
      <c r="D2111" s="408"/>
      <c r="E2111" s="408"/>
      <c r="F2111" s="408"/>
      <c r="G2111" s="408"/>
      <c r="H2111" s="408"/>
      <c r="I2111" s="408"/>
      <c r="J2111" s="408"/>
      <c r="K2111" s="408"/>
      <c r="L2111" s="408"/>
      <c r="M2111" s="408"/>
      <c r="N2111" s="408" t="str">
        <f t="shared" si="459"/>
        <v/>
      </c>
      <c r="O2111" s="408"/>
      <c r="P2111" s="408"/>
      <c r="Q2111" s="408"/>
      <c r="R2111" s="408"/>
      <c r="S2111" s="408"/>
      <c r="T2111" s="408"/>
      <c r="U2111" s="408"/>
      <c r="V2111" s="421"/>
      <c r="W2111" s="421"/>
      <c r="X2111" s="421"/>
      <c r="Y2111" s="421"/>
      <c r="Z2111" s="421"/>
      <c r="AA2111" s="421"/>
      <c r="AB2111" s="421"/>
      <c r="AC2111" s="421"/>
      <c r="AD2111" s="421"/>
      <c r="AE2111" s="421"/>
      <c r="AF2111" s="421"/>
      <c r="AG2111" s="421"/>
      <c r="AH2111" s="421"/>
      <c r="AI2111" s="421"/>
      <c r="AJ2111" s="421"/>
      <c r="AK2111" s="421"/>
      <c r="AL2111" s="421"/>
    </row>
    <row r="2112" spans="1:38" hidden="1">
      <c r="A2112" s="408"/>
      <c r="B2112" s="83" t="e">
        <f t="array" ref="B2112">SUM(--(FREQUENCY(IF(C$2:C$3072=C2112, MATCH(D$2:D$3072, D$2:D$3072, 0)), ROW(D$2:D$3072)-ROW(D$2)+1) &gt; 0))</f>
        <v>#N/A</v>
      </c>
      <c r="C2112" s="408"/>
      <c r="D2112" s="408"/>
      <c r="E2112" s="408"/>
      <c r="F2112" s="408"/>
      <c r="G2112" s="408"/>
      <c r="H2112" s="408"/>
      <c r="I2112" s="408"/>
      <c r="J2112" s="408"/>
      <c r="K2112" s="408"/>
      <c r="L2112" s="408"/>
      <c r="M2112" s="408"/>
      <c r="N2112" s="408" t="str">
        <f t="shared" ref="N2112:N2175" si="460">IF(O2112&lt;&gt;"", "NG", "")</f>
        <v/>
      </c>
      <c r="O2112" s="408"/>
      <c r="P2112" s="408"/>
      <c r="Q2112" s="408"/>
      <c r="R2112" s="408"/>
      <c r="S2112" s="408"/>
      <c r="T2112" s="408"/>
      <c r="U2112" s="408"/>
      <c r="V2112" s="421"/>
      <c r="W2112" s="421"/>
      <c r="X2112" s="421"/>
      <c r="Y2112" s="421"/>
      <c r="Z2112" s="421"/>
      <c r="AA2112" s="421"/>
      <c r="AB2112" s="421"/>
      <c r="AC2112" s="421"/>
      <c r="AD2112" s="421"/>
      <c r="AE2112" s="421"/>
      <c r="AF2112" s="421"/>
      <c r="AG2112" s="421"/>
      <c r="AH2112" s="421"/>
      <c r="AI2112" s="421"/>
      <c r="AJ2112" s="421"/>
      <c r="AK2112" s="421"/>
      <c r="AL2112" s="421"/>
    </row>
    <row r="2113" spans="1:38" hidden="1">
      <c r="A2113" s="408"/>
      <c r="B2113" s="83" t="e">
        <f t="array" ref="B2113">SUM(--(FREQUENCY(IF(C$2:C$3072=C2113, MATCH(D$2:D$3072, D$2:D$3072, 0)), ROW(D$2:D$3072)-ROW(D$2)+1) &gt; 0))</f>
        <v>#N/A</v>
      </c>
      <c r="C2113" s="408"/>
      <c r="D2113" s="408"/>
      <c r="E2113" s="408"/>
      <c r="F2113" s="408"/>
      <c r="G2113" s="408"/>
      <c r="H2113" s="408"/>
      <c r="I2113" s="408"/>
      <c r="J2113" s="408"/>
      <c r="K2113" s="408"/>
      <c r="L2113" s="408"/>
      <c r="M2113" s="408"/>
      <c r="N2113" s="408" t="str">
        <f t="shared" si="460"/>
        <v/>
      </c>
      <c r="O2113" s="408"/>
      <c r="P2113" s="408"/>
      <c r="Q2113" s="408"/>
      <c r="R2113" s="408"/>
      <c r="S2113" s="408"/>
      <c r="T2113" s="408"/>
      <c r="U2113" s="408"/>
      <c r="V2113" s="421"/>
      <c r="W2113" s="421"/>
      <c r="X2113" s="421"/>
      <c r="Y2113" s="421"/>
      <c r="Z2113" s="421"/>
      <c r="AA2113" s="421"/>
      <c r="AB2113" s="421"/>
      <c r="AC2113" s="421"/>
      <c r="AD2113" s="421"/>
      <c r="AE2113" s="421"/>
      <c r="AF2113" s="421"/>
      <c r="AG2113" s="421"/>
      <c r="AH2113" s="421"/>
      <c r="AI2113" s="421"/>
      <c r="AJ2113" s="421"/>
      <c r="AK2113" s="421"/>
      <c r="AL2113" s="421"/>
    </row>
    <row r="2114" spans="1:38" hidden="1">
      <c r="A2114" s="408"/>
      <c r="B2114" s="83" t="e">
        <f t="array" ref="B2114">SUM(--(FREQUENCY(IF(C$2:C$3072=C2114, MATCH(D$2:D$3072, D$2:D$3072, 0)), ROW(D$2:D$3072)-ROW(D$2)+1) &gt; 0))</f>
        <v>#N/A</v>
      </c>
      <c r="C2114" s="408"/>
      <c r="D2114" s="408"/>
      <c r="E2114" s="408"/>
      <c r="F2114" s="408"/>
      <c r="G2114" s="408"/>
      <c r="H2114" s="408"/>
      <c r="I2114" s="408"/>
      <c r="J2114" s="408"/>
      <c r="K2114" s="408"/>
      <c r="L2114" s="408"/>
      <c r="M2114" s="408"/>
      <c r="N2114" s="408" t="str">
        <f t="shared" si="460"/>
        <v/>
      </c>
      <c r="O2114" s="408"/>
      <c r="P2114" s="408"/>
      <c r="Q2114" s="408"/>
      <c r="R2114" s="408"/>
      <c r="S2114" s="408"/>
      <c r="T2114" s="408"/>
      <c r="U2114" s="408"/>
      <c r="V2114" s="421"/>
      <c r="W2114" s="421"/>
      <c r="X2114" s="421"/>
      <c r="Y2114" s="421"/>
      <c r="Z2114" s="421"/>
      <c r="AA2114" s="421"/>
      <c r="AB2114" s="421"/>
      <c r="AC2114" s="421"/>
      <c r="AD2114" s="421"/>
      <c r="AE2114" s="421"/>
      <c r="AF2114" s="421"/>
      <c r="AG2114" s="421"/>
      <c r="AH2114" s="421"/>
      <c r="AI2114" s="421"/>
      <c r="AJ2114" s="421"/>
      <c r="AK2114" s="421"/>
      <c r="AL2114" s="421"/>
    </row>
    <row r="2115" spans="1:38" hidden="1">
      <c r="A2115" s="408"/>
      <c r="B2115" s="83" t="e">
        <f t="array" ref="B2115">SUM(--(FREQUENCY(IF(C$2:C$3072=C2115, MATCH(D$2:D$3072, D$2:D$3072, 0)), ROW(D$2:D$3072)-ROW(D$2)+1) &gt; 0))</f>
        <v>#N/A</v>
      </c>
      <c r="C2115" s="408"/>
      <c r="D2115" s="408"/>
      <c r="E2115" s="408"/>
      <c r="F2115" s="408"/>
      <c r="G2115" s="408"/>
      <c r="H2115" s="408"/>
      <c r="I2115" s="408"/>
      <c r="J2115" s="408"/>
      <c r="K2115" s="408"/>
      <c r="L2115" s="408"/>
      <c r="M2115" s="408"/>
      <c r="N2115" s="408" t="str">
        <f t="shared" si="460"/>
        <v/>
      </c>
      <c r="O2115" s="408"/>
      <c r="P2115" s="408"/>
      <c r="Q2115" s="408"/>
      <c r="R2115" s="408"/>
      <c r="S2115" s="408"/>
      <c r="T2115" s="408"/>
      <c r="U2115" s="408"/>
      <c r="V2115" s="421"/>
      <c r="W2115" s="421"/>
      <c r="X2115" s="421"/>
      <c r="Y2115" s="421"/>
      <c r="Z2115" s="421"/>
      <c r="AA2115" s="421"/>
      <c r="AB2115" s="421"/>
      <c r="AC2115" s="421"/>
      <c r="AD2115" s="421"/>
      <c r="AE2115" s="421"/>
      <c r="AF2115" s="421"/>
      <c r="AG2115" s="421"/>
      <c r="AH2115" s="421"/>
      <c r="AI2115" s="421"/>
      <c r="AJ2115" s="421"/>
      <c r="AK2115" s="421"/>
      <c r="AL2115" s="421"/>
    </row>
    <row r="2116" spans="1:38" hidden="1">
      <c r="A2116" s="408"/>
      <c r="B2116" s="83" t="e">
        <f t="array" ref="B2116">SUM(--(FREQUENCY(IF(C$2:C$3072=C2116, MATCH(D$2:D$3072, D$2:D$3072, 0)), ROW(D$2:D$3072)-ROW(D$2)+1) &gt; 0))</f>
        <v>#N/A</v>
      </c>
      <c r="C2116" s="408"/>
      <c r="D2116" s="408"/>
      <c r="E2116" s="408"/>
      <c r="F2116" s="408"/>
      <c r="G2116" s="408"/>
      <c r="H2116" s="408"/>
      <c r="I2116" s="408"/>
      <c r="J2116" s="408"/>
      <c r="K2116" s="408"/>
      <c r="L2116" s="408"/>
      <c r="M2116" s="408"/>
      <c r="N2116" s="408" t="str">
        <f t="shared" si="460"/>
        <v/>
      </c>
      <c r="O2116" s="408"/>
      <c r="P2116" s="408"/>
      <c r="Q2116" s="408"/>
      <c r="R2116" s="408"/>
      <c r="S2116" s="408"/>
      <c r="T2116" s="408"/>
      <c r="U2116" s="408"/>
      <c r="V2116" s="421"/>
      <c r="W2116" s="421"/>
      <c r="X2116" s="421"/>
      <c r="Y2116" s="421"/>
      <c r="Z2116" s="421"/>
      <c r="AA2116" s="421"/>
      <c r="AB2116" s="421"/>
      <c r="AC2116" s="421"/>
      <c r="AD2116" s="421"/>
      <c r="AE2116" s="421"/>
      <c r="AF2116" s="421"/>
      <c r="AG2116" s="421"/>
      <c r="AH2116" s="421"/>
      <c r="AI2116" s="421"/>
      <c r="AJ2116" s="421"/>
      <c r="AK2116" s="421"/>
      <c r="AL2116" s="421"/>
    </row>
    <row r="2117" spans="1:38" hidden="1">
      <c r="A2117" s="408"/>
      <c r="B2117" s="83" t="e">
        <f t="array" ref="B2117">SUM(--(FREQUENCY(IF(C$2:C$3072=C2117, MATCH(D$2:D$3072, D$2:D$3072, 0)), ROW(D$2:D$3072)-ROW(D$2)+1) &gt; 0))</f>
        <v>#N/A</v>
      </c>
      <c r="C2117" s="408"/>
      <c r="D2117" s="408"/>
      <c r="E2117" s="408"/>
      <c r="F2117" s="408"/>
      <c r="G2117" s="408"/>
      <c r="H2117" s="408"/>
      <c r="I2117" s="408"/>
      <c r="J2117" s="408"/>
      <c r="K2117" s="408"/>
      <c r="L2117" s="408"/>
      <c r="M2117" s="408"/>
      <c r="N2117" s="408" t="str">
        <f t="shared" si="460"/>
        <v/>
      </c>
      <c r="O2117" s="408"/>
      <c r="P2117" s="408"/>
      <c r="Q2117" s="408"/>
      <c r="R2117" s="408"/>
      <c r="S2117" s="408"/>
      <c r="T2117" s="408"/>
      <c r="U2117" s="408"/>
      <c r="V2117" s="421"/>
      <c r="W2117" s="421"/>
      <c r="X2117" s="421"/>
      <c r="Y2117" s="421"/>
      <c r="Z2117" s="421"/>
      <c r="AA2117" s="421"/>
      <c r="AB2117" s="421"/>
      <c r="AC2117" s="421"/>
      <c r="AD2117" s="421"/>
      <c r="AE2117" s="421"/>
      <c r="AF2117" s="421"/>
      <c r="AG2117" s="421"/>
      <c r="AH2117" s="421"/>
      <c r="AI2117" s="421"/>
      <c r="AJ2117" s="421"/>
      <c r="AK2117" s="421"/>
      <c r="AL2117" s="421"/>
    </row>
    <row r="2118" spans="1:38" hidden="1">
      <c r="A2118" s="408"/>
      <c r="B2118" s="83" t="e">
        <f t="array" ref="B2118">SUM(--(FREQUENCY(IF(C$2:C$3072=C2118, MATCH(D$2:D$3072, D$2:D$3072, 0)), ROW(D$2:D$3072)-ROW(D$2)+1) &gt; 0))</f>
        <v>#N/A</v>
      </c>
      <c r="C2118" s="408"/>
      <c r="D2118" s="408"/>
      <c r="E2118" s="408"/>
      <c r="F2118" s="408"/>
      <c r="G2118" s="408"/>
      <c r="H2118" s="408"/>
      <c r="I2118" s="408"/>
      <c r="J2118" s="408"/>
      <c r="K2118" s="408"/>
      <c r="L2118" s="408"/>
      <c r="M2118" s="408"/>
      <c r="N2118" s="408" t="str">
        <f t="shared" si="460"/>
        <v/>
      </c>
      <c r="O2118" s="408"/>
      <c r="P2118" s="408"/>
      <c r="Q2118" s="408"/>
      <c r="R2118" s="408"/>
      <c r="S2118" s="408"/>
      <c r="T2118" s="408"/>
      <c r="U2118" s="408"/>
      <c r="V2118" s="421"/>
      <c r="W2118" s="421"/>
      <c r="X2118" s="421"/>
      <c r="Y2118" s="421"/>
      <c r="Z2118" s="421"/>
      <c r="AA2118" s="421"/>
      <c r="AB2118" s="421"/>
      <c r="AC2118" s="421"/>
      <c r="AD2118" s="421"/>
      <c r="AE2118" s="421"/>
      <c r="AF2118" s="421"/>
      <c r="AG2118" s="421"/>
      <c r="AH2118" s="421"/>
      <c r="AI2118" s="421"/>
      <c r="AJ2118" s="421"/>
      <c r="AK2118" s="421"/>
      <c r="AL2118" s="421"/>
    </row>
    <row r="2119" spans="1:38" hidden="1">
      <c r="A2119" s="408"/>
      <c r="B2119" s="83" t="e">
        <f t="array" ref="B2119">SUM(--(FREQUENCY(IF(C$2:C$3072=C2119, MATCH(D$2:D$3072, D$2:D$3072, 0)), ROW(D$2:D$3072)-ROW(D$2)+1) &gt; 0))</f>
        <v>#N/A</v>
      </c>
      <c r="C2119" s="408"/>
      <c r="D2119" s="408"/>
      <c r="E2119" s="408"/>
      <c r="F2119" s="408"/>
      <c r="G2119" s="408"/>
      <c r="H2119" s="408"/>
      <c r="I2119" s="408"/>
      <c r="J2119" s="408"/>
      <c r="K2119" s="408"/>
      <c r="L2119" s="408"/>
      <c r="M2119" s="408"/>
      <c r="N2119" s="408" t="str">
        <f t="shared" si="460"/>
        <v/>
      </c>
      <c r="O2119" s="408"/>
      <c r="P2119" s="408"/>
      <c r="Q2119" s="408"/>
      <c r="R2119" s="408"/>
      <c r="S2119" s="408"/>
      <c r="T2119" s="408"/>
      <c r="U2119" s="408"/>
      <c r="V2119" s="421"/>
      <c r="W2119" s="421"/>
      <c r="X2119" s="421"/>
      <c r="Y2119" s="421"/>
      <c r="Z2119" s="421"/>
      <c r="AA2119" s="421"/>
      <c r="AB2119" s="421"/>
      <c r="AC2119" s="421"/>
      <c r="AD2119" s="421"/>
      <c r="AE2119" s="421"/>
      <c r="AF2119" s="421"/>
      <c r="AG2119" s="421"/>
      <c r="AH2119" s="421"/>
      <c r="AI2119" s="421"/>
      <c r="AJ2119" s="421"/>
      <c r="AK2119" s="421"/>
      <c r="AL2119" s="421"/>
    </row>
    <row r="2120" spans="1:38" hidden="1">
      <c r="A2120" s="408"/>
      <c r="B2120" s="83" t="e">
        <f t="array" ref="B2120">SUM(--(FREQUENCY(IF(C$2:C$3072=C2120, MATCH(D$2:D$3072, D$2:D$3072, 0)), ROW(D$2:D$3072)-ROW(D$2)+1) &gt; 0))</f>
        <v>#N/A</v>
      </c>
      <c r="C2120" s="408"/>
      <c r="D2120" s="408"/>
      <c r="E2120" s="408"/>
      <c r="F2120" s="408"/>
      <c r="G2120" s="408"/>
      <c r="H2120" s="408"/>
      <c r="I2120" s="408"/>
      <c r="J2120" s="408"/>
      <c r="K2120" s="408"/>
      <c r="L2120" s="408"/>
      <c r="M2120" s="408"/>
      <c r="N2120" s="408" t="str">
        <f t="shared" si="460"/>
        <v/>
      </c>
      <c r="O2120" s="408"/>
      <c r="P2120" s="408"/>
      <c r="Q2120" s="408"/>
      <c r="R2120" s="408"/>
      <c r="S2120" s="408"/>
      <c r="T2120" s="408"/>
      <c r="U2120" s="408"/>
      <c r="V2120" s="421"/>
      <c r="W2120" s="421"/>
      <c r="X2120" s="421"/>
      <c r="Y2120" s="421"/>
      <c r="Z2120" s="421"/>
      <c r="AA2120" s="421"/>
      <c r="AB2120" s="421"/>
      <c r="AC2120" s="421"/>
      <c r="AD2120" s="421"/>
      <c r="AE2120" s="421"/>
      <c r="AF2120" s="421"/>
      <c r="AG2120" s="421"/>
      <c r="AH2120" s="421"/>
      <c r="AI2120" s="421"/>
      <c r="AJ2120" s="421"/>
      <c r="AK2120" s="421"/>
      <c r="AL2120" s="421"/>
    </row>
    <row r="2121" spans="1:38" hidden="1">
      <c r="A2121" s="408"/>
      <c r="B2121" s="83" t="e">
        <f t="array" ref="B2121">SUM(--(FREQUENCY(IF(C$2:C$3072=C2121, MATCH(D$2:D$3072, D$2:D$3072, 0)), ROW(D$2:D$3072)-ROW(D$2)+1) &gt; 0))</f>
        <v>#N/A</v>
      </c>
      <c r="C2121" s="408"/>
      <c r="D2121" s="408"/>
      <c r="E2121" s="408"/>
      <c r="F2121" s="408"/>
      <c r="G2121" s="408"/>
      <c r="H2121" s="408"/>
      <c r="I2121" s="408"/>
      <c r="J2121" s="408"/>
      <c r="K2121" s="408"/>
      <c r="L2121" s="408"/>
      <c r="M2121" s="408"/>
      <c r="N2121" s="408" t="str">
        <f t="shared" si="460"/>
        <v/>
      </c>
      <c r="O2121" s="408"/>
      <c r="P2121" s="408"/>
      <c r="Q2121" s="408"/>
      <c r="R2121" s="408"/>
      <c r="S2121" s="408"/>
      <c r="T2121" s="408"/>
      <c r="U2121" s="408"/>
      <c r="V2121" s="421"/>
      <c r="W2121" s="421"/>
      <c r="X2121" s="421"/>
      <c r="Y2121" s="421"/>
      <c r="Z2121" s="421"/>
      <c r="AA2121" s="421"/>
      <c r="AB2121" s="421"/>
      <c r="AC2121" s="421"/>
      <c r="AD2121" s="421"/>
      <c r="AE2121" s="421"/>
      <c r="AF2121" s="421"/>
      <c r="AG2121" s="421"/>
      <c r="AH2121" s="421"/>
      <c r="AI2121" s="421"/>
      <c r="AJ2121" s="421"/>
      <c r="AK2121" s="421"/>
      <c r="AL2121" s="421"/>
    </row>
    <row r="2122" spans="1:38" hidden="1">
      <c r="A2122" s="408"/>
      <c r="B2122" s="83" t="e">
        <f t="array" ref="B2122">SUM(--(FREQUENCY(IF(C$2:C$3072=C2122, MATCH(D$2:D$3072, D$2:D$3072, 0)), ROW(D$2:D$3072)-ROW(D$2)+1) &gt; 0))</f>
        <v>#N/A</v>
      </c>
      <c r="C2122" s="408"/>
      <c r="D2122" s="408"/>
      <c r="E2122" s="408"/>
      <c r="F2122" s="408"/>
      <c r="G2122" s="408"/>
      <c r="H2122" s="408"/>
      <c r="I2122" s="408"/>
      <c r="J2122" s="408"/>
      <c r="K2122" s="408"/>
      <c r="L2122" s="408"/>
      <c r="M2122" s="408"/>
      <c r="N2122" s="408" t="str">
        <f t="shared" si="460"/>
        <v/>
      </c>
      <c r="O2122" s="408"/>
      <c r="P2122" s="408"/>
      <c r="Q2122" s="408"/>
      <c r="R2122" s="408"/>
      <c r="S2122" s="408"/>
      <c r="T2122" s="408"/>
      <c r="U2122" s="408"/>
      <c r="V2122" s="421"/>
      <c r="W2122" s="421"/>
      <c r="X2122" s="421"/>
      <c r="Y2122" s="421"/>
      <c r="Z2122" s="421"/>
      <c r="AA2122" s="421"/>
      <c r="AB2122" s="421"/>
      <c r="AC2122" s="421"/>
      <c r="AD2122" s="421"/>
      <c r="AE2122" s="421"/>
      <c r="AF2122" s="421"/>
      <c r="AG2122" s="421"/>
      <c r="AH2122" s="421"/>
      <c r="AI2122" s="421"/>
      <c r="AJ2122" s="421"/>
      <c r="AK2122" s="421"/>
      <c r="AL2122" s="421"/>
    </row>
    <row r="2123" spans="1:38" hidden="1">
      <c r="A2123" s="408"/>
      <c r="B2123" s="83" t="e">
        <f t="array" ref="B2123">SUM(--(FREQUENCY(IF(C$2:C$3072=C2123, MATCH(D$2:D$3072, D$2:D$3072, 0)), ROW(D$2:D$3072)-ROW(D$2)+1) &gt; 0))</f>
        <v>#N/A</v>
      </c>
      <c r="C2123" s="408"/>
      <c r="D2123" s="408"/>
      <c r="E2123" s="408"/>
      <c r="F2123" s="408"/>
      <c r="G2123" s="408"/>
      <c r="H2123" s="408"/>
      <c r="I2123" s="408"/>
      <c r="J2123" s="408"/>
      <c r="K2123" s="408"/>
      <c r="L2123" s="408"/>
      <c r="M2123" s="408"/>
      <c r="N2123" s="408" t="str">
        <f t="shared" si="460"/>
        <v/>
      </c>
      <c r="O2123" s="408"/>
      <c r="P2123" s="408"/>
      <c r="Q2123" s="408"/>
      <c r="R2123" s="408"/>
      <c r="S2123" s="408"/>
      <c r="T2123" s="408"/>
      <c r="U2123" s="408"/>
      <c r="V2123" s="421"/>
      <c r="W2123" s="421"/>
      <c r="X2123" s="421"/>
      <c r="Y2123" s="421"/>
      <c r="Z2123" s="421"/>
      <c r="AA2123" s="421"/>
      <c r="AB2123" s="421"/>
      <c r="AC2123" s="421"/>
      <c r="AD2123" s="421"/>
      <c r="AE2123" s="421"/>
      <c r="AF2123" s="421"/>
      <c r="AG2123" s="421"/>
      <c r="AH2123" s="421"/>
      <c r="AI2123" s="421"/>
      <c r="AJ2123" s="421"/>
      <c r="AK2123" s="421"/>
      <c r="AL2123" s="421"/>
    </row>
    <row r="2124" spans="1:38" hidden="1">
      <c r="A2124" s="408"/>
      <c r="B2124" s="83" t="e">
        <f t="array" ref="B2124">SUM(--(FREQUENCY(IF(C$2:C$3072=C2124, MATCH(D$2:D$3072, D$2:D$3072, 0)), ROW(D$2:D$3072)-ROW(D$2)+1) &gt; 0))</f>
        <v>#N/A</v>
      </c>
      <c r="C2124" s="408"/>
      <c r="D2124" s="408"/>
      <c r="E2124" s="408"/>
      <c r="F2124" s="408"/>
      <c r="G2124" s="408"/>
      <c r="H2124" s="408"/>
      <c r="I2124" s="408"/>
      <c r="J2124" s="408"/>
      <c r="K2124" s="408"/>
      <c r="L2124" s="408"/>
      <c r="M2124" s="408"/>
      <c r="N2124" s="408" t="str">
        <f t="shared" si="460"/>
        <v/>
      </c>
      <c r="O2124" s="408"/>
      <c r="P2124" s="408"/>
      <c r="Q2124" s="408"/>
      <c r="R2124" s="408"/>
      <c r="S2124" s="408"/>
      <c r="T2124" s="408"/>
      <c r="U2124" s="408"/>
      <c r="V2124" s="421"/>
      <c r="W2124" s="421"/>
      <c r="X2124" s="421"/>
      <c r="Y2124" s="421"/>
      <c r="Z2124" s="421"/>
      <c r="AA2124" s="421"/>
      <c r="AB2124" s="421"/>
      <c r="AC2124" s="421"/>
      <c r="AD2124" s="421"/>
      <c r="AE2124" s="421"/>
      <c r="AF2124" s="421"/>
      <c r="AG2124" s="421"/>
      <c r="AH2124" s="421"/>
      <c r="AI2124" s="421"/>
      <c r="AJ2124" s="421"/>
      <c r="AK2124" s="421"/>
      <c r="AL2124" s="421"/>
    </row>
    <row r="2125" spans="1:38" hidden="1">
      <c r="A2125" s="408"/>
      <c r="B2125" s="83" t="e">
        <f t="array" ref="B2125">SUM(--(FREQUENCY(IF(C$2:C$3072=C2125, MATCH(D$2:D$3072, D$2:D$3072, 0)), ROW(D$2:D$3072)-ROW(D$2)+1) &gt; 0))</f>
        <v>#N/A</v>
      </c>
      <c r="C2125" s="408"/>
      <c r="D2125" s="408"/>
      <c r="E2125" s="408"/>
      <c r="F2125" s="408"/>
      <c r="G2125" s="408"/>
      <c r="H2125" s="408"/>
      <c r="I2125" s="408"/>
      <c r="J2125" s="408"/>
      <c r="K2125" s="408"/>
      <c r="L2125" s="408"/>
      <c r="M2125" s="408"/>
      <c r="N2125" s="408" t="str">
        <f t="shared" si="460"/>
        <v/>
      </c>
      <c r="O2125" s="408"/>
      <c r="P2125" s="408"/>
      <c r="Q2125" s="408"/>
      <c r="R2125" s="408"/>
      <c r="S2125" s="408"/>
      <c r="T2125" s="408"/>
      <c r="U2125" s="408"/>
      <c r="V2125" s="421"/>
      <c r="W2125" s="421"/>
      <c r="X2125" s="421"/>
      <c r="Y2125" s="421"/>
      <c r="Z2125" s="421"/>
      <c r="AA2125" s="421"/>
      <c r="AB2125" s="421"/>
      <c r="AC2125" s="421"/>
      <c r="AD2125" s="421"/>
      <c r="AE2125" s="421"/>
      <c r="AF2125" s="421"/>
      <c r="AG2125" s="421"/>
      <c r="AH2125" s="421"/>
      <c r="AI2125" s="421"/>
      <c r="AJ2125" s="421"/>
      <c r="AK2125" s="421"/>
      <c r="AL2125" s="421"/>
    </row>
    <row r="2126" spans="1:38" hidden="1">
      <c r="A2126" s="408"/>
      <c r="B2126" s="83" t="e">
        <f t="array" ref="B2126">SUM(--(FREQUENCY(IF(C$2:C$3072=C2126, MATCH(D$2:D$3072, D$2:D$3072, 0)), ROW(D$2:D$3072)-ROW(D$2)+1) &gt; 0))</f>
        <v>#N/A</v>
      </c>
      <c r="C2126" s="408"/>
      <c r="D2126" s="408"/>
      <c r="E2126" s="408"/>
      <c r="F2126" s="408"/>
      <c r="G2126" s="408"/>
      <c r="H2126" s="408"/>
      <c r="I2126" s="408"/>
      <c r="J2126" s="408"/>
      <c r="K2126" s="408"/>
      <c r="L2126" s="408"/>
      <c r="M2126" s="408"/>
      <c r="N2126" s="408" t="str">
        <f t="shared" si="460"/>
        <v/>
      </c>
      <c r="O2126" s="408"/>
      <c r="P2126" s="408"/>
      <c r="Q2126" s="408"/>
      <c r="R2126" s="408"/>
      <c r="S2126" s="408"/>
      <c r="T2126" s="408"/>
      <c r="U2126" s="408"/>
      <c r="V2126" s="421"/>
      <c r="W2126" s="421"/>
      <c r="X2126" s="421"/>
      <c r="Y2126" s="421"/>
      <c r="Z2126" s="421"/>
      <c r="AA2126" s="421"/>
      <c r="AB2126" s="421"/>
      <c r="AC2126" s="421"/>
      <c r="AD2126" s="421"/>
      <c r="AE2126" s="421"/>
      <c r="AF2126" s="421"/>
      <c r="AG2126" s="421"/>
      <c r="AH2126" s="421"/>
      <c r="AI2126" s="421"/>
      <c r="AJ2126" s="421"/>
      <c r="AK2126" s="421"/>
      <c r="AL2126" s="421"/>
    </row>
    <row r="2127" spans="1:38" hidden="1">
      <c r="A2127" s="408"/>
      <c r="B2127" s="83" t="e">
        <f t="array" ref="B2127">SUM(--(FREQUENCY(IF(C$2:C$3072=C2127, MATCH(D$2:D$3072, D$2:D$3072, 0)), ROW(D$2:D$3072)-ROW(D$2)+1) &gt; 0))</f>
        <v>#N/A</v>
      </c>
      <c r="C2127" s="408"/>
      <c r="D2127" s="408"/>
      <c r="E2127" s="408"/>
      <c r="F2127" s="408"/>
      <c r="G2127" s="408"/>
      <c r="H2127" s="408"/>
      <c r="I2127" s="408"/>
      <c r="J2127" s="408"/>
      <c r="K2127" s="408"/>
      <c r="L2127" s="408"/>
      <c r="M2127" s="408"/>
      <c r="N2127" s="408" t="str">
        <f t="shared" si="460"/>
        <v/>
      </c>
      <c r="O2127" s="408"/>
      <c r="P2127" s="408"/>
      <c r="Q2127" s="408"/>
      <c r="R2127" s="408"/>
      <c r="S2127" s="408"/>
      <c r="T2127" s="408"/>
      <c r="U2127" s="408"/>
      <c r="V2127" s="421"/>
      <c r="W2127" s="421"/>
      <c r="X2127" s="421"/>
      <c r="Y2127" s="421"/>
      <c r="Z2127" s="421"/>
      <c r="AA2127" s="421"/>
      <c r="AB2127" s="421"/>
      <c r="AC2127" s="421"/>
      <c r="AD2127" s="421"/>
      <c r="AE2127" s="421"/>
      <c r="AF2127" s="421"/>
      <c r="AG2127" s="421"/>
      <c r="AH2127" s="421"/>
      <c r="AI2127" s="421"/>
      <c r="AJ2127" s="421"/>
      <c r="AK2127" s="421"/>
      <c r="AL2127" s="421"/>
    </row>
    <row r="2128" spans="1:38" hidden="1">
      <c r="A2128" s="408"/>
      <c r="B2128" s="83" t="e">
        <f t="array" ref="B2128">SUM(--(FREQUENCY(IF(C$2:C$3072=C2128, MATCH(D$2:D$3072, D$2:D$3072, 0)), ROW(D$2:D$3072)-ROW(D$2)+1) &gt; 0))</f>
        <v>#N/A</v>
      </c>
      <c r="C2128" s="408"/>
      <c r="D2128" s="408"/>
      <c r="E2128" s="408"/>
      <c r="F2128" s="408"/>
      <c r="G2128" s="408"/>
      <c r="H2128" s="408"/>
      <c r="I2128" s="408"/>
      <c r="J2128" s="408"/>
      <c r="K2128" s="408"/>
      <c r="L2128" s="408"/>
      <c r="M2128" s="408"/>
      <c r="N2128" s="408" t="str">
        <f t="shared" si="460"/>
        <v/>
      </c>
      <c r="O2128" s="408"/>
      <c r="P2128" s="408"/>
      <c r="Q2128" s="408"/>
      <c r="R2128" s="408"/>
      <c r="S2128" s="408"/>
      <c r="T2128" s="408"/>
      <c r="U2128" s="408"/>
      <c r="V2128" s="421"/>
      <c r="W2128" s="421"/>
      <c r="X2128" s="421"/>
      <c r="Y2128" s="421"/>
      <c r="Z2128" s="421"/>
      <c r="AA2128" s="421"/>
      <c r="AB2128" s="421"/>
      <c r="AC2128" s="421"/>
      <c r="AD2128" s="421"/>
      <c r="AE2128" s="421"/>
      <c r="AF2128" s="421"/>
      <c r="AG2128" s="421"/>
      <c r="AH2128" s="421"/>
      <c r="AI2128" s="421"/>
      <c r="AJ2128" s="421"/>
      <c r="AK2128" s="421"/>
      <c r="AL2128" s="421"/>
    </row>
    <row r="2129" spans="1:38" hidden="1">
      <c r="A2129" s="408"/>
      <c r="B2129" s="83" t="e">
        <f t="array" ref="B2129">SUM(--(FREQUENCY(IF(C$2:C$3072=C2129, MATCH(D$2:D$3072, D$2:D$3072, 0)), ROW(D$2:D$3072)-ROW(D$2)+1) &gt; 0))</f>
        <v>#N/A</v>
      </c>
      <c r="C2129" s="408"/>
      <c r="D2129" s="408"/>
      <c r="E2129" s="408"/>
      <c r="F2129" s="408"/>
      <c r="G2129" s="408"/>
      <c r="H2129" s="408"/>
      <c r="I2129" s="408"/>
      <c r="J2129" s="408"/>
      <c r="K2129" s="408"/>
      <c r="L2129" s="408"/>
      <c r="M2129" s="408"/>
      <c r="N2129" s="408" t="str">
        <f t="shared" si="460"/>
        <v/>
      </c>
      <c r="O2129" s="408"/>
      <c r="P2129" s="408"/>
      <c r="Q2129" s="408"/>
      <c r="R2129" s="408"/>
      <c r="S2129" s="408"/>
      <c r="T2129" s="408"/>
      <c r="U2129" s="408"/>
      <c r="V2129" s="421"/>
      <c r="W2129" s="421"/>
      <c r="X2129" s="421"/>
      <c r="Y2129" s="421"/>
      <c r="Z2129" s="421"/>
      <c r="AA2129" s="421"/>
      <c r="AB2129" s="421"/>
      <c r="AC2129" s="421"/>
      <c r="AD2129" s="421"/>
      <c r="AE2129" s="421"/>
      <c r="AF2129" s="421"/>
      <c r="AG2129" s="421"/>
      <c r="AH2129" s="421"/>
      <c r="AI2129" s="421"/>
      <c r="AJ2129" s="421"/>
      <c r="AK2129" s="421"/>
      <c r="AL2129" s="421"/>
    </row>
    <row r="2130" spans="1:38" hidden="1">
      <c r="A2130" s="408"/>
      <c r="B2130" s="83" t="e">
        <f t="array" ref="B2130">SUM(--(FREQUENCY(IF(C$2:C$3072=C2130, MATCH(D$2:D$3072, D$2:D$3072, 0)), ROW(D$2:D$3072)-ROW(D$2)+1) &gt; 0))</f>
        <v>#N/A</v>
      </c>
      <c r="C2130" s="408"/>
      <c r="D2130" s="408"/>
      <c r="E2130" s="408"/>
      <c r="F2130" s="408"/>
      <c r="G2130" s="408"/>
      <c r="H2130" s="408"/>
      <c r="I2130" s="408"/>
      <c r="J2130" s="408"/>
      <c r="K2130" s="408"/>
      <c r="L2130" s="408"/>
      <c r="M2130" s="408"/>
      <c r="N2130" s="408" t="str">
        <f t="shared" si="460"/>
        <v/>
      </c>
      <c r="O2130" s="408"/>
      <c r="P2130" s="408"/>
      <c r="Q2130" s="408"/>
      <c r="R2130" s="408"/>
      <c r="S2130" s="408"/>
      <c r="T2130" s="408"/>
      <c r="U2130" s="408"/>
      <c r="V2130" s="421"/>
      <c r="W2130" s="421"/>
      <c r="X2130" s="421"/>
      <c r="Y2130" s="421"/>
      <c r="Z2130" s="421"/>
      <c r="AA2130" s="421"/>
      <c r="AB2130" s="421"/>
      <c r="AC2130" s="421"/>
      <c r="AD2130" s="421"/>
      <c r="AE2130" s="421"/>
      <c r="AF2130" s="421"/>
      <c r="AG2130" s="421"/>
      <c r="AH2130" s="421"/>
      <c r="AI2130" s="421"/>
      <c r="AJ2130" s="421"/>
      <c r="AK2130" s="421"/>
      <c r="AL2130" s="421"/>
    </row>
    <row r="2131" spans="1:38" hidden="1">
      <c r="A2131" s="408"/>
      <c r="B2131" s="83" t="e">
        <f t="array" ref="B2131">SUM(--(FREQUENCY(IF(C$2:C$3072=C2131, MATCH(D$2:D$3072, D$2:D$3072, 0)), ROW(D$2:D$3072)-ROW(D$2)+1) &gt; 0))</f>
        <v>#N/A</v>
      </c>
      <c r="C2131" s="408"/>
      <c r="D2131" s="408"/>
      <c r="E2131" s="408"/>
      <c r="F2131" s="408"/>
      <c r="G2131" s="408"/>
      <c r="H2131" s="408"/>
      <c r="I2131" s="408"/>
      <c r="J2131" s="408"/>
      <c r="K2131" s="408"/>
      <c r="L2131" s="408"/>
      <c r="M2131" s="408"/>
      <c r="N2131" s="408" t="str">
        <f t="shared" si="460"/>
        <v/>
      </c>
      <c r="O2131" s="408"/>
      <c r="P2131" s="408"/>
      <c r="Q2131" s="408"/>
      <c r="R2131" s="408"/>
      <c r="S2131" s="408"/>
      <c r="T2131" s="408"/>
      <c r="U2131" s="408"/>
      <c r="V2131" s="421"/>
      <c r="W2131" s="421"/>
      <c r="X2131" s="421"/>
      <c r="Y2131" s="421"/>
      <c r="Z2131" s="421"/>
      <c r="AA2131" s="421"/>
      <c r="AB2131" s="421"/>
      <c r="AC2131" s="421"/>
      <c r="AD2131" s="421"/>
      <c r="AE2131" s="421"/>
      <c r="AF2131" s="421"/>
      <c r="AG2131" s="421"/>
      <c r="AH2131" s="421"/>
      <c r="AI2131" s="421"/>
      <c r="AJ2131" s="421"/>
      <c r="AK2131" s="421"/>
      <c r="AL2131" s="421"/>
    </row>
    <row r="2132" spans="1:38" hidden="1">
      <c r="A2132" s="408"/>
      <c r="B2132" s="83" t="e">
        <f t="array" ref="B2132">SUM(--(FREQUENCY(IF(C$2:C$3072=C2132, MATCH(D$2:D$3072, D$2:D$3072, 0)), ROW(D$2:D$3072)-ROW(D$2)+1) &gt; 0))</f>
        <v>#N/A</v>
      </c>
      <c r="C2132" s="408"/>
      <c r="D2132" s="408"/>
      <c r="E2132" s="408"/>
      <c r="F2132" s="408"/>
      <c r="G2132" s="408"/>
      <c r="H2132" s="408"/>
      <c r="I2132" s="408"/>
      <c r="J2132" s="408"/>
      <c r="K2132" s="408"/>
      <c r="L2132" s="408"/>
      <c r="M2132" s="408"/>
      <c r="N2132" s="408" t="str">
        <f t="shared" si="460"/>
        <v/>
      </c>
      <c r="O2132" s="408"/>
      <c r="P2132" s="408"/>
      <c r="Q2132" s="408"/>
      <c r="R2132" s="408"/>
      <c r="S2132" s="408"/>
      <c r="T2132" s="408"/>
      <c r="U2132" s="408"/>
      <c r="V2132" s="421"/>
      <c r="W2132" s="421"/>
      <c r="X2132" s="421"/>
      <c r="Y2132" s="421"/>
      <c r="Z2132" s="421"/>
      <c r="AA2132" s="421"/>
      <c r="AB2132" s="421"/>
      <c r="AC2132" s="421"/>
      <c r="AD2132" s="421"/>
      <c r="AE2132" s="421"/>
      <c r="AF2132" s="421"/>
      <c r="AG2132" s="421"/>
      <c r="AH2132" s="421"/>
      <c r="AI2132" s="421"/>
      <c r="AJ2132" s="421"/>
      <c r="AK2132" s="421"/>
      <c r="AL2132" s="421"/>
    </row>
    <row r="2133" spans="1:38" hidden="1">
      <c r="A2133" s="408"/>
      <c r="B2133" s="83" t="e">
        <f t="array" ref="B2133">SUM(--(FREQUENCY(IF(C$2:C$3072=C2133, MATCH(D$2:D$3072, D$2:D$3072, 0)), ROW(D$2:D$3072)-ROW(D$2)+1) &gt; 0))</f>
        <v>#N/A</v>
      </c>
      <c r="C2133" s="408"/>
      <c r="D2133" s="408"/>
      <c r="E2133" s="408"/>
      <c r="F2133" s="408"/>
      <c r="G2133" s="408"/>
      <c r="H2133" s="408"/>
      <c r="I2133" s="408"/>
      <c r="J2133" s="408"/>
      <c r="K2133" s="408"/>
      <c r="L2133" s="408"/>
      <c r="M2133" s="408"/>
      <c r="N2133" s="408" t="str">
        <f t="shared" si="460"/>
        <v/>
      </c>
      <c r="O2133" s="408"/>
      <c r="P2133" s="408"/>
      <c r="Q2133" s="408"/>
      <c r="R2133" s="408"/>
      <c r="S2133" s="408"/>
      <c r="T2133" s="408"/>
      <c r="U2133" s="408"/>
      <c r="V2133" s="421"/>
      <c r="W2133" s="421"/>
      <c r="X2133" s="421"/>
      <c r="Y2133" s="421"/>
      <c r="Z2133" s="421"/>
      <c r="AA2133" s="421"/>
      <c r="AB2133" s="421"/>
      <c r="AC2133" s="421"/>
      <c r="AD2133" s="421"/>
      <c r="AE2133" s="421"/>
      <c r="AF2133" s="421"/>
      <c r="AG2133" s="421"/>
      <c r="AH2133" s="421"/>
      <c r="AI2133" s="421"/>
      <c r="AJ2133" s="421"/>
      <c r="AK2133" s="421"/>
      <c r="AL2133" s="421"/>
    </row>
    <row r="2134" spans="1:38" hidden="1">
      <c r="A2134" s="408"/>
      <c r="B2134" s="83" t="e">
        <f t="array" ref="B2134">SUM(--(FREQUENCY(IF(C$2:C$3072=C2134, MATCH(D$2:D$3072, D$2:D$3072, 0)), ROW(D$2:D$3072)-ROW(D$2)+1) &gt; 0))</f>
        <v>#N/A</v>
      </c>
      <c r="C2134" s="408"/>
      <c r="D2134" s="408"/>
      <c r="E2134" s="408"/>
      <c r="F2134" s="408"/>
      <c r="G2134" s="408"/>
      <c r="H2134" s="408"/>
      <c r="I2134" s="408"/>
      <c r="J2134" s="408"/>
      <c r="K2134" s="408"/>
      <c r="L2134" s="408"/>
      <c r="M2134" s="408"/>
      <c r="N2134" s="408" t="str">
        <f t="shared" si="460"/>
        <v/>
      </c>
      <c r="O2134" s="408"/>
      <c r="P2134" s="408"/>
      <c r="Q2134" s="408"/>
      <c r="R2134" s="408"/>
      <c r="S2134" s="408"/>
      <c r="T2134" s="408"/>
      <c r="U2134" s="408"/>
      <c r="V2134" s="421"/>
      <c r="W2134" s="421"/>
      <c r="X2134" s="421"/>
      <c r="Y2134" s="421"/>
      <c r="Z2134" s="421"/>
      <c r="AA2134" s="421"/>
      <c r="AB2134" s="421"/>
      <c r="AC2134" s="421"/>
      <c r="AD2134" s="421"/>
      <c r="AE2134" s="421"/>
      <c r="AF2134" s="421"/>
      <c r="AG2134" s="421"/>
      <c r="AH2134" s="421"/>
      <c r="AI2134" s="421"/>
      <c r="AJ2134" s="421"/>
      <c r="AK2134" s="421"/>
      <c r="AL2134" s="421"/>
    </row>
    <row r="2135" spans="1:38" hidden="1">
      <c r="A2135" s="408"/>
      <c r="B2135" s="83" t="e">
        <f t="array" ref="B2135">SUM(--(FREQUENCY(IF(C$2:C$3072=C2135, MATCH(D$2:D$3072, D$2:D$3072, 0)), ROW(D$2:D$3072)-ROW(D$2)+1) &gt; 0))</f>
        <v>#N/A</v>
      </c>
      <c r="C2135" s="408"/>
      <c r="D2135" s="408"/>
      <c r="E2135" s="408"/>
      <c r="F2135" s="408"/>
      <c r="G2135" s="408"/>
      <c r="H2135" s="408"/>
      <c r="I2135" s="408"/>
      <c r="J2135" s="408"/>
      <c r="K2135" s="408"/>
      <c r="L2135" s="408"/>
      <c r="M2135" s="408"/>
      <c r="N2135" s="408" t="str">
        <f t="shared" si="460"/>
        <v/>
      </c>
      <c r="O2135" s="408"/>
      <c r="P2135" s="408"/>
      <c r="Q2135" s="408"/>
      <c r="R2135" s="408"/>
      <c r="S2135" s="408"/>
      <c r="T2135" s="408"/>
      <c r="U2135" s="408"/>
      <c r="V2135" s="421"/>
      <c r="W2135" s="421"/>
      <c r="X2135" s="421"/>
      <c r="Y2135" s="421"/>
      <c r="Z2135" s="421"/>
      <c r="AA2135" s="421"/>
      <c r="AB2135" s="421"/>
      <c r="AC2135" s="421"/>
      <c r="AD2135" s="421"/>
      <c r="AE2135" s="421"/>
      <c r="AF2135" s="421"/>
      <c r="AG2135" s="421"/>
      <c r="AH2135" s="421"/>
      <c r="AI2135" s="421"/>
      <c r="AJ2135" s="421"/>
      <c r="AK2135" s="421"/>
      <c r="AL2135" s="421"/>
    </row>
    <row r="2136" spans="1:38" hidden="1">
      <c r="A2136" s="408"/>
      <c r="B2136" s="83" t="e">
        <f t="array" ref="B2136">SUM(--(FREQUENCY(IF(C$2:C$3072=C2136, MATCH(D$2:D$3072, D$2:D$3072, 0)), ROW(D$2:D$3072)-ROW(D$2)+1) &gt; 0))</f>
        <v>#N/A</v>
      </c>
      <c r="C2136" s="408"/>
      <c r="D2136" s="408"/>
      <c r="E2136" s="408"/>
      <c r="F2136" s="408"/>
      <c r="G2136" s="408"/>
      <c r="H2136" s="408"/>
      <c r="I2136" s="408"/>
      <c r="J2136" s="408"/>
      <c r="K2136" s="408"/>
      <c r="L2136" s="408"/>
      <c r="M2136" s="408"/>
      <c r="N2136" s="408" t="str">
        <f t="shared" si="460"/>
        <v/>
      </c>
      <c r="O2136" s="408"/>
      <c r="P2136" s="408"/>
      <c r="Q2136" s="408"/>
      <c r="R2136" s="408"/>
      <c r="S2136" s="408"/>
      <c r="T2136" s="408"/>
      <c r="U2136" s="408"/>
      <c r="V2136" s="421"/>
      <c r="W2136" s="421"/>
      <c r="X2136" s="421"/>
      <c r="Y2136" s="421"/>
      <c r="Z2136" s="421"/>
      <c r="AA2136" s="421"/>
      <c r="AB2136" s="421"/>
      <c r="AC2136" s="421"/>
      <c r="AD2136" s="421"/>
      <c r="AE2136" s="421"/>
      <c r="AF2136" s="421"/>
      <c r="AG2136" s="421"/>
      <c r="AH2136" s="421"/>
      <c r="AI2136" s="421"/>
      <c r="AJ2136" s="421"/>
      <c r="AK2136" s="421"/>
      <c r="AL2136" s="421"/>
    </row>
    <row r="2137" spans="1:38" hidden="1">
      <c r="A2137" s="408"/>
      <c r="B2137" s="83" t="e">
        <f t="array" ref="B2137">SUM(--(FREQUENCY(IF(C$2:C$3072=C2137, MATCH(D$2:D$3072, D$2:D$3072, 0)), ROW(D$2:D$3072)-ROW(D$2)+1) &gt; 0))</f>
        <v>#N/A</v>
      </c>
      <c r="C2137" s="408"/>
      <c r="D2137" s="408"/>
      <c r="E2137" s="408"/>
      <c r="F2137" s="408"/>
      <c r="G2137" s="408"/>
      <c r="H2137" s="408"/>
      <c r="I2137" s="408"/>
      <c r="J2137" s="408"/>
      <c r="K2137" s="408"/>
      <c r="L2137" s="408"/>
      <c r="M2137" s="408"/>
      <c r="N2137" s="408" t="str">
        <f t="shared" si="460"/>
        <v/>
      </c>
      <c r="O2137" s="408"/>
      <c r="P2137" s="408"/>
      <c r="Q2137" s="408"/>
      <c r="R2137" s="408"/>
      <c r="S2137" s="408"/>
      <c r="T2137" s="408"/>
      <c r="U2137" s="408"/>
      <c r="V2137" s="421"/>
      <c r="W2137" s="421"/>
      <c r="X2137" s="421"/>
      <c r="Y2137" s="421"/>
      <c r="Z2137" s="421"/>
      <c r="AA2137" s="421"/>
      <c r="AB2137" s="421"/>
      <c r="AC2137" s="421"/>
      <c r="AD2137" s="421"/>
      <c r="AE2137" s="421"/>
      <c r="AF2137" s="421"/>
      <c r="AG2137" s="421"/>
      <c r="AH2137" s="421"/>
      <c r="AI2137" s="421"/>
      <c r="AJ2137" s="421"/>
      <c r="AK2137" s="421"/>
      <c r="AL2137" s="421"/>
    </row>
    <row r="2138" spans="1:38" hidden="1">
      <c r="A2138" s="408"/>
      <c r="B2138" s="83" t="e">
        <f t="array" ref="B2138">SUM(--(FREQUENCY(IF(C$2:C$3072=C2138, MATCH(D$2:D$3072, D$2:D$3072, 0)), ROW(D$2:D$3072)-ROW(D$2)+1) &gt; 0))</f>
        <v>#N/A</v>
      </c>
      <c r="C2138" s="408"/>
      <c r="D2138" s="408"/>
      <c r="E2138" s="408"/>
      <c r="F2138" s="408"/>
      <c r="G2138" s="408"/>
      <c r="H2138" s="408"/>
      <c r="I2138" s="408"/>
      <c r="J2138" s="408"/>
      <c r="K2138" s="408"/>
      <c r="L2138" s="408"/>
      <c r="M2138" s="408"/>
      <c r="N2138" s="408" t="str">
        <f t="shared" si="460"/>
        <v/>
      </c>
      <c r="O2138" s="408"/>
      <c r="P2138" s="408"/>
      <c r="Q2138" s="408"/>
      <c r="R2138" s="408"/>
      <c r="S2138" s="408"/>
      <c r="T2138" s="408"/>
      <c r="U2138" s="408"/>
      <c r="V2138" s="421"/>
      <c r="W2138" s="421"/>
      <c r="X2138" s="421"/>
      <c r="Y2138" s="421"/>
      <c r="Z2138" s="421"/>
      <c r="AA2138" s="421"/>
      <c r="AB2138" s="421"/>
      <c r="AC2138" s="421"/>
      <c r="AD2138" s="421"/>
      <c r="AE2138" s="421"/>
      <c r="AF2138" s="421"/>
      <c r="AG2138" s="421"/>
      <c r="AH2138" s="421"/>
      <c r="AI2138" s="421"/>
      <c r="AJ2138" s="421"/>
      <c r="AK2138" s="421"/>
      <c r="AL2138" s="421"/>
    </row>
    <row r="2139" spans="1:38" hidden="1">
      <c r="A2139" s="408"/>
      <c r="B2139" s="83" t="e">
        <f t="array" ref="B2139">SUM(--(FREQUENCY(IF(C$2:C$3072=C2139, MATCH(D$2:D$3072, D$2:D$3072, 0)), ROW(D$2:D$3072)-ROW(D$2)+1) &gt; 0))</f>
        <v>#N/A</v>
      </c>
      <c r="C2139" s="408"/>
      <c r="D2139" s="408"/>
      <c r="E2139" s="408"/>
      <c r="F2139" s="408"/>
      <c r="G2139" s="408"/>
      <c r="H2139" s="408"/>
      <c r="I2139" s="408"/>
      <c r="J2139" s="408"/>
      <c r="K2139" s="408"/>
      <c r="L2139" s="408"/>
      <c r="M2139" s="408"/>
      <c r="N2139" s="408" t="str">
        <f t="shared" si="460"/>
        <v/>
      </c>
      <c r="O2139" s="408"/>
      <c r="P2139" s="408"/>
      <c r="Q2139" s="408"/>
      <c r="R2139" s="408"/>
      <c r="S2139" s="408"/>
      <c r="T2139" s="408"/>
      <c r="U2139" s="408"/>
      <c r="V2139" s="421"/>
      <c r="W2139" s="421"/>
      <c r="X2139" s="421"/>
      <c r="Y2139" s="421"/>
      <c r="Z2139" s="421"/>
      <c r="AA2139" s="421"/>
      <c r="AB2139" s="421"/>
      <c r="AC2139" s="421"/>
      <c r="AD2139" s="421"/>
      <c r="AE2139" s="421"/>
      <c r="AF2139" s="421"/>
      <c r="AG2139" s="421"/>
      <c r="AH2139" s="421"/>
      <c r="AI2139" s="421"/>
      <c r="AJ2139" s="421"/>
      <c r="AK2139" s="421"/>
      <c r="AL2139" s="421"/>
    </row>
    <row r="2140" spans="1:38" hidden="1">
      <c r="A2140" s="408"/>
      <c r="B2140" s="83" t="e">
        <f t="array" ref="B2140">SUM(--(FREQUENCY(IF(C$2:C$3072=C2140, MATCH(D$2:D$3072, D$2:D$3072, 0)), ROW(D$2:D$3072)-ROW(D$2)+1) &gt; 0))</f>
        <v>#N/A</v>
      </c>
      <c r="C2140" s="408"/>
      <c r="D2140" s="408"/>
      <c r="E2140" s="408"/>
      <c r="F2140" s="408"/>
      <c r="G2140" s="408"/>
      <c r="H2140" s="408"/>
      <c r="I2140" s="408"/>
      <c r="J2140" s="408"/>
      <c r="K2140" s="408"/>
      <c r="L2140" s="408"/>
      <c r="M2140" s="408"/>
      <c r="N2140" s="408" t="str">
        <f t="shared" si="460"/>
        <v/>
      </c>
      <c r="O2140" s="408"/>
      <c r="P2140" s="408"/>
      <c r="Q2140" s="408"/>
      <c r="R2140" s="408"/>
      <c r="S2140" s="408"/>
      <c r="T2140" s="408"/>
      <c r="U2140" s="408"/>
      <c r="V2140" s="421"/>
      <c r="W2140" s="421"/>
      <c r="X2140" s="421"/>
      <c r="Y2140" s="421"/>
      <c r="Z2140" s="421"/>
      <c r="AA2140" s="421"/>
      <c r="AB2140" s="421"/>
      <c r="AC2140" s="421"/>
      <c r="AD2140" s="421"/>
      <c r="AE2140" s="421"/>
      <c r="AF2140" s="421"/>
      <c r="AG2140" s="421"/>
      <c r="AH2140" s="421"/>
      <c r="AI2140" s="421"/>
      <c r="AJ2140" s="421"/>
      <c r="AK2140" s="421"/>
      <c r="AL2140" s="421"/>
    </row>
    <row r="2141" spans="1:38" hidden="1">
      <c r="A2141" s="408"/>
      <c r="B2141" s="83" t="e">
        <f t="array" ref="B2141">SUM(--(FREQUENCY(IF(C$2:C$3072=C2141, MATCH(D$2:D$3072, D$2:D$3072, 0)), ROW(D$2:D$3072)-ROW(D$2)+1) &gt; 0))</f>
        <v>#N/A</v>
      </c>
      <c r="C2141" s="408"/>
      <c r="D2141" s="408"/>
      <c r="E2141" s="408"/>
      <c r="F2141" s="408"/>
      <c r="G2141" s="408"/>
      <c r="H2141" s="408"/>
      <c r="I2141" s="408"/>
      <c r="J2141" s="408"/>
      <c r="K2141" s="408"/>
      <c r="L2141" s="408"/>
      <c r="M2141" s="408"/>
      <c r="N2141" s="408" t="str">
        <f t="shared" si="460"/>
        <v/>
      </c>
      <c r="O2141" s="408"/>
      <c r="P2141" s="408"/>
      <c r="Q2141" s="408"/>
      <c r="R2141" s="408"/>
      <c r="S2141" s="408"/>
      <c r="T2141" s="408"/>
      <c r="U2141" s="408"/>
      <c r="V2141" s="421"/>
      <c r="W2141" s="421"/>
      <c r="X2141" s="421"/>
      <c r="Y2141" s="421"/>
      <c r="Z2141" s="421"/>
      <c r="AA2141" s="421"/>
      <c r="AB2141" s="421"/>
      <c r="AC2141" s="421"/>
      <c r="AD2141" s="421"/>
      <c r="AE2141" s="421"/>
      <c r="AF2141" s="421"/>
      <c r="AG2141" s="421"/>
      <c r="AH2141" s="421"/>
      <c r="AI2141" s="421"/>
      <c r="AJ2141" s="421"/>
      <c r="AK2141" s="421"/>
      <c r="AL2141" s="421"/>
    </row>
    <row r="2142" spans="1:38" hidden="1">
      <c r="A2142" s="408"/>
      <c r="B2142" s="83" t="e">
        <f t="array" ref="B2142">SUM(--(FREQUENCY(IF(C$2:C$3072=C2142, MATCH(D$2:D$3072, D$2:D$3072, 0)), ROW(D$2:D$3072)-ROW(D$2)+1) &gt; 0))</f>
        <v>#N/A</v>
      </c>
      <c r="C2142" s="408"/>
      <c r="D2142" s="408"/>
      <c r="E2142" s="408"/>
      <c r="F2142" s="408"/>
      <c r="G2142" s="408"/>
      <c r="H2142" s="408"/>
      <c r="I2142" s="408"/>
      <c r="J2142" s="408"/>
      <c r="K2142" s="408"/>
      <c r="L2142" s="408"/>
      <c r="M2142" s="408"/>
      <c r="N2142" s="408" t="str">
        <f t="shared" si="460"/>
        <v/>
      </c>
      <c r="O2142" s="408"/>
      <c r="P2142" s="408"/>
      <c r="Q2142" s="408"/>
      <c r="R2142" s="408"/>
      <c r="S2142" s="408"/>
      <c r="T2142" s="408"/>
      <c r="U2142" s="408"/>
      <c r="V2142" s="421"/>
      <c r="W2142" s="421"/>
      <c r="X2142" s="421"/>
      <c r="Y2142" s="421"/>
      <c r="Z2142" s="421"/>
      <c r="AA2142" s="421"/>
      <c r="AB2142" s="421"/>
      <c r="AC2142" s="421"/>
      <c r="AD2142" s="421"/>
      <c r="AE2142" s="421"/>
      <c r="AF2142" s="421"/>
      <c r="AG2142" s="421"/>
      <c r="AH2142" s="421"/>
      <c r="AI2142" s="421"/>
      <c r="AJ2142" s="421"/>
      <c r="AK2142" s="421"/>
      <c r="AL2142" s="421"/>
    </row>
    <row r="2143" spans="1:38" hidden="1">
      <c r="A2143" s="408"/>
      <c r="B2143" s="83" t="e">
        <f t="array" ref="B2143">SUM(--(FREQUENCY(IF(C$2:C$3072=C2143, MATCH(D$2:D$3072, D$2:D$3072, 0)), ROW(D$2:D$3072)-ROW(D$2)+1) &gt; 0))</f>
        <v>#N/A</v>
      </c>
      <c r="C2143" s="408"/>
      <c r="D2143" s="408"/>
      <c r="E2143" s="408"/>
      <c r="F2143" s="408"/>
      <c r="G2143" s="408"/>
      <c r="H2143" s="408"/>
      <c r="I2143" s="408"/>
      <c r="J2143" s="408"/>
      <c r="K2143" s="408"/>
      <c r="L2143" s="408"/>
      <c r="M2143" s="408"/>
      <c r="N2143" s="408" t="str">
        <f t="shared" si="460"/>
        <v/>
      </c>
      <c r="O2143" s="408"/>
      <c r="P2143" s="408"/>
      <c r="Q2143" s="408"/>
      <c r="R2143" s="408"/>
      <c r="S2143" s="408"/>
      <c r="T2143" s="408"/>
      <c r="U2143" s="408"/>
      <c r="V2143" s="421"/>
      <c r="W2143" s="421"/>
      <c r="X2143" s="421"/>
      <c r="Y2143" s="421"/>
      <c r="Z2143" s="421"/>
      <c r="AA2143" s="421"/>
      <c r="AB2143" s="421"/>
      <c r="AC2143" s="421"/>
      <c r="AD2143" s="421"/>
      <c r="AE2143" s="421"/>
      <c r="AF2143" s="421"/>
      <c r="AG2143" s="421"/>
      <c r="AH2143" s="421"/>
      <c r="AI2143" s="421"/>
      <c r="AJ2143" s="421"/>
      <c r="AK2143" s="421"/>
      <c r="AL2143" s="421"/>
    </row>
    <row r="2144" spans="1:38" hidden="1">
      <c r="A2144" s="408"/>
      <c r="B2144" s="83" t="e">
        <f t="array" ref="B2144">SUM(--(FREQUENCY(IF(C$2:C$3072=C2144, MATCH(D$2:D$3072, D$2:D$3072, 0)), ROW(D$2:D$3072)-ROW(D$2)+1) &gt; 0))</f>
        <v>#N/A</v>
      </c>
      <c r="C2144" s="408"/>
      <c r="D2144" s="408"/>
      <c r="E2144" s="408"/>
      <c r="F2144" s="408"/>
      <c r="G2144" s="408"/>
      <c r="H2144" s="408"/>
      <c r="I2144" s="408"/>
      <c r="J2144" s="408"/>
      <c r="K2144" s="408"/>
      <c r="L2144" s="408"/>
      <c r="M2144" s="408"/>
      <c r="N2144" s="408" t="str">
        <f t="shared" si="460"/>
        <v/>
      </c>
      <c r="O2144" s="408"/>
      <c r="P2144" s="408"/>
      <c r="Q2144" s="408"/>
      <c r="R2144" s="408"/>
      <c r="S2144" s="408"/>
      <c r="T2144" s="408"/>
      <c r="U2144" s="408"/>
      <c r="V2144" s="421"/>
      <c r="W2144" s="421"/>
      <c r="X2144" s="421"/>
      <c r="Y2144" s="421"/>
      <c r="Z2144" s="421"/>
      <c r="AA2144" s="421"/>
      <c r="AB2144" s="421"/>
      <c r="AC2144" s="421"/>
      <c r="AD2144" s="421"/>
      <c r="AE2144" s="421"/>
      <c r="AF2144" s="421"/>
      <c r="AG2144" s="421"/>
      <c r="AH2144" s="421"/>
      <c r="AI2144" s="421"/>
      <c r="AJ2144" s="421"/>
      <c r="AK2144" s="421"/>
      <c r="AL2144" s="421"/>
    </row>
    <row r="2145" spans="1:38" hidden="1">
      <c r="A2145" s="408"/>
      <c r="B2145" s="83" t="e">
        <f t="array" ref="B2145">SUM(--(FREQUENCY(IF(C$2:C$3072=C2145, MATCH(D$2:D$3072, D$2:D$3072, 0)), ROW(D$2:D$3072)-ROW(D$2)+1) &gt; 0))</f>
        <v>#N/A</v>
      </c>
      <c r="C2145" s="408"/>
      <c r="D2145" s="408"/>
      <c r="E2145" s="408"/>
      <c r="F2145" s="408"/>
      <c r="G2145" s="408"/>
      <c r="H2145" s="408"/>
      <c r="I2145" s="408"/>
      <c r="J2145" s="408"/>
      <c r="K2145" s="408"/>
      <c r="L2145" s="408"/>
      <c r="M2145" s="408"/>
      <c r="N2145" s="408" t="str">
        <f t="shared" si="460"/>
        <v/>
      </c>
      <c r="O2145" s="408"/>
      <c r="P2145" s="408"/>
      <c r="Q2145" s="408"/>
      <c r="R2145" s="408"/>
      <c r="S2145" s="408"/>
      <c r="T2145" s="408"/>
      <c r="U2145" s="408"/>
      <c r="V2145" s="421"/>
      <c r="W2145" s="421"/>
      <c r="X2145" s="421"/>
      <c r="Y2145" s="421"/>
      <c r="Z2145" s="421"/>
      <c r="AA2145" s="421"/>
      <c r="AB2145" s="421"/>
      <c r="AC2145" s="421"/>
      <c r="AD2145" s="421"/>
      <c r="AE2145" s="421"/>
      <c r="AF2145" s="421"/>
      <c r="AG2145" s="421"/>
      <c r="AH2145" s="421"/>
      <c r="AI2145" s="421"/>
      <c r="AJ2145" s="421"/>
      <c r="AK2145" s="421"/>
      <c r="AL2145" s="421"/>
    </row>
    <row r="2146" spans="1:38" hidden="1">
      <c r="A2146" s="408"/>
      <c r="B2146" s="83" t="e">
        <f t="array" ref="B2146">SUM(--(FREQUENCY(IF(C$2:C$3072=C2146, MATCH(D$2:D$3072, D$2:D$3072, 0)), ROW(D$2:D$3072)-ROW(D$2)+1) &gt; 0))</f>
        <v>#N/A</v>
      </c>
      <c r="C2146" s="408"/>
      <c r="D2146" s="408"/>
      <c r="E2146" s="408"/>
      <c r="F2146" s="408"/>
      <c r="G2146" s="408"/>
      <c r="H2146" s="408"/>
      <c r="I2146" s="408"/>
      <c r="J2146" s="408"/>
      <c r="K2146" s="408"/>
      <c r="L2146" s="408"/>
      <c r="M2146" s="408"/>
      <c r="N2146" s="408" t="str">
        <f t="shared" si="460"/>
        <v/>
      </c>
      <c r="O2146" s="408"/>
      <c r="P2146" s="408"/>
      <c r="Q2146" s="408"/>
      <c r="R2146" s="408"/>
      <c r="S2146" s="408"/>
      <c r="T2146" s="408"/>
      <c r="U2146" s="408"/>
      <c r="V2146" s="421"/>
      <c r="W2146" s="421"/>
      <c r="X2146" s="421"/>
      <c r="Y2146" s="421"/>
      <c r="Z2146" s="421"/>
      <c r="AA2146" s="421"/>
      <c r="AB2146" s="421"/>
      <c r="AC2146" s="421"/>
      <c r="AD2146" s="421"/>
      <c r="AE2146" s="421"/>
      <c r="AF2146" s="421"/>
      <c r="AG2146" s="421"/>
      <c r="AH2146" s="421"/>
      <c r="AI2146" s="421"/>
      <c r="AJ2146" s="421"/>
      <c r="AK2146" s="421"/>
      <c r="AL2146" s="421"/>
    </row>
    <row r="2147" spans="1:38" hidden="1">
      <c r="A2147" s="408"/>
      <c r="B2147" s="83" t="e">
        <f t="array" ref="B2147">SUM(--(FREQUENCY(IF(C$2:C$3072=C2147, MATCH(D$2:D$3072, D$2:D$3072, 0)), ROW(D$2:D$3072)-ROW(D$2)+1) &gt; 0))</f>
        <v>#N/A</v>
      </c>
      <c r="C2147" s="408"/>
      <c r="D2147" s="408"/>
      <c r="E2147" s="408"/>
      <c r="F2147" s="408"/>
      <c r="G2147" s="408"/>
      <c r="H2147" s="408"/>
      <c r="I2147" s="408"/>
      <c r="J2147" s="408"/>
      <c r="K2147" s="408"/>
      <c r="L2147" s="408"/>
      <c r="M2147" s="408"/>
      <c r="N2147" s="408" t="str">
        <f t="shared" si="460"/>
        <v/>
      </c>
      <c r="O2147" s="408"/>
      <c r="P2147" s="408"/>
      <c r="Q2147" s="408"/>
      <c r="R2147" s="408"/>
      <c r="S2147" s="408"/>
      <c r="T2147" s="408"/>
      <c r="U2147" s="408"/>
      <c r="V2147" s="421"/>
      <c r="W2147" s="421"/>
      <c r="X2147" s="421"/>
      <c r="Y2147" s="421"/>
      <c r="Z2147" s="421"/>
      <c r="AA2147" s="421"/>
      <c r="AB2147" s="421"/>
      <c r="AC2147" s="421"/>
      <c r="AD2147" s="421"/>
      <c r="AE2147" s="421"/>
      <c r="AF2147" s="421"/>
      <c r="AG2147" s="421"/>
      <c r="AH2147" s="421"/>
      <c r="AI2147" s="421"/>
      <c r="AJ2147" s="421"/>
      <c r="AK2147" s="421"/>
      <c r="AL2147" s="421"/>
    </row>
    <row r="2148" spans="1:38" hidden="1">
      <c r="A2148" s="408"/>
      <c r="B2148" s="83" t="e">
        <f t="array" ref="B2148">SUM(--(FREQUENCY(IF(C$2:C$3072=C2148, MATCH(D$2:D$3072, D$2:D$3072, 0)), ROW(D$2:D$3072)-ROW(D$2)+1) &gt; 0))</f>
        <v>#N/A</v>
      </c>
      <c r="C2148" s="408"/>
      <c r="D2148" s="408"/>
      <c r="E2148" s="408"/>
      <c r="F2148" s="408"/>
      <c r="G2148" s="408"/>
      <c r="H2148" s="408"/>
      <c r="I2148" s="408"/>
      <c r="J2148" s="408"/>
      <c r="K2148" s="408"/>
      <c r="L2148" s="408"/>
      <c r="M2148" s="408"/>
      <c r="N2148" s="408" t="str">
        <f t="shared" si="460"/>
        <v/>
      </c>
      <c r="O2148" s="408"/>
      <c r="P2148" s="408"/>
      <c r="Q2148" s="408"/>
      <c r="R2148" s="408"/>
      <c r="S2148" s="408"/>
      <c r="T2148" s="408"/>
      <c r="U2148" s="408"/>
      <c r="V2148" s="421"/>
      <c r="W2148" s="421"/>
      <c r="X2148" s="421"/>
      <c r="Y2148" s="421"/>
      <c r="Z2148" s="421"/>
      <c r="AA2148" s="421"/>
      <c r="AB2148" s="421"/>
      <c r="AC2148" s="421"/>
      <c r="AD2148" s="421"/>
      <c r="AE2148" s="421"/>
      <c r="AF2148" s="421"/>
      <c r="AG2148" s="421"/>
      <c r="AH2148" s="421"/>
      <c r="AI2148" s="421"/>
      <c r="AJ2148" s="421"/>
      <c r="AK2148" s="421"/>
      <c r="AL2148" s="421"/>
    </row>
    <row r="2149" spans="1:38" hidden="1">
      <c r="A2149" s="408"/>
      <c r="B2149" s="83" t="e">
        <f t="array" ref="B2149">SUM(--(FREQUENCY(IF(C$2:C$3072=C2149, MATCH(D$2:D$3072, D$2:D$3072, 0)), ROW(D$2:D$3072)-ROW(D$2)+1) &gt; 0))</f>
        <v>#N/A</v>
      </c>
      <c r="C2149" s="408"/>
      <c r="D2149" s="408"/>
      <c r="E2149" s="408"/>
      <c r="F2149" s="408"/>
      <c r="G2149" s="408"/>
      <c r="H2149" s="408"/>
      <c r="I2149" s="408"/>
      <c r="J2149" s="408"/>
      <c r="K2149" s="408"/>
      <c r="L2149" s="408"/>
      <c r="M2149" s="408"/>
      <c r="N2149" s="408" t="str">
        <f t="shared" si="460"/>
        <v/>
      </c>
      <c r="O2149" s="408"/>
      <c r="P2149" s="408"/>
      <c r="Q2149" s="408"/>
      <c r="R2149" s="408"/>
      <c r="S2149" s="408"/>
      <c r="T2149" s="408"/>
      <c r="U2149" s="408"/>
      <c r="V2149" s="421"/>
      <c r="W2149" s="421"/>
      <c r="X2149" s="421"/>
      <c r="Y2149" s="421"/>
      <c r="Z2149" s="421"/>
      <c r="AA2149" s="421"/>
      <c r="AB2149" s="421"/>
      <c r="AC2149" s="421"/>
      <c r="AD2149" s="421"/>
      <c r="AE2149" s="421"/>
      <c r="AF2149" s="421"/>
      <c r="AG2149" s="421"/>
      <c r="AH2149" s="421"/>
      <c r="AI2149" s="421"/>
      <c r="AJ2149" s="421"/>
      <c r="AK2149" s="421"/>
      <c r="AL2149" s="421"/>
    </row>
    <row r="2150" spans="1:38" hidden="1">
      <c r="A2150" s="408"/>
      <c r="B2150" s="83" t="e">
        <f t="array" ref="B2150">SUM(--(FREQUENCY(IF(C$2:C$3072=C2150, MATCH(D$2:D$3072, D$2:D$3072, 0)), ROW(D$2:D$3072)-ROW(D$2)+1) &gt; 0))</f>
        <v>#N/A</v>
      </c>
      <c r="C2150" s="408"/>
      <c r="D2150" s="408"/>
      <c r="E2150" s="408"/>
      <c r="F2150" s="408"/>
      <c r="G2150" s="408"/>
      <c r="H2150" s="408"/>
      <c r="I2150" s="408"/>
      <c r="J2150" s="408"/>
      <c r="K2150" s="408"/>
      <c r="L2150" s="408"/>
      <c r="M2150" s="408"/>
      <c r="N2150" s="408" t="str">
        <f t="shared" si="460"/>
        <v/>
      </c>
      <c r="O2150" s="408"/>
      <c r="P2150" s="408"/>
      <c r="Q2150" s="408"/>
      <c r="R2150" s="408"/>
      <c r="S2150" s="408"/>
      <c r="T2150" s="408"/>
      <c r="U2150" s="408"/>
      <c r="V2150" s="421"/>
      <c r="W2150" s="421"/>
      <c r="X2150" s="421"/>
      <c r="Y2150" s="421"/>
      <c r="Z2150" s="421"/>
      <c r="AA2150" s="421"/>
      <c r="AB2150" s="421"/>
      <c r="AC2150" s="421"/>
      <c r="AD2150" s="421"/>
      <c r="AE2150" s="421"/>
      <c r="AF2150" s="421"/>
      <c r="AG2150" s="421"/>
      <c r="AH2150" s="421"/>
      <c r="AI2150" s="421"/>
      <c r="AJ2150" s="421"/>
      <c r="AK2150" s="421"/>
      <c r="AL2150" s="421"/>
    </row>
    <row r="2151" spans="1:38" hidden="1">
      <c r="A2151" s="408"/>
      <c r="B2151" s="83" t="e">
        <f t="array" ref="B2151">SUM(--(FREQUENCY(IF(C$2:C$3072=C2151, MATCH(D$2:D$3072, D$2:D$3072, 0)), ROW(D$2:D$3072)-ROW(D$2)+1) &gt; 0))</f>
        <v>#N/A</v>
      </c>
      <c r="C2151" s="408"/>
      <c r="D2151" s="408"/>
      <c r="E2151" s="408"/>
      <c r="F2151" s="408"/>
      <c r="G2151" s="408"/>
      <c r="H2151" s="408"/>
      <c r="I2151" s="408"/>
      <c r="J2151" s="408"/>
      <c r="K2151" s="408"/>
      <c r="L2151" s="408"/>
      <c r="M2151" s="408"/>
      <c r="N2151" s="408" t="str">
        <f t="shared" si="460"/>
        <v/>
      </c>
      <c r="O2151" s="408"/>
      <c r="P2151" s="408"/>
      <c r="Q2151" s="408"/>
      <c r="R2151" s="408"/>
      <c r="S2151" s="408"/>
      <c r="T2151" s="408"/>
      <c r="U2151" s="408"/>
      <c r="V2151" s="421"/>
      <c r="W2151" s="421"/>
      <c r="X2151" s="421"/>
      <c r="Y2151" s="421"/>
      <c r="Z2151" s="421"/>
      <c r="AA2151" s="421"/>
      <c r="AB2151" s="421"/>
      <c r="AC2151" s="421"/>
      <c r="AD2151" s="421"/>
      <c r="AE2151" s="421"/>
      <c r="AF2151" s="421"/>
      <c r="AG2151" s="421"/>
      <c r="AH2151" s="421"/>
      <c r="AI2151" s="421"/>
      <c r="AJ2151" s="421"/>
      <c r="AK2151" s="421"/>
      <c r="AL2151" s="421"/>
    </row>
    <row r="2152" spans="1:38" hidden="1">
      <c r="A2152" s="408"/>
      <c r="B2152" s="83" t="e">
        <f t="array" ref="B2152">SUM(--(FREQUENCY(IF(C$2:C$3072=C2152, MATCH(D$2:D$3072, D$2:D$3072, 0)), ROW(D$2:D$3072)-ROW(D$2)+1) &gt; 0))</f>
        <v>#N/A</v>
      </c>
      <c r="C2152" s="408"/>
      <c r="D2152" s="408"/>
      <c r="E2152" s="408"/>
      <c r="F2152" s="408"/>
      <c r="G2152" s="408"/>
      <c r="H2152" s="408"/>
      <c r="I2152" s="408"/>
      <c r="J2152" s="408"/>
      <c r="K2152" s="408"/>
      <c r="L2152" s="408"/>
      <c r="M2152" s="408"/>
      <c r="N2152" s="408" t="str">
        <f t="shared" si="460"/>
        <v/>
      </c>
      <c r="O2152" s="408"/>
      <c r="P2152" s="408"/>
      <c r="Q2152" s="408"/>
      <c r="R2152" s="408"/>
      <c r="S2152" s="408"/>
      <c r="T2152" s="408"/>
      <c r="U2152" s="408"/>
      <c r="V2152" s="421"/>
      <c r="W2152" s="421"/>
      <c r="X2152" s="421"/>
      <c r="Y2152" s="421"/>
      <c r="Z2152" s="421"/>
      <c r="AA2152" s="421"/>
      <c r="AB2152" s="421"/>
      <c r="AC2152" s="421"/>
      <c r="AD2152" s="421"/>
      <c r="AE2152" s="421"/>
      <c r="AF2152" s="421"/>
      <c r="AG2152" s="421"/>
      <c r="AH2152" s="421"/>
      <c r="AI2152" s="421"/>
      <c r="AJ2152" s="421"/>
      <c r="AK2152" s="421"/>
      <c r="AL2152" s="421"/>
    </row>
    <row r="2153" spans="1:38" hidden="1">
      <c r="A2153" s="408"/>
      <c r="B2153" s="83" t="e">
        <f t="array" ref="B2153">SUM(--(FREQUENCY(IF(C$2:C$3072=C2153, MATCH(D$2:D$3072, D$2:D$3072, 0)), ROW(D$2:D$3072)-ROW(D$2)+1) &gt; 0))</f>
        <v>#N/A</v>
      </c>
      <c r="C2153" s="408"/>
      <c r="D2153" s="408"/>
      <c r="E2153" s="408"/>
      <c r="F2153" s="408"/>
      <c r="G2153" s="408"/>
      <c r="H2153" s="408"/>
      <c r="I2153" s="408"/>
      <c r="J2153" s="408"/>
      <c r="K2153" s="408"/>
      <c r="L2153" s="408"/>
      <c r="M2153" s="408"/>
      <c r="N2153" s="408" t="str">
        <f t="shared" si="460"/>
        <v/>
      </c>
      <c r="O2153" s="408"/>
      <c r="P2153" s="408"/>
      <c r="Q2153" s="408"/>
      <c r="R2153" s="408"/>
      <c r="S2153" s="408"/>
      <c r="T2153" s="408"/>
      <c r="U2153" s="408"/>
      <c r="V2153" s="421"/>
      <c r="W2153" s="421"/>
      <c r="X2153" s="421"/>
      <c r="Y2153" s="421"/>
      <c r="Z2153" s="421"/>
      <c r="AA2153" s="421"/>
      <c r="AB2153" s="421"/>
      <c r="AC2153" s="421"/>
      <c r="AD2153" s="421"/>
      <c r="AE2153" s="421"/>
      <c r="AF2153" s="421"/>
      <c r="AG2153" s="421"/>
      <c r="AH2153" s="421"/>
      <c r="AI2153" s="421"/>
      <c r="AJ2153" s="421"/>
      <c r="AK2153" s="421"/>
      <c r="AL2153" s="421"/>
    </row>
    <row r="2154" spans="1:38" hidden="1">
      <c r="A2154" s="408"/>
      <c r="B2154" s="83" t="e">
        <f t="array" ref="B2154">SUM(--(FREQUENCY(IF(C$2:C$3072=C2154, MATCH(D$2:D$3072, D$2:D$3072, 0)), ROW(D$2:D$3072)-ROW(D$2)+1) &gt; 0))</f>
        <v>#N/A</v>
      </c>
      <c r="C2154" s="408"/>
      <c r="D2154" s="408"/>
      <c r="E2154" s="408"/>
      <c r="F2154" s="408"/>
      <c r="G2154" s="408"/>
      <c r="H2154" s="408"/>
      <c r="I2154" s="408"/>
      <c r="J2154" s="408"/>
      <c r="K2154" s="408"/>
      <c r="L2154" s="408"/>
      <c r="M2154" s="408"/>
      <c r="N2154" s="408" t="str">
        <f t="shared" si="460"/>
        <v/>
      </c>
      <c r="O2154" s="408"/>
      <c r="P2154" s="408"/>
      <c r="Q2154" s="408"/>
      <c r="R2154" s="408"/>
      <c r="S2154" s="408"/>
      <c r="T2154" s="408"/>
      <c r="U2154" s="408"/>
      <c r="V2154" s="421"/>
      <c r="W2154" s="421"/>
      <c r="X2154" s="421"/>
      <c r="Y2154" s="421"/>
      <c r="Z2154" s="421"/>
      <c r="AA2154" s="421"/>
      <c r="AB2154" s="421"/>
      <c r="AC2154" s="421"/>
      <c r="AD2154" s="421"/>
      <c r="AE2154" s="421"/>
      <c r="AF2154" s="421"/>
      <c r="AG2154" s="421"/>
      <c r="AH2154" s="421"/>
      <c r="AI2154" s="421"/>
      <c r="AJ2154" s="421"/>
      <c r="AK2154" s="421"/>
      <c r="AL2154" s="421"/>
    </row>
    <row r="2155" spans="1:38" hidden="1">
      <c r="A2155" s="408"/>
      <c r="B2155" s="83" t="e">
        <f t="array" ref="B2155">SUM(--(FREQUENCY(IF(C$2:C$3072=C2155, MATCH(D$2:D$3072, D$2:D$3072, 0)), ROW(D$2:D$3072)-ROW(D$2)+1) &gt; 0))</f>
        <v>#N/A</v>
      </c>
      <c r="C2155" s="408"/>
      <c r="D2155" s="408"/>
      <c r="E2155" s="408"/>
      <c r="F2155" s="408"/>
      <c r="G2155" s="408"/>
      <c r="H2155" s="408"/>
      <c r="I2155" s="408"/>
      <c r="J2155" s="408"/>
      <c r="K2155" s="408"/>
      <c r="L2155" s="408"/>
      <c r="M2155" s="408"/>
      <c r="N2155" s="408" t="str">
        <f t="shared" si="460"/>
        <v/>
      </c>
      <c r="O2155" s="408"/>
      <c r="P2155" s="408"/>
      <c r="Q2155" s="408"/>
      <c r="R2155" s="408"/>
      <c r="S2155" s="408"/>
      <c r="T2155" s="408"/>
      <c r="U2155" s="408"/>
      <c r="V2155" s="421"/>
      <c r="W2155" s="421"/>
      <c r="X2155" s="421"/>
      <c r="Y2155" s="421"/>
      <c r="Z2155" s="421"/>
      <c r="AA2155" s="421"/>
      <c r="AB2155" s="421"/>
      <c r="AC2155" s="421"/>
      <c r="AD2155" s="421"/>
      <c r="AE2155" s="421"/>
      <c r="AF2155" s="421"/>
      <c r="AG2155" s="421"/>
      <c r="AH2155" s="421"/>
      <c r="AI2155" s="421"/>
      <c r="AJ2155" s="421"/>
      <c r="AK2155" s="421"/>
      <c r="AL2155" s="421"/>
    </row>
    <row r="2156" spans="1:38" hidden="1">
      <c r="A2156" s="408"/>
      <c r="B2156" s="83" t="e">
        <f t="array" ref="B2156">SUM(--(FREQUENCY(IF(C$2:C$3072=C2156, MATCH(D$2:D$3072, D$2:D$3072, 0)), ROW(D$2:D$3072)-ROW(D$2)+1) &gt; 0))</f>
        <v>#N/A</v>
      </c>
      <c r="C2156" s="408"/>
      <c r="D2156" s="408"/>
      <c r="E2156" s="408"/>
      <c r="F2156" s="408"/>
      <c r="G2156" s="408"/>
      <c r="H2156" s="408"/>
      <c r="I2156" s="408"/>
      <c r="J2156" s="408"/>
      <c r="K2156" s="408"/>
      <c r="L2156" s="408"/>
      <c r="M2156" s="408"/>
      <c r="N2156" s="408" t="str">
        <f t="shared" si="460"/>
        <v/>
      </c>
      <c r="O2156" s="408"/>
      <c r="P2156" s="408"/>
      <c r="Q2156" s="408"/>
      <c r="R2156" s="408"/>
      <c r="S2156" s="408"/>
      <c r="T2156" s="408"/>
      <c r="U2156" s="408"/>
      <c r="V2156" s="421"/>
      <c r="W2156" s="421"/>
      <c r="X2156" s="421"/>
      <c r="Y2156" s="421"/>
      <c r="Z2156" s="421"/>
      <c r="AA2156" s="421"/>
      <c r="AB2156" s="421"/>
      <c r="AC2156" s="421"/>
      <c r="AD2156" s="421"/>
      <c r="AE2156" s="421"/>
      <c r="AF2156" s="421"/>
      <c r="AG2156" s="421"/>
      <c r="AH2156" s="421"/>
      <c r="AI2156" s="421"/>
      <c r="AJ2156" s="421"/>
      <c r="AK2156" s="421"/>
      <c r="AL2156" s="421"/>
    </row>
    <row r="2157" spans="1:38" hidden="1">
      <c r="A2157" s="408"/>
      <c r="B2157" s="83" t="e">
        <f t="array" ref="B2157">SUM(--(FREQUENCY(IF(C$2:C$3072=C2157, MATCH(D$2:D$3072, D$2:D$3072, 0)), ROW(D$2:D$3072)-ROW(D$2)+1) &gt; 0))</f>
        <v>#N/A</v>
      </c>
      <c r="C2157" s="408"/>
      <c r="D2157" s="408"/>
      <c r="E2157" s="408"/>
      <c r="F2157" s="408"/>
      <c r="G2157" s="408"/>
      <c r="H2157" s="408"/>
      <c r="I2157" s="408"/>
      <c r="J2157" s="408"/>
      <c r="K2157" s="408"/>
      <c r="L2157" s="408"/>
      <c r="M2157" s="408"/>
      <c r="N2157" s="408" t="str">
        <f t="shared" si="460"/>
        <v/>
      </c>
      <c r="O2157" s="408"/>
      <c r="P2157" s="408"/>
      <c r="Q2157" s="408"/>
      <c r="R2157" s="408"/>
      <c r="S2157" s="408"/>
      <c r="T2157" s="408"/>
      <c r="U2157" s="408"/>
      <c r="V2157" s="421"/>
      <c r="W2157" s="421"/>
      <c r="X2157" s="421"/>
      <c r="Y2157" s="421"/>
      <c r="Z2157" s="421"/>
      <c r="AA2157" s="421"/>
      <c r="AB2157" s="421"/>
      <c r="AC2157" s="421"/>
      <c r="AD2157" s="421"/>
      <c r="AE2157" s="421"/>
      <c r="AF2157" s="421"/>
      <c r="AG2157" s="421"/>
      <c r="AH2157" s="421"/>
      <c r="AI2157" s="421"/>
      <c r="AJ2157" s="421"/>
      <c r="AK2157" s="421"/>
      <c r="AL2157" s="421"/>
    </row>
    <row r="2158" spans="1:38" hidden="1">
      <c r="A2158" s="408"/>
      <c r="B2158" s="83" t="e">
        <f t="array" ref="B2158">SUM(--(FREQUENCY(IF(C$2:C$3072=C2158, MATCH(D$2:D$3072, D$2:D$3072, 0)), ROW(D$2:D$3072)-ROW(D$2)+1) &gt; 0))</f>
        <v>#N/A</v>
      </c>
      <c r="C2158" s="408"/>
      <c r="D2158" s="408"/>
      <c r="E2158" s="408"/>
      <c r="F2158" s="408"/>
      <c r="G2158" s="408"/>
      <c r="H2158" s="408"/>
      <c r="I2158" s="408"/>
      <c r="J2158" s="408"/>
      <c r="K2158" s="408"/>
      <c r="L2158" s="408"/>
      <c r="M2158" s="408"/>
      <c r="N2158" s="408" t="str">
        <f t="shared" si="460"/>
        <v/>
      </c>
      <c r="O2158" s="408"/>
      <c r="P2158" s="408"/>
      <c r="Q2158" s="408"/>
      <c r="R2158" s="408"/>
      <c r="S2158" s="408"/>
      <c r="T2158" s="408"/>
      <c r="U2158" s="408"/>
      <c r="V2158" s="421"/>
      <c r="W2158" s="421"/>
      <c r="X2158" s="421"/>
      <c r="Y2158" s="421"/>
      <c r="Z2158" s="421"/>
      <c r="AA2158" s="421"/>
      <c r="AB2158" s="421"/>
      <c r="AC2158" s="421"/>
      <c r="AD2158" s="421"/>
      <c r="AE2158" s="421"/>
      <c r="AF2158" s="421"/>
      <c r="AG2158" s="421"/>
      <c r="AH2158" s="421"/>
      <c r="AI2158" s="421"/>
      <c r="AJ2158" s="421"/>
      <c r="AK2158" s="421"/>
      <c r="AL2158" s="421"/>
    </row>
    <row r="2159" spans="1:38" hidden="1">
      <c r="A2159" s="408"/>
      <c r="B2159" s="83" t="e">
        <f t="array" ref="B2159">SUM(--(FREQUENCY(IF(C$2:C$3072=C2159, MATCH(D$2:D$3072, D$2:D$3072, 0)), ROW(D$2:D$3072)-ROW(D$2)+1) &gt; 0))</f>
        <v>#N/A</v>
      </c>
      <c r="C2159" s="408"/>
      <c r="D2159" s="408"/>
      <c r="E2159" s="408"/>
      <c r="F2159" s="408"/>
      <c r="G2159" s="408"/>
      <c r="H2159" s="408"/>
      <c r="I2159" s="408"/>
      <c r="J2159" s="408"/>
      <c r="K2159" s="408"/>
      <c r="L2159" s="408"/>
      <c r="M2159" s="408"/>
      <c r="N2159" s="408" t="str">
        <f t="shared" si="460"/>
        <v/>
      </c>
      <c r="O2159" s="408"/>
      <c r="P2159" s="408"/>
      <c r="Q2159" s="408"/>
      <c r="R2159" s="408"/>
      <c r="S2159" s="408"/>
      <c r="T2159" s="408"/>
      <c r="U2159" s="408"/>
      <c r="V2159" s="421"/>
      <c r="W2159" s="421"/>
      <c r="X2159" s="421"/>
      <c r="Y2159" s="421"/>
      <c r="Z2159" s="421"/>
      <c r="AA2159" s="421"/>
      <c r="AB2159" s="421"/>
      <c r="AC2159" s="421"/>
      <c r="AD2159" s="421"/>
      <c r="AE2159" s="421"/>
      <c r="AF2159" s="421"/>
      <c r="AG2159" s="421"/>
      <c r="AH2159" s="421"/>
      <c r="AI2159" s="421"/>
      <c r="AJ2159" s="421"/>
      <c r="AK2159" s="421"/>
      <c r="AL2159" s="421"/>
    </row>
    <row r="2160" spans="1:38" hidden="1">
      <c r="A2160" s="408"/>
      <c r="B2160" s="83" t="e">
        <f t="array" ref="B2160">SUM(--(FREQUENCY(IF(C$2:C$3072=C2160, MATCH(D$2:D$3072, D$2:D$3072, 0)), ROW(D$2:D$3072)-ROW(D$2)+1) &gt; 0))</f>
        <v>#N/A</v>
      </c>
      <c r="C2160" s="408"/>
      <c r="D2160" s="408"/>
      <c r="E2160" s="408"/>
      <c r="F2160" s="408"/>
      <c r="G2160" s="408"/>
      <c r="H2160" s="408"/>
      <c r="I2160" s="408"/>
      <c r="J2160" s="408"/>
      <c r="K2160" s="408"/>
      <c r="L2160" s="408"/>
      <c r="M2160" s="408"/>
      <c r="N2160" s="408" t="str">
        <f t="shared" si="460"/>
        <v/>
      </c>
      <c r="O2160" s="408"/>
      <c r="P2160" s="408"/>
      <c r="Q2160" s="408"/>
      <c r="R2160" s="408"/>
      <c r="S2160" s="408"/>
      <c r="T2160" s="408"/>
      <c r="U2160" s="408"/>
      <c r="V2160" s="421"/>
      <c r="W2160" s="421"/>
      <c r="X2160" s="421"/>
      <c r="Y2160" s="421"/>
      <c r="Z2160" s="421"/>
      <c r="AA2160" s="421"/>
      <c r="AB2160" s="421"/>
      <c r="AC2160" s="421"/>
      <c r="AD2160" s="421"/>
      <c r="AE2160" s="421"/>
      <c r="AF2160" s="421"/>
      <c r="AG2160" s="421"/>
      <c r="AH2160" s="421"/>
      <c r="AI2160" s="421"/>
      <c r="AJ2160" s="421"/>
      <c r="AK2160" s="421"/>
      <c r="AL2160" s="421"/>
    </row>
    <row r="2161" spans="1:38" hidden="1">
      <c r="A2161" s="408"/>
      <c r="B2161" s="83" t="e">
        <f t="array" ref="B2161">SUM(--(FREQUENCY(IF(C$2:C$3072=C2161, MATCH(D$2:D$3072, D$2:D$3072, 0)), ROW(D$2:D$3072)-ROW(D$2)+1) &gt; 0))</f>
        <v>#N/A</v>
      </c>
      <c r="C2161" s="408"/>
      <c r="D2161" s="408"/>
      <c r="E2161" s="408"/>
      <c r="F2161" s="408"/>
      <c r="G2161" s="408"/>
      <c r="H2161" s="408"/>
      <c r="I2161" s="408"/>
      <c r="J2161" s="408"/>
      <c r="K2161" s="408"/>
      <c r="L2161" s="408"/>
      <c r="M2161" s="408"/>
      <c r="N2161" s="408" t="str">
        <f t="shared" si="460"/>
        <v/>
      </c>
      <c r="O2161" s="408"/>
      <c r="P2161" s="408"/>
      <c r="Q2161" s="408"/>
      <c r="R2161" s="408"/>
      <c r="S2161" s="408"/>
      <c r="T2161" s="408"/>
      <c r="U2161" s="408"/>
      <c r="V2161" s="421"/>
      <c r="W2161" s="421"/>
      <c r="X2161" s="421"/>
      <c r="Y2161" s="421"/>
      <c r="Z2161" s="421"/>
      <c r="AA2161" s="421"/>
      <c r="AB2161" s="421"/>
      <c r="AC2161" s="421"/>
      <c r="AD2161" s="421"/>
      <c r="AE2161" s="421"/>
      <c r="AF2161" s="421"/>
      <c r="AG2161" s="421"/>
      <c r="AH2161" s="421"/>
      <c r="AI2161" s="421"/>
      <c r="AJ2161" s="421"/>
      <c r="AK2161" s="421"/>
      <c r="AL2161" s="421"/>
    </row>
    <row r="2162" spans="1:38" hidden="1">
      <c r="A2162" s="408"/>
      <c r="B2162" s="83" t="e">
        <f t="array" ref="B2162">SUM(--(FREQUENCY(IF(C$2:C$3072=C2162, MATCH(D$2:D$3072, D$2:D$3072, 0)), ROW(D$2:D$3072)-ROW(D$2)+1) &gt; 0))</f>
        <v>#N/A</v>
      </c>
      <c r="C2162" s="408"/>
      <c r="D2162" s="408"/>
      <c r="E2162" s="408"/>
      <c r="F2162" s="408"/>
      <c r="G2162" s="408"/>
      <c r="H2162" s="408"/>
      <c r="I2162" s="408"/>
      <c r="J2162" s="408"/>
      <c r="K2162" s="408"/>
      <c r="L2162" s="408"/>
      <c r="M2162" s="408"/>
      <c r="N2162" s="408" t="str">
        <f t="shared" si="460"/>
        <v/>
      </c>
      <c r="O2162" s="408"/>
      <c r="P2162" s="408"/>
      <c r="Q2162" s="408"/>
      <c r="R2162" s="408"/>
      <c r="S2162" s="408"/>
      <c r="T2162" s="408"/>
      <c r="U2162" s="408"/>
      <c r="V2162" s="421"/>
      <c r="W2162" s="421"/>
      <c r="X2162" s="421"/>
      <c r="Y2162" s="421"/>
      <c r="Z2162" s="421"/>
      <c r="AA2162" s="421"/>
      <c r="AB2162" s="421"/>
      <c r="AC2162" s="421"/>
      <c r="AD2162" s="421"/>
      <c r="AE2162" s="421"/>
      <c r="AF2162" s="421"/>
      <c r="AG2162" s="421"/>
      <c r="AH2162" s="421"/>
      <c r="AI2162" s="421"/>
      <c r="AJ2162" s="421"/>
      <c r="AK2162" s="421"/>
      <c r="AL2162" s="421"/>
    </row>
    <row r="2163" spans="1:38" hidden="1">
      <c r="A2163" s="408"/>
      <c r="B2163" s="83" t="e">
        <f t="array" ref="B2163">SUM(--(FREQUENCY(IF(C$2:C$3072=C2163, MATCH(D$2:D$3072, D$2:D$3072, 0)), ROW(D$2:D$3072)-ROW(D$2)+1) &gt; 0))</f>
        <v>#N/A</v>
      </c>
      <c r="C2163" s="408"/>
      <c r="D2163" s="408"/>
      <c r="E2163" s="408"/>
      <c r="F2163" s="408"/>
      <c r="G2163" s="408"/>
      <c r="H2163" s="408"/>
      <c r="I2163" s="408"/>
      <c r="J2163" s="408"/>
      <c r="K2163" s="408"/>
      <c r="L2163" s="408"/>
      <c r="M2163" s="408"/>
      <c r="N2163" s="408" t="str">
        <f t="shared" si="460"/>
        <v/>
      </c>
      <c r="O2163" s="408"/>
      <c r="P2163" s="408"/>
      <c r="Q2163" s="408"/>
      <c r="R2163" s="408"/>
      <c r="S2163" s="408"/>
      <c r="T2163" s="408"/>
      <c r="U2163" s="408"/>
      <c r="V2163" s="421"/>
      <c r="W2163" s="421"/>
      <c r="X2163" s="421"/>
      <c r="Y2163" s="421"/>
      <c r="Z2163" s="421"/>
      <c r="AA2163" s="421"/>
      <c r="AB2163" s="421"/>
      <c r="AC2163" s="421"/>
      <c r="AD2163" s="421"/>
      <c r="AE2163" s="421"/>
      <c r="AF2163" s="421"/>
      <c r="AG2163" s="421"/>
      <c r="AH2163" s="421"/>
      <c r="AI2163" s="421"/>
      <c r="AJ2163" s="421"/>
      <c r="AK2163" s="421"/>
      <c r="AL2163" s="421"/>
    </row>
    <row r="2164" spans="1:38" hidden="1">
      <c r="A2164" s="408"/>
      <c r="B2164" s="83" t="e">
        <f t="array" ref="B2164">SUM(--(FREQUENCY(IF(C$2:C$3072=C2164, MATCH(D$2:D$3072, D$2:D$3072, 0)), ROW(D$2:D$3072)-ROW(D$2)+1) &gt; 0))</f>
        <v>#N/A</v>
      </c>
      <c r="C2164" s="408"/>
      <c r="D2164" s="408"/>
      <c r="E2164" s="408"/>
      <c r="F2164" s="408"/>
      <c r="G2164" s="408"/>
      <c r="H2164" s="408"/>
      <c r="I2164" s="408"/>
      <c r="J2164" s="408"/>
      <c r="K2164" s="408"/>
      <c r="L2164" s="408"/>
      <c r="M2164" s="408"/>
      <c r="N2164" s="408" t="str">
        <f t="shared" si="460"/>
        <v/>
      </c>
      <c r="O2164" s="408"/>
      <c r="P2164" s="408"/>
      <c r="Q2164" s="408"/>
      <c r="R2164" s="408"/>
      <c r="S2164" s="408"/>
      <c r="T2164" s="408"/>
      <c r="U2164" s="408"/>
      <c r="V2164" s="421"/>
      <c r="W2164" s="421"/>
      <c r="X2164" s="421"/>
      <c r="Y2164" s="421"/>
      <c r="Z2164" s="421"/>
      <c r="AA2164" s="421"/>
      <c r="AB2164" s="421"/>
      <c r="AC2164" s="421"/>
      <c r="AD2164" s="421"/>
      <c r="AE2164" s="421"/>
      <c r="AF2164" s="421"/>
      <c r="AG2164" s="421"/>
      <c r="AH2164" s="421"/>
      <c r="AI2164" s="421"/>
      <c r="AJ2164" s="421"/>
      <c r="AK2164" s="421"/>
      <c r="AL2164" s="421"/>
    </row>
    <row r="2165" spans="1:38" hidden="1">
      <c r="A2165" s="408"/>
      <c r="B2165" s="83" t="e">
        <f t="array" ref="B2165">SUM(--(FREQUENCY(IF(C$2:C$3072=C2165, MATCH(D$2:D$3072, D$2:D$3072, 0)), ROW(D$2:D$3072)-ROW(D$2)+1) &gt; 0))</f>
        <v>#N/A</v>
      </c>
      <c r="C2165" s="408"/>
      <c r="D2165" s="408"/>
      <c r="E2165" s="408"/>
      <c r="F2165" s="408"/>
      <c r="G2165" s="408"/>
      <c r="H2165" s="408"/>
      <c r="I2165" s="408"/>
      <c r="J2165" s="408"/>
      <c r="K2165" s="408"/>
      <c r="L2165" s="408"/>
      <c r="M2165" s="408"/>
      <c r="N2165" s="408" t="str">
        <f t="shared" si="460"/>
        <v/>
      </c>
      <c r="O2165" s="408"/>
      <c r="P2165" s="408"/>
      <c r="Q2165" s="408"/>
      <c r="R2165" s="408"/>
      <c r="S2165" s="408"/>
      <c r="T2165" s="408"/>
      <c r="U2165" s="408"/>
      <c r="V2165" s="421"/>
      <c r="W2165" s="421"/>
      <c r="X2165" s="421"/>
      <c r="Y2165" s="421"/>
      <c r="Z2165" s="421"/>
      <c r="AA2165" s="421"/>
      <c r="AB2165" s="421"/>
      <c r="AC2165" s="421"/>
      <c r="AD2165" s="421"/>
      <c r="AE2165" s="421"/>
      <c r="AF2165" s="421"/>
      <c r="AG2165" s="421"/>
      <c r="AH2165" s="421"/>
      <c r="AI2165" s="421"/>
      <c r="AJ2165" s="421"/>
      <c r="AK2165" s="421"/>
      <c r="AL2165" s="421"/>
    </row>
    <row r="2166" spans="1:38" hidden="1">
      <c r="A2166" s="408"/>
      <c r="B2166" s="83" t="e">
        <f t="array" ref="B2166">SUM(--(FREQUENCY(IF(C$2:C$3072=C2166, MATCH(D$2:D$3072, D$2:D$3072, 0)), ROW(D$2:D$3072)-ROW(D$2)+1) &gt; 0))</f>
        <v>#N/A</v>
      </c>
      <c r="C2166" s="408"/>
      <c r="D2166" s="408"/>
      <c r="E2166" s="408"/>
      <c r="F2166" s="408"/>
      <c r="G2166" s="408"/>
      <c r="H2166" s="408"/>
      <c r="I2166" s="408"/>
      <c r="J2166" s="408"/>
      <c r="K2166" s="408"/>
      <c r="L2166" s="408"/>
      <c r="M2166" s="408"/>
      <c r="N2166" s="408" t="str">
        <f t="shared" si="460"/>
        <v/>
      </c>
      <c r="O2166" s="408"/>
      <c r="P2166" s="408"/>
      <c r="Q2166" s="408"/>
      <c r="R2166" s="408"/>
      <c r="S2166" s="408"/>
      <c r="T2166" s="408"/>
      <c r="U2166" s="408"/>
      <c r="V2166" s="421"/>
      <c r="W2166" s="421"/>
      <c r="X2166" s="421"/>
      <c r="Y2166" s="421"/>
      <c r="Z2166" s="421"/>
      <c r="AA2166" s="421"/>
      <c r="AB2166" s="421"/>
      <c r="AC2166" s="421"/>
      <c r="AD2166" s="421"/>
      <c r="AE2166" s="421"/>
      <c r="AF2166" s="421"/>
      <c r="AG2166" s="421"/>
      <c r="AH2166" s="421"/>
      <c r="AI2166" s="421"/>
      <c r="AJ2166" s="421"/>
      <c r="AK2166" s="421"/>
      <c r="AL2166" s="421"/>
    </row>
    <row r="2167" spans="1:38" hidden="1">
      <c r="A2167" s="408"/>
      <c r="B2167" s="83" t="e">
        <f t="array" ref="B2167">SUM(--(FREQUENCY(IF(C$2:C$3072=C2167, MATCH(D$2:D$3072, D$2:D$3072, 0)), ROW(D$2:D$3072)-ROW(D$2)+1) &gt; 0))</f>
        <v>#N/A</v>
      </c>
      <c r="C2167" s="408"/>
      <c r="D2167" s="408"/>
      <c r="E2167" s="408"/>
      <c r="F2167" s="408"/>
      <c r="G2167" s="408"/>
      <c r="H2167" s="408"/>
      <c r="I2167" s="408"/>
      <c r="J2167" s="408"/>
      <c r="K2167" s="408"/>
      <c r="L2167" s="408"/>
      <c r="M2167" s="408"/>
      <c r="N2167" s="408" t="str">
        <f t="shared" si="460"/>
        <v/>
      </c>
      <c r="O2167" s="408"/>
      <c r="P2167" s="408"/>
      <c r="Q2167" s="408"/>
      <c r="R2167" s="408"/>
      <c r="S2167" s="408"/>
      <c r="T2167" s="408"/>
      <c r="U2167" s="408"/>
      <c r="V2167" s="421"/>
      <c r="W2167" s="421"/>
      <c r="X2167" s="421"/>
      <c r="Y2167" s="421"/>
      <c r="Z2167" s="421"/>
      <c r="AA2167" s="421"/>
      <c r="AB2167" s="421"/>
      <c r="AC2167" s="421"/>
      <c r="AD2167" s="421"/>
      <c r="AE2167" s="421"/>
      <c r="AF2167" s="421"/>
      <c r="AG2167" s="421"/>
      <c r="AH2167" s="421"/>
      <c r="AI2167" s="421"/>
      <c r="AJ2167" s="421"/>
      <c r="AK2167" s="421"/>
      <c r="AL2167" s="421"/>
    </row>
    <row r="2168" spans="1:38" hidden="1">
      <c r="A2168" s="408"/>
      <c r="B2168" s="83" t="e">
        <f t="array" ref="B2168">SUM(--(FREQUENCY(IF(C$2:C$3072=C2168, MATCH(D$2:D$3072, D$2:D$3072, 0)), ROW(D$2:D$3072)-ROW(D$2)+1) &gt; 0))</f>
        <v>#N/A</v>
      </c>
      <c r="C2168" s="408"/>
      <c r="D2168" s="408"/>
      <c r="E2168" s="408"/>
      <c r="F2168" s="408"/>
      <c r="G2168" s="408"/>
      <c r="H2168" s="408"/>
      <c r="I2168" s="408"/>
      <c r="J2168" s="408"/>
      <c r="K2168" s="408"/>
      <c r="L2168" s="408"/>
      <c r="M2168" s="408"/>
      <c r="N2168" s="408" t="str">
        <f t="shared" si="460"/>
        <v/>
      </c>
      <c r="O2168" s="408"/>
      <c r="P2168" s="408"/>
      <c r="Q2168" s="408"/>
      <c r="R2168" s="408"/>
      <c r="S2168" s="408"/>
      <c r="T2168" s="408"/>
      <c r="U2168" s="408"/>
      <c r="V2168" s="421"/>
      <c r="W2168" s="421"/>
      <c r="X2168" s="421"/>
      <c r="Y2168" s="421"/>
      <c r="Z2168" s="421"/>
      <c r="AA2168" s="421"/>
      <c r="AB2168" s="421"/>
      <c r="AC2168" s="421"/>
      <c r="AD2168" s="421"/>
      <c r="AE2168" s="421"/>
      <c r="AF2168" s="421"/>
      <c r="AG2168" s="421"/>
      <c r="AH2168" s="421"/>
      <c r="AI2168" s="421"/>
      <c r="AJ2168" s="421"/>
      <c r="AK2168" s="421"/>
      <c r="AL2168" s="421"/>
    </row>
    <row r="2169" spans="1:38" hidden="1">
      <c r="A2169" s="408"/>
      <c r="B2169" s="83" t="e">
        <f t="array" ref="B2169">SUM(--(FREQUENCY(IF(C$2:C$3072=C2169, MATCH(D$2:D$3072, D$2:D$3072, 0)), ROW(D$2:D$3072)-ROW(D$2)+1) &gt; 0))</f>
        <v>#N/A</v>
      </c>
      <c r="C2169" s="408"/>
      <c r="D2169" s="408"/>
      <c r="E2169" s="408"/>
      <c r="F2169" s="408"/>
      <c r="G2169" s="408"/>
      <c r="H2169" s="408"/>
      <c r="I2169" s="408"/>
      <c r="J2169" s="408"/>
      <c r="K2169" s="408"/>
      <c r="L2169" s="408"/>
      <c r="M2169" s="408"/>
      <c r="N2169" s="408" t="str">
        <f t="shared" si="460"/>
        <v/>
      </c>
      <c r="O2169" s="408"/>
      <c r="P2169" s="408"/>
      <c r="Q2169" s="408"/>
      <c r="R2169" s="408"/>
      <c r="S2169" s="408"/>
      <c r="T2169" s="408"/>
      <c r="U2169" s="408"/>
      <c r="V2169" s="421"/>
      <c r="W2169" s="421"/>
      <c r="X2169" s="421"/>
      <c r="Y2169" s="421"/>
      <c r="Z2169" s="421"/>
      <c r="AA2169" s="421"/>
      <c r="AB2169" s="421"/>
      <c r="AC2169" s="421"/>
      <c r="AD2169" s="421"/>
      <c r="AE2169" s="421"/>
      <c r="AF2169" s="421"/>
      <c r="AG2169" s="421"/>
      <c r="AH2169" s="421"/>
      <c r="AI2169" s="421"/>
      <c r="AJ2169" s="421"/>
      <c r="AK2169" s="421"/>
      <c r="AL2169" s="421"/>
    </row>
    <row r="2170" spans="1:38" hidden="1">
      <c r="A2170" s="408"/>
      <c r="B2170" s="83" t="e">
        <f t="array" ref="B2170">SUM(--(FREQUENCY(IF(C$2:C$3072=C2170, MATCH(D$2:D$3072, D$2:D$3072, 0)), ROW(D$2:D$3072)-ROW(D$2)+1) &gt; 0))</f>
        <v>#N/A</v>
      </c>
      <c r="C2170" s="408"/>
      <c r="D2170" s="408"/>
      <c r="E2170" s="408"/>
      <c r="F2170" s="408"/>
      <c r="G2170" s="408"/>
      <c r="H2170" s="408"/>
      <c r="I2170" s="408"/>
      <c r="J2170" s="408"/>
      <c r="K2170" s="408"/>
      <c r="L2170" s="408"/>
      <c r="M2170" s="408"/>
      <c r="N2170" s="408" t="str">
        <f t="shared" si="460"/>
        <v/>
      </c>
      <c r="O2170" s="408"/>
      <c r="P2170" s="408"/>
      <c r="Q2170" s="408"/>
      <c r="R2170" s="408"/>
      <c r="S2170" s="408"/>
      <c r="T2170" s="408"/>
      <c r="U2170" s="408"/>
      <c r="V2170" s="421"/>
      <c r="W2170" s="421"/>
      <c r="X2170" s="421"/>
      <c r="Y2170" s="421"/>
      <c r="Z2170" s="421"/>
      <c r="AA2170" s="421"/>
      <c r="AB2170" s="421"/>
      <c r="AC2170" s="421"/>
      <c r="AD2170" s="421"/>
      <c r="AE2170" s="421"/>
      <c r="AF2170" s="421"/>
      <c r="AG2170" s="421"/>
      <c r="AH2170" s="421"/>
      <c r="AI2170" s="421"/>
      <c r="AJ2170" s="421"/>
      <c r="AK2170" s="421"/>
      <c r="AL2170" s="421"/>
    </row>
    <row r="2171" spans="1:38" hidden="1">
      <c r="A2171" s="408"/>
      <c r="B2171" s="83" t="e">
        <f t="array" ref="B2171">SUM(--(FREQUENCY(IF(C$2:C$3072=C2171, MATCH(D$2:D$3072, D$2:D$3072, 0)), ROW(D$2:D$3072)-ROW(D$2)+1) &gt; 0))</f>
        <v>#N/A</v>
      </c>
      <c r="C2171" s="408"/>
      <c r="D2171" s="408"/>
      <c r="E2171" s="408"/>
      <c r="F2171" s="408"/>
      <c r="G2171" s="408"/>
      <c r="H2171" s="408"/>
      <c r="I2171" s="408"/>
      <c r="J2171" s="408"/>
      <c r="K2171" s="408"/>
      <c r="L2171" s="408"/>
      <c r="M2171" s="408"/>
      <c r="N2171" s="408" t="str">
        <f t="shared" si="460"/>
        <v/>
      </c>
      <c r="O2171" s="408"/>
      <c r="P2171" s="408"/>
      <c r="Q2171" s="408"/>
      <c r="R2171" s="408"/>
      <c r="S2171" s="408"/>
      <c r="T2171" s="408"/>
      <c r="U2171" s="408"/>
      <c r="V2171" s="421"/>
      <c r="W2171" s="421"/>
      <c r="X2171" s="421"/>
      <c r="Y2171" s="421"/>
      <c r="Z2171" s="421"/>
      <c r="AA2171" s="421"/>
      <c r="AB2171" s="421"/>
      <c r="AC2171" s="421"/>
      <c r="AD2171" s="421"/>
      <c r="AE2171" s="421"/>
      <c r="AF2171" s="421"/>
      <c r="AG2171" s="421"/>
      <c r="AH2171" s="421"/>
      <c r="AI2171" s="421"/>
      <c r="AJ2171" s="421"/>
      <c r="AK2171" s="421"/>
      <c r="AL2171" s="421"/>
    </row>
    <row r="2172" spans="1:38" hidden="1">
      <c r="A2172" s="408"/>
      <c r="B2172" s="83" t="e">
        <f t="array" ref="B2172">SUM(--(FREQUENCY(IF(C$2:C$3072=C2172, MATCH(D$2:D$3072, D$2:D$3072, 0)), ROW(D$2:D$3072)-ROW(D$2)+1) &gt; 0))</f>
        <v>#N/A</v>
      </c>
      <c r="C2172" s="408"/>
      <c r="D2172" s="408"/>
      <c r="E2172" s="408"/>
      <c r="F2172" s="408"/>
      <c r="G2172" s="408"/>
      <c r="H2172" s="408"/>
      <c r="I2172" s="408"/>
      <c r="J2172" s="408"/>
      <c r="K2172" s="408"/>
      <c r="L2172" s="408"/>
      <c r="M2172" s="408"/>
      <c r="N2172" s="408" t="str">
        <f t="shared" si="460"/>
        <v/>
      </c>
      <c r="O2172" s="408"/>
      <c r="P2172" s="408"/>
      <c r="Q2172" s="408"/>
      <c r="R2172" s="408"/>
      <c r="S2172" s="408"/>
      <c r="T2172" s="408"/>
      <c r="U2172" s="408"/>
      <c r="V2172" s="421"/>
      <c r="W2172" s="421"/>
      <c r="X2172" s="421"/>
      <c r="Y2172" s="421"/>
      <c r="Z2172" s="421"/>
      <c r="AA2172" s="421"/>
      <c r="AB2172" s="421"/>
      <c r="AC2172" s="421"/>
      <c r="AD2172" s="421"/>
      <c r="AE2172" s="421"/>
      <c r="AF2172" s="421"/>
      <c r="AG2172" s="421"/>
      <c r="AH2172" s="421"/>
      <c r="AI2172" s="421"/>
      <c r="AJ2172" s="421"/>
      <c r="AK2172" s="421"/>
      <c r="AL2172" s="421"/>
    </row>
    <row r="2173" spans="1:38" hidden="1">
      <c r="A2173" s="408"/>
      <c r="B2173" s="83" t="e">
        <f t="array" ref="B2173">SUM(--(FREQUENCY(IF(C$2:C$3072=C2173, MATCH(D$2:D$3072, D$2:D$3072, 0)), ROW(D$2:D$3072)-ROW(D$2)+1) &gt; 0))</f>
        <v>#N/A</v>
      </c>
      <c r="C2173" s="408"/>
      <c r="D2173" s="408"/>
      <c r="E2173" s="408"/>
      <c r="F2173" s="408"/>
      <c r="G2173" s="408"/>
      <c r="H2173" s="408"/>
      <c r="I2173" s="408"/>
      <c r="J2173" s="408"/>
      <c r="K2173" s="408"/>
      <c r="L2173" s="408"/>
      <c r="M2173" s="408"/>
      <c r="N2173" s="408" t="str">
        <f t="shared" si="460"/>
        <v/>
      </c>
      <c r="O2173" s="408"/>
      <c r="P2173" s="408"/>
      <c r="Q2173" s="408"/>
      <c r="R2173" s="408"/>
      <c r="S2173" s="408"/>
      <c r="T2173" s="408"/>
      <c r="U2173" s="408"/>
      <c r="V2173" s="421"/>
      <c r="W2173" s="421"/>
      <c r="X2173" s="421"/>
      <c r="Y2173" s="421"/>
      <c r="Z2173" s="421"/>
      <c r="AA2173" s="421"/>
      <c r="AB2173" s="421"/>
      <c r="AC2173" s="421"/>
      <c r="AD2173" s="421"/>
      <c r="AE2173" s="421"/>
      <c r="AF2173" s="421"/>
      <c r="AG2173" s="421"/>
      <c r="AH2173" s="421"/>
      <c r="AI2173" s="421"/>
      <c r="AJ2173" s="421"/>
      <c r="AK2173" s="421"/>
      <c r="AL2173" s="421"/>
    </row>
    <row r="2174" spans="1:38" hidden="1">
      <c r="A2174" s="408"/>
      <c r="B2174" s="83" t="e">
        <f t="array" ref="B2174">SUM(--(FREQUENCY(IF(C$2:C$3072=C2174, MATCH(D$2:D$3072, D$2:D$3072, 0)), ROW(D$2:D$3072)-ROW(D$2)+1) &gt; 0))</f>
        <v>#N/A</v>
      </c>
      <c r="C2174" s="408"/>
      <c r="D2174" s="408"/>
      <c r="E2174" s="408"/>
      <c r="F2174" s="408"/>
      <c r="G2174" s="408"/>
      <c r="H2174" s="408"/>
      <c r="I2174" s="408"/>
      <c r="J2174" s="408"/>
      <c r="K2174" s="408"/>
      <c r="L2174" s="408"/>
      <c r="M2174" s="408"/>
      <c r="N2174" s="408" t="str">
        <f t="shared" si="460"/>
        <v/>
      </c>
      <c r="O2174" s="408"/>
      <c r="P2174" s="408"/>
      <c r="Q2174" s="408"/>
      <c r="R2174" s="408"/>
      <c r="S2174" s="408"/>
      <c r="T2174" s="408"/>
      <c r="U2174" s="408"/>
      <c r="V2174" s="421"/>
      <c r="W2174" s="421"/>
      <c r="X2174" s="421"/>
      <c r="Y2174" s="421"/>
      <c r="Z2174" s="421"/>
      <c r="AA2174" s="421"/>
      <c r="AB2174" s="421"/>
      <c r="AC2174" s="421"/>
      <c r="AD2174" s="421"/>
      <c r="AE2174" s="421"/>
      <c r="AF2174" s="421"/>
      <c r="AG2174" s="421"/>
      <c r="AH2174" s="421"/>
      <c r="AI2174" s="421"/>
      <c r="AJ2174" s="421"/>
      <c r="AK2174" s="421"/>
      <c r="AL2174" s="421"/>
    </row>
    <row r="2175" spans="1:38" hidden="1">
      <c r="A2175" s="408"/>
      <c r="B2175" s="83" t="e">
        <f t="array" ref="B2175">SUM(--(FREQUENCY(IF(C$2:C$3072=C2175, MATCH(D$2:D$3072, D$2:D$3072, 0)), ROW(D$2:D$3072)-ROW(D$2)+1) &gt; 0))</f>
        <v>#N/A</v>
      </c>
      <c r="C2175" s="408"/>
      <c r="D2175" s="408"/>
      <c r="E2175" s="408"/>
      <c r="F2175" s="408"/>
      <c r="G2175" s="408"/>
      <c r="H2175" s="408"/>
      <c r="I2175" s="408"/>
      <c r="J2175" s="408"/>
      <c r="K2175" s="408"/>
      <c r="L2175" s="408"/>
      <c r="M2175" s="408"/>
      <c r="N2175" s="408" t="str">
        <f t="shared" si="460"/>
        <v/>
      </c>
      <c r="O2175" s="408"/>
      <c r="P2175" s="408"/>
      <c r="Q2175" s="408"/>
      <c r="R2175" s="408"/>
      <c r="S2175" s="408"/>
      <c r="T2175" s="408"/>
      <c r="U2175" s="408"/>
      <c r="V2175" s="421"/>
      <c r="W2175" s="421"/>
      <c r="X2175" s="421"/>
      <c r="Y2175" s="421"/>
      <c r="Z2175" s="421"/>
      <c r="AA2175" s="421"/>
      <c r="AB2175" s="421"/>
      <c r="AC2175" s="421"/>
      <c r="AD2175" s="421"/>
      <c r="AE2175" s="421"/>
      <c r="AF2175" s="421"/>
      <c r="AG2175" s="421"/>
      <c r="AH2175" s="421"/>
      <c r="AI2175" s="421"/>
      <c r="AJ2175" s="421"/>
      <c r="AK2175" s="421"/>
      <c r="AL2175" s="421"/>
    </row>
    <row r="2176" spans="1:38" hidden="1">
      <c r="A2176" s="408"/>
      <c r="B2176" s="83" t="e">
        <f t="array" ref="B2176">SUM(--(FREQUENCY(IF(C$2:C$3072=C2176, MATCH(D$2:D$3072, D$2:D$3072, 0)), ROW(D$2:D$3072)-ROW(D$2)+1) &gt; 0))</f>
        <v>#N/A</v>
      </c>
      <c r="C2176" s="408"/>
      <c r="D2176" s="408"/>
      <c r="E2176" s="408"/>
      <c r="F2176" s="408"/>
      <c r="G2176" s="408"/>
      <c r="H2176" s="408"/>
      <c r="I2176" s="408"/>
      <c r="J2176" s="408"/>
      <c r="K2176" s="408"/>
      <c r="L2176" s="408"/>
      <c r="M2176" s="408"/>
      <c r="N2176" s="408" t="str">
        <f t="shared" ref="N2176:N2239" si="461">IF(O2176&lt;&gt;"", "NG", "")</f>
        <v/>
      </c>
      <c r="O2176" s="408"/>
      <c r="P2176" s="408"/>
      <c r="Q2176" s="408"/>
      <c r="R2176" s="408"/>
      <c r="S2176" s="408"/>
      <c r="T2176" s="408"/>
      <c r="U2176" s="408"/>
      <c r="V2176" s="421"/>
      <c r="W2176" s="421"/>
      <c r="X2176" s="421"/>
      <c r="Y2176" s="421"/>
      <c r="Z2176" s="421"/>
      <c r="AA2176" s="421"/>
      <c r="AB2176" s="421"/>
      <c r="AC2176" s="421"/>
      <c r="AD2176" s="421"/>
      <c r="AE2176" s="421"/>
      <c r="AF2176" s="421"/>
      <c r="AG2176" s="421"/>
      <c r="AH2176" s="421"/>
      <c r="AI2176" s="421"/>
      <c r="AJ2176" s="421"/>
      <c r="AK2176" s="421"/>
      <c r="AL2176" s="421"/>
    </row>
    <row r="2177" spans="1:38" hidden="1">
      <c r="A2177" s="408"/>
      <c r="B2177" s="83" t="e">
        <f t="array" ref="B2177">SUM(--(FREQUENCY(IF(C$2:C$3072=C2177, MATCH(D$2:D$3072, D$2:D$3072, 0)), ROW(D$2:D$3072)-ROW(D$2)+1) &gt; 0))</f>
        <v>#N/A</v>
      </c>
      <c r="C2177" s="408"/>
      <c r="D2177" s="408"/>
      <c r="E2177" s="408"/>
      <c r="F2177" s="408"/>
      <c r="G2177" s="408"/>
      <c r="H2177" s="408"/>
      <c r="I2177" s="408"/>
      <c r="J2177" s="408"/>
      <c r="K2177" s="408"/>
      <c r="L2177" s="408"/>
      <c r="M2177" s="408"/>
      <c r="N2177" s="408" t="str">
        <f t="shared" si="461"/>
        <v/>
      </c>
      <c r="O2177" s="408"/>
      <c r="P2177" s="408"/>
      <c r="Q2177" s="408"/>
      <c r="R2177" s="408"/>
      <c r="S2177" s="408"/>
      <c r="T2177" s="408"/>
      <c r="U2177" s="408"/>
      <c r="V2177" s="421"/>
      <c r="W2177" s="421"/>
      <c r="X2177" s="421"/>
      <c r="Y2177" s="421"/>
      <c r="Z2177" s="421"/>
      <c r="AA2177" s="421"/>
      <c r="AB2177" s="421"/>
      <c r="AC2177" s="421"/>
      <c r="AD2177" s="421"/>
      <c r="AE2177" s="421"/>
      <c r="AF2177" s="421"/>
      <c r="AG2177" s="421"/>
      <c r="AH2177" s="421"/>
      <c r="AI2177" s="421"/>
      <c r="AJ2177" s="421"/>
      <c r="AK2177" s="421"/>
      <c r="AL2177" s="421"/>
    </row>
    <row r="2178" spans="1:38" hidden="1">
      <c r="A2178" s="408"/>
      <c r="B2178" s="83" t="e">
        <f t="array" ref="B2178">SUM(--(FREQUENCY(IF(C$2:C$3072=C2178, MATCH(D$2:D$3072, D$2:D$3072, 0)), ROW(D$2:D$3072)-ROW(D$2)+1) &gt; 0))</f>
        <v>#N/A</v>
      </c>
      <c r="C2178" s="408"/>
      <c r="D2178" s="408"/>
      <c r="E2178" s="408"/>
      <c r="F2178" s="408"/>
      <c r="G2178" s="408"/>
      <c r="H2178" s="408"/>
      <c r="I2178" s="408"/>
      <c r="J2178" s="408"/>
      <c r="K2178" s="408"/>
      <c r="L2178" s="408"/>
      <c r="M2178" s="408"/>
      <c r="N2178" s="408" t="str">
        <f t="shared" si="461"/>
        <v/>
      </c>
      <c r="O2178" s="408"/>
      <c r="P2178" s="408"/>
      <c r="Q2178" s="408"/>
      <c r="R2178" s="408"/>
      <c r="S2178" s="408"/>
      <c r="T2178" s="408"/>
      <c r="U2178" s="408"/>
      <c r="V2178" s="421"/>
      <c r="W2178" s="421"/>
      <c r="X2178" s="421"/>
      <c r="Y2178" s="421"/>
      <c r="Z2178" s="421"/>
      <c r="AA2178" s="421"/>
      <c r="AB2178" s="421"/>
      <c r="AC2178" s="421"/>
      <c r="AD2178" s="421"/>
      <c r="AE2178" s="421"/>
      <c r="AF2178" s="421"/>
      <c r="AG2178" s="421"/>
      <c r="AH2178" s="421"/>
      <c r="AI2178" s="421"/>
      <c r="AJ2178" s="421"/>
      <c r="AK2178" s="421"/>
      <c r="AL2178" s="421"/>
    </row>
    <row r="2179" spans="1:38" hidden="1">
      <c r="A2179" s="408"/>
      <c r="B2179" s="83" t="e">
        <f t="array" ref="B2179">SUM(--(FREQUENCY(IF(C$2:C$3072=C2179, MATCH(D$2:D$3072, D$2:D$3072, 0)), ROW(D$2:D$3072)-ROW(D$2)+1) &gt; 0))</f>
        <v>#N/A</v>
      </c>
      <c r="C2179" s="408"/>
      <c r="D2179" s="408"/>
      <c r="E2179" s="408"/>
      <c r="F2179" s="408"/>
      <c r="G2179" s="408"/>
      <c r="H2179" s="408"/>
      <c r="I2179" s="408"/>
      <c r="J2179" s="408"/>
      <c r="K2179" s="408"/>
      <c r="L2179" s="408"/>
      <c r="M2179" s="408"/>
      <c r="N2179" s="408" t="str">
        <f t="shared" si="461"/>
        <v/>
      </c>
      <c r="O2179" s="408"/>
      <c r="P2179" s="408"/>
      <c r="Q2179" s="408"/>
      <c r="R2179" s="408"/>
      <c r="S2179" s="408"/>
      <c r="T2179" s="408"/>
      <c r="U2179" s="408"/>
      <c r="V2179" s="421"/>
      <c r="W2179" s="421"/>
      <c r="X2179" s="421"/>
      <c r="Y2179" s="421"/>
      <c r="Z2179" s="421"/>
      <c r="AA2179" s="421"/>
      <c r="AB2179" s="421"/>
      <c r="AC2179" s="421"/>
      <c r="AD2179" s="421"/>
      <c r="AE2179" s="421"/>
      <c r="AF2179" s="421"/>
      <c r="AG2179" s="421"/>
      <c r="AH2179" s="421"/>
      <c r="AI2179" s="421"/>
      <c r="AJ2179" s="421"/>
      <c r="AK2179" s="421"/>
      <c r="AL2179" s="421"/>
    </row>
    <row r="2180" spans="1:38" hidden="1">
      <c r="A2180" s="408"/>
      <c r="B2180" s="83" t="e">
        <f t="array" ref="B2180">SUM(--(FREQUENCY(IF(C$2:C$3072=C2180, MATCH(D$2:D$3072, D$2:D$3072, 0)), ROW(D$2:D$3072)-ROW(D$2)+1) &gt; 0))</f>
        <v>#N/A</v>
      </c>
      <c r="C2180" s="408"/>
      <c r="D2180" s="408"/>
      <c r="E2180" s="408"/>
      <c r="F2180" s="408"/>
      <c r="G2180" s="408"/>
      <c r="H2180" s="408"/>
      <c r="I2180" s="408"/>
      <c r="J2180" s="408"/>
      <c r="K2180" s="408"/>
      <c r="L2180" s="408"/>
      <c r="M2180" s="408"/>
      <c r="N2180" s="408" t="str">
        <f t="shared" si="461"/>
        <v/>
      </c>
      <c r="O2180" s="408"/>
      <c r="P2180" s="408"/>
      <c r="Q2180" s="408"/>
      <c r="R2180" s="408"/>
      <c r="S2180" s="408"/>
      <c r="T2180" s="408"/>
      <c r="U2180" s="408"/>
      <c r="V2180" s="421"/>
      <c r="W2180" s="421"/>
      <c r="X2180" s="421"/>
      <c r="Y2180" s="421"/>
      <c r="Z2180" s="421"/>
      <c r="AA2180" s="421"/>
      <c r="AB2180" s="421"/>
      <c r="AC2180" s="421"/>
      <c r="AD2180" s="421"/>
      <c r="AE2180" s="421"/>
      <c r="AF2180" s="421"/>
      <c r="AG2180" s="421"/>
      <c r="AH2180" s="421"/>
      <c r="AI2180" s="421"/>
      <c r="AJ2180" s="421"/>
      <c r="AK2180" s="421"/>
      <c r="AL2180" s="421"/>
    </row>
    <row r="2181" spans="1:38" hidden="1">
      <c r="A2181" s="408"/>
      <c r="B2181" s="83" t="e">
        <f t="array" ref="B2181">SUM(--(FREQUENCY(IF(C$2:C$3072=C2181, MATCH(D$2:D$3072, D$2:D$3072, 0)), ROW(D$2:D$3072)-ROW(D$2)+1) &gt; 0))</f>
        <v>#N/A</v>
      </c>
      <c r="C2181" s="408"/>
      <c r="D2181" s="408"/>
      <c r="E2181" s="408"/>
      <c r="F2181" s="408"/>
      <c r="G2181" s="408"/>
      <c r="H2181" s="408"/>
      <c r="I2181" s="408"/>
      <c r="J2181" s="408"/>
      <c r="K2181" s="408"/>
      <c r="L2181" s="408"/>
      <c r="M2181" s="408"/>
      <c r="N2181" s="408" t="str">
        <f t="shared" si="461"/>
        <v/>
      </c>
      <c r="O2181" s="408"/>
      <c r="P2181" s="408"/>
      <c r="Q2181" s="408"/>
      <c r="R2181" s="408"/>
      <c r="S2181" s="408"/>
      <c r="T2181" s="408"/>
      <c r="U2181" s="408"/>
      <c r="V2181" s="421"/>
      <c r="W2181" s="421"/>
      <c r="X2181" s="421"/>
      <c r="Y2181" s="421"/>
      <c r="Z2181" s="421"/>
      <c r="AA2181" s="421"/>
      <c r="AB2181" s="421"/>
      <c r="AC2181" s="421"/>
      <c r="AD2181" s="421"/>
      <c r="AE2181" s="421"/>
      <c r="AF2181" s="421"/>
      <c r="AG2181" s="421"/>
      <c r="AH2181" s="421"/>
      <c r="AI2181" s="421"/>
      <c r="AJ2181" s="421"/>
      <c r="AK2181" s="421"/>
      <c r="AL2181" s="421"/>
    </row>
    <row r="2182" spans="1:38" hidden="1">
      <c r="A2182" s="408"/>
      <c r="B2182" s="83" t="e">
        <f t="array" ref="B2182">SUM(--(FREQUENCY(IF(C$2:C$3072=C2182, MATCH(D$2:D$3072, D$2:D$3072, 0)), ROW(D$2:D$3072)-ROW(D$2)+1) &gt; 0))</f>
        <v>#N/A</v>
      </c>
      <c r="C2182" s="408"/>
      <c r="D2182" s="408"/>
      <c r="E2182" s="408"/>
      <c r="F2182" s="408"/>
      <c r="G2182" s="408"/>
      <c r="H2182" s="408"/>
      <c r="I2182" s="408"/>
      <c r="J2182" s="408"/>
      <c r="K2182" s="408"/>
      <c r="L2182" s="408"/>
      <c r="M2182" s="408"/>
      <c r="N2182" s="408" t="str">
        <f t="shared" si="461"/>
        <v/>
      </c>
      <c r="O2182" s="408"/>
      <c r="P2182" s="408"/>
      <c r="Q2182" s="408"/>
      <c r="R2182" s="408"/>
      <c r="S2182" s="408"/>
      <c r="T2182" s="408"/>
      <c r="U2182" s="408"/>
      <c r="V2182" s="421"/>
      <c r="W2182" s="421"/>
      <c r="X2182" s="421"/>
      <c r="Y2182" s="421"/>
      <c r="Z2182" s="421"/>
      <c r="AA2182" s="421"/>
      <c r="AB2182" s="421"/>
      <c r="AC2182" s="421"/>
      <c r="AD2182" s="421"/>
      <c r="AE2182" s="421"/>
      <c r="AF2182" s="421"/>
      <c r="AG2182" s="421"/>
      <c r="AH2182" s="421"/>
      <c r="AI2182" s="421"/>
      <c r="AJ2182" s="421"/>
      <c r="AK2182" s="421"/>
      <c r="AL2182" s="421"/>
    </row>
    <row r="2183" spans="1:38" hidden="1">
      <c r="A2183" s="408"/>
      <c r="B2183" s="83" t="e">
        <f t="array" ref="B2183">SUM(--(FREQUENCY(IF(C$2:C$3072=C2183, MATCH(D$2:D$3072, D$2:D$3072, 0)), ROW(D$2:D$3072)-ROW(D$2)+1) &gt; 0))</f>
        <v>#N/A</v>
      </c>
      <c r="C2183" s="408"/>
      <c r="D2183" s="408"/>
      <c r="E2183" s="408"/>
      <c r="F2183" s="408"/>
      <c r="G2183" s="408"/>
      <c r="H2183" s="408"/>
      <c r="I2183" s="408"/>
      <c r="J2183" s="408"/>
      <c r="K2183" s="408"/>
      <c r="L2183" s="408"/>
      <c r="M2183" s="408"/>
      <c r="N2183" s="408" t="str">
        <f t="shared" si="461"/>
        <v/>
      </c>
      <c r="O2183" s="408"/>
      <c r="P2183" s="408"/>
      <c r="Q2183" s="408"/>
      <c r="R2183" s="408"/>
      <c r="S2183" s="408"/>
      <c r="T2183" s="408"/>
      <c r="U2183" s="408"/>
      <c r="V2183" s="421"/>
      <c r="W2183" s="421"/>
      <c r="X2183" s="421"/>
      <c r="Y2183" s="421"/>
      <c r="Z2183" s="421"/>
      <c r="AA2183" s="421"/>
      <c r="AB2183" s="421"/>
      <c r="AC2183" s="421"/>
      <c r="AD2183" s="421"/>
      <c r="AE2183" s="421"/>
      <c r="AF2183" s="421"/>
      <c r="AG2183" s="421"/>
      <c r="AH2183" s="421"/>
      <c r="AI2183" s="421"/>
      <c r="AJ2183" s="421"/>
      <c r="AK2183" s="421"/>
      <c r="AL2183" s="421"/>
    </row>
    <row r="2184" spans="1:38" hidden="1">
      <c r="A2184" s="408"/>
      <c r="B2184" s="83" t="e">
        <f t="array" ref="B2184">SUM(--(FREQUENCY(IF(C$2:C$3072=C2184, MATCH(D$2:D$3072, D$2:D$3072, 0)), ROW(D$2:D$3072)-ROW(D$2)+1) &gt; 0))</f>
        <v>#N/A</v>
      </c>
      <c r="C2184" s="408"/>
      <c r="D2184" s="408"/>
      <c r="E2184" s="408"/>
      <c r="F2184" s="408"/>
      <c r="G2184" s="408"/>
      <c r="H2184" s="408"/>
      <c r="I2184" s="408"/>
      <c r="J2184" s="408"/>
      <c r="K2184" s="408"/>
      <c r="L2184" s="408"/>
      <c r="M2184" s="408"/>
      <c r="N2184" s="408" t="str">
        <f t="shared" si="461"/>
        <v/>
      </c>
      <c r="O2184" s="408"/>
      <c r="P2184" s="408"/>
      <c r="Q2184" s="408"/>
      <c r="R2184" s="408"/>
      <c r="S2184" s="408"/>
      <c r="T2184" s="408"/>
      <c r="U2184" s="408"/>
      <c r="V2184" s="421"/>
      <c r="W2184" s="421"/>
      <c r="X2184" s="421"/>
      <c r="Y2184" s="421"/>
      <c r="Z2184" s="421"/>
      <c r="AA2184" s="421"/>
      <c r="AB2184" s="421"/>
      <c r="AC2184" s="421"/>
      <c r="AD2184" s="421"/>
      <c r="AE2184" s="421"/>
      <c r="AF2184" s="421"/>
      <c r="AG2184" s="421"/>
      <c r="AH2184" s="421"/>
      <c r="AI2184" s="421"/>
      <c r="AJ2184" s="421"/>
      <c r="AK2184" s="421"/>
      <c r="AL2184" s="421"/>
    </row>
    <row r="2185" spans="1:38" hidden="1">
      <c r="A2185" s="408"/>
      <c r="B2185" s="83" t="e">
        <f t="array" ref="B2185">SUM(--(FREQUENCY(IF(C$2:C$3072=C2185, MATCH(D$2:D$3072, D$2:D$3072, 0)), ROW(D$2:D$3072)-ROW(D$2)+1) &gt; 0))</f>
        <v>#N/A</v>
      </c>
      <c r="C2185" s="408"/>
      <c r="D2185" s="408"/>
      <c r="E2185" s="408"/>
      <c r="F2185" s="408"/>
      <c r="G2185" s="408"/>
      <c r="H2185" s="408"/>
      <c r="I2185" s="408"/>
      <c r="J2185" s="408"/>
      <c r="K2185" s="408"/>
      <c r="L2185" s="408"/>
      <c r="M2185" s="408"/>
      <c r="N2185" s="408" t="str">
        <f t="shared" si="461"/>
        <v/>
      </c>
      <c r="O2185" s="408"/>
      <c r="P2185" s="408"/>
      <c r="Q2185" s="408"/>
      <c r="R2185" s="408"/>
      <c r="S2185" s="408"/>
      <c r="T2185" s="408"/>
      <c r="U2185" s="408"/>
      <c r="V2185" s="421"/>
      <c r="W2185" s="421"/>
      <c r="X2185" s="421"/>
      <c r="Y2185" s="421"/>
      <c r="Z2185" s="421"/>
      <c r="AA2185" s="421"/>
      <c r="AB2185" s="421"/>
      <c r="AC2185" s="421"/>
      <c r="AD2185" s="421"/>
      <c r="AE2185" s="421"/>
      <c r="AF2185" s="421"/>
      <c r="AG2185" s="421"/>
      <c r="AH2185" s="421"/>
      <c r="AI2185" s="421"/>
      <c r="AJ2185" s="421"/>
      <c r="AK2185" s="421"/>
      <c r="AL2185" s="421"/>
    </row>
    <row r="2186" spans="1:38" hidden="1">
      <c r="A2186" s="408"/>
      <c r="B2186" s="83" t="e">
        <f t="array" ref="B2186">SUM(--(FREQUENCY(IF(C$2:C$3072=C2186, MATCH(D$2:D$3072, D$2:D$3072, 0)), ROW(D$2:D$3072)-ROW(D$2)+1) &gt; 0))</f>
        <v>#N/A</v>
      </c>
      <c r="C2186" s="408"/>
      <c r="D2186" s="408"/>
      <c r="E2186" s="408"/>
      <c r="F2186" s="408"/>
      <c r="G2186" s="408"/>
      <c r="H2186" s="408"/>
      <c r="I2186" s="408"/>
      <c r="J2186" s="408"/>
      <c r="K2186" s="408"/>
      <c r="L2186" s="408"/>
      <c r="M2186" s="408"/>
      <c r="N2186" s="408" t="str">
        <f t="shared" si="461"/>
        <v/>
      </c>
      <c r="O2186" s="408"/>
      <c r="P2186" s="408"/>
      <c r="Q2186" s="408"/>
      <c r="R2186" s="408"/>
      <c r="S2186" s="408"/>
      <c r="T2186" s="408"/>
      <c r="U2186" s="408"/>
      <c r="V2186" s="421"/>
      <c r="W2186" s="421"/>
      <c r="X2186" s="421"/>
      <c r="Y2186" s="421"/>
      <c r="Z2186" s="421"/>
      <c r="AA2186" s="421"/>
      <c r="AB2186" s="421"/>
      <c r="AC2186" s="421"/>
      <c r="AD2186" s="421"/>
      <c r="AE2186" s="421"/>
      <c r="AF2186" s="421"/>
      <c r="AG2186" s="421"/>
      <c r="AH2186" s="421"/>
      <c r="AI2186" s="421"/>
      <c r="AJ2186" s="421"/>
      <c r="AK2186" s="421"/>
      <c r="AL2186" s="421"/>
    </row>
    <row r="2187" spans="1:38" hidden="1">
      <c r="A2187" s="408"/>
      <c r="B2187" s="83" t="e">
        <f t="array" ref="B2187">SUM(--(FREQUENCY(IF(C$2:C$3072=C2187, MATCH(D$2:D$3072, D$2:D$3072, 0)), ROW(D$2:D$3072)-ROW(D$2)+1) &gt; 0))</f>
        <v>#N/A</v>
      </c>
      <c r="C2187" s="408"/>
      <c r="D2187" s="408"/>
      <c r="E2187" s="408"/>
      <c r="F2187" s="408"/>
      <c r="G2187" s="408"/>
      <c r="H2187" s="408"/>
      <c r="I2187" s="408"/>
      <c r="J2187" s="408"/>
      <c r="K2187" s="408"/>
      <c r="L2187" s="408"/>
      <c r="M2187" s="408"/>
      <c r="N2187" s="408" t="str">
        <f t="shared" si="461"/>
        <v/>
      </c>
      <c r="O2187" s="408"/>
      <c r="P2187" s="408"/>
      <c r="Q2187" s="408"/>
      <c r="R2187" s="408"/>
      <c r="S2187" s="408"/>
      <c r="T2187" s="408"/>
      <c r="U2187" s="408"/>
      <c r="V2187" s="421"/>
      <c r="W2187" s="421"/>
      <c r="X2187" s="421"/>
      <c r="Y2187" s="421"/>
      <c r="Z2187" s="421"/>
      <c r="AA2187" s="421"/>
      <c r="AB2187" s="421"/>
      <c r="AC2187" s="421"/>
      <c r="AD2187" s="421"/>
      <c r="AE2187" s="421"/>
      <c r="AF2187" s="421"/>
      <c r="AG2187" s="421"/>
      <c r="AH2187" s="421"/>
      <c r="AI2187" s="421"/>
      <c r="AJ2187" s="421"/>
      <c r="AK2187" s="421"/>
      <c r="AL2187" s="421"/>
    </row>
    <row r="2188" spans="1:38" hidden="1">
      <c r="A2188" s="408"/>
      <c r="B2188" s="83" t="e">
        <f t="array" ref="B2188">SUM(--(FREQUENCY(IF(C$2:C$3072=C2188, MATCH(D$2:D$3072, D$2:D$3072, 0)), ROW(D$2:D$3072)-ROW(D$2)+1) &gt; 0))</f>
        <v>#N/A</v>
      </c>
      <c r="C2188" s="408"/>
      <c r="D2188" s="408"/>
      <c r="E2188" s="408"/>
      <c r="F2188" s="408"/>
      <c r="G2188" s="408"/>
      <c r="H2188" s="408"/>
      <c r="I2188" s="408"/>
      <c r="J2188" s="408"/>
      <c r="K2188" s="408"/>
      <c r="L2188" s="408"/>
      <c r="M2188" s="408"/>
      <c r="N2188" s="408" t="str">
        <f t="shared" si="461"/>
        <v/>
      </c>
      <c r="O2188" s="408"/>
      <c r="P2188" s="408"/>
      <c r="Q2188" s="408"/>
      <c r="R2188" s="408"/>
      <c r="S2188" s="408"/>
      <c r="T2188" s="408"/>
      <c r="U2188" s="408"/>
      <c r="V2188" s="421"/>
      <c r="W2188" s="421"/>
      <c r="X2188" s="421"/>
      <c r="Y2188" s="421"/>
      <c r="Z2188" s="421"/>
      <c r="AA2188" s="421"/>
      <c r="AB2188" s="421"/>
      <c r="AC2188" s="421"/>
      <c r="AD2188" s="421"/>
      <c r="AE2188" s="421"/>
      <c r="AF2188" s="421"/>
      <c r="AG2188" s="421"/>
      <c r="AH2188" s="421"/>
      <c r="AI2188" s="421"/>
      <c r="AJ2188" s="421"/>
      <c r="AK2188" s="421"/>
      <c r="AL2188" s="421"/>
    </row>
    <row r="2189" spans="1:38" hidden="1">
      <c r="A2189" s="408"/>
      <c r="B2189" s="83" t="e">
        <f t="array" ref="B2189">SUM(--(FREQUENCY(IF(C$2:C$3072=C2189, MATCH(D$2:D$3072, D$2:D$3072, 0)), ROW(D$2:D$3072)-ROW(D$2)+1) &gt; 0))</f>
        <v>#N/A</v>
      </c>
      <c r="C2189" s="408"/>
      <c r="D2189" s="408"/>
      <c r="E2189" s="408"/>
      <c r="F2189" s="408"/>
      <c r="G2189" s="408"/>
      <c r="H2189" s="408"/>
      <c r="I2189" s="408"/>
      <c r="J2189" s="408"/>
      <c r="K2189" s="408"/>
      <c r="L2189" s="408"/>
      <c r="M2189" s="408"/>
      <c r="N2189" s="408" t="str">
        <f t="shared" si="461"/>
        <v/>
      </c>
      <c r="O2189" s="408"/>
      <c r="P2189" s="408"/>
      <c r="Q2189" s="408"/>
      <c r="R2189" s="408"/>
      <c r="S2189" s="408"/>
      <c r="T2189" s="408"/>
      <c r="U2189" s="408"/>
      <c r="V2189" s="421"/>
      <c r="W2189" s="421"/>
      <c r="X2189" s="421"/>
      <c r="Y2189" s="421"/>
      <c r="Z2189" s="421"/>
      <c r="AA2189" s="421"/>
      <c r="AB2189" s="421"/>
      <c r="AC2189" s="421"/>
      <c r="AD2189" s="421"/>
      <c r="AE2189" s="421"/>
      <c r="AF2189" s="421"/>
      <c r="AG2189" s="421"/>
      <c r="AH2189" s="421"/>
      <c r="AI2189" s="421"/>
      <c r="AJ2189" s="421"/>
      <c r="AK2189" s="421"/>
      <c r="AL2189" s="421"/>
    </row>
    <row r="2190" spans="1:38" hidden="1">
      <c r="A2190" s="408"/>
      <c r="B2190" s="83" t="e">
        <f t="array" ref="B2190">SUM(--(FREQUENCY(IF(C$2:C$3072=C2190, MATCH(D$2:D$3072, D$2:D$3072, 0)), ROW(D$2:D$3072)-ROW(D$2)+1) &gt; 0))</f>
        <v>#N/A</v>
      </c>
      <c r="C2190" s="408"/>
      <c r="D2190" s="408"/>
      <c r="E2190" s="408"/>
      <c r="F2190" s="408"/>
      <c r="G2190" s="408"/>
      <c r="H2190" s="408"/>
      <c r="I2190" s="408"/>
      <c r="J2190" s="408"/>
      <c r="K2190" s="408"/>
      <c r="L2190" s="408"/>
      <c r="M2190" s="408"/>
      <c r="N2190" s="408" t="str">
        <f t="shared" si="461"/>
        <v/>
      </c>
      <c r="O2190" s="408"/>
      <c r="P2190" s="408"/>
      <c r="Q2190" s="408"/>
      <c r="R2190" s="408"/>
      <c r="S2190" s="408"/>
      <c r="T2190" s="408"/>
      <c r="U2190" s="408"/>
      <c r="V2190" s="421"/>
      <c r="W2190" s="421"/>
      <c r="X2190" s="421"/>
      <c r="Y2190" s="421"/>
      <c r="Z2190" s="421"/>
      <c r="AA2190" s="421"/>
      <c r="AB2190" s="421"/>
      <c r="AC2190" s="421"/>
      <c r="AD2190" s="421"/>
      <c r="AE2190" s="421"/>
      <c r="AF2190" s="421"/>
      <c r="AG2190" s="421"/>
      <c r="AH2190" s="421"/>
      <c r="AI2190" s="421"/>
      <c r="AJ2190" s="421"/>
      <c r="AK2190" s="421"/>
      <c r="AL2190" s="421"/>
    </row>
    <row r="2191" spans="1:38" hidden="1">
      <c r="A2191" s="408"/>
      <c r="B2191" s="83" t="e">
        <f t="array" ref="B2191">SUM(--(FREQUENCY(IF(C$2:C$3072=C2191, MATCH(D$2:D$3072, D$2:D$3072, 0)), ROW(D$2:D$3072)-ROW(D$2)+1) &gt; 0))</f>
        <v>#N/A</v>
      </c>
      <c r="C2191" s="408"/>
      <c r="D2191" s="408"/>
      <c r="E2191" s="408"/>
      <c r="F2191" s="408"/>
      <c r="G2191" s="408"/>
      <c r="H2191" s="408"/>
      <c r="I2191" s="408"/>
      <c r="J2191" s="408"/>
      <c r="K2191" s="408"/>
      <c r="L2191" s="408"/>
      <c r="M2191" s="408"/>
      <c r="N2191" s="408" t="str">
        <f t="shared" si="461"/>
        <v/>
      </c>
      <c r="O2191" s="408"/>
      <c r="P2191" s="408"/>
      <c r="Q2191" s="408"/>
      <c r="R2191" s="408"/>
      <c r="S2191" s="408"/>
      <c r="T2191" s="408"/>
      <c r="U2191" s="408"/>
      <c r="V2191" s="421"/>
      <c r="W2191" s="421"/>
      <c r="X2191" s="421"/>
      <c r="Y2191" s="421"/>
      <c r="Z2191" s="421"/>
      <c r="AA2191" s="421"/>
      <c r="AB2191" s="421"/>
      <c r="AC2191" s="421"/>
      <c r="AD2191" s="421"/>
      <c r="AE2191" s="421"/>
      <c r="AF2191" s="421"/>
      <c r="AG2191" s="421"/>
      <c r="AH2191" s="421"/>
      <c r="AI2191" s="421"/>
      <c r="AJ2191" s="421"/>
      <c r="AK2191" s="421"/>
      <c r="AL2191" s="421"/>
    </row>
    <row r="2192" spans="1:38" hidden="1">
      <c r="A2192" s="408"/>
      <c r="B2192" s="83" t="e">
        <f t="array" ref="B2192">SUM(--(FREQUENCY(IF(C$2:C$3072=C2192, MATCH(D$2:D$3072, D$2:D$3072, 0)), ROW(D$2:D$3072)-ROW(D$2)+1) &gt; 0))</f>
        <v>#N/A</v>
      </c>
      <c r="C2192" s="408"/>
      <c r="D2192" s="408"/>
      <c r="E2192" s="408"/>
      <c r="F2192" s="408"/>
      <c r="G2192" s="408"/>
      <c r="H2192" s="408"/>
      <c r="I2192" s="408"/>
      <c r="J2192" s="408"/>
      <c r="K2192" s="408"/>
      <c r="L2192" s="408"/>
      <c r="M2192" s="408"/>
      <c r="N2192" s="408" t="str">
        <f t="shared" si="461"/>
        <v/>
      </c>
      <c r="O2192" s="408"/>
      <c r="P2192" s="408"/>
      <c r="Q2192" s="408"/>
      <c r="R2192" s="408"/>
      <c r="S2192" s="408"/>
      <c r="T2192" s="408"/>
      <c r="U2192" s="408"/>
      <c r="V2192" s="421"/>
      <c r="W2192" s="421"/>
      <c r="X2192" s="421"/>
      <c r="Y2192" s="421"/>
      <c r="Z2192" s="421"/>
      <c r="AA2192" s="421"/>
      <c r="AB2192" s="421"/>
      <c r="AC2192" s="421"/>
      <c r="AD2192" s="421"/>
      <c r="AE2192" s="421"/>
      <c r="AF2192" s="421"/>
      <c r="AG2192" s="421"/>
      <c r="AH2192" s="421"/>
      <c r="AI2192" s="421"/>
      <c r="AJ2192" s="421"/>
      <c r="AK2192" s="421"/>
      <c r="AL2192" s="421"/>
    </row>
    <row r="2193" spans="1:38" hidden="1">
      <c r="A2193" s="408"/>
      <c r="B2193" s="83" t="e">
        <f t="array" ref="B2193">SUM(--(FREQUENCY(IF(C$2:C$3072=C2193, MATCH(D$2:D$3072, D$2:D$3072, 0)), ROW(D$2:D$3072)-ROW(D$2)+1) &gt; 0))</f>
        <v>#N/A</v>
      </c>
      <c r="C2193" s="408"/>
      <c r="D2193" s="408"/>
      <c r="E2193" s="408"/>
      <c r="F2193" s="408"/>
      <c r="G2193" s="408"/>
      <c r="H2193" s="408"/>
      <c r="I2193" s="408"/>
      <c r="J2193" s="408"/>
      <c r="K2193" s="408"/>
      <c r="L2193" s="408"/>
      <c r="M2193" s="408"/>
      <c r="N2193" s="408" t="str">
        <f t="shared" si="461"/>
        <v/>
      </c>
      <c r="O2193" s="408"/>
      <c r="P2193" s="408"/>
      <c r="Q2193" s="408"/>
      <c r="R2193" s="408"/>
      <c r="S2193" s="408"/>
      <c r="T2193" s="408"/>
      <c r="U2193" s="408"/>
      <c r="V2193" s="421"/>
      <c r="W2193" s="421"/>
      <c r="X2193" s="421"/>
      <c r="Y2193" s="421"/>
      <c r="Z2193" s="421"/>
      <c r="AA2193" s="421"/>
      <c r="AB2193" s="421"/>
      <c r="AC2193" s="421"/>
      <c r="AD2193" s="421"/>
      <c r="AE2193" s="421"/>
      <c r="AF2193" s="421"/>
      <c r="AG2193" s="421"/>
      <c r="AH2193" s="421"/>
      <c r="AI2193" s="421"/>
      <c r="AJ2193" s="421"/>
      <c r="AK2193" s="421"/>
      <c r="AL2193" s="421"/>
    </row>
    <row r="2194" spans="1:38" hidden="1">
      <c r="A2194" s="408"/>
      <c r="B2194" s="83" t="e">
        <f t="array" ref="B2194">SUM(--(FREQUENCY(IF(C$2:C$3072=C2194, MATCH(D$2:D$3072, D$2:D$3072, 0)), ROW(D$2:D$3072)-ROW(D$2)+1) &gt; 0))</f>
        <v>#N/A</v>
      </c>
      <c r="C2194" s="408"/>
      <c r="D2194" s="408"/>
      <c r="E2194" s="408"/>
      <c r="F2194" s="408"/>
      <c r="G2194" s="408"/>
      <c r="H2194" s="408"/>
      <c r="I2194" s="408"/>
      <c r="J2194" s="408"/>
      <c r="K2194" s="408"/>
      <c r="L2194" s="408"/>
      <c r="M2194" s="408"/>
      <c r="N2194" s="408" t="str">
        <f t="shared" si="461"/>
        <v/>
      </c>
      <c r="O2194" s="408"/>
      <c r="P2194" s="408"/>
      <c r="Q2194" s="408"/>
      <c r="R2194" s="408"/>
      <c r="S2194" s="408"/>
      <c r="T2194" s="408"/>
      <c r="U2194" s="408"/>
      <c r="V2194" s="421"/>
      <c r="W2194" s="421"/>
      <c r="X2194" s="421"/>
      <c r="Y2194" s="421"/>
      <c r="Z2194" s="421"/>
      <c r="AA2194" s="421"/>
      <c r="AB2194" s="421"/>
      <c r="AC2194" s="421"/>
      <c r="AD2194" s="421"/>
      <c r="AE2194" s="421"/>
      <c r="AF2194" s="421"/>
      <c r="AG2194" s="421"/>
      <c r="AH2194" s="421"/>
      <c r="AI2194" s="421"/>
      <c r="AJ2194" s="421"/>
      <c r="AK2194" s="421"/>
      <c r="AL2194" s="421"/>
    </row>
    <row r="2195" spans="1:38" hidden="1">
      <c r="A2195" s="408"/>
      <c r="B2195" s="83" t="e">
        <f t="array" ref="B2195">SUM(--(FREQUENCY(IF(C$2:C$3072=C2195, MATCH(D$2:D$3072, D$2:D$3072, 0)), ROW(D$2:D$3072)-ROW(D$2)+1) &gt; 0))</f>
        <v>#N/A</v>
      </c>
      <c r="C2195" s="408"/>
      <c r="D2195" s="408"/>
      <c r="E2195" s="408"/>
      <c r="F2195" s="408"/>
      <c r="G2195" s="408"/>
      <c r="H2195" s="408"/>
      <c r="I2195" s="408"/>
      <c r="J2195" s="408"/>
      <c r="K2195" s="408"/>
      <c r="L2195" s="408"/>
      <c r="M2195" s="408"/>
      <c r="N2195" s="408" t="str">
        <f t="shared" si="461"/>
        <v/>
      </c>
      <c r="O2195" s="408"/>
      <c r="P2195" s="408"/>
      <c r="Q2195" s="408"/>
      <c r="R2195" s="408"/>
      <c r="S2195" s="408"/>
      <c r="T2195" s="408"/>
      <c r="U2195" s="408"/>
      <c r="V2195" s="421"/>
      <c r="W2195" s="421"/>
      <c r="X2195" s="421"/>
      <c r="Y2195" s="421"/>
      <c r="Z2195" s="421"/>
      <c r="AA2195" s="421"/>
      <c r="AB2195" s="421"/>
      <c r="AC2195" s="421"/>
      <c r="AD2195" s="421"/>
      <c r="AE2195" s="421"/>
      <c r="AF2195" s="421"/>
      <c r="AG2195" s="421"/>
      <c r="AH2195" s="421"/>
      <c r="AI2195" s="421"/>
      <c r="AJ2195" s="421"/>
      <c r="AK2195" s="421"/>
      <c r="AL2195" s="421"/>
    </row>
    <row r="2196" spans="1:38" hidden="1">
      <c r="A2196" s="408"/>
      <c r="B2196" s="83" t="e">
        <f t="array" ref="B2196">SUM(--(FREQUENCY(IF(C$2:C$3072=C2196, MATCH(D$2:D$3072, D$2:D$3072, 0)), ROW(D$2:D$3072)-ROW(D$2)+1) &gt; 0))</f>
        <v>#N/A</v>
      </c>
      <c r="C2196" s="408"/>
      <c r="D2196" s="408"/>
      <c r="E2196" s="408"/>
      <c r="F2196" s="408"/>
      <c r="G2196" s="408"/>
      <c r="H2196" s="408"/>
      <c r="I2196" s="408"/>
      <c r="J2196" s="408"/>
      <c r="K2196" s="408"/>
      <c r="L2196" s="408"/>
      <c r="M2196" s="408"/>
      <c r="N2196" s="408" t="str">
        <f t="shared" si="461"/>
        <v/>
      </c>
      <c r="O2196" s="408"/>
      <c r="P2196" s="408"/>
      <c r="Q2196" s="408"/>
      <c r="R2196" s="408"/>
      <c r="S2196" s="408"/>
      <c r="T2196" s="408"/>
      <c r="U2196" s="408"/>
      <c r="V2196" s="421"/>
      <c r="W2196" s="421"/>
      <c r="X2196" s="421"/>
      <c r="Y2196" s="421"/>
      <c r="Z2196" s="421"/>
      <c r="AA2196" s="421"/>
      <c r="AB2196" s="421"/>
      <c r="AC2196" s="421"/>
      <c r="AD2196" s="421"/>
      <c r="AE2196" s="421"/>
      <c r="AF2196" s="421"/>
      <c r="AG2196" s="421"/>
      <c r="AH2196" s="421"/>
      <c r="AI2196" s="421"/>
      <c r="AJ2196" s="421"/>
      <c r="AK2196" s="421"/>
      <c r="AL2196" s="421"/>
    </row>
    <row r="2197" spans="1:38" hidden="1">
      <c r="A2197" s="408"/>
      <c r="B2197" s="83" t="e">
        <f t="array" ref="B2197">SUM(--(FREQUENCY(IF(C$2:C$3072=C2197, MATCH(D$2:D$3072, D$2:D$3072, 0)), ROW(D$2:D$3072)-ROW(D$2)+1) &gt; 0))</f>
        <v>#N/A</v>
      </c>
      <c r="C2197" s="408"/>
      <c r="D2197" s="408"/>
      <c r="E2197" s="408"/>
      <c r="F2197" s="408"/>
      <c r="G2197" s="408"/>
      <c r="H2197" s="408"/>
      <c r="I2197" s="408"/>
      <c r="J2197" s="408"/>
      <c r="K2197" s="408"/>
      <c r="L2197" s="408"/>
      <c r="M2197" s="408"/>
      <c r="N2197" s="408" t="str">
        <f t="shared" si="461"/>
        <v/>
      </c>
      <c r="O2197" s="408"/>
      <c r="P2197" s="408"/>
      <c r="Q2197" s="408"/>
      <c r="R2197" s="408"/>
      <c r="S2197" s="408"/>
      <c r="T2197" s="408"/>
      <c r="U2197" s="408"/>
      <c r="V2197" s="421"/>
      <c r="W2197" s="421"/>
      <c r="X2197" s="421"/>
      <c r="Y2197" s="421"/>
      <c r="Z2197" s="421"/>
      <c r="AA2197" s="421"/>
      <c r="AB2197" s="421"/>
      <c r="AC2197" s="421"/>
      <c r="AD2197" s="421"/>
      <c r="AE2197" s="421"/>
      <c r="AF2197" s="421"/>
      <c r="AG2197" s="421"/>
      <c r="AH2197" s="421"/>
      <c r="AI2197" s="421"/>
      <c r="AJ2197" s="421"/>
      <c r="AK2197" s="421"/>
      <c r="AL2197" s="421"/>
    </row>
    <row r="2198" spans="1:38" hidden="1">
      <c r="A2198" s="408"/>
      <c r="B2198" s="83" t="e">
        <f t="array" ref="B2198">SUM(--(FREQUENCY(IF(C$2:C$3072=C2198, MATCH(D$2:D$3072, D$2:D$3072, 0)), ROW(D$2:D$3072)-ROW(D$2)+1) &gt; 0))</f>
        <v>#N/A</v>
      </c>
      <c r="C2198" s="408"/>
      <c r="D2198" s="408"/>
      <c r="E2198" s="408"/>
      <c r="F2198" s="408"/>
      <c r="G2198" s="408"/>
      <c r="H2198" s="408"/>
      <c r="I2198" s="408"/>
      <c r="J2198" s="408"/>
      <c r="K2198" s="408"/>
      <c r="L2198" s="408"/>
      <c r="M2198" s="408"/>
      <c r="N2198" s="408" t="str">
        <f t="shared" si="461"/>
        <v/>
      </c>
      <c r="O2198" s="408"/>
      <c r="P2198" s="408"/>
      <c r="Q2198" s="408"/>
      <c r="R2198" s="408"/>
      <c r="S2198" s="408"/>
      <c r="T2198" s="408"/>
      <c r="U2198" s="408"/>
      <c r="V2198" s="421"/>
      <c r="W2198" s="421"/>
      <c r="X2198" s="421"/>
      <c r="Y2198" s="421"/>
      <c r="Z2198" s="421"/>
      <c r="AA2198" s="421"/>
      <c r="AB2198" s="421"/>
      <c r="AC2198" s="421"/>
      <c r="AD2198" s="421"/>
      <c r="AE2198" s="421"/>
      <c r="AF2198" s="421"/>
      <c r="AG2198" s="421"/>
      <c r="AH2198" s="421"/>
      <c r="AI2198" s="421"/>
      <c r="AJ2198" s="421"/>
      <c r="AK2198" s="421"/>
      <c r="AL2198" s="421"/>
    </row>
    <row r="2199" spans="1:38" hidden="1">
      <c r="A2199" s="408"/>
      <c r="B2199" s="83" t="e">
        <f t="array" ref="B2199">SUM(--(FREQUENCY(IF(C$2:C$3072=C2199, MATCH(D$2:D$3072, D$2:D$3072, 0)), ROW(D$2:D$3072)-ROW(D$2)+1) &gt; 0))</f>
        <v>#N/A</v>
      </c>
      <c r="C2199" s="408"/>
      <c r="D2199" s="408"/>
      <c r="E2199" s="408"/>
      <c r="F2199" s="408"/>
      <c r="G2199" s="408"/>
      <c r="H2199" s="408"/>
      <c r="I2199" s="408"/>
      <c r="J2199" s="408"/>
      <c r="K2199" s="408"/>
      <c r="L2199" s="408"/>
      <c r="M2199" s="408"/>
      <c r="N2199" s="408" t="str">
        <f t="shared" si="461"/>
        <v/>
      </c>
      <c r="O2199" s="408"/>
      <c r="P2199" s="408"/>
      <c r="Q2199" s="408"/>
      <c r="R2199" s="408"/>
      <c r="S2199" s="408"/>
      <c r="T2199" s="408"/>
      <c r="U2199" s="408"/>
      <c r="V2199" s="421"/>
      <c r="W2199" s="421"/>
      <c r="X2199" s="421"/>
      <c r="Y2199" s="421"/>
      <c r="Z2199" s="421"/>
      <c r="AA2199" s="421"/>
      <c r="AB2199" s="421"/>
      <c r="AC2199" s="421"/>
      <c r="AD2199" s="421"/>
      <c r="AE2199" s="421"/>
      <c r="AF2199" s="421"/>
      <c r="AG2199" s="421"/>
      <c r="AH2199" s="421"/>
      <c r="AI2199" s="421"/>
      <c r="AJ2199" s="421"/>
      <c r="AK2199" s="421"/>
      <c r="AL2199" s="421"/>
    </row>
    <row r="2200" spans="1:38" hidden="1">
      <c r="A2200" s="408"/>
      <c r="B2200" s="83" t="e">
        <f t="array" ref="B2200">SUM(--(FREQUENCY(IF(C$2:C$3072=C2200, MATCH(D$2:D$3072, D$2:D$3072, 0)), ROW(D$2:D$3072)-ROW(D$2)+1) &gt; 0))</f>
        <v>#N/A</v>
      </c>
      <c r="C2200" s="408"/>
      <c r="D2200" s="408"/>
      <c r="E2200" s="408"/>
      <c r="F2200" s="408"/>
      <c r="G2200" s="408"/>
      <c r="H2200" s="408"/>
      <c r="I2200" s="408"/>
      <c r="J2200" s="408"/>
      <c r="K2200" s="408"/>
      <c r="L2200" s="408"/>
      <c r="M2200" s="408"/>
      <c r="N2200" s="408" t="str">
        <f t="shared" si="461"/>
        <v/>
      </c>
      <c r="O2200" s="408"/>
      <c r="P2200" s="408"/>
      <c r="Q2200" s="408"/>
      <c r="R2200" s="408"/>
      <c r="S2200" s="408"/>
      <c r="T2200" s="408"/>
      <c r="U2200" s="408"/>
      <c r="V2200" s="421"/>
      <c r="W2200" s="421"/>
      <c r="X2200" s="421"/>
      <c r="Y2200" s="421"/>
      <c r="Z2200" s="421"/>
      <c r="AA2200" s="421"/>
      <c r="AB2200" s="421"/>
      <c r="AC2200" s="421"/>
      <c r="AD2200" s="421"/>
      <c r="AE2200" s="421"/>
      <c r="AF2200" s="421"/>
      <c r="AG2200" s="421"/>
      <c r="AH2200" s="421"/>
      <c r="AI2200" s="421"/>
      <c r="AJ2200" s="421"/>
      <c r="AK2200" s="421"/>
      <c r="AL2200" s="421"/>
    </row>
    <row r="2201" spans="1:38" hidden="1">
      <c r="A2201" s="408"/>
      <c r="B2201" s="83" t="e">
        <f t="array" ref="B2201">SUM(--(FREQUENCY(IF(C$2:C$3072=C2201, MATCH(D$2:D$3072, D$2:D$3072, 0)), ROW(D$2:D$3072)-ROW(D$2)+1) &gt; 0))</f>
        <v>#N/A</v>
      </c>
      <c r="C2201" s="408"/>
      <c r="D2201" s="408"/>
      <c r="E2201" s="408"/>
      <c r="F2201" s="408"/>
      <c r="G2201" s="408"/>
      <c r="H2201" s="408"/>
      <c r="I2201" s="408"/>
      <c r="J2201" s="408"/>
      <c r="K2201" s="408"/>
      <c r="L2201" s="408"/>
      <c r="M2201" s="408"/>
      <c r="N2201" s="408" t="str">
        <f t="shared" si="461"/>
        <v/>
      </c>
      <c r="O2201" s="408"/>
      <c r="P2201" s="408"/>
      <c r="Q2201" s="408"/>
      <c r="R2201" s="408"/>
      <c r="S2201" s="408"/>
      <c r="T2201" s="408"/>
      <c r="U2201" s="408"/>
      <c r="V2201" s="421"/>
      <c r="W2201" s="421"/>
      <c r="X2201" s="421"/>
      <c r="Y2201" s="421"/>
      <c r="Z2201" s="421"/>
      <c r="AA2201" s="421"/>
      <c r="AB2201" s="421"/>
      <c r="AC2201" s="421"/>
      <c r="AD2201" s="421"/>
      <c r="AE2201" s="421"/>
      <c r="AF2201" s="421"/>
      <c r="AG2201" s="421"/>
      <c r="AH2201" s="421"/>
      <c r="AI2201" s="421"/>
      <c r="AJ2201" s="421"/>
      <c r="AK2201" s="421"/>
      <c r="AL2201" s="421"/>
    </row>
    <row r="2202" spans="1:38" hidden="1">
      <c r="A2202" s="408"/>
      <c r="B2202" s="83" t="e">
        <f t="array" ref="B2202">SUM(--(FREQUENCY(IF(C$2:C$3072=C2202, MATCH(D$2:D$3072, D$2:D$3072, 0)), ROW(D$2:D$3072)-ROW(D$2)+1) &gt; 0))</f>
        <v>#N/A</v>
      </c>
      <c r="C2202" s="408"/>
      <c r="D2202" s="408"/>
      <c r="E2202" s="408"/>
      <c r="F2202" s="408"/>
      <c r="G2202" s="408"/>
      <c r="H2202" s="408"/>
      <c r="I2202" s="408"/>
      <c r="J2202" s="408"/>
      <c r="K2202" s="408"/>
      <c r="L2202" s="408"/>
      <c r="M2202" s="408"/>
      <c r="N2202" s="408" t="str">
        <f t="shared" si="461"/>
        <v/>
      </c>
      <c r="O2202" s="408"/>
      <c r="P2202" s="408"/>
      <c r="Q2202" s="408"/>
      <c r="R2202" s="408"/>
      <c r="S2202" s="408"/>
      <c r="T2202" s="408"/>
      <c r="U2202" s="408"/>
      <c r="V2202" s="421"/>
      <c r="W2202" s="421"/>
      <c r="X2202" s="421"/>
      <c r="Y2202" s="421"/>
      <c r="Z2202" s="421"/>
      <c r="AA2202" s="421"/>
      <c r="AB2202" s="421"/>
      <c r="AC2202" s="421"/>
      <c r="AD2202" s="421"/>
      <c r="AE2202" s="421"/>
      <c r="AF2202" s="421"/>
      <c r="AG2202" s="421"/>
      <c r="AH2202" s="421"/>
      <c r="AI2202" s="421"/>
      <c r="AJ2202" s="421"/>
      <c r="AK2202" s="421"/>
      <c r="AL2202" s="421"/>
    </row>
    <row r="2203" spans="1:38" hidden="1">
      <c r="A2203" s="408"/>
      <c r="B2203" s="83" t="e">
        <f t="array" ref="B2203">SUM(--(FREQUENCY(IF(C$2:C$3072=C2203, MATCH(D$2:D$3072, D$2:D$3072, 0)), ROW(D$2:D$3072)-ROW(D$2)+1) &gt; 0))</f>
        <v>#N/A</v>
      </c>
      <c r="C2203" s="408"/>
      <c r="D2203" s="408"/>
      <c r="E2203" s="408"/>
      <c r="F2203" s="408"/>
      <c r="G2203" s="408"/>
      <c r="H2203" s="408"/>
      <c r="I2203" s="408"/>
      <c r="J2203" s="408"/>
      <c r="K2203" s="408"/>
      <c r="L2203" s="408"/>
      <c r="M2203" s="408"/>
      <c r="N2203" s="408" t="str">
        <f t="shared" si="461"/>
        <v/>
      </c>
      <c r="O2203" s="408"/>
      <c r="P2203" s="408"/>
      <c r="Q2203" s="408"/>
      <c r="R2203" s="408"/>
      <c r="S2203" s="408"/>
      <c r="T2203" s="408"/>
      <c r="U2203" s="408"/>
      <c r="V2203" s="421"/>
      <c r="W2203" s="421"/>
      <c r="X2203" s="421"/>
      <c r="Y2203" s="421"/>
      <c r="Z2203" s="421"/>
      <c r="AA2203" s="421"/>
      <c r="AB2203" s="421"/>
      <c r="AC2203" s="421"/>
      <c r="AD2203" s="421"/>
      <c r="AE2203" s="421"/>
      <c r="AF2203" s="421"/>
      <c r="AG2203" s="421"/>
      <c r="AH2203" s="421"/>
      <c r="AI2203" s="421"/>
      <c r="AJ2203" s="421"/>
      <c r="AK2203" s="421"/>
      <c r="AL2203" s="421"/>
    </row>
    <row r="2204" spans="1:38" hidden="1">
      <c r="A2204" s="408"/>
      <c r="B2204" s="83" t="e">
        <f t="array" ref="B2204">SUM(--(FREQUENCY(IF(C$2:C$3072=C2204, MATCH(D$2:D$3072, D$2:D$3072, 0)), ROW(D$2:D$3072)-ROW(D$2)+1) &gt; 0))</f>
        <v>#N/A</v>
      </c>
      <c r="C2204" s="408"/>
      <c r="D2204" s="408"/>
      <c r="E2204" s="408"/>
      <c r="F2204" s="408"/>
      <c r="G2204" s="408"/>
      <c r="H2204" s="408"/>
      <c r="I2204" s="408"/>
      <c r="J2204" s="408"/>
      <c r="K2204" s="408"/>
      <c r="L2204" s="408"/>
      <c r="M2204" s="408"/>
      <c r="N2204" s="408" t="str">
        <f t="shared" si="461"/>
        <v/>
      </c>
      <c r="O2204" s="408"/>
      <c r="P2204" s="408"/>
      <c r="Q2204" s="408"/>
      <c r="R2204" s="408"/>
      <c r="S2204" s="408"/>
      <c r="T2204" s="408"/>
      <c r="U2204" s="408"/>
      <c r="V2204" s="421"/>
      <c r="W2204" s="421"/>
      <c r="X2204" s="421"/>
      <c r="Y2204" s="421"/>
      <c r="Z2204" s="421"/>
      <c r="AA2204" s="421"/>
      <c r="AB2204" s="421"/>
      <c r="AC2204" s="421"/>
      <c r="AD2204" s="421"/>
      <c r="AE2204" s="421"/>
      <c r="AF2204" s="421"/>
      <c r="AG2204" s="421"/>
      <c r="AH2204" s="421"/>
      <c r="AI2204" s="421"/>
      <c r="AJ2204" s="421"/>
      <c r="AK2204" s="421"/>
      <c r="AL2204" s="421"/>
    </row>
    <row r="2205" spans="1:38" hidden="1">
      <c r="A2205" s="408"/>
      <c r="B2205" s="83" t="e">
        <f t="array" ref="B2205">SUM(--(FREQUENCY(IF(C$2:C$3072=C2205, MATCH(D$2:D$3072, D$2:D$3072, 0)), ROW(D$2:D$3072)-ROW(D$2)+1) &gt; 0))</f>
        <v>#N/A</v>
      </c>
      <c r="C2205" s="408"/>
      <c r="D2205" s="408"/>
      <c r="E2205" s="408"/>
      <c r="F2205" s="408"/>
      <c r="G2205" s="408"/>
      <c r="H2205" s="408"/>
      <c r="I2205" s="408"/>
      <c r="J2205" s="408"/>
      <c r="K2205" s="408"/>
      <c r="L2205" s="408"/>
      <c r="M2205" s="408"/>
      <c r="N2205" s="408" t="str">
        <f t="shared" si="461"/>
        <v/>
      </c>
      <c r="O2205" s="408"/>
      <c r="P2205" s="408"/>
      <c r="Q2205" s="408"/>
      <c r="R2205" s="408"/>
      <c r="S2205" s="408"/>
      <c r="T2205" s="408"/>
      <c r="U2205" s="408"/>
      <c r="V2205" s="421"/>
      <c r="W2205" s="421"/>
      <c r="X2205" s="421"/>
      <c r="Y2205" s="421"/>
      <c r="Z2205" s="421"/>
      <c r="AA2205" s="421"/>
      <c r="AB2205" s="421"/>
      <c r="AC2205" s="421"/>
      <c r="AD2205" s="421"/>
      <c r="AE2205" s="421"/>
      <c r="AF2205" s="421"/>
      <c r="AG2205" s="421"/>
      <c r="AH2205" s="421"/>
      <c r="AI2205" s="421"/>
      <c r="AJ2205" s="421"/>
      <c r="AK2205" s="421"/>
      <c r="AL2205" s="421"/>
    </row>
    <row r="2206" spans="1:38" hidden="1">
      <c r="A2206" s="408"/>
      <c r="B2206" s="83" t="e">
        <f t="array" ref="B2206">SUM(--(FREQUENCY(IF(C$2:C$3072=C2206, MATCH(D$2:D$3072, D$2:D$3072, 0)), ROW(D$2:D$3072)-ROW(D$2)+1) &gt; 0))</f>
        <v>#N/A</v>
      </c>
      <c r="C2206" s="408"/>
      <c r="D2206" s="408"/>
      <c r="E2206" s="408"/>
      <c r="F2206" s="408"/>
      <c r="G2206" s="408"/>
      <c r="H2206" s="408"/>
      <c r="I2206" s="408"/>
      <c r="J2206" s="408"/>
      <c r="K2206" s="408"/>
      <c r="L2206" s="408"/>
      <c r="M2206" s="408"/>
      <c r="N2206" s="408" t="str">
        <f t="shared" si="461"/>
        <v/>
      </c>
      <c r="O2206" s="408"/>
      <c r="P2206" s="408"/>
      <c r="Q2206" s="408"/>
      <c r="R2206" s="408"/>
      <c r="S2206" s="408"/>
      <c r="T2206" s="408"/>
      <c r="U2206" s="408"/>
      <c r="V2206" s="421"/>
      <c r="W2206" s="421"/>
      <c r="X2206" s="421"/>
      <c r="Y2206" s="421"/>
      <c r="Z2206" s="421"/>
      <c r="AA2206" s="421"/>
      <c r="AB2206" s="421"/>
      <c r="AC2206" s="421"/>
      <c r="AD2206" s="421"/>
      <c r="AE2206" s="421"/>
      <c r="AF2206" s="421"/>
      <c r="AG2206" s="421"/>
      <c r="AH2206" s="421"/>
      <c r="AI2206" s="421"/>
      <c r="AJ2206" s="421"/>
      <c r="AK2206" s="421"/>
      <c r="AL2206" s="421"/>
    </row>
    <row r="2207" spans="1:38" hidden="1">
      <c r="A2207" s="408"/>
      <c r="B2207" s="83" t="e">
        <f t="array" ref="B2207">SUM(--(FREQUENCY(IF(C$2:C$3072=C2207, MATCH(D$2:D$3072, D$2:D$3072, 0)), ROW(D$2:D$3072)-ROW(D$2)+1) &gt; 0))</f>
        <v>#N/A</v>
      </c>
      <c r="C2207" s="408"/>
      <c r="D2207" s="408"/>
      <c r="E2207" s="408"/>
      <c r="F2207" s="408"/>
      <c r="G2207" s="408"/>
      <c r="H2207" s="408"/>
      <c r="I2207" s="408"/>
      <c r="J2207" s="408"/>
      <c r="K2207" s="408"/>
      <c r="L2207" s="408"/>
      <c r="M2207" s="408"/>
      <c r="N2207" s="408" t="str">
        <f t="shared" si="461"/>
        <v/>
      </c>
      <c r="O2207" s="408"/>
      <c r="P2207" s="408"/>
      <c r="Q2207" s="408"/>
      <c r="R2207" s="408"/>
      <c r="S2207" s="408"/>
      <c r="T2207" s="408"/>
      <c r="U2207" s="408"/>
      <c r="V2207" s="421"/>
      <c r="W2207" s="421"/>
      <c r="X2207" s="421"/>
      <c r="Y2207" s="421"/>
      <c r="Z2207" s="421"/>
      <c r="AA2207" s="421"/>
      <c r="AB2207" s="421"/>
      <c r="AC2207" s="421"/>
      <c r="AD2207" s="421"/>
      <c r="AE2207" s="421"/>
      <c r="AF2207" s="421"/>
      <c r="AG2207" s="421"/>
      <c r="AH2207" s="421"/>
      <c r="AI2207" s="421"/>
      <c r="AJ2207" s="421"/>
      <c r="AK2207" s="421"/>
      <c r="AL2207" s="421"/>
    </row>
    <row r="2208" spans="1:38" hidden="1">
      <c r="A2208" s="408"/>
      <c r="B2208" s="83" t="e">
        <f t="array" ref="B2208">SUM(--(FREQUENCY(IF(C$2:C$3072=C2208, MATCH(D$2:D$3072, D$2:D$3072, 0)), ROW(D$2:D$3072)-ROW(D$2)+1) &gt; 0))</f>
        <v>#N/A</v>
      </c>
      <c r="C2208" s="408"/>
      <c r="D2208" s="408"/>
      <c r="E2208" s="408"/>
      <c r="F2208" s="408"/>
      <c r="G2208" s="408"/>
      <c r="H2208" s="408"/>
      <c r="I2208" s="408"/>
      <c r="J2208" s="408"/>
      <c r="K2208" s="408"/>
      <c r="L2208" s="408"/>
      <c r="M2208" s="408"/>
      <c r="N2208" s="408" t="str">
        <f t="shared" si="461"/>
        <v/>
      </c>
      <c r="O2208" s="408"/>
      <c r="P2208" s="408"/>
      <c r="Q2208" s="408"/>
      <c r="R2208" s="408"/>
      <c r="S2208" s="408"/>
      <c r="T2208" s="408"/>
      <c r="U2208" s="408"/>
      <c r="V2208" s="421"/>
      <c r="W2208" s="421"/>
      <c r="X2208" s="421"/>
      <c r="Y2208" s="421"/>
      <c r="Z2208" s="421"/>
      <c r="AA2208" s="421"/>
      <c r="AB2208" s="421"/>
      <c r="AC2208" s="421"/>
      <c r="AD2208" s="421"/>
      <c r="AE2208" s="421"/>
      <c r="AF2208" s="421"/>
      <c r="AG2208" s="421"/>
      <c r="AH2208" s="421"/>
      <c r="AI2208" s="421"/>
      <c r="AJ2208" s="421"/>
      <c r="AK2208" s="421"/>
      <c r="AL2208" s="421"/>
    </row>
    <row r="2209" spans="1:38" hidden="1">
      <c r="A2209" s="408"/>
      <c r="B2209" s="83" t="e">
        <f t="array" ref="B2209">SUM(--(FREQUENCY(IF(C$2:C$3072=C2209, MATCH(D$2:D$3072, D$2:D$3072, 0)), ROW(D$2:D$3072)-ROW(D$2)+1) &gt; 0))</f>
        <v>#N/A</v>
      </c>
      <c r="C2209" s="408"/>
      <c r="D2209" s="408"/>
      <c r="E2209" s="408"/>
      <c r="F2209" s="408"/>
      <c r="G2209" s="408"/>
      <c r="H2209" s="408"/>
      <c r="I2209" s="408"/>
      <c r="J2209" s="408"/>
      <c r="K2209" s="408"/>
      <c r="L2209" s="408"/>
      <c r="M2209" s="408"/>
      <c r="N2209" s="408" t="str">
        <f t="shared" si="461"/>
        <v/>
      </c>
      <c r="O2209" s="408"/>
      <c r="P2209" s="408"/>
      <c r="Q2209" s="408"/>
      <c r="R2209" s="408"/>
      <c r="S2209" s="408"/>
      <c r="T2209" s="408"/>
      <c r="U2209" s="408"/>
      <c r="V2209" s="421"/>
      <c r="W2209" s="421"/>
      <c r="X2209" s="421"/>
      <c r="Y2209" s="421"/>
      <c r="Z2209" s="421"/>
      <c r="AA2209" s="421"/>
      <c r="AB2209" s="421"/>
      <c r="AC2209" s="421"/>
      <c r="AD2209" s="421"/>
      <c r="AE2209" s="421"/>
      <c r="AF2209" s="421"/>
      <c r="AG2209" s="421"/>
      <c r="AH2209" s="421"/>
      <c r="AI2209" s="421"/>
      <c r="AJ2209" s="421"/>
      <c r="AK2209" s="421"/>
      <c r="AL2209" s="421"/>
    </row>
    <row r="2210" spans="1:38" hidden="1">
      <c r="A2210" s="408"/>
      <c r="B2210" s="83" t="e">
        <f t="array" ref="B2210">SUM(--(FREQUENCY(IF(C$2:C$3072=C2210, MATCH(D$2:D$3072, D$2:D$3072, 0)), ROW(D$2:D$3072)-ROW(D$2)+1) &gt; 0))</f>
        <v>#N/A</v>
      </c>
      <c r="C2210" s="408"/>
      <c r="D2210" s="408"/>
      <c r="E2210" s="408"/>
      <c r="F2210" s="408"/>
      <c r="G2210" s="408"/>
      <c r="H2210" s="408"/>
      <c r="I2210" s="408"/>
      <c r="J2210" s="408"/>
      <c r="K2210" s="408"/>
      <c r="L2210" s="408"/>
      <c r="M2210" s="408"/>
      <c r="N2210" s="408" t="str">
        <f t="shared" si="461"/>
        <v/>
      </c>
      <c r="O2210" s="408"/>
      <c r="P2210" s="408"/>
      <c r="Q2210" s="408"/>
      <c r="R2210" s="408"/>
      <c r="S2210" s="408"/>
      <c r="T2210" s="408"/>
      <c r="U2210" s="408"/>
      <c r="V2210" s="421"/>
      <c r="W2210" s="421"/>
      <c r="X2210" s="421"/>
      <c r="Y2210" s="421"/>
      <c r="Z2210" s="421"/>
      <c r="AA2210" s="421"/>
      <c r="AB2210" s="421"/>
      <c r="AC2210" s="421"/>
      <c r="AD2210" s="421"/>
      <c r="AE2210" s="421"/>
      <c r="AF2210" s="421"/>
      <c r="AG2210" s="421"/>
      <c r="AH2210" s="421"/>
      <c r="AI2210" s="421"/>
      <c r="AJ2210" s="421"/>
      <c r="AK2210" s="421"/>
      <c r="AL2210" s="421"/>
    </row>
    <row r="2211" spans="1:38" hidden="1">
      <c r="A2211" s="408"/>
      <c r="B2211" s="83" t="e">
        <f t="array" ref="B2211">SUM(--(FREQUENCY(IF(C$2:C$3072=C2211, MATCH(D$2:D$3072, D$2:D$3072, 0)), ROW(D$2:D$3072)-ROW(D$2)+1) &gt; 0))</f>
        <v>#N/A</v>
      </c>
      <c r="C2211" s="408"/>
      <c r="D2211" s="408"/>
      <c r="E2211" s="408"/>
      <c r="F2211" s="408"/>
      <c r="G2211" s="408"/>
      <c r="H2211" s="408"/>
      <c r="I2211" s="408"/>
      <c r="J2211" s="408"/>
      <c r="K2211" s="408"/>
      <c r="L2211" s="408"/>
      <c r="M2211" s="408"/>
      <c r="N2211" s="408" t="str">
        <f t="shared" si="461"/>
        <v/>
      </c>
      <c r="O2211" s="408"/>
      <c r="P2211" s="408"/>
      <c r="Q2211" s="408"/>
      <c r="R2211" s="408"/>
      <c r="S2211" s="408"/>
      <c r="T2211" s="408"/>
      <c r="U2211" s="408"/>
      <c r="V2211" s="421"/>
      <c r="W2211" s="421"/>
      <c r="X2211" s="421"/>
      <c r="Y2211" s="421"/>
      <c r="Z2211" s="421"/>
      <c r="AA2211" s="421"/>
      <c r="AB2211" s="421"/>
      <c r="AC2211" s="421"/>
      <c r="AD2211" s="421"/>
      <c r="AE2211" s="421"/>
      <c r="AF2211" s="421"/>
      <c r="AG2211" s="421"/>
      <c r="AH2211" s="421"/>
      <c r="AI2211" s="421"/>
      <c r="AJ2211" s="421"/>
      <c r="AK2211" s="421"/>
      <c r="AL2211" s="421"/>
    </row>
    <row r="2212" spans="1:38" hidden="1">
      <c r="A2212" s="408"/>
      <c r="B2212" s="83" t="e">
        <f t="array" ref="B2212">SUM(--(FREQUENCY(IF(C$2:C$3072=C2212, MATCH(D$2:D$3072, D$2:D$3072, 0)), ROW(D$2:D$3072)-ROW(D$2)+1) &gt; 0))</f>
        <v>#N/A</v>
      </c>
      <c r="C2212" s="408"/>
      <c r="D2212" s="408"/>
      <c r="E2212" s="408"/>
      <c r="F2212" s="408"/>
      <c r="G2212" s="408"/>
      <c r="H2212" s="408"/>
      <c r="I2212" s="408"/>
      <c r="J2212" s="408"/>
      <c r="K2212" s="408"/>
      <c r="L2212" s="408"/>
      <c r="M2212" s="408"/>
      <c r="N2212" s="408" t="str">
        <f t="shared" si="461"/>
        <v/>
      </c>
      <c r="O2212" s="408"/>
      <c r="P2212" s="408"/>
      <c r="Q2212" s="408"/>
      <c r="R2212" s="408"/>
      <c r="S2212" s="408"/>
      <c r="T2212" s="408"/>
      <c r="U2212" s="408"/>
      <c r="V2212" s="421"/>
      <c r="W2212" s="421"/>
      <c r="X2212" s="421"/>
      <c r="Y2212" s="421"/>
      <c r="Z2212" s="421"/>
      <c r="AA2212" s="421"/>
      <c r="AB2212" s="421"/>
      <c r="AC2212" s="421"/>
      <c r="AD2212" s="421"/>
      <c r="AE2212" s="421"/>
      <c r="AF2212" s="421"/>
      <c r="AG2212" s="421"/>
      <c r="AH2212" s="421"/>
      <c r="AI2212" s="421"/>
      <c r="AJ2212" s="421"/>
      <c r="AK2212" s="421"/>
      <c r="AL2212" s="421"/>
    </row>
    <row r="2213" spans="1:38" hidden="1">
      <c r="A2213" s="408"/>
      <c r="B2213" s="83" t="e">
        <f t="array" ref="B2213">SUM(--(FREQUENCY(IF(C$2:C$3072=C2213, MATCH(D$2:D$3072, D$2:D$3072, 0)), ROW(D$2:D$3072)-ROW(D$2)+1) &gt; 0))</f>
        <v>#N/A</v>
      </c>
      <c r="C2213" s="408"/>
      <c r="D2213" s="408"/>
      <c r="E2213" s="408"/>
      <c r="F2213" s="408"/>
      <c r="G2213" s="408"/>
      <c r="H2213" s="408"/>
      <c r="I2213" s="408"/>
      <c r="J2213" s="408"/>
      <c r="K2213" s="408"/>
      <c r="L2213" s="408"/>
      <c r="M2213" s="408"/>
      <c r="N2213" s="408" t="str">
        <f t="shared" si="461"/>
        <v/>
      </c>
      <c r="O2213" s="408"/>
      <c r="P2213" s="408"/>
      <c r="Q2213" s="408"/>
      <c r="R2213" s="408"/>
      <c r="S2213" s="408"/>
      <c r="T2213" s="408"/>
      <c r="U2213" s="408"/>
      <c r="V2213" s="421"/>
      <c r="W2213" s="421"/>
      <c r="X2213" s="421"/>
      <c r="Y2213" s="421"/>
      <c r="Z2213" s="421"/>
      <c r="AA2213" s="421"/>
      <c r="AB2213" s="421"/>
      <c r="AC2213" s="421"/>
      <c r="AD2213" s="421"/>
      <c r="AE2213" s="421"/>
      <c r="AF2213" s="421"/>
      <c r="AG2213" s="421"/>
      <c r="AH2213" s="421"/>
      <c r="AI2213" s="421"/>
      <c r="AJ2213" s="421"/>
      <c r="AK2213" s="421"/>
      <c r="AL2213" s="421"/>
    </row>
    <row r="2214" spans="1:38" hidden="1">
      <c r="A2214" s="408"/>
      <c r="B2214" s="83" t="e">
        <f t="array" ref="B2214">SUM(--(FREQUENCY(IF(C$2:C$3072=C2214, MATCH(D$2:D$3072, D$2:D$3072, 0)), ROW(D$2:D$3072)-ROW(D$2)+1) &gt; 0))</f>
        <v>#N/A</v>
      </c>
      <c r="C2214" s="408"/>
      <c r="D2214" s="408"/>
      <c r="E2214" s="408"/>
      <c r="F2214" s="408"/>
      <c r="G2214" s="408"/>
      <c r="H2214" s="408"/>
      <c r="I2214" s="408"/>
      <c r="J2214" s="408"/>
      <c r="K2214" s="408"/>
      <c r="L2214" s="408"/>
      <c r="M2214" s="408"/>
      <c r="N2214" s="408" t="str">
        <f t="shared" si="461"/>
        <v/>
      </c>
      <c r="O2214" s="408"/>
      <c r="P2214" s="408"/>
      <c r="Q2214" s="408"/>
      <c r="R2214" s="408"/>
      <c r="S2214" s="408"/>
      <c r="T2214" s="408"/>
      <c r="U2214" s="408"/>
      <c r="V2214" s="421"/>
      <c r="W2214" s="421"/>
      <c r="X2214" s="421"/>
      <c r="Y2214" s="421"/>
      <c r="Z2214" s="421"/>
      <c r="AA2214" s="421"/>
      <c r="AB2214" s="421"/>
      <c r="AC2214" s="421"/>
      <c r="AD2214" s="421"/>
      <c r="AE2214" s="421"/>
      <c r="AF2214" s="421"/>
      <c r="AG2214" s="421"/>
      <c r="AH2214" s="421"/>
      <c r="AI2214" s="421"/>
      <c r="AJ2214" s="421"/>
      <c r="AK2214" s="421"/>
      <c r="AL2214" s="421"/>
    </row>
    <row r="2215" spans="1:38" hidden="1">
      <c r="A2215" s="408"/>
      <c r="B2215" s="83" t="e">
        <f t="array" ref="B2215">SUM(--(FREQUENCY(IF(C$2:C$3072=C2215, MATCH(D$2:D$3072, D$2:D$3072, 0)), ROW(D$2:D$3072)-ROW(D$2)+1) &gt; 0))</f>
        <v>#N/A</v>
      </c>
      <c r="C2215" s="408"/>
      <c r="D2215" s="408"/>
      <c r="E2215" s="408"/>
      <c r="F2215" s="408"/>
      <c r="G2215" s="408"/>
      <c r="H2215" s="408"/>
      <c r="I2215" s="408"/>
      <c r="J2215" s="408"/>
      <c r="K2215" s="408"/>
      <c r="L2215" s="408"/>
      <c r="M2215" s="408"/>
      <c r="N2215" s="408" t="str">
        <f t="shared" si="461"/>
        <v/>
      </c>
      <c r="O2215" s="408"/>
      <c r="P2215" s="408"/>
      <c r="Q2215" s="408"/>
      <c r="R2215" s="408"/>
      <c r="S2215" s="408"/>
      <c r="T2215" s="408"/>
      <c r="U2215" s="408"/>
      <c r="V2215" s="421"/>
      <c r="W2215" s="421"/>
      <c r="X2215" s="421"/>
      <c r="Y2215" s="421"/>
      <c r="Z2215" s="421"/>
      <c r="AA2215" s="421"/>
      <c r="AB2215" s="421"/>
      <c r="AC2215" s="421"/>
      <c r="AD2215" s="421"/>
      <c r="AE2215" s="421"/>
      <c r="AF2215" s="421"/>
      <c r="AG2215" s="421"/>
      <c r="AH2215" s="421"/>
      <c r="AI2215" s="421"/>
      <c r="AJ2215" s="421"/>
      <c r="AK2215" s="421"/>
      <c r="AL2215" s="421"/>
    </row>
    <row r="2216" spans="1:38" hidden="1">
      <c r="A2216" s="408"/>
      <c r="B2216" s="83" t="e">
        <f t="array" ref="B2216">SUM(--(FREQUENCY(IF(C$2:C$3072=C2216, MATCH(D$2:D$3072, D$2:D$3072, 0)), ROW(D$2:D$3072)-ROW(D$2)+1) &gt; 0))</f>
        <v>#N/A</v>
      </c>
      <c r="C2216" s="408"/>
      <c r="D2216" s="408"/>
      <c r="E2216" s="408"/>
      <c r="F2216" s="408"/>
      <c r="G2216" s="408"/>
      <c r="H2216" s="408"/>
      <c r="I2216" s="408"/>
      <c r="J2216" s="408"/>
      <c r="K2216" s="408"/>
      <c r="L2216" s="408"/>
      <c r="M2216" s="408"/>
      <c r="N2216" s="408" t="str">
        <f t="shared" si="461"/>
        <v/>
      </c>
      <c r="O2216" s="408"/>
      <c r="P2216" s="408"/>
      <c r="Q2216" s="408"/>
      <c r="R2216" s="408"/>
      <c r="S2216" s="408"/>
      <c r="T2216" s="408"/>
      <c r="U2216" s="408"/>
      <c r="V2216" s="421"/>
      <c r="W2216" s="421"/>
      <c r="X2216" s="421"/>
      <c r="Y2216" s="421"/>
      <c r="Z2216" s="421"/>
      <c r="AA2216" s="421"/>
      <c r="AB2216" s="421"/>
      <c r="AC2216" s="421"/>
      <c r="AD2216" s="421"/>
      <c r="AE2216" s="421"/>
      <c r="AF2216" s="421"/>
      <c r="AG2216" s="421"/>
      <c r="AH2216" s="421"/>
      <c r="AI2216" s="421"/>
      <c r="AJ2216" s="421"/>
      <c r="AK2216" s="421"/>
      <c r="AL2216" s="421"/>
    </row>
    <row r="2217" spans="1:38" hidden="1">
      <c r="A2217" s="408"/>
      <c r="B2217" s="83" t="e">
        <f t="array" ref="B2217">SUM(--(FREQUENCY(IF(C$2:C$3072=C2217, MATCH(D$2:D$3072, D$2:D$3072, 0)), ROW(D$2:D$3072)-ROW(D$2)+1) &gt; 0))</f>
        <v>#N/A</v>
      </c>
      <c r="C2217" s="408"/>
      <c r="D2217" s="408"/>
      <c r="E2217" s="408"/>
      <c r="F2217" s="408"/>
      <c r="G2217" s="408"/>
      <c r="H2217" s="408"/>
      <c r="I2217" s="408"/>
      <c r="J2217" s="408"/>
      <c r="K2217" s="408"/>
      <c r="L2217" s="408"/>
      <c r="M2217" s="408"/>
      <c r="N2217" s="408" t="str">
        <f t="shared" si="461"/>
        <v/>
      </c>
      <c r="O2217" s="408"/>
      <c r="P2217" s="408"/>
      <c r="Q2217" s="408"/>
      <c r="R2217" s="408"/>
      <c r="S2217" s="408"/>
      <c r="T2217" s="408"/>
      <c r="U2217" s="408"/>
      <c r="V2217" s="421"/>
      <c r="W2217" s="421"/>
      <c r="X2217" s="421"/>
      <c r="Y2217" s="421"/>
      <c r="Z2217" s="421"/>
      <c r="AA2217" s="421"/>
      <c r="AB2217" s="421"/>
      <c r="AC2217" s="421"/>
      <c r="AD2217" s="421"/>
      <c r="AE2217" s="421"/>
      <c r="AF2217" s="421"/>
      <c r="AG2217" s="421"/>
      <c r="AH2217" s="421"/>
      <c r="AI2217" s="421"/>
      <c r="AJ2217" s="421"/>
      <c r="AK2217" s="421"/>
      <c r="AL2217" s="421"/>
    </row>
    <row r="2218" spans="1:38" hidden="1">
      <c r="A2218" s="408"/>
      <c r="B2218" s="83" t="e">
        <f t="array" ref="B2218">SUM(--(FREQUENCY(IF(C$2:C$3072=C2218, MATCH(D$2:D$3072, D$2:D$3072, 0)), ROW(D$2:D$3072)-ROW(D$2)+1) &gt; 0))</f>
        <v>#N/A</v>
      </c>
      <c r="C2218" s="408"/>
      <c r="D2218" s="408"/>
      <c r="E2218" s="408"/>
      <c r="F2218" s="408"/>
      <c r="G2218" s="408"/>
      <c r="H2218" s="408"/>
      <c r="I2218" s="408"/>
      <c r="J2218" s="408"/>
      <c r="K2218" s="408"/>
      <c r="L2218" s="408"/>
      <c r="M2218" s="408"/>
      <c r="N2218" s="408" t="str">
        <f t="shared" si="461"/>
        <v/>
      </c>
      <c r="O2218" s="408"/>
      <c r="P2218" s="408"/>
      <c r="Q2218" s="408"/>
      <c r="R2218" s="408"/>
      <c r="S2218" s="408"/>
      <c r="T2218" s="408"/>
      <c r="U2218" s="408"/>
      <c r="V2218" s="421"/>
      <c r="W2218" s="421"/>
      <c r="X2218" s="421"/>
      <c r="Y2218" s="421"/>
      <c r="Z2218" s="421"/>
      <c r="AA2218" s="421"/>
      <c r="AB2218" s="421"/>
      <c r="AC2218" s="421"/>
      <c r="AD2218" s="421"/>
      <c r="AE2218" s="421"/>
      <c r="AF2218" s="421"/>
      <c r="AG2218" s="421"/>
      <c r="AH2218" s="421"/>
      <c r="AI2218" s="421"/>
      <c r="AJ2218" s="421"/>
      <c r="AK2218" s="421"/>
      <c r="AL2218" s="421"/>
    </row>
    <row r="2219" spans="1:38" hidden="1">
      <c r="A2219" s="408"/>
      <c r="B2219" s="83" t="e">
        <f t="array" ref="B2219">SUM(--(FREQUENCY(IF(C$2:C$3072=C2219, MATCH(D$2:D$3072, D$2:D$3072, 0)), ROW(D$2:D$3072)-ROW(D$2)+1) &gt; 0))</f>
        <v>#N/A</v>
      </c>
      <c r="C2219" s="408"/>
      <c r="D2219" s="408"/>
      <c r="E2219" s="408"/>
      <c r="F2219" s="408"/>
      <c r="G2219" s="408"/>
      <c r="H2219" s="408"/>
      <c r="I2219" s="408"/>
      <c r="J2219" s="408"/>
      <c r="K2219" s="408"/>
      <c r="L2219" s="408"/>
      <c r="M2219" s="408"/>
      <c r="N2219" s="408" t="str">
        <f t="shared" si="461"/>
        <v/>
      </c>
      <c r="O2219" s="408"/>
      <c r="P2219" s="408"/>
      <c r="Q2219" s="408"/>
      <c r="R2219" s="408"/>
      <c r="S2219" s="408"/>
      <c r="T2219" s="408"/>
      <c r="U2219" s="408"/>
      <c r="V2219" s="421"/>
      <c r="W2219" s="421"/>
      <c r="X2219" s="421"/>
      <c r="Y2219" s="421"/>
      <c r="Z2219" s="421"/>
      <c r="AA2219" s="421"/>
      <c r="AB2219" s="421"/>
      <c r="AC2219" s="421"/>
      <c r="AD2219" s="421"/>
      <c r="AE2219" s="421"/>
      <c r="AF2219" s="421"/>
      <c r="AG2219" s="421"/>
      <c r="AH2219" s="421"/>
      <c r="AI2219" s="421"/>
      <c r="AJ2219" s="421"/>
      <c r="AK2219" s="421"/>
      <c r="AL2219" s="421"/>
    </row>
    <row r="2220" spans="1:38" hidden="1">
      <c r="A2220" s="408"/>
      <c r="B2220" s="83" t="e">
        <f t="array" ref="B2220">SUM(--(FREQUENCY(IF(C$2:C$3072=C2220, MATCH(D$2:D$3072, D$2:D$3072, 0)), ROW(D$2:D$3072)-ROW(D$2)+1) &gt; 0))</f>
        <v>#N/A</v>
      </c>
      <c r="C2220" s="408"/>
      <c r="D2220" s="408"/>
      <c r="E2220" s="408"/>
      <c r="F2220" s="408"/>
      <c r="G2220" s="408"/>
      <c r="H2220" s="408"/>
      <c r="I2220" s="408"/>
      <c r="J2220" s="408"/>
      <c r="K2220" s="408"/>
      <c r="L2220" s="408"/>
      <c r="M2220" s="408"/>
      <c r="N2220" s="408" t="str">
        <f t="shared" si="461"/>
        <v/>
      </c>
      <c r="O2220" s="408"/>
      <c r="P2220" s="408"/>
      <c r="Q2220" s="408"/>
      <c r="R2220" s="408"/>
      <c r="S2220" s="408"/>
      <c r="T2220" s="408"/>
      <c r="U2220" s="408"/>
      <c r="V2220" s="421"/>
      <c r="W2220" s="421"/>
      <c r="X2220" s="421"/>
      <c r="Y2220" s="421"/>
      <c r="Z2220" s="421"/>
      <c r="AA2220" s="421"/>
      <c r="AB2220" s="421"/>
      <c r="AC2220" s="421"/>
      <c r="AD2220" s="421"/>
      <c r="AE2220" s="421"/>
      <c r="AF2220" s="421"/>
      <c r="AG2220" s="421"/>
      <c r="AH2220" s="421"/>
      <c r="AI2220" s="421"/>
      <c r="AJ2220" s="421"/>
      <c r="AK2220" s="421"/>
      <c r="AL2220" s="421"/>
    </row>
    <row r="2221" spans="1:38" hidden="1">
      <c r="A2221" s="408"/>
      <c r="B2221" s="83" t="e">
        <f t="array" ref="B2221">SUM(--(FREQUENCY(IF(C$2:C$3072=C2221, MATCH(D$2:D$3072, D$2:D$3072, 0)), ROW(D$2:D$3072)-ROW(D$2)+1) &gt; 0))</f>
        <v>#N/A</v>
      </c>
      <c r="C2221" s="408"/>
      <c r="D2221" s="408"/>
      <c r="E2221" s="408"/>
      <c r="F2221" s="408"/>
      <c r="G2221" s="408"/>
      <c r="H2221" s="408"/>
      <c r="I2221" s="408"/>
      <c r="J2221" s="408"/>
      <c r="K2221" s="408"/>
      <c r="L2221" s="408"/>
      <c r="M2221" s="408"/>
      <c r="N2221" s="408" t="str">
        <f t="shared" si="461"/>
        <v/>
      </c>
      <c r="O2221" s="408"/>
      <c r="P2221" s="408"/>
      <c r="Q2221" s="408"/>
      <c r="R2221" s="408"/>
      <c r="S2221" s="408"/>
      <c r="T2221" s="408"/>
      <c r="U2221" s="408"/>
      <c r="V2221" s="421"/>
      <c r="W2221" s="421"/>
      <c r="X2221" s="421"/>
      <c r="Y2221" s="421"/>
      <c r="Z2221" s="421"/>
      <c r="AA2221" s="421"/>
      <c r="AB2221" s="421"/>
      <c r="AC2221" s="421"/>
      <c r="AD2221" s="421"/>
      <c r="AE2221" s="421"/>
      <c r="AF2221" s="421"/>
      <c r="AG2221" s="421"/>
      <c r="AH2221" s="421"/>
      <c r="AI2221" s="421"/>
      <c r="AJ2221" s="421"/>
      <c r="AK2221" s="421"/>
      <c r="AL2221" s="421"/>
    </row>
    <row r="2222" spans="1:38" hidden="1">
      <c r="A2222" s="408"/>
      <c r="B2222" s="83" t="e">
        <f t="array" ref="B2222">SUM(--(FREQUENCY(IF(C$2:C$3072=C2222, MATCH(D$2:D$3072, D$2:D$3072, 0)), ROW(D$2:D$3072)-ROW(D$2)+1) &gt; 0))</f>
        <v>#N/A</v>
      </c>
      <c r="C2222" s="408"/>
      <c r="D2222" s="408"/>
      <c r="E2222" s="408"/>
      <c r="F2222" s="408"/>
      <c r="G2222" s="408"/>
      <c r="H2222" s="408"/>
      <c r="I2222" s="408"/>
      <c r="J2222" s="408"/>
      <c r="K2222" s="408"/>
      <c r="L2222" s="408"/>
      <c r="M2222" s="408"/>
      <c r="N2222" s="408" t="str">
        <f t="shared" si="461"/>
        <v/>
      </c>
      <c r="O2222" s="408"/>
      <c r="P2222" s="408"/>
      <c r="Q2222" s="408"/>
      <c r="R2222" s="408"/>
      <c r="S2222" s="408"/>
      <c r="T2222" s="408"/>
      <c r="U2222" s="408"/>
      <c r="V2222" s="421"/>
      <c r="W2222" s="421"/>
      <c r="X2222" s="421"/>
      <c r="Y2222" s="421"/>
      <c r="Z2222" s="421"/>
      <c r="AA2222" s="421"/>
      <c r="AB2222" s="421"/>
      <c r="AC2222" s="421"/>
      <c r="AD2222" s="421"/>
      <c r="AE2222" s="421"/>
      <c r="AF2222" s="421"/>
      <c r="AG2222" s="421"/>
      <c r="AH2222" s="421"/>
      <c r="AI2222" s="421"/>
      <c r="AJ2222" s="421"/>
      <c r="AK2222" s="421"/>
      <c r="AL2222" s="421"/>
    </row>
    <row r="2223" spans="1:38" hidden="1">
      <c r="A2223" s="408"/>
      <c r="B2223" s="83" t="e">
        <f t="array" ref="B2223">SUM(--(FREQUENCY(IF(C$2:C$3072=C2223, MATCH(D$2:D$3072, D$2:D$3072, 0)), ROW(D$2:D$3072)-ROW(D$2)+1) &gt; 0))</f>
        <v>#N/A</v>
      </c>
      <c r="C2223" s="408"/>
      <c r="D2223" s="408"/>
      <c r="E2223" s="408"/>
      <c r="F2223" s="408"/>
      <c r="G2223" s="408"/>
      <c r="H2223" s="408"/>
      <c r="I2223" s="408"/>
      <c r="J2223" s="408"/>
      <c r="K2223" s="408"/>
      <c r="L2223" s="408"/>
      <c r="M2223" s="408"/>
      <c r="N2223" s="408" t="str">
        <f t="shared" si="461"/>
        <v/>
      </c>
      <c r="O2223" s="408"/>
      <c r="P2223" s="408"/>
      <c r="Q2223" s="408"/>
      <c r="R2223" s="408"/>
      <c r="S2223" s="408"/>
      <c r="T2223" s="408"/>
      <c r="U2223" s="408"/>
      <c r="V2223" s="421"/>
      <c r="W2223" s="421"/>
      <c r="X2223" s="421"/>
      <c r="Y2223" s="421"/>
      <c r="Z2223" s="421"/>
      <c r="AA2223" s="421"/>
      <c r="AB2223" s="421"/>
      <c r="AC2223" s="421"/>
      <c r="AD2223" s="421"/>
      <c r="AE2223" s="421"/>
      <c r="AF2223" s="421"/>
      <c r="AG2223" s="421"/>
      <c r="AH2223" s="421"/>
      <c r="AI2223" s="421"/>
      <c r="AJ2223" s="421"/>
      <c r="AK2223" s="421"/>
      <c r="AL2223" s="421"/>
    </row>
    <row r="2224" spans="1:38" hidden="1">
      <c r="A2224" s="408"/>
      <c r="B2224" s="83" t="e">
        <f t="array" ref="B2224">SUM(--(FREQUENCY(IF(C$2:C$3072=C2224, MATCH(D$2:D$3072, D$2:D$3072, 0)), ROW(D$2:D$3072)-ROW(D$2)+1) &gt; 0))</f>
        <v>#N/A</v>
      </c>
      <c r="C2224" s="408"/>
      <c r="D2224" s="408"/>
      <c r="E2224" s="408"/>
      <c r="F2224" s="408"/>
      <c r="G2224" s="408"/>
      <c r="H2224" s="408"/>
      <c r="I2224" s="408"/>
      <c r="J2224" s="408"/>
      <c r="K2224" s="408"/>
      <c r="L2224" s="408"/>
      <c r="M2224" s="408"/>
      <c r="N2224" s="408" t="str">
        <f t="shared" si="461"/>
        <v/>
      </c>
      <c r="O2224" s="408"/>
      <c r="P2224" s="408"/>
      <c r="Q2224" s="408"/>
      <c r="R2224" s="408"/>
      <c r="S2224" s="408"/>
      <c r="T2224" s="408"/>
      <c r="U2224" s="408"/>
      <c r="V2224" s="421"/>
      <c r="W2224" s="421"/>
      <c r="X2224" s="421"/>
      <c r="Y2224" s="421"/>
      <c r="Z2224" s="421"/>
      <c r="AA2224" s="421"/>
      <c r="AB2224" s="421"/>
      <c r="AC2224" s="421"/>
      <c r="AD2224" s="421"/>
      <c r="AE2224" s="421"/>
      <c r="AF2224" s="421"/>
      <c r="AG2224" s="421"/>
      <c r="AH2224" s="421"/>
      <c r="AI2224" s="421"/>
      <c r="AJ2224" s="421"/>
      <c r="AK2224" s="421"/>
      <c r="AL2224" s="421"/>
    </row>
    <row r="2225" spans="1:38" hidden="1">
      <c r="A2225" s="408"/>
      <c r="B2225" s="83" t="e">
        <f t="array" ref="B2225">SUM(--(FREQUENCY(IF(C$2:C$3072=C2225, MATCH(D$2:D$3072, D$2:D$3072, 0)), ROW(D$2:D$3072)-ROW(D$2)+1) &gt; 0))</f>
        <v>#N/A</v>
      </c>
      <c r="C2225" s="408"/>
      <c r="D2225" s="408"/>
      <c r="E2225" s="408"/>
      <c r="F2225" s="408"/>
      <c r="G2225" s="408"/>
      <c r="H2225" s="408"/>
      <c r="I2225" s="408"/>
      <c r="J2225" s="408"/>
      <c r="K2225" s="408"/>
      <c r="L2225" s="408"/>
      <c r="M2225" s="408"/>
      <c r="N2225" s="408" t="str">
        <f t="shared" si="461"/>
        <v/>
      </c>
      <c r="O2225" s="408"/>
      <c r="P2225" s="408"/>
      <c r="Q2225" s="408"/>
      <c r="R2225" s="408"/>
      <c r="S2225" s="408"/>
      <c r="T2225" s="408"/>
      <c r="U2225" s="408"/>
      <c r="V2225" s="421"/>
      <c r="W2225" s="421"/>
      <c r="X2225" s="421"/>
      <c r="Y2225" s="421"/>
      <c r="Z2225" s="421"/>
      <c r="AA2225" s="421"/>
      <c r="AB2225" s="421"/>
      <c r="AC2225" s="421"/>
      <c r="AD2225" s="421"/>
      <c r="AE2225" s="421"/>
      <c r="AF2225" s="421"/>
      <c r="AG2225" s="421"/>
      <c r="AH2225" s="421"/>
      <c r="AI2225" s="421"/>
      <c r="AJ2225" s="421"/>
      <c r="AK2225" s="421"/>
      <c r="AL2225" s="421"/>
    </row>
    <row r="2226" spans="1:38" hidden="1">
      <c r="A2226" s="408"/>
      <c r="B2226" s="83" t="e">
        <f t="array" ref="B2226">SUM(--(FREQUENCY(IF(C$2:C$3072=C2226, MATCH(D$2:D$3072, D$2:D$3072, 0)), ROW(D$2:D$3072)-ROW(D$2)+1) &gt; 0))</f>
        <v>#N/A</v>
      </c>
      <c r="C2226" s="408"/>
      <c r="D2226" s="408"/>
      <c r="E2226" s="408"/>
      <c r="F2226" s="408"/>
      <c r="G2226" s="408"/>
      <c r="H2226" s="408"/>
      <c r="I2226" s="408"/>
      <c r="J2226" s="408"/>
      <c r="K2226" s="408"/>
      <c r="L2226" s="408"/>
      <c r="M2226" s="408"/>
      <c r="N2226" s="408" t="str">
        <f t="shared" si="461"/>
        <v/>
      </c>
      <c r="O2226" s="408"/>
      <c r="P2226" s="408"/>
      <c r="Q2226" s="408"/>
      <c r="R2226" s="408"/>
      <c r="S2226" s="408"/>
      <c r="T2226" s="408"/>
      <c r="U2226" s="408"/>
      <c r="V2226" s="421"/>
      <c r="W2226" s="421"/>
      <c r="X2226" s="421"/>
      <c r="Y2226" s="421"/>
      <c r="Z2226" s="421"/>
      <c r="AA2226" s="421"/>
      <c r="AB2226" s="421"/>
      <c r="AC2226" s="421"/>
      <c r="AD2226" s="421"/>
      <c r="AE2226" s="421"/>
      <c r="AF2226" s="421"/>
      <c r="AG2226" s="421"/>
      <c r="AH2226" s="421"/>
      <c r="AI2226" s="421"/>
      <c r="AJ2226" s="421"/>
      <c r="AK2226" s="421"/>
      <c r="AL2226" s="421"/>
    </row>
    <row r="2227" spans="1:38" hidden="1">
      <c r="A2227" s="408"/>
      <c r="B2227" s="83" t="e">
        <f t="array" ref="B2227">SUM(--(FREQUENCY(IF(C$2:C$3072=C2227, MATCH(D$2:D$3072, D$2:D$3072, 0)), ROW(D$2:D$3072)-ROW(D$2)+1) &gt; 0))</f>
        <v>#N/A</v>
      </c>
      <c r="C2227" s="408"/>
      <c r="D2227" s="408"/>
      <c r="E2227" s="408"/>
      <c r="F2227" s="408"/>
      <c r="G2227" s="408"/>
      <c r="H2227" s="408"/>
      <c r="I2227" s="408"/>
      <c r="J2227" s="408"/>
      <c r="K2227" s="408"/>
      <c r="L2227" s="408"/>
      <c r="M2227" s="408"/>
      <c r="N2227" s="408" t="str">
        <f t="shared" si="461"/>
        <v/>
      </c>
      <c r="O2227" s="408"/>
      <c r="P2227" s="408"/>
      <c r="Q2227" s="408"/>
      <c r="R2227" s="408"/>
      <c r="S2227" s="408"/>
      <c r="T2227" s="408"/>
      <c r="U2227" s="408"/>
      <c r="V2227" s="421"/>
      <c r="W2227" s="421"/>
      <c r="X2227" s="421"/>
      <c r="Y2227" s="421"/>
      <c r="Z2227" s="421"/>
      <c r="AA2227" s="421"/>
      <c r="AB2227" s="421"/>
      <c r="AC2227" s="421"/>
      <c r="AD2227" s="421"/>
      <c r="AE2227" s="421"/>
      <c r="AF2227" s="421"/>
      <c r="AG2227" s="421"/>
      <c r="AH2227" s="421"/>
      <c r="AI2227" s="421"/>
      <c r="AJ2227" s="421"/>
      <c r="AK2227" s="421"/>
      <c r="AL2227" s="421"/>
    </row>
    <row r="2228" spans="1:38" hidden="1">
      <c r="A2228" s="408"/>
      <c r="B2228" s="83" t="e">
        <f t="array" ref="B2228">SUM(--(FREQUENCY(IF(C$2:C$3072=C2228, MATCH(D$2:D$3072, D$2:D$3072, 0)), ROW(D$2:D$3072)-ROW(D$2)+1) &gt; 0))</f>
        <v>#N/A</v>
      </c>
      <c r="C2228" s="408"/>
      <c r="D2228" s="408"/>
      <c r="E2228" s="408"/>
      <c r="F2228" s="408"/>
      <c r="G2228" s="408"/>
      <c r="H2228" s="408"/>
      <c r="I2228" s="408"/>
      <c r="J2228" s="408"/>
      <c r="K2228" s="408"/>
      <c r="L2228" s="408"/>
      <c r="M2228" s="408"/>
      <c r="N2228" s="408" t="str">
        <f t="shared" si="461"/>
        <v/>
      </c>
      <c r="O2228" s="408"/>
      <c r="P2228" s="408"/>
      <c r="Q2228" s="408"/>
      <c r="R2228" s="408"/>
      <c r="S2228" s="408"/>
      <c r="T2228" s="408"/>
      <c r="U2228" s="408"/>
      <c r="V2228" s="421"/>
      <c r="W2228" s="421"/>
      <c r="X2228" s="421"/>
      <c r="Y2228" s="421"/>
      <c r="Z2228" s="421"/>
      <c r="AA2228" s="421"/>
      <c r="AB2228" s="421"/>
      <c r="AC2228" s="421"/>
      <c r="AD2228" s="421"/>
      <c r="AE2228" s="421"/>
      <c r="AF2228" s="421"/>
      <c r="AG2228" s="421"/>
      <c r="AH2228" s="421"/>
      <c r="AI2228" s="421"/>
      <c r="AJ2228" s="421"/>
      <c r="AK2228" s="421"/>
      <c r="AL2228" s="421"/>
    </row>
    <row r="2229" spans="1:38" hidden="1">
      <c r="A2229" s="408"/>
      <c r="B2229" s="83" t="e">
        <f t="array" ref="B2229">SUM(--(FREQUENCY(IF(C$2:C$3072=C2229, MATCH(D$2:D$3072, D$2:D$3072, 0)), ROW(D$2:D$3072)-ROW(D$2)+1) &gt; 0))</f>
        <v>#N/A</v>
      </c>
      <c r="C2229" s="408"/>
      <c r="D2229" s="408"/>
      <c r="E2229" s="408"/>
      <c r="F2229" s="408"/>
      <c r="G2229" s="408"/>
      <c r="H2229" s="408"/>
      <c r="I2229" s="408"/>
      <c r="J2229" s="408"/>
      <c r="K2229" s="408"/>
      <c r="L2229" s="408"/>
      <c r="M2229" s="408"/>
      <c r="N2229" s="408" t="str">
        <f t="shared" si="461"/>
        <v/>
      </c>
      <c r="O2229" s="408"/>
      <c r="P2229" s="408"/>
      <c r="Q2229" s="408"/>
      <c r="R2229" s="408"/>
      <c r="S2229" s="408"/>
      <c r="T2229" s="408"/>
      <c r="U2229" s="408"/>
      <c r="V2229" s="421"/>
      <c r="W2229" s="421"/>
      <c r="X2229" s="421"/>
      <c r="Y2229" s="421"/>
      <c r="Z2229" s="421"/>
      <c r="AA2229" s="421"/>
      <c r="AB2229" s="421"/>
      <c r="AC2229" s="421"/>
      <c r="AD2229" s="421"/>
      <c r="AE2229" s="421"/>
      <c r="AF2229" s="421"/>
      <c r="AG2229" s="421"/>
      <c r="AH2229" s="421"/>
      <c r="AI2229" s="421"/>
      <c r="AJ2229" s="421"/>
      <c r="AK2229" s="421"/>
      <c r="AL2229" s="421"/>
    </row>
    <row r="2230" spans="1:38" hidden="1">
      <c r="A2230" s="408"/>
      <c r="B2230" s="83" t="e">
        <f t="array" ref="B2230">SUM(--(FREQUENCY(IF(C$2:C$3072=C2230, MATCH(D$2:D$3072, D$2:D$3072, 0)), ROW(D$2:D$3072)-ROW(D$2)+1) &gt; 0))</f>
        <v>#N/A</v>
      </c>
      <c r="C2230" s="408"/>
      <c r="D2230" s="408"/>
      <c r="E2230" s="408"/>
      <c r="F2230" s="408"/>
      <c r="G2230" s="408"/>
      <c r="H2230" s="408"/>
      <c r="I2230" s="408"/>
      <c r="J2230" s="408"/>
      <c r="K2230" s="408"/>
      <c r="L2230" s="408"/>
      <c r="M2230" s="408"/>
      <c r="N2230" s="408" t="str">
        <f t="shared" si="461"/>
        <v/>
      </c>
      <c r="O2230" s="408"/>
      <c r="P2230" s="408"/>
      <c r="Q2230" s="408"/>
      <c r="R2230" s="408"/>
      <c r="S2230" s="408"/>
      <c r="T2230" s="408"/>
      <c r="U2230" s="408"/>
      <c r="V2230" s="421"/>
      <c r="W2230" s="421"/>
      <c r="X2230" s="421"/>
      <c r="Y2230" s="421"/>
      <c r="Z2230" s="421"/>
      <c r="AA2230" s="421"/>
      <c r="AB2230" s="421"/>
      <c r="AC2230" s="421"/>
      <c r="AD2230" s="421"/>
      <c r="AE2230" s="421"/>
      <c r="AF2230" s="421"/>
      <c r="AG2230" s="421"/>
      <c r="AH2230" s="421"/>
      <c r="AI2230" s="421"/>
      <c r="AJ2230" s="421"/>
      <c r="AK2230" s="421"/>
      <c r="AL2230" s="421"/>
    </row>
    <row r="2231" spans="1:38" hidden="1">
      <c r="A2231" s="408"/>
      <c r="B2231" s="83" t="e">
        <f t="array" ref="B2231">SUM(--(FREQUENCY(IF(C$2:C$3072=C2231, MATCH(D$2:D$3072, D$2:D$3072, 0)), ROW(D$2:D$3072)-ROW(D$2)+1) &gt; 0))</f>
        <v>#N/A</v>
      </c>
      <c r="C2231" s="408"/>
      <c r="D2231" s="408"/>
      <c r="E2231" s="408"/>
      <c r="F2231" s="408"/>
      <c r="G2231" s="408"/>
      <c r="H2231" s="408"/>
      <c r="I2231" s="408"/>
      <c r="J2231" s="408"/>
      <c r="K2231" s="408"/>
      <c r="L2231" s="408"/>
      <c r="M2231" s="408"/>
      <c r="N2231" s="408" t="str">
        <f t="shared" si="461"/>
        <v/>
      </c>
      <c r="O2231" s="408"/>
      <c r="P2231" s="408"/>
      <c r="Q2231" s="408"/>
      <c r="R2231" s="408"/>
      <c r="S2231" s="408"/>
      <c r="T2231" s="408"/>
      <c r="U2231" s="408"/>
      <c r="V2231" s="421"/>
      <c r="W2231" s="421"/>
      <c r="X2231" s="421"/>
      <c r="Y2231" s="421"/>
      <c r="Z2231" s="421"/>
      <c r="AA2231" s="421"/>
      <c r="AB2231" s="421"/>
      <c r="AC2231" s="421"/>
      <c r="AD2231" s="421"/>
      <c r="AE2231" s="421"/>
      <c r="AF2231" s="421"/>
      <c r="AG2231" s="421"/>
      <c r="AH2231" s="421"/>
      <c r="AI2231" s="421"/>
      <c r="AJ2231" s="421"/>
      <c r="AK2231" s="421"/>
      <c r="AL2231" s="421"/>
    </row>
    <row r="2232" spans="1:38" hidden="1">
      <c r="A2232" s="408"/>
      <c r="B2232" s="83" t="e">
        <f t="array" ref="B2232">SUM(--(FREQUENCY(IF(C$2:C$3072=C2232, MATCH(D$2:D$3072, D$2:D$3072, 0)), ROW(D$2:D$3072)-ROW(D$2)+1) &gt; 0))</f>
        <v>#N/A</v>
      </c>
      <c r="C2232" s="408"/>
      <c r="D2232" s="408"/>
      <c r="E2232" s="408"/>
      <c r="F2232" s="408"/>
      <c r="G2232" s="408"/>
      <c r="H2232" s="408"/>
      <c r="I2232" s="408"/>
      <c r="J2232" s="408"/>
      <c r="K2232" s="408"/>
      <c r="L2232" s="408"/>
      <c r="M2232" s="408"/>
      <c r="N2232" s="408" t="str">
        <f t="shared" si="461"/>
        <v/>
      </c>
      <c r="O2232" s="408"/>
      <c r="P2232" s="408"/>
      <c r="Q2232" s="408"/>
      <c r="R2232" s="408"/>
      <c r="S2232" s="408"/>
      <c r="T2232" s="408"/>
      <c r="U2232" s="408"/>
      <c r="V2232" s="421"/>
      <c r="W2232" s="421"/>
      <c r="X2232" s="421"/>
      <c r="Y2232" s="421"/>
      <c r="Z2232" s="421"/>
      <c r="AA2232" s="421"/>
      <c r="AB2232" s="421"/>
      <c r="AC2232" s="421"/>
      <c r="AD2232" s="421"/>
      <c r="AE2232" s="421"/>
      <c r="AF2232" s="421"/>
      <c r="AG2232" s="421"/>
      <c r="AH2232" s="421"/>
      <c r="AI2232" s="421"/>
      <c r="AJ2232" s="421"/>
      <c r="AK2232" s="421"/>
      <c r="AL2232" s="421"/>
    </row>
    <row r="2233" spans="1:38" hidden="1">
      <c r="A2233" s="408"/>
      <c r="B2233" s="83" t="e">
        <f t="array" ref="B2233">SUM(--(FREQUENCY(IF(C$2:C$3072=C2233, MATCH(D$2:D$3072, D$2:D$3072, 0)), ROW(D$2:D$3072)-ROW(D$2)+1) &gt; 0))</f>
        <v>#N/A</v>
      </c>
      <c r="C2233" s="408"/>
      <c r="D2233" s="408"/>
      <c r="E2233" s="408"/>
      <c r="F2233" s="408"/>
      <c r="G2233" s="408"/>
      <c r="H2233" s="408"/>
      <c r="I2233" s="408"/>
      <c r="J2233" s="408"/>
      <c r="K2233" s="408"/>
      <c r="L2233" s="408"/>
      <c r="M2233" s="408"/>
      <c r="N2233" s="408" t="str">
        <f t="shared" si="461"/>
        <v/>
      </c>
      <c r="O2233" s="408"/>
      <c r="P2233" s="408"/>
      <c r="Q2233" s="408"/>
      <c r="R2233" s="408"/>
      <c r="S2233" s="408"/>
      <c r="T2233" s="408"/>
      <c r="U2233" s="408"/>
      <c r="V2233" s="421"/>
      <c r="W2233" s="421"/>
      <c r="X2233" s="421"/>
      <c r="Y2233" s="421"/>
      <c r="Z2233" s="421"/>
      <c r="AA2233" s="421"/>
      <c r="AB2233" s="421"/>
      <c r="AC2233" s="421"/>
      <c r="AD2233" s="421"/>
      <c r="AE2233" s="421"/>
      <c r="AF2233" s="421"/>
      <c r="AG2233" s="421"/>
      <c r="AH2233" s="421"/>
      <c r="AI2233" s="421"/>
      <c r="AJ2233" s="421"/>
      <c r="AK2233" s="421"/>
      <c r="AL2233" s="421"/>
    </row>
    <row r="2234" spans="1:38" hidden="1">
      <c r="A2234" s="408"/>
      <c r="B2234" s="83" t="e">
        <f t="array" ref="B2234">SUM(--(FREQUENCY(IF(C$2:C$3072=C2234, MATCH(D$2:D$3072, D$2:D$3072, 0)), ROW(D$2:D$3072)-ROW(D$2)+1) &gt; 0))</f>
        <v>#N/A</v>
      </c>
      <c r="C2234" s="408"/>
      <c r="D2234" s="408"/>
      <c r="E2234" s="408"/>
      <c r="F2234" s="408"/>
      <c r="G2234" s="408"/>
      <c r="H2234" s="408"/>
      <c r="I2234" s="408"/>
      <c r="J2234" s="408"/>
      <c r="K2234" s="408"/>
      <c r="L2234" s="408"/>
      <c r="M2234" s="408"/>
      <c r="N2234" s="408" t="str">
        <f t="shared" si="461"/>
        <v/>
      </c>
      <c r="O2234" s="408"/>
      <c r="P2234" s="408"/>
      <c r="Q2234" s="408"/>
      <c r="R2234" s="408"/>
      <c r="S2234" s="408"/>
      <c r="T2234" s="408"/>
      <c r="U2234" s="408"/>
      <c r="V2234" s="421"/>
      <c r="W2234" s="421"/>
      <c r="X2234" s="421"/>
      <c r="Y2234" s="421"/>
      <c r="Z2234" s="421"/>
      <c r="AA2234" s="421"/>
      <c r="AB2234" s="421"/>
      <c r="AC2234" s="421"/>
      <c r="AD2234" s="421"/>
      <c r="AE2234" s="421"/>
      <c r="AF2234" s="421"/>
      <c r="AG2234" s="421"/>
      <c r="AH2234" s="421"/>
      <c r="AI2234" s="421"/>
      <c r="AJ2234" s="421"/>
      <c r="AK2234" s="421"/>
      <c r="AL2234" s="421"/>
    </row>
    <row r="2235" spans="1:38" hidden="1">
      <c r="A2235" s="408"/>
      <c r="B2235" s="83" t="e">
        <f t="array" ref="B2235">SUM(--(FREQUENCY(IF(C$2:C$3072=C2235, MATCH(D$2:D$3072, D$2:D$3072, 0)), ROW(D$2:D$3072)-ROW(D$2)+1) &gt; 0))</f>
        <v>#N/A</v>
      </c>
      <c r="C2235" s="408"/>
      <c r="D2235" s="408"/>
      <c r="E2235" s="408"/>
      <c r="F2235" s="408"/>
      <c r="G2235" s="408"/>
      <c r="H2235" s="408"/>
      <c r="I2235" s="408"/>
      <c r="J2235" s="408"/>
      <c r="K2235" s="408"/>
      <c r="L2235" s="408"/>
      <c r="M2235" s="408"/>
      <c r="N2235" s="408" t="str">
        <f t="shared" si="461"/>
        <v/>
      </c>
      <c r="O2235" s="408"/>
      <c r="P2235" s="408"/>
      <c r="Q2235" s="408"/>
      <c r="R2235" s="408"/>
      <c r="S2235" s="408"/>
      <c r="T2235" s="408"/>
      <c r="U2235" s="408"/>
      <c r="V2235" s="421"/>
      <c r="W2235" s="421"/>
      <c r="X2235" s="421"/>
      <c r="Y2235" s="421"/>
      <c r="Z2235" s="421"/>
      <c r="AA2235" s="421"/>
      <c r="AB2235" s="421"/>
      <c r="AC2235" s="421"/>
      <c r="AD2235" s="421"/>
      <c r="AE2235" s="421"/>
      <c r="AF2235" s="421"/>
      <c r="AG2235" s="421"/>
      <c r="AH2235" s="421"/>
      <c r="AI2235" s="421"/>
      <c r="AJ2235" s="421"/>
      <c r="AK2235" s="421"/>
      <c r="AL2235" s="421"/>
    </row>
    <row r="2236" spans="1:38" hidden="1">
      <c r="A2236" s="408"/>
      <c r="B2236" s="83" t="e">
        <f t="array" ref="B2236">SUM(--(FREQUENCY(IF(C$2:C$3072=C2236, MATCH(D$2:D$3072, D$2:D$3072, 0)), ROW(D$2:D$3072)-ROW(D$2)+1) &gt; 0))</f>
        <v>#N/A</v>
      </c>
      <c r="C2236" s="408"/>
      <c r="D2236" s="408"/>
      <c r="E2236" s="408"/>
      <c r="F2236" s="408"/>
      <c r="G2236" s="408"/>
      <c r="H2236" s="408"/>
      <c r="I2236" s="408"/>
      <c r="J2236" s="408"/>
      <c r="K2236" s="408"/>
      <c r="L2236" s="408"/>
      <c r="M2236" s="408"/>
      <c r="N2236" s="408" t="str">
        <f t="shared" si="461"/>
        <v/>
      </c>
      <c r="O2236" s="408"/>
      <c r="P2236" s="408"/>
      <c r="Q2236" s="408"/>
      <c r="R2236" s="408"/>
      <c r="S2236" s="408"/>
      <c r="T2236" s="408"/>
      <c r="U2236" s="408"/>
      <c r="V2236" s="421"/>
      <c r="W2236" s="421"/>
      <c r="X2236" s="421"/>
      <c r="Y2236" s="421"/>
      <c r="Z2236" s="421"/>
      <c r="AA2236" s="421"/>
      <c r="AB2236" s="421"/>
      <c r="AC2236" s="421"/>
      <c r="AD2236" s="421"/>
      <c r="AE2236" s="421"/>
      <c r="AF2236" s="421"/>
      <c r="AG2236" s="421"/>
      <c r="AH2236" s="421"/>
      <c r="AI2236" s="421"/>
      <c r="AJ2236" s="421"/>
      <c r="AK2236" s="421"/>
      <c r="AL2236" s="421"/>
    </row>
    <row r="2237" spans="1:38" hidden="1">
      <c r="A2237" s="408"/>
      <c r="B2237" s="83" t="e">
        <f t="array" ref="B2237">SUM(--(FREQUENCY(IF(C$2:C$3072=C2237, MATCH(D$2:D$3072, D$2:D$3072, 0)), ROW(D$2:D$3072)-ROW(D$2)+1) &gt; 0))</f>
        <v>#N/A</v>
      </c>
      <c r="C2237" s="408"/>
      <c r="D2237" s="408"/>
      <c r="E2237" s="408"/>
      <c r="F2237" s="408"/>
      <c r="G2237" s="408"/>
      <c r="H2237" s="408"/>
      <c r="I2237" s="408"/>
      <c r="J2237" s="408"/>
      <c r="K2237" s="408"/>
      <c r="L2237" s="408"/>
      <c r="M2237" s="408"/>
      <c r="N2237" s="408" t="str">
        <f t="shared" si="461"/>
        <v/>
      </c>
      <c r="O2237" s="408"/>
      <c r="P2237" s="408"/>
      <c r="Q2237" s="408"/>
      <c r="R2237" s="408"/>
      <c r="S2237" s="408"/>
      <c r="T2237" s="408"/>
      <c r="U2237" s="408"/>
      <c r="V2237" s="421"/>
      <c r="W2237" s="421"/>
      <c r="X2237" s="421"/>
      <c r="Y2237" s="421"/>
      <c r="Z2237" s="421"/>
      <c r="AA2237" s="421"/>
      <c r="AB2237" s="421"/>
      <c r="AC2237" s="421"/>
      <c r="AD2237" s="421"/>
      <c r="AE2237" s="421"/>
      <c r="AF2237" s="421"/>
      <c r="AG2237" s="421"/>
      <c r="AH2237" s="421"/>
      <c r="AI2237" s="421"/>
      <c r="AJ2237" s="421"/>
      <c r="AK2237" s="421"/>
      <c r="AL2237" s="421"/>
    </row>
    <row r="2238" spans="1:38" hidden="1">
      <c r="A2238" s="408"/>
      <c r="B2238" s="83" t="e">
        <f t="array" ref="B2238">SUM(--(FREQUENCY(IF(C$2:C$3072=C2238, MATCH(D$2:D$3072, D$2:D$3072, 0)), ROW(D$2:D$3072)-ROW(D$2)+1) &gt; 0))</f>
        <v>#N/A</v>
      </c>
      <c r="C2238" s="408"/>
      <c r="D2238" s="408"/>
      <c r="E2238" s="408"/>
      <c r="F2238" s="408"/>
      <c r="G2238" s="408"/>
      <c r="H2238" s="408"/>
      <c r="I2238" s="408"/>
      <c r="J2238" s="408"/>
      <c r="K2238" s="408"/>
      <c r="L2238" s="408"/>
      <c r="M2238" s="408"/>
      <c r="N2238" s="408" t="str">
        <f t="shared" si="461"/>
        <v/>
      </c>
      <c r="O2238" s="408"/>
      <c r="P2238" s="408"/>
      <c r="Q2238" s="408"/>
      <c r="R2238" s="408"/>
      <c r="S2238" s="408"/>
      <c r="T2238" s="408"/>
      <c r="U2238" s="408"/>
      <c r="V2238" s="421"/>
      <c r="W2238" s="421"/>
      <c r="X2238" s="421"/>
      <c r="Y2238" s="421"/>
      <c r="Z2238" s="421"/>
      <c r="AA2238" s="421"/>
      <c r="AB2238" s="421"/>
      <c r="AC2238" s="421"/>
      <c r="AD2238" s="421"/>
      <c r="AE2238" s="421"/>
      <c r="AF2238" s="421"/>
      <c r="AG2238" s="421"/>
      <c r="AH2238" s="421"/>
      <c r="AI2238" s="421"/>
      <c r="AJ2238" s="421"/>
      <c r="AK2238" s="421"/>
      <c r="AL2238" s="421"/>
    </row>
    <row r="2239" spans="1:38" hidden="1">
      <c r="A2239" s="408"/>
      <c r="B2239" s="83" t="e">
        <f t="array" ref="B2239">SUM(--(FREQUENCY(IF(C$2:C$3072=C2239, MATCH(D$2:D$3072, D$2:D$3072, 0)), ROW(D$2:D$3072)-ROW(D$2)+1) &gt; 0))</f>
        <v>#N/A</v>
      </c>
      <c r="C2239" s="408"/>
      <c r="D2239" s="408"/>
      <c r="E2239" s="408"/>
      <c r="F2239" s="408"/>
      <c r="G2239" s="408"/>
      <c r="H2239" s="408"/>
      <c r="I2239" s="408"/>
      <c r="J2239" s="408"/>
      <c r="K2239" s="408"/>
      <c r="L2239" s="408"/>
      <c r="M2239" s="408"/>
      <c r="N2239" s="408" t="str">
        <f t="shared" si="461"/>
        <v/>
      </c>
      <c r="O2239" s="408"/>
      <c r="P2239" s="408"/>
      <c r="Q2239" s="408"/>
      <c r="R2239" s="408"/>
      <c r="S2239" s="408"/>
      <c r="T2239" s="408"/>
      <c r="U2239" s="408"/>
      <c r="V2239" s="421"/>
      <c r="W2239" s="421"/>
      <c r="X2239" s="421"/>
      <c r="Y2239" s="421"/>
      <c r="Z2239" s="421"/>
      <c r="AA2239" s="421"/>
      <c r="AB2239" s="421"/>
      <c r="AC2239" s="421"/>
      <c r="AD2239" s="421"/>
      <c r="AE2239" s="421"/>
      <c r="AF2239" s="421"/>
      <c r="AG2239" s="421"/>
      <c r="AH2239" s="421"/>
      <c r="AI2239" s="421"/>
      <c r="AJ2239" s="421"/>
      <c r="AK2239" s="421"/>
      <c r="AL2239" s="421"/>
    </row>
    <row r="2240" spans="1:38" hidden="1">
      <c r="A2240" s="408"/>
      <c r="B2240" s="83" t="e">
        <f t="array" ref="B2240">SUM(--(FREQUENCY(IF(C$2:C$3072=C2240, MATCH(D$2:D$3072, D$2:D$3072, 0)), ROW(D$2:D$3072)-ROW(D$2)+1) &gt; 0))</f>
        <v>#N/A</v>
      </c>
      <c r="C2240" s="408"/>
      <c r="D2240" s="408"/>
      <c r="E2240" s="408"/>
      <c r="F2240" s="408"/>
      <c r="G2240" s="408"/>
      <c r="H2240" s="408"/>
      <c r="I2240" s="408"/>
      <c r="J2240" s="408"/>
      <c r="K2240" s="408"/>
      <c r="L2240" s="408"/>
      <c r="M2240" s="408"/>
      <c r="N2240" s="408" t="str">
        <f t="shared" ref="N2240:N2303" si="462">IF(O2240&lt;&gt;"", "NG", "")</f>
        <v/>
      </c>
      <c r="O2240" s="408"/>
      <c r="P2240" s="408"/>
      <c r="Q2240" s="408"/>
      <c r="R2240" s="408"/>
      <c r="S2240" s="408"/>
      <c r="T2240" s="408"/>
      <c r="U2240" s="408"/>
      <c r="V2240" s="421"/>
      <c r="W2240" s="421"/>
      <c r="X2240" s="421"/>
      <c r="Y2240" s="421"/>
      <c r="Z2240" s="421"/>
      <c r="AA2240" s="421"/>
      <c r="AB2240" s="421"/>
      <c r="AC2240" s="421"/>
      <c r="AD2240" s="421"/>
      <c r="AE2240" s="421"/>
      <c r="AF2240" s="421"/>
      <c r="AG2240" s="421"/>
      <c r="AH2240" s="421"/>
      <c r="AI2240" s="421"/>
      <c r="AJ2240" s="421"/>
      <c r="AK2240" s="421"/>
      <c r="AL2240" s="421"/>
    </row>
    <row r="2241" spans="1:38" hidden="1">
      <c r="A2241" s="408"/>
      <c r="B2241" s="83" t="e">
        <f t="array" ref="B2241">SUM(--(FREQUENCY(IF(C$2:C$3072=C2241, MATCH(D$2:D$3072, D$2:D$3072, 0)), ROW(D$2:D$3072)-ROW(D$2)+1) &gt; 0))</f>
        <v>#N/A</v>
      </c>
      <c r="C2241" s="408"/>
      <c r="D2241" s="408"/>
      <c r="E2241" s="408"/>
      <c r="F2241" s="408"/>
      <c r="G2241" s="408"/>
      <c r="H2241" s="408"/>
      <c r="I2241" s="408"/>
      <c r="J2241" s="408"/>
      <c r="K2241" s="408"/>
      <c r="L2241" s="408"/>
      <c r="M2241" s="408"/>
      <c r="N2241" s="408" t="str">
        <f t="shared" si="462"/>
        <v/>
      </c>
      <c r="O2241" s="408"/>
      <c r="P2241" s="408"/>
      <c r="Q2241" s="408"/>
      <c r="R2241" s="408"/>
      <c r="S2241" s="408"/>
      <c r="T2241" s="408"/>
      <c r="U2241" s="408"/>
      <c r="V2241" s="421"/>
      <c r="W2241" s="421"/>
      <c r="X2241" s="421"/>
      <c r="Y2241" s="421"/>
      <c r="Z2241" s="421"/>
      <c r="AA2241" s="421"/>
      <c r="AB2241" s="421"/>
      <c r="AC2241" s="421"/>
      <c r="AD2241" s="421"/>
      <c r="AE2241" s="421"/>
      <c r="AF2241" s="421"/>
      <c r="AG2241" s="421"/>
      <c r="AH2241" s="421"/>
      <c r="AI2241" s="421"/>
      <c r="AJ2241" s="421"/>
      <c r="AK2241" s="421"/>
      <c r="AL2241" s="421"/>
    </row>
    <row r="2242" spans="1:38" hidden="1">
      <c r="A2242" s="408"/>
      <c r="B2242" s="83" t="e">
        <f t="array" ref="B2242">SUM(--(FREQUENCY(IF(C$2:C$3072=C2242, MATCH(D$2:D$3072, D$2:D$3072, 0)), ROW(D$2:D$3072)-ROW(D$2)+1) &gt; 0))</f>
        <v>#N/A</v>
      </c>
      <c r="C2242" s="408"/>
      <c r="D2242" s="408"/>
      <c r="E2242" s="408"/>
      <c r="F2242" s="408"/>
      <c r="G2242" s="408"/>
      <c r="H2242" s="408"/>
      <c r="I2242" s="408"/>
      <c r="J2242" s="408"/>
      <c r="K2242" s="408"/>
      <c r="L2242" s="408"/>
      <c r="M2242" s="408"/>
      <c r="N2242" s="408" t="str">
        <f t="shared" si="462"/>
        <v/>
      </c>
      <c r="O2242" s="408"/>
      <c r="P2242" s="408"/>
      <c r="Q2242" s="408"/>
      <c r="R2242" s="408"/>
      <c r="S2242" s="408"/>
      <c r="T2242" s="408"/>
      <c r="U2242" s="408"/>
      <c r="V2242" s="421"/>
      <c r="W2242" s="421"/>
      <c r="X2242" s="421"/>
      <c r="Y2242" s="421"/>
      <c r="Z2242" s="421"/>
      <c r="AA2242" s="421"/>
      <c r="AB2242" s="421"/>
      <c r="AC2242" s="421"/>
      <c r="AD2242" s="421"/>
      <c r="AE2242" s="421"/>
      <c r="AF2242" s="421"/>
      <c r="AG2242" s="421"/>
      <c r="AH2242" s="421"/>
      <c r="AI2242" s="421"/>
      <c r="AJ2242" s="421"/>
      <c r="AK2242" s="421"/>
      <c r="AL2242" s="421"/>
    </row>
    <row r="2243" spans="1:38" hidden="1">
      <c r="A2243" s="408"/>
      <c r="B2243" s="83" t="e">
        <f t="array" ref="B2243">SUM(--(FREQUENCY(IF(C$2:C$3072=C2243, MATCH(D$2:D$3072, D$2:D$3072, 0)), ROW(D$2:D$3072)-ROW(D$2)+1) &gt; 0))</f>
        <v>#N/A</v>
      </c>
      <c r="C2243" s="408"/>
      <c r="D2243" s="408"/>
      <c r="E2243" s="408"/>
      <c r="F2243" s="408"/>
      <c r="G2243" s="408"/>
      <c r="H2243" s="408"/>
      <c r="I2243" s="408"/>
      <c r="J2243" s="408"/>
      <c r="K2243" s="408"/>
      <c r="L2243" s="408"/>
      <c r="M2243" s="408"/>
      <c r="N2243" s="408" t="str">
        <f t="shared" si="462"/>
        <v/>
      </c>
      <c r="O2243" s="408"/>
      <c r="P2243" s="408"/>
      <c r="Q2243" s="408"/>
      <c r="R2243" s="408"/>
      <c r="S2243" s="408"/>
      <c r="T2243" s="408"/>
      <c r="U2243" s="408"/>
      <c r="V2243" s="421"/>
      <c r="W2243" s="421"/>
      <c r="X2243" s="421"/>
      <c r="Y2243" s="421"/>
      <c r="Z2243" s="421"/>
      <c r="AA2243" s="421"/>
      <c r="AB2243" s="421"/>
      <c r="AC2243" s="421"/>
      <c r="AD2243" s="421"/>
      <c r="AE2243" s="421"/>
      <c r="AF2243" s="421"/>
      <c r="AG2243" s="421"/>
      <c r="AH2243" s="421"/>
      <c r="AI2243" s="421"/>
      <c r="AJ2243" s="421"/>
      <c r="AK2243" s="421"/>
      <c r="AL2243" s="421"/>
    </row>
    <row r="2244" spans="1:38" hidden="1">
      <c r="A2244" s="408"/>
      <c r="B2244" s="83" t="e">
        <f t="array" ref="B2244">SUM(--(FREQUENCY(IF(C$2:C$3072=C2244, MATCH(D$2:D$3072, D$2:D$3072, 0)), ROW(D$2:D$3072)-ROW(D$2)+1) &gt; 0))</f>
        <v>#N/A</v>
      </c>
      <c r="C2244" s="408"/>
      <c r="D2244" s="408"/>
      <c r="E2244" s="408"/>
      <c r="F2244" s="408"/>
      <c r="G2244" s="408"/>
      <c r="H2244" s="408"/>
      <c r="I2244" s="408"/>
      <c r="J2244" s="408"/>
      <c r="K2244" s="408"/>
      <c r="L2244" s="408"/>
      <c r="M2244" s="408"/>
      <c r="N2244" s="408" t="str">
        <f t="shared" si="462"/>
        <v/>
      </c>
      <c r="O2244" s="408"/>
      <c r="P2244" s="408"/>
      <c r="Q2244" s="408"/>
      <c r="R2244" s="408"/>
      <c r="S2244" s="408"/>
      <c r="T2244" s="408"/>
      <c r="U2244" s="408"/>
      <c r="V2244" s="421"/>
      <c r="W2244" s="421"/>
      <c r="X2244" s="421"/>
      <c r="Y2244" s="421"/>
      <c r="Z2244" s="421"/>
      <c r="AA2244" s="421"/>
      <c r="AB2244" s="421"/>
      <c r="AC2244" s="421"/>
      <c r="AD2244" s="421"/>
      <c r="AE2244" s="421"/>
      <c r="AF2244" s="421"/>
      <c r="AG2244" s="421"/>
      <c r="AH2244" s="421"/>
      <c r="AI2244" s="421"/>
      <c r="AJ2244" s="421"/>
      <c r="AK2244" s="421"/>
      <c r="AL2244" s="421"/>
    </row>
    <row r="2245" spans="1:38" hidden="1">
      <c r="A2245" s="408"/>
      <c r="B2245" s="83" t="e">
        <f t="array" ref="B2245">SUM(--(FREQUENCY(IF(C$2:C$3072=C2245, MATCH(D$2:D$3072, D$2:D$3072, 0)), ROW(D$2:D$3072)-ROW(D$2)+1) &gt; 0))</f>
        <v>#N/A</v>
      </c>
      <c r="C2245" s="408"/>
      <c r="D2245" s="408"/>
      <c r="E2245" s="408"/>
      <c r="F2245" s="408"/>
      <c r="G2245" s="408"/>
      <c r="H2245" s="408"/>
      <c r="I2245" s="408"/>
      <c r="J2245" s="408"/>
      <c r="K2245" s="408"/>
      <c r="L2245" s="408"/>
      <c r="M2245" s="408"/>
      <c r="N2245" s="408" t="str">
        <f t="shared" si="462"/>
        <v/>
      </c>
      <c r="O2245" s="408"/>
      <c r="P2245" s="408"/>
      <c r="Q2245" s="408"/>
      <c r="R2245" s="408"/>
      <c r="S2245" s="408"/>
      <c r="T2245" s="408"/>
      <c r="U2245" s="408"/>
      <c r="V2245" s="421"/>
      <c r="W2245" s="421"/>
      <c r="X2245" s="421"/>
      <c r="Y2245" s="421"/>
      <c r="Z2245" s="421"/>
      <c r="AA2245" s="421"/>
      <c r="AB2245" s="421"/>
      <c r="AC2245" s="421"/>
      <c r="AD2245" s="421"/>
      <c r="AE2245" s="421"/>
      <c r="AF2245" s="421"/>
      <c r="AG2245" s="421"/>
      <c r="AH2245" s="421"/>
      <c r="AI2245" s="421"/>
      <c r="AJ2245" s="421"/>
      <c r="AK2245" s="421"/>
      <c r="AL2245" s="421"/>
    </row>
    <row r="2246" spans="1:38" hidden="1">
      <c r="A2246" s="408"/>
      <c r="B2246" s="83" t="e">
        <f t="array" ref="B2246">SUM(--(FREQUENCY(IF(C$2:C$3072=C2246, MATCH(D$2:D$3072, D$2:D$3072, 0)), ROW(D$2:D$3072)-ROW(D$2)+1) &gt; 0))</f>
        <v>#N/A</v>
      </c>
      <c r="C2246" s="408"/>
      <c r="D2246" s="408"/>
      <c r="E2246" s="408"/>
      <c r="F2246" s="408"/>
      <c r="G2246" s="408"/>
      <c r="H2246" s="408"/>
      <c r="I2246" s="408"/>
      <c r="J2246" s="408"/>
      <c r="K2246" s="408"/>
      <c r="L2246" s="408"/>
      <c r="M2246" s="408"/>
      <c r="N2246" s="408" t="str">
        <f t="shared" si="462"/>
        <v/>
      </c>
      <c r="O2246" s="408"/>
      <c r="P2246" s="408"/>
      <c r="Q2246" s="408"/>
      <c r="R2246" s="408"/>
      <c r="S2246" s="408"/>
      <c r="T2246" s="408"/>
      <c r="U2246" s="408"/>
      <c r="V2246" s="421"/>
      <c r="W2246" s="421"/>
      <c r="X2246" s="421"/>
      <c r="Y2246" s="421"/>
      <c r="Z2246" s="421"/>
      <c r="AA2246" s="421"/>
      <c r="AB2246" s="421"/>
      <c r="AC2246" s="421"/>
      <c r="AD2246" s="421"/>
      <c r="AE2246" s="421"/>
      <c r="AF2246" s="421"/>
      <c r="AG2246" s="421"/>
      <c r="AH2246" s="421"/>
      <c r="AI2246" s="421"/>
      <c r="AJ2246" s="421"/>
      <c r="AK2246" s="421"/>
      <c r="AL2246" s="421"/>
    </row>
    <row r="2247" spans="1:38" hidden="1">
      <c r="A2247" s="408"/>
      <c r="B2247" s="83" t="e">
        <f t="array" ref="B2247">SUM(--(FREQUENCY(IF(C$2:C$3072=C2247, MATCH(D$2:D$3072, D$2:D$3072, 0)), ROW(D$2:D$3072)-ROW(D$2)+1) &gt; 0))</f>
        <v>#N/A</v>
      </c>
      <c r="C2247" s="408"/>
      <c r="D2247" s="408"/>
      <c r="E2247" s="408"/>
      <c r="F2247" s="408"/>
      <c r="G2247" s="408"/>
      <c r="H2247" s="408"/>
      <c r="I2247" s="408"/>
      <c r="J2247" s="408"/>
      <c r="K2247" s="408"/>
      <c r="L2247" s="408"/>
      <c r="M2247" s="408"/>
      <c r="N2247" s="408" t="str">
        <f t="shared" si="462"/>
        <v/>
      </c>
      <c r="O2247" s="408"/>
      <c r="P2247" s="408"/>
      <c r="Q2247" s="408"/>
      <c r="R2247" s="408"/>
      <c r="S2247" s="408"/>
      <c r="T2247" s="408"/>
      <c r="U2247" s="408"/>
      <c r="V2247" s="421"/>
      <c r="W2247" s="421"/>
      <c r="X2247" s="421"/>
      <c r="Y2247" s="421"/>
      <c r="Z2247" s="421"/>
      <c r="AA2247" s="421"/>
      <c r="AB2247" s="421"/>
      <c r="AC2247" s="421"/>
      <c r="AD2247" s="421"/>
      <c r="AE2247" s="421"/>
      <c r="AF2247" s="421"/>
      <c r="AG2247" s="421"/>
      <c r="AH2247" s="421"/>
      <c r="AI2247" s="421"/>
      <c r="AJ2247" s="421"/>
      <c r="AK2247" s="421"/>
      <c r="AL2247" s="421"/>
    </row>
    <row r="2248" spans="1:38" hidden="1">
      <c r="A2248" s="408"/>
      <c r="B2248" s="83" t="e">
        <f t="array" ref="B2248">SUM(--(FREQUENCY(IF(C$2:C$3072=C2248, MATCH(D$2:D$3072, D$2:D$3072, 0)), ROW(D$2:D$3072)-ROW(D$2)+1) &gt; 0))</f>
        <v>#N/A</v>
      </c>
      <c r="C2248" s="408"/>
      <c r="D2248" s="408"/>
      <c r="E2248" s="408"/>
      <c r="F2248" s="408"/>
      <c r="G2248" s="408"/>
      <c r="H2248" s="408"/>
      <c r="I2248" s="408"/>
      <c r="J2248" s="408"/>
      <c r="K2248" s="408"/>
      <c r="L2248" s="408"/>
      <c r="M2248" s="408"/>
      <c r="N2248" s="408" t="str">
        <f t="shared" si="462"/>
        <v/>
      </c>
      <c r="O2248" s="408"/>
      <c r="P2248" s="408"/>
      <c r="Q2248" s="408"/>
      <c r="R2248" s="408"/>
      <c r="S2248" s="408"/>
      <c r="T2248" s="408"/>
      <c r="U2248" s="408"/>
      <c r="V2248" s="421"/>
      <c r="W2248" s="421"/>
      <c r="X2248" s="421"/>
      <c r="Y2248" s="421"/>
      <c r="Z2248" s="421"/>
      <c r="AA2248" s="421"/>
      <c r="AB2248" s="421"/>
      <c r="AC2248" s="421"/>
      <c r="AD2248" s="421"/>
      <c r="AE2248" s="421"/>
      <c r="AF2248" s="421"/>
      <c r="AG2248" s="421"/>
      <c r="AH2248" s="421"/>
      <c r="AI2248" s="421"/>
      <c r="AJ2248" s="421"/>
      <c r="AK2248" s="421"/>
      <c r="AL2248" s="421"/>
    </row>
    <row r="2249" spans="1:38" hidden="1">
      <c r="A2249" s="408"/>
      <c r="B2249" s="83" t="e">
        <f t="array" ref="B2249">SUM(--(FREQUENCY(IF(C$2:C$3072=C2249, MATCH(D$2:D$3072, D$2:D$3072, 0)), ROW(D$2:D$3072)-ROW(D$2)+1) &gt; 0))</f>
        <v>#N/A</v>
      </c>
      <c r="C2249" s="408"/>
      <c r="D2249" s="408"/>
      <c r="E2249" s="408"/>
      <c r="F2249" s="408"/>
      <c r="G2249" s="408"/>
      <c r="H2249" s="408"/>
      <c r="I2249" s="408"/>
      <c r="J2249" s="408"/>
      <c r="K2249" s="408"/>
      <c r="L2249" s="408"/>
      <c r="M2249" s="408"/>
      <c r="N2249" s="408" t="str">
        <f t="shared" si="462"/>
        <v/>
      </c>
      <c r="O2249" s="408"/>
      <c r="P2249" s="408"/>
      <c r="Q2249" s="408"/>
      <c r="R2249" s="408"/>
      <c r="S2249" s="408"/>
      <c r="T2249" s="408"/>
      <c r="U2249" s="408"/>
      <c r="V2249" s="421"/>
      <c r="W2249" s="421"/>
      <c r="X2249" s="421"/>
      <c r="Y2249" s="421"/>
      <c r="Z2249" s="421"/>
      <c r="AA2249" s="421"/>
      <c r="AB2249" s="421"/>
      <c r="AC2249" s="421"/>
      <c r="AD2249" s="421"/>
      <c r="AE2249" s="421"/>
      <c r="AF2249" s="421"/>
      <c r="AG2249" s="421"/>
      <c r="AH2249" s="421"/>
      <c r="AI2249" s="421"/>
      <c r="AJ2249" s="421"/>
      <c r="AK2249" s="421"/>
      <c r="AL2249" s="421"/>
    </row>
    <row r="2250" spans="1:38" hidden="1">
      <c r="A2250" s="408"/>
      <c r="B2250" s="83" t="e">
        <f t="array" ref="B2250">SUM(--(FREQUENCY(IF(C$2:C$3072=C2250, MATCH(D$2:D$3072, D$2:D$3072, 0)), ROW(D$2:D$3072)-ROW(D$2)+1) &gt; 0))</f>
        <v>#N/A</v>
      </c>
      <c r="C2250" s="408"/>
      <c r="D2250" s="408"/>
      <c r="E2250" s="408"/>
      <c r="F2250" s="408"/>
      <c r="G2250" s="408"/>
      <c r="H2250" s="408"/>
      <c r="I2250" s="408"/>
      <c r="J2250" s="408"/>
      <c r="K2250" s="408"/>
      <c r="L2250" s="408"/>
      <c r="M2250" s="408"/>
      <c r="N2250" s="408" t="str">
        <f t="shared" si="462"/>
        <v/>
      </c>
      <c r="O2250" s="408"/>
      <c r="P2250" s="408"/>
      <c r="Q2250" s="408"/>
      <c r="R2250" s="408"/>
      <c r="S2250" s="408"/>
      <c r="T2250" s="408"/>
      <c r="U2250" s="408"/>
      <c r="V2250" s="421"/>
      <c r="W2250" s="421"/>
      <c r="X2250" s="421"/>
      <c r="Y2250" s="421"/>
      <c r="Z2250" s="421"/>
      <c r="AA2250" s="421"/>
      <c r="AB2250" s="421"/>
      <c r="AC2250" s="421"/>
      <c r="AD2250" s="421"/>
      <c r="AE2250" s="421"/>
      <c r="AF2250" s="421"/>
      <c r="AG2250" s="421"/>
      <c r="AH2250" s="421"/>
      <c r="AI2250" s="421"/>
      <c r="AJ2250" s="421"/>
      <c r="AK2250" s="421"/>
      <c r="AL2250" s="421"/>
    </row>
    <row r="2251" spans="1:38" hidden="1">
      <c r="A2251" s="408"/>
      <c r="B2251" s="83" t="e">
        <f t="array" ref="B2251">SUM(--(FREQUENCY(IF(C$2:C$3072=C2251, MATCH(D$2:D$3072, D$2:D$3072, 0)), ROW(D$2:D$3072)-ROW(D$2)+1) &gt; 0))</f>
        <v>#N/A</v>
      </c>
      <c r="C2251" s="408"/>
      <c r="D2251" s="408"/>
      <c r="E2251" s="408"/>
      <c r="F2251" s="408"/>
      <c r="G2251" s="408"/>
      <c r="H2251" s="408"/>
      <c r="I2251" s="408"/>
      <c r="J2251" s="408"/>
      <c r="K2251" s="408"/>
      <c r="L2251" s="408"/>
      <c r="M2251" s="408"/>
      <c r="N2251" s="408" t="str">
        <f t="shared" si="462"/>
        <v/>
      </c>
      <c r="O2251" s="408"/>
      <c r="P2251" s="408"/>
      <c r="Q2251" s="408"/>
      <c r="R2251" s="408"/>
      <c r="S2251" s="408"/>
      <c r="T2251" s="408"/>
      <c r="U2251" s="408"/>
      <c r="V2251" s="421"/>
      <c r="W2251" s="421"/>
      <c r="X2251" s="421"/>
      <c r="Y2251" s="421"/>
      <c r="Z2251" s="421"/>
      <c r="AA2251" s="421"/>
      <c r="AB2251" s="421"/>
      <c r="AC2251" s="421"/>
      <c r="AD2251" s="421"/>
      <c r="AE2251" s="421"/>
      <c r="AF2251" s="421"/>
      <c r="AG2251" s="421"/>
      <c r="AH2251" s="421"/>
      <c r="AI2251" s="421"/>
      <c r="AJ2251" s="421"/>
      <c r="AK2251" s="421"/>
      <c r="AL2251" s="421"/>
    </row>
    <row r="2252" spans="1:38" hidden="1">
      <c r="A2252" s="408"/>
      <c r="B2252" s="83" t="e">
        <f t="array" ref="B2252">SUM(--(FREQUENCY(IF(C$2:C$3072=C2252, MATCH(D$2:D$3072, D$2:D$3072, 0)), ROW(D$2:D$3072)-ROW(D$2)+1) &gt; 0))</f>
        <v>#N/A</v>
      </c>
      <c r="C2252" s="408"/>
      <c r="D2252" s="408"/>
      <c r="E2252" s="408"/>
      <c r="F2252" s="408"/>
      <c r="G2252" s="408"/>
      <c r="H2252" s="408"/>
      <c r="I2252" s="408"/>
      <c r="J2252" s="408"/>
      <c r="K2252" s="408"/>
      <c r="L2252" s="408"/>
      <c r="M2252" s="408"/>
      <c r="N2252" s="408" t="str">
        <f t="shared" si="462"/>
        <v/>
      </c>
      <c r="O2252" s="408"/>
      <c r="P2252" s="408"/>
      <c r="Q2252" s="408"/>
      <c r="R2252" s="408"/>
      <c r="S2252" s="408"/>
      <c r="T2252" s="408"/>
      <c r="U2252" s="408"/>
      <c r="V2252" s="421"/>
      <c r="W2252" s="421"/>
      <c r="X2252" s="421"/>
      <c r="Y2252" s="421"/>
      <c r="Z2252" s="421"/>
      <c r="AA2252" s="421"/>
      <c r="AB2252" s="421"/>
      <c r="AC2252" s="421"/>
      <c r="AD2252" s="421"/>
      <c r="AE2252" s="421"/>
      <c r="AF2252" s="421"/>
      <c r="AG2252" s="421"/>
      <c r="AH2252" s="421"/>
      <c r="AI2252" s="421"/>
      <c r="AJ2252" s="421"/>
      <c r="AK2252" s="421"/>
      <c r="AL2252" s="421"/>
    </row>
    <row r="2253" spans="1:38" hidden="1">
      <c r="A2253" s="408"/>
      <c r="B2253" s="83" t="e">
        <f t="array" ref="B2253">SUM(--(FREQUENCY(IF(C$2:C$3072=C2253, MATCH(D$2:D$3072, D$2:D$3072, 0)), ROW(D$2:D$3072)-ROW(D$2)+1) &gt; 0))</f>
        <v>#N/A</v>
      </c>
      <c r="C2253" s="408"/>
      <c r="D2253" s="408"/>
      <c r="E2253" s="408"/>
      <c r="F2253" s="408"/>
      <c r="G2253" s="408"/>
      <c r="H2253" s="408"/>
      <c r="I2253" s="408"/>
      <c r="J2253" s="408"/>
      <c r="K2253" s="408"/>
      <c r="L2253" s="408"/>
      <c r="M2253" s="408"/>
      <c r="N2253" s="408" t="str">
        <f t="shared" si="462"/>
        <v/>
      </c>
      <c r="O2253" s="408"/>
      <c r="P2253" s="408"/>
      <c r="Q2253" s="408"/>
      <c r="R2253" s="408"/>
      <c r="S2253" s="408"/>
      <c r="T2253" s="408"/>
      <c r="U2253" s="408"/>
      <c r="V2253" s="421"/>
      <c r="W2253" s="421"/>
      <c r="X2253" s="421"/>
      <c r="Y2253" s="421"/>
      <c r="Z2253" s="421"/>
      <c r="AA2253" s="421"/>
      <c r="AB2253" s="421"/>
      <c r="AC2253" s="421"/>
      <c r="AD2253" s="421"/>
      <c r="AE2253" s="421"/>
      <c r="AF2253" s="421"/>
      <c r="AG2253" s="421"/>
      <c r="AH2253" s="421"/>
      <c r="AI2253" s="421"/>
      <c r="AJ2253" s="421"/>
      <c r="AK2253" s="421"/>
      <c r="AL2253" s="421"/>
    </row>
    <row r="2254" spans="1:38" hidden="1">
      <c r="A2254" s="408"/>
      <c r="B2254" s="83" t="e">
        <f t="array" ref="B2254">SUM(--(FREQUENCY(IF(C$2:C$3072=C2254, MATCH(D$2:D$3072, D$2:D$3072, 0)), ROW(D$2:D$3072)-ROW(D$2)+1) &gt; 0))</f>
        <v>#N/A</v>
      </c>
      <c r="C2254" s="408"/>
      <c r="D2254" s="408"/>
      <c r="E2254" s="408"/>
      <c r="F2254" s="408"/>
      <c r="G2254" s="408"/>
      <c r="H2254" s="408"/>
      <c r="I2254" s="408"/>
      <c r="J2254" s="408"/>
      <c r="K2254" s="408"/>
      <c r="L2254" s="408"/>
      <c r="M2254" s="408"/>
      <c r="N2254" s="408" t="str">
        <f t="shared" si="462"/>
        <v/>
      </c>
      <c r="O2254" s="408"/>
      <c r="P2254" s="408"/>
      <c r="Q2254" s="408"/>
      <c r="R2254" s="408"/>
      <c r="S2254" s="408"/>
      <c r="T2254" s="408"/>
      <c r="U2254" s="408"/>
      <c r="V2254" s="421"/>
      <c r="W2254" s="421"/>
      <c r="X2254" s="421"/>
      <c r="Y2254" s="421"/>
      <c r="Z2254" s="421"/>
      <c r="AA2254" s="421"/>
      <c r="AB2254" s="421"/>
      <c r="AC2254" s="421"/>
      <c r="AD2254" s="421"/>
      <c r="AE2254" s="421"/>
      <c r="AF2254" s="421"/>
      <c r="AG2254" s="421"/>
      <c r="AH2254" s="421"/>
      <c r="AI2254" s="421"/>
      <c r="AJ2254" s="421"/>
      <c r="AK2254" s="421"/>
      <c r="AL2254" s="421"/>
    </row>
    <row r="2255" spans="1:38" hidden="1">
      <c r="A2255" s="408"/>
      <c r="B2255" s="83" t="e">
        <f t="array" ref="B2255">SUM(--(FREQUENCY(IF(C$2:C$3072=C2255, MATCH(D$2:D$3072, D$2:D$3072, 0)), ROW(D$2:D$3072)-ROW(D$2)+1) &gt; 0))</f>
        <v>#N/A</v>
      </c>
      <c r="C2255" s="408"/>
      <c r="D2255" s="408"/>
      <c r="E2255" s="408"/>
      <c r="F2255" s="408"/>
      <c r="G2255" s="408"/>
      <c r="H2255" s="408"/>
      <c r="I2255" s="408"/>
      <c r="J2255" s="408"/>
      <c r="K2255" s="408"/>
      <c r="L2255" s="408"/>
      <c r="M2255" s="408"/>
      <c r="N2255" s="408" t="str">
        <f t="shared" si="462"/>
        <v/>
      </c>
      <c r="O2255" s="408"/>
      <c r="P2255" s="408"/>
      <c r="Q2255" s="408"/>
      <c r="R2255" s="408"/>
      <c r="S2255" s="408"/>
      <c r="T2255" s="408"/>
      <c r="U2255" s="408"/>
      <c r="V2255" s="421"/>
      <c r="W2255" s="421"/>
      <c r="X2255" s="421"/>
      <c r="Y2255" s="421"/>
      <c r="Z2255" s="421"/>
      <c r="AA2255" s="421"/>
      <c r="AB2255" s="421"/>
      <c r="AC2255" s="421"/>
      <c r="AD2255" s="421"/>
      <c r="AE2255" s="421"/>
      <c r="AF2255" s="421"/>
      <c r="AG2255" s="421"/>
      <c r="AH2255" s="421"/>
      <c r="AI2255" s="421"/>
      <c r="AJ2255" s="421"/>
      <c r="AK2255" s="421"/>
      <c r="AL2255" s="421"/>
    </row>
    <row r="2256" spans="1:38" hidden="1">
      <c r="A2256" s="408"/>
      <c r="B2256" s="83" t="e">
        <f t="array" ref="B2256">SUM(--(FREQUENCY(IF(C$2:C$3072=C2256, MATCH(D$2:D$3072, D$2:D$3072, 0)), ROW(D$2:D$3072)-ROW(D$2)+1) &gt; 0))</f>
        <v>#N/A</v>
      </c>
      <c r="C2256" s="408"/>
      <c r="D2256" s="408"/>
      <c r="E2256" s="408"/>
      <c r="F2256" s="408"/>
      <c r="G2256" s="408"/>
      <c r="H2256" s="408"/>
      <c r="I2256" s="408"/>
      <c r="J2256" s="408"/>
      <c r="K2256" s="408"/>
      <c r="L2256" s="408"/>
      <c r="M2256" s="408"/>
      <c r="N2256" s="408" t="str">
        <f t="shared" si="462"/>
        <v/>
      </c>
      <c r="O2256" s="408"/>
      <c r="P2256" s="408"/>
      <c r="Q2256" s="408"/>
      <c r="R2256" s="408"/>
      <c r="S2256" s="408"/>
      <c r="T2256" s="408"/>
      <c r="U2256" s="408"/>
      <c r="V2256" s="421"/>
      <c r="W2256" s="421"/>
      <c r="X2256" s="421"/>
      <c r="Y2256" s="421"/>
      <c r="Z2256" s="421"/>
      <c r="AA2256" s="421"/>
      <c r="AB2256" s="421"/>
      <c r="AC2256" s="421"/>
      <c r="AD2256" s="421"/>
      <c r="AE2256" s="421"/>
      <c r="AF2256" s="421"/>
      <c r="AG2256" s="421"/>
      <c r="AH2256" s="421"/>
      <c r="AI2256" s="421"/>
      <c r="AJ2256" s="421"/>
      <c r="AK2256" s="421"/>
      <c r="AL2256" s="421"/>
    </row>
    <row r="2257" spans="1:38" hidden="1">
      <c r="A2257" s="408"/>
      <c r="B2257" s="83" t="e">
        <f t="array" ref="B2257">SUM(--(FREQUENCY(IF(C$2:C$3072=C2257, MATCH(D$2:D$3072, D$2:D$3072, 0)), ROW(D$2:D$3072)-ROW(D$2)+1) &gt; 0))</f>
        <v>#N/A</v>
      </c>
      <c r="C2257" s="408"/>
      <c r="D2257" s="408"/>
      <c r="E2257" s="408"/>
      <c r="F2257" s="408"/>
      <c r="G2257" s="408"/>
      <c r="H2257" s="408"/>
      <c r="I2257" s="408"/>
      <c r="J2257" s="408"/>
      <c r="K2257" s="408"/>
      <c r="L2257" s="408"/>
      <c r="M2257" s="408"/>
      <c r="N2257" s="408" t="str">
        <f t="shared" si="462"/>
        <v/>
      </c>
      <c r="O2257" s="408"/>
      <c r="P2257" s="408"/>
      <c r="Q2257" s="408"/>
      <c r="R2257" s="408"/>
      <c r="S2257" s="408"/>
      <c r="T2257" s="408"/>
      <c r="U2257" s="408"/>
      <c r="V2257" s="421"/>
      <c r="W2257" s="421"/>
      <c r="X2257" s="421"/>
      <c r="Y2257" s="421"/>
      <c r="Z2257" s="421"/>
      <c r="AA2257" s="421"/>
      <c r="AB2257" s="421"/>
      <c r="AC2257" s="421"/>
      <c r="AD2257" s="421"/>
      <c r="AE2257" s="421"/>
      <c r="AF2257" s="421"/>
      <c r="AG2257" s="421"/>
      <c r="AH2257" s="421"/>
      <c r="AI2257" s="421"/>
      <c r="AJ2257" s="421"/>
      <c r="AK2257" s="421"/>
      <c r="AL2257" s="421"/>
    </row>
    <row r="2258" spans="1:38" hidden="1">
      <c r="A2258" s="408"/>
      <c r="B2258" s="83" t="e">
        <f t="array" ref="B2258">SUM(--(FREQUENCY(IF(C$2:C$3072=C2258, MATCH(D$2:D$3072, D$2:D$3072, 0)), ROW(D$2:D$3072)-ROW(D$2)+1) &gt; 0))</f>
        <v>#N/A</v>
      </c>
      <c r="C2258" s="408"/>
      <c r="D2258" s="408"/>
      <c r="E2258" s="408"/>
      <c r="F2258" s="408"/>
      <c r="G2258" s="408"/>
      <c r="H2258" s="408"/>
      <c r="I2258" s="408"/>
      <c r="J2258" s="408"/>
      <c r="K2258" s="408"/>
      <c r="L2258" s="408"/>
      <c r="M2258" s="408"/>
      <c r="N2258" s="408" t="str">
        <f t="shared" si="462"/>
        <v/>
      </c>
      <c r="O2258" s="408"/>
      <c r="P2258" s="408"/>
      <c r="Q2258" s="408"/>
      <c r="R2258" s="408"/>
      <c r="S2258" s="408"/>
      <c r="T2258" s="408"/>
      <c r="U2258" s="408"/>
      <c r="V2258" s="421"/>
      <c r="W2258" s="421"/>
      <c r="X2258" s="421"/>
      <c r="Y2258" s="421"/>
      <c r="Z2258" s="421"/>
      <c r="AA2258" s="421"/>
      <c r="AB2258" s="421"/>
      <c r="AC2258" s="421"/>
      <c r="AD2258" s="421"/>
      <c r="AE2258" s="421"/>
      <c r="AF2258" s="421"/>
      <c r="AG2258" s="421"/>
      <c r="AH2258" s="421"/>
      <c r="AI2258" s="421"/>
      <c r="AJ2258" s="421"/>
      <c r="AK2258" s="421"/>
      <c r="AL2258" s="421"/>
    </row>
    <row r="2259" spans="1:38" hidden="1">
      <c r="A2259" s="408"/>
      <c r="B2259" s="83" t="e">
        <f t="array" ref="B2259">SUM(--(FREQUENCY(IF(C$2:C$3072=C2259, MATCH(D$2:D$3072, D$2:D$3072, 0)), ROW(D$2:D$3072)-ROW(D$2)+1) &gt; 0))</f>
        <v>#N/A</v>
      </c>
      <c r="C2259" s="408"/>
      <c r="D2259" s="408"/>
      <c r="E2259" s="408"/>
      <c r="F2259" s="408"/>
      <c r="G2259" s="408"/>
      <c r="H2259" s="408"/>
      <c r="I2259" s="408"/>
      <c r="J2259" s="408"/>
      <c r="K2259" s="408"/>
      <c r="L2259" s="408"/>
      <c r="M2259" s="408"/>
      <c r="N2259" s="408" t="str">
        <f t="shared" si="462"/>
        <v/>
      </c>
      <c r="O2259" s="408"/>
      <c r="P2259" s="408"/>
      <c r="Q2259" s="408"/>
      <c r="R2259" s="408"/>
      <c r="S2259" s="408"/>
      <c r="T2259" s="408"/>
      <c r="U2259" s="408"/>
      <c r="V2259" s="421"/>
      <c r="W2259" s="421"/>
      <c r="X2259" s="421"/>
      <c r="Y2259" s="421"/>
      <c r="Z2259" s="421"/>
      <c r="AA2259" s="421"/>
      <c r="AB2259" s="421"/>
      <c r="AC2259" s="421"/>
      <c r="AD2259" s="421"/>
      <c r="AE2259" s="421"/>
      <c r="AF2259" s="421"/>
      <c r="AG2259" s="421"/>
      <c r="AH2259" s="421"/>
      <c r="AI2259" s="421"/>
      <c r="AJ2259" s="421"/>
      <c r="AK2259" s="421"/>
      <c r="AL2259" s="421"/>
    </row>
    <row r="2260" spans="1:38" hidden="1">
      <c r="A2260" s="408"/>
      <c r="B2260" s="83" t="e">
        <f t="array" ref="B2260">SUM(--(FREQUENCY(IF(C$2:C$3072=C2260, MATCH(D$2:D$3072, D$2:D$3072, 0)), ROW(D$2:D$3072)-ROW(D$2)+1) &gt; 0))</f>
        <v>#N/A</v>
      </c>
      <c r="C2260" s="408"/>
      <c r="D2260" s="408"/>
      <c r="E2260" s="408"/>
      <c r="F2260" s="408"/>
      <c r="G2260" s="408"/>
      <c r="H2260" s="408"/>
      <c r="I2260" s="408"/>
      <c r="J2260" s="408"/>
      <c r="K2260" s="408"/>
      <c r="L2260" s="408"/>
      <c r="M2260" s="408"/>
      <c r="N2260" s="408" t="str">
        <f t="shared" si="462"/>
        <v/>
      </c>
      <c r="O2260" s="408"/>
      <c r="P2260" s="408"/>
      <c r="Q2260" s="408"/>
      <c r="R2260" s="408"/>
      <c r="S2260" s="408"/>
      <c r="T2260" s="408"/>
      <c r="U2260" s="408"/>
      <c r="V2260" s="421"/>
      <c r="W2260" s="421"/>
      <c r="X2260" s="421"/>
      <c r="Y2260" s="421"/>
      <c r="Z2260" s="421"/>
      <c r="AA2260" s="421"/>
      <c r="AB2260" s="421"/>
      <c r="AC2260" s="421"/>
      <c r="AD2260" s="421"/>
      <c r="AE2260" s="421"/>
      <c r="AF2260" s="421"/>
      <c r="AG2260" s="421"/>
      <c r="AH2260" s="421"/>
      <c r="AI2260" s="421"/>
      <c r="AJ2260" s="421"/>
      <c r="AK2260" s="421"/>
      <c r="AL2260" s="421"/>
    </row>
    <row r="2261" spans="1:38" hidden="1">
      <c r="A2261" s="408"/>
      <c r="B2261" s="83" t="e">
        <f t="array" ref="B2261">SUM(--(FREQUENCY(IF(C$2:C$3072=C2261, MATCH(D$2:D$3072, D$2:D$3072, 0)), ROW(D$2:D$3072)-ROW(D$2)+1) &gt; 0))</f>
        <v>#N/A</v>
      </c>
      <c r="C2261" s="408"/>
      <c r="D2261" s="408"/>
      <c r="E2261" s="408"/>
      <c r="F2261" s="408"/>
      <c r="G2261" s="408"/>
      <c r="H2261" s="408"/>
      <c r="I2261" s="408"/>
      <c r="J2261" s="408"/>
      <c r="K2261" s="408"/>
      <c r="L2261" s="408"/>
      <c r="M2261" s="408"/>
      <c r="N2261" s="408" t="str">
        <f t="shared" si="462"/>
        <v/>
      </c>
      <c r="O2261" s="408"/>
      <c r="P2261" s="408"/>
      <c r="Q2261" s="408"/>
      <c r="R2261" s="408"/>
      <c r="S2261" s="408"/>
      <c r="T2261" s="408"/>
      <c r="U2261" s="408"/>
      <c r="V2261" s="421"/>
      <c r="W2261" s="421"/>
      <c r="X2261" s="421"/>
      <c r="Y2261" s="421"/>
      <c r="Z2261" s="421"/>
      <c r="AA2261" s="421"/>
      <c r="AB2261" s="421"/>
      <c r="AC2261" s="421"/>
      <c r="AD2261" s="421"/>
      <c r="AE2261" s="421"/>
      <c r="AF2261" s="421"/>
      <c r="AG2261" s="421"/>
      <c r="AH2261" s="421"/>
      <c r="AI2261" s="421"/>
      <c r="AJ2261" s="421"/>
      <c r="AK2261" s="421"/>
      <c r="AL2261" s="421"/>
    </row>
    <row r="2262" spans="1:38" hidden="1">
      <c r="A2262" s="408"/>
      <c r="B2262" s="83" t="e">
        <f t="array" ref="B2262">SUM(--(FREQUENCY(IF(C$2:C$3072=C2262, MATCH(D$2:D$3072, D$2:D$3072, 0)), ROW(D$2:D$3072)-ROW(D$2)+1) &gt; 0))</f>
        <v>#N/A</v>
      </c>
      <c r="C2262" s="408"/>
      <c r="D2262" s="408"/>
      <c r="E2262" s="408"/>
      <c r="F2262" s="408"/>
      <c r="G2262" s="408"/>
      <c r="H2262" s="408"/>
      <c r="I2262" s="408"/>
      <c r="J2262" s="408"/>
      <c r="K2262" s="408"/>
      <c r="L2262" s="408"/>
      <c r="M2262" s="408"/>
      <c r="N2262" s="408" t="str">
        <f t="shared" si="462"/>
        <v/>
      </c>
      <c r="O2262" s="408"/>
      <c r="P2262" s="408"/>
      <c r="Q2262" s="408"/>
      <c r="R2262" s="408"/>
      <c r="S2262" s="408"/>
      <c r="T2262" s="408"/>
      <c r="U2262" s="408"/>
      <c r="V2262" s="421"/>
      <c r="W2262" s="421"/>
      <c r="X2262" s="421"/>
      <c r="Y2262" s="421"/>
      <c r="Z2262" s="421"/>
      <c r="AA2262" s="421"/>
      <c r="AB2262" s="421"/>
      <c r="AC2262" s="421"/>
      <c r="AD2262" s="421"/>
      <c r="AE2262" s="421"/>
      <c r="AF2262" s="421"/>
      <c r="AG2262" s="421"/>
      <c r="AH2262" s="421"/>
      <c r="AI2262" s="421"/>
      <c r="AJ2262" s="421"/>
      <c r="AK2262" s="421"/>
      <c r="AL2262" s="421"/>
    </row>
    <row r="2263" spans="1:38" hidden="1">
      <c r="A2263" s="408"/>
      <c r="B2263" s="83" t="e">
        <f t="array" ref="B2263">SUM(--(FREQUENCY(IF(C$2:C$3072=C2263, MATCH(D$2:D$3072, D$2:D$3072, 0)), ROW(D$2:D$3072)-ROW(D$2)+1) &gt; 0))</f>
        <v>#N/A</v>
      </c>
      <c r="C2263" s="408"/>
      <c r="D2263" s="408"/>
      <c r="E2263" s="408"/>
      <c r="F2263" s="408"/>
      <c r="G2263" s="408"/>
      <c r="H2263" s="408"/>
      <c r="I2263" s="408"/>
      <c r="J2263" s="408"/>
      <c r="K2263" s="408"/>
      <c r="L2263" s="408"/>
      <c r="M2263" s="408"/>
      <c r="N2263" s="408" t="str">
        <f t="shared" si="462"/>
        <v/>
      </c>
      <c r="O2263" s="408"/>
      <c r="P2263" s="408"/>
      <c r="Q2263" s="408"/>
      <c r="R2263" s="408"/>
      <c r="S2263" s="408"/>
      <c r="T2263" s="408"/>
      <c r="U2263" s="408"/>
      <c r="V2263" s="421"/>
      <c r="W2263" s="421"/>
      <c r="X2263" s="421"/>
      <c r="Y2263" s="421"/>
      <c r="Z2263" s="421"/>
      <c r="AA2263" s="421"/>
      <c r="AB2263" s="421"/>
      <c r="AC2263" s="421"/>
      <c r="AD2263" s="421"/>
      <c r="AE2263" s="421"/>
      <c r="AF2263" s="421"/>
      <c r="AG2263" s="421"/>
      <c r="AH2263" s="421"/>
      <c r="AI2263" s="421"/>
      <c r="AJ2263" s="421"/>
      <c r="AK2263" s="421"/>
      <c r="AL2263" s="421"/>
    </row>
    <row r="2264" spans="1:38" hidden="1">
      <c r="A2264" s="408"/>
      <c r="B2264" s="83" t="e">
        <f t="array" ref="B2264">SUM(--(FREQUENCY(IF(C$2:C$3072=C2264, MATCH(D$2:D$3072, D$2:D$3072, 0)), ROW(D$2:D$3072)-ROW(D$2)+1) &gt; 0))</f>
        <v>#N/A</v>
      </c>
      <c r="C2264" s="408"/>
      <c r="D2264" s="408"/>
      <c r="E2264" s="408"/>
      <c r="F2264" s="408"/>
      <c r="G2264" s="408"/>
      <c r="H2264" s="408"/>
      <c r="I2264" s="408"/>
      <c r="J2264" s="408"/>
      <c r="K2264" s="408"/>
      <c r="L2264" s="408"/>
      <c r="M2264" s="408"/>
      <c r="N2264" s="408" t="str">
        <f t="shared" si="462"/>
        <v/>
      </c>
      <c r="O2264" s="408"/>
      <c r="P2264" s="408"/>
      <c r="Q2264" s="408"/>
      <c r="R2264" s="408"/>
      <c r="S2264" s="408"/>
      <c r="T2264" s="408"/>
      <c r="U2264" s="408"/>
      <c r="V2264" s="421"/>
      <c r="W2264" s="421"/>
      <c r="X2264" s="421"/>
      <c r="Y2264" s="421"/>
      <c r="Z2264" s="421"/>
      <c r="AA2264" s="421"/>
      <c r="AB2264" s="421"/>
      <c r="AC2264" s="421"/>
      <c r="AD2264" s="421"/>
      <c r="AE2264" s="421"/>
      <c r="AF2264" s="421"/>
      <c r="AG2264" s="421"/>
      <c r="AH2264" s="421"/>
      <c r="AI2264" s="421"/>
      <c r="AJ2264" s="421"/>
      <c r="AK2264" s="421"/>
      <c r="AL2264" s="421"/>
    </row>
    <row r="2265" spans="1:38" hidden="1">
      <c r="A2265" s="408"/>
      <c r="B2265" s="83" t="e">
        <f t="array" ref="B2265">SUM(--(FREQUENCY(IF(C$2:C$3072=C2265, MATCH(D$2:D$3072, D$2:D$3072, 0)), ROW(D$2:D$3072)-ROW(D$2)+1) &gt; 0))</f>
        <v>#N/A</v>
      </c>
      <c r="C2265" s="408"/>
      <c r="D2265" s="408"/>
      <c r="E2265" s="408"/>
      <c r="F2265" s="408"/>
      <c r="G2265" s="408"/>
      <c r="H2265" s="408"/>
      <c r="I2265" s="408"/>
      <c r="J2265" s="408"/>
      <c r="K2265" s="408"/>
      <c r="L2265" s="408"/>
      <c r="M2265" s="408"/>
      <c r="N2265" s="408" t="str">
        <f t="shared" si="462"/>
        <v/>
      </c>
      <c r="O2265" s="408"/>
      <c r="P2265" s="408"/>
      <c r="Q2265" s="408"/>
      <c r="R2265" s="408"/>
      <c r="S2265" s="408"/>
      <c r="T2265" s="408"/>
      <c r="U2265" s="408"/>
      <c r="V2265" s="421"/>
      <c r="W2265" s="421"/>
      <c r="X2265" s="421"/>
      <c r="Y2265" s="421"/>
      <c r="Z2265" s="421"/>
      <c r="AA2265" s="421"/>
      <c r="AB2265" s="421"/>
      <c r="AC2265" s="421"/>
      <c r="AD2265" s="421"/>
      <c r="AE2265" s="421"/>
      <c r="AF2265" s="421"/>
      <c r="AG2265" s="421"/>
      <c r="AH2265" s="421"/>
      <c r="AI2265" s="421"/>
      <c r="AJ2265" s="421"/>
      <c r="AK2265" s="421"/>
      <c r="AL2265" s="421"/>
    </row>
    <row r="2266" spans="1:38" hidden="1">
      <c r="A2266" s="408"/>
      <c r="B2266" s="83" t="e">
        <f t="array" ref="B2266">SUM(--(FREQUENCY(IF(C$2:C$3072=C2266, MATCH(D$2:D$3072, D$2:D$3072, 0)), ROW(D$2:D$3072)-ROW(D$2)+1) &gt; 0))</f>
        <v>#N/A</v>
      </c>
      <c r="C2266" s="408"/>
      <c r="D2266" s="408"/>
      <c r="E2266" s="408"/>
      <c r="F2266" s="408"/>
      <c r="G2266" s="408"/>
      <c r="H2266" s="408"/>
      <c r="I2266" s="408"/>
      <c r="J2266" s="408"/>
      <c r="K2266" s="408"/>
      <c r="L2266" s="408"/>
      <c r="M2266" s="408"/>
      <c r="N2266" s="408" t="str">
        <f t="shared" si="462"/>
        <v/>
      </c>
      <c r="O2266" s="408"/>
      <c r="P2266" s="408"/>
      <c r="Q2266" s="408"/>
      <c r="R2266" s="408"/>
      <c r="S2266" s="408"/>
      <c r="T2266" s="408"/>
      <c r="U2266" s="408"/>
      <c r="V2266" s="421"/>
      <c r="W2266" s="421"/>
      <c r="X2266" s="421"/>
      <c r="Y2266" s="421"/>
      <c r="Z2266" s="421"/>
      <c r="AA2266" s="421"/>
      <c r="AB2266" s="421"/>
      <c r="AC2266" s="421"/>
      <c r="AD2266" s="421"/>
      <c r="AE2266" s="421"/>
      <c r="AF2266" s="421"/>
      <c r="AG2266" s="421"/>
      <c r="AH2266" s="421"/>
      <c r="AI2266" s="421"/>
      <c r="AJ2266" s="421"/>
      <c r="AK2266" s="421"/>
      <c r="AL2266" s="421"/>
    </row>
    <row r="2267" spans="1:38" hidden="1">
      <c r="A2267" s="408"/>
      <c r="B2267" s="83" t="e">
        <f t="array" ref="B2267">SUM(--(FREQUENCY(IF(C$2:C$3072=C2267, MATCH(D$2:D$3072, D$2:D$3072, 0)), ROW(D$2:D$3072)-ROW(D$2)+1) &gt; 0))</f>
        <v>#N/A</v>
      </c>
      <c r="C2267" s="408"/>
      <c r="D2267" s="408"/>
      <c r="E2267" s="408"/>
      <c r="F2267" s="408"/>
      <c r="G2267" s="408"/>
      <c r="H2267" s="408"/>
      <c r="I2267" s="408"/>
      <c r="J2267" s="408"/>
      <c r="K2267" s="408"/>
      <c r="L2267" s="408"/>
      <c r="M2267" s="408"/>
      <c r="N2267" s="408" t="str">
        <f t="shared" si="462"/>
        <v/>
      </c>
      <c r="O2267" s="408"/>
      <c r="P2267" s="408"/>
      <c r="Q2267" s="408"/>
      <c r="R2267" s="408"/>
      <c r="S2267" s="408"/>
      <c r="T2267" s="408"/>
      <c r="U2267" s="408"/>
      <c r="V2267" s="421"/>
      <c r="W2267" s="421"/>
      <c r="X2267" s="421"/>
      <c r="Y2267" s="421"/>
      <c r="Z2267" s="421"/>
      <c r="AA2267" s="421"/>
      <c r="AB2267" s="421"/>
      <c r="AC2267" s="421"/>
      <c r="AD2267" s="421"/>
      <c r="AE2267" s="421"/>
      <c r="AF2267" s="421"/>
      <c r="AG2267" s="421"/>
      <c r="AH2267" s="421"/>
      <c r="AI2267" s="421"/>
      <c r="AJ2267" s="421"/>
      <c r="AK2267" s="421"/>
      <c r="AL2267" s="421"/>
    </row>
    <row r="2268" spans="1:38" hidden="1">
      <c r="A2268" s="408"/>
      <c r="B2268" s="83" t="e">
        <f t="array" ref="B2268">SUM(--(FREQUENCY(IF(C$2:C$3072=C2268, MATCH(D$2:D$3072, D$2:D$3072, 0)), ROW(D$2:D$3072)-ROW(D$2)+1) &gt; 0))</f>
        <v>#N/A</v>
      </c>
      <c r="C2268" s="408"/>
      <c r="D2268" s="408"/>
      <c r="E2268" s="408"/>
      <c r="F2268" s="408"/>
      <c r="G2268" s="408"/>
      <c r="H2268" s="408"/>
      <c r="I2268" s="408"/>
      <c r="J2268" s="408"/>
      <c r="K2268" s="408"/>
      <c r="L2268" s="408"/>
      <c r="M2268" s="408"/>
      <c r="N2268" s="408" t="str">
        <f t="shared" si="462"/>
        <v/>
      </c>
      <c r="O2268" s="408"/>
      <c r="P2268" s="408"/>
      <c r="Q2268" s="408"/>
      <c r="R2268" s="408"/>
      <c r="S2268" s="408"/>
      <c r="T2268" s="408"/>
      <c r="U2268" s="408"/>
      <c r="V2268" s="421"/>
      <c r="W2268" s="421"/>
      <c r="X2268" s="421"/>
      <c r="Y2268" s="421"/>
      <c r="Z2268" s="421"/>
      <c r="AA2268" s="421"/>
      <c r="AB2268" s="421"/>
      <c r="AC2268" s="421"/>
      <c r="AD2268" s="421"/>
      <c r="AE2268" s="421"/>
      <c r="AF2268" s="421"/>
      <c r="AG2268" s="421"/>
      <c r="AH2268" s="421"/>
      <c r="AI2268" s="421"/>
      <c r="AJ2268" s="421"/>
      <c r="AK2268" s="421"/>
      <c r="AL2268" s="421"/>
    </row>
    <row r="2269" spans="1:38" hidden="1">
      <c r="A2269" s="408"/>
      <c r="B2269" s="83" t="e">
        <f t="array" ref="B2269">SUM(--(FREQUENCY(IF(C$2:C$3072=C2269, MATCH(D$2:D$3072, D$2:D$3072, 0)), ROW(D$2:D$3072)-ROW(D$2)+1) &gt; 0))</f>
        <v>#N/A</v>
      </c>
      <c r="C2269" s="408"/>
      <c r="D2269" s="408"/>
      <c r="E2269" s="408"/>
      <c r="F2269" s="408"/>
      <c r="G2269" s="408"/>
      <c r="H2269" s="408"/>
      <c r="I2269" s="408"/>
      <c r="J2269" s="408"/>
      <c r="K2269" s="408"/>
      <c r="L2269" s="408"/>
      <c r="M2269" s="408"/>
      <c r="N2269" s="408" t="str">
        <f t="shared" si="462"/>
        <v/>
      </c>
      <c r="O2269" s="408"/>
      <c r="P2269" s="408"/>
      <c r="Q2269" s="408"/>
      <c r="R2269" s="408"/>
      <c r="S2269" s="408"/>
      <c r="T2269" s="408"/>
      <c r="U2269" s="408"/>
      <c r="V2269" s="421"/>
      <c r="W2269" s="421"/>
      <c r="X2269" s="421"/>
      <c r="Y2269" s="421"/>
      <c r="Z2269" s="421"/>
      <c r="AA2269" s="421"/>
      <c r="AB2269" s="421"/>
      <c r="AC2269" s="421"/>
      <c r="AD2269" s="421"/>
      <c r="AE2269" s="421"/>
      <c r="AF2269" s="421"/>
      <c r="AG2269" s="421"/>
      <c r="AH2269" s="421"/>
      <c r="AI2269" s="421"/>
      <c r="AJ2269" s="421"/>
      <c r="AK2269" s="421"/>
      <c r="AL2269" s="421"/>
    </row>
    <row r="2270" spans="1:38" hidden="1">
      <c r="A2270" s="408"/>
      <c r="B2270" s="83" t="e">
        <f t="array" ref="B2270">SUM(--(FREQUENCY(IF(C$2:C$3072=C2270, MATCH(D$2:D$3072, D$2:D$3072, 0)), ROW(D$2:D$3072)-ROW(D$2)+1) &gt; 0))</f>
        <v>#N/A</v>
      </c>
      <c r="C2270" s="408"/>
      <c r="D2270" s="408"/>
      <c r="E2270" s="408"/>
      <c r="F2270" s="408"/>
      <c r="G2270" s="408"/>
      <c r="H2270" s="408"/>
      <c r="I2270" s="408"/>
      <c r="J2270" s="408"/>
      <c r="K2270" s="408"/>
      <c r="L2270" s="408"/>
      <c r="M2270" s="408"/>
      <c r="N2270" s="408" t="str">
        <f t="shared" si="462"/>
        <v/>
      </c>
      <c r="O2270" s="408"/>
      <c r="P2270" s="408"/>
      <c r="Q2270" s="408"/>
      <c r="R2270" s="408"/>
      <c r="S2270" s="408"/>
      <c r="T2270" s="408"/>
      <c r="U2270" s="408"/>
      <c r="V2270" s="421"/>
      <c r="W2270" s="421"/>
      <c r="X2270" s="421"/>
      <c r="Y2270" s="421"/>
      <c r="Z2270" s="421"/>
      <c r="AA2270" s="421"/>
      <c r="AB2270" s="421"/>
      <c r="AC2270" s="421"/>
      <c r="AD2270" s="421"/>
      <c r="AE2270" s="421"/>
      <c r="AF2270" s="421"/>
      <c r="AG2270" s="421"/>
      <c r="AH2270" s="421"/>
      <c r="AI2270" s="421"/>
      <c r="AJ2270" s="421"/>
      <c r="AK2270" s="421"/>
      <c r="AL2270" s="421"/>
    </row>
    <row r="2271" spans="1:38" hidden="1">
      <c r="A2271" s="408"/>
      <c r="B2271" s="83" t="e">
        <f t="array" ref="B2271">SUM(--(FREQUENCY(IF(C$2:C$3072=C2271, MATCH(D$2:D$3072, D$2:D$3072, 0)), ROW(D$2:D$3072)-ROW(D$2)+1) &gt; 0))</f>
        <v>#N/A</v>
      </c>
      <c r="C2271" s="408"/>
      <c r="D2271" s="408"/>
      <c r="E2271" s="408"/>
      <c r="F2271" s="408"/>
      <c r="G2271" s="408"/>
      <c r="H2271" s="408"/>
      <c r="I2271" s="408"/>
      <c r="J2271" s="408"/>
      <c r="K2271" s="408"/>
      <c r="L2271" s="408"/>
      <c r="M2271" s="408"/>
      <c r="N2271" s="408" t="str">
        <f t="shared" si="462"/>
        <v/>
      </c>
      <c r="O2271" s="408"/>
      <c r="P2271" s="408"/>
      <c r="Q2271" s="408"/>
      <c r="R2271" s="408"/>
      <c r="S2271" s="408"/>
      <c r="T2271" s="408"/>
      <c r="U2271" s="408"/>
      <c r="V2271" s="421"/>
      <c r="W2271" s="421"/>
      <c r="X2271" s="421"/>
      <c r="Y2271" s="421"/>
      <c r="Z2271" s="421"/>
      <c r="AA2271" s="421"/>
      <c r="AB2271" s="421"/>
      <c r="AC2271" s="421"/>
      <c r="AD2271" s="421"/>
      <c r="AE2271" s="421"/>
      <c r="AF2271" s="421"/>
      <c r="AG2271" s="421"/>
      <c r="AH2271" s="421"/>
      <c r="AI2271" s="421"/>
      <c r="AJ2271" s="421"/>
      <c r="AK2271" s="421"/>
      <c r="AL2271" s="421"/>
    </row>
    <row r="2272" spans="1:38" hidden="1">
      <c r="A2272" s="408"/>
      <c r="B2272" s="83" t="e">
        <f t="array" ref="B2272">SUM(--(FREQUENCY(IF(C$2:C$3072=C2272, MATCH(D$2:D$3072, D$2:D$3072, 0)), ROW(D$2:D$3072)-ROW(D$2)+1) &gt; 0))</f>
        <v>#N/A</v>
      </c>
      <c r="C2272" s="408"/>
      <c r="D2272" s="408"/>
      <c r="E2272" s="408"/>
      <c r="F2272" s="408"/>
      <c r="G2272" s="408"/>
      <c r="H2272" s="408"/>
      <c r="I2272" s="408"/>
      <c r="J2272" s="408"/>
      <c r="K2272" s="408"/>
      <c r="L2272" s="408"/>
      <c r="M2272" s="408"/>
      <c r="N2272" s="408" t="str">
        <f t="shared" si="462"/>
        <v/>
      </c>
      <c r="O2272" s="408"/>
      <c r="P2272" s="408"/>
      <c r="Q2272" s="408"/>
      <c r="R2272" s="408"/>
      <c r="S2272" s="408"/>
      <c r="T2272" s="408"/>
      <c r="U2272" s="408"/>
      <c r="V2272" s="421"/>
      <c r="W2272" s="421"/>
      <c r="X2272" s="421"/>
      <c r="Y2272" s="421"/>
      <c r="Z2272" s="421"/>
      <c r="AA2272" s="421"/>
      <c r="AB2272" s="421"/>
      <c r="AC2272" s="421"/>
      <c r="AD2272" s="421"/>
      <c r="AE2272" s="421"/>
      <c r="AF2272" s="421"/>
      <c r="AG2272" s="421"/>
      <c r="AH2272" s="421"/>
      <c r="AI2272" s="421"/>
      <c r="AJ2272" s="421"/>
      <c r="AK2272" s="421"/>
      <c r="AL2272" s="421"/>
    </row>
    <row r="2273" spans="1:38" hidden="1">
      <c r="A2273" s="408"/>
      <c r="B2273" s="83" t="e">
        <f t="array" ref="B2273">SUM(--(FREQUENCY(IF(C$2:C$3072=C2273, MATCH(D$2:D$3072, D$2:D$3072, 0)), ROW(D$2:D$3072)-ROW(D$2)+1) &gt; 0))</f>
        <v>#N/A</v>
      </c>
      <c r="C2273" s="408"/>
      <c r="D2273" s="408"/>
      <c r="E2273" s="408"/>
      <c r="F2273" s="408"/>
      <c r="G2273" s="408"/>
      <c r="H2273" s="408"/>
      <c r="I2273" s="408"/>
      <c r="J2273" s="408"/>
      <c r="K2273" s="408"/>
      <c r="L2273" s="408"/>
      <c r="M2273" s="408"/>
      <c r="N2273" s="408" t="str">
        <f t="shared" si="462"/>
        <v/>
      </c>
      <c r="O2273" s="408"/>
      <c r="P2273" s="408"/>
      <c r="Q2273" s="408"/>
      <c r="R2273" s="408"/>
      <c r="S2273" s="408"/>
      <c r="T2273" s="408"/>
      <c r="U2273" s="408"/>
      <c r="V2273" s="421"/>
      <c r="W2273" s="421"/>
      <c r="X2273" s="421"/>
      <c r="Y2273" s="421"/>
      <c r="Z2273" s="421"/>
      <c r="AA2273" s="421"/>
      <c r="AB2273" s="421"/>
      <c r="AC2273" s="421"/>
      <c r="AD2273" s="421"/>
      <c r="AE2273" s="421"/>
      <c r="AF2273" s="421"/>
      <c r="AG2273" s="421"/>
      <c r="AH2273" s="421"/>
      <c r="AI2273" s="421"/>
      <c r="AJ2273" s="421"/>
      <c r="AK2273" s="421"/>
      <c r="AL2273" s="421"/>
    </row>
    <row r="2274" spans="1:38" hidden="1">
      <c r="A2274" s="408"/>
      <c r="B2274" s="83" t="e">
        <f t="array" ref="B2274">SUM(--(FREQUENCY(IF(C$2:C$3072=C2274, MATCH(D$2:D$3072, D$2:D$3072, 0)), ROW(D$2:D$3072)-ROW(D$2)+1) &gt; 0))</f>
        <v>#N/A</v>
      </c>
      <c r="C2274" s="408"/>
      <c r="D2274" s="408"/>
      <c r="E2274" s="408"/>
      <c r="F2274" s="408"/>
      <c r="G2274" s="408"/>
      <c r="H2274" s="408"/>
      <c r="I2274" s="408"/>
      <c r="J2274" s="408"/>
      <c r="K2274" s="408"/>
      <c r="L2274" s="408"/>
      <c r="M2274" s="408"/>
      <c r="N2274" s="408" t="str">
        <f t="shared" si="462"/>
        <v/>
      </c>
      <c r="O2274" s="408"/>
      <c r="P2274" s="408"/>
      <c r="Q2274" s="408"/>
      <c r="R2274" s="408"/>
      <c r="S2274" s="408"/>
      <c r="T2274" s="408"/>
      <c r="U2274" s="408"/>
      <c r="V2274" s="421"/>
      <c r="W2274" s="421"/>
      <c r="X2274" s="421"/>
      <c r="Y2274" s="421"/>
      <c r="Z2274" s="421"/>
      <c r="AA2274" s="421"/>
      <c r="AB2274" s="421"/>
      <c r="AC2274" s="421"/>
      <c r="AD2274" s="421"/>
      <c r="AE2274" s="421"/>
      <c r="AF2274" s="421"/>
      <c r="AG2274" s="421"/>
      <c r="AH2274" s="421"/>
      <c r="AI2274" s="421"/>
      <c r="AJ2274" s="421"/>
      <c r="AK2274" s="421"/>
      <c r="AL2274" s="421"/>
    </row>
    <row r="2275" spans="1:38" hidden="1">
      <c r="A2275" s="408"/>
      <c r="B2275" s="83" t="e">
        <f t="array" ref="B2275">SUM(--(FREQUENCY(IF(C$2:C$3072=C2275, MATCH(D$2:D$3072, D$2:D$3072, 0)), ROW(D$2:D$3072)-ROW(D$2)+1) &gt; 0))</f>
        <v>#N/A</v>
      </c>
      <c r="C2275" s="408"/>
      <c r="D2275" s="408"/>
      <c r="E2275" s="408"/>
      <c r="F2275" s="408"/>
      <c r="G2275" s="408"/>
      <c r="H2275" s="408"/>
      <c r="I2275" s="408"/>
      <c r="J2275" s="408"/>
      <c r="K2275" s="408"/>
      <c r="L2275" s="408"/>
      <c r="M2275" s="408"/>
      <c r="N2275" s="408" t="str">
        <f t="shared" si="462"/>
        <v/>
      </c>
      <c r="O2275" s="408"/>
      <c r="P2275" s="408"/>
      <c r="Q2275" s="408"/>
      <c r="R2275" s="408"/>
      <c r="S2275" s="408"/>
      <c r="T2275" s="408"/>
      <c r="U2275" s="408"/>
      <c r="V2275" s="421"/>
      <c r="W2275" s="421"/>
      <c r="X2275" s="421"/>
      <c r="Y2275" s="421"/>
      <c r="Z2275" s="421"/>
      <c r="AA2275" s="421"/>
      <c r="AB2275" s="421"/>
      <c r="AC2275" s="421"/>
      <c r="AD2275" s="421"/>
      <c r="AE2275" s="421"/>
      <c r="AF2275" s="421"/>
      <c r="AG2275" s="421"/>
      <c r="AH2275" s="421"/>
      <c r="AI2275" s="421"/>
      <c r="AJ2275" s="421"/>
      <c r="AK2275" s="421"/>
      <c r="AL2275" s="421"/>
    </row>
    <row r="2276" spans="1:38" hidden="1">
      <c r="A2276" s="408"/>
      <c r="B2276" s="83" t="e">
        <f t="array" ref="B2276">SUM(--(FREQUENCY(IF(C$2:C$3072=C2276, MATCH(D$2:D$3072, D$2:D$3072, 0)), ROW(D$2:D$3072)-ROW(D$2)+1) &gt; 0))</f>
        <v>#N/A</v>
      </c>
      <c r="C2276" s="408"/>
      <c r="D2276" s="408"/>
      <c r="E2276" s="408"/>
      <c r="F2276" s="408"/>
      <c r="G2276" s="408"/>
      <c r="H2276" s="408"/>
      <c r="I2276" s="408"/>
      <c r="J2276" s="408"/>
      <c r="K2276" s="408"/>
      <c r="L2276" s="408"/>
      <c r="M2276" s="408"/>
      <c r="N2276" s="408" t="str">
        <f t="shared" si="462"/>
        <v/>
      </c>
      <c r="O2276" s="408"/>
      <c r="P2276" s="408"/>
      <c r="Q2276" s="408"/>
      <c r="R2276" s="408"/>
      <c r="S2276" s="408"/>
      <c r="T2276" s="408"/>
      <c r="U2276" s="408"/>
      <c r="V2276" s="421"/>
      <c r="W2276" s="421"/>
      <c r="X2276" s="421"/>
      <c r="Y2276" s="421"/>
      <c r="Z2276" s="421"/>
      <c r="AA2276" s="421"/>
      <c r="AB2276" s="421"/>
      <c r="AC2276" s="421"/>
      <c r="AD2276" s="421"/>
      <c r="AE2276" s="421"/>
      <c r="AF2276" s="421"/>
      <c r="AG2276" s="421"/>
      <c r="AH2276" s="421"/>
      <c r="AI2276" s="421"/>
      <c r="AJ2276" s="421"/>
      <c r="AK2276" s="421"/>
      <c r="AL2276" s="421"/>
    </row>
    <row r="2277" spans="1:38" hidden="1">
      <c r="A2277" s="408"/>
      <c r="B2277" s="83" t="e">
        <f t="array" ref="B2277">SUM(--(FREQUENCY(IF(C$2:C$3072=C2277, MATCH(D$2:D$3072, D$2:D$3072, 0)), ROW(D$2:D$3072)-ROW(D$2)+1) &gt; 0))</f>
        <v>#N/A</v>
      </c>
      <c r="C2277" s="408"/>
      <c r="D2277" s="408"/>
      <c r="E2277" s="408"/>
      <c r="F2277" s="408"/>
      <c r="G2277" s="408"/>
      <c r="H2277" s="408"/>
      <c r="I2277" s="408"/>
      <c r="J2277" s="408"/>
      <c r="K2277" s="408"/>
      <c r="L2277" s="408"/>
      <c r="M2277" s="408"/>
      <c r="N2277" s="408" t="str">
        <f t="shared" si="462"/>
        <v/>
      </c>
      <c r="O2277" s="408"/>
      <c r="P2277" s="408"/>
      <c r="Q2277" s="408"/>
      <c r="R2277" s="408"/>
      <c r="S2277" s="408"/>
      <c r="T2277" s="408"/>
      <c r="U2277" s="408"/>
      <c r="V2277" s="421"/>
      <c r="W2277" s="421"/>
      <c r="X2277" s="421"/>
      <c r="Y2277" s="421"/>
      <c r="Z2277" s="421"/>
      <c r="AA2277" s="421"/>
      <c r="AB2277" s="421"/>
      <c r="AC2277" s="421"/>
      <c r="AD2277" s="421"/>
      <c r="AE2277" s="421"/>
      <c r="AF2277" s="421"/>
      <c r="AG2277" s="421"/>
      <c r="AH2277" s="421"/>
      <c r="AI2277" s="421"/>
      <c r="AJ2277" s="421"/>
      <c r="AK2277" s="421"/>
      <c r="AL2277" s="421"/>
    </row>
    <row r="2278" spans="1:38" hidden="1">
      <c r="A2278" s="408"/>
      <c r="B2278" s="83" t="e">
        <f t="array" ref="B2278">SUM(--(FREQUENCY(IF(C$2:C$3072=C2278, MATCH(D$2:D$3072, D$2:D$3072, 0)), ROW(D$2:D$3072)-ROW(D$2)+1) &gt; 0))</f>
        <v>#N/A</v>
      </c>
      <c r="C2278" s="408"/>
      <c r="D2278" s="408"/>
      <c r="E2278" s="408"/>
      <c r="F2278" s="408"/>
      <c r="G2278" s="408"/>
      <c r="H2278" s="408"/>
      <c r="I2278" s="408"/>
      <c r="J2278" s="408"/>
      <c r="K2278" s="408"/>
      <c r="L2278" s="408"/>
      <c r="M2278" s="408"/>
      <c r="N2278" s="408" t="str">
        <f t="shared" si="462"/>
        <v/>
      </c>
      <c r="O2278" s="408"/>
      <c r="P2278" s="408"/>
      <c r="Q2278" s="408"/>
      <c r="R2278" s="408"/>
      <c r="S2278" s="408"/>
      <c r="T2278" s="408"/>
      <c r="U2278" s="408"/>
      <c r="V2278" s="421"/>
      <c r="W2278" s="421"/>
      <c r="X2278" s="421"/>
      <c r="Y2278" s="421"/>
      <c r="Z2278" s="421"/>
      <c r="AA2278" s="421"/>
      <c r="AB2278" s="421"/>
      <c r="AC2278" s="421"/>
      <c r="AD2278" s="421"/>
      <c r="AE2278" s="421"/>
      <c r="AF2278" s="421"/>
      <c r="AG2278" s="421"/>
      <c r="AH2278" s="421"/>
      <c r="AI2278" s="421"/>
      <c r="AJ2278" s="421"/>
      <c r="AK2278" s="421"/>
      <c r="AL2278" s="421"/>
    </row>
    <row r="2279" spans="1:38" hidden="1">
      <c r="A2279" s="408"/>
      <c r="B2279" s="83" t="e">
        <f t="array" ref="B2279">SUM(--(FREQUENCY(IF(C$2:C$3072=C2279, MATCH(D$2:D$3072, D$2:D$3072, 0)), ROW(D$2:D$3072)-ROW(D$2)+1) &gt; 0))</f>
        <v>#N/A</v>
      </c>
      <c r="C2279" s="408"/>
      <c r="D2279" s="408"/>
      <c r="E2279" s="408"/>
      <c r="F2279" s="408"/>
      <c r="G2279" s="408"/>
      <c r="H2279" s="408"/>
      <c r="I2279" s="408"/>
      <c r="J2279" s="408"/>
      <c r="K2279" s="408"/>
      <c r="L2279" s="408"/>
      <c r="M2279" s="408"/>
      <c r="N2279" s="408" t="str">
        <f t="shared" si="462"/>
        <v/>
      </c>
      <c r="O2279" s="408"/>
      <c r="P2279" s="408"/>
      <c r="Q2279" s="408"/>
      <c r="R2279" s="408"/>
      <c r="S2279" s="408"/>
      <c r="T2279" s="408"/>
      <c r="U2279" s="408"/>
      <c r="V2279" s="421"/>
      <c r="W2279" s="421"/>
      <c r="X2279" s="421"/>
      <c r="Y2279" s="421"/>
      <c r="Z2279" s="421"/>
      <c r="AA2279" s="421"/>
      <c r="AB2279" s="421"/>
      <c r="AC2279" s="421"/>
      <c r="AD2279" s="421"/>
      <c r="AE2279" s="421"/>
      <c r="AF2279" s="421"/>
      <c r="AG2279" s="421"/>
      <c r="AH2279" s="421"/>
      <c r="AI2279" s="421"/>
      <c r="AJ2279" s="421"/>
      <c r="AK2279" s="421"/>
      <c r="AL2279" s="421"/>
    </row>
    <row r="2280" spans="1:38" hidden="1">
      <c r="A2280" s="408"/>
      <c r="B2280" s="83" t="e">
        <f t="array" ref="B2280">SUM(--(FREQUENCY(IF(C$2:C$3072=C2280, MATCH(D$2:D$3072, D$2:D$3072, 0)), ROW(D$2:D$3072)-ROW(D$2)+1) &gt; 0))</f>
        <v>#N/A</v>
      </c>
      <c r="C2280" s="408"/>
      <c r="D2280" s="408"/>
      <c r="E2280" s="408"/>
      <c r="F2280" s="408"/>
      <c r="G2280" s="408"/>
      <c r="H2280" s="408"/>
      <c r="I2280" s="408"/>
      <c r="J2280" s="408"/>
      <c r="K2280" s="408"/>
      <c r="L2280" s="408"/>
      <c r="M2280" s="408"/>
      <c r="N2280" s="408" t="str">
        <f t="shared" si="462"/>
        <v/>
      </c>
      <c r="O2280" s="408"/>
      <c r="P2280" s="408"/>
      <c r="Q2280" s="408"/>
      <c r="R2280" s="408"/>
      <c r="S2280" s="408"/>
      <c r="T2280" s="408"/>
      <c r="U2280" s="408"/>
      <c r="V2280" s="421"/>
      <c r="W2280" s="421"/>
      <c r="X2280" s="421"/>
      <c r="Y2280" s="421"/>
      <c r="Z2280" s="421"/>
      <c r="AA2280" s="421"/>
      <c r="AB2280" s="421"/>
      <c r="AC2280" s="421"/>
      <c r="AD2280" s="421"/>
      <c r="AE2280" s="421"/>
      <c r="AF2280" s="421"/>
      <c r="AG2280" s="421"/>
      <c r="AH2280" s="421"/>
      <c r="AI2280" s="421"/>
      <c r="AJ2280" s="421"/>
      <c r="AK2280" s="421"/>
      <c r="AL2280" s="421"/>
    </row>
    <row r="2281" spans="1:38" hidden="1">
      <c r="A2281" s="408"/>
      <c r="B2281" s="83" t="e">
        <f t="array" ref="B2281">SUM(--(FREQUENCY(IF(C$2:C$3072=C2281, MATCH(D$2:D$3072, D$2:D$3072, 0)), ROW(D$2:D$3072)-ROW(D$2)+1) &gt; 0))</f>
        <v>#N/A</v>
      </c>
      <c r="C2281" s="408"/>
      <c r="D2281" s="408"/>
      <c r="E2281" s="408"/>
      <c r="F2281" s="408"/>
      <c r="G2281" s="408"/>
      <c r="H2281" s="408"/>
      <c r="I2281" s="408"/>
      <c r="J2281" s="408"/>
      <c r="K2281" s="408"/>
      <c r="L2281" s="408"/>
      <c r="M2281" s="408"/>
      <c r="N2281" s="408" t="str">
        <f t="shared" si="462"/>
        <v/>
      </c>
      <c r="O2281" s="408"/>
      <c r="P2281" s="408"/>
      <c r="Q2281" s="408"/>
      <c r="R2281" s="408"/>
      <c r="S2281" s="408"/>
      <c r="T2281" s="408"/>
      <c r="U2281" s="408"/>
      <c r="V2281" s="421"/>
      <c r="W2281" s="421"/>
      <c r="X2281" s="421"/>
      <c r="Y2281" s="421"/>
      <c r="Z2281" s="421"/>
      <c r="AA2281" s="421"/>
      <c r="AB2281" s="421"/>
      <c r="AC2281" s="421"/>
      <c r="AD2281" s="421"/>
      <c r="AE2281" s="421"/>
      <c r="AF2281" s="421"/>
      <c r="AG2281" s="421"/>
      <c r="AH2281" s="421"/>
      <c r="AI2281" s="421"/>
      <c r="AJ2281" s="421"/>
      <c r="AK2281" s="421"/>
      <c r="AL2281" s="421"/>
    </row>
    <row r="2282" spans="1:38" hidden="1">
      <c r="A2282" s="408"/>
      <c r="B2282" s="83" t="e">
        <f t="array" ref="B2282">SUM(--(FREQUENCY(IF(C$2:C$3072=C2282, MATCH(D$2:D$3072, D$2:D$3072, 0)), ROW(D$2:D$3072)-ROW(D$2)+1) &gt; 0))</f>
        <v>#N/A</v>
      </c>
      <c r="C2282" s="408"/>
      <c r="D2282" s="408"/>
      <c r="E2282" s="408"/>
      <c r="F2282" s="408"/>
      <c r="G2282" s="408"/>
      <c r="H2282" s="408"/>
      <c r="I2282" s="408"/>
      <c r="J2282" s="408"/>
      <c r="K2282" s="408"/>
      <c r="L2282" s="408"/>
      <c r="M2282" s="408"/>
      <c r="N2282" s="408" t="str">
        <f t="shared" si="462"/>
        <v/>
      </c>
      <c r="O2282" s="408"/>
      <c r="P2282" s="408"/>
      <c r="Q2282" s="408"/>
      <c r="R2282" s="408"/>
      <c r="S2282" s="408"/>
      <c r="T2282" s="408"/>
      <c r="U2282" s="408"/>
      <c r="V2282" s="421"/>
      <c r="W2282" s="421"/>
      <c r="X2282" s="421"/>
      <c r="Y2282" s="421"/>
      <c r="Z2282" s="421"/>
      <c r="AA2282" s="421"/>
      <c r="AB2282" s="421"/>
      <c r="AC2282" s="421"/>
      <c r="AD2282" s="421"/>
      <c r="AE2282" s="421"/>
      <c r="AF2282" s="421"/>
      <c r="AG2282" s="421"/>
      <c r="AH2282" s="421"/>
      <c r="AI2282" s="421"/>
      <c r="AJ2282" s="421"/>
      <c r="AK2282" s="421"/>
      <c r="AL2282" s="421"/>
    </row>
    <row r="2283" spans="1:38" hidden="1">
      <c r="A2283" s="408"/>
      <c r="B2283" s="83" t="e">
        <f t="array" ref="B2283">SUM(--(FREQUENCY(IF(C$2:C$3072=C2283, MATCH(D$2:D$3072, D$2:D$3072, 0)), ROW(D$2:D$3072)-ROW(D$2)+1) &gt; 0))</f>
        <v>#N/A</v>
      </c>
      <c r="C2283" s="408"/>
      <c r="D2283" s="408"/>
      <c r="E2283" s="408"/>
      <c r="F2283" s="408"/>
      <c r="G2283" s="408"/>
      <c r="H2283" s="408"/>
      <c r="I2283" s="408"/>
      <c r="J2283" s="408"/>
      <c r="K2283" s="408"/>
      <c r="L2283" s="408"/>
      <c r="M2283" s="408"/>
      <c r="N2283" s="408" t="str">
        <f t="shared" si="462"/>
        <v/>
      </c>
      <c r="O2283" s="408"/>
      <c r="P2283" s="408"/>
      <c r="Q2283" s="408"/>
      <c r="R2283" s="408"/>
      <c r="S2283" s="408"/>
      <c r="T2283" s="408"/>
      <c r="U2283" s="408"/>
      <c r="V2283" s="421"/>
      <c r="W2283" s="421"/>
      <c r="X2283" s="421"/>
      <c r="Y2283" s="421"/>
      <c r="Z2283" s="421"/>
      <c r="AA2283" s="421"/>
      <c r="AB2283" s="421"/>
      <c r="AC2283" s="421"/>
      <c r="AD2283" s="421"/>
      <c r="AE2283" s="421"/>
      <c r="AF2283" s="421"/>
      <c r="AG2283" s="421"/>
      <c r="AH2283" s="421"/>
      <c r="AI2283" s="421"/>
      <c r="AJ2283" s="421"/>
      <c r="AK2283" s="421"/>
      <c r="AL2283" s="421"/>
    </row>
    <row r="2284" spans="1:38" hidden="1">
      <c r="A2284" s="408"/>
      <c r="B2284" s="83" t="e">
        <f t="array" ref="B2284">SUM(--(FREQUENCY(IF(C$2:C$3072=C2284, MATCH(D$2:D$3072, D$2:D$3072, 0)), ROW(D$2:D$3072)-ROW(D$2)+1) &gt; 0))</f>
        <v>#N/A</v>
      </c>
      <c r="C2284" s="408"/>
      <c r="D2284" s="408"/>
      <c r="E2284" s="408"/>
      <c r="F2284" s="408"/>
      <c r="G2284" s="408"/>
      <c r="H2284" s="408"/>
      <c r="I2284" s="408"/>
      <c r="J2284" s="408"/>
      <c r="K2284" s="408"/>
      <c r="L2284" s="408"/>
      <c r="M2284" s="408"/>
      <c r="N2284" s="408" t="str">
        <f t="shared" si="462"/>
        <v/>
      </c>
      <c r="O2284" s="408"/>
      <c r="P2284" s="408"/>
      <c r="Q2284" s="408"/>
      <c r="R2284" s="408"/>
      <c r="S2284" s="408"/>
      <c r="T2284" s="408"/>
      <c r="U2284" s="408"/>
      <c r="V2284" s="421"/>
      <c r="W2284" s="421"/>
      <c r="X2284" s="421"/>
      <c r="Y2284" s="421"/>
      <c r="Z2284" s="421"/>
      <c r="AA2284" s="421"/>
      <c r="AB2284" s="421"/>
      <c r="AC2284" s="421"/>
      <c r="AD2284" s="421"/>
      <c r="AE2284" s="421"/>
      <c r="AF2284" s="421"/>
      <c r="AG2284" s="421"/>
      <c r="AH2284" s="421"/>
      <c r="AI2284" s="421"/>
      <c r="AJ2284" s="421"/>
      <c r="AK2284" s="421"/>
      <c r="AL2284" s="421"/>
    </row>
    <row r="2285" spans="1:38" hidden="1">
      <c r="A2285" s="408"/>
      <c r="B2285" s="83" t="e">
        <f t="array" ref="B2285">SUM(--(FREQUENCY(IF(C$2:C$3072=C2285, MATCH(D$2:D$3072, D$2:D$3072, 0)), ROW(D$2:D$3072)-ROW(D$2)+1) &gt; 0))</f>
        <v>#N/A</v>
      </c>
      <c r="C2285" s="408"/>
      <c r="D2285" s="408"/>
      <c r="E2285" s="408"/>
      <c r="F2285" s="408"/>
      <c r="G2285" s="408"/>
      <c r="H2285" s="408"/>
      <c r="I2285" s="408"/>
      <c r="J2285" s="408"/>
      <c r="K2285" s="408"/>
      <c r="L2285" s="408"/>
      <c r="M2285" s="408"/>
      <c r="N2285" s="408" t="str">
        <f t="shared" si="462"/>
        <v/>
      </c>
      <c r="O2285" s="408"/>
      <c r="P2285" s="408"/>
      <c r="Q2285" s="408"/>
      <c r="R2285" s="408"/>
      <c r="S2285" s="408"/>
      <c r="T2285" s="408"/>
      <c r="U2285" s="408"/>
      <c r="V2285" s="421"/>
      <c r="W2285" s="421"/>
      <c r="X2285" s="421"/>
      <c r="Y2285" s="421"/>
      <c r="Z2285" s="421"/>
      <c r="AA2285" s="421"/>
      <c r="AB2285" s="421"/>
      <c r="AC2285" s="421"/>
      <c r="AD2285" s="421"/>
      <c r="AE2285" s="421"/>
      <c r="AF2285" s="421"/>
      <c r="AG2285" s="421"/>
      <c r="AH2285" s="421"/>
      <c r="AI2285" s="421"/>
      <c r="AJ2285" s="421"/>
      <c r="AK2285" s="421"/>
      <c r="AL2285" s="421"/>
    </row>
    <row r="2286" spans="1:38" hidden="1">
      <c r="A2286" s="408"/>
      <c r="B2286" s="83" t="e">
        <f t="array" ref="B2286">SUM(--(FREQUENCY(IF(C$2:C$3072=C2286, MATCH(D$2:D$3072, D$2:D$3072, 0)), ROW(D$2:D$3072)-ROW(D$2)+1) &gt; 0))</f>
        <v>#N/A</v>
      </c>
      <c r="C2286" s="408"/>
      <c r="D2286" s="408"/>
      <c r="E2286" s="408"/>
      <c r="F2286" s="408"/>
      <c r="G2286" s="408"/>
      <c r="H2286" s="408"/>
      <c r="I2286" s="408"/>
      <c r="J2286" s="408"/>
      <c r="K2286" s="408"/>
      <c r="L2286" s="408"/>
      <c r="M2286" s="408"/>
      <c r="N2286" s="408" t="str">
        <f t="shared" si="462"/>
        <v/>
      </c>
      <c r="O2286" s="408"/>
      <c r="P2286" s="408"/>
      <c r="Q2286" s="408"/>
      <c r="R2286" s="408"/>
      <c r="S2286" s="408"/>
      <c r="T2286" s="408"/>
      <c r="U2286" s="408"/>
      <c r="V2286" s="421"/>
      <c r="W2286" s="421"/>
      <c r="X2286" s="421"/>
      <c r="Y2286" s="421"/>
      <c r="Z2286" s="421"/>
      <c r="AA2286" s="421"/>
      <c r="AB2286" s="421"/>
      <c r="AC2286" s="421"/>
      <c r="AD2286" s="421"/>
      <c r="AE2286" s="421"/>
      <c r="AF2286" s="421"/>
      <c r="AG2286" s="421"/>
      <c r="AH2286" s="421"/>
      <c r="AI2286" s="421"/>
      <c r="AJ2286" s="421"/>
      <c r="AK2286" s="421"/>
      <c r="AL2286" s="421"/>
    </row>
    <row r="2287" spans="1:38" hidden="1">
      <c r="A2287" s="408"/>
      <c r="B2287" s="83" t="e">
        <f t="array" ref="B2287">SUM(--(FREQUENCY(IF(C$2:C$3072=C2287, MATCH(D$2:D$3072, D$2:D$3072, 0)), ROW(D$2:D$3072)-ROW(D$2)+1) &gt; 0))</f>
        <v>#N/A</v>
      </c>
      <c r="C2287" s="408"/>
      <c r="D2287" s="408"/>
      <c r="E2287" s="408"/>
      <c r="F2287" s="408"/>
      <c r="G2287" s="408"/>
      <c r="H2287" s="408"/>
      <c r="I2287" s="408"/>
      <c r="J2287" s="408"/>
      <c r="K2287" s="408"/>
      <c r="L2287" s="408"/>
      <c r="M2287" s="408"/>
      <c r="N2287" s="408" t="str">
        <f t="shared" si="462"/>
        <v/>
      </c>
      <c r="O2287" s="408"/>
      <c r="P2287" s="408"/>
      <c r="Q2287" s="408"/>
      <c r="R2287" s="408"/>
      <c r="S2287" s="408"/>
      <c r="T2287" s="408"/>
      <c r="U2287" s="408"/>
      <c r="V2287" s="421"/>
      <c r="W2287" s="421"/>
      <c r="X2287" s="421"/>
      <c r="Y2287" s="421"/>
      <c r="Z2287" s="421"/>
      <c r="AA2287" s="421"/>
      <c r="AB2287" s="421"/>
      <c r="AC2287" s="421"/>
      <c r="AD2287" s="421"/>
      <c r="AE2287" s="421"/>
      <c r="AF2287" s="421"/>
      <c r="AG2287" s="421"/>
      <c r="AH2287" s="421"/>
      <c r="AI2287" s="421"/>
      <c r="AJ2287" s="421"/>
      <c r="AK2287" s="421"/>
      <c r="AL2287" s="421"/>
    </row>
    <row r="2288" spans="1:38" hidden="1">
      <c r="A2288" s="408"/>
      <c r="B2288" s="83" t="e">
        <f t="array" ref="B2288">SUM(--(FREQUENCY(IF(C$2:C$3072=C2288, MATCH(D$2:D$3072, D$2:D$3072, 0)), ROW(D$2:D$3072)-ROW(D$2)+1) &gt; 0))</f>
        <v>#N/A</v>
      </c>
      <c r="C2288" s="408"/>
      <c r="D2288" s="408"/>
      <c r="E2288" s="408"/>
      <c r="F2288" s="408"/>
      <c r="G2288" s="408"/>
      <c r="H2288" s="408"/>
      <c r="I2288" s="408"/>
      <c r="J2288" s="408"/>
      <c r="K2288" s="408"/>
      <c r="L2288" s="408"/>
      <c r="M2288" s="408"/>
      <c r="N2288" s="408" t="str">
        <f t="shared" si="462"/>
        <v/>
      </c>
      <c r="O2288" s="408"/>
      <c r="P2288" s="408"/>
      <c r="Q2288" s="408"/>
      <c r="R2288" s="408"/>
      <c r="S2288" s="408"/>
      <c r="T2288" s="408"/>
      <c r="U2288" s="408"/>
      <c r="V2288" s="421"/>
      <c r="W2288" s="421"/>
      <c r="X2288" s="421"/>
      <c r="Y2288" s="421"/>
      <c r="Z2288" s="421"/>
      <c r="AA2288" s="421"/>
      <c r="AB2288" s="421"/>
      <c r="AC2288" s="421"/>
      <c r="AD2288" s="421"/>
      <c r="AE2288" s="421"/>
      <c r="AF2288" s="421"/>
      <c r="AG2288" s="421"/>
      <c r="AH2288" s="421"/>
      <c r="AI2288" s="421"/>
      <c r="AJ2288" s="421"/>
      <c r="AK2288" s="421"/>
      <c r="AL2288" s="421"/>
    </row>
    <row r="2289" spans="1:38" hidden="1">
      <c r="A2289" s="408"/>
      <c r="B2289" s="83" t="e">
        <f t="array" ref="B2289">SUM(--(FREQUENCY(IF(C$2:C$3072=C2289, MATCH(D$2:D$3072, D$2:D$3072, 0)), ROW(D$2:D$3072)-ROW(D$2)+1) &gt; 0))</f>
        <v>#N/A</v>
      </c>
      <c r="C2289" s="408"/>
      <c r="D2289" s="408"/>
      <c r="E2289" s="408"/>
      <c r="F2289" s="408"/>
      <c r="G2289" s="408"/>
      <c r="H2289" s="408"/>
      <c r="I2289" s="408"/>
      <c r="J2289" s="408"/>
      <c r="K2289" s="408"/>
      <c r="L2289" s="408"/>
      <c r="M2289" s="408"/>
      <c r="N2289" s="408" t="str">
        <f t="shared" si="462"/>
        <v/>
      </c>
      <c r="O2289" s="408"/>
      <c r="P2289" s="408"/>
      <c r="Q2289" s="408"/>
      <c r="R2289" s="408"/>
      <c r="S2289" s="408"/>
      <c r="T2289" s="408"/>
      <c r="U2289" s="408"/>
      <c r="V2289" s="421"/>
      <c r="W2289" s="421"/>
      <c r="X2289" s="421"/>
      <c r="Y2289" s="421"/>
      <c r="Z2289" s="421"/>
      <c r="AA2289" s="421"/>
      <c r="AB2289" s="421"/>
      <c r="AC2289" s="421"/>
      <c r="AD2289" s="421"/>
      <c r="AE2289" s="421"/>
      <c r="AF2289" s="421"/>
      <c r="AG2289" s="421"/>
      <c r="AH2289" s="421"/>
      <c r="AI2289" s="421"/>
      <c r="AJ2289" s="421"/>
      <c r="AK2289" s="421"/>
      <c r="AL2289" s="421"/>
    </row>
    <row r="2290" spans="1:38" hidden="1">
      <c r="A2290" s="408"/>
      <c r="B2290" s="83" t="e">
        <f t="array" ref="B2290">SUM(--(FREQUENCY(IF(C$2:C$3072=C2290, MATCH(D$2:D$3072, D$2:D$3072, 0)), ROW(D$2:D$3072)-ROW(D$2)+1) &gt; 0))</f>
        <v>#N/A</v>
      </c>
      <c r="C2290" s="408"/>
      <c r="D2290" s="408"/>
      <c r="E2290" s="408"/>
      <c r="F2290" s="408"/>
      <c r="G2290" s="408"/>
      <c r="H2290" s="408"/>
      <c r="I2290" s="408"/>
      <c r="J2290" s="408"/>
      <c r="K2290" s="408"/>
      <c r="L2290" s="408"/>
      <c r="M2290" s="408"/>
      <c r="N2290" s="408" t="str">
        <f t="shared" si="462"/>
        <v/>
      </c>
      <c r="O2290" s="408"/>
      <c r="P2290" s="408"/>
      <c r="Q2290" s="408"/>
      <c r="R2290" s="408"/>
      <c r="S2290" s="408"/>
      <c r="T2290" s="408"/>
      <c r="U2290" s="408"/>
      <c r="V2290" s="421"/>
      <c r="W2290" s="421"/>
      <c r="X2290" s="421"/>
      <c r="Y2290" s="421"/>
      <c r="Z2290" s="421"/>
      <c r="AA2290" s="421"/>
      <c r="AB2290" s="421"/>
      <c r="AC2290" s="421"/>
      <c r="AD2290" s="421"/>
      <c r="AE2290" s="421"/>
      <c r="AF2290" s="421"/>
      <c r="AG2290" s="421"/>
      <c r="AH2290" s="421"/>
      <c r="AI2290" s="421"/>
      <c r="AJ2290" s="421"/>
      <c r="AK2290" s="421"/>
      <c r="AL2290" s="421"/>
    </row>
    <row r="2291" spans="1:38" hidden="1">
      <c r="A2291" s="408"/>
      <c r="B2291" s="83" t="e">
        <f t="array" ref="B2291">SUM(--(FREQUENCY(IF(C$2:C$3072=C2291, MATCH(D$2:D$3072, D$2:D$3072, 0)), ROW(D$2:D$3072)-ROW(D$2)+1) &gt; 0))</f>
        <v>#N/A</v>
      </c>
      <c r="C2291" s="408"/>
      <c r="D2291" s="408"/>
      <c r="E2291" s="408"/>
      <c r="F2291" s="408"/>
      <c r="G2291" s="408"/>
      <c r="H2291" s="408"/>
      <c r="I2291" s="408"/>
      <c r="J2291" s="408"/>
      <c r="K2291" s="408"/>
      <c r="L2291" s="408"/>
      <c r="M2291" s="408"/>
      <c r="N2291" s="408" t="str">
        <f t="shared" si="462"/>
        <v/>
      </c>
      <c r="O2291" s="408"/>
      <c r="P2291" s="408"/>
      <c r="Q2291" s="408"/>
      <c r="R2291" s="408"/>
      <c r="S2291" s="408"/>
      <c r="T2291" s="408"/>
      <c r="U2291" s="408"/>
      <c r="V2291" s="421"/>
      <c r="W2291" s="421"/>
      <c r="X2291" s="421"/>
      <c r="Y2291" s="421"/>
      <c r="Z2291" s="421"/>
      <c r="AA2291" s="421"/>
      <c r="AB2291" s="421"/>
      <c r="AC2291" s="421"/>
      <c r="AD2291" s="421"/>
      <c r="AE2291" s="421"/>
      <c r="AF2291" s="421"/>
      <c r="AG2291" s="421"/>
      <c r="AH2291" s="421"/>
      <c r="AI2291" s="421"/>
      <c r="AJ2291" s="421"/>
      <c r="AK2291" s="421"/>
      <c r="AL2291" s="421"/>
    </row>
    <row r="2292" spans="1:38" hidden="1">
      <c r="A2292" s="408"/>
      <c r="B2292" s="83" t="e">
        <f t="array" ref="B2292">SUM(--(FREQUENCY(IF(C$2:C$3072=C2292, MATCH(D$2:D$3072, D$2:D$3072, 0)), ROW(D$2:D$3072)-ROW(D$2)+1) &gt; 0))</f>
        <v>#N/A</v>
      </c>
      <c r="C2292" s="408"/>
      <c r="D2292" s="408"/>
      <c r="E2292" s="408"/>
      <c r="F2292" s="408"/>
      <c r="G2292" s="408"/>
      <c r="H2292" s="408"/>
      <c r="I2292" s="408"/>
      <c r="J2292" s="408"/>
      <c r="K2292" s="408"/>
      <c r="L2292" s="408"/>
      <c r="M2292" s="408"/>
      <c r="N2292" s="408" t="str">
        <f t="shared" si="462"/>
        <v/>
      </c>
      <c r="O2292" s="408"/>
      <c r="P2292" s="408"/>
      <c r="Q2292" s="408"/>
      <c r="R2292" s="408"/>
      <c r="S2292" s="408"/>
      <c r="T2292" s="408"/>
      <c r="U2292" s="408"/>
      <c r="V2292" s="421"/>
      <c r="W2292" s="421"/>
      <c r="X2292" s="421"/>
      <c r="Y2292" s="421"/>
      <c r="Z2292" s="421"/>
      <c r="AA2292" s="421"/>
      <c r="AB2292" s="421"/>
      <c r="AC2292" s="421"/>
      <c r="AD2292" s="421"/>
      <c r="AE2292" s="421"/>
      <c r="AF2292" s="421"/>
      <c r="AG2292" s="421"/>
      <c r="AH2292" s="421"/>
      <c r="AI2292" s="421"/>
      <c r="AJ2292" s="421"/>
      <c r="AK2292" s="421"/>
      <c r="AL2292" s="421"/>
    </row>
    <row r="2293" spans="1:38" hidden="1">
      <c r="A2293" s="408"/>
      <c r="B2293" s="83" t="e">
        <f t="array" ref="B2293">SUM(--(FREQUENCY(IF(C$2:C$3072=C2293, MATCH(D$2:D$3072, D$2:D$3072, 0)), ROW(D$2:D$3072)-ROW(D$2)+1) &gt; 0))</f>
        <v>#N/A</v>
      </c>
      <c r="C2293" s="408"/>
      <c r="D2293" s="408"/>
      <c r="E2293" s="408"/>
      <c r="F2293" s="408"/>
      <c r="G2293" s="408"/>
      <c r="H2293" s="408"/>
      <c r="I2293" s="408"/>
      <c r="J2293" s="408"/>
      <c r="K2293" s="408"/>
      <c r="L2293" s="408"/>
      <c r="M2293" s="408"/>
      <c r="N2293" s="408" t="str">
        <f t="shared" si="462"/>
        <v/>
      </c>
      <c r="O2293" s="408"/>
      <c r="P2293" s="408"/>
      <c r="Q2293" s="408"/>
      <c r="R2293" s="408"/>
      <c r="S2293" s="408"/>
      <c r="T2293" s="408"/>
      <c r="U2293" s="408"/>
      <c r="V2293" s="421"/>
      <c r="W2293" s="421"/>
      <c r="X2293" s="421"/>
      <c r="Y2293" s="421"/>
      <c r="Z2293" s="421"/>
      <c r="AA2293" s="421"/>
      <c r="AB2293" s="421"/>
      <c r="AC2293" s="421"/>
      <c r="AD2293" s="421"/>
      <c r="AE2293" s="421"/>
      <c r="AF2293" s="421"/>
      <c r="AG2293" s="421"/>
      <c r="AH2293" s="421"/>
      <c r="AI2293" s="421"/>
      <c r="AJ2293" s="421"/>
      <c r="AK2293" s="421"/>
      <c r="AL2293" s="421"/>
    </row>
    <row r="2294" spans="1:38" hidden="1">
      <c r="A2294" s="408"/>
      <c r="B2294" s="83" t="e">
        <f t="array" ref="B2294">SUM(--(FREQUENCY(IF(C$2:C$3072=C2294, MATCH(D$2:D$3072, D$2:D$3072, 0)), ROW(D$2:D$3072)-ROW(D$2)+1) &gt; 0))</f>
        <v>#N/A</v>
      </c>
      <c r="C2294" s="408"/>
      <c r="D2294" s="408"/>
      <c r="E2294" s="408"/>
      <c r="F2294" s="408"/>
      <c r="G2294" s="408"/>
      <c r="H2294" s="408"/>
      <c r="I2294" s="408"/>
      <c r="J2294" s="408"/>
      <c r="K2294" s="408"/>
      <c r="L2294" s="408"/>
      <c r="M2294" s="408"/>
      <c r="N2294" s="408" t="str">
        <f t="shared" si="462"/>
        <v/>
      </c>
      <c r="O2294" s="408"/>
      <c r="P2294" s="408"/>
      <c r="Q2294" s="408"/>
      <c r="R2294" s="408"/>
      <c r="S2294" s="408"/>
      <c r="T2294" s="408"/>
      <c r="U2294" s="408"/>
      <c r="V2294" s="421"/>
      <c r="W2294" s="421"/>
      <c r="X2294" s="421"/>
      <c r="Y2294" s="421"/>
      <c r="Z2294" s="421"/>
      <c r="AA2294" s="421"/>
      <c r="AB2294" s="421"/>
      <c r="AC2294" s="421"/>
      <c r="AD2294" s="421"/>
      <c r="AE2294" s="421"/>
      <c r="AF2294" s="421"/>
      <c r="AG2294" s="421"/>
      <c r="AH2294" s="421"/>
      <c r="AI2294" s="421"/>
      <c r="AJ2294" s="421"/>
      <c r="AK2294" s="421"/>
      <c r="AL2294" s="421"/>
    </row>
    <row r="2295" spans="1:38" hidden="1">
      <c r="A2295" s="408"/>
      <c r="B2295" s="83" t="e">
        <f t="array" ref="B2295">SUM(--(FREQUENCY(IF(C$2:C$3072=C2295, MATCH(D$2:D$3072, D$2:D$3072, 0)), ROW(D$2:D$3072)-ROW(D$2)+1) &gt; 0))</f>
        <v>#N/A</v>
      </c>
      <c r="C2295" s="408"/>
      <c r="D2295" s="408"/>
      <c r="E2295" s="408"/>
      <c r="F2295" s="408"/>
      <c r="G2295" s="408"/>
      <c r="H2295" s="408"/>
      <c r="I2295" s="408"/>
      <c r="J2295" s="408"/>
      <c r="K2295" s="408"/>
      <c r="L2295" s="408"/>
      <c r="M2295" s="408"/>
      <c r="N2295" s="408" t="str">
        <f t="shared" si="462"/>
        <v/>
      </c>
      <c r="O2295" s="408"/>
      <c r="P2295" s="408"/>
      <c r="Q2295" s="408"/>
      <c r="R2295" s="408"/>
      <c r="S2295" s="408"/>
      <c r="T2295" s="408"/>
      <c r="U2295" s="408"/>
      <c r="V2295" s="421"/>
      <c r="W2295" s="421"/>
      <c r="X2295" s="421"/>
      <c r="Y2295" s="421"/>
      <c r="Z2295" s="421"/>
      <c r="AA2295" s="421"/>
      <c r="AB2295" s="421"/>
      <c r="AC2295" s="421"/>
      <c r="AD2295" s="421"/>
      <c r="AE2295" s="421"/>
      <c r="AF2295" s="421"/>
      <c r="AG2295" s="421"/>
      <c r="AH2295" s="421"/>
      <c r="AI2295" s="421"/>
      <c r="AJ2295" s="421"/>
      <c r="AK2295" s="421"/>
      <c r="AL2295" s="421"/>
    </row>
    <row r="2296" spans="1:38" hidden="1">
      <c r="A2296" s="408"/>
      <c r="B2296" s="83" t="e">
        <f t="array" ref="B2296">SUM(--(FREQUENCY(IF(C$2:C$3072=C2296, MATCH(D$2:D$3072, D$2:D$3072, 0)), ROW(D$2:D$3072)-ROW(D$2)+1) &gt; 0))</f>
        <v>#N/A</v>
      </c>
      <c r="C2296" s="408"/>
      <c r="D2296" s="408"/>
      <c r="E2296" s="408"/>
      <c r="F2296" s="408"/>
      <c r="G2296" s="408"/>
      <c r="H2296" s="408"/>
      <c r="I2296" s="408"/>
      <c r="J2296" s="408"/>
      <c r="K2296" s="408"/>
      <c r="L2296" s="408"/>
      <c r="M2296" s="408"/>
      <c r="N2296" s="408" t="str">
        <f t="shared" si="462"/>
        <v/>
      </c>
      <c r="O2296" s="408"/>
      <c r="P2296" s="408"/>
      <c r="Q2296" s="408"/>
      <c r="R2296" s="408"/>
      <c r="S2296" s="408"/>
      <c r="T2296" s="408"/>
      <c r="U2296" s="408"/>
      <c r="V2296" s="421"/>
      <c r="W2296" s="421"/>
      <c r="X2296" s="421"/>
      <c r="Y2296" s="421"/>
      <c r="Z2296" s="421"/>
      <c r="AA2296" s="421"/>
      <c r="AB2296" s="421"/>
      <c r="AC2296" s="421"/>
      <c r="AD2296" s="421"/>
      <c r="AE2296" s="421"/>
      <c r="AF2296" s="421"/>
      <c r="AG2296" s="421"/>
      <c r="AH2296" s="421"/>
      <c r="AI2296" s="421"/>
      <c r="AJ2296" s="421"/>
      <c r="AK2296" s="421"/>
      <c r="AL2296" s="421"/>
    </row>
    <row r="2297" spans="1:38" hidden="1">
      <c r="A2297" s="408"/>
      <c r="B2297" s="83" t="e">
        <f t="array" ref="B2297">SUM(--(FREQUENCY(IF(C$2:C$3072=C2297, MATCH(D$2:D$3072, D$2:D$3072, 0)), ROW(D$2:D$3072)-ROW(D$2)+1) &gt; 0))</f>
        <v>#N/A</v>
      </c>
      <c r="C2297" s="408"/>
      <c r="D2297" s="408"/>
      <c r="E2297" s="408"/>
      <c r="F2297" s="408"/>
      <c r="G2297" s="408"/>
      <c r="H2297" s="408"/>
      <c r="I2297" s="408"/>
      <c r="J2297" s="408"/>
      <c r="K2297" s="408"/>
      <c r="L2297" s="408"/>
      <c r="M2297" s="408"/>
      <c r="N2297" s="408" t="str">
        <f t="shared" si="462"/>
        <v/>
      </c>
      <c r="O2297" s="408"/>
      <c r="P2297" s="408"/>
      <c r="Q2297" s="408"/>
      <c r="R2297" s="408"/>
      <c r="S2297" s="408"/>
      <c r="T2297" s="408"/>
      <c r="U2297" s="408"/>
      <c r="V2297" s="421"/>
      <c r="W2297" s="421"/>
      <c r="X2297" s="421"/>
      <c r="Y2297" s="421"/>
      <c r="Z2297" s="421"/>
      <c r="AA2297" s="421"/>
      <c r="AB2297" s="421"/>
      <c r="AC2297" s="421"/>
      <c r="AD2297" s="421"/>
      <c r="AE2297" s="421"/>
      <c r="AF2297" s="421"/>
      <c r="AG2297" s="421"/>
      <c r="AH2297" s="421"/>
      <c r="AI2297" s="421"/>
      <c r="AJ2297" s="421"/>
      <c r="AK2297" s="421"/>
      <c r="AL2297" s="421"/>
    </row>
    <row r="2298" spans="1:38" hidden="1">
      <c r="A2298" s="408"/>
      <c r="B2298" s="83" t="e">
        <f t="array" ref="B2298">SUM(--(FREQUENCY(IF(C$2:C$3072=C2298, MATCH(D$2:D$3072, D$2:D$3072, 0)), ROW(D$2:D$3072)-ROW(D$2)+1) &gt; 0))</f>
        <v>#N/A</v>
      </c>
      <c r="C2298" s="408"/>
      <c r="D2298" s="408"/>
      <c r="E2298" s="408"/>
      <c r="F2298" s="408"/>
      <c r="G2298" s="408"/>
      <c r="H2298" s="408"/>
      <c r="I2298" s="408"/>
      <c r="J2298" s="408"/>
      <c r="K2298" s="408"/>
      <c r="L2298" s="408"/>
      <c r="M2298" s="408"/>
      <c r="N2298" s="408" t="str">
        <f t="shared" si="462"/>
        <v/>
      </c>
      <c r="O2298" s="408"/>
      <c r="P2298" s="408"/>
      <c r="Q2298" s="408"/>
      <c r="R2298" s="408"/>
      <c r="S2298" s="408"/>
      <c r="T2298" s="408"/>
      <c r="U2298" s="408"/>
      <c r="V2298" s="421"/>
      <c r="W2298" s="421"/>
      <c r="X2298" s="421"/>
      <c r="Y2298" s="421"/>
      <c r="Z2298" s="421"/>
      <c r="AA2298" s="421"/>
      <c r="AB2298" s="421"/>
      <c r="AC2298" s="421"/>
      <c r="AD2298" s="421"/>
      <c r="AE2298" s="421"/>
      <c r="AF2298" s="421"/>
      <c r="AG2298" s="421"/>
      <c r="AH2298" s="421"/>
      <c r="AI2298" s="421"/>
      <c r="AJ2298" s="421"/>
      <c r="AK2298" s="421"/>
      <c r="AL2298" s="421"/>
    </row>
    <row r="2299" spans="1:38" hidden="1">
      <c r="A2299" s="408"/>
      <c r="B2299" s="83" t="e">
        <f t="array" ref="B2299">SUM(--(FREQUENCY(IF(C$2:C$3072=C2299, MATCH(D$2:D$3072, D$2:D$3072, 0)), ROW(D$2:D$3072)-ROW(D$2)+1) &gt; 0))</f>
        <v>#N/A</v>
      </c>
      <c r="C2299" s="408"/>
      <c r="D2299" s="408"/>
      <c r="E2299" s="408"/>
      <c r="F2299" s="408"/>
      <c r="G2299" s="408"/>
      <c r="H2299" s="408"/>
      <c r="I2299" s="408"/>
      <c r="J2299" s="408"/>
      <c r="K2299" s="408"/>
      <c r="L2299" s="408"/>
      <c r="M2299" s="408"/>
      <c r="N2299" s="408" t="str">
        <f t="shared" si="462"/>
        <v/>
      </c>
      <c r="O2299" s="408"/>
      <c r="P2299" s="408"/>
      <c r="Q2299" s="408"/>
      <c r="R2299" s="408"/>
      <c r="S2299" s="408"/>
      <c r="T2299" s="408"/>
      <c r="U2299" s="408"/>
      <c r="V2299" s="421"/>
      <c r="W2299" s="421"/>
      <c r="X2299" s="421"/>
      <c r="Y2299" s="421"/>
      <c r="Z2299" s="421"/>
      <c r="AA2299" s="421"/>
      <c r="AB2299" s="421"/>
      <c r="AC2299" s="421"/>
      <c r="AD2299" s="421"/>
      <c r="AE2299" s="421"/>
      <c r="AF2299" s="421"/>
      <c r="AG2299" s="421"/>
      <c r="AH2299" s="421"/>
      <c r="AI2299" s="421"/>
      <c r="AJ2299" s="421"/>
      <c r="AK2299" s="421"/>
      <c r="AL2299" s="421"/>
    </row>
    <row r="2300" spans="1:38" hidden="1">
      <c r="A2300" s="408"/>
      <c r="B2300" s="83" t="e">
        <f t="array" ref="B2300">SUM(--(FREQUENCY(IF(C$2:C$3072=C2300, MATCH(D$2:D$3072, D$2:D$3072, 0)), ROW(D$2:D$3072)-ROW(D$2)+1) &gt; 0))</f>
        <v>#N/A</v>
      </c>
      <c r="C2300" s="408"/>
      <c r="D2300" s="408"/>
      <c r="E2300" s="408"/>
      <c r="F2300" s="408"/>
      <c r="G2300" s="408"/>
      <c r="H2300" s="408"/>
      <c r="I2300" s="408"/>
      <c r="J2300" s="408"/>
      <c r="K2300" s="408"/>
      <c r="L2300" s="408"/>
      <c r="M2300" s="408"/>
      <c r="N2300" s="408" t="str">
        <f t="shared" si="462"/>
        <v/>
      </c>
      <c r="O2300" s="408"/>
      <c r="P2300" s="408"/>
      <c r="Q2300" s="408"/>
      <c r="R2300" s="408"/>
      <c r="S2300" s="408"/>
      <c r="T2300" s="408"/>
      <c r="U2300" s="408"/>
      <c r="V2300" s="421"/>
      <c r="W2300" s="421"/>
      <c r="X2300" s="421"/>
      <c r="Y2300" s="421"/>
      <c r="Z2300" s="421"/>
      <c r="AA2300" s="421"/>
      <c r="AB2300" s="421"/>
      <c r="AC2300" s="421"/>
      <c r="AD2300" s="421"/>
      <c r="AE2300" s="421"/>
      <c r="AF2300" s="421"/>
      <c r="AG2300" s="421"/>
      <c r="AH2300" s="421"/>
      <c r="AI2300" s="421"/>
      <c r="AJ2300" s="421"/>
      <c r="AK2300" s="421"/>
      <c r="AL2300" s="421"/>
    </row>
    <row r="2301" spans="1:38" hidden="1">
      <c r="A2301" s="408"/>
      <c r="B2301" s="83" t="e">
        <f t="array" ref="B2301">SUM(--(FREQUENCY(IF(C$2:C$3072=C2301, MATCH(D$2:D$3072, D$2:D$3072, 0)), ROW(D$2:D$3072)-ROW(D$2)+1) &gt; 0))</f>
        <v>#N/A</v>
      </c>
      <c r="C2301" s="408"/>
      <c r="D2301" s="408"/>
      <c r="E2301" s="408"/>
      <c r="F2301" s="408"/>
      <c r="G2301" s="408"/>
      <c r="H2301" s="408"/>
      <c r="I2301" s="408"/>
      <c r="J2301" s="408"/>
      <c r="K2301" s="408"/>
      <c r="L2301" s="408"/>
      <c r="M2301" s="408"/>
      <c r="N2301" s="408" t="str">
        <f t="shared" si="462"/>
        <v/>
      </c>
      <c r="O2301" s="408"/>
      <c r="P2301" s="408"/>
      <c r="Q2301" s="408"/>
      <c r="R2301" s="408"/>
      <c r="S2301" s="408"/>
      <c r="T2301" s="408"/>
      <c r="U2301" s="408"/>
      <c r="V2301" s="421"/>
      <c r="W2301" s="421"/>
      <c r="X2301" s="421"/>
      <c r="Y2301" s="421"/>
      <c r="Z2301" s="421"/>
      <c r="AA2301" s="421"/>
      <c r="AB2301" s="421"/>
      <c r="AC2301" s="421"/>
      <c r="AD2301" s="421"/>
      <c r="AE2301" s="421"/>
      <c r="AF2301" s="421"/>
      <c r="AG2301" s="421"/>
      <c r="AH2301" s="421"/>
      <c r="AI2301" s="421"/>
      <c r="AJ2301" s="421"/>
      <c r="AK2301" s="421"/>
      <c r="AL2301" s="421"/>
    </row>
    <row r="2302" spans="1:38" hidden="1">
      <c r="A2302" s="408"/>
      <c r="B2302" s="83" t="e">
        <f t="array" ref="B2302">SUM(--(FREQUENCY(IF(C$2:C$3072=C2302, MATCH(D$2:D$3072, D$2:D$3072, 0)), ROW(D$2:D$3072)-ROW(D$2)+1) &gt; 0))</f>
        <v>#N/A</v>
      </c>
      <c r="C2302" s="408"/>
      <c r="D2302" s="408"/>
      <c r="E2302" s="408"/>
      <c r="F2302" s="408"/>
      <c r="G2302" s="408"/>
      <c r="H2302" s="408"/>
      <c r="I2302" s="408"/>
      <c r="J2302" s="408"/>
      <c r="K2302" s="408"/>
      <c r="L2302" s="408"/>
      <c r="M2302" s="408"/>
      <c r="N2302" s="408" t="str">
        <f t="shared" si="462"/>
        <v/>
      </c>
      <c r="O2302" s="408"/>
      <c r="P2302" s="408"/>
      <c r="Q2302" s="408"/>
      <c r="R2302" s="408"/>
      <c r="S2302" s="408"/>
      <c r="T2302" s="408"/>
      <c r="U2302" s="408"/>
      <c r="V2302" s="421"/>
      <c r="W2302" s="421"/>
      <c r="X2302" s="421"/>
      <c r="Y2302" s="421"/>
      <c r="Z2302" s="421"/>
      <c r="AA2302" s="421"/>
      <c r="AB2302" s="421"/>
      <c r="AC2302" s="421"/>
      <c r="AD2302" s="421"/>
      <c r="AE2302" s="421"/>
      <c r="AF2302" s="421"/>
      <c r="AG2302" s="421"/>
      <c r="AH2302" s="421"/>
      <c r="AI2302" s="421"/>
      <c r="AJ2302" s="421"/>
      <c r="AK2302" s="421"/>
      <c r="AL2302" s="421"/>
    </row>
    <row r="2303" spans="1:38" hidden="1">
      <c r="A2303" s="408"/>
      <c r="B2303" s="83" t="e">
        <f t="array" ref="B2303">SUM(--(FREQUENCY(IF(C$2:C$3072=C2303, MATCH(D$2:D$3072, D$2:D$3072, 0)), ROW(D$2:D$3072)-ROW(D$2)+1) &gt; 0))</f>
        <v>#N/A</v>
      </c>
      <c r="C2303" s="408"/>
      <c r="D2303" s="408"/>
      <c r="E2303" s="408"/>
      <c r="F2303" s="408"/>
      <c r="G2303" s="408"/>
      <c r="H2303" s="408"/>
      <c r="I2303" s="408"/>
      <c r="J2303" s="408"/>
      <c r="K2303" s="408"/>
      <c r="L2303" s="408"/>
      <c r="M2303" s="408"/>
      <c r="N2303" s="408" t="str">
        <f t="shared" si="462"/>
        <v/>
      </c>
      <c r="O2303" s="408"/>
      <c r="P2303" s="408"/>
      <c r="Q2303" s="408"/>
      <c r="R2303" s="408"/>
      <c r="S2303" s="408"/>
      <c r="T2303" s="408"/>
      <c r="U2303" s="408"/>
      <c r="V2303" s="421"/>
      <c r="W2303" s="421"/>
      <c r="X2303" s="421"/>
      <c r="Y2303" s="421"/>
      <c r="Z2303" s="421"/>
      <c r="AA2303" s="421"/>
      <c r="AB2303" s="421"/>
      <c r="AC2303" s="421"/>
      <c r="AD2303" s="421"/>
      <c r="AE2303" s="421"/>
      <c r="AF2303" s="421"/>
      <c r="AG2303" s="421"/>
      <c r="AH2303" s="421"/>
      <c r="AI2303" s="421"/>
      <c r="AJ2303" s="421"/>
      <c r="AK2303" s="421"/>
      <c r="AL2303" s="421"/>
    </row>
    <row r="2304" spans="1:38" hidden="1">
      <c r="A2304" s="408"/>
      <c r="B2304" s="83" t="e">
        <f t="array" ref="B2304">SUM(--(FREQUENCY(IF(C$2:C$3072=C2304, MATCH(D$2:D$3072, D$2:D$3072, 0)), ROW(D$2:D$3072)-ROW(D$2)+1) &gt; 0))</f>
        <v>#N/A</v>
      </c>
      <c r="C2304" s="408"/>
      <c r="D2304" s="408"/>
      <c r="E2304" s="408"/>
      <c r="F2304" s="408"/>
      <c r="G2304" s="408"/>
      <c r="H2304" s="408"/>
      <c r="I2304" s="408"/>
      <c r="J2304" s="408"/>
      <c r="K2304" s="408"/>
      <c r="L2304" s="408"/>
      <c r="M2304" s="408"/>
      <c r="N2304" s="408" t="str">
        <f t="shared" ref="N2304:N2367" si="463">IF(O2304&lt;&gt;"", "NG", "")</f>
        <v/>
      </c>
      <c r="O2304" s="408"/>
      <c r="P2304" s="408"/>
      <c r="Q2304" s="408"/>
      <c r="R2304" s="408"/>
      <c r="S2304" s="408"/>
      <c r="T2304" s="408"/>
      <c r="U2304" s="408"/>
      <c r="V2304" s="421"/>
      <c r="W2304" s="421"/>
      <c r="X2304" s="421"/>
      <c r="Y2304" s="421"/>
      <c r="Z2304" s="421"/>
      <c r="AA2304" s="421"/>
      <c r="AB2304" s="421"/>
      <c r="AC2304" s="421"/>
      <c r="AD2304" s="421"/>
      <c r="AE2304" s="421"/>
      <c r="AF2304" s="421"/>
      <c r="AG2304" s="421"/>
      <c r="AH2304" s="421"/>
      <c r="AI2304" s="421"/>
      <c r="AJ2304" s="421"/>
      <c r="AK2304" s="421"/>
      <c r="AL2304" s="421"/>
    </row>
    <row r="2305" spans="1:38" hidden="1">
      <c r="A2305" s="408"/>
      <c r="B2305" s="83" t="e">
        <f t="array" ref="B2305">SUM(--(FREQUENCY(IF(C$2:C$3072=C2305, MATCH(D$2:D$3072, D$2:D$3072, 0)), ROW(D$2:D$3072)-ROW(D$2)+1) &gt; 0))</f>
        <v>#N/A</v>
      </c>
      <c r="C2305" s="408"/>
      <c r="D2305" s="408"/>
      <c r="E2305" s="408"/>
      <c r="F2305" s="408"/>
      <c r="G2305" s="408"/>
      <c r="H2305" s="408"/>
      <c r="I2305" s="408"/>
      <c r="J2305" s="408"/>
      <c r="K2305" s="408"/>
      <c r="L2305" s="408"/>
      <c r="M2305" s="408"/>
      <c r="N2305" s="408" t="str">
        <f t="shared" si="463"/>
        <v/>
      </c>
      <c r="O2305" s="408"/>
      <c r="P2305" s="408"/>
      <c r="Q2305" s="408"/>
      <c r="R2305" s="408"/>
      <c r="S2305" s="408"/>
      <c r="T2305" s="408"/>
      <c r="U2305" s="408"/>
      <c r="V2305" s="421"/>
      <c r="W2305" s="421"/>
      <c r="X2305" s="421"/>
      <c r="Y2305" s="421"/>
      <c r="Z2305" s="421"/>
      <c r="AA2305" s="421"/>
      <c r="AB2305" s="421"/>
      <c r="AC2305" s="421"/>
      <c r="AD2305" s="421"/>
      <c r="AE2305" s="421"/>
      <c r="AF2305" s="421"/>
      <c r="AG2305" s="421"/>
      <c r="AH2305" s="421"/>
      <c r="AI2305" s="421"/>
      <c r="AJ2305" s="421"/>
      <c r="AK2305" s="421"/>
      <c r="AL2305" s="421"/>
    </row>
    <row r="2306" spans="1:38" hidden="1">
      <c r="A2306" s="408"/>
      <c r="B2306" s="83" t="e">
        <f t="array" ref="B2306">SUM(--(FREQUENCY(IF(C$2:C$3072=C2306, MATCH(D$2:D$3072, D$2:D$3072, 0)), ROW(D$2:D$3072)-ROW(D$2)+1) &gt; 0))</f>
        <v>#N/A</v>
      </c>
      <c r="C2306" s="408"/>
      <c r="D2306" s="408"/>
      <c r="E2306" s="408"/>
      <c r="F2306" s="408"/>
      <c r="G2306" s="408"/>
      <c r="H2306" s="408"/>
      <c r="I2306" s="408"/>
      <c r="J2306" s="408"/>
      <c r="K2306" s="408"/>
      <c r="L2306" s="408"/>
      <c r="M2306" s="408"/>
      <c r="N2306" s="408" t="str">
        <f t="shared" si="463"/>
        <v/>
      </c>
      <c r="O2306" s="408"/>
      <c r="P2306" s="408"/>
      <c r="Q2306" s="408"/>
      <c r="R2306" s="408"/>
      <c r="S2306" s="408"/>
      <c r="T2306" s="408"/>
      <c r="U2306" s="408"/>
      <c r="V2306" s="421"/>
      <c r="W2306" s="421"/>
      <c r="X2306" s="421"/>
      <c r="Y2306" s="421"/>
      <c r="Z2306" s="421"/>
      <c r="AA2306" s="421"/>
      <c r="AB2306" s="421"/>
      <c r="AC2306" s="421"/>
      <c r="AD2306" s="421"/>
      <c r="AE2306" s="421"/>
      <c r="AF2306" s="421"/>
      <c r="AG2306" s="421"/>
      <c r="AH2306" s="421"/>
      <c r="AI2306" s="421"/>
      <c r="AJ2306" s="421"/>
      <c r="AK2306" s="421"/>
      <c r="AL2306" s="421"/>
    </row>
    <row r="2307" spans="1:38" hidden="1">
      <c r="A2307" s="408"/>
      <c r="B2307" s="83" t="e">
        <f t="array" ref="B2307">SUM(--(FREQUENCY(IF(C$2:C$3072=C2307, MATCH(D$2:D$3072, D$2:D$3072, 0)), ROW(D$2:D$3072)-ROW(D$2)+1) &gt; 0))</f>
        <v>#N/A</v>
      </c>
      <c r="C2307" s="408"/>
      <c r="D2307" s="408"/>
      <c r="E2307" s="408"/>
      <c r="F2307" s="408"/>
      <c r="G2307" s="408"/>
      <c r="H2307" s="408"/>
      <c r="I2307" s="408"/>
      <c r="J2307" s="408"/>
      <c r="K2307" s="408"/>
      <c r="L2307" s="408"/>
      <c r="M2307" s="408"/>
      <c r="N2307" s="408" t="str">
        <f t="shared" si="463"/>
        <v/>
      </c>
      <c r="O2307" s="408"/>
      <c r="P2307" s="408"/>
      <c r="Q2307" s="408"/>
      <c r="R2307" s="408"/>
      <c r="S2307" s="408"/>
      <c r="T2307" s="408"/>
      <c r="U2307" s="408"/>
      <c r="V2307" s="421"/>
      <c r="W2307" s="421"/>
      <c r="X2307" s="421"/>
      <c r="Y2307" s="421"/>
      <c r="Z2307" s="421"/>
      <c r="AA2307" s="421"/>
      <c r="AB2307" s="421"/>
      <c r="AC2307" s="421"/>
      <c r="AD2307" s="421"/>
      <c r="AE2307" s="421"/>
      <c r="AF2307" s="421"/>
      <c r="AG2307" s="421"/>
      <c r="AH2307" s="421"/>
      <c r="AI2307" s="421"/>
      <c r="AJ2307" s="421"/>
      <c r="AK2307" s="421"/>
      <c r="AL2307" s="421"/>
    </row>
    <row r="2308" spans="1:38" hidden="1">
      <c r="A2308" s="408"/>
      <c r="B2308" s="83" t="e">
        <f t="array" ref="B2308">SUM(--(FREQUENCY(IF(C$2:C$3072=C2308, MATCH(D$2:D$3072, D$2:D$3072, 0)), ROW(D$2:D$3072)-ROW(D$2)+1) &gt; 0))</f>
        <v>#N/A</v>
      </c>
      <c r="C2308" s="408"/>
      <c r="D2308" s="408"/>
      <c r="E2308" s="408"/>
      <c r="F2308" s="408"/>
      <c r="G2308" s="408"/>
      <c r="H2308" s="408"/>
      <c r="I2308" s="408"/>
      <c r="J2308" s="408"/>
      <c r="K2308" s="408"/>
      <c r="L2308" s="408"/>
      <c r="M2308" s="408"/>
      <c r="N2308" s="408" t="str">
        <f t="shared" si="463"/>
        <v/>
      </c>
      <c r="O2308" s="408"/>
      <c r="P2308" s="408"/>
      <c r="Q2308" s="408"/>
      <c r="R2308" s="408"/>
      <c r="S2308" s="408"/>
      <c r="T2308" s="408"/>
      <c r="U2308" s="408"/>
      <c r="V2308" s="421"/>
      <c r="W2308" s="421"/>
      <c r="X2308" s="421"/>
      <c r="Y2308" s="421"/>
      <c r="Z2308" s="421"/>
      <c r="AA2308" s="421"/>
      <c r="AB2308" s="421"/>
      <c r="AC2308" s="421"/>
      <c r="AD2308" s="421"/>
      <c r="AE2308" s="421"/>
      <c r="AF2308" s="421"/>
      <c r="AG2308" s="421"/>
      <c r="AH2308" s="421"/>
      <c r="AI2308" s="421"/>
      <c r="AJ2308" s="421"/>
      <c r="AK2308" s="421"/>
      <c r="AL2308" s="421"/>
    </row>
    <row r="2309" spans="1:38" hidden="1">
      <c r="A2309" s="408"/>
      <c r="B2309" s="83" t="e">
        <f t="array" ref="B2309">SUM(--(FREQUENCY(IF(C$2:C$3072=C2309, MATCH(D$2:D$3072, D$2:D$3072, 0)), ROW(D$2:D$3072)-ROW(D$2)+1) &gt; 0))</f>
        <v>#N/A</v>
      </c>
      <c r="C2309" s="408"/>
      <c r="D2309" s="408"/>
      <c r="E2309" s="408"/>
      <c r="F2309" s="408"/>
      <c r="G2309" s="408"/>
      <c r="H2309" s="408"/>
      <c r="I2309" s="408"/>
      <c r="J2309" s="408"/>
      <c r="K2309" s="408"/>
      <c r="L2309" s="408"/>
      <c r="M2309" s="408"/>
      <c r="N2309" s="408" t="str">
        <f t="shared" si="463"/>
        <v/>
      </c>
      <c r="O2309" s="408"/>
      <c r="P2309" s="408"/>
      <c r="Q2309" s="408"/>
      <c r="R2309" s="408"/>
      <c r="S2309" s="408"/>
      <c r="T2309" s="408"/>
      <c r="U2309" s="408"/>
      <c r="V2309" s="421"/>
      <c r="W2309" s="421"/>
      <c r="X2309" s="421"/>
      <c r="Y2309" s="421"/>
      <c r="Z2309" s="421"/>
      <c r="AA2309" s="421"/>
      <c r="AB2309" s="421"/>
      <c r="AC2309" s="421"/>
      <c r="AD2309" s="421"/>
      <c r="AE2309" s="421"/>
      <c r="AF2309" s="421"/>
      <c r="AG2309" s="421"/>
      <c r="AH2309" s="421"/>
      <c r="AI2309" s="421"/>
      <c r="AJ2309" s="421"/>
      <c r="AK2309" s="421"/>
      <c r="AL2309" s="421"/>
    </row>
    <row r="2310" spans="1:38" hidden="1">
      <c r="A2310" s="408"/>
      <c r="B2310" s="83" t="e">
        <f t="array" ref="B2310">SUM(--(FREQUENCY(IF(C$2:C$3072=C2310, MATCH(D$2:D$3072, D$2:D$3072, 0)), ROW(D$2:D$3072)-ROW(D$2)+1) &gt; 0))</f>
        <v>#N/A</v>
      </c>
      <c r="C2310" s="408"/>
      <c r="D2310" s="408"/>
      <c r="E2310" s="408"/>
      <c r="F2310" s="408"/>
      <c r="G2310" s="408"/>
      <c r="H2310" s="408"/>
      <c r="I2310" s="408"/>
      <c r="J2310" s="408"/>
      <c r="K2310" s="408"/>
      <c r="L2310" s="408"/>
      <c r="M2310" s="408"/>
      <c r="N2310" s="408" t="str">
        <f t="shared" si="463"/>
        <v/>
      </c>
      <c r="O2310" s="408"/>
      <c r="P2310" s="408"/>
      <c r="Q2310" s="408"/>
      <c r="R2310" s="408"/>
      <c r="S2310" s="408"/>
      <c r="T2310" s="408"/>
      <c r="U2310" s="408"/>
      <c r="V2310" s="421"/>
      <c r="W2310" s="421"/>
      <c r="X2310" s="421"/>
      <c r="Y2310" s="421"/>
      <c r="Z2310" s="421"/>
      <c r="AA2310" s="421"/>
      <c r="AB2310" s="421"/>
      <c r="AC2310" s="421"/>
      <c r="AD2310" s="421"/>
      <c r="AE2310" s="421"/>
      <c r="AF2310" s="421"/>
      <c r="AG2310" s="421"/>
      <c r="AH2310" s="421"/>
      <c r="AI2310" s="421"/>
      <c r="AJ2310" s="421"/>
      <c r="AK2310" s="421"/>
      <c r="AL2310" s="421"/>
    </row>
    <row r="2311" spans="1:38" hidden="1">
      <c r="A2311" s="408"/>
      <c r="B2311" s="83" t="e">
        <f t="array" ref="B2311">SUM(--(FREQUENCY(IF(C$2:C$3072=C2311, MATCH(D$2:D$3072, D$2:D$3072, 0)), ROW(D$2:D$3072)-ROW(D$2)+1) &gt; 0))</f>
        <v>#N/A</v>
      </c>
      <c r="C2311" s="408"/>
      <c r="D2311" s="408"/>
      <c r="E2311" s="408"/>
      <c r="F2311" s="408"/>
      <c r="G2311" s="408"/>
      <c r="H2311" s="408"/>
      <c r="I2311" s="408"/>
      <c r="J2311" s="408"/>
      <c r="K2311" s="408"/>
      <c r="L2311" s="408"/>
      <c r="M2311" s="408"/>
      <c r="N2311" s="408" t="str">
        <f t="shared" si="463"/>
        <v/>
      </c>
      <c r="O2311" s="408"/>
      <c r="P2311" s="408"/>
      <c r="Q2311" s="408"/>
      <c r="R2311" s="408"/>
      <c r="S2311" s="408"/>
      <c r="T2311" s="408"/>
      <c r="U2311" s="408"/>
      <c r="V2311" s="421"/>
      <c r="W2311" s="421"/>
      <c r="X2311" s="421"/>
      <c r="Y2311" s="421"/>
      <c r="Z2311" s="421"/>
      <c r="AA2311" s="421"/>
      <c r="AB2311" s="421"/>
      <c r="AC2311" s="421"/>
      <c r="AD2311" s="421"/>
      <c r="AE2311" s="421"/>
      <c r="AF2311" s="421"/>
      <c r="AG2311" s="421"/>
      <c r="AH2311" s="421"/>
      <c r="AI2311" s="421"/>
      <c r="AJ2311" s="421"/>
      <c r="AK2311" s="421"/>
      <c r="AL2311" s="421"/>
    </row>
    <row r="2312" spans="1:38" hidden="1">
      <c r="A2312" s="408"/>
      <c r="B2312" s="83" t="e">
        <f t="array" ref="B2312">SUM(--(FREQUENCY(IF(C$2:C$3072=C2312, MATCH(D$2:D$3072, D$2:D$3072, 0)), ROW(D$2:D$3072)-ROW(D$2)+1) &gt; 0))</f>
        <v>#N/A</v>
      </c>
      <c r="C2312" s="408"/>
      <c r="D2312" s="408"/>
      <c r="E2312" s="408"/>
      <c r="F2312" s="408"/>
      <c r="G2312" s="408"/>
      <c r="H2312" s="408"/>
      <c r="I2312" s="408"/>
      <c r="J2312" s="408"/>
      <c r="K2312" s="408"/>
      <c r="L2312" s="408"/>
      <c r="M2312" s="408"/>
      <c r="N2312" s="408" t="str">
        <f t="shared" si="463"/>
        <v/>
      </c>
      <c r="O2312" s="408"/>
      <c r="P2312" s="408"/>
      <c r="Q2312" s="408"/>
      <c r="R2312" s="408"/>
      <c r="S2312" s="408"/>
      <c r="T2312" s="408"/>
      <c r="U2312" s="408"/>
      <c r="V2312" s="421"/>
      <c r="W2312" s="421"/>
      <c r="X2312" s="421"/>
      <c r="Y2312" s="421"/>
      <c r="Z2312" s="421"/>
      <c r="AA2312" s="421"/>
      <c r="AB2312" s="421"/>
      <c r="AC2312" s="421"/>
      <c r="AD2312" s="421"/>
      <c r="AE2312" s="421"/>
      <c r="AF2312" s="421"/>
      <c r="AG2312" s="421"/>
      <c r="AH2312" s="421"/>
      <c r="AI2312" s="421"/>
      <c r="AJ2312" s="421"/>
      <c r="AK2312" s="421"/>
      <c r="AL2312" s="421"/>
    </row>
    <row r="2313" spans="1:38" hidden="1">
      <c r="A2313" s="408"/>
      <c r="B2313" s="83" t="e">
        <f t="array" ref="B2313">SUM(--(FREQUENCY(IF(C$2:C$3072=C2313, MATCH(D$2:D$3072, D$2:D$3072, 0)), ROW(D$2:D$3072)-ROW(D$2)+1) &gt; 0))</f>
        <v>#N/A</v>
      </c>
      <c r="C2313" s="408"/>
      <c r="D2313" s="408"/>
      <c r="E2313" s="408"/>
      <c r="F2313" s="408"/>
      <c r="G2313" s="408"/>
      <c r="H2313" s="408"/>
      <c r="I2313" s="408"/>
      <c r="J2313" s="408"/>
      <c r="K2313" s="408"/>
      <c r="L2313" s="408"/>
      <c r="M2313" s="408"/>
      <c r="N2313" s="408" t="str">
        <f t="shared" si="463"/>
        <v/>
      </c>
      <c r="O2313" s="408"/>
      <c r="P2313" s="408"/>
      <c r="Q2313" s="408"/>
      <c r="R2313" s="408"/>
      <c r="S2313" s="408"/>
      <c r="T2313" s="408"/>
      <c r="U2313" s="408"/>
      <c r="V2313" s="421"/>
      <c r="W2313" s="421"/>
      <c r="X2313" s="421"/>
      <c r="Y2313" s="421"/>
      <c r="Z2313" s="421"/>
      <c r="AA2313" s="421"/>
      <c r="AB2313" s="421"/>
      <c r="AC2313" s="421"/>
      <c r="AD2313" s="421"/>
      <c r="AE2313" s="421"/>
      <c r="AF2313" s="421"/>
      <c r="AG2313" s="421"/>
      <c r="AH2313" s="421"/>
      <c r="AI2313" s="421"/>
      <c r="AJ2313" s="421"/>
      <c r="AK2313" s="421"/>
      <c r="AL2313" s="421"/>
    </row>
    <row r="2314" spans="1:38" hidden="1">
      <c r="A2314" s="408"/>
      <c r="B2314" s="83" t="e">
        <f t="array" ref="B2314">SUM(--(FREQUENCY(IF(C$2:C$3072=C2314, MATCH(D$2:D$3072, D$2:D$3072, 0)), ROW(D$2:D$3072)-ROW(D$2)+1) &gt; 0))</f>
        <v>#N/A</v>
      </c>
      <c r="C2314" s="408"/>
      <c r="D2314" s="408"/>
      <c r="E2314" s="408"/>
      <c r="F2314" s="408"/>
      <c r="G2314" s="408"/>
      <c r="H2314" s="408"/>
      <c r="I2314" s="408"/>
      <c r="J2314" s="408"/>
      <c r="K2314" s="408"/>
      <c r="L2314" s="408"/>
      <c r="M2314" s="408"/>
      <c r="N2314" s="408" t="str">
        <f t="shared" si="463"/>
        <v/>
      </c>
      <c r="O2314" s="408"/>
      <c r="P2314" s="408"/>
      <c r="Q2314" s="408"/>
      <c r="R2314" s="408"/>
      <c r="S2314" s="408"/>
      <c r="T2314" s="408"/>
      <c r="U2314" s="408"/>
      <c r="V2314" s="421"/>
      <c r="W2314" s="421"/>
      <c r="X2314" s="421"/>
      <c r="Y2314" s="421"/>
      <c r="Z2314" s="421"/>
      <c r="AA2314" s="421"/>
      <c r="AB2314" s="421"/>
      <c r="AC2314" s="421"/>
      <c r="AD2314" s="421"/>
      <c r="AE2314" s="421"/>
      <c r="AF2314" s="421"/>
      <c r="AG2314" s="421"/>
      <c r="AH2314" s="421"/>
      <c r="AI2314" s="421"/>
      <c r="AJ2314" s="421"/>
      <c r="AK2314" s="421"/>
      <c r="AL2314" s="421"/>
    </row>
    <row r="2315" spans="1:38" hidden="1">
      <c r="A2315" s="408"/>
      <c r="B2315" s="83" t="e">
        <f t="array" ref="B2315">SUM(--(FREQUENCY(IF(C$2:C$3072=C2315, MATCH(D$2:D$3072, D$2:D$3072, 0)), ROW(D$2:D$3072)-ROW(D$2)+1) &gt; 0))</f>
        <v>#N/A</v>
      </c>
      <c r="C2315" s="408"/>
      <c r="D2315" s="408"/>
      <c r="E2315" s="408"/>
      <c r="F2315" s="408"/>
      <c r="G2315" s="408"/>
      <c r="H2315" s="408"/>
      <c r="I2315" s="408"/>
      <c r="J2315" s="408"/>
      <c r="K2315" s="408"/>
      <c r="L2315" s="408"/>
      <c r="M2315" s="408"/>
      <c r="N2315" s="408" t="str">
        <f t="shared" si="463"/>
        <v/>
      </c>
      <c r="O2315" s="408"/>
      <c r="P2315" s="408"/>
      <c r="Q2315" s="408"/>
      <c r="R2315" s="408"/>
      <c r="S2315" s="408"/>
      <c r="T2315" s="408"/>
      <c r="U2315" s="408"/>
      <c r="V2315" s="421"/>
      <c r="W2315" s="421"/>
      <c r="X2315" s="421"/>
      <c r="Y2315" s="421"/>
      <c r="Z2315" s="421"/>
      <c r="AA2315" s="421"/>
      <c r="AB2315" s="421"/>
      <c r="AC2315" s="421"/>
      <c r="AD2315" s="421"/>
      <c r="AE2315" s="421"/>
      <c r="AF2315" s="421"/>
      <c r="AG2315" s="421"/>
      <c r="AH2315" s="421"/>
      <c r="AI2315" s="421"/>
      <c r="AJ2315" s="421"/>
      <c r="AK2315" s="421"/>
      <c r="AL2315" s="421"/>
    </row>
    <row r="2316" spans="1:38" hidden="1">
      <c r="A2316" s="408"/>
      <c r="B2316" s="83" t="e">
        <f t="array" ref="B2316">SUM(--(FREQUENCY(IF(C$2:C$3072=C2316, MATCH(D$2:D$3072, D$2:D$3072, 0)), ROW(D$2:D$3072)-ROW(D$2)+1) &gt; 0))</f>
        <v>#N/A</v>
      </c>
      <c r="C2316" s="408"/>
      <c r="D2316" s="408"/>
      <c r="E2316" s="408"/>
      <c r="F2316" s="408"/>
      <c r="G2316" s="408"/>
      <c r="H2316" s="408"/>
      <c r="I2316" s="408"/>
      <c r="J2316" s="408"/>
      <c r="K2316" s="408"/>
      <c r="L2316" s="408"/>
      <c r="M2316" s="408"/>
      <c r="N2316" s="408" t="str">
        <f t="shared" si="463"/>
        <v/>
      </c>
      <c r="O2316" s="408"/>
      <c r="P2316" s="408"/>
      <c r="Q2316" s="408"/>
      <c r="R2316" s="408"/>
      <c r="S2316" s="408"/>
      <c r="T2316" s="408"/>
      <c r="U2316" s="408"/>
      <c r="V2316" s="421"/>
      <c r="W2316" s="421"/>
      <c r="X2316" s="421"/>
      <c r="Y2316" s="421"/>
      <c r="Z2316" s="421"/>
      <c r="AA2316" s="421"/>
      <c r="AB2316" s="421"/>
      <c r="AC2316" s="421"/>
      <c r="AD2316" s="421"/>
      <c r="AE2316" s="421"/>
      <c r="AF2316" s="421"/>
      <c r="AG2316" s="421"/>
      <c r="AH2316" s="421"/>
      <c r="AI2316" s="421"/>
      <c r="AJ2316" s="421"/>
      <c r="AK2316" s="421"/>
      <c r="AL2316" s="421"/>
    </row>
    <row r="2317" spans="1:38" hidden="1">
      <c r="A2317" s="408"/>
      <c r="B2317" s="83" t="e">
        <f t="array" ref="B2317">SUM(--(FREQUENCY(IF(C$2:C$3072=C2317, MATCH(D$2:D$3072, D$2:D$3072, 0)), ROW(D$2:D$3072)-ROW(D$2)+1) &gt; 0))</f>
        <v>#N/A</v>
      </c>
      <c r="C2317" s="408"/>
      <c r="D2317" s="408"/>
      <c r="E2317" s="408"/>
      <c r="F2317" s="408"/>
      <c r="G2317" s="408"/>
      <c r="H2317" s="408"/>
      <c r="I2317" s="408"/>
      <c r="J2317" s="408"/>
      <c r="K2317" s="408"/>
      <c r="L2317" s="408"/>
      <c r="M2317" s="408"/>
      <c r="N2317" s="408" t="str">
        <f t="shared" si="463"/>
        <v/>
      </c>
      <c r="O2317" s="408"/>
      <c r="P2317" s="408"/>
      <c r="Q2317" s="408"/>
      <c r="R2317" s="408"/>
      <c r="S2317" s="408"/>
      <c r="T2317" s="408"/>
      <c r="U2317" s="408"/>
      <c r="V2317" s="421"/>
      <c r="W2317" s="421"/>
      <c r="X2317" s="421"/>
      <c r="Y2317" s="421"/>
      <c r="Z2317" s="421"/>
      <c r="AA2317" s="421"/>
      <c r="AB2317" s="421"/>
      <c r="AC2317" s="421"/>
      <c r="AD2317" s="421"/>
      <c r="AE2317" s="421"/>
      <c r="AF2317" s="421"/>
      <c r="AG2317" s="421"/>
      <c r="AH2317" s="421"/>
      <c r="AI2317" s="421"/>
      <c r="AJ2317" s="421"/>
      <c r="AK2317" s="421"/>
      <c r="AL2317" s="421"/>
    </row>
    <row r="2318" spans="1:38" hidden="1">
      <c r="A2318" s="408"/>
      <c r="B2318" s="83" t="e">
        <f t="array" ref="B2318">SUM(--(FREQUENCY(IF(C$2:C$3072=C2318, MATCH(D$2:D$3072, D$2:D$3072, 0)), ROW(D$2:D$3072)-ROW(D$2)+1) &gt; 0))</f>
        <v>#N/A</v>
      </c>
      <c r="C2318" s="408"/>
      <c r="D2318" s="408"/>
      <c r="E2318" s="408"/>
      <c r="F2318" s="408"/>
      <c r="G2318" s="408"/>
      <c r="H2318" s="408"/>
      <c r="I2318" s="408"/>
      <c r="J2318" s="408"/>
      <c r="K2318" s="408"/>
      <c r="L2318" s="408"/>
      <c r="M2318" s="408"/>
      <c r="N2318" s="408" t="str">
        <f t="shared" si="463"/>
        <v/>
      </c>
      <c r="O2318" s="408"/>
      <c r="P2318" s="408"/>
      <c r="Q2318" s="408"/>
      <c r="R2318" s="408"/>
      <c r="S2318" s="408"/>
      <c r="T2318" s="408"/>
      <c r="U2318" s="408"/>
      <c r="V2318" s="421"/>
      <c r="W2318" s="421"/>
      <c r="X2318" s="421"/>
      <c r="Y2318" s="421"/>
      <c r="Z2318" s="421"/>
      <c r="AA2318" s="421"/>
      <c r="AB2318" s="421"/>
      <c r="AC2318" s="421"/>
      <c r="AD2318" s="421"/>
      <c r="AE2318" s="421"/>
      <c r="AF2318" s="421"/>
      <c r="AG2318" s="421"/>
      <c r="AH2318" s="421"/>
      <c r="AI2318" s="421"/>
      <c r="AJ2318" s="421"/>
      <c r="AK2318" s="421"/>
      <c r="AL2318" s="421"/>
    </row>
    <row r="2319" spans="1:38" hidden="1">
      <c r="A2319" s="408"/>
      <c r="B2319" s="83" t="e">
        <f t="array" ref="B2319">SUM(--(FREQUENCY(IF(C$2:C$3072=C2319, MATCH(D$2:D$3072, D$2:D$3072, 0)), ROW(D$2:D$3072)-ROW(D$2)+1) &gt; 0))</f>
        <v>#N/A</v>
      </c>
      <c r="C2319" s="408"/>
      <c r="D2319" s="408"/>
      <c r="E2319" s="408"/>
      <c r="F2319" s="408"/>
      <c r="G2319" s="408"/>
      <c r="H2319" s="408"/>
      <c r="I2319" s="408"/>
      <c r="J2319" s="408"/>
      <c r="K2319" s="408"/>
      <c r="L2319" s="408"/>
      <c r="M2319" s="408"/>
      <c r="N2319" s="408" t="str">
        <f t="shared" si="463"/>
        <v/>
      </c>
      <c r="O2319" s="408"/>
      <c r="P2319" s="408"/>
      <c r="Q2319" s="408"/>
      <c r="R2319" s="408"/>
      <c r="S2319" s="408"/>
      <c r="T2319" s="408"/>
      <c r="U2319" s="408"/>
      <c r="V2319" s="421"/>
      <c r="W2319" s="421"/>
      <c r="X2319" s="421"/>
      <c r="Y2319" s="421"/>
      <c r="Z2319" s="421"/>
      <c r="AA2319" s="421"/>
      <c r="AB2319" s="421"/>
      <c r="AC2319" s="421"/>
      <c r="AD2319" s="421"/>
      <c r="AE2319" s="421"/>
      <c r="AF2319" s="421"/>
      <c r="AG2319" s="421"/>
      <c r="AH2319" s="421"/>
      <c r="AI2319" s="421"/>
      <c r="AJ2319" s="421"/>
      <c r="AK2319" s="421"/>
      <c r="AL2319" s="421"/>
    </row>
    <row r="2320" spans="1:38" hidden="1">
      <c r="A2320" s="408"/>
      <c r="B2320" s="83" t="e">
        <f t="array" ref="B2320">SUM(--(FREQUENCY(IF(C$2:C$3072=C2320, MATCH(D$2:D$3072, D$2:D$3072, 0)), ROW(D$2:D$3072)-ROW(D$2)+1) &gt; 0))</f>
        <v>#N/A</v>
      </c>
      <c r="C2320" s="408"/>
      <c r="D2320" s="408"/>
      <c r="E2320" s="408"/>
      <c r="F2320" s="408"/>
      <c r="G2320" s="408"/>
      <c r="H2320" s="408"/>
      <c r="I2320" s="408"/>
      <c r="J2320" s="408"/>
      <c r="K2320" s="408"/>
      <c r="L2320" s="408"/>
      <c r="M2320" s="408"/>
      <c r="N2320" s="408" t="str">
        <f t="shared" si="463"/>
        <v/>
      </c>
      <c r="O2320" s="408"/>
      <c r="P2320" s="408"/>
      <c r="Q2320" s="408"/>
      <c r="R2320" s="408"/>
      <c r="S2320" s="408"/>
      <c r="T2320" s="408"/>
      <c r="U2320" s="408"/>
      <c r="V2320" s="421"/>
      <c r="W2320" s="421"/>
      <c r="X2320" s="421"/>
      <c r="Y2320" s="421"/>
      <c r="Z2320" s="421"/>
      <c r="AA2320" s="421"/>
      <c r="AB2320" s="421"/>
      <c r="AC2320" s="421"/>
      <c r="AD2320" s="421"/>
      <c r="AE2320" s="421"/>
      <c r="AF2320" s="421"/>
      <c r="AG2320" s="421"/>
      <c r="AH2320" s="421"/>
      <c r="AI2320" s="421"/>
      <c r="AJ2320" s="421"/>
      <c r="AK2320" s="421"/>
      <c r="AL2320" s="421"/>
    </row>
    <row r="2321" spans="1:38" hidden="1">
      <c r="A2321" s="408"/>
      <c r="B2321" s="83" t="e">
        <f t="array" ref="B2321">SUM(--(FREQUENCY(IF(C$2:C$3072=C2321, MATCH(D$2:D$3072, D$2:D$3072, 0)), ROW(D$2:D$3072)-ROW(D$2)+1) &gt; 0))</f>
        <v>#N/A</v>
      </c>
      <c r="C2321" s="408"/>
      <c r="D2321" s="408"/>
      <c r="E2321" s="408"/>
      <c r="F2321" s="408"/>
      <c r="G2321" s="408"/>
      <c r="H2321" s="408"/>
      <c r="I2321" s="408"/>
      <c r="J2321" s="408"/>
      <c r="K2321" s="408"/>
      <c r="L2321" s="408"/>
      <c r="M2321" s="408"/>
      <c r="N2321" s="408" t="str">
        <f t="shared" si="463"/>
        <v/>
      </c>
      <c r="O2321" s="408"/>
      <c r="P2321" s="408"/>
      <c r="Q2321" s="408"/>
      <c r="R2321" s="408"/>
      <c r="S2321" s="408"/>
      <c r="T2321" s="408"/>
      <c r="U2321" s="408"/>
      <c r="V2321" s="421"/>
      <c r="W2321" s="421"/>
      <c r="X2321" s="421"/>
      <c r="Y2321" s="421"/>
      <c r="Z2321" s="421"/>
      <c r="AA2321" s="421"/>
      <c r="AB2321" s="421"/>
      <c r="AC2321" s="421"/>
      <c r="AD2321" s="421"/>
      <c r="AE2321" s="421"/>
      <c r="AF2321" s="421"/>
      <c r="AG2321" s="421"/>
      <c r="AH2321" s="421"/>
      <c r="AI2321" s="421"/>
      <c r="AJ2321" s="421"/>
      <c r="AK2321" s="421"/>
      <c r="AL2321" s="421"/>
    </row>
    <row r="2322" spans="1:38" hidden="1">
      <c r="A2322" s="408"/>
      <c r="B2322" s="83" t="e">
        <f t="array" ref="B2322">SUM(--(FREQUENCY(IF(C$2:C$3072=C2322, MATCH(D$2:D$3072, D$2:D$3072, 0)), ROW(D$2:D$3072)-ROW(D$2)+1) &gt; 0))</f>
        <v>#N/A</v>
      </c>
      <c r="C2322" s="408"/>
      <c r="D2322" s="408"/>
      <c r="E2322" s="408"/>
      <c r="F2322" s="408"/>
      <c r="G2322" s="408"/>
      <c r="H2322" s="408"/>
      <c r="I2322" s="408"/>
      <c r="J2322" s="408"/>
      <c r="K2322" s="408"/>
      <c r="L2322" s="408"/>
      <c r="M2322" s="408"/>
      <c r="N2322" s="408" t="str">
        <f t="shared" si="463"/>
        <v/>
      </c>
      <c r="O2322" s="408"/>
      <c r="P2322" s="408"/>
      <c r="Q2322" s="408"/>
      <c r="R2322" s="408"/>
      <c r="S2322" s="408"/>
      <c r="T2322" s="408"/>
      <c r="U2322" s="408"/>
      <c r="V2322" s="421"/>
      <c r="W2322" s="421"/>
      <c r="X2322" s="421"/>
      <c r="Y2322" s="421"/>
      <c r="Z2322" s="421"/>
      <c r="AA2322" s="421"/>
      <c r="AB2322" s="421"/>
      <c r="AC2322" s="421"/>
      <c r="AD2322" s="421"/>
      <c r="AE2322" s="421"/>
      <c r="AF2322" s="421"/>
      <c r="AG2322" s="421"/>
      <c r="AH2322" s="421"/>
      <c r="AI2322" s="421"/>
      <c r="AJ2322" s="421"/>
      <c r="AK2322" s="421"/>
      <c r="AL2322" s="421"/>
    </row>
    <row r="2323" spans="1:38" hidden="1">
      <c r="A2323" s="408"/>
      <c r="B2323" s="83" t="e">
        <f t="array" ref="B2323">SUM(--(FREQUENCY(IF(C$2:C$3072=C2323, MATCH(D$2:D$3072, D$2:D$3072, 0)), ROW(D$2:D$3072)-ROW(D$2)+1) &gt; 0))</f>
        <v>#N/A</v>
      </c>
      <c r="C2323" s="408"/>
      <c r="D2323" s="408"/>
      <c r="E2323" s="408"/>
      <c r="F2323" s="408"/>
      <c r="G2323" s="408"/>
      <c r="H2323" s="408"/>
      <c r="I2323" s="408"/>
      <c r="J2323" s="408"/>
      <c r="K2323" s="408"/>
      <c r="L2323" s="408"/>
      <c r="M2323" s="408"/>
      <c r="N2323" s="408" t="str">
        <f t="shared" si="463"/>
        <v/>
      </c>
      <c r="O2323" s="408"/>
      <c r="P2323" s="408"/>
      <c r="Q2323" s="408"/>
      <c r="R2323" s="408"/>
      <c r="S2323" s="408"/>
      <c r="T2323" s="408"/>
      <c r="U2323" s="408"/>
      <c r="V2323" s="421"/>
      <c r="W2323" s="421"/>
      <c r="X2323" s="421"/>
      <c r="Y2323" s="421"/>
      <c r="Z2323" s="421"/>
      <c r="AA2323" s="421"/>
      <c r="AB2323" s="421"/>
      <c r="AC2323" s="421"/>
      <c r="AD2323" s="421"/>
      <c r="AE2323" s="421"/>
      <c r="AF2323" s="421"/>
      <c r="AG2323" s="421"/>
      <c r="AH2323" s="421"/>
      <c r="AI2323" s="421"/>
      <c r="AJ2323" s="421"/>
      <c r="AK2323" s="421"/>
      <c r="AL2323" s="421"/>
    </row>
    <row r="2324" spans="1:38" hidden="1">
      <c r="A2324" s="408"/>
      <c r="B2324" s="83" t="e">
        <f t="array" ref="B2324">SUM(--(FREQUENCY(IF(C$2:C$3072=C2324, MATCH(D$2:D$3072, D$2:D$3072, 0)), ROW(D$2:D$3072)-ROW(D$2)+1) &gt; 0))</f>
        <v>#N/A</v>
      </c>
      <c r="C2324" s="408"/>
      <c r="D2324" s="408"/>
      <c r="E2324" s="408"/>
      <c r="F2324" s="408"/>
      <c r="G2324" s="408"/>
      <c r="H2324" s="408"/>
      <c r="I2324" s="408"/>
      <c r="J2324" s="408"/>
      <c r="K2324" s="408"/>
      <c r="L2324" s="408"/>
      <c r="M2324" s="408"/>
      <c r="N2324" s="408" t="str">
        <f t="shared" si="463"/>
        <v/>
      </c>
      <c r="O2324" s="408"/>
      <c r="P2324" s="408"/>
      <c r="Q2324" s="408"/>
      <c r="R2324" s="408"/>
      <c r="S2324" s="408"/>
      <c r="T2324" s="408"/>
      <c r="U2324" s="408"/>
      <c r="V2324" s="421"/>
      <c r="W2324" s="421"/>
      <c r="X2324" s="421"/>
      <c r="Y2324" s="421"/>
      <c r="Z2324" s="421"/>
      <c r="AA2324" s="421"/>
      <c r="AB2324" s="421"/>
      <c r="AC2324" s="421"/>
      <c r="AD2324" s="421"/>
      <c r="AE2324" s="421"/>
      <c r="AF2324" s="421"/>
      <c r="AG2324" s="421"/>
      <c r="AH2324" s="421"/>
      <c r="AI2324" s="421"/>
      <c r="AJ2324" s="421"/>
      <c r="AK2324" s="421"/>
      <c r="AL2324" s="421"/>
    </row>
    <row r="2325" spans="1:38" hidden="1">
      <c r="A2325" s="408"/>
      <c r="B2325" s="83" t="e">
        <f t="array" ref="B2325">SUM(--(FREQUENCY(IF(C$2:C$3072=C2325, MATCH(D$2:D$3072, D$2:D$3072, 0)), ROW(D$2:D$3072)-ROW(D$2)+1) &gt; 0))</f>
        <v>#N/A</v>
      </c>
      <c r="C2325" s="408"/>
      <c r="D2325" s="408"/>
      <c r="E2325" s="408"/>
      <c r="F2325" s="408"/>
      <c r="G2325" s="408"/>
      <c r="H2325" s="408"/>
      <c r="I2325" s="408"/>
      <c r="J2325" s="408"/>
      <c r="K2325" s="408"/>
      <c r="L2325" s="408"/>
      <c r="M2325" s="408"/>
      <c r="N2325" s="408" t="str">
        <f t="shared" si="463"/>
        <v/>
      </c>
      <c r="O2325" s="408"/>
      <c r="P2325" s="408"/>
      <c r="Q2325" s="408"/>
      <c r="R2325" s="408"/>
      <c r="S2325" s="408"/>
      <c r="T2325" s="408"/>
      <c r="U2325" s="408"/>
      <c r="V2325" s="421"/>
      <c r="W2325" s="421"/>
      <c r="X2325" s="421"/>
      <c r="Y2325" s="421"/>
      <c r="Z2325" s="421"/>
      <c r="AA2325" s="421"/>
      <c r="AB2325" s="421"/>
      <c r="AC2325" s="421"/>
      <c r="AD2325" s="421"/>
      <c r="AE2325" s="421"/>
      <c r="AF2325" s="421"/>
      <c r="AG2325" s="421"/>
      <c r="AH2325" s="421"/>
      <c r="AI2325" s="421"/>
      <c r="AJ2325" s="421"/>
      <c r="AK2325" s="421"/>
      <c r="AL2325" s="421"/>
    </row>
    <row r="2326" spans="1:38" hidden="1">
      <c r="A2326" s="408"/>
      <c r="B2326" s="83" t="e">
        <f t="array" ref="B2326">SUM(--(FREQUENCY(IF(C$2:C$3072=C2326, MATCH(D$2:D$3072, D$2:D$3072, 0)), ROW(D$2:D$3072)-ROW(D$2)+1) &gt; 0))</f>
        <v>#N/A</v>
      </c>
      <c r="C2326" s="408"/>
      <c r="D2326" s="408"/>
      <c r="E2326" s="408"/>
      <c r="F2326" s="408"/>
      <c r="G2326" s="408"/>
      <c r="H2326" s="408"/>
      <c r="I2326" s="408"/>
      <c r="J2326" s="408"/>
      <c r="K2326" s="408"/>
      <c r="L2326" s="408"/>
      <c r="M2326" s="408"/>
      <c r="N2326" s="408" t="str">
        <f t="shared" si="463"/>
        <v/>
      </c>
      <c r="O2326" s="408"/>
      <c r="P2326" s="408"/>
      <c r="Q2326" s="408"/>
      <c r="R2326" s="408"/>
      <c r="S2326" s="408"/>
      <c r="T2326" s="408"/>
      <c r="U2326" s="408"/>
      <c r="V2326" s="421"/>
      <c r="W2326" s="421"/>
      <c r="X2326" s="421"/>
      <c r="Y2326" s="421"/>
      <c r="Z2326" s="421"/>
      <c r="AA2326" s="421"/>
      <c r="AB2326" s="421"/>
      <c r="AC2326" s="421"/>
      <c r="AD2326" s="421"/>
      <c r="AE2326" s="421"/>
      <c r="AF2326" s="421"/>
      <c r="AG2326" s="421"/>
      <c r="AH2326" s="421"/>
      <c r="AI2326" s="421"/>
      <c r="AJ2326" s="421"/>
      <c r="AK2326" s="421"/>
      <c r="AL2326" s="421"/>
    </row>
    <row r="2327" spans="1:38" hidden="1">
      <c r="A2327" s="408"/>
      <c r="B2327" s="83" t="e">
        <f t="array" ref="B2327">SUM(--(FREQUENCY(IF(C$2:C$3072=C2327, MATCH(D$2:D$3072, D$2:D$3072, 0)), ROW(D$2:D$3072)-ROW(D$2)+1) &gt; 0))</f>
        <v>#N/A</v>
      </c>
      <c r="C2327" s="408"/>
      <c r="D2327" s="408"/>
      <c r="E2327" s="408"/>
      <c r="F2327" s="408"/>
      <c r="G2327" s="408"/>
      <c r="H2327" s="408"/>
      <c r="I2327" s="408"/>
      <c r="J2327" s="408"/>
      <c r="K2327" s="408"/>
      <c r="L2327" s="408"/>
      <c r="M2327" s="408"/>
      <c r="N2327" s="408" t="str">
        <f t="shared" si="463"/>
        <v/>
      </c>
      <c r="O2327" s="408"/>
      <c r="P2327" s="408"/>
      <c r="Q2327" s="408"/>
      <c r="R2327" s="408"/>
      <c r="S2327" s="408"/>
      <c r="T2327" s="408"/>
      <c r="U2327" s="408"/>
      <c r="V2327" s="421"/>
      <c r="W2327" s="421"/>
      <c r="X2327" s="421"/>
      <c r="Y2327" s="421"/>
      <c r="Z2327" s="421"/>
      <c r="AA2327" s="421"/>
      <c r="AB2327" s="421"/>
      <c r="AC2327" s="421"/>
      <c r="AD2327" s="421"/>
      <c r="AE2327" s="421"/>
      <c r="AF2327" s="421"/>
      <c r="AG2327" s="421"/>
      <c r="AH2327" s="421"/>
      <c r="AI2327" s="421"/>
      <c r="AJ2327" s="421"/>
      <c r="AK2327" s="421"/>
      <c r="AL2327" s="421"/>
    </row>
    <row r="2328" spans="1:38" hidden="1">
      <c r="A2328" s="408"/>
      <c r="B2328" s="83" t="e">
        <f t="array" ref="B2328">SUM(--(FREQUENCY(IF(C$2:C$3072=C2328, MATCH(D$2:D$3072, D$2:D$3072, 0)), ROW(D$2:D$3072)-ROW(D$2)+1) &gt; 0))</f>
        <v>#N/A</v>
      </c>
      <c r="C2328" s="408"/>
      <c r="D2328" s="408"/>
      <c r="E2328" s="408"/>
      <c r="F2328" s="408"/>
      <c r="G2328" s="408"/>
      <c r="H2328" s="408"/>
      <c r="I2328" s="408"/>
      <c r="J2328" s="408"/>
      <c r="K2328" s="408"/>
      <c r="L2328" s="408"/>
      <c r="M2328" s="408"/>
      <c r="N2328" s="408" t="str">
        <f t="shared" si="463"/>
        <v/>
      </c>
      <c r="O2328" s="408"/>
      <c r="P2328" s="408"/>
      <c r="Q2328" s="408"/>
      <c r="R2328" s="408"/>
      <c r="S2328" s="408"/>
      <c r="T2328" s="408"/>
      <c r="U2328" s="408"/>
      <c r="V2328" s="421"/>
      <c r="W2328" s="421"/>
      <c r="X2328" s="421"/>
      <c r="Y2328" s="421"/>
      <c r="Z2328" s="421"/>
      <c r="AA2328" s="421"/>
      <c r="AB2328" s="421"/>
      <c r="AC2328" s="421"/>
      <c r="AD2328" s="421"/>
      <c r="AE2328" s="421"/>
      <c r="AF2328" s="421"/>
      <c r="AG2328" s="421"/>
      <c r="AH2328" s="421"/>
      <c r="AI2328" s="421"/>
      <c r="AJ2328" s="421"/>
      <c r="AK2328" s="421"/>
      <c r="AL2328" s="421"/>
    </row>
    <row r="2329" spans="1:38" hidden="1">
      <c r="A2329" s="408"/>
      <c r="B2329" s="83" t="e">
        <f t="array" ref="B2329">SUM(--(FREQUENCY(IF(C$2:C$3072=C2329, MATCH(D$2:D$3072, D$2:D$3072, 0)), ROW(D$2:D$3072)-ROW(D$2)+1) &gt; 0))</f>
        <v>#N/A</v>
      </c>
      <c r="C2329" s="408"/>
      <c r="D2329" s="408"/>
      <c r="E2329" s="408"/>
      <c r="F2329" s="408"/>
      <c r="G2329" s="408"/>
      <c r="H2329" s="408"/>
      <c r="I2329" s="408"/>
      <c r="J2329" s="408"/>
      <c r="K2329" s="408"/>
      <c r="L2329" s="408"/>
      <c r="M2329" s="408"/>
      <c r="N2329" s="408" t="str">
        <f t="shared" si="463"/>
        <v/>
      </c>
      <c r="O2329" s="408"/>
      <c r="P2329" s="408"/>
      <c r="Q2329" s="408"/>
      <c r="R2329" s="408"/>
      <c r="S2329" s="408"/>
      <c r="T2329" s="408"/>
      <c r="U2329" s="408"/>
      <c r="V2329" s="421"/>
      <c r="W2329" s="421"/>
      <c r="X2329" s="421"/>
      <c r="Y2329" s="421"/>
      <c r="Z2329" s="421"/>
      <c r="AA2329" s="421"/>
      <c r="AB2329" s="421"/>
      <c r="AC2329" s="421"/>
      <c r="AD2329" s="421"/>
      <c r="AE2329" s="421"/>
      <c r="AF2329" s="421"/>
      <c r="AG2329" s="421"/>
      <c r="AH2329" s="421"/>
      <c r="AI2329" s="421"/>
      <c r="AJ2329" s="421"/>
      <c r="AK2329" s="421"/>
      <c r="AL2329" s="421"/>
    </row>
    <row r="2330" spans="1:38" hidden="1">
      <c r="A2330" s="408"/>
      <c r="B2330" s="83" t="e">
        <f t="array" ref="B2330">SUM(--(FREQUENCY(IF(C$2:C$3072=C2330, MATCH(D$2:D$3072, D$2:D$3072, 0)), ROW(D$2:D$3072)-ROW(D$2)+1) &gt; 0))</f>
        <v>#N/A</v>
      </c>
      <c r="C2330" s="408"/>
      <c r="D2330" s="408"/>
      <c r="E2330" s="408"/>
      <c r="F2330" s="408"/>
      <c r="G2330" s="408"/>
      <c r="H2330" s="408"/>
      <c r="I2330" s="408"/>
      <c r="J2330" s="408"/>
      <c r="K2330" s="408"/>
      <c r="L2330" s="408"/>
      <c r="M2330" s="408"/>
      <c r="N2330" s="408" t="str">
        <f t="shared" si="463"/>
        <v/>
      </c>
      <c r="O2330" s="408"/>
      <c r="P2330" s="408"/>
      <c r="Q2330" s="408"/>
      <c r="R2330" s="408"/>
      <c r="S2330" s="408"/>
      <c r="T2330" s="408"/>
      <c r="U2330" s="408"/>
      <c r="V2330" s="421"/>
      <c r="W2330" s="421"/>
      <c r="X2330" s="421"/>
      <c r="Y2330" s="421"/>
      <c r="Z2330" s="421"/>
      <c r="AA2330" s="421"/>
      <c r="AB2330" s="421"/>
      <c r="AC2330" s="421"/>
      <c r="AD2330" s="421"/>
      <c r="AE2330" s="421"/>
      <c r="AF2330" s="421"/>
      <c r="AG2330" s="421"/>
      <c r="AH2330" s="421"/>
      <c r="AI2330" s="421"/>
      <c r="AJ2330" s="421"/>
      <c r="AK2330" s="421"/>
      <c r="AL2330" s="421"/>
    </row>
    <row r="2331" spans="1:38" hidden="1">
      <c r="A2331" s="408"/>
      <c r="B2331" s="83" t="e">
        <f t="array" ref="B2331">SUM(--(FREQUENCY(IF(C$2:C$3072=C2331, MATCH(D$2:D$3072, D$2:D$3072, 0)), ROW(D$2:D$3072)-ROW(D$2)+1) &gt; 0))</f>
        <v>#N/A</v>
      </c>
      <c r="C2331" s="408"/>
      <c r="D2331" s="408"/>
      <c r="E2331" s="408"/>
      <c r="F2331" s="408"/>
      <c r="G2331" s="408"/>
      <c r="H2331" s="408"/>
      <c r="I2331" s="408"/>
      <c r="J2331" s="408"/>
      <c r="K2331" s="408"/>
      <c r="L2331" s="408"/>
      <c r="M2331" s="408"/>
      <c r="N2331" s="408" t="str">
        <f t="shared" si="463"/>
        <v/>
      </c>
      <c r="O2331" s="408"/>
      <c r="P2331" s="408"/>
      <c r="Q2331" s="408"/>
      <c r="R2331" s="408"/>
      <c r="S2331" s="408"/>
      <c r="T2331" s="408"/>
      <c r="U2331" s="408"/>
      <c r="V2331" s="421"/>
      <c r="W2331" s="421"/>
      <c r="X2331" s="421"/>
      <c r="Y2331" s="421"/>
      <c r="Z2331" s="421"/>
      <c r="AA2331" s="421"/>
      <c r="AB2331" s="421"/>
      <c r="AC2331" s="421"/>
      <c r="AD2331" s="421"/>
      <c r="AE2331" s="421"/>
      <c r="AF2331" s="421"/>
      <c r="AG2331" s="421"/>
      <c r="AH2331" s="421"/>
      <c r="AI2331" s="421"/>
      <c r="AJ2331" s="421"/>
      <c r="AK2331" s="421"/>
      <c r="AL2331" s="421"/>
    </row>
    <row r="2332" spans="1:38" hidden="1">
      <c r="A2332" s="408"/>
      <c r="B2332" s="83" t="e">
        <f t="array" ref="B2332">SUM(--(FREQUENCY(IF(C$2:C$3072=C2332, MATCH(D$2:D$3072, D$2:D$3072, 0)), ROW(D$2:D$3072)-ROW(D$2)+1) &gt; 0))</f>
        <v>#N/A</v>
      </c>
      <c r="C2332" s="408"/>
      <c r="D2332" s="408"/>
      <c r="E2332" s="408"/>
      <c r="F2332" s="408"/>
      <c r="G2332" s="408"/>
      <c r="H2332" s="408"/>
      <c r="I2332" s="408"/>
      <c r="J2332" s="408"/>
      <c r="K2332" s="408"/>
      <c r="L2332" s="408"/>
      <c r="M2332" s="408"/>
      <c r="N2332" s="408" t="str">
        <f t="shared" si="463"/>
        <v/>
      </c>
      <c r="O2332" s="408"/>
      <c r="P2332" s="408"/>
      <c r="Q2332" s="408"/>
      <c r="R2332" s="408"/>
      <c r="S2332" s="408"/>
      <c r="T2332" s="408"/>
      <c r="U2332" s="408"/>
      <c r="V2332" s="421"/>
      <c r="W2332" s="421"/>
      <c r="X2332" s="421"/>
      <c r="Y2332" s="421"/>
      <c r="Z2332" s="421"/>
      <c r="AA2332" s="421"/>
      <c r="AB2332" s="421"/>
      <c r="AC2332" s="421"/>
      <c r="AD2332" s="421"/>
      <c r="AE2332" s="421"/>
      <c r="AF2332" s="421"/>
      <c r="AG2332" s="421"/>
      <c r="AH2332" s="421"/>
      <c r="AI2332" s="421"/>
      <c r="AJ2332" s="421"/>
      <c r="AK2332" s="421"/>
      <c r="AL2332" s="421"/>
    </row>
    <row r="2333" spans="1:38" hidden="1">
      <c r="A2333" s="408"/>
      <c r="B2333" s="83" t="e">
        <f t="array" ref="B2333">SUM(--(FREQUENCY(IF(C$2:C$3072=C2333, MATCH(D$2:D$3072, D$2:D$3072, 0)), ROW(D$2:D$3072)-ROW(D$2)+1) &gt; 0))</f>
        <v>#N/A</v>
      </c>
      <c r="C2333" s="408"/>
      <c r="D2333" s="408"/>
      <c r="E2333" s="408"/>
      <c r="F2333" s="408"/>
      <c r="G2333" s="408"/>
      <c r="H2333" s="408"/>
      <c r="I2333" s="408"/>
      <c r="J2333" s="408"/>
      <c r="K2333" s="408"/>
      <c r="L2333" s="408"/>
      <c r="M2333" s="408"/>
      <c r="N2333" s="408" t="str">
        <f t="shared" si="463"/>
        <v/>
      </c>
      <c r="O2333" s="408"/>
      <c r="P2333" s="408"/>
      <c r="Q2333" s="408"/>
      <c r="R2333" s="408"/>
      <c r="S2333" s="408"/>
      <c r="T2333" s="408"/>
      <c r="U2333" s="408"/>
      <c r="V2333" s="421"/>
      <c r="W2333" s="421"/>
      <c r="X2333" s="421"/>
      <c r="Y2333" s="421"/>
      <c r="Z2333" s="421"/>
      <c r="AA2333" s="421"/>
      <c r="AB2333" s="421"/>
      <c r="AC2333" s="421"/>
      <c r="AD2333" s="421"/>
      <c r="AE2333" s="421"/>
      <c r="AF2333" s="421"/>
      <c r="AG2333" s="421"/>
      <c r="AH2333" s="421"/>
      <c r="AI2333" s="421"/>
      <c r="AJ2333" s="421"/>
      <c r="AK2333" s="421"/>
      <c r="AL2333" s="421"/>
    </row>
    <row r="2334" spans="1:38" hidden="1">
      <c r="A2334" s="408"/>
      <c r="B2334" s="83" t="e">
        <f t="array" ref="B2334">SUM(--(FREQUENCY(IF(C$2:C$3072=C2334, MATCH(D$2:D$3072, D$2:D$3072, 0)), ROW(D$2:D$3072)-ROW(D$2)+1) &gt; 0))</f>
        <v>#N/A</v>
      </c>
      <c r="C2334" s="408"/>
      <c r="D2334" s="408"/>
      <c r="E2334" s="408"/>
      <c r="F2334" s="408"/>
      <c r="G2334" s="408"/>
      <c r="H2334" s="408"/>
      <c r="I2334" s="408"/>
      <c r="J2334" s="408"/>
      <c r="K2334" s="408"/>
      <c r="L2334" s="408"/>
      <c r="M2334" s="408"/>
      <c r="N2334" s="408" t="str">
        <f t="shared" si="463"/>
        <v/>
      </c>
      <c r="O2334" s="408"/>
      <c r="P2334" s="408"/>
      <c r="Q2334" s="408"/>
      <c r="R2334" s="408"/>
      <c r="S2334" s="408"/>
      <c r="T2334" s="408"/>
      <c r="U2334" s="408"/>
      <c r="V2334" s="421"/>
      <c r="W2334" s="421"/>
      <c r="X2334" s="421"/>
      <c r="Y2334" s="421"/>
      <c r="Z2334" s="421"/>
      <c r="AA2334" s="421"/>
      <c r="AB2334" s="421"/>
      <c r="AC2334" s="421"/>
      <c r="AD2334" s="421"/>
      <c r="AE2334" s="421"/>
      <c r="AF2334" s="421"/>
      <c r="AG2334" s="421"/>
      <c r="AH2334" s="421"/>
      <c r="AI2334" s="421"/>
      <c r="AJ2334" s="421"/>
      <c r="AK2334" s="421"/>
      <c r="AL2334" s="421"/>
    </row>
    <row r="2335" spans="1:38" hidden="1">
      <c r="A2335" s="408"/>
      <c r="B2335" s="83" t="e">
        <f t="array" ref="B2335">SUM(--(FREQUENCY(IF(C$2:C$3072=C2335, MATCH(D$2:D$3072, D$2:D$3072, 0)), ROW(D$2:D$3072)-ROW(D$2)+1) &gt; 0))</f>
        <v>#N/A</v>
      </c>
      <c r="C2335" s="408"/>
      <c r="D2335" s="408"/>
      <c r="E2335" s="408"/>
      <c r="F2335" s="408"/>
      <c r="G2335" s="408"/>
      <c r="H2335" s="408"/>
      <c r="I2335" s="408"/>
      <c r="J2335" s="408"/>
      <c r="K2335" s="408"/>
      <c r="L2335" s="408"/>
      <c r="M2335" s="408"/>
      <c r="N2335" s="408" t="str">
        <f t="shared" si="463"/>
        <v/>
      </c>
      <c r="O2335" s="408"/>
      <c r="P2335" s="408"/>
      <c r="Q2335" s="408"/>
      <c r="R2335" s="408"/>
      <c r="S2335" s="408"/>
      <c r="T2335" s="408"/>
      <c r="U2335" s="408"/>
      <c r="V2335" s="421"/>
      <c r="W2335" s="421"/>
      <c r="X2335" s="421"/>
      <c r="Y2335" s="421"/>
      <c r="Z2335" s="421"/>
      <c r="AA2335" s="421"/>
      <c r="AB2335" s="421"/>
      <c r="AC2335" s="421"/>
      <c r="AD2335" s="421"/>
      <c r="AE2335" s="421"/>
      <c r="AF2335" s="421"/>
      <c r="AG2335" s="421"/>
      <c r="AH2335" s="421"/>
      <c r="AI2335" s="421"/>
      <c r="AJ2335" s="421"/>
      <c r="AK2335" s="421"/>
      <c r="AL2335" s="421"/>
    </row>
    <row r="2336" spans="1:38" hidden="1">
      <c r="A2336" s="408"/>
      <c r="B2336" s="83" t="e">
        <f t="array" ref="B2336">SUM(--(FREQUENCY(IF(C$2:C$3072=C2336, MATCH(D$2:D$3072, D$2:D$3072, 0)), ROW(D$2:D$3072)-ROW(D$2)+1) &gt; 0))</f>
        <v>#N/A</v>
      </c>
      <c r="C2336" s="408"/>
      <c r="D2336" s="408"/>
      <c r="E2336" s="408"/>
      <c r="F2336" s="408"/>
      <c r="G2336" s="408"/>
      <c r="H2336" s="408"/>
      <c r="I2336" s="408"/>
      <c r="J2336" s="408"/>
      <c r="K2336" s="408"/>
      <c r="L2336" s="408"/>
      <c r="M2336" s="408"/>
      <c r="N2336" s="408" t="str">
        <f t="shared" si="463"/>
        <v/>
      </c>
      <c r="O2336" s="408"/>
      <c r="P2336" s="408"/>
      <c r="Q2336" s="408"/>
      <c r="R2336" s="408"/>
      <c r="S2336" s="408"/>
      <c r="T2336" s="408"/>
      <c r="U2336" s="408"/>
      <c r="V2336" s="421"/>
      <c r="W2336" s="421"/>
      <c r="X2336" s="421"/>
      <c r="Y2336" s="421"/>
      <c r="Z2336" s="421"/>
      <c r="AA2336" s="421"/>
      <c r="AB2336" s="421"/>
      <c r="AC2336" s="421"/>
      <c r="AD2336" s="421"/>
      <c r="AE2336" s="421"/>
      <c r="AF2336" s="421"/>
      <c r="AG2336" s="421"/>
      <c r="AH2336" s="421"/>
      <c r="AI2336" s="421"/>
      <c r="AJ2336" s="421"/>
      <c r="AK2336" s="421"/>
      <c r="AL2336" s="421"/>
    </row>
    <row r="2337" spans="1:38" hidden="1">
      <c r="A2337" s="408"/>
      <c r="B2337" s="83" t="e">
        <f t="array" ref="B2337">SUM(--(FREQUENCY(IF(C$2:C$3072=C2337, MATCH(D$2:D$3072, D$2:D$3072, 0)), ROW(D$2:D$3072)-ROW(D$2)+1) &gt; 0))</f>
        <v>#N/A</v>
      </c>
      <c r="C2337" s="408"/>
      <c r="D2337" s="408"/>
      <c r="E2337" s="408"/>
      <c r="F2337" s="408"/>
      <c r="G2337" s="408"/>
      <c r="H2337" s="408"/>
      <c r="I2337" s="408"/>
      <c r="J2337" s="408"/>
      <c r="K2337" s="408"/>
      <c r="L2337" s="408"/>
      <c r="M2337" s="408"/>
      <c r="N2337" s="408" t="str">
        <f t="shared" si="463"/>
        <v/>
      </c>
      <c r="O2337" s="408"/>
      <c r="P2337" s="408"/>
      <c r="Q2337" s="408"/>
      <c r="R2337" s="408"/>
      <c r="S2337" s="408"/>
      <c r="T2337" s="408"/>
      <c r="U2337" s="408"/>
      <c r="V2337" s="421"/>
      <c r="W2337" s="421"/>
      <c r="X2337" s="421"/>
      <c r="Y2337" s="421"/>
      <c r="Z2337" s="421"/>
      <c r="AA2337" s="421"/>
      <c r="AB2337" s="421"/>
      <c r="AC2337" s="421"/>
      <c r="AD2337" s="421"/>
      <c r="AE2337" s="421"/>
      <c r="AF2337" s="421"/>
      <c r="AG2337" s="421"/>
      <c r="AH2337" s="421"/>
      <c r="AI2337" s="421"/>
      <c r="AJ2337" s="421"/>
      <c r="AK2337" s="421"/>
      <c r="AL2337" s="421"/>
    </row>
    <row r="2338" spans="1:38" hidden="1">
      <c r="A2338" s="408"/>
      <c r="B2338" s="83" t="e">
        <f t="array" ref="B2338">SUM(--(FREQUENCY(IF(C$2:C$3072=C2338, MATCH(D$2:D$3072, D$2:D$3072, 0)), ROW(D$2:D$3072)-ROW(D$2)+1) &gt; 0))</f>
        <v>#N/A</v>
      </c>
      <c r="C2338" s="408"/>
      <c r="D2338" s="408"/>
      <c r="E2338" s="408"/>
      <c r="F2338" s="408"/>
      <c r="G2338" s="408"/>
      <c r="H2338" s="408"/>
      <c r="I2338" s="408"/>
      <c r="J2338" s="408"/>
      <c r="K2338" s="408"/>
      <c r="L2338" s="408"/>
      <c r="M2338" s="408"/>
      <c r="N2338" s="408" t="str">
        <f t="shared" si="463"/>
        <v/>
      </c>
      <c r="O2338" s="408"/>
      <c r="P2338" s="408"/>
      <c r="Q2338" s="408"/>
      <c r="R2338" s="408"/>
      <c r="S2338" s="408"/>
      <c r="T2338" s="408"/>
      <c r="U2338" s="408"/>
      <c r="V2338" s="421"/>
      <c r="W2338" s="421"/>
      <c r="X2338" s="421"/>
      <c r="Y2338" s="421"/>
      <c r="Z2338" s="421"/>
      <c r="AA2338" s="421"/>
      <c r="AB2338" s="421"/>
      <c r="AC2338" s="421"/>
      <c r="AD2338" s="421"/>
      <c r="AE2338" s="421"/>
      <c r="AF2338" s="421"/>
      <c r="AG2338" s="421"/>
      <c r="AH2338" s="421"/>
      <c r="AI2338" s="421"/>
      <c r="AJ2338" s="421"/>
      <c r="AK2338" s="421"/>
      <c r="AL2338" s="421"/>
    </row>
    <row r="2339" spans="1:38" hidden="1">
      <c r="A2339" s="408"/>
      <c r="B2339" s="83" t="e">
        <f t="array" ref="B2339">SUM(--(FREQUENCY(IF(C$2:C$3072=C2339, MATCH(D$2:D$3072, D$2:D$3072, 0)), ROW(D$2:D$3072)-ROW(D$2)+1) &gt; 0))</f>
        <v>#N/A</v>
      </c>
      <c r="C2339" s="408"/>
      <c r="D2339" s="408"/>
      <c r="E2339" s="408"/>
      <c r="F2339" s="408"/>
      <c r="G2339" s="408"/>
      <c r="H2339" s="408"/>
      <c r="I2339" s="408"/>
      <c r="J2339" s="408"/>
      <c r="K2339" s="408"/>
      <c r="L2339" s="408"/>
      <c r="M2339" s="408"/>
      <c r="N2339" s="408" t="str">
        <f t="shared" si="463"/>
        <v/>
      </c>
      <c r="O2339" s="408"/>
      <c r="P2339" s="408"/>
      <c r="Q2339" s="408"/>
      <c r="R2339" s="408"/>
      <c r="S2339" s="408"/>
      <c r="T2339" s="408"/>
      <c r="U2339" s="408"/>
      <c r="V2339" s="421"/>
      <c r="W2339" s="421"/>
      <c r="X2339" s="421"/>
      <c r="Y2339" s="421"/>
      <c r="Z2339" s="421"/>
      <c r="AA2339" s="421"/>
      <c r="AB2339" s="421"/>
      <c r="AC2339" s="421"/>
      <c r="AD2339" s="421"/>
      <c r="AE2339" s="421"/>
      <c r="AF2339" s="421"/>
      <c r="AG2339" s="421"/>
      <c r="AH2339" s="421"/>
      <c r="AI2339" s="421"/>
      <c r="AJ2339" s="421"/>
      <c r="AK2339" s="421"/>
      <c r="AL2339" s="421"/>
    </row>
    <row r="2340" spans="1:38" hidden="1">
      <c r="A2340" s="408"/>
      <c r="B2340" s="83" t="e">
        <f t="array" ref="B2340">SUM(--(FREQUENCY(IF(C$2:C$3072=C2340, MATCH(D$2:D$3072, D$2:D$3072, 0)), ROW(D$2:D$3072)-ROW(D$2)+1) &gt; 0))</f>
        <v>#N/A</v>
      </c>
      <c r="C2340" s="408"/>
      <c r="D2340" s="408"/>
      <c r="E2340" s="408"/>
      <c r="F2340" s="408"/>
      <c r="G2340" s="408"/>
      <c r="H2340" s="408"/>
      <c r="I2340" s="408"/>
      <c r="J2340" s="408"/>
      <c r="K2340" s="408"/>
      <c r="L2340" s="408"/>
      <c r="M2340" s="408"/>
      <c r="N2340" s="408" t="str">
        <f t="shared" si="463"/>
        <v/>
      </c>
      <c r="O2340" s="408"/>
      <c r="P2340" s="408"/>
      <c r="Q2340" s="408"/>
      <c r="R2340" s="408"/>
      <c r="S2340" s="408"/>
      <c r="T2340" s="408"/>
      <c r="U2340" s="408"/>
      <c r="V2340" s="421"/>
      <c r="W2340" s="421"/>
      <c r="X2340" s="421"/>
      <c r="Y2340" s="421"/>
      <c r="Z2340" s="421"/>
      <c r="AA2340" s="421"/>
      <c r="AB2340" s="421"/>
      <c r="AC2340" s="421"/>
      <c r="AD2340" s="421"/>
      <c r="AE2340" s="421"/>
      <c r="AF2340" s="421"/>
      <c r="AG2340" s="421"/>
      <c r="AH2340" s="421"/>
      <c r="AI2340" s="421"/>
      <c r="AJ2340" s="421"/>
      <c r="AK2340" s="421"/>
      <c r="AL2340" s="421"/>
    </row>
    <row r="2341" spans="1:38" hidden="1">
      <c r="A2341" s="408"/>
      <c r="B2341" s="83" t="e">
        <f t="array" ref="B2341">SUM(--(FREQUENCY(IF(C$2:C$3072=C2341, MATCH(D$2:D$3072, D$2:D$3072, 0)), ROW(D$2:D$3072)-ROW(D$2)+1) &gt; 0))</f>
        <v>#N/A</v>
      </c>
      <c r="C2341" s="408"/>
      <c r="D2341" s="408"/>
      <c r="E2341" s="408"/>
      <c r="F2341" s="408"/>
      <c r="G2341" s="408"/>
      <c r="H2341" s="408"/>
      <c r="I2341" s="408"/>
      <c r="J2341" s="408"/>
      <c r="K2341" s="408"/>
      <c r="L2341" s="408"/>
      <c r="M2341" s="408"/>
      <c r="N2341" s="408" t="str">
        <f t="shared" si="463"/>
        <v/>
      </c>
      <c r="O2341" s="408"/>
      <c r="P2341" s="408"/>
      <c r="Q2341" s="408"/>
      <c r="R2341" s="408"/>
      <c r="S2341" s="408"/>
      <c r="T2341" s="408"/>
      <c r="U2341" s="408"/>
      <c r="V2341" s="421"/>
      <c r="W2341" s="421"/>
      <c r="X2341" s="421"/>
      <c r="Y2341" s="421"/>
      <c r="Z2341" s="421"/>
      <c r="AA2341" s="421"/>
      <c r="AB2341" s="421"/>
      <c r="AC2341" s="421"/>
      <c r="AD2341" s="421"/>
      <c r="AE2341" s="421"/>
      <c r="AF2341" s="421"/>
      <c r="AG2341" s="421"/>
      <c r="AH2341" s="421"/>
      <c r="AI2341" s="421"/>
      <c r="AJ2341" s="421"/>
      <c r="AK2341" s="421"/>
      <c r="AL2341" s="421"/>
    </row>
    <row r="2342" spans="1:38" hidden="1">
      <c r="A2342" s="408"/>
      <c r="B2342" s="83" t="e">
        <f t="array" ref="B2342">SUM(--(FREQUENCY(IF(C$2:C$3072=C2342, MATCH(D$2:D$3072, D$2:D$3072, 0)), ROW(D$2:D$3072)-ROW(D$2)+1) &gt; 0))</f>
        <v>#N/A</v>
      </c>
      <c r="C2342" s="408"/>
      <c r="D2342" s="408"/>
      <c r="E2342" s="408"/>
      <c r="F2342" s="408"/>
      <c r="G2342" s="408"/>
      <c r="H2342" s="408"/>
      <c r="I2342" s="408"/>
      <c r="J2342" s="408"/>
      <c r="K2342" s="408"/>
      <c r="L2342" s="408"/>
      <c r="M2342" s="408"/>
      <c r="N2342" s="408" t="str">
        <f t="shared" si="463"/>
        <v/>
      </c>
      <c r="O2342" s="408"/>
      <c r="P2342" s="408"/>
      <c r="Q2342" s="408"/>
      <c r="R2342" s="408"/>
      <c r="S2342" s="408"/>
      <c r="T2342" s="408"/>
      <c r="U2342" s="408"/>
      <c r="V2342" s="421"/>
      <c r="W2342" s="421"/>
      <c r="X2342" s="421"/>
      <c r="Y2342" s="421"/>
      <c r="Z2342" s="421"/>
      <c r="AA2342" s="421"/>
      <c r="AB2342" s="421"/>
      <c r="AC2342" s="421"/>
      <c r="AD2342" s="421"/>
      <c r="AE2342" s="421"/>
      <c r="AF2342" s="421"/>
      <c r="AG2342" s="421"/>
      <c r="AH2342" s="421"/>
      <c r="AI2342" s="421"/>
      <c r="AJ2342" s="421"/>
      <c r="AK2342" s="421"/>
      <c r="AL2342" s="421"/>
    </row>
    <row r="2343" spans="1:38" hidden="1">
      <c r="A2343" s="408"/>
      <c r="B2343" s="83" t="e">
        <f t="array" ref="B2343">SUM(--(FREQUENCY(IF(C$2:C$3072=C2343, MATCH(D$2:D$3072, D$2:D$3072, 0)), ROW(D$2:D$3072)-ROW(D$2)+1) &gt; 0))</f>
        <v>#N/A</v>
      </c>
      <c r="C2343" s="408"/>
      <c r="D2343" s="408"/>
      <c r="E2343" s="408"/>
      <c r="F2343" s="408"/>
      <c r="G2343" s="408"/>
      <c r="H2343" s="408"/>
      <c r="I2343" s="408"/>
      <c r="J2343" s="408"/>
      <c r="K2343" s="408"/>
      <c r="L2343" s="408"/>
      <c r="M2343" s="408"/>
      <c r="N2343" s="408" t="str">
        <f t="shared" si="463"/>
        <v/>
      </c>
      <c r="O2343" s="408"/>
      <c r="P2343" s="408"/>
      <c r="Q2343" s="408"/>
      <c r="R2343" s="408"/>
      <c r="S2343" s="408"/>
      <c r="T2343" s="408"/>
      <c r="U2343" s="408"/>
      <c r="V2343" s="421"/>
      <c r="W2343" s="421"/>
      <c r="X2343" s="421"/>
      <c r="Y2343" s="421"/>
      <c r="Z2343" s="421"/>
      <c r="AA2343" s="421"/>
      <c r="AB2343" s="421"/>
      <c r="AC2343" s="421"/>
      <c r="AD2343" s="421"/>
      <c r="AE2343" s="421"/>
      <c r="AF2343" s="421"/>
      <c r="AG2343" s="421"/>
      <c r="AH2343" s="421"/>
      <c r="AI2343" s="421"/>
      <c r="AJ2343" s="421"/>
      <c r="AK2343" s="421"/>
      <c r="AL2343" s="421"/>
    </row>
    <row r="2344" spans="1:38" hidden="1">
      <c r="A2344" s="408"/>
      <c r="B2344" s="83" t="e">
        <f t="array" ref="B2344">SUM(--(FREQUENCY(IF(C$2:C$3072=C2344, MATCH(D$2:D$3072, D$2:D$3072, 0)), ROW(D$2:D$3072)-ROW(D$2)+1) &gt; 0))</f>
        <v>#N/A</v>
      </c>
      <c r="C2344" s="408"/>
      <c r="D2344" s="408"/>
      <c r="E2344" s="408"/>
      <c r="F2344" s="408"/>
      <c r="G2344" s="408"/>
      <c r="H2344" s="408"/>
      <c r="I2344" s="408"/>
      <c r="J2344" s="408"/>
      <c r="K2344" s="408"/>
      <c r="L2344" s="408"/>
      <c r="M2344" s="408"/>
      <c r="N2344" s="408" t="str">
        <f t="shared" si="463"/>
        <v/>
      </c>
      <c r="O2344" s="408"/>
      <c r="P2344" s="408"/>
      <c r="Q2344" s="408"/>
      <c r="R2344" s="408"/>
      <c r="S2344" s="408"/>
      <c r="T2344" s="408"/>
      <c r="U2344" s="408"/>
      <c r="V2344" s="421"/>
      <c r="W2344" s="421"/>
      <c r="X2344" s="421"/>
      <c r="Y2344" s="421"/>
      <c r="Z2344" s="421"/>
      <c r="AA2344" s="421"/>
      <c r="AB2344" s="421"/>
      <c r="AC2344" s="421"/>
      <c r="AD2344" s="421"/>
      <c r="AE2344" s="421"/>
      <c r="AF2344" s="421"/>
      <c r="AG2344" s="421"/>
      <c r="AH2344" s="421"/>
      <c r="AI2344" s="421"/>
      <c r="AJ2344" s="421"/>
      <c r="AK2344" s="421"/>
      <c r="AL2344" s="421"/>
    </row>
    <row r="2345" spans="1:38" hidden="1">
      <c r="A2345" s="408"/>
      <c r="B2345" s="83" t="e">
        <f t="array" ref="B2345">SUM(--(FREQUENCY(IF(C$2:C$3072=C2345, MATCH(D$2:D$3072, D$2:D$3072, 0)), ROW(D$2:D$3072)-ROW(D$2)+1) &gt; 0))</f>
        <v>#N/A</v>
      </c>
      <c r="C2345" s="408"/>
      <c r="D2345" s="408"/>
      <c r="E2345" s="408"/>
      <c r="F2345" s="408"/>
      <c r="G2345" s="408"/>
      <c r="H2345" s="408"/>
      <c r="I2345" s="408"/>
      <c r="J2345" s="408"/>
      <c r="K2345" s="408"/>
      <c r="L2345" s="408"/>
      <c r="M2345" s="408"/>
      <c r="N2345" s="408" t="str">
        <f t="shared" si="463"/>
        <v/>
      </c>
      <c r="O2345" s="408"/>
      <c r="P2345" s="408"/>
      <c r="Q2345" s="408"/>
      <c r="R2345" s="408"/>
      <c r="S2345" s="408"/>
      <c r="T2345" s="408"/>
      <c r="U2345" s="408"/>
      <c r="V2345" s="421"/>
      <c r="W2345" s="421"/>
      <c r="X2345" s="421"/>
      <c r="Y2345" s="421"/>
      <c r="Z2345" s="421"/>
      <c r="AA2345" s="421"/>
      <c r="AB2345" s="421"/>
      <c r="AC2345" s="421"/>
      <c r="AD2345" s="421"/>
      <c r="AE2345" s="421"/>
      <c r="AF2345" s="421"/>
      <c r="AG2345" s="421"/>
      <c r="AH2345" s="421"/>
      <c r="AI2345" s="421"/>
      <c r="AJ2345" s="421"/>
      <c r="AK2345" s="421"/>
      <c r="AL2345" s="421"/>
    </row>
    <row r="2346" spans="1:38" hidden="1">
      <c r="A2346" s="408"/>
      <c r="B2346" s="83" t="e">
        <f t="array" ref="B2346">SUM(--(FREQUENCY(IF(C$2:C$3072=C2346, MATCH(D$2:D$3072, D$2:D$3072, 0)), ROW(D$2:D$3072)-ROW(D$2)+1) &gt; 0))</f>
        <v>#N/A</v>
      </c>
      <c r="C2346" s="408"/>
      <c r="D2346" s="408"/>
      <c r="E2346" s="408"/>
      <c r="F2346" s="408"/>
      <c r="G2346" s="408"/>
      <c r="H2346" s="408"/>
      <c r="I2346" s="408"/>
      <c r="J2346" s="408"/>
      <c r="K2346" s="408"/>
      <c r="L2346" s="408"/>
      <c r="M2346" s="408"/>
      <c r="N2346" s="408" t="str">
        <f t="shared" si="463"/>
        <v/>
      </c>
      <c r="O2346" s="408"/>
      <c r="P2346" s="408"/>
      <c r="Q2346" s="408"/>
      <c r="R2346" s="408"/>
      <c r="S2346" s="408"/>
      <c r="T2346" s="408"/>
      <c r="U2346" s="408"/>
      <c r="V2346" s="421"/>
      <c r="W2346" s="421"/>
      <c r="X2346" s="421"/>
      <c r="Y2346" s="421"/>
      <c r="Z2346" s="421"/>
      <c r="AA2346" s="421"/>
      <c r="AB2346" s="421"/>
      <c r="AC2346" s="421"/>
      <c r="AD2346" s="421"/>
      <c r="AE2346" s="421"/>
      <c r="AF2346" s="421"/>
      <c r="AG2346" s="421"/>
      <c r="AH2346" s="421"/>
      <c r="AI2346" s="421"/>
      <c r="AJ2346" s="421"/>
      <c r="AK2346" s="421"/>
      <c r="AL2346" s="421"/>
    </row>
    <row r="2347" spans="1:38" hidden="1">
      <c r="A2347" s="408"/>
      <c r="B2347" s="83" t="e">
        <f t="array" ref="B2347">SUM(--(FREQUENCY(IF(C$2:C$3072=C2347, MATCH(D$2:D$3072, D$2:D$3072, 0)), ROW(D$2:D$3072)-ROW(D$2)+1) &gt; 0))</f>
        <v>#N/A</v>
      </c>
      <c r="C2347" s="408"/>
      <c r="D2347" s="408"/>
      <c r="E2347" s="408"/>
      <c r="F2347" s="408"/>
      <c r="G2347" s="408"/>
      <c r="H2347" s="408"/>
      <c r="I2347" s="408"/>
      <c r="J2347" s="408"/>
      <c r="K2347" s="408"/>
      <c r="L2347" s="408"/>
      <c r="M2347" s="408"/>
      <c r="N2347" s="408" t="str">
        <f t="shared" si="463"/>
        <v/>
      </c>
      <c r="O2347" s="408"/>
      <c r="P2347" s="408"/>
      <c r="Q2347" s="408"/>
      <c r="R2347" s="408"/>
      <c r="S2347" s="408"/>
      <c r="T2347" s="408"/>
      <c r="U2347" s="408"/>
      <c r="V2347" s="421"/>
      <c r="W2347" s="421"/>
      <c r="X2347" s="421"/>
      <c r="Y2347" s="421"/>
      <c r="Z2347" s="421"/>
      <c r="AA2347" s="421"/>
      <c r="AB2347" s="421"/>
      <c r="AC2347" s="421"/>
      <c r="AD2347" s="421"/>
      <c r="AE2347" s="421"/>
      <c r="AF2347" s="421"/>
      <c r="AG2347" s="421"/>
      <c r="AH2347" s="421"/>
      <c r="AI2347" s="421"/>
      <c r="AJ2347" s="421"/>
      <c r="AK2347" s="421"/>
      <c r="AL2347" s="421"/>
    </row>
    <row r="2348" spans="1:38" hidden="1">
      <c r="A2348" s="408"/>
      <c r="B2348" s="83" t="e">
        <f t="array" ref="B2348">SUM(--(FREQUENCY(IF(C$2:C$3072=C2348, MATCH(D$2:D$3072, D$2:D$3072, 0)), ROW(D$2:D$3072)-ROW(D$2)+1) &gt; 0))</f>
        <v>#N/A</v>
      </c>
      <c r="C2348" s="408"/>
      <c r="D2348" s="408"/>
      <c r="E2348" s="408"/>
      <c r="F2348" s="408"/>
      <c r="G2348" s="408"/>
      <c r="H2348" s="408"/>
      <c r="I2348" s="408"/>
      <c r="J2348" s="408"/>
      <c r="K2348" s="408"/>
      <c r="L2348" s="408"/>
      <c r="M2348" s="408"/>
      <c r="N2348" s="408" t="str">
        <f t="shared" si="463"/>
        <v/>
      </c>
      <c r="O2348" s="408"/>
      <c r="P2348" s="408"/>
      <c r="Q2348" s="408"/>
      <c r="R2348" s="408"/>
      <c r="S2348" s="408"/>
      <c r="T2348" s="408"/>
      <c r="U2348" s="408"/>
      <c r="V2348" s="421"/>
      <c r="W2348" s="421"/>
      <c r="X2348" s="421"/>
      <c r="Y2348" s="421"/>
      <c r="Z2348" s="421"/>
      <c r="AA2348" s="421"/>
      <c r="AB2348" s="421"/>
      <c r="AC2348" s="421"/>
      <c r="AD2348" s="421"/>
      <c r="AE2348" s="421"/>
      <c r="AF2348" s="421"/>
      <c r="AG2348" s="421"/>
      <c r="AH2348" s="421"/>
      <c r="AI2348" s="421"/>
      <c r="AJ2348" s="421"/>
      <c r="AK2348" s="421"/>
      <c r="AL2348" s="421"/>
    </row>
    <row r="2349" spans="1:38" hidden="1">
      <c r="A2349" s="408"/>
      <c r="B2349" s="83" t="e">
        <f t="array" ref="B2349">SUM(--(FREQUENCY(IF(C$2:C$3072=C2349, MATCH(D$2:D$3072, D$2:D$3072, 0)), ROW(D$2:D$3072)-ROW(D$2)+1) &gt; 0))</f>
        <v>#N/A</v>
      </c>
      <c r="C2349" s="408"/>
      <c r="D2349" s="408"/>
      <c r="E2349" s="408"/>
      <c r="F2349" s="408"/>
      <c r="G2349" s="408"/>
      <c r="H2349" s="408"/>
      <c r="I2349" s="408"/>
      <c r="J2349" s="408"/>
      <c r="K2349" s="408"/>
      <c r="L2349" s="408"/>
      <c r="M2349" s="408"/>
      <c r="N2349" s="408" t="str">
        <f t="shared" si="463"/>
        <v/>
      </c>
      <c r="O2349" s="408"/>
      <c r="P2349" s="408"/>
      <c r="Q2349" s="408"/>
      <c r="R2349" s="408"/>
      <c r="S2349" s="408"/>
      <c r="T2349" s="408"/>
      <c r="U2349" s="408"/>
      <c r="V2349" s="421"/>
      <c r="W2349" s="421"/>
      <c r="X2349" s="421"/>
      <c r="Y2349" s="421"/>
      <c r="Z2349" s="421"/>
      <c r="AA2349" s="421"/>
      <c r="AB2349" s="421"/>
      <c r="AC2349" s="421"/>
      <c r="AD2349" s="421"/>
      <c r="AE2349" s="421"/>
      <c r="AF2349" s="421"/>
      <c r="AG2349" s="421"/>
      <c r="AH2349" s="421"/>
      <c r="AI2349" s="421"/>
      <c r="AJ2349" s="421"/>
      <c r="AK2349" s="421"/>
      <c r="AL2349" s="421"/>
    </row>
    <row r="2350" spans="1:38" hidden="1">
      <c r="A2350" s="408"/>
      <c r="B2350" s="83" t="e">
        <f t="array" ref="B2350">SUM(--(FREQUENCY(IF(C$2:C$3072=C2350, MATCH(D$2:D$3072, D$2:D$3072, 0)), ROW(D$2:D$3072)-ROW(D$2)+1) &gt; 0))</f>
        <v>#N/A</v>
      </c>
      <c r="C2350" s="408"/>
      <c r="D2350" s="408"/>
      <c r="E2350" s="408"/>
      <c r="F2350" s="408"/>
      <c r="G2350" s="408"/>
      <c r="H2350" s="408"/>
      <c r="I2350" s="408"/>
      <c r="J2350" s="408"/>
      <c r="K2350" s="408"/>
      <c r="L2350" s="408"/>
      <c r="M2350" s="408"/>
      <c r="N2350" s="408" t="str">
        <f t="shared" si="463"/>
        <v/>
      </c>
      <c r="O2350" s="408"/>
      <c r="P2350" s="408"/>
      <c r="Q2350" s="408"/>
      <c r="R2350" s="408"/>
      <c r="S2350" s="408"/>
      <c r="T2350" s="408"/>
      <c r="U2350" s="408"/>
      <c r="V2350" s="421"/>
      <c r="W2350" s="421"/>
      <c r="X2350" s="421"/>
      <c r="Y2350" s="421"/>
      <c r="Z2350" s="421"/>
      <c r="AA2350" s="421"/>
      <c r="AB2350" s="421"/>
      <c r="AC2350" s="421"/>
      <c r="AD2350" s="421"/>
      <c r="AE2350" s="421"/>
      <c r="AF2350" s="421"/>
      <c r="AG2350" s="421"/>
      <c r="AH2350" s="421"/>
      <c r="AI2350" s="421"/>
      <c r="AJ2350" s="421"/>
      <c r="AK2350" s="421"/>
      <c r="AL2350" s="421"/>
    </row>
    <row r="2351" spans="1:38" hidden="1">
      <c r="A2351" s="408"/>
      <c r="B2351" s="83" t="e">
        <f t="array" ref="B2351">SUM(--(FREQUENCY(IF(C$2:C$3072=C2351, MATCH(D$2:D$3072, D$2:D$3072, 0)), ROW(D$2:D$3072)-ROW(D$2)+1) &gt; 0))</f>
        <v>#N/A</v>
      </c>
      <c r="C2351" s="408"/>
      <c r="D2351" s="408"/>
      <c r="E2351" s="408"/>
      <c r="F2351" s="408"/>
      <c r="G2351" s="408"/>
      <c r="H2351" s="408"/>
      <c r="I2351" s="408"/>
      <c r="J2351" s="408"/>
      <c r="K2351" s="408"/>
      <c r="L2351" s="408"/>
      <c r="M2351" s="408"/>
      <c r="N2351" s="408" t="str">
        <f t="shared" si="463"/>
        <v/>
      </c>
      <c r="O2351" s="408"/>
      <c r="P2351" s="408"/>
      <c r="Q2351" s="408"/>
      <c r="R2351" s="408"/>
      <c r="S2351" s="408"/>
      <c r="T2351" s="408"/>
      <c r="U2351" s="408"/>
      <c r="V2351" s="421"/>
      <c r="W2351" s="421"/>
      <c r="X2351" s="421"/>
      <c r="Y2351" s="421"/>
      <c r="Z2351" s="421"/>
      <c r="AA2351" s="421"/>
      <c r="AB2351" s="421"/>
      <c r="AC2351" s="421"/>
      <c r="AD2351" s="421"/>
      <c r="AE2351" s="421"/>
      <c r="AF2351" s="421"/>
      <c r="AG2351" s="421"/>
      <c r="AH2351" s="421"/>
      <c r="AI2351" s="421"/>
      <c r="AJ2351" s="421"/>
      <c r="AK2351" s="421"/>
      <c r="AL2351" s="421"/>
    </row>
    <row r="2352" spans="1:38" hidden="1">
      <c r="A2352" s="408"/>
      <c r="B2352" s="83" t="e">
        <f t="array" ref="B2352">SUM(--(FREQUENCY(IF(C$2:C$3072=C2352, MATCH(D$2:D$3072, D$2:D$3072, 0)), ROW(D$2:D$3072)-ROW(D$2)+1) &gt; 0))</f>
        <v>#N/A</v>
      </c>
      <c r="C2352" s="408"/>
      <c r="D2352" s="408"/>
      <c r="E2352" s="408"/>
      <c r="F2352" s="408"/>
      <c r="G2352" s="408"/>
      <c r="H2352" s="408"/>
      <c r="I2352" s="408"/>
      <c r="J2352" s="408"/>
      <c r="K2352" s="408"/>
      <c r="L2352" s="408"/>
      <c r="M2352" s="408"/>
      <c r="N2352" s="408" t="str">
        <f t="shared" si="463"/>
        <v/>
      </c>
      <c r="O2352" s="408"/>
      <c r="P2352" s="408"/>
      <c r="Q2352" s="408"/>
      <c r="R2352" s="408"/>
      <c r="S2352" s="408"/>
      <c r="T2352" s="408"/>
      <c r="U2352" s="408"/>
      <c r="V2352" s="421"/>
      <c r="W2352" s="421"/>
      <c r="X2352" s="421"/>
      <c r="Y2352" s="421"/>
      <c r="Z2352" s="421"/>
      <c r="AA2352" s="421"/>
      <c r="AB2352" s="421"/>
      <c r="AC2352" s="421"/>
      <c r="AD2352" s="421"/>
      <c r="AE2352" s="421"/>
      <c r="AF2352" s="421"/>
      <c r="AG2352" s="421"/>
      <c r="AH2352" s="421"/>
      <c r="AI2352" s="421"/>
      <c r="AJ2352" s="421"/>
      <c r="AK2352" s="421"/>
      <c r="AL2352" s="421"/>
    </row>
    <row r="2353" spans="1:38" hidden="1">
      <c r="A2353" s="408"/>
      <c r="B2353" s="83" t="e">
        <f t="array" ref="B2353">SUM(--(FREQUENCY(IF(C$2:C$3072=C2353, MATCH(D$2:D$3072, D$2:D$3072, 0)), ROW(D$2:D$3072)-ROW(D$2)+1) &gt; 0))</f>
        <v>#N/A</v>
      </c>
      <c r="C2353" s="408"/>
      <c r="D2353" s="408"/>
      <c r="E2353" s="408"/>
      <c r="F2353" s="408"/>
      <c r="G2353" s="408"/>
      <c r="H2353" s="408"/>
      <c r="I2353" s="408"/>
      <c r="J2353" s="408"/>
      <c r="K2353" s="408"/>
      <c r="L2353" s="408"/>
      <c r="M2353" s="408"/>
      <c r="N2353" s="408" t="str">
        <f t="shared" si="463"/>
        <v/>
      </c>
      <c r="O2353" s="408"/>
      <c r="P2353" s="408"/>
      <c r="Q2353" s="408"/>
      <c r="R2353" s="408"/>
      <c r="S2353" s="408"/>
      <c r="T2353" s="408"/>
      <c r="U2353" s="408"/>
      <c r="V2353" s="421"/>
      <c r="W2353" s="421"/>
      <c r="X2353" s="421"/>
      <c r="Y2353" s="421"/>
      <c r="Z2353" s="421"/>
      <c r="AA2353" s="421"/>
      <c r="AB2353" s="421"/>
      <c r="AC2353" s="421"/>
      <c r="AD2353" s="421"/>
      <c r="AE2353" s="421"/>
      <c r="AF2353" s="421"/>
      <c r="AG2353" s="421"/>
      <c r="AH2353" s="421"/>
      <c r="AI2353" s="421"/>
      <c r="AJ2353" s="421"/>
      <c r="AK2353" s="421"/>
      <c r="AL2353" s="421"/>
    </row>
    <row r="2354" spans="1:38" hidden="1">
      <c r="A2354" s="408"/>
      <c r="B2354" s="83" t="e">
        <f t="array" ref="B2354">SUM(--(FREQUENCY(IF(C$2:C$3072=C2354, MATCH(D$2:D$3072, D$2:D$3072, 0)), ROW(D$2:D$3072)-ROW(D$2)+1) &gt; 0))</f>
        <v>#N/A</v>
      </c>
      <c r="C2354" s="408"/>
      <c r="D2354" s="408"/>
      <c r="E2354" s="408"/>
      <c r="F2354" s="408"/>
      <c r="G2354" s="408"/>
      <c r="H2354" s="408"/>
      <c r="I2354" s="408"/>
      <c r="J2354" s="408"/>
      <c r="K2354" s="408"/>
      <c r="L2354" s="408"/>
      <c r="M2354" s="408"/>
      <c r="N2354" s="408" t="str">
        <f t="shared" si="463"/>
        <v/>
      </c>
      <c r="O2354" s="408"/>
      <c r="P2354" s="408"/>
      <c r="Q2354" s="408"/>
      <c r="R2354" s="408"/>
      <c r="S2354" s="408"/>
      <c r="T2354" s="408"/>
      <c r="U2354" s="408"/>
      <c r="V2354" s="421"/>
      <c r="W2354" s="421"/>
      <c r="X2354" s="421"/>
      <c r="Y2354" s="421"/>
      <c r="Z2354" s="421"/>
      <c r="AA2354" s="421"/>
      <c r="AB2354" s="421"/>
      <c r="AC2354" s="421"/>
      <c r="AD2354" s="421"/>
      <c r="AE2354" s="421"/>
      <c r="AF2354" s="421"/>
      <c r="AG2354" s="421"/>
      <c r="AH2354" s="421"/>
      <c r="AI2354" s="421"/>
      <c r="AJ2354" s="421"/>
      <c r="AK2354" s="421"/>
      <c r="AL2354" s="421"/>
    </row>
    <row r="2355" spans="1:38" hidden="1">
      <c r="A2355" s="408"/>
      <c r="B2355" s="83" t="e">
        <f t="array" ref="B2355">SUM(--(FREQUENCY(IF(C$2:C$3072=C2355, MATCH(D$2:D$3072, D$2:D$3072, 0)), ROW(D$2:D$3072)-ROW(D$2)+1) &gt; 0))</f>
        <v>#N/A</v>
      </c>
      <c r="C2355" s="408"/>
      <c r="D2355" s="408"/>
      <c r="E2355" s="408"/>
      <c r="F2355" s="408"/>
      <c r="G2355" s="408"/>
      <c r="H2355" s="408"/>
      <c r="I2355" s="408"/>
      <c r="J2355" s="408"/>
      <c r="K2355" s="408"/>
      <c r="L2355" s="408"/>
      <c r="M2355" s="408"/>
      <c r="N2355" s="408" t="str">
        <f t="shared" si="463"/>
        <v/>
      </c>
      <c r="O2355" s="408"/>
      <c r="P2355" s="408"/>
      <c r="Q2355" s="408"/>
      <c r="R2355" s="408"/>
      <c r="S2355" s="408"/>
      <c r="T2355" s="408"/>
      <c r="U2355" s="408"/>
      <c r="V2355" s="421"/>
      <c r="W2355" s="421"/>
      <c r="X2355" s="421"/>
      <c r="Y2355" s="421"/>
      <c r="Z2355" s="421"/>
      <c r="AA2355" s="421"/>
      <c r="AB2355" s="421"/>
      <c r="AC2355" s="421"/>
      <c r="AD2355" s="421"/>
      <c r="AE2355" s="421"/>
      <c r="AF2355" s="421"/>
      <c r="AG2355" s="421"/>
      <c r="AH2355" s="421"/>
      <c r="AI2355" s="421"/>
      <c r="AJ2355" s="421"/>
      <c r="AK2355" s="421"/>
      <c r="AL2355" s="421"/>
    </row>
    <row r="2356" spans="1:38" hidden="1">
      <c r="A2356" s="408"/>
      <c r="B2356" s="83" t="e">
        <f t="array" ref="B2356">SUM(--(FREQUENCY(IF(C$2:C$3072=C2356, MATCH(D$2:D$3072, D$2:D$3072, 0)), ROW(D$2:D$3072)-ROW(D$2)+1) &gt; 0))</f>
        <v>#N/A</v>
      </c>
      <c r="C2356" s="408"/>
      <c r="D2356" s="408"/>
      <c r="E2356" s="408"/>
      <c r="F2356" s="408"/>
      <c r="G2356" s="408"/>
      <c r="H2356" s="408"/>
      <c r="I2356" s="408"/>
      <c r="J2356" s="408"/>
      <c r="K2356" s="408"/>
      <c r="L2356" s="408"/>
      <c r="M2356" s="408"/>
      <c r="N2356" s="408" t="str">
        <f t="shared" si="463"/>
        <v/>
      </c>
      <c r="O2356" s="408"/>
      <c r="P2356" s="408"/>
      <c r="Q2356" s="408"/>
      <c r="R2356" s="408"/>
      <c r="S2356" s="408"/>
      <c r="T2356" s="408"/>
      <c r="U2356" s="408"/>
      <c r="V2356" s="421"/>
      <c r="W2356" s="421"/>
      <c r="X2356" s="421"/>
      <c r="Y2356" s="421"/>
      <c r="Z2356" s="421"/>
      <c r="AA2356" s="421"/>
      <c r="AB2356" s="421"/>
      <c r="AC2356" s="421"/>
      <c r="AD2356" s="421"/>
      <c r="AE2356" s="421"/>
      <c r="AF2356" s="421"/>
      <c r="AG2356" s="421"/>
      <c r="AH2356" s="421"/>
      <c r="AI2356" s="421"/>
      <c r="AJ2356" s="421"/>
      <c r="AK2356" s="421"/>
      <c r="AL2356" s="421"/>
    </row>
    <row r="2357" spans="1:38" hidden="1">
      <c r="A2357" s="408"/>
      <c r="B2357" s="83" t="e">
        <f t="array" ref="B2357">SUM(--(FREQUENCY(IF(C$2:C$3072=C2357, MATCH(D$2:D$3072, D$2:D$3072, 0)), ROW(D$2:D$3072)-ROW(D$2)+1) &gt; 0))</f>
        <v>#N/A</v>
      </c>
      <c r="C2357" s="408"/>
      <c r="D2357" s="408"/>
      <c r="E2357" s="408"/>
      <c r="F2357" s="408"/>
      <c r="G2357" s="408"/>
      <c r="H2357" s="408"/>
      <c r="I2357" s="408"/>
      <c r="J2357" s="408"/>
      <c r="K2357" s="408"/>
      <c r="L2357" s="408"/>
      <c r="M2357" s="408"/>
      <c r="N2357" s="408" t="str">
        <f t="shared" si="463"/>
        <v/>
      </c>
      <c r="O2357" s="408"/>
      <c r="P2357" s="408"/>
      <c r="Q2357" s="408"/>
      <c r="R2357" s="408"/>
      <c r="S2357" s="408"/>
      <c r="T2357" s="408"/>
      <c r="U2357" s="408"/>
      <c r="V2357" s="421"/>
      <c r="W2357" s="421"/>
      <c r="X2357" s="421"/>
      <c r="Y2357" s="421"/>
      <c r="Z2357" s="421"/>
      <c r="AA2357" s="421"/>
      <c r="AB2357" s="421"/>
      <c r="AC2357" s="421"/>
      <c r="AD2357" s="421"/>
      <c r="AE2357" s="421"/>
      <c r="AF2357" s="421"/>
      <c r="AG2357" s="421"/>
      <c r="AH2357" s="421"/>
      <c r="AI2357" s="421"/>
      <c r="AJ2357" s="421"/>
      <c r="AK2357" s="421"/>
      <c r="AL2357" s="421"/>
    </row>
    <row r="2358" spans="1:38" hidden="1">
      <c r="A2358" s="408"/>
      <c r="B2358" s="83" t="e">
        <f t="array" ref="B2358">SUM(--(FREQUENCY(IF(C$2:C$3072=C2358, MATCH(D$2:D$3072, D$2:D$3072, 0)), ROW(D$2:D$3072)-ROW(D$2)+1) &gt; 0))</f>
        <v>#N/A</v>
      </c>
      <c r="C2358" s="408"/>
      <c r="D2358" s="408"/>
      <c r="E2358" s="408"/>
      <c r="F2358" s="408"/>
      <c r="G2358" s="408"/>
      <c r="H2358" s="408"/>
      <c r="I2358" s="408"/>
      <c r="J2358" s="408"/>
      <c r="K2358" s="408"/>
      <c r="L2358" s="408"/>
      <c r="M2358" s="408"/>
      <c r="N2358" s="408" t="str">
        <f t="shared" si="463"/>
        <v/>
      </c>
      <c r="O2358" s="408"/>
      <c r="P2358" s="408"/>
      <c r="Q2358" s="408"/>
      <c r="R2358" s="408"/>
      <c r="S2358" s="408"/>
      <c r="T2358" s="408"/>
      <c r="U2358" s="408"/>
      <c r="V2358" s="421"/>
      <c r="W2358" s="421"/>
      <c r="X2358" s="421"/>
      <c r="Y2358" s="421"/>
      <c r="Z2358" s="421"/>
      <c r="AA2358" s="421"/>
      <c r="AB2358" s="421"/>
      <c r="AC2358" s="421"/>
      <c r="AD2358" s="421"/>
      <c r="AE2358" s="421"/>
      <c r="AF2358" s="421"/>
      <c r="AG2358" s="421"/>
      <c r="AH2358" s="421"/>
      <c r="AI2358" s="421"/>
      <c r="AJ2358" s="421"/>
      <c r="AK2358" s="421"/>
      <c r="AL2358" s="421"/>
    </row>
    <row r="2359" spans="1:38" hidden="1">
      <c r="A2359" s="408"/>
      <c r="B2359" s="83" t="e">
        <f t="array" ref="B2359">SUM(--(FREQUENCY(IF(C$2:C$3072=C2359, MATCH(D$2:D$3072, D$2:D$3072, 0)), ROW(D$2:D$3072)-ROW(D$2)+1) &gt; 0))</f>
        <v>#N/A</v>
      </c>
      <c r="C2359" s="408"/>
      <c r="D2359" s="408"/>
      <c r="E2359" s="408"/>
      <c r="F2359" s="408"/>
      <c r="G2359" s="408"/>
      <c r="H2359" s="408"/>
      <c r="I2359" s="408"/>
      <c r="J2359" s="408"/>
      <c r="K2359" s="408"/>
      <c r="L2359" s="408"/>
      <c r="M2359" s="408"/>
      <c r="N2359" s="408" t="str">
        <f t="shared" si="463"/>
        <v/>
      </c>
      <c r="O2359" s="408"/>
      <c r="P2359" s="408"/>
      <c r="Q2359" s="408"/>
      <c r="R2359" s="408"/>
      <c r="S2359" s="408"/>
      <c r="T2359" s="408"/>
      <c r="U2359" s="408"/>
      <c r="V2359" s="421"/>
      <c r="W2359" s="421"/>
      <c r="X2359" s="421"/>
      <c r="Y2359" s="421"/>
      <c r="Z2359" s="421"/>
      <c r="AA2359" s="421"/>
      <c r="AB2359" s="421"/>
      <c r="AC2359" s="421"/>
      <c r="AD2359" s="421"/>
      <c r="AE2359" s="421"/>
      <c r="AF2359" s="421"/>
      <c r="AG2359" s="421"/>
      <c r="AH2359" s="421"/>
      <c r="AI2359" s="421"/>
      <c r="AJ2359" s="421"/>
      <c r="AK2359" s="421"/>
      <c r="AL2359" s="421"/>
    </row>
    <row r="2360" spans="1:38" hidden="1">
      <c r="A2360" s="408"/>
      <c r="B2360" s="83" t="e">
        <f t="array" ref="B2360">SUM(--(FREQUENCY(IF(C$2:C$3072=C2360, MATCH(D$2:D$3072, D$2:D$3072, 0)), ROW(D$2:D$3072)-ROW(D$2)+1) &gt; 0))</f>
        <v>#N/A</v>
      </c>
      <c r="C2360" s="408"/>
      <c r="D2360" s="408"/>
      <c r="E2360" s="408"/>
      <c r="F2360" s="408"/>
      <c r="G2360" s="408"/>
      <c r="H2360" s="408"/>
      <c r="I2360" s="408"/>
      <c r="J2360" s="408"/>
      <c r="K2360" s="408"/>
      <c r="L2360" s="408"/>
      <c r="M2360" s="408"/>
      <c r="N2360" s="408" t="str">
        <f t="shared" si="463"/>
        <v/>
      </c>
      <c r="O2360" s="408"/>
      <c r="P2360" s="408"/>
      <c r="Q2360" s="408"/>
      <c r="R2360" s="408"/>
      <c r="S2360" s="408"/>
      <c r="T2360" s="408"/>
      <c r="U2360" s="408"/>
      <c r="V2360" s="421"/>
      <c r="W2360" s="421"/>
      <c r="X2360" s="421"/>
      <c r="Y2360" s="421"/>
      <c r="Z2360" s="421"/>
      <c r="AA2360" s="421"/>
      <c r="AB2360" s="421"/>
      <c r="AC2360" s="421"/>
      <c r="AD2360" s="421"/>
      <c r="AE2360" s="421"/>
      <c r="AF2360" s="421"/>
      <c r="AG2360" s="421"/>
      <c r="AH2360" s="421"/>
      <c r="AI2360" s="421"/>
      <c r="AJ2360" s="421"/>
      <c r="AK2360" s="421"/>
      <c r="AL2360" s="421"/>
    </row>
    <row r="2361" spans="1:38" hidden="1">
      <c r="A2361" s="408"/>
      <c r="B2361" s="83" t="e">
        <f t="array" ref="B2361">SUM(--(FREQUENCY(IF(C$2:C$3072=C2361, MATCH(D$2:D$3072, D$2:D$3072, 0)), ROW(D$2:D$3072)-ROW(D$2)+1) &gt; 0))</f>
        <v>#N/A</v>
      </c>
      <c r="C2361" s="408"/>
      <c r="D2361" s="408"/>
      <c r="E2361" s="408"/>
      <c r="F2361" s="408"/>
      <c r="G2361" s="408"/>
      <c r="H2361" s="408"/>
      <c r="I2361" s="408"/>
      <c r="J2361" s="408"/>
      <c r="K2361" s="408"/>
      <c r="L2361" s="408"/>
      <c r="M2361" s="408"/>
      <c r="N2361" s="408" t="str">
        <f t="shared" si="463"/>
        <v/>
      </c>
      <c r="O2361" s="408"/>
      <c r="P2361" s="408"/>
      <c r="Q2361" s="408"/>
      <c r="R2361" s="408"/>
      <c r="S2361" s="408"/>
      <c r="T2361" s="408"/>
      <c r="U2361" s="408"/>
      <c r="V2361" s="421"/>
      <c r="W2361" s="421"/>
      <c r="X2361" s="421"/>
      <c r="Y2361" s="421"/>
      <c r="Z2361" s="421"/>
      <c r="AA2361" s="421"/>
      <c r="AB2361" s="421"/>
      <c r="AC2361" s="421"/>
      <c r="AD2361" s="421"/>
      <c r="AE2361" s="421"/>
      <c r="AF2361" s="421"/>
      <c r="AG2361" s="421"/>
      <c r="AH2361" s="421"/>
      <c r="AI2361" s="421"/>
      <c r="AJ2361" s="421"/>
      <c r="AK2361" s="421"/>
      <c r="AL2361" s="421"/>
    </row>
    <row r="2362" spans="1:38" hidden="1">
      <c r="A2362" s="408"/>
      <c r="B2362" s="83" t="e">
        <f t="array" ref="B2362">SUM(--(FREQUENCY(IF(C$2:C$3072=C2362, MATCH(D$2:D$3072, D$2:D$3072, 0)), ROW(D$2:D$3072)-ROW(D$2)+1) &gt; 0))</f>
        <v>#N/A</v>
      </c>
      <c r="C2362" s="408"/>
      <c r="D2362" s="408"/>
      <c r="E2362" s="408"/>
      <c r="F2362" s="408"/>
      <c r="G2362" s="408"/>
      <c r="H2362" s="408"/>
      <c r="I2362" s="408"/>
      <c r="J2362" s="408"/>
      <c r="K2362" s="408"/>
      <c r="L2362" s="408"/>
      <c r="M2362" s="408"/>
      <c r="N2362" s="408" t="str">
        <f t="shared" si="463"/>
        <v/>
      </c>
      <c r="O2362" s="408"/>
      <c r="P2362" s="408"/>
      <c r="Q2362" s="408"/>
      <c r="R2362" s="408"/>
      <c r="S2362" s="408"/>
      <c r="T2362" s="408"/>
      <c r="U2362" s="408"/>
      <c r="V2362" s="421"/>
      <c r="W2362" s="421"/>
      <c r="X2362" s="421"/>
      <c r="Y2362" s="421"/>
      <c r="Z2362" s="421"/>
      <c r="AA2362" s="421"/>
      <c r="AB2362" s="421"/>
      <c r="AC2362" s="421"/>
      <c r="AD2362" s="421"/>
      <c r="AE2362" s="421"/>
      <c r="AF2362" s="421"/>
      <c r="AG2362" s="421"/>
      <c r="AH2362" s="421"/>
      <c r="AI2362" s="421"/>
      <c r="AJ2362" s="421"/>
      <c r="AK2362" s="421"/>
      <c r="AL2362" s="421"/>
    </row>
    <row r="2363" spans="1:38" hidden="1">
      <c r="A2363" s="408"/>
      <c r="B2363" s="83" t="e">
        <f t="array" ref="B2363">SUM(--(FREQUENCY(IF(C$2:C$3072=C2363, MATCH(D$2:D$3072, D$2:D$3072, 0)), ROW(D$2:D$3072)-ROW(D$2)+1) &gt; 0))</f>
        <v>#N/A</v>
      </c>
      <c r="C2363" s="408"/>
      <c r="D2363" s="408"/>
      <c r="E2363" s="408"/>
      <c r="F2363" s="408"/>
      <c r="G2363" s="408"/>
      <c r="H2363" s="408"/>
      <c r="I2363" s="408"/>
      <c r="J2363" s="408"/>
      <c r="K2363" s="408"/>
      <c r="L2363" s="408"/>
      <c r="M2363" s="408"/>
      <c r="N2363" s="408" t="str">
        <f t="shared" si="463"/>
        <v/>
      </c>
      <c r="O2363" s="408"/>
      <c r="P2363" s="408"/>
      <c r="Q2363" s="408"/>
      <c r="R2363" s="408"/>
      <c r="S2363" s="408"/>
      <c r="T2363" s="408"/>
      <c r="U2363" s="408"/>
      <c r="V2363" s="421"/>
      <c r="W2363" s="421"/>
      <c r="X2363" s="421"/>
      <c r="Y2363" s="421"/>
      <c r="Z2363" s="421"/>
      <c r="AA2363" s="421"/>
      <c r="AB2363" s="421"/>
      <c r="AC2363" s="421"/>
      <c r="AD2363" s="421"/>
      <c r="AE2363" s="421"/>
      <c r="AF2363" s="421"/>
      <c r="AG2363" s="421"/>
      <c r="AH2363" s="421"/>
      <c r="AI2363" s="421"/>
      <c r="AJ2363" s="421"/>
      <c r="AK2363" s="421"/>
      <c r="AL2363" s="421"/>
    </row>
    <row r="2364" spans="1:38" hidden="1">
      <c r="A2364" s="408"/>
      <c r="B2364" s="83" t="e">
        <f t="array" ref="B2364">SUM(--(FREQUENCY(IF(C$2:C$3072=C2364, MATCH(D$2:D$3072, D$2:D$3072, 0)), ROW(D$2:D$3072)-ROW(D$2)+1) &gt; 0))</f>
        <v>#N/A</v>
      </c>
      <c r="C2364" s="408"/>
      <c r="D2364" s="408"/>
      <c r="E2364" s="408"/>
      <c r="F2364" s="408"/>
      <c r="G2364" s="408"/>
      <c r="H2364" s="408"/>
      <c r="I2364" s="408"/>
      <c r="J2364" s="408"/>
      <c r="K2364" s="408"/>
      <c r="L2364" s="408"/>
      <c r="M2364" s="408"/>
      <c r="N2364" s="408" t="str">
        <f t="shared" si="463"/>
        <v/>
      </c>
      <c r="O2364" s="408"/>
      <c r="P2364" s="408"/>
      <c r="Q2364" s="408"/>
      <c r="R2364" s="408"/>
      <c r="S2364" s="408"/>
      <c r="T2364" s="408"/>
      <c r="U2364" s="408"/>
      <c r="V2364" s="421"/>
      <c r="W2364" s="421"/>
      <c r="X2364" s="421"/>
      <c r="Y2364" s="421"/>
      <c r="Z2364" s="421"/>
      <c r="AA2364" s="421"/>
      <c r="AB2364" s="421"/>
      <c r="AC2364" s="421"/>
      <c r="AD2364" s="421"/>
      <c r="AE2364" s="421"/>
      <c r="AF2364" s="421"/>
      <c r="AG2364" s="421"/>
      <c r="AH2364" s="421"/>
      <c r="AI2364" s="421"/>
      <c r="AJ2364" s="421"/>
      <c r="AK2364" s="421"/>
      <c r="AL2364" s="421"/>
    </row>
    <row r="2365" spans="1:38" hidden="1">
      <c r="A2365" s="408"/>
      <c r="B2365" s="83" t="e">
        <f t="array" ref="B2365">SUM(--(FREQUENCY(IF(C$2:C$3072=C2365, MATCH(D$2:D$3072, D$2:D$3072, 0)), ROW(D$2:D$3072)-ROW(D$2)+1) &gt; 0))</f>
        <v>#N/A</v>
      </c>
      <c r="C2365" s="408"/>
      <c r="D2365" s="408"/>
      <c r="E2365" s="408"/>
      <c r="F2365" s="408"/>
      <c r="G2365" s="408"/>
      <c r="H2365" s="408"/>
      <c r="I2365" s="408"/>
      <c r="J2365" s="408"/>
      <c r="K2365" s="408"/>
      <c r="L2365" s="408"/>
      <c r="M2365" s="408"/>
      <c r="N2365" s="408" t="str">
        <f t="shared" si="463"/>
        <v/>
      </c>
      <c r="O2365" s="408"/>
      <c r="P2365" s="408"/>
      <c r="Q2365" s="408"/>
      <c r="R2365" s="408"/>
      <c r="S2365" s="408"/>
      <c r="T2365" s="408"/>
      <c r="U2365" s="408"/>
      <c r="V2365" s="421"/>
      <c r="W2365" s="421"/>
      <c r="X2365" s="421"/>
      <c r="Y2365" s="421"/>
      <c r="Z2365" s="421"/>
      <c r="AA2365" s="421"/>
      <c r="AB2365" s="421"/>
      <c r="AC2365" s="421"/>
      <c r="AD2365" s="421"/>
      <c r="AE2365" s="421"/>
      <c r="AF2365" s="421"/>
      <c r="AG2365" s="421"/>
      <c r="AH2365" s="421"/>
      <c r="AI2365" s="421"/>
      <c r="AJ2365" s="421"/>
      <c r="AK2365" s="421"/>
      <c r="AL2365" s="421"/>
    </row>
    <row r="2366" spans="1:38" hidden="1">
      <c r="A2366" s="408"/>
      <c r="B2366" s="83" t="e">
        <f t="array" ref="B2366">SUM(--(FREQUENCY(IF(C$2:C$3072=C2366, MATCH(D$2:D$3072, D$2:D$3072, 0)), ROW(D$2:D$3072)-ROW(D$2)+1) &gt; 0))</f>
        <v>#N/A</v>
      </c>
      <c r="C2366" s="408"/>
      <c r="D2366" s="408"/>
      <c r="E2366" s="408"/>
      <c r="F2366" s="408"/>
      <c r="G2366" s="408"/>
      <c r="H2366" s="408"/>
      <c r="I2366" s="408"/>
      <c r="J2366" s="408"/>
      <c r="K2366" s="408"/>
      <c r="L2366" s="408"/>
      <c r="M2366" s="408"/>
      <c r="N2366" s="408" t="str">
        <f t="shared" si="463"/>
        <v/>
      </c>
      <c r="O2366" s="408"/>
      <c r="P2366" s="408"/>
      <c r="Q2366" s="408"/>
      <c r="R2366" s="408"/>
      <c r="S2366" s="408"/>
      <c r="T2366" s="408"/>
      <c r="U2366" s="408"/>
      <c r="V2366" s="421"/>
      <c r="W2366" s="421"/>
      <c r="X2366" s="421"/>
      <c r="Y2366" s="421"/>
      <c r="Z2366" s="421"/>
      <c r="AA2366" s="421"/>
      <c r="AB2366" s="421"/>
      <c r="AC2366" s="421"/>
      <c r="AD2366" s="421"/>
      <c r="AE2366" s="421"/>
      <c r="AF2366" s="421"/>
      <c r="AG2366" s="421"/>
      <c r="AH2366" s="421"/>
      <c r="AI2366" s="421"/>
      <c r="AJ2366" s="421"/>
      <c r="AK2366" s="421"/>
      <c r="AL2366" s="421"/>
    </row>
    <row r="2367" spans="1:38" hidden="1">
      <c r="A2367" s="408"/>
      <c r="B2367" s="83" t="e">
        <f t="array" ref="B2367">SUM(--(FREQUENCY(IF(C$2:C$3072=C2367, MATCH(D$2:D$3072, D$2:D$3072, 0)), ROW(D$2:D$3072)-ROW(D$2)+1) &gt; 0))</f>
        <v>#N/A</v>
      </c>
      <c r="C2367" s="408"/>
      <c r="D2367" s="408"/>
      <c r="E2367" s="408"/>
      <c r="F2367" s="408"/>
      <c r="G2367" s="408"/>
      <c r="H2367" s="408"/>
      <c r="I2367" s="408"/>
      <c r="J2367" s="408"/>
      <c r="K2367" s="408"/>
      <c r="L2367" s="408"/>
      <c r="M2367" s="408"/>
      <c r="N2367" s="408" t="str">
        <f t="shared" si="463"/>
        <v/>
      </c>
      <c r="O2367" s="408"/>
      <c r="P2367" s="408"/>
      <c r="Q2367" s="408"/>
      <c r="R2367" s="408"/>
      <c r="S2367" s="408"/>
      <c r="T2367" s="408"/>
      <c r="U2367" s="408"/>
      <c r="V2367" s="421"/>
      <c r="W2367" s="421"/>
      <c r="X2367" s="421"/>
      <c r="Y2367" s="421"/>
      <c r="Z2367" s="421"/>
      <c r="AA2367" s="421"/>
      <c r="AB2367" s="421"/>
      <c r="AC2367" s="421"/>
      <c r="AD2367" s="421"/>
      <c r="AE2367" s="421"/>
      <c r="AF2367" s="421"/>
      <c r="AG2367" s="421"/>
      <c r="AH2367" s="421"/>
      <c r="AI2367" s="421"/>
      <c r="AJ2367" s="421"/>
      <c r="AK2367" s="421"/>
      <c r="AL2367" s="421"/>
    </row>
    <row r="2368" spans="1:38" hidden="1">
      <c r="A2368" s="408"/>
      <c r="B2368" s="83" t="e">
        <f t="array" ref="B2368">SUM(--(FREQUENCY(IF(C$2:C$3072=C2368, MATCH(D$2:D$3072, D$2:D$3072, 0)), ROW(D$2:D$3072)-ROW(D$2)+1) &gt; 0))</f>
        <v>#N/A</v>
      </c>
      <c r="C2368" s="408"/>
      <c r="D2368" s="408"/>
      <c r="E2368" s="408"/>
      <c r="F2368" s="408"/>
      <c r="G2368" s="408"/>
      <c r="H2368" s="408"/>
      <c r="I2368" s="408"/>
      <c r="J2368" s="408"/>
      <c r="K2368" s="408"/>
      <c r="L2368" s="408"/>
      <c r="M2368" s="408"/>
      <c r="N2368" s="408" t="str">
        <f t="shared" ref="N2368:N2431" si="464">IF(O2368&lt;&gt;"", "NG", "")</f>
        <v/>
      </c>
      <c r="O2368" s="408"/>
      <c r="P2368" s="408"/>
      <c r="Q2368" s="408"/>
      <c r="R2368" s="408"/>
      <c r="S2368" s="408"/>
      <c r="T2368" s="408"/>
      <c r="U2368" s="408"/>
      <c r="V2368" s="421"/>
      <c r="W2368" s="421"/>
      <c r="X2368" s="421"/>
      <c r="Y2368" s="421"/>
      <c r="Z2368" s="421"/>
      <c r="AA2368" s="421"/>
      <c r="AB2368" s="421"/>
      <c r="AC2368" s="421"/>
      <c r="AD2368" s="421"/>
      <c r="AE2368" s="421"/>
      <c r="AF2368" s="421"/>
      <c r="AG2368" s="421"/>
      <c r="AH2368" s="421"/>
      <c r="AI2368" s="421"/>
      <c r="AJ2368" s="421"/>
      <c r="AK2368" s="421"/>
      <c r="AL2368" s="421"/>
    </row>
    <row r="2369" spans="1:38" hidden="1">
      <c r="A2369" s="408"/>
      <c r="B2369" s="83" t="e">
        <f t="array" ref="B2369">SUM(--(FREQUENCY(IF(C$2:C$3072=C2369, MATCH(D$2:D$3072, D$2:D$3072, 0)), ROW(D$2:D$3072)-ROW(D$2)+1) &gt; 0))</f>
        <v>#N/A</v>
      </c>
      <c r="C2369" s="408"/>
      <c r="D2369" s="408"/>
      <c r="E2369" s="408"/>
      <c r="F2369" s="408"/>
      <c r="G2369" s="408"/>
      <c r="H2369" s="408"/>
      <c r="I2369" s="408"/>
      <c r="J2369" s="408"/>
      <c r="K2369" s="408"/>
      <c r="L2369" s="408"/>
      <c r="M2369" s="408"/>
      <c r="N2369" s="408" t="str">
        <f t="shared" si="464"/>
        <v/>
      </c>
      <c r="O2369" s="408"/>
      <c r="P2369" s="408"/>
      <c r="Q2369" s="408"/>
      <c r="R2369" s="408"/>
      <c r="S2369" s="408"/>
      <c r="T2369" s="408"/>
      <c r="U2369" s="408"/>
      <c r="V2369" s="421"/>
      <c r="W2369" s="421"/>
      <c r="X2369" s="421"/>
      <c r="Y2369" s="421"/>
      <c r="Z2369" s="421"/>
      <c r="AA2369" s="421"/>
      <c r="AB2369" s="421"/>
      <c r="AC2369" s="421"/>
      <c r="AD2369" s="421"/>
      <c r="AE2369" s="421"/>
      <c r="AF2369" s="421"/>
      <c r="AG2369" s="421"/>
      <c r="AH2369" s="421"/>
      <c r="AI2369" s="421"/>
      <c r="AJ2369" s="421"/>
      <c r="AK2369" s="421"/>
      <c r="AL2369" s="421"/>
    </row>
    <row r="2370" spans="1:38" hidden="1">
      <c r="A2370" s="408"/>
      <c r="B2370" s="83" t="e">
        <f t="array" ref="B2370">SUM(--(FREQUENCY(IF(C$2:C$3072=C2370, MATCH(D$2:D$3072, D$2:D$3072, 0)), ROW(D$2:D$3072)-ROW(D$2)+1) &gt; 0))</f>
        <v>#N/A</v>
      </c>
      <c r="C2370" s="408"/>
      <c r="D2370" s="408"/>
      <c r="E2370" s="408"/>
      <c r="F2370" s="408"/>
      <c r="G2370" s="408"/>
      <c r="H2370" s="408"/>
      <c r="I2370" s="408"/>
      <c r="J2370" s="408"/>
      <c r="K2370" s="408"/>
      <c r="L2370" s="408"/>
      <c r="M2370" s="408"/>
      <c r="N2370" s="408" t="str">
        <f t="shared" si="464"/>
        <v/>
      </c>
      <c r="O2370" s="408"/>
      <c r="P2370" s="408"/>
      <c r="Q2370" s="408"/>
      <c r="R2370" s="408"/>
      <c r="S2370" s="408"/>
      <c r="T2370" s="408"/>
      <c r="U2370" s="408"/>
      <c r="V2370" s="421"/>
      <c r="W2370" s="421"/>
      <c r="X2370" s="421"/>
      <c r="Y2370" s="421"/>
      <c r="Z2370" s="421"/>
      <c r="AA2370" s="421"/>
      <c r="AB2370" s="421"/>
      <c r="AC2370" s="421"/>
      <c r="AD2370" s="421"/>
      <c r="AE2370" s="421"/>
      <c r="AF2370" s="421"/>
      <c r="AG2370" s="421"/>
      <c r="AH2370" s="421"/>
      <c r="AI2370" s="421"/>
      <c r="AJ2370" s="421"/>
      <c r="AK2370" s="421"/>
      <c r="AL2370" s="421"/>
    </row>
    <row r="2371" spans="1:38" hidden="1">
      <c r="A2371" s="408"/>
      <c r="B2371" s="83" t="e">
        <f t="array" ref="B2371">SUM(--(FREQUENCY(IF(C$2:C$3072=C2371, MATCH(D$2:D$3072, D$2:D$3072, 0)), ROW(D$2:D$3072)-ROW(D$2)+1) &gt; 0))</f>
        <v>#N/A</v>
      </c>
      <c r="C2371" s="408"/>
      <c r="D2371" s="408"/>
      <c r="E2371" s="408"/>
      <c r="F2371" s="408"/>
      <c r="G2371" s="408"/>
      <c r="H2371" s="408"/>
      <c r="I2371" s="408"/>
      <c r="J2371" s="408"/>
      <c r="K2371" s="408"/>
      <c r="L2371" s="408"/>
      <c r="M2371" s="408"/>
      <c r="N2371" s="408" t="str">
        <f t="shared" si="464"/>
        <v/>
      </c>
      <c r="O2371" s="408"/>
      <c r="P2371" s="408"/>
      <c r="Q2371" s="408"/>
      <c r="R2371" s="408"/>
      <c r="S2371" s="408"/>
      <c r="T2371" s="408"/>
      <c r="U2371" s="408"/>
      <c r="V2371" s="421"/>
      <c r="W2371" s="421"/>
      <c r="X2371" s="421"/>
      <c r="Y2371" s="421"/>
      <c r="Z2371" s="421"/>
      <c r="AA2371" s="421"/>
      <c r="AB2371" s="421"/>
      <c r="AC2371" s="421"/>
      <c r="AD2371" s="421"/>
      <c r="AE2371" s="421"/>
      <c r="AF2371" s="421"/>
      <c r="AG2371" s="421"/>
      <c r="AH2371" s="421"/>
      <c r="AI2371" s="421"/>
      <c r="AJ2371" s="421"/>
      <c r="AK2371" s="421"/>
      <c r="AL2371" s="421"/>
    </row>
    <row r="2372" spans="1:38" hidden="1">
      <c r="A2372" s="408"/>
      <c r="B2372" s="83" t="e">
        <f t="array" ref="B2372">SUM(--(FREQUENCY(IF(C$2:C$3072=C2372, MATCH(D$2:D$3072, D$2:D$3072, 0)), ROW(D$2:D$3072)-ROW(D$2)+1) &gt; 0))</f>
        <v>#N/A</v>
      </c>
      <c r="C2372" s="408"/>
      <c r="D2372" s="408"/>
      <c r="E2372" s="408"/>
      <c r="F2372" s="408"/>
      <c r="G2372" s="408"/>
      <c r="H2372" s="408"/>
      <c r="I2372" s="408"/>
      <c r="J2372" s="408"/>
      <c r="K2372" s="408"/>
      <c r="L2372" s="408"/>
      <c r="M2372" s="408"/>
      <c r="N2372" s="408" t="str">
        <f t="shared" si="464"/>
        <v/>
      </c>
      <c r="O2372" s="408"/>
      <c r="P2372" s="408"/>
      <c r="Q2372" s="408"/>
      <c r="R2372" s="408"/>
      <c r="S2372" s="408"/>
      <c r="T2372" s="408"/>
      <c r="U2372" s="408"/>
      <c r="V2372" s="421"/>
      <c r="W2372" s="421"/>
      <c r="X2372" s="421"/>
      <c r="Y2372" s="421"/>
      <c r="Z2372" s="421"/>
      <c r="AA2372" s="421"/>
      <c r="AB2372" s="421"/>
      <c r="AC2372" s="421"/>
      <c r="AD2372" s="421"/>
      <c r="AE2372" s="421"/>
      <c r="AF2372" s="421"/>
      <c r="AG2372" s="421"/>
      <c r="AH2372" s="421"/>
      <c r="AI2372" s="421"/>
      <c r="AJ2372" s="421"/>
      <c r="AK2372" s="421"/>
      <c r="AL2372" s="421"/>
    </row>
    <row r="2373" spans="1:38" hidden="1">
      <c r="A2373" s="408"/>
      <c r="B2373" s="83" t="e">
        <f t="array" ref="B2373">SUM(--(FREQUENCY(IF(C$2:C$3072=C2373, MATCH(D$2:D$3072, D$2:D$3072, 0)), ROW(D$2:D$3072)-ROW(D$2)+1) &gt; 0))</f>
        <v>#N/A</v>
      </c>
      <c r="C2373" s="408"/>
      <c r="D2373" s="408"/>
      <c r="E2373" s="408"/>
      <c r="F2373" s="408"/>
      <c r="G2373" s="408"/>
      <c r="H2373" s="408"/>
      <c r="I2373" s="408"/>
      <c r="J2373" s="408"/>
      <c r="K2373" s="408"/>
      <c r="L2373" s="408"/>
      <c r="M2373" s="408"/>
      <c r="N2373" s="408" t="str">
        <f t="shared" si="464"/>
        <v/>
      </c>
      <c r="O2373" s="408"/>
      <c r="P2373" s="408"/>
      <c r="Q2373" s="408"/>
      <c r="R2373" s="408"/>
      <c r="S2373" s="408"/>
      <c r="T2373" s="408"/>
      <c r="U2373" s="408"/>
      <c r="V2373" s="421"/>
      <c r="W2373" s="421"/>
      <c r="X2373" s="421"/>
      <c r="Y2373" s="421"/>
      <c r="Z2373" s="421"/>
      <c r="AA2373" s="421"/>
      <c r="AB2373" s="421"/>
      <c r="AC2373" s="421"/>
      <c r="AD2373" s="421"/>
      <c r="AE2373" s="421"/>
      <c r="AF2373" s="421"/>
      <c r="AG2373" s="421"/>
      <c r="AH2373" s="421"/>
      <c r="AI2373" s="421"/>
      <c r="AJ2373" s="421"/>
      <c r="AK2373" s="421"/>
      <c r="AL2373" s="421"/>
    </row>
    <row r="2374" spans="1:38" hidden="1">
      <c r="A2374" s="408"/>
      <c r="B2374" s="83" t="e">
        <f t="array" ref="B2374">SUM(--(FREQUENCY(IF(C$2:C$3072=C2374, MATCH(D$2:D$3072, D$2:D$3072, 0)), ROW(D$2:D$3072)-ROW(D$2)+1) &gt; 0))</f>
        <v>#N/A</v>
      </c>
      <c r="C2374" s="408"/>
      <c r="D2374" s="408"/>
      <c r="E2374" s="408"/>
      <c r="F2374" s="408"/>
      <c r="G2374" s="408"/>
      <c r="H2374" s="408"/>
      <c r="I2374" s="408"/>
      <c r="J2374" s="408"/>
      <c r="K2374" s="408"/>
      <c r="L2374" s="408"/>
      <c r="M2374" s="408"/>
      <c r="N2374" s="408" t="str">
        <f t="shared" si="464"/>
        <v/>
      </c>
      <c r="O2374" s="408"/>
      <c r="P2374" s="408"/>
      <c r="Q2374" s="408"/>
      <c r="R2374" s="408"/>
      <c r="S2374" s="408"/>
      <c r="T2374" s="408"/>
      <c r="U2374" s="408"/>
      <c r="V2374" s="421"/>
      <c r="W2374" s="421"/>
      <c r="X2374" s="421"/>
      <c r="Y2374" s="421"/>
      <c r="Z2374" s="421"/>
      <c r="AA2374" s="421"/>
      <c r="AB2374" s="421"/>
      <c r="AC2374" s="421"/>
      <c r="AD2374" s="421"/>
      <c r="AE2374" s="421"/>
      <c r="AF2374" s="421"/>
      <c r="AG2374" s="421"/>
      <c r="AH2374" s="421"/>
      <c r="AI2374" s="421"/>
      <c r="AJ2374" s="421"/>
      <c r="AK2374" s="421"/>
      <c r="AL2374" s="421"/>
    </row>
    <row r="2375" spans="1:38" hidden="1">
      <c r="A2375" s="408"/>
      <c r="B2375" s="83" t="e">
        <f t="array" ref="B2375">SUM(--(FREQUENCY(IF(C$2:C$3072=C2375, MATCH(D$2:D$3072, D$2:D$3072, 0)), ROW(D$2:D$3072)-ROW(D$2)+1) &gt; 0))</f>
        <v>#N/A</v>
      </c>
      <c r="C2375" s="408"/>
      <c r="D2375" s="408"/>
      <c r="E2375" s="408"/>
      <c r="F2375" s="408"/>
      <c r="G2375" s="408"/>
      <c r="H2375" s="408"/>
      <c r="I2375" s="408"/>
      <c r="J2375" s="408"/>
      <c r="K2375" s="408"/>
      <c r="L2375" s="408"/>
      <c r="M2375" s="408"/>
      <c r="N2375" s="408" t="str">
        <f t="shared" si="464"/>
        <v/>
      </c>
      <c r="O2375" s="408"/>
      <c r="P2375" s="408"/>
      <c r="Q2375" s="408"/>
      <c r="R2375" s="408"/>
      <c r="S2375" s="408"/>
      <c r="T2375" s="408"/>
      <c r="U2375" s="408"/>
      <c r="V2375" s="421"/>
      <c r="W2375" s="421"/>
      <c r="X2375" s="421"/>
      <c r="Y2375" s="421"/>
      <c r="Z2375" s="421"/>
      <c r="AA2375" s="421"/>
      <c r="AB2375" s="421"/>
      <c r="AC2375" s="421"/>
      <c r="AD2375" s="421"/>
      <c r="AE2375" s="421"/>
      <c r="AF2375" s="421"/>
      <c r="AG2375" s="421"/>
      <c r="AH2375" s="421"/>
      <c r="AI2375" s="421"/>
      <c r="AJ2375" s="421"/>
      <c r="AK2375" s="421"/>
      <c r="AL2375" s="421"/>
    </row>
    <row r="2376" spans="1:38" hidden="1">
      <c r="A2376" s="408"/>
      <c r="B2376" s="83" t="e">
        <f t="array" ref="B2376">SUM(--(FREQUENCY(IF(C$2:C$3072=C2376, MATCH(D$2:D$3072, D$2:D$3072, 0)), ROW(D$2:D$3072)-ROW(D$2)+1) &gt; 0))</f>
        <v>#N/A</v>
      </c>
      <c r="C2376" s="408"/>
      <c r="D2376" s="408"/>
      <c r="E2376" s="408"/>
      <c r="F2376" s="408"/>
      <c r="G2376" s="408"/>
      <c r="H2376" s="408"/>
      <c r="I2376" s="408"/>
      <c r="J2376" s="408"/>
      <c r="K2376" s="408"/>
      <c r="L2376" s="408"/>
      <c r="M2376" s="408"/>
      <c r="N2376" s="408" t="str">
        <f t="shared" si="464"/>
        <v/>
      </c>
      <c r="O2376" s="408"/>
      <c r="P2376" s="408"/>
      <c r="Q2376" s="408"/>
      <c r="R2376" s="408"/>
      <c r="S2376" s="408"/>
      <c r="T2376" s="408"/>
      <c r="U2376" s="408"/>
      <c r="V2376" s="421"/>
      <c r="W2376" s="421"/>
      <c r="X2376" s="421"/>
      <c r="Y2376" s="421"/>
      <c r="Z2376" s="421"/>
      <c r="AA2376" s="421"/>
      <c r="AB2376" s="421"/>
      <c r="AC2376" s="421"/>
      <c r="AD2376" s="421"/>
      <c r="AE2376" s="421"/>
      <c r="AF2376" s="421"/>
      <c r="AG2376" s="421"/>
      <c r="AH2376" s="421"/>
      <c r="AI2376" s="421"/>
      <c r="AJ2376" s="421"/>
      <c r="AK2376" s="421"/>
      <c r="AL2376" s="421"/>
    </row>
    <row r="2377" spans="1:38" hidden="1">
      <c r="A2377" s="408"/>
      <c r="B2377" s="83" t="e">
        <f t="array" ref="B2377">SUM(--(FREQUENCY(IF(C$2:C$3072=C2377, MATCH(D$2:D$3072, D$2:D$3072, 0)), ROW(D$2:D$3072)-ROW(D$2)+1) &gt; 0))</f>
        <v>#N/A</v>
      </c>
      <c r="C2377" s="408"/>
      <c r="D2377" s="408"/>
      <c r="E2377" s="408"/>
      <c r="F2377" s="408"/>
      <c r="G2377" s="408"/>
      <c r="H2377" s="408"/>
      <c r="I2377" s="408"/>
      <c r="J2377" s="408"/>
      <c r="K2377" s="408"/>
      <c r="L2377" s="408"/>
      <c r="M2377" s="408"/>
      <c r="N2377" s="408" t="str">
        <f t="shared" si="464"/>
        <v/>
      </c>
      <c r="O2377" s="408"/>
      <c r="P2377" s="408"/>
      <c r="Q2377" s="408"/>
      <c r="R2377" s="408"/>
      <c r="S2377" s="408"/>
      <c r="T2377" s="408"/>
      <c r="U2377" s="408"/>
      <c r="V2377" s="421"/>
      <c r="W2377" s="421"/>
      <c r="X2377" s="421"/>
      <c r="Y2377" s="421"/>
      <c r="Z2377" s="421"/>
      <c r="AA2377" s="421"/>
      <c r="AB2377" s="421"/>
      <c r="AC2377" s="421"/>
      <c r="AD2377" s="421"/>
      <c r="AE2377" s="421"/>
      <c r="AF2377" s="421"/>
      <c r="AG2377" s="421"/>
      <c r="AH2377" s="421"/>
      <c r="AI2377" s="421"/>
      <c r="AJ2377" s="421"/>
      <c r="AK2377" s="421"/>
      <c r="AL2377" s="421"/>
    </row>
    <row r="2378" spans="1:38" hidden="1">
      <c r="A2378" s="408"/>
      <c r="B2378" s="83" t="e">
        <f t="array" ref="B2378">SUM(--(FREQUENCY(IF(C$2:C$3072=C2378, MATCH(D$2:D$3072, D$2:D$3072, 0)), ROW(D$2:D$3072)-ROW(D$2)+1) &gt; 0))</f>
        <v>#N/A</v>
      </c>
      <c r="C2378" s="408"/>
      <c r="D2378" s="408"/>
      <c r="E2378" s="408"/>
      <c r="F2378" s="408"/>
      <c r="G2378" s="408"/>
      <c r="H2378" s="408"/>
      <c r="I2378" s="408"/>
      <c r="J2378" s="408"/>
      <c r="K2378" s="408"/>
      <c r="L2378" s="408"/>
      <c r="M2378" s="408"/>
      <c r="N2378" s="408" t="str">
        <f t="shared" si="464"/>
        <v/>
      </c>
      <c r="O2378" s="408"/>
      <c r="P2378" s="408"/>
      <c r="Q2378" s="408"/>
      <c r="R2378" s="408"/>
      <c r="S2378" s="408"/>
      <c r="T2378" s="408"/>
      <c r="U2378" s="408"/>
      <c r="V2378" s="421"/>
      <c r="W2378" s="421"/>
      <c r="X2378" s="421"/>
      <c r="Y2378" s="421"/>
      <c r="Z2378" s="421"/>
      <c r="AA2378" s="421"/>
      <c r="AB2378" s="421"/>
      <c r="AC2378" s="421"/>
      <c r="AD2378" s="421"/>
      <c r="AE2378" s="421"/>
      <c r="AF2378" s="421"/>
      <c r="AG2378" s="421"/>
      <c r="AH2378" s="421"/>
      <c r="AI2378" s="421"/>
      <c r="AJ2378" s="421"/>
      <c r="AK2378" s="421"/>
      <c r="AL2378" s="421"/>
    </row>
    <row r="2379" spans="1:38" hidden="1">
      <c r="A2379" s="408"/>
      <c r="B2379" s="83" t="e">
        <f t="array" ref="B2379">SUM(--(FREQUENCY(IF(C$2:C$3072=C2379, MATCH(D$2:D$3072, D$2:D$3072, 0)), ROW(D$2:D$3072)-ROW(D$2)+1) &gt; 0))</f>
        <v>#N/A</v>
      </c>
      <c r="C2379" s="408"/>
      <c r="D2379" s="408"/>
      <c r="E2379" s="408"/>
      <c r="F2379" s="408"/>
      <c r="G2379" s="408"/>
      <c r="H2379" s="408"/>
      <c r="I2379" s="408"/>
      <c r="J2379" s="408"/>
      <c r="K2379" s="408"/>
      <c r="L2379" s="408"/>
      <c r="M2379" s="408"/>
      <c r="N2379" s="408" t="str">
        <f t="shared" si="464"/>
        <v/>
      </c>
      <c r="O2379" s="408"/>
      <c r="P2379" s="408"/>
      <c r="Q2379" s="408"/>
      <c r="R2379" s="408"/>
      <c r="S2379" s="408"/>
      <c r="T2379" s="408"/>
      <c r="U2379" s="408"/>
      <c r="V2379" s="421"/>
      <c r="W2379" s="421"/>
      <c r="X2379" s="421"/>
      <c r="Y2379" s="421"/>
      <c r="Z2379" s="421"/>
      <c r="AA2379" s="421"/>
      <c r="AB2379" s="421"/>
      <c r="AC2379" s="421"/>
      <c r="AD2379" s="421"/>
      <c r="AE2379" s="421"/>
      <c r="AF2379" s="421"/>
      <c r="AG2379" s="421"/>
      <c r="AH2379" s="421"/>
      <c r="AI2379" s="421"/>
      <c r="AJ2379" s="421"/>
      <c r="AK2379" s="421"/>
      <c r="AL2379" s="421"/>
    </row>
    <row r="2380" spans="1:38" hidden="1">
      <c r="A2380" s="408"/>
      <c r="B2380" s="83" t="e">
        <f t="array" ref="B2380">SUM(--(FREQUENCY(IF(C$2:C$3072=C2380, MATCH(D$2:D$3072, D$2:D$3072, 0)), ROW(D$2:D$3072)-ROW(D$2)+1) &gt; 0))</f>
        <v>#N/A</v>
      </c>
      <c r="C2380" s="408"/>
      <c r="D2380" s="408"/>
      <c r="E2380" s="408"/>
      <c r="F2380" s="408"/>
      <c r="G2380" s="408"/>
      <c r="H2380" s="408"/>
      <c r="I2380" s="408"/>
      <c r="J2380" s="408"/>
      <c r="K2380" s="408"/>
      <c r="L2380" s="408"/>
      <c r="M2380" s="408"/>
      <c r="N2380" s="408" t="str">
        <f t="shared" si="464"/>
        <v/>
      </c>
      <c r="O2380" s="408"/>
      <c r="P2380" s="408"/>
      <c r="Q2380" s="408"/>
      <c r="R2380" s="408"/>
      <c r="S2380" s="408"/>
      <c r="T2380" s="408"/>
      <c r="U2380" s="408"/>
      <c r="V2380" s="421"/>
      <c r="W2380" s="421"/>
      <c r="X2380" s="421"/>
      <c r="Y2380" s="421"/>
      <c r="Z2380" s="421"/>
      <c r="AA2380" s="421"/>
      <c r="AB2380" s="421"/>
      <c r="AC2380" s="421"/>
      <c r="AD2380" s="421"/>
      <c r="AE2380" s="421"/>
      <c r="AF2380" s="421"/>
      <c r="AG2380" s="421"/>
      <c r="AH2380" s="421"/>
      <c r="AI2380" s="421"/>
      <c r="AJ2380" s="421"/>
      <c r="AK2380" s="421"/>
      <c r="AL2380" s="421"/>
    </row>
    <row r="2381" spans="1:38" hidden="1">
      <c r="A2381" s="408"/>
      <c r="B2381" s="83" t="e">
        <f t="array" ref="B2381">SUM(--(FREQUENCY(IF(C$2:C$3072=C2381, MATCH(D$2:D$3072, D$2:D$3072, 0)), ROW(D$2:D$3072)-ROW(D$2)+1) &gt; 0))</f>
        <v>#N/A</v>
      </c>
      <c r="C2381" s="408"/>
      <c r="D2381" s="408"/>
      <c r="E2381" s="408"/>
      <c r="F2381" s="408"/>
      <c r="G2381" s="408"/>
      <c r="H2381" s="408"/>
      <c r="I2381" s="408"/>
      <c r="J2381" s="408"/>
      <c r="K2381" s="408"/>
      <c r="L2381" s="408"/>
      <c r="M2381" s="408"/>
      <c r="N2381" s="408" t="str">
        <f t="shared" si="464"/>
        <v/>
      </c>
      <c r="O2381" s="408"/>
      <c r="P2381" s="408"/>
      <c r="Q2381" s="408"/>
      <c r="R2381" s="408"/>
      <c r="S2381" s="408"/>
      <c r="T2381" s="408"/>
      <c r="U2381" s="408"/>
      <c r="V2381" s="421"/>
      <c r="W2381" s="421"/>
      <c r="X2381" s="421"/>
      <c r="Y2381" s="421"/>
      <c r="Z2381" s="421"/>
      <c r="AA2381" s="421"/>
      <c r="AB2381" s="421"/>
      <c r="AC2381" s="421"/>
      <c r="AD2381" s="421"/>
      <c r="AE2381" s="421"/>
      <c r="AF2381" s="421"/>
      <c r="AG2381" s="421"/>
      <c r="AH2381" s="421"/>
      <c r="AI2381" s="421"/>
      <c r="AJ2381" s="421"/>
      <c r="AK2381" s="421"/>
      <c r="AL2381" s="421"/>
    </row>
    <row r="2382" spans="1:38" hidden="1">
      <c r="A2382" s="408"/>
      <c r="B2382" s="83" t="e">
        <f t="array" ref="B2382">SUM(--(FREQUENCY(IF(C$2:C$3072=C2382, MATCH(D$2:D$3072, D$2:D$3072, 0)), ROW(D$2:D$3072)-ROW(D$2)+1) &gt; 0))</f>
        <v>#N/A</v>
      </c>
      <c r="C2382" s="408"/>
      <c r="D2382" s="408"/>
      <c r="E2382" s="408"/>
      <c r="F2382" s="408"/>
      <c r="G2382" s="408"/>
      <c r="H2382" s="408"/>
      <c r="I2382" s="408"/>
      <c r="J2382" s="408"/>
      <c r="K2382" s="408"/>
      <c r="L2382" s="408"/>
      <c r="M2382" s="408"/>
      <c r="N2382" s="408" t="str">
        <f t="shared" si="464"/>
        <v/>
      </c>
      <c r="O2382" s="408"/>
      <c r="P2382" s="408"/>
      <c r="Q2382" s="408"/>
      <c r="R2382" s="408"/>
      <c r="S2382" s="408"/>
      <c r="T2382" s="408"/>
      <c r="U2382" s="408"/>
      <c r="V2382" s="421"/>
      <c r="W2382" s="421"/>
      <c r="X2382" s="421"/>
      <c r="Y2382" s="421"/>
      <c r="Z2382" s="421"/>
      <c r="AA2382" s="421"/>
      <c r="AB2382" s="421"/>
      <c r="AC2382" s="421"/>
      <c r="AD2382" s="421"/>
      <c r="AE2382" s="421"/>
      <c r="AF2382" s="421"/>
      <c r="AG2382" s="421"/>
      <c r="AH2382" s="421"/>
      <c r="AI2382" s="421"/>
      <c r="AJ2382" s="421"/>
      <c r="AK2382" s="421"/>
      <c r="AL2382" s="421"/>
    </row>
    <row r="2383" spans="1:38" hidden="1">
      <c r="A2383" s="408"/>
      <c r="B2383" s="83" t="e">
        <f t="array" ref="B2383">SUM(--(FREQUENCY(IF(C$2:C$3072=C2383, MATCH(D$2:D$3072, D$2:D$3072, 0)), ROW(D$2:D$3072)-ROW(D$2)+1) &gt; 0))</f>
        <v>#N/A</v>
      </c>
      <c r="C2383" s="408"/>
      <c r="D2383" s="408"/>
      <c r="E2383" s="408"/>
      <c r="F2383" s="408"/>
      <c r="G2383" s="408"/>
      <c r="H2383" s="408"/>
      <c r="I2383" s="408"/>
      <c r="J2383" s="408"/>
      <c r="K2383" s="408"/>
      <c r="L2383" s="408"/>
      <c r="M2383" s="408"/>
      <c r="N2383" s="408" t="str">
        <f t="shared" si="464"/>
        <v/>
      </c>
      <c r="O2383" s="408"/>
      <c r="P2383" s="408"/>
      <c r="Q2383" s="408"/>
      <c r="R2383" s="408"/>
      <c r="S2383" s="408"/>
      <c r="T2383" s="408"/>
      <c r="U2383" s="408"/>
      <c r="V2383" s="421"/>
      <c r="W2383" s="421"/>
      <c r="X2383" s="421"/>
      <c r="Y2383" s="421"/>
      <c r="Z2383" s="421"/>
      <c r="AA2383" s="421"/>
      <c r="AB2383" s="421"/>
      <c r="AC2383" s="421"/>
      <c r="AD2383" s="421"/>
      <c r="AE2383" s="421"/>
      <c r="AF2383" s="421"/>
      <c r="AG2383" s="421"/>
      <c r="AH2383" s="421"/>
      <c r="AI2383" s="421"/>
      <c r="AJ2383" s="421"/>
      <c r="AK2383" s="421"/>
      <c r="AL2383" s="421"/>
    </row>
    <row r="2384" spans="1:38" hidden="1">
      <c r="A2384" s="408"/>
      <c r="B2384" s="83" t="e">
        <f t="array" ref="B2384">SUM(--(FREQUENCY(IF(C$2:C$3072=C2384, MATCH(D$2:D$3072, D$2:D$3072, 0)), ROW(D$2:D$3072)-ROW(D$2)+1) &gt; 0))</f>
        <v>#N/A</v>
      </c>
      <c r="C2384" s="408"/>
      <c r="D2384" s="408"/>
      <c r="E2384" s="408"/>
      <c r="F2384" s="408"/>
      <c r="G2384" s="408"/>
      <c r="H2384" s="408"/>
      <c r="I2384" s="408"/>
      <c r="J2384" s="408"/>
      <c r="K2384" s="408"/>
      <c r="L2384" s="408"/>
      <c r="M2384" s="408"/>
      <c r="N2384" s="408" t="str">
        <f t="shared" si="464"/>
        <v/>
      </c>
      <c r="O2384" s="408"/>
      <c r="P2384" s="408"/>
      <c r="Q2384" s="408"/>
      <c r="R2384" s="408"/>
      <c r="S2384" s="408"/>
      <c r="T2384" s="408"/>
      <c r="U2384" s="408"/>
      <c r="V2384" s="421"/>
      <c r="W2384" s="421"/>
      <c r="X2384" s="421"/>
      <c r="Y2384" s="421"/>
      <c r="Z2384" s="421"/>
      <c r="AA2384" s="421"/>
      <c r="AB2384" s="421"/>
      <c r="AC2384" s="421"/>
      <c r="AD2384" s="421"/>
      <c r="AE2384" s="421"/>
      <c r="AF2384" s="421"/>
      <c r="AG2384" s="421"/>
      <c r="AH2384" s="421"/>
      <c r="AI2384" s="421"/>
      <c r="AJ2384" s="421"/>
      <c r="AK2384" s="421"/>
      <c r="AL2384" s="421"/>
    </row>
    <row r="2385" spans="1:38" hidden="1">
      <c r="A2385" s="408"/>
      <c r="B2385" s="83" t="e">
        <f t="array" ref="B2385">SUM(--(FREQUENCY(IF(C$2:C$3072=C2385, MATCH(D$2:D$3072, D$2:D$3072, 0)), ROW(D$2:D$3072)-ROW(D$2)+1) &gt; 0))</f>
        <v>#N/A</v>
      </c>
      <c r="C2385" s="408"/>
      <c r="D2385" s="408"/>
      <c r="E2385" s="408"/>
      <c r="F2385" s="408"/>
      <c r="G2385" s="408"/>
      <c r="H2385" s="408"/>
      <c r="I2385" s="408"/>
      <c r="J2385" s="408"/>
      <c r="K2385" s="408"/>
      <c r="L2385" s="408"/>
      <c r="M2385" s="408"/>
      <c r="N2385" s="408" t="str">
        <f t="shared" si="464"/>
        <v/>
      </c>
      <c r="O2385" s="408"/>
      <c r="P2385" s="408"/>
      <c r="Q2385" s="408"/>
      <c r="R2385" s="408"/>
      <c r="S2385" s="408"/>
      <c r="T2385" s="408"/>
      <c r="U2385" s="408"/>
      <c r="V2385" s="421"/>
      <c r="W2385" s="421"/>
      <c r="X2385" s="421"/>
      <c r="Y2385" s="421"/>
      <c r="Z2385" s="421"/>
      <c r="AA2385" s="421"/>
      <c r="AB2385" s="421"/>
      <c r="AC2385" s="421"/>
      <c r="AD2385" s="421"/>
      <c r="AE2385" s="421"/>
      <c r="AF2385" s="421"/>
      <c r="AG2385" s="421"/>
      <c r="AH2385" s="421"/>
      <c r="AI2385" s="421"/>
      <c r="AJ2385" s="421"/>
      <c r="AK2385" s="421"/>
      <c r="AL2385" s="421"/>
    </row>
    <row r="2386" spans="1:38" hidden="1">
      <c r="A2386" s="408"/>
      <c r="B2386" s="83" t="e">
        <f t="array" ref="B2386">SUM(--(FREQUENCY(IF(C$2:C$3072=C2386, MATCH(D$2:D$3072, D$2:D$3072, 0)), ROW(D$2:D$3072)-ROW(D$2)+1) &gt; 0))</f>
        <v>#N/A</v>
      </c>
      <c r="C2386" s="408"/>
      <c r="D2386" s="408"/>
      <c r="E2386" s="408"/>
      <c r="F2386" s="408"/>
      <c r="G2386" s="408"/>
      <c r="H2386" s="408"/>
      <c r="I2386" s="408"/>
      <c r="J2386" s="408"/>
      <c r="K2386" s="408"/>
      <c r="L2386" s="408"/>
      <c r="M2386" s="408"/>
      <c r="N2386" s="408" t="str">
        <f t="shared" si="464"/>
        <v/>
      </c>
      <c r="O2386" s="408"/>
      <c r="P2386" s="408"/>
      <c r="Q2386" s="408"/>
      <c r="R2386" s="408"/>
      <c r="S2386" s="408"/>
      <c r="T2386" s="408"/>
      <c r="U2386" s="408"/>
      <c r="V2386" s="421"/>
      <c r="W2386" s="421"/>
      <c r="X2386" s="421"/>
      <c r="Y2386" s="421"/>
      <c r="Z2386" s="421"/>
      <c r="AA2386" s="421"/>
      <c r="AB2386" s="421"/>
      <c r="AC2386" s="421"/>
      <c r="AD2386" s="421"/>
      <c r="AE2386" s="421"/>
      <c r="AF2386" s="421"/>
      <c r="AG2386" s="421"/>
      <c r="AH2386" s="421"/>
      <c r="AI2386" s="421"/>
      <c r="AJ2386" s="421"/>
      <c r="AK2386" s="421"/>
      <c r="AL2386" s="421"/>
    </row>
    <row r="2387" spans="1:38" hidden="1">
      <c r="A2387" s="408"/>
      <c r="B2387" s="83" t="e">
        <f t="array" ref="B2387">SUM(--(FREQUENCY(IF(C$2:C$3072=C2387, MATCH(D$2:D$3072, D$2:D$3072, 0)), ROW(D$2:D$3072)-ROW(D$2)+1) &gt; 0))</f>
        <v>#N/A</v>
      </c>
      <c r="C2387" s="408"/>
      <c r="D2387" s="408"/>
      <c r="E2387" s="408"/>
      <c r="F2387" s="408"/>
      <c r="G2387" s="408"/>
      <c r="H2387" s="408"/>
      <c r="I2387" s="408"/>
      <c r="J2387" s="408"/>
      <c r="K2387" s="408"/>
      <c r="L2387" s="408"/>
      <c r="M2387" s="408"/>
      <c r="N2387" s="408" t="str">
        <f t="shared" si="464"/>
        <v/>
      </c>
      <c r="O2387" s="408"/>
      <c r="P2387" s="408"/>
      <c r="Q2387" s="408"/>
      <c r="R2387" s="408"/>
      <c r="S2387" s="408"/>
      <c r="T2387" s="408"/>
      <c r="U2387" s="408"/>
      <c r="V2387" s="421"/>
      <c r="W2387" s="421"/>
      <c r="X2387" s="421"/>
      <c r="Y2387" s="421"/>
      <c r="Z2387" s="421"/>
      <c r="AA2387" s="421"/>
      <c r="AB2387" s="421"/>
      <c r="AC2387" s="421"/>
      <c r="AD2387" s="421"/>
      <c r="AE2387" s="421"/>
      <c r="AF2387" s="421"/>
      <c r="AG2387" s="421"/>
      <c r="AH2387" s="421"/>
      <c r="AI2387" s="421"/>
      <c r="AJ2387" s="421"/>
      <c r="AK2387" s="421"/>
      <c r="AL2387" s="421"/>
    </row>
    <row r="2388" spans="1:38" hidden="1">
      <c r="A2388" s="408"/>
      <c r="B2388" s="83" t="e">
        <f t="array" ref="B2388">SUM(--(FREQUENCY(IF(C$2:C$3072=C2388, MATCH(D$2:D$3072, D$2:D$3072, 0)), ROW(D$2:D$3072)-ROW(D$2)+1) &gt; 0))</f>
        <v>#N/A</v>
      </c>
      <c r="C2388" s="408"/>
      <c r="D2388" s="408"/>
      <c r="E2388" s="408"/>
      <c r="F2388" s="408"/>
      <c r="G2388" s="408"/>
      <c r="H2388" s="408"/>
      <c r="I2388" s="408"/>
      <c r="J2388" s="408"/>
      <c r="K2388" s="408"/>
      <c r="L2388" s="408"/>
      <c r="M2388" s="408"/>
      <c r="N2388" s="408" t="str">
        <f t="shared" si="464"/>
        <v/>
      </c>
      <c r="O2388" s="408"/>
      <c r="P2388" s="408"/>
      <c r="Q2388" s="408"/>
      <c r="R2388" s="408"/>
      <c r="S2388" s="408"/>
      <c r="T2388" s="408"/>
      <c r="U2388" s="408"/>
      <c r="V2388" s="421"/>
      <c r="W2388" s="421"/>
      <c r="X2388" s="421"/>
      <c r="Y2388" s="421"/>
      <c r="Z2388" s="421"/>
      <c r="AA2388" s="421"/>
      <c r="AB2388" s="421"/>
      <c r="AC2388" s="421"/>
      <c r="AD2388" s="421"/>
      <c r="AE2388" s="421"/>
      <c r="AF2388" s="421"/>
      <c r="AG2388" s="421"/>
      <c r="AH2388" s="421"/>
      <c r="AI2388" s="421"/>
      <c r="AJ2388" s="421"/>
      <c r="AK2388" s="421"/>
      <c r="AL2388" s="421"/>
    </row>
    <row r="2389" spans="1:38" hidden="1">
      <c r="A2389" s="408"/>
      <c r="B2389" s="83" t="e">
        <f t="array" ref="B2389">SUM(--(FREQUENCY(IF(C$2:C$3072=C2389, MATCH(D$2:D$3072, D$2:D$3072, 0)), ROW(D$2:D$3072)-ROW(D$2)+1) &gt; 0))</f>
        <v>#N/A</v>
      </c>
      <c r="C2389" s="408"/>
      <c r="D2389" s="408"/>
      <c r="E2389" s="408"/>
      <c r="F2389" s="408"/>
      <c r="G2389" s="408"/>
      <c r="H2389" s="408"/>
      <c r="I2389" s="408"/>
      <c r="J2389" s="408"/>
      <c r="K2389" s="408"/>
      <c r="L2389" s="408"/>
      <c r="M2389" s="408"/>
      <c r="N2389" s="408" t="str">
        <f t="shared" si="464"/>
        <v/>
      </c>
      <c r="O2389" s="408"/>
      <c r="P2389" s="408"/>
      <c r="Q2389" s="408"/>
      <c r="R2389" s="408"/>
      <c r="S2389" s="408"/>
      <c r="T2389" s="408"/>
      <c r="U2389" s="408"/>
      <c r="V2389" s="421"/>
      <c r="W2389" s="421"/>
      <c r="X2389" s="421"/>
      <c r="Y2389" s="421"/>
      <c r="Z2389" s="421"/>
      <c r="AA2389" s="421"/>
      <c r="AB2389" s="421"/>
      <c r="AC2389" s="421"/>
      <c r="AD2389" s="421"/>
      <c r="AE2389" s="421"/>
      <c r="AF2389" s="421"/>
      <c r="AG2389" s="421"/>
      <c r="AH2389" s="421"/>
      <c r="AI2389" s="421"/>
      <c r="AJ2389" s="421"/>
      <c r="AK2389" s="421"/>
      <c r="AL2389" s="421"/>
    </row>
    <row r="2390" spans="1:38" hidden="1">
      <c r="A2390" s="408"/>
      <c r="B2390" s="83" t="e">
        <f t="array" ref="B2390">SUM(--(FREQUENCY(IF(C$2:C$3072=C2390, MATCH(D$2:D$3072, D$2:D$3072, 0)), ROW(D$2:D$3072)-ROW(D$2)+1) &gt; 0))</f>
        <v>#N/A</v>
      </c>
      <c r="C2390" s="408"/>
      <c r="D2390" s="408"/>
      <c r="E2390" s="408"/>
      <c r="F2390" s="408"/>
      <c r="G2390" s="408"/>
      <c r="H2390" s="408"/>
      <c r="I2390" s="408"/>
      <c r="J2390" s="408"/>
      <c r="K2390" s="408"/>
      <c r="L2390" s="408"/>
      <c r="M2390" s="408"/>
      <c r="N2390" s="408" t="str">
        <f t="shared" si="464"/>
        <v/>
      </c>
      <c r="O2390" s="408"/>
      <c r="P2390" s="408"/>
      <c r="Q2390" s="408"/>
      <c r="R2390" s="408"/>
      <c r="S2390" s="408"/>
      <c r="T2390" s="408"/>
      <c r="U2390" s="408"/>
      <c r="V2390" s="421"/>
      <c r="W2390" s="421"/>
      <c r="X2390" s="421"/>
      <c r="Y2390" s="421"/>
      <c r="Z2390" s="421"/>
      <c r="AA2390" s="421"/>
      <c r="AB2390" s="421"/>
      <c r="AC2390" s="421"/>
      <c r="AD2390" s="421"/>
      <c r="AE2390" s="421"/>
      <c r="AF2390" s="421"/>
      <c r="AG2390" s="421"/>
      <c r="AH2390" s="421"/>
      <c r="AI2390" s="421"/>
      <c r="AJ2390" s="421"/>
      <c r="AK2390" s="421"/>
      <c r="AL2390" s="421"/>
    </row>
    <row r="2391" spans="1:38" hidden="1">
      <c r="A2391" s="408"/>
      <c r="B2391" s="83" t="e">
        <f t="array" ref="B2391">SUM(--(FREQUENCY(IF(C$2:C$3072=C2391, MATCH(D$2:D$3072, D$2:D$3072, 0)), ROW(D$2:D$3072)-ROW(D$2)+1) &gt; 0))</f>
        <v>#N/A</v>
      </c>
      <c r="C2391" s="408"/>
      <c r="D2391" s="408"/>
      <c r="E2391" s="408"/>
      <c r="F2391" s="408"/>
      <c r="G2391" s="408"/>
      <c r="H2391" s="408"/>
      <c r="I2391" s="408"/>
      <c r="J2391" s="408"/>
      <c r="K2391" s="408"/>
      <c r="L2391" s="408"/>
      <c r="M2391" s="408"/>
      <c r="N2391" s="408" t="str">
        <f t="shared" si="464"/>
        <v/>
      </c>
      <c r="O2391" s="408"/>
      <c r="P2391" s="408"/>
      <c r="Q2391" s="408"/>
      <c r="R2391" s="408"/>
      <c r="S2391" s="408"/>
      <c r="T2391" s="408"/>
      <c r="U2391" s="408"/>
      <c r="V2391" s="421"/>
      <c r="W2391" s="421"/>
      <c r="X2391" s="421"/>
      <c r="Y2391" s="421"/>
      <c r="Z2391" s="421"/>
      <c r="AA2391" s="421"/>
      <c r="AB2391" s="421"/>
      <c r="AC2391" s="421"/>
      <c r="AD2391" s="421"/>
      <c r="AE2391" s="421"/>
      <c r="AF2391" s="421"/>
      <c r="AG2391" s="421"/>
      <c r="AH2391" s="421"/>
      <c r="AI2391" s="421"/>
      <c r="AJ2391" s="421"/>
      <c r="AK2391" s="421"/>
      <c r="AL2391" s="421"/>
    </row>
    <row r="2392" spans="1:38" hidden="1">
      <c r="A2392" s="408"/>
      <c r="B2392" s="83" t="e">
        <f t="array" ref="B2392">SUM(--(FREQUENCY(IF(C$2:C$3072=C2392, MATCH(D$2:D$3072, D$2:D$3072, 0)), ROW(D$2:D$3072)-ROW(D$2)+1) &gt; 0))</f>
        <v>#N/A</v>
      </c>
      <c r="C2392" s="408"/>
      <c r="D2392" s="408"/>
      <c r="E2392" s="408"/>
      <c r="F2392" s="408"/>
      <c r="G2392" s="408"/>
      <c r="H2392" s="408"/>
      <c r="I2392" s="408"/>
      <c r="J2392" s="408"/>
      <c r="K2392" s="408"/>
      <c r="L2392" s="408"/>
      <c r="M2392" s="408"/>
      <c r="N2392" s="408" t="str">
        <f t="shared" si="464"/>
        <v/>
      </c>
      <c r="O2392" s="408"/>
      <c r="P2392" s="408"/>
      <c r="Q2392" s="408"/>
      <c r="R2392" s="408"/>
      <c r="S2392" s="408"/>
      <c r="T2392" s="408"/>
      <c r="U2392" s="408"/>
      <c r="V2392" s="421"/>
      <c r="W2392" s="421"/>
      <c r="X2392" s="421"/>
      <c r="Y2392" s="421"/>
      <c r="Z2392" s="421"/>
      <c r="AA2392" s="421"/>
      <c r="AB2392" s="421"/>
      <c r="AC2392" s="421"/>
      <c r="AD2392" s="421"/>
      <c r="AE2392" s="421"/>
      <c r="AF2392" s="421"/>
      <c r="AG2392" s="421"/>
      <c r="AH2392" s="421"/>
      <c r="AI2392" s="421"/>
      <c r="AJ2392" s="421"/>
      <c r="AK2392" s="421"/>
      <c r="AL2392" s="421"/>
    </row>
    <row r="2393" spans="1:38" hidden="1">
      <c r="A2393" s="408"/>
      <c r="B2393" s="83" t="e">
        <f t="array" ref="B2393">SUM(--(FREQUENCY(IF(C$2:C$3072=C2393, MATCH(D$2:D$3072, D$2:D$3072, 0)), ROW(D$2:D$3072)-ROW(D$2)+1) &gt; 0))</f>
        <v>#N/A</v>
      </c>
      <c r="C2393" s="408"/>
      <c r="D2393" s="408"/>
      <c r="E2393" s="408"/>
      <c r="F2393" s="408"/>
      <c r="G2393" s="408"/>
      <c r="H2393" s="408"/>
      <c r="I2393" s="408"/>
      <c r="J2393" s="408"/>
      <c r="K2393" s="408"/>
      <c r="L2393" s="408"/>
      <c r="M2393" s="408"/>
      <c r="N2393" s="408" t="str">
        <f t="shared" si="464"/>
        <v/>
      </c>
      <c r="O2393" s="408"/>
      <c r="P2393" s="408"/>
      <c r="Q2393" s="408"/>
      <c r="R2393" s="408"/>
      <c r="S2393" s="408"/>
      <c r="T2393" s="408"/>
      <c r="U2393" s="408"/>
      <c r="V2393" s="421"/>
      <c r="W2393" s="421"/>
      <c r="X2393" s="421"/>
      <c r="Y2393" s="421"/>
      <c r="Z2393" s="421"/>
      <c r="AA2393" s="421"/>
      <c r="AB2393" s="421"/>
      <c r="AC2393" s="421"/>
      <c r="AD2393" s="421"/>
      <c r="AE2393" s="421"/>
      <c r="AF2393" s="421"/>
      <c r="AG2393" s="421"/>
      <c r="AH2393" s="421"/>
      <c r="AI2393" s="421"/>
      <c r="AJ2393" s="421"/>
      <c r="AK2393" s="421"/>
      <c r="AL2393" s="421"/>
    </row>
    <row r="2394" spans="1:38" hidden="1">
      <c r="A2394" s="408"/>
      <c r="B2394" s="83" t="e">
        <f t="array" ref="B2394">SUM(--(FREQUENCY(IF(C$2:C$3072=C2394, MATCH(D$2:D$3072, D$2:D$3072, 0)), ROW(D$2:D$3072)-ROW(D$2)+1) &gt; 0))</f>
        <v>#N/A</v>
      </c>
      <c r="C2394" s="408"/>
      <c r="D2394" s="408"/>
      <c r="E2394" s="408"/>
      <c r="F2394" s="408"/>
      <c r="G2394" s="408"/>
      <c r="H2394" s="408"/>
      <c r="I2394" s="408"/>
      <c r="J2394" s="408"/>
      <c r="K2394" s="408"/>
      <c r="L2394" s="408"/>
      <c r="M2394" s="408"/>
      <c r="N2394" s="408" t="str">
        <f t="shared" si="464"/>
        <v/>
      </c>
      <c r="O2394" s="408"/>
      <c r="P2394" s="408"/>
      <c r="Q2394" s="408"/>
      <c r="R2394" s="408"/>
      <c r="S2394" s="408"/>
      <c r="T2394" s="408"/>
      <c r="U2394" s="408"/>
      <c r="V2394" s="421"/>
      <c r="W2394" s="421"/>
      <c r="X2394" s="421"/>
      <c r="Y2394" s="421"/>
      <c r="Z2394" s="421"/>
      <c r="AA2394" s="421"/>
      <c r="AB2394" s="421"/>
      <c r="AC2394" s="421"/>
      <c r="AD2394" s="421"/>
      <c r="AE2394" s="421"/>
      <c r="AF2394" s="421"/>
      <c r="AG2394" s="421"/>
      <c r="AH2394" s="421"/>
      <c r="AI2394" s="421"/>
      <c r="AJ2394" s="421"/>
      <c r="AK2394" s="421"/>
      <c r="AL2394" s="421"/>
    </row>
    <row r="2395" spans="1:38" hidden="1">
      <c r="A2395" s="408"/>
      <c r="B2395" s="83" t="e">
        <f t="array" ref="B2395">SUM(--(FREQUENCY(IF(C$2:C$3072=C2395, MATCH(D$2:D$3072, D$2:D$3072, 0)), ROW(D$2:D$3072)-ROW(D$2)+1) &gt; 0))</f>
        <v>#N/A</v>
      </c>
      <c r="C2395" s="408"/>
      <c r="D2395" s="408"/>
      <c r="E2395" s="408"/>
      <c r="F2395" s="408"/>
      <c r="G2395" s="408"/>
      <c r="H2395" s="408"/>
      <c r="I2395" s="408"/>
      <c r="J2395" s="408"/>
      <c r="K2395" s="408"/>
      <c r="L2395" s="408"/>
      <c r="M2395" s="408"/>
      <c r="N2395" s="408" t="str">
        <f t="shared" si="464"/>
        <v/>
      </c>
      <c r="O2395" s="408"/>
      <c r="P2395" s="408"/>
      <c r="Q2395" s="408"/>
      <c r="R2395" s="408"/>
      <c r="S2395" s="408"/>
      <c r="T2395" s="408"/>
      <c r="U2395" s="408"/>
      <c r="V2395" s="421"/>
      <c r="W2395" s="421"/>
      <c r="X2395" s="421"/>
      <c r="Y2395" s="421"/>
      <c r="Z2395" s="421"/>
      <c r="AA2395" s="421"/>
      <c r="AB2395" s="421"/>
      <c r="AC2395" s="421"/>
      <c r="AD2395" s="421"/>
      <c r="AE2395" s="421"/>
      <c r="AF2395" s="421"/>
      <c r="AG2395" s="421"/>
      <c r="AH2395" s="421"/>
      <c r="AI2395" s="421"/>
      <c r="AJ2395" s="421"/>
      <c r="AK2395" s="421"/>
      <c r="AL2395" s="421"/>
    </row>
    <row r="2396" spans="1:38" hidden="1">
      <c r="A2396" s="408"/>
      <c r="B2396" s="83" t="e">
        <f t="array" ref="B2396">SUM(--(FREQUENCY(IF(C$2:C$3072=C2396, MATCH(D$2:D$3072, D$2:D$3072, 0)), ROW(D$2:D$3072)-ROW(D$2)+1) &gt; 0))</f>
        <v>#N/A</v>
      </c>
      <c r="C2396" s="408"/>
      <c r="D2396" s="408"/>
      <c r="E2396" s="408"/>
      <c r="F2396" s="408"/>
      <c r="G2396" s="408"/>
      <c r="H2396" s="408"/>
      <c r="I2396" s="408"/>
      <c r="J2396" s="408"/>
      <c r="K2396" s="408"/>
      <c r="L2396" s="408"/>
      <c r="M2396" s="408"/>
      <c r="N2396" s="408" t="str">
        <f t="shared" si="464"/>
        <v/>
      </c>
      <c r="O2396" s="408"/>
      <c r="P2396" s="408"/>
      <c r="Q2396" s="408"/>
      <c r="R2396" s="408"/>
      <c r="S2396" s="408"/>
      <c r="T2396" s="408"/>
      <c r="U2396" s="408"/>
      <c r="V2396" s="421"/>
      <c r="W2396" s="421"/>
      <c r="X2396" s="421"/>
      <c r="Y2396" s="421"/>
      <c r="Z2396" s="421"/>
      <c r="AA2396" s="421"/>
      <c r="AB2396" s="421"/>
      <c r="AC2396" s="421"/>
      <c r="AD2396" s="421"/>
      <c r="AE2396" s="421"/>
      <c r="AF2396" s="421"/>
      <c r="AG2396" s="421"/>
      <c r="AH2396" s="421"/>
      <c r="AI2396" s="421"/>
      <c r="AJ2396" s="421"/>
      <c r="AK2396" s="421"/>
      <c r="AL2396" s="421"/>
    </row>
    <row r="2397" spans="1:38" hidden="1">
      <c r="A2397" s="408"/>
      <c r="B2397" s="83" t="e">
        <f t="array" ref="B2397">SUM(--(FREQUENCY(IF(C$2:C$3072=C2397, MATCH(D$2:D$3072, D$2:D$3072, 0)), ROW(D$2:D$3072)-ROW(D$2)+1) &gt; 0))</f>
        <v>#N/A</v>
      </c>
      <c r="C2397" s="408"/>
      <c r="D2397" s="408"/>
      <c r="E2397" s="408"/>
      <c r="F2397" s="408"/>
      <c r="G2397" s="408"/>
      <c r="H2397" s="408"/>
      <c r="I2397" s="408"/>
      <c r="J2397" s="408"/>
      <c r="K2397" s="408"/>
      <c r="L2397" s="408"/>
      <c r="M2397" s="408"/>
      <c r="N2397" s="408" t="str">
        <f t="shared" si="464"/>
        <v/>
      </c>
      <c r="O2397" s="408"/>
      <c r="P2397" s="408"/>
      <c r="Q2397" s="408"/>
      <c r="R2397" s="408"/>
      <c r="S2397" s="408"/>
      <c r="T2397" s="408"/>
      <c r="U2397" s="408"/>
      <c r="V2397" s="421"/>
      <c r="W2397" s="421"/>
      <c r="X2397" s="421"/>
      <c r="Y2397" s="421"/>
      <c r="Z2397" s="421"/>
      <c r="AA2397" s="421"/>
      <c r="AB2397" s="421"/>
      <c r="AC2397" s="421"/>
      <c r="AD2397" s="421"/>
      <c r="AE2397" s="421"/>
      <c r="AF2397" s="421"/>
      <c r="AG2397" s="421"/>
      <c r="AH2397" s="421"/>
      <c r="AI2397" s="421"/>
      <c r="AJ2397" s="421"/>
      <c r="AK2397" s="421"/>
      <c r="AL2397" s="421"/>
    </row>
    <row r="2398" spans="1:38" hidden="1">
      <c r="A2398" s="408"/>
      <c r="B2398" s="83" t="e">
        <f t="array" ref="B2398">SUM(--(FREQUENCY(IF(C$2:C$3072=C2398, MATCH(D$2:D$3072, D$2:D$3072, 0)), ROW(D$2:D$3072)-ROW(D$2)+1) &gt; 0))</f>
        <v>#N/A</v>
      </c>
      <c r="C2398" s="408"/>
      <c r="D2398" s="408"/>
      <c r="E2398" s="408"/>
      <c r="F2398" s="408"/>
      <c r="G2398" s="408"/>
      <c r="H2398" s="408"/>
      <c r="I2398" s="408"/>
      <c r="J2398" s="408"/>
      <c r="K2398" s="408"/>
      <c r="L2398" s="408"/>
      <c r="M2398" s="408"/>
      <c r="N2398" s="408" t="str">
        <f t="shared" si="464"/>
        <v/>
      </c>
      <c r="O2398" s="408"/>
      <c r="P2398" s="408"/>
      <c r="Q2398" s="408"/>
      <c r="R2398" s="408"/>
      <c r="S2398" s="408"/>
      <c r="T2398" s="408"/>
      <c r="U2398" s="408"/>
      <c r="V2398" s="421"/>
      <c r="W2398" s="421"/>
      <c r="X2398" s="421"/>
      <c r="Y2398" s="421"/>
      <c r="Z2398" s="421"/>
      <c r="AA2398" s="421"/>
      <c r="AB2398" s="421"/>
      <c r="AC2398" s="421"/>
      <c r="AD2398" s="421"/>
      <c r="AE2398" s="421"/>
      <c r="AF2398" s="421"/>
      <c r="AG2398" s="421"/>
      <c r="AH2398" s="421"/>
      <c r="AI2398" s="421"/>
      <c r="AJ2398" s="421"/>
      <c r="AK2398" s="421"/>
      <c r="AL2398" s="421"/>
    </row>
    <row r="2399" spans="1:38" hidden="1">
      <c r="A2399" s="408"/>
      <c r="B2399" s="83" t="e">
        <f t="array" ref="B2399">SUM(--(FREQUENCY(IF(C$2:C$3072=C2399, MATCH(D$2:D$3072, D$2:D$3072, 0)), ROW(D$2:D$3072)-ROW(D$2)+1) &gt; 0))</f>
        <v>#N/A</v>
      </c>
      <c r="C2399" s="408"/>
      <c r="D2399" s="408"/>
      <c r="E2399" s="408"/>
      <c r="F2399" s="408"/>
      <c r="G2399" s="408"/>
      <c r="H2399" s="408"/>
      <c r="I2399" s="408"/>
      <c r="J2399" s="408"/>
      <c r="K2399" s="408"/>
      <c r="L2399" s="408"/>
      <c r="M2399" s="408"/>
      <c r="N2399" s="408" t="str">
        <f t="shared" si="464"/>
        <v/>
      </c>
      <c r="O2399" s="408"/>
      <c r="P2399" s="408"/>
      <c r="Q2399" s="408"/>
      <c r="R2399" s="408"/>
      <c r="S2399" s="408"/>
      <c r="T2399" s="408"/>
      <c r="U2399" s="408"/>
      <c r="V2399" s="421"/>
      <c r="W2399" s="421"/>
      <c r="X2399" s="421"/>
      <c r="Y2399" s="421"/>
      <c r="Z2399" s="421"/>
      <c r="AA2399" s="421"/>
      <c r="AB2399" s="421"/>
      <c r="AC2399" s="421"/>
      <c r="AD2399" s="421"/>
      <c r="AE2399" s="421"/>
      <c r="AF2399" s="421"/>
      <c r="AG2399" s="421"/>
      <c r="AH2399" s="421"/>
      <c r="AI2399" s="421"/>
      <c r="AJ2399" s="421"/>
      <c r="AK2399" s="421"/>
      <c r="AL2399" s="421"/>
    </row>
    <row r="2400" spans="1:38" hidden="1">
      <c r="A2400" s="408"/>
      <c r="B2400" s="83" t="e">
        <f t="array" ref="B2400">SUM(--(FREQUENCY(IF(C$2:C$3072=C2400, MATCH(D$2:D$3072, D$2:D$3072, 0)), ROW(D$2:D$3072)-ROW(D$2)+1) &gt; 0))</f>
        <v>#N/A</v>
      </c>
      <c r="C2400" s="408"/>
      <c r="D2400" s="408"/>
      <c r="E2400" s="408"/>
      <c r="F2400" s="408"/>
      <c r="G2400" s="408"/>
      <c r="H2400" s="408"/>
      <c r="I2400" s="408"/>
      <c r="J2400" s="408"/>
      <c r="K2400" s="408"/>
      <c r="L2400" s="408"/>
      <c r="M2400" s="408"/>
      <c r="N2400" s="408" t="str">
        <f t="shared" si="464"/>
        <v/>
      </c>
      <c r="O2400" s="408"/>
      <c r="P2400" s="408"/>
      <c r="Q2400" s="408"/>
      <c r="R2400" s="408"/>
      <c r="S2400" s="408"/>
      <c r="T2400" s="408"/>
      <c r="U2400" s="408"/>
      <c r="V2400" s="421"/>
      <c r="W2400" s="421"/>
      <c r="X2400" s="421"/>
      <c r="Y2400" s="421"/>
      <c r="Z2400" s="421"/>
      <c r="AA2400" s="421"/>
      <c r="AB2400" s="421"/>
      <c r="AC2400" s="421"/>
      <c r="AD2400" s="421"/>
      <c r="AE2400" s="421"/>
      <c r="AF2400" s="421"/>
      <c r="AG2400" s="421"/>
      <c r="AH2400" s="421"/>
      <c r="AI2400" s="421"/>
      <c r="AJ2400" s="421"/>
      <c r="AK2400" s="421"/>
      <c r="AL2400" s="421"/>
    </row>
    <row r="2401" spans="1:38" hidden="1">
      <c r="A2401" s="408"/>
      <c r="B2401" s="83" t="e">
        <f t="array" ref="B2401">SUM(--(FREQUENCY(IF(C$2:C$3072=C2401, MATCH(D$2:D$3072, D$2:D$3072, 0)), ROW(D$2:D$3072)-ROW(D$2)+1) &gt; 0))</f>
        <v>#N/A</v>
      </c>
      <c r="C2401" s="408"/>
      <c r="D2401" s="408"/>
      <c r="E2401" s="408"/>
      <c r="F2401" s="408"/>
      <c r="G2401" s="408"/>
      <c r="H2401" s="408"/>
      <c r="I2401" s="408"/>
      <c r="J2401" s="408"/>
      <c r="K2401" s="408"/>
      <c r="L2401" s="408"/>
      <c r="M2401" s="408"/>
      <c r="N2401" s="408" t="str">
        <f t="shared" si="464"/>
        <v/>
      </c>
      <c r="O2401" s="408"/>
      <c r="P2401" s="408"/>
      <c r="Q2401" s="408"/>
      <c r="R2401" s="408"/>
      <c r="S2401" s="408"/>
      <c r="T2401" s="408"/>
      <c r="U2401" s="408"/>
      <c r="V2401" s="421"/>
      <c r="W2401" s="421"/>
      <c r="X2401" s="421"/>
      <c r="Y2401" s="421"/>
      <c r="Z2401" s="421"/>
      <c r="AA2401" s="421"/>
      <c r="AB2401" s="421"/>
      <c r="AC2401" s="421"/>
      <c r="AD2401" s="421"/>
      <c r="AE2401" s="421"/>
      <c r="AF2401" s="421"/>
      <c r="AG2401" s="421"/>
      <c r="AH2401" s="421"/>
      <c r="AI2401" s="421"/>
      <c r="AJ2401" s="421"/>
      <c r="AK2401" s="421"/>
      <c r="AL2401" s="421"/>
    </row>
    <row r="2402" spans="1:38" hidden="1">
      <c r="A2402" s="408"/>
      <c r="B2402" s="83" t="e">
        <f t="array" ref="B2402">SUM(--(FREQUENCY(IF(C$2:C$3072=C2402, MATCH(D$2:D$3072, D$2:D$3072, 0)), ROW(D$2:D$3072)-ROW(D$2)+1) &gt; 0))</f>
        <v>#N/A</v>
      </c>
      <c r="C2402" s="408"/>
      <c r="D2402" s="408"/>
      <c r="E2402" s="408"/>
      <c r="F2402" s="408"/>
      <c r="G2402" s="408"/>
      <c r="H2402" s="408"/>
      <c r="I2402" s="408"/>
      <c r="J2402" s="408"/>
      <c r="K2402" s="408"/>
      <c r="L2402" s="408"/>
      <c r="M2402" s="408"/>
      <c r="N2402" s="408" t="str">
        <f t="shared" si="464"/>
        <v/>
      </c>
      <c r="O2402" s="408"/>
      <c r="P2402" s="408"/>
      <c r="Q2402" s="408"/>
      <c r="R2402" s="408"/>
      <c r="S2402" s="408"/>
      <c r="T2402" s="408"/>
      <c r="U2402" s="408"/>
      <c r="V2402" s="421"/>
      <c r="W2402" s="421"/>
      <c r="X2402" s="421"/>
      <c r="Y2402" s="421"/>
      <c r="Z2402" s="421"/>
      <c r="AA2402" s="421"/>
      <c r="AB2402" s="421"/>
      <c r="AC2402" s="421"/>
      <c r="AD2402" s="421"/>
      <c r="AE2402" s="421"/>
      <c r="AF2402" s="421"/>
      <c r="AG2402" s="421"/>
      <c r="AH2402" s="421"/>
      <c r="AI2402" s="421"/>
      <c r="AJ2402" s="421"/>
      <c r="AK2402" s="421"/>
      <c r="AL2402" s="421"/>
    </row>
    <row r="2403" spans="1:38" hidden="1">
      <c r="A2403" s="408"/>
      <c r="B2403" s="83" t="e">
        <f t="array" ref="B2403">SUM(--(FREQUENCY(IF(C$2:C$3072=C2403, MATCH(D$2:D$3072, D$2:D$3072, 0)), ROW(D$2:D$3072)-ROW(D$2)+1) &gt; 0))</f>
        <v>#N/A</v>
      </c>
      <c r="C2403" s="408"/>
      <c r="D2403" s="408"/>
      <c r="E2403" s="408"/>
      <c r="F2403" s="408"/>
      <c r="G2403" s="408"/>
      <c r="H2403" s="408"/>
      <c r="I2403" s="408"/>
      <c r="J2403" s="408"/>
      <c r="K2403" s="408"/>
      <c r="L2403" s="408"/>
      <c r="M2403" s="408"/>
      <c r="N2403" s="408" t="str">
        <f t="shared" si="464"/>
        <v/>
      </c>
      <c r="O2403" s="408"/>
      <c r="P2403" s="408"/>
      <c r="Q2403" s="408"/>
      <c r="R2403" s="408"/>
      <c r="S2403" s="408"/>
      <c r="T2403" s="408"/>
      <c r="U2403" s="408"/>
      <c r="V2403" s="421"/>
      <c r="W2403" s="421"/>
      <c r="X2403" s="421"/>
      <c r="Y2403" s="421"/>
      <c r="Z2403" s="421"/>
      <c r="AA2403" s="421"/>
      <c r="AB2403" s="421"/>
      <c r="AC2403" s="421"/>
      <c r="AD2403" s="421"/>
      <c r="AE2403" s="421"/>
      <c r="AF2403" s="421"/>
      <c r="AG2403" s="421"/>
      <c r="AH2403" s="421"/>
      <c r="AI2403" s="421"/>
      <c r="AJ2403" s="421"/>
      <c r="AK2403" s="421"/>
      <c r="AL2403" s="421"/>
    </row>
    <row r="2404" spans="1:38" hidden="1">
      <c r="A2404" s="408"/>
      <c r="B2404" s="83" t="e">
        <f t="array" ref="B2404">SUM(--(FREQUENCY(IF(C$2:C$3072=C2404, MATCH(D$2:D$3072, D$2:D$3072, 0)), ROW(D$2:D$3072)-ROW(D$2)+1) &gt; 0))</f>
        <v>#N/A</v>
      </c>
      <c r="C2404" s="408"/>
      <c r="D2404" s="408"/>
      <c r="E2404" s="408"/>
      <c r="F2404" s="408"/>
      <c r="G2404" s="408"/>
      <c r="H2404" s="408"/>
      <c r="I2404" s="408"/>
      <c r="J2404" s="408"/>
      <c r="K2404" s="408"/>
      <c r="L2404" s="408"/>
      <c r="M2404" s="408"/>
      <c r="N2404" s="408" t="str">
        <f t="shared" si="464"/>
        <v/>
      </c>
      <c r="O2404" s="408"/>
      <c r="P2404" s="408"/>
      <c r="Q2404" s="408"/>
      <c r="R2404" s="408"/>
      <c r="S2404" s="408"/>
      <c r="T2404" s="408"/>
      <c r="U2404" s="408"/>
      <c r="V2404" s="421"/>
      <c r="W2404" s="421"/>
      <c r="X2404" s="421"/>
      <c r="Y2404" s="421"/>
      <c r="Z2404" s="421"/>
      <c r="AA2404" s="421"/>
      <c r="AB2404" s="421"/>
      <c r="AC2404" s="421"/>
      <c r="AD2404" s="421"/>
      <c r="AE2404" s="421"/>
      <c r="AF2404" s="421"/>
      <c r="AG2404" s="421"/>
      <c r="AH2404" s="421"/>
      <c r="AI2404" s="421"/>
      <c r="AJ2404" s="421"/>
      <c r="AK2404" s="421"/>
      <c r="AL2404" s="421"/>
    </row>
    <row r="2405" spans="1:38" hidden="1">
      <c r="A2405" s="408"/>
      <c r="B2405" s="83" t="e">
        <f t="array" ref="B2405">SUM(--(FREQUENCY(IF(C$2:C$3072=C2405, MATCH(D$2:D$3072, D$2:D$3072, 0)), ROW(D$2:D$3072)-ROW(D$2)+1) &gt; 0))</f>
        <v>#N/A</v>
      </c>
      <c r="C2405" s="408"/>
      <c r="D2405" s="408"/>
      <c r="E2405" s="408"/>
      <c r="F2405" s="408"/>
      <c r="G2405" s="408"/>
      <c r="H2405" s="408"/>
      <c r="I2405" s="408"/>
      <c r="J2405" s="408"/>
      <c r="K2405" s="408"/>
      <c r="L2405" s="408"/>
      <c r="M2405" s="408"/>
      <c r="N2405" s="408" t="str">
        <f t="shared" si="464"/>
        <v/>
      </c>
      <c r="O2405" s="408"/>
      <c r="P2405" s="408"/>
      <c r="Q2405" s="408"/>
      <c r="R2405" s="408"/>
      <c r="S2405" s="408"/>
      <c r="T2405" s="408"/>
      <c r="U2405" s="408"/>
      <c r="V2405" s="421"/>
      <c r="W2405" s="421"/>
      <c r="X2405" s="421"/>
      <c r="Y2405" s="421"/>
      <c r="Z2405" s="421"/>
      <c r="AA2405" s="421"/>
      <c r="AB2405" s="421"/>
      <c r="AC2405" s="421"/>
      <c r="AD2405" s="421"/>
      <c r="AE2405" s="421"/>
      <c r="AF2405" s="421"/>
      <c r="AG2405" s="421"/>
      <c r="AH2405" s="421"/>
      <c r="AI2405" s="421"/>
      <c r="AJ2405" s="421"/>
      <c r="AK2405" s="421"/>
      <c r="AL2405" s="421"/>
    </row>
    <row r="2406" spans="1:38" hidden="1">
      <c r="A2406" s="408"/>
      <c r="B2406" s="83" t="e">
        <f t="array" ref="B2406">SUM(--(FREQUENCY(IF(C$2:C$3072=C2406, MATCH(D$2:D$3072, D$2:D$3072, 0)), ROW(D$2:D$3072)-ROW(D$2)+1) &gt; 0))</f>
        <v>#N/A</v>
      </c>
      <c r="C2406" s="408"/>
      <c r="D2406" s="408"/>
      <c r="E2406" s="408"/>
      <c r="F2406" s="408"/>
      <c r="G2406" s="408"/>
      <c r="H2406" s="408"/>
      <c r="I2406" s="408"/>
      <c r="J2406" s="408"/>
      <c r="K2406" s="408"/>
      <c r="L2406" s="408"/>
      <c r="M2406" s="408"/>
      <c r="N2406" s="408" t="str">
        <f t="shared" si="464"/>
        <v/>
      </c>
      <c r="O2406" s="408"/>
      <c r="P2406" s="408"/>
      <c r="Q2406" s="408"/>
      <c r="R2406" s="408"/>
      <c r="S2406" s="408"/>
      <c r="T2406" s="408"/>
      <c r="U2406" s="408"/>
      <c r="V2406" s="421"/>
      <c r="W2406" s="421"/>
      <c r="X2406" s="421"/>
      <c r="Y2406" s="421"/>
      <c r="Z2406" s="421"/>
      <c r="AA2406" s="421"/>
      <c r="AB2406" s="421"/>
      <c r="AC2406" s="421"/>
      <c r="AD2406" s="421"/>
      <c r="AE2406" s="421"/>
      <c r="AF2406" s="421"/>
      <c r="AG2406" s="421"/>
      <c r="AH2406" s="421"/>
      <c r="AI2406" s="421"/>
      <c r="AJ2406" s="421"/>
      <c r="AK2406" s="421"/>
      <c r="AL2406" s="421"/>
    </row>
    <row r="2407" spans="1:38" hidden="1">
      <c r="A2407" s="408"/>
      <c r="B2407" s="83" t="e">
        <f t="array" ref="B2407">SUM(--(FREQUENCY(IF(C$2:C$3072=C2407, MATCH(D$2:D$3072, D$2:D$3072, 0)), ROW(D$2:D$3072)-ROW(D$2)+1) &gt; 0))</f>
        <v>#N/A</v>
      </c>
      <c r="C2407" s="408"/>
      <c r="D2407" s="408"/>
      <c r="E2407" s="408"/>
      <c r="F2407" s="408"/>
      <c r="G2407" s="408"/>
      <c r="H2407" s="408"/>
      <c r="I2407" s="408"/>
      <c r="J2407" s="408"/>
      <c r="K2407" s="408"/>
      <c r="L2407" s="408"/>
      <c r="M2407" s="408"/>
      <c r="N2407" s="408" t="str">
        <f t="shared" si="464"/>
        <v/>
      </c>
      <c r="O2407" s="408"/>
      <c r="P2407" s="408"/>
      <c r="Q2407" s="408"/>
      <c r="R2407" s="408"/>
      <c r="S2407" s="408"/>
      <c r="T2407" s="408"/>
      <c r="U2407" s="408"/>
      <c r="V2407" s="421"/>
      <c r="W2407" s="421"/>
      <c r="X2407" s="421"/>
      <c r="Y2407" s="421"/>
      <c r="Z2407" s="421"/>
      <c r="AA2407" s="421"/>
      <c r="AB2407" s="421"/>
      <c r="AC2407" s="421"/>
      <c r="AD2407" s="421"/>
      <c r="AE2407" s="421"/>
      <c r="AF2407" s="421"/>
      <c r="AG2407" s="421"/>
      <c r="AH2407" s="421"/>
      <c r="AI2407" s="421"/>
      <c r="AJ2407" s="421"/>
      <c r="AK2407" s="421"/>
      <c r="AL2407" s="421"/>
    </row>
    <row r="2408" spans="1:38" hidden="1">
      <c r="A2408" s="408"/>
      <c r="B2408" s="83" t="e">
        <f t="array" ref="B2408">SUM(--(FREQUENCY(IF(C$2:C$3072=C2408, MATCH(D$2:D$3072, D$2:D$3072, 0)), ROW(D$2:D$3072)-ROW(D$2)+1) &gt; 0))</f>
        <v>#N/A</v>
      </c>
      <c r="C2408" s="408"/>
      <c r="D2408" s="408"/>
      <c r="E2408" s="408"/>
      <c r="F2408" s="408"/>
      <c r="G2408" s="408"/>
      <c r="H2408" s="408"/>
      <c r="I2408" s="408"/>
      <c r="J2408" s="408"/>
      <c r="K2408" s="408"/>
      <c r="L2408" s="408"/>
      <c r="M2408" s="408"/>
      <c r="N2408" s="408" t="str">
        <f t="shared" si="464"/>
        <v/>
      </c>
      <c r="O2408" s="408"/>
      <c r="P2408" s="408"/>
      <c r="Q2408" s="408"/>
      <c r="R2408" s="408"/>
      <c r="S2408" s="408"/>
      <c r="T2408" s="408"/>
      <c r="U2408" s="408"/>
      <c r="V2408" s="421"/>
      <c r="W2408" s="421"/>
      <c r="X2408" s="421"/>
      <c r="Y2408" s="421"/>
      <c r="Z2408" s="421"/>
      <c r="AA2408" s="421"/>
      <c r="AB2408" s="421"/>
      <c r="AC2408" s="421"/>
      <c r="AD2408" s="421"/>
      <c r="AE2408" s="421"/>
      <c r="AF2408" s="421"/>
      <c r="AG2408" s="421"/>
      <c r="AH2408" s="421"/>
      <c r="AI2408" s="421"/>
      <c r="AJ2408" s="421"/>
      <c r="AK2408" s="421"/>
      <c r="AL2408" s="421"/>
    </row>
    <row r="2409" spans="1:38" hidden="1">
      <c r="A2409" s="408"/>
      <c r="B2409" s="83" t="e">
        <f t="array" ref="B2409">SUM(--(FREQUENCY(IF(C$2:C$3072=C2409, MATCH(D$2:D$3072, D$2:D$3072, 0)), ROW(D$2:D$3072)-ROW(D$2)+1) &gt; 0))</f>
        <v>#N/A</v>
      </c>
      <c r="C2409" s="408"/>
      <c r="D2409" s="408"/>
      <c r="E2409" s="408"/>
      <c r="F2409" s="408"/>
      <c r="G2409" s="408"/>
      <c r="H2409" s="408"/>
      <c r="I2409" s="408"/>
      <c r="J2409" s="408"/>
      <c r="K2409" s="408"/>
      <c r="L2409" s="408"/>
      <c r="M2409" s="408"/>
      <c r="N2409" s="408" t="str">
        <f t="shared" si="464"/>
        <v/>
      </c>
      <c r="O2409" s="408"/>
      <c r="P2409" s="408"/>
      <c r="Q2409" s="408"/>
      <c r="R2409" s="408"/>
      <c r="S2409" s="408"/>
      <c r="T2409" s="408"/>
      <c r="U2409" s="408"/>
      <c r="V2409" s="421"/>
      <c r="W2409" s="421"/>
      <c r="X2409" s="421"/>
      <c r="Y2409" s="421"/>
      <c r="Z2409" s="421"/>
      <c r="AA2409" s="421"/>
      <c r="AB2409" s="421"/>
      <c r="AC2409" s="421"/>
      <c r="AD2409" s="421"/>
      <c r="AE2409" s="421"/>
      <c r="AF2409" s="421"/>
      <c r="AG2409" s="421"/>
      <c r="AH2409" s="421"/>
      <c r="AI2409" s="421"/>
      <c r="AJ2409" s="421"/>
      <c r="AK2409" s="421"/>
      <c r="AL2409" s="421"/>
    </row>
    <row r="2410" spans="1:38" hidden="1">
      <c r="A2410" s="408"/>
      <c r="B2410" s="83" t="e">
        <f t="array" ref="B2410">SUM(--(FREQUENCY(IF(C$2:C$3072=C2410, MATCH(D$2:D$3072, D$2:D$3072, 0)), ROW(D$2:D$3072)-ROW(D$2)+1) &gt; 0))</f>
        <v>#N/A</v>
      </c>
      <c r="C2410" s="408"/>
      <c r="D2410" s="408"/>
      <c r="E2410" s="408"/>
      <c r="F2410" s="408"/>
      <c r="G2410" s="408"/>
      <c r="H2410" s="408"/>
      <c r="I2410" s="408"/>
      <c r="J2410" s="408"/>
      <c r="K2410" s="408"/>
      <c r="L2410" s="408"/>
      <c r="M2410" s="408"/>
      <c r="N2410" s="408" t="str">
        <f t="shared" si="464"/>
        <v/>
      </c>
      <c r="O2410" s="408"/>
      <c r="P2410" s="408"/>
      <c r="Q2410" s="408"/>
      <c r="R2410" s="408"/>
      <c r="S2410" s="408"/>
      <c r="T2410" s="408"/>
      <c r="U2410" s="408"/>
      <c r="V2410" s="421"/>
      <c r="W2410" s="421"/>
      <c r="X2410" s="421"/>
      <c r="Y2410" s="421"/>
      <c r="Z2410" s="421"/>
      <c r="AA2410" s="421"/>
      <c r="AB2410" s="421"/>
      <c r="AC2410" s="421"/>
      <c r="AD2410" s="421"/>
      <c r="AE2410" s="421"/>
      <c r="AF2410" s="421"/>
      <c r="AG2410" s="421"/>
      <c r="AH2410" s="421"/>
      <c r="AI2410" s="421"/>
      <c r="AJ2410" s="421"/>
      <c r="AK2410" s="421"/>
      <c r="AL2410" s="421"/>
    </row>
    <row r="2411" spans="1:38" hidden="1">
      <c r="A2411" s="408"/>
      <c r="B2411" s="83" t="e">
        <f t="array" ref="B2411">SUM(--(FREQUENCY(IF(C$2:C$3072=C2411, MATCH(D$2:D$3072, D$2:D$3072, 0)), ROW(D$2:D$3072)-ROW(D$2)+1) &gt; 0))</f>
        <v>#N/A</v>
      </c>
      <c r="C2411" s="408"/>
      <c r="D2411" s="408"/>
      <c r="E2411" s="408"/>
      <c r="F2411" s="408"/>
      <c r="G2411" s="408"/>
      <c r="H2411" s="408"/>
      <c r="I2411" s="408"/>
      <c r="J2411" s="408"/>
      <c r="K2411" s="408"/>
      <c r="L2411" s="408"/>
      <c r="M2411" s="408"/>
      <c r="N2411" s="408" t="str">
        <f t="shared" si="464"/>
        <v/>
      </c>
      <c r="O2411" s="408"/>
      <c r="P2411" s="408"/>
      <c r="Q2411" s="408"/>
      <c r="R2411" s="408"/>
      <c r="S2411" s="408"/>
      <c r="T2411" s="408"/>
      <c r="U2411" s="408"/>
      <c r="V2411" s="421"/>
      <c r="W2411" s="421"/>
      <c r="X2411" s="421"/>
      <c r="Y2411" s="421"/>
      <c r="Z2411" s="421"/>
      <c r="AA2411" s="421"/>
      <c r="AB2411" s="421"/>
      <c r="AC2411" s="421"/>
      <c r="AD2411" s="421"/>
      <c r="AE2411" s="421"/>
      <c r="AF2411" s="421"/>
      <c r="AG2411" s="421"/>
      <c r="AH2411" s="421"/>
      <c r="AI2411" s="421"/>
      <c r="AJ2411" s="421"/>
      <c r="AK2411" s="421"/>
      <c r="AL2411" s="421"/>
    </row>
    <row r="2412" spans="1:38" hidden="1">
      <c r="A2412" s="408"/>
      <c r="B2412" s="83" t="e">
        <f t="array" ref="B2412">SUM(--(FREQUENCY(IF(C$2:C$3072=C2412, MATCH(D$2:D$3072, D$2:D$3072, 0)), ROW(D$2:D$3072)-ROW(D$2)+1) &gt; 0))</f>
        <v>#N/A</v>
      </c>
      <c r="C2412" s="408"/>
      <c r="D2412" s="408"/>
      <c r="E2412" s="408"/>
      <c r="F2412" s="408"/>
      <c r="G2412" s="408"/>
      <c r="H2412" s="408"/>
      <c r="I2412" s="408"/>
      <c r="J2412" s="408"/>
      <c r="K2412" s="408"/>
      <c r="L2412" s="408"/>
      <c r="M2412" s="408"/>
      <c r="N2412" s="408" t="str">
        <f t="shared" si="464"/>
        <v/>
      </c>
      <c r="O2412" s="408"/>
      <c r="P2412" s="408"/>
      <c r="Q2412" s="408"/>
      <c r="R2412" s="408"/>
      <c r="S2412" s="408"/>
      <c r="T2412" s="408"/>
      <c r="U2412" s="408"/>
      <c r="V2412" s="421"/>
      <c r="W2412" s="421"/>
      <c r="X2412" s="421"/>
      <c r="Y2412" s="421"/>
      <c r="Z2412" s="421"/>
      <c r="AA2412" s="421"/>
      <c r="AB2412" s="421"/>
      <c r="AC2412" s="421"/>
      <c r="AD2412" s="421"/>
      <c r="AE2412" s="421"/>
      <c r="AF2412" s="421"/>
      <c r="AG2412" s="421"/>
      <c r="AH2412" s="421"/>
      <c r="AI2412" s="421"/>
      <c r="AJ2412" s="421"/>
      <c r="AK2412" s="421"/>
      <c r="AL2412" s="421"/>
    </row>
    <row r="2413" spans="1:38" hidden="1">
      <c r="A2413" s="408"/>
      <c r="B2413" s="83" t="e">
        <f t="array" ref="B2413">SUM(--(FREQUENCY(IF(C$2:C$3072=C2413, MATCH(D$2:D$3072, D$2:D$3072, 0)), ROW(D$2:D$3072)-ROW(D$2)+1) &gt; 0))</f>
        <v>#N/A</v>
      </c>
      <c r="C2413" s="408"/>
      <c r="D2413" s="408"/>
      <c r="E2413" s="408"/>
      <c r="F2413" s="408"/>
      <c r="G2413" s="408"/>
      <c r="H2413" s="408"/>
      <c r="I2413" s="408"/>
      <c r="J2413" s="408"/>
      <c r="K2413" s="408"/>
      <c r="L2413" s="408"/>
      <c r="M2413" s="408"/>
      <c r="N2413" s="408" t="str">
        <f t="shared" si="464"/>
        <v/>
      </c>
      <c r="O2413" s="408"/>
      <c r="P2413" s="408"/>
      <c r="Q2413" s="408"/>
      <c r="R2413" s="408"/>
      <c r="S2413" s="408"/>
      <c r="T2413" s="408"/>
      <c r="U2413" s="408"/>
      <c r="V2413" s="421"/>
      <c r="W2413" s="421"/>
      <c r="X2413" s="421"/>
      <c r="Y2413" s="421"/>
      <c r="Z2413" s="421"/>
      <c r="AA2413" s="421"/>
      <c r="AB2413" s="421"/>
      <c r="AC2413" s="421"/>
      <c r="AD2413" s="421"/>
      <c r="AE2413" s="421"/>
      <c r="AF2413" s="421"/>
      <c r="AG2413" s="421"/>
      <c r="AH2413" s="421"/>
      <c r="AI2413" s="421"/>
      <c r="AJ2413" s="421"/>
      <c r="AK2413" s="421"/>
      <c r="AL2413" s="421"/>
    </row>
    <row r="2414" spans="1:38" hidden="1">
      <c r="A2414" s="408"/>
      <c r="B2414" s="83" t="e">
        <f t="array" ref="B2414">SUM(--(FREQUENCY(IF(C$2:C$3072=C2414, MATCH(D$2:D$3072, D$2:D$3072, 0)), ROW(D$2:D$3072)-ROW(D$2)+1) &gt; 0))</f>
        <v>#N/A</v>
      </c>
      <c r="C2414" s="408"/>
      <c r="D2414" s="408"/>
      <c r="E2414" s="408"/>
      <c r="F2414" s="408"/>
      <c r="G2414" s="408"/>
      <c r="H2414" s="408"/>
      <c r="I2414" s="408"/>
      <c r="J2414" s="408"/>
      <c r="K2414" s="408"/>
      <c r="L2414" s="408"/>
      <c r="M2414" s="408"/>
      <c r="N2414" s="408" t="str">
        <f t="shared" si="464"/>
        <v/>
      </c>
      <c r="O2414" s="408"/>
      <c r="P2414" s="408"/>
      <c r="Q2414" s="408"/>
      <c r="R2414" s="408"/>
      <c r="S2414" s="408"/>
      <c r="T2414" s="408"/>
      <c r="U2414" s="408"/>
      <c r="V2414" s="421"/>
      <c r="W2414" s="421"/>
      <c r="X2414" s="421"/>
      <c r="Y2414" s="421"/>
      <c r="Z2414" s="421"/>
      <c r="AA2414" s="421"/>
      <c r="AB2414" s="421"/>
      <c r="AC2414" s="421"/>
      <c r="AD2414" s="421"/>
      <c r="AE2414" s="421"/>
      <c r="AF2414" s="421"/>
      <c r="AG2414" s="421"/>
      <c r="AH2414" s="421"/>
      <c r="AI2414" s="421"/>
      <c r="AJ2414" s="421"/>
      <c r="AK2414" s="421"/>
      <c r="AL2414" s="421"/>
    </row>
    <row r="2415" spans="1:38" hidden="1">
      <c r="A2415" s="408"/>
      <c r="B2415" s="83" t="e">
        <f t="array" ref="B2415">SUM(--(FREQUENCY(IF(C$2:C$3072=C2415, MATCH(D$2:D$3072, D$2:D$3072, 0)), ROW(D$2:D$3072)-ROW(D$2)+1) &gt; 0))</f>
        <v>#N/A</v>
      </c>
      <c r="C2415" s="408"/>
      <c r="D2415" s="408"/>
      <c r="E2415" s="408"/>
      <c r="F2415" s="408"/>
      <c r="G2415" s="408"/>
      <c r="H2415" s="408"/>
      <c r="I2415" s="408"/>
      <c r="J2415" s="408"/>
      <c r="K2415" s="408"/>
      <c r="L2415" s="408"/>
      <c r="M2415" s="408"/>
      <c r="N2415" s="408" t="str">
        <f t="shared" si="464"/>
        <v/>
      </c>
      <c r="O2415" s="408"/>
      <c r="P2415" s="408"/>
      <c r="Q2415" s="408"/>
      <c r="R2415" s="408"/>
      <c r="S2415" s="408"/>
      <c r="T2415" s="408"/>
      <c r="U2415" s="408"/>
      <c r="V2415" s="421"/>
      <c r="W2415" s="421"/>
      <c r="X2415" s="421"/>
      <c r="Y2415" s="421"/>
      <c r="Z2415" s="421"/>
      <c r="AA2415" s="421"/>
      <c r="AB2415" s="421"/>
      <c r="AC2415" s="421"/>
      <c r="AD2415" s="421"/>
      <c r="AE2415" s="421"/>
      <c r="AF2415" s="421"/>
      <c r="AG2415" s="421"/>
      <c r="AH2415" s="421"/>
      <c r="AI2415" s="421"/>
      <c r="AJ2415" s="421"/>
      <c r="AK2415" s="421"/>
      <c r="AL2415" s="421"/>
    </row>
    <row r="2416" spans="1:38" hidden="1">
      <c r="A2416" s="408"/>
      <c r="B2416" s="83" t="e">
        <f t="array" ref="B2416">SUM(--(FREQUENCY(IF(C$2:C$3072=C2416, MATCH(D$2:D$3072, D$2:D$3072, 0)), ROW(D$2:D$3072)-ROW(D$2)+1) &gt; 0))</f>
        <v>#N/A</v>
      </c>
      <c r="C2416" s="408"/>
      <c r="D2416" s="408"/>
      <c r="E2416" s="408"/>
      <c r="F2416" s="408"/>
      <c r="G2416" s="408"/>
      <c r="H2416" s="408"/>
      <c r="I2416" s="408"/>
      <c r="J2416" s="408"/>
      <c r="K2416" s="408"/>
      <c r="L2416" s="408"/>
      <c r="M2416" s="408"/>
      <c r="N2416" s="408" t="str">
        <f t="shared" si="464"/>
        <v/>
      </c>
      <c r="O2416" s="408"/>
      <c r="P2416" s="408"/>
      <c r="Q2416" s="408"/>
      <c r="R2416" s="408"/>
      <c r="S2416" s="408"/>
      <c r="T2416" s="408"/>
      <c r="U2416" s="408"/>
      <c r="V2416" s="421"/>
      <c r="W2416" s="421"/>
      <c r="X2416" s="421"/>
      <c r="Y2416" s="421"/>
      <c r="Z2416" s="421"/>
      <c r="AA2416" s="421"/>
      <c r="AB2416" s="421"/>
      <c r="AC2416" s="421"/>
      <c r="AD2416" s="421"/>
      <c r="AE2416" s="421"/>
      <c r="AF2416" s="421"/>
      <c r="AG2416" s="421"/>
      <c r="AH2416" s="421"/>
      <c r="AI2416" s="421"/>
      <c r="AJ2416" s="421"/>
      <c r="AK2416" s="421"/>
      <c r="AL2416" s="421"/>
    </row>
    <row r="2417" spans="1:38" hidden="1">
      <c r="A2417" s="408"/>
      <c r="B2417" s="83" t="e">
        <f t="array" ref="B2417">SUM(--(FREQUENCY(IF(C$2:C$3072=C2417, MATCH(D$2:D$3072, D$2:D$3072, 0)), ROW(D$2:D$3072)-ROW(D$2)+1) &gt; 0))</f>
        <v>#N/A</v>
      </c>
      <c r="C2417" s="408"/>
      <c r="D2417" s="408"/>
      <c r="E2417" s="408"/>
      <c r="F2417" s="408"/>
      <c r="G2417" s="408"/>
      <c r="H2417" s="408"/>
      <c r="I2417" s="408"/>
      <c r="J2417" s="408"/>
      <c r="K2417" s="408"/>
      <c r="L2417" s="408"/>
      <c r="M2417" s="408"/>
      <c r="N2417" s="408" t="str">
        <f t="shared" si="464"/>
        <v/>
      </c>
      <c r="O2417" s="408"/>
      <c r="P2417" s="408"/>
      <c r="Q2417" s="408"/>
      <c r="R2417" s="408"/>
      <c r="S2417" s="408"/>
      <c r="T2417" s="408"/>
      <c r="U2417" s="408"/>
      <c r="V2417" s="421"/>
      <c r="W2417" s="421"/>
      <c r="X2417" s="421"/>
      <c r="Y2417" s="421"/>
      <c r="Z2417" s="421"/>
      <c r="AA2417" s="421"/>
      <c r="AB2417" s="421"/>
      <c r="AC2417" s="421"/>
      <c r="AD2417" s="421"/>
      <c r="AE2417" s="421"/>
      <c r="AF2417" s="421"/>
      <c r="AG2417" s="421"/>
      <c r="AH2417" s="421"/>
      <c r="AI2417" s="421"/>
      <c r="AJ2417" s="421"/>
      <c r="AK2417" s="421"/>
      <c r="AL2417" s="421"/>
    </row>
    <row r="2418" spans="1:38" hidden="1">
      <c r="A2418" s="408"/>
      <c r="B2418" s="83" t="e">
        <f t="array" ref="B2418">SUM(--(FREQUENCY(IF(C$2:C$3072=C2418, MATCH(D$2:D$3072, D$2:D$3072, 0)), ROW(D$2:D$3072)-ROW(D$2)+1) &gt; 0))</f>
        <v>#N/A</v>
      </c>
      <c r="C2418" s="408"/>
      <c r="D2418" s="408"/>
      <c r="E2418" s="408"/>
      <c r="F2418" s="408"/>
      <c r="G2418" s="408"/>
      <c r="H2418" s="408"/>
      <c r="I2418" s="408"/>
      <c r="J2418" s="408"/>
      <c r="K2418" s="408"/>
      <c r="L2418" s="408"/>
      <c r="M2418" s="408"/>
      <c r="N2418" s="408" t="str">
        <f t="shared" si="464"/>
        <v/>
      </c>
      <c r="O2418" s="408"/>
      <c r="P2418" s="408"/>
      <c r="Q2418" s="408"/>
      <c r="R2418" s="408"/>
      <c r="S2418" s="408"/>
      <c r="T2418" s="408"/>
      <c r="U2418" s="408"/>
      <c r="V2418" s="421"/>
      <c r="W2418" s="421"/>
      <c r="X2418" s="421"/>
      <c r="Y2418" s="421"/>
      <c r="Z2418" s="421"/>
      <c r="AA2418" s="421"/>
      <c r="AB2418" s="421"/>
      <c r="AC2418" s="421"/>
      <c r="AD2418" s="421"/>
      <c r="AE2418" s="421"/>
      <c r="AF2418" s="421"/>
      <c r="AG2418" s="421"/>
      <c r="AH2418" s="421"/>
      <c r="AI2418" s="421"/>
      <c r="AJ2418" s="421"/>
      <c r="AK2418" s="421"/>
      <c r="AL2418" s="421"/>
    </row>
    <row r="2419" spans="1:38" hidden="1">
      <c r="A2419" s="408"/>
      <c r="B2419" s="83" t="e">
        <f t="array" ref="B2419">SUM(--(FREQUENCY(IF(C$2:C$3072=C2419, MATCH(D$2:D$3072, D$2:D$3072, 0)), ROW(D$2:D$3072)-ROW(D$2)+1) &gt; 0))</f>
        <v>#N/A</v>
      </c>
      <c r="C2419" s="408"/>
      <c r="D2419" s="408"/>
      <c r="E2419" s="408"/>
      <c r="F2419" s="408"/>
      <c r="G2419" s="408"/>
      <c r="H2419" s="408"/>
      <c r="I2419" s="408"/>
      <c r="J2419" s="408"/>
      <c r="K2419" s="408"/>
      <c r="L2419" s="408"/>
      <c r="M2419" s="408"/>
      <c r="N2419" s="408" t="str">
        <f t="shared" si="464"/>
        <v/>
      </c>
      <c r="O2419" s="408"/>
      <c r="P2419" s="408"/>
      <c r="Q2419" s="408"/>
      <c r="R2419" s="408"/>
      <c r="S2419" s="408"/>
      <c r="T2419" s="408"/>
      <c r="U2419" s="408"/>
      <c r="V2419" s="421"/>
      <c r="W2419" s="421"/>
      <c r="X2419" s="421"/>
      <c r="Y2419" s="421"/>
      <c r="Z2419" s="421"/>
      <c r="AA2419" s="421"/>
      <c r="AB2419" s="421"/>
      <c r="AC2419" s="421"/>
      <c r="AD2419" s="421"/>
      <c r="AE2419" s="421"/>
      <c r="AF2419" s="421"/>
      <c r="AG2419" s="421"/>
      <c r="AH2419" s="421"/>
      <c r="AI2419" s="421"/>
      <c r="AJ2419" s="421"/>
      <c r="AK2419" s="421"/>
      <c r="AL2419" s="421"/>
    </row>
    <row r="2420" spans="1:38" hidden="1">
      <c r="A2420" s="408"/>
      <c r="B2420" s="83" t="e">
        <f t="array" ref="B2420">SUM(--(FREQUENCY(IF(C$2:C$3072=C2420, MATCH(D$2:D$3072, D$2:D$3072, 0)), ROW(D$2:D$3072)-ROW(D$2)+1) &gt; 0))</f>
        <v>#N/A</v>
      </c>
      <c r="C2420" s="408"/>
      <c r="D2420" s="408"/>
      <c r="E2420" s="408"/>
      <c r="F2420" s="408"/>
      <c r="G2420" s="408"/>
      <c r="H2420" s="408"/>
      <c r="I2420" s="408"/>
      <c r="J2420" s="408"/>
      <c r="K2420" s="408"/>
      <c r="L2420" s="408"/>
      <c r="M2420" s="408"/>
      <c r="N2420" s="408" t="str">
        <f t="shared" si="464"/>
        <v/>
      </c>
      <c r="O2420" s="408"/>
      <c r="P2420" s="408"/>
      <c r="Q2420" s="408"/>
      <c r="R2420" s="408"/>
      <c r="S2420" s="408"/>
      <c r="T2420" s="408"/>
      <c r="U2420" s="408"/>
      <c r="V2420" s="421"/>
      <c r="W2420" s="421"/>
      <c r="X2420" s="421"/>
      <c r="Y2420" s="421"/>
      <c r="Z2420" s="421"/>
      <c r="AA2420" s="421"/>
      <c r="AB2420" s="421"/>
      <c r="AC2420" s="421"/>
      <c r="AD2420" s="421"/>
      <c r="AE2420" s="421"/>
      <c r="AF2420" s="421"/>
      <c r="AG2420" s="421"/>
      <c r="AH2420" s="421"/>
      <c r="AI2420" s="421"/>
      <c r="AJ2420" s="421"/>
      <c r="AK2420" s="421"/>
      <c r="AL2420" s="421"/>
    </row>
    <row r="2421" spans="1:38" hidden="1">
      <c r="A2421" s="408"/>
      <c r="B2421" s="83" t="e">
        <f t="array" ref="B2421">SUM(--(FREQUENCY(IF(C$2:C$3072=C2421, MATCH(D$2:D$3072, D$2:D$3072, 0)), ROW(D$2:D$3072)-ROW(D$2)+1) &gt; 0))</f>
        <v>#N/A</v>
      </c>
      <c r="C2421" s="408"/>
      <c r="D2421" s="408"/>
      <c r="E2421" s="408"/>
      <c r="F2421" s="408"/>
      <c r="G2421" s="408"/>
      <c r="H2421" s="408"/>
      <c r="I2421" s="408"/>
      <c r="J2421" s="408"/>
      <c r="K2421" s="408"/>
      <c r="L2421" s="408"/>
      <c r="M2421" s="408"/>
      <c r="N2421" s="408" t="str">
        <f t="shared" si="464"/>
        <v/>
      </c>
      <c r="O2421" s="408"/>
      <c r="P2421" s="408"/>
      <c r="Q2421" s="408"/>
      <c r="R2421" s="408"/>
      <c r="S2421" s="408"/>
      <c r="T2421" s="408"/>
      <c r="U2421" s="408"/>
      <c r="V2421" s="421"/>
      <c r="W2421" s="421"/>
      <c r="X2421" s="421"/>
      <c r="Y2421" s="421"/>
      <c r="Z2421" s="421"/>
      <c r="AA2421" s="421"/>
      <c r="AB2421" s="421"/>
      <c r="AC2421" s="421"/>
      <c r="AD2421" s="421"/>
      <c r="AE2421" s="421"/>
      <c r="AF2421" s="421"/>
      <c r="AG2421" s="421"/>
      <c r="AH2421" s="421"/>
      <c r="AI2421" s="421"/>
      <c r="AJ2421" s="421"/>
      <c r="AK2421" s="421"/>
      <c r="AL2421" s="421"/>
    </row>
    <row r="2422" spans="1:38" hidden="1">
      <c r="A2422" s="408"/>
      <c r="B2422" s="83" t="e">
        <f t="array" ref="B2422">SUM(--(FREQUENCY(IF(C$2:C$3072=C2422, MATCH(D$2:D$3072, D$2:D$3072, 0)), ROW(D$2:D$3072)-ROW(D$2)+1) &gt; 0))</f>
        <v>#N/A</v>
      </c>
      <c r="C2422" s="408"/>
      <c r="D2422" s="408"/>
      <c r="E2422" s="408"/>
      <c r="F2422" s="408"/>
      <c r="G2422" s="408"/>
      <c r="H2422" s="408"/>
      <c r="I2422" s="408"/>
      <c r="J2422" s="408"/>
      <c r="K2422" s="408"/>
      <c r="L2422" s="408"/>
      <c r="M2422" s="408"/>
      <c r="N2422" s="408" t="str">
        <f t="shared" si="464"/>
        <v/>
      </c>
      <c r="O2422" s="408"/>
      <c r="P2422" s="408"/>
      <c r="Q2422" s="408"/>
      <c r="R2422" s="408"/>
      <c r="S2422" s="408"/>
      <c r="T2422" s="408"/>
      <c r="U2422" s="408"/>
      <c r="V2422" s="421"/>
      <c r="W2422" s="421"/>
      <c r="X2422" s="421"/>
      <c r="Y2422" s="421"/>
      <c r="Z2422" s="421"/>
      <c r="AA2422" s="421"/>
      <c r="AB2422" s="421"/>
      <c r="AC2422" s="421"/>
      <c r="AD2422" s="421"/>
      <c r="AE2422" s="421"/>
      <c r="AF2422" s="421"/>
      <c r="AG2422" s="421"/>
      <c r="AH2422" s="421"/>
      <c r="AI2422" s="421"/>
      <c r="AJ2422" s="421"/>
      <c r="AK2422" s="421"/>
      <c r="AL2422" s="421"/>
    </row>
    <row r="2423" spans="1:38" hidden="1">
      <c r="A2423" s="408"/>
      <c r="B2423" s="83" t="e">
        <f t="array" ref="B2423">SUM(--(FREQUENCY(IF(C$2:C$3072=C2423, MATCH(D$2:D$3072, D$2:D$3072, 0)), ROW(D$2:D$3072)-ROW(D$2)+1) &gt; 0))</f>
        <v>#N/A</v>
      </c>
      <c r="C2423" s="408"/>
      <c r="D2423" s="408"/>
      <c r="E2423" s="408"/>
      <c r="F2423" s="408"/>
      <c r="G2423" s="408"/>
      <c r="H2423" s="408"/>
      <c r="I2423" s="408"/>
      <c r="J2423" s="408"/>
      <c r="K2423" s="408"/>
      <c r="L2423" s="408"/>
      <c r="M2423" s="408"/>
      <c r="N2423" s="408" t="str">
        <f t="shared" si="464"/>
        <v/>
      </c>
      <c r="O2423" s="408"/>
      <c r="P2423" s="408"/>
      <c r="Q2423" s="408"/>
      <c r="R2423" s="408"/>
      <c r="S2423" s="408"/>
      <c r="T2423" s="408"/>
      <c r="U2423" s="408"/>
      <c r="V2423" s="421"/>
      <c r="W2423" s="421"/>
      <c r="X2423" s="421"/>
      <c r="Y2423" s="421"/>
      <c r="Z2423" s="421"/>
      <c r="AA2423" s="421"/>
      <c r="AB2423" s="421"/>
      <c r="AC2423" s="421"/>
      <c r="AD2423" s="421"/>
      <c r="AE2423" s="421"/>
      <c r="AF2423" s="421"/>
      <c r="AG2423" s="421"/>
      <c r="AH2423" s="421"/>
      <c r="AI2423" s="421"/>
      <c r="AJ2423" s="421"/>
      <c r="AK2423" s="421"/>
      <c r="AL2423" s="421"/>
    </row>
    <row r="2424" spans="1:38" hidden="1">
      <c r="A2424" s="408"/>
      <c r="B2424" s="83" t="e">
        <f t="array" ref="B2424">SUM(--(FREQUENCY(IF(C$2:C$3072=C2424, MATCH(D$2:D$3072, D$2:D$3072, 0)), ROW(D$2:D$3072)-ROW(D$2)+1) &gt; 0))</f>
        <v>#N/A</v>
      </c>
      <c r="C2424" s="408"/>
      <c r="D2424" s="408"/>
      <c r="E2424" s="408"/>
      <c r="F2424" s="408"/>
      <c r="G2424" s="408"/>
      <c r="H2424" s="408"/>
      <c r="I2424" s="408"/>
      <c r="J2424" s="408"/>
      <c r="K2424" s="408"/>
      <c r="L2424" s="408"/>
      <c r="M2424" s="408"/>
      <c r="N2424" s="408" t="str">
        <f t="shared" si="464"/>
        <v/>
      </c>
      <c r="O2424" s="408"/>
      <c r="P2424" s="408"/>
      <c r="Q2424" s="408"/>
      <c r="R2424" s="408"/>
      <c r="S2424" s="408"/>
      <c r="T2424" s="408"/>
      <c r="U2424" s="408"/>
      <c r="V2424" s="421"/>
      <c r="W2424" s="421"/>
      <c r="X2424" s="421"/>
      <c r="Y2424" s="421"/>
      <c r="Z2424" s="421"/>
      <c r="AA2424" s="421"/>
      <c r="AB2424" s="421"/>
      <c r="AC2424" s="421"/>
      <c r="AD2424" s="421"/>
      <c r="AE2424" s="421"/>
      <c r="AF2424" s="421"/>
      <c r="AG2424" s="421"/>
      <c r="AH2424" s="421"/>
      <c r="AI2424" s="421"/>
      <c r="AJ2424" s="421"/>
      <c r="AK2424" s="421"/>
      <c r="AL2424" s="421"/>
    </row>
    <row r="2425" spans="1:38" hidden="1">
      <c r="A2425" s="408"/>
      <c r="B2425" s="83" t="e">
        <f t="array" ref="B2425">SUM(--(FREQUENCY(IF(C$2:C$3072=C2425, MATCH(D$2:D$3072, D$2:D$3072, 0)), ROW(D$2:D$3072)-ROW(D$2)+1) &gt; 0))</f>
        <v>#N/A</v>
      </c>
      <c r="C2425" s="408"/>
      <c r="D2425" s="408"/>
      <c r="E2425" s="408"/>
      <c r="F2425" s="408"/>
      <c r="G2425" s="408"/>
      <c r="H2425" s="408"/>
      <c r="I2425" s="408"/>
      <c r="J2425" s="408"/>
      <c r="K2425" s="408"/>
      <c r="L2425" s="408"/>
      <c r="M2425" s="408"/>
      <c r="N2425" s="408" t="str">
        <f t="shared" si="464"/>
        <v/>
      </c>
      <c r="O2425" s="408"/>
      <c r="P2425" s="408"/>
      <c r="Q2425" s="408"/>
      <c r="R2425" s="408"/>
      <c r="S2425" s="408"/>
      <c r="T2425" s="408"/>
      <c r="U2425" s="408"/>
      <c r="V2425" s="421"/>
      <c r="W2425" s="421"/>
      <c r="X2425" s="421"/>
      <c r="Y2425" s="421"/>
      <c r="Z2425" s="421"/>
      <c r="AA2425" s="421"/>
      <c r="AB2425" s="421"/>
      <c r="AC2425" s="421"/>
      <c r="AD2425" s="421"/>
      <c r="AE2425" s="421"/>
      <c r="AF2425" s="421"/>
      <c r="AG2425" s="421"/>
      <c r="AH2425" s="421"/>
      <c r="AI2425" s="421"/>
      <c r="AJ2425" s="421"/>
      <c r="AK2425" s="421"/>
      <c r="AL2425" s="421"/>
    </row>
    <row r="2426" spans="1:38" hidden="1">
      <c r="A2426" s="408"/>
      <c r="B2426" s="83" t="e">
        <f t="array" ref="B2426">SUM(--(FREQUENCY(IF(C$2:C$3072=C2426, MATCH(D$2:D$3072, D$2:D$3072, 0)), ROW(D$2:D$3072)-ROW(D$2)+1) &gt; 0))</f>
        <v>#N/A</v>
      </c>
      <c r="C2426" s="408"/>
      <c r="D2426" s="408"/>
      <c r="E2426" s="408"/>
      <c r="F2426" s="408"/>
      <c r="G2426" s="408"/>
      <c r="H2426" s="408"/>
      <c r="I2426" s="408"/>
      <c r="J2426" s="408"/>
      <c r="K2426" s="408"/>
      <c r="L2426" s="408"/>
      <c r="M2426" s="408"/>
      <c r="N2426" s="408" t="str">
        <f t="shared" si="464"/>
        <v/>
      </c>
      <c r="O2426" s="408"/>
      <c r="P2426" s="408"/>
      <c r="Q2426" s="408"/>
      <c r="R2426" s="408"/>
      <c r="S2426" s="408"/>
      <c r="T2426" s="408"/>
      <c r="U2426" s="408"/>
      <c r="V2426" s="421"/>
      <c r="W2426" s="421"/>
      <c r="X2426" s="421"/>
      <c r="Y2426" s="421"/>
      <c r="Z2426" s="421"/>
      <c r="AA2426" s="421"/>
      <c r="AB2426" s="421"/>
      <c r="AC2426" s="421"/>
      <c r="AD2426" s="421"/>
      <c r="AE2426" s="421"/>
      <c r="AF2426" s="421"/>
      <c r="AG2426" s="421"/>
      <c r="AH2426" s="421"/>
      <c r="AI2426" s="421"/>
      <c r="AJ2426" s="421"/>
      <c r="AK2426" s="421"/>
      <c r="AL2426" s="421"/>
    </row>
    <row r="2427" spans="1:38" hidden="1">
      <c r="A2427" s="408"/>
      <c r="B2427" s="83" t="e">
        <f t="array" ref="B2427">SUM(--(FREQUENCY(IF(C$2:C$3072=C2427, MATCH(D$2:D$3072, D$2:D$3072, 0)), ROW(D$2:D$3072)-ROW(D$2)+1) &gt; 0))</f>
        <v>#N/A</v>
      </c>
      <c r="C2427" s="408"/>
      <c r="D2427" s="408"/>
      <c r="E2427" s="408"/>
      <c r="F2427" s="408"/>
      <c r="G2427" s="408"/>
      <c r="H2427" s="408"/>
      <c r="I2427" s="408"/>
      <c r="J2427" s="408"/>
      <c r="K2427" s="408"/>
      <c r="L2427" s="408"/>
      <c r="M2427" s="408"/>
      <c r="N2427" s="408" t="str">
        <f t="shared" si="464"/>
        <v/>
      </c>
      <c r="O2427" s="408"/>
      <c r="P2427" s="408"/>
      <c r="Q2427" s="408"/>
      <c r="R2427" s="408"/>
      <c r="S2427" s="408"/>
      <c r="T2427" s="408"/>
      <c r="U2427" s="408"/>
      <c r="V2427" s="421"/>
      <c r="W2427" s="421"/>
      <c r="X2427" s="421"/>
      <c r="Y2427" s="421"/>
      <c r="Z2427" s="421"/>
      <c r="AA2427" s="421"/>
      <c r="AB2427" s="421"/>
      <c r="AC2427" s="421"/>
      <c r="AD2427" s="421"/>
      <c r="AE2427" s="421"/>
      <c r="AF2427" s="421"/>
      <c r="AG2427" s="421"/>
      <c r="AH2427" s="421"/>
      <c r="AI2427" s="421"/>
      <c r="AJ2427" s="421"/>
      <c r="AK2427" s="421"/>
      <c r="AL2427" s="421"/>
    </row>
    <row r="2428" spans="1:38" hidden="1">
      <c r="A2428" s="408"/>
      <c r="B2428" s="83" t="e">
        <f t="array" ref="B2428">SUM(--(FREQUENCY(IF(C$2:C$3072=C2428, MATCH(D$2:D$3072, D$2:D$3072, 0)), ROW(D$2:D$3072)-ROW(D$2)+1) &gt; 0))</f>
        <v>#N/A</v>
      </c>
      <c r="C2428" s="408"/>
      <c r="D2428" s="408"/>
      <c r="E2428" s="408"/>
      <c r="F2428" s="408"/>
      <c r="G2428" s="408"/>
      <c r="H2428" s="408"/>
      <c r="I2428" s="408"/>
      <c r="J2428" s="408"/>
      <c r="K2428" s="408"/>
      <c r="L2428" s="408"/>
      <c r="M2428" s="408"/>
      <c r="N2428" s="408" t="str">
        <f t="shared" si="464"/>
        <v/>
      </c>
      <c r="O2428" s="408"/>
      <c r="P2428" s="408"/>
      <c r="Q2428" s="408"/>
      <c r="R2428" s="408"/>
      <c r="S2428" s="408"/>
      <c r="T2428" s="408"/>
      <c r="U2428" s="408"/>
      <c r="V2428" s="421"/>
      <c r="W2428" s="421"/>
      <c r="X2428" s="421"/>
      <c r="Y2428" s="421"/>
      <c r="Z2428" s="421"/>
      <c r="AA2428" s="421"/>
      <c r="AB2428" s="421"/>
      <c r="AC2428" s="421"/>
      <c r="AD2428" s="421"/>
      <c r="AE2428" s="421"/>
      <c r="AF2428" s="421"/>
      <c r="AG2428" s="421"/>
      <c r="AH2428" s="421"/>
      <c r="AI2428" s="421"/>
      <c r="AJ2428" s="421"/>
      <c r="AK2428" s="421"/>
      <c r="AL2428" s="421"/>
    </row>
    <row r="2429" spans="1:38" hidden="1">
      <c r="A2429" s="408"/>
      <c r="B2429" s="83" t="e">
        <f t="array" ref="B2429">SUM(--(FREQUENCY(IF(C$2:C$3072=C2429, MATCH(D$2:D$3072, D$2:D$3072, 0)), ROW(D$2:D$3072)-ROW(D$2)+1) &gt; 0))</f>
        <v>#N/A</v>
      </c>
      <c r="C2429" s="408"/>
      <c r="D2429" s="408"/>
      <c r="E2429" s="408"/>
      <c r="F2429" s="408"/>
      <c r="G2429" s="408"/>
      <c r="H2429" s="408"/>
      <c r="I2429" s="408"/>
      <c r="J2429" s="408"/>
      <c r="K2429" s="408"/>
      <c r="L2429" s="408"/>
      <c r="M2429" s="408"/>
      <c r="N2429" s="408" t="str">
        <f t="shared" si="464"/>
        <v/>
      </c>
      <c r="O2429" s="408"/>
      <c r="P2429" s="408"/>
      <c r="Q2429" s="408"/>
      <c r="R2429" s="408"/>
      <c r="S2429" s="408"/>
      <c r="T2429" s="408"/>
      <c r="U2429" s="408"/>
      <c r="V2429" s="421"/>
      <c r="W2429" s="421"/>
      <c r="X2429" s="421"/>
      <c r="Y2429" s="421"/>
      <c r="Z2429" s="421"/>
      <c r="AA2429" s="421"/>
      <c r="AB2429" s="421"/>
      <c r="AC2429" s="421"/>
      <c r="AD2429" s="421"/>
      <c r="AE2429" s="421"/>
      <c r="AF2429" s="421"/>
      <c r="AG2429" s="421"/>
      <c r="AH2429" s="421"/>
      <c r="AI2429" s="421"/>
      <c r="AJ2429" s="421"/>
      <c r="AK2429" s="421"/>
      <c r="AL2429" s="421"/>
    </row>
    <row r="2430" spans="1:38" hidden="1">
      <c r="A2430" s="408"/>
      <c r="B2430" s="83" t="e">
        <f t="array" ref="B2430">SUM(--(FREQUENCY(IF(C$2:C$3072=C2430, MATCH(D$2:D$3072, D$2:D$3072, 0)), ROW(D$2:D$3072)-ROW(D$2)+1) &gt; 0))</f>
        <v>#N/A</v>
      </c>
      <c r="C2430" s="408"/>
      <c r="D2430" s="408"/>
      <c r="E2430" s="408"/>
      <c r="F2430" s="408"/>
      <c r="G2430" s="408"/>
      <c r="H2430" s="408"/>
      <c r="I2430" s="408"/>
      <c r="J2430" s="408"/>
      <c r="K2430" s="408"/>
      <c r="L2430" s="408"/>
      <c r="M2430" s="408"/>
      <c r="N2430" s="408" t="str">
        <f t="shared" si="464"/>
        <v/>
      </c>
      <c r="O2430" s="408"/>
      <c r="P2430" s="408"/>
      <c r="Q2430" s="408"/>
      <c r="R2430" s="408"/>
      <c r="S2430" s="408"/>
      <c r="T2430" s="408"/>
      <c r="U2430" s="408"/>
      <c r="V2430" s="421"/>
      <c r="W2430" s="421"/>
      <c r="X2430" s="421"/>
      <c r="Y2430" s="421"/>
      <c r="Z2430" s="421"/>
      <c r="AA2430" s="421"/>
      <c r="AB2430" s="421"/>
      <c r="AC2430" s="421"/>
      <c r="AD2430" s="421"/>
      <c r="AE2430" s="421"/>
      <c r="AF2430" s="421"/>
      <c r="AG2430" s="421"/>
      <c r="AH2430" s="421"/>
      <c r="AI2430" s="421"/>
      <c r="AJ2430" s="421"/>
      <c r="AK2430" s="421"/>
      <c r="AL2430" s="421"/>
    </row>
    <row r="2431" spans="1:38" hidden="1">
      <c r="A2431" s="408"/>
      <c r="B2431" s="83" t="e">
        <f t="array" ref="B2431">SUM(--(FREQUENCY(IF(C$2:C$3072=C2431, MATCH(D$2:D$3072, D$2:D$3072, 0)), ROW(D$2:D$3072)-ROW(D$2)+1) &gt; 0))</f>
        <v>#N/A</v>
      </c>
      <c r="C2431" s="408"/>
      <c r="D2431" s="408"/>
      <c r="E2431" s="408"/>
      <c r="F2431" s="408"/>
      <c r="G2431" s="408"/>
      <c r="H2431" s="408"/>
      <c r="I2431" s="408"/>
      <c r="J2431" s="408"/>
      <c r="K2431" s="408"/>
      <c r="L2431" s="408"/>
      <c r="M2431" s="408"/>
      <c r="N2431" s="408" t="str">
        <f t="shared" si="464"/>
        <v/>
      </c>
      <c r="O2431" s="408"/>
      <c r="P2431" s="408"/>
      <c r="Q2431" s="408"/>
      <c r="R2431" s="408"/>
      <c r="S2431" s="408"/>
      <c r="T2431" s="408"/>
      <c r="U2431" s="408"/>
      <c r="V2431" s="421"/>
      <c r="W2431" s="421"/>
      <c r="X2431" s="421"/>
      <c r="Y2431" s="421"/>
      <c r="Z2431" s="421"/>
      <c r="AA2431" s="421"/>
      <c r="AB2431" s="421"/>
      <c r="AC2431" s="421"/>
      <c r="AD2431" s="421"/>
      <c r="AE2431" s="421"/>
      <c r="AF2431" s="421"/>
      <c r="AG2431" s="421"/>
      <c r="AH2431" s="421"/>
      <c r="AI2431" s="421"/>
      <c r="AJ2431" s="421"/>
      <c r="AK2431" s="421"/>
      <c r="AL2431" s="421"/>
    </row>
    <row r="2432" spans="1:38" hidden="1">
      <c r="A2432" s="408"/>
      <c r="B2432" s="83" t="e">
        <f t="array" ref="B2432">SUM(--(FREQUENCY(IF(C$2:C$3072=C2432, MATCH(D$2:D$3072, D$2:D$3072, 0)), ROW(D$2:D$3072)-ROW(D$2)+1) &gt; 0))</f>
        <v>#N/A</v>
      </c>
      <c r="C2432" s="408"/>
      <c r="D2432" s="408"/>
      <c r="E2432" s="408"/>
      <c r="F2432" s="408"/>
      <c r="G2432" s="408"/>
      <c r="H2432" s="408"/>
      <c r="I2432" s="408"/>
      <c r="J2432" s="408"/>
      <c r="K2432" s="408"/>
      <c r="L2432" s="408"/>
      <c r="M2432" s="408"/>
      <c r="N2432" s="408" t="str">
        <f t="shared" ref="N2432:N2495" si="465">IF(O2432&lt;&gt;"", "NG", "")</f>
        <v/>
      </c>
      <c r="O2432" s="408"/>
      <c r="P2432" s="408"/>
      <c r="Q2432" s="408"/>
      <c r="R2432" s="408"/>
      <c r="S2432" s="408"/>
      <c r="T2432" s="408"/>
      <c r="U2432" s="408"/>
      <c r="V2432" s="421"/>
      <c r="W2432" s="421"/>
      <c r="X2432" s="421"/>
      <c r="Y2432" s="421"/>
      <c r="Z2432" s="421"/>
      <c r="AA2432" s="421"/>
      <c r="AB2432" s="421"/>
      <c r="AC2432" s="421"/>
      <c r="AD2432" s="421"/>
      <c r="AE2432" s="421"/>
      <c r="AF2432" s="421"/>
      <c r="AG2432" s="421"/>
      <c r="AH2432" s="421"/>
      <c r="AI2432" s="421"/>
      <c r="AJ2432" s="421"/>
      <c r="AK2432" s="421"/>
      <c r="AL2432" s="421"/>
    </row>
    <row r="2433" spans="1:38" hidden="1">
      <c r="A2433" s="408"/>
      <c r="B2433" s="83" t="e">
        <f t="array" ref="B2433">SUM(--(FREQUENCY(IF(C$2:C$3072=C2433, MATCH(D$2:D$3072, D$2:D$3072, 0)), ROW(D$2:D$3072)-ROW(D$2)+1) &gt; 0))</f>
        <v>#N/A</v>
      </c>
      <c r="C2433" s="408"/>
      <c r="D2433" s="408"/>
      <c r="E2433" s="408"/>
      <c r="F2433" s="408"/>
      <c r="G2433" s="408"/>
      <c r="H2433" s="408"/>
      <c r="I2433" s="408"/>
      <c r="J2433" s="408"/>
      <c r="K2433" s="408"/>
      <c r="L2433" s="408"/>
      <c r="M2433" s="408"/>
      <c r="N2433" s="408" t="str">
        <f t="shared" si="465"/>
        <v/>
      </c>
      <c r="O2433" s="408"/>
      <c r="P2433" s="408"/>
      <c r="Q2433" s="408"/>
      <c r="R2433" s="408"/>
      <c r="S2433" s="408"/>
      <c r="T2433" s="408"/>
      <c r="U2433" s="408"/>
      <c r="V2433" s="421"/>
      <c r="W2433" s="421"/>
      <c r="X2433" s="421"/>
      <c r="Y2433" s="421"/>
      <c r="Z2433" s="421"/>
      <c r="AA2433" s="421"/>
      <c r="AB2433" s="421"/>
      <c r="AC2433" s="421"/>
      <c r="AD2433" s="421"/>
      <c r="AE2433" s="421"/>
      <c r="AF2433" s="421"/>
      <c r="AG2433" s="421"/>
      <c r="AH2433" s="421"/>
      <c r="AI2433" s="421"/>
      <c r="AJ2433" s="421"/>
      <c r="AK2433" s="421"/>
      <c r="AL2433" s="421"/>
    </row>
    <row r="2434" spans="1:38" hidden="1">
      <c r="A2434" s="408"/>
      <c r="B2434" s="83" t="e">
        <f t="array" ref="B2434">SUM(--(FREQUENCY(IF(C$2:C$3072=C2434, MATCH(D$2:D$3072, D$2:D$3072, 0)), ROW(D$2:D$3072)-ROW(D$2)+1) &gt; 0))</f>
        <v>#N/A</v>
      </c>
      <c r="C2434" s="408"/>
      <c r="D2434" s="408"/>
      <c r="E2434" s="408"/>
      <c r="F2434" s="408"/>
      <c r="G2434" s="408"/>
      <c r="H2434" s="408"/>
      <c r="I2434" s="408"/>
      <c r="J2434" s="408"/>
      <c r="K2434" s="408"/>
      <c r="L2434" s="408"/>
      <c r="M2434" s="408"/>
      <c r="N2434" s="408" t="str">
        <f t="shared" si="465"/>
        <v/>
      </c>
      <c r="O2434" s="408"/>
      <c r="P2434" s="408"/>
      <c r="Q2434" s="408"/>
      <c r="R2434" s="408"/>
      <c r="S2434" s="408"/>
      <c r="T2434" s="408"/>
      <c r="U2434" s="408"/>
      <c r="V2434" s="421"/>
      <c r="W2434" s="421"/>
      <c r="X2434" s="421"/>
      <c r="Y2434" s="421"/>
      <c r="Z2434" s="421"/>
      <c r="AA2434" s="421"/>
      <c r="AB2434" s="421"/>
      <c r="AC2434" s="421"/>
      <c r="AD2434" s="421"/>
      <c r="AE2434" s="421"/>
      <c r="AF2434" s="421"/>
      <c r="AG2434" s="421"/>
      <c r="AH2434" s="421"/>
      <c r="AI2434" s="421"/>
      <c r="AJ2434" s="421"/>
      <c r="AK2434" s="421"/>
      <c r="AL2434" s="421"/>
    </row>
    <row r="2435" spans="1:38" hidden="1">
      <c r="A2435" s="408"/>
      <c r="B2435" s="83" t="e">
        <f t="array" ref="B2435">SUM(--(FREQUENCY(IF(C$2:C$3072=C2435, MATCH(D$2:D$3072, D$2:D$3072, 0)), ROW(D$2:D$3072)-ROW(D$2)+1) &gt; 0))</f>
        <v>#N/A</v>
      </c>
      <c r="C2435" s="408"/>
      <c r="D2435" s="408"/>
      <c r="E2435" s="408"/>
      <c r="F2435" s="408"/>
      <c r="G2435" s="408"/>
      <c r="H2435" s="408"/>
      <c r="I2435" s="408"/>
      <c r="J2435" s="408"/>
      <c r="K2435" s="408"/>
      <c r="L2435" s="408"/>
      <c r="M2435" s="408"/>
      <c r="N2435" s="408" t="str">
        <f t="shared" si="465"/>
        <v/>
      </c>
      <c r="O2435" s="408"/>
      <c r="P2435" s="408"/>
      <c r="Q2435" s="408"/>
      <c r="R2435" s="408"/>
      <c r="S2435" s="408"/>
      <c r="T2435" s="408"/>
      <c r="U2435" s="408"/>
      <c r="V2435" s="421"/>
      <c r="W2435" s="421"/>
      <c r="X2435" s="421"/>
      <c r="Y2435" s="421"/>
      <c r="Z2435" s="421"/>
      <c r="AA2435" s="421"/>
      <c r="AB2435" s="421"/>
      <c r="AC2435" s="421"/>
      <c r="AD2435" s="421"/>
      <c r="AE2435" s="421"/>
      <c r="AF2435" s="421"/>
      <c r="AG2435" s="421"/>
      <c r="AH2435" s="421"/>
      <c r="AI2435" s="421"/>
      <c r="AJ2435" s="421"/>
      <c r="AK2435" s="421"/>
      <c r="AL2435" s="421"/>
    </row>
    <row r="2436" spans="1:38" hidden="1">
      <c r="A2436" s="408"/>
      <c r="B2436" s="83" t="e">
        <f t="array" ref="B2436">SUM(--(FREQUENCY(IF(C$2:C$3072=C2436, MATCH(D$2:D$3072, D$2:D$3072, 0)), ROW(D$2:D$3072)-ROW(D$2)+1) &gt; 0))</f>
        <v>#N/A</v>
      </c>
      <c r="C2436" s="408"/>
      <c r="D2436" s="408"/>
      <c r="E2436" s="408"/>
      <c r="F2436" s="408"/>
      <c r="G2436" s="408"/>
      <c r="H2436" s="408"/>
      <c r="I2436" s="408"/>
      <c r="J2436" s="408"/>
      <c r="K2436" s="408"/>
      <c r="L2436" s="408"/>
      <c r="M2436" s="408"/>
      <c r="N2436" s="408" t="str">
        <f t="shared" si="465"/>
        <v/>
      </c>
      <c r="O2436" s="408"/>
      <c r="P2436" s="408"/>
      <c r="Q2436" s="408"/>
      <c r="R2436" s="408"/>
      <c r="S2436" s="408"/>
      <c r="T2436" s="408"/>
      <c r="U2436" s="408"/>
      <c r="V2436" s="421"/>
      <c r="W2436" s="421"/>
      <c r="X2436" s="421"/>
      <c r="Y2436" s="421"/>
      <c r="Z2436" s="421"/>
      <c r="AA2436" s="421"/>
      <c r="AB2436" s="421"/>
      <c r="AC2436" s="421"/>
      <c r="AD2436" s="421"/>
      <c r="AE2436" s="421"/>
      <c r="AF2436" s="421"/>
      <c r="AG2436" s="421"/>
      <c r="AH2436" s="421"/>
      <c r="AI2436" s="421"/>
      <c r="AJ2436" s="421"/>
      <c r="AK2436" s="421"/>
      <c r="AL2436" s="421"/>
    </row>
    <row r="2437" spans="1:38" hidden="1">
      <c r="A2437" s="408"/>
      <c r="B2437" s="83" t="e">
        <f t="array" ref="B2437">SUM(--(FREQUENCY(IF(C$2:C$3072=C2437, MATCH(D$2:D$3072, D$2:D$3072, 0)), ROW(D$2:D$3072)-ROW(D$2)+1) &gt; 0))</f>
        <v>#N/A</v>
      </c>
      <c r="C2437" s="408"/>
      <c r="D2437" s="408"/>
      <c r="E2437" s="408"/>
      <c r="F2437" s="408"/>
      <c r="G2437" s="408"/>
      <c r="H2437" s="408"/>
      <c r="I2437" s="408"/>
      <c r="J2437" s="408"/>
      <c r="K2437" s="408"/>
      <c r="L2437" s="408"/>
      <c r="M2437" s="408"/>
      <c r="N2437" s="408" t="str">
        <f t="shared" si="465"/>
        <v/>
      </c>
      <c r="O2437" s="408"/>
      <c r="P2437" s="408"/>
      <c r="Q2437" s="408"/>
      <c r="R2437" s="408"/>
      <c r="S2437" s="408"/>
      <c r="T2437" s="408"/>
      <c r="U2437" s="408"/>
      <c r="V2437" s="421"/>
      <c r="W2437" s="421"/>
      <c r="X2437" s="421"/>
      <c r="Y2437" s="421"/>
      <c r="Z2437" s="421"/>
      <c r="AA2437" s="421"/>
      <c r="AB2437" s="421"/>
      <c r="AC2437" s="421"/>
      <c r="AD2437" s="421"/>
      <c r="AE2437" s="421"/>
      <c r="AF2437" s="421"/>
      <c r="AG2437" s="421"/>
      <c r="AH2437" s="421"/>
      <c r="AI2437" s="421"/>
      <c r="AJ2437" s="421"/>
      <c r="AK2437" s="421"/>
      <c r="AL2437" s="421"/>
    </row>
    <row r="2438" spans="1:38" hidden="1">
      <c r="A2438" s="408"/>
      <c r="B2438" s="83" t="e">
        <f t="array" ref="B2438">SUM(--(FREQUENCY(IF(C$2:C$3072=C2438, MATCH(D$2:D$3072, D$2:D$3072, 0)), ROW(D$2:D$3072)-ROW(D$2)+1) &gt; 0))</f>
        <v>#N/A</v>
      </c>
      <c r="C2438" s="408"/>
      <c r="D2438" s="408"/>
      <c r="E2438" s="408"/>
      <c r="F2438" s="408"/>
      <c r="G2438" s="408"/>
      <c r="H2438" s="408"/>
      <c r="I2438" s="408"/>
      <c r="J2438" s="408"/>
      <c r="K2438" s="408"/>
      <c r="L2438" s="408"/>
      <c r="M2438" s="408"/>
      <c r="N2438" s="408" t="str">
        <f t="shared" si="465"/>
        <v/>
      </c>
      <c r="O2438" s="408"/>
      <c r="P2438" s="408"/>
      <c r="Q2438" s="408"/>
      <c r="R2438" s="408"/>
      <c r="S2438" s="408"/>
      <c r="T2438" s="408"/>
      <c r="U2438" s="408"/>
      <c r="V2438" s="421"/>
      <c r="W2438" s="421"/>
      <c r="X2438" s="421"/>
      <c r="Y2438" s="421"/>
      <c r="Z2438" s="421"/>
      <c r="AA2438" s="421"/>
      <c r="AB2438" s="421"/>
      <c r="AC2438" s="421"/>
      <c r="AD2438" s="421"/>
      <c r="AE2438" s="421"/>
      <c r="AF2438" s="421"/>
      <c r="AG2438" s="421"/>
      <c r="AH2438" s="421"/>
      <c r="AI2438" s="421"/>
      <c r="AJ2438" s="421"/>
      <c r="AK2438" s="421"/>
      <c r="AL2438" s="421"/>
    </row>
    <row r="2439" spans="1:38" hidden="1">
      <c r="A2439" s="408"/>
      <c r="B2439" s="83" t="e">
        <f t="array" ref="B2439">SUM(--(FREQUENCY(IF(C$2:C$3072=C2439, MATCH(D$2:D$3072, D$2:D$3072, 0)), ROW(D$2:D$3072)-ROW(D$2)+1) &gt; 0))</f>
        <v>#N/A</v>
      </c>
      <c r="C2439" s="408"/>
      <c r="D2439" s="408"/>
      <c r="E2439" s="408"/>
      <c r="F2439" s="408"/>
      <c r="G2439" s="408"/>
      <c r="H2439" s="408"/>
      <c r="I2439" s="408"/>
      <c r="J2439" s="408"/>
      <c r="K2439" s="408"/>
      <c r="L2439" s="408"/>
      <c r="M2439" s="408"/>
      <c r="N2439" s="408" t="str">
        <f t="shared" si="465"/>
        <v/>
      </c>
      <c r="O2439" s="408"/>
      <c r="P2439" s="408"/>
      <c r="Q2439" s="408"/>
      <c r="R2439" s="408"/>
      <c r="S2439" s="408"/>
      <c r="T2439" s="408"/>
      <c r="U2439" s="408"/>
      <c r="V2439" s="421"/>
      <c r="W2439" s="421"/>
      <c r="X2439" s="421"/>
      <c r="Y2439" s="421"/>
      <c r="Z2439" s="421"/>
      <c r="AA2439" s="421"/>
      <c r="AB2439" s="421"/>
      <c r="AC2439" s="421"/>
      <c r="AD2439" s="421"/>
      <c r="AE2439" s="421"/>
      <c r="AF2439" s="421"/>
      <c r="AG2439" s="421"/>
      <c r="AH2439" s="421"/>
      <c r="AI2439" s="421"/>
      <c r="AJ2439" s="421"/>
      <c r="AK2439" s="421"/>
      <c r="AL2439" s="421"/>
    </row>
    <row r="2440" spans="1:38" hidden="1">
      <c r="A2440" s="408"/>
      <c r="B2440" s="83" t="e">
        <f t="array" ref="B2440">SUM(--(FREQUENCY(IF(C$2:C$3072=C2440, MATCH(D$2:D$3072, D$2:D$3072, 0)), ROW(D$2:D$3072)-ROW(D$2)+1) &gt; 0))</f>
        <v>#N/A</v>
      </c>
      <c r="C2440" s="408"/>
      <c r="D2440" s="408"/>
      <c r="E2440" s="408"/>
      <c r="F2440" s="408"/>
      <c r="G2440" s="408"/>
      <c r="H2440" s="408"/>
      <c r="I2440" s="408"/>
      <c r="J2440" s="408"/>
      <c r="K2440" s="408"/>
      <c r="L2440" s="408"/>
      <c r="M2440" s="408"/>
      <c r="N2440" s="408" t="str">
        <f t="shared" si="465"/>
        <v/>
      </c>
      <c r="O2440" s="408"/>
      <c r="P2440" s="408"/>
      <c r="Q2440" s="408"/>
      <c r="R2440" s="408"/>
      <c r="S2440" s="408"/>
      <c r="T2440" s="408"/>
      <c r="U2440" s="408"/>
      <c r="V2440" s="421"/>
      <c r="W2440" s="421"/>
      <c r="X2440" s="421"/>
      <c r="Y2440" s="421"/>
      <c r="Z2440" s="421"/>
      <c r="AA2440" s="421"/>
      <c r="AB2440" s="421"/>
      <c r="AC2440" s="421"/>
      <c r="AD2440" s="421"/>
      <c r="AE2440" s="421"/>
      <c r="AF2440" s="421"/>
      <c r="AG2440" s="421"/>
      <c r="AH2440" s="421"/>
      <c r="AI2440" s="421"/>
      <c r="AJ2440" s="421"/>
      <c r="AK2440" s="421"/>
      <c r="AL2440" s="421"/>
    </row>
    <row r="2441" spans="1:38" hidden="1">
      <c r="A2441" s="408"/>
      <c r="B2441" s="83" t="e">
        <f t="array" ref="B2441">SUM(--(FREQUENCY(IF(C$2:C$3072=C2441, MATCH(D$2:D$3072, D$2:D$3072, 0)), ROW(D$2:D$3072)-ROW(D$2)+1) &gt; 0))</f>
        <v>#N/A</v>
      </c>
      <c r="C2441" s="408"/>
      <c r="D2441" s="408"/>
      <c r="E2441" s="408"/>
      <c r="F2441" s="408"/>
      <c r="G2441" s="408"/>
      <c r="H2441" s="408"/>
      <c r="I2441" s="408"/>
      <c r="J2441" s="408"/>
      <c r="K2441" s="408"/>
      <c r="L2441" s="408"/>
      <c r="M2441" s="408"/>
      <c r="N2441" s="408" t="str">
        <f t="shared" si="465"/>
        <v/>
      </c>
      <c r="O2441" s="408"/>
      <c r="P2441" s="408"/>
      <c r="Q2441" s="408"/>
      <c r="R2441" s="408"/>
      <c r="S2441" s="408"/>
      <c r="T2441" s="408"/>
      <c r="U2441" s="408"/>
      <c r="V2441" s="421"/>
      <c r="W2441" s="421"/>
      <c r="X2441" s="421"/>
      <c r="Y2441" s="421"/>
      <c r="Z2441" s="421"/>
      <c r="AA2441" s="421"/>
      <c r="AB2441" s="421"/>
      <c r="AC2441" s="421"/>
      <c r="AD2441" s="421"/>
      <c r="AE2441" s="421"/>
      <c r="AF2441" s="421"/>
      <c r="AG2441" s="421"/>
      <c r="AH2441" s="421"/>
      <c r="AI2441" s="421"/>
      <c r="AJ2441" s="421"/>
      <c r="AK2441" s="421"/>
      <c r="AL2441" s="421"/>
    </row>
    <row r="2442" spans="1:38" hidden="1">
      <c r="A2442" s="408"/>
      <c r="B2442" s="83" t="e">
        <f t="array" ref="B2442">SUM(--(FREQUENCY(IF(C$2:C$3072=C2442, MATCH(D$2:D$3072, D$2:D$3072, 0)), ROW(D$2:D$3072)-ROW(D$2)+1) &gt; 0))</f>
        <v>#N/A</v>
      </c>
      <c r="C2442" s="408"/>
      <c r="D2442" s="408"/>
      <c r="E2442" s="408"/>
      <c r="F2442" s="408"/>
      <c r="G2442" s="408"/>
      <c r="H2442" s="408"/>
      <c r="I2442" s="408"/>
      <c r="J2442" s="408"/>
      <c r="K2442" s="408"/>
      <c r="L2442" s="408"/>
      <c r="M2442" s="408"/>
      <c r="N2442" s="408" t="str">
        <f t="shared" si="465"/>
        <v/>
      </c>
      <c r="O2442" s="408"/>
      <c r="P2442" s="408"/>
      <c r="Q2442" s="408"/>
      <c r="R2442" s="408"/>
      <c r="S2442" s="408"/>
      <c r="T2442" s="408"/>
      <c r="U2442" s="408"/>
      <c r="V2442" s="421"/>
      <c r="W2442" s="421"/>
      <c r="X2442" s="421"/>
      <c r="Y2442" s="421"/>
      <c r="Z2442" s="421"/>
      <c r="AA2442" s="421"/>
      <c r="AB2442" s="421"/>
      <c r="AC2442" s="421"/>
      <c r="AD2442" s="421"/>
      <c r="AE2442" s="421"/>
      <c r="AF2442" s="421"/>
      <c r="AG2442" s="421"/>
      <c r="AH2442" s="421"/>
      <c r="AI2442" s="421"/>
      <c r="AJ2442" s="421"/>
      <c r="AK2442" s="421"/>
      <c r="AL2442" s="421"/>
    </row>
    <row r="2443" spans="1:38" hidden="1">
      <c r="A2443" s="408"/>
      <c r="B2443" s="83" t="e">
        <f t="array" ref="B2443">SUM(--(FREQUENCY(IF(C$2:C$3072=C2443, MATCH(D$2:D$3072, D$2:D$3072, 0)), ROW(D$2:D$3072)-ROW(D$2)+1) &gt; 0))</f>
        <v>#N/A</v>
      </c>
      <c r="C2443" s="408"/>
      <c r="D2443" s="408"/>
      <c r="E2443" s="408"/>
      <c r="F2443" s="408"/>
      <c r="G2443" s="408"/>
      <c r="H2443" s="408"/>
      <c r="I2443" s="408"/>
      <c r="J2443" s="408"/>
      <c r="K2443" s="408"/>
      <c r="L2443" s="408"/>
      <c r="M2443" s="408"/>
      <c r="N2443" s="408" t="str">
        <f t="shared" si="465"/>
        <v/>
      </c>
      <c r="O2443" s="408"/>
      <c r="P2443" s="408"/>
      <c r="Q2443" s="408"/>
      <c r="R2443" s="408"/>
      <c r="S2443" s="408"/>
      <c r="T2443" s="408"/>
      <c r="U2443" s="408"/>
      <c r="V2443" s="421"/>
      <c r="W2443" s="421"/>
      <c r="X2443" s="421"/>
      <c r="Y2443" s="421"/>
      <c r="Z2443" s="421"/>
      <c r="AA2443" s="421"/>
      <c r="AB2443" s="421"/>
      <c r="AC2443" s="421"/>
      <c r="AD2443" s="421"/>
      <c r="AE2443" s="421"/>
      <c r="AF2443" s="421"/>
      <c r="AG2443" s="421"/>
      <c r="AH2443" s="421"/>
      <c r="AI2443" s="421"/>
      <c r="AJ2443" s="421"/>
      <c r="AK2443" s="421"/>
      <c r="AL2443" s="421"/>
    </row>
    <row r="2444" spans="1:38" hidden="1">
      <c r="A2444" s="408"/>
      <c r="B2444" s="83" t="e">
        <f t="array" ref="B2444">SUM(--(FREQUENCY(IF(C$2:C$3072=C2444, MATCH(D$2:D$3072, D$2:D$3072, 0)), ROW(D$2:D$3072)-ROW(D$2)+1) &gt; 0))</f>
        <v>#N/A</v>
      </c>
      <c r="C2444" s="408"/>
      <c r="D2444" s="408"/>
      <c r="E2444" s="408"/>
      <c r="F2444" s="408"/>
      <c r="G2444" s="408"/>
      <c r="H2444" s="408"/>
      <c r="I2444" s="408"/>
      <c r="J2444" s="408"/>
      <c r="K2444" s="408"/>
      <c r="L2444" s="408"/>
      <c r="M2444" s="408"/>
      <c r="N2444" s="408" t="str">
        <f t="shared" si="465"/>
        <v/>
      </c>
      <c r="O2444" s="408"/>
      <c r="P2444" s="408"/>
      <c r="Q2444" s="408"/>
      <c r="R2444" s="408"/>
      <c r="S2444" s="408"/>
      <c r="T2444" s="408"/>
      <c r="U2444" s="408"/>
      <c r="V2444" s="421"/>
      <c r="W2444" s="421"/>
      <c r="X2444" s="421"/>
      <c r="Y2444" s="421"/>
      <c r="Z2444" s="421"/>
      <c r="AA2444" s="421"/>
      <c r="AB2444" s="421"/>
      <c r="AC2444" s="421"/>
      <c r="AD2444" s="421"/>
      <c r="AE2444" s="421"/>
      <c r="AF2444" s="421"/>
      <c r="AG2444" s="421"/>
      <c r="AH2444" s="421"/>
      <c r="AI2444" s="421"/>
      <c r="AJ2444" s="421"/>
      <c r="AK2444" s="421"/>
      <c r="AL2444" s="421"/>
    </row>
    <row r="2445" spans="1:38" hidden="1">
      <c r="A2445" s="408"/>
      <c r="B2445" s="83" t="e">
        <f t="array" ref="B2445">SUM(--(FREQUENCY(IF(C$2:C$3072=C2445, MATCH(D$2:D$3072, D$2:D$3072, 0)), ROW(D$2:D$3072)-ROW(D$2)+1) &gt; 0))</f>
        <v>#N/A</v>
      </c>
      <c r="C2445" s="408"/>
      <c r="D2445" s="408"/>
      <c r="E2445" s="408"/>
      <c r="F2445" s="408"/>
      <c r="G2445" s="408"/>
      <c r="H2445" s="408"/>
      <c r="I2445" s="408"/>
      <c r="J2445" s="408"/>
      <c r="K2445" s="408"/>
      <c r="L2445" s="408"/>
      <c r="M2445" s="408"/>
      <c r="N2445" s="408" t="str">
        <f t="shared" si="465"/>
        <v/>
      </c>
      <c r="O2445" s="408"/>
      <c r="P2445" s="408"/>
      <c r="Q2445" s="408"/>
      <c r="R2445" s="408"/>
      <c r="S2445" s="408"/>
      <c r="T2445" s="408"/>
      <c r="U2445" s="408"/>
      <c r="V2445" s="421"/>
      <c r="W2445" s="421"/>
      <c r="X2445" s="421"/>
      <c r="Y2445" s="421"/>
      <c r="Z2445" s="421"/>
      <c r="AA2445" s="421"/>
      <c r="AB2445" s="421"/>
      <c r="AC2445" s="421"/>
      <c r="AD2445" s="421"/>
      <c r="AE2445" s="421"/>
      <c r="AF2445" s="421"/>
      <c r="AG2445" s="421"/>
      <c r="AH2445" s="421"/>
      <c r="AI2445" s="421"/>
      <c r="AJ2445" s="421"/>
      <c r="AK2445" s="421"/>
      <c r="AL2445" s="421"/>
    </row>
    <row r="2446" spans="1:38" hidden="1">
      <c r="A2446" s="408"/>
      <c r="B2446" s="83" t="e">
        <f t="array" ref="B2446">SUM(--(FREQUENCY(IF(C$2:C$3072=C2446, MATCH(D$2:D$3072, D$2:D$3072, 0)), ROW(D$2:D$3072)-ROW(D$2)+1) &gt; 0))</f>
        <v>#N/A</v>
      </c>
      <c r="C2446" s="408"/>
      <c r="D2446" s="408"/>
      <c r="E2446" s="408"/>
      <c r="F2446" s="408"/>
      <c r="G2446" s="408"/>
      <c r="H2446" s="408"/>
      <c r="I2446" s="408"/>
      <c r="J2446" s="408"/>
      <c r="K2446" s="408"/>
      <c r="L2446" s="408"/>
      <c r="M2446" s="408"/>
      <c r="N2446" s="408" t="str">
        <f t="shared" si="465"/>
        <v/>
      </c>
      <c r="O2446" s="408"/>
      <c r="P2446" s="408"/>
      <c r="Q2446" s="408"/>
      <c r="R2446" s="408"/>
      <c r="S2446" s="408"/>
      <c r="T2446" s="408"/>
      <c r="U2446" s="408"/>
      <c r="V2446" s="421"/>
      <c r="W2446" s="421"/>
      <c r="X2446" s="421"/>
      <c r="Y2446" s="421"/>
      <c r="Z2446" s="421"/>
      <c r="AA2446" s="421"/>
      <c r="AB2446" s="421"/>
      <c r="AC2446" s="421"/>
      <c r="AD2446" s="421"/>
      <c r="AE2446" s="421"/>
      <c r="AF2446" s="421"/>
      <c r="AG2446" s="421"/>
      <c r="AH2446" s="421"/>
      <c r="AI2446" s="421"/>
      <c r="AJ2446" s="421"/>
      <c r="AK2446" s="421"/>
      <c r="AL2446" s="421"/>
    </row>
    <row r="2447" spans="1:38" hidden="1">
      <c r="A2447" s="408"/>
      <c r="B2447" s="83" t="e">
        <f t="array" ref="B2447">SUM(--(FREQUENCY(IF(C$2:C$3072=C2447, MATCH(D$2:D$3072, D$2:D$3072, 0)), ROW(D$2:D$3072)-ROW(D$2)+1) &gt; 0))</f>
        <v>#N/A</v>
      </c>
      <c r="C2447" s="408"/>
      <c r="D2447" s="408"/>
      <c r="E2447" s="408"/>
      <c r="F2447" s="408"/>
      <c r="G2447" s="408"/>
      <c r="H2447" s="408"/>
      <c r="I2447" s="408"/>
      <c r="J2447" s="408"/>
      <c r="K2447" s="408"/>
      <c r="L2447" s="408"/>
      <c r="M2447" s="408"/>
      <c r="N2447" s="408" t="str">
        <f t="shared" si="465"/>
        <v/>
      </c>
      <c r="O2447" s="408"/>
      <c r="P2447" s="408"/>
      <c r="Q2447" s="408"/>
      <c r="R2447" s="408"/>
      <c r="S2447" s="408"/>
      <c r="T2447" s="408"/>
      <c r="U2447" s="408"/>
      <c r="V2447" s="421"/>
      <c r="W2447" s="421"/>
      <c r="X2447" s="421"/>
      <c r="Y2447" s="421"/>
      <c r="Z2447" s="421"/>
      <c r="AA2447" s="421"/>
      <c r="AB2447" s="421"/>
      <c r="AC2447" s="421"/>
      <c r="AD2447" s="421"/>
      <c r="AE2447" s="421"/>
      <c r="AF2447" s="421"/>
      <c r="AG2447" s="421"/>
      <c r="AH2447" s="421"/>
      <c r="AI2447" s="421"/>
      <c r="AJ2447" s="421"/>
      <c r="AK2447" s="421"/>
      <c r="AL2447" s="421"/>
    </row>
    <row r="2448" spans="1:38" hidden="1">
      <c r="A2448" s="408"/>
      <c r="B2448" s="83" t="e">
        <f t="array" ref="B2448">SUM(--(FREQUENCY(IF(C$2:C$3072=C2448, MATCH(D$2:D$3072, D$2:D$3072, 0)), ROW(D$2:D$3072)-ROW(D$2)+1) &gt; 0))</f>
        <v>#N/A</v>
      </c>
      <c r="C2448" s="408"/>
      <c r="D2448" s="408"/>
      <c r="E2448" s="408"/>
      <c r="F2448" s="408"/>
      <c r="G2448" s="408"/>
      <c r="H2448" s="408"/>
      <c r="I2448" s="408"/>
      <c r="J2448" s="408"/>
      <c r="K2448" s="408"/>
      <c r="L2448" s="408"/>
      <c r="M2448" s="408"/>
      <c r="N2448" s="408" t="str">
        <f t="shared" si="465"/>
        <v/>
      </c>
      <c r="O2448" s="408"/>
      <c r="P2448" s="408"/>
      <c r="Q2448" s="408"/>
      <c r="R2448" s="408"/>
      <c r="S2448" s="408"/>
      <c r="T2448" s="408"/>
      <c r="U2448" s="408"/>
      <c r="V2448" s="421"/>
      <c r="W2448" s="421"/>
      <c r="X2448" s="421"/>
      <c r="Y2448" s="421"/>
      <c r="Z2448" s="421"/>
      <c r="AA2448" s="421"/>
      <c r="AB2448" s="421"/>
      <c r="AC2448" s="421"/>
      <c r="AD2448" s="421"/>
      <c r="AE2448" s="421"/>
      <c r="AF2448" s="421"/>
      <c r="AG2448" s="421"/>
      <c r="AH2448" s="421"/>
      <c r="AI2448" s="421"/>
      <c r="AJ2448" s="421"/>
      <c r="AK2448" s="421"/>
      <c r="AL2448" s="421"/>
    </row>
    <row r="2449" spans="1:38" hidden="1">
      <c r="A2449" s="408"/>
      <c r="B2449" s="83" t="e">
        <f t="array" ref="B2449">SUM(--(FREQUENCY(IF(C$2:C$3072=C2449, MATCH(D$2:D$3072, D$2:D$3072, 0)), ROW(D$2:D$3072)-ROW(D$2)+1) &gt; 0))</f>
        <v>#N/A</v>
      </c>
      <c r="C2449" s="408"/>
      <c r="D2449" s="408"/>
      <c r="E2449" s="408"/>
      <c r="F2449" s="408"/>
      <c r="G2449" s="408"/>
      <c r="H2449" s="408"/>
      <c r="I2449" s="408"/>
      <c r="J2449" s="408"/>
      <c r="K2449" s="408"/>
      <c r="L2449" s="408"/>
      <c r="M2449" s="408"/>
      <c r="N2449" s="408" t="str">
        <f t="shared" si="465"/>
        <v/>
      </c>
      <c r="O2449" s="408"/>
      <c r="P2449" s="408"/>
      <c r="Q2449" s="408"/>
      <c r="R2449" s="408"/>
      <c r="S2449" s="408"/>
      <c r="T2449" s="408"/>
      <c r="U2449" s="408"/>
      <c r="V2449" s="421"/>
      <c r="W2449" s="421"/>
      <c r="X2449" s="421"/>
      <c r="Y2449" s="421"/>
      <c r="Z2449" s="421"/>
      <c r="AA2449" s="421"/>
      <c r="AB2449" s="421"/>
      <c r="AC2449" s="421"/>
      <c r="AD2449" s="421"/>
      <c r="AE2449" s="421"/>
      <c r="AF2449" s="421"/>
      <c r="AG2449" s="421"/>
      <c r="AH2449" s="421"/>
      <c r="AI2449" s="421"/>
      <c r="AJ2449" s="421"/>
      <c r="AK2449" s="421"/>
      <c r="AL2449" s="421"/>
    </row>
    <row r="2450" spans="1:38" hidden="1">
      <c r="A2450" s="408"/>
      <c r="B2450" s="83" t="e">
        <f t="array" ref="B2450">SUM(--(FREQUENCY(IF(C$2:C$3072=C2450, MATCH(D$2:D$3072, D$2:D$3072, 0)), ROW(D$2:D$3072)-ROW(D$2)+1) &gt; 0))</f>
        <v>#N/A</v>
      </c>
      <c r="C2450" s="408"/>
      <c r="D2450" s="408"/>
      <c r="E2450" s="408"/>
      <c r="F2450" s="408"/>
      <c r="G2450" s="408"/>
      <c r="H2450" s="408"/>
      <c r="I2450" s="408"/>
      <c r="J2450" s="408"/>
      <c r="K2450" s="408"/>
      <c r="L2450" s="408"/>
      <c r="M2450" s="408"/>
      <c r="N2450" s="408" t="str">
        <f t="shared" si="465"/>
        <v/>
      </c>
      <c r="O2450" s="408"/>
      <c r="P2450" s="408"/>
      <c r="Q2450" s="408"/>
      <c r="R2450" s="408"/>
      <c r="S2450" s="408"/>
      <c r="T2450" s="408"/>
      <c r="U2450" s="408"/>
      <c r="V2450" s="421"/>
      <c r="W2450" s="421"/>
      <c r="X2450" s="421"/>
      <c r="Y2450" s="421"/>
      <c r="Z2450" s="421"/>
      <c r="AA2450" s="421"/>
      <c r="AB2450" s="421"/>
      <c r="AC2450" s="421"/>
      <c r="AD2450" s="421"/>
      <c r="AE2450" s="421"/>
      <c r="AF2450" s="421"/>
      <c r="AG2450" s="421"/>
      <c r="AH2450" s="421"/>
      <c r="AI2450" s="421"/>
      <c r="AJ2450" s="421"/>
      <c r="AK2450" s="421"/>
      <c r="AL2450" s="421"/>
    </row>
    <row r="2451" spans="1:38" hidden="1">
      <c r="A2451" s="408"/>
      <c r="B2451" s="83" t="e">
        <f t="array" ref="B2451">SUM(--(FREQUENCY(IF(C$2:C$3072=C2451, MATCH(D$2:D$3072, D$2:D$3072, 0)), ROW(D$2:D$3072)-ROW(D$2)+1) &gt; 0))</f>
        <v>#N/A</v>
      </c>
      <c r="C2451" s="408"/>
      <c r="D2451" s="408"/>
      <c r="E2451" s="408"/>
      <c r="F2451" s="408"/>
      <c r="G2451" s="408"/>
      <c r="H2451" s="408"/>
      <c r="I2451" s="408"/>
      <c r="J2451" s="408"/>
      <c r="K2451" s="408"/>
      <c r="L2451" s="408"/>
      <c r="M2451" s="408"/>
      <c r="N2451" s="408" t="str">
        <f t="shared" si="465"/>
        <v/>
      </c>
      <c r="O2451" s="408"/>
      <c r="P2451" s="408"/>
      <c r="Q2451" s="408"/>
      <c r="R2451" s="408"/>
      <c r="S2451" s="408"/>
      <c r="T2451" s="408"/>
      <c r="U2451" s="408"/>
      <c r="V2451" s="421"/>
      <c r="W2451" s="421"/>
      <c r="X2451" s="421"/>
      <c r="Y2451" s="421"/>
      <c r="Z2451" s="421"/>
      <c r="AA2451" s="421"/>
      <c r="AB2451" s="421"/>
      <c r="AC2451" s="421"/>
      <c r="AD2451" s="421"/>
      <c r="AE2451" s="421"/>
      <c r="AF2451" s="421"/>
      <c r="AG2451" s="421"/>
      <c r="AH2451" s="421"/>
      <c r="AI2451" s="421"/>
      <c r="AJ2451" s="421"/>
      <c r="AK2451" s="421"/>
      <c r="AL2451" s="421"/>
    </row>
    <row r="2452" spans="1:38" hidden="1">
      <c r="A2452" s="408"/>
      <c r="B2452" s="83" t="e">
        <f t="array" ref="B2452">SUM(--(FREQUENCY(IF(C$2:C$3072=C2452, MATCH(D$2:D$3072, D$2:D$3072, 0)), ROW(D$2:D$3072)-ROW(D$2)+1) &gt; 0))</f>
        <v>#N/A</v>
      </c>
      <c r="C2452" s="408"/>
      <c r="D2452" s="408"/>
      <c r="E2452" s="408"/>
      <c r="F2452" s="408"/>
      <c r="G2452" s="408"/>
      <c r="H2452" s="408"/>
      <c r="I2452" s="408"/>
      <c r="J2452" s="408"/>
      <c r="K2452" s="408"/>
      <c r="L2452" s="408"/>
      <c r="M2452" s="408"/>
      <c r="N2452" s="408" t="str">
        <f t="shared" si="465"/>
        <v/>
      </c>
      <c r="O2452" s="408"/>
      <c r="P2452" s="408"/>
      <c r="Q2452" s="408"/>
      <c r="R2452" s="408"/>
      <c r="S2452" s="408"/>
      <c r="T2452" s="408"/>
      <c r="U2452" s="408"/>
      <c r="V2452" s="421"/>
      <c r="W2452" s="421"/>
      <c r="X2452" s="421"/>
      <c r="Y2452" s="421"/>
      <c r="Z2452" s="421"/>
      <c r="AA2452" s="421"/>
      <c r="AB2452" s="421"/>
      <c r="AC2452" s="421"/>
      <c r="AD2452" s="421"/>
      <c r="AE2452" s="421"/>
      <c r="AF2452" s="421"/>
      <c r="AG2452" s="421"/>
      <c r="AH2452" s="421"/>
      <c r="AI2452" s="421"/>
      <c r="AJ2452" s="421"/>
      <c r="AK2452" s="421"/>
      <c r="AL2452" s="421"/>
    </row>
    <row r="2453" spans="1:38" hidden="1">
      <c r="A2453" s="408"/>
      <c r="B2453" s="83" t="e">
        <f t="array" ref="B2453">SUM(--(FREQUENCY(IF(C$2:C$3072=C2453, MATCH(D$2:D$3072, D$2:D$3072, 0)), ROW(D$2:D$3072)-ROW(D$2)+1) &gt; 0))</f>
        <v>#N/A</v>
      </c>
      <c r="C2453" s="408"/>
      <c r="D2453" s="408"/>
      <c r="E2453" s="408"/>
      <c r="F2453" s="408"/>
      <c r="G2453" s="408"/>
      <c r="H2453" s="408"/>
      <c r="I2453" s="408"/>
      <c r="J2453" s="408"/>
      <c r="K2453" s="408"/>
      <c r="L2453" s="408"/>
      <c r="M2453" s="408"/>
      <c r="N2453" s="408" t="str">
        <f t="shared" si="465"/>
        <v/>
      </c>
      <c r="O2453" s="408"/>
      <c r="P2453" s="408"/>
      <c r="Q2453" s="408"/>
      <c r="R2453" s="408"/>
      <c r="S2453" s="408"/>
      <c r="T2453" s="408"/>
      <c r="U2453" s="408"/>
      <c r="V2453" s="421"/>
      <c r="W2453" s="421"/>
      <c r="X2453" s="421"/>
      <c r="Y2453" s="421"/>
      <c r="Z2453" s="421"/>
      <c r="AA2453" s="421"/>
      <c r="AB2453" s="421"/>
      <c r="AC2453" s="421"/>
      <c r="AD2453" s="421"/>
      <c r="AE2453" s="421"/>
      <c r="AF2453" s="421"/>
      <c r="AG2453" s="421"/>
      <c r="AH2453" s="421"/>
      <c r="AI2453" s="421"/>
      <c r="AJ2453" s="421"/>
      <c r="AK2453" s="421"/>
      <c r="AL2453" s="421"/>
    </row>
    <row r="2454" spans="1:38" hidden="1">
      <c r="A2454" s="408"/>
      <c r="B2454" s="83" t="e">
        <f t="array" ref="B2454">SUM(--(FREQUENCY(IF(C$2:C$3072=C2454, MATCH(D$2:D$3072, D$2:D$3072, 0)), ROW(D$2:D$3072)-ROW(D$2)+1) &gt; 0))</f>
        <v>#N/A</v>
      </c>
      <c r="C2454" s="408"/>
      <c r="D2454" s="408"/>
      <c r="E2454" s="408"/>
      <c r="F2454" s="408"/>
      <c r="G2454" s="408"/>
      <c r="H2454" s="408"/>
      <c r="I2454" s="408"/>
      <c r="J2454" s="408"/>
      <c r="K2454" s="408"/>
      <c r="L2454" s="408"/>
      <c r="M2454" s="408"/>
      <c r="N2454" s="408" t="str">
        <f t="shared" si="465"/>
        <v/>
      </c>
      <c r="O2454" s="408"/>
      <c r="P2454" s="408"/>
      <c r="Q2454" s="408"/>
      <c r="R2454" s="408"/>
      <c r="S2454" s="408"/>
      <c r="T2454" s="408"/>
      <c r="U2454" s="408"/>
      <c r="V2454" s="421"/>
      <c r="W2454" s="421"/>
      <c r="X2454" s="421"/>
      <c r="Y2454" s="421"/>
      <c r="Z2454" s="421"/>
      <c r="AA2454" s="421"/>
      <c r="AB2454" s="421"/>
      <c r="AC2454" s="421"/>
      <c r="AD2454" s="421"/>
      <c r="AE2454" s="421"/>
      <c r="AF2454" s="421"/>
      <c r="AG2454" s="421"/>
      <c r="AH2454" s="421"/>
      <c r="AI2454" s="421"/>
      <c r="AJ2454" s="421"/>
      <c r="AK2454" s="421"/>
      <c r="AL2454" s="421"/>
    </row>
    <row r="2455" spans="1:38" hidden="1">
      <c r="A2455" s="408"/>
      <c r="B2455" s="83" t="e">
        <f t="array" ref="B2455">SUM(--(FREQUENCY(IF(C$2:C$3072=C2455, MATCH(D$2:D$3072, D$2:D$3072, 0)), ROW(D$2:D$3072)-ROW(D$2)+1) &gt; 0))</f>
        <v>#N/A</v>
      </c>
      <c r="C2455" s="408"/>
      <c r="D2455" s="408"/>
      <c r="E2455" s="408"/>
      <c r="F2455" s="408"/>
      <c r="G2455" s="408"/>
      <c r="H2455" s="408"/>
      <c r="I2455" s="408"/>
      <c r="J2455" s="408"/>
      <c r="K2455" s="408"/>
      <c r="L2455" s="408"/>
      <c r="M2455" s="408"/>
      <c r="N2455" s="408" t="str">
        <f t="shared" si="465"/>
        <v/>
      </c>
      <c r="O2455" s="408"/>
      <c r="P2455" s="408"/>
      <c r="Q2455" s="408"/>
      <c r="R2455" s="408"/>
      <c r="S2455" s="408"/>
      <c r="T2455" s="408"/>
      <c r="U2455" s="408"/>
      <c r="V2455" s="421"/>
      <c r="W2455" s="421"/>
      <c r="X2455" s="421"/>
      <c r="Y2455" s="421"/>
      <c r="Z2455" s="421"/>
      <c r="AA2455" s="421"/>
      <c r="AB2455" s="421"/>
      <c r="AC2455" s="421"/>
      <c r="AD2455" s="421"/>
      <c r="AE2455" s="421"/>
      <c r="AF2455" s="421"/>
      <c r="AG2455" s="421"/>
      <c r="AH2455" s="421"/>
      <c r="AI2455" s="421"/>
      <c r="AJ2455" s="421"/>
      <c r="AK2455" s="421"/>
      <c r="AL2455" s="421"/>
    </row>
    <row r="2456" spans="1:38" hidden="1">
      <c r="A2456" s="408"/>
      <c r="B2456" s="83" t="e">
        <f t="array" ref="B2456">SUM(--(FREQUENCY(IF(C$2:C$3072=C2456, MATCH(D$2:D$3072, D$2:D$3072, 0)), ROW(D$2:D$3072)-ROW(D$2)+1) &gt; 0))</f>
        <v>#N/A</v>
      </c>
      <c r="C2456" s="408"/>
      <c r="D2456" s="408"/>
      <c r="E2456" s="408"/>
      <c r="F2456" s="408"/>
      <c r="G2456" s="408"/>
      <c r="H2456" s="408"/>
      <c r="I2456" s="408"/>
      <c r="J2456" s="408"/>
      <c r="K2456" s="408"/>
      <c r="L2456" s="408"/>
      <c r="M2456" s="408"/>
      <c r="N2456" s="408" t="str">
        <f t="shared" si="465"/>
        <v/>
      </c>
      <c r="O2456" s="408"/>
      <c r="P2456" s="408"/>
      <c r="Q2456" s="408"/>
      <c r="R2456" s="408"/>
      <c r="S2456" s="408"/>
      <c r="T2456" s="408"/>
      <c r="U2456" s="408"/>
      <c r="V2456" s="421"/>
      <c r="W2456" s="421"/>
      <c r="X2456" s="421"/>
      <c r="Y2456" s="421"/>
      <c r="Z2456" s="421"/>
      <c r="AA2456" s="421"/>
      <c r="AB2456" s="421"/>
      <c r="AC2456" s="421"/>
      <c r="AD2456" s="421"/>
      <c r="AE2456" s="421"/>
      <c r="AF2456" s="421"/>
      <c r="AG2456" s="421"/>
      <c r="AH2456" s="421"/>
      <c r="AI2456" s="421"/>
      <c r="AJ2456" s="421"/>
      <c r="AK2456" s="421"/>
      <c r="AL2456" s="421"/>
    </row>
    <row r="2457" spans="1:38" hidden="1">
      <c r="A2457" s="408"/>
      <c r="B2457" s="83" t="e">
        <f t="array" ref="B2457">SUM(--(FREQUENCY(IF(C$2:C$3072=C2457, MATCH(D$2:D$3072, D$2:D$3072, 0)), ROW(D$2:D$3072)-ROW(D$2)+1) &gt; 0))</f>
        <v>#N/A</v>
      </c>
      <c r="C2457" s="408"/>
      <c r="D2457" s="408"/>
      <c r="E2457" s="408"/>
      <c r="F2457" s="408"/>
      <c r="G2457" s="408"/>
      <c r="H2457" s="408"/>
      <c r="I2457" s="408"/>
      <c r="J2457" s="408"/>
      <c r="K2457" s="408"/>
      <c r="L2457" s="408"/>
      <c r="M2457" s="408"/>
      <c r="N2457" s="408" t="str">
        <f t="shared" si="465"/>
        <v/>
      </c>
      <c r="O2457" s="408"/>
      <c r="P2457" s="408"/>
      <c r="Q2457" s="408"/>
      <c r="R2457" s="408"/>
      <c r="S2457" s="408"/>
      <c r="T2457" s="408"/>
      <c r="U2457" s="408"/>
      <c r="V2457" s="421"/>
      <c r="W2457" s="421"/>
      <c r="X2457" s="421"/>
      <c r="Y2457" s="421"/>
      <c r="Z2457" s="421"/>
      <c r="AA2457" s="421"/>
      <c r="AB2457" s="421"/>
      <c r="AC2457" s="421"/>
      <c r="AD2457" s="421"/>
      <c r="AE2457" s="421"/>
      <c r="AF2457" s="421"/>
      <c r="AG2457" s="421"/>
      <c r="AH2457" s="421"/>
      <c r="AI2457" s="421"/>
      <c r="AJ2457" s="421"/>
      <c r="AK2457" s="421"/>
      <c r="AL2457" s="421"/>
    </row>
    <row r="2458" spans="1:38" hidden="1">
      <c r="A2458" s="408"/>
      <c r="B2458" s="83" t="e">
        <f t="array" ref="B2458">SUM(--(FREQUENCY(IF(C$2:C$3072=C2458, MATCH(D$2:D$3072, D$2:D$3072, 0)), ROW(D$2:D$3072)-ROW(D$2)+1) &gt; 0))</f>
        <v>#N/A</v>
      </c>
      <c r="C2458" s="408"/>
      <c r="D2458" s="408"/>
      <c r="E2458" s="408"/>
      <c r="F2458" s="408"/>
      <c r="G2458" s="408"/>
      <c r="H2458" s="408"/>
      <c r="I2458" s="408"/>
      <c r="J2458" s="408"/>
      <c r="K2458" s="408"/>
      <c r="L2458" s="408"/>
      <c r="M2458" s="408"/>
      <c r="N2458" s="408" t="str">
        <f t="shared" si="465"/>
        <v/>
      </c>
      <c r="O2458" s="408"/>
      <c r="P2458" s="408"/>
      <c r="Q2458" s="408"/>
      <c r="R2458" s="408"/>
      <c r="S2458" s="408"/>
      <c r="T2458" s="408"/>
      <c r="U2458" s="408"/>
      <c r="V2458" s="421"/>
      <c r="W2458" s="421"/>
      <c r="X2458" s="421"/>
      <c r="Y2458" s="421"/>
      <c r="Z2458" s="421"/>
      <c r="AA2458" s="421"/>
      <c r="AB2458" s="421"/>
      <c r="AC2458" s="421"/>
      <c r="AD2458" s="421"/>
      <c r="AE2458" s="421"/>
      <c r="AF2458" s="421"/>
      <c r="AG2458" s="421"/>
      <c r="AH2458" s="421"/>
      <c r="AI2458" s="421"/>
      <c r="AJ2458" s="421"/>
      <c r="AK2458" s="421"/>
      <c r="AL2458" s="421"/>
    </row>
    <row r="2459" spans="1:38" hidden="1">
      <c r="A2459" s="408"/>
      <c r="B2459" s="83" t="e">
        <f t="array" ref="B2459">SUM(--(FREQUENCY(IF(C$2:C$3072=C2459, MATCH(D$2:D$3072, D$2:D$3072, 0)), ROW(D$2:D$3072)-ROW(D$2)+1) &gt; 0))</f>
        <v>#N/A</v>
      </c>
      <c r="C2459" s="408"/>
      <c r="D2459" s="408"/>
      <c r="E2459" s="408"/>
      <c r="F2459" s="408"/>
      <c r="G2459" s="408"/>
      <c r="H2459" s="408"/>
      <c r="I2459" s="408"/>
      <c r="J2459" s="408"/>
      <c r="K2459" s="408"/>
      <c r="L2459" s="408"/>
      <c r="M2459" s="408"/>
      <c r="N2459" s="408" t="str">
        <f t="shared" si="465"/>
        <v/>
      </c>
      <c r="O2459" s="408"/>
      <c r="P2459" s="408"/>
      <c r="Q2459" s="408"/>
      <c r="R2459" s="408"/>
      <c r="S2459" s="408"/>
      <c r="T2459" s="408"/>
      <c r="U2459" s="408"/>
      <c r="V2459" s="421"/>
      <c r="W2459" s="421"/>
      <c r="X2459" s="421"/>
      <c r="Y2459" s="421"/>
      <c r="Z2459" s="421"/>
      <c r="AA2459" s="421"/>
      <c r="AB2459" s="421"/>
      <c r="AC2459" s="421"/>
      <c r="AD2459" s="421"/>
      <c r="AE2459" s="421"/>
      <c r="AF2459" s="421"/>
      <c r="AG2459" s="421"/>
      <c r="AH2459" s="421"/>
      <c r="AI2459" s="421"/>
      <c r="AJ2459" s="421"/>
      <c r="AK2459" s="421"/>
      <c r="AL2459" s="421"/>
    </row>
    <row r="2460" spans="1:38" hidden="1">
      <c r="A2460" s="408"/>
      <c r="B2460" s="83" t="e">
        <f t="array" ref="B2460">SUM(--(FREQUENCY(IF(C$2:C$3072=C2460, MATCH(D$2:D$3072, D$2:D$3072, 0)), ROW(D$2:D$3072)-ROW(D$2)+1) &gt; 0))</f>
        <v>#N/A</v>
      </c>
      <c r="C2460" s="408"/>
      <c r="D2460" s="408"/>
      <c r="E2460" s="408"/>
      <c r="F2460" s="408"/>
      <c r="G2460" s="408"/>
      <c r="H2460" s="408"/>
      <c r="I2460" s="408"/>
      <c r="J2460" s="408"/>
      <c r="K2460" s="408"/>
      <c r="L2460" s="408"/>
      <c r="M2460" s="408"/>
      <c r="N2460" s="408" t="str">
        <f t="shared" si="465"/>
        <v/>
      </c>
      <c r="O2460" s="408"/>
      <c r="P2460" s="408"/>
      <c r="Q2460" s="408"/>
      <c r="R2460" s="408"/>
      <c r="S2460" s="408"/>
      <c r="T2460" s="408"/>
      <c r="U2460" s="408"/>
      <c r="V2460" s="421"/>
      <c r="W2460" s="421"/>
      <c r="X2460" s="421"/>
      <c r="Y2460" s="421"/>
      <c r="Z2460" s="421"/>
      <c r="AA2460" s="421"/>
      <c r="AB2460" s="421"/>
      <c r="AC2460" s="421"/>
      <c r="AD2460" s="421"/>
      <c r="AE2460" s="421"/>
      <c r="AF2460" s="421"/>
      <c r="AG2460" s="421"/>
      <c r="AH2460" s="421"/>
      <c r="AI2460" s="421"/>
      <c r="AJ2460" s="421"/>
      <c r="AK2460" s="421"/>
      <c r="AL2460" s="421"/>
    </row>
    <row r="2461" spans="1:38" hidden="1">
      <c r="A2461" s="408"/>
      <c r="B2461" s="83" t="e">
        <f t="array" ref="B2461">SUM(--(FREQUENCY(IF(C$2:C$3072=C2461, MATCH(D$2:D$3072, D$2:D$3072, 0)), ROW(D$2:D$3072)-ROW(D$2)+1) &gt; 0))</f>
        <v>#N/A</v>
      </c>
      <c r="C2461" s="408"/>
      <c r="D2461" s="408"/>
      <c r="E2461" s="408"/>
      <c r="F2461" s="408"/>
      <c r="G2461" s="408"/>
      <c r="H2461" s="408"/>
      <c r="I2461" s="408"/>
      <c r="J2461" s="408"/>
      <c r="K2461" s="408"/>
      <c r="L2461" s="408"/>
      <c r="M2461" s="408"/>
      <c r="N2461" s="408" t="str">
        <f t="shared" si="465"/>
        <v/>
      </c>
      <c r="O2461" s="408"/>
      <c r="P2461" s="408"/>
      <c r="Q2461" s="408"/>
      <c r="R2461" s="408"/>
      <c r="S2461" s="408"/>
      <c r="T2461" s="408"/>
      <c r="U2461" s="408"/>
      <c r="V2461" s="421"/>
      <c r="W2461" s="421"/>
      <c r="X2461" s="421"/>
      <c r="Y2461" s="421"/>
      <c r="Z2461" s="421"/>
      <c r="AA2461" s="421"/>
      <c r="AB2461" s="421"/>
      <c r="AC2461" s="421"/>
      <c r="AD2461" s="421"/>
      <c r="AE2461" s="421"/>
      <c r="AF2461" s="421"/>
      <c r="AG2461" s="421"/>
      <c r="AH2461" s="421"/>
      <c r="AI2461" s="421"/>
      <c r="AJ2461" s="421"/>
      <c r="AK2461" s="421"/>
      <c r="AL2461" s="421"/>
    </row>
    <row r="2462" spans="1:38" hidden="1">
      <c r="A2462" s="408"/>
      <c r="B2462" s="83" t="e">
        <f t="array" ref="B2462">SUM(--(FREQUENCY(IF(C$2:C$3072=C2462, MATCH(D$2:D$3072, D$2:D$3072, 0)), ROW(D$2:D$3072)-ROW(D$2)+1) &gt; 0))</f>
        <v>#N/A</v>
      </c>
      <c r="C2462" s="408"/>
      <c r="D2462" s="408"/>
      <c r="E2462" s="408"/>
      <c r="F2462" s="408"/>
      <c r="G2462" s="408"/>
      <c r="H2462" s="408"/>
      <c r="I2462" s="408"/>
      <c r="J2462" s="408"/>
      <c r="K2462" s="408"/>
      <c r="L2462" s="408"/>
      <c r="M2462" s="408"/>
      <c r="N2462" s="408" t="str">
        <f t="shared" si="465"/>
        <v/>
      </c>
      <c r="O2462" s="408"/>
      <c r="P2462" s="408"/>
      <c r="Q2462" s="408"/>
      <c r="R2462" s="408"/>
      <c r="S2462" s="408"/>
      <c r="T2462" s="408"/>
      <c r="U2462" s="408"/>
      <c r="V2462" s="421"/>
      <c r="W2462" s="421"/>
      <c r="X2462" s="421"/>
      <c r="Y2462" s="421"/>
      <c r="Z2462" s="421"/>
      <c r="AA2462" s="421"/>
      <c r="AB2462" s="421"/>
      <c r="AC2462" s="421"/>
      <c r="AD2462" s="421"/>
      <c r="AE2462" s="421"/>
      <c r="AF2462" s="421"/>
      <c r="AG2462" s="421"/>
      <c r="AH2462" s="421"/>
      <c r="AI2462" s="421"/>
      <c r="AJ2462" s="421"/>
      <c r="AK2462" s="421"/>
      <c r="AL2462" s="421"/>
    </row>
    <row r="2463" spans="1:38" hidden="1">
      <c r="A2463" s="408"/>
      <c r="B2463" s="83" t="e">
        <f t="array" ref="B2463">SUM(--(FREQUENCY(IF(C$2:C$3072=C2463, MATCH(D$2:D$3072, D$2:D$3072, 0)), ROW(D$2:D$3072)-ROW(D$2)+1) &gt; 0))</f>
        <v>#N/A</v>
      </c>
      <c r="C2463" s="408"/>
      <c r="D2463" s="408"/>
      <c r="E2463" s="408"/>
      <c r="F2463" s="408"/>
      <c r="G2463" s="408"/>
      <c r="H2463" s="408"/>
      <c r="I2463" s="408"/>
      <c r="J2463" s="408"/>
      <c r="K2463" s="408"/>
      <c r="L2463" s="408"/>
      <c r="M2463" s="408"/>
      <c r="N2463" s="408" t="str">
        <f t="shared" si="465"/>
        <v/>
      </c>
      <c r="O2463" s="408"/>
      <c r="P2463" s="408"/>
      <c r="Q2463" s="408"/>
      <c r="R2463" s="408"/>
      <c r="S2463" s="408"/>
      <c r="T2463" s="408"/>
      <c r="U2463" s="408"/>
      <c r="V2463" s="421"/>
      <c r="W2463" s="421"/>
      <c r="X2463" s="421"/>
      <c r="Y2463" s="421"/>
      <c r="Z2463" s="421"/>
      <c r="AA2463" s="421"/>
      <c r="AB2463" s="421"/>
      <c r="AC2463" s="421"/>
      <c r="AD2463" s="421"/>
      <c r="AE2463" s="421"/>
      <c r="AF2463" s="421"/>
      <c r="AG2463" s="421"/>
      <c r="AH2463" s="421"/>
      <c r="AI2463" s="421"/>
      <c r="AJ2463" s="421"/>
      <c r="AK2463" s="421"/>
      <c r="AL2463" s="421"/>
    </row>
    <row r="2464" spans="1:38" hidden="1">
      <c r="A2464" s="408"/>
      <c r="B2464" s="83" t="e">
        <f t="array" ref="B2464">SUM(--(FREQUENCY(IF(C$2:C$3072=C2464, MATCH(D$2:D$3072, D$2:D$3072, 0)), ROW(D$2:D$3072)-ROW(D$2)+1) &gt; 0))</f>
        <v>#N/A</v>
      </c>
      <c r="C2464" s="408"/>
      <c r="D2464" s="408"/>
      <c r="E2464" s="408"/>
      <c r="F2464" s="408"/>
      <c r="G2464" s="408"/>
      <c r="H2464" s="408"/>
      <c r="I2464" s="408"/>
      <c r="J2464" s="408"/>
      <c r="K2464" s="408"/>
      <c r="L2464" s="408"/>
      <c r="M2464" s="408"/>
      <c r="N2464" s="408" t="str">
        <f t="shared" si="465"/>
        <v/>
      </c>
      <c r="O2464" s="408"/>
      <c r="P2464" s="408"/>
      <c r="Q2464" s="408"/>
      <c r="R2464" s="408"/>
      <c r="S2464" s="408"/>
      <c r="T2464" s="408"/>
      <c r="U2464" s="408"/>
      <c r="V2464" s="421"/>
      <c r="W2464" s="421"/>
      <c r="X2464" s="421"/>
      <c r="Y2464" s="421"/>
      <c r="Z2464" s="421"/>
      <c r="AA2464" s="421"/>
      <c r="AB2464" s="421"/>
      <c r="AC2464" s="421"/>
      <c r="AD2464" s="421"/>
      <c r="AE2464" s="421"/>
      <c r="AF2464" s="421"/>
      <c r="AG2464" s="421"/>
      <c r="AH2464" s="421"/>
      <c r="AI2464" s="421"/>
      <c r="AJ2464" s="421"/>
      <c r="AK2464" s="421"/>
      <c r="AL2464" s="421"/>
    </row>
    <row r="2465" spans="1:38" hidden="1">
      <c r="A2465" s="408"/>
      <c r="B2465" s="83" t="e">
        <f t="array" ref="B2465">SUM(--(FREQUENCY(IF(C$2:C$3072=C2465, MATCH(D$2:D$3072, D$2:D$3072, 0)), ROW(D$2:D$3072)-ROW(D$2)+1) &gt; 0))</f>
        <v>#N/A</v>
      </c>
      <c r="C2465" s="408"/>
      <c r="D2465" s="408"/>
      <c r="E2465" s="408"/>
      <c r="F2465" s="408"/>
      <c r="G2465" s="408"/>
      <c r="H2465" s="408"/>
      <c r="I2465" s="408"/>
      <c r="J2465" s="408"/>
      <c r="K2465" s="408"/>
      <c r="L2465" s="408"/>
      <c r="M2465" s="408"/>
      <c r="N2465" s="408" t="str">
        <f t="shared" si="465"/>
        <v/>
      </c>
      <c r="O2465" s="408"/>
      <c r="P2465" s="408"/>
      <c r="Q2465" s="408"/>
      <c r="R2465" s="408"/>
      <c r="S2465" s="408"/>
      <c r="T2465" s="408"/>
      <c r="U2465" s="408"/>
      <c r="V2465" s="421"/>
      <c r="W2465" s="421"/>
      <c r="X2465" s="421"/>
      <c r="Y2465" s="421"/>
      <c r="Z2465" s="421"/>
      <c r="AA2465" s="421"/>
      <c r="AB2465" s="421"/>
      <c r="AC2465" s="421"/>
      <c r="AD2465" s="421"/>
      <c r="AE2465" s="421"/>
      <c r="AF2465" s="421"/>
      <c r="AG2465" s="421"/>
      <c r="AH2465" s="421"/>
      <c r="AI2465" s="421"/>
      <c r="AJ2465" s="421"/>
      <c r="AK2465" s="421"/>
      <c r="AL2465" s="421"/>
    </row>
    <row r="2466" spans="1:38" hidden="1">
      <c r="A2466" s="408"/>
      <c r="B2466" s="83" t="e">
        <f t="array" ref="B2466">SUM(--(FREQUENCY(IF(C$2:C$3072=C2466, MATCH(D$2:D$3072, D$2:D$3072, 0)), ROW(D$2:D$3072)-ROW(D$2)+1) &gt; 0))</f>
        <v>#N/A</v>
      </c>
      <c r="C2466" s="408"/>
      <c r="D2466" s="408"/>
      <c r="E2466" s="408"/>
      <c r="F2466" s="408"/>
      <c r="G2466" s="408"/>
      <c r="H2466" s="408"/>
      <c r="I2466" s="408"/>
      <c r="J2466" s="408"/>
      <c r="K2466" s="408"/>
      <c r="L2466" s="408"/>
      <c r="M2466" s="408"/>
      <c r="N2466" s="408" t="str">
        <f t="shared" si="465"/>
        <v/>
      </c>
      <c r="O2466" s="408"/>
      <c r="P2466" s="408"/>
      <c r="Q2466" s="408"/>
      <c r="R2466" s="408"/>
      <c r="S2466" s="408"/>
      <c r="T2466" s="408"/>
      <c r="U2466" s="408"/>
      <c r="V2466" s="421"/>
      <c r="W2466" s="421"/>
      <c r="X2466" s="421"/>
      <c r="Y2466" s="421"/>
      <c r="Z2466" s="421"/>
      <c r="AA2466" s="421"/>
      <c r="AB2466" s="421"/>
      <c r="AC2466" s="421"/>
      <c r="AD2466" s="421"/>
      <c r="AE2466" s="421"/>
      <c r="AF2466" s="421"/>
      <c r="AG2466" s="421"/>
      <c r="AH2466" s="421"/>
      <c r="AI2466" s="421"/>
      <c r="AJ2466" s="421"/>
      <c r="AK2466" s="421"/>
      <c r="AL2466" s="421"/>
    </row>
    <row r="2467" spans="1:38" hidden="1">
      <c r="A2467" s="408"/>
      <c r="B2467" s="83" t="e">
        <f t="array" ref="B2467">SUM(--(FREQUENCY(IF(C$2:C$3072=C2467, MATCH(D$2:D$3072, D$2:D$3072, 0)), ROW(D$2:D$3072)-ROW(D$2)+1) &gt; 0))</f>
        <v>#N/A</v>
      </c>
      <c r="C2467" s="408"/>
      <c r="D2467" s="408"/>
      <c r="E2467" s="408"/>
      <c r="F2467" s="408"/>
      <c r="G2467" s="408"/>
      <c r="H2467" s="408"/>
      <c r="I2467" s="408"/>
      <c r="J2467" s="408"/>
      <c r="K2467" s="408"/>
      <c r="L2467" s="408"/>
      <c r="M2467" s="408"/>
      <c r="N2467" s="408" t="str">
        <f t="shared" si="465"/>
        <v/>
      </c>
      <c r="O2467" s="408"/>
      <c r="P2467" s="408"/>
      <c r="Q2467" s="408"/>
      <c r="R2467" s="408"/>
      <c r="S2467" s="408"/>
      <c r="T2467" s="408"/>
      <c r="U2467" s="408"/>
      <c r="V2467" s="421"/>
      <c r="W2467" s="421"/>
      <c r="X2467" s="421"/>
      <c r="Y2467" s="421"/>
      <c r="Z2467" s="421"/>
      <c r="AA2467" s="421"/>
      <c r="AB2467" s="421"/>
      <c r="AC2467" s="421"/>
      <c r="AD2467" s="421"/>
      <c r="AE2467" s="421"/>
      <c r="AF2467" s="421"/>
      <c r="AG2467" s="421"/>
      <c r="AH2467" s="421"/>
      <c r="AI2467" s="421"/>
      <c r="AJ2467" s="421"/>
      <c r="AK2467" s="421"/>
      <c r="AL2467" s="421"/>
    </row>
    <row r="2468" spans="1:38" hidden="1">
      <c r="A2468" s="408"/>
      <c r="B2468" s="83" t="e">
        <f t="array" ref="B2468">SUM(--(FREQUENCY(IF(C$2:C$3072=C2468, MATCH(D$2:D$3072, D$2:D$3072, 0)), ROW(D$2:D$3072)-ROW(D$2)+1) &gt; 0))</f>
        <v>#N/A</v>
      </c>
      <c r="C2468" s="408"/>
      <c r="D2468" s="408"/>
      <c r="E2468" s="408"/>
      <c r="F2468" s="408"/>
      <c r="G2468" s="408"/>
      <c r="H2468" s="408"/>
      <c r="I2468" s="408"/>
      <c r="J2468" s="408"/>
      <c r="K2468" s="408"/>
      <c r="L2468" s="408"/>
      <c r="M2468" s="408"/>
      <c r="N2468" s="408" t="str">
        <f t="shared" si="465"/>
        <v/>
      </c>
      <c r="O2468" s="408"/>
      <c r="P2468" s="408"/>
      <c r="Q2468" s="408"/>
      <c r="R2468" s="408"/>
      <c r="S2468" s="408"/>
      <c r="T2468" s="408"/>
      <c r="U2468" s="408"/>
      <c r="V2468" s="421"/>
      <c r="W2468" s="421"/>
      <c r="X2468" s="421"/>
      <c r="Y2468" s="421"/>
      <c r="Z2468" s="421"/>
      <c r="AA2468" s="421"/>
      <c r="AB2468" s="421"/>
      <c r="AC2468" s="421"/>
      <c r="AD2468" s="421"/>
      <c r="AE2468" s="421"/>
      <c r="AF2468" s="421"/>
      <c r="AG2468" s="421"/>
      <c r="AH2468" s="421"/>
      <c r="AI2468" s="421"/>
      <c r="AJ2468" s="421"/>
      <c r="AK2468" s="421"/>
      <c r="AL2468" s="421"/>
    </row>
    <row r="2469" spans="1:38" hidden="1">
      <c r="A2469" s="408"/>
      <c r="B2469" s="83" t="e">
        <f t="array" ref="B2469">SUM(--(FREQUENCY(IF(C$2:C$3072=C2469, MATCH(D$2:D$3072, D$2:D$3072, 0)), ROW(D$2:D$3072)-ROW(D$2)+1) &gt; 0))</f>
        <v>#N/A</v>
      </c>
      <c r="C2469" s="408"/>
      <c r="D2469" s="408"/>
      <c r="E2469" s="408"/>
      <c r="F2469" s="408"/>
      <c r="G2469" s="408"/>
      <c r="H2469" s="408"/>
      <c r="I2469" s="408"/>
      <c r="J2469" s="408"/>
      <c r="K2469" s="408"/>
      <c r="L2469" s="408"/>
      <c r="M2469" s="408"/>
      <c r="N2469" s="408" t="str">
        <f t="shared" si="465"/>
        <v/>
      </c>
      <c r="O2469" s="408"/>
      <c r="P2469" s="408"/>
      <c r="Q2469" s="408"/>
      <c r="R2469" s="408"/>
      <c r="S2469" s="408"/>
      <c r="T2469" s="408"/>
      <c r="U2469" s="408"/>
      <c r="V2469" s="421"/>
      <c r="W2469" s="421"/>
      <c r="X2469" s="421"/>
      <c r="Y2469" s="421"/>
      <c r="Z2469" s="421"/>
      <c r="AA2469" s="421"/>
      <c r="AB2469" s="421"/>
      <c r="AC2469" s="421"/>
      <c r="AD2469" s="421"/>
      <c r="AE2469" s="421"/>
      <c r="AF2469" s="421"/>
      <c r="AG2469" s="421"/>
      <c r="AH2469" s="421"/>
      <c r="AI2469" s="421"/>
      <c r="AJ2469" s="421"/>
      <c r="AK2469" s="421"/>
      <c r="AL2469" s="421"/>
    </row>
    <row r="2470" spans="1:38" hidden="1">
      <c r="A2470" s="408"/>
      <c r="B2470" s="83" t="e">
        <f t="array" ref="B2470">SUM(--(FREQUENCY(IF(C$2:C$3072=C2470, MATCH(D$2:D$3072, D$2:D$3072, 0)), ROW(D$2:D$3072)-ROW(D$2)+1) &gt; 0))</f>
        <v>#N/A</v>
      </c>
      <c r="C2470" s="408"/>
      <c r="D2470" s="408"/>
      <c r="E2470" s="408"/>
      <c r="F2470" s="408"/>
      <c r="G2470" s="408"/>
      <c r="H2470" s="408"/>
      <c r="I2470" s="408"/>
      <c r="J2470" s="408"/>
      <c r="K2470" s="408"/>
      <c r="L2470" s="408"/>
      <c r="M2470" s="408"/>
      <c r="N2470" s="408" t="str">
        <f t="shared" si="465"/>
        <v/>
      </c>
      <c r="O2470" s="408"/>
      <c r="P2470" s="408"/>
      <c r="Q2470" s="408"/>
      <c r="R2470" s="408"/>
      <c r="S2470" s="408"/>
      <c r="T2470" s="408"/>
      <c r="U2470" s="408"/>
      <c r="V2470" s="421"/>
      <c r="W2470" s="421"/>
      <c r="X2470" s="421"/>
      <c r="Y2470" s="421"/>
      <c r="Z2470" s="421"/>
      <c r="AA2470" s="421"/>
      <c r="AB2470" s="421"/>
      <c r="AC2470" s="421"/>
      <c r="AD2470" s="421"/>
      <c r="AE2470" s="421"/>
      <c r="AF2470" s="421"/>
      <c r="AG2470" s="421"/>
      <c r="AH2470" s="421"/>
      <c r="AI2470" s="421"/>
      <c r="AJ2470" s="421"/>
      <c r="AK2470" s="421"/>
      <c r="AL2470" s="421"/>
    </row>
    <row r="2471" spans="1:38" hidden="1">
      <c r="A2471" s="408"/>
      <c r="B2471" s="83" t="e">
        <f t="array" ref="B2471">SUM(--(FREQUENCY(IF(C$2:C$3072=C2471, MATCH(D$2:D$3072, D$2:D$3072, 0)), ROW(D$2:D$3072)-ROW(D$2)+1) &gt; 0))</f>
        <v>#N/A</v>
      </c>
      <c r="C2471" s="408"/>
      <c r="D2471" s="408"/>
      <c r="E2471" s="408"/>
      <c r="F2471" s="408"/>
      <c r="G2471" s="408"/>
      <c r="H2471" s="408"/>
      <c r="I2471" s="408"/>
      <c r="J2471" s="408"/>
      <c r="K2471" s="408"/>
      <c r="L2471" s="408"/>
      <c r="M2471" s="408"/>
      <c r="N2471" s="408" t="str">
        <f t="shared" si="465"/>
        <v/>
      </c>
      <c r="O2471" s="408"/>
      <c r="P2471" s="408"/>
      <c r="Q2471" s="408"/>
      <c r="R2471" s="408"/>
      <c r="S2471" s="408"/>
      <c r="T2471" s="408"/>
      <c r="U2471" s="408"/>
      <c r="V2471" s="421"/>
      <c r="W2471" s="421"/>
      <c r="X2471" s="421"/>
      <c r="Y2471" s="421"/>
      <c r="Z2471" s="421"/>
      <c r="AA2471" s="421"/>
      <c r="AB2471" s="421"/>
      <c r="AC2471" s="421"/>
      <c r="AD2471" s="421"/>
      <c r="AE2471" s="421"/>
      <c r="AF2471" s="421"/>
      <c r="AG2471" s="421"/>
      <c r="AH2471" s="421"/>
      <c r="AI2471" s="421"/>
      <c r="AJ2471" s="421"/>
      <c r="AK2471" s="421"/>
      <c r="AL2471" s="421"/>
    </row>
    <row r="2472" spans="1:38" hidden="1">
      <c r="A2472" s="408"/>
      <c r="B2472" s="83" t="e">
        <f t="array" ref="B2472">SUM(--(FREQUENCY(IF(C$2:C$3072=C2472, MATCH(D$2:D$3072, D$2:D$3072, 0)), ROW(D$2:D$3072)-ROW(D$2)+1) &gt; 0))</f>
        <v>#N/A</v>
      </c>
      <c r="C2472" s="408"/>
      <c r="D2472" s="408"/>
      <c r="E2472" s="408"/>
      <c r="F2472" s="408"/>
      <c r="G2472" s="408"/>
      <c r="H2472" s="408"/>
      <c r="I2472" s="408"/>
      <c r="J2472" s="408"/>
      <c r="K2472" s="408"/>
      <c r="L2472" s="408"/>
      <c r="M2472" s="408"/>
      <c r="N2472" s="408" t="str">
        <f t="shared" si="465"/>
        <v/>
      </c>
      <c r="O2472" s="408"/>
      <c r="P2472" s="408"/>
      <c r="Q2472" s="408"/>
      <c r="R2472" s="408"/>
      <c r="S2472" s="408"/>
      <c r="T2472" s="408"/>
      <c r="U2472" s="408"/>
      <c r="V2472" s="421"/>
      <c r="W2472" s="421"/>
      <c r="X2472" s="421"/>
      <c r="Y2472" s="421"/>
      <c r="Z2472" s="421"/>
      <c r="AA2472" s="421"/>
      <c r="AB2472" s="421"/>
      <c r="AC2472" s="421"/>
      <c r="AD2472" s="421"/>
      <c r="AE2472" s="421"/>
      <c r="AF2472" s="421"/>
      <c r="AG2472" s="421"/>
      <c r="AH2472" s="421"/>
      <c r="AI2472" s="421"/>
      <c r="AJ2472" s="421"/>
      <c r="AK2472" s="421"/>
      <c r="AL2472" s="421"/>
    </row>
    <row r="2473" spans="1:38" hidden="1">
      <c r="A2473" s="408"/>
      <c r="B2473" s="83" t="e">
        <f t="array" ref="B2473">SUM(--(FREQUENCY(IF(C$2:C$3072=C2473, MATCH(D$2:D$3072, D$2:D$3072, 0)), ROW(D$2:D$3072)-ROW(D$2)+1) &gt; 0))</f>
        <v>#N/A</v>
      </c>
      <c r="C2473" s="408"/>
      <c r="D2473" s="408"/>
      <c r="E2473" s="408"/>
      <c r="F2473" s="408"/>
      <c r="G2473" s="408"/>
      <c r="H2473" s="408"/>
      <c r="I2473" s="408"/>
      <c r="J2473" s="408"/>
      <c r="K2473" s="408"/>
      <c r="L2473" s="408"/>
      <c r="M2473" s="408"/>
      <c r="N2473" s="408" t="str">
        <f t="shared" si="465"/>
        <v/>
      </c>
      <c r="O2473" s="408"/>
      <c r="P2473" s="408"/>
      <c r="Q2473" s="408"/>
      <c r="R2473" s="408"/>
      <c r="S2473" s="408"/>
      <c r="T2473" s="408"/>
      <c r="U2473" s="408"/>
      <c r="V2473" s="421"/>
      <c r="W2473" s="421"/>
      <c r="X2473" s="421"/>
      <c r="Y2473" s="421"/>
      <c r="Z2473" s="421"/>
      <c r="AA2473" s="421"/>
      <c r="AB2473" s="421"/>
      <c r="AC2473" s="421"/>
      <c r="AD2473" s="421"/>
      <c r="AE2473" s="421"/>
      <c r="AF2473" s="421"/>
      <c r="AG2473" s="421"/>
      <c r="AH2473" s="421"/>
      <c r="AI2473" s="421"/>
      <c r="AJ2473" s="421"/>
      <c r="AK2473" s="421"/>
      <c r="AL2473" s="421"/>
    </row>
    <row r="2474" spans="1:38" hidden="1">
      <c r="A2474" s="408"/>
      <c r="B2474" s="83" t="e">
        <f t="array" ref="B2474">SUM(--(FREQUENCY(IF(C$2:C$3072=C2474, MATCH(D$2:D$3072, D$2:D$3072, 0)), ROW(D$2:D$3072)-ROW(D$2)+1) &gt; 0))</f>
        <v>#N/A</v>
      </c>
      <c r="C2474" s="408"/>
      <c r="D2474" s="408"/>
      <c r="E2474" s="408"/>
      <c r="F2474" s="408"/>
      <c r="G2474" s="408"/>
      <c r="H2474" s="408"/>
      <c r="I2474" s="408"/>
      <c r="J2474" s="408"/>
      <c r="K2474" s="408"/>
      <c r="L2474" s="408"/>
      <c r="M2474" s="408"/>
      <c r="N2474" s="408" t="str">
        <f t="shared" si="465"/>
        <v/>
      </c>
      <c r="O2474" s="408"/>
      <c r="P2474" s="408"/>
      <c r="Q2474" s="408"/>
      <c r="R2474" s="408"/>
      <c r="S2474" s="408"/>
      <c r="T2474" s="408"/>
      <c r="U2474" s="408"/>
      <c r="V2474" s="421"/>
      <c r="W2474" s="421"/>
      <c r="X2474" s="421"/>
      <c r="Y2474" s="421"/>
      <c r="Z2474" s="421"/>
      <c r="AA2474" s="421"/>
      <c r="AB2474" s="421"/>
      <c r="AC2474" s="421"/>
      <c r="AD2474" s="421"/>
      <c r="AE2474" s="421"/>
      <c r="AF2474" s="421"/>
      <c r="AG2474" s="421"/>
      <c r="AH2474" s="421"/>
      <c r="AI2474" s="421"/>
      <c r="AJ2474" s="421"/>
      <c r="AK2474" s="421"/>
      <c r="AL2474" s="421"/>
    </row>
    <row r="2475" spans="1:38" hidden="1">
      <c r="A2475" s="408"/>
      <c r="B2475" s="83" t="e">
        <f t="array" ref="B2475">SUM(--(FREQUENCY(IF(C$2:C$3072=C2475, MATCH(D$2:D$3072, D$2:D$3072, 0)), ROW(D$2:D$3072)-ROW(D$2)+1) &gt; 0))</f>
        <v>#N/A</v>
      </c>
      <c r="C2475" s="408"/>
      <c r="D2475" s="408"/>
      <c r="E2475" s="408"/>
      <c r="F2475" s="408"/>
      <c r="G2475" s="408"/>
      <c r="H2475" s="408"/>
      <c r="I2475" s="408"/>
      <c r="J2475" s="408"/>
      <c r="K2475" s="408"/>
      <c r="L2475" s="408"/>
      <c r="M2475" s="408"/>
      <c r="N2475" s="408" t="str">
        <f t="shared" si="465"/>
        <v/>
      </c>
      <c r="O2475" s="408"/>
      <c r="P2475" s="408"/>
      <c r="Q2475" s="408"/>
      <c r="R2475" s="408"/>
      <c r="S2475" s="408"/>
      <c r="T2475" s="408"/>
      <c r="U2475" s="408"/>
      <c r="V2475" s="421"/>
      <c r="W2475" s="421"/>
      <c r="X2475" s="421"/>
      <c r="Y2475" s="421"/>
      <c r="Z2475" s="421"/>
      <c r="AA2475" s="421"/>
      <c r="AB2475" s="421"/>
      <c r="AC2475" s="421"/>
      <c r="AD2475" s="421"/>
      <c r="AE2475" s="421"/>
      <c r="AF2475" s="421"/>
      <c r="AG2475" s="421"/>
      <c r="AH2475" s="421"/>
      <c r="AI2475" s="421"/>
      <c r="AJ2475" s="421"/>
      <c r="AK2475" s="421"/>
      <c r="AL2475" s="421"/>
    </row>
    <row r="2476" spans="1:38" hidden="1">
      <c r="A2476" s="408"/>
      <c r="B2476" s="83" t="e">
        <f t="array" ref="B2476">SUM(--(FREQUENCY(IF(C$2:C$3072=C2476, MATCH(D$2:D$3072, D$2:D$3072, 0)), ROW(D$2:D$3072)-ROW(D$2)+1) &gt; 0))</f>
        <v>#N/A</v>
      </c>
      <c r="C2476" s="408"/>
      <c r="D2476" s="408"/>
      <c r="E2476" s="408"/>
      <c r="F2476" s="408"/>
      <c r="G2476" s="408"/>
      <c r="H2476" s="408"/>
      <c r="I2476" s="408"/>
      <c r="J2476" s="408"/>
      <c r="K2476" s="408"/>
      <c r="L2476" s="408"/>
      <c r="M2476" s="408"/>
      <c r="N2476" s="408" t="str">
        <f t="shared" si="465"/>
        <v/>
      </c>
      <c r="O2476" s="408"/>
      <c r="P2476" s="408"/>
      <c r="Q2476" s="408"/>
      <c r="R2476" s="408"/>
      <c r="S2476" s="408"/>
      <c r="T2476" s="408"/>
      <c r="U2476" s="408"/>
      <c r="V2476" s="421"/>
      <c r="W2476" s="421"/>
      <c r="X2476" s="421"/>
      <c r="Y2476" s="421"/>
      <c r="Z2476" s="421"/>
      <c r="AA2476" s="421"/>
      <c r="AB2476" s="421"/>
      <c r="AC2476" s="421"/>
      <c r="AD2476" s="421"/>
      <c r="AE2476" s="421"/>
      <c r="AF2476" s="421"/>
      <c r="AG2476" s="421"/>
      <c r="AH2476" s="421"/>
      <c r="AI2476" s="421"/>
      <c r="AJ2476" s="421"/>
      <c r="AK2476" s="421"/>
      <c r="AL2476" s="421"/>
    </row>
    <row r="2477" spans="1:38" hidden="1">
      <c r="A2477" s="408"/>
      <c r="B2477" s="83" t="e">
        <f t="array" ref="B2477">SUM(--(FREQUENCY(IF(C$2:C$3072=C2477, MATCH(D$2:D$3072, D$2:D$3072, 0)), ROW(D$2:D$3072)-ROW(D$2)+1) &gt; 0))</f>
        <v>#N/A</v>
      </c>
      <c r="C2477" s="408"/>
      <c r="D2477" s="408"/>
      <c r="E2477" s="408"/>
      <c r="F2477" s="408"/>
      <c r="G2477" s="408"/>
      <c r="H2477" s="408"/>
      <c r="I2477" s="408"/>
      <c r="J2477" s="408"/>
      <c r="K2477" s="408"/>
      <c r="L2477" s="408"/>
      <c r="M2477" s="408"/>
      <c r="N2477" s="408" t="str">
        <f t="shared" si="465"/>
        <v/>
      </c>
      <c r="O2477" s="408"/>
      <c r="P2477" s="408"/>
      <c r="Q2477" s="408"/>
      <c r="R2477" s="408"/>
      <c r="S2477" s="408"/>
      <c r="T2477" s="408"/>
      <c r="U2477" s="408"/>
      <c r="V2477" s="421"/>
      <c r="W2477" s="421"/>
      <c r="X2477" s="421"/>
      <c r="Y2477" s="421"/>
      <c r="Z2477" s="421"/>
      <c r="AA2477" s="421"/>
      <c r="AB2477" s="421"/>
      <c r="AC2477" s="421"/>
      <c r="AD2477" s="421"/>
      <c r="AE2477" s="421"/>
      <c r="AF2477" s="421"/>
      <c r="AG2477" s="421"/>
      <c r="AH2477" s="421"/>
      <c r="AI2477" s="421"/>
      <c r="AJ2477" s="421"/>
      <c r="AK2477" s="421"/>
      <c r="AL2477" s="421"/>
    </row>
    <row r="2478" spans="1:38" hidden="1">
      <c r="A2478" s="408"/>
      <c r="B2478" s="83" t="e">
        <f t="array" ref="B2478">SUM(--(FREQUENCY(IF(C$2:C$3072=C2478, MATCH(D$2:D$3072, D$2:D$3072, 0)), ROW(D$2:D$3072)-ROW(D$2)+1) &gt; 0))</f>
        <v>#N/A</v>
      </c>
      <c r="C2478" s="408"/>
      <c r="D2478" s="408"/>
      <c r="E2478" s="408"/>
      <c r="F2478" s="408"/>
      <c r="G2478" s="408"/>
      <c r="H2478" s="408"/>
      <c r="I2478" s="408"/>
      <c r="J2478" s="408"/>
      <c r="K2478" s="408"/>
      <c r="L2478" s="408"/>
      <c r="M2478" s="408"/>
      <c r="N2478" s="408" t="str">
        <f t="shared" si="465"/>
        <v/>
      </c>
      <c r="O2478" s="408"/>
      <c r="P2478" s="408"/>
      <c r="Q2478" s="408"/>
      <c r="R2478" s="408"/>
      <c r="S2478" s="408"/>
      <c r="T2478" s="408"/>
      <c r="U2478" s="408"/>
      <c r="V2478" s="421"/>
      <c r="W2478" s="421"/>
      <c r="X2478" s="421"/>
      <c r="Y2478" s="421"/>
      <c r="Z2478" s="421"/>
      <c r="AA2478" s="421"/>
      <c r="AB2478" s="421"/>
      <c r="AC2478" s="421"/>
      <c r="AD2478" s="421"/>
      <c r="AE2478" s="421"/>
      <c r="AF2478" s="421"/>
      <c r="AG2478" s="421"/>
      <c r="AH2478" s="421"/>
      <c r="AI2478" s="421"/>
      <c r="AJ2478" s="421"/>
      <c r="AK2478" s="421"/>
      <c r="AL2478" s="421"/>
    </row>
    <row r="2479" spans="1:38" hidden="1">
      <c r="A2479" s="408"/>
      <c r="B2479" s="83" t="e">
        <f t="array" ref="B2479">SUM(--(FREQUENCY(IF(C$2:C$3072=C2479, MATCH(D$2:D$3072, D$2:D$3072, 0)), ROW(D$2:D$3072)-ROW(D$2)+1) &gt; 0))</f>
        <v>#N/A</v>
      </c>
      <c r="C2479" s="408"/>
      <c r="D2479" s="408"/>
      <c r="E2479" s="408"/>
      <c r="F2479" s="408"/>
      <c r="G2479" s="408"/>
      <c r="H2479" s="408"/>
      <c r="I2479" s="408"/>
      <c r="J2479" s="408"/>
      <c r="K2479" s="408"/>
      <c r="L2479" s="408"/>
      <c r="M2479" s="408"/>
      <c r="N2479" s="408" t="str">
        <f t="shared" si="465"/>
        <v/>
      </c>
      <c r="O2479" s="408"/>
      <c r="P2479" s="408"/>
      <c r="Q2479" s="408"/>
      <c r="R2479" s="408"/>
      <c r="S2479" s="408"/>
      <c r="T2479" s="408"/>
      <c r="U2479" s="408"/>
      <c r="V2479" s="421"/>
      <c r="W2479" s="421"/>
      <c r="X2479" s="421"/>
      <c r="Y2479" s="421"/>
      <c r="Z2479" s="421"/>
      <c r="AA2479" s="421"/>
      <c r="AB2479" s="421"/>
      <c r="AC2479" s="421"/>
      <c r="AD2479" s="421"/>
      <c r="AE2479" s="421"/>
      <c r="AF2479" s="421"/>
      <c r="AG2479" s="421"/>
      <c r="AH2479" s="421"/>
      <c r="AI2479" s="421"/>
      <c r="AJ2479" s="421"/>
      <c r="AK2479" s="421"/>
      <c r="AL2479" s="421"/>
    </row>
    <row r="2480" spans="1:38" hidden="1">
      <c r="A2480" s="408"/>
      <c r="B2480" s="83" t="e">
        <f t="array" ref="B2480">SUM(--(FREQUENCY(IF(C$2:C$3072=C2480, MATCH(D$2:D$3072, D$2:D$3072, 0)), ROW(D$2:D$3072)-ROW(D$2)+1) &gt; 0))</f>
        <v>#N/A</v>
      </c>
      <c r="C2480" s="408"/>
      <c r="D2480" s="408"/>
      <c r="E2480" s="408"/>
      <c r="F2480" s="408"/>
      <c r="G2480" s="408"/>
      <c r="H2480" s="408"/>
      <c r="I2480" s="408"/>
      <c r="J2480" s="408"/>
      <c r="K2480" s="408"/>
      <c r="L2480" s="408"/>
      <c r="M2480" s="408"/>
      <c r="N2480" s="408" t="str">
        <f t="shared" si="465"/>
        <v/>
      </c>
      <c r="O2480" s="408"/>
      <c r="P2480" s="408"/>
      <c r="Q2480" s="408"/>
      <c r="R2480" s="408"/>
      <c r="S2480" s="408"/>
      <c r="T2480" s="408"/>
      <c r="U2480" s="408"/>
      <c r="V2480" s="421"/>
      <c r="W2480" s="421"/>
      <c r="X2480" s="421"/>
      <c r="Y2480" s="421"/>
      <c r="Z2480" s="421"/>
      <c r="AA2480" s="421"/>
      <c r="AB2480" s="421"/>
      <c r="AC2480" s="421"/>
      <c r="AD2480" s="421"/>
      <c r="AE2480" s="421"/>
      <c r="AF2480" s="421"/>
      <c r="AG2480" s="421"/>
      <c r="AH2480" s="421"/>
      <c r="AI2480" s="421"/>
      <c r="AJ2480" s="421"/>
      <c r="AK2480" s="421"/>
      <c r="AL2480" s="421"/>
    </row>
    <row r="2481" spans="1:38" hidden="1">
      <c r="A2481" s="408"/>
      <c r="B2481" s="83" t="e">
        <f t="array" ref="B2481">SUM(--(FREQUENCY(IF(C$2:C$3072=C2481, MATCH(D$2:D$3072, D$2:D$3072, 0)), ROW(D$2:D$3072)-ROW(D$2)+1) &gt; 0))</f>
        <v>#N/A</v>
      </c>
      <c r="C2481" s="408"/>
      <c r="D2481" s="408"/>
      <c r="E2481" s="408"/>
      <c r="F2481" s="408"/>
      <c r="G2481" s="408"/>
      <c r="H2481" s="408"/>
      <c r="I2481" s="408"/>
      <c r="J2481" s="408"/>
      <c r="K2481" s="408"/>
      <c r="L2481" s="408"/>
      <c r="M2481" s="408"/>
      <c r="N2481" s="408" t="str">
        <f t="shared" si="465"/>
        <v/>
      </c>
      <c r="O2481" s="408"/>
      <c r="P2481" s="408"/>
      <c r="Q2481" s="408"/>
      <c r="R2481" s="408"/>
      <c r="S2481" s="408"/>
      <c r="T2481" s="408"/>
      <c r="U2481" s="408"/>
      <c r="V2481" s="421"/>
      <c r="W2481" s="421"/>
      <c r="X2481" s="421"/>
      <c r="Y2481" s="421"/>
      <c r="Z2481" s="421"/>
      <c r="AA2481" s="421"/>
      <c r="AB2481" s="421"/>
      <c r="AC2481" s="421"/>
      <c r="AD2481" s="421"/>
      <c r="AE2481" s="421"/>
      <c r="AF2481" s="421"/>
      <c r="AG2481" s="421"/>
      <c r="AH2481" s="421"/>
      <c r="AI2481" s="421"/>
      <c r="AJ2481" s="421"/>
      <c r="AK2481" s="421"/>
      <c r="AL2481" s="421"/>
    </row>
    <row r="2482" spans="1:38" hidden="1">
      <c r="A2482" s="408"/>
      <c r="B2482" s="83" t="e">
        <f t="array" ref="B2482">SUM(--(FREQUENCY(IF(C$2:C$3072=C2482, MATCH(D$2:D$3072, D$2:D$3072, 0)), ROW(D$2:D$3072)-ROW(D$2)+1) &gt; 0))</f>
        <v>#N/A</v>
      </c>
      <c r="C2482" s="408"/>
      <c r="D2482" s="408"/>
      <c r="E2482" s="408"/>
      <c r="F2482" s="408"/>
      <c r="G2482" s="408"/>
      <c r="H2482" s="408"/>
      <c r="I2482" s="408"/>
      <c r="J2482" s="408"/>
      <c r="K2482" s="408"/>
      <c r="L2482" s="408"/>
      <c r="M2482" s="408"/>
      <c r="N2482" s="408" t="str">
        <f t="shared" si="465"/>
        <v/>
      </c>
      <c r="O2482" s="408"/>
      <c r="P2482" s="408"/>
      <c r="Q2482" s="408"/>
      <c r="R2482" s="408"/>
      <c r="S2482" s="408"/>
      <c r="T2482" s="408"/>
      <c r="U2482" s="408"/>
      <c r="V2482" s="421"/>
      <c r="W2482" s="421"/>
      <c r="X2482" s="421"/>
      <c r="Y2482" s="421"/>
      <c r="Z2482" s="421"/>
      <c r="AA2482" s="421"/>
      <c r="AB2482" s="421"/>
      <c r="AC2482" s="421"/>
      <c r="AD2482" s="421"/>
      <c r="AE2482" s="421"/>
      <c r="AF2482" s="421"/>
      <c r="AG2482" s="421"/>
      <c r="AH2482" s="421"/>
      <c r="AI2482" s="421"/>
      <c r="AJ2482" s="421"/>
      <c r="AK2482" s="421"/>
      <c r="AL2482" s="421"/>
    </row>
    <row r="2483" spans="1:38" hidden="1">
      <c r="A2483" s="408"/>
      <c r="B2483" s="83" t="e">
        <f t="array" ref="B2483">SUM(--(FREQUENCY(IF(C$2:C$3072=C2483, MATCH(D$2:D$3072, D$2:D$3072, 0)), ROW(D$2:D$3072)-ROW(D$2)+1) &gt; 0))</f>
        <v>#N/A</v>
      </c>
      <c r="C2483" s="408"/>
      <c r="D2483" s="408"/>
      <c r="E2483" s="408"/>
      <c r="F2483" s="408"/>
      <c r="G2483" s="408"/>
      <c r="H2483" s="408"/>
      <c r="I2483" s="408"/>
      <c r="J2483" s="408"/>
      <c r="K2483" s="408"/>
      <c r="L2483" s="408"/>
      <c r="M2483" s="408"/>
      <c r="N2483" s="408" t="str">
        <f t="shared" si="465"/>
        <v/>
      </c>
      <c r="O2483" s="408"/>
      <c r="P2483" s="408"/>
      <c r="Q2483" s="408"/>
      <c r="R2483" s="408"/>
      <c r="S2483" s="408"/>
      <c r="T2483" s="408"/>
      <c r="U2483" s="408"/>
      <c r="V2483" s="421"/>
      <c r="W2483" s="421"/>
      <c r="X2483" s="421"/>
      <c r="Y2483" s="421"/>
      <c r="Z2483" s="421"/>
      <c r="AA2483" s="421"/>
      <c r="AB2483" s="421"/>
      <c r="AC2483" s="421"/>
      <c r="AD2483" s="421"/>
      <c r="AE2483" s="421"/>
      <c r="AF2483" s="421"/>
      <c r="AG2483" s="421"/>
      <c r="AH2483" s="421"/>
      <c r="AI2483" s="421"/>
      <c r="AJ2483" s="421"/>
      <c r="AK2483" s="421"/>
      <c r="AL2483" s="421"/>
    </row>
    <row r="2484" spans="1:38" hidden="1">
      <c r="A2484" s="408"/>
      <c r="B2484" s="83" t="e">
        <f t="array" ref="B2484">SUM(--(FREQUENCY(IF(C$2:C$3072=C2484, MATCH(D$2:D$3072, D$2:D$3072, 0)), ROW(D$2:D$3072)-ROW(D$2)+1) &gt; 0))</f>
        <v>#N/A</v>
      </c>
      <c r="C2484" s="408"/>
      <c r="D2484" s="408"/>
      <c r="E2484" s="408"/>
      <c r="F2484" s="408"/>
      <c r="G2484" s="408"/>
      <c r="H2484" s="408"/>
      <c r="I2484" s="408"/>
      <c r="J2484" s="408"/>
      <c r="K2484" s="408"/>
      <c r="L2484" s="408"/>
      <c r="M2484" s="408"/>
      <c r="N2484" s="408" t="str">
        <f t="shared" si="465"/>
        <v/>
      </c>
      <c r="O2484" s="408"/>
      <c r="P2484" s="408"/>
      <c r="Q2484" s="408"/>
      <c r="R2484" s="408"/>
      <c r="S2484" s="408"/>
      <c r="T2484" s="408"/>
      <c r="U2484" s="408"/>
      <c r="V2484" s="421"/>
      <c r="W2484" s="421"/>
      <c r="X2484" s="421"/>
      <c r="Y2484" s="421"/>
      <c r="Z2484" s="421"/>
      <c r="AA2484" s="421"/>
      <c r="AB2484" s="421"/>
      <c r="AC2484" s="421"/>
      <c r="AD2484" s="421"/>
      <c r="AE2484" s="421"/>
      <c r="AF2484" s="421"/>
      <c r="AG2484" s="421"/>
      <c r="AH2484" s="421"/>
      <c r="AI2484" s="421"/>
      <c r="AJ2484" s="421"/>
      <c r="AK2484" s="421"/>
      <c r="AL2484" s="421"/>
    </row>
    <row r="2485" spans="1:38" hidden="1">
      <c r="A2485" s="408"/>
      <c r="B2485" s="83" t="e">
        <f t="array" ref="B2485">SUM(--(FREQUENCY(IF(C$2:C$3072=C2485, MATCH(D$2:D$3072, D$2:D$3072, 0)), ROW(D$2:D$3072)-ROW(D$2)+1) &gt; 0))</f>
        <v>#N/A</v>
      </c>
      <c r="C2485" s="408"/>
      <c r="D2485" s="408"/>
      <c r="E2485" s="408"/>
      <c r="F2485" s="408"/>
      <c r="G2485" s="408"/>
      <c r="H2485" s="408"/>
      <c r="I2485" s="408"/>
      <c r="J2485" s="408"/>
      <c r="K2485" s="408"/>
      <c r="L2485" s="408"/>
      <c r="M2485" s="408"/>
      <c r="N2485" s="408" t="str">
        <f t="shared" si="465"/>
        <v/>
      </c>
      <c r="O2485" s="408"/>
      <c r="P2485" s="408"/>
      <c r="Q2485" s="408"/>
      <c r="R2485" s="408"/>
      <c r="S2485" s="408"/>
      <c r="T2485" s="408"/>
      <c r="U2485" s="408"/>
      <c r="V2485" s="421"/>
      <c r="W2485" s="421"/>
      <c r="X2485" s="421"/>
      <c r="Y2485" s="421"/>
      <c r="Z2485" s="421"/>
      <c r="AA2485" s="421"/>
      <c r="AB2485" s="421"/>
      <c r="AC2485" s="421"/>
      <c r="AD2485" s="421"/>
      <c r="AE2485" s="421"/>
      <c r="AF2485" s="421"/>
      <c r="AG2485" s="421"/>
      <c r="AH2485" s="421"/>
      <c r="AI2485" s="421"/>
      <c r="AJ2485" s="421"/>
      <c r="AK2485" s="421"/>
      <c r="AL2485" s="421"/>
    </row>
    <row r="2486" spans="1:38" hidden="1">
      <c r="A2486" s="408"/>
      <c r="B2486" s="83" t="e">
        <f t="array" ref="B2486">SUM(--(FREQUENCY(IF(C$2:C$3072=C2486, MATCH(D$2:D$3072, D$2:D$3072, 0)), ROW(D$2:D$3072)-ROW(D$2)+1) &gt; 0))</f>
        <v>#N/A</v>
      </c>
      <c r="C2486" s="408"/>
      <c r="D2486" s="408"/>
      <c r="E2486" s="408"/>
      <c r="F2486" s="408"/>
      <c r="G2486" s="408"/>
      <c r="H2486" s="408"/>
      <c r="I2486" s="408"/>
      <c r="J2486" s="408"/>
      <c r="K2486" s="408"/>
      <c r="L2486" s="408"/>
      <c r="M2486" s="408"/>
      <c r="N2486" s="408" t="str">
        <f t="shared" si="465"/>
        <v/>
      </c>
      <c r="O2486" s="408"/>
      <c r="P2486" s="408"/>
      <c r="Q2486" s="408"/>
      <c r="R2486" s="408"/>
      <c r="S2486" s="408"/>
      <c r="T2486" s="408"/>
      <c r="U2486" s="408"/>
      <c r="V2486" s="421"/>
      <c r="W2486" s="421"/>
      <c r="X2486" s="421"/>
      <c r="Y2486" s="421"/>
      <c r="Z2486" s="421"/>
      <c r="AA2486" s="421"/>
      <c r="AB2486" s="421"/>
      <c r="AC2486" s="421"/>
      <c r="AD2486" s="421"/>
      <c r="AE2486" s="421"/>
      <c r="AF2486" s="421"/>
      <c r="AG2486" s="421"/>
      <c r="AH2486" s="421"/>
      <c r="AI2486" s="421"/>
      <c r="AJ2486" s="421"/>
      <c r="AK2486" s="421"/>
      <c r="AL2486" s="421"/>
    </row>
    <row r="2487" spans="1:38" hidden="1">
      <c r="A2487" s="408"/>
      <c r="B2487" s="83" t="e">
        <f t="array" ref="B2487">SUM(--(FREQUENCY(IF(C$2:C$3072=C2487, MATCH(D$2:D$3072, D$2:D$3072, 0)), ROW(D$2:D$3072)-ROW(D$2)+1) &gt; 0))</f>
        <v>#N/A</v>
      </c>
      <c r="C2487" s="408"/>
      <c r="D2487" s="408"/>
      <c r="E2487" s="408"/>
      <c r="F2487" s="408"/>
      <c r="G2487" s="408"/>
      <c r="H2487" s="408"/>
      <c r="I2487" s="408"/>
      <c r="J2487" s="408"/>
      <c r="K2487" s="408"/>
      <c r="L2487" s="408"/>
      <c r="M2487" s="408"/>
      <c r="N2487" s="408" t="str">
        <f t="shared" si="465"/>
        <v/>
      </c>
      <c r="O2487" s="408"/>
      <c r="P2487" s="408"/>
      <c r="Q2487" s="408"/>
      <c r="R2487" s="408"/>
      <c r="S2487" s="408"/>
      <c r="T2487" s="408"/>
      <c r="U2487" s="408"/>
      <c r="V2487" s="421"/>
      <c r="W2487" s="421"/>
      <c r="X2487" s="421"/>
      <c r="Y2487" s="421"/>
      <c r="Z2487" s="421"/>
      <c r="AA2487" s="421"/>
      <c r="AB2487" s="421"/>
      <c r="AC2487" s="421"/>
      <c r="AD2487" s="421"/>
      <c r="AE2487" s="421"/>
      <c r="AF2487" s="421"/>
      <c r="AG2487" s="421"/>
      <c r="AH2487" s="421"/>
      <c r="AI2487" s="421"/>
      <c r="AJ2487" s="421"/>
      <c r="AK2487" s="421"/>
      <c r="AL2487" s="421"/>
    </row>
    <row r="2488" spans="1:38" hidden="1">
      <c r="A2488" s="408"/>
      <c r="B2488" s="83" t="e">
        <f t="array" ref="B2488">SUM(--(FREQUENCY(IF(C$2:C$3072=C2488, MATCH(D$2:D$3072, D$2:D$3072, 0)), ROW(D$2:D$3072)-ROW(D$2)+1) &gt; 0))</f>
        <v>#N/A</v>
      </c>
      <c r="C2488" s="408"/>
      <c r="D2488" s="408"/>
      <c r="E2488" s="408"/>
      <c r="F2488" s="408"/>
      <c r="G2488" s="408"/>
      <c r="H2488" s="408"/>
      <c r="I2488" s="408"/>
      <c r="J2488" s="408"/>
      <c r="K2488" s="408"/>
      <c r="L2488" s="408"/>
      <c r="M2488" s="408"/>
      <c r="N2488" s="408" t="str">
        <f t="shared" si="465"/>
        <v/>
      </c>
      <c r="O2488" s="408"/>
      <c r="P2488" s="408"/>
      <c r="Q2488" s="408"/>
      <c r="R2488" s="408"/>
      <c r="S2488" s="408"/>
      <c r="T2488" s="408"/>
      <c r="U2488" s="408"/>
      <c r="V2488" s="421"/>
      <c r="W2488" s="421"/>
      <c r="X2488" s="421"/>
      <c r="Y2488" s="421"/>
      <c r="Z2488" s="421"/>
      <c r="AA2488" s="421"/>
      <c r="AB2488" s="421"/>
      <c r="AC2488" s="421"/>
      <c r="AD2488" s="421"/>
      <c r="AE2488" s="421"/>
      <c r="AF2488" s="421"/>
      <c r="AG2488" s="421"/>
      <c r="AH2488" s="421"/>
      <c r="AI2488" s="421"/>
      <c r="AJ2488" s="421"/>
      <c r="AK2488" s="421"/>
      <c r="AL2488" s="421"/>
    </row>
    <row r="2489" spans="1:38" hidden="1">
      <c r="A2489" s="408"/>
      <c r="B2489" s="83" t="e">
        <f t="array" ref="B2489">SUM(--(FREQUENCY(IF(C$2:C$3072=C2489, MATCH(D$2:D$3072, D$2:D$3072, 0)), ROW(D$2:D$3072)-ROW(D$2)+1) &gt; 0))</f>
        <v>#N/A</v>
      </c>
      <c r="C2489" s="408"/>
      <c r="D2489" s="408"/>
      <c r="E2489" s="408"/>
      <c r="F2489" s="408"/>
      <c r="G2489" s="408"/>
      <c r="H2489" s="408"/>
      <c r="I2489" s="408"/>
      <c r="J2489" s="408"/>
      <c r="K2489" s="408"/>
      <c r="L2489" s="408"/>
      <c r="M2489" s="408"/>
      <c r="N2489" s="408" t="str">
        <f t="shared" si="465"/>
        <v/>
      </c>
      <c r="O2489" s="408"/>
      <c r="P2489" s="408"/>
      <c r="Q2489" s="408"/>
      <c r="R2489" s="408"/>
      <c r="S2489" s="408"/>
      <c r="T2489" s="408"/>
      <c r="U2489" s="408"/>
      <c r="V2489" s="421"/>
      <c r="W2489" s="421"/>
      <c r="X2489" s="421"/>
      <c r="Y2489" s="421"/>
      <c r="Z2489" s="421"/>
      <c r="AA2489" s="421"/>
      <c r="AB2489" s="421"/>
      <c r="AC2489" s="421"/>
      <c r="AD2489" s="421"/>
      <c r="AE2489" s="421"/>
      <c r="AF2489" s="421"/>
      <c r="AG2489" s="421"/>
      <c r="AH2489" s="421"/>
      <c r="AI2489" s="421"/>
      <c r="AJ2489" s="421"/>
      <c r="AK2489" s="421"/>
      <c r="AL2489" s="421"/>
    </row>
    <row r="2490" spans="1:38" hidden="1">
      <c r="A2490" s="408"/>
      <c r="B2490" s="83" t="e">
        <f t="array" ref="B2490">SUM(--(FREQUENCY(IF(C$2:C$3072=C2490, MATCH(D$2:D$3072, D$2:D$3072, 0)), ROW(D$2:D$3072)-ROW(D$2)+1) &gt; 0))</f>
        <v>#N/A</v>
      </c>
      <c r="C2490" s="408"/>
      <c r="D2490" s="408"/>
      <c r="E2490" s="408"/>
      <c r="F2490" s="408"/>
      <c r="G2490" s="408"/>
      <c r="H2490" s="408"/>
      <c r="I2490" s="408"/>
      <c r="J2490" s="408"/>
      <c r="K2490" s="408"/>
      <c r="L2490" s="408"/>
      <c r="M2490" s="408"/>
      <c r="N2490" s="408" t="str">
        <f t="shared" si="465"/>
        <v/>
      </c>
      <c r="O2490" s="408"/>
      <c r="P2490" s="408"/>
      <c r="Q2490" s="408"/>
      <c r="R2490" s="408"/>
      <c r="S2490" s="408"/>
      <c r="T2490" s="408"/>
      <c r="U2490" s="408"/>
      <c r="V2490" s="421"/>
      <c r="W2490" s="421"/>
      <c r="X2490" s="421"/>
      <c r="Y2490" s="421"/>
      <c r="Z2490" s="421"/>
      <c r="AA2490" s="421"/>
      <c r="AB2490" s="421"/>
      <c r="AC2490" s="421"/>
      <c r="AD2490" s="421"/>
      <c r="AE2490" s="421"/>
      <c r="AF2490" s="421"/>
      <c r="AG2490" s="421"/>
      <c r="AH2490" s="421"/>
      <c r="AI2490" s="421"/>
      <c r="AJ2490" s="421"/>
      <c r="AK2490" s="421"/>
      <c r="AL2490" s="421"/>
    </row>
    <row r="2491" spans="1:38" hidden="1">
      <c r="A2491" s="408"/>
      <c r="B2491" s="83" t="e">
        <f t="array" ref="B2491">SUM(--(FREQUENCY(IF(C$2:C$3072=C2491, MATCH(D$2:D$3072, D$2:D$3072, 0)), ROW(D$2:D$3072)-ROW(D$2)+1) &gt; 0))</f>
        <v>#N/A</v>
      </c>
      <c r="C2491" s="408"/>
      <c r="D2491" s="408"/>
      <c r="E2491" s="408"/>
      <c r="F2491" s="408"/>
      <c r="G2491" s="408"/>
      <c r="H2491" s="408"/>
      <c r="I2491" s="408"/>
      <c r="J2491" s="408"/>
      <c r="K2491" s="408"/>
      <c r="L2491" s="408"/>
      <c r="M2491" s="408"/>
      <c r="N2491" s="408" t="str">
        <f t="shared" si="465"/>
        <v/>
      </c>
      <c r="O2491" s="408"/>
      <c r="P2491" s="408"/>
      <c r="Q2491" s="408"/>
      <c r="R2491" s="408"/>
      <c r="S2491" s="408"/>
      <c r="T2491" s="408"/>
      <c r="U2491" s="408"/>
      <c r="V2491" s="421"/>
      <c r="W2491" s="421"/>
      <c r="X2491" s="421"/>
      <c r="Y2491" s="421"/>
      <c r="Z2491" s="421"/>
      <c r="AA2491" s="421"/>
      <c r="AB2491" s="421"/>
      <c r="AC2491" s="421"/>
      <c r="AD2491" s="421"/>
      <c r="AE2491" s="421"/>
      <c r="AF2491" s="421"/>
      <c r="AG2491" s="421"/>
      <c r="AH2491" s="421"/>
      <c r="AI2491" s="421"/>
      <c r="AJ2491" s="421"/>
      <c r="AK2491" s="421"/>
      <c r="AL2491" s="421"/>
    </row>
    <row r="2492" spans="1:38" hidden="1">
      <c r="A2492" s="408"/>
      <c r="B2492" s="83" t="e">
        <f t="array" ref="B2492">SUM(--(FREQUENCY(IF(C$2:C$3072=C2492, MATCH(D$2:D$3072, D$2:D$3072, 0)), ROW(D$2:D$3072)-ROW(D$2)+1) &gt; 0))</f>
        <v>#N/A</v>
      </c>
      <c r="C2492" s="408"/>
      <c r="D2492" s="408"/>
      <c r="E2492" s="408"/>
      <c r="F2492" s="408"/>
      <c r="G2492" s="408"/>
      <c r="H2492" s="408"/>
      <c r="I2492" s="408"/>
      <c r="J2492" s="408"/>
      <c r="K2492" s="408"/>
      <c r="L2492" s="408"/>
      <c r="M2492" s="408"/>
      <c r="N2492" s="408" t="str">
        <f t="shared" si="465"/>
        <v/>
      </c>
      <c r="O2492" s="408"/>
      <c r="P2492" s="408"/>
      <c r="Q2492" s="408"/>
      <c r="R2492" s="408"/>
      <c r="S2492" s="408"/>
      <c r="T2492" s="408"/>
      <c r="U2492" s="408"/>
      <c r="V2492" s="421"/>
      <c r="W2492" s="421"/>
      <c r="X2492" s="421"/>
      <c r="Y2492" s="421"/>
      <c r="Z2492" s="421"/>
      <c r="AA2492" s="421"/>
      <c r="AB2492" s="421"/>
      <c r="AC2492" s="421"/>
      <c r="AD2492" s="421"/>
      <c r="AE2492" s="421"/>
      <c r="AF2492" s="421"/>
      <c r="AG2492" s="421"/>
      <c r="AH2492" s="421"/>
      <c r="AI2492" s="421"/>
      <c r="AJ2492" s="421"/>
      <c r="AK2492" s="421"/>
      <c r="AL2492" s="421"/>
    </row>
    <row r="2493" spans="1:38" hidden="1">
      <c r="A2493" s="408"/>
      <c r="B2493" s="83" t="e">
        <f t="array" ref="B2493">SUM(--(FREQUENCY(IF(C$2:C$3072=C2493, MATCH(D$2:D$3072, D$2:D$3072, 0)), ROW(D$2:D$3072)-ROW(D$2)+1) &gt; 0))</f>
        <v>#N/A</v>
      </c>
      <c r="C2493" s="408"/>
      <c r="D2493" s="408"/>
      <c r="E2493" s="408"/>
      <c r="F2493" s="408"/>
      <c r="G2493" s="408"/>
      <c r="H2493" s="408"/>
      <c r="I2493" s="408"/>
      <c r="J2493" s="408"/>
      <c r="K2493" s="408"/>
      <c r="L2493" s="408"/>
      <c r="M2493" s="408"/>
      <c r="N2493" s="408" t="str">
        <f t="shared" si="465"/>
        <v/>
      </c>
      <c r="O2493" s="408"/>
      <c r="P2493" s="408"/>
      <c r="Q2493" s="408"/>
      <c r="R2493" s="408"/>
      <c r="S2493" s="408"/>
      <c r="T2493" s="408"/>
      <c r="U2493" s="408"/>
      <c r="V2493" s="421"/>
      <c r="W2493" s="421"/>
      <c r="X2493" s="421"/>
      <c r="Y2493" s="421"/>
      <c r="Z2493" s="421"/>
      <c r="AA2493" s="421"/>
      <c r="AB2493" s="421"/>
      <c r="AC2493" s="421"/>
      <c r="AD2493" s="421"/>
      <c r="AE2493" s="421"/>
      <c r="AF2493" s="421"/>
      <c r="AG2493" s="421"/>
      <c r="AH2493" s="421"/>
      <c r="AI2493" s="421"/>
      <c r="AJ2493" s="421"/>
      <c r="AK2493" s="421"/>
      <c r="AL2493" s="421"/>
    </row>
    <row r="2494" spans="1:38" hidden="1">
      <c r="A2494" s="408"/>
      <c r="B2494" s="83" t="e">
        <f t="array" ref="B2494">SUM(--(FREQUENCY(IF(C$2:C$3072=C2494, MATCH(D$2:D$3072, D$2:D$3072, 0)), ROW(D$2:D$3072)-ROW(D$2)+1) &gt; 0))</f>
        <v>#N/A</v>
      </c>
      <c r="C2494" s="408"/>
      <c r="D2494" s="408"/>
      <c r="E2494" s="408"/>
      <c r="F2494" s="408"/>
      <c r="G2494" s="408"/>
      <c r="H2494" s="408"/>
      <c r="I2494" s="408"/>
      <c r="J2494" s="408"/>
      <c r="K2494" s="408"/>
      <c r="L2494" s="408"/>
      <c r="M2494" s="408"/>
      <c r="N2494" s="408" t="str">
        <f t="shared" si="465"/>
        <v/>
      </c>
      <c r="O2494" s="408"/>
      <c r="P2494" s="408"/>
      <c r="Q2494" s="408"/>
      <c r="R2494" s="408"/>
      <c r="S2494" s="408"/>
      <c r="T2494" s="408"/>
      <c r="U2494" s="408"/>
      <c r="V2494" s="421"/>
      <c r="W2494" s="421"/>
      <c r="X2494" s="421"/>
      <c r="Y2494" s="421"/>
      <c r="Z2494" s="421"/>
      <c r="AA2494" s="421"/>
      <c r="AB2494" s="421"/>
      <c r="AC2494" s="421"/>
      <c r="AD2494" s="421"/>
      <c r="AE2494" s="421"/>
      <c r="AF2494" s="421"/>
      <c r="AG2494" s="421"/>
      <c r="AH2494" s="421"/>
      <c r="AI2494" s="421"/>
      <c r="AJ2494" s="421"/>
      <c r="AK2494" s="421"/>
      <c r="AL2494" s="421"/>
    </row>
    <row r="2495" spans="1:38" hidden="1">
      <c r="A2495" s="408"/>
      <c r="B2495" s="83" t="e">
        <f t="array" ref="B2495">SUM(--(FREQUENCY(IF(C$2:C$3072=C2495, MATCH(D$2:D$3072, D$2:D$3072, 0)), ROW(D$2:D$3072)-ROW(D$2)+1) &gt; 0))</f>
        <v>#N/A</v>
      </c>
      <c r="C2495" s="408"/>
      <c r="D2495" s="408"/>
      <c r="E2495" s="408"/>
      <c r="F2495" s="408"/>
      <c r="G2495" s="408"/>
      <c r="H2495" s="408"/>
      <c r="I2495" s="408"/>
      <c r="J2495" s="408"/>
      <c r="K2495" s="408"/>
      <c r="L2495" s="408"/>
      <c r="M2495" s="408"/>
      <c r="N2495" s="408" t="str">
        <f t="shared" si="465"/>
        <v/>
      </c>
      <c r="O2495" s="408"/>
      <c r="P2495" s="408"/>
      <c r="Q2495" s="408"/>
      <c r="R2495" s="408"/>
      <c r="S2495" s="408"/>
      <c r="T2495" s="408"/>
      <c r="U2495" s="408"/>
      <c r="V2495" s="421"/>
      <c r="W2495" s="421"/>
      <c r="X2495" s="421"/>
      <c r="Y2495" s="421"/>
      <c r="Z2495" s="421"/>
      <c r="AA2495" s="421"/>
      <c r="AB2495" s="421"/>
      <c r="AC2495" s="421"/>
      <c r="AD2495" s="421"/>
      <c r="AE2495" s="421"/>
      <c r="AF2495" s="421"/>
      <c r="AG2495" s="421"/>
      <c r="AH2495" s="421"/>
      <c r="AI2495" s="421"/>
      <c r="AJ2495" s="421"/>
      <c r="AK2495" s="421"/>
      <c r="AL2495" s="421"/>
    </row>
    <row r="2496" spans="1:38" hidden="1">
      <c r="A2496" s="408"/>
      <c r="B2496" s="83" t="e">
        <f t="array" ref="B2496">SUM(--(FREQUENCY(IF(C$2:C$3072=C2496, MATCH(D$2:D$3072, D$2:D$3072, 0)), ROW(D$2:D$3072)-ROW(D$2)+1) &gt; 0))</f>
        <v>#N/A</v>
      </c>
      <c r="C2496" s="408"/>
      <c r="D2496" s="408"/>
      <c r="E2496" s="408"/>
      <c r="F2496" s="408"/>
      <c r="G2496" s="408"/>
      <c r="H2496" s="408"/>
      <c r="I2496" s="408"/>
      <c r="J2496" s="408"/>
      <c r="K2496" s="408"/>
      <c r="L2496" s="408"/>
      <c r="M2496" s="408"/>
      <c r="N2496" s="408" t="str">
        <f t="shared" ref="N2496:N2559" si="466">IF(O2496&lt;&gt;"", "NG", "")</f>
        <v/>
      </c>
      <c r="O2496" s="408"/>
      <c r="P2496" s="408"/>
      <c r="Q2496" s="408"/>
      <c r="R2496" s="408"/>
      <c r="S2496" s="408"/>
      <c r="T2496" s="408"/>
      <c r="U2496" s="408"/>
      <c r="V2496" s="421"/>
      <c r="W2496" s="421"/>
      <c r="X2496" s="421"/>
      <c r="Y2496" s="421"/>
      <c r="Z2496" s="421"/>
      <c r="AA2496" s="421"/>
      <c r="AB2496" s="421"/>
      <c r="AC2496" s="421"/>
      <c r="AD2496" s="421"/>
      <c r="AE2496" s="421"/>
      <c r="AF2496" s="421"/>
      <c r="AG2496" s="421"/>
      <c r="AH2496" s="421"/>
      <c r="AI2496" s="421"/>
      <c r="AJ2496" s="421"/>
      <c r="AK2496" s="421"/>
      <c r="AL2496" s="421"/>
    </row>
    <row r="2497" spans="1:38" hidden="1">
      <c r="A2497" s="408"/>
      <c r="B2497" s="83" t="e">
        <f t="array" ref="B2497">SUM(--(FREQUENCY(IF(C$2:C$3072=C2497, MATCH(D$2:D$3072, D$2:D$3072, 0)), ROW(D$2:D$3072)-ROW(D$2)+1) &gt; 0))</f>
        <v>#N/A</v>
      </c>
      <c r="C2497" s="408"/>
      <c r="D2497" s="408"/>
      <c r="E2497" s="408"/>
      <c r="F2497" s="408"/>
      <c r="G2497" s="408"/>
      <c r="H2497" s="408"/>
      <c r="I2497" s="408"/>
      <c r="J2497" s="408"/>
      <c r="K2497" s="408"/>
      <c r="L2497" s="408"/>
      <c r="M2497" s="408"/>
      <c r="N2497" s="408" t="str">
        <f t="shared" si="466"/>
        <v/>
      </c>
      <c r="O2497" s="408"/>
      <c r="P2497" s="408"/>
      <c r="Q2497" s="408"/>
      <c r="R2497" s="408"/>
      <c r="S2497" s="408"/>
      <c r="T2497" s="408"/>
      <c r="U2497" s="408"/>
      <c r="V2497" s="421"/>
      <c r="W2497" s="421"/>
      <c r="X2497" s="421"/>
      <c r="Y2497" s="421"/>
      <c r="Z2497" s="421"/>
      <c r="AA2497" s="421"/>
      <c r="AB2497" s="421"/>
      <c r="AC2497" s="421"/>
      <c r="AD2497" s="421"/>
      <c r="AE2497" s="421"/>
      <c r="AF2497" s="421"/>
      <c r="AG2497" s="421"/>
      <c r="AH2497" s="421"/>
      <c r="AI2497" s="421"/>
      <c r="AJ2497" s="421"/>
      <c r="AK2497" s="421"/>
      <c r="AL2497" s="421"/>
    </row>
    <row r="2498" spans="1:38" hidden="1">
      <c r="A2498" s="408"/>
      <c r="B2498" s="83" t="e">
        <f t="array" ref="B2498">SUM(--(FREQUENCY(IF(C$2:C$3072=C2498, MATCH(D$2:D$3072, D$2:D$3072, 0)), ROW(D$2:D$3072)-ROW(D$2)+1) &gt; 0))</f>
        <v>#N/A</v>
      </c>
      <c r="C2498" s="408"/>
      <c r="D2498" s="408"/>
      <c r="E2498" s="408"/>
      <c r="F2498" s="408"/>
      <c r="G2498" s="408"/>
      <c r="H2498" s="408"/>
      <c r="I2498" s="408"/>
      <c r="J2498" s="408"/>
      <c r="K2498" s="408"/>
      <c r="L2498" s="408"/>
      <c r="M2498" s="408"/>
      <c r="N2498" s="408" t="str">
        <f t="shared" si="466"/>
        <v/>
      </c>
      <c r="O2498" s="408"/>
      <c r="P2498" s="408"/>
      <c r="Q2498" s="408"/>
      <c r="R2498" s="408"/>
      <c r="S2498" s="408"/>
      <c r="T2498" s="408"/>
      <c r="U2498" s="408"/>
      <c r="V2498" s="421"/>
      <c r="W2498" s="421"/>
      <c r="X2498" s="421"/>
      <c r="Y2498" s="421"/>
      <c r="Z2498" s="421"/>
      <c r="AA2498" s="421"/>
      <c r="AB2498" s="421"/>
      <c r="AC2498" s="421"/>
      <c r="AD2498" s="421"/>
      <c r="AE2498" s="421"/>
      <c r="AF2498" s="421"/>
      <c r="AG2498" s="421"/>
      <c r="AH2498" s="421"/>
      <c r="AI2498" s="421"/>
      <c r="AJ2498" s="421"/>
      <c r="AK2498" s="421"/>
      <c r="AL2498" s="421"/>
    </row>
    <row r="2499" spans="1:38" hidden="1">
      <c r="A2499" s="408"/>
      <c r="B2499" s="83" t="e">
        <f t="array" ref="B2499">SUM(--(FREQUENCY(IF(C$2:C$3072=C2499, MATCH(D$2:D$3072, D$2:D$3072, 0)), ROW(D$2:D$3072)-ROW(D$2)+1) &gt; 0))</f>
        <v>#N/A</v>
      </c>
      <c r="C2499" s="408"/>
      <c r="D2499" s="408"/>
      <c r="E2499" s="408"/>
      <c r="F2499" s="408"/>
      <c r="G2499" s="408"/>
      <c r="H2499" s="408"/>
      <c r="I2499" s="408"/>
      <c r="J2499" s="408"/>
      <c r="K2499" s="408"/>
      <c r="L2499" s="408"/>
      <c r="M2499" s="408"/>
      <c r="N2499" s="408" t="str">
        <f t="shared" si="466"/>
        <v/>
      </c>
      <c r="O2499" s="408"/>
      <c r="P2499" s="408"/>
      <c r="Q2499" s="408"/>
      <c r="R2499" s="408"/>
      <c r="S2499" s="408"/>
      <c r="T2499" s="408"/>
      <c r="U2499" s="408"/>
      <c r="V2499" s="421"/>
      <c r="W2499" s="421"/>
      <c r="X2499" s="421"/>
      <c r="Y2499" s="421"/>
      <c r="Z2499" s="421"/>
      <c r="AA2499" s="421"/>
      <c r="AB2499" s="421"/>
      <c r="AC2499" s="421"/>
      <c r="AD2499" s="421"/>
      <c r="AE2499" s="421"/>
      <c r="AF2499" s="421"/>
      <c r="AG2499" s="421"/>
      <c r="AH2499" s="421"/>
      <c r="AI2499" s="421"/>
      <c r="AJ2499" s="421"/>
      <c r="AK2499" s="421"/>
      <c r="AL2499" s="421"/>
    </row>
    <row r="2500" spans="1:38" hidden="1">
      <c r="A2500" s="408"/>
      <c r="B2500" s="83" t="e">
        <f t="array" ref="B2500">SUM(--(FREQUENCY(IF(C$2:C$3072=C2500, MATCH(D$2:D$3072, D$2:D$3072, 0)), ROW(D$2:D$3072)-ROW(D$2)+1) &gt; 0))</f>
        <v>#N/A</v>
      </c>
      <c r="C2500" s="408"/>
      <c r="D2500" s="408"/>
      <c r="E2500" s="408"/>
      <c r="F2500" s="408"/>
      <c r="G2500" s="408"/>
      <c r="H2500" s="408"/>
      <c r="I2500" s="408"/>
      <c r="J2500" s="408"/>
      <c r="K2500" s="408"/>
      <c r="L2500" s="408"/>
      <c r="M2500" s="408"/>
      <c r="N2500" s="408" t="str">
        <f t="shared" si="466"/>
        <v/>
      </c>
      <c r="O2500" s="408"/>
      <c r="P2500" s="408"/>
      <c r="Q2500" s="408"/>
      <c r="R2500" s="408"/>
      <c r="S2500" s="408"/>
      <c r="T2500" s="408"/>
      <c r="U2500" s="408"/>
      <c r="V2500" s="421"/>
      <c r="W2500" s="421"/>
      <c r="X2500" s="421"/>
      <c r="Y2500" s="421"/>
      <c r="Z2500" s="421"/>
      <c r="AA2500" s="421"/>
      <c r="AB2500" s="421"/>
      <c r="AC2500" s="421"/>
      <c r="AD2500" s="421"/>
      <c r="AE2500" s="421"/>
      <c r="AF2500" s="421"/>
      <c r="AG2500" s="421"/>
      <c r="AH2500" s="421"/>
      <c r="AI2500" s="421"/>
      <c r="AJ2500" s="421"/>
      <c r="AK2500" s="421"/>
      <c r="AL2500" s="421"/>
    </row>
    <row r="2501" spans="1:38" hidden="1">
      <c r="A2501" s="408"/>
      <c r="B2501" s="83" t="e">
        <f t="array" ref="B2501">SUM(--(FREQUENCY(IF(C$2:C$3072=C2501, MATCH(D$2:D$3072, D$2:D$3072, 0)), ROW(D$2:D$3072)-ROW(D$2)+1) &gt; 0))</f>
        <v>#N/A</v>
      </c>
      <c r="C2501" s="408"/>
      <c r="D2501" s="408"/>
      <c r="E2501" s="408"/>
      <c r="F2501" s="408"/>
      <c r="G2501" s="408"/>
      <c r="H2501" s="408"/>
      <c r="I2501" s="408"/>
      <c r="J2501" s="408"/>
      <c r="K2501" s="408"/>
      <c r="L2501" s="408"/>
      <c r="M2501" s="408"/>
      <c r="N2501" s="408" t="str">
        <f t="shared" si="466"/>
        <v/>
      </c>
      <c r="O2501" s="408"/>
      <c r="P2501" s="408"/>
      <c r="Q2501" s="408"/>
      <c r="R2501" s="408"/>
      <c r="S2501" s="408"/>
      <c r="T2501" s="408"/>
      <c r="U2501" s="408"/>
      <c r="V2501" s="421"/>
      <c r="W2501" s="421"/>
      <c r="X2501" s="421"/>
      <c r="Y2501" s="421"/>
      <c r="Z2501" s="421"/>
      <c r="AA2501" s="421"/>
      <c r="AB2501" s="421"/>
      <c r="AC2501" s="421"/>
      <c r="AD2501" s="421"/>
      <c r="AE2501" s="421"/>
      <c r="AF2501" s="421"/>
      <c r="AG2501" s="421"/>
      <c r="AH2501" s="421"/>
      <c r="AI2501" s="421"/>
      <c r="AJ2501" s="421"/>
      <c r="AK2501" s="421"/>
      <c r="AL2501" s="421"/>
    </row>
    <row r="2502" spans="1:38" hidden="1">
      <c r="A2502" s="408"/>
      <c r="B2502" s="83" t="e">
        <f t="array" ref="B2502">SUM(--(FREQUENCY(IF(C$2:C$3072=C2502, MATCH(D$2:D$3072, D$2:D$3072, 0)), ROW(D$2:D$3072)-ROW(D$2)+1) &gt; 0))</f>
        <v>#N/A</v>
      </c>
      <c r="C2502" s="408"/>
      <c r="D2502" s="408"/>
      <c r="E2502" s="408"/>
      <c r="F2502" s="408"/>
      <c r="G2502" s="408"/>
      <c r="H2502" s="408"/>
      <c r="I2502" s="408"/>
      <c r="J2502" s="408"/>
      <c r="K2502" s="408"/>
      <c r="L2502" s="408"/>
      <c r="M2502" s="408"/>
      <c r="N2502" s="408" t="str">
        <f t="shared" si="466"/>
        <v/>
      </c>
      <c r="O2502" s="408"/>
      <c r="P2502" s="408"/>
      <c r="Q2502" s="408"/>
      <c r="R2502" s="408"/>
      <c r="S2502" s="408"/>
      <c r="T2502" s="408"/>
      <c r="U2502" s="408"/>
      <c r="V2502" s="421"/>
      <c r="W2502" s="421"/>
      <c r="X2502" s="421"/>
      <c r="Y2502" s="421"/>
      <c r="Z2502" s="421"/>
      <c r="AA2502" s="421"/>
      <c r="AB2502" s="421"/>
      <c r="AC2502" s="421"/>
      <c r="AD2502" s="421"/>
      <c r="AE2502" s="421"/>
      <c r="AF2502" s="421"/>
      <c r="AG2502" s="421"/>
      <c r="AH2502" s="421"/>
      <c r="AI2502" s="421"/>
      <c r="AJ2502" s="421"/>
      <c r="AK2502" s="421"/>
      <c r="AL2502" s="421"/>
    </row>
    <row r="2503" spans="1:38" hidden="1">
      <c r="A2503" s="408"/>
      <c r="B2503" s="83" t="e">
        <f t="array" ref="B2503">SUM(--(FREQUENCY(IF(C$2:C$3072=C2503, MATCH(D$2:D$3072, D$2:D$3072, 0)), ROW(D$2:D$3072)-ROW(D$2)+1) &gt; 0))</f>
        <v>#N/A</v>
      </c>
      <c r="C2503" s="408"/>
      <c r="D2503" s="408"/>
      <c r="E2503" s="408"/>
      <c r="F2503" s="408"/>
      <c r="G2503" s="408"/>
      <c r="H2503" s="408"/>
      <c r="I2503" s="408"/>
      <c r="J2503" s="408"/>
      <c r="K2503" s="408"/>
      <c r="L2503" s="408"/>
      <c r="M2503" s="408"/>
      <c r="N2503" s="408" t="str">
        <f t="shared" si="466"/>
        <v/>
      </c>
      <c r="O2503" s="408"/>
      <c r="P2503" s="408"/>
      <c r="Q2503" s="408"/>
      <c r="R2503" s="408"/>
      <c r="S2503" s="408"/>
      <c r="T2503" s="408"/>
      <c r="U2503" s="408"/>
      <c r="V2503" s="421"/>
      <c r="W2503" s="421"/>
      <c r="X2503" s="421"/>
      <c r="Y2503" s="421"/>
      <c r="Z2503" s="421"/>
      <c r="AA2503" s="421"/>
      <c r="AB2503" s="421"/>
      <c r="AC2503" s="421"/>
      <c r="AD2503" s="421"/>
      <c r="AE2503" s="421"/>
      <c r="AF2503" s="421"/>
      <c r="AG2503" s="421"/>
      <c r="AH2503" s="421"/>
      <c r="AI2503" s="421"/>
      <c r="AJ2503" s="421"/>
      <c r="AK2503" s="421"/>
      <c r="AL2503" s="421"/>
    </row>
    <row r="2504" spans="1:38" hidden="1">
      <c r="A2504" s="408"/>
      <c r="B2504" s="83" t="e">
        <f t="array" ref="B2504">SUM(--(FREQUENCY(IF(C$2:C$3072=C2504, MATCH(D$2:D$3072, D$2:D$3072, 0)), ROW(D$2:D$3072)-ROW(D$2)+1) &gt; 0))</f>
        <v>#N/A</v>
      </c>
      <c r="C2504" s="408"/>
      <c r="D2504" s="408"/>
      <c r="E2504" s="408"/>
      <c r="F2504" s="408"/>
      <c r="G2504" s="408"/>
      <c r="H2504" s="408"/>
      <c r="I2504" s="408"/>
      <c r="J2504" s="408"/>
      <c r="K2504" s="408"/>
      <c r="L2504" s="408"/>
      <c r="M2504" s="408"/>
      <c r="N2504" s="408" t="str">
        <f t="shared" si="466"/>
        <v/>
      </c>
      <c r="O2504" s="408"/>
      <c r="P2504" s="408"/>
      <c r="Q2504" s="408"/>
      <c r="R2504" s="408"/>
      <c r="S2504" s="408"/>
      <c r="T2504" s="408"/>
      <c r="U2504" s="408"/>
      <c r="V2504" s="421"/>
      <c r="W2504" s="421"/>
      <c r="X2504" s="421"/>
      <c r="Y2504" s="421"/>
      <c r="Z2504" s="421"/>
      <c r="AA2504" s="421"/>
      <c r="AB2504" s="421"/>
      <c r="AC2504" s="421"/>
      <c r="AD2504" s="421"/>
      <c r="AE2504" s="421"/>
      <c r="AF2504" s="421"/>
      <c r="AG2504" s="421"/>
      <c r="AH2504" s="421"/>
      <c r="AI2504" s="421"/>
      <c r="AJ2504" s="421"/>
      <c r="AK2504" s="421"/>
      <c r="AL2504" s="421"/>
    </row>
    <row r="2505" spans="1:38" hidden="1">
      <c r="A2505" s="408"/>
      <c r="B2505" s="83" t="e">
        <f t="array" ref="B2505">SUM(--(FREQUENCY(IF(C$2:C$3072=C2505, MATCH(D$2:D$3072, D$2:D$3072, 0)), ROW(D$2:D$3072)-ROW(D$2)+1) &gt; 0))</f>
        <v>#N/A</v>
      </c>
      <c r="C2505" s="408"/>
      <c r="D2505" s="408"/>
      <c r="E2505" s="408"/>
      <c r="F2505" s="408"/>
      <c r="G2505" s="408"/>
      <c r="H2505" s="408"/>
      <c r="I2505" s="408"/>
      <c r="J2505" s="408"/>
      <c r="K2505" s="408"/>
      <c r="L2505" s="408"/>
      <c r="M2505" s="408"/>
      <c r="N2505" s="408" t="str">
        <f t="shared" si="466"/>
        <v/>
      </c>
      <c r="O2505" s="408"/>
      <c r="P2505" s="408"/>
      <c r="Q2505" s="408"/>
      <c r="R2505" s="408"/>
      <c r="S2505" s="408"/>
      <c r="T2505" s="408"/>
      <c r="U2505" s="408"/>
      <c r="V2505" s="421"/>
      <c r="W2505" s="421"/>
      <c r="X2505" s="421"/>
      <c r="Y2505" s="421"/>
      <c r="Z2505" s="421"/>
      <c r="AA2505" s="421"/>
      <c r="AB2505" s="421"/>
      <c r="AC2505" s="421"/>
      <c r="AD2505" s="421"/>
      <c r="AE2505" s="421"/>
      <c r="AF2505" s="421"/>
      <c r="AG2505" s="421"/>
      <c r="AH2505" s="421"/>
      <c r="AI2505" s="421"/>
      <c r="AJ2505" s="421"/>
      <c r="AK2505" s="421"/>
      <c r="AL2505" s="421"/>
    </row>
    <row r="2506" spans="1:38" hidden="1">
      <c r="A2506" s="408"/>
      <c r="B2506" s="83" t="e">
        <f t="array" ref="B2506">SUM(--(FREQUENCY(IF(C$2:C$3072=C2506, MATCH(D$2:D$3072, D$2:D$3072, 0)), ROW(D$2:D$3072)-ROW(D$2)+1) &gt; 0))</f>
        <v>#N/A</v>
      </c>
      <c r="C2506" s="408"/>
      <c r="D2506" s="408"/>
      <c r="E2506" s="408"/>
      <c r="F2506" s="408"/>
      <c r="G2506" s="408"/>
      <c r="H2506" s="408"/>
      <c r="I2506" s="408"/>
      <c r="J2506" s="408"/>
      <c r="K2506" s="408"/>
      <c r="L2506" s="408"/>
      <c r="M2506" s="408"/>
      <c r="N2506" s="408" t="str">
        <f t="shared" si="466"/>
        <v/>
      </c>
      <c r="O2506" s="408"/>
      <c r="P2506" s="408"/>
      <c r="Q2506" s="408"/>
      <c r="R2506" s="408"/>
      <c r="S2506" s="408"/>
      <c r="T2506" s="408"/>
      <c r="U2506" s="408"/>
      <c r="V2506" s="421"/>
      <c r="W2506" s="421"/>
      <c r="X2506" s="421"/>
      <c r="Y2506" s="421"/>
      <c r="Z2506" s="421"/>
      <c r="AA2506" s="421"/>
      <c r="AB2506" s="421"/>
      <c r="AC2506" s="421"/>
      <c r="AD2506" s="421"/>
      <c r="AE2506" s="421"/>
      <c r="AF2506" s="421"/>
      <c r="AG2506" s="421"/>
      <c r="AH2506" s="421"/>
      <c r="AI2506" s="421"/>
      <c r="AJ2506" s="421"/>
      <c r="AK2506" s="421"/>
      <c r="AL2506" s="421"/>
    </row>
    <row r="2507" spans="1:38" hidden="1">
      <c r="A2507" s="408"/>
      <c r="B2507" s="83" t="e">
        <f t="array" ref="B2507">SUM(--(FREQUENCY(IF(C$2:C$3072=C2507, MATCH(D$2:D$3072, D$2:D$3072, 0)), ROW(D$2:D$3072)-ROW(D$2)+1) &gt; 0))</f>
        <v>#N/A</v>
      </c>
      <c r="C2507" s="408"/>
      <c r="D2507" s="408"/>
      <c r="E2507" s="408"/>
      <c r="F2507" s="408"/>
      <c r="G2507" s="408"/>
      <c r="H2507" s="408"/>
      <c r="I2507" s="408"/>
      <c r="J2507" s="408"/>
      <c r="K2507" s="408"/>
      <c r="L2507" s="408"/>
      <c r="M2507" s="408"/>
      <c r="N2507" s="408" t="str">
        <f t="shared" si="466"/>
        <v/>
      </c>
      <c r="O2507" s="408"/>
      <c r="P2507" s="408"/>
      <c r="Q2507" s="408"/>
      <c r="R2507" s="408"/>
      <c r="S2507" s="408"/>
      <c r="T2507" s="408"/>
      <c r="U2507" s="408"/>
      <c r="V2507" s="421"/>
      <c r="W2507" s="421"/>
      <c r="X2507" s="421"/>
      <c r="Y2507" s="421"/>
      <c r="Z2507" s="421"/>
      <c r="AA2507" s="421"/>
      <c r="AB2507" s="421"/>
      <c r="AC2507" s="421"/>
      <c r="AD2507" s="421"/>
      <c r="AE2507" s="421"/>
      <c r="AF2507" s="421"/>
      <c r="AG2507" s="421"/>
      <c r="AH2507" s="421"/>
      <c r="AI2507" s="421"/>
      <c r="AJ2507" s="421"/>
      <c r="AK2507" s="421"/>
      <c r="AL2507" s="421"/>
    </row>
    <row r="2508" spans="1:38" hidden="1">
      <c r="A2508" s="408"/>
      <c r="B2508" s="83" t="e">
        <f t="array" ref="B2508">SUM(--(FREQUENCY(IF(C$2:C$3072=C2508, MATCH(D$2:D$3072, D$2:D$3072, 0)), ROW(D$2:D$3072)-ROW(D$2)+1) &gt; 0))</f>
        <v>#N/A</v>
      </c>
      <c r="C2508" s="408"/>
      <c r="D2508" s="408"/>
      <c r="E2508" s="408"/>
      <c r="F2508" s="408"/>
      <c r="G2508" s="408"/>
      <c r="H2508" s="408"/>
      <c r="I2508" s="408"/>
      <c r="J2508" s="408"/>
      <c r="K2508" s="408"/>
      <c r="L2508" s="408"/>
      <c r="M2508" s="408"/>
      <c r="N2508" s="408" t="str">
        <f t="shared" si="466"/>
        <v/>
      </c>
      <c r="O2508" s="408"/>
      <c r="P2508" s="408"/>
      <c r="Q2508" s="408"/>
      <c r="R2508" s="408"/>
      <c r="S2508" s="408"/>
      <c r="T2508" s="408"/>
      <c r="U2508" s="408"/>
      <c r="V2508" s="421"/>
      <c r="W2508" s="421"/>
      <c r="X2508" s="421"/>
      <c r="Y2508" s="421"/>
      <c r="Z2508" s="421"/>
      <c r="AA2508" s="421"/>
      <c r="AB2508" s="421"/>
      <c r="AC2508" s="421"/>
      <c r="AD2508" s="421"/>
      <c r="AE2508" s="421"/>
      <c r="AF2508" s="421"/>
      <c r="AG2508" s="421"/>
      <c r="AH2508" s="421"/>
      <c r="AI2508" s="421"/>
      <c r="AJ2508" s="421"/>
      <c r="AK2508" s="421"/>
      <c r="AL2508" s="421"/>
    </row>
    <row r="2509" spans="1:38" hidden="1">
      <c r="A2509" s="408"/>
      <c r="B2509" s="83" t="e">
        <f t="array" ref="B2509">SUM(--(FREQUENCY(IF(C$2:C$3072=C2509, MATCH(D$2:D$3072, D$2:D$3072, 0)), ROW(D$2:D$3072)-ROW(D$2)+1) &gt; 0))</f>
        <v>#N/A</v>
      </c>
      <c r="C2509" s="408"/>
      <c r="D2509" s="408"/>
      <c r="E2509" s="408"/>
      <c r="F2509" s="408"/>
      <c r="G2509" s="408"/>
      <c r="H2509" s="408"/>
      <c r="I2509" s="408"/>
      <c r="J2509" s="408"/>
      <c r="K2509" s="408"/>
      <c r="L2509" s="408"/>
      <c r="M2509" s="408"/>
      <c r="N2509" s="408" t="str">
        <f t="shared" si="466"/>
        <v/>
      </c>
      <c r="O2509" s="408"/>
      <c r="P2509" s="408"/>
      <c r="Q2509" s="408"/>
      <c r="R2509" s="408"/>
      <c r="S2509" s="408"/>
      <c r="T2509" s="408"/>
      <c r="U2509" s="408"/>
      <c r="V2509" s="421"/>
      <c r="W2509" s="421"/>
      <c r="X2509" s="421"/>
      <c r="Y2509" s="421"/>
      <c r="Z2509" s="421"/>
      <c r="AA2509" s="421"/>
      <c r="AB2509" s="421"/>
      <c r="AC2509" s="421"/>
      <c r="AD2509" s="421"/>
      <c r="AE2509" s="421"/>
      <c r="AF2509" s="421"/>
      <c r="AG2509" s="421"/>
      <c r="AH2509" s="421"/>
      <c r="AI2509" s="421"/>
      <c r="AJ2509" s="421"/>
      <c r="AK2509" s="421"/>
      <c r="AL2509" s="421"/>
    </row>
    <row r="2510" spans="1:38" hidden="1">
      <c r="A2510" s="408"/>
      <c r="B2510" s="83" t="e">
        <f t="array" ref="B2510">SUM(--(FREQUENCY(IF(C$2:C$3072=C2510, MATCH(D$2:D$3072, D$2:D$3072, 0)), ROW(D$2:D$3072)-ROW(D$2)+1) &gt; 0))</f>
        <v>#N/A</v>
      </c>
      <c r="C2510" s="408"/>
      <c r="D2510" s="408"/>
      <c r="E2510" s="408"/>
      <c r="F2510" s="408"/>
      <c r="G2510" s="408"/>
      <c r="H2510" s="408"/>
      <c r="I2510" s="408"/>
      <c r="J2510" s="408"/>
      <c r="K2510" s="408"/>
      <c r="L2510" s="408"/>
      <c r="M2510" s="408"/>
      <c r="N2510" s="408" t="str">
        <f t="shared" si="466"/>
        <v/>
      </c>
      <c r="O2510" s="408"/>
      <c r="P2510" s="408"/>
      <c r="Q2510" s="408"/>
      <c r="R2510" s="408"/>
      <c r="S2510" s="408"/>
      <c r="T2510" s="408"/>
      <c r="U2510" s="408"/>
      <c r="V2510" s="421"/>
      <c r="W2510" s="421"/>
      <c r="X2510" s="421"/>
      <c r="Y2510" s="421"/>
      <c r="Z2510" s="421"/>
      <c r="AA2510" s="421"/>
      <c r="AB2510" s="421"/>
      <c r="AC2510" s="421"/>
      <c r="AD2510" s="421"/>
      <c r="AE2510" s="421"/>
      <c r="AF2510" s="421"/>
      <c r="AG2510" s="421"/>
      <c r="AH2510" s="421"/>
      <c r="AI2510" s="421"/>
      <c r="AJ2510" s="421"/>
      <c r="AK2510" s="421"/>
      <c r="AL2510" s="421"/>
    </row>
    <row r="2511" spans="1:38" hidden="1">
      <c r="A2511" s="408"/>
      <c r="B2511" s="83" t="e">
        <f t="array" ref="B2511">SUM(--(FREQUENCY(IF(C$2:C$3072=C2511, MATCH(D$2:D$3072, D$2:D$3072, 0)), ROW(D$2:D$3072)-ROW(D$2)+1) &gt; 0))</f>
        <v>#N/A</v>
      </c>
      <c r="C2511" s="408"/>
      <c r="D2511" s="408"/>
      <c r="E2511" s="408"/>
      <c r="F2511" s="408"/>
      <c r="G2511" s="408"/>
      <c r="H2511" s="408"/>
      <c r="I2511" s="408"/>
      <c r="J2511" s="408"/>
      <c r="K2511" s="408"/>
      <c r="L2511" s="408"/>
      <c r="M2511" s="408"/>
      <c r="N2511" s="408" t="str">
        <f t="shared" si="466"/>
        <v/>
      </c>
      <c r="O2511" s="408"/>
      <c r="P2511" s="408"/>
      <c r="Q2511" s="408"/>
      <c r="R2511" s="408"/>
      <c r="S2511" s="408"/>
      <c r="T2511" s="408"/>
      <c r="U2511" s="408"/>
      <c r="V2511" s="421"/>
      <c r="W2511" s="421"/>
      <c r="X2511" s="421"/>
      <c r="Y2511" s="421"/>
      <c r="Z2511" s="421"/>
      <c r="AA2511" s="421"/>
      <c r="AB2511" s="421"/>
      <c r="AC2511" s="421"/>
      <c r="AD2511" s="421"/>
      <c r="AE2511" s="421"/>
      <c r="AF2511" s="421"/>
      <c r="AG2511" s="421"/>
      <c r="AH2511" s="421"/>
      <c r="AI2511" s="421"/>
      <c r="AJ2511" s="421"/>
      <c r="AK2511" s="421"/>
      <c r="AL2511" s="421"/>
    </row>
    <row r="2512" spans="1:38" hidden="1">
      <c r="A2512" s="408"/>
      <c r="B2512" s="83" t="e">
        <f t="array" ref="B2512">SUM(--(FREQUENCY(IF(C$2:C$3072=C2512, MATCH(D$2:D$3072, D$2:D$3072, 0)), ROW(D$2:D$3072)-ROW(D$2)+1) &gt; 0))</f>
        <v>#N/A</v>
      </c>
      <c r="C2512" s="408"/>
      <c r="D2512" s="408"/>
      <c r="E2512" s="408"/>
      <c r="F2512" s="408"/>
      <c r="G2512" s="408"/>
      <c r="H2512" s="408"/>
      <c r="I2512" s="408"/>
      <c r="J2512" s="408"/>
      <c r="K2512" s="408"/>
      <c r="L2512" s="408"/>
      <c r="M2512" s="408"/>
      <c r="N2512" s="408" t="str">
        <f t="shared" si="466"/>
        <v/>
      </c>
      <c r="O2512" s="408"/>
      <c r="P2512" s="408"/>
      <c r="Q2512" s="408"/>
      <c r="R2512" s="408"/>
      <c r="S2512" s="408"/>
      <c r="T2512" s="408"/>
      <c r="U2512" s="408"/>
      <c r="V2512" s="421"/>
      <c r="W2512" s="421"/>
      <c r="X2512" s="421"/>
      <c r="Y2512" s="421"/>
      <c r="Z2512" s="421"/>
      <c r="AA2512" s="421"/>
      <c r="AB2512" s="421"/>
      <c r="AC2512" s="421"/>
      <c r="AD2512" s="421"/>
      <c r="AE2512" s="421"/>
      <c r="AF2512" s="421"/>
      <c r="AG2512" s="421"/>
      <c r="AH2512" s="421"/>
      <c r="AI2512" s="421"/>
      <c r="AJ2512" s="421"/>
      <c r="AK2512" s="421"/>
      <c r="AL2512" s="421"/>
    </row>
    <row r="2513" spans="1:38" hidden="1">
      <c r="A2513" s="408"/>
      <c r="B2513" s="83" t="e">
        <f t="array" ref="B2513">SUM(--(FREQUENCY(IF(C$2:C$3072=C2513, MATCH(D$2:D$3072, D$2:D$3072, 0)), ROW(D$2:D$3072)-ROW(D$2)+1) &gt; 0))</f>
        <v>#N/A</v>
      </c>
      <c r="C2513" s="408"/>
      <c r="D2513" s="408"/>
      <c r="E2513" s="408"/>
      <c r="F2513" s="408"/>
      <c r="G2513" s="408"/>
      <c r="H2513" s="408"/>
      <c r="I2513" s="408"/>
      <c r="J2513" s="408"/>
      <c r="K2513" s="408"/>
      <c r="L2513" s="408"/>
      <c r="M2513" s="408"/>
      <c r="N2513" s="408" t="str">
        <f t="shared" si="466"/>
        <v/>
      </c>
      <c r="O2513" s="408"/>
      <c r="P2513" s="408"/>
      <c r="Q2513" s="408"/>
      <c r="R2513" s="408"/>
      <c r="S2513" s="408"/>
      <c r="T2513" s="408"/>
      <c r="U2513" s="408"/>
      <c r="V2513" s="421"/>
      <c r="W2513" s="421"/>
      <c r="X2513" s="421"/>
      <c r="Y2513" s="421"/>
      <c r="Z2513" s="421"/>
      <c r="AA2513" s="421"/>
      <c r="AB2513" s="421"/>
      <c r="AC2513" s="421"/>
      <c r="AD2513" s="421"/>
      <c r="AE2513" s="421"/>
      <c r="AF2513" s="421"/>
      <c r="AG2513" s="421"/>
      <c r="AH2513" s="421"/>
      <c r="AI2513" s="421"/>
      <c r="AJ2513" s="421"/>
      <c r="AK2513" s="421"/>
      <c r="AL2513" s="421"/>
    </row>
    <row r="2514" spans="1:38" hidden="1">
      <c r="A2514" s="408"/>
      <c r="B2514" s="83" t="e">
        <f t="array" ref="B2514">SUM(--(FREQUENCY(IF(C$2:C$3072=C2514, MATCH(D$2:D$3072, D$2:D$3072, 0)), ROW(D$2:D$3072)-ROW(D$2)+1) &gt; 0))</f>
        <v>#N/A</v>
      </c>
      <c r="C2514" s="408"/>
      <c r="D2514" s="408"/>
      <c r="E2514" s="408"/>
      <c r="F2514" s="408"/>
      <c r="G2514" s="408"/>
      <c r="H2514" s="408"/>
      <c r="I2514" s="408"/>
      <c r="J2514" s="408"/>
      <c r="K2514" s="408"/>
      <c r="L2514" s="408"/>
      <c r="M2514" s="408"/>
      <c r="N2514" s="408" t="str">
        <f t="shared" si="466"/>
        <v/>
      </c>
      <c r="O2514" s="408"/>
      <c r="P2514" s="408"/>
      <c r="Q2514" s="408"/>
      <c r="R2514" s="408"/>
      <c r="S2514" s="408"/>
      <c r="T2514" s="408"/>
      <c r="U2514" s="408"/>
      <c r="V2514" s="421"/>
      <c r="W2514" s="421"/>
      <c r="X2514" s="421"/>
      <c r="Y2514" s="421"/>
      <c r="Z2514" s="421"/>
      <c r="AA2514" s="421"/>
      <c r="AB2514" s="421"/>
      <c r="AC2514" s="421"/>
      <c r="AD2514" s="421"/>
      <c r="AE2514" s="421"/>
      <c r="AF2514" s="421"/>
      <c r="AG2514" s="421"/>
      <c r="AH2514" s="421"/>
      <c r="AI2514" s="421"/>
      <c r="AJ2514" s="421"/>
      <c r="AK2514" s="421"/>
      <c r="AL2514" s="421"/>
    </row>
    <row r="2515" spans="1:38" hidden="1">
      <c r="A2515" s="408"/>
      <c r="B2515" s="83" t="e">
        <f t="array" ref="B2515">SUM(--(FREQUENCY(IF(C$2:C$3072=C2515, MATCH(D$2:D$3072, D$2:D$3072, 0)), ROW(D$2:D$3072)-ROW(D$2)+1) &gt; 0))</f>
        <v>#N/A</v>
      </c>
      <c r="C2515" s="408"/>
      <c r="D2515" s="408"/>
      <c r="E2515" s="408"/>
      <c r="F2515" s="408"/>
      <c r="G2515" s="408"/>
      <c r="H2515" s="408"/>
      <c r="I2515" s="408"/>
      <c r="J2515" s="408"/>
      <c r="K2515" s="408"/>
      <c r="L2515" s="408"/>
      <c r="M2515" s="408"/>
      <c r="N2515" s="408" t="str">
        <f t="shared" si="466"/>
        <v/>
      </c>
      <c r="O2515" s="408"/>
      <c r="P2515" s="408"/>
      <c r="Q2515" s="408"/>
      <c r="R2515" s="408"/>
      <c r="S2515" s="408"/>
      <c r="T2515" s="408"/>
      <c r="U2515" s="408"/>
      <c r="V2515" s="421"/>
      <c r="W2515" s="421"/>
      <c r="X2515" s="421"/>
      <c r="Y2515" s="421"/>
      <c r="Z2515" s="421"/>
      <c r="AA2515" s="421"/>
      <c r="AB2515" s="421"/>
      <c r="AC2515" s="421"/>
      <c r="AD2515" s="421"/>
      <c r="AE2515" s="421"/>
      <c r="AF2515" s="421"/>
      <c r="AG2515" s="421"/>
      <c r="AH2515" s="421"/>
      <c r="AI2515" s="421"/>
      <c r="AJ2515" s="421"/>
      <c r="AK2515" s="421"/>
      <c r="AL2515" s="421"/>
    </row>
    <row r="2516" spans="1:38" hidden="1">
      <c r="A2516" s="408"/>
      <c r="B2516" s="83" t="e">
        <f t="array" ref="B2516">SUM(--(FREQUENCY(IF(C$2:C$3072=C2516, MATCH(D$2:D$3072, D$2:D$3072, 0)), ROW(D$2:D$3072)-ROW(D$2)+1) &gt; 0))</f>
        <v>#N/A</v>
      </c>
      <c r="C2516" s="408"/>
      <c r="D2516" s="408"/>
      <c r="E2516" s="408"/>
      <c r="F2516" s="408"/>
      <c r="G2516" s="408"/>
      <c r="H2516" s="408"/>
      <c r="I2516" s="408"/>
      <c r="J2516" s="408"/>
      <c r="K2516" s="408"/>
      <c r="L2516" s="408"/>
      <c r="M2516" s="408"/>
      <c r="N2516" s="408" t="str">
        <f t="shared" si="466"/>
        <v/>
      </c>
      <c r="O2516" s="408"/>
      <c r="P2516" s="408"/>
      <c r="Q2516" s="408"/>
      <c r="R2516" s="408"/>
      <c r="S2516" s="408"/>
      <c r="T2516" s="408"/>
      <c r="U2516" s="408"/>
      <c r="V2516" s="421"/>
      <c r="W2516" s="421"/>
      <c r="X2516" s="421"/>
      <c r="Y2516" s="421"/>
      <c r="Z2516" s="421"/>
      <c r="AA2516" s="421"/>
      <c r="AB2516" s="421"/>
      <c r="AC2516" s="421"/>
      <c r="AD2516" s="421"/>
      <c r="AE2516" s="421"/>
      <c r="AF2516" s="421"/>
      <c r="AG2516" s="421"/>
      <c r="AH2516" s="421"/>
      <c r="AI2516" s="421"/>
      <c r="AJ2516" s="421"/>
      <c r="AK2516" s="421"/>
      <c r="AL2516" s="421"/>
    </row>
    <row r="2517" spans="1:38" hidden="1">
      <c r="A2517" s="408"/>
      <c r="B2517" s="83" t="e">
        <f t="array" ref="B2517">SUM(--(FREQUENCY(IF(C$2:C$3072=C2517, MATCH(D$2:D$3072, D$2:D$3072, 0)), ROW(D$2:D$3072)-ROW(D$2)+1) &gt; 0))</f>
        <v>#N/A</v>
      </c>
      <c r="C2517" s="408"/>
      <c r="D2517" s="408"/>
      <c r="E2517" s="408"/>
      <c r="F2517" s="408"/>
      <c r="G2517" s="408"/>
      <c r="H2517" s="408"/>
      <c r="I2517" s="408"/>
      <c r="J2517" s="408"/>
      <c r="K2517" s="408"/>
      <c r="L2517" s="408"/>
      <c r="M2517" s="408"/>
      <c r="N2517" s="408" t="str">
        <f t="shared" si="466"/>
        <v/>
      </c>
      <c r="O2517" s="408"/>
      <c r="P2517" s="408"/>
      <c r="Q2517" s="408"/>
      <c r="R2517" s="408"/>
      <c r="S2517" s="408"/>
      <c r="T2517" s="408"/>
      <c r="U2517" s="408"/>
      <c r="V2517" s="421"/>
      <c r="W2517" s="421"/>
      <c r="X2517" s="421"/>
      <c r="Y2517" s="421"/>
      <c r="Z2517" s="421"/>
      <c r="AA2517" s="421"/>
      <c r="AB2517" s="421"/>
      <c r="AC2517" s="421"/>
      <c r="AD2517" s="421"/>
      <c r="AE2517" s="421"/>
      <c r="AF2517" s="421"/>
      <c r="AG2517" s="421"/>
      <c r="AH2517" s="421"/>
      <c r="AI2517" s="421"/>
      <c r="AJ2517" s="421"/>
      <c r="AK2517" s="421"/>
      <c r="AL2517" s="421"/>
    </row>
    <row r="2518" spans="1:38" hidden="1">
      <c r="A2518" s="408"/>
      <c r="B2518" s="83" t="e">
        <f t="array" ref="B2518">SUM(--(FREQUENCY(IF(C$2:C$3072=C2518, MATCH(D$2:D$3072, D$2:D$3072, 0)), ROW(D$2:D$3072)-ROW(D$2)+1) &gt; 0))</f>
        <v>#N/A</v>
      </c>
      <c r="C2518" s="408"/>
      <c r="D2518" s="408"/>
      <c r="E2518" s="408"/>
      <c r="F2518" s="408"/>
      <c r="G2518" s="408"/>
      <c r="H2518" s="408"/>
      <c r="I2518" s="408"/>
      <c r="J2518" s="408"/>
      <c r="K2518" s="408"/>
      <c r="L2518" s="408"/>
      <c r="M2518" s="408"/>
      <c r="N2518" s="408" t="str">
        <f t="shared" si="466"/>
        <v/>
      </c>
      <c r="O2518" s="408"/>
      <c r="P2518" s="408"/>
      <c r="Q2518" s="408"/>
      <c r="R2518" s="408"/>
      <c r="S2518" s="408"/>
      <c r="T2518" s="408"/>
      <c r="U2518" s="408"/>
      <c r="V2518" s="421"/>
      <c r="W2518" s="421"/>
      <c r="X2518" s="421"/>
      <c r="Y2518" s="421"/>
      <c r="Z2518" s="421"/>
      <c r="AA2518" s="421"/>
      <c r="AB2518" s="421"/>
      <c r="AC2518" s="421"/>
      <c r="AD2518" s="421"/>
      <c r="AE2518" s="421"/>
      <c r="AF2518" s="421"/>
      <c r="AG2518" s="421"/>
      <c r="AH2518" s="421"/>
      <c r="AI2518" s="421"/>
      <c r="AJ2518" s="421"/>
      <c r="AK2518" s="421"/>
      <c r="AL2518" s="421"/>
    </row>
    <row r="2519" spans="1:38" hidden="1">
      <c r="A2519" s="408"/>
      <c r="B2519" s="83" t="e">
        <f t="array" ref="B2519">SUM(--(FREQUENCY(IF(C$2:C$3072=C2519, MATCH(D$2:D$3072, D$2:D$3072, 0)), ROW(D$2:D$3072)-ROW(D$2)+1) &gt; 0))</f>
        <v>#N/A</v>
      </c>
      <c r="C2519" s="408"/>
      <c r="D2519" s="408"/>
      <c r="E2519" s="408"/>
      <c r="F2519" s="408"/>
      <c r="G2519" s="408"/>
      <c r="H2519" s="408"/>
      <c r="I2519" s="408"/>
      <c r="J2519" s="408"/>
      <c r="K2519" s="408"/>
      <c r="L2519" s="408"/>
      <c r="M2519" s="408"/>
      <c r="N2519" s="408" t="str">
        <f t="shared" si="466"/>
        <v/>
      </c>
      <c r="O2519" s="408"/>
      <c r="P2519" s="408"/>
      <c r="Q2519" s="408"/>
      <c r="R2519" s="408"/>
      <c r="S2519" s="408"/>
      <c r="T2519" s="408"/>
      <c r="U2519" s="408"/>
      <c r="V2519" s="421"/>
      <c r="W2519" s="421"/>
      <c r="X2519" s="421"/>
      <c r="Y2519" s="421"/>
      <c r="Z2519" s="421"/>
      <c r="AA2519" s="421"/>
      <c r="AB2519" s="421"/>
      <c r="AC2519" s="421"/>
      <c r="AD2519" s="421"/>
      <c r="AE2519" s="421"/>
      <c r="AF2519" s="421"/>
      <c r="AG2519" s="421"/>
      <c r="AH2519" s="421"/>
      <c r="AI2519" s="421"/>
      <c r="AJ2519" s="421"/>
      <c r="AK2519" s="421"/>
      <c r="AL2519" s="421"/>
    </row>
    <row r="2520" spans="1:38" hidden="1">
      <c r="A2520" s="408"/>
      <c r="B2520" s="83" t="e">
        <f t="array" ref="B2520">SUM(--(FREQUENCY(IF(C$2:C$3072=C2520, MATCH(D$2:D$3072, D$2:D$3072, 0)), ROW(D$2:D$3072)-ROW(D$2)+1) &gt; 0))</f>
        <v>#N/A</v>
      </c>
      <c r="C2520" s="408"/>
      <c r="D2520" s="408"/>
      <c r="E2520" s="408"/>
      <c r="F2520" s="408"/>
      <c r="G2520" s="408"/>
      <c r="H2520" s="408"/>
      <c r="I2520" s="408"/>
      <c r="J2520" s="408"/>
      <c r="K2520" s="408"/>
      <c r="L2520" s="408"/>
      <c r="M2520" s="408"/>
      <c r="N2520" s="408" t="str">
        <f t="shared" si="466"/>
        <v/>
      </c>
      <c r="O2520" s="408"/>
      <c r="P2520" s="408"/>
      <c r="Q2520" s="408"/>
      <c r="R2520" s="408"/>
      <c r="S2520" s="408"/>
      <c r="T2520" s="408"/>
      <c r="U2520" s="408"/>
      <c r="V2520" s="421"/>
      <c r="W2520" s="421"/>
      <c r="X2520" s="421"/>
      <c r="Y2520" s="421"/>
      <c r="Z2520" s="421"/>
      <c r="AA2520" s="421"/>
      <c r="AB2520" s="421"/>
      <c r="AC2520" s="421"/>
      <c r="AD2520" s="421"/>
      <c r="AE2520" s="421"/>
      <c r="AF2520" s="421"/>
      <c r="AG2520" s="421"/>
      <c r="AH2520" s="421"/>
      <c r="AI2520" s="421"/>
      <c r="AJ2520" s="421"/>
      <c r="AK2520" s="421"/>
      <c r="AL2520" s="421"/>
    </row>
    <row r="2521" spans="1:38" hidden="1">
      <c r="A2521" s="408"/>
      <c r="B2521" s="83" t="e">
        <f t="array" ref="B2521">SUM(--(FREQUENCY(IF(C$2:C$3072=C2521, MATCH(D$2:D$3072, D$2:D$3072, 0)), ROW(D$2:D$3072)-ROW(D$2)+1) &gt; 0))</f>
        <v>#N/A</v>
      </c>
      <c r="C2521" s="408"/>
      <c r="D2521" s="408"/>
      <c r="E2521" s="408"/>
      <c r="F2521" s="408"/>
      <c r="G2521" s="408"/>
      <c r="H2521" s="408"/>
      <c r="I2521" s="408"/>
      <c r="J2521" s="408"/>
      <c r="K2521" s="408"/>
      <c r="L2521" s="408"/>
      <c r="M2521" s="408"/>
      <c r="N2521" s="408" t="str">
        <f t="shared" si="466"/>
        <v/>
      </c>
      <c r="O2521" s="408"/>
      <c r="P2521" s="408"/>
      <c r="Q2521" s="408"/>
      <c r="R2521" s="408"/>
      <c r="S2521" s="408"/>
      <c r="T2521" s="408"/>
      <c r="U2521" s="408"/>
      <c r="V2521" s="421"/>
      <c r="W2521" s="421"/>
      <c r="X2521" s="421"/>
      <c r="Y2521" s="421"/>
      <c r="Z2521" s="421"/>
      <c r="AA2521" s="421"/>
      <c r="AB2521" s="421"/>
      <c r="AC2521" s="421"/>
      <c r="AD2521" s="421"/>
      <c r="AE2521" s="421"/>
      <c r="AF2521" s="421"/>
      <c r="AG2521" s="421"/>
      <c r="AH2521" s="421"/>
      <c r="AI2521" s="421"/>
      <c r="AJ2521" s="421"/>
      <c r="AK2521" s="421"/>
      <c r="AL2521" s="421"/>
    </row>
    <row r="2522" spans="1:38" hidden="1">
      <c r="A2522" s="408"/>
      <c r="B2522" s="83" t="e">
        <f t="array" ref="B2522">SUM(--(FREQUENCY(IF(C$2:C$3072=C2522, MATCH(D$2:D$3072, D$2:D$3072, 0)), ROW(D$2:D$3072)-ROW(D$2)+1) &gt; 0))</f>
        <v>#N/A</v>
      </c>
      <c r="C2522" s="408"/>
      <c r="D2522" s="408"/>
      <c r="E2522" s="408"/>
      <c r="F2522" s="408"/>
      <c r="G2522" s="408"/>
      <c r="H2522" s="408"/>
      <c r="I2522" s="408"/>
      <c r="J2522" s="408"/>
      <c r="K2522" s="408"/>
      <c r="L2522" s="408"/>
      <c r="M2522" s="408"/>
      <c r="N2522" s="408" t="str">
        <f t="shared" si="466"/>
        <v/>
      </c>
      <c r="O2522" s="408"/>
      <c r="P2522" s="408"/>
      <c r="Q2522" s="408"/>
      <c r="R2522" s="408"/>
      <c r="S2522" s="408"/>
      <c r="T2522" s="408"/>
      <c r="U2522" s="408"/>
      <c r="V2522" s="421"/>
      <c r="W2522" s="421"/>
      <c r="X2522" s="421"/>
      <c r="Y2522" s="421"/>
      <c r="Z2522" s="421"/>
      <c r="AA2522" s="421"/>
      <c r="AB2522" s="421"/>
      <c r="AC2522" s="421"/>
      <c r="AD2522" s="421"/>
      <c r="AE2522" s="421"/>
      <c r="AF2522" s="421"/>
      <c r="AG2522" s="421"/>
      <c r="AH2522" s="421"/>
      <c r="AI2522" s="421"/>
      <c r="AJ2522" s="421"/>
      <c r="AK2522" s="421"/>
      <c r="AL2522" s="421"/>
    </row>
    <row r="2523" spans="1:38" hidden="1">
      <c r="A2523" s="408"/>
      <c r="B2523" s="83" t="e">
        <f t="array" ref="B2523">SUM(--(FREQUENCY(IF(C$2:C$3072=C2523, MATCH(D$2:D$3072, D$2:D$3072, 0)), ROW(D$2:D$3072)-ROW(D$2)+1) &gt; 0))</f>
        <v>#N/A</v>
      </c>
      <c r="C2523" s="408"/>
      <c r="D2523" s="408"/>
      <c r="E2523" s="408"/>
      <c r="F2523" s="408"/>
      <c r="G2523" s="408"/>
      <c r="H2523" s="408"/>
      <c r="I2523" s="408"/>
      <c r="J2523" s="408"/>
      <c r="K2523" s="408"/>
      <c r="L2523" s="408"/>
      <c r="M2523" s="408"/>
      <c r="N2523" s="408" t="str">
        <f t="shared" si="466"/>
        <v/>
      </c>
      <c r="O2523" s="408"/>
      <c r="P2523" s="408"/>
      <c r="Q2523" s="408"/>
      <c r="R2523" s="408"/>
      <c r="S2523" s="408"/>
      <c r="T2523" s="408"/>
      <c r="U2523" s="408"/>
      <c r="V2523" s="421"/>
      <c r="W2523" s="421"/>
      <c r="X2523" s="421"/>
      <c r="Y2523" s="421"/>
      <c r="Z2523" s="421"/>
      <c r="AA2523" s="421"/>
      <c r="AB2523" s="421"/>
      <c r="AC2523" s="421"/>
      <c r="AD2523" s="421"/>
      <c r="AE2523" s="421"/>
      <c r="AF2523" s="421"/>
      <c r="AG2523" s="421"/>
      <c r="AH2523" s="421"/>
      <c r="AI2523" s="421"/>
      <c r="AJ2523" s="421"/>
      <c r="AK2523" s="421"/>
      <c r="AL2523" s="421"/>
    </row>
    <row r="2524" spans="1:38" hidden="1">
      <c r="A2524" s="408"/>
      <c r="B2524" s="83" t="e">
        <f t="array" ref="B2524">SUM(--(FREQUENCY(IF(C$2:C$3072=C2524, MATCH(D$2:D$3072, D$2:D$3072, 0)), ROW(D$2:D$3072)-ROW(D$2)+1) &gt; 0))</f>
        <v>#N/A</v>
      </c>
      <c r="C2524" s="408"/>
      <c r="D2524" s="408"/>
      <c r="E2524" s="408"/>
      <c r="F2524" s="408"/>
      <c r="G2524" s="408"/>
      <c r="H2524" s="408"/>
      <c r="I2524" s="408"/>
      <c r="J2524" s="408"/>
      <c r="K2524" s="408"/>
      <c r="L2524" s="408"/>
      <c r="M2524" s="408"/>
      <c r="N2524" s="408" t="str">
        <f t="shared" si="466"/>
        <v/>
      </c>
      <c r="O2524" s="408"/>
      <c r="P2524" s="408"/>
      <c r="Q2524" s="408"/>
      <c r="R2524" s="408"/>
      <c r="S2524" s="408"/>
      <c r="T2524" s="408"/>
      <c r="U2524" s="408"/>
      <c r="V2524" s="421"/>
      <c r="W2524" s="421"/>
      <c r="X2524" s="421"/>
      <c r="Y2524" s="421"/>
      <c r="Z2524" s="421"/>
      <c r="AA2524" s="421"/>
      <c r="AB2524" s="421"/>
      <c r="AC2524" s="421"/>
      <c r="AD2524" s="421"/>
      <c r="AE2524" s="421"/>
      <c r="AF2524" s="421"/>
      <c r="AG2524" s="421"/>
      <c r="AH2524" s="421"/>
      <c r="AI2524" s="421"/>
      <c r="AJ2524" s="421"/>
      <c r="AK2524" s="421"/>
      <c r="AL2524" s="421"/>
    </row>
    <row r="2525" spans="1:38" hidden="1">
      <c r="A2525" s="408"/>
      <c r="B2525" s="83" t="e">
        <f t="array" ref="B2525">SUM(--(FREQUENCY(IF(C$2:C$3072=C2525, MATCH(D$2:D$3072, D$2:D$3072, 0)), ROW(D$2:D$3072)-ROW(D$2)+1) &gt; 0))</f>
        <v>#N/A</v>
      </c>
      <c r="C2525" s="408"/>
      <c r="D2525" s="408"/>
      <c r="E2525" s="408"/>
      <c r="F2525" s="408"/>
      <c r="G2525" s="408"/>
      <c r="H2525" s="408"/>
      <c r="I2525" s="408"/>
      <c r="J2525" s="408"/>
      <c r="K2525" s="408"/>
      <c r="L2525" s="408"/>
      <c r="M2525" s="408"/>
      <c r="N2525" s="408" t="str">
        <f t="shared" si="466"/>
        <v/>
      </c>
      <c r="O2525" s="408"/>
      <c r="P2525" s="408"/>
      <c r="Q2525" s="408"/>
      <c r="R2525" s="408"/>
      <c r="S2525" s="408"/>
      <c r="T2525" s="408"/>
      <c r="U2525" s="408"/>
      <c r="V2525" s="421"/>
      <c r="W2525" s="421"/>
      <c r="X2525" s="421"/>
      <c r="Y2525" s="421"/>
      <c r="Z2525" s="421"/>
      <c r="AA2525" s="421"/>
      <c r="AB2525" s="421"/>
      <c r="AC2525" s="421"/>
      <c r="AD2525" s="421"/>
      <c r="AE2525" s="421"/>
      <c r="AF2525" s="421"/>
      <c r="AG2525" s="421"/>
      <c r="AH2525" s="421"/>
      <c r="AI2525" s="421"/>
      <c r="AJ2525" s="421"/>
      <c r="AK2525" s="421"/>
      <c r="AL2525" s="421"/>
    </row>
    <row r="2526" spans="1:38" hidden="1">
      <c r="A2526" s="408"/>
      <c r="B2526" s="83" t="e">
        <f t="array" ref="B2526">SUM(--(FREQUENCY(IF(C$2:C$3072=C2526, MATCH(D$2:D$3072, D$2:D$3072, 0)), ROW(D$2:D$3072)-ROW(D$2)+1) &gt; 0))</f>
        <v>#N/A</v>
      </c>
      <c r="C2526" s="408"/>
      <c r="D2526" s="408"/>
      <c r="E2526" s="408"/>
      <c r="F2526" s="408"/>
      <c r="G2526" s="408"/>
      <c r="H2526" s="408"/>
      <c r="I2526" s="408"/>
      <c r="J2526" s="408"/>
      <c r="K2526" s="408"/>
      <c r="L2526" s="408"/>
      <c r="M2526" s="408"/>
      <c r="N2526" s="408" t="str">
        <f t="shared" si="466"/>
        <v/>
      </c>
      <c r="O2526" s="408"/>
      <c r="P2526" s="408"/>
      <c r="Q2526" s="408"/>
      <c r="R2526" s="408"/>
      <c r="S2526" s="408"/>
      <c r="T2526" s="408"/>
      <c r="U2526" s="408"/>
      <c r="V2526" s="421"/>
      <c r="W2526" s="421"/>
      <c r="X2526" s="421"/>
      <c r="Y2526" s="421"/>
      <c r="Z2526" s="421"/>
      <c r="AA2526" s="421"/>
      <c r="AB2526" s="421"/>
      <c r="AC2526" s="421"/>
      <c r="AD2526" s="421"/>
      <c r="AE2526" s="421"/>
      <c r="AF2526" s="421"/>
      <c r="AG2526" s="421"/>
      <c r="AH2526" s="421"/>
      <c r="AI2526" s="421"/>
      <c r="AJ2526" s="421"/>
      <c r="AK2526" s="421"/>
      <c r="AL2526" s="421"/>
    </row>
    <row r="2527" spans="1:38" hidden="1">
      <c r="A2527" s="408"/>
      <c r="B2527" s="83" t="e">
        <f t="array" ref="B2527">SUM(--(FREQUENCY(IF(C$2:C$3072=C2527, MATCH(D$2:D$3072, D$2:D$3072, 0)), ROW(D$2:D$3072)-ROW(D$2)+1) &gt; 0))</f>
        <v>#N/A</v>
      </c>
      <c r="C2527" s="408"/>
      <c r="D2527" s="408"/>
      <c r="E2527" s="408"/>
      <c r="F2527" s="408"/>
      <c r="G2527" s="408"/>
      <c r="H2527" s="408"/>
      <c r="I2527" s="408"/>
      <c r="J2527" s="408"/>
      <c r="K2527" s="408"/>
      <c r="L2527" s="408"/>
      <c r="M2527" s="408"/>
      <c r="N2527" s="408" t="str">
        <f t="shared" si="466"/>
        <v/>
      </c>
      <c r="O2527" s="408"/>
      <c r="P2527" s="408"/>
      <c r="Q2527" s="408"/>
      <c r="R2527" s="408"/>
      <c r="S2527" s="408"/>
      <c r="T2527" s="408"/>
      <c r="U2527" s="408"/>
      <c r="V2527" s="421"/>
      <c r="W2527" s="421"/>
      <c r="X2527" s="421"/>
      <c r="Y2527" s="421"/>
      <c r="Z2527" s="421"/>
      <c r="AA2527" s="421"/>
      <c r="AB2527" s="421"/>
      <c r="AC2527" s="421"/>
      <c r="AD2527" s="421"/>
      <c r="AE2527" s="421"/>
      <c r="AF2527" s="421"/>
      <c r="AG2527" s="421"/>
      <c r="AH2527" s="421"/>
      <c r="AI2527" s="421"/>
      <c r="AJ2527" s="421"/>
      <c r="AK2527" s="421"/>
      <c r="AL2527" s="421"/>
    </row>
    <row r="2528" spans="1:38" hidden="1">
      <c r="A2528" s="408"/>
      <c r="B2528" s="83" t="e">
        <f t="array" ref="B2528">SUM(--(FREQUENCY(IF(C$2:C$3072=C2528, MATCH(D$2:D$3072, D$2:D$3072, 0)), ROW(D$2:D$3072)-ROW(D$2)+1) &gt; 0))</f>
        <v>#N/A</v>
      </c>
      <c r="C2528" s="408"/>
      <c r="D2528" s="408"/>
      <c r="E2528" s="408"/>
      <c r="F2528" s="408"/>
      <c r="G2528" s="408"/>
      <c r="H2528" s="408"/>
      <c r="I2528" s="408"/>
      <c r="J2528" s="408"/>
      <c r="K2528" s="408"/>
      <c r="L2528" s="408"/>
      <c r="M2528" s="408"/>
      <c r="N2528" s="408" t="str">
        <f t="shared" si="466"/>
        <v/>
      </c>
      <c r="O2528" s="408"/>
      <c r="P2528" s="408"/>
      <c r="Q2528" s="408"/>
      <c r="R2528" s="408"/>
      <c r="S2528" s="408"/>
      <c r="T2528" s="408"/>
      <c r="U2528" s="408"/>
      <c r="V2528" s="421"/>
      <c r="W2528" s="421"/>
      <c r="X2528" s="421"/>
      <c r="Y2528" s="421"/>
      <c r="Z2528" s="421"/>
      <c r="AA2528" s="421"/>
      <c r="AB2528" s="421"/>
      <c r="AC2528" s="421"/>
      <c r="AD2528" s="421"/>
      <c r="AE2528" s="421"/>
      <c r="AF2528" s="421"/>
      <c r="AG2528" s="421"/>
      <c r="AH2528" s="421"/>
      <c r="AI2528" s="421"/>
      <c r="AJ2528" s="421"/>
      <c r="AK2528" s="421"/>
      <c r="AL2528" s="421"/>
    </row>
    <row r="2529" spans="1:38" hidden="1">
      <c r="A2529" s="408"/>
      <c r="B2529" s="83" t="e">
        <f t="array" ref="B2529">SUM(--(FREQUENCY(IF(C$2:C$3072=C2529, MATCH(D$2:D$3072, D$2:D$3072, 0)), ROW(D$2:D$3072)-ROW(D$2)+1) &gt; 0))</f>
        <v>#N/A</v>
      </c>
      <c r="C2529" s="408"/>
      <c r="D2529" s="408"/>
      <c r="E2529" s="408"/>
      <c r="F2529" s="408"/>
      <c r="G2529" s="408"/>
      <c r="H2529" s="408"/>
      <c r="I2529" s="408"/>
      <c r="J2529" s="408"/>
      <c r="K2529" s="408"/>
      <c r="L2529" s="408"/>
      <c r="M2529" s="408"/>
      <c r="N2529" s="408" t="str">
        <f t="shared" si="466"/>
        <v/>
      </c>
      <c r="O2529" s="408"/>
      <c r="P2529" s="408"/>
      <c r="Q2529" s="408"/>
      <c r="R2529" s="408"/>
      <c r="S2529" s="408"/>
      <c r="T2529" s="408"/>
      <c r="U2529" s="408"/>
      <c r="V2529" s="421"/>
      <c r="W2529" s="421"/>
      <c r="X2529" s="421"/>
      <c r="Y2529" s="421"/>
      <c r="Z2529" s="421"/>
      <c r="AA2529" s="421"/>
      <c r="AB2529" s="421"/>
      <c r="AC2529" s="421"/>
      <c r="AD2529" s="421"/>
      <c r="AE2529" s="421"/>
      <c r="AF2529" s="421"/>
      <c r="AG2529" s="421"/>
      <c r="AH2529" s="421"/>
      <c r="AI2529" s="421"/>
      <c r="AJ2529" s="421"/>
      <c r="AK2529" s="421"/>
      <c r="AL2529" s="421"/>
    </row>
    <row r="2530" spans="1:38" hidden="1">
      <c r="A2530" s="408"/>
      <c r="B2530" s="83" t="e">
        <f t="array" ref="B2530">SUM(--(FREQUENCY(IF(C$2:C$3072=C2530, MATCH(D$2:D$3072, D$2:D$3072, 0)), ROW(D$2:D$3072)-ROW(D$2)+1) &gt; 0))</f>
        <v>#N/A</v>
      </c>
      <c r="C2530" s="408"/>
      <c r="D2530" s="408"/>
      <c r="E2530" s="408"/>
      <c r="F2530" s="408"/>
      <c r="G2530" s="408"/>
      <c r="H2530" s="408"/>
      <c r="I2530" s="408"/>
      <c r="J2530" s="408"/>
      <c r="K2530" s="408"/>
      <c r="L2530" s="408"/>
      <c r="M2530" s="408"/>
      <c r="N2530" s="408" t="str">
        <f t="shared" si="466"/>
        <v/>
      </c>
      <c r="O2530" s="408"/>
      <c r="P2530" s="408"/>
      <c r="Q2530" s="408"/>
      <c r="R2530" s="408"/>
      <c r="S2530" s="408"/>
      <c r="T2530" s="408"/>
      <c r="U2530" s="408"/>
      <c r="V2530" s="421"/>
      <c r="W2530" s="421"/>
      <c r="X2530" s="421"/>
      <c r="Y2530" s="421"/>
      <c r="Z2530" s="421"/>
      <c r="AA2530" s="421"/>
      <c r="AB2530" s="421"/>
      <c r="AC2530" s="421"/>
      <c r="AD2530" s="421"/>
      <c r="AE2530" s="421"/>
      <c r="AF2530" s="421"/>
      <c r="AG2530" s="421"/>
      <c r="AH2530" s="421"/>
      <c r="AI2530" s="421"/>
      <c r="AJ2530" s="421"/>
      <c r="AK2530" s="421"/>
      <c r="AL2530" s="421"/>
    </row>
    <row r="2531" spans="1:38" hidden="1">
      <c r="A2531" s="408"/>
      <c r="B2531" s="83" t="e">
        <f t="array" ref="B2531">SUM(--(FREQUENCY(IF(C$2:C$3072=C2531, MATCH(D$2:D$3072, D$2:D$3072, 0)), ROW(D$2:D$3072)-ROW(D$2)+1) &gt; 0))</f>
        <v>#N/A</v>
      </c>
      <c r="C2531" s="408"/>
      <c r="D2531" s="408"/>
      <c r="E2531" s="408"/>
      <c r="F2531" s="408"/>
      <c r="G2531" s="408"/>
      <c r="H2531" s="408"/>
      <c r="I2531" s="408"/>
      <c r="J2531" s="408"/>
      <c r="K2531" s="408"/>
      <c r="L2531" s="408"/>
      <c r="M2531" s="408"/>
      <c r="N2531" s="408" t="str">
        <f t="shared" si="466"/>
        <v/>
      </c>
      <c r="O2531" s="408"/>
      <c r="P2531" s="408"/>
      <c r="Q2531" s="408"/>
      <c r="R2531" s="408"/>
      <c r="S2531" s="408"/>
      <c r="T2531" s="408"/>
      <c r="U2531" s="408"/>
      <c r="V2531" s="421"/>
      <c r="W2531" s="421"/>
      <c r="X2531" s="421"/>
      <c r="Y2531" s="421"/>
      <c r="Z2531" s="421"/>
      <c r="AA2531" s="421"/>
      <c r="AB2531" s="421"/>
      <c r="AC2531" s="421"/>
      <c r="AD2531" s="421"/>
      <c r="AE2531" s="421"/>
      <c r="AF2531" s="421"/>
      <c r="AG2531" s="421"/>
      <c r="AH2531" s="421"/>
      <c r="AI2531" s="421"/>
      <c r="AJ2531" s="421"/>
      <c r="AK2531" s="421"/>
      <c r="AL2531" s="421"/>
    </row>
    <row r="2532" spans="1:38" hidden="1">
      <c r="A2532" s="408"/>
      <c r="B2532" s="83" t="e">
        <f t="array" ref="B2532">SUM(--(FREQUENCY(IF(C$2:C$3072=C2532, MATCH(D$2:D$3072, D$2:D$3072, 0)), ROW(D$2:D$3072)-ROW(D$2)+1) &gt; 0))</f>
        <v>#N/A</v>
      </c>
      <c r="C2532" s="408"/>
      <c r="D2532" s="408"/>
      <c r="E2532" s="408"/>
      <c r="F2532" s="408"/>
      <c r="G2532" s="408"/>
      <c r="H2532" s="408"/>
      <c r="I2532" s="408"/>
      <c r="J2532" s="408"/>
      <c r="K2532" s="408"/>
      <c r="L2532" s="408"/>
      <c r="M2532" s="408"/>
      <c r="N2532" s="408" t="str">
        <f t="shared" si="466"/>
        <v/>
      </c>
      <c r="O2532" s="408"/>
      <c r="P2532" s="408"/>
      <c r="Q2532" s="408"/>
      <c r="R2532" s="408"/>
      <c r="S2532" s="408"/>
      <c r="T2532" s="408"/>
      <c r="U2532" s="408"/>
      <c r="V2532" s="421"/>
      <c r="W2532" s="421"/>
      <c r="X2532" s="421"/>
      <c r="Y2532" s="421"/>
      <c r="Z2532" s="421"/>
      <c r="AA2532" s="421"/>
      <c r="AB2532" s="421"/>
      <c r="AC2532" s="421"/>
      <c r="AD2532" s="421"/>
      <c r="AE2532" s="421"/>
      <c r="AF2532" s="421"/>
      <c r="AG2532" s="421"/>
      <c r="AH2532" s="421"/>
      <c r="AI2532" s="421"/>
      <c r="AJ2532" s="421"/>
      <c r="AK2532" s="421"/>
      <c r="AL2532" s="421"/>
    </row>
    <row r="2533" spans="1:38" hidden="1">
      <c r="A2533" s="408"/>
      <c r="B2533" s="83" t="e">
        <f t="array" ref="B2533">SUM(--(FREQUENCY(IF(C$2:C$3072=C2533, MATCH(D$2:D$3072, D$2:D$3072, 0)), ROW(D$2:D$3072)-ROW(D$2)+1) &gt; 0))</f>
        <v>#N/A</v>
      </c>
      <c r="C2533" s="408"/>
      <c r="D2533" s="408"/>
      <c r="E2533" s="408"/>
      <c r="F2533" s="408"/>
      <c r="G2533" s="408"/>
      <c r="H2533" s="408"/>
      <c r="I2533" s="408"/>
      <c r="J2533" s="408"/>
      <c r="K2533" s="408"/>
      <c r="L2533" s="408"/>
      <c r="M2533" s="408"/>
      <c r="N2533" s="408" t="str">
        <f t="shared" si="466"/>
        <v/>
      </c>
      <c r="O2533" s="408"/>
      <c r="P2533" s="408"/>
      <c r="Q2533" s="408"/>
      <c r="R2533" s="408"/>
      <c r="S2533" s="408"/>
      <c r="T2533" s="408"/>
      <c r="U2533" s="408"/>
      <c r="V2533" s="421"/>
      <c r="W2533" s="421"/>
      <c r="X2533" s="421"/>
      <c r="Y2533" s="421"/>
      <c r="Z2533" s="421"/>
      <c r="AA2533" s="421"/>
      <c r="AB2533" s="421"/>
      <c r="AC2533" s="421"/>
      <c r="AD2533" s="421"/>
      <c r="AE2533" s="421"/>
      <c r="AF2533" s="421"/>
      <c r="AG2533" s="421"/>
      <c r="AH2533" s="421"/>
      <c r="AI2533" s="421"/>
      <c r="AJ2533" s="421"/>
      <c r="AK2533" s="421"/>
      <c r="AL2533" s="421"/>
    </row>
    <row r="2534" spans="1:38" hidden="1">
      <c r="A2534" s="408"/>
      <c r="B2534" s="83" t="e">
        <f t="array" ref="B2534">SUM(--(FREQUENCY(IF(C$2:C$3072=C2534, MATCH(D$2:D$3072, D$2:D$3072, 0)), ROW(D$2:D$3072)-ROW(D$2)+1) &gt; 0))</f>
        <v>#N/A</v>
      </c>
      <c r="C2534" s="408"/>
      <c r="D2534" s="408"/>
      <c r="E2534" s="408"/>
      <c r="F2534" s="408"/>
      <c r="G2534" s="408"/>
      <c r="H2534" s="408"/>
      <c r="I2534" s="408"/>
      <c r="J2534" s="408"/>
      <c r="K2534" s="408"/>
      <c r="L2534" s="408"/>
      <c r="M2534" s="408"/>
      <c r="N2534" s="408" t="str">
        <f t="shared" si="466"/>
        <v/>
      </c>
      <c r="O2534" s="408"/>
      <c r="P2534" s="408"/>
      <c r="Q2534" s="408"/>
      <c r="R2534" s="408"/>
      <c r="S2534" s="408"/>
      <c r="T2534" s="408"/>
      <c r="U2534" s="408"/>
      <c r="V2534" s="421"/>
      <c r="W2534" s="421"/>
      <c r="X2534" s="421"/>
      <c r="Y2534" s="421"/>
      <c r="Z2534" s="421"/>
      <c r="AA2534" s="421"/>
      <c r="AB2534" s="421"/>
      <c r="AC2534" s="421"/>
      <c r="AD2534" s="421"/>
      <c r="AE2534" s="421"/>
      <c r="AF2534" s="421"/>
      <c r="AG2534" s="421"/>
      <c r="AH2534" s="421"/>
      <c r="AI2534" s="421"/>
      <c r="AJ2534" s="421"/>
      <c r="AK2534" s="421"/>
      <c r="AL2534" s="421"/>
    </row>
    <row r="2535" spans="1:38" hidden="1">
      <c r="A2535" s="408"/>
      <c r="B2535" s="83" t="e">
        <f t="array" ref="B2535">SUM(--(FREQUENCY(IF(C$2:C$3072=C2535, MATCH(D$2:D$3072, D$2:D$3072, 0)), ROW(D$2:D$3072)-ROW(D$2)+1) &gt; 0))</f>
        <v>#N/A</v>
      </c>
      <c r="C2535" s="408"/>
      <c r="D2535" s="408"/>
      <c r="E2535" s="408"/>
      <c r="F2535" s="408"/>
      <c r="G2535" s="408"/>
      <c r="H2535" s="408"/>
      <c r="I2535" s="408"/>
      <c r="J2535" s="408"/>
      <c r="K2535" s="408"/>
      <c r="L2535" s="408"/>
      <c r="M2535" s="408"/>
      <c r="N2535" s="408" t="str">
        <f t="shared" si="466"/>
        <v/>
      </c>
      <c r="O2535" s="408"/>
      <c r="P2535" s="408"/>
      <c r="Q2535" s="408"/>
      <c r="R2535" s="408"/>
      <c r="S2535" s="408"/>
      <c r="T2535" s="408"/>
      <c r="U2535" s="408"/>
      <c r="V2535" s="421"/>
      <c r="W2535" s="421"/>
      <c r="X2535" s="421"/>
      <c r="Y2535" s="421"/>
      <c r="Z2535" s="421"/>
      <c r="AA2535" s="421"/>
      <c r="AB2535" s="421"/>
      <c r="AC2535" s="421"/>
      <c r="AD2535" s="421"/>
      <c r="AE2535" s="421"/>
      <c r="AF2535" s="421"/>
      <c r="AG2535" s="421"/>
      <c r="AH2535" s="421"/>
      <c r="AI2535" s="421"/>
      <c r="AJ2535" s="421"/>
      <c r="AK2535" s="421"/>
      <c r="AL2535" s="421"/>
    </row>
    <row r="2536" spans="1:38" hidden="1">
      <c r="A2536" s="408"/>
      <c r="B2536" s="83" t="e">
        <f t="array" ref="B2536">SUM(--(FREQUENCY(IF(C$2:C$3072=C2536, MATCH(D$2:D$3072, D$2:D$3072, 0)), ROW(D$2:D$3072)-ROW(D$2)+1) &gt; 0))</f>
        <v>#N/A</v>
      </c>
      <c r="C2536" s="408"/>
      <c r="D2536" s="408"/>
      <c r="E2536" s="408"/>
      <c r="F2536" s="408"/>
      <c r="G2536" s="408"/>
      <c r="H2536" s="408"/>
      <c r="I2536" s="408"/>
      <c r="J2536" s="408"/>
      <c r="K2536" s="408"/>
      <c r="L2536" s="408"/>
      <c r="M2536" s="408"/>
      <c r="N2536" s="408" t="str">
        <f t="shared" si="466"/>
        <v/>
      </c>
      <c r="O2536" s="408"/>
      <c r="P2536" s="408"/>
      <c r="Q2536" s="408"/>
      <c r="R2536" s="408"/>
      <c r="S2536" s="408"/>
      <c r="T2536" s="408"/>
      <c r="U2536" s="408"/>
      <c r="V2536" s="421"/>
      <c r="W2536" s="421"/>
      <c r="X2536" s="421"/>
      <c r="Y2536" s="421"/>
      <c r="Z2536" s="421"/>
      <c r="AA2536" s="421"/>
      <c r="AB2536" s="421"/>
      <c r="AC2536" s="421"/>
      <c r="AD2536" s="421"/>
      <c r="AE2536" s="421"/>
      <c r="AF2536" s="421"/>
      <c r="AG2536" s="421"/>
      <c r="AH2536" s="421"/>
      <c r="AI2536" s="421"/>
      <c r="AJ2536" s="421"/>
      <c r="AK2536" s="421"/>
      <c r="AL2536" s="421"/>
    </row>
    <row r="2537" spans="1:38" hidden="1">
      <c r="A2537" s="408"/>
      <c r="B2537" s="83" t="e">
        <f t="array" ref="B2537">SUM(--(FREQUENCY(IF(C$2:C$3072=C2537, MATCH(D$2:D$3072, D$2:D$3072, 0)), ROW(D$2:D$3072)-ROW(D$2)+1) &gt; 0))</f>
        <v>#N/A</v>
      </c>
      <c r="C2537" s="408"/>
      <c r="D2537" s="408"/>
      <c r="E2537" s="408"/>
      <c r="F2537" s="408"/>
      <c r="G2537" s="408"/>
      <c r="H2537" s="408"/>
      <c r="I2537" s="408"/>
      <c r="J2537" s="408"/>
      <c r="K2537" s="408"/>
      <c r="L2537" s="408"/>
      <c r="M2537" s="408"/>
      <c r="N2537" s="408" t="str">
        <f t="shared" si="466"/>
        <v/>
      </c>
      <c r="O2537" s="408"/>
      <c r="P2537" s="408"/>
      <c r="Q2537" s="408"/>
      <c r="R2537" s="408"/>
      <c r="S2537" s="408"/>
      <c r="T2537" s="408"/>
      <c r="U2537" s="408"/>
      <c r="V2537" s="421"/>
      <c r="W2537" s="421"/>
      <c r="X2537" s="421"/>
      <c r="Y2537" s="421"/>
      <c r="Z2537" s="421"/>
      <c r="AA2537" s="421"/>
      <c r="AB2537" s="421"/>
      <c r="AC2537" s="421"/>
      <c r="AD2537" s="421"/>
      <c r="AE2537" s="421"/>
      <c r="AF2537" s="421"/>
      <c r="AG2537" s="421"/>
      <c r="AH2537" s="421"/>
      <c r="AI2537" s="421"/>
      <c r="AJ2537" s="421"/>
      <c r="AK2537" s="421"/>
      <c r="AL2537" s="421"/>
    </row>
    <row r="2538" spans="1:38" hidden="1">
      <c r="A2538" s="408"/>
      <c r="B2538" s="83" t="e">
        <f t="array" ref="B2538">SUM(--(FREQUENCY(IF(C$2:C$3072=C2538, MATCH(D$2:D$3072, D$2:D$3072, 0)), ROW(D$2:D$3072)-ROW(D$2)+1) &gt; 0))</f>
        <v>#N/A</v>
      </c>
      <c r="C2538" s="408"/>
      <c r="D2538" s="408"/>
      <c r="E2538" s="408"/>
      <c r="F2538" s="408"/>
      <c r="G2538" s="408"/>
      <c r="H2538" s="408"/>
      <c r="I2538" s="408"/>
      <c r="J2538" s="408"/>
      <c r="K2538" s="408"/>
      <c r="L2538" s="408"/>
      <c r="M2538" s="408"/>
      <c r="N2538" s="408" t="str">
        <f t="shared" si="466"/>
        <v/>
      </c>
      <c r="O2538" s="408"/>
      <c r="P2538" s="408"/>
      <c r="Q2538" s="408"/>
      <c r="R2538" s="408"/>
      <c r="S2538" s="408"/>
      <c r="T2538" s="408"/>
      <c r="U2538" s="408"/>
      <c r="V2538" s="421"/>
      <c r="W2538" s="421"/>
      <c r="X2538" s="421"/>
      <c r="Y2538" s="421"/>
      <c r="Z2538" s="421"/>
      <c r="AA2538" s="421"/>
      <c r="AB2538" s="421"/>
      <c r="AC2538" s="421"/>
      <c r="AD2538" s="421"/>
      <c r="AE2538" s="421"/>
      <c r="AF2538" s="421"/>
      <c r="AG2538" s="421"/>
      <c r="AH2538" s="421"/>
      <c r="AI2538" s="421"/>
      <c r="AJ2538" s="421"/>
      <c r="AK2538" s="421"/>
      <c r="AL2538" s="421"/>
    </row>
    <row r="2539" spans="1:38" hidden="1">
      <c r="A2539" s="408"/>
      <c r="B2539" s="83" t="e">
        <f t="array" ref="B2539">SUM(--(FREQUENCY(IF(C$2:C$3072=C2539, MATCH(D$2:D$3072, D$2:D$3072, 0)), ROW(D$2:D$3072)-ROW(D$2)+1) &gt; 0))</f>
        <v>#N/A</v>
      </c>
      <c r="C2539" s="408"/>
      <c r="D2539" s="408"/>
      <c r="E2539" s="408"/>
      <c r="F2539" s="408"/>
      <c r="G2539" s="408"/>
      <c r="H2539" s="408"/>
      <c r="I2539" s="408"/>
      <c r="J2539" s="408"/>
      <c r="K2539" s="408"/>
      <c r="L2539" s="408"/>
      <c r="M2539" s="408"/>
      <c r="N2539" s="408" t="str">
        <f t="shared" si="466"/>
        <v/>
      </c>
      <c r="O2539" s="408"/>
      <c r="P2539" s="408"/>
      <c r="Q2539" s="408"/>
      <c r="R2539" s="408"/>
      <c r="S2539" s="408"/>
      <c r="T2539" s="408"/>
      <c r="U2539" s="408"/>
      <c r="V2539" s="421"/>
      <c r="W2539" s="421"/>
      <c r="X2539" s="421"/>
      <c r="Y2539" s="421"/>
      <c r="Z2539" s="421"/>
      <c r="AA2539" s="421"/>
      <c r="AB2539" s="421"/>
      <c r="AC2539" s="421"/>
      <c r="AD2539" s="421"/>
      <c r="AE2539" s="421"/>
      <c r="AF2539" s="421"/>
      <c r="AG2539" s="421"/>
      <c r="AH2539" s="421"/>
      <c r="AI2539" s="421"/>
      <c r="AJ2539" s="421"/>
      <c r="AK2539" s="421"/>
      <c r="AL2539" s="421"/>
    </row>
    <row r="2540" spans="1:38" hidden="1">
      <c r="A2540" s="408"/>
      <c r="B2540" s="83" t="e">
        <f t="array" ref="B2540">SUM(--(FREQUENCY(IF(C$2:C$3072=C2540, MATCH(D$2:D$3072, D$2:D$3072, 0)), ROW(D$2:D$3072)-ROW(D$2)+1) &gt; 0))</f>
        <v>#N/A</v>
      </c>
      <c r="C2540" s="408"/>
      <c r="D2540" s="408"/>
      <c r="E2540" s="408"/>
      <c r="F2540" s="408"/>
      <c r="G2540" s="408"/>
      <c r="H2540" s="408"/>
      <c r="I2540" s="408"/>
      <c r="J2540" s="408"/>
      <c r="K2540" s="408"/>
      <c r="L2540" s="408"/>
      <c r="M2540" s="408"/>
      <c r="N2540" s="408" t="str">
        <f t="shared" si="466"/>
        <v/>
      </c>
      <c r="O2540" s="408"/>
      <c r="P2540" s="408"/>
      <c r="Q2540" s="408"/>
      <c r="R2540" s="408"/>
      <c r="S2540" s="408"/>
      <c r="T2540" s="408"/>
      <c r="U2540" s="408"/>
      <c r="V2540" s="421"/>
      <c r="W2540" s="421"/>
      <c r="X2540" s="421"/>
      <c r="Y2540" s="421"/>
      <c r="Z2540" s="421"/>
      <c r="AA2540" s="421"/>
      <c r="AB2540" s="421"/>
      <c r="AC2540" s="421"/>
      <c r="AD2540" s="421"/>
      <c r="AE2540" s="421"/>
      <c r="AF2540" s="421"/>
      <c r="AG2540" s="421"/>
      <c r="AH2540" s="421"/>
      <c r="AI2540" s="421"/>
      <c r="AJ2540" s="421"/>
      <c r="AK2540" s="421"/>
      <c r="AL2540" s="421"/>
    </row>
    <row r="2541" spans="1:38" hidden="1">
      <c r="A2541" s="408"/>
      <c r="B2541" s="83" t="e">
        <f t="array" ref="B2541">SUM(--(FREQUENCY(IF(C$2:C$3072=C2541, MATCH(D$2:D$3072, D$2:D$3072, 0)), ROW(D$2:D$3072)-ROW(D$2)+1) &gt; 0))</f>
        <v>#N/A</v>
      </c>
      <c r="C2541" s="408"/>
      <c r="D2541" s="408"/>
      <c r="E2541" s="408"/>
      <c r="F2541" s="408"/>
      <c r="G2541" s="408"/>
      <c r="H2541" s="408"/>
      <c r="I2541" s="408"/>
      <c r="J2541" s="408"/>
      <c r="K2541" s="408"/>
      <c r="L2541" s="408"/>
      <c r="M2541" s="408"/>
      <c r="N2541" s="408" t="str">
        <f t="shared" si="466"/>
        <v/>
      </c>
      <c r="O2541" s="408"/>
      <c r="P2541" s="408"/>
      <c r="Q2541" s="408"/>
      <c r="R2541" s="408"/>
      <c r="S2541" s="408"/>
      <c r="T2541" s="408"/>
      <c r="U2541" s="408"/>
      <c r="V2541" s="421"/>
      <c r="W2541" s="421"/>
      <c r="X2541" s="421"/>
      <c r="Y2541" s="421"/>
      <c r="Z2541" s="421"/>
      <c r="AA2541" s="421"/>
      <c r="AB2541" s="421"/>
      <c r="AC2541" s="421"/>
      <c r="AD2541" s="421"/>
      <c r="AE2541" s="421"/>
      <c r="AF2541" s="421"/>
      <c r="AG2541" s="421"/>
      <c r="AH2541" s="421"/>
      <c r="AI2541" s="421"/>
      <c r="AJ2541" s="421"/>
      <c r="AK2541" s="421"/>
      <c r="AL2541" s="421"/>
    </row>
    <row r="2542" spans="1:38" hidden="1">
      <c r="A2542" s="408"/>
      <c r="B2542" s="83" t="e">
        <f t="array" ref="B2542">SUM(--(FREQUENCY(IF(C$2:C$3072=C2542, MATCH(D$2:D$3072, D$2:D$3072, 0)), ROW(D$2:D$3072)-ROW(D$2)+1) &gt; 0))</f>
        <v>#N/A</v>
      </c>
      <c r="C2542" s="408"/>
      <c r="D2542" s="408"/>
      <c r="E2542" s="408"/>
      <c r="F2542" s="408"/>
      <c r="G2542" s="408"/>
      <c r="H2542" s="408"/>
      <c r="I2542" s="408"/>
      <c r="J2542" s="408"/>
      <c r="K2542" s="408"/>
      <c r="L2542" s="408"/>
      <c r="M2542" s="408"/>
      <c r="N2542" s="408" t="str">
        <f t="shared" si="466"/>
        <v/>
      </c>
      <c r="O2542" s="408"/>
      <c r="P2542" s="408"/>
      <c r="Q2542" s="408"/>
      <c r="R2542" s="408"/>
      <c r="S2542" s="408"/>
      <c r="T2542" s="408"/>
      <c r="U2542" s="408"/>
      <c r="V2542" s="421"/>
      <c r="W2542" s="421"/>
      <c r="X2542" s="421"/>
      <c r="Y2542" s="421"/>
      <c r="Z2542" s="421"/>
      <c r="AA2542" s="421"/>
      <c r="AB2542" s="421"/>
      <c r="AC2542" s="421"/>
      <c r="AD2542" s="421"/>
      <c r="AE2542" s="421"/>
      <c r="AF2542" s="421"/>
      <c r="AG2542" s="421"/>
      <c r="AH2542" s="421"/>
      <c r="AI2542" s="421"/>
      <c r="AJ2542" s="421"/>
      <c r="AK2542" s="421"/>
      <c r="AL2542" s="421"/>
    </row>
    <row r="2543" spans="1:38" hidden="1">
      <c r="A2543" s="408"/>
      <c r="B2543" s="83" t="e">
        <f t="array" ref="B2543">SUM(--(FREQUENCY(IF(C$2:C$3072=C2543, MATCH(D$2:D$3072, D$2:D$3072, 0)), ROW(D$2:D$3072)-ROW(D$2)+1) &gt; 0))</f>
        <v>#N/A</v>
      </c>
      <c r="C2543" s="408"/>
      <c r="D2543" s="408"/>
      <c r="E2543" s="408"/>
      <c r="F2543" s="408"/>
      <c r="G2543" s="408"/>
      <c r="H2543" s="408"/>
      <c r="I2543" s="408"/>
      <c r="J2543" s="408"/>
      <c r="K2543" s="408"/>
      <c r="L2543" s="408"/>
      <c r="M2543" s="408"/>
      <c r="N2543" s="408" t="str">
        <f t="shared" si="466"/>
        <v/>
      </c>
      <c r="O2543" s="408"/>
      <c r="P2543" s="408"/>
      <c r="Q2543" s="408"/>
      <c r="R2543" s="408"/>
      <c r="S2543" s="408"/>
      <c r="T2543" s="408"/>
      <c r="U2543" s="408"/>
      <c r="V2543" s="421"/>
      <c r="W2543" s="421"/>
      <c r="X2543" s="421"/>
      <c r="Y2543" s="421"/>
      <c r="Z2543" s="421"/>
      <c r="AA2543" s="421"/>
      <c r="AB2543" s="421"/>
      <c r="AC2543" s="421"/>
      <c r="AD2543" s="421"/>
      <c r="AE2543" s="421"/>
      <c r="AF2543" s="421"/>
      <c r="AG2543" s="421"/>
      <c r="AH2543" s="421"/>
      <c r="AI2543" s="421"/>
      <c r="AJ2543" s="421"/>
      <c r="AK2543" s="421"/>
      <c r="AL2543" s="421"/>
    </row>
    <row r="2544" spans="1:38" hidden="1">
      <c r="A2544" s="408"/>
      <c r="B2544" s="83" t="e">
        <f t="array" ref="B2544">SUM(--(FREQUENCY(IF(C$2:C$3072=C2544, MATCH(D$2:D$3072, D$2:D$3072, 0)), ROW(D$2:D$3072)-ROW(D$2)+1) &gt; 0))</f>
        <v>#N/A</v>
      </c>
      <c r="C2544" s="408"/>
      <c r="D2544" s="408"/>
      <c r="E2544" s="408"/>
      <c r="F2544" s="408"/>
      <c r="G2544" s="408"/>
      <c r="H2544" s="408"/>
      <c r="I2544" s="408"/>
      <c r="J2544" s="408"/>
      <c r="K2544" s="408"/>
      <c r="L2544" s="408"/>
      <c r="M2544" s="408"/>
      <c r="N2544" s="408" t="str">
        <f t="shared" si="466"/>
        <v/>
      </c>
      <c r="O2544" s="408"/>
      <c r="P2544" s="408"/>
      <c r="Q2544" s="408"/>
      <c r="R2544" s="408"/>
      <c r="S2544" s="408"/>
      <c r="T2544" s="408"/>
      <c r="U2544" s="408"/>
      <c r="V2544" s="421"/>
      <c r="W2544" s="421"/>
      <c r="X2544" s="421"/>
      <c r="Y2544" s="421"/>
      <c r="Z2544" s="421"/>
      <c r="AA2544" s="421"/>
      <c r="AB2544" s="421"/>
      <c r="AC2544" s="421"/>
      <c r="AD2544" s="421"/>
      <c r="AE2544" s="421"/>
      <c r="AF2544" s="421"/>
      <c r="AG2544" s="421"/>
      <c r="AH2544" s="421"/>
      <c r="AI2544" s="421"/>
      <c r="AJ2544" s="421"/>
      <c r="AK2544" s="421"/>
      <c r="AL2544" s="421"/>
    </row>
    <row r="2545" spans="1:38" hidden="1">
      <c r="A2545" s="408"/>
      <c r="B2545" s="83" t="e">
        <f t="array" ref="B2545">SUM(--(FREQUENCY(IF(C$2:C$3072=C2545, MATCH(D$2:D$3072, D$2:D$3072, 0)), ROW(D$2:D$3072)-ROW(D$2)+1) &gt; 0))</f>
        <v>#N/A</v>
      </c>
      <c r="C2545" s="408"/>
      <c r="D2545" s="408"/>
      <c r="E2545" s="408"/>
      <c r="F2545" s="408"/>
      <c r="G2545" s="408"/>
      <c r="H2545" s="408"/>
      <c r="I2545" s="408"/>
      <c r="J2545" s="408"/>
      <c r="K2545" s="408"/>
      <c r="L2545" s="408"/>
      <c r="M2545" s="408"/>
      <c r="N2545" s="408" t="str">
        <f t="shared" si="466"/>
        <v/>
      </c>
      <c r="O2545" s="408"/>
      <c r="P2545" s="408"/>
      <c r="Q2545" s="408"/>
      <c r="R2545" s="408"/>
      <c r="S2545" s="408"/>
      <c r="T2545" s="408"/>
      <c r="U2545" s="408"/>
      <c r="V2545" s="421"/>
      <c r="W2545" s="421"/>
      <c r="X2545" s="421"/>
      <c r="Y2545" s="421"/>
      <c r="Z2545" s="421"/>
      <c r="AA2545" s="421"/>
      <c r="AB2545" s="421"/>
      <c r="AC2545" s="421"/>
      <c r="AD2545" s="421"/>
      <c r="AE2545" s="421"/>
      <c r="AF2545" s="421"/>
      <c r="AG2545" s="421"/>
      <c r="AH2545" s="421"/>
      <c r="AI2545" s="421"/>
      <c r="AJ2545" s="421"/>
      <c r="AK2545" s="421"/>
      <c r="AL2545" s="421"/>
    </row>
    <row r="2546" spans="1:38" hidden="1">
      <c r="A2546" s="408"/>
      <c r="B2546" s="83" t="e">
        <f t="array" ref="B2546">SUM(--(FREQUENCY(IF(C$2:C$3072=C2546, MATCH(D$2:D$3072, D$2:D$3072, 0)), ROW(D$2:D$3072)-ROW(D$2)+1) &gt; 0))</f>
        <v>#N/A</v>
      </c>
      <c r="C2546" s="408"/>
      <c r="D2546" s="408"/>
      <c r="E2546" s="408"/>
      <c r="F2546" s="408"/>
      <c r="G2546" s="408"/>
      <c r="H2546" s="408"/>
      <c r="I2546" s="408"/>
      <c r="J2546" s="408"/>
      <c r="K2546" s="408"/>
      <c r="L2546" s="408"/>
      <c r="M2546" s="408"/>
      <c r="N2546" s="408" t="str">
        <f t="shared" si="466"/>
        <v/>
      </c>
      <c r="O2546" s="408"/>
      <c r="P2546" s="408"/>
      <c r="Q2546" s="408"/>
      <c r="R2546" s="408"/>
      <c r="S2546" s="408"/>
      <c r="T2546" s="408"/>
      <c r="U2546" s="408"/>
      <c r="V2546" s="421"/>
      <c r="W2546" s="421"/>
      <c r="X2546" s="421"/>
      <c r="Y2546" s="421"/>
      <c r="Z2546" s="421"/>
      <c r="AA2546" s="421"/>
      <c r="AB2546" s="421"/>
      <c r="AC2546" s="421"/>
      <c r="AD2546" s="421"/>
      <c r="AE2546" s="421"/>
      <c r="AF2546" s="421"/>
      <c r="AG2546" s="421"/>
      <c r="AH2546" s="421"/>
      <c r="AI2546" s="421"/>
      <c r="AJ2546" s="421"/>
      <c r="AK2546" s="421"/>
      <c r="AL2546" s="421"/>
    </row>
    <row r="2547" spans="1:38" hidden="1">
      <c r="A2547" s="408"/>
      <c r="B2547" s="83" t="e">
        <f t="array" ref="B2547">SUM(--(FREQUENCY(IF(C$2:C$3072=C2547, MATCH(D$2:D$3072, D$2:D$3072, 0)), ROW(D$2:D$3072)-ROW(D$2)+1) &gt; 0))</f>
        <v>#N/A</v>
      </c>
      <c r="C2547" s="408"/>
      <c r="D2547" s="408"/>
      <c r="E2547" s="408"/>
      <c r="F2547" s="408"/>
      <c r="G2547" s="408"/>
      <c r="H2547" s="408"/>
      <c r="I2547" s="408"/>
      <c r="J2547" s="408"/>
      <c r="K2547" s="408"/>
      <c r="L2547" s="408"/>
      <c r="M2547" s="408"/>
      <c r="N2547" s="408" t="str">
        <f t="shared" si="466"/>
        <v/>
      </c>
      <c r="O2547" s="408"/>
      <c r="P2547" s="408"/>
      <c r="Q2547" s="408"/>
      <c r="R2547" s="408"/>
      <c r="S2547" s="408"/>
      <c r="T2547" s="408"/>
      <c r="U2547" s="408"/>
      <c r="V2547" s="421"/>
      <c r="W2547" s="421"/>
      <c r="X2547" s="421"/>
      <c r="Y2547" s="421"/>
      <c r="Z2547" s="421"/>
      <c r="AA2547" s="421"/>
      <c r="AB2547" s="421"/>
      <c r="AC2547" s="421"/>
      <c r="AD2547" s="421"/>
      <c r="AE2547" s="421"/>
      <c r="AF2547" s="421"/>
      <c r="AG2547" s="421"/>
      <c r="AH2547" s="421"/>
      <c r="AI2547" s="421"/>
      <c r="AJ2547" s="421"/>
      <c r="AK2547" s="421"/>
      <c r="AL2547" s="421"/>
    </row>
    <row r="2548" spans="1:38" hidden="1">
      <c r="A2548" s="408"/>
      <c r="B2548" s="83" t="e">
        <f t="array" ref="B2548">SUM(--(FREQUENCY(IF(C$2:C$3072=C2548, MATCH(D$2:D$3072, D$2:D$3072, 0)), ROW(D$2:D$3072)-ROW(D$2)+1) &gt; 0))</f>
        <v>#N/A</v>
      </c>
      <c r="C2548" s="408"/>
      <c r="D2548" s="408"/>
      <c r="E2548" s="408"/>
      <c r="F2548" s="408"/>
      <c r="G2548" s="408"/>
      <c r="H2548" s="408"/>
      <c r="I2548" s="408"/>
      <c r="J2548" s="408"/>
      <c r="K2548" s="408"/>
      <c r="L2548" s="408"/>
      <c r="M2548" s="408"/>
      <c r="N2548" s="408" t="str">
        <f t="shared" si="466"/>
        <v/>
      </c>
      <c r="O2548" s="408"/>
      <c r="P2548" s="408"/>
      <c r="Q2548" s="408"/>
      <c r="R2548" s="408"/>
      <c r="S2548" s="408"/>
      <c r="T2548" s="408"/>
      <c r="U2548" s="408"/>
      <c r="V2548" s="421"/>
      <c r="W2548" s="421"/>
      <c r="X2548" s="421"/>
      <c r="Y2548" s="421"/>
      <c r="Z2548" s="421"/>
      <c r="AA2548" s="421"/>
      <c r="AB2548" s="421"/>
      <c r="AC2548" s="421"/>
      <c r="AD2548" s="421"/>
      <c r="AE2548" s="421"/>
      <c r="AF2548" s="421"/>
      <c r="AG2548" s="421"/>
      <c r="AH2548" s="421"/>
      <c r="AI2548" s="421"/>
      <c r="AJ2548" s="421"/>
      <c r="AK2548" s="421"/>
      <c r="AL2548" s="421"/>
    </row>
    <row r="2549" spans="1:38" hidden="1">
      <c r="A2549" s="408"/>
      <c r="B2549" s="83" t="e">
        <f t="array" ref="B2549">SUM(--(FREQUENCY(IF(C$2:C$3072=C2549, MATCH(D$2:D$3072, D$2:D$3072, 0)), ROW(D$2:D$3072)-ROW(D$2)+1) &gt; 0))</f>
        <v>#N/A</v>
      </c>
      <c r="C2549" s="408"/>
      <c r="D2549" s="408"/>
      <c r="E2549" s="408"/>
      <c r="F2549" s="408"/>
      <c r="G2549" s="408"/>
      <c r="H2549" s="408"/>
      <c r="I2549" s="408"/>
      <c r="J2549" s="408"/>
      <c r="K2549" s="408"/>
      <c r="L2549" s="408"/>
      <c r="M2549" s="408"/>
      <c r="N2549" s="408" t="str">
        <f t="shared" si="466"/>
        <v/>
      </c>
      <c r="O2549" s="408"/>
      <c r="P2549" s="408"/>
      <c r="Q2549" s="408"/>
      <c r="R2549" s="408"/>
      <c r="S2549" s="408"/>
      <c r="T2549" s="408"/>
      <c r="U2549" s="408"/>
      <c r="V2549" s="421"/>
      <c r="W2549" s="421"/>
      <c r="X2549" s="421"/>
      <c r="Y2549" s="421"/>
      <c r="Z2549" s="421"/>
      <c r="AA2549" s="421"/>
      <c r="AB2549" s="421"/>
      <c r="AC2549" s="421"/>
      <c r="AD2549" s="421"/>
      <c r="AE2549" s="421"/>
      <c r="AF2549" s="421"/>
      <c r="AG2549" s="421"/>
      <c r="AH2549" s="421"/>
      <c r="AI2549" s="421"/>
      <c r="AJ2549" s="421"/>
      <c r="AK2549" s="421"/>
      <c r="AL2549" s="421"/>
    </row>
    <row r="2550" spans="1:38" hidden="1">
      <c r="A2550" s="408"/>
      <c r="B2550" s="83" t="e">
        <f t="array" ref="B2550">SUM(--(FREQUENCY(IF(C$2:C$3072=C2550, MATCH(D$2:D$3072, D$2:D$3072, 0)), ROW(D$2:D$3072)-ROW(D$2)+1) &gt; 0))</f>
        <v>#N/A</v>
      </c>
      <c r="C2550" s="408"/>
      <c r="D2550" s="408"/>
      <c r="E2550" s="408"/>
      <c r="F2550" s="408"/>
      <c r="G2550" s="408"/>
      <c r="H2550" s="408"/>
      <c r="I2550" s="408"/>
      <c r="J2550" s="408"/>
      <c r="K2550" s="408"/>
      <c r="L2550" s="408"/>
      <c r="M2550" s="408"/>
      <c r="N2550" s="408" t="str">
        <f t="shared" si="466"/>
        <v/>
      </c>
      <c r="O2550" s="408"/>
      <c r="P2550" s="408"/>
      <c r="Q2550" s="408"/>
      <c r="R2550" s="408"/>
      <c r="S2550" s="408"/>
      <c r="T2550" s="408"/>
      <c r="U2550" s="408"/>
      <c r="V2550" s="421"/>
      <c r="W2550" s="421"/>
      <c r="X2550" s="421"/>
      <c r="Y2550" s="421"/>
      <c r="Z2550" s="421"/>
      <c r="AA2550" s="421"/>
      <c r="AB2550" s="421"/>
      <c r="AC2550" s="421"/>
      <c r="AD2550" s="421"/>
      <c r="AE2550" s="421"/>
      <c r="AF2550" s="421"/>
      <c r="AG2550" s="421"/>
      <c r="AH2550" s="421"/>
      <c r="AI2550" s="421"/>
      <c r="AJ2550" s="421"/>
      <c r="AK2550" s="421"/>
      <c r="AL2550" s="421"/>
    </row>
    <row r="2551" spans="1:38" hidden="1">
      <c r="A2551" s="408"/>
      <c r="B2551" s="83" t="e">
        <f t="array" ref="B2551">SUM(--(FREQUENCY(IF(C$2:C$3072=C2551, MATCH(D$2:D$3072, D$2:D$3072, 0)), ROW(D$2:D$3072)-ROW(D$2)+1) &gt; 0))</f>
        <v>#N/A</v>
      </c>
      <c r="C2551" s="408"/>
      <c r="D2551" s="408"/>
      <c r="E2551" s="408"/>
      <c r="F2551" s="408"/>
      <c r="G2551" s="408"/>
      <c r="H2551" s="408"/>
      <c r="I2551" s="408"/>
      <c r="J2551" s="408"/>
      <c r="K2551" s="408"/>
      <c r="L2551" s="408"/>
      <c r="M2551" s="408"/>
      <c r="N2551" s="408" t="str">
        <f t="shared" si="466"/>
        <v/>
      </c>
      <c r="O2551" s="408"/>
      <c r="P2551" s="408"/>
      <c r="Q2551" s="408"/>
      <c r="R2551" s="408"/>
      <c r="S2551" s="408"/>
      <c r="T2551" s="408"/>
      <c r="U2551" s="408"/>
      <c r="V2551" s="421"/>
      <c r="W2551" s="421"/>
      <c r="X2551" s="421"/>
      <c r="Y2551" s="421"/>
      <c r="Z2551" s="421"/>
      <c r="AA2551" s="421"/>
      <c r="AB2551" s="421"/>
      <c r="AC2551" s="421"/>
      <c r="AD2551" s="421"/>
      <c r="AE2551" s="421"/>
      <c r="AF2551" s="421"/>
      <c r="AG2551" s="421"/>
      <c r="AH2551" s="421"/>
      <c r="AI2551" s="421"/>
      <c r="AJ2551" s="421"/>
      <c r="AK2551" s="421"/>
      <c r="AL2551" s="421"/>
    </row>
    <row r="2552" spans="1:38" hidden="1">
      <c r="A2552" s="408"/>
      <c r="B2552" s="83" t="e">
        <f t="array" ref="B2552">SUM(--(FREQUENCY(IF(C$2:C$3072=C2552, MATCH(D$2:D$3072, D$2:D$3072, 0)), ROW(D$2:D$3072)-ROW(D$2)+1) &gt; 0))</f>
        <v>#N/A</v>
      </c>
      <c r="C2552" s="408"/>
      <c r="D2552" s="408"/>
      <c r="E2552" s="408"/>
      <c r="F2552" s="408"/>
      <c r="G2552" s="408"/>
      <c r="H2552" s="408"/>
      <c r="I2552" s="408"/>
      <c r="J2552" s="408"/>
      <c r="K2552" s="408"/>
      <c r="L2552" s="408"/>
      <c r="M2552" s="408"/>
      <c r="N2552" s="408" t="str">
        <f t="shared" si="466"/>
        <v/>
      </c>
      <c r="O2552" s="408"/>
      <c r="P2552" s="408"/>
      <c r="Q2552" s="408"/>
      <c r="R2552" s="408"/>
      <c r="S2552" s="408"/>
      <c r="T2552" s="408"/>
      <c r="U2552" s="408"/>
      <c r="V2552" s="421"/>
      <c r="W2552" s="421"/>
      <c r="X2552" s="421"/>
      <c r="Y2552" s="421"/>
      <c r="Z2552" s="421"/>
      <c r="AA2552" s="421"/>
      <c r="AB2552" s="421"/>
      <c r="AC2552" s="421"/>
      <c r="AD2552" s="421"/>
      <c r="AE2552" s="421"/>
      <c r="AF2552" s="421"/>
      <c r="AG2552" s="421"/>
      <c r="AH2552" s="421"/>
      <c r="AI2552" s="421"/>
      <c r="AJ2552" s="421"/>
      <c r="AK2552" s="421"/>
      <c r="AL2552" s="421"/>
    </row>
    <row r="2553" spans="1:38" hidden="1">
      <c r="A2553" s="408"/>
      <c r="B2553" s="83" t="e">
        <f t="array" ref="B2553">SUM(--(FREQUENCY(IF(C$2:C$3072=C2553, MATCH(D$2:D$3072, D$2:D$3072, 0)), ROW(D$2:D$3072)-ROW(D$2)+1) &gt; 0))</f>
        <v>#N/A</v>
      </c>
      <c r="C2553" s="408"/>
      <c r="D2553" s="408"/>
      <c r="E2553" s="408"/>
      <c r="F2553" s="408"/>
      <c r="G2553" s="408"/>
      <c r="H2553" s="408"/>
      <c r="I2553" s="408"/>
      <c r="J2553" s="408"/>
      <c r="K2553" s="408"/>
      <c r="L2553" s="408"/>
      <c r="M2553" s="408"/>
      <c r="N2553" s="408" t="str">
        <f t="shared" si="466"/>
        <v/>
      </c>
      <c r="O2553" s="408"/>
      <c r="P2553" s="408"/>
      <c r="Q2553" s="408"/>
      <c r="R2553" s="408"/>
      <c r="S2553" s="408"/>
      <c r="T2553" s="408"/>
      <c r="U2553" s="408"/>
      <c r="V2553" s="421"/>
      <c r="W2553" s="421"/>
      <c r="X2553" s="421"/>
      <c r="Y2553" s="421"/>
      <c r="Z2553" s="421"/>
      <c r="AA2553" s="421"/>
      <c r="AB2553" s="421"/>
      <c r="AC2553" s="421"/>
      <c r="AD2553" s="421"/>
      <c r="AE2553" s="421"/>
      <c r="AF2553" s="421"/>
      <c r="AG2553" s="421"/>
      <c r="AH2553" s="421"/>
      <c r="AI2553" s="421"/>
      <c r="AJ2553" s="421"/>
      <c r="AK2553" s="421"/>
      <c r="AL2553" s="421"/>
    </row>
    <row r="2554" spans="1:38" hidden="1">
      <c r="A2554" s="408"/>
      <c r="B2554" s="83" t="e">
        <f t="array" ref="B2554">SUM(--(FREQUENCY(IF(C$2:C$3072=C2554, MATCH(D$2:D$3072, D$2:D$3072, 0)), ROW(D$2:D$3072)-ROW(D$2)+1) &gt; 0))</f>
        <v>#N/A</v>
      </c>
      <c r="C2554" s="408"/>
      <c r="D2554" s="408"/>
      <c r="E2554" s="408"/>
      <c r="F2554" s="408"/>
      <c r="G2554" s="408"/>
      <c r="H2554" s="408"/>
      <c r="I2554" s="408"/>
      <c r="J2554" s="408"/>
      <c r="K2554" s="408"/>
      <c r="L2554" s="408"/>
      <c r="M2554" s="408"/>
      <c r="N2554" s="408" t="str">
        <f t="shared" si="466"/>
        <v/>
      </c>
      <c r="O2554" s="408"/>
      <c r="P2554" s="408"/>
      <c r="Q2554" s="408"/>
      <c r="R2554" s="408"/>
      <c r="S2554" s="408"/>
      <c r="T2554" s="408"/>
      <c r="U2554" s="408"/>
      <c r="V2554" s="421"/>
      <c r="W2554" s="421"/>
      <c r="X2554" s="421"/>
      <c r="Y2554" s="421"/>
      <c r="Z2554" s="421"/>
      <c r="AA2554" s="421"/>
      <c r="AB2554" s="421"/>
      <c r="AC2554" s="421"/>
      <c r="AD2554" s="421"/>
      <c r="AE2554" s="421"/>
      <c r="AF2554" s="421"/>
      <c r="AG2554" s="421"/>
      <c r="AH2554" s="421"/>
      <c r="AI2554" s="421"/>
      <c r="AJ2554" s="421"/>
      <c r="AK2554" s="421"/>
      <c r="AL2554" s="421"/>
    </row>
    <row r="2555" spans="1:38" hidden="1">
      <c r="A2555" s="408"/>
      <c r="B2555" s="83" t="e">
        <f t="array" ref="B2555">SUM(--(FREQUENCY(IF(C$2:C$3072=C2555, MATCH(D$2:D$3072, D$2:D$3072, 0)), ROW(D$2:D$3072)-ROW(D$2)+1) &gt; 0))</f>
        <v>#N/A</v>
      </c>
      <c r="C2555" s="408"/>
      <c r="D2555" s="408"/>
      <c r="E2555" s="408"/>
      <c r="F2555" s="408"/>
      <c r="G2555" s="408"/>
      <c r="H2555" s="408"/>
      <c r="I2555" s="408"/>
      <c r="J2555" s="408"/>
      <c r="K2555" s="408"/>
      <c r="L2555" s="408"/>
      <c r="M2555" s="408"/>
      <c r="N2555" s="408" t="str">
        <f t="shared" si="466"/>
        <v/>
      </c>
      <c r="O2555" s="408"/>
      <c r="P2555" s="408"/>
      <c r="Q2555" s="408"/>
      <c r="R2555" s="408"/>
      <c r="S2555" s="408"/>
      <c r="T2555" s="408"/>
      <c r="U2555" s="408"/>
      <c r="V2555" s="421"/>
      <c r="W2555" s="421"/>
      <c r="X2555" s="421"/>
      <c r="Y2555" s="421"/>
      <c r="Z2555" s="421"/>
      <c r="AA2555" s="421"/>
      <c r="AB2555" s="421"/>
      <c r="AC2555" s="421"/>
      <c r="AD2555" s="421"/>
      <c r="AE2555" s="421"/>
      <c r="AF2555" s="421"/>
      <c r="AG2555" s="421"/>
      <c r="AH2555" s="421"/>
      <c r="AI2555" s="421"/>
      <c r="AJ2555" s="421"/>
      <c r="AK2555" s="421"/>
      <c r="AL2555" s="421"/>
    </row>
    <row r="2556" spans="1:38" hidden="1">
      <c r="A2556" s="408"/>
      <c r="B2556" s="83" t="e">
        <f t="array" ref="B2556">SUM(--(FREQUENCY(IF(C$2:C$3072=C2556, MATCH(D$2:D$3072, D$2:D$3072, 0)), ROW(D$2:D$3072)-ROW(D$2)+1) &gt; 0))</f>
        <v>#N/A</v>
      </c>
      <c r="C2556" s="408"/>
      <c r="D2556" s="408"/>
      <c r="E2556" s="408"/>
      <c r="F2556" s="408"/>
      <c r="G2556" s="408"/>
      <c r="H2556" s="408"/>
      <c r="I2556" s="408"/>
      <c r="J2556" s="408"/>
      <c r="K2556" s="408"/>
      <c r="L2556" s="408"/>
      <c r="M2556" s="408"/>
      <c r="N2556" s="408" t="str">
        <f t="shared" si="466"/>
        <v/>
      </c>
      <c r="O2556" s="408"/>
      <c r="P2556" s="408"/>
      <c r="Q2556" s="408"/>
      <c r="R2556" s="408"/>
      <c r="S2556" s="408"/>
      <c r="T2556" s="408"/>
      <c r="U2556" s="408"/>
      <c r="V2556" s="421"/>
      <c r="W2556" s="421"/>
      <c r="X2556" s="421"/>
      <c r="Y2556" s="421"/>
      <c r="Z2556" s="421"/>
      <c r="AA2556" s="421"/>
      <c r="AB2556" s="421"/>
      <c r="AC2556" s="421"/>
      <c r="AD2556" s="421"/>
      <c r="AE2556" s="421"/>
      <c r="AF2556" s="421"/>
      <c r="AG2556" s="421"/>
      <c r="AH2556" s="421"/>
      <c r="AI2556" s="421"/>
      <c r="AJ2556" s="421"/>
      <c r="AK2556" s="421"/>
      <c r="AL2556" s="421"/>
    </row>
    <row r="2557" spans="1:38" hidden="1">
      <c r="A2557" s="408"/>
      <c r="B2557" s="83" t="e">
        <f t="array" ref="B2557">SUM(--(FREQUENCY(IF(C$2:C$3072=C2557, MATCH(D$2:D$3072, D$2:D$3072, 0)), ROW(D$2:D$3072)-ROW(D$2)+1) &gt; 0))</f>
        <v>#N/A</v>
      </c>
      <c r="C2557" s="408"/>
      <c r="D2557" s="408"/>
      <c r="E2557" s="408"/>
      <c r="F2557" s="408"/>
      <c r="G2557" s="408"/>
      <c r="H2557" s="408"/>
      <c r="I2557" s="408"/>
      <c r="J2557" s="408"/>
      <c r="K2557" s="408"/>
      <c r="L2557" s="408"/>
      <c r="M2557" s="408"/>
      <c r="N2557" s="408" t="str">
        <f t="shared" si="466"/>
        <v/>
      </c>
      <c r="O2557" s="408"/>
      <c r="P2557" s="408"/>
      <c r="Q2557" s="408"/>
      <c r="R2557" s="408"/>
      <c r="S2557" s="408"/>
      <c r="T2557" s="408"/>
      <c r="U2557" s="408"/>
      <c r="V2557" s="421"/>
      <c r="W2557" s="421"/>
      <c r="X2557" s="421"/>
      <c r="Y2557" s="421"/>
      <c r="Z2557" s="421"/>
      <c r="AA2557" s="421"/>
      <c r="AB2557" s="421"/>
      <c r="AC2557" s="421"/>
      <c r="AD2557" s="421"/>
      <c r="AE2557" s="421"/>
      <c r="AF2557" s="421"/>
      <c r="AG2557" s="421"/>
      <c r="AH2557" s="421"/>
      <c r="AI2557" s="421"/>
      <c r="AJ2557" s="421"/>
      <c r="AK2557" s="421"/>
      <c r="AL2557" s="421"/>
    </row>
    <row r="2558" spans="1:38" hidden="1">
      <c r="A2558" s="408"/>
      <c r="B2558" s="83" t="e">
        <f t="array" ref="B2558">SUM(--(FREQUENCY(IF(C$2:C$3072=C2558, MATCH(D$2:D$3072, D$2:D$3072, 0)), ROW(D$2:D$3072)-ROW(D$2)+1) &gt; 0))</f>
        <v>#N/A</v>
      </c>
      <c r="C2558" s="408"/>
      <c r="D2558" s="408"/>
      <c r="E2558" s="408"/>
      <c r="F2558" s="408"/>
      <c r="G2558" s="408"/>
      <c r="H2558" s="408"/>
      <c r="I2558" s="408"/>
      <c r="J2558" s="408"/>
      <c r="K2558" s="408"/>
      <c r="L2558" s="408"/>
      <c r="M2558" s="408"/>
      <c r="N2558" s="408" t="str">
        <f t="shared" si="466"/>
        <v/>
      </c>
      <c r="O2558" s="408"/>
      <c r="P2558" s="408"/>
      <c r="Q2558" s="408"/>
      <c r="R2558" s="408"/>
      <c r="S2558" s="408"/>
      <c r="T2558" s="408"/>
      <c r="U2558" s="408"/>
      <c r="V2558" s="421"/>
      <c r="W2558" s="421"/>
      <c r="X2558" s="421"/>
      <c r="Y2558" s="421"/>
      <c r="Z2558" s="421"/>
      <c r="AA2558" s="421"/>
      <c r="AB2558" s="421"/>
      <c r="AC2558" s="421"/>
      <c r="AD2558" s="421"/>
      <c r="AE2558" s="421"/>
      <c r="AF2558" s="421"/>
      <c r="AG2558" s="421"/>
      <c r="AH2558" s="421"/>
      <c r="AI2558" s="421"/>
      <c r="AJ2558" s="421"/>
      <c r="AK2558" s="421"/>
      <c r="AL2558" s="421"/>
    </row>
    <row r="2559" spans="1:38" hidden="1">
      <c r="A2559" s="408"/>
      <c r="B2559" s="83" t="e">
        <f t="array" ref="B2559">SUM(--(FREQUENCY(IF(C$2:C$3072=C2559, MATCH(D$2:D$3072, D$2:D$3072, 0)), ROW(D$2:D$3072)-ROW(D$2)+1) &gt; 0))</f>
        <v>#N/A</v>
      </c>
      <c r="C2559" s="408"/>
      <c r="D2559" s="408"/>
      <c r="E2559" s="408"/>
      <c r="F2559" s="408"/>
      <c r="G2559" s="408"/>
      <c r="H2559" s="408"/>
      <c r="I2559" s="408"/>
      <c r="J2559" s="408"/>
      <c r="K2559" s="408"/>
      <c r="L2559" s="408"/>
      <c r="M2559" s="408"/>
      <c r="N2559" s="408" t="str">
        <f t="shared" si="466"/>
        <v/>
      </c>
      <c r="O2559" s="408"/>
      <c r="P2559" s="408"/>
      <c r="Q2559" s="408"/>
      <c r="R2559" s="408"/>
      <c r="S2559" s="408"/>
      <c r="T2559" s="408"/>
      <c r="U2559" s="408"/>
      <c r="V2559" s="421"/>
      <c r="W2559" s="421"/>
      <c r="X2559" s="421"/>
      <c r="Y2559" s="421"/>
      <c r="Z2559" s="421"/>
      <c r="AA2559" s="421"/>
      <c r="AB2559" s="421"/>
      <c r="AC2559" s="421"/>
      <c r="AD2559" s="421"/>
      <c r="AE2559" s="421"/>
      <c r="AF2559" s="421"/>
      <c r="AG2559" s="421"/>
      <c r="AH2559" s="421"/>
      <c r="AI2559" s="421"/>
      <c r="AJ2559" s="421"/>
      <c r="AK2559" s="421"/>
      <c r="AL2559" s="421"/>
    </row>
    <row r="2560" spans="1:38" hidden="1">
      <c r="A2560" s="408"/>
      <c r="B2560" s="83" t="e">
        <f t="array" ref="B2560">SUM(--(FREQUENCY(IF(C$2:C$3072=C2560, MATCH(D$2:D$3072, D$2:D$3072, 0)), ROW(D$2:D$3072)-ROW(D$2)+1) &gt; 0))</f>
        <v>#N/A</v>
      </c>
      <c r="C2560" s="408"/>
      <c r="D2560" s="408"/>
      <c r="E2560" s="408"/>
      <c r="F2560" s="408"/>
      <c r="G2560" s="408"/>
      <c r="H2560" s="408"/>
      <c r="I2560" s="408"/>
      <c r="J2560" s="408"/>
      <c r="K2560" s="408"/>
      <c r="L2560" s="408"/>
      <c r="M2560" s="408"/>
      <c r="N2560" s="408" t="str">
        <f t="shared" ref="N2560:N2623" si="467">IF(O2560&lt;&gt;"", "NG", "")</f>
        <v/>
      </c>
      <c r="O2560" s="408"/>
      <c r="P2560" s="408"/>
      <c r="Q2560" s="408"/>
      <c r="R2560" s="408"/>
      <c r="S2560" s="408"/>
      <c r="T2560" s="408"/>
      <c r="U2560" s="408"/>
      <c r="V2560" s="421"/>
      <c r="W2560" s="421"/>
      <c r="X2560" s="421"/>
      <c r="Y2560" s="421"/>
      <c r="Z2560" s="421"/>
      <c r="AA2560" s="421"/>
      <c r="AB2560" s="421"/>
      <c r="AC2560" s="421"/>
      <c r="AD2560" s="421"/>
      <c r="AE2560" s="421"/>
      <c r="AF2560" s="421"/>
      <c r="AG2560" s="421"/>
      <c r="AH2560" s="421"/>
      <c r="AI2560" s="421"/>
      <c r="AJ2560" s="421"/>
      <c r="AK2560" s="421"/>
      <c r="AL2560" s="421"/>
    </row>
    <row r="2561" spans="1:38" hidden="1">
      <c r="A2561" s="408"/>
      <c r="B2561" s="83" t="e">
        <f t="array" ref="B2561">SUM(--(FREQUENCY(IF(C$2:C$3072=C2561, MATCH(D$2:D$3072, D$2:D$3072, 0)), ROW(D$2:D$3072)-ROW(D$2)+1) &gt; 0))</f>
        <v>#N/A</v>
      </c>
      <c r="C2561" s="408"/>
      <c r="D2561" s="408"/>
      <c r="E2561" s="408"/>
      <c r="F2561" s="408"/>
      <c r="G2561" s="408"/>
      <c r="H2561" s="408"/>
      <c r="I2561" s="408"/>
      <c r="J2561" s="408"/>
      <c r="K2561" s="408"/>
      <c r="L2561" s="408"/>
      <c r="M2561" s="408"/>
      <c r="N2561" s="408" t="str">
        <f t="shared" si="467"/>
        <v/>
      </c>
      <c r="O2561" s="408"/>
      <c r="P2561" s="408"/>
      <c r="Q2561" s="408"/>
      <c r="R2561" s="408"/>
      <c r="S2561" s="408"/>
      <c r="T2561" s="408"/>
      <c r="U2561" s="408"/>
      <c r="V2561" s="421"/>
      <c r="W2561" s="421"/>
      <c r="X2561" s="421"/>
      <c r="Y2561" s="421"/>
      <c r="Z2561" s="421"/>
      <c r="AA2561" s="421"/>
      <c r="AB2561" s="421"/>
      <c r="AC2561" s="421"/>
      <c r="AD2561" s="421"/>
      <c r="AE2561" s="421"/>
      <c r="AF2561" s="421"/>
      <c r="AG2561" s="421"/>
      <c r="AH2561" s="421"/>
      <c r="AI2561" s="421"/>
      <c r="AJ2561" s="421"/>
      <c r="AK2561" s="421"/>
      <c r="AL2561" s="421"/>
    </row>
    <row r="2562" spans="1:38" hidden="1">
      <c r="A2562" s="408"/>
      <c r="B2562" s="83" t="e">
        <f t="array" ref="B2562">SUM(--(FREQUENCY(IF(C$2:C$3072=C2562, MATCH(D$2:D$3072, D$2:D$3072, 0)), ROW(D$2:D$3072)-ROW(D$2)+1) &gt; 0))</f>
        <v>#N/A</v>
      </c>
      <c r="C2562" s="408"/>
      <c r="D2562" s="408"/>
      <c r="E2562" s="408"/>
      <c r="F2562" s="408"/>
      <c r="G2562" s="408"/>
      <c r="H2562" s="408"/>
      <c r="I2562" s="408"/>
      <c r="J2562" s="408"/>
      <c r="K2562" s="408"/>
      <c r="L2562" s="408"/>
      <c r="M2562" s="408"/>
      <c r="N2562" s="408" t="str">
        <f t="shared" si="467"/>
        <v/>
      </c>
      <c r="O2562" s="408"/>
      <c r="P2562" s="408"/>
      <c r="Q2562" s="408"/>
      <c r="R2562" s="408"/>
      <c r="S2562" s="408"/>
      <c r="T2562" s="408"/>
      <c r="U2562" s="408"/>
      <c r="V2562" s="421"/>
      <c r="W2562" s="421"/>
      <c r="X2562" s="421"/>
      <c r="Y2562" s="421"/>
      <c r="Z2562" s="421"/>
      <c r="AA2562" s="421"/>
      <c r="AB2562" s="421"/>
      <c r="AC2562" s="421"/>
      <c r="AD2562" s="421"/>
      <c r="AE2562" s="421"/>
      <c r="AF2562" s="421"/>
      <c r="AG2562" s="421"/>
      <c r="AH2562" s="421"/>
      <c r="AI2562" s="421"/>
      <c r="AJ2562" s="421"/>
      <c r="AK2562" s="421"/>
      <c r="AL2562" s="421"/>
    </row>
    <row r="2563" spans="1:38" hidden="1">
      <c r="A2563" s="408"/>
      <c r="B2563" s="83" t="e">
        <f t="array" ref="B2563">SUM(--(FREQUENCY(IF(C$2:C$3072=C2563, MATCH(D$2:D$3072, D$2:D$3072, 0)), ROW(D$2:D$3072)-ROW(D$2)+1) &gt; 0))</f>
        <v>#N/A</v>
      </c>
      <c r="C2563" s="408"/>
      <c r="D2563" s="408"/>
      <c r="E2563" s="408"/>
      <c r="F2563" s="408"/>
      <c r="G2563" s="408"/>
      <c r="H2563" s="408"/>
      <c r="I2563" s="408"/>
      <c r="J2563" s="408"/>
      <c r="K2563" s="408"/>
      <c r="L2563" s="408"/>
      <c r="M2563" s="408"/>
      <c r="N2563" s="408" t="str">
        <f t="shared" si="467"/>
        <v/>
      </c>
      <c r="O2563" s="408"/>
      <c r="P2563" s="408"/>
      <c r="Q2563" s="408"/>
      <c r="R2563" s="408"/>
      <c r="S2563" s="408"/>
      <c r="T2563" s="408"/>
      <c r="U2563" s="408"/>
      <c r="V2563" s="421"/>
      <c r="W2563" s="421"/>
      <c r="X2563" s="421"/>
      <c r="Y2563" s="421"/>
      <c r="Z2563" s="421"/>
      <c r="AA2563" s="421"/>
      <c r="AB2563" s="421"/>
      <c r="AC2563" s="421"/>
      <c r="AD2563" s="421"/>
      <c r="AE2563" s="421"/>
      <c r="AF2563" s="421"/>
      <c r="AG2563" s="421"/>
      <c r="AH2563" s="421"/>
      <c r="AI2563" s="421"/>
      <c r="AJ2563" s="421"/>
      <c r="AK2563" s="421"/>
      <c r="AL2563" s="421"/>
    </row>
    <row r="2564" spans="1:38" hidden="1">
      <c r="A2564" s="408"/>
      <c r="B2564" s="83" t="e">
        <f t="array" ref="B2564">SUM(--(FREQUENCY(IF(C$2:C$3072=C2564, MATCH(D$2:D$3072, D$2:D$3072, 0)), ROW(D$2:D$3072)-ROW(D$2)+1) &gt; 0))</f>
        <v>#N/A</v>
      </c>
      <c r="C2564" s="408"/>
      <c r="D2564" s="408"/>
      <c r="E2564" s="408"/>
      <c r="F2564" s="408"/>
      <c r="G2564" s="408"/>
      <c r="H2564" s="408"/>
      <c r="I2564" s="408"/>
      <c r="J2564" s="408"/>
      <c r="K2564" s="408"/>
      <c r="L2564" s="408"/>
      <c r="M2564" s="408"/>
      <c r="N2564" s="408" t="str">
        <f t="shared" si="467"/>
        <v/>
      </c>
      <c r="O2564" s="408"/>
      <c r="P2564" s="408"/>
      <c r="Q2564" s="408"/>
      <c r="R2564" s="408"/>
      <c r="S2564" s="408"/>
      <c r="T2564" s="408"/>
      <c r="U2564" s="408"/>
      <c r="V2564" s="421"/>
      <c r="W2564" s="421"/>
      <c r="X2564" s="421"/>
      <c r="Y2564" s="421"/>
      <c r="Z2564" s="421"/>
      <c r="AA2564" s="421"/>
      <c r="AB2564" s="421"/>
      <c r="AC2564" s="421"/>
      <c r="AD2564" s="421"/>
      <c r="AE2564" s="421"/>
      <c r="AF2564" s="421"/>
      <c r="AG2564" s="421"/>
      <c r="AH2564" s="421"/>
      <c r="AI2564" s="421"/>
      <c r="AJ2564" s="421"/>
      <c r="AK2564" s="421"/>
      <c r="AL2564" s="421"/>
    </row>
    <row r="2565" spans="1:38" hidden="1">
      <c r="A2565" s="408"/>
      <c r="B2565" s="83" t="e">
        <f t="array" ref="B2565">SUM(--(FREQUENCY(IF(C$2:C$3072=C2565, MATCH(D$2:D$3072, D$2:D$3072, 0)), ROW(D$2:D$3072)-ROW(D$2)+1) &gt; 0))</f>
        <v>#N/A</v>
      </c>
      <c r="C2565" s="408"/>
      <c r="D2565" s="408"/>
      <c r="E2565" s="408"/>
      <c r="F2565" s="408"/>
      <c r="G2565" s="408"/>
      <c r="H2565" s="408"/>
      <c r="I2565" s="408"/>
      <c r="J2565" s="408"/>
      <c r="K2565" s="408"/>
      <c r="L2565" s="408"/>
      <c r="M2565" s="408"/>
      <c r="N2565" s="408" t="str">
        <f t="shared" si="467"/>
        <v/>
      </c>
      <c r="O2565" s="408"/>
      <c r="P2565" s="408"/>
      <c r="Q2565" s="408"/>
      <c r="R2565" s="408"/>
      <c r="S2565" s="408"/>
      <c r="T2565" s="408"/>
      <c r="U2565" s="408"/>
      <c r="V2565" s="421"/>
      <c r="W2565" s="421"/>
      <c r="X2565" s="421"/>
      <c r="Y2565" s="421"/>
      <c r="Z2565" s="421"/>
      <c r="AA2565" s="421"/>
      <c r="AB2565" s="421"/>
      <c r="AC2565" s="421"/>
      <c r="AD2565" s="421"/>
      <c r="AE2565" s="421"/>
      <c r="AF2565" s="421"/>
      <c r="AG2565" s="421"/>
      <c r="AH2565" s="421"/>
      <c r="AI2565" s="421"/>
      <c r="AJ2565" s="421"/>
      <c r="AK2565" s="421"/>
      <c r="AL2565" s="421"/>
    </row>
    <row r="2566" spans="1:38" hidden="1">
      <c r="A2566" s="408"/>
      <c r="B2566" s="83" t="e">
        <f t="array" ref="B2566">SUM(--(FREQUENCY(IF(C$2:C$3072=C2566, MATCH(D$2:D$3072, D$2:D$3072, 0)), ROW(D$2:D$3072)-ROW(D$2)+1) &gt; 0))</f>
        <v>#N/A</v>
      </c>
      <c r="C2566" s="408"/>
      <c r="D2566" s="408"/>
      <c r="E2566" s="408"/>
      <c r="F2566" s="408"/>
      <c r="G2566" s="408"/>
      <c r="H2566" s="408"/>
      <c r="I2566" s="408"/>
      <c r="J2566" s="408"/>
      <c r="K2566" s="408"/>
      <c r="L2566" s="408"/>
      <c r="M2566" s="408"/>
      <c r="N2566" s="408" t="str">
        <f t="shared" si="467"/>
        <v/>
      </c>
      <c r="O2566" s="408"/>
      <c r="P2566" s="408"/>
      <c r="Q2566" s="408"/>
      <c r="R2566" s="408"/>
      <c r="S2566" s="408"/>
      <c r="T2566" s="408"/>
      <c r="U2566" s="408"/>
      <c r="V2566" s="421"/>
      <c r="W2566" s="421"/>
      <c r="X2566" s="421"/>
      <c r="Y2566" s="421"/>
      <c r="Z2566" s="421"/>
      <c r="AA2566" s="421"/>
      <c r="AB2566" s="421"/>
      <c r="AC2566" s="421"/>
      <c r="AD2566" s="421"/>
      <c r="AE2566" s="421"/>
      <c r="AF2566" s="421"/>
      <c r="AG2566" s="421"/>
      <c r="AH2566" s="421"/>
      <c r="AI2566" s="421"/>
      <c r="AJ2566" s="421"/>
      <c r="AK2566" s="421"/>
      <c r="AL2566" s="421"/>
    </row>
    <row r="2567" spans="1:38" hidden="1">
      <c r="A2567" s="408"/>
      <c r="B2567" s="83" t="e">
        <f t="array" ref="B2567">SUM(--(FREQUENCY(IF(C$2:C$3072=C2567, MATCH(D$2:D$3072, D$2:D$3072, 0)), ROW(D$2:D$3072)-ROW(D$2)+1) &gt; 0))</f>
        <v>#N/A</v>
      </c>
      <c r="C2567" s="408"/>
      <c r="D2567" s="408"/>
      <c r="E2567" s="408"/>
      <c r="F2567" s="408"/>
      <c r="G2567" s="408"/>
      <c r="H2567" s="408"/>
      <c r="I2567" s="408"/>
      <c r="J2567" s="408"/>
      <c r="K2567" s="408"/>
      <c r="L2567" s="408"/>
      <c r="M2567" s="408"/>
      <c r="N2567" s="408" t="str">
        <f t="shared" si="467"/>
        <v/>
      </c>
      <c r="O2567" s="408"/>
      <c r="P2567" s="408"/>
      <c r="Q2567" s="408"/>
      <c r="R2567" s="408"/>
      <c r="S2567" s="408"/>
      <c r="T2567" s="408"/>
      <c r="U2567" s="408"/>
      <c r="V2567" s="421"/>
      <c r="W2567" s="421"/>
      <c r="X2567" s="421"/>
      <c r="Y2567" s="421"/>
      <c r="Z2567" s="421"/>
      <c r="AA2567" s="421"/>
      <c r="AB2567" s="421"/>
      <c r="AC2567" s="421"/>
      <c r="AD2567" s="421"/>
      <c r="AE2567" s="421"/>
      <c r="AF2567" s="421"/>
      <c r="AG2567" s="421"/>
      <c r="AH2567" s="421"/>
      <c r="AI2567" s="421"/>
      <c r="AJ2567" s="421"/>
      <c r="AK2567" s="421"/>
      <c r="AL2567" s="421"/>
    </row>
    <row r="2568" spans="1:38" hidden="1">
      <c r="A2568" s="408"/>
      <c r="B2568" s="83" t="e">
        <f t="array" ref="B2568">SUM(--(FREQUENCY(IF(C$2:C$3072=C2568, MATCH(D$2:D$3072, D$2:D$3072, 0)), ROW(D$2:D$3072)-ROW(D$2)+1) &gt; 0))</f>
        <v>#N/A</v>
      </c>
      <c r="C2568" s="408"/>
      <c r="D2568" s="408"/>
      <c r="E2568" s="408"/>
      <c r="F2568" s="408"/>
      <c r="G2568" s="408"/>
      <c r="H2568" s="408"/>
      <c r="I2568" s="408"/>
      <c r="J2568" s="408"/>
      <c r="K2568" s="408"/>
      <c r="L2568" s="408"/>
      <c r="M2568" s="408"/>
      <c r="N2568" s="408" t="str">
        <f t="shared" si="467"/>
        <v/>
      </c>
      <c r="O2568" s="408"/>
      <c r="P2568" s="408"/>
      <c r="Q2568" s="408"/>
      <c r="R2568" s="408"/>
      <c r="S2568" s="408"/>
      <c r="T2568" s="408"/>
      <c r="U2568" s="408"/>
      <c r="V2568" s="421"/>
      <c r="W2568" s="421"/>
      <c r="X2568" s="421"/>
      <c r="Y2568" s="421"/>
      <c r="Z2568" s="421"/>
      <c r="AA2568" s="421"/>
      <c r="AB2568" s="421"/>
      <c r="AC2568" s="421"/>
      <c r="AD2568" s="421"/>
      <c r="AE2568" s="421"/>
      <c r="AF2568" s="421"/>
      <c r="AG2568" s="421"/>
      <c r="AH2568" s="421"/>
      <c r="AI2568" s="421"/>
      <c r="AJ2568" s="421"/>
      <c r="AK2568" s="421"/>
      <c r="AL2568" s="421"/>
    </row>
    <row r="2569" spans="1:38" hidden="1">
      <c r="A2569" s="408"/>
      <c r="B2569" s="83" t="e">
        <f t="array" ref="B2569">SUM(--(FREQUENCY(IF(C$2:C$3072=C2569, MATCH(D$2:D$3072, D$2:D$3072, 0)), ROW(D$2:D$3072)-ROW(D$2)+1) &gt; 0))</f>
        <v>#N/A</v>
      </c>
      <c r="C2569" s="408"/>
      <c r="D2569" s="408"/>
      <c r="E2569" s="408"/>
      <c r="F2569" s="408"/>
      <c r="G2569" s="408"/>
      <c r="H2569" s="408"/>
      <c r="I2569" s="408"/>
      <c r="J2569" s="408"/>
      <c r="K2569" s="408"/>
      <c r="L2569" s="408"/>
      <c r="M2569" s="408"/>
      <c r="N2569" s="408" t="str">
        <f t="shared" si="467"/>
        <v/>
      </c>
      <c r="O2569" s="408"/>
      <c r="P2569" s="408"/>
      <c r="Q2569" s="408"/>
      <c r="R2569" s="408"/>
      <c r="S2569" s="408"/>
      <c r="T2569" s="408"/>
      <c r="U2569" s="408"/>
      <c r="V2569" s="421"/>
      <c r="W2569" s="421"/>
      <c r="X2569" s="421"/>
      <c r="Y2569" s="421"/>
      <c r="Z2569" s="421"/>
      <c r="AA2569" s="421"/>
      <c r="AB2569" s="421"/>
      <c r="AC2569" s="421"/>
      <c r="AD2569" s="421"/>
      <c r="AE2569" s="421"/>
      <c r="AF2569" s="421"/>
      <c r="AG2569" s="421"/>
      <c r="AH2569" s="421"/>
      <c r="AI2569" s="421"/>
      <c r="AJ2569" s="421"/>
      <c r="AK2569" s="421"/>
      <c r="AL2569" s="421"/>
    </row>
    <row r="2570" spans="1:38" hidden="1">
      <c r="A2570" s="408"/>
      <c r="B2570" s="83" t="e">
        <f t="array" ref="B2570">SUM(--(FREQUENCY(IF(C$2:C$3072=C2570, MATCH(D$2:D$3072, D$2:D$3072, 0)), ROW(D$2:D$3072)-ROW(D$2)+1) &gt; 0))</f>
        <v>#N/A</v>
      </c>
      <c r="C2570" s="408"/>
      <c r="D2570" s="408"/>
      <c r="E2570" s="408"/>
      <c r="F2570" s="408"/>
      <c r="G2570" s="408"/>
      <c r="H2570" s="408"/>
      <c r="I2570" s="408"/>
      <c r="J2570" s="408"/>
      <c r="K2570" s="408"/>
      <c r="L2570" s="408"/>
      <c r="M2570" s="408"/>
      <c r="N2570" s="408" t="str">
        <f t="shared" si="467"/>
        <v/>
      </c>
      <c r="O2570" s="408"/>
      <c r="P2570" s="408"/>
      <c r="Q2570" s="408"/>
      <c r="R2570" s="408"/>
      <c r="S2570" s="408"/>
      <c r="T2570" s="408"/>
      <c r="U2570" s="408"/>
      <c r="V2570" s="421"/>
      <c r="W2570" s="421"/>
      <c r="X2570" s="421"/>
      <c r="Y2570" s="421"/>
      <c r="Z2570" s="421"/>
      <c r="AA2570" s="421"/>
      <c r="AB2570" s="421"/>
      <c r="AC2570" s="421"/>
      <c r="AD2570" s="421"/>
      <c r="AE2570" s="421"/>
      <c r="AF2570" s="421"/>
      <c r="AG2570" s="421"/>
      <c r="AH2570" s="421"/>
      <c r="AI2570" s="421"/>
      <c r="AJ2570" s="421"/>
      <c r="AK2570" s="421"/>
      <c r="AL2570" s="421"/>
    </row>
    <row r="2571" spans="1:38" hidden="1">
      <c r="A2571" s="408"/>
      <c r="B2571" s="83" t="e">
        <f t="array" ref="B2571">SUM(--(FREQUENCY(IF(C$2:C$3072=C2571, MATCH(D$2:D$3072, D$2:D$3072, 0)), ROW(D$2:D$3072)-ROW(D$2)+1) &gt; 0))</f>
        <v>#N/A</v>
      </c>
      <c r="C2571" s="408"/>
      <c r="D2571" s="408"/>
      <c r="E2571" s="408"/>
      <c r="F2571" s="408"/>
      <c r="G2571" s="408"/>
      <c r="H2571" s="408"/>
      <c r="I2571" s="408"/>
      <c r="J2571" s="408"/>
      <c r="K2571" s="408"/>
      <c r="L2571" s="408"/>
      <c r="M2571" s="408"/>
      <c r="N2571" s="408" t="str">
        <f t="shared" si="467"/>
        <v/>
      </c>
      <c r="O2571" s="408"/>
      <c r="P2571" s="408"/>
      <c r="Q2571" s="408"/>
      <c r="R2571" s="408"/>
      <c r="S2571" s="408"/>
      <c r="T2571" s="408"/>
      <c r="U2571" s="408"/>
      <c r="V2571" s="421"/>
      <c r="W2571" s="421"/>
      <c r="X2571" s="421"/>
      <c r="Y2571" s="421"/>
      <c r="Z2571" s="421"/>
      <c r="AA2571" s="421"/>
      <c r="AB2571" s="421"/>
      <c r="AC2571" s="421"/>
      <c r="AD2571" s="421"/>
      <c r="AE2571" s="421"/>
      <c r="AF2571" s="421"/>
      <c r="AG2571" s="421"/>
      <c r="AH2571" s="421"/>
      <c r="AI2571" s="421"/>
      <c r="AJ2571" s="421"/>
      <c r="AK2571" s="421"/>
      <c r="AL2571" s="421"/>
    </row>
    <row r="2572" spans="1:38" hidden="1">
      <c r="A2572" s="408"/>
      <c r="B2572" s="83" t="e">
        <f t="array" ref="B2572">SUM(--(FREQUENCY(IF(C$2:C$3072=C2572, MATCH(D$2:D$3072, D$2:D$3072, 0)), ROW(D$2:D$3072)-ROW(D$2)+1) &gt; 0))</f>
        <v>#N/A</v>
      </c>
      <c r="C2572" s="408"/>
      <c r="D2572" s="408"/>
      <c r="E2572" s="408"/>
      <c r="F2572" s="408"/>
      <c r="G2572" s="408"/>
      <c r="H2572" s="408"/>
      <c r="I2572" s="408"/>
      <c r="J2572" s="408"/>
      <c r="K2572" s="408"/>
      <c r="L2572" s="408"/>
      <c r="M2572" s="408"/>
      <c r="N2572" s="408" t="str">
        <f t="shared" si="467"/>
        <v/>
      </c>
      <c r="O2572" s="408"/>
      <c r="P2572" s="408"/>
      <c r="Q2572" s="408"/>
      <c r="R2572" s="408"/>
      <c r="S2572" s="408"/>
      <c r="T2572" s="408"/>
      <c r="U2572" s="408"/>
      <c r="V2572" s="421"/>
      <c r="W2572" s="421"/>
      <c r="X2572" s="421"/>
      <c r="Y2572" s="421"/>
      <c r="Z2572" s="421"/>
      <c r="AA2572" s="421"/>
      <c r="AB2572" s="421"/>
      <c r="AC2572" s="421"/>
      <c r="AD2572" s="421"/>
      <c r="AE2572" s="421"/>
      <c r="AF2572" s="421"/>
      <c r="AG2572" s="421"/>
      <c r="AH2572" s="421"/>
      <c r="AI2572" s="421"/>
      <c r="AJ2572" s="421"/>
      <c r="AK2572" s="421"/>
      <c r="AL2572" s="421"/>
    </row>
    <row r="2573" spans="1:38" hidden="1">
      <c r="A2573" s="408"/>
      <c r="B2573" s="83" t="e">
        <f t="array" ref="B2573">SUM(--(FREQUENCY(IF(C$2:C$3072=C2573, MATCH(D$2:D$3072, D$2:D$3072, 0)), ROW(D$2:D$3072)-ROW(D$2)+1) &gt; 0))</f>
        <v>#N/A</v>
      </c>
      <c r="C2573" s="408"/>
      <c r="D2573" s="408"/>
      <c r="E2573" s="408"/>
      <c r="F2573" s="408"/>
      <c r="G2573" s="408"/>
      <c r="H2573" s="408"/>
      <c r="I2573" s="408"/>
      <c r="J2573" s="408"/>
      <c r="K2573" s="408"/>
      <c r="L2573" s="408"/>
      <c r="M2573" s="408"/>
      <c r="N2573" s="408" t="str">
        <f t="shared" si="467"/>
        <v/>
      </c>
      <c r="O2573" s="408"/>
      <c r="P2573" s="408"/>
      <c r="Q2573" s="408"/>
      <c r="R2573" s="408"/>
      <c r="S2573" s="408"/>
      <c r="T2573" s="408"/>
      <c r="U2573" s="408"/>
      <c r="V2573" s="421"/>
      <c r="W2573" s="421"/>
      <c r="X2573" s="421"/>
      <c r="Y2573" s="421"/>
      <c r="Z2573" s="421"/>
      <c r="AA2573" s="421"/>
      <c r="AB2573" s="421"/>
      <c r="AC2573" s="421"/>
      <c r="AD2573" s="421"/>
      <c r="AE2573" s="421"/>
      <c r="AF2573" s="421"/>
      <c r="AG2573" s="421"/>
      <c r="AH2573" s="421"/>
      <c r="AI2573" s="421"/>
      <c r="AJ2573" s="421"/>
      <c r="AK2573" s="421"/>
      <c r="AL2573" s="421"/>
    </row>
    <row r="2574" spans="1:38" hidden="1">
      <c r="A2574" s="408"/>
      <c r="B2574" s="83" t="e">
        <f t="array" ref="B2574">SUM(--(FREQUENCY(IF(C$2:C$3072=C2574, MATCH(D$2:D$3072, D$2:D$3072, 0)), ROW(D$2:D$3072)-ROW(D$2)+1) &gt; 0))</f>
        <v>#N/A</v>
      </c>
      <c r="C2574" s="408"/>
      <c r="D2574" s="408"/>
      <c r="E2574" s="408"/>
      <c r="F2574" s="408"/>
      <c r="G2574" s="408"/>
      <c r="H2574" s="408"/>
      <c r="I2574" s="408"/>
      <c r="J2574" s="408"/>
      <c r="K2574" s="408"/>
      <c r="L2574" s="408"/>
      <c r="M2574" s="408"/>
      <c r="N2574" s="408" t="str">
        <f t="shared" si="467"/>
        <v/>
      </c>
      <c r="O2574" s="408"/>
      <c r="P2574" s="408"/>
      <c r="Q2574" s="408"/>
      <c r="R2574" s="408"/>
      <c r="S2574" s="408"/>
      <c r="T2574" s="408"/>
      <c r="U2574" s="408"/>
      <c r="V2574" s="421"/>
      <c r="W2574" s="421"/>
      <c r="X2574" s="421"/>
      <c r="Y2574" s="421"/>
      <c r="Z2574" s="421"/>
      <c r="AA2574" s="421"/>
      <c r="AB2574" s="421"/>
      <c r="AC2574" s="421"/>
      <c r="AD2574" s="421"/>
      <c r="AE2574" s="421"/>
      <c r="AF2574" s="421"/>
      <c r="AG2574" s="421"/>
      <c r="AH2574" s="421"/>
      <c r="AI2574" s="421"/>
      <c r="AJ2574" s="421"/>
      <c r="AK2574" s="421"/>
      <c r="AL2574" s="421"/>
    </row>
    <row r="2575" spans="1:38" hidden="1">
      <c r="A2575" s="408"/>
      <c r="B2575" s="83" t="e">
        <f t="array" ref="B2575">SUM(--(FREQUENCY(IF(C$2:C$3072=C2575, MATCH(D$2:D$3072, D$2:D$3072, 0)), ROW(D$2:D$3072)-ROW(D$2)+1) &gt; 0))</f>
        <v>#N/A</v>
      </c>
      <c r="C2575" s="408"/>
      <c r="D2575" s="408"/>
      <c r="E2575" s="408"/>
      <c r="F2575" s="408"/>
      <c r="G2575" s="408"/>
      <c r="H2575" s="408"/>
      <c r="I2575" s="408"/>
      <c r="J2575" s="408"/>
      <c r="K2575" s="408"/>
      <c r="L2575" s="408"/>
      <c r="M2575" s="408"/>
      <c r="N2575" s="408" t="str">
        <f t="shared" si="467"/>
        <v/>
      </c>
      <c r="O2575" s="408"/>
      <c r="P2575" s="408"/>
      <c r="Q2575" s="408"/>
      <c r="R2575" s="408"/>
      <c r="S2575" s="408"/>
      <c r="T2575" s="408"/>
      <c r="U2575" s="408"/>
      <c r="V2575" s="421"/>
      <c r="W2575" s="421"/>
      <c r="X2575" s="421"/>
      <c r="Y2575" s="421"/>
      <c r="Z2575" s="421"/>
      <c r="AA2575" s="421"/>
      <c r="AB2575" s="421"/>
      <c r="AC2575" s="421"/>
      <c r="AD2575" s="421"/>
      <c r="AE2575" s="421"/>
      <c r="AF2575" s="421"/>
      <c r="AG2575" s="421"/>
      <c r="AH2575" s="421"/>
      <c r="AI2575" s="421"/>
      <c r="AJ2575" s="421"/>
      <c r="AK2575" s="421"/>
      <c r="AL2575" s="421"/>
    </row>
    <row r="2576" spans="1:38" hidden="1">
      <c r="A2576" s="408"/>
      <c r="B2576" s="83" t="e">
        <f t="array" ref="B2576">SUM(--(FREQUENCY(IF(C$2:C$3072=C2576, MATCH(D$2:D$3072, D$2:D$3072, 0)), ROW(D$2:D$3072)-ROW(D$2)+1) &gt; 0))</f>
        <v>#N/A</v>
      </c>
      <c r="C2576" s="408"/>
      <c r="D2576" s="408"/>
      <c r="E2576" s="408"/>
      <c r="F2576" s="408"/>
      <c r="G2576" s="408"/>
      <c r="H2576" s="408"/>
      <c r="I2576" s="408"/>
      <c r="J2576" s="408"/>
      <c r="K2576" s="408"/>
      <c r="L2576" s="408"/>
      <c r="M2576" s="408"/>
      <c r="N2576" s="408" t="str">
        <f t="shared" si="467"/>
        <v/>
      </c>
      <c r="O2576" s="408"/>
      <c r="P2576" s="408"/>
      <c r="Q2576" s="408"/>
      <c r="R2576" s="408"/>
      <c r="S2576" s="408"/>
      <c r="T2576" s="408"/>
      <c r="U2576" s="408"/>
      <c r="V2576" s="421"/>
      <c r="W2576" s="421"/>
      <c r="X2576" s="421"/>
      <c r="Y2576" s="421"/>
      <c r="Z2576" s="421"/>
      <c r="AA2576" s="421"/>
      <c r="AB2576" s="421"/>
      <c r="AC2576" s="421"/>
      <c r="AD2576" s="421"/>
      <c r="AE2576" s="421"/>
      <c r="AF2576" s="421"/>
      <c r="AG2576" s="421"/>
      <c r="AH2576" s="421"/>
      <c r="AI2576" s="421"/>
      <c r="AJ2576" s="421"/>
      <c r="AK2576" s="421"/>
      <c r="AL2576" s="421"/>
    </row>
    <row r="2577" spans="1:38" hidden="1">
      <c r="A2577" s="408"/>
      <c r="B2577" s="83" t="e">
        <f t="array" ref="B2577">SUM(--(FREQUENCY(IF(C$2:C$3072=C2577, MATCH(D$2:D$3072, D$2:D$3072, 0)), ROW(D$2:D$3072)-ROW(D$2)+1) &gt; 0))</f>
        <v>#N/A</v>
      </c>
      <c r="C2577" s="408"/>
      <c r="D2577" s="408"/>
      <c r="E2577" s="408"/>
      <c r="F2577" s="408"/>
      <c r="G2577" s="408"/>
      <c r="H2577" s="408"/>
      <c r="I2577" s="408"/>
      <c r="J2577" s="408"/>
      <c r="K2577" s="408"/>
      <c r="L2577" s="408"/>
      <c r="M2577" s="408"/>
      <c r="N2577" s="408" t="str">
        <f t="shared" si="467"/>
        <v/>
      </c>
      <c r="O2577" s="408"/>
      <c r="P2577" s="408"/>
      <c r="Q2577" s="408"/>
      <c r="R2577" s="408"/>
      <c r="S2577" s="408"/>
      <c r="T2577" s="408"/>
      <c r="U2577" s="408"/>
      <c r="V2577" s="421"/>
      <c r="W2577" s="421"/>
      <c r="X2577" s="421"/>
      <c r="Y2577" s="421"/>
      <c r="Z2577" s="421"/>
      <c r="AA2577" s="421"/>
      <c r="AB2577" s="421"/>
      <c r="AC2577" s="421"/>
      <c r="AD2577" s="421"/>
      <c r="AE2577" s="421"/>
      <c r="AF2577" s="421"/>
      <c r="AG2577" s="421"/>
      <c r="AH2577" s="421"/>
      <c r="AI2577" s="421"/>
      <c r="AJ2577" s="421"/>
      <c r="AK2577" s="421"/>
      <c r="AL2577" s="421"/>
    </row>
    <row r="2578" spans="1:38" hidden="1">
      <c r="A2578" s="408"/>
      <c r="B2578" s="83" t="e">
        <f t="array" ref="B2578">SUM(--(FREQUENCY(IF(C$2:C$3072=C2578, MATCH(D$2:D$3072, D$2:D$3072, 0)), ROW(D$2:D$3072)-ROW(D$2)+1) &gt; 0))</f>
        <v>#N/A</v>
      </c>
      <c r="C2578" s="408"/>
      <c r="D2578" s="408"/>
      <c r="E2578" s="408"/>
      <c r="F2578" s="408"/>
      <c r="G2578" s="408"/>
      <c r="H2578" s="408"/>
      <c r="I2578" s="408"/>
      <c r="J2578" s="408"/>
      <c r="K2578" s="408"/>
      <c r="L2578" s="408"/>
      <c r="M2578" s="408"/>
      <c r="N2578" s="408" t="str">
        <f t="shared" si="467"/>
        <v/>
      </c>
      <c r="O2578" s="408"/>
      <c r="P2578" s="408"/>
      <c r="Q2578" s="408"/>
      <c r="R2578" s="408"/>
      <c r="S2578" s="408"/>
      <c r="T2578" s="408"/>
      <c r="U2578" s="408"/>
      <c r="V2578" s="421"/>
      <c r="W2578" s="421"/>
      <c r="X2578" s="421"/>
      <c r="Y2578" s="421"/>
      <c r="Z2578" s="421"/>
      <c r="AA2578" s="421"/>
      <c r="AB2578" s="421"/>
      <c r="AC2578" s="421"/>
      <c r="AD2578" s="421"/>
      <c r="AE2578" s="421"/>
      <c r="AF2578" s="421"/>
      <c r="AG2578" s="421"/>
      <c r="AH2578" s="421"/>
      <c r="AI2578" s="421"/>
      <c r="AJ2578" s="421"/>
      <c r="AK2578" s="421"/>
      <c r="AL2578" s="421"/>
    </row>
    <row r="2579" spans="1:38" hidden="1">
      <c r="A2579" s="408"/>
      <c r="B2579" s="83" t="e">
        <f t="array" ref="B2579">SUM(--(FREQUENCY(IF(C$2:C$3072=C2579, MATCH(D$2:D$3072, D$2:D$3072, 0)), ROW(D$2:D$3072)-ROW(D$2)+1) &gt; 0))</f>
        <v>#N/A</v>
      </c>
      <c r="C2579" s="408"/>
      <c r="D2579" s="408"/>
      <c r="E2579" s="408"/>
      <c r="F2579" s="408"/>
      <c r="G2579" s="408"/>
      <c r="H2579" s="408"/>
      <c r="I2579" s="408"/>
      <c r="J2579" s="408"/>
      <c r="K2579" s="408"/>
      <c r="L2579" s="408"/>
      <c r="M2579" s="408"/>
      <c r="N2579" s="408" t="str">
        <f t="shared" si="467"/>
        <v/>
      </c>
      <c r="O2579" s="408"/>
      <c r="P2579" s="408"/>
      <c r="Q2579" s="408"/>
      <c r="R2579" s="408"/>
      <c r="S2579" s="408"/>
      <c r="T2579" s="408"/>
      <c r="U2579" s="408"/>
      <c r="V2579" s="421"/>
      <c r="W2579" s="421"/>
      <c r="X2579" s="421"/>
      <c r="Y2579" s="421"/>
      <c r="Z2579" s="421"/>
      <c r="AA2579" s="421"/>
      <c r="AB2579" s="421"/>
      <c r="AC2579" s="421"/>
      <c r="AD2579" s="421"/>
      <c r="AE2579" s="421"/>
      <c r="AF2579" s="421"/>
      <c r="AG2579" s="421"/>
      <c r="AH2579" s="421"/>
      <c r="AI2579" s="421"/>
      <c r="AJ2579" s="421"/>
      <c r="AK2579" s="421"/>
      <c r="AL2579" s="421"/>
    </row>
    <row r="2580" spans="1:38" hidden="1">
      <c r="A2580" s="408"/>
      <c r="B2580" s="83" t="e">
        <f t="array" ref="B2580">SUM(--(FREQUENCY(IF(C$2:C$3072=C2580, MATCH(D$2:D$3072, D$2:D$3072, 0)), ROW(D$2:D$3072)-ROW(D$2)+1) &gt; 0))</f>
        <v>#N/A</v>
      </c>
      <c r="C2580" s="408"/>
      <c r="D2580" s="408"/>
      <c r="E2580" s="408"/>
      <c r="F2580" s="408"/>
      <c r="G2580" s="408"/>
      <c r="H2580" s="408"/>
      <c r="I2580" s="408"/>
      <c r="J2580" s="408"/>
      <c r="K2580" s="408"/>
      <c r="L2580" s="408"/>
      <c r="M2580" s="408"/>
      <c r="N2580" s="408" t="str">
        <f t="shared" si="467"/>
        <v/>
      </c>
      <c r="O2580" s="408"/>
      <c r="P2580" s="408"/>
      <c r="Q2580" s="408"/>
      <c r="R2580" s="408"/>
      <c r="S2580" s="408"/>
      <c r="T2580" s="408"/>
      <c r="U2580" s="408"/>
      <c r="V2580" s="421"/>
      <c r="W2580" s="421"/>
      <c r="X2580" s="421"/>
      <c r="Y2580" s="421"/>
      <c r="Z2580" s="421"/>
      <c r="AA2580" s="421"/>
      <c r="AB2580" s="421"/>
      <c r="AC2580" s="421"/>
      <c r="AD2580" s="421"/>
      <c r="AE2580" s="421"/>
      <c r="AF2580" s="421"/>
      <c r="AG2580" s="421"/>
      <c r="AH2580" s="421"/>
      <c r="AI2580" s="421"/>
      <c r="AJ2580" s="421"/>
      <c r="AK2580" s="421"/>
      <c r="AL2580" s="421"/>
    </row>
    <row r="2581" spans="1:38" hidden="1">
      <c r="A2581" s="408"/>
      <c r="B2581" s="83" t="e">
        <f t="array" ref="B2581">SUM(--(FREQUENCY(IF(C$2:C$3072=C2581, MATCH(D$2:D$3072, D$2:D$3072, 0)), ROW(D$2:D$3072)-ROW(D$2)+1) &gt; 0))</f>
        <v>#N/A</v>
      </c>
      <c r="C2581" s="408"/>
      <c r="D2581" s="408"/>
      <c r="E2581" s="408"/>
      <c r="F2581" s="408"/>
      <c r="G2581" s="408"/>
      <c r="H2581" s="408"/>
      <c r="I2581" s="408"/>
      <c r="J2581" s="408"/>
      <c r="K2581" s="408"/>
      <c r="L2581" s="408"/>
      <c r="M2581" s="408"/>
      <c r="N2581" s="408" t="str">
        <f t="shared" si="467"/>
        <v/>
      </c>
      <c r="O2581" s="408"/>
      <c r="P2581" s="408"/>
      <c r="Q2581" s="408"/>
      <c r="R2581" s="408"/>
      <c r="S2581" s="408"/>
      <c r="T2581" s="408"/>
      <c r="U2581" s="408"/>
      <c r="V2581" s="421"/>
      <c r="W2581" s="421"/>
      <c r="X2581" s="421"/>
      <c r="Y2581" s="421"/>
      <c r="Z2581" s="421"/>
      <c r="AA2581" s="421"/>
      <c r="AB2581" s="421"/>
      <c r="AC2581" s="421"/>
      <c r="AD2581" s="421"/>
      <c r="AE2581" s="421"/>
      <c r="AF2581" s="421"/>
      <c r="AG2581" s="421"/>
      <c r="AH2581" s="421"/>
      <c r="AI2581" s="421"/>
      <c r="AJ2581" s="421"/>
      <c r="AK2581" s="421"/>
      <c r="AL2581" s="421"/>
    </row>
    <row r="2582" spans="1:38" hidden="1">
      <c r="A2582" s="408"/>
      <c r="B2582" s="83" t="e">
        <f t="array" ref="B2582">SUM(--(FREQUENCY(IF(C$2:C$3072=C2582, MATCH(D$2:D$3072, D$2:D$3072, 0)), ROW(D$2:D$3072)-ROW(D$2)+1) &gt; 0))</f>
        <v>#N/A</v>
      </c>
      <c r="C2582" s="408"/>
      <c r="D2582" s="408"/>
      <c r="E2582" s="408"/>
      <c r="F2582" s="408"/>
      <c r="G2582" s="408"/>
      <c r="H2582" s="408"/>
      <c r="I2582" s="408"/>
      <c r="J2582" s="408"/>
      <c r="K2582" s="408"/>
      <c r="L2582" s="408"/>
      <c r="M2582" s="408"/>
      <c r="N2582" s="408" t="str">
        <f t="shared" si="467"/>
        <v/>
      </c>
      <c r="O2582" s="408"/>
      <c r="P2582" s="408"/>
      <c r="Q2582" s="408"/>
      <c r="R2582" s="408"/>
      <c r="S2582" s="408"/>
      <c r="T2582" s="408"/>
      <c r="U2582" s="408"/>
      <c r="V2582" s="421"/>
      <c r="W2582" s="421"/>
      <c r="X2582" s="421"/>
      <c r="Y2582" s="421"/>
      <c r="Z2582" s="421"/>
      <c r="AA2582" s="421"/>
      <c r="AB2582" s="421"/>
      <c r="AC2582" s="421"/>
      <c r="AD2582" s="421"/>
      <c r="AE2582" s="421"/>
      <c r="AF2582" s="421"/>
      <c r="AG2582" s="421"/>
      <c r="AH2582" s="421"/>
      <c r="AI2582" s="421"/>
      <c r="AJ2582" s="421"/>
      <c r="AK2582" s="421"/>
      <c r="AL2582" s="421"/>
    </row>
    <row r="2583" spans="1:38" hidden="1">
      <c r="A2583" s="408"/>
      <c r="B2583" s="83" t="e">
        <f t="array" ref="B2583">SUM(--(FREQUENCY(IF(C$2:C$3072=C2583, MATCH(D$2:D$3072, D$2:D$3072, 0)), ROW(D$2:D$3072)-ROW(D$2)+1) &gt; 0))</f>
        <v>#N/A</v>
      </c>
      <c r="C2583" s="408"/>
      <c r="D2583" s="408"/>
      <c r="E2583" s="408"/>
      <c r="F2583" s="408"/>
      <c r="G2583" s="408"/>
      <c r="H2583" s="408"/>
      <c r="I2583" s="408"/>
      <c r="J2583" s="408"/>
      <c r="K2583" s="408"/>
      <c r="L2583" s="408"/>
      <c r="M2583" s="408"/>
      <c r="N2583" s="408" t="str">
        <f t="shared" si="467"/>
        <v/>
      </c>
      <c r="O2583" s="408"/>
      <c r="P2583" s="408"/>
      <c r="Q2583" s="408"/>
      <c r="R2583" s="408"/>
      <c r="S2583" s="408"/>
      <c r="T2583" s="408"/>
      <c r="U2583" s="408"/>
      <c r="V2583" s="421"/>
      <c r="W2583" s="421"/>
      <c r="X2583" s="421"/>
      <c r="Y2583" s="421"/>
      <c r="Z2583" s="421"/>
      <c r="AA2583" s="421"/>
      <c r="AB2583" s="421"/>
      <c r="AC2583" s="421"/>
      <c r="AD2583" s="421"/>
      <c r="AE2583" s="421"/>
      <c r="AF2583" s="421"/>
      <c r="AG2583" s="421"/>
      <c r="AH2583" s="421"/>
      <c r="AI2583" s="421"/>
      <c r="AJ2583" s="421"/>
      <c r="AK2583" s="421"/>
      <c r="AL2583" s="421"/>
    </row>
    <row r="2584" spans="1:38" hidden="1">
      <c r="A2584" s="408"/>
      <c r="B2584" s="83" t="e">
        <f t="array" ref="B2584">SUM(--(FREQUENCY(IF(C$2:C$3072=C2584, MATCH(D$2:D$3072, D$2:D$3072, 0)), ROW(D$2:D$3072)-ROW(D$2)+1) &gt; 0))</f>
        <v>#N/A</v>
      </c>
      <c r="C2584" s="408"/>
      <c r="D2584" s="408"/>
      <c r="E2584" s="408"/>
      <c r="F2584" s="408"/>
      <c r="G2584" s="408"/>
      <c r="H2584" s="408"/>
      <c r="I2584" s="408"/>
      <c r="J2584" s="408"/>
      <c r="K2584" s="408"/>
      <c r="L2584" s="408"/>
      <c r="M2584" s="408"/>
      <c r="N2584" s="408" t="str">
        <f t="shared" si="467"/>
        <v/>
      </c>
      <c r="O2584" s="408"/>
      <c r="P2584" s="408"/>
      <c r="Q2584" s="408"/>
      <c r="R2584" s="408"/>
      <c r="S2584" s="408"/>
      <c r="T2584" s="408"/>
      <c r="U2584" s="408"/>
      <c r="V2584" s="421"/>
      <c r="W2584" s="421"/>
      <c r="X2584" s="421"/>
      <c r="Y2584" s="421"/>
      <c r="Z2584" s="421"/>
      <c r="AA2584" s="421"/>
      <c r="AB2584" s="421"/>
      <c r="AC2584" s="421"/>
      <c r="AD2584" s="421"/>
      <c r="AE2584" s="421"/>
      <c r="AF2584" s="421"/>
      <c r="AG2584" s="421"/>
      <c r="AH2584" s="421"/>
      <c r="AI2584" s="421"/>
      <c r="AJ2584" s="421"/>
      <c r="AK2584" s="421"/>
      <c r="AL2584" s="421"/>
    </row>
    <row r="2585" spans="1:38" hidden="1">
      <c r="A2585" s="408"/>
      <c r="B2585" s="83" t="e">
        <f t="array" ref="B2585">SUM(--(FREQUENCY(IF(C$2:C$3072=C2585, MATCH(D$2:D$3072, D$2:D$3072, 0)), ROW(D$2:D$3072)-ROW(D$2)+1) &gt; 0))</f>
        <v>#N/A</v>
      </c>
      <c r="C2585" s="408"/>
      <c r="D2585" s="408"/>
      <c r="E2585" s="408"/>
      <c r="F2585" s="408"/>
      <c r="G2585" s="408"/>
      <c r="H2585" s="408"/>
      <c r="I2585" s="408"/>
      <c r="J2585" s="408"/>
      <c r="K2585" s="408"/>
      <c r="L2585" s="408"/>
      <c r="M2585" s="408"/>
      <c r="N2585" s="408" t="str">
        <f t="shared" si="467"/>
        <v/>
      </c>
      <c r="O2585" s="408"/>
      <c r="P2585" s="408"/>
      <c r="Q2585" s="408"/>
      <c r="R2585" s="408"/>
      <c r="S2585" s="408"/>
      <c r="T2585" s="408"/>
      <c r="U2585" s="408"/>
      <c r="V2585" s="421"/>
      <c r="W2585" s="421"/>
      <c r="X2585" s="421"/>
      <c r="Y2585" s="421"/>
      <c r="Z2585" s="421"/>
      <c r="AA2585" s="421"/>
      <c r="AB2585" s="421"/>
      <c r="AC2585" s="421"/>
      <c r="AD2585" s="421"/>
      <c r="AE2585" s="421"/>
      <c r="AF2585" s="421"/>
      <c r="AG2585" s="421"/>
      <c r="AH2585" s="421"/>
      <c r="AI2585" s="421"/>
      <c r="AJ2585" s="421"/>
      <c r="AK2585" s="421"/>
      <c r="AL2585" s="421"/>
    </row>
    <row r="2586" spans="1:38" hidden="1">
      <c r="A2586" s="408"/>
      <c r="B2586" s="83" t="e">
        <f t="array" ref="B2586">SUM(--(FREQUENCY(IF(C$2:C$3072=C2586, MATCH(D$2:D$3072, D$2:D$3072, 0)), ROW(D$2:D$3072)-ROW(D$2)+1) &gt; 0))</f>
        <v>#N/A</v>
      </c>
      <c r="C2586" s="408"/>
      <c r="D2586" s="408"/>
      <c r="E2586" s="408"/>
      <c r="F2586" s="408"/>
      <c r="G2586" s="408"/>
      <c r="H2586" s="408"/>
      <c r="I2586" s="408"/>
      <c r="J2586" s="408"/>
      <c r="K2586" s="408"/>
      <c r="L2586" s="408"/>
      <c r="M2586" s="408"/>
      <c r="N2586" s="408" t="str">
        <f t="shared" si="467"/>
        <v/>
      </c>
      <c r="O2586" s="408"/>
      <c r="P2586" s="408"/>
      <c r="Q2586" s="408"/>
      <c r="R2586" s="408"/>
      <c r="S2586" s="408"/>
      <c r="T2586" s="408"/>
      <c r="U2586" s="408"/>
      <c r="V2586" s="421"/>
      <c r="W2586" s="421"/>
      <c r="X2586" s="421"/>
      <c r="Y2586" s="421"/>
      <c r="Z2586" s="421"/>
      <c r="AA2586" s="421"/>
      <c r="AB2586" s="421"/>
      <c r="AC2586" s="421"/>
      <c r="AD2586" s="421"/>
      <c r="AE2586" s="421"/>
      <c r="AF2586" s="421"/>
      <c r="AG2586" s="421"/>
      <c r="AH2586" s="421"/>
      <c r="AI2586" s="421"/>
      <c r="AJ2586" s="421"/>
      <c r="AK2586" s="421"/>
      <c r="AL2586" s="421"/>
    </row>
    <row r="2587" spans="1:38" hidden="1">
      <c r="A2587" s="408"/>
      <c r="B2587" s="83" t="e">
        <f t="array" ref="B2587">SUM(--(FREQUENCY(IF(C$2:C$3072=C2587, MATCH(D$2:D$3072, D$2:D$3072, 0)), ROW(D$2:D$3072)-ROW(D$2)+1) &gt; 0))</f>
        <v>#N/A</v>
      </c>
      <c r="C2587" s="408"/>
      <c r="D2587" s="408"/>
      <c r="E2587" s="408"/>
      <c r="F2587" s="408"/>
      <c r="G2587" s="408"/>
      <c r="H2587" s="408"/>
      <c r="I2587" s="408"/>
      <c r="J2587" s="408"/>
      <c r="K2587" s="408"/>
      <c r="L2587" s="408"/>
      <c r="M2587" s="408"/>
      <c r="N2587" s="408" t="str">
        <f t="shared" si="467"/>
        <v/>
      </c>
      <c r="O2587" s="408"/>
      <c r="P2587" s="408"/>
      <c r="Q2587" s="408"/>
      <c r="R2587" s="408"/>
      <c r="S2587" s="408"/>
      <c r="T2587" s="408"/>
      <c r="U2587" s="408"/>
      <c r="V2587" s="421"/>
      <c r="W2587" s="421"/>
      <c r="X2587" s="421"/>
      <c r="Y2587" s="421"/>
      <c r="Z2587" s="421"/>
      <c r="AA2587" s="421"/>
      <c r="AB2587" s="421"/>
      <c r="AC2587" s="421"/>
      <c r="AD2587" s="421"/>
      <c r="AE2587" s="421"/>
      <c r="AF2587" s="421"/>
      <c r="AG2587" s="421"/>
      <c r="AH2587" s="421"/>
      <c r="AI2587" s="421"/>
      <c r="AJ2587" s="421"/>
      <c r="AK2587" s="421"/>
      <c r="AL2587" s="421"/>
    </row>
    <row r="2588" spans="1:38" hidden="1">
      <c r="A2588" s="408"/>
      <c r="B2588" s="83" t="e">
        <f t="array" ref="B2588">SUM(--(FREQUENCY(IF(C$2:C$3072=C2588, MATCH(D$2:D$3072, D$2:D$3072, 0)), ROW(D$2:D$3072)-ROW(D$2)+1) &gt; 0))</f>
        <v>#N/A</v>
      </c>
      <c r="C2588" s="408"/>
      <c r="D2588" s="408"/>
      <c r="E2588" s="408"/>
      <c r="F2588" s="408"/>
      <c r="G2588" s="408"/>
      <c r="H2588" s="408"/>
      <c r="I2588" s="408"/>
      <c r="J2588" s="408"/>
      <c r="K2588" s="408"/>
      <c r="L2588" s="408"/>
      <c r="M2588" s="408"/>
      <c r="N2588" s="408" t="str">
        <f t="shared" si="467"/>
        <v/>
      </c>
      <c r="O2588" s="408"/>
      <c r="P2588" s="408"/>
      <c r="Q2588" s="408"/>
      <c r="R2588" s="408"/>
      <c r="S2588" s="408"/>
      <c r="T2588" s="408"/>
      <c r="U2588" s="408"/>
      <c r="V2588" s="421"/>
      <c r="W2588" s="421"/>
      <c r="X2588" s="421"/>
      <c r="Y2588" s="421"/>
      <c r="Z2588" s="421"/>
      <c r="AA2588" s="421"/>
      <c r="AB2588" s="421"/>
      <c r="AC2588" s="421"/>
      <c r="AD2588" s="421"/>
      <c r="AE2588" s="421"/>
      <c r="AF2588" s="421"/>
      <c r="AG2588" s="421"/>
      <c r="AH2588" s="421"/>
      <c r="AI2588" s="421"/>
      <c r="AJ2588" s="421"/>
      <c r="AK2588" s="421"/>
      <c r="AL2588" s="421"/>
    </row>
    <row r="2589" spans="1:38" hidden="1">
      <c r="A2589" s="408"/>
      <c r="B2589" s="83" t="e">
        <f t="array" ref="B2589">SUM(--(FREQUENCY(IF(C$2:C$3072=C2589, MATCH(D$2:D$3072, D$2:D$3072, 0)), ROW(D$2:D$3072)-ROW(D$2)+1) &gt; 0))</f>
        <v>#N/A</v>
      </c>
      <c r="C2589" s="408"/>
      <c r="D2589" s="408"/>
      <c r="E2589" s="408"/>
      <c r="F2589" s="408"/>
      <c r="G2589" s="408"/>
      <c r="H2589" s="408"/>
      <c r="I2589" s="408"/>
      <c r="J2589" s="408"/>
      <c r="K2589" s="408"/>
      <c r="L2589" s="408"/>
      <c r="M2589" s="408"/>
      <c r="N2589" s="408" t="str">
        <f t="shared" si="467"/>
        <v/>
      </c>
      <c r="O2589" s="408"/>
      <c r="P2589" s="408"/>
      <c r="Q2589" s="408"/>
      <c r="R2589" s="408"/>
      <c r="S2589" s="408"/>
      <c r="T2589" s="408"/>
      <c r="U2589" s="408"/>
      <c r="V2589" s="421"/>
      <c r="W2589" s="421"/>
      <c r="X2589" s="421"/>
      <c r="Y2589" s="421"/>
      <c r="Z2589" s="421"/>
      <c r="AA2589" s="421"/>
      <c r="AB2589" s="421"/>
      <c r="AC2589" s="421"/>
      <c r="AD2589" s="421"/>
      <c r="AE2589" s="421"/>
      <c r="AF2589" s="421"/>
      <c r="AG2589" s="421"/>
      <c r="AH2589" s="421"/>
      <c r="AI2589" s="421"/>
      <c r="AJ2589" s="421"/>
      <c r="AK2589" s="421"/>
      <c r="AL2589" s="421"/>
    </row>
    <row r="2590" spans="1:38" hidden="1">
      <c r="A2590" s="408"/>
      <c r="B2590" s="83" t="e">
        <f t="array" ref="B2590">SUM(--(FREQUENCY(IF(C$2:C$3072=C2590, MATCH(D$2:D$3072, D$2:D$3072, 0)), ROW(D$2:D$3072)-ROW(D$2)+1) &gt; 0))</f>
        <v>#N/A</v>
      </c>
      <c r="C2590" s="408"/>
      <c r="D2590" s="408"/>
      <c r="E2590" s="408"/>
      <c r="F2590" s="408"/>
      <c r="G2590" s="408"/>
      <c r="H2590" s="408"/>
      <c r="I2590" s="408"/>
      <c r="J2590" s="408"/>
      <c r="K2590" s="408"/>
      <c r="L2590" s="408"/>
      <c r="M2590" s="408"/>
      <c r="N2590" s="408" t="str">
        <f t="shared" si="467"/>
        <v/>
      </c>
      <c r="O2590" s="408"/>
      <c r="P2590" s="408"/>
      <c r="Q2590" s="408"/>
      <c r="R2590" s="408"/>
      <c r="S2590" s="408"/>
      <c r="T2590" s="408"/>
      <c r="U2590" s="408"/>
      <c r="V2590" s="421"/>
      <c r="W2590" s="421"/>
      <c r="X2590" s="421"/>
      <c r="Y2590" s="421"/>
      <c r="Z2590" s="421"/>
      <c r="AA2590" s="421"/>
      <c r="AB2590" s="421"/>
      <c r="AC2590" s="421"/>
      <c r="AD2590" s="421"/>
      <c r="AE2590" s="421"/>
      <c r="AF2590" s="421"/>
      <c r="AG2590" s="421"/>
      <c r="AH2590" s="421"/>
      <c r="AI2590" s="421"/>
      <c r="AJ2590" s="421"/>
      <c r="AK2590" s="421"/>
      <c r="AL2590" s="421"/>
    </row>
    <row r="2591" spans="1:38" hidden="1">
      <c r="A2591" s="408"/>
      <c r="B2591" s="83" t="e">
        <f t="array" ref="B2591">SUM(--(FREQUENCY(IF(C$2:C$3072=C2591, MATCH(D$2:D$3072, D$2:D$3072, 0)), ROW(D$2:D$3072)-ROW(D$2)+1) &gt; 0))</f>
        <v>#N/A</v>
      </c>
      <c r="C2591" s="408"/>
      <c r="D2591" s="408"/>
      <c r="E2591" s="408"/>
      <c r="F2591" s="408"/>
      <c r="G2591" s="408"/>
      <c r="H2591" s="408"/>
      <c r="I2591" s="408"/>
      <c r="J2591" s="408"/>
      <c r="K2591" s="408"/>
      <c r="L2591" s="408"/>
      <c r="M2591" s="408"/>
      <c r="N2591" s="408" t="str">
        <f t="shared" si="467"/>
        <v/>
      </c>
      <c r="O2591" s="408"/>
      <c r="P2591" s="408"/>
      <c r="Q2591" s="408"/>
      <c r="R2591" s="408"/>
      <c r="S2591" s="408"/>
      <c r="T2591" s="408"/>
      <c r="U2591" s="408"/>
      <c r="V2591" s="421"/>
      <c r="W2591" s="421"/>
      <c r="X2591" s="421"/>
      <c r="Y2591" s="421"/>
      <c r="Z2591" s="421"/>
      <c r="AA2591" s="421"/>
      <c r="AB2591" s="421"/>
      <c r="AC2591" s="421"/>
      <c r="AD2591" s="421"/>
      <c r="AE2591" s="421"/>
      <c r="AF2591" s="421"/>
      <c r="AG2591" s="421"/>
      <c r="AH2591" s="421"/>
      <c r="AI2591" s="421"/>
      <c r="AJ2591" s="421"/>
      <c r="AK2591" s="421"/>
      <c r="AL2591" s="421"/>
    </row>
    <row r="2592" spans="1:38" hidden="1">
      <c r="A2592" s="408"/>
      <c r="B2592" s="83" t="e">
        <f t="array" ref="B2592">SUM(--(FREQUENCY(IF(C$2:C$3072=C2592, MATCH(D$2:D$3072, D$2:D$3072, 0)), ROW(D$2:D$3072)-ROW(D$2)+1) &gt; 0))</f>
        <v>#N/A</v>
      </c>
      <c r="C2592" s="408"/>
      <c r="D2592" s="408"/>
      <c r="E2592" s="408"/>
      <c r="F2592" s="408"/>
      <c r="G2592" s="408"/>
      <c r="H2592" s="408"/>
      <c r="I2592" s="408"/>
      <c r="J2592" s="408"/>
      <c r="K2592" s="408"/>
      <c r="L2592" s="408"/>
      <c r="M2592" s="408"/>
      <c r="N2592" s="408" t="str">
        <f t="shared" si="467"/>
        <v/>
      </c>
      <c r="O2592" s="408"/>
      <c r="P2592" s="408"/>
      <c r="Q2592" s="408"/>
      <c r="R2592" s="408"/>
      <c r="S2592" s="408"/>
      <c r="T2592" s="408"/>
      <c r="U2592" s="408"/>
      <c r="V2592" s="421"/>
      <c r="W2592" s="421"/>
      <c r="X2592" s="421"/>
      <c r="Y2592" s="421"/>
      <c r="Z2592" s="421"/>
      <c r="AA2592" s="421"/>
      <c r="AB2592" s="421"/>
      <c r="AC2592" s="421"/>
      <c r="AD2592" s="421"/>
      <c r="AE2592" s="421"/>
      <c r="AF2592" s="421"/>
      <c r="AG2592" s="421"/>
      <c r="AH2592" s="421"/>
      <c r="AI2592" s="421"/>
      <c r="AJ2592" s="421"/>
      <c r="AK2592" s="421"/>
      <c r="AL2592" s="421"/>
    </row>
    <row r="2593" spans="1:38" hidden="1">
      <c r="A2593" s="408"/>
      <c r="B2593" s="83" t="e">
        <f t="array" ref="B2593">SUM(--(FREQUENCY(IF(C$2:C$3072=C2593, MATCH(D$2:D$3072, D$2:D$3072, 0)), ROW(D$2:D$3072)-ROW(D$2)+1) &gt; 0))</f>
        <v>#N/A</v>
      </c>
      <c r="C2593" s="408"/>
      <c r="D2593" s="408"/>
      <c r="E2593" s="408"/>
      <c r="F2593" s="408"/>
      <c r="G2593" s="408"/>
      <c r="H2593" s="408"/>
      <c r="I2593" s="408"/>
      <c r="J2593" s="408"/>
      <c r="K2593" s="408"/>
      <c r="L2593" s="408"/>
      <c r="M2593" s="408"/>
      <c r="N2593" s="408" t="str">
        <f t="shared" si="467"/>
        <v/>
      </c>
      <c r="O2593" s="408"/>
      <c r="P2593" s="408"/>
      <c r="Q2593" s="408"/>
      <c r="R2593" s="408"/>
      <c r="S2593" s="408"/>
      <c r="T2593" s="408"/>
      <c r="U2593" s="408"/>
      <c r="V2593" s="421"/>
      <c r="W2593" s="421"/>
      <c r="X2593" s="421"/>
      <c r="Y2593" s="421"/>
      <c r="Z2593" s="421"/>
      <c r="AA2593" s="421"/>
      <c r="AB2593" s="421"/>
      <c r="AC2593" s="421"/>
      <c r="AD2593" s="421"/>
      <c r="AE2593" s="421"/>
      <c r="AF2593" s="421"/>
      <c r="AG2593" s="421"/>
      <c r="AH2593" s="421"/>
      <c r="AI2593" s="421"/>
      <c r="AJ2593" s="421"/>
      <c r="AK2593" s="421"/>
      <c r="AL2593" s="421"/>
    </row>
    <row r="2594" spans="1:38" hidden="1">
      <c r="A2594" s="408"/>
      <c r="B2594" s="83" t="e">
        <f t="array" ref="B2594">SUM(--(FREQUENCY(IF(C$2:C$3072=C2594, MATCH(D$2:D$3072, D$2:D$3072, 0)), ROW(D$2:D$3072)-ROW(D$2)+1) &gt; 0))</f>
        <v>#N/A</v>
      </c>
      <c r="C2594" s="408"/>
      <c r="D2594" s="408"/>
      <c r="E2594" s="408"/>
      <c r="F2594" s="408"/>
      <c r="G2594" s="408"/>
      <c r="H2594" s="408"/>
      <c r="I2594" s="408"/>
      <c r="J2594" s="408"/>
      <c r="K2594" s="408"/>
      <c r="L2594" s="408"/>
      <c r="M2594" s="408"/>
      <c r="N2594" s="408" t="str">
        <f t="shared" si="467"/>
        <v/>
      </c>
      <c r="O2594" s="408"/>
      <c r="P2594" s="408"/>
      <c r="Q2594" s="408"/>
      <c r="R2594" s="408"/>
      <c r="S2594" s="408"/>
      <c r="T2594" s="408"/>
      <c r="U2594" s="408"/>
      <c r="V2594" s="421"/>
      <c r="W2594" s="421"/>
      <c r="X2594" s="421"/>
      <c r="Y2594" s="421"/>
      <c r="Z2594" s="421"/>
      <c r="AA2594" s="421"/>
      <c r="AB2594" s="421"/>
      <c r="AC2594" s="421"/>
      <c r="AD2594" s="421"/>
      <c r="AE2594" s="421"/>
      <c r="AF2594" s="421"/>
      <c r="AG2594" s="421"/>
      <c r="AH2594" s="421"/>
      <c r="AI2594" s="421"/>
      <c r="AJ2594" s="421"/>
      <c r="AK2594" s="421"/>
      <c r="AL2594" s="421"/>
    </row>
    <row r="2595" spans="1:38" hidden="1">
      <c r="A2595" s="408"/>
      <c r="B2595" s="83" t="e">
        <f t="array" ref="B2595">SUM(--(FREQUENCY(IF(C$2:C$3072=C2595, MATCH(D$2:D$3072, D$2:D$3072, 0)), ROW(D$2:D$3072)-ROW(D$2)+1) &gt; 0))</f>
        <v>#N/A</v>
      </c>
      <c r="C2595" s="408"/>
      <c r="D2595" s="408"/>
      <c r="E2595" s="408"/>
      <c r="F2595" s="408"/>
      <c r="G2595" s="408"/>
      <c r="H2595" s="408"/>
      <c r="I2595" s="408"/>
      <c r="J2595" s="408"/>
      <c r="K2595" s="408"/>
      <c r="L2595" s="408"/>
      <c r="M2595" s="408"/>
      <c r="N2595" s="408" t="str">
        <f t="shared" si="467"/>
        <v/>
      </c>
      <c r="O2595" s="408"/>
      <c r="P2595" s="408"/>
      <c r="Q2595" s="408"/>
      <c r="R2595" s="408"/>
      <c r="S2595" s="408"/>
      <c r="T2595" s="408"/>
      <c r="U2595" s="408"/>
      <c r="V2595" s="421"/>
      <c r="W2595" s="421"/>
      <c r="X2595" s="421"/>
      <c r="Y2595" s="421"/>
      <c r="Z2595" s="421"/>
      <c r="AA2595" s="421"/>
      <c r="AB2595" s="421"/>
      <c r="AC2595" s="421"/>
      <c r="AD2595" s="421"/>
      <c r="AE2595" s="421"/>
      <c r="AF2595" s="421"/>
      <c r="AG2595" s="421"/>
      <c r="AH2595" s="421"/>
      <c r="AI2595" s="421"/>
      <c r="AJ2595" s="421"/>
      <c r="AK2595" s="421"/>
      <c r="AL2595" s="421"/>
    </row>
    <row r="2596" spans="1:38" hidden="1">
      <c r="A2596" s="408"/>
      <c r="B2596" s="83" t="e">
        <f t="array" ref="B2596">SUM(--(FREQUENCY(IF(C$2:C$3072=C2596, MATCH(D$2:D$3072, D$2:D$3072, 0)), ROW(D$2:D$3072)-ROW(D$2)+1) &gt; 0))</f>
        <v>#N/A</v>
      </c>
      <c r="C2596" s="408"/>
      <c r="D2596" s="408"/>
      <c r="E2596" s="408"/>
      <c r="F2596" s="408"/>
      <c r="G2596" s="408"/>
      <c r="H2596" s="408"/>
      <c r="I2596" s="408"/>
      <c r="J2596" s="408"/>
      <c r="K2596" s="408"/>
      <c r="L2596" s="408"/>
      <c r="M2596" s="408"/>
      <c r="N2596" s="408" t="str">
        <f t="shared" si="467"/>
        <v/>
      </c>
      <c r="O2596" s="408"/>
      <c r="P2596" s="408"/>
      <c r="Q2596" s="408"/>
      <c r="R2596" s="408"/>
      <c r="S2596" s="408"/>
      <c r="T2596" s="408"/>
      <c r="U2596" s="408"/>
      <c r="V2596" s="421"/>
      <c r="W2596" s="421"/>
      <c r="X2596" s="421"/>
      <c r="Y2596" s="421"/>
      <c r="Z2596" s="421"/>
      <c r="AA2596" s="421"/>
      <c r="AB2596" s="421"/>
      <c r="AC2596" s="421"/>
      <c r="AD2596" s="421"/>
      <c r="AE2596" s="421"/>
      <c r="AF2596" s="421"/>
      <c r="AG2596" s="421"/>
      <c r="AH2596" s="421"/>
      <c r="AI2596" s="421"/>
      <c r="AJ2596" s="421"/>
      <c r="AK2596" s="421"/>
      <c r="AL2596" s="421"/>
    </row>
    <row r="2597" spans="1:38" hidden="1">
      <c r="A2597" s="408"/>
      <c r="B2597" s="83" t="e">
        <f t="array" ref="B2597">SUM(--(FREQUENCY(IF(C$2:C$3072=C2597, MATCH(D$2:D$3072, D$2:D$3072, 0)), ROW(D$2:D$3072)-ROW(D$2)+1) &gt; 0))</f>
        <v>#N/A</v>
      </c>
      <c r="C2597" s="408"/>
      <c r="D2597" s="408"/>
      <c r="E2597" s="408"/>
      <c r="F2597" s="408"/>
      <c r="G2597" s="408"/>
      <c r="H2597" s="408"/>
      <c r="I2597" s="408"/>
      <c r="J2597" s="408"/>
      <c r="K2597" s="408"/>
      <c r="L2597" s="408"/>
      <c r="M2597" s="408"/>
      <c r="N2597" s="408" t="str">
        <f t="shared" si="467"/>
        <v/>
      </c>
      <c r="O2597" s="408"/>
      <c r="P2597" s="408"/>
      <c r="Q2597" s="408"/>
      <c r="R2597" s="408"/>
      <c r="S2597" s="408"/>
      <c r="T2597" s="408"/>
      <c r="U2597" s="408"/>
      <c r="V2597" s="421"/>
      <c r="W2597" s="421"/>
      <c r="X2597" s="421"/>
      <c r="Y2597" s="421"/>
      <c r="Z2597" s="421"/>
      <c r="AA2597" s="421"/>
      <c r="AB2597" s="421"/>
      <c r="AC2597" s="421"/>
      <c r="AD2597" s="421"/>
      <c r="AE2597" s="421"/>
      <c r="AF2597" s="421"/>
      <c r="AG2597" s="421"/>
      <c r="AH2597" s="421"/>
      <c r="AI2597" s="421"/>
      <c r="AJ2597" s="421"/>
      <c r="AK2597" s="421"/>
      <c r="AL2597" s="421"/>
    </row>
    <row r="2598" spans="1:38" hidden="1">
      <c r="A2598" s="408"/>
      <c r="B2598" s="83" t="e">
        <f t="array" ref="B2598">SUM(--(FREQUENCY(IF(C$2:C$3072=C2598, MATCH(D$2:D$3072, D$2:D$3072, 0)), ROW(D$2:D$3072)-ROW(D$2)+1) &gt; 0))</f>
        <v>#N/A</v>
      </c>
      <c r="C2598" s="408"/>
      <c r="D2598" s="408"/>
      <c r="E2598" s="408"/>
      <c r="F2598" s="408"/>
      <c r="G2598" s="408"/>
      <c r="H2598" s="408"/>
      <c r="I2598" s="408"/>
      <c r="J2598" s="408"/>
      <c r="K2598" s="408"/>
      <c r="L2598" s="408"/>
      <c r="M2598" s="408"/>
      <c r="N2598" s="408" t="str">
        <f t="shared" si="467"/>
        <v/>
      </c>
      <c r="O2598" s="408"/>
      <c r="P2598" s="408"/>
      <c r="Q2598" s="408"/>
      <c r="R2598" s="408"/>
      <c r="S2598" s="408"/>
      <c r="T2598" s="408"/>
      <c r="U2598" s="408"/>
      <c r="V2598" s="421"/>
      <c r="W2598" s="421"/>
      <c r="X2598" s="421"/>
      <c r="Y2598" s="421"/>
      <c r="Z2598" s="421"/>
      <c r="AA2598" s="421"/>
      <c r="AB2598" s="421"/>
      <c r="AC2598" s="421"/>
      <c r="AD2598" s="421"/>
      <c r="AE2598" s="421"/>
      <c r="AF2598" s="421"/>
      <c r="AG2598" s="421"/>
      <c r="AH2598" s="421"/>
      <c r="AI2598" s="421"/>
      <c r="AJ2598" s="421"/>
      <c r="AK2598" s="421"/>
      <c r="AL2598" s="421"/>
    </row>
    <row r="2599" spans="1:38" hidden="1">
      <c r="A2599" s="408"/>
      <c r="B2599" s="83" t="e">
        <f t="array" ref="B2599">SUM(--(FREQUENCY(IF(C$2:C$3072=C2599, MATCH(D$2:D$3072, D$2:D$3072, 0)), ROW(D$2:D$3072)-ROW(D$2)+1) &gt; 0))</f>
        <v>#N/A</v>
      </c>
      <c r="C2599" s="408"/>
      <c r="D2599" s="408"/>
      <c r="E2599" s="408"/>
      <c r="F2599" s="408"/>
      <c r="G2599" s="408"/>
      <c r="H2599" s="408"/>
      <c r="I2599" s="408"/>
      <c r="J2599" s="408"/>
      <c r="K2599" s="408"/>
      <c r="L2599" s="408"/>
      <c r="M2599" s="408"/>
      <c r="N2599" s="408" t="str">
        <f t="shared" si="467"/>
        <v/>
      </c>
      <c r="O2599" s="408"/>
      <c r="P2599" s="408"/>
      <c r="Q2599" s="408"/>
      <c r="R2599" s="408"/>
      <c r="S2599" s="408"/>
      <c r="T2599" s="408"/>
      <c r="U2599" s="408"/>
      <c r="V2599" s="421"/>
      <c r="W2599" s="421"/>
      <c r="X2599" s="421"/>
      <c r="Y2599" s="421"/>
      <c r="Z2599" s="421"/>
      <c r="AA2599" s="421"/>
      <c r="AB2599" s="421"/>
      <c r="AC2599" s="421"/>
      <c r="AD2599" s="421"/>
      <c r="AE2599" s="421"/>
      <c r="AF2599" s="421"/>
      <c r="AG2599" s="421"/>
      <c r="AH2599" s="421"/>
      <c r="AI2599" s="421"/>
      <c r="AJ2599" s="421"/>
      <c r="AK2599" s="421"/>
      <c r="AL2599" s="421"/>
    </row>
    <row r="2600" spans="1:38" hidden="1">
      <c r="A2600" s="408"/>
      <c r="B2600" s="83" t="e">
        <f t="array" ref="B2600">SUM(--(FREQUENCY(IF(C$2:C$3072=C2600, MATCH(D$2:D$3072, D$2:D$3072, 0)), ROW(D$2:D$3072)-ROW(D$2)+1) &gt; 0))</f>
        <v>#N/A</v>
      </c>
      <c r="C2600" s="408"/>
      <c r="D2600" s="408"/>
      <c r="E2600" s="408"/>
      <c r="F2600" s="408"/>
      <c r="G2600" s="408"/>
      <c r="H2600" s="408"/>
      <c r="I2600" s="408"/>
      <c r="J2600" s="408"/>
      <c r="K2600" s="408"/>
      <c r="L2600" s="408"/>
      <c r="M2600" s="408"/>
      <c r="N2600" s="408" t="str">
        <f t="shared" si="467"/>
        <v/>
      </c>
      <c r="O2600" s="408"/>
      <c r="P2600" s="408"/>
      <c r="Q2600" s="408"/>
      <c r="R2600" s="408"/>
      <c r="S2600" s="408"/>
      <c r="T2600" s="408"/>
      <c r="U2600" s="408"/>
      <c r="V2600" s="421"/>
      <c r="W2600" s="421"/>
      <c r="X2600" s="421"/>
      <c r="Y2600" s="421"/>
      <c r="Z2600" s="421"/>
      <c r="AA2600" s="421"/>
      <c r="AB2600" s="421"/>
      <c r="AC2600" s="421"/>
      <c r="AD2600" s="421"/>
      <c r="AE2600" s="421"/>
      <c r="AF2600" s="421"/>
      <c r="AG2600" s="421"/>
      <c r="AH2600" s="421"/>
      <c r="AI2600" s="421"/>
      <c r="AJ2600" s="421"/>
      <c r="AK2600" s="421"/>
      <c r="AL2600" s="421"/>
    </row>
    <row r="2601" spans="1:38" hidden="1">
      <c r="A2601" s="408"/>
      <c r="B2601" s="83" t="e">
        <f t="array" ref="B2601">SUM(--(FREQUENCY(IF(C$2:C$3072=C2601, MATCH(D$2:D$3072, D$2:D$3072, 0)), ROW(D$2:D$3072)-ROW(D$2)+1) &gt; 0))</f>
        <v>#N/A</v>
      </c>
      <c r="C2601" s="408"/>
      <c r="D2601" s="408"/>
      <c r="E2601" s="408"/>
      <c r="F2601" s="408"/>
      <c r="G2601" s="408"/>
      <c r="H2601" s="408"/>
      <c r="I2601" s="408"/>
      <c r="J2601" s="408"/>
      <c r="K2601" s="408"/>
      <c r="L2601" s="408"/>
      <c r="M2601" s="408"/>
      <c r="N2601" s="408" t="str">
        <f t="shared" si="467"/>
        <v/>
      </c>
      <c r="O2601" s="408"/>
      <c r="P2601" s="408"/>
      <c r="Q2601" s="408"/>
      <c r="R2601" s="408"/>
      <c r="S2601" s="408"/>
      <c r="T2601" s="408"/>
      <c r="U2601" s="408"/>
      <c r="V2601" s="421"/>
      <c r="W2601" s="421"/>
      <c r="X2601" s="421"/>
      <c r="Y2601" s="421"/>
      <c r="Z2601" s="421"/>
      <c r="AA2601" s="421"/>
      <c r="AB2601" s="421"/>
      <c r="AC2601" s="421"/>
      <c r="AD2601" s="421"/>
      <c r="AE2601" s="421"/>
      <c r="AF2601" s="421"/>
      <c r="AG2601" s="421"/>
      <c r="AH2601" s="421"/>
      <c r="AI2601" s="421"/>
      <c r="AJ2601" s="421"/>
      <c r="AK2601" s="421"/>
      <c r="AL2601" s="421"/>
    </row>
    <row r="2602" spans="1:38" hidden="1">
      <c r="A2602" s="408"/>
      <c r="B2602" s="83" t="e">
        <f t="array" ref="B2602">SUM(--(FREQUENCY(IF(C$2:C$3072=C2602, MATCH(D$2:D$3072, D$2:D$3072, 0)), ROW(D$2:D$3072)-ROW(D$2)+1) &gt; 0))</f>
        <v>#N/A</v>
      </c>
      <c r="C2602" s="408"/>
      <c r="D2602" s="408"/>
      <c r="E2602" s="408"/>
      <c r="F2602" s="408"/>
      <c r="G2602" s="408"/>
      <c r="H2602" s="408"/>
      <c r="I2602" s="408"/>
      <c r="J2602" s="408"/>
      <c r="K2602" s="408"/>
      <c r="L2602" s="408"/>
      <c r="M2602" s="408"/>
      <c r="N2602" s="408" t="str">
        <f t="shared" si="467"/>
        <v/>
      </c>
      <c r="O2602" s="408"/>
      <c r="P2602" s="408"/>
      <c r="Q2602" s="408"/>
      <c r="R2602" s="408"/>
      <c r="S2602" s="408"/>
      <c r="T2602" s="408"/>
      <c r="U2602" s="408"/>
      <c r="V2602" s="421"/>
      <c r="W2602" s="421"/>
      <c r="X2602" s="421"/>
      <c r="Y2602" s="421"/>
      <c r="Z2602" s="421"/>
      <c r="AA2602" s="421"/>
      <c r="AB2602" s="421"/>
      <c r="AC2602" s="421"/>
      <c r="AD2602" s="421"/>
      <c r="AE2602" s="421"/>
      <c r="AF2602" s="421"/>
      <c r="AG2602" s="421"/>
      <c r="AH2602" s="421"/>
      <c r="AI2602" s="421"/>
      <c r="AJ2602" s="421"/>
      <c r="AK2602" s="421"/>
      <c r="AL2602" s="421"/>
    </row>
    <row r="2603" spans="1:38" hidden="1">
      <c r="A2603" s="408"/>
      <c r="B2603" s="83" t="e">
        <f t="array" ref="B2603">SUM(--(FREQUENCY(IF(C$2:C$3072=C2603, MATCH(D$2:D$3072, D$2:D$3072, 0)), ROW(D$2:D$3072)-ROW(D$2)+1) &gt; 0))</f>
        <v>#N/A</v>
      </c>
      <c r="C2603" s="408"/>
      <c r="D2603" s="408"/>
      <c r="E2603" s="408"/>
      <c r="F2603" s="408"/>
      <c r="G2603" s="408"/>
      <c r="H2603" s="408"/>
      <c r="I2603" s="408"/>
      <c r="J2603" s="408"/>
      <c r="K2603" s="408"/>
      <c r="L2603" s="408"/>
      <c r="M2603" s="408"/>
      <c r="N2603" s="408" t="str">
        <f t="shared" si="467"/>
        <v/>
      </c>
      <c r="O2603" s="408"/>
      <c r="P2603" s="408"/>
      <c r="Q2603" s="408"/>
      <c r="R2603" s="408"/>
      <c r="S2603" s="408"/>
      <c r="T2603" s="408"/>
      <c r="U2603" s="408"/>
      <c r="V2603" s="421"/>
      <c r="W2603" s="421"/>
      <c r="X2603" s="421"/>
      <c r="Y2603" s="421"/>
      <c r="Z2603" s="421"/>
      <c r="AA2603" s="421"/>
      <c r="AB2603" s="421"/>
      <c r="AC2603" s="421"/>
      <c r="AD2603" s="421"/>
      <c r="AE2603" s="421"/>
      <c r="AF2603" s="421"/>
      <c r="AG2603" s="421"/>
      <c r="AH2603" s="421"/>
      <c r="AI2603" s="421"/>
      <c r="AJ2603" s="421"/>
      <c r="AK2603" s="421"/>
      <c r="AL2603" s="421"/>
    </row>
    <row r="2604" spans="1:38" hidden="1">
      <c r="A2604" s="408"/>
      <c r="B2604" s="83" t="e">
        <f t="array" ref="B2604">SUM(--(FREQUENCY(IF(C$2:C$3072=C2604, MATCH(D$2:D$3072, D$2:D$3072, 0)), ROW(D$2:D$3072)-ROW(D$2)+1) &gt; 0))</f>
        <v>#N/A</v>
      </c>
      <c r="C2604" s="408"/>
      <c r="D2604" s="408"/>
      <c r="E2604" s="408"/>
      <c r="F2604" s="408"/>
      <c r="G2604" s="408"/>
      <c r="H2604" s="408"/>
      <c r="I2604" s="408"/>
      <c r="J2604" s="408"/>
      <c r="K2604" s="408"/>
      <c r="L2604" s="408"/>
      <c r="M2604" s="408"/>
      <c r="N2604" s="408" t="str">
        <f t="shared" si="467"/>
        <v/>
      </c>
      <c r="O2604" s="408"/>
      <c r="P2604" s="408"/>
      <c r="Q2604" s="408"/>
      <c r="R2604" s="408"/>
      <c r="S2604" s="408"/>
      <c r="T2604" s="408"/>
      <c r="U2604" s="408"/>
      <c r="V2604" s="421"/>
      <c r="W2604" s="421"/>
      <c r="X2604" s="421"/>
      <c r="Y2604" s="421"/>
      <c r="Z2604" s="421"/>
      <c r="AA2604" s="421"/>
      <c r="AB2604" s="421"/>
      <c r="AC2604" s="421"/>
      <c r="AD2604" s="421"/>
      <c r="AE2604" s="421"/>
      <c r="AF2604" s="421"/>
      <c r="AG2604" s="421"/>
      <c r="AH2604" s="421"/>
      <c r="AI2604" s="421"/>
      <c r="AJ2604" s="421"/>
      <c r="AK2604" s="421"/>
      <c r="AL2604" s="421"/>
    </row>
    <row r="2605" spans="1:38" hidden="1">
      <c r="A2605" s="408"/>
      <c r="B2605" s="83" t="e">
        <f t="array" ref="B2605">SUM(--(FREQUENCY(IF(C$2:C$3072=C2605, MATCH(D$2:D$3072, D$2:D$3072, 0)), ROW(D$2:D$3072)-ROW(D$2)+1) &gt; 0))</f>
        <v>#N/A</v>
      </c>
      <c r="C2605" s="408"/>
      <c r="D2605" s="408"/>
      <c r="E2605" s="408"/>
      <c r="F2605" s="408"/>
      <c r="G2605" s="408"/>
      <c r="H2605" s="408"/>
      <c r="I2605" s="408"/>
      <c r="J2605" s="408"/>
      <c r="K2605" s="408"/>
      <c r="L2605" s="408"/>
      <c r="M2605" s="408"/>
      <c r="N2605" s="408" t="str">
        <f t="shared" si="467"/>
        <v/>
      </c>
      <c r="O2605" s="408"/>
      <c r="P2605" s="408"/>
      <c r="Q2605" s="408"/>
      <c r="R2605" s="408"/>
      <c r="S2605" s="408"/>
      <c r="T2605" s="408"/>
      <c r="U2605" s="408"/>
      <c r="V2605" s="421"/>
      <c r="W2605" s="421"/>
      <c r="X2605" s="421"/>
      <c r="Y2605" s="421"/>
      <c r="Z2605" s="421"/>
      <c r="AA2605" s="421"/>
      <c r="AB2605" s="421"/>
      <c r="AC2605" s="421"/>
      <c r="AD2605" s="421"/>
      <c r="AE2605" s="421"/>
      <c r="AF2605" s="421"/>
      <c r="AG2605" s="421"/>
      <c r="AH2605" s="421"/>
      <c r="AI2605" s="421"/>
      <c r="AJ2605" s="421"/>
      <c r="AK2605" s="421"/>
      <c r="AL2605" s="421"/>
    </row>
    <row r="2606" spans="1:38" hidden="1">
      <c r="A2606" s="408"/>
      <c r="B2606" s="83" t="e">
        <f t="array" ref="B2606">SUM(--(FREQUENCY(IF(C$2:C$3072=C2606, MATCH(D$2:D$3072, D$2:D$3072, 0)), ROW(D$2:D$3072)-ROW(D$2)+1) &gt; 0))</f>
        <v>#N/A</v>
      </c>
      <c r="C2606" s="408"/>
      <c r="D2606" s="408"/>
      <c r="E2606" s="408"/>
      <c r="F2606" s="408"/>
      <c r="G2606" s="408"/>
      <c r="H2606" s="408"/>
      <c r="I2606" s="408"/>
      <c r="J2606" s="408"/>
      <c r="K2606" s="408"/>
      <c r="L2606" s="408"/>
      <c r="M2606" s="408"/>
      <c r="N2606" s="408" t="str">
        <f t="shared" si="467"/>
        <v/>
      </c>
      <c r="O2606" s="408"/>
      <c r="P2606" s="408"/>
      <c r="Q2606" s="408"/>
      <c r="R2606" s="408"/>
      <c r="S2606" s="408"/>
      <c r="T2606" s="408"/>
      <c r="U2606" s="408"/>
      <c r="V2606" s="421"/>
      <c r="W2606" s="421"/>
      <c r="X2606" s="421"/>
      <c r="Y2606" s="421"/>
      <c r="Z2606" s="421"/>
      <c r="AA2606" s="421"/>
      <c r="AB2606" s="421"/>
      <c r="AC2606" s="421"/>
      <c r="AD2606" s="421"/>
      <c r="AE2606" s="421"/>
      <c r="AF2606" s="421"/>
      <c r="AG2606" s="421"/>
      <c r="AH2606" s="421"/>
      <c r="AI2606" s="421"/>
      <c r="AJ2606" s="421"/>
      <c r="AK2606" s="421"/>
      <c r="AL2606" s="421"/>
    </row>
    <row r="2607" spans="1:38" hidden="1">
      <c r="A2607" s="408"/>
      <c r="B2607" s="83" t="e">
        <f t="array" ref="B2607">SUM(--(FREQUENCY(IF(C$2:C$3072=C2607, MATCH(D$2:D$3072, D$2:D$3072, 0)), ROW(D$2:D$3072)-ROW(D$2)+1) &gt; 0))</f>
        <v>#N/A</v>
      </c>
      <c r="C2607" s="408"/>
      <c r="D2607" s="408"/>
      <c r="E2607" s="408"/>
      <c r="F2607" s="408"/>
      <c r="G2607" s="408"/>
      <c r="H2607" s="408"/>
      <c r="I2607" s="408"/>
      <c r="J2607" s="408"/>
      <c r="K2607" s="408"/>
      <c r="L2607" s="408"/>
      <c r="M2607" s="408"/>
      <c r="N2607" s="408" t="str">
        <f t="shared" si="467"/>
        <v/>
      </c>
      <c r="O2607" s="408"/>
      <c r="P2607" s="408"/>
      <c r="Q2607" s="408"/>
      <c r="R2607" s="408"/>
      <c r="S2607" s="408"/>
      <c r="T2607" s="408"/>
      <c r="U2607" s="408"/>
      <c r="V2607" s="421"/>
      <c r="W2607" s="421"/>
      <c r="X2607" s="421"/>
      <c r="Y2607" s="421"/>
      <c r="Z2607" s="421"/>
      <c r="AA2607" s="421"/>
      <c r="AB2607" s="421"/>
      <c r="AC2607" s="421"/>
      <c r="AD2607" s="421"/>
      <c r="AE2607" s="421"/>
      <c r="AF2607" s="421"/>
      <c r="AG2607" s="421"/>
      <c r="AH2607" s="421"/>
      <c r="AI2607" s="421"/>
      <c r="AJ2607" s="421"/>
      <c r="AK2607" s="421"/>
      <c r="AL2607" s="421"/>
    </row>
    <row r="2608" spans="1:38" hidden="1">
      <c r="A2608" s="408"/>
      <c r="B2608" s="83" t="e">
        <f t="array" ref="B2608">SUM(--(FREQUENCY(IF(C$2:C$3072=C2608, MATCH(D$2:D$3072, D$2:D$3072, 0)), ROW(D$2:D$3072)-ROW(D$2)+1) &gt; 0))</f>
        <v>#N/A</v>
      </c>
      <c r="C2608" s="408"/>
      <c r="D2608" s="408"/>
      <c r="E2608" s="408"/>
      <c r="F2608" s="408"/>
      <c r="G2608" s="408"/>
      <c r="H2608" s="408"/>
      <c r="I2608" s="408"/>
      <c r="J2608" s="408"/>
      <c r="K2608" s="408"/>
      <c r="L2608" s="408"/>
      <c r="M2608" s="408"/>
      <c r="N2608" s="408" t="str">
        <f t="shared" si="467"/>
        <v/>
      </c>
      <c r="O2608" s="408"/>
      <c r="P2608" s="408"/>
      <c r="Q2608" s="408"/>
      <c r="R2608" s="408"/>
      <c r="S2608" s="408"/>
      <c r="T2608" s="408"/>
      <c r="U2608" s="408"/>
      <c r="V2608" s="421"/>
      <c r="W2608" s="421"/>
      <c r="X2608" s="421"/>
      <c r="Y2608" s="421"/>
      <c r="Z2608" s="421"/>
      <c r="AA2608" s="421"/>
      <c r="AB2608" s="421"/>
      <c r="AC2608" s="421"/>
      <c r="AD2608" s="421"/>
      <c r="AE2608" s="421"/>
      <c r="AF2608" s="421"/>
      <c r="AG2608" s="421"/>
      <c r="AH2608" s="421"/>
      <c r="AI2608" s="421"/>
      <c r="AJ2608" s="421"/>
      <c r="AK2608" s="421"/>
      <c r="AL2608" s="421"/>
    </row>
    <row r="2609" spans="1:38" hidden="1">
      <c r="A2609" s="408"/>
      <c r="B2609" s="83" t="e">
        <f t="array" ref="B2609">SUM(--(FREQUENCY(IF(C$2:C$3072=C2609, MATCH(D$2:D$3072, D$2:D$3072, 0)), ROW(D$2:D$3072)-ROW(D$2)+1) &gt; 0))</f>
        <v>#N/A</v>
      </c>
      <c r="C2609" s="408"/>
      <c r="D2609" s="408"/>
      <c r="E2609" s="408"/>
      <c r="F2609" s="408"/>
      <c r="G2609" s="408"/>
      <c r="H2609" s="408"/>
      <c r="I2609" s="408"/>
      <c r="J2609" s="408"/>
      <c r="K2609" s="408"/>
      <c r="L2609" s="408"/>
      <c r="M2609" s="408"/>
      <c r="N2609" s="408" t="str">
        <f t="shared" si="467"/>
        <v/>
      </c>
      <c r="O2609" s="408"/>
      <c r="P2609" s="408"/>
      <c r="Q2609" s="408"/>
      <c r="R2609" s="408"/>
      <c r="S2609" s="408"/>
      <c r="T2609" s="408"/>
      <c r="U2609" s="408"/>
      <c r="V2609" s="421"/>
      <c r="W2609" s="421"/>
      <c r="X2609" s="421"/>
      <c r="Y2609" s="421"/>
      <c r="Z2609" s="421"/>
      <c r="AA2609" s="421"/>
      <c r="AB2609" s="421"/>
      <c r="AC2609" s="421"/>
      <c r="AD2609" s="421"/>
      <c r="AE2609" s="421"/>
      <c r="AF2609" s="421"/>
      <c r="AG2609" s="421"/>
      <c r="AH2609" s="421"/>
      <c r="AI2609" s="421"/>
      <c r="AJ2609" s="421"/>
      <c r="AK2609" s="421"/>
      <c r="AL2609" s="421"/>
    </row>
    <row r="2610" spans="1:38" hidden="1">
      <c r="A2610" s="408"/>
      <c r="B2610" s="83" t="e">
        <f t="array" ref="B2610">SUM(--(FREQUENCY(IF(C$2:C$3072=C2610, MATCH(D$2:D$3072, D$2:D$3072, 0)), ROW(D$2:D$3072)-ROW(D$2)+1) &gt; 0))</f>
        <v>#N/A</v>
      </c>
      <c r="C2610" s="408"/>
      <c r="D2610" s="408"/>
      <c r="E2610" s="408"/>
      <c r="F2610" s="408"/>
      <c r="G2610" s="408"/>
      <c r="H2610" s="408"/>
      <c r="I2610" s="408"/>
      <c r="J2610" s="408"/>
      <c r="K2610" s="408"/>
      <c r="L2610" s="408"/>
      <c r="M2610" s="408"/>
      <c r="N2610" s="408" t="str">
        <f t="shared" si="467"/>
        <v/>
      </c>
      <c r="O2610" s="408"/>
      <c r="P2610" s="408"/>
      <c r="Q2610" s="408"/>
      <c r="R2610" s="408"/>
      <c r="S2610" s="408"/>
      <c r="T2610" s="408"/>
      <c r="U2610" s="408"/>
      <c r="V2610" s="421"/>
      <c r="W2610" s="421"/>
      <c r="X2610" s="421"/>
      <c r="Y2610" s="421"/>
      <c r="Z2610" s="421"/>
      <c r="AA2610" s="421"/>
      <c r="AB2610" s="421"/>
      <c r="AC2610" s="421"/>
      <c r="AD2610" s="421"/>
      <c r="AE2610" s="421"/>
      <c r="AF2610" s="421"/>
      <c r="AG2610" s="421"/>
      <c r="AH2610" s="421"/>
      <c r="AI2610" s="421"/>
      <c r="AJ2610" s="421"/>
      <c r="AK2610" s="421"/>
      <c r="AL2610" s="421"/>
    </row>
    <row r="2611" spans="1:38" hidden="1">
      <c r="A2611" s="408"/>
      <c r="B2611" s="83" t="e">
        <f t="array" ref="B2611">SUM(--(FREQUENCY(IF(C$2:C$3072=C2611, MATCH(D$2:D$3072, D$2:D$3072, 0)), ROW(D$2:D$3072)-ROW(D$2)+1) &gt; 0))</f>
        <v>#N/A</v>
      </c>
      <c r="C2611" s="408"/>
      <c r="D2611" s="408"/>
      <c r="E2611" s="408"/>
      <c r="F2611" s="408"/>
      <c r="G2611" s="408"/>
      <c r="H2611" s="408"/>
      <c r="I2611" s="408"/>
      <c r="J2611" s="408"/>
      <c r="K2611" s="408"/>
      <c r="L2611" s="408"/>
      <c r="M2611" s="408"/>
      <c r="N2611" s="408" t="str">
        <f t="shared" si="467"/>
        <v/>
      </c>
      <c r="O2611" s="408"/>
      <c r="P2611" s="408"/>
      <c r="Q2611" s="408"/>
      <c r="R2611" s="408"/>
      <c r="S2611" s="408"/>
      <c r="T2611" s="408"/>
      <c r="U2611" s="408"/>
      <c r="V2611" s="421"/>
      <c r="W2611" s="421"/>
      <c r="X2611" s="421"/>
      <c r="Y2611" s="421"/>
      <c r="Z2611" s="421"/>
      <c r="AA2611" s="421"/>
      <c r="AB2611" s="421"/>
      <c r="AC2611" s="421"/>
      <c r="AD2611" s="421"/>
      <c r="AE2611" s="421"/>
      <c r="AF2611" s="421"/>
      <c r="AG2611" s="421"/>
      <c r="AH2611" s="421"/>
      <c r="AI2611" s="421"/>
      <c r="AJ2611" s="421"/>
      <c r="AK2611" s="421"/>
      <c r="AL2611" s="421"/>
    </row>
    <row r="2612" spans="1:38" hidden="1">
      <c r="A2612" s="408"/>
      <c r="B2612" s="83" t="e">
        <f t="array" ref="B2612">SUM(--(FREQUENCY(IF(C$2:C$3072=C2612, MATCH(D$2:D$3072, D$2:D$3072, 0)), ROW(D$2:D$3072)-ROW(D$2)+1) &gt; 0))</f>
        <v>#N/A</v>
      </c>
      <c r="C2612" s="408"/>
      <c r="D2612" s="408"/>
      <c r="E2612" s="408"/>
      <c r="F2612" s="408"/>
      <c r="G2612" s="408"/>
      <c r="H2612" s="408"/>
      <c r="I2612" s="408"/>
      <c r="J2612" s="408"/>
      <c r="K2612" s="408"/>
      <c r="L2612" s="408"/>
      <c r="M2612" s="408"/>
      <c r="N2612" s="408" t="str">
        <f t="shared" si="467"/>
        <v/>
      </c>
      <c r="O2612" s="408"/>
      <c r="P2612" s="408"/>
      <c r="Q2612" s="408"/>
      <c r="R2612" s="408"/>
      <c r="S2612" s="408"/>
      <c r="T2612" s="408"/>
      <c r="U2612" s="408"/>
      <c r="V2612" s="421"/>
      <c r="W2612" s="421"/>
      <c r="X2612" s="421"/>
      <c r="Y2612" s="421"/>
      <c r="Z2612" s="421"/>
      <c r="AA2612" s="421"/>
      <c r="AB2612" s="421"/>
      <c r="AC2612" s="421"/>
      <c r="AD2612" s="421"/>
      <c r="AE2612" s="421"/>
      <c r="AF2612" s="421"/>
      <c r="AG2612" s="421"/>
      <c r="AH2612" s="421"/>
      <c r="AI2612" s="421"/>
      <c r="AJ2612" s="421"/>
      <c r="AK2612" s="421"/>
      <c r="AL2612" s="421"/>
    </row>
    <row r="2613" spans="1:38" hidden="1">
      <c r="A2613" s="408"/>
      <c r="B2613" s="83" t="e">
        <f t="array" ref="B2613">SUM(--(FREQUENCY(IF(C$2:C$3072=C2613, MATCH(D$2:D$3072, D$2:D$3072, 0)), ROW(D$2:D$3072)-ROW(D$2)+1) &gt; 0))</f>
        <v>#N/A</v>
      </c>
      <c r="C2613" s="408"/>
      <c r="D2613" s="408"/>
      <c r="E2613" s="408"/>
      <c r="F2613" s="408"/>
      <c r="G2613" s="408"/>
      <c r="H2613" s="408"/>
      <c r="I2613" s="408"/>
      <c r="J2613" s="408"/>
      <c r="K2613" s="408"/>
      <c r="L2613" s="408"/>
      <c r="M2613" s="408"/>
      <c r="N2613" s="408" t="str">
        <f t="shared" si="467"/>
        <v/>
      </c>
      <c r="O2613" s="408"/>
      <c r="P2613" s="408"/>
      <c r="Q2613" s="408"/>
      <c r="R2613" s="408"/>
      <c r="S2613" s="408"/>
      <c r="T2613" s="408"/>
      <c r="U2613" s="408"/>
      <c r="V2613" s="421"/>
      <c r="W2613" s="421"/>
      <c r="X2613" s="421"/>
      <c r="Y2613" s="421"/>
      <c r="Z2613" s="421"/>
      <c r="AA2613" s="421"/>
      <c r="AB2613" s="421"/>
      <c r="AC2613" s="421"/>
      <c r="AD2613" s="421"/>
      <c r="AE2613" s="421"/>
      <c r="AF2613" s="421"/>
      <c r="AG2613" s="421"/>
      <c r="AH2613" s="421"/>
      <c r="AI2613" s="421"/>
      <c r="AJ2613" s="421"/>
      <c r="AK2613" s="421"/>
      <c r="AL2613" s="421"/>
    </row>
    <row r="2614" spans="1:38" hidden="1">
      <c r="A2614" s="408"/>
      <c r="B2614" s="83" t="e">
        <f t="array" ref="B2614">SUM(--(FREQUENCY(IF(C$2:C$3072=C2614, MATCH(D$2:D$3072, D$2:D$3072, 0)), ROW(D$2:D$3072)-ROW(D$2)+1) &gt; 0))</f>
        <v>#N/A</v>
      </c>
      <c r="C2614" s="408"/>
      <c r="D2614" s="408"/>
      <c r="E2614" s="408"/>
      <c r="F2614" s="408"/>
      <c r="G2614" s="408"/>
      <c r="H2614" s="408"/>
      <c r="I2614" s="408"/>
      <c r="J2614" s="408"/>
      <c r="K2614" s="408"/>
      <c r="L2614" s="408"/>
      <c r="M2614" s="408"/>
      <c r="N2614" s="408" t="str">
        <f t="shared" si="467"/>
        <v/>
      </c>
      <c r="O2614" s="408"/>
      <c r="P2614" s="408"/>
      <c r="Q2614" s="408"/>
      <c r="R2614" s="408"/>
      <c r="S2614" s="408"/>
      <c r="T2614" s="408"/>
      <c r="U2614" s="408"/>
      <c r="V2614" s="421"/>
      <c r="W2614" s="421"/>
      <c r="X2614" s="421"/>
      <c r="Y2614" s="421"/>
      <c r="Z2614" s="421"/>
      <c r="AA2614" s="421"/>
      <c r="AB2614" s="421"/>
      <c r="AC2614" s="421"/>
      <c r="AD2614" s="421"/>
      <c r="AE2614" s="421"/>
      <c r="AF2614" s="421"/>
      <c r="AG2614" s="421"/>
      <c r="AH2614" s="421"/>
      <c r="AI2614" s="421"/>
      <c r="AJ2614" s="421"/>
      <c r="AK2614" s="421"/>
      <c r="AL2614" s="421"/>
    </row>
    <row r="2615" spans="1:38" hidden="1">
      <c r="A2615" s="408"/>
      <c r="B2615" s="83" t="e">
        <f t="array" ref="B2615">SUM(--(FREQUENCY(IF(C$2:C$3072=C2615, MATCH(D$2:D$3072, D$2:D$3072, 0)), ROW(D$2:D$3072)-ROW(D$2)+1) &gt; 0))</f>
        <v>#N/A</v>
      </c>
      <c r="C2615" s="408"/>
      <c r="D2615" s="408"/>
      <c r="E2615" s="408"/>
      <c r="F2615" s="408"/>
      <c r="G2615" s="408"/>
      <c r="H2615" s="408"/>
      <c r="I2615" s="408"/>
      <c r="J2615" s="408"/>
      <c r="K2615" s="408"/>
      <c r="L2615" s="408"/>
      <c r="M2615" s="408"/>
      <c r="N2615" s="408" t="str">
        <f t="shared" si="467"/>
        <v/>
      </c>
      <c r="O2615" s="408"/>
      <c r="P2615" s="408"/>
      <c r="Q2615" s="408"/>
      <c r="R2615" s="408"/>
      <c r="S2615" s="408"/>
      <c r="T2615" s="408"/>
      <c r="U2615" s="408"/>
      <c r="V2615" s="421"/>
      <c r="W2615" s="421"/>
      <c r="X2615" s="421"/>
      <c r="Y2615" s="421"/>
      <c r="Z2615" s="421"/>
      <c r="AA2615" s="421"/>
      <c r="AB2615" s="421"/>
      <c r="AC2615" s="421"/>
      <c r="AD2615" s="421"/>
      <c r="AE2615" s="421"/>
      <c r="AF2615" s="421"/>
      <c r="AG2615" s="421"/>
      <c r="AH2615" s="421"/>
      <c r="AI2615" s="421"/>
      <c r="AJ2615" s="421"/>
      <c r="AK2615" s="421"/>
      <c r="AL2615" s="421"/>
    </row>
    <row r="2616" spans="1:38" hidden="1">
      <c r="A2616" s="408"/>
      <c r="B2616" s="83" t="e">
        <f t="array" ref="B2616">SUM(--(FREQUENCY(IF(C$2:C$3072=C2616, MATCH(D$2:D$3072, D$2:D$3072, 0)), ROW(D$2:D$3072)-ROW(D$2)+1) &gt; 0))</f>
        <v>#N/A</v>
      </c>
      <c r="C2616" s="408"/>
      <c r="D2616" s="408"/>
      <c r="E2616" s="408"/>
      <c r="F2616" s="408"/>
      <c r="G2616" s="408"/>
      <c r="H2616" s="408"/>
      <c r="I2616" s="408"/>
      <c r="J2616" s="408"/>
      <c r="K2616" s="408"/>
      <c r="L2616" s="408"/>
      <c r="M2616" s="408"/>
      <c r="N2616" s="408" t="str">
        <f t="shared" si="467"/>
        <v/>
      </c>
      <c r="O2616" s="408"/>
      <c r="P2616" s="408"/>
      <c r="Q2616" s="408"/>
      <c r="R2616" s="408"/>
      <c r="S2616" s="408"/>
      <c r="T2616" s="408"/>
      <c r="U2616" s="408"/>
      <c r="V2616" s="421"/>
      <c r="W2616" s="421"/>
      <c r="X2616" s="421"/>
      <c r="Y2616" s="421"/>
      <c r="Z2616" s="421"/>
      <c r="AA2616" s="421"/>
      <c r="AB2616" s="421"/>
      <c r="AC2616" s="421"/>
      <c r="AD2616" s="421"/>
      <c r="AE2616" s="421"/>
      <c r="AF2616" s="421"/>
      <c r="AG2616" s="421"/>
      <c r="AH2616" s="421"/>
      <c r="AI2616" s="421"/>
      <c r="AJ2616" s="421"/>
      <c r="AK2616" s="421"/>
      <c r="AL2616" s="421"/>
    </row>
    <row r="2617" spans="1:38" hidden="1">
      <c r="A2617" s="408"/>
      <c r="B2617" s="83" t="e">
        <f t="array" ref="B2617">SUM(--(FREQUENCY(IF(C$2:C$3072=C2617, MATCH(D$2:D$3072, D$2:D$3072, 0)), ROW(D$2:D$3072)-ROW(D$2)+1) &gt; 0))</f>
        <v>#N/A</v>
      </c>
      <c r="C2617" s="408"/>
      <c r="D2617" s="408"/>
      <c r="E2617" s="408"/>
      <c r="F2617" s="408"/>
      <c r="G2617" s="408"/>
      <c r="H2617" s="408"/>
      <c r="I2617" s="408"/>
      <c r="J2617" s="408"/>
      <c r="K2617" s="408"/>
      <c r="L2617" s="408"/>
      <c r="M2617" s="408"/>
      <c r="N2617" s="408" t="str">
        <f t="shared" si="467"/>
        <v/>
      </c>
      <c r="O2617" s="408"/>
      <c r="P2617" s="408"/>
      <c r="Q2617" s="408"/>
      <c r="R2617" s="408"/>
      <c r="S2617" s="408"/>
      <c r="T2617" s="408"/>
      <c r="U2617" s="408"/>
      <c r="V2617" s="421"/>
      <c r="W2617" s="421"/>
      <c r="X2617" s="421"/>
      <c r="Y2617" s="421"/>
      <c r="Z2617" s="421"/>
      <c r="AA2617" s="421"/>
      <c r="AB2617" s="421"/>
      <c r="AC2617" s="421"/>
      <c r="AD2617" s="421"/>
      <c r="AE2617" s="421"/>
      <c r="AF2617" s="421"/>
      <c r="AG2617" s="421"/>
      <c r="AH2617" s="421"/>
      <c r="AI2617" s="421"/>
      <c r="AJ2617" s="421"/>
      <c r="AK2617" s="421"/>
      <c r="AL2617" s="421"/>
    </row>
    <row r="2618" spans="1:38" hidden="1">
      <c r="A2618" s="408"/>
      <c r="B2618" s="83" t="e">
        <f t="array" ref="B2618">SUM(--(FREQUENCY(IF(C$2:C$3072=C2618, MATCH(D$2:D$3072, D$2:D$3072, 0)), ROW(D$2:D$3072)-ROW(D$2)+1) &gt; 0))</f>
        <v>#N/A</v>
      </c>
      <c r="C2618" s="408"/>
      <c r="D2618" s="408"/>
      <c r="E2618" s="408"/>
      <c r="F2618" s="408"/>
      <c r="G2618" s="408"/>
      <c r="H2618" s="408"/>
      <c r="I2618" s="408"/>
      <c r="J2618" s="408"/>
      <c r="K2618" s="408"/>
      <c r="L2618" s="408"/>
      <c r="M2618" s="408"/>
      <c r="N2618" s="408" t="str">
        <f t="shared" si="467"/>
        <v/>
      </c>
      <c r="O2618" s="408"/>
      <c r="P2618" s="408"/>
      <c r="Q2618" s="408"/>
      <c r="R2618" s="408"/>
      <c r="S2618" s="408"/>
      <c r="T2618" s="408"/>
      <c r="U2618" s="408"/>
      <c r="V2618" s="421"/>
      <c r="W2618" s="421"/>
      <c r="X2618" s="421"/>
      <c r="Y2618" s="421"/>
      <c r="Z2618" s="421"/>
      <c r="AA2618" s="421"/>
      <c r="AB2618" s="421"/>
      <c r="AC2618" s="421"/>
      <c r="AD2618" s="421"/>
      <c r="AE2618" s="421"/>
      <c r="AF2618" s="421"/>
      <c r="AG2618" s="421"/>
      <c r="AH2618" s="421"/>
      <c r="AI2618" s="421"/>
      <c r="AJ2618" s="421"/>
      <c r="AK2618" s="421"/>
      <c r="AL2618" s="421"/>
    </row>
    <row r="2619" spans="1:38" hidden="1">
      <c r="A2619" s="408"/>
      <c r="B2619" s="83" t="e">
        <f t="array" ref="B2619">SUM(--(FREQUENCY(IF(C$2:C$3072=C2619, MATCH(D$2:D$3072, D$2:D$3072, 0)), ROW(D$2:D$3072)-ROW(D$2)+1) &gt; 0))</f>
        <v>#N/A</v>
      </c>
      <c r="C2619" s="408"/>
      <c r="D2619" s="408"/>
      <c r="E2619" s="408"/>
      <c r="F2619" s="408"/>
      <c r="G2619" s="408"/>
      <c r="H2619" s="408"/>
      <c r="I2619" s="408"/>
      <c r="J2619" s="408"/>
      <c r="K2619" s="408"/>
      <c r="L2619" s="408"/>
      <c r="M2619" s="408"/>
      <c r="N2619" s="408" t="str">
        <f t="shared" si="467"/>
        <v/>
      </c>
      <c r="O2619" s="408"/>
      <c r="P2619" s="408"/>
      <c r="Q2619" s="408"/>
      <c r="R2619" s="408"/>
      <c r="S2619" s="408"/>
      <c r="T2619" s="408"/>
      <c r="U2619" s="408"/>
      <c r="V2619" s="421"/>
      <c r="W2619" s="421"/>
      <c r="X2619" s="421"/>
      <c r="Y2619" s="421"/>
      <c r="Z2619" s="421"/>
      <c r="AA2619" s="421"/>
      <c r="AB2619" s="421"/>
      <c r="AC2619" s="421"/>
      <c r="AD2619" s="421"/>
      <c r="AE2619" s="421"/>
      <c r="AF2619" s="421"/>
      <c r="AG2619" s="421"/>
      <c r="AH2619" s="421"/>
      <c r="AI2619" s="421"/>
      <c r="AJ2619" s="421"/>
      <c r="AK2619" s="421"/>
      <c r="AL2619" s="421"/>
    </row>
    <row r="2620" spans="1:38" hidden="1">
      <c r="A2620" s="408"/>
      <c r="B2620" s="83" t="e">
        <f t="array" ref="B2620">SUM(--(FREQUENCY(IF(C$2:C$3072=C2620, MATCH(D$2:D$3072, D$2:D$3072, 0)), ROW(D$2:D$3072)-ROW(D$2)+1) &gt; 0))</f>
        <v>#N/A</v>
      </c>
      <c r="C2620" s="408"/>
      <c r="D2620" s="408"/>
      <c r="E2620" s="408"/>
      <c r="F2620" s="408"/>
      <c r="G2620" s="408"/>
      <c r="H2620" s="408"/>
      <c r="I2620" s="408"/>
      <c r="J2620" s="408"/>
      <c r="K2620" s="408"/>
      <c r="L2620" s="408"/>
      <c r="M2620" s="408"/>
      <c r="N2620" s="408" t="str">
        <f t="shared" si="467"/>
        <v/>
      </c>
      <c r="O2620" s="408"/>
      <c r="P2620" s="408"/>
      <c r="Q2620" s="408"/>
      <c r="R2620" s="408"/>
      <c r="S2620" s="408"/>
      <c r="T2620" s="408"/>
      <c r="U2620" s="408"/>
      <c r="V2620" s="421"/>
      <c r="W2620" s="421"/>
      <c r="X2620" s="421"/>
      <c r="Y2620" s="421"/>
      <c r="Z2620" s="421"/>
      <c r="AA2620" s="421"/>
      <c r="AB2620" s="421"/>
      <c r="AC2620" s="421"/>
      <c r="AD2620" s="421"/>
      <c r="AE2620" s="421"/>
      <c r="AF2620" s="421"/>
      <c r="AG2620" s="421"/>
      <c r="AH2620" s="421"/>
      <c r="AI2620" s="421"/>
      <c r="AJ2620" s="421"/>
      <c r="AK2620" s="421"/>
      <c r="AL2620" s="421"/>
    </row>
    <row r="2621" spans="1:38" hidden="1">
      <c r="A2621" s="408"/>
      <c r="B2621" s="83" t="e">
        <f t="array" ref="B2621">SUM(--(FREQUENCY(IF(C$2:C$3072=C2621, MATCH(D$2:D$3072, D$2:D$3072, 0)), ROW(D$2:D$3072)-ROW(D$2)+1) &gt; 0))</f>
        <v>#N/A</v>
      </c>
      <c r="C2621" s="408"/>
      <c r="D2621" s="408"/>
      <c r="E2621" s="408"/>
      <c r="F2621" s="408"/>
      <c r="G2621" s="408"/>
      <c r="H2621" s="408"/>
      <c r="I2621" s="408"/>
      <c r="J2621" s="408"/>
      <c r="K2621" s="408"/>
      <c r="L2621" s="408"/>
      <c r="M2621" s="408"/>
      <c r="N2621" s="408" t="str">
        <f t="shared" si="467"/>
        <v/>
      </c>
      <c r="O2621" s="408"/>
      <c r="P2621" s="408"/>
      <c r="Q2621" s="408"/>
      <c r="R2621" s="408"/>
      <c r="S2621" s="408"/>
      <c r="T2621" s="408"/>
      <c r="U2621" s="408"/>
      <c r="V2621" s="421"/>
      <c r="W2621" s="421"/>
      <c r="X2621" s="421"/>
      <c r="Y2621" s="421"/>
      <c r="Z2621" s="421"/>
      <c r="AA2621" s="421"/>
      <c r="AB2621" s="421"/>
      <c r="AC2621" s="421"/>
      <c r="AD2621" s="421"/>
      <c r="AE2621" s="421"/>
      <c r="AF2621" s="421"/>
      <c r="AG2621" s="421"/>
      <c r="AH2621" s="421"/>
      <c r="AI2621" s="421"/>
      <c r="AJ2621" s="421"/>
      <c r="AK2621" s="421"/>
      <c r="AL2621" s="421"/>
    </row>
    <row r="2622" spans="1:38" hidden="1">
      <c r="A2622" s="408"/>
      <c r="B2622" s="83" t="e">
        <f t="array" ref="B2622">SUM(--(FREQUENCY(IF(C$2:C$3072=C2622, MATCH(D$2:D$3072, D$2:D$3072, 0)), ROW(D$2:D$3072)-ROW(D$2)+1) &gt; 0))</f>
        <v>#N/A</v>
      </c>
      <c r="C2622" s="408"/>
      <c r="D2622" s="408"/>
      <c r="E2622" s="408"/>
      <c r="F2622" s="408"/>
      <c r="G2622" s="408"/>
      <c r="H2622" s="408"/>
      <c r="I2622" s="408"/>
      <c r="J2622" s="408"/>
      <c r="K2622" s="408"/>
      <c r="L2622" s="408"/>
      <c r="M2622" s="408"/>
      <c r="N2622" s="408" t="str">
        <f t="shared" si="467"/>
        <v/>
      </c>
      <c r="O2622" s="408"/>
      <c r="P2622" s="408"/>
      <c r="Q2622" s="408"/>
      <c r="R2622" s="408"/>
      <c r="S2622" s="408"/>
      <c r="T2622" s="408"/>
      <c r="U2622" s="408"/>
      <c r="V2622" s="421"/>
      <c r="W2622" s="421"/>
      <c r="X2622" s="421"/>
      <c r="Y2622" s="421"/>
      <c r="Z2622" s="421"/>
      <c r="AA2622" s="421"/>
      <c r="AB2622" s="421"/>
      <c r="AC2622" s="421"/>
      <c r="AD2622" s="421"/>
      <c r="AE2622" s="421"/>
      <c r="AF2622" s="421"/>
      <c r="AG2622" s="421"/>
      <c r="AH2622" s="421"/>
      <c r="AI2622" s="421"/>
      <c r="AJ2622" s="421"/>
      <c r="AK2622" s="421"/>
      <c r="AL2622" s="421"/>
    </row>
    <row r="2623" spans="1:38" hidden="1">
      <c r="A2623" s="408"/>
      <c r="B2623" s="83" t="e">
        <f t="array" ref="B2623">SUM(--(FREQUENCY(IF(C$2:C$3072=C2623, MATCH(D$2:D$3072, D$2:D$3072, 0)), ROW(D$2:D$3072)-ROW(D$2)+1) &gt; 0))</f>
        <v>#N/A</v>
      </c>
      <c r="C2623" s="408"/>
      <c r="D2623" s="408"/>
      <c r="E2623" s="408"/>
      <c r="F2623" s="408"/>
      <c r="G2623" s="408"/>
      <c r="H2623" s="408"/>
      <c r="I2623" s="408"/>
      <c r="J2623" s="408"/>
      <c r="K2623" s="408"/>
      <c r="L2623" s="408"/>
      <c r="M2623" s="408"/>
      <c r="N2623" s="408" t="str">
        <f t="shared" si="467"/>
        <v/>
      </c>
      <c r="O2623" s="408"/>
      <c r="P2623" s="408"/>
      <c r="Q2623" s="408"/>
      <c r="R2623" s="408"/>
      <c r="S2623" s="408"/>
      <c r="T2623" s="408"/>
      <c r="U2623" s="408"/>
      <c r="V2623" s="421"/>
      <c r="W2623" s="421"/>
      <c r="X2623" s="421"/>
      <c r="Y2623" s="421"/>
      <c r="Z2623" s="421"/>
      <c r="AA2623" s="421"/>
      <c r="AB2623" s="421"/>
      <c r="AC2623" s="421"/>
      <c r="AD2623" s="421"/>
      <c r="AE2623" s="421"/>
      <c r="AF2623" s="421"/>
      <c r="AG2623" s="421"/>
      <c r="AH2623" s="421"/>
      <c r="AI2623" s="421"/>
      <c r="AJ2623" s="421"/>
      <c r="AK2623" s="421"/>
      <c r="AL2623" s="421"/>
    </row>
    <row r="2624" spans="1:38" hidden="1">
      <c r="A2624" s="408"/>
      <c r="B2624" s="83" t="e">
        <f t="array" ref="B2624">SUM(--(FREQUENCY(IF(C$2:C$3072=C2624, MATCH(D$2:D$3072, D$2:D$3072, 0)), ROW(D$2:D$3072)-ROW(D$2)+1) &gt; 0))</f>
        <v>#N/A</v>
      </c>
      <c r="C2624" s="408"/>
      <c r="D2624" s="408"/>
      <c r="E2624" s="408"/>
      <c r="F2624" s="408"/>
      <c r="G2624" s="408"/>
      <c r="H2624" s="408"/>
      <c r="I2624" s="408"/>
      <c r="J2624" s="408"/>
      <c r="K2624" s="408"/>
      <c r="L2624" s="408"/>
      <c r="M2624" s="408"/>
      <c r="N2624" s="408" t="str">
        <f t="shared" ref="N2624:N2687" si="468">IF(O2624&lt;&gt;"", "NG", "")</f>
        <v/>
      </c>
      <c r="O2624" s="408"/>
      <c r="P2624" s="408"/>
      <c r="Q2624" s="408"/>
      <c r="R2624" s="408"/>
      <c r="S2624" s="408"/>
      <c r="T2624" s="408"/>
      <c r="U2624" s="408"/>
      <c r="V2624" s="421"/>
      <c r="W2624" s="421"/>
      <c r="X2624" s="421"/>
      <c r="Y2624" s="421"/>
      <c r="Z2624" s="421"/>
      <c r="AA2624" s="421"/>
      <c r="AB2624" s="421"/>
      <c r="AC2624" s="421"/>
      <c r="AD2624" s="421"/>
      <c r="AE2624" s="421"/>
      <c r="AF2624" s="421"/>
      <c r="AG2624" s="421"/>
      <c r="AH2624" s="421"/>
      <c r="AI2624" s="421"/>
      <c r="AJ2624" s="421"/>
      <c r="AK2624" s="421"/>
      <c r="AL2624" s="421"/>
    </row>
    <row r="2625" spans="1:38" hidden="1">
      <c r="A2625" s="408"/>
      <c r="B2625" s="83" t="e">
        <f t="array" ref="B2625">SUM(--(FREQUENCY(IF(C$2:C$3072=C2625, MATCH(D$2:D$3072, D$2:D$3072, 0)), ROW(D$2:D$3072)-ROW(D$2)+1) &gt; 0))</f>
        <v>#N/A</v>
      </c>
      <c r="C2625" s="408"/>
      <c r="D2625" s="408"/>
      <c r="E2625" s="408"/>
      <c r="F2625" s="408"/>
      <c r="G2625" s="408"/>
      <c r="H2625" s="408"/>
      <c r="I2625" s="408"/>
      <c r="J2625" s="408"/>
      <c r="K2625" s="408"/>
      <c r="L2625" s="408"/>
      <c r="M2625" s="408"/>
      <c r="N2625" s="408" t="str">
        <f t="shared" si="468"/>
        <v/>
      </c>
      <c r="O2625" s="408"/>
      <c r="P2625" s="408"/>
      <c r="Q2625" s="408"/>
      <c r="R2625" s="408"/>
      <c r="S2625" s="408"/>
      <c r="T2625" s="408"/>
      <c r="U2625" s="408"/>
      <c r="V2625" s="421"/>
      <c r="W2625" s="421"/>
      <c r="X2625" s="421"/>
      <c r="Y2625" s="421"/>
      <c r="Z2625" s="421"/>
      <c r="AA2625" s="421"/>
      <c r="AB2625" s="421"/>
      <c r="AC2625" s="421"/>
      <c r="AD2625" s="421"/>
      <c r="AE2625" s="421"/>
      <c r="AF2625" s="421"/>
      <c r="AG2625" s="421"/>
      <c r="AH2625" s="421"/>
      <c r="AI2625" s="421"/>
      <c r="AJ2625" s="421"/>
      <c r="AK2625" s="421"/>
      <c r="AL2625" s="421"/>
    </row>
    <row r="2626" spans="1:38" hidden="1">
      <c r="A2626" s="408"/>
      <c r="B2626" s="83" t="e">
        <f t="array" ref="B2626">SUM(--(FREQUENCY(IF(C$2:C$3072=C2626, MATCH(D$2:D$3072, D$2:D$3072, 0)), ROW(D$2:D$3072)-ROW(D$2)+1) &gt; 0))</f>
        <v>#N/A</v>
      </c>
      <c r="C2626" s="408"/>
      <c r="D2626" s="408"/>
      <c r="E2626" s="408"/>
      <c r="F2626" s="408"/>
      <c r="G2626" s="408"/>
      <c r="H2626" s="408"/>
      <c r="I2626" s="408"/>
      <c r="J2626" s="408"/>
      <c r="K2626" s="408"/>
      <c r="L2626" s="408"/>
      <c r="M2626" s="408"/>
      <c r="N2626" s="408" t="str">
        <f t="shared" si="468"/>
        <v/>
      </c>
      <c r="O2626" s="408"/>
      <c r="P2626" s="408"/>
      <c r="Q2626" s="408"/>
      <c r="R2626" s="408"/>
      <c r="S2626" s="408"/>
      <c r="T2626" s="408"/>
      <c r="U2626" s="408"/>
      <c r="V2626" s="421"/>
      <c r="W2626" s="421"/>
      <c r="X2626" s="421"/>
      <c r="Y2626" s="421"/>
      <c r="Z2626" s="421"/>
      <c r="AA2626" s="421"/>
      <c r="AB2626" s="421"/>
      <c r="AC2626" s="421"/>
      <c r="AD2626" s="421"/>
      <c r="AE2626" s="421"/>
      <c r="AF2626" s="421"/>
      <c r="AG2626" s="421"/>
      <c r="AH2626" s="421"/>
      <c r="AI2626" s="421"/>
      <c r="AJ2626" s="421"/>
      <c r="AK2626" s="421"/>
      <c r="AL2626" s="421"/>
    </row>
    <row r="2627" spans="1:38" hidden="1">
      <c r="A2627" s="408"/>
      <c r="B2627" s="83" t="e">
        <f t="array" ref="B2627">SUM(--(FREQUENCY(IF(C$2:C$3072=C2627, MATCH(D$2:D$3072, D$2:D$3072, 0)), ROW(D$2:D$3072)-ROW(D$2)+1) &gt; 0))</f>
        <v>#N/A</v>
      </c>
      <c r="C2627" s="408"/>
      <c r="D2627" s="408"/>
      <c r="E2627" s="408"/>
      <c r="F2627" s="408"/>
      <c r="G2627" s="408"/>
      <c r="H2627" s="408"/>
      <c r="I2627" s="408"/>
      <c r="J2627" s="408"/>
      <c r="K2627" s="408"/>
      <c r="L2627" s="408"/>
      <c r="M2627" s="408"/>
      <c r="N2627" s="408" t="str">
        <f t="shared" si="468"/>
        <v/>
      </c>
      <c r="O2627" s="408"/>
      <c r="P2627" s="408"/>
      <c r="Q2627" s="408"/>
      <c r="R2627" s="408"/>
      <c r="S2627" s="408"/>
      <c r="T2627" s="408"/>
      <c r="U2627" s="408"/>
      <c r="V2627" s="421"/>
      <c r="W2627" s="421"/>
      <c r="X2627" s="421"/>
      <c r="Y2627" s="421"/>
      <c r="Z2627" s="421"/>
      <c r="AA2627" s="421"/>
      <c r="AB2627" s="421"/>
      <c r="AC2627" s="421"/>
      <c r="AD2627" s="421"/>
      <c r="AE2627" s="421"/>
      <c r="AF2627" s="421"/>
      <c r="AG2627" s="421"/>
      <c r="AH2627" s="421"/>
      <c r="AI2627" s="421"/>
      <c r="AJ2627" s="421"/>
      <c r="AK2627" s="421"/>
      <c r="AL2627" s="421"/>
    </row>
    <row r="2628" spans="1:38" hidden="1">
      <c r="A2628" s="408"/>
      <c r="B2628" s="83" t="e">
        <f t="array" ref="B2628">SUM(--(FREQUENCY(IF(C$2:C$3072=C2628, MATCH(D$2:D$3072, D$2:D$3072, 0)), ROW(D$2:D$3072)-ROW(D$2)+1) &gt; 0))</f>
        <v>#N/A</v>
      </c>
      <c r="C2628" s="408"/>
      <c r="D2628" s="408"/>
      <c r="E2628" s="408"/>
      <c r="F2628" s="408"/>
      <c r="G2628" s="408"/>
      <c r="H2628" s="408"/>
      <c r="I2628" s="408"/>
      <c r="J2628" s="408"/>
      <c r="K2628" s="408"/>
      <c r="L2628" s="408"/>
      <c r="M2628" s="408"/>
      <c r="N2628" s="408" t="str">
        <f t="shared" si="468"/>
        <v/>
      </c>
      <c r="O2628" s="408"/>
      <c r="P2628" s="408"/>
      <c r="Q2628" s="408"/>
      <c r="R2628" s="408"/>
      <c r="S2628" s="408"/>
      <c r="T2628" s="408"/>
      <c r="U2628" s="408"/>
      <c r="V2628" s="421"/>
      <c r="W2628" s="421"/>
      <c r="X2628" s="421"/>
      <c r="Y2628" s="421"/>
      <c r="Z2628" s="421"/>
      <c r="AA2628" s="421"/>
      <c r="AB2628" s="421"/>
      <c r="AC2628" s="421"/>
      <c r="AD2628" s="421"/>
      <c r="AE2628" s="421"/>
      <c r="AF2628" s="421"/>
      <c r="AG2628" s="421"/>
      <c r="AH2628" s="421"/>
      <c r="AI2628" s="421"/>
      <c r="AJ2628" s="421"/>
      <c r="AK2628" s="421"/>
      <c r="AL2628" s="421"/>
    </row>
    <row r="2629" spans="1:38" hidden="1">
      <c r="A2629" s="408"/>
      <c r="B2629" s="83" t="e">
        <f t="array" ref="B2629">SUM(--(FREQUENCY(IF(C$2:C$3072=C2629, MATCH(D$2:D$3072, D$2:D$3072, 0)), ROW(D$2:D$3072)-ROW(D$2)+1) &gt; 0))</f>
        <v>#N/A</v>
      </c>
      <c r="C2629" s="408"/>
      <c r="D2629" s="408"/>
      <c r="E2629" s="408"/>
      <c r="F2629" s="408"/>
      <c r="G2629" s="408"/>
      <c r="H2629" s="408"/>
      <c r="I2629" s="408"/>
      <c r="J2629" s="408"/>
      <c r="K2629" s="408"/>
      <c r="L2629" s="408"/>
      <c r="M2629" s="408"/>
      <c r="N2629" s="408" t="str">
        <f t="shared" si="468"/>
        <v/>
      </c>
      <c r="O2629" s="408"/>
      <c r="P2629" s="408"/>
      <c r="Q2629" s="408"/>
      <c r="R2629" s="408"/>
      <c r="S2629" s="408"/>
      <c r="T2629" s="408"/>
      <c r="U2629" s="408"/>
      <c r="V2629" s="421"/>
      <c r="W2629" s="421"/>
      <c r="X2629" s="421"/>
      <c r="Y2629" s="421"/>
      <c r="Z2629" s="421"/>
      <c r="AA2629" s="421"/>
      <c r="AB2629" s="421"/>
      <c r="AC2629" s="421"/>
      <c r="AD2629" s="421"/>
      <c r="AE2629" s="421"/>
      <c r="AF2629" s="421"/>
      <c r="AG2629" s="421"/>
      <c r="AH2629" s="421"/>
      <c r="AI2629" s="421"/>
      <c r="AJ2629" s="421"/>
      <c r="AK2629" s="421"/>
      <c r="AL2629" s="421"/>
    </row>
    <row r="2630" spans="1:38" hidden="1">
      <c r="A2630" s="408"/>
      <c r="B2630" s="83" t="e">
        <f t="array" ref="B2630">SUM(--(FREQUENCY(IF(C$2:C$3072=C2630, MATCH(D$2:D$3072, D$2:D$3072, 0)), ROW(D$2:D$3072)-ROW(D$2)+1) &gt; 0))</f>
        <v>#N/A</v>
      </c>
      <c r="C2630" s="408"/>
      <c r="D2630" s="408"/>
      <c r="E2630" s="408"/>
      <c r="F2630" s="408"/>
      <c r="G2630" s="408"/>
      <c r="H2630" s="408"/>
      <c r="I2630" s="408"/>
      <c r="J2630" s="408"/>
      <c r="K2630" s="408"/>
      <c r="L2630" s="408"/>
      <c r="M2630" s="408"/>
      <c r="N2630" s="408" t="str">
        <f t="shared" si="468"/>
        <v/>
      </c>
      <c r="O2630" s="408"/>
      <c r="P2630" s="408"/>
      <c r="Q2630" s="408"/>
      <c r="R2630" s="408"/>
      <c r="S2630" s="408"/>
      <c r="T2630" s="408"/>
      <c r="U2630" s="408"/>
      <c r="V2630" s="421"/>
      <c r="W2630" s="421"/>
      <c r="X2630" s="421"/>
      <c r="Y2630" s="421"/>
      <c r="Z2630" s="421"/>
      <c r="AA2630" s="421"/>
      <c r="AB2630" s="421"/>
      <c r="AC2630" s="421"/>
      <c r="AD2630" s="421"/>
      <c r="AE2630" s="421"/>
      <c r="AF2630" s="421"/>
      <c r="AG2630" s="421"/>
      <c r="AH2630" s="421"/>
      <c r="AI2630" s="421"/>
      <c r="AJ2630" s="421"/>
      <c r="AK2630" s="421"/>
      <c r="AL2630" s="421"/>
    </row>
    <row r="2631" spans="1:38" hidden="1">
      <c r="A2631" s="408"/>
      <c r="B2631" s="83" t="e">
        <f t="array" ref="B2631">SUM(--(FREQUENCY(IF(C$2:C$3072=C2631, MATCH(D$2:D$3072, D$2:D$3072, 0)), ROW(D$2:D$3072)-ROW(D$2)+1) &gt; 0))</f>
        <v>#N/A</v>
      </c>
      <c r="C2631" s="408"/>
      <c r="D2631" s="408"/>
      <c r="E2631" s="408"/>
      <c r="F2631" s="408"/>
      <c r="G2631" s="408"/>
      <c r="H2631" s="408"/>
      <c r="I2631" s="408"/>
      <c r="J2631" s="408"/>
      <c r="K2631" s="408"/>
      <c r="L2631" s="408"/>
      <c r="M2631" s="408"/>
      <c r="N2631" s="408" t="str">
        <f t="shared" si="468"/>
        <v/>
      </c>
      <c r="O2631" s="408"/>
      <c r="P2631" s="408"/>
      <c r="Q2631" s="408"/>
      <c r="R2631" s="408"/>
      <c r="S2631" s="408"/>
      <c r="T2631" s="408"/>
      <c r="U2631" s="408"/>
      <c r="V2631" s="421"/>
      <c r="W2631" s="421"/>
      <c r="X2631" s="421"/>
      <c r="Y2631" s="421"/>
      <c r="Z2631" s="421"/>
      <c r="AA2631" s="421"/>
      <c r="AB2631" s="421"/>
      <c r="AC2631" s="421"/>
      <c r="AD2631" s="421"/>
      <c r="AE2631" s="421"/>
      <c r="AF2631" s="421"/>
      <c r="AG2631" s="421"/>
      <c r="AH2631" s="421"/>
      <c r="AI2631" s="421"/>
      <c r="AJ2631" s="421"/>
      <c r="AK2631" s="421"/>
      <c r="AL2631" s="421"/>
    </row>
    <row r="2632" spans="1:38" hidden="1">
      <c r="A2632" s="408"/>
      <c r="B2632" s="83" t="e">
        <f t="array" ref="B2632">SUM(--(FREQUENCY(IF(C$2:C$3072=C2632, MATCH(D$2:D$3072, D$2:D$3072, 0)), ROW(D$2:D$3072)-ROW(D$2)+1) &gt; 0))</f>
        <v>#N/A</v>
      </c>
      <c r="C2632" s="408"/>
      <c r="D2632" s="408"/>
      <c r="E2632" s="408"/>
      <c r="F2632" s="408"/>
      <c r="G2632" s="408"/>
      <c r="H2632" s="408"/>
      <c r="I2632" s="408"/>
      <c r="J2632" s="408"/>
      <c r="K2632" s="408"/>
      <c r="L2632" s="408"/>
      <c r="M2632" s="408"/>
      <c r="N2632" s="408" t="str">
        <f t="shared" si="468"/>
        <v/>
      </c>
      <c r="O2632" s="408"/>
      <c r="P2632" s="408"/>
      <c r="Q2632" s="408"/>
      <c r="R2632" s="408"/>
      <c r="S2632" s="408"/>
      <c r="T2632" s="408"/>
      <c r="U2632" s="408"/>
      <c r="V2632" s="421"/>
      <c r="W2632" s="421"/>
      <c r="X2632" s="421"/>
      <c r="Y2632" s="421"/>
      <c r="Z2632" s="421"/>
      <c r="AA2632" s="421"/>
      <c r="AB2632" s="421"/>
      <c r="AC2632" s="421"/>
      <c r="AD2632" s="421"/>
      <c r="AE2632" s="421"/>
      <c r="AF2632" s="421"/>
      <c r="AG2632" s="421"/>
      <c r="AH2632" s="421"/>
      <c r="AI2632" s="421"/>
      <c r="AJ2632" s="421"/>
      <c r="AK2632" s="421"/>
      <c r="AL2632" s="421"/>
    </row>
    <row r="2633" spans="1:38" hidden="1">
      <c r="A2633" s="408"/>
      <c r="B2633" s="83" t="e">
        <f t="array" ref="B2633">SUM(--(FREQUENCY(IF(C$2:C$3072=C2633, MATCH(D$2:D$3072, D$2:D$3072, 0)), ROW(D$2:D$3072)-ROW(D$2)+1) &gt; 0))</f>
        <v>#N/A</v>
      </c>
      <c r="C2633" s="408"/>
      <c r="D2633" s="408"/>
      <c r="E2633" s="408"/>
      <c r="F2633" s="408"/>
      <c r="G2633" s="408"/>
      <c r="H2633" s="408"/>
      <c r="I2633" s="408"/>
      <c r="J2633" s="408"/>
      <c r="K2633" s="408"/>
      <c r="L2633" s="408"/>
      <c r="M2633" s="408"/>
      <c r="N2633" s="408" t="str">
        <f t="shared" si="468"/>
        <v/>
      </c>
      <c r="O2633" s="408"/>
      <c r="P2633" s="408"/>
      <c r="Q2633" s="408"/>
      <c r="R2633" s="408"/>
      <c r="S2633" s="408"/>
      <c r="T2633" s="408"/>
      <c r="U2633" s="408"/>
      <c r="V2633" s="421"/>
      <c r="W2633" s="421"/>
      <c r="X2633" s="421"/>
      <c r="Y2633" s="421"/>
      <c r="Z2633" s="421"/>
      <c r="AA2633" s="421"/>
      <c r="AB2633" s="421"/>
      <c r="AC2633" s="421"/>
      <c r="AD2633" s="421"/>
      <c r="AE2633" s="421"/>
      <c r="AF2633" s="421"/>
      <c r="AG2633" s="421"/>
      <c r="AH2633" s="421"/>
      <c r="AI2633" s="421"/>
      <c r="AJ2633" s="421"/>
      <c r="AK2633" s="421"/>
      <c r="AL2633" s="421"/>
    </row>
    <row r="2634" spans="1:38" hidden="1">
      <c r="A2634" s="408"/>
      <c r="B2634" s="83" t="e">
        <f t="array" ref="B2634">SUM(--(FREQUENCY(IF(C$2:C$3072=C2634, MATCH(D$2:D$3072, D$2:D$3072, 0)), ROW(D$2:D$3072)-ROW(D$2)+1) &gt; 0))</f>
        <v>#N/A</v>
      </c>
      <c r="C2634" s="408"/>
      <c r="D2634" s="408"/>
      <c r="E2634" s="408"/>
      <c r="F2634" s="408"/>
      <c r="G2634" s="408"/>
      <c r="H2634" s="408"/>
      <c r="I2634" s="408"/>
      <c r="J2634" s="408"/>
      <c r="K2634" s="408"/>
      <c r="L2634" s="408"/>
      <c r="M2634" s="408"/>
      <c r="N2634" s="408" t="str">
        <f t="shared" si="468"/>
        <v/>
      </c>
      <c r="O2634" s="408"/>
      <c r="P2634" s="408"/>
      <c r="Q2634" s="408"/>
      <c r="R2634" s="408"/>
      <c r="S2634" s="408"/>
      <c r="T2634" s="408"/>
      <c r="U2634" s="408"/>
      <c r="V2634" s="421"/>
      <c r="W2634" s="421"/>
      <c r="X2634" s="421"/>
      <c r="Y2634" s="421"/>
      <c r="Z2634" s="421"/>
      <c r="AA2634" s="421"/>
      <c r="AB2634" s="421"/>
      <c r="AC2634" s="421"/>
      <c r="AD2634" s="421"/>
      <c r="AE2634" s="421"/>
      <c r="AF2634" s="421"/>
      <c r="AG2634" s="421"/>
      <c r="AH2634" s="421"/>
      <c r="AI2634" s="421"/>
      <c r="AJ2634" s="421"/>
      <c r="AK2634" s="421"/>
      <c r="AL2634" s="421"/>
    </row>
    <row r="2635" spans="1:38" hidden="1">
      <c r="A2635" s="408"/>
      <c r="B2635" s="83" t="e">
        <f t="array" ref="B2635">SUM(--(FREQUENCY(IF(C$2:C$3072=C2635, MATCH(D$2:D$3072, D$2:D$3072, 0)), ROW(D$2:D$3072)-ROW(D$2)+1) &gt; 0))</f>
        <v>#N/A</v>
      </c>
      <c r="C2635" s="408"/>
      <c r="D2635" s="408"/>
      <c r="E2635" s="408"/>
      <c r="F2635" s="408"/>
      <c r="G2635" s="408"/>
      <c r="H2635" s="408"/>
      <c r="I2635" s="408"/>
      <c r="J2635" s="408"/>
      <c r="K2635" s="408"/>
      <c r="L2635" s="408"/>
      <c r="M2635" s="408"/>
      <c r="N2635" s="408" t="str">
        <f t="shared" si="468"/>
        <v/>
      </c>
      <c r="O2635" s="408"/>
      <c r="P2635" s="408"/>
      <c r="Q2635" s="408"/>
      <c r="R2635" s="408"/>
      <c r="S2635" s="408"/>
      <c r="T2635" s="408"/>
      <c r="U2635" s="408"/>
      <c r="V2635" s="421"/>
      <c r="W2635" s="421"/>
      <c r="X2635" s="421"/>
      <c r="Y2635" s="421"/>
      <c r="Z2635" s="421"/>
      <c r="AA2635" s="421"/>
      <c r="AB2635" s="421"/>
      <c r="AC2635" s="421"/>
      <c r="AD2635" s="421"/>
      <c r="AE2635" s="421"/>
      <c r="AF2635" s="421"/>
      <c r="AG2635" s="421"/>
      <c r="AH2635" s="421"/>
      <c r="AI2635" s="421"/>
      <c r="AJ2635" s="421"/>
      <c r="AK2635" s="421"/>
      <c r="AL2635" s="421"/>
    </row>
    <row r="2636" spans="1:38" hidden="1">
      <c r="A2636" s="408"/>
      <c r="B2636" s="83" t="e">
        <f t="array" ref="B2636">SUM(--(FREQUENCY(IF(C$2:C$3072=C2636, MATCH(D$2:D$3072, D$2:D$3072, 0)), ROW(D$2:D$3072)-ROW(D$2)+1) &gt; 0))</f>
        <v>#N/A</v>
      </c>
      <c r="C2636" s="408"/>
      <c r="D2636" s="408"/>
      <c r="E2636" s="408"/>
      <c r="F2636" s="408"/>
      <c r="G2636" s="408"/>
      <c r="H2636" s="408"/>
      <c r="I2636" s="408"/>
      <c r="J2636" s="408"/>
      <c r="K2636" s="408"/>
      <c r="L2636" s="408"/>
      <c r="M2636" s="408"/>
      <c r="N2636" s="408" t="str">
        <f t="shared" si="468"/>
        <v/>
      </c>
      <c r="O2636" s="408"/>
      <c r="P2636" s="408"/>
      <c r="Q2636" s="408"/>
      <c r="R2636" s="408"/>
      <c r="S2636" s="408"/>
      <c r="T2636" s="408"/>
      <c r="U2636" s="408"/>
      <c r="V2636" s="421"/>
      <c r="W2636" s="421"/>
      <c r="X2636" s="421"/>
      <c r="Y2636" s="421"/>
      <c r="Z2636" s="421"/>
      <c r="AA2636" s="421"/>
      <c r="AB2636" s="421"/>
      <c r="AC2636" s="421"/>
      <c r="AD2636" s="421"/>
      <c r="AE2636" s="421"/>
      <c r="AF2636" s="421"/>
      <c r="AG2636" s="421"/>
      <c r="AH2636" s="421"/>
      <c r="AI2636" s="421"/>
      <c r="AJ2636" s="421"/>
      <c r="AK2636" s="421"/>
      <c r="AL2636" s="421"/>
    </row>
    <row r="2637" spans="1:38" hidden="1">
      <c r="A2637" s="408"/>
      <c r="B2637" s="83" t="e">
        <f t="array" ref="B2637">SUM(--(FREQUENCY(IF(C$2:C$3072=C2637, MATCH(D$2:D$3072, D$2:D$3072, 0)), ROW(D$2:D$3072)-ROW(D$2)+1) &gt; 0))</f>
        <v>#N/A</v>
      </c>
      <c r="C2637" s="408"/>
      <c r="D2637" s="408"/>
      <c r="E2637" s="408"/>
      <c r="F2637" s="408"/>
      <c r="G2637" s="408"/>
      <c r="H2637" s="408"/>
      <c r="I2637" s="408"/>
      <c r="J2637" s="408"/>
      <c r="K2637" s="408"/>
      <c r="L2637" s="408"/>
      <c r="M2637" s="408"/>
      <c r="N2637" s="408" t="str">
        <f t="shared" si="468"/>
        <v/>
      </c>
      <c r="O2637" s="408"/>
      <c r="P2637" s="408"/>
      <c r="Q2637" s="408"/>
      <c r="R2637" s="408"/>
      <c r="S2637" s="408"/>
      <c r="T2637" s="408"/>
      <c r="U2637" s="408"/>
      <c r="V2637" s="421"/>
      <c r="W2637" s="421"/>
      <c r="X2637" s="421"/>
      <c r="Y2637" s="421"/>
      <c r="Z2637" s="421"/>
      <c r="AA2637" s="421"/>
      <c r="AB2637" s="421"/>
      <c r="AC2637" s="421"/>
      <c r="AD2637" s="421"/>
      <c r="AE2637" s="421"/>
      <c r="AF2637" s="421"/>
      <c r="AG2637" s="421"/>
      <c r="AH2637" s="421"/>
      <c r="AI2637" s="421"/>
      <c r="AJ2637" s="421"/>
      <c r="AK2637" s="421"/>
      <c r="AL2637" s="421"/>
    </row>
    <row r="2638" spans="1:38" hidden="1">
      <c r="A2638" s="408"/>
      <c r="B2638" s="83" t="e">
        <f t="array" ref="B2638">SUM(--(FREQUENCY(IF(C$2:C$3072=C2638, MATCH(D$2:D$3072, D$2:D$3072, 0)), ROW(D$2:D$3072)-ROW(D$2)+1) &gt; 0))</f>
        <v>#N/A</v>
      </c>
      <c r="C2638" s="408"/>
      <c r="D2638" s="408"/>
      <c r="E2638" s="408"/>
      <c r="F2638" s="408"/>
      <c r="G2638" s="408"/>
      <c r="H2638" s="408"/>
      <c r="I2638" s="408"/>
      <c r="J2638" s="408"/>
      <c r="K2638" s="408"/>
      <c r="L2638" s="408"/>
      <c r="M2638" s="408"/>
      <c r="N2638" s="408" t="str">
        <f t="shared" si="468"/>
        <v/>
      </c>
      <c r="O2638" s="408"/>
      <c r="P2638" s="408"/>
      <c r="Q2638" s="408"/>
      <c r="R2638" s="408"/>
      <c r="S2638" s="408"/>
      <c r="T2638" s="408"/>
      <c r="U2638" s="408"/>
      <c r="V2638" s="421"/>
      <c r="W2638" s="421"/>
      <c r="X2638" s="421"/>
      <c r="Y2638" s="421"/>
      <c r="Z2638" s="421"/>
      <c r="AA2638" s="421"/>
      <c r="AB2638" s="421"/>
      <c r="AC2638" s="421"/>
      <c r="AD2638" s="421"/>
      <c r="AE2638" s="421"/>
      <c r="AF2638" s="421"/>
      <c r="AG2638" s="421"/>
      <c r="AH2638" s="421"/>
      <c r="AI2638" s="421"/>
      <c r="AJ2638" s="421"/>
      <c r="AK2638" s="421"/>
      <c r="AL2638" s="421"/>
    </row>
    <row r="2639" spans="1:38" hidden="1">
      <c r="A2639" s="408"/>
      <c r="B2639" s="83" t="e">
        <f t="array" ref="B2639">SUM(--(FREQUENCY(IF(C$2:C$3072=C2639, MATCH(D$2:D$3072, D$2:D$3072, 0)), ROW(D$2:D$3072)-ROW(D$2)+1) &gt; 0))</f>
        <v>#N/A</v>
      </c>
      <c r="C2639" s="408"/>
      <c r="D2639" s="408"/>
      <c r="E2639" s="408"/>
      <c r="F2639" s="408"/>
      <c r="G2639" s="408"/>
      <c r="H2639" s="408"/>
      <c r="I2639" s="408"/>
      <c r="J2639" s="408"/>
      <c r="K2639" s="408"/>
      <c r="L2639" s="408"/>
      <c r="M2639" s="408"/>
      <c r="N2639" s="408" t="str">
        <f t="shared" si="468"/>
        <v/>
      </c>
      <c r="O2639" s="408"/>
      <c r="P2639" s="408"/>
      <c r="Q2639" s="408"/>
      <c r="R2639" s="408"/>
      <c r="S2639" s="408"/>
      <c r="T2639" s="408"/>
      <c r="U2639" s="408"/>
      <c r="V2639" s="421"/>
      <c r="W2639" s="421"/>
      <c r="X2639" s="421"/>
      <c r="Y2639" s="421"/>
      <c r="Z2639" s="421"/>
      <c r="AA2639" s="421"/>
      <c r="AB2639" s="421"/>
      <c r="AC2639" s="421"/>
      <c r="AD2639" s="421"/>
      <c r="AE2639" s="421"/>
      <c r="AF2639" s="421"/>
      <c r="AG2639" s="421"/>
      <c r="AH2639" s="421"/>
      <c r="AI2639" s="421"/>
      <c r="AJ2639" s="421"/>
      <c r="AK2639" s="421"/>
      <c r="AL2639" s="421"/>
    </row>
    <row r="2640" spans="1:38" hidden="1">
      <c r="A2640" s="408"/>
      <c r="B2640" s="83" t="e">
        <f t="array" ref="B2640">SUM(--(FREQUENCY(IF(C$2:C$3072=C2640, MATCH(D$2:D$3072, D$2:D$3072, 0)), ROW(D$2:D$3072)-ROW(D$2)+1) &gt; 0))</f>
        <v>#N/A</v>
      </c>
      <c r="C2640" s="408"/>
      <c r="D2640" s="408"/>
      <c r="E2640" s="408"/>
      <c r="F2640" s="408"/>
      <c r="G2640" s="408"/>
      <c r="H2640" s="408"/>
      <c r="I2640" s="408"/>
      <c r="J2640" s="408"/>
      <c r="K2640" s="408"/>
      <c r="L2640" s="408"/>
      <c r="M2640" s="408"/>
      <c r="N2640" s="408" t="str">
        <f t="shared" si="468"/>
        <v/>
      </c>
      <c r="O2640" s="408"/>
      <c r="P2640" s="408"/>
      <c r="Q2640" s="408"/>
      <c r="R2640" s="408"/>
      <c r="S2640" s="408"/>
      <c r="T2640" s="408"/>
      <c r="U2640" s="408"/>
      <c r="V2640" s="421"/>
      <c r="W2640" s="421"/>
      <c r="X2640" s="421"/>
      <c r="Y2640" s="421"/>
      <c r="Z2640" s="421"/>
      <c r="AA2640" s="421"/>
      <c r="AB2640" s="421"/>
      <c r="AC2640" s="421"/>
      <c r="AD2640" s="421"/>
      <c r="AE2640" s="421"/>
      <c r="AF2640" s="421"/>
      <c r="AG2640" s="421"/>
      <c r="AH2640" s="421"/>
      <c r="AI2640" s="421"/>
      <c r="AJ2640" s="421"/>
      <c r="AK2640" s="421"/>
      <c r="AL2640" s="421"/>
    </row>
    <row r="2641" spans="1:38" hidden="1">
      <c r="A2641" s="408"/>
      <c r="B2641" s="83" t="e">
        <f t="array" ref="B2641">SUM(--(FREQUENCY(IF(C$2:C$3072=C2641, MATCH(D$2:D$3072, D$2:D$3072, 0)), ROW(D$2:D$3072)-ROW(D$2)+1) &gt; 0))</f>
        <v>#N/A</v>
      </c>
      <c r="C2641" s="408"/>
      <c r="D2641" s="408"/>
      <c r="E2641" s="408"/>
      <c r="F2641" s="408"/>
      <c r="G2641" s="408"/>
      <c r="H2641" s="408"/>
      <c r="I2641" s="408"/>
      <c r="J2641" s="408"/>
      <c r="K2641" s="408"/>
      <c r="L2641" s="408"/>
      <c r="M2641" s="408"/>
      <c r="N2641" s="408" t="str">
        <f t="shared" si="468"/>
        <v/>
      </c>
      <c r="O2641" s="408"/>
      <c r="P2641" s="408"/>
      <c r="Q2641" s="408"/>
      <c r="R2641" s="408"/>
      <c r="S2641" s="408"/>
      <c r="T2641" s="408"/>
      <c r="U2641" s="408"/>
      <c r="V2641" s="421"/>
      <c r="W2641" s="421"/>
      <c r="X2641" s="421"/>
      <c r="Y2641" s="421"/>
      <c r="Z2641" s="421"/>
      <c r="AA2641" s="421"/>
      <c r="AB2641" s="421"/>
      <c r="AC2641" s="421"/>
      <c r="AD2641" s="421"/>
      <c r="AE2641" s="421"/>
      <c r="AF2641" s="421"/>
      <c r="AG2641" s="421"/>
      <c r="AH2641" s="421"/>
      <c r="AI2641" s="421"/>
      <c r="AJ2641" s="421"/>
      <c r="AK2641" s="421"/>
      <c r="AL2641" s="421"/>
    </row>
    <row r="2642" spans="1:38" hidden="1">
      <c r="A2642" s="408"/>
      <c r="B2642" s="83" t="e">
        <f t="array" ref="B2642">SUM(--(FREQUENCY(IF(C$2:C$3072=C2642, MATCH(D$2:D$3072, D$2:D$3072, 0)), ROW(D$2:D$3072)-ROW(D$2)+1) &gt; 0))</f>
        <v>#N/A</v>
      </c>
      <c r="C2642" s="408"/>
      <c r="D2642" s="408"/>
      <c r="E2642" s="408"/>
      <c r="F2642" s="408"/>
      <c r="G2642" s="408"/>
      <c r="H2642" s="408"/>
      <c r="I2642" s="408"/>
      <c r="J2642" s="408"/>
      <c r="K2642" s="408"/>
      <c r="L2642" s="408"/>
      <c r="M2642" s="408"/>
      <c r="N2642" s="408" t="str">
        <f t="shared" si="468"/>
        <v/>
      </c>
      <c r="O2642" s="408"/>
      <c r="P2642" s="408"/>
      <c r="Q2642" s="408"/>
      <c r="R2642" s="408"/>
      <c r="S2642" s="408"/>
      <c r="T2642" s="408"/>
      <c r="U2642" s="408"/>
      <c r="V2642" s="421"/>
      <c r="W2642" s="421"/>
      <c r="X2642" s="421"/>
      <c r="Y2642" s="421"/>
      <c r="Z2642" s="421"/>
      <c r="AA2642" s="421"/>
      <c r="AB2642" s="421"/>
      <c r="AC2642" s="421"/>
      <c r="AD2642" s="421"/>
      <c r="AE2642" s="421"/>
      <c r="AF2642" s="421"/>
      <c r="AG2642" s="421"/>
      <c r="AH2642" s="421"/>
      <c r="AI2642" s="421"/>
      <c r="AJ2642" s="421"/>
      <c r="AK2642" s="421"/>
      <c r="AL2642" s="421"/>
    </row>
    <row r="2643" spans="1:38" hidden="1">
      <c r="A2643" s="408"/>
      <c r="B2643" s="83" t="e">
        <f t="array" ref="B2643">SUM(--(FREQUENCY(IF(C$2:C$3072=C2643, MATCH(D$2:D$3072, D$2:D$3072, 0)), ROW(D$2:D$3072)-ROW(D$2)+1) &gt; 0))</f>
        <v>#N/A</v>
      </c>
      <c r="C2643" s="408"/>
      <c r="D2643" s="408"/>
      <c r="E2643" s="408"/>
      <c r="F2643" s="408"/>
      <c r="G2643" s="408"/>
      <c r="H2643" s="408"/>
      <c r="I2643" s="408"/>
      <c r="J2643" s="408"/>
      <c r="K2643" s="408"/>
      <c r="L2643" s="408"/>
      <c r="M2643" s="408"/>
      <c r="N2643" s="408" t="str">
        <f t="shared" si="468"/>
        <v/>
      </c>
      <c r="O2643" s="408"/>
      <c r="P2643" s="408"/>
      <c r="Q2643" s="408"/>
      <c r="R2643" s="408"/>
      <c r="S2643" s="408"/>
      <c r="T2643" s="408"/>
      <c r="U2643" s="408"/>
      <c r="V2643" s="421"/>
      <c r="W2643" s="421"/>
      <c r="X2643" s="421"/>
      <c r="Y2643" s="421"/>
      <c r="Z2643" s="421"/>
      <c r="AA2643" s="421"/>
      <c r="AB2643" s="421"/>
      <c r="AC2643" s="421"/>
      <c r="AD2643" s="421"/>
      <c r="AE2643" s="421"/>
      <c r="AF2643" s="421"/>
      <c r="AG2643" s="421"/>
      <c r="AH2643" s="421"/>
      <c r="AI2643" s="421"/>
      <c r="AJ2643" s="421"/>
      <c r="AK2643" s="421"/>
      <c r="AL2643" s="421"/>
    </row>
    <row r="2644" spans="1:38" hidden="1">
      <c r="A2644" s="408"/>
      <c r="B2644" s="83" t="e">
        <f t="array" ref="B2644">SUM(--(FREQUENCY(IF(C$2:C$3072=C2644, MATCH(D$2:D$3072, D$2:D$3072, 0)), ROW(D$2:D$3072)-ROW(D$2)+1) &gt; 0))</f>
        <v>#N/A</v>
      </c>
      <c r="C2644" s="408"/>
      <c r="D2644" s="408"/>
      <c r="E2644" s="408"/>
      <c r="F2644" s="408"/>
      <c r="G2644" s="408"/>
      <c r="H2644" s="408"/>
      <c r="I2644" s="408"/>
      <c r="J2644" s="408"/>
      <c r="K2644" s="408"/>
      <c r="L2644" s="408"/>
      <c r="M2644" s="408"/>
      <c r="N2644" s="408" t="str">
        <f t="shared" si="468"/>
        <v/>
      </c>
      <c r="O2644" s="408"/>
      <c r="P2644" s="408"/>
      <c r="Q2644" s="408"/>
      <c r="R2644" s="408"/>
      <c r="S2644" s="408"/>
      <c r="T2644" s="408"/>
      <c r="U2644" s="408"/>
      <c r="V2644" s="421"/>
      <c r="W2644" s="421"/>
      <c r="X2644" s="421"/>
      <c r="Y2644" s="421"/>
      <c r="Z2644" s="421"/>
      <c r="AA2644" s="421"/>
      <c r="AB2644" s="421"/>
      <c r="AC2644" s="421"/>
      <c r="AD2644" s="421"/>
      <c r="AE2644" s="421"/>
      <c r="AF2644" s="421"/>
      <c r="AG2644" s="421"/>
      <c r="AH2644" s="421"/>
      <c r="AI2644" s="421"/>
      <c r="AJ2644" s="421"/>
      <c r="AK2644" s="421"/>
      <c r="AL2644" s="421"/>
    </row>
    <row r="2645" spans="1:38" hidden="1">
      <c r="A2645" s="408"/>
      <c r="B2645" s="83" t="e">
        <f t="array" ref="B2645">SUM(--(FREQUENCY(IF(C$2:C$3072=C2645, MATCH(D$2:D$3072, D$2:D$3072, 0)), ROW(D$2:D$3072)-ROW(D$2)+1) &gt; 0))</f>
        <v>#N/A</v>
      </c>
      <c r="C2645" s="408"/>
      <c r="D2645" s="408"/>
      <c r="E2645" s="408"/>
      <c r="F2645" s="408"/>
      <c r="G2645" s="408"/>
      <c r="H2645" s="408"/>
      <c r="I2645" s="408"/>
      <c r="J2645" s="408"/>
      <c r="K2645" s="408"/>
      <c r="L2645" s="408"/>
      <c r="M2645" s="408"/>
      <c r="N2645" s="408" t="str">
        <f t="shared" si="468"/>
        <v/>
      </c>
      <c r="O2645" s="408"/>
      <c r="P2645" s="408"/>
      <c r="Q2645" s="408"/>
      <c r="R2645" s="408"/>
      <c r="S2645" s="408"/>
      <c r="T2645" s="408"/>
      <c r="U2645" s="408"/>
      <c r="V2645" s="421"/>
      <c r="W2645" s="421"/>
      <c r="X2645" s="421"/>
      <c r="Y2645" s="421"/>
      <c r="Z2645" s="421"/>
      <c r="AA2645" s="421"/>
      <c r="AB2645" s="421"/>
      <c r="AC2645" s="421"/>
      <c r="AD2645" s="421"/>
      <c r="AE2645" s="421"/>
      <c r="AF2645" s="421"/>
      <c r="AG2645" s="421"/>
      <c r="AH2645" s="421"/>
      <c r="AI2645" s="421"/>
      <c r="AJ2645" s="421"/>
      <c r="AK2645" s="421"/>
      <c r="AL2645" s="421"/>
    </row>
    <row r="2646" spans="1:38" hidden="1">
      <c r="A2646" s="408"/>
      <c r="B2646" s="83" t="e">
        <f t="array" ref="B2646">SUM(--(FREQUENCY(IF(C$2:C$3072=C2646, MATCH(D$2:D$3072, D$2:D$3072, 0)), ROW(D$2:D$3072)-ROW(D$2)+1) &gt; 0))</f>
        <v>#N/A</v>
      </c>
      <c r="C2646" s="408"/>
      <c r="D2646" s="408"/>
      <c r="E2646" s="408"/>
      <c r="F2646" s="408"/>
      <c r="G2646" s="408"/>
      <c r="H2646" s="408"/>
      <c r="I2646" s="408"/>
      <c r="J2646" s="408"/>
      <c r="K2646" s="408"/>
      <c r="L2646" s="408"/>
      <c r="M2646" s="408"/>
      <c r="N2646" s="408" t="str">
        <f t="shared" si="468"/>
        <v/>
      </c>
      <c r="O2646" s="408"/>
      <c r="P2646" s="408"/>
      <c r="Q2646" s="408"/>
      <c r="R2646" s="408"/>
      <c r="S2646" s="408"/>
      <c r="T2646" s="408"/>
      <c r="U2646" s="408"/>
      <c r="V2646" s="421"/>
      <c r="W2646" s="421"/>
      <c r="X2646" s="421"/>
      <c r="Y2646" s="421"/>
      <c r="Z2646" s="421"/>
      <c r="AA2646" s="421"/>
      <c r="AB2646" s="421"/>
      <c r="AC2646" s="421"/>
      <c r="AD2646" s="421"/>
      <c r="AE2646" s="421"/>
      <c r="AF2646" s="421"/>
      <c r="AG2646" s="421"/>
      <c r="AH2646" s="421"/>
      <c r="AI2646" s="421"/>
      <c r="AJ2646" s="421"/>
      <c r="AK2646" s="421"/>
      <c r="AL2646" s="421"/>
    </row>
    <row r="2647" spans="1:38" hidden="1">
      <c r="A2647" s="408"/>
      <c r="B2647" s="83" t="e">
        <f t="array" ref="B2647">SUM(--(FREQUENCY(IF(C$2:C$3072=C2647, MATCH(D$2:D$3072, D$2:D$3072, 0)), ROW(D$2:D$3072)-ROW(D$2)+1) &gt; 0))</f>
        <v>#N/A</v>
      </c>
      <c r="C2647" s="408"/>
      <c r="D2647" s="408"/>
      <c r="E2647" s="408"/>
      <c r="F2647" s="408"/>
      <c r="G2647" s="408"/>
      <c r="H2647" s="408"/>
      <c r="I2647" s="408"/>
      <c r="J2647" s="408"/>
      <c r="K2647" s="408"/>
      <c r="L2647" s="408"/>
      <c r="M2647" s="408"/>
      <c r="N2647" s="408" t="str">
        <f t="shared" si="468"/>
        <v/>
      </c>
      <c r="O2647" s="408"/>
      <c r="P2647" s="408"/>
      <c r="Q2647" s="408"/>
      <c r="R2647" s="408"/>
      <c r="S2647" s="408"/>
      <c r="T2647" s="408"/>
      <c r="U2647" s="408"/>
      <c r="V2647" s="421"/>
      <c r="W2647" s="421"/>
      <c r="X2647" s="421"/>
      <c r="Y2647" s="421"/>
      <c r="Z2647" s="421"/>
      <c r="AA2647" s="421"/>
      <c r="AB2647" s="421"/>
      <c r="AC2647" s="421"/>
      <c r="AD2647" s="421"/>
      <c r="AE2647" s="421"/>
      <c r="AF2647" s="421"/>
      <c r="AG2647" s="421"/>
      <c r="AH2647" s="421"/>
      <c r="AI2647" s="421"/>
      <c r="AJ2647" s="421"/>
      <c r="AK2647" s="421"/>
      <c r="AL2647" s="421"/>
    </row>
    <row r="2648" spans="1:38" hidden="1">
      <c r="A2648" s="408"/>
      <c r="B2648" s="83" t="e">
        <f t="array" ref="B2648">SUM(--(FREQUENCY(IF(C$2:C$3072=C2648, MATCH(D$2:D$3072, D$2:D$3072, 0)), ROW(D$2:D$3072)-ROW(D$2)+1) &gt; 0))</f>
        <v>#N/A</v>
      </c>
      <c r="C2648" s="408"/>
      <c r="D2648" s="408"/>
      <c r="E2648" s="408"/>
      <c r="F2648" s="408"/>
      <c r="G2648" s="408"/>
      <c r="H2648" s="408"/>
      <c r="I2648" s="408"/>
      <c r="J2648" s="408"/>
      <c r="K2648" s="408"/>
      <c r="L2648" s="408"/>
      <c r="M2648" s="408"/>
      <c r="N2648" s="408" t="str">
        <f t="shared" si="468"/>
        <v/>
      </c>
      <c r="O2648" s="408"/>
      <c r="P2648" s="408"/>
      <c r="Q2648" s="408"/>
      <c r="R2648" s="408"/>
      <c r="S2648" s="408"/>
      <c r="T2648" s="408"/>
      <c r="U2648" s="408"/>
      <c r="V2648" s="421"/>
      <c r="W2648" s="421"/>
      <c r="X2648" s="421"/>
      <c r="Y2648" s="421"/>
      <c r="Z2648" s="421"/>
      <c r="AA2648" s="421"/>
      <c r="AB2648" s="421"/>
      <c r="AC2648" s="421"/>
      <c r="AD2648" s="421"/>
      <c r="AE2648" s="421"/>
      <c r="AF2648" s="421"/>
      <c r="AG2648" s="421"/>
      <c r="AH2648" s="421"/>
      <c r="AI2648" s="421"/>
      <c r="AJ2648" s="421"/>
      <c r="AK2648" s="421"/>
      <c r="AL2648" s="421"/>
    </row>
    <row r="2649" spans="1:38" hidden="1">
      <c r="A2649" s="408"/>
      <c r="B2649" s="83" t="e">
        <f t="array" ref="B2649">SUM(--(FREQUENCY(IF(C$2:C$3072=C2649, MATCH(D$2:D$3072, D$2:D$3072, 0)), ROW(D$2:D$3072)-ROW(D$2)+1) &gt; 0))</f>
        <v>#N/A</v>
      </c>
      <c r="C2649" s="408"/>
      <c r="D2649" s="408"/>
      <c r="E2649" s="408"/>
      <c r="F2649" s="408"/>
      <c r="G2649" s="408"/>
      <c r="H2649" s="408"/>
      <c r="I2649" s="408"/>
      <c r="J2649" s="408"/>
      <c r="K2649" s="408"/>
      <c r="L2649" s="408"/>
      <c r="M2649" s="408"/>
      <c r="N2649" s="408" t="str">
        <f t="shared" si="468"/>
        <v/>
      </c>
      <c r="O2649" s="408"/>
      <c r="P2649" s="408"/>
      <c r="Q2649" s="408"/>
      <c r="R2649" s="408"/>
      <c r="S2649" s="408"/>
      <c r="T2649" s="408"/>
      <c r="U2649" s="408"/>
      <c r="V2649" s="421"/>
      <c r="W2649" s="421"/>
      <c r="X2649" s="421"/>
      <c r="Y2649" s="421"/>
      <c r="Z2649" s="421"/>
      <c r="AA2649" s="421"/>
      <c r="AB2649" s="421"/>
      <c r="AC2649" s="421"/>
      <c r="AD2649" s="421"/>
      <c r="AE2649" s="421"/>
      <c r="AF2649" s="421"/>
      <c r="AG2649" s="421"/>
      <c r="AH2649" s="421"/>
      <c r="AI2649" s="421"/>
      <c r="AJ2649" s="421"/>
      <c r="AK2649" s="421"/>
      <c r="AL2649" s="421"/>
    </row>
    <row r="2650" spans="1:38" hidden="1">
      <c r="A2650" s="408"/>
      <c r="B2650" s="83" t="e">
        <f t="array" ref="B2650">SUM(--(FREQUENCY(IF(C$2:C$3072=C2650, MATCH(D$2:D$3072, D$2:D$3072, 0)), ROW(D$2:D$3072)-ROW(D$2)+1) &gt; 0))</f>
        <v>#N/A</v>
      </c>
      <c r="C2650" s="408"/>
      <c r="D2650" s="408"/>
      <c r="E2650" s="408"/>
      <c r="F2650" s="408"/>
      <c r="G2650" s="408"/>
      <c r="H2650" s="408"/>
      <c r="I2650" s="408"/>
      <c r="J2650" s="408"/>
      <c r="K2650" s="408"/>
      <c r="L2650" s="408"/>
      <c r="M2650" s="408"/>
      <c r="N2650" s="408" t="str">
        <f t="shared" si="468"/>
        <v/>
      </c>
      <c r="O2650" s="408"/>
      <c r="P2650" s="408"/>
      <c r="Q2650" s="408"/>
      <c r="R2650" s="408"/>
      <c r="S2650" s="408"/>
      <c r="T2650" s="408"/>
      <c r="U2650" s="408"/>
      <c r="V2650" s="421"/>
      <c r="W2650" s="421"/>
      <c r="X2650" s="421"/>
      <c r="Y2650" s="421"/>
      <c r="Z2650" s="421"/>
      <c r="AA2650" s="421"/>
      <c r="AB2650" s="421"/>
      <c r="AC2650" s="421"/>
      <c r="AD2650" s="421"/>
      <c r="AE2650" s="421"/>
      <c r="AF2650" s="421"/>
      <c r="AG2650" s="421"/>
      <c r="AH2650" s="421"/>
      <c r="AI2650" s="421"/>
      <c r="AJ2650" s="421"/>
      <c r="AK2650" s="421"/>
      <c r="AL2650" s="421"/>
    </row>
    <row r="2651" spans="1:38" hidden="1">
      <c r="A2651" s="408"/>
      <c r="B2651" s="83" t="e">
        <f t="array" ref="B2651">SUM(--(FREQUENCY(IF(C$2:C$3072=C2651, MATCH(D$2:D$3072, D$2:D$3072, 0)), ROW(D$2:D$3072)-ROW(D$2)+1) &gt; 0))</f>
        <v>#N/A</v>
      </c>
      <c r="C2651" s="408"/>
      <c r="D2651" s="408"/>
      <c r="E2651" s="408"/>
      <c r="F2651" s="408"/>
      <c r="G2651" s="408"/>
      <c r="H2651" s="408"/>
      <c r="I2651" s="408"/>
      <c r="J2651" s="408"/>
      <c r="K2651" s="408"/>
      <c r="L2651" s="408"/>
      <c r="M2651" s="408"/>
      <c r="N2651" s="408" t="str">
        <f t="shared" si="468"/>
        <v/>
      </c>
      <c r="O2651" s="408"/>
      <c r="P2651" s="408"/>
      <c r="Q2651" s="408"/>
      <c r="R2651" s="408"/>
      <c r="S2651" s="408"/>
      <c r="T2651" s="408"/>
      <c r="U2651" s="408"/>
      <c r="V2651" s="421"/>
      <c r="W2651" s="421"/>
      <c r="X2651" s="421"/>
      <c r="Y2651" s="421"/>
      <c r="Z2651" s="421"/>
      <c r="AA2651" s="421"/>
      <c r="AB2651" s="421"/>
      <c r="AC2651" s="421"/>
      <c r="AD2651" s="421"/>
      <c r="AE2651" s="421"/>
      <c r="AF2651" s="421"/>
      <c r="AG2651" s="421"/>
      <c r="AH2651" s="421"/>
      <c r="AI2651" s="421"/>
      <c r="AJ2651" s="421"/>
      <c r="AK2651" s="421"/>
      <c r="AL2651" s="421"/>
    </row>
    <row r="2652" spans="1:38" hidden="1">
      <c r="A2652" s="408"/>
      <c r="B2652" s="83" t="e">
        <f t="array" ref="B2652">SUM(--(FREQUENCY(IF(C$2:C$3072=C2652, MATCH(D$2:D$3072, D$2:D$3072, 0)), ROW(D$2:D$3072)-ROW(D$2)+1) &gt; 0))</f>
        <v>#N/A</v>
      </c>
      <c r="C2652" s="408"/>
      <c r="D2652" s="408"/>
      <c r="E2652" s="408"/>
      <c r="F2652" s="408"/>
      <c r="G2652" s="408"/>
      <c r="H2652" s="408"/>
      <c r="I2652" s="408"/>
      <c r="J2652" s="408"/>
      <c r="K2652" s="408"/>
      <c r="L2652" s="408"/>
      <c r="M2652" s="408"/>
      <c r="N2652" s="408" t="str">
        <f t="shared" si="468"/>
        <v/>
      </c>
      <c r="O2652" s="408"/>
      <c r="P2652" s="408"/>
      <c r="Q2652" s="408"/>
      <c r="R2652" s="408"/>
      <c r="S2652" s="408"/>
      <c r="T2652" s="408"/>
      <c r="U2652" s="408"/>
      <c r="V2652" s="421"/>
      <c r="W2652" s="421"/>
      <c r="X2652" s="421"/>
      <c r="Y2652" s="421"/>
      <c r="Z2652" s="421"/>
      <c r="AA2652" s="421"/>
      <c r="AB2652" s="421"/>
      <c r="AC2652" s="421"/>
      <c r="AD2652" s="421"/>
      <c r="AE2652" s="421"/>
      <c r="AF2652" s="421"/>
      <c r="AG2652" s="421"/>
      <c r="AH2652" s="421"/>
      <c r="AI2652" s="421"/>
      <c r="AJ2652" s="421"/>
      <c r="AK2652" s="421"/>
      <c r="AL2652" s="421"/>
    </row>
    <row r="2653" spans="1:38" hidden="1">
      <c r="A2653" s="408"/>
      <c r="B2653" s="83" t="e">
        <f t="array" ref="B2653">SUM(--(FREQUENCY(IF(C$2:C$3072=C2653, MATCH(D$2:D$3072, D$2:D$3072, 0)), ROW(D$2:D$3072)-ROW(D$2)+1) &gt; 0))</f>
        <v>#N/A</v>
      </c>
      <c r="C2653" s="408"/>
      <c r="D2653" s="408"/>
      <c r="E2653" s="408"/>
      <c r="F2653" s="408"/>
      <c r="G2653" s="408"/>
      <c r="H2653" s="408"/>
      <c r="I2653" s="408"/>
      <c r="J2653" s="408"/>
      <c r="K2653" s="408"/>
      <c r="L2653" s="408"/>
      <c r="M2653" s="408"/>
      <c r="N2653" s="408" t="str">
        <f t="shared" si="468"/>
        <v/>
      </c>
      <c r="O2653" s="408"/>
      <c r="P2653" s="408"/>
      <c r="Q2653" s="408"/>
      <c r="R2653" s="408"/>
      <c r="S2653" s="408"/>
      <c r="T2653" s="408"/>
      <c r="U2653" s="408"/>
      <c r="V2653" s="421"/>
      <c r="W2653" s="421"/>
      <c r="X2653" s="421"/>
      <c r="Y2653" s="421"/>
      <c r="Z2653" s="421"/>
      <c r="AA2653" s="421"/>
      <c r="AB2653" s="421"/>
      <c r="AC2653" s="421"/>
      <c r="AD2653" s="421"/>
      <c r="AE2653" s="421"/>
      <c r="AF2653" s="421"/>
      <c r="AG2653" s="421"/>
      <c r="AH2653" s="421"/>
      <c r="AI2653" s="421"/>
      <c r="AJ2653" s="421"/>
      <c r="AK2653" s="421"/>
      <c r="AL2653" s="421"/>
    </row>
    <row r="2654" spans="1:38" hidden="1">
      <c r="A2654" s="408"/>
      <c r="B2654" s="83" t="e">
        <f t="array" ref="B2654">SUM(--(FREQUENCY(IF(C$2:C$3072=C2654, MATCH(D$2:D$3072, D$2:D$3072, 0)), ROW(D$2:D$3072)-ROW(D$2)+1) &gt; 0))</f>
        <v>#N/A</v>
      </c>
      <c r="C2654" s="408"/>
      <c r="D2654" s="408"/>
      <c r="E2654" s="408"/>
      <c r="F2654" s="408"/>
      <c r="G2654" s="408"/>
      <c r="H2654" s="408"/>
      <c r="I2654" s="408"/>
      <c r="J2654" s="408"/>
      <c r="K2654" s="408"/>
      <c r="L2654" s="408"/>
      <c r="M2654" s="408"/>
      <c r="N2654" s="408" t="str">
        <f t="shared" si="468"/>
        <v/>
      </c>
      <c r="O2654" s="408"/>
      <c r="P2654" s="408"/>
      <c r="Q2654" s="408"/>
      <c r="R2654" s="408"/>
      <c r="S2654" s="408"/>
      <c r="T2654" s="408"/>
      <c r="U2654" s="408"/>
      <c r="V2654" s="421"/>
      <c r="W2654" s="421"/>
      <c r="X2654" s="421"/>
      <c r="Y2654" s="421"/>
      <c r="Z2654" s="421"/>
      <c r="AA2654" s="421"/>
      <c r="AB2654" s="421"/>
      <c r="AC2654" s="421"/>
      <c r="AD2654" s="421"/>
      <c r="AE2654" s="421"/>
      <c r="AF2654" s="421"/>
      <c r="AG2654" s="421"/>
      <c r="AH2654" s="421"/>
      <c r="AI2654" s="421"/>
      <c r="AJ2654" s="421"/>
      <c r="AK2654" s="421"/>
      <c r="AL2654" s="421"/>
    </row>
    <row r="2655" spans="1:38" hidden="1">
      <c r="A2655" s="408"/>
      <c r="B2655" s="83" t="e">
        <f t="array" ref="B2655">SUM(--(FREQUENCY(IF(C$2:C$3072=C2655, MATCH(D$2:D$3072, D$2:D$3072, 0)), ROW(D$2:D$3072)-ROW(D$2)+1) &gt; 0))</f>
        <v>#N/A</v>
      </c>
      <c r="C2655" s="408"/>
      <c r="D2655" s="408"/>
      <c r="E2655" s="408"/>
      <c r="F2655" s="408"/>
      <c r="G2655" s="408"/>
      <c r="H2655" s="408"/>
      <c r="I2655" s="408"/>
      <c r="J2655" s="408"/>
      <c r="K2655" s="408"/>
      <c r="L2655" s="408"/>
      <c r="M2655" s="408"/>
      <c r="N2655" s="408" t="str">
        <f t="shared" si="468"/>
        <v/>
      </c>
      <c r="O2655" s="408"/>
      <c r="P2655" s="408"/>
      <c r="Q2655" s="408"/>
      <c r="R2655" s="408"/>
      <c r="S2655" s="408"/>
      <c r="T2655" s="408"/>
      <c r="U2655" s="408"/>
      <c r="V2655" s="421"/>
      <c r="W2655" s="421"/>
      <c r="X2655" s="421"/>
      <c r="Y2655" s="421"/>
      <c r="Z2655" s="421"/>
      <c r="AA2655" s="421"/>
      <c r="AB2655" s="421"/>
      <c r="AC2655" s="421"/>
      <c r="AD2655" s="421"/>
      <c r="AE2655" s="421"/>
      <c r="AF2655" s="421"/>
      <c r="AG2655" s="421"/>
      <c r="AH2655" s="421"/>
      <c r="AI2655" s="421"/>
      <c r="AJ2655" s="421"/>
      <c r="AK2655" s="421"/>
      <c r="AL2655" s="421"/>
    </row>
    <row r="2656" spans="1:38" hidden="1">
      <c r="A2656" s="408"/>
      <c r="B2656" s="83" t="e">
        <f t="array" ref="B2656">SUM(--(FREQUENCY(IF(C$2:C$3072=C2656, MATCH(D$2:D$3072, D$2:D$3072, 0)), ROW(D$2:D$3072)-ROW(D$2)+1) &gt; 0))</f>
        <v>#N/A</v>
      </c>
      <c r="C2656" s="408"/>
      <c r="D2656" s="408"/>
      <c r="E2656" s="408"/>
      <c r="F2656" s="408"/>
      <c r="G2656" s="408"/>
      <c r="H2656" s="408"/>
      <c r="I2656" s="408"/>
      <c r="J2656" s="408"/>
      <c r="K2656" s="408"/>
      <c r="L2656" s="408"/>
      <c r="M2656" s="408"/>
      <c r="N2656" s="408" t="str">
        <f t="shared" si="468"/>
        <v/>
      </c>
      <c r="O2656" s="408"/>
      <c r="P2656" s="408"/>
      <c r="Q2656" s="408"/>
      <c r="R2656" s="408"/>
      <c r="S2656" s="408"/>
      <c r="T2656" s="408"/>
      <c r="U2656" s="408"/>
      <c r="V2656" s="421"/>
      <c r="W2656" s="421"/>
      <c r="X2656" s="421"/>
      <c r="Y2656" s="421"/>
      <c r="Z2656" s="421"/>
      <c r="AA2656" s="421"/>
      <c r="AB2656" s="421"/>
      <c r="AC2656" s="421"/>
      <c r="AD2656" s="421"/>
      <c r="AE2656" s="421"/>
      <c r="AF2656" s="421"/>
      <c r="AG2656" s="421"/>
      <c r="AH2656" s="421"/>
      <c r="AI2656" s="421"/>
      <c r="AJ2656" s="421"/>
      <c r="AK2656" s="421"/>
      <c r="AL2656" s="421"/>
    </row>
    <row r="2657" spans="1:38" hidden="1">
      <c r="A2657" s="408"/>
      <c r="B2657" s="83" t="e">
        <f t="array" ref="B2657">SUM(--(FREQUENCY(IF(C$2:C$3072=C2657, MATCH(D$2:D$3072, D$2:D$3072, 0)), ROW(D$2:D$3072)-ROW(D$2)+1) &gt; 0))</f>
        <v>#N/A</v>
      </c>
      <c r="C2657" s="408"/>
      <c r="D2657" s="408"/>
      <c r="E2657" s="408"/>
      <c r="F2657" s="408"/>
      <c r="G2657" s="408"/>
      <c r="H2657" s="408"/>
      <c r="I2657" s="408"/>
      <c r="J2657" s="408"/>
      <c r="K2657" s="408"/>
      <c r="L2657" s="408"/>
      <c r="M2657" s="408"/>
      <c r="N2657" s="408" t="str">
        <f t="shared" si="468"/>
        <v/>
      </c>
      <c r="O2657" s="408"/>
      <c r="P2657" s="408"/>
      <c r="Q2657" s="408"/>
      <c r="R2657" s="408"/>
      <c r="S2657" s="408"/>
      <c r="T2657" s="408"/>
      <c r="U2657" s="408"/>
      <c r="V2657" s="421"/>
      <c r="W2657" s="421"/>
      <c r="X2657" s="421"/>
      <c r="Y2657" s="421"/>
      <c r="Z2657" s="421"/>
      <c r="AA2657" s="421"/>
      <c r="AB2657" s="421"/>
      <c r="AC2657" s="421"/>
      <c r="AD2657" s="421"/>
      <c r="AE2657" s="421"/>
      <c r="AF2657" s="421"/>
      <c r="AG2657" s="421"/>
      <c r="AH2657" s="421"/>
      <c r="AI2657" s="421"/>
      <c r="AJ2657" s="421"/>
      <c r="AK2657" s="421"/>
      <c r="AL2657" s="421"/>
    </row>
    <row r="2658" spans="1:38" hidden="1">
      <c r="A2658" s="408"/>
      <c r="B2658" s="83" t="e">
        <f t="array" ref="B2658">SUM(--(FREQUENCY(IF(C$2:C$3072=C2658, MATCH(D$2:D$3072, D$2:D$3072, 0)), ROW(D$2:D$3072)-ROW(D$2)+1) &gt; 0))</f>
        <v>#N/A</v>
      </c>
      <c r="C2658" s="408"/>
      <c r="D2658" s="408"/>
      <c r="E2658" s="408"/>
      <c r="F2658" s="408"/>
      <c r="G2658" s="408"/>
      <c r="H2658" s="408"/>
      <c r="I2658" s="408"/>
      <c r="J2658" s="408"/>
      <c r="K2658" s="408"/>
      <c r="L2658" s="408"/>
      <c r="M2658" s="408"/>
      <c r="N2658" s="408" t="str">
        <f t="shared" si="468"/>
        <v/>
      </c>
      <c r="O2658" s="408"/>
      <c r="P2658" s="408"/>
      <c r="Q2658" s="408"/>
      <c r="R2658" s="408"/>
      <c r="S2658" s="408"/>
      <c r="T2658" s="408"/>
      <c r="U2658" s="408"/>
      <c r="V2658" s="421"/>
      <c r="W2658" s="421"/>
      <c r="X2658" s="421"/>
      <c r="Y2658" s="421"/>
      <c r="Z2658" s="421"/>
      <c r="AA2658" s="421"/>
      <c r="AB2658" s="421"/>
      <c r="AC2658" s="421"/>
      <c r="AD2658" s="421"/>
      <c r="AE2658" s="421"/>
      <c r="AF2658" s="421"/>
      <c r="AG2658" s="421"/>
      <c r="AH2658" s="421"/>
      <c r="AI2658" s="421"/>
      <c r="AJ2658" s="421"/>
      <c r="AK2658" s="421"/>
      <c r="AL2658" s="421"/>
    </row>
    <row r="2659" spans="1:38" hidden="1">
      <c r="A2659" s="408"/>
      <c r="B2659" s="83" t="e">
        <f t="array" ref="B2659">SUM(--(FREQUENCY(IF(C$2:C$3072=C2659, MATCH(D$2:D$3072, D$2:D$3072, 0)), ROW(D$2:D$3072)-ROW(D$2)+1) &gt; 0))</f>
        <v>#N/A</v>
      </c>
      <c r="C2659" s="408"/>
      <c r="D2659" s="408"/>
      <c r="E2659" s="408"/>
      <c r="F2659" s="408"/>
      <c r="G2659" s="408"/>
      <c r="H2659" s="408"/>
      <c r="I2659" s="408"/>
      <c r="J2659" s="408"/>
      <c r="K2659" s="408"/>
      <c r="L2659" s="408"/>
      <c r="M2659" s="408"/>
      <c r="N2659" s="408" t="str">
        <f t="shared" si="468"/>
        <v/>
      </c>
      <c r="O2659" s="408"/>
      <c r="P2659" s="408"/>
      <c r="Q2659" s="408"/>
      <c r="R2659" s="408"/>
      <c r="S2659" s="408"/>
      <c r="T2659" s="408"/>
      <c r="U2659" s="408"/>
      <c r="V2659" s="421"/>
      <c r="W2659" s="421"/>
      <c r="X2659" s="421"/>
      <c r="Y2659" s="421"/>
      <c r="Z2659" s="421"/>
      <c r="AA2659" s="421"/>
      <c r="AB2659" s="421"/>
      <c r="AC2659" s="421"/>
      <c r="AD2659" s="421"/>
      <c r="AE2659" s="421"/>
      <c r="AF2659" s="421"/>
      <c r="AG2659" s="421"/>
      <c r="AH2659" s="421"/>
      <c r="AI2659" s="421"/>
      <c r="AJ2659" s="421"/>
      <c r="AK2659" s="421"/>
      <c r="AL2659" s="421"/>
    </row>
    <row r="2660" spans="1:38" hidden="1">
      <c r="A2660" s="408"/>
      <c r="B2660" s="83" t="e">
        <f t="array" ref="B2660">SUM(--(FREQUENCY(IF(C$2:C$3072=C2660, MATCH(D$2:D$3072, D$2:D$3072, 0)), ROW(D$2:D$3072)-ROW(D$2)+1) &gt; 0))</f>
        <v>#N/A</v>
      </c>
      <c r="C2660" s="408"/>
      <c r="D2660" s="408"/>
      <c r="E2660" s="408"/>
      <c r="F2660" s="408"/>
      <c r="G2660" s="408"/>
      <c r="H2660" s="408"/>
      <c r="I2660" s="408"/>
      <c r="J2660" s="408"/>
      <c r="K2660" s="408"/>
      <c r="L2660" s="408"/>
      <c r="M2660" s="408"/>
      <c r="N2660" s="408" t="str">
        <f t="shared" si="468"/>
        <v/>
      </c>
      <c r="O2660" s="408"/>
      <c r="P2660" s="408"/>
      <c r="Q2660" s="408"/>
      <c r="R2660" s="408"/>
      <c r="S2660" s="408"/>
      <c r="T2660" s="408"/>
      <c r="U2660" s="408"/>
      <c r="V2660" s="421"/>
      <c r="W2660" s="421"/>
      <c r="X2660" s="421"/>
      <c r="Y2660" s="421"/>
      <c r="Z2660" s="421"/>
      <c r="AA2660" s="421"/>
      <c r="AB2660" s="421"/>
      <c r="AC2660" s="421"/>
      <c r="AD2660" s="421"/>
      <c r="AE2660" s="421"/>
      <c r="AF2660" s="421"/>
      <c r="AG2660" s="421"/>
      <c r="AH2660" s="421"/>
      <c r="AI2660" s="421"/>
      <c r="AJ2660" s="421"/>
      <c r="AK2660" s="421"/>
      <c r="AL2660" s="421"/>
    </row>
    <row r="2661" spans="1:38" hidden="1">
      <c r="A2661" s="408"/>
      <c r="B2661" s="83" t="e">
        <f t="array" ref="B2661">SUM(--(FREQUENCY(IF(C$2:C$3072=C2661, MATCH(D$2:D$3072, D$2:D$3072, 0)), ROW(D$2:D$3072)-ROW(D$2)+1) &gt; 0))</f>
        <v>#N/A</v>
      </c>
      <c r="C2661" s="408"/>
      <c r="D2661" s="408"/>
      <c r="E2661" s="408"/>
      <c r="F2661" s="408"/>
      <c r="G2661" s="408"/>
      <c r="H2661" s="408"/>
      <c r="I2661" s="408"/>
      <c r="J2661" s="408"/>
      <c r="K2661" s="408"/>
      <c r="L2661" s="408"/>
      <c r="M2661" s="408"/>
      <c r="N2661" s="408" t="str">
        <f t="shared" si="468"/>
        <v/>
      </c>
      <c r="O2661" s="408"/>
      <c r="P2661" s="408"/>
      <c r="Q2661" s="408"/>
      <c r="R2661" s="408"/>
      <c r="S2661" s="408"/>
      <c r="T2661" s="408"/>
      <c r="U2661" s="408"/>
      <c r="V2661" s="421"/>
      <c r="W2661" s="421"/>
      <c r="X2661" s="421"/>
      <c r="Y2661" s="421"/>
      <c r="Z2661" s="421"/>
      <c r="AA2661" s="421"/>
      <c r="AB2661" s="421"/>
      <c r="AC2661" s="421"/>
      <c r="AD2661" s="421"/>
      <c r="AE2661" s="421"/>
      <c r="AF2661" s="421"/>
      <c r="AG2661" s="421"/>
      <c r="AH2661" s="421"/>
      <c r="AI2661" s="421"/>
      <c r="AJ2661" s="421"/>
      <c r="AK2661" s="421"/>
      <c r="AL2661" s="421"/>
    </row>
    <row r="2662" spans="1:38" hidden="1">
      <c r="A2662" s="408"/>
      <c r="B2662" s="83" t="e">
        <f t="array" ref="B2662">SUM(--(FREQUENCY(IF(C$2:C$3072=C2662, MATCH(D$2:D$3072, D$2:D$3072, 0)), ROW(D$2:D$3072)-ROW(D$2)+1) &gt; 0))</f>
        <v>#N/A</v>
      </c>
      <c r="C2662" s="408"/>
      <c r="D2662" s="408"/>
      <c r="E2662" s="408"/>
      <c r="F2662" s="408"/>
      <c r="G2662" s="408"/>
      <c r="H2662" s="408"/>
      <c r="I2662" s="408"/>
      <c r="J2662" s="408"/>
      <c r="K2662" s="408"/>
      <c r="L2662" s="408"/>
      <c r="M2662" s="408"/>
      <c r="N2662" s="408" t="str">
        <f t="shared" si="468"/>
        <v/>
      </c>
      <c r="O2662" s="408"/>
      <c r="P2662" s="408"/>
      <c r="Q2662" s="408"/>
      <c r="R2662" s="408"/>
      <c r="S2662" s="408"/>
      <c r="T2662" s="408"/>
      <c r="U2662" s="408"/>
      <c r="V2662" s="421"/>
      <c r="W2662" s="421"/>
      <c r="X2662" s="421"/>
      <c r="Y2662" s="421"/>
      <c r="Z2662" s="421"/>
      <c r="AA2662" s="421"/>
      <c r="AB2662" s="421"/>
      <c r="AC2662" s="421"/>
      <c r="AD2662" s="421"/>
      <c r="AE2662" s="421"/>
      <c r="AF2662" s="421"/>
      <c r="AG2662" s="421"/>
      <c r="AH2662" s="421"/>
      <c r="AI2662" s="421"/>
      <c r="AJ2662" s="421"/>
      <c r="AK2662" s="421"/>
      <c r="AL2662" s="421"/>
    </row>
    <row r="2663" spans="1:38" hidden="1">
      <c r="A2663" s="408"/>
      <c r="B2663" s="83" t="e">
        <f t="array" ref="B2663">SUM(--(FREQUENCY(IF(C$2:C$3072=C2663, MATCH(D$2:D$3072, D$2:D$3072, 0)), ROW(D$2:D$3072)-ROW(D$2)+1) &gt; 0))</f>
        <v>#N/A</v>
      </c>
      <c r="C2663" s="408"/>
      <c r="D2663" s="408"/>
      <c r="E2663" s="408"/>
      <c r="F2663" s="408"/>
      <c r="G2663" s="408"/>
      <c r="H2663" s="408"/>
      <c r="I2663" s="408"/>
      <c r="J2663" s="408"/>
      <c r="K2663" s="408"/>
      <c r="L2663" s="408"/>
      <c r="M2663" s="408"/>
      <c r="N2663" s="408" t="str">
        <f t="shared" si="468"/>
        <v/>
      </c>
      <c r="O2663" s="408"/>
      <c r="P2663" s="408"/>
      <c r="Q2663" s="408"/>
      <c r="R2663" s="408"/>
      <c r="S2663" s="408"/>
      <c r="T2663" s="408"/>
      <c r="U2663" s="408"/>
      <c r="V2663" s="421"/>
      <c r="W2663" s="421"/>
      <c r="X2663" s="421"/>
      <c r="Y2663" s="421"/>
      <c r="Z2663" s="421"/>
      <c r="AA2663" s="421"/>
      <c r="AB2663" s="421"/>
      <c r="AC2663" s="421"/>
      <c r="AD2663" s="421"/>
      <c r="AE2663" s="421"/>
      <c r="AF2663" s="421"/>
      <c r="AG2663" s="421"/>
      <c r="AH2663" s="421"/>
      <c r="AI2663" s="421"/>
      <c r="AJ2663" s="421"/>
      <c r="AK2663" s="421"/>
      <c r="AL2663" s="421"/>
    </row>
    <row r="2664" spans="1:38" hidden="1">
      <c r="A2664" s="408"/>
      <c r="B2664" s="83" t="e">
        <f t="array" ref="B2664">SUM(--(FREQUENCY(IF(C$2:C$3072=C2664, MATCH(D$2:D$3072, D$2:D$3072, 0)), ROW(D$2:D$3072)-ROW(D$2)+1) &gt; 0))</f>
        <v>#N/A</v>
      </c>
      <c r="C2664" s="408"/>
      <c r="D2664" s="408"/>
      <c r="E2664" s="408"/>
      <c r="F2664" s="408"/>
      <c r="G2664" s="408"/>
      <c r="H2664" s="408"/>
      <c r="I2664" s="408"/>
      <c r="J2664" s="408"/>
      <c r="K2664" s="408"/>
      <c r="L2664" s="408"/>
      <c r="M2664" s="408"/>
      <c r="N2664" s="408" t="str">
        <f t="shared" si="468"/>
        <v/>
      </c>
      <c r="O2664" s="408"/>
      <c r="P2664" s="408"/>
      <c r="Q2664" s="408"/>
      <c r="R2664" s="408"/>
      <c r="S2664" s="408"/>
      <c r="T2664" s="408"/>
      <c r="U2664" s="408"/>
      <c r="V2664" s="421"/>
      <c r="W2664" s="421"/>
      <c r="X2664" s="421"/>
      <c r="Y2664" s="421"/>
      <c r="Z2664" s="421"/>
      <c r="AA2664" s="421"/>
      <c r="AB2664" s="421"/>
      <c r="AC2664" s="421"/>
      <c r="AD2664" s="421"/>
      <c r="AE2664" s="421"/>
      <c r="AF2664" s="421"/>
      <c r="AG2664" s="421"/>
      <c r="AH2664" s="421"/>
      <c r="AI2664" s="421"/>
      <c r="AJ2664" s="421"/>
      <c r="AK2664" s="421"/>
      <c r="AL2664" s="421"/>
    </row>
    <row r="2665" spans="1:38" hidden="1">
      <c r="A2665" s="408"/>
      <c r="B2665" s="83" t="e">
        <f t="array" ref="B2665">SUM(--(FREQUENCY(IF(C$2:C$3072=C2665, MATCH(D$2:D$3072, D$2:D$3072, 0)), ROW(D$2:D$3072)-ROW(D$2)+1) &gt; 0))</f>
        <v>#N/A</v>
      </c>
      <c r="C2665" s="408"/>
      <c r="D2665" s="408"/>
      <c r="E2665" s="408"/>
      <c r="F2665" s="408"/>
      <c r="G2665" s="408"/>
      <c r="H2665" s="408"/>
      <c r="I2665" s="408"/>
      <c r="J2665" s="408"/>
      <c r="K2665" s="408"/>
      <c r="L2665" s="408"/>
      <c r="M2665" s="408"/>
      <c r="N2665" s="408" t="str">
        <f t="shared" si="468"/>
        <v/>
      </c>
      <c r="O2665" s="408"/>
      <c r="P2665" s="408"/>
      <c r="Q2665" s="408"/>
      <c r="R2665" s="408"/>
      <c r="S2665" s="408"/>
      <c r="T2665" s="408"/>
      <c r="U2665" s="408"/>
      <c r="V2665" s="421"/>
      <c r="W2665" s="421"/>
      <c r="X2665" s="421"/>
      <c r="Y2665" s="421"/>
      <c r="Z2665" s="421"/>
      <c r="AA2665" s="421"/>
      <c r="AB2665" s="421"/>
      <c r="AC2665" s="421"/>
      <c r="AD2665" s="421"/>
      <c r="AE2665" s="421"/>
      <c r="AF2665" s="421"/>
      <c r="AG2665" s="421"/>
      <c r="AH2665" s="421"/>
      <c r="AI2665" s="421"/>
      <c r="AJ2665" s="421"/>
      <c r="AK2665" s="421"/>
      <c r="AL2665" s="421"/>
    </row>
    <row r="2666" spans="1:38" hidden="1">
      <c r="A2666" s="408"/>
      <c r="B2666" s="83" t="e">
        <f t="array" ref="B2666">SUM(--(FREQUENCY(IF(C$2:C$3072=C2666, MATCH(D$2:D$3072, D$2:D$3072, 0)), ROW(D$2:D$3072)-ROW(D$2)+1) &gt; 0))</f>
        <v>#N/A</v>
      </c>
      <c r="C2666" s="408"/>
      <c r="D2666" s="408"/>
      <c r="E2666" s="408"/>
      <c r="F2666" s="408"/>
      <c r="G2666" s="408"/>
      <c r="H2666" s="408"/>
      <c r="I2666" s="408"/>
      <c r="J2666" s="408"/>
      <c r="K2666" s="408"/>
      <c r="L2666" s="408"/>
      <c r="M2666" s="408"/>
      <c r="N2666" s="408" t="str">
        <f t="shared" si="468"/>
        <v/>
      </c>
      <c r="O2666" s="408"/>
      <c r="P2666" s="408"/>
      <c r="Q2666" s="408"/>
      <c r="R2666" s="408"/>
      <c r="S2666" s="408"/>
      <c r="T2666" s="408"/>
      <c r="U2666" s="408"/>
      <c r="V2666" s="421"/>
      <c r="W2666" s="421"/>
      <c r="X2666" s="421"/>
      <c r="Y2666" s="421"/>
      <c r="Z2666" s="421"/>
      <c r="AA2666" s="421"/>
      <c r="AB2666" s="421"/>
      <c r="AC2666" s="421"/>
      <c r="AD2666" s="421"/>
      <c r="AE2666" s="421"/>
      <c r="AF2666" s="421"/>
      <c r="AG2666" s="421"/>
      <c r="AH2666" s="421"/>
      <c r="AI2666" s="421"/>
      <c r="AJ2666" s="421"/>
      <c r="AK2666" s="421"/>
      <c r="AL2666" s="421"/>
    </row>
    <row r="2667" spans="1:38" hidden="1">
      <c r="A2667" s="408"/>
      <c r="B2667" s="83" t="e">
        <f t="array" ref="B2667">SUM(--(FREQUENCY(IF(C$2:C$3072=C2667, MATCH(D$2:D$3072, D$2:D$3072, 0)), ROW(D$2:D$3072)-ROW(D$2)+1) &gt; 0))</f>
        <v>#N/A</v>
      </c>
      <c r="C2667" s="408"/>
      <c r="D2667" s="408"/>
      <c r="E2667" s="408"/>
      <c r="F2667" s="408"/>
      <c r="G2667" s="408"/>
      <c r="H2667" s="408"/>
      <c r="I2667" s="408"/>
      <c r="J2667" s="408"/>
      <c r="K2667" s="408"/>
      <c r="L2667" s="408"/>
      <c r="M2667" s="408"/>
      <c r="N2667" s="408" t="str">
        <f t="shared" si="468"/>
        <v/>
      </c>
      <c r="O2667" s="408"/>
      <c r="P2667" s="408"/>
      <c r="Q2667" s="408"/>
      <c r="R2667" s="408"/>
      <c r="S2667" s="408"/>
      <c r="T2667" s="408"/>
      <c r="U2667" s="408"/>
      <c r="V2667" s="421"/>
      <c r="W2667" s="421"/>
      <c r="X2667" s="421"/>
      <c r="Y2667" s="421"/>
      <c r="Z2667" s="421"/>
      <c r="AA2667" s="421"/>
      <c r="AB2667" s="421"/>
      <c r="AC2667" s="421"/>
      <c r="AD2667" s="421"/>
      <c r="AE2667" s="421"/>
      <c r="AF2667" s="421"/>
      <c r="AG2667" s="421"/>
      <c r="AH2667" s="421"/>
      <c r="AI2667" s="421"/>
      <c r="AJ2667" s="421"/>
      <c r="AK2667" s="421"/>
      <c r="AL2667" s="421"/>
    </row>
    <row r="2668" spans="1:38" hidden="1">
      <c r="A2668" s="408"/>
      <c r="B2668" s="83" t="e">
        <f t="array" ref="B2668">SUM(--(FREQUENCY(IF(C$2:C$3072=C2668, MATCH(D$2:D$3072, D$2:D$3072, 0)), ROW(D$2:D$3072)-ROW(D$2)+1) &gt; 0))</f>
        <v>#N/A</v>
      </c>
      <c r="C2668" s="408"/>
      <c r="D2668" s="408"/>
      <c r="E2668" s="408"/>
      <c r="F2668" s="408"/>
      <c r="G2668" s="408"/>
      <c r="H2668" s="408"/>
      <c r="I2668" s="408"/>
      <c r="J2668" s="408"/>
      <c r="K2668" s="408"/>
      <c r="L2668" s="408"/>
      <c r="M2668" s="408"/>
      <c r="N2668" s="408" t="str">
        <f t="shared" si="468"/>
        <v/>
      </c>
      <c r="O2668" s="408"/>
      <c r="P2668" s="408"/>
      <c r="Q2668" s="408"/>
      <c r="R2668" s="408"/>
      <c r="S2668" s="408"/>
      <c r="T2668" s="408"/>
      <c r="U2668" s="408"/>
      <c r="V2668" s="421"/>
      <c r="W2668" s="421"/>
      <c r="X2668" s="421"/>
      <c r="Y2668" s="421"/>
      <c r="Z2668" s="421"/>
      <c r="AA2668" s="421"/>
      <c r="AB2668" s="421"/>
      <c r="AC2668" s="421"/>
      <c r="AD2668" s="421"/>
      <c r="AE2668" s="421"/>
      <c r="AF2668" s="421"/>
      <c r="AG2668" s="421"/>
      <c r="AH2668" s="421"/>
      <c r="AI2668" s="421"/>
      <c r="AJ2668" s="421"/>
      <c r="AK2668" s="421"/>
      <c r="AL2668" s="421"/>
    </row>
    <row r="2669" spans="1:38" hidden="1">
      <c r="A2669" s="408"/>
      <c r="B2669" s="83" t="e">
        <f t="array" ref="B2669">SUM(--(FREQUENCY(IF(C$2:C$3072=C2669, MATCH(D$2:D$3072, D$2:D$3072, 0)), ROW(D$2:D$3072)-ROW(D$2)+1) &gt; 0))</f>
        <v>#N/A</v>
      </c>
      <c r="C2669" s="408"/>
      <c r="D2669" s="408"/>
      <c r="E2669" s="408"/>
      <c r="F2669" s="408"/>
      <c r="G2669" s="408"/>
      <c r="H2669" s="408"/>
      <c r="I2669" s="408"/>
      <c r="J2669" s="408"/>
      <c r="K2669" s="408"/>
      <c r="L2669" s="408"/>
      <c r="M2669" s="408"/>
      <c r="N2669" s="408" t="str">
        <f t="shared" si="468"/>
        <v/>
      </c>
      <c r="O2669" s="408"/>
      <c r="P2669" s="408"/>
      <c r="Q2669" s="408"/>
      <c r="R2669" s="408"/>
      <c r="S2669" s="408"/>
      <c r="T2669" s="408"/>
      <c r="U2669" s="408"/>
      <c r="V2669" s="421"/>
      <c r="W2669" s="421"/>
      <c r="X2669" s="421"/>
      <c r="Y2669" s="421"/>
      <c r="Z2669" s="421"/>
      <c r="AA2669" s="421"/>
      <c r="AB2669" s="421"/>
      <c r="AC2669" s="421"/>
      <c r="AD2669" s="421"/>
      <c r="AE2669" s="421"/>
      <c r="AF2669" s="421"/>
      <c r="AG2669" s="421"/>
      <c r="AH2669" s="421"/>
      <c r="AI2669" s="421"/>
      <c r="AJ2669" s="421"/>
      <c r="AK2669" s="421"/>
      <c r="AL2669" s="421"/>
    </row>
    <row r="2670" spans="1:38" hidden="1">
      <c r="A2670" s="408"/>
      <c r="B2670" s="83" t="e">
        <f t="array" ref="B2670">SUM(--(FREQUENCY(IF(C$2:C$3072=C2670, MATCH(D$2:D$3072, D$2:D$3072, 0)), ROW(D$2:D$3072)-ROW(D$2)+1) &gt; 0))</f>
        <v>#N/A</v>
      </c>
      <c r="C2670" s="408"/>
      <c r="D2670" s="408"/>
      <c r="E2670" s="408"/>
      <c r="F2670" s="408"/>
      <c r="G2670" s="408"/>
      <c r="H2670" s="408"/>
      <c r="I2670" s="408"/>
      <c r="J2670" s="408"/>
      <c r="K2670" s="408"/>
      <c r="L2670" s="408"/>
      <c r="M2670" s="408"/>
      <c r="N2670" s="408" t="str">
        <f t="shared" si="468"/>
        <v/>
      </c>
      <c r="O2670" s="408"/>
      <c r="P2670" s="408"/>
      <c r="Q2670" s="408"/>
      <c r="R2670" s="408"/>
      <c r="S2670" s="408"/>
      <c r="T2670" s="408"/>
      <c r="U2670" s="408"/>
      <c r="V2670" s="421"/>
      <c r="W2670" s="421"/>
      <c r="X2670" s="421"/>
      <c r="Y2670" s="421"/>
      <c r="Z2670" s="421"/>
      <c r="AA2670" s="421"/>
      <c r="AB2670" s="421"/>
      <c r="AC2670" s="421"/>
      <c r="AD2670" s="421"/>
      <c r="AE2670" s="421"/>
      <c r="AF2670" s="421"/>
      <c r="AG2670" s="421"/>
      <c r="AH2670" s="421"/>
      <c r="AI2670" s="421"/>
      <c r="AJ2670" s="421"/>
      <c r="AK2670" s="421"/>
      <c r="AL2670" s="421"/>
    </row>
    <row r="2671" spans="1:38" hidden="1">
      <c r="A2671" s="408"/>
      <c r="B2671" s="83" t="e">
        <f t="array" ref="B2671">SUM(--(FREQUENCY(IF(C$2:C$3072=C2671, MATCH(D$2:D$3072, D$2:D$3072, 0)), ROW(D$2:D$3072)-ROW(D$2)+1) &gt; 0))</f>
        <v>#N/A</v>
      </c>
      <c r="C2671" s="408"/>
      <c r="D2671" s="408"/>
      <c r="E2671" s="408"/>
      <c r="F2671" s="408"/>
      <c r="G2671" s="408"/>
      <c r="H2671" s="408"/>
      <c r="I2671" s="408"/>
      <c r="J2671" s="408"/>
      <c r="K2671" s="408"/>
      <c r="L2671" s="408"/>
      <c r="M2671" s="408"/>
      <c r="N2671" s="408" t="str">
        <f t="shared" si="468"/>
        <v/>
      </c>
      <c r="O2671" s="408"/>
      <c r="P2671" s="408"/>
      <c r="Q2671" s="408"/>
      <c r="R2671" s="408"/>
      <c r="S2671" s="408"/>
      <c r="T2671" s="408"/>
      <c r="U2671" s="408"/>
      <c r="V2671" s="421"/>
      <c r="W2671" s="421"/>
      <c r="X2671" s="421"/>
      <c r="Y2671" s="421"/>
      <c r="Z2671" s="421"/>
      <c r="AA2671" s="421"/>
      <c r="AB2671" s="421"/>
      <c r="AC2671" s="421"/>
      <c r="AD2671" s="421"/>
      <c r="AE2671" s="421"/>
      <c r="AF2671" s="421"/>
      <c r="AG2671" s="421"/>
      <c r="AH2671" s="421"/>
      <c r="AI2671" s="421"/>
      <c r="AJ2671" s="421"/>
      <c r="AK2671" s="421"/>
      <c r="AL2671" s="421"/>
    </row>
    <row r="2672" spans="1:38" hidden="1">
      <c r="A2672" s="408"/>
      <c r="B2672" s="83" t="e">
        <f t="array" ref="B2672">SUM(--(FREQUENCY(IF(C$2:C$3072=C2672, MATCH(D$2:D$3072, D$2:D$3072, 0)), ROW(D$2:D$3072)-ROW(D$2)+1) &gt; 0))</f>
        <v>#N/A</v>
      </c>
      <c r="C2672" s="408"/>
      <c r="D2672" s="408"/>
      <c r="E2672" s="408"/>
      <c r="F2672" s="408"/>
      <c r="G2672" s="408"/>
      <c r="H2672" s="408"/>
      <c r="I2672" s="408"/>
      <c r="J2672" s="408"/>
      <c r="K2672" s="408"/>
      <c r="L2672" s="408"/>
      <c r="M2672" s="408"/>
      <c r="N2672" s="408" t="str">
        <f t="shared" si="468"/>
        <v/>
      </c>
      <c r="O2672" s="408"/>
      <c r="P2672" s="408"/>
      <c r="Q2672" s="408"/>
      <c r="R2672" s="408"/>
      <c r="S2672" s="408"/>
      <c r="T2672" s="408"/>
      <c r="U2672" s="408"/>
      <c r="V2672" s="421"/>
      <c r="W2672" s="421"/>
      <c r="X2672" s="421"/>
      <c r="Y2672" s="421"/>
      <c r="Z2672" s="421"/>
      <c r="AA2672" s="421"/>
      <c r="AB2672" s="421"/>
      <c r="AC2672" s="421"/>
      <c r="AD2672" s="421"/>
      <c r="AE2672" s="421"/>
      <c r="AF2672" s="421"/>
      <c r="AG2672" s="421"/>
      <c r="AH2672" s="421"/>
      <c r="AI2672" s="421"/>
      <c r="AJ2672" s="421"/>
      <c r="AK2672" s="421"/>
      <c r="AL2672" s="421"/>
    </row>
    <row r="2673" spans="1:38" hidden="1">
      <c r="A2673" s="408"/>
      <c r="B2673" s="83" t="e">
        <f t="array" ref="B2673">SUM(--(FREQUENCY(IF(C$2:C$3072=C2673, MATCH(D$2:D$3072, D$2:D$3072, 0)), ROW(D$2:D$3072)-ROW(D$2)+1) &gt; 0))</f>
        <v>#N/A</v>
      </c>
      <c r="C2673" s="408"/>
      <c r="D2673" s="408"/>
      <c r="E2673" s="408"/>
      <c r="F2673" s="408"/>
      <c r="G2673" s="408"/>
      <c r="H2673" s="408"/>
      <c r="I2673" s="408"/>
      <c r="J2673" s="408"/>
      <c r="K2673" s="408"/>
      <c r="L2673" s="408"/>
      <c r="M2673" s="408"/>
      <c r="N2673" s="408" t="str">
        <f t="shared" si="468"/>
        <v/>
      </c>
      <c r="O2673" s="408"/>
      <c r="P2673" s="408"/>
      <c r="Q2673" s="408"/>
      <c r="R2673" s="408"/>
      <c r="S2673" s="408"/>
      <c r="T2673" s="408"/>
      <c r="U2673" s="408"/>
      <c r="V2673" s="421"/>
      <c r="W2673" s="421"/>
      <c r="X2673" s="421"/>
      <c r="Y2673" s="421"/>
      <c r="Z2673" s="421"/>
      <c r="AA2673" s="421"/>
      <c r="AB2673" s="421"/>
      <c r="AC2673" s="421"/>
      <c r="AD2673" s="421"/>
      <c r="AE2673" s="421"/>
      <c r="AF2673" s="421"/>
      <c r="AG2673" s="421"/>
      <c r="AH2673" s="421"/>
      <c r="AI2673" s="421"/>
      <c r="AJ2673" s="421"/>
      <c r="AK2673" s="421"/>
      <c r="AL2673" s="421"/>
    </row>
    <row r="2674" spans="1:38" hidden="1">
      <c r="A2674" s="408"/>
      <c r="B2674" s="83" t="e">
        <f t="array" ref="B2674">SUM(--(FREQUENCY(IF(C$2:C$3072=C2674, MATCH(D$2:D$3072, D$2:D$3072, 0)), ROW(D$2:D$3072)-ROW(D$2)+1) &gt; 0))</f>
        <v>#N/A</v>
      </c>
      <c r="C2674" s="408"/>
      <c r="D2674" s="408"/>
      <c r="E2674" s="408"/>
      <c r="F2674" s="408"/>
      <c r="G2674" s="408"/>
      <c r="H2674" s="408"/>
      <c r="I2674" s="408"/>
      <c r="J2674" s="408"/>
      <c r="K2674" s="408"/>
      <c r="L2674" s="408"/>
      <c r="M2674" s="408"/>
      <c r="N2674" s="408" t="str">
        <f t="shared" si="468"/>
        <v/>
      </c>
      <c r="O2674" s="408"/>
      <c r="P2674" s="408"/>
      <c r="Q2674" s="408"/>
      <c r="R2674" s="408"/>
      <c r="S2674" s="408"/>
      <c r="T2674" s="408"/>
      <c r="U2674" s="408"/>
      <c r="V2674" s="421"/>
      <c r="W2674" s="421"/>
      <c r="X2674" s="421"/>
      <c r="Y2674" s="421"/>
      <c r="Z2674" s="421"/>
      <c r="AA2674" s="421"/>
      <c r="AB2674" s="421"/>
      <c r="AC2674" s="421"/>
      <c r="AD2674" s="421"/>
      <c r="AE2674" s="421"/>
      <c r="AF2674" s="421"/>
      <c r="AG2674" s="421"/>
      <c r="AH2674" s="421"/>
      <c r="AI2674" s="421"/>
      <c r="AJ2674" s="421"/>
      <c r="AK2674" s="421"/>
      <c r="AL2674" s="421"/>
    </row>
    <row r="2675" spans="1:38" hidden="1">
      <c r="A2675" s="408"/>
      <c r="B2675" s="83" t="e">
        <f t="array" ref="B2675">SUM(--(FREQUENCY(IF(C$2:C$3072=C2675, MATCH(D$2:D$3072, D$2:D$3072, 0)), ROW(D$2:D$3072)-ROW(D$2)+1) &gt; 0))</f>
        <v>#N/A</v>
      </c>
      <c r="C2675" s="408"/>
      <c r="D2675" s="408"/>
      <c r="E2675" s="408"/>
      <c r="F2675" s="408"/>
      <c r="G2675" s="408"/>
      <c r="H2675" s="408"/>
      <c r="I2675" s="408"/>
      <c r="J2675" s="408"/>
      <c r="K2675" s="408"/>
      <c r="L2675" s="408"/>
      <c r="M2675" s="408"/>
      <c r="N2675" s="408" t="str">
        <f t="shared" si="468"/>
        <v/>
      </c>
      <c r="O2675" s="408"/>
      <c r="P2675" s="408"/>
      <c r="Q2675" s="408"/>
      <c r="R2675" s="408"/>
      <c r="S2675" s="408"/>
      <c r="T2675" s="408"/>
      <c r="U2675" s="408"/>
      <c r="V2675" s="421"/>
      <c r="W2675" s="421"/>
      <c r="X2675" s="421"/>
      <c r="Y2675" s="421"/>
      <c r="Z2675" s="421"/>
      <c r="AA2675" s="421"/>
      <c r="AB2675" s="421"/>
      <c r="AC2675" s="421"/>
      <c r="AD2675" s="421"/>
      <c r="AE2675" s="421"/>
      <c r="AF2675" s="421"/>
      <c r="AG2675" s="421"/>
      <c r="AH2675" s="421"/>
      <c r="AI2675" s="421"/>
      <c r="AJ2675" s="421"/>
      <c r="AK2675" s="421"/>
      <c r="AL2675" s="421"/>
    </row>
    <row r="2676" spans="1:38" hidden="1">
      <c r="A2676" s="408"/>
      <c r="B2676" s="83" t="e">
        <f t="array" ref="B2676">SUM(--(FREQUENCY(IF(C$2:C$3072=C2676, MATCH(D$2:D$3072, D$2:D$3072, 0)), ROW(D$2:D$3072)-ROW(D$2)+1) &gt; 0))</f>
        <v>#N/A</v>
      </c>
      <c r="C2676" s="408"/>
      <c r="D2676" s="408"/>
      <c r="E2676" s="408"/>
      <c r="F2676" s="408"/>
      <c r="G2676" s="408"/>
      <c r="H2676" s="408"/>
      <c r="I2676" s="408"/>
      <c r="J2676" s="408"/>
      <c r="K2676" s="408"/>
      <c r="L2676" s="408"/>
      <c r="M2676" s="408"/>
      <c r="N2676" s="408" t="str">
        <f t="shared" si="468"/>
        <v/>
      </c>
      <c r="O2676" s="408"/>
      <c r="P2676" s="408"/>
      <c r="Q2676" s="408"/>
      <c r="R2676" s="408"/>
      <c r="S2676" s="408"/>
      <c r="T2676" s="408"/>
      <c r="U2676" s="408"/>
      <c r="V2676" s="421"/>
      <c r="W2676" s="421"/>
      <c r="X2676" s="421"/>
      <c r="Y2676" s="421"/>
      <c r="Z2676" s="421"/>
      <c r="AA2676" s="421"/>
      <c r="AB2676" s="421"/>
      <c r="AC2676" s="421"/>
      <c r="AD2676" s="421"/>
      <c r="AE2676" s="421"/>
      <c r="AF2676" s="421"/>
      <c r="AG2676" s="421"/>
      <c r="AH2676" s="421"/>
      <c r="AI2676" s="421"/>
      <c r="AJ2676" s="421"/>
      <c r="AK2676" s="421"/>
      <c r="AL2676" s="421"/>
    </row>
    <row r="2677" spans="1:38" hidden="1">
      <c r="A2677" s="408"/>
      <c r="B2677" s="83" t="e">
        <f t="array" ref="B2677">SUM(--(FREQUENCY(IF(C$2:C$3072=C2677, MATCH(D$2:D$3072, D$2:D$3072, 0)), ROW(D$2:D$3072)-ROW(D$2)+1) &gt; 0))</f>
        <v>#N/A</v>
      </c>
      <c r="C2677" s="408"/>
      <c r="D2677" s="408"/>
      <c r="E2677" s="408"/>
      <c r="F2677" s="408"/>
      <c r="G2677" s="408"/>
      <c r="H2677" s="408"/>
      <c r="I2677" s="408"/>
      <c r="J2677" s="408"/>
      <c r="K2677" s="408"/>
      <c r="L2677" s="408"/>
      <c r="M2677" s="408"/>
      <c r="N2677" s="408" t="str">
        <f t="shared" si="468"/>
        <v/>
      </c>
      <c r="O2677" s="408"/>
      <c r="P2677" s="408"/>
      <c r="Q2677" s="408"/>
      <c r="R2677" s="408"/>
      <c r="S2677" s="408"/>
      <c r="T2677" s="408"/>
      <c r="U2677" s="408"/>
      <c r="V2677" s="421"/>
      <c r="W2677" s="421"/>
      <c r="X2677" s="421"/>
      <c r="Y2677" s="421"/>
      <c r="Z2677" s="421"/>
      <c r="AA2677" s="421"/>
      <c r="AB2677" s="421"/>
      <c r="AC2677" s="421"/>
      <c r="AD2677" s="421"/>
      <c r="AE2677" s="421"/>
      <c r="AF2677" s="421"/>
      <c r="AG2677" s="421"/>
      <c r="AH2677" s="421"/>
      <c r="AI2677" s="421"/>
      <c r="AJ2677" s="421"/>
      <c r="AK2677" s="421"/>
      <c r="AL2677" s="421"/>
    </row>
    <row r="2678" spans="1:38" hidden="1">
      <c r="A2678" s="408"/>
      <c r="B2678" s="83" t="e">
        <f t="array" ref="B2678">SUM(--(FREQUENCY(IF(C$2:C$3072=C2678, MATCH(D$2:D$3072, D$2:D$3072, 0)), ROW(D$2:D$3072)-ROW(D$2)+1) &gt; 0))</f>
        <v>#N/A</v>
      </c>
      <c r="C2678" s="408"/>
      <c r="D2678" s="408"/>
      <c r="E2678" s="408"/>
      <c r="F2678" s="408"/>
      <c r="G2678" s="408"/>
      <c r="H2678" s="408"/>
      <c r="I2678" s="408"/>
      <c r="J2678" s="408"/>
      <c r="K2678" s="408"/>
      <c r="L2678" s="408"/>
      <c r="M2678" s="408"/>
      <c r="N2678" s="408" t="str">
        <f t="shared" si="468"/>
        <v/>
      </c>
      <c r="O2678" s="408"/>
      <c r="P2678" s="408"/>
      <c r="Q2678" s="408"/>
      <c r="R2678" s="408"/>
      <c r="S2678" s="408"/>
      <c r="T2678" s="408"/>
      <c r="U2678" s="408"/>
      <c r="V2678" s="421"/>
      <c r="W2678" s="421"/>
      <c r="X2678" s="421"/>
      <c r="Y2678" s="421"/>
      <c r="Z2678" s="421"/>
      <c r="AA2678" s="421"/>
      <c r="AB2678" s="421"/>
      <c r="AC2678" s="421"/>
      <c r="AD2678" s="421"/>
      <c r="AE2678" s="421"/>
      <c r="AF2678" s="421"/>
      <c r="AG2678" s="421"/>
      <c r="AH2678" s="421"/>
      <c r="AI2678" s="421"/>
      <c r="AJ2678" s="421"/>
      <c r="AK2678" s="421"/>
      <c r="AL2678" s="421"/>
    </row>
    <row r="2679" spans="1:38" hidden="1">
      <c r="A2679" s="408"/>
      <c r="B2679" s="83" t="e">
        <f t="array" ref="B2679">SUM(--(FREQUENCY(IF(C$2:C$3072=C2679, MATCH(D$2:D$3072, D$2:D$3072, 0)), ROW(D$2:D$3072)-ROW(D$2)+1) &gt; 0))</f>
        <v>#N/A</v>
      </c>
      <c r="C2679" s="408"/>
      <c r="D2679" s="408"/>
      <c r="E2679" s="408"/>
      <c r="F2679" s="408"/>
      <c r="G2679" s="408"/>
      <c r="H2679" s="408"/>
      <c r="I2679" s="408"/>
      <c r="J2679" s="408"/>
      <c r="K2679" s="408"/>
      <c r="L2679" s="408"/>
      <c r="M2679" s="408"/>
      <c r="N2679" s="408" t="str">
        <f t="shared" si="468"/>
        <v/>
      </c>
      <c r="O2679" s="408"/>
      <c r="P2679" s="408"/>
      <c r="Q2679" s="408"/>
      <c r="R2679" s="408"/>
      <c r="S2679" s="408"/>
      <c r="T2679" s="408"/>
      <c r="U2679" s="408"/>
      <c r="V2679" s="421"/>
      <c r="W2679" s="421"/>
      <c r="X2679" s="421"/>
      <c r="Y2679" s="421"/>
      <c r="Z2679" s="421"/>
      <c r="AA2679" s="421"/>
      <c r="AB2679" s="421"/>
      <c r="AC2679" s="421"/>
      <c r="AD2679" s="421"/>
      <c r="AE2679" s="421"/>
      <c r="AF2679" s="421"/>
      <c r="AG2679" s="421"/>
      <c r="AH2679" s="421"/>
      <c r="AI2679" s="421"/>
      <c r="AJ2679" s="421"/>
      <c r="AK2679" s="421"/>
      <c r="AL2679" s="421"/>
    </row>
    <row r="2680" spans="1:38" hidden="1">
      <c r="A2680" s="408"/>
      <c r="B2680" s="83" t="e">
        <f t="array" ref="B2680">SUM(--(FREQUENCY(IF(C$2:C$3072=C2680, MATCH(D$2:D$3072, D$2:D$3072, 0)), ROW(D$2:D$3072)-ROW(D$2)+1) &gt; 0))</f>
        <v>#N/A</v>
      </c>
      <c r="C2680" s="408"/>
      <c r="D2680" s="408"/>
      <c r="E2680" s="408"/>
      <c r="F2680" s="408"/>
      <c r="G2680" s="408"/>
      <c r="H2680" s="408"/>
      <c r="I2680" s="408"/>
      <c r="J2680" s="408"/>
      <c r="K2680" s="408"/>
      <c r="L2680" s="408"/>
      <c r="M2680" s="408"/>
      <c r="N2680" s="408" t="str">
        <f t="shared" si="468"/>
        <v/>
      </c>
      <c r="O2680" s="408"/>
      <c r="P2680" s="408"/>
      <c r="Q2680" s="408"/>
      <c r="R2680" s="408"/>
      <c r="S2680" s="408"/>
      <c r="T2680" s="408"/>
      <c r="U2680" s="408"/>
      <c r="V2680" s="421"/>
      <c r="W2680" s="421"/>
      <c r="X2680" s="421"/>
      <c r="Y2680" s="421"/>
      <c r="Z2680" s="421"/>
      <c r="AA2680" s="421"/>
      <c r="AB2680" s="421"/>
      <c r="AC2680" s="421"/>
      <c r="AD2680" s="421"/>
      <c r="AE2680" s="421"/>
      <c r="AF2680" s="421"/>
      <c r="AG2680" s="421"/>
      <c r="AH2680" s="421"/>
      <c r="AI2680" s="421"/>
      <c r="AJ2680" s="421"/>
      <c r="AK2680" s="421"/>
      <c r="AL2680" s="421"/>
    </row>
    <row r="2681" spans="1:38" hidden="1">
      <c r="A2681" s="408"/>
      <c r="B2681" s="83" t="e">
        <f t="array" ref="B2681">SUM(--(FREQUENCY(IF(C$2:C$3072=C2681, MATCH(D$2:D$3072, D$2:D$3072, 0)), ROW(D$2:D$3072)-ROW(D$2)+1) &gt; 0))</f>
        <v>#N/A</v>
      </c>
      <c r="C2681" s="408"/>
      <c r="D2681" s="408"/>
      <c r="E2681" s="408"/>
      <c r="F2681" s="408"/>
      <c r="G2681" s="408"/>
      <c r="H2681" s="408"/>
      <c r="I2681" s="408"/>
      <c r="J2681" s="408"/>
      <c r="K2681" s="408"/>
      <c r="L2681" s="408"/>
      <c r="M2681" s="408"/>
      <c r="N2681" s="408" t="str">
        <f t="shared" si="468"/>
        <v/>
      </c>
      <c r="O2681" s="408"/>
      <c r="P2681" s="408"/>
      <c r="Q2681" s="408"/>
      <c r="R2681" s="408"/>
      <c r="S2681" s="408"/>
      <c r="T2681" s="408"/>
      <c r="U2681" s="408"/>
      <c r="V2681" s="421"/>
      <c r="W2681" s="421"/>
      <c r="X2681" s="421"/>
      <c r="Y2681" s="421"/>
      <c r="Z2681" s="421"/>
      <c r="AA2681" s="421"/>
      <c r="AB2681" s="421"/>
      <c r="AC2681" s="421"/>
      <c r="AD2681" s="421"/>
      <c r="AE2681" s="421"/>
      <c r="AF2681" s="421"/>
      <c r="AG2681" s="421"/>
      <c r="AH2681" s="421"/>
      <c r="AI2681" s="421"/>
      <c r="AJ2681" s="421"/>
      <c r="AK2681" s="421"/>
      <c r="AL2681" s="421"/>
    </row>
    <row r="2682" spans="1:38" hidden="1">
      <c r="A2682" s="408"/>
      <c r="B2682" s="83" t="e">
        <f t="array" ref="B2682">SUM(--(FREQUENCY(IF(C$2:C$3072=C2682, MATCH(D$2:D$3072, D$2:D$3072, 0)), ROW(D$2:D$3072)-ROW(D$2)+1) &gt; 0))</f>
        <v>#N/A</v>
      </c>
      <c r="C2682" s="408"/>
      <c r="D2682" s="408"/>
      <c r="E2682" s="408"/>
      <c r="F2682" s="408"/>
      <c r="G2682" s="408"/>
      <c r="H2682" s="408"/>
      <c r="I2682" s="408"/>
      <c r="J2682" s="408"/>
      <c r="K2682" s="408"/>
      <c r="L2682" s="408"/>
      <c r="M2682" s="408"/>
      <c r="N2682" s="408" t="str">
        <f t="shared" si="468"/>
        <v/>
      </c>
      <c r="O2682" s="408"/>
      <c r="P2682" s="408"/>
      <c r="Q2682" s="408"/>
      <c r="R2682" s="408"/>
      <c r="S2682" s="408"/>
      <c r="T2682" s="408"/>
      <c r="U2682" s="408"/>
      <c r="V2682" s="421"/>
      <c r="W2682" s="421"/>
      <c r="X2682" s="421"/>
      <c r="Y2682" s="421"/>
      <c r="Z2682" s="421"/>
      <c r="AA2682" s="421"/>
      <c r="AB2682" s="421"/>
      <c r="AC2682" s="421"/>
      <c r="AD2682" s="421"/>
      <c r="AE2682" s="421"/>
      <c r="AF2682" s="421"/>
      <c r="AG2682" s="421"/>
      <c r="AH2682" s="421"/>
      <c r="AI2682" s="421"/>
      <c r="AJ2682" s="421"/>
      <c r="AK2682" s="421"/>
      <c r="AL2682" s="421"/>
    </row>
    <row r="2683" spans="1:38" hidden="1">
      <c r="A2683" s="408"/>
      <c r="B2683" s="83" t="e">
        <f t="array" ref="B2683">SUM(--(FREQUENCY(IF(C$2:C$3072=C2683, MATCH(D$2:D$3072, D$2:D$3072, 0)), ROW(D$2:D$3072)-ROW(D$2)+1) &gt; 0))</f>
        <v>#N/A</v>
      </c>
      <c r="C2683" s="408"/>
      <c r="D2683" s="408"/>
      <c r="E2683" s="408"/>
      <c r="F2683" s="408"/>
      <c r="G2683" s="408"/>
      <c r="H2683" s="408"/>
      <c r="I2683" s="408"/>
      <c r="J2683" s="408"/>
      <c r="K2683" s="408"/>
      <c r="L2683" s="408"/>
      <c r="M2683" s="408"/>
      <c r="N2683" s="408" t="str">
        <f t="shared" si="468"/>
        <v/>
      </c>
      <c r="O2683" s="408"/>
      <c r="P2683" s="408"/>
      <c r="Q2683" s="408"/>
      <c r="R2683" s="408"/>
      <c r="S2683" s="408"/>
      <c r="T2683" s="408"/>
      <c r="U2683" s="408"/>
      <c r="V2683" s="421"/>
      <c r="W2683" s="421"/>
      <c r="X2683" s="421"/>
      <c r="Y2683" s="421"/>
      <c r="Z2683" s="421"/>
      <c r="AA2683" s="421"/>
      <c r="AB2683" s="421"/>
      <c r="AC2683" s="421"/>
      <c r="AD2683" s="421"/>
      <c r="AE2683" s="421"/>
      <c r="AF2683" s="421"/>
      <c r="AG2683" s="421"/>
      <c r="AH2683" s="421"/>
      <c r="AI2683" s="421"/>
      <c r="AJ2683" s="421"/>
      <c r="AK2683" s="421"/>
      <c r="AL2683" s="421"/>
    </row>
    <row r="2684" spans="1:38" hidden="1">
      <c r="A2684" s="408"/>
      <c r="B2684" s="83" t="e">
        <f t="array" ref="B2684">SUM(--(FREQUENCY(IF(C$2:C$3072=C2684, MATCH(D$2:D$3072, D$2:D$3072, 0)), ROW(D$2:D$3072)-ROW(D$2)+1) &gt; 0))</f>
        <v>#N/A</v>
      </c>
      <c r="C2684" s="408"/>
      <c r="D2684" s="408"/>
      <c r="E2684" s="408"/>
      <c r="F2684" s="408"/>
      <c r="G2684" s="408"/>
      <c r="H2684" s="408"/>
      <c r="I2684" s="408"/>
      <c r="J2684" s="408"/>
      <c r="K2684" s="408"/>
      <c r="L2684" s="408"/>
      <c r="M2684" s="408"/>
      <c r="N2684" s="408" t="str">
        <f t="shared" si="468"/>
        <v/>
      </c>
      <c r="O2684" s="408"/>
      <c r="P2684" s="408"/>
      <c r="Q2684" s="408"/>
      <c r="R2684" s="408"/>
      <c r="S2684" s="408"/>
      <c r="T2684" s="408"/>
      <c r="U2684" s="408"/>
      <c r="V2684" s="421"/>
      <c r="W2684" s="421"/>
      <c r="X2684" s="421"/>
      <c r="Y2684" s="421"/>
      <c r="Z2684" s="421"/>
      <c r="AA2684" s="421"/>
      <c r="AB2684" s="421"/>
      <c r="AC2684" s="421"/>
      <c r="AD2684" s="421"/>
      <c r="AE2684" s="421"/>
      <c r="AF2684" s="421"/>
      <c r="AG2684" s="421"/>
      <c r="AH2684" s="421"/>
      <c r="AI2684" s="421"/>
      <c r="AJ2684" s="421"/>
      <c r="AK2684" s="421"/>
      <c r="AL2684" s="421"/>
    </row>
    <row r="2685" spans="1:38" hidden="1">
      <c r="A2685" s="408"/>
      <c r="B2685" s="83" t="e">
        <f t="array" ref="B2685">SUM(--(FREQUENCY(IF(C$2:C$3072=C2685, MATCH(D$2:D$3072, D$2:D$3072, 0)), ROW(D$2:D$3072)-ROW(D$2)+1) &gt; 0))</f>
        <v>#N/A</v>
      </c>
      <c r="C2685" s="408"/>
      <c r="D2685" s="408"/>
      <c r="E2685" s="408"/>
      <c r="F2685" s="408"/>
      <c r="G2685" s="408"/>
      <c r="H2685" s="408"/>
      <c r="I2685" s="408"/>
      <c r="J2685" s="408"/>
      <c r="K2685" s="408"/>
      <c r="L2685" s="408"/>
      <c r="M2685" s="408"/>
      <c r="N2685" s="408" t="str">
        <f t="shared" si="468"/>
        <v/>
      </c>
      <c r="O2685" s="408"/>
      <c r="P2685" s="408"/>
      <c r="Q2685" s="408"/>
      <c r="R2685" s="408"/>
      <c r="S2685" s="408"/>
      <c r="T2685" s="408"/>
      <c r="U2685" s="408"/>
      <c r="V2685" s="421"/>
      <c r="W2685" s="421"/>
      <c r="X2685" s="421"/>
      <c r="Y2685" s="421"/>
      <c r="Z2685" s="421"/>
      <c r="AA2685" s="421"/>
      <c r="AB2685" s="421"/>
      <c r="AC2685" s="421"/>
      <c r="AD2685" s="421"/>
      <c r="AE2685" s="421"/>
      <c r="AF2685" s="421"/>
      <c r="AG2685" s="421"/>
      <c r="AH2685" s="421"/>
      <c r="AI2685" s="421"/>
      <c r="AJ2685" s="421"/>
      <c r="AK2685" s="421"/>
      <c r="AL2685" s="421"/>
    </row>
    <row r="2686" spans="1:38" hidden="1">
      <c r="A2686" s="408"/>
      <c r="B2686" s="83" t="e">
        <f t="array" ref="B2686">SUM(--(FREQUENCY(IF(C$2:C$3072=C2686, MATCH(D$2:D$3072, D$2:D$3072, 0)), ROW(D$2:D$3072)-ROW(D$2)+1) &gt; 0))</f>
        <v>#N/A</v>
      </c>
      <c r="C2686" s="408"/>
      <c r="D2686" s="408"/>
      <c r="E2686" s="408"/>
      <c r="F2686" s="408"/>
      <c r="G2686" s="408"/>
      <c r="H2686" s="408"/>
      <c r="I2686" s="408"/>
      <c r="J2686" s="408"/>
      <c r="K2686" s="408"/>
      <c r="L2686" s="408"/>
      <c r="M2686" s="408"/>
      <c r="N2686" s="408" t="str">
        <f t="shared" si="468"/>
        <v/>
      </c>
      <c r="O2686" s="408"/>
      <c r="P2686" s="408"/>
      <c r="Q2686" s="408"/>
      <c r="R2686" s="408"/>
      <c r="S2686" s="408"/>
      <c r="T2686" s="408"/>
      <c r="U2686" s="408"/>
      <c r="V2686" s="421"/>
      <c r="W2686" s="421"/>
      <c r="X2686" s="421"/>
      <c r="Y2686" s="421"/>
      <c r="Z2686" s="421"/>
      <c r="AA2686" s="421"/>
      <c r="AB2686" s="421"/>
      <c r="AC2686" s="421"/>
      <c r="AD2686" s="421"/>
      <c r="AE2686" s="421"/>
      <c r="AF2686" s="421"/>
      <c r="AG2686" s="421"/>
      <c r="AH2686" s="421"/>
      <c r="AI2686" s="421"/>
      <c r="AJ2686" s="421"/>
      <c r="AK2686" s="421"/>
      <c r="AL2686" s="421"/>
    </row>
    <row r="2687" spans="1:38" hidden="1">
      <c r="A2687" s="408"/>
      <c r="B2687" s="83" t="e">
        <f t="array" ref="B2687">SUM(--(FREQUENCY(IF(C$2:C$3072=C2687, MATCH(D$2:D$3072, D$2:D$3072, 0)), ROW(D$2:D$3072)-ROW(D$2)+1) &gt; 0))</f>
        <v>#N/A</v>
      </c>
      <c r="C2687" s="408"/>
      <c r="D2687" s="408"/>
      <c r="E2687" s="408"/>
      <c r="F2687" s="408"/>
      <c r="G2687" s="408"/>
      <c r="H2687" s="408"/>
      <c r="I2687" s="408"/>
      <c r="J2687" s="408"/>
      <c r="K2687" s="408"/>
      <c r="L2687" s="408"/>
      <c r="M2687" s="408"/>
      <c r="N2687" s="408" t="str">
        <f t="shared" si="468"/>
        <v/>
      </c>
      <c r="O2687" s="408"/>
      <c r="P2687" s="408"/>
      <c r="Q2687" s="408"/>
      <c r="R2687" s="408"/>
      <c r="S2687" s="408"/>
      <c r="T2687" s="408"/>
      <c r="U2687" s="408"/>
      <c r="V2687" s="421"/>
      <c r="W2687" s="421"/>
      <c r="X2687" s="421"/>
      <c r="Y2687" s="421"/>
      <c r="Z2687" s="421"/>
      <c r="AA2687" s="421"/>
      <c r="AB2687" s="421"/>
      <c r="AC2687" s="421"/>
      <c r="AD2687" s="421"/>
      <c r="AE2687" s="421"/>
      <c r="AF2687" s="421"/>
      <c r="AG2687" s="421"/>
      <c r="AH2687" s="421"/>
      <c r="AI2687" s="421"/>
      <c r="AJ2687" s="421"/>
      <c r="AK2687" s="421"/>
      <c r="AL2687" s="421"/>
    </row>
    <row r="2688" spans="1:38" hidden="1">
      <c r="A2688" s="408"/>
      <c r="B2688" s="83" t="e">
        <f t="array" ref="B2688">SUM(--(FREQUENCY(IF(C$2:C$3072=C2688, MATCH(D$2:D$3072, D$2:D$3072, 0)), ROW(D$2:D$3072)-ROW(D$2)+1) &gt; 0))</f>
        <v>#N/A</v>
      </c>
      <c r="C2688" s="408"/>
      <c r="D2688" s="408"/>
      <c r="E2688" s="408"/>
      <c r="F2688" s="408"/>
      <c r="G2688" s="408"/>
      <c r="H2688" s="408"/>
      <c r="I2688" s="408"/>
      <c r="J2688" s="408"/>
      <c r="K2688" s="408"/>
      <c r="L2688" s="408"/>
      <c r="M2688" s="408"/>
      <c r="N2688" s="408" t="str">
        <f t="shared" ref="N2688:N2751" si="469">IF(O2688&lt;&gt;"", "NG", "")</f>
        <v/>
      </c>
      <c r="O2688" s="408"/>
      <c r="P2688" s="408"/>
      <c r="Q2688" s="408"/>
      <c r="R2688" s="408"/>
      <c r="S2688" s="408"/>
      <c r="T2688" s="408"/>
      <c r="U2688" s="408"/>
      <c r="V2688" s="421"/>
      <c r="W2688" s="421"/>
      <c r="X2688" s="421"/>
      <c r="Y2688" s="421"/>
      <c r="Z2688" s="421"/>
      <c r="AA2688" s="421"/>
      <c r="AB2688" s="421"/>
      <c r="AC2688" s="421"/>
      <c r="AD2688" s="421"/>
      <c r="AE2688" s="421"/>
      <c r="AF2688" s="421"/>
      <c r="AG2688" s="421"/>
      <c r="AH2688" s="421"/>
      <c r="AI2688" s="421"/>
      <c r="AJ2688" s="421"/>
      <c r="AK2688" s="421"/>
      <c r="AL2688" s="421"/>
    </row>
    <row r="2689" spans="1:38" hidden="1">
      <c r="A2689" s="408"/>
      <c r="B2689" s="83" t="e">
        <f t="array" ref="B2689">SUM(--(FREQUENCY(IF(C$2:C$3072=C2689, MATCH(D$2:D$3072, D$2:D$3072, 0)), ROW(D$2:D$3072)-ROW(D$2)+1) &gt; 0))</f>
        <v>#N/A</v>
      </c>
      <c r="C2689" s="408"/>
      <c r="D2689" s="408"/>
      <c r="E2689" s="408"/>
      <c r="F2689" s="408"/>
      <c r="G2689" s="408"/>
      <c r="H2689" s="408"/>
      <c r="I2689" s="408"/>
      <c r="J2689" s="408"/>
      <c r="K2689" s="408"/>
      <c r="L2689" s="408"/>
      <c r="M2689" s="408"/>
      <c r="N2689" s="408" t="str">
        <f t="shared" si="469"/>
        <v/>
      </c>
      <c r="O2689" s="408"/>
      <c r="P2689" s="408"/>
      <c r="Q2689" s="408"/>
      <c r="R2689" s="408"/>
      <c r="S2689" s="408"/>
      <c r="T2689" s="408"/>
      <c r="U2689" s="408"/>
      <c r="V2689" s="421"/>
      <c r="W2689" s="421"/>
      <c r="X2689" s="421"/>
      <c r="Y2689" s="421"/>
      <c r="Z2689" s="421"/>
      <c r="AA2689" s="421"/>
      <c r="AB2689" s="421"/>
      <c r="AC2689" s="421"/>
      <c r="AD2689" s="421"/>
      <c r="AE2689" s="421"/>
      <c r="AF2689" s="421"/>
      <c r="AG2689" s="421"/>
      <c r="AH2689" s="421"/>
      <c r="AI2689" s="421"/>
      <c r="AJ2689" s="421"/>
      <c r="AK2689" s="421"/>
      <c r="AL2689" s="421"/>
    </row>
    <row r="2690" spans="1:38" hidden="1">
      <c r="A2690" s="408"/>
      <c r="B2690" s="83" t="e">
        <f t="array" ref="B2690">SUM(--(FREQUENCY(IF(C$2:C$3072=C2690, MATCH(D$2:D$3072, D$2:D$3072, 0)), ROW(D$2:D$3072)-ROW(D$2)+1) &gt; 0))</f>
        <v>#N/A</v>
      </c>
      <c r="C2690" s="408"/>
      <c r="D2690" s="408"/>
      <c r="E2690" s="408"/>
      <c r="F2690" s="408"/>
      <c r="G2690" s="408"/>
      <c r="H2690" s="408"/>
      <c r="I2690" s="408"/>
      <c r="J2690" s="408"/>
      <c r="K2690" s="408"/>
      <c r="L2690" s="408"/>
      <c r="M2690" s="408"/>
      <c r="N2690" s="408" t="str">
        <f t="shared" si="469"/>
        <v/>
      </c>
      <c r="O2690" s="408"/>
      <c r="P2690" s="408"/>
      <c r="Q2690" s="408"/>
      <c r="R2690" s="408"/>
      <c r="S2690" s="408"/>
      <c r="T2690" s="408"/>
      <c r="U2690" s="408"/>
      <c r="V2690" s="421"/>
      <c r="W2690" s="421"/>
      <c r="X2690" s="421"/>
      <c r="Y2690" s="421"/>
      <c r="Z2690" s="421"/>
      <c r="AA2690" s="421"/>
      <c r="AB2690" s="421"/>
      <c r="AC2690" s="421"/>
      <c r="AD2690" s="421"/>
      <c r="AE2690" s="421"/>
      <c r="AF2690" s="421"/>
      <c r="AG2690" s="421"/>
      <c r="AH2690" s="421"/>
      <c r="AI2690" s="421"/>
      <c r="AJ2690" s="421"/>
      <c r="AK2690" s="421"/>
      <c r="AL2690" s="421"/>
    </row>
    <row r="2691" spans="1:38" hidden="1">
      <c r="A2691" s="408"/>
      <c r="B2691" s="83" t="e">
        <f t="array" ref="B2691">SUM(--(FREQUENCY(IF(C$2:C$3072=C2691, MATCH(D$2:D$3072, D$2:D$3072, 0)), ROW(D$2:D$3072)-ROW(D$2)+1) &gt; 0))</f>
        <v>#N/A</v>
      </c>
      <c r="C2691" s="408"/>
      <c r="D2691" s="408"/>
      <c r="E2691" s="408"/>
      <c r="F2691" s="408"/>
      <c r="G2691" s="408"/>
      <c r="H2691" s="408"/>
      <c r="I2691" s="408"/>
      <c r="J2691" s="408"/>
      <c r="K2691" s="408"/>
      <c r="L2691" s="408"/>
      <c r="M2691" s="408"/>
      <c r="N2691" s="408" t="str">
        <f t="shared" si="469"/>
        <v/>
      </c>
      <c r="O2691" s="408"/>
      <c r="P2691" s="408"/>
      <c r="Q2691" s="408"/>
      <c r="R2691" s="408"/>
      <c r="S2691" s="408"/>
      <c r="T2691" s="408"/>
      <c r="U2691" s="408"/>
      <c r="V2691" s="421"/>
      <c r="W2691" s="421"/>
      <c r="X2691" s="421"/>
      <c r="Y2691" s="421"/>
      <c r="Z2691" s="421"/>
      <c r="AA2691" s="421"/>
      <c r="AB2691" s="421"/>
      <c r="AC2691" s="421"/>
      <c r="AD2691" s="421"/>
      <c r="AE2691" s="421"/>
      <c r="AF2691" s="421"/>
      <c r="AG2691" s="421"/>
      <c r="AH2691" s="421"/>
      <c r="AI2691" s="421"/>
      <c r="AJ2691" s="421"/>
      <c r="AK2691" s="421"/>
      <c r="AL2691" s="421"/>
    </row>
    <row r="2692" spans="1:38" hidden="1">
      <c r="A2692" s="408"/>
      <c r="B2692" s="83" t="e">
        <f t="array" ref="B2692">SUM(--(FREQUENCY(IF(C$2:C$3072=C2692, MATCH(D$2:D$3072, D$2:D$3072, 0)), ROW(D$2:D$3072)-ROW(D$2)+1) &gt; 0))</f>
        <v>#N/A</v>
      </c>
      <c r="C2692" s="408"/>
      <c r="D2692" s="408"/>
      <c r="E2692" s="408"/>
      <c r="F2692" s="408"/>
      <c r="G2692" s="408"/>
      <c r="H2692" s="408"/>
      <c r="I2692" s="408"/>
      <c r="J2692" s="408"/>
      <c r="K2692" s="408"/>
      <c r="L2692" s="408"/>
      <c r="M2692" s="408"/>
      <c r="N2692" s="408" t="str">
        <f t="shared" si="469"/>
        <v/>
      </c>
      <c r="O2692" s="408"/>
      <c r="P2692" s="408"/>
      <c r="Q2692" s="408"/>
      <c r="R2692" s="408"/>
      <c r="S2692" s="408"/>
      <c r="T2692" s="408"/>
      <c r="U2692" s="408"/>
      <c r="V2692" s="421"/>
      <c r="W2692" s="421"/>
      <c r="X2692" s="421"/>
      <c r="Y2692" s="421"/>
      <c r="Z2692" s="421"/>
      <c r="AA2692" s="421"/>
      <c r="AB2692" s="421"/>
      <c r="AC2692" s="421"/>
      <c r="AD2692" s="421"/>
      <c r="AE2692" s="421"/>
      <c r="AF2692" s="421"/>
      <c r="AG2692" s="421"/>
      <c r="AH2692" s="421"/>
      <c r="AI2692" s="421"/>
      <c r="AJ2692" s="421"/>
      <c r="AK2692" s="421"/>
      <c r="AL2692" s="421"/>
    </row>
    <row r="2693" spans="1:38" hidden="1">
      <c r="A2693" s="408"/>
      <c r="B2693" s="83" t="e">
        <f t="array" ref="B2693">SUM(--(FREQUENCY(IF(C$2:C$3072=C2693, MATCH(D$2:D$3072, D$2:D$3072, 0)), ROW(D$2:D$3072)-ROW(D$2)+1) &gt; 0))</f>
        <v>#N/A</v>
      </c>
      <c r="C2693" s="408"/>
      <c r="D2693" s="408"/>
      <c r="E2693" s="408"/>
      <c r="F2693" s="408"/>
      <c r="G2693" s="408"/>
      <c r="H2693" s="408"/>
      <c r="I2693" s="408"/>
      <c r="J2693" s="408"/>
      <c r="K2693" s="408"/>
      <c r="L2693" s="408"/>
      <c r="M2693" s="408"/>
      <c r="N2693" s="408" t="str">
        <f t="shared" si="469"/>
        <v/>
      </c>
      <c r="O2693" s="408"/>
      <c r="P2693" s="408"/>
      <c r="Q2693" s="408"/>
      <c r="R2693" s="408"/>
      <c r="S2693" s="408"/>
      <c r="T2693" s="408"/>
      <c r="U2693" s="408"/>
      <c r="V2693" s="421"/>
      <c r="W2693" s="421"/>
      <c r="X2693" s="421"/>
      <c r="Y2693" s="421"/>
      <c r="Z2693" s="421"/>
      <c r="AA2693" s="421"/>
      <c r="AB2693" s="421"/>
      <c r="AC2693" s="421"/>
      <c r="AD2693" s="421"/>
      <c r="AE2693" s="421"/>
      <c r="AF2693" s="421"/>
      <c r="AG2693" s="421"/>
      <c r="AH2693" s="421"/>
      <c r="AI2693" s="421"/>
      <c r="AJ2693" s="421"/>
      <c r="AK2693" s="421"/>
      <c r="AL2693" s="421"/>
    </row>
    <row r="2694" spans="1:38" hidden="1">
      <c r="A2694" s="408"/>
      <c r="B2694" s="83" t="e">
        <f t="array" ref="B2694">SUM(--(FREQUENCY(IF(C$2:C$3072=C2694, MATCH(D$2:D$3072, D$2:D$3072, 0)), ROW(D$2:D$3072)-ROW(D$2)+1) &gt; 0))</f>
        <v>#N/A</v>
      </c>
      <c r="C2694" s="408"/>
      <c r="D2694" s="408"/>
      <c r="E2694" s="408"/>
      <c r="F2694" s="408"/>
      <c r="G2694" s="408"/>
      <c r="H2694" s="408"/>
      <c r="I2694" s="408"/>
      <c r="J2694" s="408"/>
      <c r="K2694" s="408"/>
      <c r="L2694" s="408"/>
      <c r="M2694" s="408"/>
      <c r="N2694" s="408" t="str">
        <f t="shared" si="469"/>
        <v/>
      </c>
      <c r="O2694" s="408"/>
      <c r="P2694" s="408"/>
      <c r="Q2694" s="408"/>
      <c r="R2694" s="408"/>
      <c r="S2694" s="408"/>
      <c r="T2694" s="408"/>
      <c r="U2694" s="408"/>
      <c r="V2694" s="421"/>
      <c r="W2694" s="421"/>
      <c r="X2694" s="421"/>
      <c r="Y2694" s="421"/>
      <c r="Z2694" s="421"/>
      <c r="AA2694" s="421"/>
      <c r="AB2694" s="421"/>
      <c r="AC2694" s="421"/>
      <c r="AD2694" s="421"/>
      <c r="AE2694" s="421"/>
      <c r="AF2694" s="421"/>
      <c r="AG2694" s="421"/>
      <c r="AH2694" s="421"/>
      <c r="AI2694" s="421"/>
      <c r="AJ2694" s="421"/>
      <c r="AK2694" s="421"/>
      <c r="AL2694" s="421"/>
    </row>
    <row r="2695" spans="1:38" hidden="1">
      <c r="A2695" s="408"/>
      <c r="B2695" s="83" t="e">
        <f t="array" ref="B2695">SUM(--(FREQUENCY(IF(C$2:C$3072=C2695, MATCH(D$2:D$3072, D$2:D$3072, 0)), ROW(D$2:D$3072)-ROW(D$2)+1) &gt; 0))</f>
        <v>#N/A</v>
      </c>
      <c r="C2695" s="408"/>
      <c r="D2695" s="408"/>
      <c r="E2695" s="408"/>
      <c r="F2695" s="408"/>
      <c r="G2695" s="408"/>
      <c r="H2695" s="408"/>
      <c r="I2695" s="408"/>
      <c r="J2695" s="408"/>
      <c r="K2695" s="408"/>
      <c r="L2695" s="408"/>
      <c r="M2695" s="408"/>
      <c r="N2695" s="408" t="str">
        <f t="shared" si="469"/>
        <v/>
      </c>
      <c r="O2695" s="408"/>
      <c r="P2695" s="408"/>
      <c r="Q2695" s="408"/>
      <c r="R2695" s="408"/>
      <c r="S2695" s="408"/>
      <c r="T2695" s="408"/>
      <c r="U2695" s="408"/>
      <c r="V2695" s="421"/>
      <c r="W2695" s="421"/>
      <c r="X2695" s="421"/>
      <c r="Y2695" s="421"/>
      <c r="Z2695" s="421"/>
      <c r="AA2695" s="421"/>
      <c r="AB2695" s="421"/>
      <c r="AC2695" s="421"/>
      <c r="AD2695" s="421"/>
      <c r="AE2695" s="421"/>
      <c r="AF2695" s="421"/>
      <c r="AG2695" s="421"/>
      <c r="AH2695" s="421"/>
      <c r="AI2695" s="421"/>
      <c r="AJ2695" s="421"/>
      <c r="AK2695" s="421"/>
      <c r="AL2695" s="421"/>
    </row>
    <row r="2696" spans="1:38" hidden="1">
      <c r="A2696" s="408"/>
      <c r="B2696" s="83" t="e">
        <f t="array" ref="B2696">SUM(--(FREQUENCY(IF(C$2:C$3072=C2696, MATCH(D$2:D$3072, D$2:D$3072, 0)), ROW(D$2:D$3072)-ROW(D$2)+1) &gt; 0))</f>
        <v>#N/A</v>
      </c>
      <c r="C2696" s="408"/>
      <c r="D2696" s="408"/>
      <c r="E2696" s="408"/>
      <c r="F2696" s="408"/>
      <c r="G2696" s="408"/>
      <c r="H2696" s="408"/>
      <c r="I2696" s="408"/>
      <c r="J2696" s="408"/>
      <c r="K2696" s="408"/>
      <c r="L2696" s="408"/>
      <c r="M2696" s="408"/>
      <c r="N2696" s="408" t="str">
        <f t="shared" si="469"/>
        <v/>
      </c>
      <c r="O2696" s="408"/>
      <c r="P2696" s="408"/>
      <c r="Q2696" s="408"/>
      <c r="R2696" s="408"/>
      <c r="S2696" s="408"/>
      <c r="T2696" s="408"/>
      <c r="U2696" s="408"/>
      <c r="V2696" s="421"/>
      <c r="W2696" s="421"/>
      <c r="X2696" s="421"/>
      <c r="Y2696" s="421"/>
      <c r="Z2696" s="421"/>
      <c r="AA2696" s="421"/>
      <c r="AB2696" s="421"/>
      <c r="AC2696" s="421"/>
      <c r="AD2696" s="421"/>
      <c r="AE2696" s="421"/>
      <c r="AF2696" s="421"/>
      <c r="AG2696" s="421"/>
      <c r="AH2696" s="421"/>
      <c r="AI2696" s="421"/>
      <c r="AJ2696" s="421"/>
      <c r="AK2696" s="421"/>
      <c r="AL2696" s="421"/>
    </row>
    <row r="2697" spans="1:38" hidden="1">
      <c r="A2697" s="408"/>
      <c r="B2697" s="83" t="e">
        <f t="array" ref="B2697">SUM(--(FREQUENCY(IF(C$2:C$3072=C2697, MATCH(D$2:D$3072, D$2:D$3072, 0)), ROW(D$2:D$3072)-ROW(D$2)+1) &gt; 0))</f>
        <v>#N/A</v>
      </c>
      <c r="C2697" s="408"/>
      <c r="D2697" s="408"/>
      <c r="E2697" s="408"/>
      <c r="F2697" s="408"/>
      <c r="G2697" s="408"/>
      <c r="H2697" s="408"/>
      <c r="I2697" s="408"/>
      <c r="J2697" s="408"/>
      <c r="K2697" s="408"/>
      <c r="L2697" s="408"/>
      <c r="M2697" s="408"/>
      <c r="N2697" s="408" t="str">
        <f t="shared" si="469"/>
        <v/>
      </c>
      <c r="O2697" s="408"/>
      <c r="P2697" s="408"/>
      <c r="Q2697" s="408"/>
      <c r="R2697" s="408"/>
      <c r="S2697" s="408"/>
      <c r="T2697" s="408"/>
      <c r="U2697" s="408"/>
      <c r="V2697" s="421"/>
      <c r="W2697" s="421"/>
      <c r="X2697" s="421"/>
      <c r="Y2697" s="421"/>
      <c r="Z2697" s="421"/>
      <c r="AA2697" s="421"/>
      <c r="AB2697" s="421"/>
      <c r="AC2697" s="421"/>
      <c r="AD2697" s="421"/>
      <c r="AE2697" s="421"/>
      <c r="AF2697" s="421"/>
      <c r="AG2697" s="421"/>
      <c r="AH2697" s="421"/>
      <c r="AI2697" s="421"/>
      <c r="AJ2697" s="421"/>
      <c r="AK2697" s="421"/>
      <c r="AL2697" s="421"/>
    </row>
    <row r="2698" spans="1:38" hidden="1">
      <c r="A2698" s="408"/>
      <c r="B2698" s="83" t="e">
        <f t="array" ref="B2698">SUM(--(FREQUENCY(IF(C$2:C$3072=C2698, MATCH(D$2:D$3072, D$2:D$3072, 0)), ROW(D$2:D$3072)-ROW(D$2)+1) &gt; 0))</f>
        <v>#N/A</v>
      </c>
      <c r="C2698" s="408"/>
      <c r="D2698" s="408"/>
      <c r="E2698" s="408"/>
      <c r="F2698" s="408"/>
      <c r="G2698" s="408"/>
      <c r="H2698" s="408"/>
      <c r="I2698" s="408"/>
      <c r="J2698" s="408"/>
      <c r="K2698" s="408"/>
      <c r="L2698" s="408"/>
      <c r="M2698" s="408"/>
      <c r="N2698" s="408" t="str">
        <f t="shared" si="469"/>
        <v/>
      </c>
      <c r="O2698" s="408"/>
      <c r="P2698" s="408"/>
      <c r="Q2698" s="408"/>
      <c r="R2698" s="408"/>
      <c r="S2698" s="408"/>
      <c r="T2698" s="408"/>
      <c r="U2698" s="408"/>
      <c r="V2698" s="421"/>
      <c r="W2698" s="421"/>
      <c r="X2698" s="421"/>
      <c r="Y2698" s="421"/>
      <c r="Z2698" s="421"/>
      <c r="AA2698" s="421"/>
      <c r="AB2698" s="421"/>
      <c r="AC2698" s="421"/>
      <c r="AD2698" s="421"/>
      <c r="AE2698" s="421"/>
      <c r="AF2698" s="421"/>
      <c r="AG2698" s="421"/>
      <c r="AH2698" s="421"/>
      <c r="AI2698" s="421"/>
      <c r="AJ2698" s="421"/>
      <c r="AK2698" s="421"/>
      <c r="AL2698" s="421"/>
    </row>
    <row r="2699" spans="1:38" hidden="1">
      <c r="A2699" s="408"/>
      <c r="B2699" s="83" t="e">
        <f t="array" ref="B2699">SUM(--(FREQUENCY(IF(C$2:C$3072=C2699, MATCH(D$2:D$3072, D$2:D$3072, 0)), ROW(D$2:D$3072)-ROW(D$2)+1) &gt; 0))</f>
        <v>#N/A</v>
      </c>
      <c r="C2699" s="408"/>
      <c r="D2699" s="408"/>
      <c r="E2699" s="408"/>
      <c r="F2699" s="408"/>
      <c r="G2699" s="408"/>
      <c r="H2699" s="408"/>
      <c r="I2699" s="408"/>
      <c r="J2699" s="408"/>
      <c r="K2699" s="408"/>
      <c r="L2699" s="408"/>
      <c r="M2699" s="408"/>
      <c r="N2699" s="408" t="str">
        <f t="shared" si="469"/>
        <v/>
      </c>
      <c r="O2699" s="408"/>
      <c r="P2699" s="408"/>
      <c r="Q2699" s="408"/>
      <c r="R2699" s="408"/>
      <c r="S2699" s="408"/>
      <c r="T2699" s="408"/>
      <c r="U2699" s="408"/>
      <c r="V2699" s="421"/>
      <c r="W2699" s="421"/>
      <c r="X2699" s="421"/>
      <c r="Y2699" s="421"/>
      <c r="Z2699" s="421"/>
      <c r="AA2699" s="421"/>
      <c r="AB2699" s="421"/>
      <c r="AC2699" s="421"/>
      <c r="AD2699" s="421"/>
      <c r="AE2699" s="421"/>
      <c r="AF2699" s="421"/>
      <c r="AG2699" s="421"/>
      <c r="AH2699" s="421"/>
      <c r="AI2699" s="421"/>
      <c r="AJ2699" s="421"/>
      <c r="AK2699" s="421"/>
      <c r="AL2699" s="421"/>
    </row>
    <row r="2700" spans="1:38" hidden="1">
      <c r="A2700" s="408"/>
      <c r="B2700" s="83" t="e">
        <f t="array" ref="B2700">SUM(--(FREQUENCY(IF(C$2:C$3072=C2700, MATCH(D$2:D$3072, D$2:D$3072, 0)), ROW(D$2:D$3072)-ROW(D$2)+1) &gt; 0))</f>
        <v>#N/A</v>
      </c>
      <c r="C2700" s="408"/>
      <c r="D2700" s="408"/>
      <c r="E2700" s="408"/>
      <c r="F2700" s="408"/>
      <c r="G2700" s="408"/>
      <c r="H2700" s="408"/>
      <c r="I2700" s="408"/>
      <c r="J2700" s="408"/>
      <c r="K2700" s="408"/>
      <c r="L2700" s="408"/>
      <c r="M2700" s="408"/>
      <c r="N2700" s="408" t="str">
        <f t="shared" si="469"/>
        <v/>
      </c>
      <c r="O2700" s="408"/>
      <c r="P2700" s="408"/>
      <c r="Q2700" s="408"/>
      <c r="R2700" s="408"/>
      <c r="S2700" s="408"/>
      <c r="T2700" s="408"/>
      <c r="U2700" s="408"/>
      <c r="V2700" s="421"/>
      <c r="W2700" s="421"/>
      <c r="X2700" s="421"/>
      <c r="Y2700" s="421"/>
      <c r="Z2700" s="421"/>
      <c r="AA2700" s="421"/>
      <c r="AB2700" s="421"/>
      <c r="AC2700" s="421"/>
      <c r="AD2700" s="421"/>
      <c r="AE2700" s="421"/>
      <c r="AF2700" s="421"/>
      <c r="AG2700" s="421"/>
      <c r="AH2700" s="421"/>
      <c r="AI2700" s="421"/>
      <c r="AJ2700" s="421"/>
      <c r="AK2700" s="421"/>
      <c r="AL2700" s="421"/>
    </row>
    <row r="2701" spans="1:38" hidden="1">
      <c r="A2701" s="408"/>
      <c r="B2701" s="83" t="e">
        <f t="array" ref="B2701">SUM(--(FREQUENCY(IF(C$2:C$3072=C2701, MATCH(D$2:D$3072, D$2:D$3072, 0)), ROW(D$2:D$3072)-ROW(D$2)+1) &gt; 0))</f>
        <v>#N/A</v>
      </c>
      <c r="C2701" s="408"/>
      <c r="D2701" s="408"/>
      <c r="E2701" s="408"/>
      <c r="F2701" s="408"/>
      <c r="G2701" s="408"/>
      <c r="H2701" s="408"/>
      <c r="I2701" s="408"/>
      <c r="J2701" s="408"/>
      <c r="K2701" s="408"/>
      <c r="L2701" s="408"/>
      <c r="M2701" s="408"/>
      <c r="N2701" s="408" t="str">
        <f t="shared" si="469"/>
        <v/>
      </c>
      <c r="O2701" s="408"/>
      <c r="P2701" s="408"/>
      <c r="Q2701" s="408"/>
      <c r="R2701" s="408"/>
      <c r="S2701" s="408"/>
      <c r="T2701" s="408"/>
      <c r="U2701" s="408"/>
      <c r="V2701" s="421"/>
      <c r="W2701" s="421"/>
      <c r="X2701" s="421"/>
      <c r="Y2701" s="421"/>
      <c r="Z2701" s="421"/>
      <c r="AA2701" s="421"/>
      <c r="AB2701" s="421"/>
      <c r="AC2701" s="421"/>
      <c r="AD2701" s="421"/>
      <c r="AE2701" s="421"/>
      <c r="AF2701" s="421"/>
      <c r="AG2701" s="421"/>
      <c r="AH2701" s="421"/>
      <c r="AI2701" s="421"/>
      <c r="AJ2701" s="421"/>
      <c r="AK2701" s="421"/>
      <c r="AL2701" s="421"/>
    </row>
    <row r="2702" spans="1:38" hidden="1">
      <c r="A2702" s="408"/>
      <c r="B2702" s="83" t="e">
        <f t="array" ref="B2702">SUM(--(FREQUENCY(IF(C$2:C$3072=C2702, MATCH(D$2:D$3072, D$2:D$3072, 0)), ROW(D$2:D$3072)-ROW(D$2)+1) &gt; 0))</f>
        <v>#N/A</v>
      </c>
      <c r="C2702" s="408"/>
      <c r="D2702" s="408"/>
      <c r="E2702" s="408"/>
      <c r="F2702" s="408"/>
      <c r="G2702" s="408"/>
      <c r="H2702" s="408"/>
      <c r="I2702" s="408"/>
      <c r="J2702" s="408"/>
      <c r="K2702" s="408"/>
      <c r="L2702" s="408"/>
      <c r="M2702" s="408"/>
      <c r="N2702" s="408" t="str">
        <f t="shared" si="469"/>
        <v/>
      </c>
      <c r="O2702" s="408"/>
      <c r="P2702" s="408"/>
      <c r="Q2702" s="408"/>
      <c r="R2702" s="408"/>
      <c r="S2702" s="408"/>
      <c r="T2702" s="408"/>
      <c r="U2702" s="408"/>
      <c r="V2702" s="421"/>
      <c r="W2702" s="421"/>
      <c r="X2702" s="421"/>
      <c r="Y2702" s="421"/>
      <c r="Z2702" s="421"/>
      <c r="AA2702" s="421"/>
      <c r="AB2702" s="421"/>
      <c r="AC2702" s="421"/>
      <c r="AD2702" s="421"/>
      <c r="AE2702" s="421"/>
      <c r="AF2702" s="421"/>
      <c r="AG2702" s="421"/>
      <c r="AH2702" s="421"/>
      <c r="AI2702" s="421"/>
      <c r="AJ2702" s="421"/>
      <c r="AK2702" s="421"/>
      <c r="AL2702" s="421"/>
    </row>
    <row r="2703" spans="1:38" hidden="1">
      <c r="A2703" s="408"/>
      <c r="B2703" s="83" t="e">
        <f t="array" ref="B2703">SUM(--(FREQUENCY(IF(C$2:C$3072=C2703, MATCH(D$2:D$3072, D$2:D$3072, 0)), ROW(D$2:D$3072)-ROW(D$2)+1) &gt; 0))</f>
        <v>#N/A</v>
      </c>
      <c r="C2703" s="408"/>
      <c r="D2703" s="408"/>
      <c r="E2703" s="408"/>
      <c r="F2703" s="408"/>
      <c r="G2703" s="408"/>
      <c r="H2703" s="408"/>
      <c r="I2703" s="408"/>
      <c r="J2703" s="408"/>
      <c r="K2703" s="408"/>
      <c r="L2703" s="408"/>
      <c r="M2703" s="408"/>
      <c r="N2703" s="408" t="str">
        <f t="shared" si="469"/>
        <v/>
      </c>
      <c r="O2703" s="408"/>
      <c r="P2703" s="408"/>
      <c r="Q2703" s="408"/>
      <c r="R2703" s="408"/>
      <c r="S2703" s="408"/>
      <c r="T2703" s="408"/>
      <c r="U2703" s="408"/>
      <c r="V2703" s="421"/>
      <c r="W2703" s="421"/>
      <c r="X2703" s="421"/>
      <c r="Y2703" s="421"/>
      <c r="Z2703" s="421"/>
      <c r="AA2703" s="421"/>
      <c r="AB2703" s="421"/>
      <c r="AC2703" s="421"/>
      <c r="AD2703" s="421"/>
      <c r="AE2703" s="421"/>
      <c r="AF2703" s="421"/>
      <c r="AG2703" s="421"/>
      <c r="AH2703" s="421"/>
      <c r="AI2703" s="421"/>
      <c r="AJ2703" s="421"/>
      <c r="AK2703" s="421"/>
      <c r="AL2703" s="421"/>
    </row>
    <row r="2704" spans="1:38" hidden="1">
      <c r="A2704" s="408"/>
      <c r="B2704" s="83" t="e">
        <f t="array" ref="B2704">SUM(--(FREQUENCY(IF(C$2:C$3072=C2704, MATCH(D$2:D$3072, D$2:D$3072, 0)), ROW(D$2:D$3072)-ROW(D$2)+1) &gt; 0))</f>
        <v>#N/A</v>
      </c>
      <c r="C2704" s="408"/>
      <c r="D2704" s="408"/>
      <c r="E2704" s="408"/>
      <c r="F2704" s="408"/>
      <c r="G2704" s="408"/>
      <c r="H2704" s="408"/>
      <c r="I2704" s="408"/>
      <c r="J2704" s="408"/>
      <c r="K2704" s="408"/>
      <c r="L2704" s="408"/>
      <c r="M2704" s="408"/>
      <c r="N2704" s="408" t="str">
        <f t="shared" si="469"/>
        <v/>
      </c>
      <c r="O2704" s="408"/>
      <c r="P2704" s="408"/>
      <c r="Q2704" s="408"/>
      <c r="R2704" s="408"/>
      <c r="S2704" s="408"/>
      <c r="T2704" s="408"/>
      <c r="U2704" s="408"/>
      <c r="V2704" s="421"/>
      <c r="W2704" s="421"/>
      <c r="X2704" s="421"/>
      <c r="Y2704" s="421"/>
      <c r="Z2704" s="421"/>
      <c r="AA2704" s="421"/>
      <c r="AB2704" s="421"/>
      <c r="AC2704" s="421"/>
      <c r="AD2704" s="421"/>
      <c r="AE2704" s="421"/>
      <c r="AF2704" s="421"/>
      <c r="AG2704" s="421"/>
      <c r="AH2704" s="421"/>
      <c r="AI2704" s="421"/>
      <c r="AJ2704" s="421"/>
      <c r="AK2704" s="421"/>
      <c r="AL2704" s="421"/>
    </row>
    <row r="2705" spans="1:38" hidden="1">
      <c r="A2705" s="408"/>
      <c r="B2705" s="83" t="e">
        <f t="array" ref="B2705">SUM(--(FREQUENCY(IF(C$2:C$3072=C2705, MATCH(D$2:D$3072, D$2:D$3072, 0)), ROW(D$2:D$3072)-ROW(D$2)+1) &gt; 0))</f>
        <v>#N/A</v>
      </c>
      <c r="C2705" s="408"/>
      <c r="D2705" s="408"/>
      <c r="E2705" s="408"/>
      <c r="F2705" s="408"/>
      <c r="G2705" s="408"/>
      <c r="H2705" s="408"/>
      <c r="I2705" s="408"/>
      <c r="J2705" s="408"/>
      <c r="K2705" s="408"/>
      <c r="L2705" s="408"/>
      <c r="M2705" s="408"/>
      <c r="N2705" s="408" t="str">
        <f t="shared" si="469"/>
        <v/>
      </c>
      <c r="O2705" s="408"/>
      <c r="P2705" s="408"/>
      <c r="Q2705" s="408"/>
      <c r="R2705" s="408"/>
      <c r="S2705" s="408"/>
      <c r="T2705" s="408"/>
      <c r="U2705" s="408"/>
      <c r="V2705" s="421"/>
      <c r="W2705" s="421"/>
      <c r="X2705" s="421"/>
      <c r="Y2705" s="421"/>
      <c r="Z2705" s="421"/>
      <c r="AA2705" s="421"/>
      <c r="AB2705" s="421"/>
      <c r="AC2705" s="421"/>
      <c r="AD2705" s="421"/>
      <c r="AE2705" s="421"/>
      <c r="AF2705" s="421"/>
      <c r="AG2705" s="421"/>
      <c r="AH2705" s="421"/>
      <c r="AI2705" s="421"/>
      <c r="AJ2705" s="421"/>
      <c r="AK2705" s="421"/>
      <c r="AL2705" s="421"/>
    </row>
    <row r="2706" spans="1:38" hidden="1">
      <c r="A2706" s="408"/>
      <c r="B2706" s="83" t="e">
        <f t="array" ref="B2706">SUM(--(FREQUENCY(IF(C$2:C$3072=C2706, MATCH(D$2:D$3072, D$2:D$3072, 0)), ROW(D$2:D$3072)-ROW(D$2)+1) &gt; 0))</f>
        <v>#N/A</v>
      </c>
      <c r="C2706" s="408"/>
      <c r="D2706" s="408"/>
      <c r="E2706" s="408"/>
      <c r="F2706" s="408"/>
      <c r="G2706" s="408"/>
      <c r="H2706" s="408"/>
      <c r="I2706" s="408"/>
      <c r="J2706" s="408"/>
      <c r="K2706" s="408"/>
      <c r="L2706" s="408"/>
      <c r="M2706" s="408"/>
      <c r="N2706" s="408" t="str">
        <f t="shared" si="469"/>
        <v/>
      </c>
      <c r="O2706" s="408"/>
      <c r="P2706" s="408"/>
      <c r="Q2706" s="408"/>
      <c r="R2706" s="408"/>
      <c r="S2706" s="408"/>
      <c r="T2706" s="408"/>
      <c r="U2706" s="408"/>
      <c r="V2706" s="421"/>
      <c r="W2706" s="421"/>
      <c r="X2706" s="421"/>
      <c r="Y2706" s="421"/>
      <c r="Z2706" s="421"/>
      <c r="AA2706" s="421"/>
      <c r="AB2706" s="421"/>
      <c r="AC2706" s="421"/>
      <c r="AD2706" s="421"/>
      <c r="AE2706" s="421"/>
      <c r="AF2706" s="421"/>
      <c r="AG2706" s="421"/>
      <c r="AH2706" s="421"/>
      <c r="AI2706" s="421"/>
      <c r="AJ2706" s="421"/>
      <c r="AK2706" s="421"/>
      <c r="AL2706" s="421"/>
    </row>
    <row r="2707" spans="1:38" hidden="1">
      <c r="A2707" s="408"/>
      <c r="B2707" s="83" t="e">
        <f t="array" ref="B2707">SUM(--(FREQUENCY(IF(C$2:C$3072=C2707, MATCH(D$2:D$3072, D$2:D$3072, 0)), ROW(D$2:D$3072)-ROW(D$2)+1) &gt; 0))</f>
        <v>#N/A</v>
      </c>
      <c r="C2707" s="408"/>
      <c r="D2707" s="408"/>
      <c r="E2707" s="408"/>
      <c r="F2707" s="408"/>
      <c r="G2707" s="408"/>
      <c r="H2707" s="408"/>
      <c r="I2707" s="408"/>
      <c r="J2707" s="408"/>
      <c r="K2707" s="408"/>
      <c r="L2707" s="408"/>
      <c r="M2707" s="408"/>
      <c r="N2707" s="408" t="str">
        <f t="shared" si="469"/>
        <v/>
      </c>
      <c r="O2707" s="408"/>
      <c r="P2707" s="408"/>
      <c r="Q2707" s="408"/>
      <c r="R2707" s="408"/>
      <c r="S2707" s="408"/>
      <c r="T2707" s="408"/>
      <c r="U2707" s="408"/>
      <c r="V2707" s="421"/>
      <c r="W2707" s="421"/>
      <c r="X2707" s="421"/>
      <c r="Y2707" s="421"/>
      <c r="Z2707" s="421"/>
      <c r="AA2707" s="421"/>
      <c r="AB2707" s="421"/>
      <c r="AC2707" s="421"/>
      <c r="AD2707" s="421"/>
      <c r="AE2707" s="421"/>
      <c r="AF2707" s="421"/>
      <c r="AG2707" s="421"/>
      <c r="AH2707" s="421"/>
      <c r="AI2707" s="421"/>
      <c r="AJ2707" s="421"/>
      <c r="AK2707" s="421"/>
      <c r="AL2707" s="421"/>
    </row>
    <row r="2708" spans="1:38" hidden="1">
      <c r="A2708" s="408"/>
      <c r="B2708" s="83" t="e">
        <f t="array" ref="B2708">SUM(--(FREQUENCY(IF(C$2:C$3072=C2708, MATCH(D$2:D$3072, D$2:D$3072, 0)), ROW(D$2:D$3072)-ROW(D$2)+1) &gt; 0))</f>
        <v>#N/A</v>
      </c>
      <c r="C2708" s="408"/>
      <c r="D2708" s="408"/>
      <c r="E2708" s="408"/>
      <c r="F2708" s="408"/>
      <c r="G2708" s="408"/>
      <c r="H2708" s="408"/>
      <c r="I2708" s="408"/>
      <c r="J2708" s="408"/>
      <c r="K2708" s="408"/>
      <c r="L2708" s="408"/>
      <c r="M2708" s="408"/>
      <c r="N2708" s="408" t="str">
        <f t="shared" si="469"/>
        <v/>
      </c>
      <c r="O2708" s="408"/>
      <c r="P2708" s="408"/>
      <c r="Q2708" s="408"/>
      <c r="R2708" s="408"/>
      <c r="S2708" s="408"/>
      <c r="T2708" s="408"/>
      <c r="U2708" s="408"/>
      <c r="V2708" s="421"/>
      <c r="W2708" s="421"/>
      <c r="X2708" s="421"/>
      <c r="Y2708" s="421"/>
      <c r="Z2708" s="421"/>
      <c r="AA2708" s="421"/>
      <c r="AB2708" s="421"/>
      <c r="AC2708" s="421"/>
      <c r="AD2708" s="421"/>
      <c r="AE2708" s="421"/>
      <c r="AF2708" s="421"/>
      <c r="AG2708" s="421"/>
      <c r="AH2708" s="421"/>
      <c r="AI2708" s="421"/>
      <c r="AJ2708" s="421"/>
      <c r="AK2708" s="421"/>
      <c r="AL2708" s="421"/>
    </row>
    <row r="2709" spans="1:38" hidden="1">
      <c r="A2709" s="408"/>
      <c r="B2709" s="83" t="e">
        <f t="array" ref="B2709">SUM(--(FREQUENCY(IF(C$2:C$3072=C2709, MATCH(D$2:D$3072, D$2:D$3072, 0)), ROW(D$2:D$3072)-ROW(D$2)+1) &gt; 0))</f>
        <v>#N/A</v>
      </c>
      <c r="C2709" s="408"/>
      <c r="D2709" s="408"/>
      <c r="E2709" s="408"/>
      <c r="F2709" s="408"/>
      <c r="G2709" s="408"/>
      <c r="H2709" s="408"/>
      <c r="I2709" s="408"/>
      <c r="J2709" s="408"/>
      <c r="K2709" s="408"/>
      <c r="L2709" s="408"/>
      <c r="M2709" s="408"/>
      <c r="N2709" s="408" t="str">
        <f t="shared" si="469"/>
        <v/>
      </c>
      <c r="O2709" s="408"/>
      <c r="P2709" s="408"/>
      <c r="Q2709" s="408"/>
      <c r="R2709" s="408"/>
      <c r="S2709" s="408"/>
      <c r="T2709" s="408"/>
      <c r="U2709" s="408"/>
      <c r="V2709" s="421"/>
      <c r="W2709" s="421"/>
      <c r="X2709" s="421"/>
      <c r="Y2709" s="421"/>
      <c r="Z2709" s="421"/>
      <c r="AA2709" s="421"/>
      <c r="AB2709" s="421"/>
      <c r="AC2709" s="421"/>
      <c r="AD2709" s="421"/>
      <c r="AE2709" s="421"/>
      <c r="AF2709" s="421"/>
      <c r="AG2709" s="421"/>
      <c r="AH2709" s="421"/>
      <c r="AI2709" s="421"/>
      <c r="AJ2709" s="421"/>
      <c r="AK2709" s="421"/>
      <c r="AL2709" s="421"/>
    </row>
    <row r="2710" spans="1:38" hidden="1">
      <c r="A2710" s="408"/>
      <c r="B2710" s="83" t="e">
        <f t="array" ref="B2710">SUM(--(FREQUENCY(IF(C$2:C$3072=C2710, MATCH(D$2:D$3072, D$2:D$3072, 0)), ROW(D$2:D$3072)-ROW(D$2)+1) &gt; 0))</f>
        <v>#N/A</v>
      </c>
      <c r="C2710" s="408"/>
      <c r="D2710" s="408"/>
      <c r="E2710" s="408"/>
      <c r="F2710" s="408"/>
      <c r="G2710" s="408"/>
      <c r="H2710" s="408"/>
      <c r="I2710" s="408"/>
      <c r="J2710" s="408"/>
      <c r="K2710" s="408"/>
      <c r="L2710" s="408"/>
      <c r="M2710" s="408"/>
      <c r="N2710" s="408" t="str">
        <f t="shared" si="469"/>
        <v/>
      </c>
      <c r="O2710" s="408"/>
      <c r="P2710" s="408"/>
      <c r="Q2710" s="408"/>
      <c r="R2710" s="408"/>
      <c r="S2710" s="408"/>
      <c r="T2710" s="408"/>
      <c r="U2710" s="408"/>
      <c r="V2710" s="421"/>
      <c r="W2710" s="421"/>
      <c r="X2710" s="421"/>
      <c r="Y2710" s="421"/>
      <c r="Z2710" s="421"/>
      <c r="AA2710" s="421"/>
      <c r="AB2710" s="421"/>
      <c r="AC2710" s="421"/>
      <c r="AD2710" s="421"/>
      <c r="AE2710" s="421"/>
      <c r="AF2710" s="421"/>
      <c r="AG2710" s="421"/>
      <c r="AH2710" s="421"/>
      <c r="AI2710" s="421"/>
      <c r="AJ2710" s="421"/>
      <c r="AK2710" s="421"/>
      <c r="AL2710" s="421"/>
    </row>
    <row r="2711" spans="1:38" hidden="1">
      <c r="A2711" s="408"/>
      <c r="B2711" s="83" t="e">
        <f t="array" ref="B2711">SUM(--(FREQUENCY(IF(C$2:C$3072=C2711, MATCH(D$2:D$3072, D$2:D$3072, 0)), ROW(D$2:D$3072)-ROW(D$2)+1) &gt; 0))</f>
        <v>#N/A</v>
      </c>
      <c r="C2711" s="408"/>
      <c r="D2711" s="408"/>
      <c r="E2711" s="408"/>
      <c r="F2711" s="408"/>
      <c r="G2711" s="408"/>
      <c r="H2711" s="408"/>
      <c r="I2711" s="408"/>
      <c r="J2711" s="408"/>
      <c r="K2711" s="408"/>
      <c r="L2711" s="408"/>
      <c r="M2711" s="408"/>
      <c r="N2711" s="408" t="str">
        <f t="shared" si="469"/>
        <v/>
      </c>
      <c r="O2711" s="408"/>
      <c r="P2711" s="408"/>
      <c r="Q2711" s="408"/>
      <c r="R2711" s="408"/>
      <c r="S2711" s="408"/>
      <c r="T2711" s="408"/>
      <c r="U2711" s="408"/>
      <c r="V2711" s="421"/>
      <c r="W2711" s="421"/>
      <c r="X2711" s="421"/>
      <c r="Y2711" s="421"/>
      <c r="Z2711" s="421"/>
      <c r="AA2711" s="421"/>
      <c r="AB2711" s="421"/>
      <c r="AC2711" s="421"/>
      <c r="AD2711" s="421"/>
      <c r="AE2711" s="421"/>
      <c r="AF2711" s="421"/>
      <c r="AG2711" s="421"/>
      <c r="AH2711" s="421"/>
      <c r="AI2711" s="421"/>
      <c r="AJ2711" s="421"/>
      <c r="AK2711" s="421"/>
      <c r="AL2711" s="421"/>
    </row>
    <row r="2712" spans="1:38" hidden="1">
      <c r="A2712" s="408"/>
      <c r="B2712" s="83" t="e">
        <f t="array" ref="B2712">SUM(--(FREQUENCY(IF(C$2:C$3072=C2712, MATCH(D$2:D$3072, D$2:D$3072, 0)), ROW(D$2:D$3072)-ROW(D$2)+1) &gt; 0))</f>
        <v>#N/A</v>
      </c>
      <c r="C2712" s="408"/>
      <c r="D2712" s="408"/>
      <c r="E2712" s="408"/>
      <c r="F2712" s="408"/>
      <c r="G2712" s="408"/>
      <c r="H2712" s="408"/>
      <c r="I2712" s="408"/>
      <c r="J2712" s="408"/>
      <c r="K2712" s="408"/>
      <c r="L2712" s="408"/>
      <c r="M2712" s="408"/>
      <c r="N2712" s="408" t="str">
        <f t="shared" si="469"/>
        <v/>
      </c>
      <c r="O2712" s="408"/>
      <c r="P2712" s="408"/>
      <c r="Q2712" s="408"/>
      <c r="R2712" s="408"/>
      <c r="S2712" s="408"/>
      <c r="T2712" s="408"/>
      <c r="U2712" s="408"/>
      <c r="V2712" s="421"/>
      <c r="W2712" s="421"/>
      <c r="X2712" s="421"/>
      <c r="Y2712" s="421"/>
      <c r="Z2712" s="421"/>
      <c r="AA2712" s="421"/>
      <c r="AB2712" s="421"/>
      <c r="AC2712" s="421"/>
      <c r="AD2712" s="421"/>
      <c r="AE2712" s="421"/>
      <c r="AF2712" s="421"/>
      <c r="AG2712" s="421"/>
      <c r="AH2712" s="421"/>
      <c r="AI2712" s="421"/>
      <c r="AJ2712" s="421"/>
      <c r="AK2712" s="421"/>
      <c r="AL2712" s="421"/>
    </row>
    <row r="2713" spans="1:38" hidden="1">
      <c r="A2713" s="408"/>
      <c r="B2713" s="83" t="e">
        <f t="array" ref="B2713">SUM(--(FREQUENCY(IF(C$2:C$3072=C2713, MATCH(D$2:D$3072, D$2:D$3072, 0)), ROW(D$2:D$3072)-ROW(D$2)+1) &gt; 0))</f>
        <v>#N/A</v>
      </c>
      <c r="C2713" s="408"/>
      <c r="D2713" s="408"/>
      <c r="E2713" s="408"/>
      <c r="F2713" s="408"/>
      <c r="G2713" s="408"/>
      <c r="H2713" s="408"/>
      <c r="I2713" s="408"/>
      <c r="J2713" s="408"/>
      <c r="K2713" s="408"/>
      <c r="L2713" s="408"/>
      <c r="M2713" s="408"/>
      <c r="N2713" s="408" t="str">
        <f t="shared" si="469"/>
        <v/>
      </c>
      <c r="O2713" s="408"/>
      <c r="P2713" s="408"/>
      <c r="Q2713" s="408"/>
      <c r="R2713" s="408"/>
      <c r="S2713" s="408"/>
      <c r="T2713" s="408"/>
      <c r="U2713" s="408"/>
      <c r="V2713" s="421"/>
      <c r="W2713" s="421"/>
      <c r="X2713" s="421"/>
      <c r="Y2713" s="421"/>
      <c r="Z2713" s="421"/>
      <c r="AA2713" s="421"/>
      <c r="AB2713" s="421"/>
      <c r="AC2713" s="421"/>
      <c r="AD2713" s="421"/>
      <c r="AE2713" s="421"/>
      <c r="AF2713" s="421"/>
      <c r="AG2713" s="421"/>
      <c r="AH2713" s="421"/>
      <c r="AI2713" s="421"/>
      <c r="AJ2713" s="421"/>
      <c r="AK2713" s="421"/>
      <c r="AL2713" s="421"/>
    </row>
    <row r="2714" spans="1:38" hidden="1">
      <c r="A2714" s="408"/>
      <c r="B2714" s="83" t="e">
        <f t="array" ref="B2714">SUM(--(FREQUENCY(IF(C$2:C$3072=C2714, MATCH(D$2:D$3072, D$2:D$3072, 0)), ROW(D$2:D$3072)-ROW(D$2)+1) &gt; 0))</f>
        <v>#N/A</v>
      </c>
      <c r="C2714" s="408"/>
      <c r="D2714" s="408"/>
      <c r="E2714" s="408"/>
      <c r="F2714" s="408"/>
      <c r="G2714" s="408"/>
      <c r="H2714" s="408"/>
      <c r="I2714" s="408"/>
      <c r="J2714" s="408"/>
      <c r="K2714" s="408"/>
      <c r="L2714" s="408"/>
      <c r="M2714" s="408"/>
      <c r="N2714" s="408" t="str">
        <f t="shared" si="469"/>
        <v/>
      </c>
      <c r="O2714" s="408"/>
      <c r="P2714" s="408"/>
      <c r="Q2714" s="408"/>
      <c r="R2714" s="408"/>
      <c r="S2714" s="408"/>
      <c r="T2714" s="408"/>
      <c r="U2714" s="408"/>
      <c r="V2714" s="421"/>
      <c r="W2714" s="421"/>
      <c r="X2714" s="421"/>
      <c r="Y2714" s="421"/>
      <c r="Z2714" s="421"/>
      <c r="AA2714" s="421"/>
      <c r="AB2714" s="421"/>
      <c r="AC2714" s="421"/>
      <c r="AD2714" s="421"/>
      <c r="AE2714" s="421"/>
      <c r="AF2714" s="421"/>
      <c r="AG2714" s="421"/>
      <c r="AH2714" s="421"/>
      <c r="AI2714" s="421"/>
      <c r="AJ2714" s="421"/>
      <c r="AK2714" s="421"/>
      <c r="AL2714" s="421"/>
    </row>
    <row r="2715" spans="1:38" hidden="1">
      <c r="A2715" s="408"/>
      <c r="B2715" s="83" t="e">
        <f t="array" ref="B2715">SUM(--(FREQUENCY(IF(C$2:C$3072=C2715, MATCH(D$2:D$3072, D$2:D$3072, 0)), ROW(D$2:D$3072)-ROW(D$2)+1) &gt; 0))</f>
        <v>#N/A</v>
      </c>
      <c r="C2715" s="408"/>
      <c r="D2715" s="408"/>
      <c r="E2715" s="408"/>
      <c r="F2715" s="408"/>
      <c r="G2715" s="408"/>
      <c r="H2715" s="408"/>
      <c r="I2715" s="408"/>
      <c r="J2715" s="408"/>
      <c r="K2715" s="408"/>
      <c r="L2715" s="408"/>
      <c r="M2715" s="408"/>
      <c r="N2715" s="408" t="str">
        <f t="shared" si="469"/>
        <v/>
      </c>
      <c r="O2715" s="408"/>
      <c r="P2715" s="408"/>
      <c r="Q2715" s="408"/>
      <c r="R2715" s="408"/>
      <c r="S2715" s="408"/>
      <c r="T2715" s="408"/>
      <c r="U2715" s="408"/>
      <c r="V2715" s="421"/>
      <c r="W2715" s="421"/>
      <c r="X2715" s="421"/>
      <c r="Y2715" s="421"/>
      <c r="Z2715" s="421"/>
      <c r="AA2715" s="421"/>
      <c r="AB2715" s="421"/>
      <c r="AC2715" s="421"/>
      <c r="AD2715" s="421"/>
      <c r="AE2715" s="421"/>
      <c r="AF2715" s="421"/>
      <c r="AG2715" s="421"/>
      <c r="AH2715" s="421"/>
      <c r="AI2715" s="421"/>
      <c r="AJ2715" s="421"/>
      <c r="AK2715" s="421"/>
      <c r="AL2715" s="421"/>
    </row>
    <row r="2716" spans="1:38" hidden="1">
      <c r="A2716" s="408"/>
      <c r="B2716" s="83" t="e">
        <f t="array" ref="B2716">SUM(--(FREQUENCY(IF(C$2:C$3072=C2716, MATCH(D$2:D$3072, D$2:D$3072, 0)), ROW(D$2:D$3072)-ROW(D$2)+1) &gt; 0))</f>
        <v>#N/A</v>
      </c>
      <c r="C2716" s="408"/>
      <c r="D2716" s="408"/>
      <c r="E2716" s="408"/>
      <c r="F2716" s="408"/>
      <c r="G2716" s="408"/>
      <c r="H2716" s="408"/>
      <c r="I2716" s="408"/>
      <c r="J2716" s="408"/>
      <c r="K2716" s="408"/>
      <c r="L2716" s="408"/>
      <c r="M2716" s="408"/>
      <c r="N2716" s="408" t="str">
        <f t="shared" si="469"/>
        <v/>
      </c>
      <c r="O2716" s="408"/>
      <c r="P2716" s="408"/>
      <c r="Q2716" s="408"/>
      <c r="R2716" s="408"/>
      <c r="S2716" s="408"/>
      <c r="T2716" s="408"/>
      <c r="U2716" s="408"/>
      <c r="V2716" s="421"/>
      <c r="W2716" s="421"/>
      <c r="X2716" s="421"/>
      <c r="Y2716" s="421"/>
      <c r="Z2716" s="421"/>
      <c r="AA2716" s="421"/>
      <c r="AB2716" s="421"/>
      <c r="AC2716" s="421"/>
      <c r="AD2716" s="421"/>
      <c r="AE2716" s="421"/>
      <c r="AF2716" s="421"/>
      <c r="AG2716" s="421"/>
      <c r="AH2716" s="421"/>
      <c r="AI2716" s="421"/>
      <c r="AJ2716" s="421"/>
      <c r="AK2716" s="421"/>
      <c r="AL2716" s="421"/>
    </row>
    <row r="2717" spans="1:38" hidden="1">
      <c r="A2717" s="408"/>
      <c r="B2717" s="83" t="e">
        <f t="array" ref="B2717">SUM(--(FREQUENCY(IF(C$2:C$3072=C2717, MATCH(D$2:D$3072, D$2:D$3072, 0)), ROW(D$2:D$3072)-ROW(D$2)+1) &gt; 0))</f>
        <v>#N/A</v>
      </c>
      <c r="C2717" s="408"/>
      <c r="D2717" s="408"/>
      <c r="E2717" s="408"/>
      <c r="F2717" s="408"/>
      <c r="G2717" s="408"/>
      <c r="H2717" s="408"/>
      <c r="I2717" s="408"/>
      <c r="J2717" s="408"/>
      <c r="K2717" s="408"/>
      <c r="L2717" s="408"/>
      <c r="M2717" s="408"/>
      <c r="N2717" s="408" t="str">
        <f t="shared" si="469"/>
        <v/>
      </c>
      <c r="O2717" s="408"/>
      <c r="P2717" s="408"/>
      <c r="Q2717" s="408"/>
      <c r="R2717" s="408"/>
      <c r="S2717" s="408"/>
      <c r="T2717" s="408"/>
      <c r="U2717" s="408"/>
      <c r="V2717" s="421"/>
      <c r="W2717" s="421"/>
      <c r="X2717" s="421"/>
      <c r="Y2717" s="421"/>
      <c r="Z2717" s="421"/>
      <c r="AA2717" s="421"/>
      <c r="AB2717" s="421"/>
      <c r="AC2717" s="421"/>
      <c r="AD2717" s="421"/>
      <c r="AE2717" s="421"/>
      <c r="AF2717" s="421"/>
      <c r="AG2717" s="421"/>
      <c r="AH2717" s="421"/>
      <c r="AI2717" s="421"/>
      <c r="AJ2717" s="421"/>
      <c r="AK2717" s="421"/>
      <c r="AL2717" s="421"/>
    </row>
    <row r="2718" spans="1:38" hidden="1">
      <c r="A2718" s="408"/>
      <c r="B2718" s="83" t="e">
        <f t="array" ref="B2718">SUM(--(FREQUENCY(IF(C$2:C$3072=C2718, MATCH(D$2:D$3072, D$2:D$3072, 0)), ROW(D$2:D$3072)-ROW(D$2)+1) &gt; 0))</f>
        <v>#N/A</v>
      </c>
      <c r="C2718" s="408"/>
      <c r="D2718" s="408"/>
      <c r="E2718" s="408"/>
      <c r="F2718" s="408"/>
      <c r="G2718" s="408"/>
      <c r="H2718" s="408"/>
      <c r="I2718" s="408"/>
      <c r="J2718" s="408"/>
      <c r="K2718" s="408"/>
      <c r="L2718" s="408"/>
      <c r="M2718" s="408"/>
      <c r="N2718" s="408" t="str">
        <f t="shared" si="469"/>
        <v/>
      </c>
      <c r="O2718" s="408"/>
      <c r="P2718" s="408"/>
      <c r="Q2718" s="408"/>
      <c r="R2718" s="408"/>
      <c r="S2718" s="408"/>
      <c r="T2718" s="408"/>
      <c r="U2718" s="408"/>
      <c r="V2718" s="421"/>
      <c r="W2718" s="421"/>
      <c r="X2718" s="421"/>
      <c r="Y2718" s="421"/>
      <c r="Z2718" s="421"/>
      <c r="AA2718" s="421"/>
      <c r="AB2718" s="421"/>
      <c r="AC2718" s="421"/>
      <c r="AD2718" s="421"/>
      <c r="AE2718" s="421"/>
      <c r="AF2718" s="421"/>
      <c r="AG2718" s="421"/>
      <c r="AH2718" s="421"/>
      <c r="AI2718" s="421"/>
      <c r="AJ2718" s="421"/>
      <c r="AK2718" s="421"/>
      <c r="AL2718" s="421"/>
    </row>
    <row r="2719" spans="1:38" hidden="1">
      <c r="A2719" s="408"/>
      <c r="B2719" s="83" t="e">
        <f t="array" ref="B2719">SUM(--(FREQUENCY(IF(C$2:C$3072=C2719, MATCH(D$2:D$3072, D$2:D$3072, 0)), ROW(D$2:D$3072)-ROW(D$2)+1) &gt; 0))</f>
        <v>#N/A</v>
      </c>
      <c r="C2719" s="408"/>
      <c r="D2719" s="408"/>
      <c r="E2719" s="408"/>
      <c r="F2719" s="408"/>
      <c r="G2719" s="408"/>
      <c r="H2719" s="408"/>
      <c r="I2719" s="408"/>
      <c r="J2719" s="408"/>
      <c r="K2719" s="408"/>
      <c r="L2719" s="408"/>
      <c r="M2719" s="408"/>
      <c r="N2719" s="408" t="str">
        <f t="shared" si="469"/>
        <v/>
      </c>
      <c r="O2719" s="408"/>
      <c r="P2719" s="408"/>
      <c r="Q2719" s="408"/>
      <c r="R2719" s="408"/>
      <c r="S2719" s="408"/>
      <c r="T2719" s="408"/>
      <c r="U2719" s="408"/>
      <c r="V2719" s="421"/>
      <c r="W2719" s="421"/>
      <c r="X2719" s="421"/>
      <c r="Y2719" s="421"/>
      <c r="Z2719" s="421"/>
      <c r="AA2719" s="421"/>
      <c r="AB2719" s="421"/>
      <c r="AC2719" s="421"/>
      <c r="AD2719" s="421"/>
      <c r="AE2719" s="421"/>
      <c r="AF2719" s="421"/>
      <c r="AG2719" s="421"/>
      <c r="AH2719" s="421"/>
      <c r="AI2719" s="421"/>
      <c r="AJ2719" s="421"/>
      <c r="AK2719" s="421"/>
      <c r="AL2719" s="421"/>
    </row>
    <row r="2720" spans="1:38" hidden="1">
      <c r="A2720" s="408"/>
      <c r="B2720" s="83" t="e">
        <f t="array" ref="B2720">SUM(--(FREQUENCY(IF(C$2:C$3072=C2720, MATCH(D$2:D$3072, D$2:D$3072, 0)), ROW(D$2:D$3072)-ROW(D$2)+1) &gt; 0))</f>
        <v>#N/A</v>
      </c>
      <c r="C2720" s="408"/>
      <c r="D2720" s="408"/>
      <c r="E2720" s="408"/>
      <c r="F2720" s="408"/>
      <c r="G2720" s="408"/>
      <c r="H2720" s="408"/>
      <c r="I2720" s="408"/>
      <c r="J2720" s="408"/>
      <c r="K2720" s="408"/>
      <c r="L2720" s="408"/>
      <c r="M2720" s="408"/>
      <c r="N2720" s="408" t="str">
        <f t="shared" si="469"/>
        <v/>
      </c>
      <c r="O2720" s="408"/>
      <c r="P2720" s="408"/>
      <c r="Q2720" s="408"/>
      <c r="R2720" s="408"/>
      <c r="S2720" s="408"/>
      <c r="T2720" s="408"/>
      <c r="U2720" s="408"/>
      <c r="V2720" s="421"/>
      <c r="W2720" s="421"/>
      <c r="X2720" s="421"/>
      <c r="Y2720" s="421"/>
      <c r="Z2720" s="421"/>
      <c r="AA2720" s="421"/>
      <c r="AB2720" s="421"/>
      <c r="AC2720" s="421"/>
      <c r="AD2720" s="421"/>
      <c r="AE2720" s="421"/>
      <c r="AF2720" s="421"/>
      <c r="AG2720" s="421"/>
      <c r="AH2720" s="421"/>
      <c r="AI2720" s="421"/>
      <c r="AJ2720" s="421"/>
      <c r="AK2720" s="421"/>
      <c r="AL2720" s="421"/>
    </row>
    <row r="2721" spans="1:38" hidden="1">
      <c r="A2721" s="408"/>
      <c r="B2721" s="83" t="e">
        <f t="array" ref="B2721">SUM(--(FREQUENCY(IF(C$2:C$3072=C2721, MATCH(D$2:D$3072, D$2:D$3072, 0)), ROW(D$2:D$3072)-ROW(D$2)+1) &gt; 0))</f>
        <v>#N/A</v>
      </c>
      <c r="C2721" s="408"/>
      <c r="D2721" s="408"/>
      <c r="E2721" s="408"/>
      <c r="F2721" s="408"/>
      <c r="G2721" s="408"/>
      <c r="H2721" s="408"/>
      <c r="I2721" s="408"/>
      <c r="J2721" s="408"/>
      <c r="K2721" s="408"/>
      <c r="L2721" s="408"/>
      <c r="M2721" s="408"/>
      <c r="N2721" s="408" t="str">
        <f t="shared" si="469"/>
        <v/>
      </c>
      <c r="O2721" s="408"/>
      <c r="P2721" s="408"/>
      <c r="Q2721" s="408"/>
      <c r="R2721" s="408"/>
      <c r="S2721" s="408"/>
      <c r="T2721" s="408"/>
      <c r="U2721" s="408"/>
      <c r="V2721" s="421"/>
      <c r="W2721" s="421"/>
      <c r="X2721" s="421"/>
      <c r="Y2721" s="421"/>
      <c r="Z2721" s="421"/>
      <c r="AA2721" s="421"/>
      <c r="AB2721" s="421"/>
      <c r="AC2721" s="421"/>
      <c r="AD2721" s="421"/>
      <c r="AE2721" s="421"/>
      <c r="AF2721" s="421"/>
      <c r="AG2721" s="421"/>
      <c r="AH2721" s="421"/>
      <c r="AI2721" s="421"/>
      <c r="AJ2721" s="421"/>
      <c r="AK2721" s="421"/>
      <c r="AL2721" s="421"/>
    </row>
    <row r="2722" spans="1:38" hidden="1">
      <c r="A2722" s="408"/>
      <c r="B2722" s="83" t="e">
        <f t="array" ref="B2722">SUM(--(FREQUENCY(IF(C$2:C$3072=C2722, MATCH(D$2:D$3072, D$2:D$3072, 0)), ROW(D$2:D$3072)-ROW(D$2)+1) &gt; 0))</f>
        <v>#N/A</v>
      </c>
      <c r="C2722" s="408"/>
      <c r="D2722" s="408"/>
      <c r="E2722" s="408"/>
      <c r="F2722" s="408"/>
      <c r="G2722" s="408"/>
      <c r="H2722" s="408"/>
      <c r="I2722" s="408"/>
      <c r="J2722" s="408"/>
      <c r="K2722" s="408"/>
      <c r="L2722" s="408"/>
      <c r="M2722" s="408"/>
      <c r="N2722" s="408" t="str">
        <f t="shared" si="469"/>
        <v/>
      </c>
      <c r="O2722" s="408"/>
      <c r="P2722" s="408"/>
      <c r="Q2722" s="408"/>
      <c r="R2722" s="408"/>
      <c r="S2722" s="408"/>
      <c r="T2722" s="408"/>
      <c r="U2722" s="408"/>
      <c r="V2722" s="421"/>
      <c r="W2722" s="421"/>
      <c r="X2722" s="421"/>
      <c r="Y2722" s="421"/>
      <c r="Z2722" s="421"/>
      <c r="AA2722" s="421"/>
      <c r="AB2722" s="421"/>
      <c r="AC2722" s="421"/>
      <c r="AD2722" s="421"/>
      <c r="AE2722" s="421"/>
      <c r="AF2722" s="421"/>
      <c r="AG2722" s="421"/>
      <c r="AH2722" s="421"/>
      <c r="AI2722" s="421"/>
      <c r="AJ2722" s="421"/>
      <c r="AK2722" s="421"/>
      <c r="AL2722" s="421"/>
    </row>
    <row r="2723" spans="1:38" hidden="1">
      <c r="A2723" s="408"/>
      <c r="B2723" s="83" t="e">
        <f t="array" ref="B2723">SUM(--(FREQUENCY(IF(C$2:C$3072=C2723, MATCH(D$2:D$3072, D$2:D$3072, 0)), ROW(D$2:D$3072)-ROW(D$2)+1) &gt; 0))</f>
        <v>#N/A</v>
      </c>
      <c r="C2723" s="408"/>
      <c r="D2723" s="408"/>
      <c r="E2723" s="408"/>
      <c r="F2723" s="408"/>
      <c r="G2723" s="408"/>
      <c r="H2723" s="408"/>
      <c r="I2723" s="408"/>
      <c r="J2723" s="408"/>
      <c r="K2723" s="408"/>
      <c r="L2723" s="408"/>
      <c r="M2723" s="408"/>
      <c r="N2723" s="408" t="str">
        <f t="shared" si="469"/>
        <v/>
      </c>
      <c r="O2723" s="408"/>
      <c r="P2723" s="408"/>
      <c r="Q2723" s="408"/>
      <c r="R2723" s="408"/>
      <c r="S2723" s="408"/>
      <c r="T2723" s="408"/>
      <c r="U2723" s="408"/>
      <c r="V2723" s="421"/>
      <c r="W2723" s="421"/>
      <c r="X2723" s="421"/>
      <c r="Y2723" s="421"/>
      <c r="Z2723" s="421"/>
      <c r="AA2723" s="421"/>
      <c r="AB2723" s="421"/>
      <c r="AC2723" s="421"/>
      <c r="AD2723" s="421"/>
      <c r="AE2723" s="421"/>
      <c r="AF2723" s="421"/>
      <c r="AG2723" s="421"/>
      <c r="AH2723" s="421"/>
      <c r="AI2723" s="421"/>
      <c r="AJ2723" s="421"/>
      <c r="AK2723" s="421"/>
      <c r="AL2723" s="421"/>
    </row>
    <row r="2724" spans="1:38" hidden="1">
      <c r="A2724" s="408"/>
      <c r="B2724" s="83" t="e">
        <f t="array" ref="B2724">SUM(--(FREQUENCY(IF(C$2:C$3072=C2724, MATCH(D$2:D$3072, D$2:D$3072, 0)), ROW(D$2:D$3072)-ROW(D$2)+1) &gt; 0))</f>
        <v>#N/A</v>
      </c>
      <c r="C2724" s="408"/>
      <c r="D2724" s="408"/>
      <c r="E2724" s="408"/>
      <c r="F2724" s="408"/>
      <c r="G2724" s="408"/>
      <c r="H2724" s="408"/>
      <c r="I2724" s="408"/>
      <c r="J2724" s="408"/>
      <c r="K2724" s="408"/>
      <c r="L2724" s="408"/>
      <c r="M2724" s="408"/>
      <c r="N2724" s="408" t="str">
        <f t="shared" si="469"/>
        <v/>
      </c>
      <c r="O2724" s="408"/>
      <c r="P2724" s="408"/>
      <c r="Q2724" s="408"/>
      <c r="R2724" s="408"/>
      <c r="S2724" s="408"/>
      <c r="T2724" s="408"/>
      <c r="U2724" s="408"/>
      <c r="V2724" s="421"/>
      <c r="W2724" s="421"/>
      <c r="X2724" s="421"/>
      <c r="Y2724" s="421"/>
      <c r="Z2724" s="421"/>
      <c r="AA2724" s="421"/>
      <c r="AB2724" s="421"/>
      <c r="AC2724" s="421"/>
      <c r="AD2724" s="421"/>
      <c r="AE2724" s="421"/>
      <c r="AF2724" s="421"/>
      <c r="AG2724" s="421"/>
      <c r="AH2724" s="421"/>
      <c r="AI2724" s="421"/>
      <c r="AJ2724" s="421"/>
      <c r="AK2724" s="421"/>
      <c r="AL2724" s="421"/>
    </row>
    <row r="2725" spans="1:38" hidden="1">
      <c r="A2725" s="408"/>
      <c r="B2725" s="83" t="e">
        <f t="array" ref="B2725">SUM(--(FREQUENCY(IF(C$2:C$3072=C2725, MATCH(D$2:D$3072, D$2:D$3072, 0)), ROW(D$2:D$3072)-ROW(D$2)+1) &gt; 0))</f>
        <v>#N/A</v>
      </c>
      <c r="C2725" s="408"/>
      <c r="D2725" s="408"/>
      <c r="E2725" s="408"/>
      <c r="F2725" s="408"/>
      <c r="G2725" s="408"/>
      <c r="H2725" s="408"/>
      <c r="I2725" s="408"/>
      <c r="J2725" s="408"/>
      <c r="K2725" s="408"/>
      <c r="L2725" s="408"/>
      <c r="M2725" s="408"/>
      <c r="N2725" s="408" t="str">
        <f t="shared" si="469"/>
        <v/>
      </c>
      <c r="O2725" s="408"/>
      <c r="P2725" s="408"/>
      <c r="Q2725" s="408"/>
      <c r="R2725" s="408"/>
      <c r="S2725" s="408"/>
      <c r="T2725" s="408"/>
      <c r="U2725" s="408"/>
      <c r="V2725" s="421"/>
      <c r="W2725" s="421"/>
      <c r="X2725" s="421"/>
      <c r="Y2725" s="421"/>
      <c r="Z2725" s="421"/>
      <c r="AA2725" s="421"/>
      <c r="AB2725" s="421"/>
      <c r="AC2725" s="421"/>
      <c r="AD2725" s="421"/>
      <c r="AE2725" s="421"/>
      <c r="AF2725" s="421"/>
      <c r="AG2725" s="421"/>
      <c r="AH2725" s="421"/>
      <c r="AI2725" s="421"/>
      <c r="AJ2725" s="421"/>
      <c r="AK2725" s="421"/>
      <c r="AL2725" s="421"/>
    </row>
    <row r="2726" spans="1:38" hidden="1">
      <c r="A2726" s="408"/>
      <c r="B2726" s="83" t="e">
        <f t="array" ref="B2726">SUM(--(FREQUENCY(IF(C$2:C$3072=C2726, MATCH(D$2:D$3072, D$2:D$3072, 0)), ROW(D$2:D$3072)-ROW(D$2)+1) &gt; 0))</f>
        <v>#N/A</v>
      </c>
      <c r="C2726" s="408"/>
      <c r="D2726" s="408"/>
      <c r="E2726" s="408"/>
      <c r="F2726" s="408"/>
      <c r="G2726" s="408"/>
      <c r="H2726" s="408"/>
      <c r="I2726" s="408"/>
      <c r="J2726" s="408"/>
      <c r="K2726" s="408"/>
      <c r="L2726" s="408"/>
      <c r="M2726" s="408"/>
      <c r="N2726" s="408" t="str">
        <f t="shared" si="469"/>
        <v/>
      </c>
      <c r="O2726" s="408"/>
      <c r="P2726" s="408"/>
      <c r="Q2726" s="408"/>
      <c r="R2726" s="408"/>
      <c r="S2726" s="408"/>
      <c r="T2726" s="408"/>
      <c r="U2726" s="408"/>
      <c r="V2726" s="421"/>
      <c r="W2726" s="421"/>
      <c r="X2726" s="421"/>
      <c r="Y2726" s="421"/>
      <c r="Z2726" s="421"/>
      <c r="AA2726" s="421"/>
      <c r="AB2726" s="421"/>
      <c r="AC2726" s="421"/>
      <c r="AD2726" s="421"/>
      <c r="AE2726" s="421"/>
      <c r="AF2726" s="421"/>
      <c r="AG2726" s="421"/>
      <c r="AH2726" s="421"/>
      <c r="AI2726" s="421"/>
      <c r="AJ2726" s="421"/>
      <c r="AK2726" s="421"/>
      <c r="AL2726" s="421"/>
    </row>
    <row r="2727" spans="1:38" hidden="1">
      <c r="A2727" s="408"/>
      <c r="B2727" s="83" t="e">
        <f t="array" ref="B2727">SUM(--(FREQUENCY(IF(C$2:C$3072=C2727, MATCH(D$2:D$3072, D$2:D$3072, 0)), ROW(D$2:D$3072)-ROW(D$2)+1) &gt; 0))</f>
        <v>#N/A</v>
      </c>
      <c r="C2727" s="408"/>
      <c r="D2727" s="408"/>
      <c r="E2727" s="408"/>
      <c r="F2727" s="408"/>
      <c r="G2727" s="408"/>
      <c r="H2727" s="408"/>
      <c r="I2727" s="408"/>
      <c r="J2727" s="408"/>
      <c r="K2727" s="408"/>
      <c r="L2727" s="408"/>
      <c r="M2727" s="408"/>
      <c r="N2727" s="408" t="str">
        <f t="shared" si="469"/>
        <v/>
      </c>
      <c r="O2727" s="408"/>
      <c r="P2727" s="408"/>
      <c r="Q2727" s="408"/>
      <c r="R2727" s="408"/>
      <c r="S2727" s="408"/>
      <c r="T2727" s="408"/>
      <c r="U2727" s="408"/>
      <c r="V2727" s="421"/>
      <c r="W2727" s="421"/>
      <c r="X2727" s="421"/>
      <c r="Y2727" s="421"/>
      <c r="Z2727" s="421"/>
      <c r="AA2727" s="421"/>
      <c r="AB2727" s="421"/>
      <c r="AC2727" s="421"/>
      <c r="AD2727" s="421"/>
      <c r="AE2727" s="421"/>
      <c r="AF2727" s="421"/>
      <c r="AG2727" s="421"/>
      <c r="AH2727" s="421"/>
      <c r="AI2727" s="421"/>
      <c r="AJ2727" s="421"/>
      <c r="AK2727" s="421"/>
      <c r="AL2727" s="421"/>
    </row>
    <row r="2728" spans="1:38" hidden="1">
      <c r="A2728" s="408"/>
      <c r="B2728" s="83" t="e">
        <f t="array" ref="B2728">SUM(--(FREQUENCY(IF(C$2:C$3072=C2728, MATCH(D$2:D$3072, D$2:D$3072, 0)), ROW(D$2:D$3072)-ROW(D$2)+1) &gt; 0))</f>
        <v>#N/A</v>
      </c>
      <c r="C2728" s="408"/>
      <c r="D2728" s="408"/>
      <c r="E2728" s="408"/>
      <c r="F2728" s="408"/>
      <c r="G2728" s="408"/>
      <c r="H2728" s="408"/>
      <c r="I2728" s="408"/>
      <c r="J2728" s="408"/>
      <c r="K2728" s="408"/>
      <c r="L2728" s="408"/>
      <c r="M2728" s="408"/>
      <c r="N2728" s="408" t="str">
        <f t="shared" si="469"/>
        <v/>
      </c>
      <c r="O2728" s="408"/>
      <c r="P2728" s="408"/>
      <c r="Q2728" s="408"/>
      <c r="R2728" s="408"/>
      <c r="S2728" s="408"/>
      <c r="T2728" s="408"/>
      <c r="U2728" s="408"/>
      <c r="V2728" s="421"/>
      <c r="W2728" s="421"/>
      <c r="X2728" s="421"/>
      <c r="Y2728" s="421"/>
      <c r="Z2728" s="421"/>
      <c r="AA2728" s="421"/>
      <c r="AB2728" s="421"/>
      <c r="AC2728" s="421"/>
      <c r="AD2728" s="421"/>
      <c r="AE2728" s="421"/>
      <c r="AF2728" s="421"/>
      <c r="AG2728" s="421"/>
      <c r="AH2728" s="421"/>
      <c r="AI2728" s="421"/>
      <c r="AJ2728" s="421"/>
      <c r="AK2728" s="421"/>
      <c r="AL2728" s="421"/>
    </row>
    <row r="2729" spans="1:38" hidden="1">
      <c r="A2729" s="408"/>
      <c r="B2729" s="83" t="e">
        <f t="array" ref="B2729">SUM(--(FREQUENCY(IF(C$2:C$3072=C2729, MATCH(D$2:D$3072, D$2:D$3072, 0)), ROW(D$2:D$3072)-ROW(D$2)+1) &gt; 0))</f>
        <v>#N/A</v>
      </c>
      <c r="C2729" s="408"/>
      <c r="D2729" s="408"/>
      <c r="E2729" s="408"/>
      <c r="F2729" s="408"/>
      <c r="G2729" s="408"/>
      <c r="H2729" s="408"/>
      <c r="I2729" s="408"/>
      <c r="J2729" s="408"/>
      <c r="K2729" s="408"/>
      <c r="L2729" s="408"/>
      <c r="M2729" s="408"/>
      <c r="N2729" s="408" t="str">
        <f t="shared" si="469"/>
        <v/>
      </c>
      <c r="O2729" s="408"/>
      <c r="P2729" s="408"/>
      <c r="Q2729" s="408"/>
      <c r="R2729" s="408"/>
      <c r="S2729" s="408"/>
      <c r="T2729" s="408"/>
      <c r="U2729" s="408"/>
      <c r="V2729" s="421"/>
      <c r="W2729" s="421"/>
      <c r="X2729" s="421"/>
      <c r="Y2729" s="421"/>
      <c r="Z2729" s="421"/>
      <c r="AA2729" s="421"/>
      <c r="AB2729" s="421"/>
      <c r="AC2729" s="421"/>
      <c r="AD2729" s="421"/>
      <c r="AE2729" s="421"/>
      <c r="AF2729" s="421"/>
      <c r="AG2729" s="421"/>
      <c r="AH2729" s="421"/>
      <c r="AI2729" s="421"/>
      <c r="AJ2729" s="421"/>
      <c r="AK2729" s="421"/>
      <c r="AL2729" s="421"/>
    </row>
    <row r="2730" spans="1:38" hidden="1">
      <c r="A2730" s="408"/>
      <c r="B2730" s="83" t="e">
        <f t="array" ref="B2730">SUM(--(FREQUENCY(IF(C$2:C$3072=C2730, MATCH(D$2:D$3072, D$2:D$3072, 0)), ROW(D$2:D$3072)-ROW(D$2)+1) &gt; 0))</f>
        <v>#N/A</v>
      </c>
      <c r="C2730" s="408"/>
      <c r="D2730" s="408"/>
      <c r="E2730" s="408"/>
      <c r="F2730" s="408"/>
      <c r="G2730" s="408"/>
      <c r="H2730" s="408"/>
      <c r="I2730" s="408"/>
      <c r="J2730" s="408"/>
      <c r="K2730" s="408"/>
      <c r="L2730" s="408"/>
      <c r="M2730" s="408"/>
      <c r="N2730" s="408" t="str">
        <f t="shared" si="469"/>
        <v/>
      </c>
      <c r="O2730" s="408"/>
      <c r="P2730" s="408"/>
      <c r="Q2730" s="408"/>
      <c r="R2730" s="408"/>
      <c r="S2730" s="408"/>
      <c r="T2730" s="408"/>
      <c r="U2730" s="408"/>
      <c r="V2730" s="421"/>
      <c r="W2730" s="421"/>
      <c r="X2730" s="421"/>
      <c r="Y2730" s="421"/>
      <c r="Z2730" s="421"/>
      <c r="AA2730" s="421"/>
      <c r="AB2730" s="421"/>
      <c r="AC2730" s="421"/>
      <c r="AD2730" s="421"/>
      <c r="AE2730" s="421"/>
      <c r="AF2730" s="421"/>
      <c r="AG2730" s="421"/>
      <c r="AH2730" s="421"/>
      <c r="AI2730" s="421"/>
      <c r="AJ2730" s="421"/>
      <c r="AK2730" s="421"/>
      <c r="AL2730" s="421"/>
    </row>
    <row r="2731" spans="1:38" hidden="1">
      <c r="A2731" s="408"/>
      <c r="B2731" s="83" t="e">
        <f t="array" ref="B2731">SUM(--(FREQUENCY(IF(C$2:C$3072=C2731, MATCH(D$2:D$3072, D$2:D$3072, 0)), ROW(D$2:D$3072)-ROW(D$2)+1) &gt; 0))</f>
        <v>#N/A</v>
      </c>
      <c r="C2731" s="408"/>
      <c r="D2731" s="408"/>
      <c r="E2731" s="408"/>
      <c r="F2731" s="408"/>
      <c r="G2731" s="408"/>
      <c r="H2731" s="408"/>
      <c r="I2731" s="408"/>
      <c r="J2731" s="408"/>
      <c r="K2731" s="408"/>
      <c r="L2731" s="408"/>
      <c r="M2731" s="408"/>
      <c r="N2731" s="408" t="str">
        <f t="shared" si="469"/>
        <v/>
      </c>
      <c r="O2731" s="408"/>
      <c r="P2731" s="408"/>
      <c r="Q2731" s="408"/>
      <c r="R2731" s="408"/>
      <c r="S2731" s="408"/>
      <c r="T2731" s="408"/>
      <c r="U2731" s="408"/>
      <c r="V2731" s="421"/>
      <c r="W2731" s="421"/>
      <c r="X2731" s="421"/>
      <c r="Y2731" s="421"/>
      <c r="Z2731" s="421"/>
      <c r="AA2731" s="421"/>
      <c r="AB2731" s="421"/>
      <c r="AC2731" s="421"/>
      <c r="AD2731" s="421"/>
      <c r="AE2731" s="421"/>
      <c r="AF2731" s="421"/>
      <c r="AG2731" s="421"/>
      <c r="AH2731" s="421"/>
      <c r="AI2731" s="421"/>
      <c r="AJ2731" s="421"/>
      <c r="AK2731" s="421"/>
      <c r="AL2731" s="421"/>
    </row>
    <row r="2732" spans="1:38" hidden="1">
      <c r="A2732" s="408"/>
      <c r="B2732" s="83" t="e">
        <f t="array" ref="B2732">SUM(--(FREQUENCY(IF(C$2:C$3072=C2732, MATCH(D$2:D$3072, D$2:D$3072, 0)), ROW(D$2:D$3072)-ROW(D$2)+1) &gt; 0))</f>
        <v>#N/A</v>
      </c>
      <c r="C2732" s="408"/>
      <c r="D2732" s="408"/>
      <c r="E2732" s="408"/>
      <c r="F2732" s="408"/>
      <c r="G2732" s="408"/>
      <c r="H2732" s="408"/>
      <c r="I2732" s="408"/>
      <c r="J2732" s="408"/>
      <c r="K2732" s="408"/>
      <c r="L2732" s="408"/>
      <c r="M2732" s="408"/>
      <c r="N2732" s="408" t="str">
        <f t="shared" si="469"/>
        <v/>
      </c>
      <c r="O2732" s="408"/>
      <c r="P2732" s="408"/>
      <c r="Q2732" s="408"/>
      <c r="R2732" s="408"/>
      <c r="S2732" s="408"/>
      <c r="T2732" s="408"/>
      <c r="U2732" s="408"/>
      <c r="V2732" s="421"/>
      <c r="W2732" s="421"/>
      <c r="X2732" s="421"/>
      <c r="Y2732" s="421"/>
      <c r="Z2732" s="421"/>
      <c r="AA2732" s="421"/>
      <c r="AB2732" s="421"/>
      <c r="AC2732" s="421"/>
      <c r="AD2732" s="421"/>
      <c r="AE2732" s="421"/>
      <c r="AF2732" s="421"/>
      <c r="AG2732" s="421"/>
      <c r="AH2732" s="421"/>
      <c r="AI2732" s="421"/>
      <c r="AJ2732" s="421"/>
      <c r="AK2732" s="421"/>
      <c r="AL2732" s="421"/>
    </row>
    <row r="2733" spans="1:38" hidden="1">
      <c r="A2733" s="408"/>
      <c r="B2733" s="83" t="e">
        <f t="array" ref="B2733">SUM(--(FREQUENCY(IF(C$2:C$3072=C2733, MATCH(D$2:D$3072, D$2:D$3072, 0)), ROW(D$2:D$3072)-ROW(D$2)+1) &gt; 0))</f>
        <v>#N/A</v>
      </c>
      <c r="C2733" s="408"/>
      <c r="D2733" s="408"/>
      <c r="E2733" s="408"/>
      <c r="F2733" s="408"/>
      <c r="G2733" s="408"/>
      <c r="H2733" s="408"/>
      <c r="I2733" s="408"/>
      <c r="J2733" s="408"/>
      <c r="K2733" s="408"/>
      <c r="L2733" s="408"/>
      <c r="M2733" s="408"/>
      <c r="N2733" s="408" t="str">
        <f t="shared" si="469"/>
        <v/>
      </c>
      <c r="O2733" s="408"/>
      <c r="P2733" s="408"/>
      <c r="Q2733" s="408"/>
      <c r="R2733" s="408"/>
      <c r="S2733" s="408"/>
      <c r="T2733" s="408"/>
      <c r="U2733" s="408"/>
      <c r="V2733" s="421"/>
      <c r="W2733" s="421"/>
      <c r="X2733" s="421"/>
      <c r="Y2733" s="421"/>
      <c r="Z2733" s="421"/>
      <c r="AA2733" s="421"/>
      <c r="AB2733" s="421"/>
      <c r="AC2733" s="421"/>
      <c r="AD2733" s="421"/>
      <c r="AE2733" s="421"/>
      <c r="AF2733" s="421"/>
      <c r="AG2733" s="421"/>
      <c r="AH2733" s="421"/>
      <c r="AI2733" s="421"/>
      <c r="AJ2733" s="421"/>
      <c r="AK2733" s="421"/>
      <c r="AL2733" s="421"/>
    </row>
    <row r="2734" spans="1:38" hidden="1">
      <c r="A2734" s="408"/>
      <c r="B2734" s="83" t="e">
        <f t="array" ref="B2734">SUM(--(FREQUENCY(IF(C$2:C$3072=C2734, MATCH(D$2:D$3072, D$2:D$3072, 0)), ROW(D$2:D$3072)-ROW(D$2)+1) &gt; 0))</f>
        <v>#N/A</v>
      </c>
      <c r="C2734" s="408"/>
      <c r="D2734" s="408"/>
      <c r="E2734" s="408"/>
      <c r="F2734" s="408"/>
      <c r="G2734" s="408"/>
      <c r="H2734" s="408"/>
      <c r="I2734" s="408"/>
      <c r="J2734" s="408"/>
      <c r="K2734" s="408"/>
      <c r="L2734" s="408"/>
      <c r="M2734" s="408"/>
      <c r="N2734" s="408" t="str">
        <f t="shared" si="469"/>
        <v/>
      </c>
      <c r="O2734" s="408"/>
      <c r="P2734" s="408"/>
      <c r="Q2734" s="408"/>
      <c r="R2734" s="408"/>
      <c r="S2734" s="408"/>
      <c r="T2734" s="408"/>
      <c r="U2734" s="408"/>
      <c r="V2734" s="421"/>
      <c r="W2734" s="421"/>
      <c r="X2734" s="421"/>
      <c r="Y2734" s="421"/>
      <c r="Z2734" s="421"/>
      <c r="AA2734" s="421"/>
      <c r="AB2734" s="421"/>
      <c r="AC2734" s="421"/>
      <c r="AD2734" s="421"/>
      <c r="AE2734" s="421"/>
      <c r="AF2734" s="421"/>
      <c r="AG2734" s="421"/>
      <c r="AH2734" s="421"/>
      <c r="AI2734" s="421"/>
      <c r="AJ2734" s="421"/>
      <c r="AK2734" s="421"/>
      <c r="AL2734" s="421"/>
    </row>
    <row r="2735" spans="1:38" hidden="1">
      <c r="A2735" s="408"/>
      <c r="B2735" s="83" t="e">
        <f t="array" ref="B2735">SUM(--(FREQUENCY(IF(C$2:C$3072=C2735, MATCH(D$2:D$3072, D$2:D$3072, 0)), ROW(D$2:D$3072)-ROW(D$2)+1) &gt; 0))</f>
        <v>#N/A</v>
      </c>
      <c r="C2735" s="408"/>
      <c r="D2735" s="408"/>
      <c r="E2735" s="408"/>
      <c r="F2735" s="408"/>
      <c r="G2735" s="408"/>
      <c r="H2735" s="408"/>
      <c r="I2735" s="408"/>
      <c r="J2735" s="408"/>
      <c r="K2735" s="408"/>
      <c r="L2735" s="408"/>
      <c r="M2735" s="408"/>
      <c r="N2735" s="408" t="str">
        <f t="shared" si="469"/>
        <v/>
      </c>
      <c r="O2735" s="408"/>
      <c r="P2735" s="408"/>
      <c r="Q2735" s="408"/>
      <c r="R2735" s="408"/>
      <c r="S2735" s="408"/>
      <c r="T2735" s="408"/>
      <c r="U2735" s="408"/>
      <c r="V2735" s="421"/>
      <c r="W2735" s="421"/>
      <c r="X2735" s="421"/>
      <c r="Y2735" s="421"/>
      <c r="Z2735" s="421"/>
      <c r="AA2735" s="421"/>
      <c r="AB2735" s="421"/>
      <c r="AC2735" s="421"/>
      <c r="AD2735" s="421"/>
      <c r="AE2735" s="421"/>
      <c r="AF2735" s="421"/>
      <c r="AG2735" s="421"/>
      <c r="AH2735" s="421"/>
      <c r="AI2735" s="421"/>
      <c r="AJ2735" s="421"/>
      <c r="AK2735" s="421"/>
      <c r="AL2735" s="421"/>
    </row>
    <row r="2736" spans="1:38" hidden="1">
      <c r="A2736" s="408"/>
      <c r="B2736" s="83" t="e">
        <f t="array" ref="B2736">SUM(--(FREQUENCY(IF(C$2:C$3072=C2736, MATCH(D$2:D$3072, D$2:D$3072, 0)), ROW(D$2:D$3072)-ROW(D$2)+1) &gt; 0))</f>
        <v>#N/A</v>
      </c>
      <c r="C2736" s="408"/>
      <c r="D2736" s="408"/>
      <c r="E2736" s="408"/>
      <c r="F2736" s="408"/>
      <c r="G2736" s="408"/>
      <c r="H2736" s="408"/>
      <c r="I2736" s="408"/>
      <c r="J2736" s="408"/>
      <c r="K2736" s="408"/>
      <c r="L2736" s="408"/>
      <c r="M2736" s="408"/>
      <c r="N2736" s="408" t="str">
        <f t="shared" si="469"/>
        <v/>
      </c>
      <c r="O2736" s="408"/>
      <c r="P2736" s="408"/>
      <c r="Q2736" s="408"/>
      <c r="R2736" s="408"/>
      <c r="S2736" s="408"/>
      <c r="T2736" s="408"/>
      <c r="U2736" s="408"/>
      <c r="V2736" s="421"/>
      <c r="W2736" s="421"/>
      <c r="X2736" s="421"/>
      <c r="Y2736" s="421"/>
      <c r="Z2736" s="421"/>
      <c r="AA2736" s="421"/>
      <c r="AB2736" s="421"/>
      <c r="AC2736" s="421"/>
      <c r="AD2736" s="421"/>
      <c r="AE2736" s="421"/>
      <c r="AF2736" s="421"/>
      <c r="AG2736" s="421"/>
      <c r="AH2736" s="421"/>
      <c r="AI2736" s="421"/>
      <c r="AJ2736" s="421"/>
      <c r="AK2736" s="421"/>
      <c r="AL2736" s="421"/>
    </row>
    <row r="2737" spans="1:38" hidden="1">
      <c r="A2737" s="408"/>
      <c r="B2737" s="83" t="e">
        <f t="array" ref="B2737">SUM(--(FREQUENCY(IF(C$2:C$3072=C2737, MATCH(D$2:D$3072, D$2:D$3072, 0)), ROW(D$2:D$3072)-ROW(D$2)+1) &gt; 0))</f>
        <v>#N/A</v>
      </c>
      <c r="C2737" s="408"/>
      <c r="D2737" s="408"/>
      <c r="E2737" s="408"/>
      <c r="F2737" s="408"/>
      <c r="G2737" s="408"/>
      <c r="H2737" s="408"/>
      <c r="I2737" s="408"/>
      <c r="J2737" s="408"/>
      <c r="K2737" s="408"/>
      <c r="L2737" s="408"/>
      <c r="M2737" s="408"/>
      <c r="N2737" s="408" t="str">
        <f t="shared" si="469"/>
        <v/>
      </c>
      <c r="O2737" s="408"/>
      <c r="P2737" s="408"/>
      <c r="Q2737" s="408"/>
      <c r="R2737" s="408"/>
      <c r="S2737" s="408"/>
      <c r="T2737" s="408"/>
      <c r="U2737" s="408"/>
      <c r="V2737" s="421"/>
      <c r="W2737" s="421"/>
      <c r="X2737" s="421"/>
      <c r="Y2737" s="421"/>
      <c r="Z2737" s="421"/>
      <c r="AA2737" s="421"/>
      <c r="AB2737" s="421"/>
      <c r="AC2737" s="421"/>
      <c r="AD2737" s="421"/>
      <c r="AE2737" s="421"/>
      <c r="AF2737" s="421"/>
      <c r="AG2737" s="421"/>
      <c r="AH2737" s="421"/>
      <c r="AI2737" s="421"/>
      <c r="AJ2737" s="421"/>
      <c r="AK2737" s="421"/>
      <c r="AL2737" s="421"/>
    </row>
    <row r="2738" spans="1:38" hidden="1">
      <c r="A2738" s="408"/>
      <c r="B2738" s="83" t="e">
        <f t="array" ref="B2738">SUM(--(FREQUENCY(IF(C$2:C$3072=C2738, MATCH(D$2:D$3072, D$2:D$3072, 0)), ROW(D$2:D$3072)-ROW(D$2)+1) &gt; 0))</f>
        <v>#N/A</v>
      </c>
      <c r="C2738" s="408"/>
      <c r="D2738" s="408"/>
      <c r="E2738" s="408"/>
      <c r="F2738" s="408"/>
      <c r="G2738" s="408"/>
      <c r="H2738" s="408"/>
      <c r="I2738" s="408"/>
      <c r="J2738" s="408"/>
      <c r="K2738" s="408"/>
      <c r="L2738" s="408"/>
      <c r="M2738" s="408"/>
      <c r="N2738" s="408" t="str">
        <f t="shared" si="469"/>
        <v/>
      </c>
      <c r="O2738" s="408"/>
      <c r="P2738" s="408"/>
      <c r="Q2738" s="408"/>
      <c r="R2738" s="408"/>
      <c r="S2738" s="408"/>
      <c r="T2738" s="408"/>
      <c r="U2738" s="408"/>
      <c r="V2738" s="421"/>
      <c r="W2738" s="421"/>
      <c r="X2738" s="421"/>
      <c r="Y2738" s="421"/>
      <c r="Z2738" s="421"/>
      <c r="AA2738" s="421"/>
      <c r="AB2738" s="421"/>
      <c r="AC2738" s="421"/>
      <c r="AD2738" s="421"/>
      <c r="AE2738" s="421"/>
      <c r="AF2738" s="421"/>
      <c r="AG2738" s="421"/>
      <c r="AH2738" s="421"/>
      <c r="AI2738" s="421"/>
      <c r="AJ2738" s="421"/>
      <c r="AK2738" s="421"/>
      <c r="AL2738" s="421"/>
    </row>
    <row r="2739" spans="1:38" hidden="1">
      <c r="A2739" s="408"/>
      <c r="B2739" s="83" t="e">
        <f t="array" ref="B2739">SUM(--(FREQUENCY(IF(C$2:C$3072=C2739, MATCH(D$2:D$3072, D$2:D$3072, 0)), ROW(D$2:D$3072)-ROW(D$2)+1) &gt; 0))</f>
        <v>#N/A</v>
      </c>
      <c r="C2739" s="408"/>
      <c r="D2739" s="408"/>
      <c r="E2739" s="408"/>
      <c r="F2739" s="408"/>
      <c r="G2739" s="408"/>
      <c r="H2739" s="408"/>
      <c r="I2739" s="408"/>
      <c r="J2739" s="408"/>
      <c r="K2739" s="408"/>
      <c r="L2739" s="408"/>
      <c r="M2739" s="408"/>
      <c r="N2739" s="408" t="str">
        <f t="shared" si="469"/>
        <v/>
      </c>
      <c r="O2739" s="408"/>
      <c r="P2739" s="408"/>
      <c r="Q2739" s="408"/>
      <c r="R2739" s="408"/>
      <c r="S2739" s="408"/>
      <c r="T2739" s="408"/>
      <c r="U2739" s="408"/>
      <c r="V2739" s="421"/>
      <c r="W2739" s="421"/>
      <c r="X2739" s="421"/>
      <c r="Y2739" s="421"/>
      <c r="Z2739" s="421"/>
      <c r="AA2739" s="421"/>
      <c r="AB2739" s="421"/>
      <c r="AC2739" s="421"/>
      <c r="AD2739" s="421"/>
      <c r="AE2739" s="421"/>
      <c r="AF2739" s="421"/>
      <c r="AG2739" s="421"/>
      <c r="AH2739" s="421"/>
      <c r="AI2739" s="421"/>
      <c r="AJ2739" s="421"/>
      <c r="AK2739" s="421"/>
      <c r="AL2739" s="421"/>
    </row>
    <row r="2740" spans="1:38" hidden="1">
      <c r="A2740" s="408"/>
      <c r="B2740" s="83" t="e">
        <f t="array" ref="B2740">SUM(--(FREQUENCY(IF(C$2:C$3072=C2740, MATCH(D$2:D$3072, D$2:D$3072, 0)), ROW(D$2:D$3072)-ROW(D$2)+1) &gt; 0))</f>
        <v>#N/A</v>
      </c>
      <c r="C2740" s="408"/>
      <c r="D2740" s="408"/>
      <c r="E2740" s="408"/>
      <c r="F2740" s="408"/>
      <c r="G2740" s="408"/>
      <c r="H2740" s="408"/>
      <c r="I2740" s="408"/>
      <c r="J2740" s="408"/>
      <c r="K2740" s="408"/>
      <c r="L2740" s="408"/>
      <c r="M2740" s="408"/>
      <c r="N2740" s="408" t="str">
        <f t="shared" si="469"/>
        <v/>
      </c>
      <c r="O2740" s="408"/>
      <c r="P2740" s="408"/>
      <c r="Q2740" s="408"/>
      <c r="R2740" s="408"/>
      <c r="S2740" s="408"/>
      <c r="T2740" s="408"/>
      <c r="U2740" s="408"/>
      <c r="V2740" s="421"/>
      <c r="W2740" s="421"/>
      <c r="X2740" s="421"/>
      <c r="Y2740" s="421"/>
      <c r="Z2740" s="421"/>
      <c r="AA2740" s="421"/>
      <c r="AB2740" s="421"/>
      <c r="AC2740" s="421"/>
      <c r="AD2740" s="421"/>
      <c r="AE2740" s="421"/>
      <c r="AF2740" s="421"/>
      <c r="AG2740" s="421"/>
      <c r="AH2740" s="421"/>
      <c r="AI2740" s="421"/>
      <c r="AJ2740" s="421"/>
      <c r="AK2740" s="421"/>
      <c r="AL2740" s="421"/>
    </row>
    <row r="2741" spans="1:38" hidden="1">
      <c r="A2741" s="408"/>
      <c r="B2741" s="83" t="e">
        <f t="array" ref="B2741">SUM(--(FREQUENCY(IF(C$2:C$3072=C2741, MATCH(D$2:D$3072, D$2:D$3072, 0)), ROW(D$2:D$3072)-ROW(D$2)+1) &gt; 0))</f>
        <v>#N/A</v>
      </c>
      <c r="C2741" s="408"/>
      <c r="D2741" s="408"/>
      <c r="E2741" s="408"/>
      <c r="F2741" s="408"/>
      <c r="G2741" s="408"/>
      <c r="H2741" s="408"/>
      <c r="I2741" s="408"/>
      <c r="J2741" s="408"/>
      <c r="K2741" s="408"/>
      <c r="L2741" s="408"/>
      <c r="M2741" s="408"/>
      <c r="N2741" s="408" t="str">
        <f t="shared" si="469"/>
        <v/>
      </c>
      <c r="O2741" s="408"/>
      <c r="P2741" s="408"/>
      <c r="Q2741" s="408"/>
      <c r="R2741" s="408"/>
      <c r="S2741" s="408"/>
      <c r="T2741" s="408"/>
      <c r="U2741" s="408"/>
      <c r="V2741" s="421"/>
      <c r="W2741" s="421"/>
      <c r="X2741" s="421"/>
      <c r="Y2741" s="421"/>
      <c r="Z2741" s="421"/>
      <c r="AA2741" s="421"/>
      <c r="AB2741" s="421"/>
      <c r="AC2741" s="421"/>
      <c r="AD2741" s="421"/>
      <c r="AE2741" s="421"/>
      <c r="AF2741" s="421"/>
      <c r="AG2741" s="421"/>
      <c r="AH2741" s="421"/>
      <c r="AI2741" s="421"/>
      <c r="AJ2741" s="421"/>
      <c r="AK2741" s="421"/>
      <c r="AL2741" s="421"/>
    </row>
    <row r="2742" spans="1:38" hidden="1">
      <c r="A2742" s="408"/>
      <c r="B2742" s="83" t="e">
        <f t="array" ref="B2742">SUM(--(FREQUENCY(IF(C$2:C$3072=C2742, MATCH(D$2:D$3072, D$2:D$3072, 0)), ROW(D$2:D$3072)-ROW(D$2)+1) &gt; 0))</f>
        <v>#N/A</v>
      </c>
      <c r="C2742" s="408"/>
      <c r="D2742" s="408"/>
      <c r="E2742" s="408"/>
      <c r="F2742" s="408"/>
      <c r="G2742" s="408"/>
      <c r="H2742" s="408"/>
      <c r="I2742" s="408"/>
      <c r="J2742" s="408"/>
      <c r="K2742" s="408"/>
      <c r="L2742" s="408"/>
      <c r="M2742" s="408"/>
      <c r="N2742" s="408" t="str">
        <f t="shared" si="469"/>
        <v/>
      </c>
      <c r="O2742" s="408"/>
      <c r="P2742" s="408"/>
      <c r="Q2742" s="408"/>
      <c r="R2742" s="408"/>
      <c r="S2742" s="408"/>
      <c r="T2742" s="408"/>
      <c r="U2742" s="408"/>
      <c r="V2742" s="421"/>
      <c r="W2742" s="421"/>
      <c r="X2742" s="421"/>
      <c r="Y2742" s="421"/>
      <c r="Z2742" s="421"/>
      <c r="AA2742" s="421"/>
      <c r="AB2742" s="421"/>
      <c r="AC2742" s="421"/>
      <c r="AD2742" s="421"/>
      <c r="AE2742" s="421"/>
      <c r="AF2742" s="421"/>
      <c r="AG2742" s="421"/>
      <c r="AH2742" s="421"/>
      <c r="AI2742" s="421"/>
      <c r="AJ2742" s="421"/>
      <c r="AK2742" s="421"/>
      <c r="AL2742" s="421"/>
    </row>
    <row r="2743" spans="1:38" hidden="1">
      <c r="A2743" s="408"/>
      <c r="B2743" s="83" t="e">
        <f t="array" ref="B2743">SUM(--(FREQUENCY(IF(C$2:C$3072=C2743, MATCH(D$2:D$3072, D$2:D$3072, 0)), ROW(D$2:D$3072)-ROW(D$2)+1) &gt; 0))</f>
        <v>#N/A</v>
      </c>
      <c r="C2743" s="408"/>
      <c r="D2743" s="408"/>
      <c r="E2743" s="408"/>
      <c r="F2743" s="408"/>
      <c r="G2743" s="408"/>
      <c r="H2743" s="408"/>
      <c r="I2743" s="408"/>
      <c r="J2743" s="408"/>
      <c r="K2743" s="408"/>
      <c r="L2743" s="408"/>
      <c r="M2743" s="408"/>
      <c r="N2743" s="408" t="str">
        <f t="shared" si="469"/>
        <v/>
      </c>
      <c r="O2743" s="408"/>
      <c r="P2743" s="408"/>
      <c r="Q2743" s="408"/>
      <c r="R2743" s="408"/>
      <c r="S2743" s="408"/>
      <c r="T2743" s="408"/>
      <c r="U2743" s="408"/>
      <c r="V2743" s="421"/>
      <c r="W2743" s="421"/>
      <c r="X2743" s="421"/>
      <c r="Y2743" s="421"/>
      <c r="Z2743" s="421"/>
      <c r="AA2743" s="421"/>
      <c r="AB2743" s="421"/>
      <c r="AC2743" s="421"/>
      <c r="AD2743" s="421"/>
      <c r="AE2743" s="421"/>
      <c r="AF2743" s="421"/>
      <c r="AG2743" s="421"/>
      <c r="AH2743" s="421"/>
      <c r="AI2743" s="421"/>
      <c r="AJ2743" s="421"/>
      <c r="AK2743" s="421"/>
      <c r="AL2743" s="421"/>
    </row>
    <row r="2744" spans="1:38" hidden="1">
      <c r="A2744" s="408"/>
      <c r="B2744" s="83" t="e">
        <f t="array" ref="B2744">SUM(--(FREQUENCY(IF(C$2:C$3072=C2744, MATCH(D$2:D$3072, D$2:D$3072, 0)), ROW(D$2:D$3072)-ROW(D$2)+1) &gt; 0))</f>
        <v>#N/A</v>
      </c>
      <c r="C2744" s="408"/>
      <c r="D2744" s="408"/>
      <c r="E2744" s="408"/>
      <c r="F2744" s="408"/>
      <c r="G2744" s="408"/>
      <c r="H2744" s="408"/>
      <c r="I2744" s="408"/>
      <c r="J2744" s="408"/>
      <c r="K2744" s="408"/>
      <c r="L2744" s="408"/>
      <c r="M2744" s="408"/>
      <c r="N2744" s="408" t="str">
        <f t="shared" si="469"/>
        <v/>
      </c>
      <c r="O2744" s="408"/>
      <c r="P2744" s="408"/>
      <c r="Q2744" s="408"/>
      <c r="R2744" s="408"/>
      <c r="S2744" s="408"/>
      <c r="T2744" s="408"/>
      <c r="U2744" s="408"/>
      <c r="V2744" s="421"/>
      <c r="W2744" s="421"/>
      <c r="X2744" s="421"/>
      <c r="Y2744" s="421"/>
      <c r="Z2744" s="421"/>
      <c r="AA2744" s="421"/>
      <c r="AB2744" s="421"/>
      <c r="AC2744" s="421"/>
      <c r="AD2744" s="421"/>
      <c r="AE2744" s="421"/>
      <c r="AF2744" s="421"/>
      <c r="AG2744" s="421"/>
      <c r="AH2744" s="421"/>
      <c r="AI2744" s="421"/>
      <c r="AJ2744" s="421"/>
      <c r="AK2744" s="421"/>
      <c r="AL2744" s="421"/>
    </row>
    <row r="2745" spans="1:38" hidden="1">
      <c r="A2745" s="408"/>
      <c r="B2745" s="83" t="e">
        <f t="array" ref="B2745">SUM(--(FREQUENCY(IF(C$2:C$3072=C2745, MATCH(D$2:D$3072, D$2:D$3072, 0)), ROW(D$2:D$3072)-ROW(D$2)+1) &gt; 0))</f>
        <v>#N/A</v>
      </c>
      <c r="C2745" s="408"/>
      <c r="D2745" s="408"/>
      <c r="E2745" s="408"/>
      <c r="F2745" s="408"/>
      <c r="G2745" s="408"/>
      <c r="H2745" s="408"/>
      <c r="I2745" s="408"/>
      <c r="J2745" s="408"/>
      <c r="K2745" s="408"/>
      <c r="L2745" s="408"/>
      <c r="M2745" s="408"/>
      <c r="N2745" s="408" t="str">
        <f t="shared" si="469"/>
        <v/>
      </c>
      <c r="O2745" s="408"/>
      <c r="P2745" s="408"/>
      <c r="Q2745" s="408"/>
      <c r="R2745" s="408"/>
      <c r="S2745" s="408"/>
      <c r="T2745" s="408"/>
      <c r="U2745" s="408"/>
      <c r="V2745" s="421"/>
      <c r="W2745" s="421"/>
      <c r="X2745" s="421"/>
      <c r="Y2745" s="421"/>
      <c r="Z2745" s="421"/>
      <c r="AA2745" s="421"/>
      <c r="AB2745" s="421"/>
      <c r="AC2745" s="421"/>
      <c r="AD2745" s="421"/>
      <c r="AE2745" s="421"/>
      <c r="AF2745" s="421"/>
      <c r="AG2745" s="421"/>
      <c r="AH2745" s="421"/>
      <c r="AI2745" s="421"/>
      <c r="AJ2745" s="421"/>
      <c r="AK2745" s="421"/>
      <c r="AL2745" s="421"/>
    </row>
    <row r="2746" spans="1:38" hidden="1">
      <c r="A2746" s="408"/>
      <c r="B2746" s="83" t="e">
        <f t="array" ref="B2746">SUM(--(FREQUENCY(IF(C$2:C$3072=C2746, MATCH(D$2:D$3072, D$2:D$3072, 0)), ROW(D$2:D$3072)-ROW(D$2)+1) &gt; 0))</f>
        <v>#N/A</v>
      </c>
      <c r="C2746" s="408"/>
      <c r="D2746" s="408"/>
      <c r="E2746" s="408"/>
      <c r="F2746" s="408"/>
      <c r="G2746" s="408"/>
      <c r="H2746" s="408"/>
      <c r="I2746" s="408"/>
      <c r="J2746" s="408"/>
      <c r="K2746" s="408"/>
      <c r="L2746" s="408"/>
      <c r="M2746" s="408"/>
      <c r="N2746" s="408" t="str">
        <f t="shared" si="469"/>
        <v/>
      </c>
      <c r="O2746" s="408"/>
      <c r="P2746" s="408"/>
      <c r="Q2746" s="408"/>
      <c r="R2746" s="408"/>
      <c r="S2746" s="408"/>
      <c r="T2746" s="408"/>
      <c r="U2746" s="408"/>
      <c r="V2746" s="421"/>
      <c r="W2746" s="421"/>
      <c r="X2746" s="421"/>
      <c r="Y2746" s="421"/>
      <c r="Z2746" s="421"/>
      <c r="AA2746" s="421"/>
      <c r="AB2746" s="421"/>
      <c r="AC2746" s="421"/>
      <c r="AD2746" s="421"/>
      <c r="AE2746" s="421"/>
      <c r="AF2746" s="421"/>
      <c r="AG2746" s="421"/>
      <c r="AH2746" s="421"/>
      <c r="AI2746" s="421"/>
      <c r="AJ2746" s="421"/>
      <c r="AK2746" s="421"/>
      <c r="AL2746" s="421"/>
    </row>
    <row r="2747" spans="1:38" hidden="1">
      <c r="A2747" s="408"/>
      <c r="B2747" s="83" t="e">
        <f t="array" ref="B2747">SUM(--(FREQUENCY(IF(C$2:C$3072=C2747, MATCH(D$2:D$3072, D$2:D$3072, 0)), ROW(D$2:D$3072)-ROW(D$2)+1) &gt; 0))</f>
        <v>#N/A</v>
      </c>
      <c r="C2747" s="408"/>
      <c r="D2747" s="408"/>
      <c r="E2747" s="408"/>
      <c r="F2747" s="408"/>
      <c r="G2747" s="408"/>
      <c r="H2747" s="408"/>
      <c r="I2747" s="408"/>
      <c r="J2747" s="408"/>
      <c r="K2747" s="408"/>
      <c r="L2747" s="408"/>
      <c r="M2747" s="408"/>
      <c r="N2747" s="408" t="str">
        <f t="shared" si="469"/>
        <v/>
      </c>
      <c r="O2747" s="408"/>
      <c r="P2747" s="408"/>
      <c r="Q2747" s="408"/>
      <c r="R2747" s="408"/>
      <c r="S2747" s="408"/>
      <c r="T2747" s="408"/>
      <c r="U2747" s="408"/>
      <c r="V2747" s="421"/>
      <c r="W2747" s="421"/>
      <c r="X2747" s="421"/>
      <c r="Y2747" s="421"/>
      <c r="Z2747" s="421"/>
      <c r="AA2747" s="421"/>
      <c r="AB2747" s="421"/>
      <c r="AC2747" s="421"/>
      <c r="AD2747" s="421"/>
      <c r="AE2747" s="421"/>
      <c r="AF2747" s="421"/>
      <c r="AG2747" s="421"/>
      <c r="AH2747" s="421"/>
      <c r="AI2747" s="421"/>
      <c r="AJ2747" s="421"/>
      <c r="AK2747" s="421"/>
      <c r="AL2747" s="421"/>
    </row>
    <row r="2748" spans="1:38" hidden="1">
      <c r="A2748" s="408"/>
      <c r="B2748" s="83" t="e">
        <f t="array" ref="B2748">SUM(--(FREQUENCY(IF(C$2:C$3072=C2748, MATCH(D$2:D$3072, D$2:D$3072, 0)), ROW(D$2:D$3072)-ROW(D$2)+1) &gt; 0))</f>
        <v>#N/A</v>
      </c>
      <c r="C2748" s="408"/>
      <c r="D2748" s="408"/>
      <c r="E2748" s="408"/>
      <c r="F2748" s="408"/>
      <c r="G2748" s="408"/>
      <c r="H2748" s="408"/>
      <c r="I2748" s="408"/>
      <c r="J2748" s="408"/>
      <c r="K2748" s="408"/>
      <c r="L2748" s="408"/>
      <c r="M2748" s="408"/>
      <c r="N2748" s="408" t="str">
        <f t="shared" si="469"/>
        <v/>
      </c>
      <c r="O2748" s="408"/>
      <c r="P2748" s="408"/>
      <c r="Q2748" s="408"/>
      <c r="R2748" s="408"/>
      <c r="S2748" s="408"/>
      <c r="T2748" s="408"/>
      <c r="U2748" s="408"/>
      <c r="V2748" s="421"/>
      <c r="W2748" s="421"/>
      <c r="X2748" s="421"/>
      <c r="Y2748" s="421"/>
      <c r="Z2748" s="421"/>
      <c r="AA2748" s="421"/>
      <c r="AB2748" s="421"/>
      <c r="AC2748" s="421"/>
      <c r="AD2748" s="421"/>
      <c r="AE2748" s="421"/>
      <c r="AF2748" s="421"/>
      <c r="AG2748" s="421"/>
      <c r="AH2748" s="421"/>
      <c r="AI2748" s="421"/>
      <c r="AJ2748" s="421"/>
      <c r="AK2748" s="421"/>
      <c r="AL2748" s="421"/>
    </row>
    <row r="2749" spans="1:38" hidden="1">
      <c r="A2749" s="408"/>
      <c r="B2749" s="83" t="e">
        <f t="array" ref="B2749">SUM(--(FREQUENCY(IF(C$2:C$3072=C2749, MATCH(D$2:D$3072, D$2:D$3072, 0)), ROW(D$2:D$3072)-ROW(D$2)+1) &gt; 0))</f>
        <v>#N/A</v>
      </c>
      <c r="C2749" s="408"/>
      <c r="D2749" s="408"/>
      <c r="E2749" s="408"/>
      <c r="F2749" s="408"/>
      <c r="G2749" s="408"/>
      <c r="H2749" s="408"/>
      <c r="I2749" s="408"/>
      <c r="J2749" s="408"/>
      <c r="K2749" s="408"/>
      <c r="L2749" s="408"/>
      <c r="M2749" s="408"/>
      <c r="N2749" s="408" t="str">
        <f t="shared" si="469"/>
        <v/>
      </c>
      <c r="O2749" s="408"/>
      <c r="P2749" s="408"/>
      <c r="Q2749" s="408"/>
      <c r="R2749" s="408"/>
      <c r="S2749" s="408"/>
      <c r="T2749" s="408"/>
      <c r="U2749" s="408"/>
      <c r="V2749" s="421"/>
      <c r="W2749" s="421"/>
      <c r="X2749" s="421"/>
      <c r="Y2749" s="421"/>
      <c r="Z2749" s="421"/>
      <c r="AA2749" s="421"/>
      <c r="AB2749" s="421"/>
      <c r="AC2749" s="421"/>
      <c r="AD2749" s="421"/>
      <c r="AE2749" s="421"/>
      <c r="AF2749" s="421"/>
      <c r="AG2749" s="421"/>
      <c r="AH2749" s="421"/>
      <c r="AI2749" s="421"/>
      <c r="AJ2749" s="421"/>
      <c r="AK2749" s="421"/>
      <c r="AL2749" s="421"/>
    </row>
    <row r="2750" spans="1:38" hidden="1">
      <c r="A2750" s="408"/>
      <c r="B2750" s="83" t="e">
        <f t="array" ref="B2750">SUM(--(FREQUENCY(IF(C$2:C$3072=C2750, MATCH(D$2:D$3072, D$2:D$3072, 0)), ROW(D$2:D$3072)-ROW(D$2)+1) &gt; 0))</f>
        <v>#N/A</v>
      </c>
      <c r="C2750" s="408"/>
      <c r="D2750" s="408"/>
      <c r="E2750" s="408"/>
      <c r="F2750" s="408"/>
      <c r="G2750" s="408"/>
      <c r="H2750" s="408"/>
      <c r="I2750" s="408"/>
      <c r="J2750" s="408"/>
      <c r="K2750" s="408"/>
      <c r="L2750" s="408"/>
      <c r="M2750" s="408"/>
      <c r="N2750" s="408" t="str">
        <f t="shared" si="469"/>
        <v/>
      </c>
      <c r="O2750" s="408"/>
      <c r="P2750" s="408"/>
      <c r="Q2750" s="408"/>
      <c r="R2750" s="408"/>
      <c r="S2750" s="408"/>
      <c r="T2750" s="408"/>
      <c r="U2750" s="408"/>
      <c r="V2750" s="421"/>
      <c r="W2750" s="421"/>
      <c r="X2750" s="421"/>
      <c r="Y2750" s="421"/>
      <c r="Z2750" s="421"/>
      <c r="AA2750" s="421"/>
      <c r="AB2750" s="421"/>
      <c r="AC2750" s="421"/>
      <c r="AD2750" s="421"/>
      <c r="AE2750" s="421"/>
      <c r="AF2750" s="421"/>
      <c r="AG2750" s="421"/>
      <c r="AH2750" s="421"/>
      <c r="AI2750" s="421"/>
      <c r="AJ2750" s="421"/>
      <c r="AK2750" s="421"/>
      <c r="AL2750" s="421"/>
    </row>
    <row r="2751" spans="1:38" hidden="1">
      <c r="A2751" s="408"/>
      <c r="B2751" s="83" t="e">
        <f t="array" ref="B2751">SUM(--(FREQUENCY(IF(C$2:C$3072=C2751, MATCH(D$2:D$3072, D$2:D$3072, 0)), ROW(D$2:D$3072)-ROW(D$2)+1) &gt; 0))</f>
        <v>#N/A</v>
      </c>
      <c r="C2751" s="408"/>
      <c r="D2751" s="408"/>
      <c r="E2751" s="408"/>
      <c r="F2751" s="408"/>
      <c r="G2751" s="408"/>
      <c r="H2751" s="408"/>
      <c r="I2751" s="408"/>
      <c r="J2751" s="408"/>
      <c r="K2751" s="408"/>
      <c r="L2751" s="408"/>
      <c r="M2751" s="408"/>
      <c r="N2751" s="408" t="str">
        <f t="shared" si="469"/>
        <v/>
      </c>
      <c r="O2751" s="408"/>
      <c r="P2751" s="408"/>
      <c r="Q2751" s="408"/>
      <c r="R2751" s="408"/>
      <c r="S2751" s="408"/>
      <c r="T2751" s="408"/>
      <c r="U2751" s="408"/>
      <c r="V2751" s="421"/>
      <c r="W2751" s="421"/>
      <c r="X2751" s="421"/>
      <c r="Y2751" s="421"/>
      <c r="Z2751" s="421"/>
      <c r="AA2751" s="421"/>
      <c r="AB2751" s="421"/>
      <c r="AC2751" s="421"/>
      <c r="AD2751" s="421"/>
      <c r="AE2751" s="421"/>
      <c r="AF2751" s="421"/>
      <c r="AG2751" s="421"/>
      <c r="AH2751" s="421"/>
      <c r="AI2751" s="421"/>
      <c r="AJ2751" s="421"/>
      <c r="AK2751" s="421"/>
      <c r="AL2751" s="421"/>
    </row>
    <row r="2752" spans="1:38" hidden="1">
      <c r="A2752" s="408"/>
      <c r="B2752" s="83" t="e">
        <f t="array" ref="B2752">SUM(--(FREQUENCY(IF(C$2:C$3072=C2752, MATCH(D$2:D$3072, D$2:D$3072, 0)), ROW(D$2:D$3072)-ROW(D$2)+1) &gt; 0))</f>
        <v>#N/A</v>
      </c>
      <c r="C2752" s="408"/>
      <c r="D2752" s="408"/>
      <c r="E2752" s="408"/>
      <c r="F2752" s="408"/>
      <c r="G2752" s="408"/>
      <c r="H2752" s="408"/>
      <c r="I2752" s="408"/>
      <c r="J2752" s="408"/>
      <c r="K2752" s="408"/>
      <c r="L2752" s="408"/>
      <c r="M2752" s="408"/>
      <c r="N2752" s="408" t="str">
        <f t="shared" ref="N2752:N2815" si="470">IF(O2752&lt;&gt;"", "NG", "")</f>
        <v/>
      </c>
      <c r="O2752" s="408"/>
      <c r="P2752" s="408"/>
      <c r="Q2752" s="408"/>
      <c r="R2752" s="408"/>
      <c r="S2752" s="408"/>
      <c r="T2752" s="408"/>
      <c r="U2752" s="408"/>
      <c r="V2752" s="421"/>
      <c r="W2752" s="421"/>
      <c r="X2752" s="421"/>
      <c r="Y2752" s="421"/>
      <c r="Z2752" s="421"/>
      <c r="AA2752" s="421"/>
      <c r="AB2752" s="421"/>
      <c r="AC2752" s="421"/>
      <c r="AD2752" s="421"/>
      <c r="AE2752" s="421"/>
      <c r="AF2752" s="421"/>
      <c r="AG2752" s="421"/>
      <c r="AH2752" s="421"/>
      <c r="AI2752" s="421"/>
      <c r="AJ2752" s="421"/>
      <c r="AK2752" s="421"/>
      <c r="AL2752" s="421"/>
    </row>
    <row r="2753" spans="1:38" hidden="1">
      <c r="A2753" s="408"/>
      <c r="B2753" s="83" t="e">
        <f t="array" ref="B2753">SUM(--(FREQUENCY(IF(C$2:C$3072=C2753, MATCH(D$2:D$3072, D$2:D$3072, 0)), ROW(D$2:D$3072)-ROW(D$2)+1) &gt; 0))</f>
        <v>#N/A</v>
      </c>
      <c r="C2753" s="408"/>
      <c r="D2753" s="408"/>
      <c r="E2753" s="408"/>
      <c r="F2753" s="408"/>
      <c r="G2753" s="408"/>
      <c r="H2753" s="408"/>
      <c r="I2753" s="408"/>
      <c r="J2753" s="408"/>
      <c r="K2753" s="408"/>
      <c r="L2753" s="408"/>
      <c r="M2753" s="408"/>
      <c r="N2753" s="408" t="str">
        <f t="shared" si="470"/>
        <v/>
      </c>
      <c r="O2753" s="408"/>
      <c r="P2753" s="408"/>
      <c r="Q2753" s="408"/>
      <c r="R2753" s="408"/>
      <c r="S2753" s="408"/>
      <c r="T2753" s="408"/>
      <c r="U2753" s="408"/>
      <c r="V2753" s="421"/>
      <c r="W2753" s="421"/>
      <c r="X2753" s="421"/>
      <c r="Y2753" s="421"/>
      <c r="Z2753" s="421"/>
      <c r="AA2753" s="421"/>
      <c r="AB2753" s="421"/>
      <c r="AC2753" s="421"/>
      <c r="AD2753" s="421"/>
      <c r="AE2753" s="421"/>
      <c r="AF2753" s="421"/>
      <c r="AG2753" s="421"/>
      <c r="AH2753" s="421"/>
      <c r="AI2753" s="421"/>
      <c r="AJ2753" s="421"/>
      <c r="AK2753" s="421"/>
      <c r="AL2753" s="421"/>
    </row>
    <row r="2754" spans="1:38" hidden="1">
      <c r="A2754" s="408"/>
      <c r="B2754" s="83" t="e">
        <f t="array" ref="B2754">SUM(--(FREQUENCY(IF(C$2:C$3072=C2754, MATCH(D$2:D$3072, D$2:D$3072, 0)), ROW(D$2:D$3072)-ROW(D$2)+1) &gt; 0))</f>
        <v>#N/A</v>
      </c>
      <c r="C2754" s="408"/>
      <c r="D2754" s="408"/>
      <c r="E2754" s="408"/>
      <c r="F2754" s="408"/>
      <c r="G2754" s="408"/>
      <c r="H2754" s="408"/>
      <c r="I2754" s="408"/>
      <c r="J2754" s="408"/>
      <c r="K2754" s="408"/>
      <c r="L2754" s="408"/>
      <c r="M2754" s="408"/>
      <c r="N2754" s="408" t="str">
        <f t="shared" si="470"/>
        <v/>
      </c>
      <c r="O2754" s="408"/>
      <c r="P2754" s="408"/>
      <c r="Q2754" s="408"/>
      <c r="R2754" s="408"/>
      <c r="S2754" s="408"/>
      <c r="T2754" s="408"/>
      <c r="U2754" s="408"/>
      <c r="V2754" s="421"/>
      <c r="W2754" s="421"/>
      <c r="X2754" s="421"/>
      <c r="Y2754" s="421"/>
      <c r="Z2754" s="421"/>
      <c r="AA2754" s="421"/>
      <c r="AB2754" s="421"/>
      <c r="AC2754" s="421"/>
      <c r="AD2754" s="421"/>
      <c r="AE2754" s="421"/>
      <c r="AF2754" s="421"/>
      <c r="AG2754" s="421"/>
      <c r="AH2754" s="421"/>
      <c r="AI2754" s="421"/>
      <c r="AJ2754" s="421"/>
      <c r="AK2754" s="421"/>
      <c r="AL2754" s="421"/>
    </row>
    <row r="2755" spans="1:38" hidden="1">
      <c r="A2755" s="408"/>
      <c r="B2755" s="83" t="e">
        <f t="array" ref="B2755">SUM(--(FREQUENCY(IF(C$2:C$3072=C2755, MATCH(D$2:D$3072, D$2:D$3072, 0)), ROW(D$2:D$3072)-ROW(D$2)+1) &gt; 0))</f>
        <v>#N/A</v>
      </c>
      <c r="C2755" s="408"/>
      <c r="D2755" s="408"/>
      <c r="E2755" s="408"/>
      <c r="F2755" s="408"/>
      <c r="G2755" s="408"/>
      <c r="H2755" s="408"/>
      <c r="I2755" s="408"/>
      <c r="J2755" s="408"/>
      <c r="K2755" s="408"/>
      <c r="L2755" s="408"/>
      <c r="M2755" s="408"/>
      <c r="N2755" s="408" t="str">
        <f t="shared" si="470"/>
        <v/>
      </c>
      <c r="O2755" s="408"/>
      <c r="P2755" s="408"/>
      <c r="Q2755" s="408"/>
      <c r="R2755" s="408"/>
      <c r="S2755" s="408"/>
      <c r="T2755" s="408"/>
      <c r="U2755" s="408"/>
      <c r="V2755" s="421"/>
      <c r="W2755" s="421"/>
      <c r="X2755" s="421"/>
      <c r="Y2755" s="421"/>
      <c r="Z2755" s="421"/>
      <c r="AA2755" s="421"/>
      <c r="AB2755" s="421"/>
      <c r="AC2755" s="421"/>
      <c r="AD2755" s="421"/>
      <c r="AE2755" s="421"/>
      <c r="AF2755" s="421"/>
      <c r="AG2755" s="421"/>
      <c r="AH2755" s="421"/>
      <c r="AI2755" s="421"/>
      <c r="AJ2755" s="421"/>
      <c r="AK2755" s="421"/>
      <c r="AL2755" s="421"/>
    </row>
    <row r="2756" spans="1:38" hidden="1">
      <c r="A2756" s="408"/>
      <c r="B2756" s="83" t="e">
        <f t="array" ref="B2756">SUM(--(FREQUENCY(IF(C$2:C$3072=C2756, MATCH(D$2:D$3072, D$2:D$3072, 0)), ROW(D$2:D$3072)-ROW(D$2)+1) &gt; 0))</f>
        <v>#N/A</v>
      </c>
      <c r="C2756" s="408"/>
      <c r="D2756" s="408"/>
      <c r="E2756" s="408"/>
      <c r="F2756" s="408"/>
      <c r="G2756" s="408"/>
      <c r="H2756" s="408"/>
      <c r="I2756" s="408"/>
      <c r="J2756" s="408"/>
      <c r="K2756" s="408"/>
      <c r="L2756" s="408"/>
      <c r="M2756" s="408"/>
      <c r="N2756" s="408" t="str">
        <f t="shared" si="470"/>
        <v/>
      </c>
      <c r="O2756" s="408"/>
      <c r="P2756" s="408"/>
      <c r="Q2756" s="408"/>
      <c r="R2756" s="408"/>
      <c r="S2756" s="408"/>
      <c r="T2756" s="408"/>
      <c r="U2756" s="408"/>
      <c r="V2756" s="421"/>
      <c r="W2756" s="421"/>
      <c r="X2756" s="421"/>
      <c r="Y2756" s="421"/>
      <c r="Z2756" s="421"/>
      <c r="AA2756" s="421"/>
      <c r="AB2756" s="421"/>
      <c r="AC2756" s="421"/>
      <c r="AD2756" s="421"/>
      <c r="AE2756" s="421"/>
      <c r="AF2756" s="421"/>
      <c r="AG2756" s="421"/>
      <c r="AH2756" s="421"/>
      <c r="AI2756" s="421"/>
      <c r="AJ2756" s="421"/>
      <c r="AK2756" s="421"/>
      <c r="AL2756" s="421"/>
    </row>
    <row r="2757" spans="1:38" hidden="1">
      <c r="A2757" s="408"/>
      <c r="B2757" s="83" t="e">
        <f t="array" ref="B2757">SUM(--(FREQUENCY(IF(C$2:C$3072=C2757, MATCH(D$2:D$3072, D$2:D$3072, 0)), ROW(D$2:D$3072)-ROW(D$2)+1) &gt; 0))</f>
        <v>#N/A</v>
      </c>
      <c r="C2757" s="408"/>
      <c r="D2757" s="408"/>
      <c r="E2757" s="408"/>
      <c r="F2757" s="408"/>
      <c r="G2757" s="408"/>
      <c r="H2757" s="408"/>
      <c r="I2757" s="408"/>
      <c r="J2757" s="408"/>
      <c r="K2757" s="408"/>
      <c r="L2757" s="408"/>
      <c r="M2757" s="408"/>
      <c r="N2757" s="408" t="str">
        <f t="shared" si="470"/>
        <v/>
      </c>
      <c r="O2757" s="408"/>
      <c r="P2757" s="408"/>
      <c r="Q2757" s="408"/>
      <c r="R2757" s="408"/>
      <c r="S2757" s="408"/>
      <c r="T2757" s="408"/>
      <c r="U2757" s="408"/>
      <c r="V2757" s="421"/>
      <c r="W2757" s="421"/>
      <c r="X2757" s="421"/>
      <c r="Y2757" s="421"/>
      <c r="Z2757" s="421"/>
      <c r="AA2757" s="421"/>
      <c r="AB2757" s="421"/>
      <c r="AC2757" s="421"/>
      <c r="AD2757" s="421"/>
      <c r="AE2757" s="421"/>
      <c r="AF2757" s="421"/>
      <c r="AG2757" s="421"/>
      <c r="AH2757" s="421"/>
      <c r="AI2757" s="421"/>
      <c r="AJ2757" s="421"/>
      <c r="AK2757" s="421"/>
      <c r="AL2757" s="421"/>
    </row>
    <row r="2758" spans="1:38" hidden="1">
      <c r="A2758" s="408"/>
      <c r="B2758" s="83" t="e">
        <f t="array" ref="B2758">SUM(--(FREQUENCY(IF(C$2:C$3072=C2758, MATCH(D$2:D$3072, D$2:D$3072, 0)), ROW(D$2:D$3072)-ROW(D$2)+1) &gt; 0))</f>
        <v>#N/A</v>
      </c>
      <c r="C2758" s="408"/>
      <c r="D2758" s="408"/>
      <c r="E2758" s="408"/>
      <c r="F2758" s="408"/>
      <c r="G2758" s="408"/>
      <c r="H2758" s="408"/>
      <c r="I2758" s="408"/>
      <c r="J2758" s="408"/>
      <c r="K2758" s="408"/>
      <c r="L2758" s="408"/>
      <c r="M2758" s="408"/>
      <c r="N2758" s="408" t="str">
        <f t="shared" si="470"/>
        <v/>
      </c>
      <c r="O2758" s="408"/>
      <c r="P2758" s="408"/>
      <c r="Q2758" s="408"/>
      <c r="R2758" s="408"/>
      <c r="S2758" s="408"/>
      <c r="T2758" s="408"/>
      <c r="U2758" s="408"/>
      <c r="V2758" s="421"/>
      <c r="W2758" s="421"/>
      <c r="X2758" s="421"/>
      <c r="Y2758" s="421"/>
      <c r="Z2758" s="421"/>
      <c r="AA2758" s="421"/>
      <c r="AB2758" s="421"/>
      <c r="AC2758" s="421"/>
      <c r="AD2758" s="421"/>
      <c r="AE2758" s="421"/>
      <c r="AF2758" s="421"/>
      <c r="AG2758" s="421"/>
      <c r="AH2758" s="421"/>
      <c r="AI2758" s="421"/>
      <c r="AJ2758" s="421"/>
      <c r="AK2758" s="421"/>
      <c r="AL2758" s="421"/>
    </row>
    <row r="2759" spans="1:38" hidden="1">
      <c r="A2759" s="408"/>
      <c r="B2759" s="83" t="e">
        <f t="array" ref="B2759">SUM(--(FREQUENCY(IF(C$2:C$3072=C2759, MATCH(D$2:D$3072, D$2:D$3072, 0)), ROW(D$2:D$3072)-ROW(D$2)+1) &gt; 0))</f>
        <v>#N/A</v>
      </c>
      <c r="C2759" s="408"/>
      <c r="D2759" s="408"/>
      <c r="E2759" s="408"/>
      <c r="F2759" s="408"/>
      <c r="G2759" s="408"/>
      <c r="H2759" s="408"/>
      <c r="I2759" s="408"/>
      <c r="J2759" s="408"/>
      <c r="K2759" s="408"/>
      <c r="L2759" s="408"/>
      <c r="M2759" s="408"/>
      <c r="N2759" s="408" t="str">
        <f t="shared" si="470"/>
        <v/>
      </c>
      <c r="O2759" s="408"/>
      <c r="P2759" s="408"/>
      <c r="Q2759" s="408"/>
      <c r="R2759" s="408"/>
      <c r="S2759" s="408"/>
      <c r="T2759" s="408"/>
      <c r="U2759" s="408"/>
      <c r="V2759" s="421"/>
      <c r="W2759" s="421"/>
      <c r="X2759" s="421"/>
      <c r="Y2759" s="421"/>
      <c r="Z2759" s="421"/>
      <c r="AA2759" s="421"/>
      <c r="AB2759" s="421"/>
      <c r="AC2759" s="421"/>
      <c r="AD2759" s="421"/>
      <c r="AE2759" s="421"/>
      <c r="AF2759" s="421"/>
      <c r="AG2759" s="421"/>
      <c r="AH2759" s="421"/>
      <c r="AI2759" s="421"/>
      <c r="AJ2759" s="421"/>
      <c r="AK2759" s="421"/>
      <c r="AL2759" s="421"/>
    </row>
    <row r="2760" spans="1:38" hidden="1">
      <c r="A2760" s="408"/>
      <c r="B2760" s="83" t="e">
        <f t="array" ref="B2760">SUM(--(FREQUENCY(IF(C$2:C$3072=C2760, MATCH(D$2:D$3072, D$2:D$3072, 0)), ROW(D$2:D$3072)-ROW(D$2)+1) &gt; 0))</f>
        <v>#N/A</v>
      </c>
      <c r="C2760" s="408"/>
      <c r="D2760" s="408"/>
      <c r="E2760" s="408"/>
      <c r="F2760" s="408"/>
      <c r="G2760" s="408"/>
      <c r="H2760" s="408"/>
      <c r="I2760" s="408"/>
      <c r="J2760" s="408"/>
      <c r="K2760" s="408"/>
      <c r="L2760" s="408"/>
      <c r="M2760" s="408"/>
      <c r="N2760" s="408" t="str">
        <f t="shared" si="470"/>
        <v/>
      </c>
      <c r="O2760" s="408"/>
      <c r="P2760" s="408"/>
      <c r="Q2760" s="408"/>
      <c r="R2760" s="408"/>
      <c r="S2760" s="408"/>
      <c r="T2760" s="408"/>
      <c r="U2760" s="408"/>
      <c r="V2760" s="421"/>
      <c r="W2760" s="421"/>
      <c r="X2760" s="421"/>
      <c r="Y2760" s="421"/>
      <c r="Z2760" s="421"/>
      <c r="AA2760" s="421"/>
      <c r="AB2760" s="421"/>
      <c r="AC2760" s="421"/>
      <c r="AD2760" s="421"/>
      <c r="AE2760" s="421"/>
      <c r="AF2760" s="421"/>
      <c r="AG2760" s="421"/>
      <c r="AH2760" s="421"/>
      <c r="AI2760" s="421"/>
      <c r="AJ2760" s="421"/>
      <c r="AK2760" s="421"/>
      <c r="AL2760" s="421"/>
    </row>
    <row r="2761" spans="1:38" hidden="1">
      <c r="A2761" s="408"/>
      <c r="B2761" s="83" t="e">
        <f t="array" ref="B2761">SUM(--(FREQUENCY(IF(C$2:C$3072=C2761, MATCH(D$2:D$3072, D$2:D$3072, 0)), ROW(D$2:D$3072)-ROW(D$2)+1) &gt; 0))</f>
        <v>#N/A</v>
      </c>
      <c r="C2761" s="408"/>
      <c r="D2761" s="408"/>
      <c r="E2761" s="408"/>
      <c r="F2761" s="408"/>
      <c r="G2761" s="408"/>
      <c r="H2761" s="408"/>
      <c r="I2761" s="408"/>
      <c r="J2761" s="408"/>
      <c r="K2761" s="408"/>
      <c r="L2761" s="408"/>
      <c r="M2761" s="408"/>
      <c r="N2761" s="408" t="str">
        <f t="shared" si="470"/>
        <v/>
      </c>
      <c r="O2761" s="408"/>
      <c r="P2761" s="408"/>
      <c r="Q2761" s="408"/>
      <c r="R2761" s="408"/>
      <c r="S2761" s="408"/>
      <c r="T2761" s="408"/>
      <c r="U2761" s="408"/>
      <c r="V2761" s="421"/>
      <c r="W2761" s="421"/>
      <c r="X2761" s="421"/>
      <c r="Y2761" s="421"/>
      <c r="Z2761" s="421"/>
      <c r="AA2761" s="421"/>
      <c r="AB2761" s="421"/>
      <c r="AC2761" s="421"/>
      <c r="AD2761" s="421"/>
      <c r="AE2761" s="421"/>
      <c r="AF2761" s="421"/>
      <c r="AG2761" s="421"/>
      <c r="AH2761" s="421"/>
      <c r="AI2761" s="421"/>
      <c r="AJ2761" s="421"/>
      <c r="AK2761" s="421"/>
      <c r="AL2761" s="421"/>
    </row>
    <row r="2762" spans="1:38" hidden="1">
      <c r="A2762" s="408"/>
      <c r="B2762" s="83" t="e">
        <f t="array" ref="B2762">SUM(--(FREQUENCY(IF(C$2:C$3072=C2762, MATCH(D$2:D$3072, D$2:D$3072, 0)), ROW(D$2:D$3072)-ROW(D$2)+1) &gt; 0))</f>
        <v>#N/A</v>
      </c>
      <c r="C2762" s="408"/>
      <c r="D2762" s="408"/>
      <c r="E2762" s="408"/>
      <c r="F2762" s="408"/>
      <c r="G2762" s="408"/>
      <c r="H2762" s="408"/>
      <c r="I2762" s="408"/>
      <c r="J2762" s="408"/>
      <c r="K2762" s="408"/>
      <c r="L2762" s="408"/>
      <c r="M2762" s="408"/>
      <c r="N2762" s="408" t="str">
        <f t="shared" si="470"/>
        <v/>
      </c>
      <c r="O2762" s="408"/>
      <c r="P2762" s="408"/>
      <c r="Q2762" s="408"/>
      <c r="R2762" s="408"/>
      <c r="S2762" s="408"/>
      <c r="T2762" s="408"/>
      <c r="U2762" s="408"/>
      <c r="V2762" s="421"/>
      <c r="W2762" s="421"/>
      <c r="X2762" s="421"/>
      <c r="Y2762" s="421"/>
      <c r="Z2762" s="421"/>
      <c r="AA2762" s="421"/>
      <c r="AB2762" s="421"/>
      <c r="AC2762" s="421"/>
      <c r="AD2762" s="421"/>
      <c r="AE2762" s="421"/>
      <c r="AF2762" s="421"/>
      <c r="AG2762" s="421"/>
      <c r="AH2762" s="421"/>
      <c r="AI2762" s="421"/>
      <c r="AJ2762" s="421"/>
      <c r="AK2762" s="421"/>
      <c r="AL2762" s="421"/>
    </row>
    <row r="2763" spans="1:38" hidden="1">
      <c r="A2763" s="408"/>
      <c r="B2763" s="83" t="e">
        <f t="array" ref="B2763">SUM(--(FREQUENCY(IF(C$2:C$3072=C2763, MATCH(D$2:D$3072, D$2:D$3072, 0)), ROW(D$2:D$3072)-ROW(D$2)+1) &gt; 0))</f>
        <v>#N/A</v>
      </c>
      <c r="C2763" s="408"/>
      <c r="D2763" s="408"/>
      <c r="E2763" s="408"/>
      <c r="F2763" s="408"/>
      <c r="G2763" s="408"/>
      <c r="H2763" s="408"/>
      <c r="I2763" s="408"/>
      <c r="J2763" s="408"/>
      <c r="K2763" s="408"/>
      <c r="L2763" s="408"/>
      <c r="M2763" s="408"/>
      <c r="N2763" s="408" t="str">
        <f t="shared" si="470"/>
        <v/>
      </c>
      <c r="O2763" s="408"/>
      <c r="P2763" s="408"/>
      <c r="Q2763" s="408"/>
      <c r="R2763" s="408"/>
      <c r="S2763" s="408"/>
      <c r="T2763" s="408"/>
      <c r="U2763" s="408"/>
      <c r="V2763" s="421"/>
      <c r="W2763" s="421"/>
      <c r="X2763" s="421"/>
      <c r="Y2763" s="421"/>
      <c r="Z2763" s="421"/>
      <c r="AA2763" s="421"/>
      <c r="AB2763" s="421"/>
      <c r="AC2763" s="421"/>
      <c r="AD2763" s="421"/>
      <c r="AE2763" s="421"/>
      <c r="AF2763" s="421"/>
      <c r="AG2763" s="421"/>
      <c r="AH2763" s="421"/>
      <c r="AI2763" s="421"/>
      <c r="AJ2763" s="421"/>
      <c r="AK2763" s="421"/>
      <c r="AL2763" s="421"/>
    </row>
    <row r="2764" spans="1:38" hidden="1">
      <c r="A2764" s="408"/>
      <c r="B2764" s="83" t="e">
        <f t="array" ref="B2764">SUM(--(FREQUENCY(IF(C$2:C$3072=C2764, MATCH(D$2:D$3072, D$2:D$3072, 0)), ROW(D$2:D$3072)-ROW(D$2)+1) &gt; 0))</f>
        <v>#N/A</v>
      </c>
      <c r="C2764" s="408"/>
      <c r="D2764" s="408"/>
      <c r="E2764" s="408"/>
      <c r="F2764" s="408"/>
      <c r="G2764" s="408"/>
      <c r="H2764" s="408"/>
      <c r="I2764" s="408"/>
      <c r="J2764" s="408"/>
      <c r="K2764" s="408"/>
      <c r="L2764" s="408"/>
      <c r="M2764" s="408"/>
      <c r="N2764" s="408" t="str">
        <f t="shared" si="470"/>
        <v/>
      </c>
      <c r="O2764" s="408"/>
      <c r="P2764" s="408"/>
      <c r="Q2764" s="408"/>
      <c r="R2764" s="408"/>
      <c r="S2764" s="408"/>
      <c r="T2764" s="408"/>
      <c r="U2764" s="408"/>
      <c r="V2764" s="421"/>
      <c r="W2764" s="421"/>
      <c r="X2764" s="421"/>
      <c r="Y2764" s="421"/>
      <c r="Z2764" s="421"/>
      <c r="AA2764" s="421"/>
      <c r="AB2764" s="421"/>
      <c r="AC2764" s="421"/>
      <c r="AD2764" s="421"/>
      <c r="AE2764" s="421"/>
      <c r="AF2764" s="421"/>
      <c r="AG2764" s="421"/>
      <c r="AH2764" s="421"/>
      <c r="AI2764" s="421"/>
      <c r="AJ2764" s="421"/>
      <c r="AK2764" s="421"/>
      <c r="AL2764" s="421"/>
    </row>
    <row r="2765" spans="1:38" hidden="1">
      <c r="A2765" s="408"/>
      <c r="B2765" s="83" t="e">
        <f t="array" ref="B2765">SUM(--(FREQUENCY(IF(C$2:C$3072=C2765, MATCH(D$2:D$3072, D$2:D$3072, 0)), ROW(D$2:D$3072)-ROW(D$2)+1) &gt; 0))</f>
        <v>#N/A</v>
      </c>
      <c r="C2765" s="408"/>
      <c r="D2765" s="408"/>
      <c r="E2765" s="408"/>
      <c r="F2765" s="408"/>
      <c r="G2765" s="408"/>
      <c r="H2765" s="408"/>
      <c r="I2765" s="408"/>
      <c r="J2765" s="408"/>
      <c r="K2765" s="408"/>
      <c r="L2765" s="408"/>
      <c r="M2765" s="408"/>
      <c r="N2765" s="408" t="str">
        <f t="shared" si="470"/>
        <v/>
      </c>
      <c r="O2765" s="408"/>
      <c r="P2765" s="408"/>
      <c r="Q2765" s="408"/>
      <c r="R2765" s="408"/>
      <c r="S2765" s="408"/>
      <c r="T2765" s="408"/>
      <c r="U2765" s="408"/>
      <c r="V2765" s="421"/>
      <c r="W2765" s="421"/>
      <c r="X2765" s="421"/>
      <c r="Y2765" s="421"/>
      <c r="Z2765" s="421"/>
      <c r="AA2765" s="421"/>
      <c r="AB2765" s="421"/>
      <c r="AC2765" s="421"/>
      <c r="AD2765" s="421"/>
      <c r="AE2765" s="421"/>
      <c r="AF2765" s="421"/>
      <c r="AG2765" s="421"/>
      <c r="AH2765" s="421"/>
      <c r="AI2765" s="421"/>
      <c r="AJ2765" s="421"/>
      <c r="AK2765" s="421"/>
      <c r="AL2765" s="421"/>
    </row>
    <row r="2766" spans="1:38" hidden="1">
      <c r="A2766" s="408"/>
      <c r="B2766" s="83" t="e">
        <f t="array" ref="B2766">SUM(--(FREQUENCY(IF(C$2:C$3072=C2766, MATCH(D$2:D$3072, D$2:D$3072, 0)), ROW(D$2:D$3072)-ROW(D$2)+1) &gt; 0))</f>
        <v>#N/A</v>
      </c>
      <c r="C2766" s="408"/>
      <c r="D2766" s="408"/>
      <c r="E2766" s="408"/>
      <c r="F2766" s="408"/>
      <c r="G2766" s="408"/>
      <c r="H2766" s="408"/>
      <c r="I2766" s="408"/>
      <c r="J2766" s="408"/>
      <c r="K2766" s="408"/>
      <c r="L2766" s="408"/>
      <c r="M2766" s="408"/>
      <c r="N2766" s="408" t="str">
        <f t="shared" si="470"/>
        <v/>
      </c>
      <c r="O2766" s="408"/>
      <c r="P2766" s="408"/>
      <c r="Q2766" s="408"/>
      <c r="R2766" s="408"/>
      <c r="S2766" s="408"/>
      <c r="T2766" s="408"/>
      <c r="U2766" s="408"/>
      <c r="V2766" s="421"/>
      <c r="W2766" s="421"/>
      <c r="X2766" s="421"/>
      <c r="Y2766" s="421"/>
      <c r="Z2766" s="421"/>
      <c r="AA2766" s="421"/>
      <c r="AB2766" s="421"/>
      <c r="AC2766" s="421"/>
      <c r="AD2766" s="421"/>
      <c r="AE2766" s="421"/>
      <c r="AF2766" s="421"/>
      <c r="AG2766" s="421"/>
      <c r="AH2766" s="421"/>
      <c r="AI2766" s="421"/>
      <c r="AJ2766" s="421"/>
      <c r="AK2766" s="421"/>
      <c r="AL2766" s="421"/>
    </row>
    <row r="2767" spans="1:38" hidden="1">
      <c r="A2767" s="408"/>
      <c r="B2767" s="83" t="e">
        <f t="array" ref="B2767">SUM(--(FREQUENCY(IF(C$2:C$3072=C2767, MATCH(D$2:D$3072, D$2:D$3072, 0)), ROW(D$2:D$3072)-ROW(D$2)+1) &gt; 0))</f>
        <v>#N/A</v>
      </c>
      <c r="C2767" s="408"/>
      <c r="D2767" s="408"/>
      <c r="E2767" s="408"/>
      <c r="F2767" s="408"/>
      <c r="G2767" s="408"/>
      <c r="H2767" s="408"/>
      <c r="I2767" s="408"/>
      <c r="J2767" s="408"/>
      <c r="K2767" s="408"/>
      <c r="L2767" s="408"/>
      <c r="M2767" s="408"/>
      <c r="N2767" s="408" t="str">
        <f t="shared" si="470"/>
        <v/>
      </c>
      <c r="O2767" s="408"/>
      <c r="P2767" s="408"/>
      <c r="Q2767" s="408"/>
      <c r="R2767" s="408"/>
      <c r="S2767" s="408"/>
      <c r="T2767" s="408"/>
      <c r="U2767" s="408"/>
      <c r="V2767" s="421"/>
      <c r="W2767" s="421"/>
      <c r="X2767" s="421"/>
      <c r="Y2767" s="421"/>
      <c r="Z2767" s="421"/>
      <c r="AA2767" s="421"/>
      <c r="AB2767" s="421"/>
      <c r="AC2767" s="421"/>
      <c r="AD2767" s="421"/>
      <c r="AE2767" s="421"/>
      <c r="AF2767" s="421"/>
      <c r="AG2767" s="421"/>
      <c r="AH2767" s="421"/>
      <c r="AI2767" s="421"/>
      <c r="AJ2767" s="421"/>
      <c r="AK2767" s="421"/>
      <c r="AL2767" s="421"/>
    </row>
    <row r="2768" spans="1:38" hidden="1">
      <c r="A2768" s="408"/>
      <c r="B2768" s="83" t="e">
        <f t="array" ref="B2768">SUM(--(FREQUENCY(IF(C$2:C$3072=C2768, MATCH(D$2:D$3072, D$2:D$3072, 0)), ROW(D$2:D$3072)-ROW(D$2)+1) &gt; 0))</f>
        <v>#N/A</v>
      </c>
      <c r="C2768" s="408"/>
      <c r="D2768" s="408"/>
      <c r="E2768" s="408"/>
      <c r="F2768" s="408"/>
      <c r="G2768" s="408"/>
      <c r="H2768" s="408"/>
      <c r="I2768" s="408"/>
      <c r="J2768" s="408"/>
      <c r="K2768" s="408"/>
      <c r="L2768" s="408"/>
      <c r="M2768" s="408"/>
      <c r="N2768" s="408" t="str">
        <f t="shared" si="470"/>
        <v/>
      </c>
      <c r="O2768" s="408"/>
      <c r="P2768" s="408"/>
      <c r="Q2768" s="408"/>
      <c r="R2768" s="408"/>
      <c r="S2768" s="408"/>
      <c r="T2768" s="408"/>
      <c r="U2768" s="408"/>
      <c r="V2768" s="421"/>
      <c r="W2768" s="421"/>
      <c r="X2768" s="421"/>
      <c r="Y2768" s="421"/>
      <c r="Z2768" s="421"/>
      <c r="AA2768" s="421"/>
      <c r="AB2768" s="421"/>
      <c r="AC2768" s="421"/>
      <c r="AD2768" s="421"/>
      <c r="AE2768" s="421"/>
      <c r="AF2768" s="421"/>
      <c r="AG2768" s="421"/>
      <c r="AH2768" s="421"/>
      <c r="AI2768" s="421"/>
      <c r="AJ2768" s="421"/>
      <c r="AK2768" s="421"/>
      <c r="AL2768" s="421"/>
    </row>
    <row r="2769" spans="1:38" hidden="1">
      <c r="A2769" s="408"/>
      <c r="B2769" s="83" t="e">
        <f t="array" ref="B2769">SUM(--(FREQUENCY(IF(C$2:C$3072=C2769, MATCH(D$2:D$3072, D$2:D$3072, 0)), ROW(D$2:D$3072)-ROW(D$2)+1) &gt; 0))</f>
        <v>#N/A</v>
      </c>
      <c r="C2769" s="408"/>
      <c r="D2769" s="408"/>
      <c r="E2769" s="408"/>
      <c r="F2769" s="408"/>
      <c r="G2769" s="408"/>
      <c r="H2769" s="408"/>
      <c r="I2769" s="408"/>
      <c r="J2769" s="408"/>
      <c r="K2769" s="408"/>
      <c r="L2769" s="408"/>
      <c r="M2769" s="408"/>
      <c r="N2769" s="408" t="str">
        <f t="shared" si="470"/>
        <v/>
      </c>
      <c r="O2769" s="408"/>
      <c r="P2769" s="408"/>
      <c r="Q2769" s="408"/>
      <c r="R2769" s="408"/>
      <c r="S2769" s="408"/>
      <c r="T2769" s="408"/>
      <c r="U2769" s="408"/>
      <c r="V2769" s="421"/>
      <c r="W2769" s="421"/>
      <c r="X2769" s="421"/>
      <c r="Y2769" s="421"/>
      <c r="Z2769" s="421"/>
      <c r="AA2769" s="421"/>
      <c r="AB2769" s="421"/>
      <c r="AC2769" s="421"/>
      <c r="AD2769" s="421"/>
      <c r="AE2769" s="421"/>
      <c r="AF2769" s="421"/>
      <c r="AG2769" s="421"/>
      <c r="AH2769" s="421"/>
      <c r="AI2769" s="421"/>
      <c r="AJ2769" s="421"/>
      <c r="AK2769" s="421"/>
      <c r="AL2769" s="421"/>
    </row>
    <row r="2770" spans="1:38" hidden="1">
      <c r="A2770" s="408"/>
      <c r="B2770" s="83" t="e">
        <f t="array" ref="B2770">SUM(--(FREQUENCY(IF(C$2:C$3072=C2770, MATCH(D$2:D$3072, D$2:D$3072, 0)), ROW(D$2:D$3072)-ROW(D$2)+1) &gt; 0))</f>
        <v>#N/A</v>
      </c>
      <c r="C2770" s="408"/>
      <c r="D2770" s="408"/>
      <c r="E2770" s="408"/>
      <c r="F2770" s="408"/>
      <c r="G2770" s="408"/>
      <c r="H2770" s="408"/>
      <c r="I2770" s="408"/>
      <c r="J2770" s="408"/>
      <c r="K2770" s="408"/>
      <c r="L2770" s="408"/>
      <c r="M2770" s="408"/>
      <c r="N2770" s="408" t="str">
        <f t="shared" si="470"/>
        <v/>
      </c>
      <c r="O2770" s="408"/>
      <c r="P2770" s="408"/>
      <c r="Q2770" s="408"/>
      <c r="R2770" s="408"/>
      <c r="S2770" s="408"/>
      <c r="T2770" s="408"/>
      <c r="U2770" s="408"/>
      <c r="V2770" s="421"/>
      <c r="W2770" s="421"/>
      <c r="X2770" s="421"/>
      <c r="Y2770" s="421"/>
      <c r="Z2770" s="421"/>
      <c r="AA2770" s="421"/>
      <c r="AB2770" s="421"/>
      <c r="AC2770" s="421"/>
      <c r="AD2770" s="421"/>
      <c r="AE2770" s="421"/>
      <c r="AF2770" s="421"/>
      <c r="AG2770" s="421"/>
      <c r="AH2770" s="421"/>
      <c r="AI2770" s="421"/>
      <c r="AJ2770" s="421"/>
      <c r="AK2770" s="421"/>
      <c r="AL2770" s="421"/>
    </row>
    <row r="2771" spans="1:38" hidden="1">
      <c r="A2771" s="408"/>
      <c r="B2771" s="83" t="e">
        <f t="array" ref="B2771">SUM(--(FREQUENCY(IF(C$2:C$3072=C2771, MATCH(D$2:D$3072, D$2:D$3072, 0)), ROW(D$2:D$3072)-ROW(D$2)+1) &gt; 0))</f>
        <v>#N/A</v>
      </c>
      <c r="C2771" s="408"/>
      <c r="D2771" s="408"/>
      <c r="E2771" s="408"/>
      <c r="F2771" s="408"/>
      <c r="G2771" s="408"/>
      <c r="H2771" s="408"/>
      <c r="I2771" s="408"/>
      <c r="J2771" s="408"/>
      <c r="K2771" s="408"/>
      <c r="L2771" s="408"/>
      <c r="M2771" s="408"/>
      <c r="N2771" s="408" t="str">
        <f t="shared" si="470"/>
        <v/>
      </c>
      <c r="O2771" s="408"/>
      <c r="P2771" s="408"/>
      <c r="Q2771" s="408"/>
      <c r="R2771" s="408"/>
      <c r="S2771" s="408"/>
      <c r="T2771" s="408"/>
      <c r="U2771" s="408"/>
      <c r="V2771" s="421"/>
      <c r="W2771" s="421"/>
      <c r="X2771" s="421"/>
      <c r="Y2771" s="421"/>
      <c r="Z2771" s="421"/>
      <c r="AA2771" s="421"/>
      <c r="AB2771" s="421"/>
      <c r="AC2771" s="421"/>
      <c r="AD2771" s="421"/>
      <c r="AE2771" s="421"/>
      <c r="AF2771" s="421"/>
      <c r="AG2771" s="421"/>
      <c r="AH2771" s="421"/>
      <c r="AI2771" s="421"/>
      <c r="AJ2771" s="421"/>
      <c r="AK2771" s="421"/>
      <c r="AL2771" s="421"/>
    </row>
    <row r="2772" spans="1:38" hidden="1">
      <c r="A2772" s="408"/>
      <c r="B2772" s="83" t="e">
        <f t="array" ref="B2772">SUM(--(FREQUENCY(IF(C$2:C$3072=C2772, MATCH(D$2:D$3072, D$2:D$3072, 0)), ROW(D$2:D$3072)-ROW(D$2)+1) &gt; 0))</f>
        <v>#N/A</v>
      </c>
      <c r="C2772" s="408"/>
      <c r="D2772" s="408"/>
      <c r="E2772" s="408"/>
      <c r="F2772" s="408"/>
      <c r="G2772" s="408"/>
      <c r="H2772" s="408"/>
      <c r="I2772" s="408"/>
      <c r="J2772" s="408"/>
      <c r="K2772" s="408"/>
      <c r="L2772" s="408"/>
      <c r="M2772" s="408"/>
      <c r="N2772" s="408" t="str">
        <f t="shared" si="470"/>
        <v/>
      </c>
      <c r="O2772" s="408"/>
      <c r="P2772" s="408"/>
      <c r="Q2772" s="408"/>
      <c r="R2772" s="408"/>
      <c r="S2772" s="408"/>
      <c r="T2772" s="408"/>
      <c r="U2772" s="408"/>
      <c r="V2772" s="421"/>
      <c r="W2772" s="421"/>
      <c r="X2772" s="421"/>
      <c r="Y2772" s="421"/>
      <c r="Z2772" s="421"/>
      <c r="AA2772" s="421"/>
      <c r="AB2772" s="421"/>
      <c r="AC2772" s="421"/>
      <c r="AD2772" s="421"/>
      <c r="AE2772" s="421"/>
      <c r="AF2772" s="421"/>
      <c r="AG2772" s="421"/>
      <c r="AH2772" s="421"/>
      <c r="AI2772" s="421"/>
      <c r="AJ2772" s="421"/>
      <c r="AK2772" s="421"/>
      <c r="AL2772" s="421"/>
    </row>
    <row r="2773" spans="1:38" hidden="1">
      <c r="A2773" s="408"/>
      <c r="B2773" s="83" t="e">
        <f t="array" ref="B2773">SUM(--(FREQUENCY(IF(C$2:C$3072=C2773, MATCH(D$2:D$3072, D$2:D$3072, 0)), ROW(D$2:D$3072)-ROW(D$2)+1) &gt; 0))</f>
        <v>#N/A</v>
      </c>
      <c r="C2773" s="408"/>
      <c r="D2773" s="408"/>
      <c r="E2773" s="408"/>
      <c r="F2773" s="408"/>
      <c r="G2773" s="408"/>
      <c r="H2773" s="408"/>
      <c r="I2773" s="408"/>
      <c r="J2773" s="408"/>
      <c r="K2773" s="408"/>
      <c r="L2773" s="408"/>
      <c r="M2773" s="408"/>
      <c r="N2773" s="408" t="str">
        <f t="shared" si="470"/>
        <v/>
      </c>
      <c r="O2773" s="408"/>
      <c r="P2773" s="408"/>
      <c r="Q2773" s="408"/>
      <c r="R2773" s="408"/>
      <c r="S2773" s="408"/>
      <c r="T2773" s="408"/>
      <c r="U2773" s="408"/>
      <c r="V2773" s="421"/>
      <c r="W2773" s="421"/>
      <c r="X2773" s="421"/>
      <c r="Y2773" s="421"/>
      <c r="Z2773" s="421"/>
      <c r="AA2773" s="421"/>
      <c r="AB2773" s="421"/>
      <c r="AC2773" s="421"/>
      <c r="AD2773" s="421"/>
      <c r="AE2773" s="421"/>
      <c r="AF2773" s="421"/>
      <c r="AG2773" s="421"/>
      <c r="AH2773" s="421"/>
      <c r="AI2773" s="421"/>
      <c r="AJ2773" s="421"/>
      <c r="AK2773" s="421"/>
      <c r="AL2773" s="421"/>
    </row>
    <row r="2774" spans="1:38" hidden="1">
      <c r="A2774" s="408"/>
      <c r="B2774" s="83" t="e">
        <f t="array" ref="B2774">SUM(--(FREQUENCY(IF(C$2:C$3072=C2774, MATCH(D$2:D$3072, D$2:D$3072, 0)), ROW(D$2:D$3072)-ROW(D$2)+1) &gt; 0))</f>
        <v>#N/A</v>
      </c>
      <c r="C2774" s="408"/>
      <c r="D2774" s="408"/>
      <c r="E2774" s="408"/>
      <c r="F2774" s="408"/>
      <c r="G2774" s="408"/>
      <c r="H2774" s="408"/>
      <c r="I2774" s="408"/>
      <c r="J2774" s="408"/>
      <c r="K2774" s="408"/>
      <c r="L2774" s="408"/>
      <c r="M2774" s="408"/>
      <c r="N2774" s="408" t="str">
        <f t="shared" si="470"/>
        <v/>
      </c>
      <c r="O2774" s="408"/>
      <c r="P2774" s="408"/>
      <c r="Q2774" s="408"/>
      <c r="R2774" s="408"/>
      <c r="S2774" s="408"/>
      <c r="T2774" s="408"/>
      <c r="U2774" s="408"/>
      <c r="V2774" s="421"/>
      <c r="W2774" s="421"/>
      <c r="X2774" s="421"/>
      <c r="Y2774" s="421"/>
      <c r="Z2774" s="421"/>
      <c r="AA2774" s="421"/>
      <c r="AB2774" s="421"/>
      <c r="AC2774" s="421"/>
      <c r="AD2774" s="421"/>
      <c r="AE2774" s="421"/>
      <c r="AF2774" s="421"/>
      <c r="AG2774" s="421"/>
      <c r="AH2774" s="421"/>
      <c r="AI2774" s="421"/>
      <c r="AJ2774" s="421"/>
      <c r="AK2774" s="421"/>
      <c r="AL2774" s="421"/>
    </row>
    <row r="2775" spans="1:38" hidden="1">
      <c r="A2775" s="408"/>
      <c r="B2775" s="83" t="e">
        <f t="array" ref="B2775">SUM(--(FREQUENCY(IF(C$2:C$3072=C2775, MATCH(D$2:D$3072, D$2:D$3072, 0)), ROW(D$2:D$3072)-ROW(D$2)+1) &gt; 0))</f>
        <v>#N/A</v>
      </c>
      <c r="C2775" s="408"/>
      <c r="D2775" s="408"/>
      <c r="E2775" s="408"/>
      <c r="F2775" s="408"/>
      <c r="G2775" s="408"/>
      <c r="H2775" s="408"/>
      <c r="I2775" s="408"/>
      <c r="J2775" s="408"/>
      <c r="K2775" s="408"/>
      <c r="L2775" s="408"/>
      <c r="M2775" s="408"/>
      <c r="N2775" s="408" t="str">
        <f t="shared" si="470"/>
        <v/>
      </c>
      <c r="O2775" s="408"/>
      <c r="P2775" s="408"/>
      <c r="Q2775" s="408"/>
      <c r="R2775" s="408"/>
      <c r="S2775" s="408"/>
      <c r="T2775" s="408"/>
      <c r="U2775" s="408"/>
      <c r="V2775" s="421"/>
      <c r="W2775" s="421"/>
      <c r="X2775" s="421"/>
      <c r="Y2775" s="421"/>
      <c r="Z2775" s="421"/>
      <c r="AA2775" s="421"/>
      <c r="AB2775" s="421"/>
      <c r="AC2775" s="421"/>
      <c r="AD2775" s="421"/>
      <c r="AE2775" s="421"/>
      <c r="AF2775" s="421"/>
      <c r="AG2775" s="421"/>
      <c r="AH2775" s="421"/>
      <c r="AI2775" s="421"/>
      <c r="AJ2775" s="421"/>
      <c r="AK2775" s="421"/>
      <c r="AL2775" s="421"/>
    </row>
    <row r="2776" spans="1:38" hidden="1">
      <c r="A2776" s="408"/>
      <c r="B2776" s="83" t="e">
        <f t="array" ref="B2776">SUM(--(FREQUENCY(IF(C$2:C$3072=C2776, MATCH(D$2:D$3072, D$2:D$3072, 0)), ROW(D$2:D$3072)-ROW(D$2)+1) &gt; 0))</f>
        <v>#N/A</v>
      </c>
      <c r="C2776" s="408"/>
      <c r="D2776" s="408"/>
      <c r="E2776" s="408"/>
      <c r="F2776" s="408"/>
      <c r="G2776" s="408"/>
      <c r="H2776" s="408"/>
      <c r="I2776" s="408"/>
      <c r="J2776" s="408"/>
      <c r="K2776" s="408"/>
      <c r="L2776" s="408"/>
      <c r="M2776" s="408"/>
      <c r="N2776" s="408" t="str">
        <f t="shared" si="470"/>
        <v/>
      </c>
      <c r="O2776" s="408"/>
      <c r="P2776" s="408"/>
      <c r="Q2776" s="408"/>
      <c r="R2776" s="408"/>
      <c r="S2776" s="408"/>
      <c r="T2776" s="408"/>
      <c r="U2776" s="408"/>
      <c r="V2776" s="421"/>
      <c r="W2776" s="421"/>
      <c r="X2776" s="421"/>
      <c r="Y2776" s="421"/>
      <c r="Z2776" s="421"/>
      <c r="AA2776" s="421"/>
      <c r="AB2776" s="421"/>
      <c r="AC2776" s="421"/>
      <c r="AD2776" s="421"/>
      <c r="AE2776" s="421"/>
      <c r="AF2776" s="421"/>
      <c r="AG2776" s="421"/>
      <c r="AH2776" s="421"/>
      <c r="AI2776" s="421"/>
      <c r="AJ2776" s="421"/>
      <c r="AK2776" s="421"/>
      <c r="AL2776" s="421"/>
    </row>
    <row r="2777" spans="1:38" hidden="1">
      <c r="A2777" s="408"/>
      <c r="B2777" s="83" t="e">
        <f t="array" ref="B2777">SUM(--(FREQUENCY(IF(C$2:C$3072=C2777, MATCH(D$2:D$3072, D$2:D$3072, 0)), ROW(D$2:D$3072)-ROW(D$2)+1) &gt; 0))</f>
        <v>#N/A</v>
      </c>
      <c r="C2777" s="408"/>
      <c r="D2777" s="408"/>
      <c r="E2777" s="408"/>
      <c r="F2777" s="408"/>
      <c r="G2777" s="408"/>
      <c r="H2777" s="408"/>
      <c r="I2777" s="408"/>
      <c r="J2777" s="408"/>
      <c r="K2777" s="408"/>
      <c r="L2777" s="408"/>
      <c r="M2777" s="408"/>
      <c r="N2777" s="408" t="str">
        <f t="shared" si="470"/>
        <v/>
      </c>
      <c r="O2777" s="408"/>
      <c r="P2777" s="408"/>
      <c r="Q2777" s="408"/>
      <c r="R2777" s="408"/>
      <c r="S2777" s="408"/>
      <c r="T2777" s="408"/>
      <c r="U2777" s="408"/>
      <c r="V2777" s="421"/>
      <c r="W2777" s="421"/>
      <c r="X2777" s="421"/>
      <c r="Y2777" s="421"/>
      <c r="Z2777" s="421"/>
      <c r="AA2777" s="421"/>
      <c r="AB2777" s="421"/>
      <c r="AC2777" s="421"/>
      <c r="AD2777" s="421"/>
      <c r="AE2777" s="421"/>
      <c r="AF2777" s="421"/>
      <c r="AG2777" s="421"/>
      <c r="AH2777" s="421"/>
      <c r="AI2777" s="421"/>
      <c r="AJ2777" s="421"/>
      <c r="AK2777" s="421"/>
      <c r="AL2777" s="421"/>
    </row>
    <row r="2778" spans="1:38" hidden="1">
      <c r="A2778" s="408"/>
      <c r="B2778" s="83" t="e">
        <f t="array" ref="B2778">SUM(--(FREQUENCY(IF(C$2:C$3072=C2778, MATCH(D$2:D$3072, D$2:D$3072, 0)), ROW(D$2:D$3072)-ROW(D$2)+1) &gt; 0))</f>
        <v>#N/A</v>
      </c>
      <c r="C2778" s="408"/>
      <c r="D2778" s="408"/>
      <c r="E2778" s="408"/>
      <c r="F2778" s="408"/>
      <c r="G2778" s="408"/>
      <c r="H2778" s="408"/>
      <c r="I2778" s="408"/>
      <c r="J2778" s="408"/>
      <c r="K2778" s="408"/>
      <c r="L2778" s="408"/>
      <c r="M2778" s="408"/>
      <c r="N2778" s="408" t="str">
        <f t="shared" si="470"/>
        <v/>
      </c>
      <c r="O2778" s="408"/>
      <c r="P2778" s="408"/>
      <c r="Q2778" s="408"/>
      <c r="R2778" s="408"/>
      <c r="S2778" s="408"/>
      <c r="T2778" s="408"/>
      <c r="U2778" s="408"/>
      <c r="V2778" s="421"/>
      <c r="W2778" s="421"/>
      <c r="X2778" s="421"/>
      <c r="Y2778" s="421"/>
      <c r="Z2778" s="421"/>
      <c r="AA2778" s="421"/>
      <c r="AB2778" s="421"/>
      <c r="AC2778" s="421"/>
      <c r="AD2778" s="421"/>
      <c r="AE2778" s="421"/>
      <c r="AF2778" s="421"/>
      <c r="AG2778" s="421"/>
      <c r="AH2778" s="421"/>
      <c r="AI2778" s="421"/>
      <c r="AJ2778" s="421"/>
      <c r="AK2778" s="421"/>
      <c r="AL2778" s="421"/>
    </row>
    <row r="2779" spans="1:38" hidden="1">
      <c r="A2779" s="408"/>
      <c r="B2779" s="83" t="e">
        <f t="array" ref="B2779">SUM(--(FREQUENCY(IF(C$2:C$3072=C2779, MATCH(D$2:D$3072, D$2:D$3072, 0)), ROW(D$2:D$3072)-ROW(D$2)+1) &gt; 0))</f>
        <v>#N/A</v>
      </c>
      <c r="C2779" s="408"/>
      <c r="D2779" s="408"/>
      <c r="E2779" s="408"/>
      <c r="F2779" s="408"/>
      <c r="G2779" s="408"/>
      <c r="H2779" s="408"/>
      <c r="I2779" s="408"/>
      <c r="J2779" s="408"/>
      <c r="K2779" s="408"/>
      <c r="L2779" s="408"/>
      <c r="M2779" s="408"/>
      <c r="N2779" s="408" t="str">
        <f t="shared" si="470"/>
        <v/>
      </c>
      <c r="O2779" s="408"/>
      <c r="P2779" s="408"/>
      <c r="Q2779" s="408"/>
      <c r="R2779" s="408"/>
      <c r="S2779" s="408"/>
      <c r="T2779" s="408"/>
      <c r="U2779" s="408"/>
      <c r="V2779" s="421"/>
      <c r="W2779" s="421"/>
      <c r="X2779" s="421"/>
      <c r="Y2779" s="421"/>
      <c r="Z2779" s="421"/>
      <c r="AA2779" s="421"/>
      <c r="AB2779" s="421"/>
      <c r="AC2779" s="421"/>
      <c r="AD2779" s="421"/>
      <c r="AE2779" s="421"/>
      <c r="AF2779" s="421"/>
      <c r="AG2779" s="421"/>
      <c r="AH2779" s="421"/>
      <c r="AI2779" s="421"/>
      <c r="AJ2779" s="421"/>
      <c r="AK2779" s="421"/>
      <c r="AL2779" s="421"/>
    </row>
    <row r="2780" spans="1:38" hidden="1">
      <c r="A2780" s="408"/>
      <c r="B2780" s="83" t="e">
        <f t="array" ref="B2780">SUM(--(FREQUENCY(IF(C$2:C$3072=C2780, MATCH(D$2:D$3072, D$2:D$3072, 0)), ROW(D$2:D$3072)-ROW(D$2)+1) &gt; 0))</f>
        <v>#N/A</v>
      </c>
      <c r="C2780" s="408"/>
      <c r="D2780" s="408"/>
      <c r="E2780" s="408"/>
      <c r="F2780" s="408"/>
      <c r="G2780" s="408"/>
      <c r="H2780" s="408"/>
      <c r="I2780" s="408"/>
      <c r="J2780" s="408"/>
      <c r="K2780" s="408"/>
      <c r="L2780" s="408"/>
      <c r="M2780" s="408"/>
      <c r="N2780" s="408" t="str">
        <f t="shared" si="470"/>
        <v/>
      </c>
      <c r="O2780" s="408"/>
      <c r="P2780" s="408"/>
      <c r="Q2780" s="408"/>
      <c r="R2780" s="408"/>
      <c r="S2780" s="408"/>
      <c r="T2780" s="408"/>
      <c r="U2780" s="408"/>
      <c r="V2780" s="421"/>
      <c r="W2780" s="421"/>
      <c r="X2780" s="421"/>
      <c r="Y2780" s="421"/>
      <c r="Z2780" s="421"/>
      <c r="AA2780" s="421"/>
      <c r="AB2780" s="421"/>
      <c r="AC2780" s="421"/>
      <c r="AD2780" s="421"/>
      <c r="AE2780" s="421"/>
      <c r="AF2780" s="421"/>
      <c r="AG2780" s="421"/>
      <c r="AH2780" s="421"/>
      <c r="AI2780" s="421"/>
      <c r="AJ2780" s="421"/>
      <c r="AK2780" s="421"/>
      <c r="AL2780" s="421"/>
    </row>
    <row r="2781" spans="1:38" hidden="1">
      <c r="A2781" s="408"/>
      <c r="B2781" s="83" t="e">
        <f t="array" ref="B2781">SUM(--(FREQUENCY(IF(C$2:C$3072=C2781, MATCH(D$2:D$3072, D$2:D$3072, 0)), ROW(D$2:D$3072)-ROW(D$2)+1) &gt; 0))</f>
        <v>#N/A</v>
      </c>
      <c r="C2781" s="408"/>
      <c r="D2781" s="408"/>
      <c r="E2781" s="408"/>
      <c r="F2781" s="408"/>
      <c r="G2781" s="408"/>
      <c r="H2781" s="408"/>
      <c r="I2781" s="408"/>
      <c r="J2781" s="408"/>
      <c r="K2781" s="408"/>
      <c r="L2781" s="408"/>
      <c r="M2781" s="408"/>
      <c r="N2781" s="408" t="str">
        <f t="shared" si="470"/>
        <v/>
      </c>
      <c r="O2781" s="408"/>
      <c r="P2781" s="408"/>
      <c r="Q2781" s="408"/>
      <c r="R2781" s="408"/>
      <c r="S2781" s="408"/>
      <c r="T2781" s="408"/>
      <c r="U2781" s="408"/>
      <c r="V2781" s="421"/>
      <c r="W2781" s="421"/>
      <c r="X2781" s="421"/>
      <c r="Y2781" s="421"/>
      <c r="Z2781" s="421"/>
      <c r="AA2781" s="421"/>
      <c r="AB2781" s="421"/>
      <c r="AC2781" s="421"/>
      <c r="AD2781" s="421"/>
      <c r="AE2781" s="421"/>
      <c r="AF2781" s="421"/>
      <c r="AG2781" s="421"/>
      <c r="AH2781" s="421"/>
      <c r="AI2781" s="421"/>
      <c r="AJ2781" s="421"/>
      <c r="AK2781" s="421"/>
      <c r="AL2781" s="421"/>
    </row>
    <row r="2782" spans="1:38" hidden="1">
      <c r="A2782" s="408"/>
      <c r="B2782" s="83" t="e">
        <f t="array" ref="B2782">SUM(--(FREQUENCY(IF(C$2:C$3072=C2782, MATCH(D$2:D$3072, D$2:D$3072, 0)), ROW(D$2:D$3072)-ROW(D$2)+1) &gt; 0))</f>
        <v>#N/A</v>
      </c>
      <c r="C2782" s="408"/>
      <c r="D2782" s="408"/>
      <c r="E2782" s="408"/>
      <c r="F2782" s="408"/>
      <c r="G2782" s="408"/>
      <c r="H2782" s="408"/>
      <c r="I2782" s="408"/>
      <c r="J2782" s="408"/>
      <c r="K2782" s="408"/>
      <c r="L2782" s="408"/>
      <c r="M2782" s="408"/>
      <c r="N2782" s="408" t="str">
        <f t="shared" si="470"/>
        <v/>
      </c>
      <c r="O2782" s="408"/>
      <c r="P2782" s="408"/>
      <c r="Q2782" s="408"/>
      <c r="R2782" s="408"/>
      <c r="S2782" s="408"/>
      <c r="T2782" s="408"/>
      <c r="U2782" s="408"/>
      <c r="V2782" s="421"/>
      <c r="W2782" s="421"/>
      <c r="X2782" s="421"/>
      <c r="Y2782" s="421"/>
      <c r="Z2782" s="421"/>
      <c r="AA2782" s="421"/>
      <c r="AB2782" s="421"/>
      <c r="AC2782" s="421"/>
      <c r="AD2782" s="421"/>
      <c r="AE2782" s="421"/>
      <c r="AF2782" s="421"/>
      <c r="AG2782" s="421"/>
      <c r="AH2782" s="421"/>
      <c r="AI2782" s="421"/>
      <c r="AJ2782" s="421"/>
      <c r="AK2782" s="421"/>
      <c r="AL2782" s="421"/>
    </row>
    <row r="2783" spans="1:38" hidden="1">
      <c r="A2783" s="408"/>
      <c r="B2783" s="83" t="e">
        <f t="array" ref="B2783">SUM(--(FREQUENCY(IF(C$2:C$3072=C2783, MATCH(D$2:D$3072, D$2:D$3072, 0)), ROW(D$2:D$3072)-ROW(D$2)+1) &gt; 0))</f>
        <v>#N/A</v>
      </c>
      <c r="C2783" s="408"/>
      <c r="D2783" s="408"/>
      <c r="E2783" s="408"/>
      <c r="F2783" s="408"/>
      <c r="G2783" s="408"/>
      <c r="H2783" s="408"/>
      <c r="I2783" s="408"/>
      <c r="J2783" s="408"/>
      <c r="K2783" s="408"/>
      <c r="L2783" s="408"/>
      <c r="M2783" s="408"/>
      <c r="N2783" s="408" t="str">
        <f t="shared" si="470"/>
        <v/>
      </c>
      <c r="O2783" s="408"/>
      <c r="P2783" s="408"/>
      <c r="Q2783" s="408"/>
      <c r="R2783" s="408"/>
      <c r="S2783" s="408"/>
      <c r="T2783" s="408"/>
      <c r="U2783" s="408"/>
      <c r="V2783" s="421"/>
      <c r="W2783" s="421"/>
      <c r="X2783" s="421"/>
      <c r="Y2783" s="421"/>
      <c r="Z2783" s="421"/>
      <c r="AA2783" s="421"/>
      <c r="AB2783" s="421"/>
      <c r="AC2783" s="421"/>
      <c r="AD2783" s="421"/>
      <c r="AE2783" s="421"/>
      <c r="AF2783" s="421"/>
      <c r="AG2783" s="421"/>
      <c r="AH2783" s="421"/>
      <c r="AI2783" s="421"/>
      <c r="AJ2783" s="421"/>
      <c r="AK2783" s="421"/>
      <c r="AL2783" s="421"/>
    </row>
    <row r="2784" spans="1:38" hidden="1">
      <c r="A2784" s="408"/>
      <c r="B2784" s="83" t="e">
        <f t="array" ref="B2784">SUM(--(FREQUENCY(IF(C$2:C$3072=C2784, MATCH(D$2:D$3072, D$2:D$3072, 0)), ROW(D$2:D$3072)-ROW(D$2)+1) &gt; 0))</f>
        <v>#N/A</v>
      </c>
      <c r="C2784" s="408"/>
      <c r="D2784" s="408"/>
      <c r="E2784" s="408"/>
      <c r="F2784" s="408"/>
      <c r="G2784" s="408"/>
      <c r="H2784" s="408"/>
      <c r="I2784" s="408"/>
      <c r="J2784" s="408"/>
      <c r="K2784" s="408"/>
      <c r="L2784" s="408"/>
      <c r="M2784" s="408"/>
      <c r="N2784" s="408" t="str">
        <f t="shared" si="470"/>
        <v/>
      </c>
      <c r="O2784" s="408"/>
      <c r="P2784" s="408"/>
      <c r="Q2784" s="408"/>
      <c r="R2784" s="408"/>
      <c r="S2784" s="408"/>
      <c r="T2784" s="408"/>
      <c r="U2784" s="408"/>
      <c r="V2784" s="421"/>
      <c r="W2784" s="421"/>
      <c r="X2784" s="421"/>
      <c r="Y2784" s="421"/>
      <c r="Z2784" s="421"/>
      <c r="AA2784" s="421"/>
      <c r="AB2784" s="421"/>
      <c r="AC2784" s="421"/>
      <c r="AD2784" s="421"/>
      <c r="AE2784" s="421"/>
      <c r="AF2784" s="421"/>
      <c r="AG2784" s="421"/>
      <c r="AH2784" s="421"/>
      <c r="AI2784" s="421"/>
      <c r="AJ2784" s="421"/>
      <c r="AK2784" s="421"/>
      <c r="AL2784" s="421"/>
    </row>
    <row r="2785" spans="1:38" hidden="1">
      <c r="A2785" s="408"/>
      <c r="B2785" s="83" t="e">
        <f t="array" ref="B2785">SUM(--(FREQUENCY(IF(C$2:C$3072=C2785, MATCH(D$2:D$3072, D$2:D$3072, 0)), ROW(D$2:D$3072)-ROW(D$2)+1) &gt; 0))</f>
        <v>#N/A</v>
      </c>
      <c r="C2785" s="408"/>
      <c r="D2785" s="408"/>
      <c r="E2785" s="408"/>
      <c r="F2785" s="408"/>
      <c r="G2785" s="408"/>
      <c r="H2785" s="408"/>
      <c r="I2785" s="408"/>
      <c r="J2785" s="408"/>
      <c r="K2785" s="408"/>
      <c r="L2785" s="408"/>
      <c r="M2785" s="408"/>
      <c r="N2785" s="408" t="str">
        <f t="shared" si="470"/>
        <v/>
      </c>
      <c r="O2785" s="408"/>
      <c r="P2785" s="408"/>
      <c r="Q2785" s="408"/>
      <c r="R2785" s="408"/>
      <c r="S2785" s="408"/>
      <c r="T2785" s="408"/>
      <c r="U2785" s="408"/>
      <c r="V2785" s="421"/>
      <c r="W2785" s="421"/>
      <c r="X2785" s="421"/>
      <c r="Y2785" s="421"/>
      <c r="Z2785" s="421"/>
      <c r="AA2785" s="421"/>
      <c r="AB2785" s="421"/>
      <c r="AC2785" s="421"/>
      <c r="AD2785" s="421"/>
      <c r="AE2785" s="421"/>
      <c r="AF2785" s="421"/>
      <c r="AG2785" s="421"/>
      <c r="AH2785" s="421"/>
      <c r="AI2785" s="421"/>
      <c r="AJ2785" s="421"/>
      <c r="AK2785" s="421"/>
      <c r="AL2785" s="421"/>
    </row>
    <row r="2786" spans="1:38" hidden="1">
      <c r="A2786" s="408"/>
      <c r="B2786" s="83" t="e">
        <f t="array" ref="B2786">SUM(--(FREQUENCY(IF(C$2:C$3072=C2786, MATCH(D$2:D$3072, D$2:D$3072, 0)), ROW(D$2:D$3072)-ROW(D$2)+1) &gt; 0))</f>
        <v>#N/A</v>
      </c>
      <c r="C2786" s="408"/>
      <c r="D2786" s="408"/>
      <c r="E2786" s="408"/>
      <c r="F2786" s="408"/>
      <c r="G2786" s="408"/>
      <c r="H2786" s="408"/>
      <c r="I2786" s="408"/>
      <c r="J2786" s="408"/>
      <c r="K2786" s="408"/>
      <c r="L2786" s="408"/>
      <c r="M2786" s="408"/>
      <c r="N2786" s="408" t="str">
        <f t="shared" si="470"/>
        <v/>
      </c>
      <c r="O2786" s="408"/>
      <c r="P2786" s="408"/>
      <c r="Q2786" s="408"/>
      <c r="R2786" s="408"/>
      <c r="S2786" s="408"/>
      <c r="T2786" s="408"/>
      <c r="U2786" s="408"/>
      <c r="V2786" s="421"/>
      <c r="W2786" s="421"/>
      <c r="X2786" s="421"/>
      <c r="Y2786" s="421"/>
      <c r="Z2786" s="421"/>
      <c r="AA2786" s="421"/>
      <c r="AB2786" s="421"/>
      <c r="AC2786" s="421"/>
      <c r="AD2786" s="421"/>
      <c r="AE2786" s="421"/>
      <c r="AF2786" s="421"/>
      <c r="AG2786" s="421"/>
      <c r="AH2786" s="421"/>
      <c r="AI2786" s="421"/>
      <c r="AJ2786" s="421"/>
      <c r="AK2786" s="421"/>
      <c r="AL2786" s="421"/>
    </row>
    <row r="2787" spans="1:38" hidden="1">
      <c r="A2787" s="408"/>
      <c r="B2787" s="83" t="e">
        <f t="array" ref="B2787">SUM(--(FREQUENCY(IF(C$2:C$3072=C2787, MATCH(D$2:D$3072, D$2:D$3072, 0)), ROW(D$2:D$3072)-ROW(D$2)+1) &gt; 0))</f>
        <v>#N/A</v>
      </c>
      <c r="C2787" s="408"/>
      <c r="D2787" s="408"/>
      <c r="E2787" s="408"/>
      <c r="F2787" s="408"/>
      <c r="G2787" s="408"/>
      <c r="H2787" s="408"/>
      <c r="I2787" s="408"/>
      <c r="J2787" s="408"/>
      <c r="K2787" s="408"/>
      <c r="L2787" s="408"/>
      <c r="M2787" s="408"/>
      <c r="N2787" s="408" t="str">
        <f t="shared" si="470"/>
        <v/>
      </c>
      <c r="O2787" s="408"/>
      <c r="P2787" s="408"/>
      <c r="Q2787" s="408"/>
      <c r="R2787" s="408"/>
      <c r="S2787" s="408"/>
      <c r="T2787" s="408"/>
      <c r="U2787" s="408"/>
      <c r="V2787" s="421"/>
      <c r="W2787" s="421"/>
      <c r="X2787" s="421"/>
      <c r="Y2787" s="421"/>
      <c r="Z2787" s="421"/>
      <c r="AA2787" s="421"/>
      <c r="AB2787" s="421"/>
      <c r="AC2787" s="421"/>
      <c r="AD2787" s="421"/>
      <c r="AE2787" s="421"/>
      <c r="AF2787" s="421"/>
      <c r="AG2787" s="421"/>
      <c r="AH2787" s="421"/>
      <c r="AI2787" s="421"/>
      <c r="AJ2787" s="421"/>
      <c r="AK2787" s="421"/>
      <c r="AL2787" s="421"/>
    </row>
    <row r="2788" spans="1:38" hidden="1">
      <c r="A2788" s="408"/>
      <c r="B2788" s="83" t="e">
        <f t="array" ref="B2788">SUM(--(FREQUENCY(IF(C$2:C$3072=C2788, MATCH(D$2:D$3072, D$2:D$3072, 0)), ROW(D$2:D$3072)-ROW(D$2)+1) &gt; 0))</f>
        <v>#N/A</v>
      </c>
      <c r="C2788" s="408"/>
      <c r="D2788" s="408"/>
      <c r="E2788" s="408"/>
      <c r="F2788" s="408"/>
      <c r="G2788" s="408"/>
      <c r="H2788" s="408"/>
      <c r="I2788" s="408"/>
      <c r="J2788" s="408"/>
      <c r="K2788" s="408"/>
      <c r="L2788" s="408"/>
      <c r="M2788" s="408"/>
      <c r="N2788" s="408" t="str">
        <f t="shared" si="470"/>
        <v/>
      </c>
      <c r="O2788" s="408"/>
      <c r="P2788" s="408"/>
      <c r="Q2788" s="408"/>
      <c r="R2788" s="408"/>
      <c r="S2788" s="408"/>
      <c r="T2788" s="408"/>
      <c r="U2788" s="408"/>
      <c r="V2788" s="421"/>
      <c r="W2788" s="421"/>
      <c r="X2788" s="421"/>
      <c r="Y2788" s="421"/>
      <c r="Z2788" s="421"/>
      <c r="AA2788" s="421"/>
      <c r="AB2788" s="421"/>
      <c r="AC2788" s="421"/>
      <c r="AD2788" s="421"/>
      <c r="AE2788" s="421"/>
      <c r="AF2788" s="421"/>
      <c r="AG2788" s="421"/>
      <c r="AH2788" s="421"/>
      <c r="AI2788" s="421"/>
      <c r="AJ2788" s="421"/>
      <c r="AK2788" s="421"/>
      <c r="AL2788" s="421"/>
    </row>
    <row r="2789" spans="1:38" hidden="1">
      <c r="A2789" s="408"/>
      <c r="B2789" s="83" t="e">
        <f t="array" ref="B2789">SUM(--(FREQUENCY(IF(C$2:C$3072=C2789, MATCH(D$2:D$3072, D$2:D$3072, 0)), ROW(D$2:D$3072)-ROW(D$2)+1) &gt; 0))</f>
        <v>#N/A</v>
      </c>
      <c r="C2789" s="408"/>
      <c r="D2789" s="408"/>
      <c r="E2789" s="408"/>
      <c r="F2789" s="408"/>
      <c r="G2789" s="408"/>
      <c r="H2789" s="408"/>
      <c r="I2789" s="408"/>
      <c r="J2789" s="408"/>
      <c r="K2789" s="408"/>
      <c r="L2789" s="408"/>
      <c r="M2789" s="408"/>
      <c r="N2789" s="408" t="str">
        <f t="shared" si="470"/>
        <v/>
      </c>
      <c r="O2789" s="408"/>
      <c r="P2789" s="408"/>
      <c r="Q2789" s="408"/>
      <c r="R2789" s="408"/>
      <c r="S2789" s="408"/>
      <c r="T2789" s="408"/>
      <c r="U2789" s="408"/>
      <c r="V2789" s="421"/>
      <c r="W2789" s="421"/>
      <c r="X2789" s="421"/>
      <c r="Y2789" s="421"/>
      <c r="Z2789" s="421"/>
      <c r="AA2789" s="421"/>
      <c r="AB2789" s="421"/>
      <c r="AC2789" s="421"/>
      <c r="AD2789" s="421"/>
      <c r="AE2789" s="421"/>
      <c r="AF2789" s="421"/>
      <c r="AG2789" s="421"/>
      <c r="AH2789" s="421"/>
      <c r="AI2789" s="421"/>
      <c r="AJ2789" s="421"/>
      <c r="AK2789" s="421"/>
      <c r="AL2789" s="421"/>
    </row>
    <row r="2790" spans="1:38" hidden="1">
      <c r="A2790" s="408"/>
      <c r="B2790" s="83" t="e">
        <f t="array" ref="B2790">SUM(--(FREQUENCY(IF(C$2:C$3072=C2790, MATCH(D$2:D$3072, D$2:D$3072, 0)), ROW(D$2:D$3072)-ROW(D$2)+1) &gt; 0))</f>
        <v>#N/A</v>
      </c>
      <c r="C2790" s="408"/>
      <c r="D2790" s="408"/>
      <c r="E2790" s="408"/>
      <c r="F2790" s="408"/>
      <c r="G2790" s="408"/>
      <c r="H2790" s="408"/>
      <c r="I2790" s="408"/>
      <c r="J2790" s="408"/>
      <c r="K2790" s="408"/>
      <c r="L2790" s="408"/>
      <c r="M2790" s="408"/>
      <c r="N2790" s="408" t="str">
        <f t="shared" si="470"/>
        <v/>
      </c>
      <c r="O2790" s="408"/>
      <c r="P2790" s="408"/>
      <c r="Q2790" s="408"/>
      <c r="R2790" s="408"/>
      <c r="S2790" s="408"/>
      <c r="T2790" s="408"/>
      <c r="U2790" s="408"/>
      <c r="V2790" s="421"/>
      <c r="W2790" s="421"/>
      <c r="X2790" s="421"/>
      <c r="Y2790" s="421"/>
      <c r="Z2790" s="421"/>
      <c r="AA2790" s="421"/>
      <c r="AB2790" s="421"/>
      <c r="AC2790" s="421"/>
      <c r="AD2790" s="421"/>
      <c r="AE2790" s="421"/>
      <c r="AF2790" s="421"/>
      <c r="AG2790" s="421"/>
      <c r="AH2790" s="421"/>
      <c r="AI2790" s="421"/>
      <c r="AJ2790" s="421"/>
      <c r="AK2790" s="421"/>
      <c r="AL2790" s="421"/>
    </row>
    <row r="2791" spans="1:38" hidden="1">
      <c r="A2791" s="408"/>
      <c r="B2791" s="83" t="e">
        <f t="array" ref="B2791">SUM(--(FREQUENCY(IF(C$2:C$3072=C2791, MATCH(D$2:D$3072, D$2:D$3072, 0)), ROW(D$2:D$3072)-ROW(D$2)+1) &gt; 0))</f>
        <v>#N/A</v>
      </c>
      <c r="C2791" s="408"/>
      <c r="D2791" s="408"/>
      <c r="E2791" s="408"/>
      <c r="F2791" s="408"/>
      <c r="G2791" s="408"/>
      <c r="H2791" s="408"/>
      <c r="I2791" s="408"/>
      <c r="J2791" s="408"/>
      <c r="K2791" s="408"/>
      <c r="L2791" s="408"/>
      <c r="M2791" s="408"/>
      <c r="N2791" s="408" t="str">
        <f t="shared" si="470"/>
        <v/>
      </c>
      <c r="O2791" s="408"/>
      <c r="P2791" s="408"/>
      <c r="Q2791" s="408"/>
      <c r="R2791" s="408"/>
      <c r="S2791" s="408"/>
      <c r="T2791" s="408"/>
      <c r="U2791" s="408"/>
      <c r="V2791" s="421"/>
      <c r="W2791" s="421"/>
      <c r="X2791" s="421"/>
      <c r="Y2791" s="421"/>
      <c r="Z2791" s="421"/>
      <c r="AA2791" s="421"/>
      <c r="AB2791" s="421"/>
      <c r="AC2791" s="421"/>
      <c r="AD2791" s="421"/>
      <c r="AE2791" s="421"/>
      <c r="AF2791" s="421"/>
      <c r="AG2791" s="421"/>
      <c r="AH2791" s="421"/>
      <c r="AI2791" s="421"/>
      <c r="AJ2791" s="421"/>
      <c r="AK2791" s="421"/>
      <c r="AL2791" s="421"/>
    </row>
    <row r="2792" spans="1:38" hidden="1">
      <c r="A2792" s="408"/>
      <c r="B2792" s="83" t="e">
        <f t="array" ref="B2792">SUM(--(FREQUENCY(IF(C$2:C$3072=C2792, MATCH(D$2:D$3072, D$2:D$3072, 0)), ROW(D$2:D$3072)-ROW(D$2)+1) &gt; 0))</f>
        <v>#N/A</v>
      </c>
      <c r="C2792" s="408"/>
      <c r="D2792" s="408"/>
      <c r="E2792" s="408"/>
      <c r="F2792" s="408"/>
      <c r="G2792" s="408"/>
      <c r="H2792" s="408"/>
      <c r="I2792" s="408"/>
      <c r="J2792" s="408"/>
      <c r="K2792" s="408"/>
      <c r="L2792" s="408"/>
      <c r="M2792" s="408"/>
      <c r="N2792" s="408" t="str">
        <f t="shared" si="470"/>
        <v/>
      </c>
      <c r="O2792" s="408"/>
      <c r="P2792" s="408"/>
      <c r="Q2792" s="408"/>
      <c r="R2792" s="408"/>
      <c r="S2792" s="408"/>
      <c r="T2792" s="408"/>
      <c r="U2792" s="408"/>
      <c r="V2792" s="421"/>
      <c r="W2792" s="421"/>
      <c r="X2792" s="421"/>
      <c r="Y2792" s="421"/>
      <c r="Z2792" s="421"/>
      <c r="AA2792" s="421"/>
      <c r="AB2792" s="421"/>
      <c r="AC2792" s="421"/>
      <c r="AD2792" s="421"/>
      <c r="AE2792" s="421"/>
      <c r="AF2792" s="421"/>
      <c r="AG2792" s="421"/>
      <c r="AH2792" s="421"/>
      <c r="AI2792" s="421"/>
      <c r="AJ2792" s="421"/>
      <c r="AK2792" s="421"/>
      <c r="AL2792" s="421"/>
    </row>
    <row r="2793" spans="1:38" hidden="1">
      <c r="A2793" s="408"/>
      <c r="B2793" s="83" t="e">
        <f t="array" ref="B2793">SUM(--(FREQUENCY(IF(C$2:C$3072=C2793, MATCH(D$2:D$3072, D$2:D$3072, 0)), ROW(D$2:D$3072)-ROW(D$2)+1) &gt; 0))</f>
        <v>#N/A</v>
      </c>
      <c r="C2793" s="408"/>
      <c r="D2793" s="408"/>
      <c r="E2793" s="408"/>
      <c r="F2793" s="408"/>
      <c r="G2793" s="408"/>
      <c r="H2793" s="408"/>
      <c r="I2793" s="408"/>
      <c r="J2793" s="408"/>
      <c r="K2793" s="408"/>
      <c r="L2793" s="408"/>
      <c r="M2793" s="408"/>
      <c r="N2793" s="408" t="str">
        <f t="shared" si="470"/>
        <v/>
      </c>
      <c r="O2793" s="408"/>
      <c r="P2793" s="408"/>
      <c r="Q2793" s="408"/>
      <c r="R2793" s="408"/>
      <c r="S2793" s="408"/>
      <c r="T2793" s="408"/>
      <c r="U2793" s="408"/>
      <c r="V2793" s="421"/>
      <c r="W2793" s="421"/>
      <c r="X2793" s="421"/>
      <c r="Y2793" s="421"/>
      <c r="Z2793" s="421"/>
      <c r="AA2793" s="421"/>
      <c r="AB2793" s="421"/>
      <c r="AC2793" s="421"/>
      <c r="AD2793" s="421"/>
      <c r="AE2793" s="421"/>
      <c r="AF2793" s="421"/>
      <c r="AG2793" s="421"/>
      <c r="AH2793" s="421"/>
      <c r="AI2793" s="421"/>
      <c r="AJ2793" s="421"/>
      <c r="AK2793" s="421"/>
      <c r="AL2793" s="421"/>
    </row>
    <row r="2794" spans="1:38" hidden="1">
      <c r="A2794" s="408"/>
      <c r="B2794" s="83" t="e">
        <f t="array" ref="B2794">SUM(--(FREQUENCY(IF(C$2:C$3072=C2794, MATCH(D$2:D$3072, D$2:D$3072, 0)), ROW(D$2:D$3072)-ROW(D$2)+1) &gt; 0))</f>
        <v>#N/A</v>
      </c>
      <c r="C2794" s="408"/>
      <c r="D2794" s="408"/>
      <c r="E2794" s="408"/>
      <c r="F2794" s="408"/>
      <c r="G2794" s="408"/>
      <c r="H2794" s="408"/>
      <c r="I2794" s="408"/>
      <c r="J2794" s="408"/>
      <c r="K2794" s="408"/>
      <c r="L2794" s="408"/>
      <c r="M2794" s="408"/>
      <c r="N2794" s="408" t="str">
        <f t="shared" si="470"/>
        <v/>
      </c>
      <c r="O2794" s="408"/>
      <c r="P2794" s="408"/>
      <c r="Q2794" s="408"/>
      <c r="R2794" s="408"/>
      <c r="S2794" s="408"/>
      <c r="T2794" s="408"/>
      <c r="U2794" s="408"/>
      <c r="V2794" s="421"/>
      <c r="W2794" s="421"/>
      <c r="X2794" s="421"/>
      <c r="Y2794" s="421"/>
      <c r="Z2794" s="421"/>
      <c r="AA2794" s="421"/>
      <c r="AB2794" s="421"/>
      <c r="AC2794" s="421"/>
      <c r="AD2794" s="421"/>
      <c r="AE2794" s="421"/>
      <c r="AF2794" s="421"/>
      <c r="AG2794" s="421"/>
      <c r="AH2794" s="421"/>
      <c r="AI2794" s="421"/>
      <c r="AJ2794" s="421"/>
      <c r="AK2794" s="421"/>
      <c r="AL2794" s="421"/>
    </row>
    <row r="2795" spans="1:38" hidden="1">
      <c r="A2795" s="408"/>
      <c r="B2795" s="83" t="e">
        <f t="array" ref="B2795">SUM(--(FREQUENCY(IF(C$2:C$3072=C2795, MATCH(D$2:D$3072, D$2:D$3072, 0)), ROW(D$2:D$3072)-ROW(D$2)+1) &gt; 0))</f>
        <v>#N/A</v>
      </c>
      <c r="C2795" s="408"/>
      <c r="D2795" s="408"/>
      <c r="E2795" s="408"/>
      <c r="F2795" s="408"/>
      <c r="G2795" s="408"/>
      <c r="H2795" s="408"/>
      <c r="I2795" s="408"/>
      <c r="J2795" s="408"/>
      <c r="K2795" s="408"/>
      <c r="L2795" s="408"/>
      <c r="M2795" s="408"/>
      <c r="N2795" s="408" t="str">
        <f t="shared" si="470"/>
        <v/>
      </c>
      <c r="O2795" s="408"/>
      <c r="P2795" s="408"/>
      <c r="Q2795" s="408"/>
      <c r="R2795" s="408"/>
      <c r="S2795" s="408"/>
      <c r="T2795" s="408"/>
      <c r="U2795" s="408"/>
      <c r="V2795" s="421"/>
      <c r="W2795" s="421"/>
      <c r="X2795" s="421"/>
      <c r="Y2795" s="421"/>
      <c r="Z2795" s="421"/>
      <c r="AA2795" s="421"/>
      <c r="AB2795" s="421"/>
      <c r="AC2795" s="421"/>
      <c r="AD2795" s="421"/>
      <c r="AE2795" s="421"/>
      <c r="AF2795" s="421"/>
      <c r="AG2795" s="421"/>
      <c r="AH2795" s="421"/>
      <c r="AI2795" s="421"/>
      <c r="AJ2795" s="421"/>
      <c r="AK2795" s="421"/>
      <c r="AL2795" s="421"/>
    </row>
    <row r="2796" spans="1:38" hidden="1">
      <c r="A2796" s="408"/>
      <c r="B2796" s="83" t="e">
        <f t="array" ref="B2796">SUM(--(FREQUENCY(IF(C$2:C$3072=C2796, MATCH(D$2:D$3072, D$2:D$3072, 0)), ROW(D$2:D$3072)-ROW(D$2)+1) &gt; 0))</f>
        <v>#N/A</v>
      </c>
      <c r="C2796" s="408"/>
      <c r="D2796" s="408"/>
      <c r="E2796" s="408"/>
      <c r="F2796" s="408"/>
      <c r="G2796" s="408"/>
      <c r="H2796" s="408"/>
      <c r="I2796" s="408"/>
      <c r="J2796" s="408"/>
      <c r="K2796" s="408"/>
      <c r="L2796" s="408"/>
      <c r="M2796" s="408"/>
      <c r="N2796" s="408" t="str">
        <f t="shared" si="470"/>
        <v/>
      </c>
      <c r="O2796" s="408"/>
      <c r="P2796" s="408"/>
      <c r="Q2796" s="408"/>
      <c r="R2796" s="408"/>
      <c r="S2796" s="408"/>
      <c r="T2796" s="408"/>
      <c r="U2796" s="408"/>
      <c r="V2796" s="421"/>
      <c r="W2796" s="421"/>
      <c r="X2796" s="421"/>
      <c r="Y2796" s="421"/>
      <c r="Z2796" s="421"/>
      <c r="AA2796" s="421"/>
      <c r="AB2796" s="421"/>
      <c r="AC2796" s="421"/>
      <c r="AD2796" s="421"/>
      <c r="AE2796" s="421"/>
      <c r="AF2796" s="421"/>
      <c r="AG2796" s="421"/>
      <c r="AH2796" s="421"/>
      <c r="AI2796" s="421"/>
      <c r="AJ2796" s="421"/>
      <c r="AK2796" s="421"/>
      <c r="AL2796" s="421"/>
    </row>
    <row r="2797" spans="1:38" hidden="1">
      <c r="A2797" s="408"/>
      <c r="B2797" s="83" t="e">
        <f t="array" ref="B2797">SUM(--(FREQUENCY(IF(C$2:C$3072=C2797, MATCH(D$2:D$3072, D$2:D$3072, 0)), ROW(D$2:D$3072)-ROW(D$2)+1) &gt; 0))</f>
        <v>#N/A</v>
      </c>
      <c r="C2797" s="408"/>
      <c r="D2797" s="408"/>
      <c r="E2797" s="408"/>
      <c r="F2797" s="408"/>
      <c r="G2797" s="408"/>
      <c r="H2797" s="408"/>
      <c r="I2797" s="408"/>
      <c r="J2797" s="408"/>
      <c r="K2797" s="408"/>
      <c r="L2797" s="408"/>
      <c r="M2797" s="408"/>
      <c r="N2797" s="408" t="str">
        <f t="shared" si="470"/>
        <v/>
      </c>
      <c r="O2797" s="408"/>
      <c r="P2797" s="408"/>
      <c r="Q2797" s="408"/>
      <c r="R2797" s="408"/>
      <c r="S2797" s="408"/>
      <c r="T2797" s="408"/>
      <c r="U2797" s="408"/>
      <c r="V2797" s="421"/>
      <c r="W2797" s="421"/>
      <c r="X2797" s="421"/>
      <c r="Y2797" s="421"/>
      <c r="Z2797" s="421"/>
      <c r="AA2797" s="421"/>
      <c r="AB2797" s="421"/>
      <c r="AC2797" s="421"/>
      <c r="AD2797" s="421"/>
      <c r="AE2797" s="421"/>
      <c r="AF2797" s="421"/>
      <c r="AG2797" s="421"/>
      <c r="AH2797" s="421"/>
      <c r="AI2797" s="421"/>
      <c r="AJ2797" s="421"/>
      <c r="AK2797" s="421"/>
      <c r="AL2797" s="421"/>
    </row>
    <row r="2798" spans="1:38" hidden="1">
      <c r="A2798" s="408"/>
      <c r="B2798" s="83" t="e">
        <f t="array" ref="B2798">SUM(--(FREQUENCY(IF(C$2:C$3072=C2798, MATCH(D$2:D$3072, D$2:D$3072, 0)), ROW(D$2:D$3072)-ROW(D$2)+1) &gt; 0))</f>
        <v>#N/A</v>
      </c>
      <c r="C2798" s="408"/>
      <c r="D2798" s="408"/>
      <c r="E2798" s="408"/>
      <c r="F2798" s="408"/>
      <c r="G2798" s="408"/>
      <c r="H2798" s="408"/>
      <c r="I2798" s="408"/>
      <c r="J2798" s="408"/>
      <c r="K2798" s="408"/>
      <c r="L2798" s="408"/>
      <c r="M2798" s="408"/>
      <c r="N2798" s="408" t="str">
        <f t="shared" si="470"/>
        <v/>
      </c>
      <c r="O2798" s="408"/>
      <c r="P2798" s="408"/>
      <c r="Q2798" s="408"/>
      <c r="R2798" s="408"/>
      <c r="S2798" s="408"/>
      <c r="T2798" s="408"/>
      <c r="U2798" s="408"/>
      <c r="V2798" s="421"/>
      <c r="W2798" s="421"/>
      <c r="X2798" s="421"/>
      <c r="Y2798" s="421"/>
      <c r="Z2798" s="421"/>
      <c r="AA2798" s="421"/>
      <c r="AB2798" s="421"/>
      <c r="AC2798" s="421"/>
      <c r="AD2798" s="421"/>
      <c r="AE2798" s="421"/>
      <c r="AF2798" s="421"/>
      <c r="AG2798" s="421"/>
      <c r="AH2798" s="421"/>
      <c r="AI2798" s="421"/>
      <c r="AJ2798" s="421"/>
      <c r="AK2798" s="421"/>
      <c r="AL2798" s="421"/>
    </row>
    <row r="2799" spans="1:38" hidden="1">
      <c r="A2799" s="408"/>
      <c r="B2799" s="83" t="e">
        <f t="array" ref="B2799">SUM(--(FREQUENCY(IF(C$2:C$3072=C2799, MATCH(D$2:D$3072, D$2:D$3072, 0)), ROW(D$2:D$3072)-ROW(D$2)+1) &gt; 0))</f>
        <v>#N/A</v>
      </c>
      <c r="C2799" s="408"/>
      <c r="D2799" s="408"/>
      <c r="E2799" s="408"/>
      <c r="F2799" s="408"/>
      <c r="G2799" s="408"/>
      <c r="H2799" s="408"/>
      <c r="I2799" s="408"/>
      <c r="J2799" s="408"/>
      <c r="K2799" s="408"/>
      <c r="L2799" s="408"/>
      <c r="M2799" s="408"/>
      <c r="N2799" s="408" t="str">
        <f t="shared" si="470"/>
        <v/>
      </c>
      <c r="O2799" s="408"/>
      <c r="P2799" s="408"/>
      <c r="Q2799" s="408"/>
      <c r="R2799" s="408"/>
      <c r="S2799" s="408"/>
      <c r="T2799" s="408"/>
      <c r="U2799" s="408"/>
      <c r="V2799" s="421"/>
      <c r="W2799" s="421"/>
      <c r="X2799" s="421"/>
      <c r="Y2799" s="421"/>
      <c r="Z2799" s="421"/>
      <c r="AA2799" s="421"/>
      <c r="AB2799" s="421"/>
      <c r="AC2799" s="421"/>
      <c r="AD2799" s="421"/>
      <c r="AE2799" s="421"/>
      <c r="AF2799" s="421"/>
      <c r="AG2799" s="421"/>
      <c r="AH2799" s="421"/>
      <c r="AI2799" s="421"/>
      <c r="AJ2799" s="421"/>
      <c r="AK2799" s="421"/>
      <c r="AL2799" s="421"/>
    </row>
    <row r="2800" spans="1:38" hidden="1">
      <c r="A2800" s="408"/>
      <c r="B2800" s="83" t="e">
        <f t="array" ref="B2800">SUM(--(FREQUENCY(IF(C$2:C$3072=C2800, MATCH(D$2:D$3072, D$2:D$3072, 0)), ROW(D$2:D$3072)-ROW(D$2)+1) &gt; 0))</f>
        <v>#N/A</v>
      </c>
      <c r="C2800" s="408"/>
      <c r="D2800" s="408"/>
      <c r="E2800" s="408"/>
      <c r="F2800" s="408"/>
      <c r="G2800" s="408"/>
      <c r="H2800" s="408"/>
      <c r="I2800" s="408"/>
      <c r="J2800" s="408"/>
      <c r="K2800" s="408"/>
      <c r="L2800" s="408"/>
      <c r="M2800" s="408"/>
      <c r="N2800" s="408" t="str">
        <f t="shared" si="470"/>
        <v/>
      </c>
      <c r="O2800" s="408"/>
      <c r="P2800" s="408"/>
      <c r="Q2800" s="408"/>
      <c r="R2800" s="408"/>
      <c r="S2800" s="408"/>
      <c r="T2800" s="408"/>
      <c r="U2800" s="408"/>
      <c r="V2800" s="421"/>
      <c r="W2800" s="421"/>
      <c r="X2800" s="421"/>
      <c r="Y2800" s="421"/>
      <c r="Z2800" s="421"/>
      <c r="AA2800" s="421"/>
      <c r="AB2800" s="421"/>
      <c r="AC2800" s="421"/>
      <c r="AD2800" s="421"/>
      <c r="AE2800" s="421"/>
      <c r="AF2800" s="421"/>
      <c r="AG2800" s="421"/>
      <c r="AH2800" s="421"/>
      <c r="AI2800" s="421"/>
      <c r="AJ2800" s="421"/>
      <c r="AK2800" s="421"/>
      <c r="AL2800" s="421"/>
    </row>
    <row r="2801" spans="1:38" hidden="1">
      <c r="A2801" s="408"/>
      <c r="B2801" s="83" t="e">
        <f t="array" ref="B2801">SUM(--(FREQUENCY(IF(C$2:C$3072=C2801, MATCH(D$2:D$3072, D$2:D$3072, 0)), ROW(D$2:D$3072)-ROW(D$2)+1) &gt; 0))</f>
        <v>#N/A</v>
      </c>
      <c r="C2801" s="408"/>
      <c r="D2801" s="408"/>
      <c r="E2801" s="408"/>
      <c r="F2801" s="408"/>
      <c r="G2801" s="408"/>
      <c r="H2801" s="408"/>
      <c r="I2801" s="408"/>
      <c r="J2801" s="408"/>
      <c r="K2801" s="408"/>
      <c r="L2801" s="408"/>
      <c r="M2801" s="408"/>
      <c r="N2801" s="408" t="str">
        <f t="shared" si="470"/>
        <v/>
      </c>
      <c r="O2801" s="408"/>
      <c r="P2801" s="408"/>
      <c r="Q2801" s="408"/>
      <c r="R2801" s="408"/>
      <c r="S2801" s="408"/>
      <c r="T2801" s="408"/>
      <c r="U2801" s="408"/>
      <c r="V2801" s="421"/>
      <c r="W2801" s="421"/>
      <c r="X2801" s="421"/>
      <c r="Y2801" s="421"/>
      <c r="Z2801" s="421"/>
      <c r="AA2801" s="421"/>
      <c r="AB2801" s="421"/>
      <c r="AC2801" s="421"/>
      <c r="AD2801" s="421"/>
      <c r="AE2801" s="421"/>
      <c r="AF2801" s="421"/>
      <c r="AG2801" s="421"/>
      <c r="AH2801" s="421"/>
      <c r="AI2801" s="421"/>
      <c r="AJ2801" s="421"/>
      <c r="AK2801" s="421"/>
      <c r="AL2801" s="421"/>
    </row>
    <row r="2802" spans="1:38" hidden="1">
      <c r="A2802" s="408"/>
      <c r="B2802" s="83" t="e">
        <f t="array" ref="B2802">SUM(--(FREQUENCY(IF(C$2:C$3072=C2802, MATCH(D$2:D$3072, D$2:D$3072, 0)), ROW(D$2:D$3072)-ROW(D$2)+1) &gt; 0))</f>
        <v>#N/A</v>
      </c>
      <c r="C2802" s="408"/>
      <c r="D2802" s="408"/>
      <c r="E2802" s="408"/>
      <c r="F2802" s="408"/>
      <c r="G2802" s="408"/>
      <c r="H2802" s="408"/>
      <c r="I2802" s="408"/>
      <c r="J2802" s="408"/>
      <c r="K2802" s="408"/>
      <c r="L2802" s="408"/>
      <c r="M2802" s="408"/>
      <c r="N2802" s="408" t="str">
        <f t="shared" si="470"/>
        <v/>
      </c>
      <c r="O2802" s="408"/>
      <c r="P2802" s="408"/>
      <c r="Q2802" s="408"/>
      <c r="R2802" s="408"/>
      <c r="S2802" s="408"/>
      <c r="T2802" s="408"/>
      <c r="U2802" s="408"/>
      <c r="V2802" s="421"/>
      <c r="W2802" s="421"/>
      <c r="X2802" s="421"/>
      <c r="Y2802" s="421"/>
      <c r="Z2802" s="421"/>
      <c r="AA2802" s="421"/>
      <c r="AB2802" s="421"/>
      <c r="AC2802" s="421"/>
      <c r="AD2802" s="421"/>
      <c r="AE2802" s="421"/>
      <c r="AF2802" s="421"/>
      <c r="AG2802" s="421"/>
      <c r="AH2802" s="421"/>
      <c r="AI2802" s="421"/>
      <c r="AJ2802" s="421"/>
      <c r="AK2802" s="421"/>
      <c r="AL2802" s="421"/>
    </row>
    <row r="2803" spans="1:38" hidden="1">
      <c r="A2803" s="408"/>
      <c r="B2803" s="83" t="e">
        <f t="array" ref="B2803">SUM(--(FREQUENCY(IF(C$2:C$3072=C2803, MATCH(D$2:D$3072, D$2:D$3072, 0)), ROW(D$2:D$3072)-ROW(D$2)+1) &gt; 0))</f>
        <v>#N/A</v>
      </c>
      <c r="C2803" s="408"/>
      <c r="D2803" s="408"/>
      <c r="E2803" s="408"/>
      <c r="F2803" s="408"/>
      <c r="G2803" s="408"/>
      <c r="H2803" s="408"/>
      <c r="I2803" s="408"/>
      <c r="J2803" s="408"/>
      <c r="K2803" s="408"/>
      <c r="L2803" s="408"/>
      <c r="M2803" s="408"/>
      <c r="N2803" s="408" t="str">
        <f t="shared" si="470"/>
        <v/>
      </c>
      <c r="O2803" s="408"/>
      <c r="P2803" s="408"/>
      <c r="Q2803" s="408"/>
      <c r="R2803" s="408"/>
      <c r="S2803" s="408"/>
      <c r="T2803" s="408"/>
      <c r="U2803" s="408"/>
      <c r="V2803" s="421"/>
      <c r="W2803" s="421"/>
      <c r="X2803" s="421"/>
      <c r="Y2803" s="421"/>
      <c r="Z2803" s="421"/>
      <c r="AA2803" s="421"/>
      <c r="AB2803" s="421"/>
      <c r="AC2803" s="421"/>
      <c r="AD2803" s="421"/>
      <c r="AE2803" s="421"/>
      <c r="AF2803" s="421"/>
      <c r="AG2803" s="421"/>
      <c r="AH2803" s="421"/>
      <c r="AI2803" s="421"/>
      <c r="AJ2803" s="421"/>
      <c r="AK2803" s="421"/>
      <c r="AL2803" s="421"/>
    </row>
    <row r="2804" spans="1:38" hidden="1">
      <c r="A2804" s="408"/>
      <c r="B2804" s="83" t="e">
        <f t="array" ref="B2804">SUM(--(FREQUENCY(IF(C$2:C$3072=C2804, MATCH(D$2:D$3072, D$2:D$3072, 0)), ROW(D$2:D$3072)-ROW(D$2)+1) &gt; 0))</f>
        <v>#N/A</v>
      </c>
      <c r="C2804" s="408"/>
      <c r="D2804" s="408"/>
      <c r="E2804" s="408"/>
      <c r="F2804" s="408"/>
      <c r="G2804" s="408"/>
      <c r="H2804" s="408"/>
      <c r="I2804" s="408"/>
      <c r="J2804" s="408"/>
      <c r="K2804" s="408"/>
      <c r="L2804" s="408"/>
      <c r="M2804" s="408"/>
      <c r="N2804" s="408" t="str">
        <f t="shared" si="470"/>
        <v/>
      </c>
      <c r="O2804" s="408"/>
      <c r="P2804" s="408"/>
      <c r="Q2804" s="408"/>
      <c r="R2804" s="408"/>
      <c r="S2804" s="408"/>
      <c r="T2804" s="408"/>
      <c r="U2804" s="408"/>
      <c r="V2804" s="421"/>
      <c r="W2804" s="421"/>
      <c r="X2804" s="421"/>
      <c r="Y2804" s="421"/>
      <c r="Z2804" s="421"/>
      <c r="AA2804" s="421"/>
      <c r="AB2804" s="421"/>
      <c r="AC2804" s="421"/>
      <c r="AD2804" s="421"/>
      <c r="AE2804" s="421"/>
      <c r="AF2804" s="421"/>
      <c r="AG2804" s="421"/>
      <c r="AH2804" s="421"/>
      <c r="AI2804" s="421"/>
      <c r="AJ2804" s="421"/>
      <c r="AK2804" s="421"/>
      <c r="AL2804" s="421"/>
    </row>
    <row r="2805" spans="1:38" hidden="1">
      <c r="A2805" s="408"/>
      <c r="B2805" s="83" t="e">
        <f t="array" ref="B2805">SUM(--(FREQUENCY(IF(C$2:C$3072=C2805, MATCH(D$2:D$3072, D$2:D$3072, 0)), ROW(D$2:D$3072)-ROW(D$2)+1) &gt; 0))</f>
        <v>#N/A</v>
      </c>
      <c r="C2805" s="408"/>
      <c r="D2805" s="408"/>
      <c r="E2805" s="408"/>
      <c r="F2805" s="408"/>
      <c r="G2805" s="408"/>
      <c r="H2805" s="408"/>
      <c r="I2805" s="408"/>
      <c r="J2805" s="408"/>
      <c r="K2805" s="408"/>
      <c r="L2805" s="408"/>
      <c r="M2805" s="408"/>
      <c r="N2805" s="408" t="str">
        <f t="shared" si="470"/>
        <v/>
      </c>
      <c r="O2805" s="408"/>
      <c r="P2805" s="408"/>
      <c r="Q2805" s="408"/>
      <c r="R2805" s="408"/>
      <c r="S2805" s="408"/>
      <c r="T2805" s="408"/>
      <c r="U2805" s="408"/>
      <c r="V2805" s="421"/>
      <c r="W2805" s="421"/>
      <c r="X2805" s="421"/>
      <c r="Y2805" s="421"/>
      <c r="Z2805" s="421"/>
      <c r="AA2805" s="421"/>
      <c r="AB2805" s="421"/>
      <c r="AC2805" s="421"/>
      <c r="AD2805" s="421"/>
      <c r="AE2805" s="421"/>
      <c r="AF2805" s="421"/>
      <c r="AG2805" s="421"/>
      <c r="AH2805" s="421"/>
      <c r="AI2805" s="421"/>
      <c r="AJ2805" s="421"/>
      <c r="AK2805" s="421"/>
      <c r="AL2805" s="421"/>
    </row>
    <row r="2806" spans="1:38" hidden="1">
      <c r="A2806" s="408"/>
      <c r="B2806" s="83" t="e">
        <f t="array" ref="B2806">SUM(--(FREQUENCY(IF(C$2:C$3072=C2806, MATCH(D$2:D$3072, D$2:D$3072, 0)), ROW(D$2:D$3072)-ROW(D$2)+1) &gt; 0))</f>
        <v>#N/A</v>
      </c>
      <c r="C2806" s="408"/>
      <c r="D2806" s="408"/>
      <c r="E2806" s="408"/>
      <c r="F2806" s="408"/>
      <c r="G2806" s="408"/>
      <c r="H2806" s="408"/>
      <c r="I2806" s="408"/>
      <c r="J2806" s="408"/>
      <c r="K2806" s="408"/>
      <c r="L2806" s="408"/>
      <c r="M2806" s="408"/>
      <c r="N2806" s="408" t="str">
        <f t="shared" si="470"/>
        <v/>
      </c>
      <c r="O2806" s="408"/>
      <c r="P2806" s="408"/>
      <c r="Q2806" s="408"/>
      <c r="R2806" s="408"/>
      <c r="S2806" s="408"/>
      <c r="T2806" s="408"/>
      <c r="U2806" s="408"/>
      <c r="V2806" s="421"/>
      <c r="W2806" s="421"/>
      <c r="X2806" s="421"/>
      <c r="Y2806" s="421"/>
      <c r="Z2806" s="421"/>
      <c r="AA2806" s="421"/>
      <c r="AB2806" s="421"/>
      <c r="AC2806" s="421"/>
      <c r="AD2806" s="421"/>
      <c r="AE2806" s="421"/>
      <c r="AF2806" s="421"/>
      <c r="AG2806" s="421"/>
      <c r="AH2806" s="421"/>
      <c r="AI2806" s="421"/>
      <c r="AJ2806" s="421"/>
      <c r="AK2806" s="421"/>
      <c r="AL2806" s="421"/>
    </row>
    <row r="2807" spans="1:38" hidden="1">
      <c r="A2807" s="408"/>
      <c r="B2807" s="83" t="e">
        <f t="array" ref="B2807">SUM(--(FREQUENCY(IF(C$2:C$3072=C2807, MATCH(D$2:D$3072, D$2:D$3072, 0)), ROW(D$2:D$3072)-ROW(D$2)+1) &gt; 0))</f>
        <v>#N/A</v>
      </c>
      <c r="C2807" s="408"/>
      <c r="D2807" s="408"/>
      <c r="E2807" s="408"/>
      <c r="F2807" s="408"/>
      <c r="G2807" s="408"/>
      <c r="H2807" s="408"/>
      <c r="I2807" s="408"/>
      <c r="J2807" s="408"/>
      <c r="K2807" s="408"/>
      <c r="L2807" s="408"/>
      <c r="M2807" s="408"/>
      <c r="N2807" s="408" t="str">
        <f t="shared" si="470"/>
        <v/>
      </c>
      <c r="O2807" s="408"/>
      <c r="P2807" s="408"/>
      <c r="Q2807" s="408"/>
      <c r="R2807" s="408"/>
      <c r="S2807" s="408"/>
      <c r="T2807" s="408"/>
      <c r="U2807" s="408"/>
      <c r="V2807" s="421"/>
      <c r="W2807" s="421"/>
      <c r="X2807" s="421"/>
      <c r="Y2807" s="421"/>
      <c r="Z2807" s="421"/>
      <c r="AA2807" s="421"/>
      <c r="AB2807" s="421"/>
      <c r="AC2807" s="421"/>
      <c r="AD2807" s="421"/>
      <c r="AE2807" s="421"/>
      <c r="AF2807" s="421"/>
      <c r="AG2807" s="421"/>
      <c r="AH2807" s="421"/>
      <c r="AI2807" s="421"/>
      <c r="AJ2807" s="421"/>
      <c r="AK2807" s="421"/>
      <c r="AL2807" s="421"/>
    </row>
    <row r="2808" spans="1:38" hidden="1">
      <c r="A2808" s="408"/>
      <c r="B2808" s="83" t="e">
        <f t="array" ref="B2808">SUM(--(FREQUENCY(IF(C$2:C$3072=C2808, MATCH(D$2:D$3072, D$2:D$3072, 0)), ROW(D$2:D$3072)-ROW(D$2)+1) &gt; 0))</f>
        <v>#N/A</v>
      </c>
      <c r="C2808" s="408"/>
      <c r="D2808" s="408"/>
      <c r="E2808" s="408"/>
      <c r="F2808" s="408"/>
      <c r="G2808" s="408"/>
      <c r="H2808" s="408"/>
      <c r="I2808" s="408"/>
      <c r="J2808" s="408"/>
      <c r="K2808" s="408"/>
      <c r="L2808" s="408"/>
      <c r="M2808" s="408"/>
      <c r="N2808" s="408" t="str">
        <f t="shared" si="470"/>
        <v/>
      </c>
      <c r="O2808" s="408"/>
      <c r="P2808" s="408"/>
      <c r="Q2808" s="408"/>
      <c r="R2808" s="408"/>
      <c r="S2808" s="408"/>
      <c r="T2808" s="408"/>
      <c r="U2808" s="408"/>
      <c r="V2808" s="421"/>
      <c r="W2808" s="421"/>
      <c r="X2808" s="421"/>
      <c r="Y2808" s="421"/>
      <c r="Z2808" s="421"/>
      <c r="AA2808" s="421"/>
      <c r="AB2808" s="421"/>
      <c r="AC2808" s="421"/>
      <c r="AD2808" s="421"/>
      <c r="AE2808" s="421"/>
      <c r="AF2808" s="421"/>
      <c r="AG2808" s="421"/>
      <c r="AH2808" s="421"/>
      <c r="AI2808" s="421"/>
      <c r="AJ2808" s="421"/>
      <c r="AK2808" s="421"/>
      <c r="AL2808" s="421"/>
    </row>
    <row r="2809" spans="1:38" hidden="1">
      <c r="A2809" s="408"/>
      <c r="B2809" s="83" t="e">
        <f t="array" ref="B2809">SUM(--(FREQUENCY(IF(C$2:C$3072=C2809, MATCH(D$2:D$3072, D$2:D$3072, 0)), ROW(D$2:D$3072)-ROW(D$2)+1) &gt; 0))</f>
        <v>#N/A</v>
      </c>
      <c r="C2809" s="408"/>
      <c r="D2809" s="408"/>
      <c r="E2809" s="408"/>
      <c r="F2809" s="408"/>
      <c r="G2809" s="408"/>
      <c r="H2809" s="408"/>
      <c r="I2809" s="408"/>
      <c r="J2809" s="408"/>
      <c r="K2809" s="408"/>
      <c r="L2809" s="408"/>
      <c r="M2809" s="408"/>
      <c r="N2809" s="408" t="str">
        <f t="shared" si="470"/>
        <v/>
      </c>
      <c r="O2809" s="408"/>
      <c r="P2809" s="408"/>
      <c r="Q2809" s="408"/>
      <c r="R2809" s="408"/>
      <c r="S2809" s="408"/>
      <c r="T2809" s="408"/>
      <c r="U2809" s="408"/>
      <c r="V2809" s="421"/>
      <c r="W2809" s="421"/>
      <c r="X2809" s="421"/>
      <c r="Y2809" s="421"/>
      <c r="Z2809" s="421"/>
      <c r="AA2809" s="421"/>
      <c r="AB2809" s="421"/>
      <c r="AC2809" s="421"/>
      <c r="AD2809" s="421"/>
      <c r="AE2809" s="421"/>
      <c r="AF2809" s="421"/>
      <c r="AG2809" s="421"/>
      <c r="AH2809" s="421"/>
      <c r="AI2809" s="421"/>
      <c r="AJ2809" s="421"/>
      <c r="AK2809" s="421"/>
      <c r="AL2809" s="421"/>
    </row>
    <row r="2810" spans="1:38" hidden="1">
      <c r="A2810" s="408"/>
      <c r="B2810" s="83" t="e">
        <f t="array" ref="B2810">SUM(--(FREQUENCY(IF(C$2:C$3072=C2810, MATCH(D$2:D$3072, D$2:D$3072, 0)), ROW(D$2:D$3072)-ROW(D$2)+1) &gt; 0))</f>
        <v>#N/A</v>
      </c>
      <c r="C2810" s="408"/>
      <c r="D2810" s="408"/>
      <c r="E2810" s="408"/>
      <c r="F2810" s="408"/>
      <c r="G2810" s="408"/>
      <c r="H2810" s="408"/>
      <c r="I2810" s="408"/>
      <c r="J2810" s="408"/>
      <c r="K2810" s="408"/>
      <c r="L2810" s="408"/>
      <c r="M2810" s="408"/>
      <c r="N2810" s="408" t="str">
        <f t="shared" si="470"/>
        <v/>
      </c>
      <c r="O2810" s="408"/>
      <c r="P2810" s="408"/>
      <c r="Q2810" s="408"/>
      <c r="R2810" s="408"/>
      <c r="S2810" s="408"/>
      <c r="T2810" s="408"/>
      <c r="U2810" s="408"/>
      <c r="V2810" s="421"/>
      <c r="W2810" s="421"/>
      <c r="X2810" s="421"/>
      <c r="Y2810" s="421"/>
      <c r="Z2810" s="421"/>
      <c r="AA2810" s="421"/>
      <c r="AB2810" s="421"/>
      <c r="AC2810" s="421"/>
      <c r="AD2810" s="421"/>
      <c r="AE2810" s="421"/>
      <c r="AF2810" s="421"/>
      <c r="AG2810" s="421"/>
      <c r="AH2810" s="421"/>
      <c r="AI2810" s="421"/>
      <c r="AJ2810" s="421"/>
      <c r="AK2810" s="421"/>
      <c r="AL2810" s="421"/>
    </row>
    <row r="2811" spans="1:38" hidden="1">
      <c r="A2811" s="408"/>
      <c r="B2811" s="83" t="e">
        <f t="array" ref="B2811">SUM(--(FREQUENCY(IF(C$2:C$3072=C2811, MATCH(D$2:D$3072, D$2:D$3072, 0)), ROW(D$2:D$3072)-ROW(D$2)+1) &gt; 0))</f>
        <v>#N/A</v>
      </c>
      <c r="C2811" s="408"/>
      <c r="D2811" s="408"/>
      <c r="E2811" s="408"/>
      <c r="F2811" s="408"/>
      <c r="G2811" s="408"/>
      <c r="H2811" s="408"/>
      <c r="I2811" s="408"/>
      <c r="J2811" s="408"/>
      <c r="K2811" s="408"/>
      <c r="L2811" s="408"/>
      <c r="M2811" s="408"/>
      <c r="N2811" s="408" t="str">
        <f t="shared" si="470"/>
        <v/>
      </c>
      <c r="O2811" s="408"/>
      <c r="P2811" s="408"/>
      <c r="Q2811" s="408"/>
      <c r="R2811" s="408"/>
      <c r="S2811" s="408"/>
      <c r="T2811" s="408"/>
      <c r="U2811" s="408"/>
      <c r="V2811" s="421"/>
      <c r="W2811" s="421"/>
      <c r="X2811" s="421"/>
      <c r="Y2811" s="421"/>
      <c r="Z2811" s="421"/>
      <c r="AA2811" s="421"/>
      <c r="AB2811" s="421"/>
      <c r="AC2811" s="421"/>
      <c r="AD2811" s="421"/>
      <c r="AE2811" s="421"/>
      <c r="AF2811" s="421"/>
      <c r="AG2811" s="421"/>
      <c r="AH2811" s="421"/>
      <c r="AI2811" s="421"/>
      <c r="AJ2811" s="421"/>
      <c r="AK2811" s="421"/>
      <c r="AL2811" s="421"/>
    </row>
    <row r="2812" spans="1:38" hidden="1">
      <c r="A2812" s="408"/>
      <c r="B2812" s="83" t="e">
        <f t="array" ref="B2812">SUM(--(FREQUENCY(IF(C$2:C$3072=C2812, MATCH(D$2:D$3072, D$2:D$3072, 0)), ROW(D$2:D$3072)-ROW(D$2)+1) &gt; 0))</f>
        <v>#N/A</v>
      </c>
      <c r="C2812" s="408"/>
      <c r="D2812" s="408"/>
      <c r="E2812" s="408"/>
      <c r="F2812" s="408"/>
      <c r="G2812" s="408"/>
      <c r="H2812" s="408"/>
      <c r="I2812" s="408"/>
      <c r="J2812" s="408"/>
      <c r="K2812" s="408"/>
      <c r="L2812" s="408"/>
      <c r="M2812" s="408"/>
      <c r="N2812" s="408" t="str">
        <f t="shared" si="470"/>
        <v/>
      </c>
      <c r="O2812" s="408"/>
      <c r="P2812" s="408"/>
      <c r="Q2812" s="408"/>
      <c r="R2812" s="408"/>
      <c r="S2812" s="408"/>
      <c r="T2812" s="408"/>
      <c r="U2812" s="408"/>
      <c r="V2812" s="421"/>
      <c r="W2812" s="421"/>
      <c r="X2812" s="421"/>
      <c r="Y2812" s="421"/>
      <c r="Z2812" s="421"/>
      <c r="AA2812" s="421"/>
      <c r="AB2812" s="421"/>
      <c r="AC2812" s="421"/>
      <c r="AD2812" s="421"/>
      <c r="AE2812" s="421"/>
      <c r="AF2812" s="421"/>
      <c r="AG2812" s="421"/>
      <c r="AH2812" s="421"/>
      <c r="AI2812" s="421"/>
      <c r="AJ2812" s="421"/>
      <c r="AK2812" s="421"/>
      <c r="AL2812" s="421"/>
    </row>
    <row r="2813" spans="1:38" hidden="1">
      <c r="A2813" s="408"/>
      <c r="B2813" s="83" t="e">
        <f t="array" ref="B2813">SUM(--(FREQUENCY(IF(C$2:C$3072=C2813, MATCH(D$2:D$3072, D$2:D$3072, 0)), ROW(D$2:D$3072)-ROW(D$2)+1) &gt; 0))</f>
        <v>#N/A</v>
      </c>
      <c r="C2813" s="408"/>
      <c r="D2813" s="408"/>
      <c r="E2813" s="408"/>
      <c r="F2813" s="408"/>
      <c r="G2813" s="408"/>
      <c r="H2813" s="408"/>
      <c r="I2813" s="408"/>
      <c r="J2813" s="408"/>
      <c r="K2813" s="408"/>
      <c r="L2813" s="408"/>
      <c r="M2813" s="408"/>
      <c r="N2813" s="408" t="str">
        <f t="shared" si="470"/>
        <v/>
      </c>
      <c r="O2813" s="408"/>
      <c r="P2813" s="408"/>
      <c r="Q2813" s="408"/>
      <c r="R2813" s="408"/>
      <c r="S2813" s="408"/>
      <c r="T2813" s="408"/>
      <c r="U2813" s="408"/>
      <c r="V2813" s="421"/>
      <c r="W2813" s="421"/>
      <c r="X2813" s="421"/>
      <c r="Y2813" s="421"/>
      <c r="Z2813" s="421"/>
      <c r="AA2813" s="421"/>
      <c r="AB2813" s="421"/>
      <c r="AC2813" s="421"/>
      <c r="AD2813" s="421"/>
      <c r="AE2813" s="421"/>
      <c r="AF2813" s="421"/>
      <c r="AG2813" s="421"/>
      <c r="AH2813" s="421"/>
      <c r="AI2813" s="421"/>
      <c r="AJ2813" s="421"/>
      <c r="AK2813" s="421"/>
      <c r="AL2813" s="421"/>
    </row>
    <row r="2814" spans="1:38" hidden="1">
      <c r="A2814" s="408"/>
      <c r="B2814" s="83" t="e">
        <f t="array" ref="B2814">SUM(--(FREQUENCY(IF(C$2:C$3072=C2814, MATCH(D$2:D$3072, D$2:D$3072, 0)), ROW(D$2:D$3072)-ROW(D$2)+1) &gt; 0))</f>
        <v>#N/A</v>
      </c>
      <c r="C2814" s="408"/>
      <c r="D2814" s="408"/>
      <c r="E2814" s="408"/>
      <c r="F2814" s="408"/>
      <c r="G2814" s="408"/>
      <c r="H2814" s="408"/>
      <c r="I2814" s="408"/>
      <c r="J2814" s="408"/>
      <c r="K2814" s="408"/>
      <c r="L2814" s="408"/>
      <c r="M2814" s="408"/>
      <c r="N2814" s="408" t="str">
        <f t="shared" si="470"/>
        <v/>
      </c>
      <c r="O2814" s="408"/>
      <c r="P2814" s="408"/>
      <c r="Q2814" s="408"/>
      <c r="R2814" s="408"/>
      <c r="S2814" s="408"/>
      <c r="T2814" s="408"/>
      <c r="U2814" s="408"/>
      <c r="V2814" s="421"/>
      <c r="W2814" s="421"/>
      <c r="X2814" s="421"/>
      <c r="Y2814" s="421"/>
      <c r="Z2814" s="421"/>
      <c r="AA2814" s="421"/>
      <c r="AB2814" s="421"/>
      <c r="AC2814" s="421"/>
      <c r="AD2814" s="421"/>
      <c r="AE2814" s="421"/>
      <c r="AF2814" s="421"/>
      <c r="AG2814" s="421"/>
      <c r="AH2814" s="421"/>
      <c r="AI2814" s="421"/>
      <c r="AJ2814" s="421"/>
      <c r="AK2814" s="421"/>
      <c r="AL2814" s="421"/>
    </row>
    <row r="2815" spans="1:38" hidden="1">
      <c r="A2815" s="408"/>
      <c r="B2815" s="83" t="e">
        <f t="array" ref="B2815">SUM(--(FREQUENCY(IF(C$2:C$3072=C2815, MATCH(D$2:D$3072, D$2:D$3072, 0)), ROW(D$2:D$3072)-ROW(D$2)+1) &gt; 0))</f>
        <v>#N/A</v>
      </c>
      <c r="C2815" s="408"/>
      <c r="D2815" s="408"/>
      <c r="E2815" s="408"/>
      <c r="F2815" s="408"/>
      <c r="G2815" s="408"/>
      <c r="H2815" s="408"/>
      <c r="I2815" s="408"/>
      <c r="J2815" s="408"/>
      <c r="K2815" s="408"/>
      <c r="L2815" s="408"/>
      <c r="M2815" s="408"/>
      <c r="N2815" s="408" t="str">
        <f t="shared" si="470"/>
        <v/>
      </c>
      <c r="O2815" s="408"/>
      <c r="P2815" s="408"/>
      <c r="Q2815" s="408"/>
      <c r="R2815" s="408"/>
      <c r="S2815" s="408"/>
      <c r="T2815" s="408"/>
      <c r="U2815" s="408"/>
      <c r="V2815" s="421"/>
      <c r="W2815" s="421"/>
      <c r="X2815" s="421"/>
      <c r="Y2815" s="421"/>
      <c r="Z2815" s="421"/>
      <c r="AA2815" s="421"/>
      <c r="AB2815" s="421"/>
      <c r="AC2815" s="421"/>
      <c r="AD2815" s="421"/>
      <c r="AE2815" s="421"/>
      <c r="AF2815" s="421"/>
      <c r="AG2815" s="421"/>
      <c r="AH2815" s="421"/>
      <c r="AI2815" s="421"/>
      <c r="AJ2815" s="421"/>
      <c r="AK2815" s="421"/>
      <c r="AL2815" s="421"/>
    </row>
    <row r="2816" spans="1:38" hidden="1">
      <c r="A2816" s="408"/>
      <c r="B2816" s="83" t="e">
        <f t="array" ref="B2816">SUM(--(FREQUENCY(IF(C$2:C$3072=C2816, MATCH(D$2:D$3072, D$2:D$3072, 0)), ROW(D$2:D$3072)-ROW(D$2)+1) &gt; 0))</f>
        <v>#N/A</v>
      </c>
      <c r="C2816" s="408"/>
      <c r="D2816" s="408"/>
      <c r="E2816" s="408"/>
      <c r="F2816" s="408"/>
      <c r="G2816" s="408"/>
      <c r="H2816" s="408"/>
      <c r="I2816" s="408"/>
      <c r="J2816" s="408"/>
      <c r="K2816" s="408"/>
      <c r="L2816" s="408"/>
      <c r="M2816" s="408"/>
      <c r="N2816" s="408" t="str">
        <f t="shared" ref="N2816:N2879" si="471">IF(O2816&lt;&gt;"", "NG", "")</f>
        <v/>
      </c>
      <c r="O2816" s="408"/>
      <c r="P2816" s="408"/>
      <c r="Q2816" s="408"/>
      <c r="R2816" s="408"/>
      <c r="S2816" s="408"/>
      <c r="T2816" s="408"/>
      <c r="U2816" s="408"/>
      <c r="V2816" s="421"/>
      <c r="W2816" s="421"/>
      <c r="X2816" s="421"/>
      <c r="Y2816" s="421"/>
      <c r="Z2816" s="421"/>
      <c r="AA2816" s="421"/>
      <c r="AB2816" s="421"/>
      <c r="AC2816" s="421"/>
      <c r="AD2816" s="421"/>
      <c r="AE2816" s="421"/>
      <c r="AF2816" s="421"/>
      <c r="AG2816" s="421"/>
      <c r="AH2816" s="421"/>
      <c r="AI2816" s="421"/>
      <c r="AJ2816" s="421"/>
      <c r="AK2816" s="421"/>
      <c r="AL2816" s="421"/>
    </row>
    <row r="2817" spans="1:38" hidden="1">
      <c r="A2817" s="408"/>
      <c r="B2817" s="83" t="e">
        <f t="array" ref="B2817">SUM(--(FREQUENCY(IF(C$2:C$3072=C2817, MATCH(D$2:D$3072, D$2:D$3072, 0)), ROW(D$2:D$3072)-ROW(D$2)+1) &gt; 0))</f>
        <v>#N/A</v>
      </c>
      <c r="C2817" s="408"/>
      <c r="D2817" s="408"/>
      <c r="E2817" s="408"/>
      <c r="F2817" s="408"/>
      <c r="G2817" s="408"/>
      <c r="H2817" s="408"/>
      <c r="I2817" s="408"/>
      <c r="J2817" s="408"/>
      <c r="K2817" s="408"/>
      <c r="L2817" s="408"/>
      <c r="M2817" s="408"/>
      <c r="N2817" s="408" t="str">
        <f t="shared" si="471"/>
        <v/>
      </c>
      <c r="O2817" s="408"/>
      <c r="P2817" s="408"/>
      <c r="Q2817" s="408"/>
      <c r="R2817" s="408"/>
      <c r="S2817" s="408"/>
      <c r="T2817" s="408"/>
      <c r="U2817" s="408"/>
      <c r="V2817" s="421"/>
      <c r="W2817" s="421"/>
      <c r="X2817" s="421"/>
      <c r="Y2817" s="421"/>
      <c r="Z2817" s="421"/>
      <c r="AA2817" s="421"/>
      <c r="AB2817" s="421"/>
      <c r="AC2817" s="421"/>
      <c r="AD2817" s="421"/>
      <c r="AE2817" s="421"/>
      <c r="AF2817" s="421"/>
      <c r="AG2817" s="421"/>
      <c r="AH2817" s="421"/>
      <c r="AI2817" s="421"/>
      <c r="AJ2817" s="421"/>
      <c r="AK2817" s="421"/>
      <c r="AL2817" s="421"/>
    </row>
    <row r="2818" spans="1:38" hidden="1">
      <c r="A2818" s="408"/>
      <c r="B2818" s="83" t="e">
        <f t="array" ref="B2818">SUM(--(FREQUENCY(IF(C$2:C$3072=C2818, MATCH(D$2:D$3072, D$2:D$3072, 0)), ROW(D$2:D$3072)-ROW(D$2)+1) &gt; 0))</f>
        <v>#N/A</v>
      </c>
      <c r="C2818" s="408"/>
      <c r="D2818" s="408"/>
      <c r="E2818" s="408"/>
      <c r="F2818" s="408"/>
      <c r="G2818" s="408"/>
      <c r="H2818" s="408"/>
      <c r="I2818" s="408"/>
      <c r="J2818" s="408"/>
      <c r="K2818" s="408"/>
      <c r="L2818" s="408"/>
      <c r="M2818" s="408"/>
      <c r="N2818" s="408" t="str">
        <f t="shared" si="471"/>
        <v/>
      </c>
      <c r="O2818" s="408"/>
      <c r="P2818" s="408"/>
      <c r="Q2818" s="408"/>
      <c r="R2818" s="408"/>
      <c r="S2818" s="408"/>
      <c r="T2818" s="408"/>
      <c r="U2818" s="408"/>
      <c r="V2818" s="421"/>
      <c r="W2818" s="421"/>
      <c r="X2818" s="421"/>
      <c r="Y2818" s="421"/>
      <c r="Z2818" s="421"/>
      <c r="AA2818" s="421"/>
      <c r="AB2818" s="421"/>
      <c r="AC2818" s="421"/>
      <c r="AD2818" s="421"/>
      <c r="AE2818" s="421"/>
      <c r="AF2818" s="421"/>
      <c r="AG2818" s="421"/>
      <c r="AH2818" s="421"/>
      <c r="AI2818" s="421"/>
      <c r="AJ2818" s="421"/>
      <c r="AK2818" s="421"/>
      <c r="AL2818" s="421"/>
    </row>
    <row r="2819" spans="1:38" hidden="1">
      <c r="A2819" s="408"/>
      <c r="B2819" s="83" t="e">
        <f t="array" ref="B2819">SUM(--(FREQUENCY(IF(C$2:C$3072=C2819, MATCH(D$2:D$3072, D$2:D$3072, 0)), ROW(D$2:D$3072)-ROW(D$2)+1) &gt; 0))</f>
        <v>#N/A</v>
      </c>
      <c r="C2819" s="408"/>
      <c r="D2819" s="408"/>
      <c r="E2819" s="408"/>
      <c r="F2819" s="408"/>
      <c r="G2819" s="408"/>
      <c r="H2819" s="408"/>
      <c r="I2819" s="408"/>
      <c r="J2819" s="408"/>
      <c r="K2819" s="408"/>
      <c r="L2819" s="408"/>
      <c r="M2819" s="408"/>
      <c r="N2819" s="408" t="str">
        <f t="shared" si="471"/>
        <v/>
      </c>
      <c r="O2819" s="408"/>
      <c r="P2819" s="408"/>
      <c r="Q2819" s="408"/>
      <c r="R2819" s="408"/>
      <c r="S2819" s="408"/>
      <c r="T2819" s="408"/>
      <c r="U2819" s="408"/>
      <c r="V2819" s="421"/>
      <c r="W2819" s="421"/>
      <c r="X2819" s="421"/>
      <c r="Y2819" s="421"/>
      <c r="Z2819" s="421"/>
      <c r="AA2819" s="421"/>
      <c r="AB2819" s="421"/>
      <c r="AC2819" s="421"/>
      <c r="AD2819" s="421"/>
      <c r="AE2819" s="421"/>
      <c r="AF2819" s="421"/>
      <c r="AG2819" s="421"/>
      <c r="AH2819" s="421"/>
      <c r="AI2819" s="421"/>
      <c r="AJ2819" s="421"/>
      <c r="AK2819" s="421"/>
      <c r="AL2819" s="421"/>
    </row>
    <row r="2820" spans="1:38" hidden="1">
      <c r="A2820" s="408"/>
      <c r="B2820" s="83" t="e">
        <f t="array" ref="B2820">SUM(--(FREQUENCY(IF(C$2:C$3072=C2820, MATCH(D$2:D$3072, D$2:D$3072, 0)), ROW(D$2:D$3072)-ROW(D$2)+1) &gt; 0))</f>
        <v>#N/A</v>
      </c>
      <c r="C2820" s="408"/>
      <c r="D2820" s="408"/>
      <c r="E2820" s="408"/>
      <c r="F2820" s="408"/>
      <c r="G2820" s="408"/>
      <c r="H2820" s="408"/>
      <c r="I2820" s="408"/>
      <c r="J2820" s="408"/>
      <c r="K2820" s="408"/>
      <c r="L2820" s="408"/>
      <c r="M2820" s="408"/>
      <c r="N2820" s="408" t="str">
        <f t="shared" si="471"/>
        <v/>
      </c>
      <c r="O2820" s="408"/>
      <c r="P2820" s="408"/>
      <c r="Q2820" s="408"/>
      <c r="R2820" s="408"/>
      <c r="S2820" s="408"/>
      <c r="T2820" s="408"/>
      <c r="U2820" s="408"/>
      <c r="V2820" s="421"/>
      <c r="W2820" s="421"/>
      <c r="X2820" s="421"/>
      <c r="Y2820" s="421"/>
      <c r="Z2820" s="421"/>
      <c r="AA2820" s="421"/>
      <c r="AB2820" s="421"/>
      <c r="AC2820" s="421"/>
      <c r="AD2820" s="421"/>
      <c r="AE2820" s="421"/>
      <c r="AF2820" s="421"/>
      <c r="AG2820" s="421"/>
      <c r="AH2820" s="421"/>
      <c r="AI2820" s="421"/>
      <c r="AJ2820" s="421"/>
      <c r="AK2820" s="421"/>
      <c r="AL2820" s="421"/>
    </row>
    <row r="2821" spans="1:38" hidden="1">
      <c r="A2821" s="408"/>
      <c r="B2821" s="83" t="e">
        <f t="array" ref="B2821">SUM(--(FREQUENCY(IF(C$2:C$3072=C2821, MATCH(D$2:D$3072, D$2:D$3072, 0)), ROW(D$2:D$3072)-ROW(D$2)+1) &gt; 0))</f>
        <v>#N/A</v>
      </c>
      <c r="C2821" s="408"/>
      <c r="D2821" s="408"/>
      <c r="E2821" s="408"/>
      <c r="F2821" s="408"/>
      <c r="G2821" s="408"/>
      <c r="H2821" s="408"/>
      <c r="I2821" s="408"/>
      <c r="J2821" s="408"/>
      <c r="K2821" s="408"/>
      <c r="L2821" s="408"/>
      <c r="M2821" s="408"/>
      <c r="N2821" s="408" t="str">
        <f t="shared" si="471"/>
        <v/>
      </c>
      <c r="O2821" s="408"/>
      <c r="P2821" s="408"/>
      <c r="Q2821" s="408"/>
      <c r="R2821" s="408"/>
      <c r="S2821" s="408"/>
      <c r="T2821" s="408"/>
      <c r="U2821" s="408"/>
      <c r="V2821" s="421"/>
      <c r="W2821" s="421"/>
      <c r="X2821" s="421"/>
      <c r="Y2821" s="421"/>
      <c r="Z2821" s="421"/>
      <c r="AA2821" s="421"/>
      <c r="AB2821" s="421"/>
      <c r="AC2821" s="421"/>
      <c r="AD2821" s="421"/>
      <c r="AE2821" s="421"/>
      <c r="AF2821" s="421"/>
      <c r="AG2821" s="421"/>
      <c r="AH2821" s="421"/>
      <c r="AI2821" s="421"/>
      <c r="AJ2821" s="421"/>
      <c r="AK2821" s="421"/>
      <c r="AL2821" s="421"/>
    </row>
    <row r="2822" spans="1:38" hidden="1">
      <c r="A2822" s="408"/>
      <c r="B2822" s="83" t="e">
        <f t="array" ref="B2822">SUM(--(FREQUENCY(IF(C$2:C$3072=C2822, MATCH(D$2:D$3072, D$2:D$3072, 0)), ROW(D$2:D$3072)-ROW(D$2)+1) &gt; 0))</f>
        <v>#N/A</v>
      </c>
      <c r="C2822" s="408"/>
      <c r="D2822" s="408"/>
      <c r="E2822" s="408"/>
      <c r="F2822" s="408"/>
      <c r="G2822" s="408"/>
      <c r="H2822" s="408"/>
      <c r="I2822" s="408"/>
      <c r="J2822" s="408"/>
      <c r="K2822" s="408"/>
      <c r="L2822" s="408"/>
      <c r="M2822" s="408"/>
      <c r="N2822" s="408" t="str">
        <f t="shared" si="471"/>
        <v/>
      </c>
      <c r="O2822" s="408"/>
      <c r="P2822" s="408"/>
      <c r="Q2822" s="408"/>
      <c r="R2822" s="408"/>
      <c r="S2822" s="408"/>
      <c r="T2822" s="408"/>
      <c r="U2822" s="408"/>
      <c r="V2822" s="421"/>
      <c r="W2822" s="421"/>
      <c r="X2822" s="421"/>
      <c r="Y2822" s="421"/>
      <c r="Z2822" s="421"/>
      <c r="AA2822" s="421"/>
      <c r="AB2822" s="421"/>
      <c r="AC2822" s="421"/>
      <c r="AD2822" s="421"/>
      <c r="AE2822" s="421"/>
      <c r="AF2822" s="421"/>
      <c r="AG2822" s="421"/>
      <c r="AH2822" s="421"/>
      <c r="AI2822" s="421"/>
      <c r="AJ2822" s="421"/>
      <c r="AK2822" s="421"/>
      <c r="AL2822" s="421"/>
    </row>
    <row r="2823" spans="1:38" hidden="1">
      <c r="A2823" s="408"/>
      <c r="B2823" s="83" t="e">
        <f t="array" ref="B2823">SUM(--(FREQUENCY(IF(C$2:C$3072=C2823, MATCH(D$2:D$3072, D$2:D$3072, 0)), ROW(D$2:D$3072)-ROW(D$2)+1) &gt; 0))</f>
        <v>#N/A</v>
      </c>
      <c r="C2823" s="408"/>
      <c r="D2823" s="408"/>
      <c r="E2823" s="408"/>
      <c r="F2823" s="408"/>
      <c r="G2823" s="408"/>
      <c r="H2823" s="408"/>
      <c r="I2823" s="408"/>
      <c r="J2823" s="408"/>
      <c r="K2823" s="408"/>
      <c r="L2823" s="408"/>
      <c r="M2823" s="408"/>
      <c r="N2823" s="408" t="str">
        <f t="shared" si="471"/>
        <v/>
      </c>
      <c r="O2823" s="408"/>
      <c r="P2823" s="408"/>
      <c r="Q2823" s="408"/>
      <c r="R2823" s="408"/>
      <c r="S2823" s="408"/>
      <c r="T2823" s="408"/>
      <c r="U2823" s="408"/>
      <c r="V2823" s="421"/>
      <c r="W2823" s="421"/>
      <c r="X2823" s="421"/>
      <c r="Y2823" s="421"/>
      <c r="Z2823" s="421"/>
      <c r="AA2823" s="421"/>
      <c r="AB2823" s="421"/>
      <c r="AC2823" s="421"/>
      <c r="AD2823" s="421"/>
      <c r="AE2823" s="421"/>
      <c r="AF2823" s="421"/>
      <c r="AG2823" s="421"/>
      <c r="AH2823" s="421"/>
      <c r="AI2823" s="421"/>
      <c r="AJ2823" s="421"/>
      <c r="AK2823" s="421"/>
      <c r="AL2823" s="421"/>
    </row>
    <row r="2824" spans="1:38" hidden="1">
      <c r="A2824" s="408"/>
      <c r="B2824" s="83" t="e">
        <f t="array" ref="B2824">SUM(--(FREQUENCY(IF(C$2:C$3072=C2824, MATCH(D$2:D$3072, D$2:D$3072, 0)), ROW(D$2:D$3072)-ROW(D$2)+1) &gt; 0))</f>
        <v>#N/A</v>
      </c>
      <c r="C2824" s="408"/>
      <c r="D2824" s="408"/>
      <c r="E2824" s="408"/>
      <c r="F2824" s="408"/>
      <c r="G2824" s="408"/>
      <c r="H2824" s="408"/>
      <c r="I2824" s="408"/>
      <c r="J2824" s="408"/>
      <c r="K2824" s="408"/>
      <c r="L2824" s="408"/>
      <c r="M2824" s="408"/>
      <c r="N2824" s="408" t="str">
        <f t="shared" si="471"/>
        <v/>
      </c>
      <c r="O2824" s="408"/>
      <c r="P2824" s="408"/>
      <c r="Q2824" s="408"/>
      <c r="R2824" s="408"/>
      <c r="S2824" s="408"/>
      <c r="T2824" s="408"/>
      <c r="U2824" s="408"/>
      <c r="V2824" s="421"/>
      <c r="W2824" s="421"/>
      <c r="X2824" s="421"/>
      <c r="Y2824" s="421"/>
      <c r="Z2824" s="421"/>
      <c r="AA2824" s="421"/>
      <c r="AB2824" s="421"/>
      <c r="AC2824" s="421"/>
      <c r="AD2824" s="421"/>
      <c r="AE2824" s="421"/>
      <c r="AF2824" s="421"/>
      <c r="AG2824" s="421"/>
      <c r="AH2824" s="421"/>
      <c r="AI2824" s="421"/>
      <c r="AJ2824" s="421"/>
      <c r="AK2824" s="421"/>
      <c r="AL2824" s="421"/>
    </row>
    <row r="2825" spans="1:38" hidden="1">
      <c r="A2825" s="408"/>
      <c r="B2825" s="83" t="e">
        <f t="array" ref="B2825">SUM(--(FREQUENCY(IF(C$2:C$3072=C2825, MATCH(D$2:D$3072, D$2:D$3072, 0)), ROW(D$2:D$3072)-ROW(D$2)+1) &gt; 0))</f>
        <v>#N/A</v>
      </c>
      <c r="C2825" s="408"/>
      <c r="D2825" s="408"/>
      <c r="E2825" s="408"/>
      <c r="F2825" s="408"/>
      <c r="G2825" s="408"/>
      <c r="H2825" s="408"/>
      <c r="I2825" s="408"/>
      <c r="J2825" s="408"/>
      <c r="K2825" s="408"/>
      <c r="L2825" s="408"/>
      <c r="M2825" s="408"/>
      <c r="N2825" s="408" t="str">
        <f t="shared" si="471"/>
        <v/>
      </c>
      <c r="O2825" s="408"/>
      <c r="P2825" s="408"/>
      <c r="Q2825" s="408"/>
      <c r="R2825" s="408"/>
      <c r="S2825" s="408"/>
      <c r="T2825" s="408"/>
      <c r="U2825" s="408"/>
      <c r="V2825" s="421"/>
      <c r="W2825" s="421"/>
      <c r="X2825" s="421"/>
      <c r="Y2825" s="421"/>
      <c r="Z2825" s="421"/>
      <c r="AA2825" s="421"/>
      <c r="AB2825" s="421"/>
      <c r="AC2825" s="421"/>
      <c r="AD2825" s="421"/>
      <c r="AE2825" s="421"/>
      <c r="AF2825" s="421"/>
      <c r="AG2825" s="421"/>
      <c r="AH2825" s="421"/>
      <c r="AI2825" s="421"/>
      <c r="AJ2825" s="421"/>
      <c r="AK2825" s="421"/>
      <c r="AL2825" s="421"/>
    </row>
    <row r="2826" spans="1:38" hidden="1">
      <c r="A2826" s="408"/>
      <c r="B2826" s="83" t="e">
        <f t="array" ref="B2826">SUM(--(FREQUENCY(IF(C$2:C$3072=C2826, MATCH(D$2:D$3072, D$2:D$3072, 0)), ROW(D$2:D$3072)-ROW(D$2)+1) &gt; 0))</f>
        <v>#N/A</v>
      </c>
      <c r="C2826" s="408"/>
      <c r="D2826" s="408"/>
      <c r="E2826" s="408"/>
      <c r="F2826" s="408"/>
      <c r="G2826" s="408"/>
      <c r="H2826" s="408"/>
      <c r="I2826" s="408"/>
      <c r="J2826" s="408"/>
      <c r="K2826" s="408"/>
      <c r="L2826" s="408"/>
      <c r="M2826" s="408"/>
      <c r="N2826" s="408" t="str">
        <f t="shared" si="471"/>
        <v/>
      </c>
      <c r="O2826" s="408"/>
      <c r="P2826" s="408"/>
      <c r="Q2826" s="408"/>
      <c r="R2826" s="408"/>
      <c r="S2826" s="408"/>
      <c r="T2826" s="408"/>
      <c r="U2826" s="408"/>
      <c r="V2826" s="421"/>
      <c r="W2826" s="421"/>
      <c r="X2826" s="421"/>
      <c r="Y2826" s="421"/>
      <c r="Z2826" s="421"/>
      <c r="AA2826" s="421"/>
      <c r="AB2826" s="421"/>
      <c r="AC2826" s="421"/>
      <c r="AD2826" s="421"/>
      <c r="AE2826" s="421"/>
      <c r="AF2826" s="421"/>
      <c r="AG2826" s="421"/>
      <c r="AH2826" s="421"/>
      <c r="AI2826" s="421"/>
      <c r="AJ2826" s="421"/>
      <c r="AK2826" s="421"/>
      <c r="AL2826" s="421"/>
    </row>
    <row r="2827" spans="1:38" hidden="1">
      <c r="A2827" s="408"/>
      <c r="B2827" s="83" t="e">
        <f t="array" ref="B2827">SUM(--(FREQUENCY(IF(C$2:C$3072=C2827, MATCH(D$2:D$3072, D$2:D$3072, 0)), ROW(D$2:D$3072)-ROW(D$2)+1) &gt; 0))</f>
        <v>#N/A</v>
      </c>
      <c r="C2827" s="408"/>
      <c r="D2827" s="408"/>
      <c r="E2827" s="408"/>
      <c r="F2827" s="408"/>
      <c r="G2827" s="408"/>
      <c r="H2827" s="408"/>
      <c r="I2827" s="408"/>
      <c r="J2827" s="408"/>
      <c r="K2827" s="408"/>
      <c r="L2827" s="408"/>
      <c r="M2827" s="408"/>
      <c r="N2827" s="408" t="str">
        <f t="shared" si="471"/>
        <v/>
      </c>
      <c r="O2827" s="408"/>
      <c r="P2827" s="408"/>
      <c r="Q2827" s="408"/>
      <c r="R2827" s="408"/>
      <c r="S2827" s="408"/>
      <c r="T2827" s="408"/>
      <c r="U2827" s="408"/>
      <c r="V2827" s="421"/>
      <c r="W2827" s="421"/>
      <c r="X2827" s="421"/>
      <c r="Y2827" s="421"/>
      <c r="Z2827" s="421"/>
      <c r="AA2827" s="421"/>
      <c r="AB2827" s="421"/>
      <c r="AC2827" s="421"/>
      <c r="AD2827" s="421"/>
      <c r="AE2827" s="421"/>
      <c r="AF2827" s="421"/>
      <c r="AG2827" s="421"/>
      <c r="AH2827" s="421"/>
      <c r="AI2827" s="421"/>
      <c r="AJ2827" s="421"/>
      <c r="AK2827" s="421"/>
      <c r="AL2827" s="421"/>
    </row>
    <row r="2828" spans="1:38" hidden="1">
      <c r="A2828" s="408"/>
      <c r="B2828" s="83" t="e">
        <f t="array" ref="B2828">SUM(--(FREQUENCY(IF(C$2:C$3072=C2828, MATCH(D$2:D$3072, D$2:D$3072, 0)), ROW(D$2:D$3072)-ROW(D$2)+1) &gt; 0))</f>
        <v>#N/A</v>
      </c>
      <c r="C2828" s="408"/>
      <c r="D2828" s="408"/>
      <c r="E2828" s="408"/>
      <c r="F2828" s="408"/>
      <c r="G2828" s="408"/>
      <c r="H2828" s="408"/>
      <c r="I2828" s="408"/>
      <c r="J2828" s="408"/>
      <c r="K2828" s="408"/>
      <c r="L2828" s="408"/>
      <c r="M2828" s="408"/>
      <c r="N2828" s="408" t="str">
        <f t="shared" si="471"/>
        <v/>
      </c>
      <c r="O2828" s="408"/>
      <c r="P2828" s="408"/>
      <c r="Q2828" s="408"/>
      <c r="R2828" s="408"/>
      <c r="S2828" s="408"/>
      <c r="T2828" s="408"/>
      <c r="U2828" s="408"/>
      <c r="V2828" s="421"/>
      <c r="W2828" s="421"/>
      <c r="X2828" s="421"/>
      <c r="Y2828" s="421"/>
      <c r="Z2828" s="421"/>
      <c r="AA2828" s="421"/>
      <c r="AB2828" s="421"/>
      <c r="AC2828" s="421"/>
      <c r="AD2828" s="421"/>
      <c r="AE2828" s="421"/>
      <c r="AF2828" s="421"/>
      <c r="AG2828" s="421"/>
      <c r="AH2828" s="421"/>
      <c r="AI2828" s="421"/>
      <c r="AJ2828" s="421"/>
      <c r="AK2828" s="421"/>
      <c r="AL2828" s="421"/>
    </row>
    <row r="2829" spans="1:38" hidden="1">
      <c r="A2829" s="408"/>
      <c r="B2829" s="83" t="e">
        <f t="array" ref="B2829">SUM(--(FREQUENCY(IF(C$2:C$3072=C2829, MATCH(D$2:D$3072, D$2:D$3072, 0)), ROW(D$2:D$3072)-ROW(D$2)+1) &gt; 0))</f>
        <v>#N/A</v>
      </c>
      <c r="C2829" s="408"/>
      <c r="D2829" s="408"/>
      <c r="E2829" s="408"/>
      <c r="F2829" s="408"/>
      <c r="G2829" s="408"/>
      <c r="H2829" s="408"/>
      <c r="I2829" s="408"/>
      <c r="J2829" s="408"/>
      <c r="K2829" s="408"/>
      <c r="L2829" s="408"/>
      <c r="M2829" s="408"/>
      <c r="N2829" s="408" t="str">
        <f t="shared" si="471"/>
        <v/>
      </c>
      <c r="O2829" s="408"/>
      <c r="P2829" s="408"/>
      <c r="Q2829" s="408"/>
      <c r="R2829" s="408"/>
      <c r="S2829" s="408"/>
      <c r="T2829" s="408"/>
      <c r="U2829" s="408"/>
      <c r="V2829" s="421"/>
      <c r="W2829" s="421"/>
      <c r="X2829" s="421"/>
      <c r="Y2829" s="421"/>
      <c r="Z2829" s="421"/>
      <c r="AA2829" s="421"/>
      <c r="AB2829" s="421"/>
      <c r="AC2829" s="421"/>
      <c r="AD2829" s="421"/>
      <c r="AE2829" s="421"/>
      <c r="AF2829" s="421"/>
      <c r="AG2829" s="421"/>
      <c r="AH2829" s="421"/>
      <c r="AI2829" s="421"/>
      <c r="AJ2829" s="421"/>
      <c r="AK2829" s="421"/>
      <c r="AL2829" s="421"/>
    </row>
    <row r="2830" spans="1:38" hidden="1">
      <c r="A2830" s="408"/>
      <c r="B2830" s="83" t="e">
        <f t="array" ref="B2830">SUM(--(FREQUENCY(IF(C$2:C$3072=C2830, MATCH(D$2:D$3072, D$2:D$3072, 0)), ROW(D$2:D$3072)-ROW(D$2)+1) &gt; 0))</f>
        <v>#N/A</v>
      </c>
      <c r="C2830" s="408"/>
      <c r="D2830" s="408"/>
      <c r="E2830" s="408"/>
      <c r="F2830" s="408"/>
      <c r="G2830" s="408"/>
      <c r="H2830" s="408"/>
      <c r="I2830" s="408"/>
      <c r="J2830" s="408"/>
      <c r="K2830" s="408"/>
      <c r="L2830" s="408"/>
      <c r="M2830" s="408"/>
      <c r="N2830" s="408" t="str">
        <f t="shared" si="471"/>
        <v/>
      </c>
      <c r="O2830" s="408"/>
      <c r="P2830" s="408"/>
      <c r="Q2830" s="408"/>
      <c r="R2830" s="408"/>
      <c r="S2830" s="408"/>
      <c r="T2830" s="408"/>
      <c r="U2830" s="408"/>
      <c r="V2830" s="421"/>
      <c r="W2830" s="421"/>
      <c r="X2830" s="421"/>
      <c r="Y2830" s="421"/>
      <c r="Z2830" s="421"/>
      <c r="AA2830" s="421"/>
      <c r="AB2830" s="421"/>
      <c r="AC2830" s="421"/>
      <c r="AD2830" s="421"/>
      <c r="AE2830" s="421"/>
      <c r="AF2830" s="421"/>
      <c r="AG2830" s="421"/>
      <c r="AH2830" s="421"/>
      <c r="AI2830" s="421"/>
      <c r="AJ2830" s="421"/>
      <c r="AK2830" s="421"/>
      <c r="AL2830" s="421"/>
    </row>
    <row r="2831" spans="1:38" hidden="1">
      <c r="A2831" s="408"/>
      <c r="B2831" s="83" t="e">
        <f t="array" ref="B2831">SUM(--(FREQUENCY(IF(C$2:C$3072=C2831, MATCH(D$2:D$3072, D$2:D$3072, 0)), ROW(D$2:D$3072)-ROW(D$2)+1) &gt; 0))</f>
        <v>#N/A</v>
      </c>
      <c r="C2831" s="408"/>
      <c r="D2831" s="408"/>
      <c r="E2831" s="408"/>
      <c r="F2831" s="408"/>
      <c r="G2831" s="408"/>
      <c r="H2831" s="408"/>
      <c r="I2831" s="408"/>
      <c r="J2831" s="408"/>
      <c r="K2831" s="408"/>
      <c r="L2831" s="408"/>
      <c r="M2831" s="408"/>
      <c r="N2831" s="408" t="str">
        <f t="shared" si="471"/>
        <v/>
      </c>
      <c r="O2831" s="408"/>
      <c r="P2831" s="408"/>
      <c r="Q2831" s="408"/>
      <c r="R2831" s="408"/>
      <c r="S2831" s="408"/>
      <c r="T2831" s="408"/>
      <c r="U2831" s="408"/>
      <c r="V2831" s="421"/>
      <c r="W2831" s="421"/>
      <c r="X2831" s="421"/>
      <c r="Y2831" s="421"/>
      <c r="Z2831" s="421"/>
      <c r="AA2831" s="421"/>
      <c r="AB2831" s="421"/>
      <c r="AC2831" s="421"/>
      <c r="AD2831" s="421"/>
      <c r="AE2831" s="421"/>
      <c r="AF2831" s="421"/>
      <c r="AG2831" s="421"/>
      <c r="AH2831" s="421"/>
      <c r="AI2831" s="421"/>
      <c r="AJ2831" s="421"/>
      <c r="AK2831" s="421"/>
      <c r="AL2831" s="421"/>
    </row>
    <row r="2832" spans="1:38" hidden="1">
      <c r="A2832" s="408"/>
      <c r="B2832" s="83" t="e">
        <f t="array" ref="B2832">SUM(--(FREQUENCY(IF(C$2:C$3072=C2832, MATCH(D$2:D$3072, D$2:D$3072, 0)), ROW(D$2:D$3072)-ROW(D$2)+1) &gt; 0))</f>
        <v>#N/A</v>
      </c>
      <c r="C2832" s="408"/>
      <c r="D2832" s="408"/>
      <c r="E2832" s="408"/>
      <c r="F2832" s="408"/>
      <c r="G2832" s="408"/>
      <c r="H2832" s="408"/>
      <c r="I2832" s="408"/>
      <c r="J2832" s="408"/>
      <c r="K2832" s="408"/>
      <c r="L2832" s="408"/>
      <c r="M2832" s="408"/>
      <c r="N2832" s="408" t="str">
        <f t="shared" si="471"/>
        <v/>
      </c>
      <c r="O2832" s="408"/>
      <c r="P2832" s="408"/>
      <c r="Q2832" s="408"/>
      <c r="R2832" s="408"/>
      <c r="S2832" s="408"/>
      <c r="T2832" s="408"/>
      <c r="U2832" s="408"/>
      <c r="V2832" s="421"/>
      <c r="W2832" s="421"/>
      <c r="X2832" s="421"/>
      <c r="Y2832" s="421"/>
      <c r="Z2832" s="421"/>
      <c r="AA2832" s="421"/>
      <c r="AB2832" s="421"/>
      <c r="AC2832" s="421"/>
      <c r="AD2832" s="421"/>
      <c r="AE2832" s="421"/>
      <c r="AF2832" s="421"/>
      <c r="AG2832" s="421"/>
      <c r="AH2832" s="421"/>
      <c r="AI2832" s="421"/>
      <c r="AJ2832" s="421"/>
      <c r="AK2832" s="421"/>
      <c r="AL2832" s="421"/>
    </row>
    <row r="2833" spans="1:38" hidden="1">
      <c r="A2833" s="408"/>
      <c r="B2833" s="83" t="e">
        <f t="array" ref="B2833">SUM(--(FREQUENCY(IF(C$2:C$3072=C2833, MATCH(D$2:D$3072, D$2:D$3072, 0)), ROW(D$2:D$3072)-ROW(D$2)+1) &gt; 0))</f>
        <v>#N/A</v>
      </c>
      <c r="C2833" s="408"/>
      <c r="D2833" s="408"/>
      <c r="E2833" s="408"/>
      <c r="F2833" s="408"/>
      <c r="G2833" s="408"/>
      <c r="H2833" s="408"/>
      <c r="I2833" s="408"/>
      <c r="J2833" s="408"/>
      <c r="K2833" s="408"/>
      <c r="L2833" s="408"/>
      <c r="M2833" s="408"/>
      <c r="N2833" s="408" t="str">
        <f t="shared" si="471"/>
        <v/>
      </c>
      <c r="O2833" s="408"/>
      <c r="P2833" s="408"/>
      <c r="Q2833" s="408"/>
      <c r="R2833" s="408"/>
      <c r="S2833" s="408"/>
      <c r="T2833" s="408"/>
      <c r="U2833" s="408"/>
      <c r="V2833" s="421"/>
      <c r="W2833" s="421"/>
      <c r="X2833" s="421"/>
      <c r="Y2833" s="421"/>
      <c r="Z2833" s="421"/>
      <c r="AA2833" s="421"/>
      <c r="AB2833" s="421"/>
      <c r="AC2833" s="421"/>
      <c r="AD2833" s="421"/>
      <c r="AE2833" s="421"/>
      <c r="AF2833" s="421"/>
      <c r="AG2833" s="421"/>
      <c r="AH2833" s="421"/>
      <c r="AI2833" s="421"/>
      <c r="AJ2833" s="421"/>
      <c r="AK2833" s="421"/>
      <c r="AL2833" s="421"/>
    </row>
    <row r="2834" spans="1:38" hidden="1">
      <c r="A2834" s="408"/>
      <c r="B2834" s="83" t="e">
        <f t="array" ref="B2834">SUM(--(FREQUENCY(IF(C$2:C$3072=C2834, MATCH(D$2:D$3072, D$2:D$3072, 0)), ROW(D$2:D$3072)-ROW(D$2)+1) &gt; 0))</f>
        <v>#N/A</v>
      </c>
      <c r="C2834" s="408"/>
      <c r="D2834" s="408"/>
      <c r="E2834" s="408"/>
      <c r="F2834" s="408"/>
      <c r="G2834" s="408"/>
      <c r="H2834" s="408"/>
      <c r="I2834" s="408"/>
      <c r="J2834" s="408"/>
      <c r="K2834" s="408"/>
      <c r="L2834" s="408"/>
      <c r="M2834" s="408"/>
      <c r="N2834" s="408" t="str">
        <f t="shared" si="471"/>
        <v/>
      </c>
      <c r="O2834" s="408"/>
      <c r="P2834" s="408"/>
      <c r="Q2834" s="408"/>
      <c r="R2834" s="408"/>
      <c r="S2834" s="408"/>
      <c r="T2834" s="408"/>
      <c r="U2834" s="408"/>
      <c r="V2834" s="421"/>
      <c r="W2834" s="421"/>
      <c r="X2834" s="421"/>
      <c r="Y2834" s="421"/>
      <c r="Z2834" s="421"/>
      <c r="AA2834" s="421"/>
      <c r="AB2834" s="421"/>
      <c r="AC2834" s="421"/>
      <c r="AD2834" s="421"/>
      <c r="AE2834" s="421"/>
      <c r="AF2834" s="421"/>
      <c r="AG2834" s="421"/>
      <c r="AH2834" s="421"/>
      <c r="AI2834" s="421"/>
      <c r="AJ2834" s="421"/>
      <c r="AK2834" s="421"/>
      <c r="AL2834" s="421"/>
    </row>
    <row r="2835" spans="1:38" hidden="1">
      <c r="A2835" s="408"/>
      <c r="B2835" s="83" t="e">
        <f t="array" ref="B2835">SUM(--(FREQUENCY(IF(C$2:C$3072=C2835, MATCH(D$2:D$3072, D$2:D$3072, 0)), ROW(D$2:D$3072)-ROW(D$2)+1) &gt; 0))</f>
        <v>#N/A</v>
      </c>
      <c r="C2835" s="408"/>
      <c r="D2835" s="408"/>
      <c r="E2835" s="408"/>
      <c r="F2835" s="408"/>
      <c r="G2835" s="408"/>
      <c r="H2835" s="408"/>
      <c r="I2835" s="408"/>
      <c r="J2835" s="408"/>
      <c r="K2835" s="408"/>
      <c r="L2835" s="408"/>
      <c r="M2835" s="408"/>
      <c r="N2835" s="408" t="str">
        <f t="shared" si="471"/>
        <v/>
      </c>
      <c r="O2835" s="408"/>
      <c r="P2835" s="408"/>
      <c r="Q2835" s="408"/>
      <c r="R2835" s="408"/>
      <c r="S2835" s="408"/>
      <c r="T2835" s="408"/>
      <c r="U2835" s="408"/>
      <c r="V2835" s="421"/>
      <c r="W2835" s="421"/>
      <c r="X2835" s="421"/>
      <c r="Y2835" s="421"/>
      <c r="Z2835" s="421"/>
      <c r="AA2835" s="421"/>
      <c r="AB2835" s="421"/>
      <c r="AC2835" s="421"/>
      <c r="AD2835" s="421"/>
      <c r="AE2835" s="421"/>
      <c r="AF2835" s="421"/>
      <c r="AG2835" s="421"/>
      <c r="AH2835" s="421"/>
      <c r="AI2835" s="421"/>
      <c r="AJ2835" s="421"/>
      <c r="AK2835" s="421"/>
      <c r="AL2835" s="421"/>
    </row>
    <row r="2836" spans="1:38" hidden="1">
      <c r="A2836" s="408"/>
      <c r="B2836" s="83" t="e">
        <f t="array" ref="B2836">SUM(--(FREQUENCY(IF(C$2:C$3072=C2836, MATCH(D$2:D$3072, D$2:D$3072, 0)), ROW(D$2:D$3072)-ROW(D$2)+1) &gt; 0))</f>
        <v>#N/A</v>
      </c>
      <c r="C2836" s="408"/>
      <c r="D2836" s="408"/>
      <c r="E2836" s="408"/>
      <c r="F2836" s="408"/>
      <c r="G2836" s="408"/>
      <c r="H2836" s="408"/>
      <c r="I2836" s="408"/>
      <c r="J2836" s="408"/>
      <c r="K2836" s="408"/>
      <c r="L2836" s="408"/>
      <c r="M2836" s="408"/>
      <c r="N2836" s="408" t="str">
        <f t="shared" si="471"/>
        <v/>
      </c>
      <c r="O2836" s="408"/>
      <c r="P2836" s="408"/>
      <c r="Q2836" s="408"/>
      <c r="R2836" s="408"/>
      <c r="S2836" s="408"/>
      <c r="T2836" s="408"/>
      <c r="U2836" s="408"/>
      <c r="V2836" s="421"/>
      <c r="W2836" s="421"/>
      <c r="X2836" s="421"/>
      <c r="Y2836" s="421"/>
      <c r="Z2836" s="421"/>
      <c r="AA2836" s="421"/>
      <c r="AB2836" s="421"/>
      <c r="AC2836" s="421"/>
      <c r="AD2836" s="421"/>
      <c r="AE2836" s="421"/>
      <c r="AF2836" s="421"/>
      <c r="AG2836" s="421"/>
      <c r="AH2836" s="421"/>
      <c r="AI2836" s="421"/>
      <c r="AJ2836" s="421"/>
      <c r="AK2836" s="421"/>
      <c r="AL2836" s="421"/>
    </row>
    <row r="2837" spans="1:38" hidden="1">
      <c r="A2837" s="408"/>
      <c r="B2837" s="83" t="e">
        <f t="array" ref="B2837">SUM(--(FREQUENCY(IF(C$2:C$3072=C2837, MATCH(D$2:D$3072, D$2:D$3072, 0)), ROW(D$2:D$3072)-ROW(D$2)+1) &gt; 0))</f>
        <v>#N/A</v>
      </c>
      <c r="C2837" s="408"/>
      <c r="D2837" s="408"/>
      <c r="E2837" s="408"/>
      <c r="F2837" s="408"/>
      <c r="G2837" s="408"/>
      <c r="H2837" s="408"/>
      <c r="I2837" s="408"/>
      <c r="J2837" s="408"/>
      <c r="K2837" s="408"/>
      <c r="L2837" s="408"/>
      <c r="M2837" s="408"/>
      <c r="N2837" s="408" t="str">
        <f t="shared" si="471"/>
        <v/>
      </c>
      <c r="O2837" s="408"/>
      <c r="P2837" s="408"/>
      <c r="Q2837" s="408"/>
      <c r="R2837" s="408"/>
      <c r="S2837" s="408"/>
      <c r="T2837" s="408"/>
      <c r="U2837" s="408"/>
      <c r="V2837" s="421"/>
      <c r="W2837" s="421"/>
      <c r="X2837" s="421"/>
      <c r="Y2837" s="421"/>
      <c r="Z2837" s="421"/>
      <c r="AA2837" s="421"/>
      <c r="AB2837" s="421"/>
      <c r="AC2837" s="421"/>
      <c r="AD2837" s="421"/>
      <c r="AE2837" s="421"/>
      <c r="AF2837" s="421"/>
      <c r="AG2837" s="421"/>
      <c r="AH2837" s="421"/>
      <c r="AI2837" s="421"/>
      <c r="AJ2837" s="421"/>
      <c r="AK2837" s="421"/>
      <c r="AL2837" s="421"/>
    </row>
    <row r="2838" spans="1:38" hidden="1">
      <c r="A2838" s="408"/>
      <c r="B2838" s="83" t="e">
        <f t="array" ref="B2838">SUM(--(FREQUENCY(IF(C$2:C$3072=C2838, MATCH(D$2:D$3072, D$2:D$3072, 0)), ROW(D$2:D$3072)-ROW(D$2)+1) &gt; 0))</f>
        <v>#N/A</v>
      </c>
      <c r="C2838" s="408"/>
      <c r="D2838" s="408"/>
      <c r="E2838" s="408"/>
      <c r="F2838" s="408"/>
      <c r="G2838" s="408"/>
      <c r="H2838" s="408"/>
      <c r="I2838" s="408"/>
      <c r="J2838" s="408"/>
      <c r="K2838" s="408"/>
      <c r="L2838" s="408"/>
      <c r="M2838" s="408"/>
      <c r="N2838" s="408" t="str">
        <f t="shared" si="471"/>
        <v/>
      </c>
      <c r="O2838" s="408"/>
      <c r="P2838" s="408"/>
      <c r="Q2838" s="408"/>
      <c r="R2838" s="408"/>
      <c r="S2838" s="408"/>
      <c r="T2838" s="408"/>
      <c r="U2838" s="408"/>
      <c r="V2838" s="421"/>
      <c r="W2838" s="421"/>
      <c r="X2838" s="421"/>
      <c r="Y2838" s="421"/>
      <c r="Z2838" s="421"/>
      <c r="AA2838" s="421"/>
      <c r="AB2838" s="421"/>
      <c r="AC2838" s="421"/>
      <c r="AD2838" s="421"/>
      <c r="AE2838" s="421"/>
      <c r="AF2838" s="421"/>
      <c r="AG2838" s="421"/>
      <c r="AH2838" s="421"/>
      <c r="AI2838" s="421"/>
      <c r="AJ2838" s="421"/>
      <c r="AK2838" s="421"/>
      <c r="AL2838" s="421"/>
    </row>
    <row r="2839" spans="1:38" hidden="1">
      <c r="A2839" s="408"/>
      <c r="B2839" s="83" t="e">
        <f t="array" ref="B2839">SUM(--(FREQUENCY(IF(C$2:C$3072=C2839, MATCH(D$2:D$3072, D$2:D$3072, 0)), ROW(D$2:D$3072)-ROW(D$2)+1) &gt; 0))</f>
        <v>#N/A</v>
      </c>
      <c r="C2839" s="408"/>
      <c r="D2839" s="408"/>
      <c r="E2839" s="408"/>
      <c r="F2839" s="408"/>
      <c r="G2839" s="408"/>
      <c r="H2839" s="408"/>
      <c r="I2839" s="408"/>
      <c r="J2839" s="408"/>
      <c r="K2839" s="408"/>
      <c r="L2839" s="408"/>
      <c r="M2839" s="408"/>
      <c r="N2839" s="408" t="str">
        <f t="shared" si="471"/>
        <v/>
      </c>
      <c r="O2839" s="408"/>
      <c r="P2839" s="408"/>
      <c r="Q2839" s="408"/>
      <c r="R2839" s="408"/>
      <c r="S2839" s="408"/>
      <c r="T2839" s="408"/>
      <c r="U2839" s="408"/>
      <c r="V2839" s="421"/>
      <c r="W2839" s="421"/>
      <c r="X2839" s="421"/>
      <c r="Y2839" s="421"/>
      <c r="Z2839" s="421"/>
      <c r="AA2839" s="421"/>
      <c r="AB2839" s="421"/>
      <c r="AC2839" s="421"/>
      <c r="AD2839" s="421"/>
      <c r="AE2839" s="421"/>
      <c r="AF2839" s="421"/>
      <c r="AG2839" s="421"/>
      <c r="AH2839" s="421"/>
      <c r="AI2839" s="421"/>
      <c r="AJ2839" s="421"/>
      <c r="AK2839" s="421"/>
      <c r="AL2839" s="421"/>
    </row>
    <row r="2840" spans="1:38" hidden="1">
      <c r="A2840" s="408"/>
      <c r="B2840" s="83" t="e">
        <f t="array" ref="B2840">SUM(--(FREQUENCY(IF(C$2:C$3072=C2840, MATCH(D$2:D$3072, D$2:D$3072, 0)), ROW(D$2:D$3072)-ROW(D$2)+1) &gt; 0))</f>
        <v>#N/A</v>
      </c>
      <c r="C2840" s="408"/>
      <c r="D2840" s="408"/>
      <c r="E2840" s="408"/>
      <c r="F2840" s="408"/>
      <c r="G2840" s="408"/>
      <c r="H2840" s="408"/>
      <c r="I2840" s="408"/>
      <c r="J2840" s="408"/>
      <c r="K2840" s="408"/>
      <c r="L2840" s="408"/>
      <c r="M2840" s="408"/>
      <c r="N2840" s="408" t="str">
        <f t="shared" si="471"/>
        <v/>
      </c>
      <c r="O2840" s="408"/>
      <c r="P2840" s="408"/>
      <c r="Q2840" s="408"/>
      <c r="R2840" s="408"/>
      <c r="S2840" s="408"/>
      <c r="T2840" s="408"/>
      <c r="U2840" s="408"/>
      <c r="V2840" s="421"/>
      <c r="W2840" s="421"/>
      <c r="X2840" s="421"/>
      <c r="Y2840" s="421"/>
      <c r="Z2840" s="421"/>
      <c r="AA2840" s="421"/>
      <c r="AB2840" s="421"/>
      <c r="AC2840" s="421"/>
      <c r="AD2840" s="421"/>
      <c r="AE2840" s="421"/>
      <c r="AF2840" s="421"/>
      <c r="AG2840" s="421"/>
      <c r="AH2840" s="421"/>
      <c r="AI2840" s="421"/>
      <c r="AJ2840" s="421"/>
      <c r="AK2840" s="421"/>
      <c r="AL2840" s="421"/>
    </row>
    <row r="2841" spans="1:38" hidden="1">
      <c r="A2841" s="408"/>
      <c r="B2841" s="83" t="e">
        <f t="array" ref="B2841">SUM(--(FREQUENCY(IF(C$2:C$3072=C2841, MATCH(D$2:D$3072, D$2:D$3072, 0)), ROW(D$2:D$3072)-ROW(D$2)+1) &gt; 0))</f>
        <v>#N/A</v>
      </c>
      <c r="C2841" s="408"/>
      <c r="D2841" s="408"/>
      <c r="E2841" s="408"/>
      <c r="F2841" s="408"/>
      <c r="G2841" s="408"/>
      <c r="H2841" s="408"/>
      <c r="I2841" s="408"/>
      <c r="J2841" s="408"/>
      <c r="K2841" s="408"/>
      <c r="L2841" s="408"/>
      <c r="M2841" s="408"/>
      <c r="N2841" s="408" t="str">
        <f t="shared" si="471"/>
        <v/>
      </c>
      <c r="O2841" s="408"/>
      <c r="P2841" s="408"/>
      <c r="Q2841" s="408"/>
      <c r="R2841" s="408"/>
      <c r="S2841" s="408"/>
      <c r="T2841" s="408"/>
      <c r="U2841" s="408"/>
      <c r="V2841" s="421"/>
      <c r="W2841" s="421"/>
      <c r="X2841" s="421"/>
      <c r="Y2841" s="421"/>
      <c r="Z2841" s="421"/>
      <c r="AA2841" s="421"/>
      <c r="AB2841" s="421"/>
      <c r="AC2841" s="421"/>
      <c r="AD2841" s="421"/>
      <c r="AE2841" s="421"/>
      <c r="AF2841" s="421"/>
      <c r="AG2841" s="421"/>
      <c r="AH2841" s="421"/>
      <c r="AI2841" s="421"/>
      <c r="AJ2841" s="421"/>
      <c r="AK2841" s="421"/>
      <c r="AL2841" s="421"/>
    </row>
    <row r="2842" spans="1:38" hidden="1">
      <c r="A2842" s="408"/>
      <c r="B2842" s="83" t="e">
        <f t="array" ref="B2842">SUM(--(FREQUENCY(IF(C$2:C$3072=C2842, MATCH(D$2:D$3072, D$2:D$3072, 0)), ROW(D$2:D$3072)-ROW(D$2)+1) &gt; 0))</f>
        <v>#N/A</v>
      </c>
      <c r="C2842" s="408"/>
      <c r="D2842" s="408"/>
      <c r="E2842" s="408"/>
      <c r="F2842" s="408"/>
      <c r="G2842" s="408"/>
      <c r="H2842" s="408"/>
      <c r="I2842" s="408"/>
      <c r="J2842" s="408"/>
      <c r="K2842" s="408"/>
      <c r="L2842" s="408"/>
      <c r="M2842" s="408"/>
      <c r="N2842" s="408" t="str">
        <f t="shared" si="471"/>
        <v/>
      </c>
      <c r="O2842" s="408"/>
      <c r="P2842" s="408"/>
      <c r="Q2842" s="408"/>
      <c r="R2842" s="408"/>
      <c r="S2842" s="408"/>
      <c r="T2842" s="408"/>
      <c r="U2842" s="408"/>
      <c r="V2842" s="421"/>
      <c r="W2842" s="421"/>
      <c r="X2842" s="421"/>
      <c r="Y2842" s="421"/>
      <c r="Z2842" s="421"/>
      <c r="AA2842" s="421"/>
      <c r="AB2842" s="421"/>
      <c r="AC2842" s="421"/>
      <c r="AD2842" s="421"/>
      <c r="AE2842" s="421"/>
      <c r="AF2842" s="421"/>
      <c r="AG2842" s="421"/>
      <c r="AH2842" s="421"/>
      <c r="AI2842" s="421"/>
      <c r="AJ2842" s="421"/>
      <c r="AK2842" s="421"/>
      <c r="AL2842" s="421"/>
    </row>
    <row r="2843" spans="1:38" hidden="1">
      <c r="A2843" s="408"/>
      <c r="B2843" s="83" t="e">
        <f t="array" ref="B2843">SUM(--(FREQUENCY(IF(C$2:C$3072=C2843, MATCH(D$2:D$3072, D$2:D$3072, 0)), ROW(D$2:D$3072)-ROW(D$2)+1) &gt; 0))</f>
        <v>#N/A</v>
      </c>
      <c r="C2843" s="408"/>
      <c r="D2843" s="408"/>
      <c r="E2843" s="408"/>
      <c r="F2843" s="408"/>
      <c r="G2843" s="408"/>
      <c r="H2843" s="408"/>
      <c r="I2843" s="408"/>
      <c r="J2843" s="408"/>
      <c r="K2843" s="408"/>
      <c r="L2843" s="408"/>
      <c r="M2843" s="408"/>
      <c r="N2843" s="408" t="str">
        <f t="shared" si="471"/>
        <v/>
      </c>
      <c r="O2843" s="408"/>
      <c r="P2843" s="408"/>
      <c r="Q2843" s="408"/>
      <c r="R2843" s="408"/>
      <c r="S2843" s="408"/>
      <c r="T2843" s="408"/>
      <c r="U2843" s="408"/>
      <c r="V2843" s="421"/>
      <c r="W2843" s="421"/>
      <c r="X2843" s="421"/>
      <c r="Y2843" s="421"/>
      <c r="Z2843" s="421"/>
      <c r="AA2843" s="421"/>
      <c r="AB2843" s="421"/>
      <c r="AC2843" s="421"/>
      <c r="AD2843" s="421"/>
      <c r="AE2843" s="421"/>
      <c r="AF2843" s="421"/>
      <c r="AG2843" s="421"/>
      <c r="AH2843" s="421"/>
      <c r="AI2843" s="421"/>
      <c r="AJ2843" s="421"/>
      <c r="AK2843" s="421"/>
      <c r="AL2843" s="421"/>
    </row>
    <row r="2844" spans="1:38" hidden="1">
      <c r="A2844" s="408"/>
      <c r="B2844" s="83" t="e">
        <f t="array" ref="B2844">SUM(--(FREQUENCY(IF(C$2:C$3072=C2844, MATCH(D$2:D$3072, D$2:D$3072, 0)), ROW(D$2:D$3072)-ROW(D$2)+1) &gt; 0))</f>
        <v>#N/A</v>
      </c>
      <c r="C2844" s="408"/>
      <c r="D2844" s="408"/>
      <c r="E2844" s="408"/>
      <c r="F2844" s="408"/>
      <c r="G2844" s="408"/>
      <c r="H2844" s="408"/>
      <c r="I2844" s="408"/>
      <c r="J2844" s="408"/>
      <c r="K2844" s="408"/>
      <c r="L2844" s="408"/>
      <c r="M2844" s="408"/>
      <c r="N2844" s="408" t="str">
        <f t="shared" si="471"/>
        <v/>
      </c>
      <c r="O2844" s="408"/>
      <c r="P2844" s="408"/>
      <c r="Q2844" s="408"/>
      <c r="R2844" s="408"/>
      <c r="S2844" s="408"/>
      <c r="T2844" s="408"/>
      <c r="U2844" s="408"/>
      <c r="V2844" s="421"/>
      <c r="W2844" s="421"/>
      <c r="X2844" s="421"/>
      <c r="Y2844" s="421"/>
      <c r="Z2844" s="421"/>
      <c r="AA2844" s="421"/>
      <c r="AB2844" s="421"/>
      <c r="AC2844" s="421"/>
      <c r="AD2844" s="421"/>
      <c r="AE2844" s="421"/>
      <c r="AF2844" s="421"/>
      <c r="AG2844" s="421"/>
      <c r="AH2844" s="421"/>
      <c r="AI2844" s="421"/>
      <c r="AJ2844" s="421"/>
      <c r="AK2844" s="421"/>
      <c r="AL2844" s="421"/>
    </row>
    <row r="2845" spans="1:38" hidden="1">
      <c r="A2845" s="408"/>
      <c r="B2845" s="83" t="e">
        <f t="array" ref="B2845">SUM(--(FREQUENCY(IF(C$2:C$3072=C2845, MATCH(D$2:D$3072, D$2:D$3072, 0)), ROW(D$2:D$3072)-ROW(D$2)+1) &gt; 0))</f>
        <v>#N/A</v>
      </c>
      <c r="C2845" s="408"/>
      <c r="D2845" s="408"/>
      <c r="E2845" s="408"/>
      <c r="F2845" s="408"/>
      <c r="G2845" s="408"/>
      <c r="H2845" s="408"/>
      <c r="I2845" s="408"/>
      <c r="J2845" s="408"/>
      <c r="K2845" s="408"/>
      <c r="L2845" s="408"/>
      <c r="M2845" s="408"/>
      <c r="N2845" s="408" t="str">
        <f t="shared" si="471"/>
        <v/>
      </c>
      <c r="O2845" s="408"/>
      <c r="P2845" s="408"/>
      <c r="Q2845" s="408"/>
      <c r="R2845" s="408"/>
      <c r="S2845" s="408"/>
      <c r="T2845" s="408"/>
      <c r="U2845" s="408"/>
      <c r="V2845" s="421"/>
      <c r="W2845" s="421"/>
      <c r="X2845" s="421"/>
      <c r="Y2845" s="421"/>
      <c r="Z2845" s="421"/>
      <c r="AA2845" s="421"/>
      <c r="AB2845" s="421"/>
      <c r="AC2845" s="421"/>
      <c r="AD2845" s="421"/>
      <c r="AE2845" s="421"/>
      <c r="AF2845" s="421"/>
      <c r="AG2845" s="421"/>
      <c r="AH2845" s="421"/>
      <c r="AI2845" s="421"/>
      <c r="AJ2845" s="421"/>
      <c r="AK2845" s="421"/>
      <c r="AL2845" s="421"/>
    </row>
    <row r="2846" spans="1:38" hidden="1">
      <c r="A2846" s="408"/>
      <c r="B2846" s="83" t="e">
        <f t="array" ref="B2846">SUM(--(FREQUENCY(IF(C$2:C$3072=C2846, MATCH(D$2:D$3072, D$2:D$3072, 0)), ROW(D$2:D$3072)-ROW(D$2)+1) &gt; 0))</f>
        <v>#N/A</v>
      </c>
      <c r="C2846" s="408"/>
      <c r="D2846" s="408"/>
      <c r="E2846" s="408"/>
      <c r="F2846" s="408"/>
      <c r="G2846" s="408"/>
      <c r="H2846" s="408"/>
      <c r="I2846" s="408"/>
      <c r="J2846" s="408"/>
      <c r="K2846" s="408"/>
      <c r="L2846" s="408"/>
      <c r="M2846" s="408"/>
      <c r="N2846" s="408" t="str">
        <f t="shared" si="471"/>
        <v/>
      </c>
      <c r="O2846" s="408"/>
      <c r="P2846" s="408"/>
      <c r="Q2846" s="408"/>
      <c r="R2846" s="408"/>
      <c r="S2846" s="408"/>
      <c r="T2846" s="408"/>
      <c r="U2846" s="408"/>
      <c r="V2846" s="421"/>
      <c r="W2846" s="421"/>
      <c r="X2846" s="421"/>
      <c r="Y2846" s="421"/>
      <c r="Z2846" s="421"/>
      <c r="AA2846" s="421"/>
      <c r="AB2846" s="421"/>
      <c r="AC2846" s="421"/>
      <c r="AD2846" s="421"/>
      <c r="AE2846" s="421"/>
      <c r="AF2846" s="421"/>
      <c r="AG2846" s="421"/>
      <c r="AH2846" s="421"/>
      <c r="AI2846" s="421"/>
      <c r="AJ2846" s="421"/>
      <c r="AK2846" s="421"/>
      <c r="AL2846" s="421"/>
    </row>
    <row r="2847" spans="1:38" hidden="1">
      <c r="A2847" s="408"/>
      <c r="B2847" s="83" t="e">
        <f t="array" ref="B2847">SUM(--(FREQUENCY(IF(C$2:C$3072=C2847, MATCH(D$2:D$3072, D$2:D$3072, 0)), ROW(D$2:D$3072)-ROW(D$2)+1) &gt; 0))</f>
        <v>#N/A</v>
      </c>
      <c r="C2847" s="408"/>
      <c r="D2847" s="408"/>
      <c r="E2847" s="408"/>
      <c r="F2847" s="408"/>
      <c r="G2847" s="408"/>
      <c r="H2847" s="408"/>
      <c r="I2847" s="408"/>
      <c r="J2847" s="408"/>
      <c r="K2847" s="408"/>
      <c r="L2847" s="408"/>
      <c r="M2847" s="408"/>
      <c r="N2847" s="408" t="str">
        <f t="shared" si="471"/>
        <v/>
      </c>
      <c r="O2847" s="408"/>
      <c r="P2847" s="408"/>
      <c r="Q2847" s="408"/>
      <c r="R2847" s="408"/>
      <c r="S2847" s="408"/>
      <c r="T2847" s="408"/>
      <c r="U2847" s="408"/>
      <c r="V2847" s="421"/>
      <c r="W2847" s="421"/>
      <c r="X2847" s="421"/>
      <c r="Y2847" s="421"/>
      <c r="Z2847" s="421"/>
      <c r="AA2847" s="421"/>
      <c r="AB2847" s="421"/>
      <c r="AC2847" s="421"/>
      <c r="AD2847" s="421"/>
      <c r="AE2847" s="421"/>
      <c r="AF2847" s="421"/>
      <c r="AG2847" s="421"/>
      <c r="AH2847" s="421"/>
      <c r="AI2847" s="421"/>
      <c r="AJ2847" s="421"/>
      <c r="AK2847" s="421"/>
      <c r="AL2847" s="421"/>
    </row>
    <row r="2848" spans="1:38" hidden="1">
      <c r="A2848" s="408"/>
      <c r="B2848" s="83" t="e">
        <f t="array" ref="B2848">SUM(--(FREQUENCY(IF(C$2:C$3072=C2848, MATCH(D$2:D$3072, D$2:D$3072, 0)), ROW(D$2:D$3072)-ROW(D$2)+1) &gt; 0))</f>
        <v>#N/A</v>
      </c>
      <c r="C2848" s="408"/>
      <c r="D2848" s="408"/>
      <c r="E2848" s="408"/>
      <c r="F2848" s="408"/>
      <c r="G2848" s="408"/>
      <c r="H2848" s="408"/>
      <c r="I2848" s="408"/>
      <c r="J2848" s="408"/>
      <c r="K2848" s="408"/>
      <c r="L2848" s="408"/>
      <c r="M2848" s="408"/>
      <c r="N2848" s="408" t="str">
        <f t="shared" si="471"/>
        <v/>
      </c>
      <c r="O2848" s="408"/>
      <c r="P2848" s="408"/>
      <c r="Q2848" s="408"/>
      <c r="R2848" s="408"/>
      <c r="S2848" s="408"/>
      <c r="T2848" s="408"/>
      <c r="U2848" s="408"/>
      <c r="V2848" s="421"/>
      <c r="W2848" s="421"/>
      <c r="X2848" s="421"/>
      <c r="Y2848" s="421"/>
      <c r="Z2848" s="421"/>
      <c r="AA2848" s="421"/>
      <c r="AB2848" s="421"/>
      <c r="AC2848" s="421"/>
      <c r="AD2848" s="421"/>
      <c r="AE2848" s="421"/>
      <c r="AF2848" s="421"/>
      <c r="AG2848" s="421"/>
      <c r="AH2848" s="421"/>
      <c r="AI2848" s="421"/>
      <c r="AJ2848" s="421"/>
      <c r="AK2848" s="421"/>
      <c r="AL2848" s="421"/>
    </row>
    <row r="2849" spans="1:38" hidden="1">
      <c r="A2849" s="408"/>
      <c r="B2849" s="83" t="e">
        <f t="array" ref="B2849">SUM(--(FREQUENCY(IF(C$2:C$3072=C2849, MATCH(D$2:D$3072, D$2:D$3072, 0)), ROW(D$2:D$3072)-ROW(D$2)+1) &gt; 0))</f>
        <v>#N/A</v>
      </c>
      <c r="C2849" s="408"/>
      <c r="D2849" s="408"/>
      <c r="E2849" s="408"/>
      <c r="F2849" s="408"/>
      <c r="G2849" s="408"/>
      <c r="H2849" s="408"/>
      <c r="I2849" s="408"/>
      <c r="J2849" s="408"/>
      <c r="K2849" s="408"/>
      <c r="L2849" s="408"/>
      <c r="M2849" s="408"/>
      <c r="N2849" s="408" t="str">
        <f t="shared" si="471"/>
        <v/>
      </c>
      <c r="O2849" s="408"/>
      <c r="P2849" s="408"/>
      <c r="Q2849" s="408"/>
      <c r="R2849" s="408"/>
      <c r="S2849" s="408"/>
      <c r="T2849" s="408"/>
      <c r="U2849" s="408"/>
      <c r="V2849" s="421"/>
      <c r="W2849" s="421"/>
      <c r="X2849" s="421"/>
      <c r="Y2849" s="421"/>
      <c r="Z2849" s="421"/>
      <c r="AA2849" s="421"/>
      <c r="AB2849" s="421"/>
      <c r="AC2849" s="421"/>
      <c r="AD2849" s="421"/>
      <c r="AE2849" s="421"/>
      <c r="AF2849" s="421"/>
      <c r="AG2849" s="421"/>
      <c r="AH2849" s="421"/>
      <c r="AI2849" s="421"/>
      <c r="AJ2849" s="421"/>
      <c r="AK2849" s="421"/>
      <c r="AL2849" s="421"/>
    </row>
    <row r="2850" spans="1:38" hidden="1">
      <c r="A2850" s="408"/>
      <c r="B2850" s="83" t="e">
        <f t="array" ref="B2850">SUM(--(FREQUENCY(IF(C$2:C$3072=C2850, MATCH(D$2:D$3072, D$2:D$3072, 0)), ROW(D$2:D$3072)-ROW(D$2)+1) &gt; 0))</f>
        <v>#N/A</v>
      </c>
      <c r="C2850" s="408"/>
      <c r="D2850" s="408"/>
      <c r="E2850" s="408"/>
      <c r="F2850" s="408"/>
      <c r="G2850" s="408"/>
      <c r="H2850" s="408"/>
      <c r="I2850" s="408"/>
      <c r="J2850" s="408"/>
      <c r="K2850" s="408"/>
      <c r="L2850" s="408"/>
      <c r="M2850" s="408"/>
      <c r="N2850" s="408" t="str">
        <f t="shared" si="471"/>
        <v/>
      </c>
      <c r="O2850" s="408"/>
      <c r="P2850" s="408"/>
      <c r="Q2850" s="408"/>
      <c r="R2850" s="408"/>
      <c r="S2850" s="408"/>
      <c r="T2850" s="408"/>
      <c r="U2850" s="408"/>
      <c r="V2850" s="421"/>
      <c r="W2850" s="421"/>
      <c r="X2850" s="421"/>
      <c r="Y2850" s="421"/>
      <c r="Z2850" s="421"/>
      <c r="AA2850" s="421"/>
      <c r="AB2850" s="421"/>
      <c r="AC2850" s="421"/>
      <c r="AD2850" s="421"/>
      <c r="AE2850" s="421"/>
      <c r="AF2850" s="421"/>
      <c r="AG2850" s="421"/>
      <c r="AH2850" s="421"/>
      <c r="AI2850" s="421"/>
      <c r="AJ2850" s="421"/>
      <c r="AK2850" s="421"/>
      <c r="AL2850" s="421"/>
    </row>
    <row r="2851" spans="1:38" hidden="1">
      <c r="A2851" s="408"/>
      <c r="B2851" s="83" t="e">
        <f t="array" ref="B2851">SUM(--(FREQUENCY(IF(C$2:C$3072=C2851, MATCH(D$2:D$3072, D$2:D$3072, 0)), ROW(D$2:D$3072)-ROW(D$2)+1) &gt; 0))</f>
        <v>#N/A</v>
      </c>
      <c r="C2851" s="408"/>
      <c r="D2851" s="408"/>
      <c r="E2851" s="408"/>
      <c r="F2851" s="408"/>
      <c r="G2851" s="408"/>
      <c r="H2851" s="408"/>
      <c r="I2851" s="408"/>
      <c r="J2851" s="408"/>
      <c r="K2851" s="408"/>
      <c r="L2851" s="408"/>
      <c r="M2851" s="408"/>
      <c r="N2851" s="408" t="str">
        <f t="shared" si="471"/>
        <v/>
      </c>
      <c r="O2851" s="408"/>
      <c r="P2851" s="408"/>
      <c r="Q2851" s="408"/>
      <c r="R2851" s="408"/>
      <c r="S2851" s="408"/>
      <c r="T2851" s="408"/>
      <c r="U2851" s="408"/>
      <c r="V2851" s="421"/>
      <c r="W2851" s="421"/>
      <c r="X2851" s="421"/>
      <c r="Y2851" s="421"/>
      <c r="Z2851" s="421"/>
      <c r="AA2851" s="421"/>
      <c r="AB2851" s="421"/>
      <c r="AC2851" s="421"/>
      <c r="AD2851" s="421"/>
      <c r="AE2851" s="421"/>
      <c r="AF2851" s="421"/>
      <c r="AG2851" s="421"/>
      <c r="AH2851" s="421"/>
      <c r="AI2851" s="421"/>
      <c r="AJ2851" s="421"/>
      <c r="AK2851" s="421"/>
      <c r="AL2851" s="421"/>
    </row>
    <row r="2852" spans="1:38" hidden="1">
      <c r="A2852" s="408"/>
      <c r="B2852" s="83" t="e">
        <f t="array" ref="B2852">SUM(--(FREQUENCY(IF(C$2:C$3072=C2852, MATCH(D$2:D$3072, D$2:D$3072, 0)), ROW(D$2:D$3072)-ROW(D$2)+1) &gt; 0))</f>
        <v>#N/A</v>
      </c>
      <c r="C2852" s="408"/>
      <c r="D2852" s="408"/>
      <c r="E2852" s="408"/>
      <c r="F2852" s="408"/>
      <c r="G2852" s="408"/>
      <c r="H2852" s="408"/>
      <c r="I2852" s="408"/>
      <c r="J2852" s="408"/>
      <c r="K2852" s="408"/>
      <c r="L2852" s="408"/>
      <c r="M2852" s="408"/>
      <c r="N2852" s="408" t="str">
        <f t="shared" si="471"/>
        <v/>
      </c>
      <c r="O2852" s="408"/>
      <c r="P2852" s="408"/>
      <c r="Q2852" s="408"/>
      <c r="R2852" s="408"/>
      <c r="S2852" s="408"/>
      <c r="T2852" s="408"/>
      <c r="U2852" s="408"/>
      <c r="V2852" s="421"/>
      <c r="W2852" s="421"/>
      <c r="X2852" s="421"/>
      <c r="Y2852" s="421"/>
      <c r="Z2852" s="421"/>
      <c r="AA2852" s="421"/>
      <c r="AB2852" s="421"/>
      <c r="AC2852" s="421"/>
      <c r="AD2852" s="421"/>
      <c r="AE2852" s="421"/>
      <c r="AF2852" s="421"/>
      <c r="AG2852" s="421"/>
      <c r="AH2852" s="421"/>
      <c r="AI2852" s="421"/>
      <c r="AJ2852" s="421"/>
      <c r="AK2852" s="421"/>
      <c r="AL2852" s="421"/>
    </row>
    <row r="2853" spans="1:38" hidden="1">
      <c r="A2853" s="408"/>
      <c r="B2853" s="83" t="e">
        <f t="array" ref="B2853">SUM(--(FREQUENCY(IF(C$2:C$3072=C2853, MATCH(D$2:D$3072, D$2:D$3072, 0)), ROW(D$2:D$3072)-ROW(D$2)+1) &gt; 0))</f>
        <v>#N/A</v>
      </c>
      <c r="C2853" s="408"/>
      <c r="D2853" s="408"/>
      <c r="E2853" s="408"/>
      <c r="F2853" s="408"/>
      <c r="G2853" s="408"/>
      <c r="H2853" s="408"/>
      <c r="I2853" s="408"/>
      <c r="J2853" s="408"/>
      <c r="K2853" s="408"/>
      <c r="L2853" s="408"/>
      <c r="M2853" s="408"/>
      <c r="N2853" s="408" t="str">
        <f t="shared" si="471"/>
        <v/>
      </c>
      <c r="O2853" s="408"/>
      <c r="P2853" s="408"/>
      <c r="Q2853" s="408"/>
      <c r="R2853" s="408"/>
      <c r="S2853" s="408"/>
      <c r="T2853" s="408"/>
      <c r="U2853" s="408"/>
      <c r="V2853" s="421"/>
      <c r="W2853" s="421"/>
      <c r="X2853" s="421"/>
      <c r="Y2853" s="421"/>
      <c r="Z2853" s="421"/>
      <c r="AA2853" s="421"/>
      <c r="AB2853" s="421"/>
      <c r="AC2853" s="421"/>
      <c r="AD2853" s="421"/>
      <c r="AE2853" s="421"/>
      <c r="AF2853" s="421"/>
      <c r="AG2853" s="421"/>
      <c r="AH2853" s="421"/>
      <c r="AI2853" s="421"/>
      <c r="AJ2853" s="421"/>
      <c r="AK2853" s="421"/>
      <c r="AL2853" s="421"/>
    </row>
    <row r="2854" spans="1:38" hidden="1">
      <c r="A2854" s="408"/>
      <c r="B2854" s="83" t="e">
        <f t="array" ref="B2854">SUM(--(FREQUENCY(IF(C$2:C$3072=C2854, MATCH(D$2:D$3072, D$2:D$3072, 0)), ROW(D$2:D$3072)-ROW(D$2)+1) &gt; 0))</f>
        <v>#N/A</v>
      </c>
      <c r="C2854" s="408"/>
      <c r="D2854" s="408"/>
      <c r="E2854" s="408"/>
      <c r="F2854" s="408"/>
      <c r="G2854" s="408"/>
      <c r="H2854" s="408"/>
      <c r="I2854" s="408"/>
      <c r="J2854" s="408"/>
      <c r="K2854" s="408"/>
      <c r="L2854" s="408"/>
      <c r="M2854" s="408"/>
      <c r="N2854" s="408" t="str">
        <f t="shared" si="471"/>
        <v/>
      </c>
      <c r="O2854" s="408"/>
      <c r="P2854" s="408"/>
      <c r="Q2854" s="408"/>
      <c r="R2854" s="408"/>
      <c r="S2854" s="408"/>
      <c r="T2854" s="408"/>
      <c r="U2854" s="408"/>
      <c r="V2854" s="421"/>
      <c r="W2854" s="421"/>
      <c r="X2854" s="421"/>
      <c r="Y2854" s="421"/>
      <c r="Z2854" s="421"/>
      <c r="AA2854" s="421"/>
      <c r="AB2854" s="421"/>
      <c r="AC2854" s="421"/>
      <c r="AD2854" s="421"/>
      <c r="AE2854" s="421"/>
      <c r="AF2854" s="421"/>
      <c r="AG2854" s="421"/>
      <c r="AH2854" s="421"/>
      <c r="AI2854" s="421"/>
      <c r="AJ2854" s="421"/>
      <c r="AK2854" s="421"/>
      <c r="AL2854" s="421"/>
    </row>
    <row r="2855" spans="1:38" hidden="1">
      <c r="A2855" s="408"/>
      <c r="B2855" s="83" t="e">
        <f t="array" ref="B2855">SUM(--(FREQUENCY(IF(C$2:C$3072=C2855, MATCH(D$2:D$3072, D$2:D$3072, 0)), ROW(D$2:D$3072)-ROW(D$2)+1) &gt; 0))</f>
        <v>#N/A</v>
      </c>
      <c r="C2855" s="408"/>
      <c r="D2855" s="408"/>
      <c r="E2855" s="408"/>
      <c r="F2855" s="408"/>
      <c r="G2855" s="408"/>
      <c r="H2855" s="408"/>
      <c r="I2855" s="408"/>
      <c r="J2855" s="408"/>
      <c r="K2855" s="408"/>
      <c r="L2855" s="408"/>
      <c r="M2855" s="408"/>
      <c r="N2855" s="408" t="str">
        <f t="shared" si="471"/>
        <v/>
      </c>
      <c r="O2855" s="408"/>
      <c r="P2855" s="408"/>
      <c r="Q2855" s="408"/>
      <c r="R2855" s="408"/>
      <c r="S2855" s="408"/>
      <c r="T2855" s="408"/>
      <c r="U2855" s="408"/>
      <c r="V2855" s="421"/>
      <c r="W2855" s="421"/>
      <c r="X2855" s="421"/>
      <c r="Y2855" s="421"/>
      <c r="Z2855" s="421"/>
      <c r="AA2855" s="421"/>
      <c r="AB2855" s="421"/>
      <c r="AC2855" s="421"/>
      <c r="AD2855" s="421"/>
      <c r="AE2855" s="421"/>
      <c r="AF2855" s="421"/>
      <c r="AG2855" s="421"/>
      <c r="AH2855" s="421"/>
      <c r="AI2855" s="421"/>
      <c r="AJ2855" s="421"/>
      <c r="AK2855" s="421"/>
      <c r="AL2855" s="421"/>
    </row>
    <row r="2856" spans="1:38" hidden="1">
      <c r="A2856" s="408"/>
      <c r="B2856" s="83" t="e">
        <f t="array" ref="B2856">SUM(--(FREQUENCY(IF(C$2:C$3072=C2856, MATCH(D$2:D$3072, D$2:D$3072, 0)), ROW(D$2:D$3072)-ROW(D$2)+1) &gt; 0))</f>
        <v>#N/A</v>
      </c>
      <c r="C2856" s="408"/>
      <c r="D2856" s="408"/>
      <c r="E2856" s="408"/>
      <c r="F2856" s="408"/>
      <c r="G2856" s="408"/>
      <c r="H2856" s="408"/>
      <c r="I2856" s="408"/>
      <c r="J2856" s="408"/>
      <c r="K2856" s="408"/>
      <c r="L2856" s="408"/>
      <c r="M2856" s="408"/>
      <c r="N2856" s="408" t="str">
        <f t="shared" si="471"/>
        <v/>
      </c>
      <c r="O2856" s="408"/>
      <c r="P2856" s="408"/>
      <c r="Q2856" s="408"/>
      <c r="R2856" s="408"/>
      <c r="S2856" s="408"/>
      <c r="T2856" s="408"/>
      <c r="U2856" s="408"/>
      <c r="V2856" s="421"/>
      <c r="W2856" s="421"/>
      <c r="X2856" s="421"/>
      <c r="Y2856" s="421"/>
      <c r="Z2856" s="421"/>
      <c r="AA2856" s="421"/>
      <c r="AB2856" s="421"/>
      <c r="AC2856" s="421"/>
      <c r="AD2856" s="421"/>
      <c r="AE2856" s="421"/>
      <c r="AF2856" s="421"/>
      <c r="AG2856" s="421"/>
      <c r="AH2856" s="421"/>
      <c r="AI2856" s="421"/>
      <c r="AJ2856" s="421"/>
      <c r="AK2856" s="421"/>
      <c r="AL2856" s="421"/>
    </row>
    <row r="2857" spans="1:38" hidden="1">
      <c r="A2857" s="408"/>
      <c r="B2857" s="83" t="e">
        <f t="array" ref="B2857">SUM(--(FREQUENCY(IF(C$2:C$3072=C2857, MATCH(D$2:D$3072, D$2:D$3072, 0)), ROW(D$2:D$3072)-ROW(D$2)+1) &gt; 0))</f>
        <v>#N/A</v>
      </c>
      <c r="C2857" s="408"/>
      <c r="D2857" s="408"/>
      <c r="E2857" s="408"/>
      <c r="F2857" s="408"/>
      <c r="G2857" s="408"/>
      <c r="H2857" s="408"/>
      <c r="I2857" s="408"/>
      <c r="J2857" s="408"/>
      <c r="K2857" s="408"/>
      <c r="L2857" s="408"/>
      <c r="M2857" s="408"/>
      <c r="N2857" s="408" t="str">
        <f t="shared" si="471"/>
        <v/>
      </c>
      <c r="O2857" s="408"/>
      <c r="P2857" s="408"/>
      <c r="Q2857" s="408"/>
      <c r="R2857" s="408"/>
      <c r="S2857" s="408"/>
      <c r="T2857" s="408"/>
      <c r="U2857" s="408"/>
      <c r="V2857" s="421"/>
      <c r="W2857" s="421"/>
      <c r="X2857" s="421"/>
      <c r="Y2857" s="421"/>
      <c r="Z2857" s="421"/>
      <c r="AA2857" s="421"/>
      <c r="AB2857" s="421"/>
      <c r="AC2857" s="421"/>
      <c r="AD2857" s="421"/>
      <c r="AE2857" s="421"/>
      <c r="AF2857" s="421"/>
      <c r="AG2857" s="421"/>
      <c r="AH2857" s="421"/>
      <c r="AI2857" s="421"/>
      <c r="AJ2857" s="421"/>
      <c r="AK2857" s="421"/>
      <c r="AL2857" s="421"/>
    </row>
    <row r="2858" spans="1:38" hidden="1">
      <c r="A2858" s="408"/>
      <c r="B2858" s="83" t="e">
        <f t="array" ref="B2858">SUM(--(FREQUENCY(IF(C$2:C$3072=C2858, MATCH(D$2:D$3072, D$2:D$3072, 0)), ROW(D$2:D$3072)-ROW(D$2)+1) &gt; 0))</f>
        <v>#N/A</v>
      </c>
      <c r="C2858" s="408"/>
      <c r="D2858" s="408"/>
      <c r="E2858" s="408"/>
      <c r="F2858" s="408"/>
      <c r="G2858" s="408"/>
      <c r="H2858" s="408"/>
      <c r="I2858" s="408"/>
      <c r="J2858" s="408"/>
      <c r="K2858" s="408"/>
      <c r="L2858" s="408"/>
      <c r="M2858" s="408"/>
      <c r="N2858" s="408" t="str">
        <f t="shared" si="471"/>
        <v/>
      </c>
      <c r="O2858" s="408"/>
      <c r="P2858" s="408"/>
      <c r="Q2858" s="408"/>
      <c r="R2858" s="408"/>
      <c r="S2858" s="408"/>
      <c r="T2858" s="408"/>
      <c r="U2858" s="408"/>
      <c r="V2858" s="421"/>
      <c r="W2858" s="421"/>
      <c r="X2858" s="421"/>
      <c r="Y2858" s="421"/>
      <c r="Z2858" s="421"/>
      <c r="AA2858" s="421"/>
      <c r="AB2858" s="421"/>
      <c r="AC2858" s="421"/>
      <c r="AD2858" s="421"/>
      <c r="AE2858" s="421"/>
      <c r="AF2858" s="421"/>
      <c r="AG2858" s="421"/>
      <c r="AH2858" s="421"/>
      <c r="AI2858" s="421"/>
      <c r="AJ2858" s="421"/>
      <c r="AK2858" s="421"/>
      <c r="AL2858" s="421"/>
    </row>
    <row r="2859" spans="1:38" hidden="1">
      <c r="A2859" s="408"/>
      <c r="B2859" s="83" t="e">
        <f t="array" ref="B2859">SUM(--(FREQUENCY(IF(C$2:C$3072=C2859, MATCH(D$2:D$3072, D$2:D$3072, 0)), ROW(D$2:D$3072)-ROW(D$2)+1) &gt; 0))</f>
        <v>#N/A</v>
      </c>
      <c r="C2859" s="408"/>
      <c r="D2859" s="408"/>
      <c r="E2859" s="408"/>
      <c r="F2859" s="408"/>
      <c r="G2859" s="408"/>
      <c r="H2859" s="408"/>
      <c r="I2859" s="408"/>
      <c r="J2859" s="408"/>
      <c r="K2859" s="408"/>
      <c r="L2859" s="408"/>
      <c r="M2859" s="408"/>
      <c r="N2859" s="408" t="str">
        <f t="shared" si="471"/>
        <v/>
      </c>
      <c r="O2859" s="408"/>
      <c r="P2859" s="408"/>
      <c r="Q2859" s="408"/>
      <c r="R2859" s="408"/>
      <c r="S2859" s="408"/>
      <c r="T2859" s="408"/>
      <c r="U2859" s="408"/>
      <c r="V2859" s="421"/>
      <c r="W2859" s="421"/>
      <c r="X2859" s="421"/>
      <c r="Y2859" s="421"/>
      <c r="Z2859" s="421"/>
      <c r="AA2859" s="421"/>
      <c r="AB2859" s="421"/>
      <c r="AC2859" s="421"/>
      <c r="AD2859" s="421"/>
      <c r="AE2859" s="421"/>
      <c r="AF2859" s="421"/>
      <c r="AG2859" s="421"/>
      <c r="AH2859" s="421"/>
      <c r="AI2859" s="421"/>
      <c r="AJ2859" s="421"/>
      <c r="AK2859" s="421"/>
      <c r="AL2859" s="421"/>
    </row>
    <row r="2860" spans="1:38" hidden="1">
      <c r="A2860" s="408"/>
      <c r="B2860" s="83" t="e">
        <f t="array" ref="B2860">SUM(--(FREQUENCY(IF(C$2:C$3072=C2860, MATCH(D$2:D$3072, D$2:D$3072, 0)), ROW(D$2:D$3072)-ROW(D$2)+1) &gt; 0))</f>
        <v>#N/A</v>
      </c>
      <c r="C2860" s="408"/>
      <c r="D2860" s="408"/>
      <c r="E2860" s="408"/>
      <c r="F2860" s="408"/>
      <c r="G2860" s="408"/>
      <c r="H2860" s="408"/>
      <c r="I2860" s="408"/>
      <c r="J2860" s="408"/>
      <c r="K2860" s="408"/>
      <c r="L2860" s="408"/>
      <c r="M2860" s="408"/>
      <c r="N2860" s="408" t="str">
        <f t="shared" si="471"/>
        <v/>
      </c>
      <c r="O2860" s="408"/>
      <c r="P2860" s="408"/>
      <c r="Q2860" s="408"/>
      <c r="R2860" s="408"/>
      <c r="S2860" s="408"/>
      <c r="T2860" s="408"/>
      <c r="U2860" s="408"/>
      <c r="V2860" s="421"/>
      <c r="W2860" s="421"/>
      <c r="X2860" s="421"/>
      <c r="Y2860" s="421"/>
      <c r="Z2860" s="421"/>
      <c r="AA2860" s="421"/>
      <c r="AB2860" s="421"/>
      <c r="AC2860" s="421"/>
      <c r="AD2860" s="421"/>
      <c r="AE2860" s="421"/>
      <c r="AF2860" s="421"/>
      <c r="AG2860" s="421"/>
      <c r="AH2860" s="421"/>
      <c r="AI2860" s="421"/>
      <c r="AJ2860" s="421"/>
      <c r="AK2860" s="421"/>
      <c r="AL2860" s="421"/>
    </row>
    <row r="2861" spans="1:38" hidden="1">
      <c r="A2861" s="408"/>
      <c r="B2861" s="83" t="e">
        <f t="array" ref="B2861">SUM(--(FREQUENCY(IF(C$2:C$3072=C2861, MATCH(D$2:D$3072, D$2:D$3072, 0)), ROW(D$2:D$3072)-ROW(D$2)+1) &gt; 0))</f>
        <v>#N/A</v>
      </c>
      <c r="C2861" s="408"/>
      <c r="D2861" s="408"/>
      <c r="E2861" s="408"/>
      <c r="F2861" s="408"/>
      <c r="G2861" s="408"/>
      <c r="H2861" s="408"/>
      <c r="I2861" s="408"/>
      <c r="J2861" s="408"/>
      <c r="K2861" s="408"/>
      <c r="L2861" s="408"/>
      <c r="M2861" s="408"/>
      <c r="N2861" s="408" t="str">
        <f t="shared" si="471"/>
        <v/>
      </c>
      <c r="O2861" s="408"/>
      <c r="P2861" s="408"/>
      <c r="Q2861" s="408"/>
      <c r="R2861" s="408"/>
      <c r="S2861" s="408"/>
      <c r="T2861" s="408"/>
      <c r="U2861" s="408"/>
      <c r="V2861" s="421"/>
      <c r="W2861" s="421"/>
      <c r="X2861" s="421"/>
      <c r="Y2861" s="421"/>
      <c r="Z2861" s="421"/>
      <c r="AA2861" s="421"/>
      <c r="AB2861" s="421"/>
      <c r="AC2861" s="421"/>
      <c r="AD2861" s="421"/>
      <c r="AE2861" s="421"/>
      <c r="AF2861" s="421"/>
      <c r="AG2861" s="421"/>
      <c r="AH2861" s="421"/>
      <c r="AI2861" s="421"/>
      <c r="AJ2861" s="421"/>
      <c r="AK2861" s="421"/>
      <c r="AL2861" s="421"/>
    </row>
    <row r="2862" spans="1:38" hidden="1">
      <c r="A2862" s="408"/>
      <c r="B2862" s="83" t="e">
        <f t="array" ref="B2862">SUM(--(FREQUENCY(IF(C$2:C$3072=C2862, MATCH(D$2:D$3072, D$2:D$3072, 0)), ROW(D$2:D$3072)-ROW(D$2)+1) &gt; 0))</f>
        <v>#N/A</v>
      </c>
      <c r="C2862" s="408"/>
      <c r="D2862" s="408"/>
      <c r="E2862" s="408"/>
      <c r="F2862" s="408"/>
      <c r="G2862" s="408"/>
      <c r="H2862" s="408"/>
      <c r="I2862" s="408"/>
      <c r="J2862" s="408"/>
      <c r="K2862" s="408"/>
      <c r="L2862" s="408"/>
      <c r="M2862" s="408"/>
      <c r="N2862" s="408" t="str">
        <f t="shared" si="471"/>
        <v/>
      </c>
      <c r="O2862" s="408"/>
      <c r="P2862" s="408"/>
      <c r="Q2862" s="408"/>
      <c r="R2862" s="408"/>
      <c r="S2862" s="408"/>
      <c r="T2862" s="408"/>
      <c r="U2862" s="408"/>
      <c r="V2862" s="421"/>
      <c r="W2862" s="421"/>
      <c r="X2862" s="421"/>
      <c r="Y2862" s="421"/>
      <c r="Z2862" s="421"/>
      <c r="AA2862" s="421"/>
      <c r="AB2862" s="421"/>
      <c r="AC2862" s="421"/>
      <c r="AD2862" s="421"/>
      <c r="AE2862" s="421"/>
      <c r="AF2862" s="421"/>
      <c r="AG2862" s="421"/>
      <c r="AH2862" s="421"/>
      <c r="AI2862" s="421"/>
      <c r="AJ2862" s="421"/>
      <c r="AK2862" s="421"/>
      <c r="AL2862" s="421"/>
    </row>
    <row r="2863" spans="1:38" hidden="1">
      <c r="A2863" s="408"/>
      <c r="B2863" s="83" t="e">
        <f t="array" ref="B2863">SUM(--(FREQUENCY(IF(C$2:C$3072=C2863, MATCH(D$2:D$3072, D$2:D$3072, 0)), ROW(D$2:D$3072)-ROW(D$2)+1) &gt; 0))</f>
        <v>#N/A</v>
      </c>
      <c r="C2863" s="408"/>
      <c r="D2863" s="408"/>
      <c r="E2863" s="408"/>
      <c r="F2863" s="408"/>
      <c r="G2863" s="408"/>
      <c r="H2863" s="408"/>
      <c r="I2863" s="408"/>
      <c r="J2863" s="408"/>
      <c r="K2863" s="408"/>
      <c r="L2863" s="408"/>
      <c r="M2863" s="408"/>
      <c r="N2863" s="408" t="str">
        <f t="shared" si="471"/>
        <v/>
      </c>
      <c r="O2863" s="408"/>
      <c r="P2863" s="408"/>
      <c r="Q2863" s="408"/>
      <c r="R2863" s="408"/>
      <c r="S2863" s="408"/>
      <c r="T2863" s="408"/>
      <c r="U2863" s="408"/>
      <c r="V2863" s="421"/>
      <c r="W2863" s="421"/>
      <c r="X2863" s="421"/>
      <c r="Y2863" s="421"/>
      <c r="Z2863" s="421"/>
      <c r="AA2863" s="421"/>
      <c r="AB2863" s="421"/>
      <c r="AC2863" s="421"/>
      <c r="AD2863" s="421"/>
      <c r="AE2863" s="421"/>
      <c r="AF2863" s="421"/>
      <c r="AG2863" s="421"/>
      <c r="AH2863" s="421"/>
      <c r="AI2863" s="421"/>
      <c r="AJ2863" s="421"/>
      <c r="AK2863" s="421"/>
      <c r="AL2863" s="421"/>
    </row>
    <row r="2864" spans="1:38" hidden="1">
      <c r="A2864" s="408"/>
      <c r="B2864" s="83" t="e">
        <f t="array" ref="B2864">SUM(--(FREQUENCY(IF(C$2:C$3072=C2864, MATCH(D$2:D$3072, D$2:D$3072, 0)), ROW(D$2:D$3072)-ROW(D$2)+1) &gt; 0))</f>
        <v>#N/A</v>
      </c>
      <c r="C2864" s="408"/>
      <c r="D2864" s="408"/>
      <c r="E2864" s="408"/>
      <c r="F2864" s="408"/>
      <c r="G2864" s="408"/>
      <c r="H2864" s="408"/>
      <c r="I2864" s="408"/>
      <c r="J2864" s="408"/>
      <c r="K2864" s="408"/>
      <c r="L2864" s="408"/>
      <c r="M2864" s="408"/>
      <c r="N2864" s="408" t="str">
        <f t="shared" si="471"/>
        <v/>
      </c>
      <c r="O2864" s="408"/>
      <c r="P2864" s="408"/>
      <c r="Q2864" s="408"/>
      <c r="R2864" s="408"/>
      <c r="S2864" s="408"/>
      <c r="T2864" s="408"/>
      <c r="U2864" s="408"/>
      <c r="V2864" s="421"/>
      <c r="W2864" s="421"/>
      <c r="X2864" s="421"/>
      <c r="Y2864" s="421"/>
      <c r="Z2864" s="421"/>
      <c r="AA2864" s="421"/>
      <c r="AB2864" s="421"/>
      <c r="AC2864" s="421"/>
      <c r="AD2864" s="421"/>
      <c r="AE2864" s="421"/>
      <c r="AF2864" s="421"/>
      <c r="AG2864" s="421"/>
      <c r="AH2864" s="421"/>
      <c r="AI2864" s="421"/>
      <c r="AJ2864" s="421"/>
      <c r="AK2864" s="421"/>
      <c r="AL2864" s="421"/>
    </row>
    <row r="2865" spans="1:38" hidden="1">
      <c r="A2865" s="408"/>
      <c r="B2865" s="83" t="e">
        <f t="array" ref="B2865">SUM(--(FREQUENCY(IF(C$2:C$3072=C2865, MATCH(D$2:D$3072, D$2:D$3072, 0)), ROW(D$2:D$3072)-ROW(D$2)+1) &gt; 0))</f>
        <v>#N/A</v>
      </c>
      <c r="C2865" s="408"/>
      <c r="D2865" s="408"/>
      <c r="E2865" s="408"/>
      <c r="F2865" s="408"/>
      <c r="G2865" s="408"/>
      <c r="H2865" s="408"/>
      <c r="I2865" s="408"/>
      <c r="J2865" s="408"/>
      <c r="K2865" s="408"/>
      <c r="L2865" s="408"/>
      <c r="M2865" s="408"/>
      <c r="N2865" s="408" t="str">
        <f t="shared" si="471"/>
        <v/>
      </c>
      <c r="O2865" s="408"/>
      <c r="P2865" s="408"/>
      <c r="Q2865" s="408"/>
      <c r="R2865" s="408"/>
      <c r="S2865" s="408"/>
      <c r="T2865" s="408"/>
      <c r="U2865" s="408"/>
      <c r="V2865" s="421"/>
      <c r="W2865" s="421"/>
      <c r="X2865" s="421"/>
      <c r="Y2865" s="421"/>
      <c r="Z2865" s="421"/>
      <c r="AA2865" s="421"/>
      <c r="AB2865" s="421"/>
      <c r="AC2865" s="421"/>
      <c r="AD2865" s="421"/>
      <c r="AE2865" s="421"/>
      <c r="AF2865" s="421"/>
      <c r="AG2865" s="421"/>
      <c r="AH2865" s="421"/>
      <c r="AI2865" s="421"/>
      <c r="AJ2865" s="421"/>
      <c r="AK2865" s="421"/>
      <c r="AL2865" s="421"/>
    </row>
    <row r="2866" spans="1:38" hidden="1">
      <c r="A2866" s="408"/>
      <c r="B2866" s="83" t="e">
        <f t="array" ref="B2866">SUM(--(FREQUENCY(IF(C$2:C$3072=C2866, MATCH(D$2:D$3072, D$2:D$3072, 0)), ROW(D$2:D$3072)-ROW(D$2)+1) &gt; 0))</f>
        <v>#N/A</v>
      </c>
      <c r="C2866" s="408"/>
      <c r="D2866" s="408"/>
      <c r="E2866" s="408"/>
      <c r="F2866" s="408"/>
      <c r="G2866" s="408"/>
      <c r="H2866" s="408"/>
      <c r="I2866" s="408"/>
      <c r="J2866" s="408"/>
      <c r="K2866" s="408"/>
      <c r="L2866" s="408"/>
      <c r="M2866" s="408"/>
      <c r="N2866" s="408" t="str">
        <f t="shared" si="471"/>
        <v/>
      </c>
      <c r="O2866" s="408"/>
      <c r="P2866" s="408"/>
      <c r="Q2866" s="408"/>
      <c r="R2866" s="408"/>
      <c r="S2866" s="408"/>
      <c r="T2866" s="408"/>
      <c r="U2866" s="408"/>
      <c r="V2866" s="421"/>
      <c r="W2866" s="421"/>
      <c r="X2866" s="421"/>
      <c r="Y2866" s="421"/>
      <c r="Z2866" s="421"/>
      <c r="AA2866" s="421"/>
      <c r="AB2866" s="421"/>
      <c r="AC2866" s="421"/>
      <c r="AD2866" s="421"/>
      <c r="AE2866" s="421"/>
      <c r="AF2866" s="421"/>
      <c r="AG2866" s="421"/>
      <c r="AH2866" s="421"/>
      <c r="AI2866" s="421"/>
      <c r="AJ2866" s="421"/>
      <c r="AK2866" s="421"/>
      <c r="AL2866" s="421"/>
    </row>
    <row r="2867" spans="1:38" hidden="1">
      <c r="A2867" s="408"/>
      <c r="B2867" s="83" t="e">
        <f t="array" ref="B2867">SUM(--(FREQUENCY(IF(C$2:C$3072=C2867, MATCH(D$2:D$3072, D$2:D$3072, 0)), ROW(D$2:D$3072)-ROW(D$2)+1) &gt; 0))</f>
        <v>#N/A</v>
      </c>
      <c r="C2867" s="408"/>
      <c r="D2867" s="408"/>
      <c r="E2867" s="408"/>
      <c r="F2867" s="408"/>
      <c r="G2867" s="408"/>
      <c r="H2867" s="408"/>
      <c r="I2867" s="408"/>
      <c r="J2867" s="408"/>
      <c r="K2867" s="408"/>
      <c r="L2867" s="408"/>
      <c r="M2867" s="408"/>
      <c r="N2867" s="408" t="str">
        <f t="shared" si="471"/>
        <v/>
      </c>
      <c r="O2867" s="408"/>
      <c r="P2867" s="408"/>
      <c r="Q2867" s="408"/>
      <c r="R2867" s="408"/>
      <c r="S2867" s="408"/>
      <c r="T2867" s="408"/>
      <c r="U2867" s="408"/>
      <c r="V2867" s="421"/>
      <c r="W2867" s="421"/>
      <c r="X2867" s="421"/>
      <c r="Y2867" s="421"/>
      <c r="Z2867" s="421"/>
      <c r="AA2867" s="421"/>
      <c r="AB2867" s="421"/>
      <c r="AC2867" s="421"/>
      <c r="AD2867" s="421"/>
      <c r="AE2867" s="421"/>
      <c r="AF2867" s="421"/>
      <c r="AG2867" s="421"/>
      <c r="AH2867" s="421"/>
      <c r="AI2867" s="421"/>
      <c r="AJ2867" s="421"/>
      <c r="AK2867" s="421"/>
      <c r="AL2867" s="421"/>
    </row>
    <row r="2868" spans="1:38" hidden="1">
      <c r="A2868" s="408"/>
      <c r="B2868" s="83" t="e">
        <f t="array" ref="B2868">SUM(--(FREQUENCY(IF(C$2:C$3072=C2868, MATCH(D$2:D$3072, D$2:D$3072, 0)), ROW(D$2:D$3072)-ROW(D$2)+1) &gt; 0))</f>
        <v>#N/A</v>
      </c>
      <c r="C2868" s="408"/>
      <c r="D2868" s="408"/>
      <c r="E2868" s="408"/>
      <c r="F2868" s="408"/>
      <c r="G2868" s="408"/>
      <c r="H2868" s="408"/>
      <c r="I2868" s="408"/>
      <c r="J2868" s="408"/>
      <c r="K2868" s="408"/>
      <c r="L2868" s="408"/>
      <c r="M2868" s="408"/>
      <c r="N2868" s="408" t="str">
        <f t="shared" si="471"/>
        <v/>
      </c>
      <c r="O2868" s="408"/>
      <c r="P2868" s="408"/>
      <c r="Q2868" s="408"/>
      <c r="R2868" s="408"/>
      <c r="S2868" s="408"/>
      <c r="T2868" s="408"/>
      <c r="U2868" s="408"/>
      <c r="V2868" s="421"/>
      <c r="W2868" s="421"/>
      <c r="X2868" s="421"/>
      <c r="Y2868" s="421"/>
      <c r="Z2868" s="421"/>
      <c r="AA2868" s="421"/>
      <c r="AB2868" s="421"/>
      <c r="AC2868" s="421"/>
      <c r="AD2868" s="421"/>
      <c r="AE2868" s="421"/>
      <c r="AF2868" s="421"/>
      <c r="AG2868" s="421"/>
      <c r="AH2868" s="421"/>
      <c r="AI2868" s="421"/>
      <c r="AJ2868" s="421"/>
      <c r="AK2868" s="421"/>
      <c r="AL2868" s="421"/>
    </row>
    <row r="2869" spans="1:38" hidden="1">
      <c r="A2869" s="408"/>
      <c r="B2869" s="83" t="e">
        <f t="array" ref="B2869">SUM(--(FREQUENCY(IF(C$2:C$3072=C2869, MATCH(D$2:D$3072, D$2:D$3072, 0)), ROW(D$2:D$3072)-ROW(D$2)+1) &gt; 0))</f>
        <v>#N/A</v>
      </c>
      <c r="C2869" s="408"/>
      <c r="D2869" s="408"/>
      <c r="E2869" s="408"/>
      <c r="F2869" s="408"/>
      <c r="G2869" s="408"/>
      <c r="H2869" s="408"/>
      <c r="I2869" s="408"/>
      <c r="J2869" s="408"/>
      <c r="K2869" s="408"/>
      <c r="L2869" s="408"/>
      <c r="M2869" s="408"/>
      <c r="N2869" s="408" t="str">
        <f t="shared" si="471"/>
        <v/>
      </c>
      <c r="O2869" s="408"/>
      <c r="P2869" s="408"/>
      <c r="Q2869" s="408"/>
      <c r="R2869" s="408"/>
      <c r="S2869" s="408"/>
      <c r="T2869" s="408"/>
      <c r="U2869" s="408"/>
      <c r="V2869" s="421"/>
      <c r="W2869" s="421"/>
      <c r="X2869" s="421"/>
      <c r="Y2869" s="421"/>
      <c r="Z2869" s="421"/>
      <c r="AA2869" s="421"/>
      <c r="AB2869" s="421"/>
      <c r="AC2869" s="421"/>
      <c r="AD2869" s="421"/>
      <c r="AE2869" s="421"/>
      <c r="AF2869" s="421"/>
      <c r="AG2869" s="421"/>
      <c r="AH2869" s="421"/>
      <c r="AI2869" s="421"/>
      <c r="AJ2869" s="421"/>
      <c r="AK2869" s="421"/>
      <c r="AL2869" s="421"/>
    </row>
    <row r="2870" spans="1:38" hidden="1">
      <c r="A2870" s="408"/>
      <c r="B2870" s="83" t="e">
        <f t="array" ref="B2870">SUM(--(FREQUENCY(IF(C$2:C$3072=C2870, MATCH(D$2:D$3072, D$2:D$3072, 0)), ROW(D$2:D$3072)-ROW(D$2)+1) &gt; 0))</f>
        <v>#N/A</v>
      </c>
      <c r="C2870" s="408"/>
      <c r="D2870" s="408"/>
      <c r="E2870" s="408"/>
      <c r="F2870" s="408"/>
      <c r="G2870" s="408"/>
      <c r="H2870" s="408"/>
      <c r="I2870" s="408"/>
      <c r="J2870" s="408"/>
      <c r="K2870" s="408"/>
      <c r="L2870" s="408"/>
      <c r="M2870" s="408"/>
      <c r="N2870" s="408" t="str">
        <f t="shared" si="471"/>
        <v/>
      </c>
      <c r="O2870" s="408"/>
      <c r="P2870" s="408"/>
      <c r="Q2870" s="408"/>
      <c r="R2870" s="408"/>
      <c r="S2870" s="408"/>
      <c r="T2870" s="408"/>
      <c r="U2870" s="408"/>
      <c r="V2870" s="421"/>
      <c r="W2870" s="421"/>
      <c r="X2870" s="421"/>
      <c r="Y2870" s="421"/>
      <c r="Z2870" s="421"/>
      <c r="AA2870" s="421"/>
      <c r="AB2870" s="421"/>
      <c r="AC2870" s="421"/>
      <c r="AD2870" s="421"/>
      <c r="AE2870" s="421"/>
      <c r="AF2870" s="421"/>
      <c r="AG2870" s="421"/>
      <c r="AH2870" s="421"/>
      <c r="AI2870" s="421"/>
      <c r="AJ2870" s="421"/>
      <c r="AK2870" s="421"/>
      <c r="AL2870" s="421"/>
    </row>
    <row r="2871" spans="1:38" hidden="1">
      <c r="A2871" s="408"/>
      <c r="B2871" s="83" t="e">
        <f t="array" ref="B2871">SUM(--(FREQUENCY(IF(C$2:C$3072=C2871, MATCH(D$2:D$3072, D$2:D$3072, 0)), ROW(D$2:D$3072)-ROW(D$2)+1) &gt; 0))</f>
        <v>#N/A</v>
      </c>
      <c r="C2871" s="408"/>
      <c r="D2871" s="408"/>
      <c r="E2871" s="408"/>
      <c r="F2871" s="408"/>
      <c r="G2871" s="408"/>
      <c r="H2871" s="408"/>
      <c r="I2871" s="408"/>
      <c r="J2871" s="408"/>
      <c r="K2871" s="408"/>
      <c r="L2871" s="408"/>
      <c r="M2871" s="408"/>
      <c r="N2871" s="408" t="str">
        <f t="shared" si="471"/>
        <v/>
      </c>
      <c r="O2871" s="408"/>
      <c r="P2871" s="408"/>
      <c r="Q2871" s="408"/>
      <c r="R2871" s="408"/>
      <c r="S2871" s="408"/>
      <c r="T2871" s="408"/>
      <c r="U2871" s="408"/>
      <c r="V2871" s="421"/>
      <c r="W2871" s="421"/>
      <c r="X2871" s="421"/>
      <c r="Y2871" s="421"/>
      <c r="Z2871" s="421"/>
      <c r="AA2871" s="421"/>
      <c r="AB2871" s="421"/>
      <c r="AC2871" s="421"/>
      <c r="AD2871" s="421"/>
      <c r="AE2871" s="421"/>
      <c r="AF2871" s="421"/>
      <c r="AG2871" s="421"/>
      <c r="AH2871" s="421"/>
      <c r="AI2871" s="421"/>
      <c r="AJ2871" s="421"/>
      <c r="AK2871" s="421"/>
      <c r="AL2871" s="421"/>
    </row>
    <row r="2872" spans="1:38" hidden="1">
      <c r="A2872" s="408"/>
      <c r="B2872" s="83" t="e">
        <f t="array" ref="B2872">SUM(--(FREQUENCY(IF(C$2:C$3072=C2872, MATCH(D$2:D$3072, D$2:D$3072, 0)), ROW(D$2:D$3072)-ROW(D$2)+1) &gt; 0))</f>
        <v>#N/A</v>
      </c>
      <c r="C2872" s="408"/>
      <c r="D2872" s="408"/>
      <c r="E2872" s="408"/>
      <c r="F2872" s="408"/>
      <c r="G2872" s="408"/>
      <c r="H2872" s="408"/>
      <c r="I2872" s="408"/>
      <c r="J2872" s="408"/>
      <c r="K2872" s="408"/>
      <c r="L2872" s="408"/>
      <c r="M2872" s="408"/>
      <c r="N2872" s="408" t="str">
        <f t="shared" si="471"/>
        <v/>
      </c>
      <c r="O2872" s="408"/>
      <c r="P2872" s="408"/>
      <c r="Q2872" s="408"/>
      <c r="R2872" s="408"/>
      <c r="S2872" s="408"/>
      <c r="T2872" s="408"/>
      <c r="U2872" s="408"/>
      <c r="V2872" s="421"/>
      <c r="W2872" s="421"/>
      <c r="X2872" s="421"/>
      <c r="Y2872" s="421"/>
      <c r="Z2872" s="421"/>
      <c r="AA2872" s="421"/>
      <c r="AB2872" s="421"/>
      <c r="AC2872" s="421"/>
      <c r="AD2872" s="421"/>
      <c r="AE2872" s="421"/>
      <c r="AF2872" s="421"/>
      <c r="AG2872" s="421"/>
      <c r="AH2872" s="421"/>
      <c r="AI2872" s="421"/>
      <c r="AJ2872" s="421"/>
      <c r="AK2872" s="421"/>
      <c r="AL2872" s="421"/>
    </row>
    <row r="2873" spans="1:38" hidden="1">
      <c r="A2873" s="408"/>
      <c r="B2873" s="83" t="e">
        <f t="array" ref="B2873">SUM(--(FREQUENCY(IF(C$2:C$3072=C2873, MATCH(D$2:D$3072, D$2:D$3072, 0)), ROW(D$2:D$3072)-ROW(D$2)+1) &gt; 0))</f>
        <v>#N/A</v>
      </c>
      <c r="C2873" s="408"/>
      <c r="D2873" s="408"/>
      <c r="E2873" s="408"/>
      <c r="F2873" s="408"/>
      <c r="G2873" s="408"/>
      <c r="H2873" s="408"/>
      <c r="I2873" s="408"/>
      <c r="J2873" s="408"/>
      <c r="K2873" s="408"/>
      <c r="L2873" s="408"/>
      <c r="M2873" s="408"/>
      <c r="N2873" s="408" t="str">
        <f t="shared" si="471"/>
        <v/>
      </c>
      <c r="O2873" s="408"/>
      <c r="P2873" s="408"/>
      <c r="Q2873" s="408"/>
      <c r="R2873" s="408"/>
      <c r="S2873" s="408"/>
      <c r="T2873" s="408"/>
      <c r="U2873" s="408"/>
      <c r="V2873" s="421"/>
      <c r="W2873" s="421"/>
      <c r="X2873" s="421"/>
      <c r="Y2873" s="421"/>
      <c r="Z2873" s="421"/>
      <c r="AA2873" s="421"/>
      <c r="AB2873" s="421"/>
      <c r="AC2873" s="421"/>
      <c r="AD2873" s="421"/>
      <c r="AE2873" s="421"/>
      <c r="AF2873" s="421"/>
      <c r="AG2873" s="421"/>
      <c r="AH2873" s="421"/>
      <c r="AI2873" s="421"/>
      <c r="AJ2873" s="421"/>
      <c r="AK2873" s="421"/>
      <c r="AL2873" s="421"/>
    </row>
    <row r="2874" spans="1:38" hidden="1">
      <c r="A2874" s="408"/>
      <c r="B2874" s="83" t="e">
        <f t="array" ref="B2874">SUM(--(FREQUENCY(IF(C$2:C$3072=C2874, MATCH(D$2:D$3072, D$2:D$3072, 0)), ROW(D$2:D$3072)-ROW(D$2)+1) &gt; 0))</f>
        <v>#N/A</v>
      </c>
      <c r="C2874" s="408"/>
      <c r="D2874" s="408"/>
      <c r="E2874" s="408"/>
      <c r="F2874" s="408"/>
      <c r="G2874" s="408"/>
      <c r="H2874" s="408"/>
      <c r="I2874" s="408"/>
      <c r="J2874" s="408"/>
      <c r="K2874" s="408"/>
      <c r="L2874" s="408"/>
      <c r="M2874" s="408"/>
      <c r="N2874" s="408" t="str">
        <f t="shared" si="471"/>
        <v/>
      </c>
      <c r="O2874" s="408"/>
      <c r="P2874" s="408"/>
      <c r="Q2874" s="408"/>
      <c r="R2874" s="408"/>
      <c r="S2874" s="408"/>
      <c r="T2874" s="408"/>
      <c r="U2874" s="408"/>
      <c r="V2874" s="421"/>
      <c r="W2874" s="421"/>
      <c r="X2874" s="421"/>
      <c r="Y2874" s="421"/>
      <c r="Z2874" s="421"/>
      <c r="AA2874" s="421"/>
      <c r="AB2874" s="421"/>
      <c r="AC2874" s="421"/>
      <c r="AD2874" s="421"/>
      <c r="AE2874" s="421"/>
      <c r="AF2874" s="421"/>
      <c r="AG2874" s="421"/>
      <c r="AH2874" s="421"/>
      <c r="AI2874" s="421"/>
      <c r="AJ2874" s="421"/>
      <c r="AK2874" s="421"/>
      <c r="AL2874" s="421"/>
    </row>
    <row r="2875" spans="1:38" hidden="1">
      <c r="A2875" s="408"/>
      <c r="B2875" s="83" t="e">
        <f t="array" ref="B2875">SUM(--(FREQUENCY(IF(C$2:C$3072=C2875, MATCH(D$2:D$3072, D$2:D$3072, 0)), ROW(D$2:D$3072)-ROW(D$2)+1) &gt; 0))</f>
        <v>#N/A</v>
      </c>
      <c r="C2875" s="408"/>
      <c r="D2875" s="408"/>
      <c r="E2875" s="408"/>
      <c r="F2875" s="408"/>
      <c r="G2875" s="408"/>
      <c r="H2875" s="408"/>
      <c r="I2875" s="408"/>
      <c r="J2875" s="408"/>
      <c r="K2875" s="408"/>
      <c r="L2875" s="408"/>
      <c r="M2875" s="408"/>
      <c r="N2875" s="408" t="str">
        <f t="shared" si="471"/>
        <v/>
      </c>
      <c r="O2875" s="408"/>
      <c r="P2875" s="408"/>
      <c r="Q2875" s="408"/>
      <c r="R2875" s="408"/>
      <c r="S2875" s="408"/>
      <c r="T2875" s="408"/>
      <c r="U2875" s="408"/>
      <c r="V2875" s="421"/>
      <c r="W2875" s="421"/>
      <c r="X2875" s="421"/>
      <c r="Y2875" s="421"/>
      <c r="Z2875" s="421"/>
      <c r="AA2875" s="421"/>
      <c r="AB2875" s="421"/>
      <c r="AC2875" s="421"/>
      <c r="AD2875" s="421"/>
      <c r="AE2875" s="421"/>
      <c r="AF2875" s="421"/>
      <c r="AG2875" s="421"/>
      <c r="AH2875" s="421"/>
      <c r="AI2875" s="421"/>
      <c r="AJ2875" s="421"/>
      <c r="AK2875" s="421"/>
      <c r="AL2875" s="421"/>
    </row>
    <row r="2876" spans="1:38" hidden="1">
      <c r="A2876" s="408"/>
      <c r="B2876" s="83" t="e">
        <f t="array" ref="B2876">SUM(--(FREQUENCY(IF(C$2:C$3072=C2876, MATCH(D$2:D$3072, D$2:D$3072, 0)), ROW(D$2:D$3072)-ROW(D$2)+1) &gt; 0))</f>
        <v>#N/A</v>
      </c>
      <c r="C2876" s="408"/>
      <c r="D2876" s="408"/>
      <c r="E2876" s="408"/>
      <c r="F2876" s="408"/>
      <c r="G2876" s="408"/>
      <c r="H2876" s="408"/>
      <c r="I2876" s="408"/>
      <c r="J2876" s="408"/>
      <c r="K2876" s="408"/>
      <c r="L2876" s="408"/>
      <c r="M2876" s="408"/>
      <c r="N2876" s="408" t="str">
        <f t="shared" si="471"/>
        <v/>
      </c>
      <c r="O2876" s="408"/>
      <c r="P2876" s="408"/>
      <c r="Q2876" s="408"/>
      <c r="R2876" s="408"/>
      <c r="S2876" s="408"/>
      <c r="T2876" s="408"/>
      <c r="U2876" s="408"/>
      <c r="V2876" s="421"/>
      <c r="W2876" s="421"/>
      <c r="X2876" s="421"/>
      <c r="Y2876" s="421"/>
      <c r="Z2876" s="421"/>
      <c r="AA2876" s="421"/>
      <c r="AB2876" s="421"/>
      <c r="AC2876" s="421"/>
      <c r="AD2876" s="421"/>
      <c r="AE2876" s="421"/>
      <c r="AF2876" s="421"/>
      <c r="AG2876" s="421"/>
      <c r="AH2876" s="421"/>
      <c r="AI2876" s="421"/>
      <c r="AJ2876" s="421"/>
      <c r="AK2876" s="421"/>
      <c r="AL2876" s="421"/>
    </row>
    <row r="2877" spans="1:38" hidden="1">
      <c r="A2877" s="408"/>
      <c r="B2877" s="83" t="e">
        <f t="array" ref="B2877">SUM(--(FREQUENCY(IF(C$2:C$3072=C2877, MATCH(D$2:D$3072, D$2:D$3072, 0)), ROW(D$2:D$3072)-ROW(D$2)+1) &gt; 0))</f>
        <v>#N/A</v>
      </c>
      <c r="C2877" s="408"/>
      <c r="D2877" s="408"/>
      <c r="E2877" s="408"/>
      <c r="F2877" s="408"/>
      <c r="G2877" s="408"/>
      <c r="H2877" s="408"/>
      <c r="I2877" s="408"/>
      <c r="J2877" s="408"/>
      <c r="K2877" s="408"/>
      <c r="L2877" s="408"/>
      <c r="M2877" s="408"/>
      <c r="N2877" s="408" t="str">
        <f t="shared" si="471"/>
        <v/>
      </c>
      <c r="O2877" s="408"/>
      <c r="P2877" s="408"/>
      <c r="Q2877" s="408"/>
      <c r="R2877" s="408"/>
      <c r="S2877" s="408"/>
      <c r="T2877" s="408"/>
      <c r="U2877" s="408"/>
      <c r="V2877" s="421"/>
      <c r="W2877" s="421"/>
      <c r="X2877" s="421"/>
      <c r="Y2877" s="421"/>
      <c r="Z2877" s="421"/>
      <c r="AA2877" s="421"/>
      <c r="AB2877" s="421"/>
      <c r="AC2877" s="421"/>
      <c r="AD2877" s="421"/>
      <c r="AE2877" s="421"/>
      <c r="AF2877" s="421"/>
      <c r="AG2877" s="421"/>
      <c r="AH2877" s="421"/>
      <c r="AI2877" s="421"/>
      <c r="AJ2877" s="421"/>
      <c r="AK2877" s="421"/>
      <c r="AL2877" s="421"/>
    </row>
    <row r="2878" spans="1:38" hidden="1">
      <c r="A2878" s="408"/>
      <c r="B2878" s="83" t="e">
        <f t="array" ref="B2878">SUM(--(FREQUENCY(IF(C$2:C$3072=C2878, MATCH(D$2:D$3072, D$2:D$3072, 0)), ROW(D$2:D$3072)-ROW(D$2)+1) &gt; 0))</f>
        <v>#N/A</v>
      </c>
      <c r="C2878" s="408"/>
      <c r="D2878" s="408"/>
      <c r="E2878" s="408"/>
      <c r="F2878" s="408"/>
      <c r="G2878" s="408"/>
      <c r="H2878" s="408"/>
      <c r="I2878" s="408"/>
      <c r="J2878" s="408"/>
      <c r="K2878" s="408"/>
      <c r="L2878" s="408"/>
      <c r="M2878" s="408"/>
      <c r="N2878" s="408" t="str">
        <f t="shared" si="471"/>
        <v/>
      </c>
      <c r="O2878" s="408"/>
      <c r="P2878" s="408"/>
      <c r="Q2878" s="408"/>
      <c r="R2878" s="408"/>
      <c r="S2878" s="408"/>
      <c r="T2878" s="408"/>
      <c r="U2878" s="408"/>
      <c r="V2878" s="421"/>
      <c r="W2878" s="421"/>
      <c r="X2878" s="421"/>
      <c r="Y2878" s="421"/>
      <c r="Z2878" s="421"/>
      <c r="AA2878" s="421"/>
      <c r="AB2878" s="421"/>
      <c r="AC2878" s="421"/>
      <c r="AD2878" s="421"/>
      <c r="AE2878" s="421"/>
      <c r="AF2878" s="421"/>
      <c r="AG2878" s="421"/>
      <c r="AH2878" s="421"/>
      <c r="AI2878" s="421"/>
      <c r="AJ2878" s="421"/>
      <c r="AK2878" s="421"/>
      <c r="AL2878" s="421"/>
    </row>
    <row r="2879" spans="1:38" hidden="1">
      <c r="A2879" s="408"/>
      <c r="B2879" s="83" t="e">
        <f t="array" ref="B2879">SUM(--(FREQUENCY(IF(C$2:C$3072=C2879, MATCH(D$2:D$3072, D$2:D$3072, 0)), ROW(D$2:D$3072)-ROW(D$2)+1) &gt; 0))</f>
        <v>#N/A</v>
      </c>
      <c r="C2879" s="408"/>
      <c r="D2879" s="408"/>
      <c r="E2879" s="408"/>
      <c r="F2879" s="408"/>
      <c r="G2879" s="408"/>
      <c r="H2879" s="408"/>
      <c r="I2879" s="408"/>
      <c r="J2879" s="408"/>
      <c r="K2879" s="408"/>
      <c r="L2879" s="408"/>
      <c r="M2879" s="408"/>
      <c r="N2879" s="408" t="str">
        <f t="shared" si="471"/>
        <v/>
      </c>
      <c r="O2879" s="408"/>
      <c r="P2879" s="408"/>
      <c r="Q2879" s="408"/>
      <c r="R2879" s="408"/>
      <c r="S2879" s="408"/>
      <c r="T2879" s="408"/>
      <c r="U2879" s="408"/>
      <c r="V2879" s="421"/>
      <c r="W2879" s="421"/>
      <c r="X2879" s="421"/>
      <c r="Y2879" s="421"/>
      <c r="Z2879" s="421"/>
      <c r="AA2879" s="421"/>
      <c r="AB2879" s="421"/>
      <c r="AC2879" s="421"/>
      <c r="AD2879" s="421"/>
      <c r="AE2879" s="421"/>
      <c r="AF2879" s="421"/>
      <c r="AG2879" s="421"/>
      <c r="AH2879" s="421"/>
      <c r="AI2879" s="421"/>
      <c r="AJ2879" s="421"/>
      <c r="AK2879" s="421"/>
      <c r="AL2879" s="421"/>
    </row>
    <row r="2880" spans="1:38" hidden="1">
      <c r="A2880" s="408"/>
      <c r="B2880" s="83" t="e">
        <f t="array" ref="B2880">SUM(--(FREQUENCY(IF(C$2:C$3072=C2880, MATCH(D$2:D$3072, D$2:D$3072, 0)), ROW(D$2:D$3072)-ROW(D$2)+1) &gt; 0))</f>
        <v>#N/A</v>
      </c>
      <c r="C2880" s="408"/>
      <c r="D2880" s="408"/>
      <c r="E2880" s="408"/>
      <c r="F2880" s="408"/>
      <c r="G2880" s="408"/>
      <c r="H2880" s="408"/>
      <c r="I2880" s="408"/>
      <c r="J2880" s="408"/>
      <c r="K2880" s="408"/>
      <c r="L2880" s="408"/>
      <c r="M2880" s="408"/>
      <c r="N2880" s="408" t="str">
        <f t="shared" ref="N2880:N2943" si="472">IF(O2880&lt;&gt;"", "NG", "")</f>
        <v/>
      </c>
      <c r="O2880" s="408"/>
      <c r="P2880" s="408"/>
      <c r="Q2880" s="408"/>
      <c r="R2880" s="408"/>
      <c r="S2880" s="408"/>
      <c r="T2880" s="408"/>
      <c r="U2880" s="408"/>
      <c r="V2880" s="421"/>
      <c r="W2880" s="421"/>
      <c r="X2880" s="421"/>
      <c r="Y2880" s="421"/>
      <c r="Z2880" s="421"/>
      <c r="AA2880" s="421"/>
      <c r="AB2880" s="421"/>
      <c r="AC2880" s="421"/>
      <c r="AD2880" s="421"/>
      <c r="AE2880" s="421"/>
      <c r="AF2880" s="421"/>
      <c r="AG2880" s="421"/>
      <c r="AH2880" s="421"/>
      <c r="AI2880" s="421"/>
      <c r="AJ2880" s="421"/>
      <c r="AK2880" s="421"/>
      <c r="AL2880" s="421"/>
    </row>
    <row r="2881" spans="1:38" hidden="1">
      <c r="A2881" s="408"/>
      <c r="B2881" s="83" t="e">
        <f t="array" ref="B2881">SUM(--(FREQUENCY(IF(C$2:C$3072=C2881, MATCH(D$2:D$3072, D$2:D$3072, 0)), ROW(D$2:D$3072)-ROW(D$2)+1) &gt; 0))</f>
        <v>#N/A</v>
      </c>
      <c r="C2881" s="408"/>
      <c r="D2881" s="408"/>
      <c r="E2881" s="408"/>
      <c r="F2881" s="408"/>
      <c r="G2881" s="408"/>
      <c r="H2881" s="408"/>
      <c r="I2881" s="408"/>
      <c r="J2881" s="408"/>
      <c r="K2881" s="408"/>
      <c r="L2881" s="408"/>
      <c r="M2881" s="408"/>
      <c r="N2881" s="408" t="str">
        <f t="shared" si="472"/>
        <v/>
      </c>
      <c r="O2881" s="408"/>
      <c r="P2881" s="408"/>
      <c r="Q2881" s="408"/>
      <c r="R2881" s="408"/>
      <c r="S2881" s="408"/>
      <c r="T2881" s="408"/>
      <c r="U2881" s="408"/>
      <c r="V2881" s="421"/>
      <c r="W2881" s="421"/>
      <c r="X2881" s="421"/>
      <c r="Y2881" s="421"/>
      <c r="Z2881" s="421"/>
      <c r="AA2881" s="421"/>
      <c r="AB2881" s="421"/>
      <c r="AC2881" s="421"/>
      <c r="AD2881" s="421"/>
      <c r="AE2881" s="421"/>
      <c r="AF2881" s="421"/>
      <c r="AG2881" s="421"/>
      <c r="AH2881" s="421"/>
      <c r="AI2881" s="421"/>
      <c r="AJ2881" s="421"/>
      <c r="AK2881" s="421"/>
      <c r="AL2881" s="421"/>
    </row>
    <row r="2882" spans="1:38" hidden="1">
      <c r="A2882" s="408"/>
      <c r="B2882" s="83" t="e">
        <f t="array" ref="B2882">SUM(--(FREQUENCY(IF(C$2:C$3072=C2882, MATCH(D$2:D$3072, D$2:D$3072, 0)), ROW(D$2:D$3072)-ROW(D$2)+1) &gt; 0))</f>
        <v>#N/A</v>
      </c>
      <c r="C2882" s="408"/>
      <c r="D2882" s="408"/>
      <c r="E2882" s="408"/>
      <c r="F2882" s="408"/>
      <c r="G2882" s="408"/>
      <c r="H2882" s="408"/>
      <c r="I2882" s="408"/>
      <c r="J2882" s="408"/>
      <c r="K2882" s="408"/>
      <c r="L2882" s="408"/>
      <c r="M2882" s="408"/>
      <c r="N2882" s="408" t="str">
        <f t="shared" si="472"/>
        <v/>
      </c>
      <c r="O2882" s="408"/>
      <c r="P2882" s="408"/>
      <c r="Q2882" s="408"/>
      <c r="R2882" s="408"/>
      <c r="S2882" s="408"/>
      <c r="T2882" s="408"/>
      <c r="U2882" s="408"/>
      <c r="V2882" s="421"/>
      <c r="W2882" s="421"/>
      <c r="X2882" s="421"/>
      <c r="Y2882" s="421"/>
      <c r="Z2882" s="421"/>
      <c r="AA2882" s="421"/>
      <c r="AB2882" s="421"/>
      <c r="AC2882" s="421"/>
      <c r="AD2882" s="421"/>
      <c r="AE2882" s="421"/>
      <c r="AF2882" s="421"/>
      <c r="AG2882" s="421"/>
      <c r="AH2882" s="421"/>
      <c r="AI2882" s="421"/>
      <c r="AJ2882" s="421"/>
      <c r="AK2882" s="421"/>
      <c r="AL2882" s="421"/>
    </row>
    <row r="2883" spans="1:38" hidden="1">
      <c r="A2883" s="408"/>
      <c r="B2883" s="83" t="e">
        <f t="array" ref="B2883">SUM(--(FREQUENCY(IF(C$2:C$3072=C2883, MATCH(D$2:D$3072, D$2:D$3072, 0)), ROW(D$2:D$3072)-ROW(D$2)+1) &gt; 0))</f>
        <v>#N/A</v>
      </c>
      <c r="C2883" s="408"/>
      <c r="D2883" s="408"/>
      <c r="E2883" s="408"/>
      <c r="F2883" s="408"/>
      <c r="G2883" s="408"/>
      <c r="H2883" s="408"/>
      <c r="I2883" s="408"/>
      <c r="J2883" s="408"/>
      <c r="K2883" s="408"/>
      <c r="L2883" s="408"/>
      <c r="M2883" s="408"/>
      <c r="N2883" s="408" t="str">
        <f t="shared" si="472"/>
        <v/>
      </c>
      <c r="O2883" s="408"/>
      <c r="P2883" s="408"/>
      <c r="Q2883" s="408"/>
      <c r="R2883" s="408"/>
      <c r="S2883" s="408"/>
      <c r="T2883" s="408"/>
      <c r="U2883" s="408"/>
      <c r="V2883" s="421"/>
      <c r="W2883" s="421"/>
      <c r="X2883" s="421"/>
      <c r="Y2883" s="421"/>
      <c r="Z2883" s="421"/>
      <c r="AA2883" s="421"/>
      <c r="AB2883" s="421"/>
      <c r="AC2883" s="421"/>
      <c r="AD2883" s="421"/>
      <c r="AE2883" s="421"/>
      <c r="AF2883" s="421"/>
      <c r="AG2883" s="421"/>
      <c r="AH2883" s="421"/>
      <c r="AI2883" s="421"/>
      <c r="AJ2883" s="421"/>
      <c r="AK2883" s="421"/>
      <c r="AL2883" s="421"/>
    </row>
    <row r="2884" spans="1:38" hidden="1">
      <c r="A2884" s="408"/>
      <c r="B2884" s="83" t="e">
        <f t="array" ref="B2884">SUM(--(FREQUENCY(IF(C$2:C$3072=C2884, MATCH(D$2:D$3072, D$2:D$3072, 0)), ROW(D$2:D$3072)-ROW(D$2)+1) &gt; 0))</f>
        <v>#N/A</v>
      </c>
      <c r="C2884" s="408"/>
      <c r="D2884" s="408"/>
      <c r="E2884" s="408"/>
      <c r="F2884" s="408"/>
      <c r="G2884" s="408"/>
      <c r="H2884" s="408"/>
      <c r="I2884" s="408"/>
      <c r="J2884" s="408"/>
      <c r="K2884" s="408"/>
      <c r="L2884" s="408"/>
      <c r="M2884" s="408"/>
      <c r="N2884" s="408" t="str">
        <f t="shared" si="472"/>
        <v/>
      </c>
      <c r="O2884" s="408"/>
      <c r="P2884" s="408"/>
      <c r="Q2884" s="408"/>
      <c r="R2884" s="408"/>
      <c r="S2884" s="408"/>
      <c r="T2884" s="408"/>
      <c r="U2884" s="408"/>
      <c r="V2884" s="421"/>
      <c r="W2884" s="421"/>
      <c r="X2884" s="421"/>
      <c r="Y2884" s="421"/>
      <c r="Z2884" s="421"/>
      <c r="AA2884" s="421"/>
      <c r="AB2884" s="421"/>
      <c r="AC2884" s="421"/>
      <c r="AD2884" s="421"/>
      <c r="AE2884" s="421"/>
      <c r="AF2884" s="421"/>
      <c r="AG2884" s="421"/>
      <c r="AH2884" s="421"/>
      <c r="AI2884" s="421"/>
      <c r="AJ2884" s="421"/>
      <c r="AK2884" s="421"/>
      <c r="AL2884" s="421"/>
    </row>
    <row r="2885" spans="1:38" hidden="1">
      <c r="A2885" s="408"/>
      <c r="B2885" s="83" t="e">
        <f t="array" ref="B2885">SUM(--(FREQUENCY(IF(C$2:C$3072=C2885, MATCH(D$2:D$3072, D$2:D$3072, 0)), ROW(D$2:D$3072)-ROW(D$2)+1) &gt; 0))</f>
        <v>#N/A</v>
      </c>
      <c r="C2885" s="408"/>
      <c r="D2885" s="408"/>
      <c r="E2885" s="408"/>
      <c r="F2885" s="408"/>
      <c r="G2885" s="408"/>
      <c r="H2885" s="408"/>
      <c r="I2885" s="408"/>
      <c r="J2885" s="408"/>
      <c r="K2885" s="408"/>
      <c r="L2885" s="408"/>
      <c r="M2885" s="408"/>
      <c r="N2885" s="408" t="str">
        <f t="shared" si="472"/>
        <v/>
      </c>
      <c r="O2885" s="408"/>
      <c r="P2885" s="408"/>
      <c r="Q2885" s="408"/>
      <c r="R2885" s="408"/>
      <c r="S2885" s="408"/>
      <c r="T2885" s="408"/>
      <c r="U2885" s="408"/>
      <c r="V2885" s="421"/>
      <c r="W2885" s="421"/>
      <c r="X2885" s="421"/>
      <c r="Y2885" s="421"/>
      <c r="Z2885" s="421"/>
      <c r="AA2885" s="421"/>
      <c r="AB2885" s="421"/>
      <c r="AC2885" s="421"/>
      <c r="AD2885" s="421"/>
      <c r="AE2885" s="421"/>
      <c r="AF2885" s="421"/>
      <c r="AG2885" s="421"/>
      <c r="AH2885" s="421"/>
      <c r="AI2885" s="421"/>
      <c r="AJ2885" s="421"/>
      <c r="AK2885" s="421"/>
      <c r="AL2885" s="421"/>
    </row>
    <row r="2886" spans="1:38" hidden="1">
      <c r="A2886" s="408"/>
      <c r="B2886" s="83" t="e">
        <f t="array" ref="B2886">SUM(--(FREQUENCY(IF(C$2:C$3072=C2886, MATCH(D$2:D$3072, D$2:D$3072, 0)), ROW(D$2:D$3072)-ROW(D$2)+1) &gt; 0))</f>
        <v>#N/A</v>
      </c>
      <c r="C2886" s="408"/>
      <c r="D2886" s="408"/>
      <c r="E2886" s="408"/>
      <c r="F2886" s="408"/>
      <c r="G2886" s="408"/>
      <c r="H2886" s="408"/>
      <c r="I2886" s="408"/>
      <c r="J2886" s="408"/>
      <c r="K2886" s="408"/>
      <c r="L2886" s="408"/>
      <c r="M2886" s="408"/>
      <c r="N2886" s="408" t="str">
        <f t="shared" si="472"/>
        <v/>
      </c>
      <c r="O2886" s="408"/>
      <c r="P2886" s="408"/>
      <c r="Q2886" s="408"/>
      <c r="R2886" s="408"/>
      <c r="S2886" s="408"/>
      <c r="T2886" s="408"/>
      <c r="U2886" s="408"/>
      <c r="V2886" s="421"/>
      <c r="W2886" s="421"/>
      <c r="X2886" s="421"/>
      <c r="Y2886" s="421"/>
      <c r="Z2886" s="421"/>
      <c r="AA2886" s="421"/>
      <c r="AB2886" s="421"/>
      <c r="AC2886" s="421"/>
      <c r="AD2886" s="421"/>
      <c r="AE2886" s="421"/>
      <c r="AF2886" s="421"/>
      <c r="AG2886" s="421"/>
      <c r="AH2886" s="421"/>
      <c r="AI2886" s="421"/>
      <c r="AJ2886" s="421"/>
      <c r="AK2886" s="421"/>
      <c r="AL2886" s="421"/>
    </row>
    <row r="2887" spans="1:38" hidden="1">
      <c r="A2887" s="408"/>
      <c r="B2887" s="83" t="e">
        <f t="array" ref="B2887">SUM(--(FREQUENCY(IF(C$2:C$3072=C2887, MATCH(D$2:D$3072, D$2:D$3072, 0)), ROW(D$2:D$3072)-ROW(D$2)+1) &gt; 0))</f>
        <v>#N/A</v>
      </c>
      <c r="C2887" s="408"/>
      <c r="D2887" s="408"/>
      <c r="E2887" s="408"/>
      <c r="F2887" s="408"/>
      <c r="G2887" s="408"/>
      <c r="H2887" s="408"/>
      <c r="I2887" s="408"/>
      <c r="J2887" s="408"/>
      <c r="K2887" s="408"/>
      <c r="L2887" s="408"/>
      <c r="M2887" s="408"/>
      <c r="N2887" s="408" t="str">
        <f t="shared" si="472"/>
        <v/>
      </c>
      <c r="O2887" s="408"/>
      <c r="P2887" s="408"/>
      <c r="Q2887" s="408"/>
      <c r="R2887" s="408"/>
      <c r="S2887" s="408"/>
      <c r="T2887" s="408"/>
      <c r="U2887" s="408"/>
      <c r="V2887" s="421"/>
      <c r="W2887" s="421"/>
      <c r="X2887" s="421"/>
      <c r="Y2887" s="421"/>
      <c r="Z2887" s="421"/>
      <c r="AA2887" s="421"/>
      <c r="AB2887" s="421"/>
      <c r="AC2887" s="421"/>
      <c r="AD2887" s="421"/>
      <c r="AE2887" s="421"/>
      <c r="AF2887" s="421"/>
      <c r="AG2887" s="421"/>
      <c r="AH2887" s="421"/>
      <c r="AI2887" s="421"/>
      <c r="AJ2887" s="421"/>
      <c r="AK2887" s="421"/>
      <c r="AL2887" s="421"/>
    </row>
    <row r="2888" spans="1:38" hidden="1">
      <c r="A2888" s="408"/>
      <c r="B2888" s="83" t="e">
        <f t="array" ref="B2888">SUM(--(FREQUENCY(IF(C$2:C$3072=C2888, MATCH(D$2:D$3072, D$2:D$3072, 0)), ROW(D$2:D$3072)-ROW(D$2)+1) &gt; 0))</f>
        <v>#N/A</v>
      </c>
      <c r="C2888" s="408"/>
      <c r="D2888" s="408"/>
      <c r="E2888" s="408"/>
      <c r="F2888" s="408"/>
      <c r="G2888" s="408"/>
      <c r="H2888" s="408"/>
      <c r="I2888" s="408"/>
      <c r="J2888" s="408"/>
      <c r="K2888" s="408"/>
      <c r="L2888" s="408"/>
      <c r="M2888" s="408"/>
      <c r="N2888" s="408" t="str">
        <f t="shared" si="472"/>
        <v/>
      </c>
      <c r="O2888" s="408"/>
      <c r="P2888" s="408"/>
      <c r="Q2888" s="408"/>
      <c r="R2888" s="408"/>
      <c r="S2888" s="408"/>
      <c r="T2888" s="408"/>
      <c r="U2888" s="408"/>
      <c r="V2888" s="421"/>
      <c r="W2888" s="421"/>
      <c r="X2888" s="421"/>
      <c r="Y2888" s="421"/>
      <c r="Z2888" s="421"/>
      <c r="AA2888" s="421"/>
      <c r="AB2888" s="421"/>
      <c r="AC2888" s="421"/>
      <c r="AD2888" s="421"/>
      <c r="AE2888" s="421"/>
      <c r="AF2888" s="421"/>
      <c r="AG2888" s="421"/>
      <c r="AH2888" s="421"/>
      <c r="AI2888" s="421"/>
      <c r="AJ2888" s="421"/>
      <c r="AK2888" s="421"/>
      <c r="AL2888" s="421"/>
    </row>
    <row r="2889" spans="1:38" hidden="1">
      <c r="A2889" s="408"/>
      <c r="B2889" s="83" t="e">
        <f t="array" ref="B2889">SUM(--(FREQUENCY(IF(C$2:C$3072=C2889, MATCH(D$2:D$3072, D$2:D$3072, 0)), ROW(D$2:D$3072)-ROW(D$2)+1) &gt; 0))</f>
        <v>#N/A</v>
      </c>
      <c r="C2889" s="408"/>
      <c r="D2889" s="408"/>
      <c r="E2889" s="408"/>
      <c r="F2889" s="408"/>
      <c r="G2889" s="408"/>
      <c r="H2889" s="408"/>
      <c r="I2889" s="408"/>
      <c r="J2889" s="408"/>
      <c r="K2889" s="408"/>
      <c r="L2889" s="408"/>
      <c r="M2889" s="408"/>
      <c r="N2889" s="408" t="str">
        <f t="shared" si="472"/>
        <v/>
      </c>
      <c r="O2889" s="408"/>
      <c r="P2889" s="408"/>
      <c r="Q2889" s="408"/>
      <c r="R2889" s="408"/>
      <c r="S2889" s="408"/>
      <c r="T2889" s="408"/>
      <c r="U2889" s="408"/>
      <c r="V2889" s="421"/>
      <c r="W2889" s="421"/>
      <c r="X2889" s="421"/>
      <c r="Y2889" s="421"/>
      <c r="Z2889" s="421"/>
      <c r="AA2889" s="421"/>
      <c r="AB2889" s="421"/>
      <c r="AC2889" s="421"/>
      <c r="AD2889" s="421"/>
      <c r="AE2889" s="421"/>
      <c r="AF2889" s="421"/>
      <c r="AG2889" s="421"/>
      <c r="AH2889" s="421"/>
      <c r="AI2889" s="421"/>
      <c r="AJ2889" s="421"/>
      <c r="AK2889" s="421"/>
      <c r="AL2889" s="421"/>
    </row>
    <row r="2890" spans="1:38" hidden="1">
      <c r="A2890" s="408"/>
      <c r="B2890" s="83" t="e">
        <f t="array" ref="B2890">SUM(--(FREQUENCY(IF(C$2:C$3072=C2890, MATCH(D$2:D$3072, D$2:D$3072, 0)), ROW(D$2:D$3072)-ROW(D$2)+1) &gt; 0))</f>
        <v>#N/A</v>
      </c>
      <c r="C2890" s="408"/>
      <c r="D2890" s="408"/>
      <c r="E2890" s="408"/>
      <c r="F2890" s="408"/>
      <c r="G2890" s="408"/>
      <c r="H2890" s="408"/>
      <c r="I2890" s="408"/>
      <c r="J2890" s="408"/>
      <c r="K2890" s="408"/>
      <c r="L2890" s="408"/>
      <c r="M2890" s="408"/>
      <c r="N2890" s="408" t="str">
        <f t="shared" si="472"/>
        <v/>
      </c>
      <c r="O2890" s="408"/>
      <c r="P2890" s="408"/>
      <c r="Q2890" s="408"/>
      <c r="R2890" s="408"/>
      <c r="S2890" s="408"/>
      <c r="T2890" s="408"/>
      <c r="U2890" s="408"/>
      <c r="V2890" s="421"/>
      <c r="W2890" s="421"/>
      <c r="X2890" s="421"/>
      <c r="Y2890" s="421"/>
      <c r="Z2890" s="421"/>
      <c r="AA2890" s="421"/>
      <c r="AB2890" s="421"/>
      <c r="AC2890" s="421"/>
      <c r="AD2890" s="421"/>
      <c r="AE2890" s="421"/>
      <c r="AF2890" s="421"/>
      <c r="AG2890" s="421"/>
      <c r="AH2890" s="421"/>
      <c r="AI2890" s="421"/>
      <c r="AJ2890" s="421"/>
      <c r="AK2890" s="421"/>
      <c r="AL2890" s="421"/>
    </row>
    <row r="2891" spans="1:38" hidden="1">
      <c r="A2891" s="408"/>
      <c r="B2891" s="83" t="e">
        <f t="array" ref="B2891">SUM(--(FREQUENCY(IF(C$2:C$3072=C2891, MATCH(D$2:D$3072, D$2:D$3072, 0)), ROW(D$2:D$3072)-ROW(D$2)+1) &gt; 0))</f>
        <v>#N/A</v>
      </c>
      <c r="C2891" s="408"/>
      <c r="D2891" s="408"/>
      <c r="E2891" s="408"/>
      <c r="F2891" s="408"/>
      <c r="G2891" s="408"/>
      <c r="H2891" s="408"/>
      <c r="I2891" s="408"/>
      <c r="J2891" s="408"/>
      <c r="K2891" s="408"/>
      <c r="L2891" s="408"/>
      <c r="M2891" s="408"/>
      <c r="N2891" s="408" t="str">
        <f t="shared" si="472"/>
        <v/>
      </c>
      <c r="O2891" s="408"/>
      <c r="P2891" s="408"/>
      <c r="Q2891" s="408"/>
      <c r="R2891" s="408"/>
      <c r="S2891" s="408"/>
      <c r="T2891" s="408"/>
      <c r="U2891" s="408"/>
      <c r="V2891" s="421"/>
      <c r="W2891" s="421"/>
      <c r="X2891" s="421"/>
      <c r="Y2891" s="421"/>
      <c r="Z2891" s="421"/>
      <c r="AA2891" s="421"/>
      <c r="AB2891" s="421"/>
      <c r="AC2891" s="421"/>
      <c r="AD2891" s="421"/>
      <c r="AE2891" s="421"/>
      <c r="AF2891" s="421"/>
      <c r="AG2891" s="421"/>
      <c r="AH2891" s="421"/>
      <c r="AI2891" s="421"/>
      <c r="AJ2891" s="421"/>
      <c r="AK2891" s="421"/>
      <c r="AL2891" s="421"/>
    </row>
    <row r="2892" spans="1:38" hidden="1">
      <c r="A2892" s="408"/>
      <c r="B2892" s="83" t="e">
        <f t="array" ref="B2892">SUM(--(FREQUENCY(IF(C$2:C$3072=C2892, MATCH(D$2:D$3072, D$2:D$3072, 0)), ROW(D$2:D$3072)-ROW(D$2)+1) &gt; 0))</f>
        <v>#N/A</v>
      </c>
      <c r="C2892" s="408"/>
      <c r="D2892" s="408"/>
      <c r="E2892" s="408"/>
      <c r="F2892" s="408"/>
      <c r="G2892" s="408"/>
      <c r="H2892" s="408"/>
      <c r="I2892" s="408"/>
      <c r="J2892" s="408"/>
      <c r="K2892" s="408"/>
      <c r="L2892" s="408"/>
      <c r="M2892" s="408"/>
      <c r="N2892" s="408" t="str">
        <f t="shared" si="472"/>
        <v/>
      </c>
      <c r="O2892" s="408"/>
      <c r="P2892" s="408"/>
      <c r="Q2892" s="408"/>
      <c r="R2892" s="408"/>
      <c r="S2892" s="408"/>
      <c r="T2892" s="408"/>
      <c r="U2892" s="408"/>
      <c r="V2892" s="421"/>
      <c r="W2892" s="421"/>
      <c r="X2892" s="421"/>
      <c r="Y2892" s="421"/>
      <c r="Z2892" s="421"/>
      <c r="AA2892" s="421"/>
      <c r="AB2892" s="421"/>
      <c r="AC2892" s="421"/>
      <c r="AD2892" s="421"/>
      <c r="AE2892" s="421"/>
      <c r="AF2892" s="421"/>
      <c r="AG2892" s="421"/>
      <c r="AH2892" s="421"/>
      <c r="AI2892" s="421"/>
      <c r="AJ2892" s="421"/>
      <c r="AK2892" s="421"/>
      <c r="AL2892" s="421"/>
    </row>
    <row r="2893" spans="1:38" hidden="1">
      <c r="A2893" s="408"/>
      <c r="B2893" s="83" t="e">
        <f t="array" ref="B2893">SUM(--(FREQUENCY(IF(C$2:C$3072=C2893, MATCH(D$2:D$3072, D$2:D$3072, 0)), ROW(D$2:D$3072)-ROW(D$2)+1) &gt; 0))</f>
        <v>#N/A</v>
      </c>
      <c r="C2893" s="408"/>
      <c r="D2893" s="408"/>
      <c r="E2893" s="408"/>
      <c r="F2893" s="408"/>
      <c r="G2893" s="408"/>
      <c r="H2893" s="408"/>
      <c r="I2893" s="408"/>
      <c r="J2893" s="408"/>
      <c r="K2893" s="408"/>
      <c r="L2893" s="408"/>
      <c r="M2893" s="408"/>
      <c r="N2893" s="408" t="str">
        <f t="shared" si="472"/>
        <v/>
      </c>
      <c r="O2893" s="408"/>
      <c r="P2893" s="408"/>
      <c r="Q2893" s="408"/>
      <c r="R2893" s="408"/>
      <c r="S2893" s="408"/>
      <c r="T2893" s="408"/>
      <c r="U2893" s="408"/>
      <c r="V2893" s="421"/>
      <c r="W2893" s="421"/>
      <c r="X2893" s="421"/>
      <c r="Y2893" s="421"/>
      <c r="Z2893" s="421"/>
      <c r="AA2893" s="421"/>
      <c r="AB2893" s="421"/>
      <c r="AC2893" s="421"/>
      <c r="AD2893" s="421"/>
      <c r="AE2893" s="421"/>
      <c r="AF2893" s="421"/>
      <c r="AG2893" s="421"/>
      <c r="AH2893" s="421"/>
      <c r="AI2893" s="421"/>
      <c r="AJ2893" s="421"/>
      <c r="AK2893" s="421"/>
      <c r="AL2893" s="421"/>
    </row>
    <row r="2894" spans="1:38" hidden="1">
      <c r="A2894" s="408"/>
      <c r="B2894" s="83" t="e">
        <f t="array" ref="B2894">SUM(--(FREQUENCY(IF(C$2:C$3072=C2894, MATCH(D$2:D$3072, D$2:D$3072, 0)), ROW(D$2:D$3072)-ROW(D$2)+1) &gt; 0))</f>
        <v>#N/A</v>
      </c>
      <c r="C2894" s="408"/>
      <c r="D2894" s="408"/>
      <c r="E2894" s="408"/>
      <c r="F2894" s="408"/>
      <c r="G2894" s="408"/>
      <c r="H2894" s="408"/>
      <c r="I2894" s="408"/>
      <c r="J2894" s="408"/>
      <c r="K2894" s="408"/>
      <c r="L2894" s="408"/>
      <c r="M2894" s="408"/>
      <c r="N2894" s="408" t="str">
        <f t="shared" si="472"/>
        <v/>
      </c>
      <c r="O2894" s="408"/>
      <c r="P2894" s="408"/>
      <c r="Q2894" s="408"/>
      <c r="R2894" s="408"/>
      <c r="S2894" s="408"/>
      <c r="T2894" s="408"/>
      <c r="U2894" s="408"/>
      <c r="V2894" s="421"/>
      <c r="W2894" s="421"/>
      <c r="X2894" s="421"/>
      <c r="Y2894" s="421"/>
      <c r="Z2894" s="421"/>
      <c r="AA2894" s="421"/>
      <c r="AB2894" s="421"/>
      <c r="AC2894" s="421"/>
      <c r="AD2894" s="421"/>
      <c r="AE2894" s="421"/>
      <c r="AF2894" s="421"/>
      <c r="AG2894" s="421"/>
      <c r="AH2894" s="421"/>
      <c r="AI2894" s="421"/>
      <c r="AJ2894" s="421"/>
      <c r="AK2894" s="421"/>
      <c r="AL2894" s="421"/>
    </row>
    <row r="2895" spans="1:38" hidden="1">
      <c r="A2895" s="408"/>
      <c r="B2895" s="83" t="e">
        <f t="array" ref="B2895">SUM(--(FREQUENCY(IF(C$2:C$3072=C2895, MATCH(D$2:D$3072, D$2:D$3072, 0)), ROW(D$2:D$3072)-ROW(D$2)+1) &gt; 0))</f>
        <v>#N/A</v>
      </c>
      <c r="C2895" s="408"/>
      <c r="D2895" s="408"/>
      <c r="E2895" s="408"/>
      <c r="F2895" s="408"/>
      <c r="G2895" s="408"/>
      <c r="H2895" s="408"/>
      <c r="I2895" s="408"/>
      <c r="J2895" s="408"/>
      <c r="K2895" s="408"/>
      <c r="L2895" s="408"/>
      <c r="M2895" s="408"/>
      <c r="N2895" s="408" t="str">
        <f t="shared" si="472"/>
        <v/>
      </c>
      <c r="O2895" s="408"/>
      <c r="P2895" s="408"/>
      <c r="Q2895" s="408"/>
      <c r="R2895" s="408"/>
      <c r="S2895" s="408"/>
      <c r="T2895" s="408"/>
      <c r="U2895" s="408"/>
      <c r="V2895" s="421"/>
      <c r="W2895" s="421"/>
      <c r="X2895" s="421"/>
      <c r="Y2895" s="421"/>
      <c r="Z2895" s="421"/>
      <c r="AA2895" s="421"/>
      <c r="AB2895" s="421"/>
      <c r="AC2895" s="421"/>
      <c r="AD2895" s="421"/>
      <c r="AE2895" s="421"/>
      <c r="AF2895" s="421"/>
      <c r="AG2895" s="421"/>
      <c r="AH2895" s="421"/>
      <c r="AI2895" s="421"/>
      <c r="AJ2895" s="421"/>
      <c r="AK2895" s="421"/>
      <c r="AL2895" s="421"/>
    </row>
    <row r="2896" spans="1:38" hidden="1">
      <c r="A2896" s="408"/>
      <c r="B2896" s="83" t="e">
        <f t="array" ref="B2896">SUM(--(FREQUENCY(IF(C$2:C$3072=C2896, MATCH(D$2:D$3072, D$2:D$3072, 0)), ROW(D$2:D$3072)-ROW(D$2)+1) &gt; 0))</f>
        <v>#N/A</v>
      </c>
      <c r="C2896" s="408"/>
      <c r="D2896" s="408"/>
      <c r="E2896" s="408"/>
      <c r="F2896" s="408"/>
      <c r="G2896" s="408"/>
      <c r="H2896" s="408"/>
      <c r="I2896" s="408"/>
      <c r="J2896" s="408"/>
      <c r="K2896" s="408"/>
      <c r="L2896" s="408"/>
      <c r="M2896" s="408"/>
      <c r="N2896" s="408" t="str">
        <f t="shared" si="472"/>
        <v/>
      </c>
      <c r="O2896" s="408"/>
      <c r="P2896" s="408"/>
      <c r="Q2896" s="408"/>
      <c r="R2896" s="408"/>
      <c r="S2896" s="408"/>
      <c r="T2896" s="408"/>
      <c r="U2896" s="408"/>
      <c r="V2896" s="421"/>
      <c r="W2896" s="421"/>
      <c r="X2896" s="421"/>
      <c r="Y2896" s="421"/>
      <c r="Z2896" s="421"/>
      <c r="AA2896" s="421"/>
      <c r="AB2896" s="421"/>
      <c r="AC2896" s="421"/>
      <c r="AD2896" s="421"/>
      <c r="AE2896" s="421"/>
      <c r="AF2896" s="421"/>
      <c r="AG2896" s="421"/>
      <c r="AH2896" s="421"/>
      <c r="AI2896" s="421"/>
      <c r="AJ2896" s="421"/>
      <c r="AK2896" s="421"/>
      <c r="AL2896" s="421"/>
    </row>
    <row r="2897" spans="1:38" hidden="1">
      <c r="A2897" s="408"/>
      <c r="B2897" s="83" t="e">
        <f t="array" ref="B2897">SUM(--(FREQUENCY(IF(C$2:C$3072=C2897, MATCH(D$2:D$3072, D$2:D$3072, 0)), ROW(D$2:D$3072)-ROW(D$2)+1) &gt; 0))</f>
        <v>#N/A</v>
      </c>
      <c r="C2897" s="408"/>
      <c r="D2897" s="408"/>
      <c r="E2897" s="408"/>
      <c r="F2897" s="408"/>
      <c r="G2897" s="408"/>
      <c r="H2897" s="408"/>
      <c r="I2897" s="408"/>
      <c r="J2897" s="408"/>
      <c r="K2897" s="408"/>
      <c r="L2897" s="408"/>
      <c r="M2897" s="408"/>
      <c r="N2897" s="408" t="str">
        <f t="shared" si="472"/>
        <v/>
      </c>
      <c r="O2897" s="408"/>
      <c r="P2897" s="408"/>
      <c r="Q2897" s="408"/>
      <c r="R2897" s="408"/>
      <c r="S2897" s="408"/>
      <c r="T2897" s="408"/>
      <c r="U2897" s="408"/>
      <c r="V2897" s="421"/>
      <c r="W2897" s="421"/>
      <c r="X2897" s="421"/>
      <c r="Y2897" s="421"/>
      <c r="Z2897" s="421"/>
      <c r="AA2897" s="421"/>
      <c r="AB2897" s="421"/>
      <c r="AC2897" s="421"/>
      <c r="AD2897" s="421"/>
      <c r="AE2897" s="421"/>
      <c r="AF2897" s="421"/>
      <c r="AG2897" s="421"/>
      <c r="AH2897" s="421"/>
      <c r="AI2897" s="421"/>
      <c r="AJ2897" s="421"/>
      <c r="AK2897" s="421"/>
      <c r="AL2897" s="421"/>
    </row>
    <row r="2898" spans="1:38" hidden="1">
      <c r="A2898" s="408"/>
      <c r="B2898" s="83" t="e">
        <f t="array" ref="B2898">SUM(--(FREQUENCY(IF(C$2:C$3072=C2898, MATCH(D$2:D$3072, D$2:D$3072, 0)), ROW(D$2:D$3072)-ROW(D$2)+1) &gt; 0))</f>
        <v>#N/A</v>
      </c>
      <c r="C2898" s="408"/>
      <c r="D2898" s="408"/>
      <c r="E2898" s="408"/>
      <c r="F2898" s="408"/>
      <c r="G2898" s="408"/>
      <c r="H2898" s="408"/>
      <c r="I2898" s="408"/>
      <c r="J2898" s="408"/>
      <c r="K2898" s="408"/>
      <c r="L2898" s="408"/>
      <c r="M2898" s="408"/>
      <c r="N2898" s="408" t="str">
        <f t="shared" si="472"/>
        <v/>
      </c>
      <c r="O2898" s="408"/>
      <c r="P2898" s="408"/>
      <c r="Q2898" s="408"/>
      <c r="R2898" s="408"/>
      <c r="S2898" s="408"/>
      <c r="T2898" s="408"/>
      <c r="U2898" s="408"/>
      <c r="V2898" s="421"/>
      <c r="W2898" s="421"/>
      <c r="X2898" s="421"/>
      <c r="Y2898" s="421"/>
      <c r="Z2898" s="421"/>
      <c r="AA2898" s="421"/>
      <c r="AB2898" s="421"/>
      <c r="AC2898" s="421"/>
      <c r="AD2898" s="421"/>
      <c r="AE2898" s="421"/>
      <c r="AF2898" s="421"/>
      <c r="AG2898" s="421"/>
      <c r="AH2898" s="421"/>
      <c r="AI2898" s="421"/>
      <c r="AJ2898" s="421"/>
      <c r="AK2898" s="421"/>
      <c r="AL2898" s="421"/>
    </row>
    <row r="2899" spans="1:38" hidden="1">
      <c r="A2899" s="408"/>
      <c r="B2899" s="83" t="e">
        <f t="array" ref="B2899">SUM(--(FREQUENCY(IF(C$2:C$3072=C2899, MATCH(D$2:D$3072, D$2:D$3072, 0)), ROW(D$2:D$3072)-ROW(D$2)+1) &gt; 0))</f>
        <v>#N/A</v>
      </c>
      <c r="C2899" s="408"/>
      <c r="D2899" s="408"/>
      <c r="E2899" s="408"/>
      <c r="F2899" s="408"/>
      <c r="G2899" s="408"/>
      <c r="H2899" s="408"/>
      <c r="I2899" s="408"/>
      <c r="J2899" s="408"/>
      <c r="K2899" s="408"/>
      <c r="L2899" s="408"/>
      <c r="M2899" s="408"/>
      <c r="N2899" s="408" t="str">
        <f t="shared" si="472"/>
        <v/>
      </c>
      <c r="O2899" s="408"/>
      <c r="P2899" s="408"/>
      <c r="Q2899" s="408"/>
      <c r="R2899" s="408"/>
      <c r="S2899" s="408"/>
      <c r="T2899" s="408"/>
      <c r="U2899" s="408"/>
      <c r="V2899" s="421"/>
      <c r="W2899" s="421"/>
      <c r="X2899" s="421"/>
      <c r="Y2899" s="421"/>
      <c r="Z2899" s="421"/>
      <c r="AA2899" s="421"/>
      <c r="AB2899" s="421"/>
      <c r="AC2899" s="421"/>
      <c r="AD2899" s="421"/>
      <c r="AE2899" s="421"/>
      <c r="AF2899" s="421"/>
      <c r="AG2899" s="421"/>
      <c r="AH2899" s="421"/>
      <c r="AI2899" s="421"/>
      <c r="AJ2899" s="421"/>
      <c r="AK2899" s="421"/>
      <c r="AL2899" s="421"/>
    </row>
    <row r="2900" spans="1:38" hidden="1">
      <c r="A2900" s="408"/>
      <c r="B2900" s="83" t="e">
        <f t="array" ref="B2900">SUM(--(FREQUENCY(IF(C$2:C$3072=C2900, MATCH(D$2:D$3072, D$2:D$3072, 0)), ROW(D$2:D$3072)-ROW(D$2)+1) &gt; 0))</f>
        <v>#N/A</v>
      </c>
      <c r="C2900" s="408"/>
      <c r="D2900" s="408"/>
      <c r="E2900" s="408"/>
      <c r="F2900" s="408"/>
      <c r="G2900" s="408"/>
      <c r="H2900" s="408"/>
      <c r="I2900" s="408"/>
      <c r="J2900" s="408"/>
      <c r="K2900" s="408"/>
      <c r="L2900" s="408"/>
      <c r="M2900" s="408"/>
      <c r="N2900" s="408" t="str">
        <f t="shared" si="472"/>
        <v/>
      </c>
      <c r="O2900" s="408"/>
      <c r="P2900" s="408"/>
      <c r="Q2900" s="408"/>
      <c r="R2900" s="408"/>
      <c r="S2900" s="408"/>
      <c r="T2900" s="408"/>
      <c r="U2900" s="408"/>
      <c r="V2900" s="421"/>
      <c r="W2900" s="421"/>
      <c r="X2900" s="421"/>
      <c r="Y2900" s="421"/>
      <c r="Z2900" s="421"/>
      <c r="AA2900" s="421"/>
      <c r="AB2900" s="421"/>
      <c r="AC2900" s="421"/>
      <c r="AD2900" s="421"/>
      <c r="AE2900" s="421"/>
      <c r="AF2900" s="421"/>
      <c r="AG2900" s="421"/>
      <c r="AH2900" s="421"/>
      <c r="AI2900" s="421"/>
      <c r="AJ2900" s="421"/>
      <c r="AK2900" s="421"/>
      <c r="AL2900" s="421"/>
    </row>
    <row r="2901" spans="1:38" hidden="1">
      <c r="A2901" s="408"/>
      <c r="B2901" s="83" t="e">
        <f t="array" ref="B2901">SUM(--(FREQUENCY(IF(C$2:C$3072=C2901, MATCH(D$2:D$3072, D$2:D$3072, 0)), ROW(D$2:D$3072)-ROW(D$2)+1) &gt; 0))</f>
        <v>#N/A</v>
      </c>
      <c r="C2901" s="408"/>
      <c r="D2901" s="408"/>
      <c r="E2901" s="408"/>
      <c r="F2901" s="408"/>
      <c r="G2901" s="408"/>
      <c r="H2901" s="408"/>
      <c r="I2901" s="408"/>
      <c r="J2901" s="408"/>
      <c r="K2901" s="408"/>
      <c r="L2901" s="408"/>
      <c r="M2901" s="408"/>
      <c r="N2901" s="408" t="str">
        <f t="shared" si="472"/>
        <v/>
      </c>
      <c r="O2901" s="408"/>
      <c r="P2901" s="408"/>
      <c r="Q2901" s="408"/>
      <c r="R2901" s="408"/>
      <c r="S2901" s="408"/>
      <c r="T2901" s="408"/>
      <c r="U2901" s="408"/>
      <c r="V2901" s="421"/>
      <c r="W2901" s="421"/>
      <c r="X2901" s="421"/>
      <c r="Y2901" s="421"/>
      <c r="Z2901" s="421"/>
      <c r="AA2901" s="421"/>
      <c r="AB2901" s="421"/>
      <c r="AC2901" s="421"/>
      <c r="AD2901" s="421"/>
      <c r="AE2901" s="421"/>
      <c r="AF2901" s="421"/>
      <c r="AG2901" s="421"/>
      <c r="AH2901" s="421"/>
      <c r="AI2901" s="421"/>
      <c r="AJ2901" s="421"/>
      <c r="AK2901" s="421"/>
      <c r="AL2901" s="421"/>
    </row>
    <row r="2902" spans="1:38" hidden="1">
      <c r="A2902" s="408"/>
      <c r="B2902" s="83" t="e">
        <f t="array" ref="B2902">SUM(--(FREQUENCY(IF(C$2:C$3072=C2902, MATCH(D$2:D$3072, D$2:D$3072, 0)), ROW(D$2:D$3072)-ROW(D$2)+1) &gt; 0))</f>
        <v>#N/A</v>
      </c>
      <c r="C2902" s="408"/>
      <c r="D2902" s="408"/>
      <c r="E2902" s="408"/>
      <c r="F2902" s="408"/>
      <c r="G2902" s="408"/>
      <c r="H2902" s="408"/>
      <c r="I2902" s="408"/>
      <c r="J2902" s="408"/>
      <c r="K2902" s="408"/>
      <c r="L2902" s="408"/>
      <c r="M2902" s="408"/>
      <c r="N2902" s="408" t="str">
        <f t="shared" si="472"/>
        <v/>
      </c>
      <c r="O2902" s="408"/>
      <c r="P2902" s="408"/>
      <c r="Q2902" s="408"/>
      <c r="R2902" s="408"/>
      <c r="S2902" s="408"/>
      <c r="T2902" s="408"/>
      <c r="U2902" s="408"/>
      <c r="V2902" s="421"/>
      <c r="W2902" s="421"/>
      <c r="X2902" s="421"/>
      <c r="Y2902" s="421"/>
      <c r="Z2902" s="421"/>
      <c r="AA2902" s="421"/>
      <c r="AB2902" s="421"/>
      <c r="AC2902" s="421"/>
      <c r="AD2902" s="421"/>
      <c r="AE2902" s="421"/>
      <c r="AF2902" s="421"/>
      <c r="AG2902" s="421"/>
      <c r="AH2902" s="421"/>
      <c r="AI2902" s="421"/>
      <c r="AJ2902" s="421"/>
      <c r="AK2902" s="421"/>
      <c r="AL2902" s="421"/>
    </row>
    <row r="2903" spans="1:38" hidden="1">
      <c r="A2903" s="408"/>
      <c r="B2903" s="83" t="e">
        <f t="array" ref="B2903">SUM(--(FREQUENCY(IF(C$2:C$3072=C2903, MATCH(D$2:D$3072, D$2:D$3072, 0)), ROW(D$2:D$3072)-ROW(D$2)+1) &gt; 0))</f>
        <v>#N/A</v>
      </c>
      <c r="C2903" s="408"/>
      <c r="D2903" s="408"/>
      <c r="E2903" s="408"/>
      <c r="F2903" s="408"/>
      <c r="G2903" s="408"/>
      <c r="H2903" s="408"/>
      <c r="I2903" s="408"/>
      <c r="J2903" s="408"/>
      <c r="K2903" s="408"/>
      <c r="L2903" s="408"/>
      <c r="M2903" s="408"/>
      <c r="N2903" s="408" t="str">
        <f t="shared" si="472"/>
        <v/>
      </c>
      <c r="O2903" s="408"/>
      <c r="P2903" s="408"/>
      <c r="Q2903" s="408"/>
      <c r="R2903" s="408"/>
      <c r="S2903" s="408"/>
      <c r="T2903" s="408"/>
      <c r="U2903" s="408"/>
      <c r="V2903" s="421"/>
      <c r="W2903" s="421"/>
      <c r="X2903" s="421"/>
      <c r="Y2903" s="421"/>
      <c r="Z2903" s="421"/>
      <c r="AA2903" s="421"/>
      <c r="AB2903" s="421"/>
      <c r="AC2903" s="421"/>
      <c r="AD2903" s="421"/>
      <c r="AE2903" s="421"/>
      <c r="AF2903" s="421"/>
      <c r="AG2903" s="421"/>
      <c r="AH2903" s="421"/>
      <c r="AI2903" s="421"/>
      <c r="AJ2903" s="421"/>
      <c r="AK2903" s="421"/>
      <c r="AL2903" s="421"/>
    </row>
    <row r="2904" spans="1:38" hidden="1">
      <c r="A2904" s="408"/>
      <c r="B2904" s="83" t="e">
        <f t="array" ref="B2904">SUM(--(FREQUENCY(IF(C$2:C$3072=C2904, MATCH(D$2:D$3072, D$2:D$3072, 0)), ROW(D$2:D$3072)-ROW(D$2)+1) &gt; 0))</f>
        <v>#N/A</v>
      </c>
      <c r="C2904" s="408"/>
      <c r="D2904" s="408"/>
      <c r="E2904" s="408"/>
      <c r="F2904" s="408"/>
      <c r="G2904" s="408"/>
      <c r="H2904" s="408"/>
      <c r="I2904" s="408"/>
      <c r="J2904" s="408"/>
      <c r="K2904" s="408"/>
      <c r="L2904" s="408"/>
      <c r="M2904" s="408"/>
      <c r="N2904" s="408" t="str">
        <f t="shared" si="472"/>
        <v/>
      </c>
      <c r="O2904" s="408"/>
      <c r="P2904" s="408"/>
      <c r="Q2904" s="408"/>
      <c r="R2904" s="408"/>
      <c r="S2904" s="408"/>
      <c r="T2904" s="408"/>
      <c r="U2904" s="408"/>
      <c r="V2904" s="421"/>
      <c r="W2904" s="421"/>
      <c r="X2904" s="421"/>
      <c r="Y2904" s="421"/>
      <c r="Z2904" s="421"/>
      <c r="AA2904" s="421"/>
      <c r="AB2904" s="421"/>
      <c r="AC2904" s="421"/>
      <c r="AD2904" s="421"/>
      <c r="AE2904" s="421"/>
      <c r="AF2904" s="421"/>
      <c r="AG2904" s="421"/>
      <c r="AH2904" s="421"/>
      <c r="AI2904" s="421"/>
      <c r="AJ2904" s="421"/>
      <c r="AK2904" s="421"/>
      <c r="AL2904" s="421"/>
    </row>
    <row r="2905" spans="1:38" hidden="1">
      <c r="A2905" s="408"/>
      <c r="B2905" s="83" t="e">
        <f t="array" ref="B2905">SUM(--(FREQUENCY(IF(C$2:C$3072=C2905, MATCH(D$2:D$3072, D$2:D$3072, 0)), ROW(D$2:D$3072)-ROW(D$2)+1) &gt; 0))</f>
        <v>#N/A</v>
      </c>
      <c r="C2905" s="408"/>
      <c r="D2905" s="408"/>
      <c r="E2905" s="408"/>
      <c r="F2905" s="408"/>
      <c r="G2905" s="408"/>
      <c r="H2905" s="408"/>
      <c r="I2905" s="408"/>
      <c r="J2905" s="408"/>
      <c r="K2905" s="408"/>
      <c r="L2905" s="408"/>
      <c r="M2905" s="408"/>
      <c r="N2905" s="408" t="str">
        <f t="shared" si="472"/>
        <v/>
      </c>
      <c r="O2905" s="408"/>
      <c r="P2905" s="408"/>
      <c r="Q2905" s="408"/>
      <c r="R2905" s="408"/>
      <c r="S2905" s="408"/>
      <c r="T2905" s="408"/>
      <c r="U2905" s="408"/>
      <c r="V2905" s="421"/>
      <c r="W2905" s="421"/>
      <c r="X2905" s="421"/>
      <c r="Y2905" s="421"/>
      <c r="Z2905" s="421"/>
      <c r="AA2905" s="421"/>
      <c r="AB2905" s="421"/>
      <c r="AC2905" s="421"/>
      <c r="AD2905" s="421"/>
      <c r="AE2905" s="421"/>
      <c r="AF2905" s="421"/>
      <c r="AG2905" s="421"/>
      <c r="AH2905" s="421"/>
      <c r="AI2905" s="421"/>
      <c r="AJ2905" s="421"/>
      <c r="AK2905" s="421"/>
      <c r="AL2905" s="421"/>
    </row>
    <row r="2906" spans="1:38" hidden="1">
      <c r="A2906" s="408"/>
      <c r="B2906" s="83" t="e">
        <f t="array" ref="B2906">SUM(--(FREQUENCY(IF(C$2:C$3072=C2906, MATCH(D$2:D$3072, D$2:D$3072, 0)), ROW(D$2:D$3072)-ROW(D$2)+1) &gt; 0))</f>
        <v>#N/A</v>
      </c>
      <c r="C2906" s="408"/>
      <c r="D2906" s="408"/>
      <c r="E2906" s="408"/>
      <c r="F2906" s="408"/>
      <c r="G2906" s="408"/>
      <c r="H2906" s="408"/>
      <c r="I2906" s="408"/>
      <c r="J2906" s="408"/>
      <c r="K2906" s="408"/>
      <c r="L2906" s="408"/>
      <c r="M2906" s="408"/>
      <c r="N2906" s="408" t="str">
        <f t="shared" si="472"/>
        <v/>
      </c>
      <c r="O2906" s="408"/>
      <c r="P2906" s="408"/>
      <c r="Q2906" s="408"/>
      <c r="R2906" s="408"/>
      <c r="S2906" s="408"/>
      <c r="T2906" s="408"/>
      <c r="U2906" s="408"/>
      <c r="V2906" s="421"/>
      <c r="W2906" s="421"/>
      <c r="X2906" s="421"/>
      <c r="Y2906" s="421"/>
      <c r="Z2906" s="421"/>
      <c r="AA2906" s="421"/>
      <c r="AB2906" s="421"/>
      <c r="AC2906" s="421"/>
      <c r="AD2906" s="421"/>
      <c r="AE2906" s="421"/>
      <c r="AF2906" s="421"/>
      <c r="AG2906" s="421"/>
      <c r="AH2906" s="421"/>
      <c r="AI2906" s="421"/>
      <c r="AJ2906" s="421"/>
      <c r="AK2906" s="421"/>
      <c r="AL2906" s="421"/>
    </row>
    <row r="2907" spans="1:38" hidden="1">
      <c r="A2907" s="408"/>
      <c r="B2907" s="83" t="e">
        <f t="array" ref="B2907">SUM(--(FREQUENCY(IF(C$2:C$3072=C2907, MATCH(D$2:D$3072, D$2:D$3072, 0)), ROW(D$2:D$3072)-ROW(D$2)+1) &gt; 0))</f>
        <v>#N/A</v>
      </c>
      <c r="C2907" s="408"/>
      <c r="D2907" s="408"/>
      <c r="E2907" s="408"/>
      <c r="F2907" s="408"/>
      <c r="G2907" s="408"/>
      <c r="H2907" s="408"/>
      <c r="I2907" s="408"/>
      <c r="J2907" s="408"/>
      <c r="K2907" s="408"/>
      <c r="L2907" s="408"/>
      <c r="M2907" s="408"/>
      <c r="N2907" s="408" t="str">
        <f t="shared" si="472"/>
        <v/>
      </c>
      <c r="O2907" s="408"/>
      <c r="P2907" s="408"/>
      <c r="Q2907" s="408"/>
      <c r="R2907" s="408"/>
      <c r="S2907" s="408"/>
      <c r="T2907" s="408"/>
      <c r="U2907" s="408"/>
      <c r="V2907" s="421"/>
      <c r="W2907" s="421"/>
      <c r="X2907" s="421"/>
      <c r="Y2907" s="421"/>
      <c r="Z2907" s="421"/>
      <c r="AA2907" s="421"/>
      <c r="AB2907" s="421"/>
      <c r="AC2907" s="421"/>
      <c r="AD2907" s="421"/>
      <c r="AE2907" s="421"/>
      <c r="AF2907" s="421"/>
      <c r="AG2907" s="421"/>
      <c r="AH2907" s="421"/>
      <c r="AI2907" s="421"/>
      <c r="AJ2907" s="421"/>
      <c r="AK2907" s="421"/>
      <c r="AL2907" s="421"/>
    </row>
    <row r="2908" spans="1:38" hidden="1">
      <c r="A2908" s="408"/>
      <c r="B2908" s="83" t="e">
        <f t="array" ref="B2908">SUM(--(FREQUENCY(IF(C$2:C$3072=C2908, MATCH(D$2:D$3072, D$2:D$3072, 0)), ROW(D$2:D$3072)-ROW(D$2)+1) &gt; 0))</f>
        <v>#N/A</v>
      </c>
      <c r="C2908" s="408"/>
      <c r="D2908" s="408"/>
      <c r="E2908" s="408"/>
      <c r="F2908" s="408"/>
      <c r="G2908" s="408"/>
      <c r="H2908" s="408"/>
      <c r="I2908" s="408"/>
      <c r="J2908" s="408"/>
      <c r="K2908" s="408"/>
      <c r="L2908" s="408"/>
      <c r="M2908" s="408"/>
      <c r="N2908" s="408" t="str">
        <f t="shared" si="472"/>
        <v/>
      </c>
      <c r="O2908" s="408"/>
      <c r="P2908" s="408"/>
      <c r="Q2908" s="408"/>
      <c r="R2908" s="408"/>
      <c r="S2908" s="408"/>
      <c r="T2908" s="408"/>
      <c r="U2908" s="408"/>
      <c r="V2908" s="421"/>
      <c r="W2908" s="421"/>
      <c r="X2908" s="421"/>
      <c r="Y2908" s="421"/>
      <c r="Z2908" s="421"/>
      <c r="AA2908" s="421"/>
      <c r="AB2908" s="421"/>
      <c r="AC2908" s="421"/>
      <c r="AD2908" s="421"/>
      <c r="AE2908" s="421"/>
      <c r="AF2908" s="421"/>
      <c r="AG2908" s="421"/>
      <c r="AH2908" s="421"/>
      <c r="AI2908" s="421"/>
      <c r="AJ2908" s="421"/>
      <c r="AK2908" s="421"/>
      <c r="AL2908" s="421"/>
    </row>
    <row r="2909" spans="1:38" hidden="1">
      <c r="A2909" s="408"/>
      <c r="B2909" s="83" t="e">
        <f t="array" ref="B2909">SUM(--(FREQUENCY(IF(C$2:C$3072=C2909, MATCH(D$2:D$3072, D$2:D$3072, 0)), ROW(D$2:D$3072)-ROW(D$2)+1) &gt; 0))</f>
        <v>#N/A</v>
      </c>
      <c r="C2909" s="408"/>
      <c r="D2909" s="408"/>
      <c r="E2909" s="408"/>
      <c r="F2909" s="408"/>
      <c r="G2909" s="408"/>
      <c r="H2909" s="408"/>
      <c r="I2909" s="408"/>
      <c r="J2909" s="408"/>
      <c r="K2909" s="408"/>
      <c r="L2909" s="408"/>
      <c r="M2909" s="408"/>
      <c r="N2909" s="408" t="str">
        <f t="shared" si="472"/>
        <v/>
      </c>
      <c r="O2909" s="408"/>
      <c r="P2909" s="408"/>
      <c r="Q2909" s="408"/>
      <c r="R2909" s="408"/>
      <c r="S2909" s="408"/>
      <c r="T2909" s="408"/>
      <c r="U2909" s="408"/>
      <c r="V2909" s="421"/>
      <c r="W2909" s="421"/>
      <c r="X2909" s="421"/>
      <c r="Y2909" s="421"/>
      <c r="Z2909" s="421"/>
      <c r="AA2909" s="421"/>
      <c r="AB2909" s="421"/>
      <c r="AC2909" s="421"/>
      <c r="AD2909" s="421"/>
      <c r="AE2909" s="421"/>
      <c r="AF2909" s="421"/>
      <c r="AG2909" s="421"/>
      <c r="AH2909" s="421"/>
      <c r="AI2909" s="421"/>
      <c r="AJ2909" s="421"/>
      <c r="AK2909" s="421"/>
      <c r="AL2909" s="421"/>
    </row>
    <row r="2910" spans="1:38" hidden="1">
      <c r="A2910" s="408"/>
      <c r="B2910" s="83" t="e">
        <f t="array" ref="B2910">SUM(--(FREQUENCY(IF(C$2:C$3072=C2910, MATCH(D$2:D$3072, D$2:D$3072, 0)), ROW(D$2:D$3072)-ROW(D$2)+1) &gt; 0))</f>
        <v>#N/A</v>
      </c>
      <c r="C2910" s="408"/>
      <c r="D2910" s="408"/>
      <c r="E2910" s="408"/>
      <c r="F2910" s="408"/>
      <c r="G2910" s="408"/>
      <c r="H2910" s="408"/>
      <c r="I2910" s="408"/>
      <c r="J2910" s="408"/>
      <c r="K2910" s="408"/>
      <c r="L2910" s="408"/>
      <c r="M2910" s="408"/>
      <c r="N2910" s="408" t="str">
        <f t="shared" si="472"/>
        <v/>
      </c>
      <c r="O2910" s="408"/>
      <c r="P2910" s="408"/>
      <c r="Q2910" s="408"/>
      <c r="R2910" s="408"/>
      <c r="S2910" s="408"/>
      <c r="T2910" s="408"/>
      <c r="U2910" s="408"/>
      <c r="V2910" s="421"/>
      <c r="W2910" s="421"/>
      <c r="X2910" s="421"/>
      <c r="Y2910" s="421"/>
      <c r="Z2910" s="421"/>
      <c r="AA2910" s="421"/>
      <c r="AB2910" s="421"/>
      <c r="AC2910" s="421"/>
      <c r="AD2910" s="421"/>
      <c r="AE2910" s="421"/>
      <c r="AF2910" s="421"/>
      <c r="AG2910" s="421"/>
      <c r="AH2910" s="421"/>
      <c r="AI2910" s="421"/>
      <c r="AJ2910" s="421"/>
      <c r="AK2910" s="421"/>
      <c r="AL2910" s="421"/>
    </row>
    <row r="2911" spans="1:38" hidden="1">
      <c r="A2911" s="408"/>
      <c r="B2911" s="83" t="e">
        <f t="array" ref="B2911">SUM(--(FREQUENCY(IF(C$2:C$3072=C2911, MATCH(D$2:D$3072, D$2:D$3072, 0)), ROW(D$2:D$3072)-ROW(D$2)+1) &gt; 0))</f>
        <v>#N/A</v>
      </c>
      <c r="C2911" s="408"/>
      <c r="D2911" s="408"/>
      <c r="E2911" s="408"/>
      <c r="F2911" s="408"/>
      <c r="G2911" s="408"/>
      <c r="H2911" s="408"/>
      <c r="I2911" s="408"/>
      <c r="J2911" s="408"/>
      <c r="K2911" s="408"/>
      <c r="L2911" s="408"/>
      <c r="M2911" s="408"/>
      <c r="N2911" s="408" t="str">
        <f t="shared" si="472"/>
        <v/>
      </c>
      <c r="O2911" s="408"/>
      <c r="P2911" s="408"/>
      <c r="Q2911" s="408"/>
      <c r="R2911" s="408"/>
      <c r="S2911" s="408"/>
      <c r="T2911" s="408"/>
      <c r="U2911" s="408"/>
      <c r="V2911" s="421"/>
      <c r="W2911" s="421"/>
      <c r="X2911" s="421"/>
      <c r="Y2911" s="421"/>
      <c r="Z2911" s="421"/>
      <c r="AA2911" s="421"/>
      <c r="AB2911" s="421"/>
      <c r="AC2911" s="421"/>
      <c r="AD2911" s="421"/>
      <c r="AE2911" s="421"/>
      <c r="AF2911" s="421"/>
      <c r="AG2911" s="421"/>
      <c r="AH2911" s="421"/>
      <c r="AI2911" s="421"/>
      <c r="AJ2911" s="421"/>
      <c r="AK2911" s="421"/>
      <c r="AL2911" s="421"/>
    </row>
    <row r="2912" spans="1:38" hidden="1">
      <c r="A2912" s="408"/>
      <c r="B2912" s="83" t="e">
        <f t="array" ref="B2912">SUM(--(FREQUENCY(IF(C$2:C$3072=C2912, MATCH(D$2:D$3072, D$2:D$3072, 0)), ROW(D$2:D$3072)-ROW(D$2)+1) &gt; 0))</f>
        <v>#N/A</v>
      </c>
      <c r="C2912" s="408"/>
      <c r="D2912" s="408"/>
      <c r="E2912" s="408"/>
      <c r="F2912" s="408"/>
      <c r="G2912" s="408"/>
      <c r="H2912" s="408"/>
      <c r="I2912" s="408"/>
      <c r="J2912" s="408"/>
      <c r="K2912" s="408"/>
      <c r="L2912" s="408"/>
      <c r="M2912" s="408"/>
      <c r="N2912" s="408" t="str">
        <f t="shared" si="472"/>
        <v/>
      </c>
      <c r="O2912" s="408"/>
      <c r="P2912" s="408"/>
      <c r="Q2912" s="408"/>
      <c r="R2912" s="408"/>
      <c r="S2912" s="408"/>
      <c r="T2912" s="408"/>
      <c r="U2912" s="408"/>
      <c r="V2912" s="421"/>
      <c r="W2912" s="421"/>
      <c r="X2912" s="421"/>
      <c r="Y2912" s="421"/>
      <c r="Z2912" s="421"/>
      <c r="AA2912" s="421"/>
      <c r="AB2912" s="421"/>
      <c r="AC2912" s="421"/>
      <c r="AD2912" s="421"/>
      <c r="AE2912" s="421"/>
      <c r="AF2912" s="421"/>
      <c r="AG2912" s="421"/>
      <c r="AH2912" s="421"/>
      <c r="AI2912" s="421"/>
      <c r="AJ2912" s="421"/>
      <c r="AK2912" s="421"/>
      <c r="AL2912" s="421"/>
    </row>
    <row r="2913" spans="1:38" hidden="1">
      <c r="A2913" s="408"/>
      <c r="B2913" s="83" t="e">
        <f t="array" ref="B2913">SUM(--(FREQUENCY(IF(C$2:C$3072=C2913, MATCH(D$2:D$3072, D$2:D$3072, 0)), ROW(D$2:D$3072)-ROW(D$2)+1) &gt; 0))</f>
        <v>#N/A</v>
      </c>
      <c r="C2913" s="408"/>
      <c r="D2913" s="408"/>
      <c r="E2913" s="408"/>
      <c r="F2913" s="408"/>
      <c r="G2913" s="408"/>
      <c r="H2913" s="408"/>
      <c r="I2913" s="408"/>
      <c r="J2913" s="408"/>
      <c r="K2913" s="408"/>
      <c r="L2913" s="408"/>
      <c r="M2913" s="408"/>
      <c r="N2913" s="408" t="str">
        <f t="shared" si="472"/>
        <v/>
      </c>
      <c r="O2913" s="408"/>
      <c r="P2913" s="408"/>
      <c r="Q2913" s="408"/>
      <c r="R2913" s="408"/>
      <c r="S2913" s="408"/>
      <c r="T2913" s="408"/>
      <c r="U2913" s="408"/>
      <c r="V2913" s="421"/>
      <c r="W2913" s="421"/>
      <c r="X2913" s="421"/>
      <c r="Y2913" s="421"/>
      <c r="Z2913" s="421"/>
      <c r="AA2913" s="421"/>
      <c r="AB2913" s="421"/>
      <c r="AC2913" s="421"/>
      <c r="AD2913" s="421"/>
      <c r="AE2913" s="421"/>
      <c r="AF2913" s="421"/>
      <c r="AG2913" s="421"/>
      <c r="AH2913" s="421"/>
      <c r="AI2913" s="421"/>
      <c r="AJ2913" s="421"/>
      <c r="AK2913" s="421"/>
      <c r="AL2913" s="421"/>
    </row>
    <row r="2914" spans="1:38" hidden="1">
      <c r="A2914" s="408"/>
      <c r="B2914" s="83" t="e">
        <f t="array" ref="B2914">SUM(--(FREQUENCY(IF(C$2:C$3072=C2914, MATCH(D$2:D$3072, D$2:D$3072, 0)), ROW(D$2:D$3072)-ROW(D$2)+1) &gt; 0))</f>
        <v>#N/A</v>
      </c>
      <c r="C2914" s="408"/>
      <c r="D2914" s="408"/>
      <c r="E2914" s="408"/>
      <c r="F2914" s="408"/>
      <c r="G2914" s="408"/>
      <c r="H2914" s="408"/>
      <c r="I2914" s="408"/>
      <c r="J2914" s="408"/>
      <c r="K2914" s="408"/>
      <c r="L2914" s="408"/>
      <c r="M2914" s="408"/>
      <c r="N2914" s="408" t="str">
        <f t="shared" si="472"/>
        <v/>
      </c>
      <c r="O2914" s="408"/>
      <c r="P2914" s="408"/>
      <c r="Q2914" s="408"/>
      <c r="R2914" s="408"/>
      <c r="S2914" s="408"/>
      <c r="T2914" s="408"/>
      <c r="U2914" s="408"/>
      <c r="V2914" s="421"/>
      <c r="W2914" s="421"/>
      <c r="X2914" s="421"/>
      <c r="Y2914" s="421"/>
      <c r="Z2914" s="421"/>
      <c r="AA2914" s="421"/>
      <c r="AB2914" s="421"/>
      <c r="AC2914" s="421"/>
      <c r="AD2914" s="421"/>
      <c r="AE2914" s="421"/>
      <c r="AF2914" s="421"/>
      <c r="AG2914" s="421"/>
      <c r="AH2914" s="421"/>
      <c r="AI2914" s="421"/>
      <c r="AJ2914" s="421"/>
      <c r="AK2914" s="421"/>
      <c r="AL2914" s="421"/>
    </row>
    <row r="2915" spans="1:38" hidden="1">
      <c r="A2915" s="408"/>
      <c r="B2915" s="83" t="e">
        <f t="array" ref="B2915">SUM(--(FREQUENCY(IF(C$2:C$3072=C2915, MATCH(D$2:D$3072, D$2:D$3072, 0)), ROW(D$2:D$3072)-ROW(D$2)+1) &gt; 0))</f>
        <v>#N/A</v>
      </c>
      <c r="C2915" s="408"/>
      <c r="D2915" s="408"/>
      <c r="E2915" s="408"/>
      <c r="F2915" s="408"/>
      <c r="G2915" s="408"/>
      <c r="H2915" s="408"/>
      <c r="I2915" s="408"/>
      <c r="J2915" s="408"/>
      <c r="K2915" s="408"/>
      <c r="L2915" s="408"/>
      <c r="M2915" s="408"/>
      <c r="N2915" s="408" t="str">
        <f t="shared" si="472"/>
        <v/>
      </c>
      <c r="O2915" s="408"/>
      <c r="P2915" s="408"/>
      <c r="Q2915" s="408"/>
      <c r="R2915" s="408"/>
      <c r="S2915" s="408"/>
      <c r="T2915" s="408"/>
      <c r="U2915" s="408"/>
      <c r="V2915" s="421"/>
      <c r="W2915" s="421"/>
      <c r="X2915" s="421"/>
      <c r="Y2915" s="421"/>
      <c r="Z2915" s="421"/>
      <c r="AA2915" s="421"/>
      <c r="AB2915" s="421"/>
      <c r="AC2915" s="421"/>
      <c r="AD2915" s="421"/>
      <c r="AE2915" s="421"/>
      <c r="AF2915" s="421"/>
      <c r="AG2915" s="421"/>
      <c r="AH2915" s="421"/>
      <c r="AI2915" s="421"/>
      <c r="AJ2915" s="421"/>
      <c r="AK2915" s="421"/>
      <c r="AL2915" s="421"/>
    </row>
    <row r="2916" spans="1:38" hidden="1">
      <c r="A2916" s="408"/>
      <c r="B2916" s="83" t="e">
        <f t="array" ref="B2916">SUM(--(FREQUENCY(IF(C$2:C$3072=C2916, MATCH(D$2:D$3072, D$2:D$3072, 0)), ROW(D$2:D$3072)-ROW(D$2)+1) &gt; 0))</f>
        <v>#N/A</v>
      </c>
      <c r="C2916" s="408"/>
      <c r="D2916" s="408"/>
      <c r="E2916" s="408"/>
      <c r="F2916" s="408"/>
      <c r="G2916" s="408"/>
      <c r="H2916" s="408"/>
      <c r="I2916" s="408"/>
      <c r="J2916" s="408"/>
      <c r="K2916" s="408"/>
      <c r="L2916" s="408"/>
      <c r="M2916" s="408"/>
      <c r="N2916" s="408" t="str">
        <f t="shared" si="472"/>
        <v/>
      </c>
      <c r="O2916" s="408"/>
      <c r="P2916" s="408"/>
      <c r="Q2916" s="408"/>
      <c r="R2916" s="408"/>
      <c r="S2916" s="408"/>
      <c r="T2916" s="408"/>
      <c r="U2916" s="408"/>
      <c r="V2916" s="421"/>
      <c r="W2916" s="421"/>
      <c r="X2916" s="421"/>
      <c r="Y2916" s="421"/>
      <c r="Z2916" s="421"/>
      <c r="AA2916" s="421"/>
      <c r="AB2916" s="421"/>
      <c r="AC2916" s="421"/>
      <c r="AD2916" s="421"/>
      <c r="AE2916" s="421"/>
      <c r="AF2916" s="421"/>
      <c r="AG2916" s="421"/>
      <c r="AH2916" s="421"/>
      <c r="AI2916" s="421"/>
      <c r="AJ2916" s="421"/>
      <c r="AK2916" s="421"/>
      <c r="AL2916" s="421"/>
    </row>
    <row r="2917" spans="1:38" hidden="1">
      <c r="A2917" s="408"/>
      <c r="B2917" s="83" t="e">
        <f t="array" ref="B2917">SUM(--(FREQUENCY(IF(C$2:C$3072=C2917, MATCH(D$2:D$3072, D$2:D$3072, 0)), ROW(D$2:D$3072)-ROW(D$2)+1) &gt; 0))</f>
        <v>#N/A</v>
      </c>
      <c r="C2917" s="408"/>
      <c r="D2917" s="408"/>
      <c r="E2917" s="408"/>
      <c r="F2917" s="408"/>
      <c r="G2917" s="408"/>
      <c r="H2917" s="408"/>
      <c r="I2917" s="408"/>
      <c r="J2917" s="408"/>
      <c r="K2917" s="408"/>
      <c r="L2917" s="408"/>
      <c r="M2917" s="408"/>
      <c r="N2917" s="408" t="str">
        <f t="shared" si="472"/>
        <v/>
      </c>
      <c r="O2917" s="408"/>
      <c r="P2917" s="408"/>
      <c r="Q2917" s="408"/>
      <c r="R2917" s="408"/>
      <c r="S2917" s="408"/>
      <c r="T2917" s="408"/>
      <c r="U2917" s="408"/>
      <c r="V2917" s="421"/>
      <c r="W2917" s="421"/>
      <c r="X2917" s="421"/>
      <c r="Y2917" s="421"/>
      <c r="Z2917" s="421"/>
      <c r="AA2917" s="421"/>
      <c r="AB2917" s="421"/>
      <c r="AC2917" s="421"/>
      <c r="AD2917" s="421"/>
      <c r="AE2917" s="421"/>
      <c r="AF2917" s="421"/>
      <c r="AG2917" s="421"/>
      <c r="AH2917" s="421"/>
      <c r="AI2917" s="421"/>
      <c r="AJ2917" s="421"/>
      <c r="AK2917" s="421"/>
      <c r="AL2917" s="421"/>
    </row>
    <row r="2918" spans="1:38" hidden="1">
      <c r="A2918" s="408"/>
      <c r="B2918" s="83" t="e">
        <f t="array" ref="B2918">SUM(--(FREQUENCY(IF(C$2:C$3072=C2918, MATCH(D$2:D$3072, D$2:D$3072, 0)), ROW(D$2:D$3072)-ROW(D$2)+1) &gt; 0))</f>
        <v>#N/A</v>
      </c>
      <c r="C2918" s="408"/>
      <c r="D2918" s="408"/>
      <c r="E2918" s="408"/>
      <c r="F2918" s="408"/>
      <c r="G2918" s="408"/>
      <c r="H2918" s="408"/>
      <c r="I2918" s="408"/>
      <c r="J2918" s="408"/>
      <c r="K2918" s="408"/>
      <c r="L2918" s="408"/>
      <c r="M2918" s="408"/>
      <c r="N2918" s="408" t="str">
        <f t="shared" si="472"/>
        <v/>
      </c>
      <c r="O2918" s="408"/>
      <c r="P2918" s="408"/>
      <c r="Q2918" s="408"/>
      <c r="R2918" s="408"/>
      <c r="S2918" s="408"/>
      <c r="T2918" s="408"/>
      <c r="U2918" s="408"/>
      <c r="V2918" s="421"/>
      <c r="W2918" s="421"/>
      <c r="X2918" s="421"/>
      <c r="Y2918" s="421"/>
      <c r="Z2918" s="421"/>
      <c r="AA2918" s="421"/>
      <c r="AB2918" s="421"/>
      <c r="AC2918" s="421"/>
      <c r="AD2918" s="421"/>
      <c r="AE2918" s="421"/>
      <c r="AF2918" s="421"/>
      <c r="AG2918" s="421"/>
      <c r="AH2918" s="421"/>
      <c r="AI2918" s="421"/>
      <c r="AJ2918" s="421"/>
      <c r="AK2918" s="421"/>
      <c r="AL2918" s="421"/>
    </row>
    <row r="2919" spans="1:38" hidden="1">
      <c r="A2919" s="408"/>
      <c r="B2919" s="83" t="e">
        <f t="array" ref="B2919">SUM(--(FREQUENCY(IF(C$2:C$3072=C2919, MATCH(D$2:D$3072, D$2:D$3072, 0)), ROW(D$2:D$3072)-ROW(D$2)+1) &gt; 0))</f>
        <v>#N/A</v>
      </c>
      <c r="C2919" s="408"/>
      <c r="D2919" s="408"/>
      <c r="E2919" s="408"/>
      <c r="F2919" s="408"/>
      <c r="G2919" s="408"/>
      <c r="H2919" s="408"/>
      <c r="I2919" s="408"/>
      <c r="J2919" s="408"/>
      <c r="K2919" s="408"/>
      <c r="L2919" s="408"/>
      <c r="M2919" s="408"/>
      <c r="N2919" s="408" t="str">
        <f t="shared" si="472"/>
        <v/>
      </c>
      <c r="O2919" s="408"/>
      <c r="P2919" s="408"/>
      <c r="Q2919" s="408"/>
      <c r="R2919" s="408"/>
      <c r="S2919" s="408"/>
      <c r="T2919" s="408"/>
      <c r="U2919" s="408"/>
      <c r="V2919" s="421"/>
      <c r="W2919" s="421"/>
      <c r="X2919" s="421"/>
      <c r="Y2919" s="421"/>
      <c r="Z2919" s="421"/>
      <c r="AA2919" s="421"/>
      <c r="AB2919" s="421"/>
      <c r="AC2919" s="421"/>
      <c r="AD2919" s="421"/>
      <c r="AE2919" s="421"/>
      <c r="AF2919" s="421"/>
      <c r="AG2919" s="421"/>
      <c r="AH2919" s="421"/>
      <c r="AI2919" s="421"/>
      <c r="AJ2919" s="421"/>
      <c r="AK2919" s="421"/>
      <c r="AL2919" s="421"/>
    </row>
    <row r="2920" spans="1:38" hidden="1">
      <c r="A2920" s="408"/>
      <c r="B2920" s="83" t="e">
        <f t="array" ref="B2920">SUM(--(FREQUENCY(IF(C$2:C$3072=C2920, MATCH(D$2:D$3072, D$2:D$3072, 0)), ROW(D$2:D$3072)-ROW(D$2)+1) &gt; 0))</f>
        <v>#N/A</v>
      </c>
      <c r="C2920" s="408"/>
      <c r="D2920" s="408"/>
      <c r="E2920" s="408"/>
      <c r="F2920" s="408"/>
      <c r="G2920" s="408"/>
      <c r="H2920" s="408"/>
      <c r="I2920" s="408"/>
      <c r="J2920" s="408"/>
      <c r="K2920" s="408"/>
      <c r="L2920" s="408"/>
      <c r="M2920" s="408"/>
      <c r="N2920" s="408" t="str">
        <f t="shared" si="472"/>
        <v/>
      </c>
      <c r="O2920" s="408"/>
      <c r="P2920" s="408"/>
      <c r="Q2920" s="408"/>
      <c r="R2920" s="408"/>
      <c r="S2920" s="408"/>
      <c r="T2920" s="408"/>
      <c r="U2920" s="408"/>
      <c r="V2920" s="421"/>
      <c r="W2920" s="421"/>
      <c r="X2920" s="421"/>
      <c r="Y2920" s="421"/>
      <c r="Z2920" s="421"/>
      <c r="AA2920" s="421"/>
      <c r="AB2920" s="421"/>
      <c r="AC2920" s="421"/>
      <c r="AD2920" s="421"/>
      <c r="AE2920" s="421"/>
      <c r="AF2920" s="421"/>
      <c r="AG2920" s="421"/>
      <c r="AH2920" s="421"/>
      <c r="AI2920" s="421"/>
      <c r="AJ2920" s="421"/>
      <c r="AK2920" s="421"/>
      <c r="AL2920" s="421"/>
    </row>
    <row r="2921" spans="1:38" hidden="1">
      <c r="A2921" s="408"/>
      <c r="B2921" s="83" t="e">
        <f t="array" ref="B2921">SUM(--(FREQUENCY(IF(C$2:C$3072=C2921, MATCH(D$2:D$3072, D$2:D$3072, 0)), ROW(D$2:D$3072)-ROW(D$2)+1) &gt; 0))</f>
        <v>#N/A</v>
      </c>
      <c r="C2921" s="408"/>
      <c r="D2921" s="408"/>
      <c r="E2921" s="408"/>
      <c r="F2921" s="408"/>
      <c r="G2921" s="408"/>
      <c r="H2921" s="408"/>
      <c r="I2921" s="408"/>
      <c r="J2921" s="408"/>
      <c r="K2921" s="408"/>
      <c r="L2921" s="408"/>
      <c r="M2921" s="408"/>
      <c r="N2921" s="408" t="str">
        <f t="shared" si="472"/>
        <v/>
      </c>
      <c r="O2921" s="408"/>
      <c r="P2921" s="408"/>
      <c r="Q2921" s="408"/>
      <c r="R2921" s="408"/>
      <c r="S2921" s="408"/>
      <c r="T2921" s="408"/>
      <c r="U2921" s="408"/>
      <c r="V2921" s="421"/>
      <c r="W2921" s="421"/>
      <c r="X2921" s="421"/>
      <c r="Y2921" s="421"/>
      <c r="Z2921" s="421"/>
      <c r="AA2921" s="421"/>
      <c r="AB2921" s="421"/>
      <c r="AC2921" s="421"/>
      <c r="AD2921" s="421"/>
      <c r="AE2921" s="421"/>
      <c r="AF2921" s="421"/>
      <c r="AG2921" s="421"/>
      <c r="AH2921" s="421"/>
      <c r="AI2921" s="421"/>
      <c r="AJ2921" s="421"/>
      <c r="AK2921" s="421"/>
      <c r="AL2921" s="421"/>
    </row>
    <row r="2922" spans="1:38" hidden="1">
      <c r="A2922" s="408"/>
      <c r="B2922" s="83" t="e">
        <f t="array" ref="B2922">SUM(--(FREQUENCY(IF(C$2:C$3072=C2922, MATCH(D$2:D$3072, D$2:D$3072, 0)), ROW(D$2:D$3072)-ROW(D$2)+1) &gt; 0))</f>
        <v>#N/A</v>
      </c>
      <c r="C2922" s="408"/>
      <c r="D2922" s="408"/>
      <c r="E2922" s="408"/>
      <c r="F2922" s="408"/>
      <c r="G2922" s="408"/>
      <c r="H2922" s="408"/>
      <c r="I2922" s="408"/>
      <c r="J2922" s="408"/>
      <c r="K2922" s="408"/>
      <c r="L2922" s="408"/>
      <c r="M2922" s="408"/>
      <c r="N2922" s="408" t="str">
        <f t="shared" si="472"/>
        <v/>
      </c>
      <c r="O2922" s="408"/>
      <c r="P2922" s="408"/>
      <c r="Q2922" s="408"/>
      <c r="R2922" s="408"/>
      <c r="S2922" s="408"/>
      <c r="T2922" s="408"/>
      <c r="U2922" s="408"/>
      <c r="V2922" s="421"/>
      <c r="W2922" s="421"/>
      <c r="X2922" s="421"/>
      <c r="Y2922" s="421"/>
      <c r="Z2922" s="421"/>
      <c r="AA2922" s="421"/>
      <c r="AB2922" s="421"/>
      <c r="AC2922" s="421"/>
      <c r="AD2922" s="421"/>
      <c r="AE2922" s="421"/>
      <c r="AF2922" s="421"/>
      <c r="AG2922" s="421"/>
      <c r="AH2922" s="421"/>
      <c r="AI2922" s="421"/>
      <c r="AJ2922" s="421"/>
      <c r="AK2922" s="421"/>
      <c r="AL2922" s="421"/>
    </row>
    <row r="2923" spans="1:38" hidden="1">
      <c r="A2923" s="408"/>
      <c r="B2923" s="83" t="e">
        <f t="array" ref="B2923">SUM(--(FREQUENCY(IF(C$2:C$3072=C2923, MATCH(D$2:D$3072, D$2:D$3072, 0)), ROW(D$2:D$3072)-ROW(D$2)+1) &gt; 0))</f>
        <v>#N/A</v>
      </c>
      <c r="C2923" s="408"/>
      <c r="D2923" s="408"/>
      <c r="E2923" s="408"/>
      <c r="F2923" s="408"/>
      <c r="G2923" s="408"/>
      <c r="H2923" s="408"/>
      <c r="I2923" s="408"/>
      <c r="J2923" s="408"/>
      <c r="K2923" s="408"/>
      <c r="L2923" s="408"/>
      <c r="M2923" s="408"/>
      <c r="N2923" s="408" t="str">
        <f t="shared" si="472"/>
        <v/>
      </c>
      <c r="O2923" s="408"/>
      <c r="P2923" s="408"/>
      <c r="Q2923" s="408"/>
      <c r="R2923" s="408"/>
      <c r="S2923" s="408"/>
      <c r="T2923" s="408"/>
      <c r="U2923" s="408"/>
      <c r="V2923" s="421"/>
      <c r="W2923" s="421"/>
      <c r="X2923" s="421"/>
      <c r="Y2923" s="421"/>
      <c r="Z2923" s="421"/>
      <c r="AA2923" s="421"/>
      <c r="AB2923" s="421"/>
      <c r="AC2923" s="421"/>
      <c r="AD2923" s="421"/>
      <c r="AE2923" s="421"/>
      <c r="AF2923" s="421"/>
      <c r="AG2923" s="421"/>
      <c r="AH2923" s="421"/>
      <c r="AI2923" s="421"/>
      <c r="AJ2923" s="421"/>
      <c r="AK2923" s="421"/>
      <c r="AL2923" s="421"/>
    </row>
    <row r="2924" spans="1:38" hidden="1">
      <c r="A2924" s="408"/>
      <c r="B2924" s="83" t="e">
        <f t="array" ref="B2924">SUM(--(FREQUENCY(IF(C$2:C$3072=C2924, MATCH(D$2:D$3072, D$2:D$3072, 0)), ROW(D$2:D$3072)-ROW(D$2)+1) &gt; 0))</f>
        <v>#N/A</v>
      </c>
      <c r="C2924" s="408"/>
      <c r="D2924" s="408"/>
      <c r="E2924" s="408"/>
      <c r="F2924" s="408"/>
      <c r="G2924" s="408"/>
      <c r="H2924" s="408"/>
      <c r="I2924" s="408"/>
      <c r="J2924" s="408"/>
      <c r="K2924" s="408"/>
      <c r="L2924" s="408"/>
      <c r="M2924" s="408"/>
      <c r="N2924" s="408" t="str">
        <f t="shared" si="472"/>
        <v/>
      </c>
      <c r="O2924" s="408"/>
      <c r="P2924" s="408"/>
      <c r="Q2924" s="408"/>
      <c r="R2924" s="408"/>
      <c r="S2924" s="408"/>
      <c r="T2924" s="408"/>
      <c r="U2924" s="408"/>
      <c r="V2924" s="421"/>
      <c r="W2924" s="421"/>
      <c r="X2924" s="421"/>
      <c r="Y2924" s="421"/>
      <c r="Z2924" s="421"/>
      <c r="AA2924" s="421"/>
      <c r="AB2924" s="421"/>
      <c r="AC2924" s="421"/>
      <c r="AD2924" s="421"/>
      <c r="AE2924" s="421"/>
      <c r="AF2924" s="421"/>
      <c r="AG2924" s="421"/>
      <c r="AH2924" s="421"/>
      <c r="AI2924" s="421"/>
      <c r="AJ2924" s="421"/>
      <c r="AK2924" s="421"/>
      <c r="AL2924" s="421"/>
    </row>
    <row r="2925" spans="1:38" hidden="1">
      <c r="A2925" s="408"/>
      <c r="B2925" s="83" t="e">
        <f t="array" ref="B2925">SUM(--(FREQUENCY(IF(C$2:C$3072=C2925, MATCH(D$2:D$3072, D$2:D$3072, 0)), ROW(D$2:D$3072)-ROW(D$2)+1) &gt; 0))</f>
        <v>#N/A</v>
      </c>
      <c r="C2925" s="408"/>
      <c r="D2925" s="408"/>
      <c r="E2925" s="408"/>
      <c r="F2925" s="408"/>
      <c r="G2925" s="408"/>
      <c r="H2925" s="408"/>
      <c r="I2925" s="408"/>
      <c r="J2925" s="408"/>
      <c r="K2925" s="408"/>
      <c r="L2925" s="408"/>
      <c r="M2925" s="408"/>
      <c r="N2925" s="408" t="str">
        <f t="shared" si="472"/>
        <v/>
      </c>
      <c r="O2925" s="408"/>
      <c r="P2925" s="408"/>
      <c r="Q2925" s="408"/>
      <c r="R2925" s="408"/>
      <c r="S2925" s="408"/>
      <c r="T2925" s="408"/>
      <c r="U2925" s="408"/>
      <c r="V2925" s="421"/>
      <c r="W2925" s="421"/>
      <c r="X2925" s="421"/>
      <c r="Y2925" s="421"/>
      <c r="Z2925" s="421"/>
      <c r="AA2925" s="421"/>
      <c r="AB2925" s="421"/>
      <c r="AC2925" s="421"/>
      <c r="AD2925" s="421"/>
      <c r="AE2925" s="421"/>
      <c r="AF2925" s="421"/>
      <c r="AG2925" s="421"/>
      <c r="AH2925" s="421"/>
      <c r="AI2925" s="421"/>
      <c r="AJ2925" s="421"/>
      <c r="AK2925" s="421"/>
      <c r="AL2925" s="421"/>
    </row>
    <row r="2926" spans="1:38" hidden="1">
      <c r="A2926" s="408"/>
      <c r="B2926" s="83" t="e">
        <f t="array" ref="B2926">SUM(--(FREQUENCY(IF(C$2:C$3072=C2926, MATCH(D$2:D$3072, D$2:D$3072, 0)), ROW(D$2:D$3072)-ROW(D$2)+1) &gt; 0))</f>
        <v>#N/A</v>
      </c>
      <c r="C2926" s="408"/>
      <c r="D2926" s="408"/>
      <c r="E2926" s="408"/>
      <c r="F2926" s="408"/>
      <c r="G2926" s="408"/>
      <c r="H2926" s="408"/>
      <c r="I2926" s="408"/>
      <c r="J2926" s="408"/>
      <c r="K2926" s="408"/>
      <c r="L2926" s="408"/>
      <c r="M2926" s="408"/>
      <c r="N2926" s="408" t="str">
        <f t="shared" si="472"/>
        <v/>
      </c>
      <c r="O2926" s="408"/>
      <c r="P2926" s="408"/>
      <c r="Q2926" s="408"/>
      <c r="R2926" s="408"/>
      <c r="S2926" s="408"/>
      <c r="T2926" s="408"/>
      <c r="U2926" s="408"/>
      <c r="V2926" s="421"/>
      <c r="W2926" s="421"/>
      <c r="X2926" s="421"/>
      <c r="Y2926" s="421"/>
      <c r="Z2926" s="421"/>
      <c r="AA2926" s="421"/>
      <c r="AB2926" s="421"/>
      <c r="AC2926" s="421"/>
      <c r="AD2926" s="421"/>
      <c r="AE2926" s="421"/>
      <c r="AF2926" s="421"/>
      <c r="AG2926" s="421"/>
      <c r="AH2926" s="421"/>
      <c r="AI2926" s="421"/>
      <c r="AJ2926" s="421"/>
      <c r="AK2926" s="421"/>
      <c r="AL2926" s="421"/>
    </row>
    <row r="2927" spans="1:38" hidden="1">
      <c r="A2927" s="408"/>
      <c r="B2927" s="83" t="e">
        <f t="array" ref="B2927">SUM(--(FREQUENCY(IF(C$2:C$3072=C2927, MATCH(D$2:D$3072, D$2:D$3072, 0)), ROW(D$2:D$3072)-ROW(D$2)+1) &gt; 0))</f>
        <v>#N/A</v>
      </c>
      <c r="C2927" s="408"/>
      <c r="D2927" s="408"/>
      <c r="E2927" s="408"/>
      <c r="F2927" s="408"/>
      <c r="G2927" s="408"/>
      <c r="H2927" s="408"/>
      <c r="I2927" s="408"/>
      <c r="J2927" s="408"/>
      <c r="K2927" s="408"/>
      <c r="L2927" s="408"/>
      <c r="M2927" s="408"/>
      <c r="N2927" s="408" t="str">
        <f t="shared" si="472"/>
        <v/>
      </c>
      <c r="O2927" s="408"/>
      <c r="P2927" s="408"/>
      <c r="Q2927" s="408"/>
      <c r="R2927" s="408"/>
      <c r="S2927" s="408"/>
      <c r="T2927" s="408"/>
      <c r="U2927" s="408"/>
      <c r="V2927" s="421"/>
      <c r="W2927" s="421"/>
      <c r="X2927" s="421"/>
      <c r="Y2927" s="421"/>
      <c r="Z2927" s="421"/>
      <c r="AA2927" s="421"/>
      <c r="AB2927" s="421"/>
      <c r="AC2927" s="421"/>
      <c r="AD2927" s="421"/>
      <c r="AE2927" s="421"/>
      <c r="AF2927" s="421"/>
      <c r="AG2927" s="421"/>
      <c r="AH2927" s="421"/>
      <c r="AI2927" s="421"/>
      <c r="AJ2927" s="421"/>
      <c r="AK2927" s="421"/>
      <c r="AL2927" s="421"/>
    </row>
    <row r="2928" spans="1:38" hidden="1">
      <c r="A2928" s="408"/>
      <c r="B2928" s="83" t="e">
        <f t="array" ref="B2928">SUM(--(FREQUENCY(IF(C$2:C$3072=C2928, MATCH(D$2:D$3072, D$2:D$3072, 0)), ROW(D$2:D$3072)-ROW(D$2)+1) &gt; 0))</f>
        <v>#N/A</v>
      </c>
      <c r="C2928" s="408"/>
      <c r="D2928" s="408"/>
      <c r="E2928" s="408"/>
      <c r="F2928" s="408"/>
      <c r="G2928" s="408"/>
      <c r="H2928" s="408"/>
      <c r="I2928" s="408"/>
      <c r="J2928" s="408"/>
      <c r="K2928" s="408"/>
      <c r="L2928" s="408"/>
      <c r="M2928" s="408"/>
      <c r="N2928" s="408" t="str">
        <f t="shared" si="472"/>
        <v/>
      </c>
      <c r="O2928" s="408"/>
      <c r="P2928" s="408"/>
      <c r="Q2928" s="408"/>
      <c r="R2928" s="408"/>
      <c r="S2928" s="408"/>
      <c r="T2928" s="408"/>
      <c r="U2928" s="408"/>
      <c r="V2928" s="421"/>
      <c r="W2928" s="421"/>
      <c r="X2928" s="421"/>
      <c r="Y2928" s="421"/>
      <c r="Z2928" s="421"/>
      <c r="AA2928" s="421"/>
      <c r="AB2928" s="421"/>
      <c r="AC2928" s="421"/>
      <c r="AD2928" s="421"/>
      <c r="AE2928" s="421"/>
      <c r="AF2928" s="421"/>
      <c r="AG2928" s="421"/>
      <c r="AH2928" s="421"/>
      <c r="AI2928" s="421"/>
      <c r="AJ2928" s="421"/>
      <c r="AK2928" s="421"/>
      <c r="AL2928" s="421"/>
    </row>
    <row r="2929" spans="1:38" hidden="1">
      <c r="A2929" s="408"/>
      <c r="B2929" s="83" t="e">
        <f t="array" ref="B2929">SUM(--(FREQUENCY(IF(C$2:C$3072=C2929, MATCH(D$2:D$3072, D$2:D$3072, 0)), ROW(D$2:D$3072)-ROW(D$2)+1) &gt; 0))</f>
        <v>#N/A</v>
      </c>
      <c r="C2929" s="408"/>
      <c r="D2929" s="408"/>
      <c r="E2929" s="408"/>
      <c r="F2929" s="408"/>
      <c r="G2929" s="408"/>
      <c r="H2929" s="408"/>
      <c r="I2929" s="408"/>
      <c r="J2929" s="408"/>
      <c r="K2929" s="408"/>
      <c r="L2929" s="408"/>
      <c r="M2929" s="408"/>
      <c r="N2929" s="408" t="str">
        <f t="shared" si="472"/>
        <v/>
      </c>
      <c r="O2929" s="408"/>
      <c r="P2929" s="408"/>
      <c r="Q2929" s="408"/>
      <c r="R2929" s="408"/>
      <c r="S2929" s="408"/>
      <c r="T2929" s="408"/>
      <c r="U2929" s="408"/>
      <c r="V2929" s="421"/>
      <c r="W2929" s="421"/>
      <c r="X2929" s="421"/>
      <c r="Y2929" s="421"/>
      <c r="Z2929" s="421"/>
      <c r="AA2929" s="421"/>
      <c r="AB2929" s="421"/>
      <c r="AC2929" s="421"/>
      <c r="AD2929" s="421"/>
      <c r="AE2929" s="421"/>
      <c r="AF2929" s="421"/>
      <c r="AG2929" s="421"/>
      <c r="AH2929" s="421"/>
      <c r="AI2929" s="421"/>
      <c r="AJ2929" s="421"/>
      <c r="AK2929" s="421"/>
      <c r="AL2929" s="421"/>
    </row>
    <row r="2930" spans="1:38" hidden="1">
      <c r="A2930" s="408"/>
      <c r="B2930" s="83" t="e">
        <f t="array" ref="B2930">SUM(--(FREQUENCY(IF(C$2:C$3072=C2930, MATCH(D$2:D$3072, D$2:D$3072, 0)), ROW(D$2:D$3072)-ROW(D$2)+1) &gt; 0))</f>
        <v>#N/A</v>
      </c>
      <c r="C2930" s="408"/>
      <c r="D2930" s="408"/>
      <c r="E2930" s="408"/>
      <c r="F2930" s="408"/>
      <c r="G2930" s="408"/>
      <c r="H2930" s="408"/>
      <c r="I2930" s="408"/>
      <c r="J2930" s="408"/>
      <c r="K2930" s="408"/>
      <c r="L2930" s="408"/>
      <c r="M2930" s="408"/>
      <c r="N2930" s="408" t="str">
        <f t="shared" si="472"/>
        <v/>
      </c>
      <c r="O2930" s="408"/>
      <c r="P2930" s="408"/>
      <c r="Q2930" s="408"/>
      <c r="R2930" s="408"/>
      <c r="S2930" s="408"/>
      <c r="T2930" s="408"/>
      <c r="U2930" s="408"/>
      <c r="V2930" s="421"/>
      <c r="W2930" s="421"/>
      <c r="X2930" s="421"/>
      <c r="Y2930" s="421"/>
      <c r="Z2930" s="421"/>
      <c r="AA2930" s="421"/>
      <c r="AB2930" s="421"/>
      <c r="AC2930" s="421"/>
      <c r="AD2930" s="421"/>
      <c r="AE2930" s="421"/>
      <c r="AF2930" s="421"/>
      <c r="AG2930" s="421"/>
      <c r="AH2930" s="421"/>
      <c r="AI2930" s="421"/>
      <c r="AJ2930" s="421"/>
      <c r="AK2930" s="421"/>
      <c r="AL2930" s="421"/>
    </row>
    <row r="2931" spans="1:38" hidden="1">
      <c r="A2931" s="408"/>
      <c r="B2931" s="83" t="e">
        <f t="array" ref="B2931">SUM(--(FREQUENCY(IF(C$2:C$3072=C2931, MATCH(D$2:D$3072, D$2:D$3072, 0)), ROW(D$2:D$3072)-ROW(D$2)+1) &gt; 0))</f>
        <v>#N/A</v>
      </c>
      <c r="C2931" s="408"/>
      <c r="D2931" s="408"/>
      <c r="E2931" s="408"/>
      <c r="F2931" s="408"/>
      <c r="G2931" s="408"/>
      <c r="H2931" s="408"/>
      <c r="I2931" s="408"/>
      <c r="J2931" s="408"/>
      <c r="K2931" s="408"/>
      <c r="L2931" s="408"/>
      <c r="M2931" s="408"/>
      <c r="N2931" s="408" t="str">
        <f t="shared" si="472"/>
        <v/>
      </c>
      <c r="O2931" s="408"/>
      <c r="P2931" s="408"/>
      <c r="Q2931" s="408"/>
      <c r="R2931" s="408"/>
      <c r="S2931" s="408"/>
      <c r="T2931" s="408"/>
      <c r="U2931" s="408"/>
      <c r="V2931" s="421"/>
      <c r="W2931" s="421"/>
      <c r="X2931" s="421"/>
      <c r="Y2931" s="421"/>
      <c r="Z2931" s="421"/>
      <c r="AA2931" s="421"/>
      <c r="AB2931" s="421"/>
      <c r="AC2931" s="421"/>
      <c r="AD2931" s="421"/>
      <c r="AE2931" s="421"/>
      <c r="AF2931" s="421"/>
      <c r="AG2931" s="421"/>
      <c r="AH2931" s="421"/>
      <c r="AI2931" s="421"/>
      <c r="AJ2931" s="421"/>
      <c r="AK2931" s="421"/>
      <c r="AL2931" s="421"/>
    </row>
    <row r="2932" spans="1:38" hidden="1">
      <c r="A2932" s="408"/>
      <c r="B2932" s="83" t="e">
        <f t="array" ref="B2932">SUM(--(FREQUENCY(IF(C$2:C$3072=C2932, MATCH(D$2:D$3072, D$2:D$3072, 0)), ROW(D$2:D$3072)-ROW(D$2)+1) &gt; 0))</f>
        <v>#N/A</v>
      </c>
      <c r="C2932" s="408"/>
      <c r="D2932" s="408"/>
      <c r="E2932" s="408"/>
      <c r="F2932" s="408"/>
      <c r="G2932" s="408"/>
      <c r="H2932" s="408"/>
      <c r="I2932" s="408"/>
      <c r="J2932" s="408"/>
      <c r="K2932" s="408"/>
      <c r="L2932" s="408"/>
      <c r="M2932" s="408"/>
      <c r="N2932" s="408" t="str">
        <f t="shared" si="472"/>
        <v/>
      </c>
      <c r="O2932" s="408"/>
      <c r="P2932" s="408"/>
      <c r="Q2932" s="408"/>
      <c r="R2932" s="408"/>
      <c r="S2932" s="408"/>
      <c r="T2932" s="408"/>
      <c r="U2932" s="408"/>
      <c r="V2932" s="421"/>
      <c r="W2932" s="421"/>
      <c r="X2932" s="421"/>
      <c r="Y2932" s="421"/>
      <c r="Z2932" s="421"/>
      <c r="AA2932" s="421"/>
      <c r="AB2932" s="421"/>
      <c r="AC2932" s="421"/>
      <c r="AD2932" s="421"/>
      <c r="AE2932" s="421"/>
      <c r="AF2932" s="421"/>
      <c r="AG2932" s="421"/>
      <c r="AH2932" s="421"/>
      <c r="AI2932" s="421"/>
      <c r="AJ2932" s="421"/>
      <c r="AK2932" s="421"/>
      <c r="AL2932" s="421"/>
    </row>
    <row r="2933" spans="1:38" hidden="1">
      <c r="A2933" s="408"/>
      <c r="B2933" s="83" t="e">
        <f t="array" ref="B2933">SUM(--(FREQUENCY(IF(C$2:C$3072=C2933, MATCH(D$2:D$3072, D$2:D$3072, 0)), ROW(D$2:D$3072)-ROW(D$2)+1) &gt; 0))</f>
        <v>#N/A</v>
      </c>
      <c r="C2933" s="408"/>
      <c r="D2933" s="408"/>
      <c r="E2933" s="408"/>
      <c r="F2933" s="408"/>
      <c r="G2933" s="408"/>
      <c r="H2933" s="408"/>
      <c r="I2933" s="408"/>
      <c r="J2933" s="408"/>
      <c r="K2933" s="408"/>
      <c r="L2933" s="408"/>
      <c r="M2933" s="408"/>
      <c r="N2933" s="408" t="str">
        <f t="shared" si="472"/>
        <v/>
      </c>
      <c r="O2933" s="408"/>
      <c r="P2933" s="408"/>
      <c r="Q2933" s="408"/>
      <c r="R2933" s="408"/>
      <c r="S2933" s="408"/>
      <c r="T2933" s="408"/>
      <c r="U2933" s="408"/>
      <c r="V2933" s="421"/>
      <c r="W2933" s="421"/>
      <c r="X2933" s="421"/>
      <c r="Y2933" s="421"/>
      <c r="Z2933" s="421"/>
      <c r="AA2933" s="421"/>
      <c r="AB2933" s="421"/>
      <c r="AC2933" s="421"/>
      <c r="AD2933" s="421"/>
      <c r="AE2933" s="421"/>
      <c r="AF2933" s="421"/>
      <c r="AG2933" s="421"/>
      <c r="AH2933" s="421"/>
      <c r="AI2933" s="421"/>
      <c r="AJ2933" s="421"/>
      <c r="AK2933" s="421"/>
      <c r="AL2933" s="421"/>
    </row>
    <row r="2934" spans="1:38" hidden="1">
      <c r="A2934" s="408"/>
      <c r="B2934" s="83" t="e">
        <f t="array" ref="B2934">SUM(--(FREQUENCY(IF(C$2:C$3072=C2934, MATCH(D$2:D$3072, D$2:D$3072, 0)), ROW(D$2:D$3072)-ROW(D$2)+1) &gt; 0))</f>
        <v>#N/A</v>
      </c>
      <c r="C2934" s="408"/>
      <c r="D2934" s="408"/>
      <c r="E2934" s="408"/>
      <c r="F2934" s="408"/>
      <c r="G2934" s="408"/>
      <c r="H2934" s="408"/>
      <c r="I2934" s="408"/>
      <c r="J2934" s="408"/>
      <c r="K2934" s="408"/>
      <c r="L2934" s="408"/>
      <c r="M2934" s="408"/>
      <c r="N2934" s="408" t="str">
        <f t="shared" si="472"/>
        <v/>
      </c>
      <c r="O2934" s="408"/>
      <c r="P2934" s="408"/>
      <c r="Q2934" s="408"/>
      <c r="R2934" s="408"/>
      <c r="S2934" s="408"/>
      <c r="T2934" s="408"/>
      <c r="U2934" s="408"/>
      <c r="V2934" s="421"/>
      <c r="W2934" s="421"/>
      <c r="X2934" s="421"/>
      <c r="Y2934" s="421"/>
      <c r="Z2934" s="421"/>
      <c r="AA2934" s="421"/>
      <c r="AB2934" s="421"/>
      <c r="AC2934" s="421"/>
      <c r="AD2934" s="421"/>
      <c r="AE2934" s="421"/>
      <c r="AF2934" s="421"/>
      <c r="AG2934" s="421"/>
      <c r="AH2934" s="421"/>
      <c r="AI2934" s="421"/>
      <c r="AJ2934" s="421"/>
      <c r="AK2934" s="421"/>
      <c r="AL2934" s="421"/>
    </row>
    <row r="2935" spans="1:38" hidden="1">
      <c r="A2935" s="408"/>
      <c r="B2935" s="83" t="e">
        <f t="array" ref="B2935">SUM(--(FREQUENCY(IF(C$2:C$3072=C2935, MATCH(D$2:D$3072, D$2:D$3072, 0)), ROW(D$2:D$3072)-ROW(D$2)+1) &gt; 0))</f>
        <v>#N/A</v>
      </c>
      <c r="C2935" s="408"/>
      <c r="D2935" s="408"/>
      <c r="E2935" s="408"/>
      <c r="F2935" s="408"/>
      <c r="G2935" s="408"/>
      <c r="H2935" s="408"/>
      <c r="I2935" s="408"/>
      <c r="J2935" s="408"/>
      <c r="K2935" s="408"/>
      <c r="L2935" s="408"/>
      <c r="M2935" s="408"/>
      <c r="N2935" s="408" t="str">
        <f t="shared" si="472"/>
        <v/>
      </c>
      <c r="O2935" s="408"/>
      <c r="P2935" s="408"/>
      <c r="Q2935" s="408"/>
      <c r="R2935" s="408"/>
      <c r="S2935" s="408"/>
      <c r="T2935" s="408"/>
      <c r="U2935" s="408"/>
      <c r="V2935" s="421"/>
      <c r="W2935" s="421"/>
      <c r="X2935" s="421"/>
      <c r="Y2935" s="421"/>
      <c r="Z2935" s="421"/>
      <c r="AA2935" s="421"/>
      <c r="AB2935" s="421"/>
      <c r="AC2935" s="421"/>
      <c r="AD2935" s="421"/>
      <c r="AE2935" s="421"/>
      <c r="AF2935" s="421"/>
      <c r="AG2935" s="421"/>
      <c r="AH2935" s="421"/>
      <c r="AI2935" s="421"/>
      <c r="AJ2935" s="421"/>
      <c r="AK2935" s="421"/>
      <c r="AL2935" s="421"/>
    </row>
    <row r="2936" spans="1:38" hidden="1">
      <c r="A2936" s="408"/>
      <c r="B2936" s="83" t="e">
        <f t="array" ref="B2936">SUM(--(FREQUENCY(IF(C$2:C$3072=C2936, MATCH(D$2:D$3072, D$2:D$3072, 0)), ROW(D$2:D$3072)-ROW(D$2)+1) &gt; 0))</f>
        <v>#N/A</v>
      </c>
      <c r="C2936" s="408"/>
      <c r="D2936" s="408"/>
      <c r="E2936" s="408"/>
      <c r="F2936" s="408"/>
      <c r="G2936" s="408"/>
      <c r="H2936" s="408"/>
      <c r="I2936" s="408"/>
      <c r="J2936" s="408"/>
      <c r="K2936" s="408"/>
      <c r="L2936" s="408"/>
      <c r="M2936" s="408"/>
      <c r="N2936" s="408" t="str">
        <f t="shared" si="472"/>
        <v/>
      </c>
      <c r="O2936" s="408"/>
      <c r="P2936" s="408"/>
      <c r="Q2936" s="408"/>
      <c r="R2936" s="408"/>
      <c r="S2936" s="408"/>
      <c r="T2936" s="408"/>
      <c r="U2936" s="408"/>
      <c r="V2936" s="421"/>
      <c r="W2936" s="421"/>
      <c r="X2936" s="421"/>
      <c r="Y2936" s="421"/>
      <c r="Z2936" s="421"/>
      <c r="AA2936" s="421"/>
      <c r="AB2936" s="421"/>
      <c r="AC2936" s="421"/>
      <c r="AD2936" s="421"/>
      <c r="AE2936" s="421"/>
      <c r="AF2936" s="421"/>
      <c r="AG2936" s="421"/>
      <c r="AH2936" s="421"/>
      <c r="AI2936" s="421"/>
      <c r="AJ2936" s="421"/>
      <c r="AK2936" s="421"/>
      <c r="AL2936" s="421"/>
    </row>
    <row r="2937" spans="1:38" hidden="1">
      <c r="A2937" s="408"/>
      <c r="B2937" s="83" t="e">
        <f t="array" ref="B2937">SUM(--(FREQUENCY(IF(C$2:C$3072=C2937, MATCH(D$2:D$3072, D$2:D$3072, 0)), ROW(D$2:D$3072)-ROW(D$2)+1) &gt; 0))</f>
        <v>#N/A</v>
      </c>
      <c r="C2937" s="408"/>
      <c r="D2937" s="408"/>
      <c r="E2937" s="408"/>
      <c r="F2937" s="408"/>
      <c r="G2937" s="408"/>
      <c r="H2937" s="408"/>
      <c r="I2937" s="408"/>
      <c r="J2937" s="408"/>
      <c r="K2937" s="408"/>
      <c r="L2937" s="408"/>
      <c r="M2937" s="408"/>
      <c r="N2937" s="408" t="str">
        <f t="shared" si="472"/>
        <v/>
      </c>
      <c r="O2937" s="408"/>
      <c r="P2937" s="408"/>
      <c r="Q2937" s="408"/>
      <c r="R2937" s="408"/>
      <c r="S2937" s="408"/>
      <c r="T2937" s="408"/>
      <c r="U2937" s="408"/>
      <c r="V2937" s="421"/>
      <c r="W2937" s="421"/>
      <c r="X2937" s="421"/>
      <c r="Y2937" s="421"/>
      <c r="Z2937" s="421"/>
      <c r="AA2937" s="421"/>
      <c r="AB2937" s="421"/>
      <c r="AC2937" s="421"/>
      <c r="AD2937" s="421"/>
      <c r="AE2937" s="421"/>
      <c r="AF2937" s="421"/>
      <c r="AG2937" s="421"/>
      <c r="AH2937" s="421"/>
      <c r="AI2937" s="421"/>
      <c r="AJ2937" s="421"/>
      <c r="AK2937" s="421"/>
      <c r="AL2937" s="421"/>
    </row>
    <row r="2938" spans="1:38" hidden="1">
      <c r="A2938" s="408"/>
      <c r="B2938" s="83" t="e">
        <f t="array" ref="B2938">SUM(--(FREQUENCY(IF(C$2:C$3072=C2938, MATCH(D$2:D$3072, D$2:D$3072, 0)), ROW(D$2:D$3072)-ROW(D$2)+1) &gt; 0))</f>
        <v>#N/A</v>
      </c>
      <c r="C2938" s="408"/>
      <c r="D2938" s="408"/>
      <c r="E2938" s="408"/>
      <c r="F2938" s="408"/>
      <c r="G2938" s="408"/>
      <c r="H2938" s="408"/>
      <c r="I2938" s="408"/>
      <c r="J2938" s="408"/>
      <c r="K2938" s="408"/>
      <c r="L2938" s="408"/>
      <c r="M2938" s="408"/>
      <c r="N2938" s="408" t="str">
        <f t="shared" si="472"/>
        <v/>
      </c>
      <c r="O2938" s="408"/>
      <c r="P2938" s="408"/>
      <c r="Q2938" s="408"/>
      <c r="R2938" s="408"/>
      <c r="S2938" s="408"/>
      <c r="T2938" s="408"/>
      <c r="U2938" s="408"/>
      <c r="V2938" s="421"/>
      <c r="W2938" s="421"/>
      <c r="X2938" s="421"/>
      <c r="Y2938" s="421"/>
      <c r="Z2938" s="421"/>
      <c r="AA2938" s="421"/>
      <c r="AB2938" s="421"/>
      <c r="AC2938" s="421"/>
      <c r="AD2938" s="421"/>
      <c r="AE2938" s="421"/>
      <c r="AF2938" s="421"/>
      <c r="AG2938" s="421"/>
      <c r="AH2938" s="421"/>
      <c r="AI2938" s="421"/>
      <c r="AJ2938" s="421"/>
      <c r="AK2938" s="421"/>
      <c r="AL2938" s="421"/>
    </row>
    <row r="2939" spans="1:38" hidden="1">
      <c r="A2939" s="408"/>
      <c r="B2939" s="83" t="e">
        <f t="array" ref="B2939">SUM(--(FREQUENCY(IF(C$2:C$3072=C2939, MATCH(D$2:D$3072, D$2:D$3072, 0)), ROW(D$2:D$3072)-ROW(D$2)+1) &gt; 0))</f>
        <v>#N/A</v>
      </c>
      <c r="C2939" s="408"/>
      <c r="D2939" s="408"/>
      <c r="E2939" s="408"/>
      <c r="F2939" s="408"/>
      <c r="G2939" s="408"/>
      <c r="H2939" s="408"/>
      <c r="I2939" s="408"/>
      <c r="J2939" s="408"/>
      <c r="K2939" s="408"/>
      <c r="L2939" s="408"/>
      <c r="M2939" s="408"/>
      <c r="N2939" s="408" t="str">
        <f t="shared" si="472"/>
        <v/>
      </c>
      <c r="O2939" s="408"/>
      <c r="P2939" s="408"/>
      <c r="Q2939" s="408"/>
      <c r="R2939" s="408"/>
      <c r="S2939" s="408"/>
      <c r="T2939" s="408"/>
      <c r="U2939" s="408"/>
      <c r="V2939" s="421"/>
      <c r="W2939" s="421"/>
      <c r="X2939" s="421"/>
      <c r="Y2939" s="421"/>
      <c r="Z2939" s="421"/>
      <c r="AA2939" s="421"/>
      <c r="AB2939" s="421"/>
      <c r="AC2939" s="421"/>
      <c r="AD2939" s="421"/>
      <c r="AE2939" s="421"/>
      <c r="AF2939" s="421"/>
      <c r="AG2939" s="421"/>
      <c r="AH2939" s="421"/>
      <c r="AI2939" s="421"/>
      <c r="AJ2939" s="421"/>
      <c r="AK2939" s="421"/>
      <c r="AL2939" s="421"/>
    </row>
    <row r="2940" spans="1:38" hidden="1">
      <c r="A2940" s="408"/>
      <c r="B2940" s="83" t="e">
        <f t="array" ref="B2940">SUM(--(FREQUENCY(IF(C$2:C$3072=C2940, MATCH(D$2:D$3072, D$2:D$3072, 0)), ROW(D$2:D$3072)-ROW(D$2)+1) &gt; 0))</f>
        <v>#N/A</v>
      </c>
      <c r="C2940" s="408"/>
      <c r="D2940" s="408"/>
      <c r="E2940" s="408"/>
      <c r="F2940" s="408"/>
      <c r="G2940" s="408"/>
      <c r="H2940" s="408"/>
      <c r="I2940" s="408"/>
      <c r="J2940" s="408"/>
      <c r="K2940" s="408"/>
      <c r="L2940" s="408"/>
      <c r="M2940" s="408"/>
      <c r="N2940" s="408" t="str">
        <f t="shared" si="472"/>
        <v/>
      </c>
      <c r="O2940" s="408"/>
      <c r="P2940" s="408"/>
      <c r="Q2940" s="408"/>
      <c r="R2940" s="408"/>
      <c r="S2940" s="408"/>
      <c r="T2940" s="408"/>
      <c r="U2940" s="408"/>
      <c r="V2940" s="421"/>
      <c r="W2940" s="421"/>
      <c r="X2940" s="421"/>
      <c r="Y2940" s="421"/>
      <c r="Z2940" s="421"/>
      <c r="AA2940" s="421"/>
      <c r="AB2940" s="421"/>
      <c r="AC2940" s="421"/>
      <c r="AD2940" s="421"/>
      <c r="AE2940" s="421"/>
      <c r="AF2940" s="421"/>
      <c r="AG2940" s="421"/>
      <c r="AH2940" s="421"/>
      <c r="AI2940" s="421"/>
      <c r="AJ2940" s="421"/>
      <c r="AK2940" s="421"/>
      <c r="AL2940" s="421"/>
    </row>
    <row r="2941" spans="1:38" hidden="1">
      <c r="A2941" s="408"/>
      <c r="B2941" s="83" t="e">
        <f t="array" ref="B2941">SUM(--(FREQUENCY(IF(C$2:C$3072=C2941, MATCH(D$2:D$3072, D$2:D$3072, 0)), ROW(D$2:D$3072)-ROW(D$2)+1) &gt; 0))</f>
        <v>#N/A</v>
      </c>
      <c r="C2941" s="408"/>
      <c r="D2941" s="408"/>
      <c r="E2941" s="408"/>
      <c r="F2941" s="408"/>
      <c r="G2941" s="408"/>
      <c r="H2941" s="408"/>
      <c r="I2941" s="408"/>
      <c r="J2941" s="408"/>
      <c r="K2941" s="408"/>
      <c r="L2941" s="408"/>
      <c r="M2941" s="408"/>
      <c r="N2941" s="408" t="str">
        <f t="shared" si="472"/>
        <v/>
      </c>
      <c r="O2941" s="408"/>
      <c r="P2941" s="408"/>
      <c r="Q2941" s="408"/>
      <c r="R2941" s="408"/>
      <c r="S2941" s="408"/>
      <c r="T2941" s="408"/>
      <c r="U2941" s="408"/>
      <c r="V2941" s="421"/>
      <c r="W2941" s="421"/>
      <c r="X2941" s="421"/>
      <c r="Y2941" s="421"/>
      <c r="Z2941" s="421"/>
      <c r="AA2941" s="421"/>
      <c r="AB2941" s="421"/>
      <c r="AC2941" s="421"/>
      <c r="AD2941" s="421"/>
      <c r="AE2941" s="421"/>
      <c r="AF2941" s="421"/>
      <c r="AG2941" s="421"/>
      <c r="AH2941" s="421"/>
      <c r="AI2941" s="421"/>
      <c r="AJ2941" s="421"/>
      <c r="AK2941" s="421"/>
      <c r="AL2941" s="421"/>
    </row>
    <row r="2942" spans="1:38" hidden="1">
      <c r="A2942" s="408"/>
      <c r="B2942" s="83" t="e">
        <f t="array" ref="B2942">SUM(--(FREQUENCY(IF(C$2:C$3072=C2942, MATCH(D$2:D$3072, D$2:D$3072, 0)), ROW(D$2:D$3072)-ROW(D$2)+1) &gt; 0))</f>
        <v>#N/A</v>
      </c>
      <c r="C2942" s="408"/>
      <c r="D2942" s="408"/>
      <c r="E2942" s="408"/>
      <c r="F2942" s="408"/>
      <c r="G2942" s="408"/>
      <c r="H2942" s="408"/>
      <c r="I2942" s="408"/>
      <c r="J2942" s="408"/>
      <c r="K2942" s="408"/>
      <c r="L2942" s="408"/>
      <c r="M2942" s="408"/>
      <c r="N2942" s="408" t="str">
        <f t="shared" si="472"/>
        <v/>
      </c>
      <c r="O2942" s="408"/>
      <c r="P2942" s="408"/>
      <c r="Q2942" s="408"/>
      <c r="R2942" s="408"/>
      <c r="S2942" s="408"/>
      <c r="T2942" s="408"/>
      <c r="U2942" s="408"/>
      <c r="V2942" s="421"/>
      <c r="W2942" s="421"/>
      <c r="X2942" s="421"/>
      <c r="Y2942" s="421"/>
      <c r="Z2942" s="421"/>
      <c r="AA2942" s="421"/>
      <c r="AB2942" s="421"/>
      <c r="AC2942" s="421"/>
      <c r="AD2942" s="421"/>
      <c r="AE2942" s="421"/>
      <c r="AF2942" s="421"/>
      <c r="AG2942" s="421"/>
      <c r="AH2942" s="421"/>
      <c r="AI2942" s="421"/>
      <c r="AJ2942" s="421"/>
      <c r="AK2942" s="421"/>
      <c r="AL2942" s="421"/>
    </row>
    <row r="2943" spans="1:38" hidden="1">
      <c r="A2943" s="408"/>
      <c r="B2943" s="83" t="e">
        <f t="array" ref="B2943">SUM(--(FREQUENCY(IF(C$2:C$3072=C2943, MATCH(D$2:D$3072, D$2:D$3072, 0)), ROW(D$2:D$3072)-ROW(D$2)+1) &gt; 0))</f>
        <v>#N/A</v>
      </c>
      <c r="C2943" s="408"/>
      <c r="D2943" s="408"/>
      <c r="E2943" s="408"/>
      <c r="F2943" s="408"/>
      <c r="G2943" s="408"/>
      <c r="H2943" s="408"/>
      <c r="I2943" s="408"/>
      <c r="J2943" s="408"/>
      <c r="K2943" s="408"/>
      <c r="L2943" s="408"/>
      <c r="M2943" s="408"/>
      <c r="N2943" s="408" t="str">
        <f t="shared" si="472"/>
        <v/>
      </c>
      <c r="O2943" s="408"/>
      <c r="P2943" s="408"/>
      <c r="Q2943" s="408"/>
      <c r="R2943" s="408"/>
      <c r="S2943" s="408"/>
      <c r="T2943" s="408"/>
      <c r="U2943" s="408"/>
      <c r="V2943" s="421"/>
      <c r="W2943" s="421"/>
      <c r="X2943" s="421"/>
      <c r="Y2943" s="421"/>
      <c r="Z2943" s="421"/>
      <c r="AA2943" s="421"/>
      <c r="AB2943" s="421"/>
      <c r="AC2943" s="421"/>
      <c r="AD2943" s="421"/>
      <c r="AE2943" s="421"/>
      <c r="AF2943" s="421"/>
      <c r="AG2943" s="421"/>
      <c r="AH2943" s="421"/>
      <c r="AI2943" s="421"/>
      <c r="AJ2943" s="421"/>
      <c r="AK2943" s="421"/>
      <c r="AL2943" s="421"/>
    </row>
    <row r="2944" spans="1:38" hidden="1">
      <c r="A2944" s="408"/>
      <c r="B2944" s="83" t="e">
        <f t="array" ref="B2944">SUM(--(FREQUENCY(IF(C$2:C$3072=C2944, MATCH(D$2:D$3072, D$2:D$3072, 0)), ROW(D$2:D$3072)-ROW(D$2)+1) &gt; 0))</f>
        <v>#N/A</v>
      </c>
      <c r="C2944" s="408"/>
      <c r="D2944" s="408"/>
      <c r="E2944" s="408"/>
      <c r="F2944" s="408"/>
      <c r="G2944" s="408"/>
      <c r="H2944" s="408"/>
      <c r="I2944" s="408"/>
      <c r="J2944" s="408"/>
      <c r="K2944" s="408"/>
      <c r="L2944" s="408"/>
      <c r="M2944" s="408"/>
      <c r="N2944" s="408" t="str">
        <f t="shared" ref="N2944:N3007" si="473">IF(O2944&lt;&gt;"", "NG", "")</f>
        <v/>
      </c>
      <c r="O2944" s="408"/>
      <c r="P2944" s="408"/>
      <c r="Q2944" s="408"/>
      <c r="R2944" s="408"/>
      <c r="S2944" s="408"/>
      <c r="T2944" s="408"/>
      <c r="U2944" s="408"/>
      <c r="V2944" s="421"/>
      <c r="W2944" s="421"/>
      <c r="X2944" s="421"/>
      <c r="Y2944" s="421"/>
      <c r="Z2944" s="421"/>
      <c r="AA2944" s="421"/>
      <c r="AB2944" s="421"/>
      <c r="AC2944" s="421"/>
      <c r="AD2944" s="421"/>
      <c r="AE2944" s="421"/>
      <c r="AF2944" s="421"/>
      <c r="AG2944" s="421"/>
      <c r="AH2944" s="421"/>
      <c r="AI2944" s="421"/>
      <c r="AJ2944" s="421"/>
      <c r="AK2944" s="421"/>
      <c r="AL2944" s="421"/>
    </row>
    <row r="2945" spans="1:38" hidden="1">
      <c r="A2945" s="408"/>
      <c r="B2945" s="83" t="e">
        <f t="array" ref="B2945">SUM(--(FREQUENCY(IF(C$2:C$3072=C2945, MATCH(D$2:D$3072, D$2:D$3072, 0)), ROW(D$2:D$3072)-ROW(D$2)+1) &gt; 0))</f>
        <v>#N/A</v>
      </c>
      <c r="C2945" s="408"/>
      <c r="D2945" s="408"/>
      <c r="E2945" s="408"/>
      <c r="F2945" s="408"/>
      <c r="G2945" s="408"/>
      <c r="H2945" s="408"/>
      <c r="I2945" s="408"/>
      <c r="J2945" s="408"/>
      <c r="K2945" s="408"/>
      <c r="L2945" s="408"/>
      <c r="M2945" s="408"/>
      <c r="N2945" s="408" t="str">
        <f t="shared" si="473"/>
        <v/>
      </c>
      <c r="O2945" s="408"/>
      <c r="P2945" s="408"/>
      <c r="Q2945" s="408"/>
      <c r="R2945" s="408"/>
      <c r="S2945" s="408"/>
      <c r="T2945" s="408"/>
      <c r="U2945" s="408"/>
      <c r="V2945" s="421"/>
      <c r="W2945" s="421"/>
      <c r="X2945" s="421"/>
      <c r="Y2945" s="421"/>
      <c r="Z2945" s="421"/>
      <c r="AA2945" s="421"/>
      <c r="AB2945" s="421"/>
      <c r="AC2945" s="421"/>
      <c r="AD2945" s="421"/>
      <c r="AE2945" s="421"/>
      <c r="AF2945" s="421"/>
      <c r="AG2945" s="421"/>
      <c r="AH2945" s="421"/>
      <c r="AI2945" s="421"/>
      <c r="AJ2945" s="421"/>
      <c r="AK2945" s="421"/>
      <c r="AL2945" s="421"/>
    </row>
    <row r="2946" spans="1:38" hidden="1">
      <c r="A2946" s="408"/>
      <c r="B2946" s="83" t="e">
        <f t="array" ref="B2946">SUM(--(FREQUENCY(IF(C$2:C$3072=C2946, MATCH(D$2:D$3072, D$2:D$3072, 0)), ROW(D$2:D$3072)-ROW(D$2)+1) &gt; 0))</f>
        <v>#N/A</v>
      </c>
      <c r="C2946" s="408"/>
      <c r="D2946" s="408"/>
      <c r="E2946" s="408"/>
      <c r="F2946" s="408"/>
      <c r="G2946" s="408"/>
      <c r="H2946" s="408"/>
      <c r="I2946" s="408"/>
      <c r="J2946" s="408"/>
      <c r="K2946" s="408"/>
      <c r="L2946" s="408"/>
      <c r="M2946" s="408"/>
      <c r="N2946" s="408" t="str">
        <f t="shared" si="473"/>
        <v/>
      </c>
      <c r="O2946" s="408"/>
      <c r="P2946" s="408"/>
      <c r="Q2946" s="408"/>
      <c r="R2946" s="408"/>
      <c r="S2946" s="408"/>
      <c r="T2946" s="408"/>
      <c r="U2946" s="408"/>
      <c r="V2946" s="421"/>
      <c r="W2946" s="421"/>
      <c r="X2946" s="421"/>
      <c r="Y2946" s="421"/>
      <c r="Z2946" s="421"/>
      <c r="AA2946" s="421"/>
      <c r="AB2946" s="421"/>
      <c r="AC2946" s="421"/>
      <c r="AD2946" s="421"/>
      <c r="AE2946" s="421"/>
      <c r="AF2946" s="421"/>
      <c r="AG2946" s="421"/>
      <c r="AH2946" s="421"/>
      <c r="AI2946" s="421"/>
      <c r="AJ2946" s="421"/>
      <c r="AK2946" s="421"/>
      <c r="AL2946" s="421"/>
    </row>
    <row r="2947" spans="1:38" hidden="1">
      <c r="A2947" s="408"/>
      <c r="B2947" s="83" t="e">
        <f t="array" ref="B2947">SUM(--(FREQUENCY(IF(C$2:C$3072=C2947, MATCH(D$2:D$3072, D$2:D$3072, 0)), ROW(D$2:D$3072)-ROW(D$2)+1) &gt; 0))</f>
        <v>#N/A</v>
      </c>
      <c r="C2947" s="408"/>
      <c r="D2947" s="408"/>
      <c r="E2947" s="408"/>
      <c r="F2947" s="408"/>
      <c r="G2947" s="408"/>
      <c r="H2947" s="408"/>
      <c r="I2947" s="408"/>
      <c r="J2947" s="408"/>
      <c r="K2947" s="408"/>
      <c r="L2947" s="408"/>
      <c r="M2947" s="408"/>
      <c r="N2947" s="408" t="str">
        <f t="shared" si="473"/>
        <v/>
      </c>
      <c r="O2947" s="408"/>
      <c r="P2947" s="408"/>
      <c r="Q2947" s="408"/>
      <c r="R2947" s="408"/>
      <c r="S2947" s="408"/>
      <c r="T2947" s="408"/>
      <c r="U2947" s="408"/>
      <c r="V2947" s="421"/>
      <c r="W2947" s="421"/>
      <c r="X2947" s="421"/>
      <c r="Y2947" s="421"/>
      <c r="Z2947" s="421"/>
      <c r="AA2947" s="421"/>
      <c r="AB2947" s="421"/>
      <c r="AC2947" s="421"/>
      <c r="AD2947" s="421"/>
      <c r="AE2947" s="421"/>
      <c r="AF2947" s="421"/>
      <c r="AG2947" s="421"/>
      <c r="AH2947" s="421"/>
      <c r="AI2947" s="421"/>
      <c r="AJ2947" s="421"/>
      <c r="AK2947" s="421"/>
      <c r="AL2947" s="421"/>
    </row>
    <row r="2948" spans="1:38" hidden="1">
      <c r="A2948" s="408"/>
      <c r="B2948" s="83" t="e">
        <f t="array" ref="B2948">SUM(--(FREQUENCY(IF(C$2:C$3072=C2948, MATCH(D$2:D$3072, D$2:D$3072, 0)), ROW(D$2:D$3072)-ROW(D$2)+1) &gt; 0))</f>
        <v>#N/A</v>
      </c>
      <c r="C2948" s="408"/>
      <c r="D2948" s="408"/>
      <c r="E2948" s="408"/>
      <c r="F2948" s="408"/>
      <c r="G2948" s="408"/>
      <c r="H2948" s="408"/>
      <c r="I2948" s="408"/>
      <c r="J2948" s="408"/>
      <c r="K2948" s="408"/>
      <c r="L2948" s="408"/>
      <c r="M2948" s="408"/>
      <c r="N2948" s="408" t="str">
        <f t="shared" si="473"/>
        <v/>
      </c>
      <c r="O2948" s="408"/>
      <c r="P2948" s="408"/>
      <c r="Q2948" s="408"/>
      <c r="R2948" s="408"/>
      <c r="S2948" s="408"/>
      <c r="T2948" s="408"/>
      <c r="U2948" s="408"/>
      <c r="V2948" s="421"/>
      <c r="W2948" s="421"/>
      <c r="X2948" s="421"/>
      <c r="Y2948" s="421"/>
      <c r="Z2948" s="421"/>
      <c r="AA2948" s="421"/>
      <c r="AB2948" s="421"/>
      <c r="AC2948" s="421"/>
      <c r="AD2948" s="421"/>
      <c r="AE2948" s="421"/>
      <c r="AF2948" s="421"/>
      <c r="AG2948" s="421"/>
      <c r="AH2948" s="421"/>
      <c r="AI2948" s="421"/>
      <c r="AJ2948" s="421"/>
      <c r="AK2948" s="421"/>
      <c r="AL2948" s="421"/>
    </row>
    <row r="2949" spans="1:38" hidden="1">
      <c r="A2949" s="408"/>
      <c r="B2949" s="83" t="e">
        <f t="array" ref="B2949">SUM(--(FREQUENCY(IF(C$2:C$3072=C2949, MATCH(D$2:D$3072, D$2:D$3072, 0)), ROW(D$2:D$3072)-ROW(D$2)+1) &gt; 0))</f>
        <v>#N/A</v>
      </c>
      <c r="C2949" s="408"/>
      <c r="D2949" s="408"/>
      <c r="E2949" s="408"/>
      <c r="F2949" s="408"/>
      <c r="G2949" s="408"/>
      <c r="H2949" s="408"/>
      <c r="I2949" s="408"/>
      <c r="J2949" s="408"/>
      <c r="K2949" s="408"/>
      <c r="L2949" s="408"/>
      <c r="M2949" s="408"/>
      <c r="N2949" s="408" t="str">
        <f t="shared" si="473"/>
        <v/>
      </c>
      <c r="O2949" s="408"/>
      <c r="P2949" s="408"/>
      <c r="Q2949" s="408"/>
      <c r="R2949" s="408"/>
      <c r="S2949" s="408"/>
      <c r="T2949" s="408"/>
      <c r="U2949" s="408"/>
      <c r="V2949" s="421"/>
      <c r="W2949" s="421"/>
      <c r="X2949" s="421"/>
      <c r="Y2949" s="421"/>
      <c r="Z2949" s="421"/>
      <c r="AA2949" s="421"/>
      <c r="AB2949" s="421"/>
      <c r="AC2949" s="421"/>
      <c r="AD2949" s="421"/>
      <c r="AE2949" s="421"/>
      <c r="AF2949" s="421"/>
      <c r="AG2949" s="421"/>
      <c r="AH2949" s="421"/>
      <c r="AI2949" s="421"/>
      <c r="AJ2949" s="421"/>
      <c r="AK2949" s="421"/>
      <c r="AL2949" s="421"/>
    </row>
    <row r="2950" spans="1:38" hidden="1">
      <c r="A2950" s="408"/>
      <c r="B2950" s="83" t="e">
        <f t="array" ref="B2950">SUM(--(FREQUENCY(IF(C$2:C$3072=C2950, MATCH(D$2:D$3072, D$2:D$3072, 0)), ROW(D$2:D$3072)-ROW(D$2)+1) &gt; 0))</f>
        <v>#N/A</v>
      </c>
      <c r="C2950" s="408"/>
      <c r="D2950" s="408"/>
      <c r="E2950" s="408"/>
      <c r="F2950" s="408"/>
      <c r="G2950" s="408"/>
      <c r="H2950" s="408"/>
      <c r="I2950" s="408"/>
      <c r="J2950" s="408"/>
      <c r="K2950" s="408"/>
      <c r="L2950" s="408"/>
      <c r="M2950" s="408"/>
      <c r="N2950" s="408" t="str">
        <f t="shared" si="473"/>
        <v/>
      </c>
      <c r="O2950" s="408"/>
      <c r="P2950" s="408"/>
      <c r="Q2950" s="408"/>
      <c r="R2950" s="408"/>
      <c r="S2950" s="408"/>
      <c r="T2950" s="408"/>
      <c r="U2950" s="408"/>
      <c r="V2950" s="421"/>
      <c r="W2950" s="421"/>
      <c r="X2950" s="421"/>
      <c r="Y2950" s="421"/>
      <c r="Z2950" s="421"/>
      <c r="AA2950" s="421"/>
      <c r="AB2950" s="421"/>
      <c r="AC2950" s="421"/>
      <c r="AD2950" s="421"/>
      <c r="AE2950" s="421"/>
      <c r="AF2950" s="421"/>
      <c r="AG2950" s="421"/>
      <c r="AH2950" s="421"/>
      <c r="AI2950" s="421"/>
      <c r="AJ2950" s="421"/>
      <c r="AK2950" s="421"/>
      <c r="AL2950" s="421"/>
    </row>
    <row r="2951" spans="1:38" hidden="1">
      <c r="A2951" s="408"/>
      <c r="B2951" s="83" t="e">
        <f t="array" ref="B2951">SUM(--(FREQUENCY(IF(C$2:C$3072=C2951, MATCH(D$2:D$3072, D$2:D$3072, 0)), ROW(D$2:D$3072)-ROW(D$2)+1) &gt; 0))</f>
        <v>#N/A</v>
      </c>
      <c r="C2951" s="408"/>
      <c r="D2951" s="408"/>
      <c r="E2951" s="408"/>
      <c r="F2951" s="408"/>
      <c r="G2951" s="408"/>
      <c r="H2951" s="408"/>
      <c r="I2951" s="408"/>
      <c r="J2951" s="408"/>
      <c r="K2951" s="408"/>
      <c r="L2951" s="408"/>
      <c r="M2951" s="408"/>
      <c r="N2951" s="408" t="str">
        <f t="shared" si="473"/>
        <v/>
      </c>
      <c r="O2951" s="408"/>
      <c r="P2951" s="408"/>
      <c r="Q2951" s="408"/>
      <c r="R2951" s="408"/>
      <c r="S2951" s="408"/>
      <c r="T2951" s="408"/>
      <c r="U2951" s="408"/>
      <c r="V2951" s="421"/>
      <c r="W2951" s="421"/>
      <c r="X2951" s="421"/>
      <c r="Y2951" s="421"/>
      <c r="Z2951" s="421"/>
      <c r="AA2951" s="421"/>
      <c r="AB2951" s="421"/>
      <c r="AC2951" s="421"/>
      <c r="AD2951" s="421"/>
      <c r="AE2951" s="421"/>
      <c r="AF2951" s="421"/>
      <c r="AG2951" s="421"/>
      <c r="AH2951" s="421"/>
      <c r="AI2951" s="421"/>
      <c r="AJ2951" s="421"/>
      <c r="AK2951" s="421"/>
      <c r="AL2951" s="421"/>
    </row>
    <row r="2952" spans="1:38" hidden="1">
      <c r="A2952" s="408"/>
      <c r="B2952" s="83" t="e">
        <f t="array" ref="B2952">SUM(--(FREQUENCY(IF(C$2:C$3072=C2952, MATCH(D$2:D$3072, D$2:D$3072, 0)), ROW(D$2:D$3072)-ROW(D$2)+1) &gt; 0))</f>
        <v>#N/A</v>
      </c>
      <c r="C2952" s="408"/>
      <c r="D2952" s="408"/>
      <c r="E2952" s="408"/>
      <c r="F2952" s="408"/>
      <c r="G2952" s="408"/>
      <c r="H2952" s="408"/>
      <c r="I2952" s="408"/>
      <c r="J2952" s="408"/>
      <c r="K2952" s="408"/>
      <c r="L2952" s="408"/>
      <c r="M2952" s="408"/>
      <c r="N2952" s="408" t="str">
        <f t="shared" si="473"/>
        <v/>
      </c>
      <c r="O2952" s="408"/>
      <c r="P2952" s="408"/>
      <c r="Q2952" s="408"/>
      <c r="R2952" s="408"/>
      <c r="S2952" s="408"/>
      <c r="T2952" s="408"/>
      <c r="U2952" s="408"/>
      <c r="V2952" s="421"/>
      <c r="W2952" s="421"/>
      <c r="X2952" s="421"/>
      <c r="Y2952" s="421"/>
      <c r="Z2952" s="421"/>
      <c r="AA2952" s="421"/>
      <c r="AB2952" s="421"/>
      <c r="AC2952" s="421"/>
      <c r="AD2952" s="421"/>
      <c r="AE2952" s="421"/>
      <c r="AF2952" s="421"/>
      <c r="AG2952" s="421"/>
      <c r="AH2952" s="421"/>
      <c r="AI2952" s="421"/>
      <c r="AJ2952" s="421"/>
      <c r="AK2952" s="421"/>
      <c r="AL2952" s="421"/>
    </row>
    <row r="2953" spans="1:38" hidden="1">
      <c r="A2953" s="408"/>
      <c r="B2953" s="83" t="e">
        <f t="array" ref="B2953">SUM(--(FREQUENCY(IF(C$2:C$3072=C2953, MATCH(D$2:D$3072, D$2:D$3072, 0)), ROW(D$2:D$3072)-ROW(D$2)+1) &gt; 0))</f>
        <v>#N/A</v>
      </c>
      <c r="C2953" s="408"/>
      <c r="D2953" s="408"/>
      <c r="E2953" s="408"/>
      <c r="F2953" s="408"/>
      <c r="G2953" s="408"/>
      <c r="H2953" s="408"/>
      <c r="I2953" s="408"/>
      <c r="J2953" s="408"/>
      <c r="K2953" s="408"/>
      <c r="L2953" s="408"/>
      <c r="M2953" s="408"/>
      <c r="N2953" s="408" t="str">
        <f t="shared" si="473"/>
        <v/>
      </c>
      <c r="O2953" s="408"/>
      <c r="P2953" s="408"/>
      <c r="Q2953" s="408"/>
      <c r="R2953" s="408"/>
      <c r="S2953" s="408"/>
      <c r="T2953" s="408"/>
      <c r="U2953" s="408"/>
      <c r="V2953" s="421"/>
      <c r="W2953" s="421"/>
      <c r="X2953" s="421"/>
      <c r="Y2953" s="421"/>
      <c r="Z2953" s="421"/>
      <c r="AA2953" s="421"/>
      <c r="AB2953" s="421"/>
      <c r="AC2953" s="421"/>
      <c r="AD2953" s="421"/>
      <c r="AE2953" s="421"/>
      <c r="AF2953" s="421"/>
      <c r="AG2953" s="421"/>
      <c r="AH2953" s="421"/>
      <c r="AI2953" s="421"/>
      <c r="AJ2953" s="421"/>
      <c r="AK2953" s="421"/>
      <c r="AL2953" s="421"/>
    </row>
    <row r="2954" spans="1:38" hidden="1">
      <c r="A2954" s="408"/>
      <c r="B2954" s="83" t="e">
        <f t="array" ref="B2954">SUM(--(FREQUENCY(IF(C$2:C$3072=C2954, MATCH(D$2:D$3072, D$2:D$3072, 0)), ROW(D$2:D$3072)-ROW(D$2)+1) &gt; 0))</f>
        <v>#N/A</v>
      </c>
      <c r="C2954" s="408"/>
      <c r="D2954" s="408"/>
      <c r="E2954" s="408"/>
      <c r="F2954" s="408"/>
      <c r="G2954" s="408"/>
      <c r="H2954" s="408"/>
      <c r="I2954" s="408"/>
      <c r="J2954" s="408"/>
      <c r="K2954" s="408"/>
      <c r="L2954" s="408"/>
      <c r="M2954" s="408"/>
      <c r="N2954" s="408" t="str">
        <f t="shared" si="473"/>
        <v/>
      </c>
      <c r="O2954" s="408"/>
      <c r="P2954" s="408"/>
      <c r="Q2954" s="408"/>
      <c r="R2954" s="408"/>
      <c r="S2954" s="408"/>
      <c r="T2954" s="408"/>
      <c r="U2954" s="408"/>
      <c r="V2954" s="421"/>
      <c r="W2954" s="421"/>
      <c r="X2954" s="421"/>
      <c r="Y2954" s="421"/>
      <c r="Z2954" s="421"/>
      <c r="AA2954" s="421"/>
      <c r="AB2954" s="421"/>
      <c r="AC2954" s="421"/>
      <c r="AD2954" s="421"/>
      <c r="AE2954" s="421"/>
      <c r="AF2954" s="421"/>
      <c r="AG2954" s="421"/>
      <c r="AH2954" s="421"/>
      <c r="AI2954" s="421"/>
      <c r="AJ2954" s="421"/>
      <c r="AK2954" s="421"/>
      <c r="AL2954" s="421"/>
    </row>
    <row r="2955" spans="1:38" hidden="1">
      <c r="A2955" s="408"/>
      <c r="B2955" s="83" t="e">
        <f t="array" ref="B2955">SUM(--(FREQUENCY(IF(C$2:C$3072=C2955, MATCH(D$2:D$3072, D$2:D$3072, 0)), ROW(D$2:D$3072)-ROW(D$2)+1) &gt; 0))</f>
        <v>#N/A</v>
      </c>
      <c r="C2955" s="408"/>
      <c r="D2955" s="408"/>
      <c r="E2955" s="408"/>
      <c r="F2955" s="408"/>
      <c r="G2955" s="408"/>
      <c r="H2955" s="408"/>
      <c r="I2955" s="408"/>
      <c r="J2955" s="408"/>
      <c r="K2955" s="408"/>
      <c r="L2955" s="408"/>
      <c r="M2955" s="408"/>
      <c r="N2955" s="408" t="str">
        <f t="shared" si="473"/>
        <v/>
      </c>
      <c r="O2955" s="408"/>
      <c r="P2955" s="408"/>
      <c r="Q2955" s="408"/>
      <c r="R2955" s="408"/>
      <c r="S2955" s="408"/>
      <c r="T2955" s="408"/>
      <c r="U2955" s="408"/>
      <c r="V2955" s="421"/>
      <c r="W2955" s="421"/>
      <c r="X2955" s="421"/>
      <c r="Y2955" s="421"/>
      <c r="Z2955" s="421"/>
      <c r="AA2955" s="421"/>
      <c r="AB2955" s="421"/>
      <c r="AC2955" s="421"/>
      <c r="AD2955" s="421"/>
      <c r="AE2955" s="421"/>
      <c r="AF2955" s="421"/>
      <c r="AG2955" s="421"/>
      <c r="AH2955" s="421"/>
      <c r="AI2955" s="421"/>
      <c r="AJ2955" s="421"/>
      <c r="AK2955" s="421"/>
      <c r="AL2955" s="421"/>
    </row>
    <row r="2956" spans="1:38" hidden="1">
      <c r="A2956" s="408"/>
      <c r="B2956" s="83" t="e">
        <f t="array" ref="B2956">SUM(--(FREQUENCY(IF(C$2:C$3072=C2956, MATCH(D$2:D$3072, D$2:D$3072, 0)), ROW(D$2:D$3072)-ROW(D$2)+1) &gt; 0))</f>
        <v>#N/A</v>
      </c>
      <c r="C2956" s="408"/>
      <c r="D2956" s="408"/>
      <c r="E2956" s="408"/>
      <c r="F2956" s="408"/>
      <c r="G2956" s="408"/>
      <c r="H2956" s="408"/>
      <c r="I2956" s="408"/>
      <c r="J2956" s="408"/>
      <c r="K2956" s="408"/>
      <c r="L2956" s="408"/>
      <c r="M2956" s="408"/>
      <c r="N2956" s="408" t="str">
        <f t="shared" si="473"/>
        <v/>
      </c>
      <c r="O2956" s="408"/>
      <c r="P2956" s="408"/>
      <c r="Q2956" s="408"/>
      <c r="R2956" s="408"/>
      <c r="S2956" s="408"/>
      <c r="T2956" s="408"/>
      <c r="U2956" s="408"/>
      <c r="V2956" s="421"/>
      <c r="W2956" s="421"/>
      <c r="X2956" s="421"/>
      <c r="Y2956" s="421"/>
      <c r="Z2956" s="421"/>
      <c r="AA2956" s="421"/>
      <c r="AB2956" s="421"/>
      <c r="AC2956" s="421"/>
      <c r="AD2956" s="421"/>
      <c r="AE2956" s="421"/>
      <c r="AF2956" s="421"/>
      <c r="AG2956" s="421"/>
      <c r="AH2956" s="421"/>
      <c r="AI2956" s="421"/>
      <c r="AJ2956" s="421"/>
      <c r="AK2956" s="421"/>
      <c r="AL2956" s="421"/>
    </row>
    <row r="2957" spans="1:38" hidden="1">
      <c r="A2957" s="408"/>
      <c r="B2957" s="83" t="e">
        <f t="array" ref="B2957">SUM(--(FREQUENCY(IF(C$2:C$3072=C2957, MATCH(D$2:D$3072, D$2:D$3072, 0)), ROW(D$2:D$3072)-ROW(D$2)+1) &gt; 0))</f>
        <v>#N/A</v>
      </c>
      <c r="C2957" s="408"/>
      <c r="D2957" s="408"/>
      <c r="E2957" s="408"/>
      <c r="F2957" s="408"/>
      <c r="G2957" s="408"/>
      <c r="H2957" s="408"/>
      <c r="I2957" s="408"/>
      <c r="J2957" s="408"/>
      <c r="K2957" s="408"/>
      <c r="L2957" s="408"/>
      <c r="M2957" s="408"/>
      <c r="N2957" s="408" t="str">
        <f t="shared" si="473"/>
        <v/>
      </c>
      <c r="O2957" s="408"/>
      <c r="P2957" s="408"/>
      <c r="Q2957" s="408"/>
      <c r="R2957" s="408"/>
      <c r="S2957" s="408"/>
      <c r="T2957" s="408"/>
      <c r="U2957" s="408"/>
      <c r="V2957" s="421"/>
      <c r="W2957" s="421"/>
      <c r="X2957" s="421"/>
      <c r="Y2957" s="421"/>
      <c r="Z2957" s="421"/>
      <c r="AA2957" s="421"/>
      <c r="AB2957" s="421"/>
      <c r="AC2957" s="421"/>
      <c r="AD2957" s="421"/>
      <c r="AE2957" s="421"/>
      <c r="AF2957" s="421"/>
      <c r="AG2957" s="421"/>
      <c r="AH2957" s="421"/>
      <c r="AI2957" s="421"/>
      <c r="AJ2957" s="421"/>
      <c r="AK2957" s="421"/>
      <c r="AL2957" s="421"/>
    </row>
    <row r="2958" spans="1:38" hidden="1">
      <c r="A2958" s="408"/>
      <c r="B2958" s="83" t="e">
        <f t="array" ref="B2958">SUM(--(FREQUENCY(IF(C$2:C$3072=C2958, MATCH(D$2:D$3072, D$2:D$3072, 0)), ROW(D$2:D$3072)-ROW(D$2)+1) &gt; 0))</f>
        <v>#N/A</v>
      </c>
      <c r="C2958" s="408"/>
      <c r="D2958" s="408"/>
      <c r="E2958" s="408"/>
      <c r="F2958" s="408"/>
      <c r="G2958" s="408"/>
      <c r="H2958" s="408"/>
      <c r="I2958" s="408"/>
      <c r="J2958" s="408"/>
      <c r="K2958" s="408"/>
      <c r="L2958" s="408"/>
      <c r="M2958" s="408"/>
      <c r="N2958" s="408" t="str">
        <f t="shared" si="473"/>
        <v/>
      </c>
      <c r="O2958" s="408"/>
      <c r="P2958" s="408"/>
      <c r="Q2958" s="408"/>
      <c r="R2958" s="408"/>
      <c r="S2958" s="408"/>
      <c r="T2958" s="408"/>
      <c r="U2958" s="408"/>
      <c r="V2958" s="421"/>
      <c r="W2958" s="421"/>
      <c r="X2958" s="421"/>
      <c r="Y2958" s="421"/>
      <c r="Z2958" s="421"/>
      <c r="AA2958" s="421"/>
      <c r="AB2958" s="421"/>
      <c r="AC2958" s="421"/>
      <c r="AD2958" s="421"/>
      <c r="AE2958" s="421"/>
      <c r="AF2958" s="421"/>
      <c r="AG2958" s="421"/>
      <c r="AH2958" s="421"/>
      <c r="AI2958" s="421"/>
      <c r="AJ2958" s="421"/>
      <c r="AK2958" s="421"/>
      <c r="AL2958" s="421"/>
    </row>
    <row r="2959" spans="1:38" hidden="1">
      <c r="A2959" s="408"/>
      <c r="B2959" s="83" t="e">
        <f t="array" ref="B2959">SUM(--(FREQUENCY(IF(C$2:C$3072=C2959, MATCH(D$2:D$3072, D$2:D$3072, 0)), ROW(D$2:D$3072)-ROW(D$2)+1) &gt; 0))</f>
        <v>#N/A</v>
      </c>
      <c r="C2959" s="408"/>
      <c r="D2959" s="408"/>
      <c r="E2959" s="408"/>
      <c r="F2959" s="408"/>
      <c r="G2959" s="408"/>
      <c r="H2959" s="408"/>
      <c r="I2959" s="408"/>
      <c r="J2959" s="408"/>
      <c r="K2959" s="408"/>
      <c r="L2959" s="408"/>
      <c r="M2959" s="408"/>
      <c r="N2959" s="408" t="str">
        <f t="shared" si="473"/>
        <v/>
      </c>
      <c r="O2959" s="408"/>
      <c r="P2959" s="408"/>
      <c r="Q2959" s="408"/>
      <c r="R2959" s="408"/>
      <c r="S2959" s="408"/>
      <c r="T2959" s="408"/>
      <c r="U2959" s="408"/>
      <c r="V2959" s="421"/>
      <c r="W2959" s="421"/>
      <c r="X2959" s="421"/>
      <c r="Y2959" s="421"/>
      <c r="Z2959" s="421"/>
      <c r="AA2959" s="421"/>
      <c r="AB2959" s="421"/>
      <c r="AC2959" s="421"/>
      <c r="AD2959" s="421"/>
      <c r="AE2959" s="421"/>
      <c r="AF2959" s="421"/>
      <c r="AG2959" s="421"/>
      <c r="AH2959" s="421"/>
      <c r="AI2959" s="421"/>
      <c r="AJ2959" s="421"/>
      <c r="AK2959" s="421"/>
      <c r="AL2959" s="421"/>
    </row>
    <row r="2960" spans="1:38" hidden="1">
      <c r="A2960" s="408"/>
      <c r="B2960" s="83" t="e">
        <f t="array" ref="B2960">SUM(--(FREQUENCY(IF(C$2:C$3072=C2960, MATCH(D$2:D$3072, D$2:D$3072, 0)), ROW(D$2:D$3072)-ROW(D$2)+1) &gt; 0))</f>
        <v>#N/A</v>
      </c>
      <c r="C2960" s="408"/>
      <c r="D2960" s="408"/>
      <c r="E2960" s="408"/>
      <c r="F2960" s="408"/>
      <c r="G2960" s="408"/>
      <c r="H2960" s="408"/>
      <c r="I2960" s="408"/>
      <c r="J2960" s="408"/>
      <c r="K2960" s="408"/>
      <c r="L2960" s="408"/>
      <c r="M2960" s="408"/>
      <c r="N2960" s="408" t="str">
        <f t="shared" si="473"/>
        <v/>
      </c>
      <c r="O2960" s="408"/>
      <c r="P2960" s="408"/>
      <c r="Q2960" s="408"/>
      <c r="R2960" s="408"/>
      <c r="S2960" s="408"/>
      <c r="T2960" s="408"/>
      <c r="U2960" s="408"/>
      <c r="V2960" s="421"/>
      <c r="W2960" s="421"/>
      <c r="X2960" s="421"/>
      <c r="Y2960" s="421"/>
      <c r="Z2960" s="421"/>
      <c r="AA2960" s="421"/>
      <c r="AB2960" s="421"/>
      <c r="AC2960" s="421"/>
      <c r="AD2960" s="421"/>
      <c r="AE2960" s="421"/>
      <c r="AF2960" s="421"/>
      <c r="AG2960" s="421"/>
      <c r="AH2960" s="421"/>
      <c r="AI2960" s="421"/>
      <c r="AJ2960" s="421"/>
      <c r="AK2960" s="421"/>
      <c r="AL2960" s="421"/>
    </row>
    <row r="2961" spans="1:38" hidden="1">
      <c r="A2961" s="408"/>
      <c r="B2961" s="83" t="e">
        <f t="array" ref="B2961">SUM(--(FREQUENCY(IF(C$2:C$3072=C2961, MATCH(D$2:D$3072, D$2:D$3072, 0)), ROW(D$2:D$3072)-ROW(D$2)+1) &gt; 0))</f>
        <v>#N/A</v>
      </c>
      <c r="C2961" s="408"/>
      <c r="D2961" s="408"/>
      <c r="E2961" s="408"/>
      <c r="F2961" s="408"/>
      <c r="G2961" s="408"/>
      <c r="H2961" s="408"/>
      <c r="I2961" s="408"/>
      <c r="J2961" s="408"/>
      <c r="K2961" s="408"/>
      <c r="L2961" s="408"/>
      <c r="M2961" s="408"/>
      <c r="N2961" s="408" t="str">
        <f t="shared" si="473"/>
        <v/>
      </c>
      <c r="O2961" s="408"/>
      <c r="P2961" s="408"/>
      <c r="Q2961" s="408"/>
      <c r="R2961" s="408"/>
      <c r="S2961" s="408"/>
      <c r="T2961" s="408"/>
      <c r="U2961" s="408"/>
      <c r="V2961" s="421"/>
      <c r="W2961" s="421"/>
      <c r="X2961" s="421"/>
      <c r="Y2961" s="421"/>
      <c r="Z2961" s="421"/>
      <c r="AA2961" s="421"/>
      <c r="AB2961" s="421"/>
      <c r="AC2961" s="421"/>
      <c r="AD2961" s="421"/>
      <c r="AE2961" s="421"/>
      <c r="AF2961" s="421"/>
      <c r="AG2961" s="421"/>
      <c r="AH2961" s="421"/>
      <c r="AI2961" s="421"/>
      <c r="AJ2961" s="421"/>
      <c r="AK2961" s="421"/>
      <c r="AL2961" s="421"/>
    </row>
    <row r="2962" spans="1:38" hidden="1">
      <c r="A2962" s="408"/>
      <c r="B2962" s="83" t="e">
        <f t="array" ref="B2962">SUM(--(FREQUENCY(IF(C$2:C$3072=C2962, MATCH(D$2:D$3072, D$2:D$3072, 0)), ROW(D$2:D$3072)-ROW(D$2)+1) &gt; 0))</f>
        <v>#N/A</v>
      </c>
      <c r="C2962" s="408"/>
      <c r="D2962" s="408"/>
      <c r="E2962" s="408"/>
      <c r="F2962" s="408"/>
      <c r="G2962" s="408"/>
      <c r="H2962" s="408"/>
      <c r="I2962" s="408"/>
      <c r="J2962" s="408"/>
      <c r="K2962" s="408"/>
      <c r="L2962" s="408"/>
      <c r="M2962" s="408"/>
      <c r="N2962" s="408" t="str">
        <f t="shared" si="473"/>
        <v/>
      </c>
      <c r="O2962" s="408"/>
      <c r="P2962" s="408"/>
      <c r="Q2962" s="408"/>
      <c r="R2962" s="408"/>
      <c r="S2962" s="408"/>
      <c r="T2962" s="408"/>
      <c r="U2962" s="408"/>
      <c r="V2962" s="421"/>
      <c r="W2962" s="421"/>
      <c r="X2962" s="421"/>
      <c r="Y2962" s="421"/>
      <c r="Z2962" s="421"/>
      <c r="AA2962" s="421"/>
      <c r="AB2962" s="421"/>
      <c r="AC2962" s="421"/>
      <c r="AD2962" s="421"/>
      <c r="AE2962" s="421"/>
      <c r="AF2962" s="421"/>
      <c r="AG2962" s="421"/>
      <c r="AH2962" s="421"/>
      <c r="AI2962" s="421"/>
      <c r="AJ2962" s="421"/>
      <c r="AK2962" s="421"/>
      <c r="AL2962" s="421"/>
    </row>
    <row r="2963" spans="1:38" hidden="1">
      <c r="A2963" s="408"/>
      <c r="B2963" s="83" t="e">
        <f t="array" ref="B2963">SUM(--(FREQUENCY(IF(C$2:C$3072=C2963, MATCH(D$2:D$3072, D$2:D$3072, 0)), ROW(D$2:D$3072)-ROW(D$2)+1) &gt; 0))</f>
        <v>#N/A</v>
      </c>
      <c r="C2963" s="408"/>
      <c r="D2963" s="408"/>
      <c r="E2963" s="408"/>
      <c r="F2963" s="408"/>
      <c r="G2963" s="408"/>
      <c r="H2963" s="408"/>
      <c r="I2963" s="408"/>
      <c r="J2963" s="408"/>
      <c r="K2963" s="408"/>
      <c r="L2963" s="408"/>
      <c r="M2963" s="408"/>
      <c r="N2963" s="408" t="str">
        <f t="shared" si="473"/>
        <v/>
      </c>
      <c r="O2963" s="408"/>
      <c r="P2963" s="408"/>
      <c r="Q2963" s="408"/>
      <c r="R2963" s="408"/>
      <c r="S2963" s="408"/>
      <c r="T2963" s="408"/>
      <c r="U2963" s="408"/>
      <c r="V2963" s="421"/>
      <c r="W2963" s="421"/>
      <c r="X2963" s="421"/>
      <c r="Y2963" s="421"/>
      <c r="Z2963" s="421"/>
      <c r="AA2963" s="421"/>
      <c r="AB2963" s="421"/>
      <c r="AC2963" s="421"/>
      <c r="AD2963" s="421"/>
      <c r="AE2963" s="421"/>
      <c r="AF2963" s="421"/>
      <c r="AG2963" s="421"/>
      <c r="AH2963" s="421"/>
      <c r="AI2963" s="421"/>
      <c r="AJ2963" s="421"/>
      <c r="AK2963" s="421"/>
      <c r="AL2963" s="421"/>
    </row>
    <row r="2964" spans="1:38" hidden="1">
      <c r="A2964" s="408"/>
      <c r="B2964" s="83" t="e">
        <f t="array" ref="B2964">SUM(--(FREQUENCY(IF(C$2:C$3072=C2964, MATCH(D$2:D$3072, D$2:D$3072, 0)), ROW(D$2:D$3072)-ROW(D$2)+1) &gt; 0))</f>
        <v>#N/A</v>
      </c>
      <c r="C2964" s="408"/>
      <c r="D2964" s="408"/>
      <c r="E2964" s="408"/>
      <c r="F2964" s="408"/>
      <c r="G2964" s="408"/>
      <c r="H2964" s="408"/>
      <c r="I2964" s="408"/>
      <c r="J2964" s="408"/>
      <c r="K2964" s="408"/>
      <c r="L2964" s="408"/>
      <c r="M2964" s="408"/>
      <c r="N2964" s="408" t="str">
        <f t="shared" si="473"/>
        <v/>
      </c>
      <c r="O2964" s="408"/>
      <c r="P2964" s="408"/>
      <c r="Q2964" s="408"/>
      <c r="R2964" s="408"/>
      <c r="S2964" s="408"/>
      <c r="T2964" s="408"/>
      <c r="U2964" s="408"/>
      <c r="V2964" s="421"/>
      <c r="W2964" s="421"/>
      <c r="X2964" s="421"/>
      <c r="Y2964" s="421"/>
      <c r="Z2964" s="421"/>
      <c r="AA2964" s="421"/>
      <c r="AB2964" s="421"/>
      <c r="AC2964" s="421"/>
      <c r="AD2964" s="421"/>
      <c r="AE2964" s="421"/>
      <c r="AF2964" s="421"/>
      <c r="AG2964" s="421"/>
      <c r="AH2964" s="421"/>
      <c r="AI2964" s="421"/>
      <c r="AJ2964" s="421"/>
      <c r="AK2964" s="421"/>
      <c r="AL2964" s="421"/>
    </row>
    <row r="2965" spans="1:38" hidden="1">
      <c r="A2965" s="408"/>
      <c r="B2965" s="83" t="e">
        <f t="array" ref="B2965">SUM(--(FREQUENCY(IF(C$2:C$3072=C2965, MATCH(D$2:D$3072, D$2:D$3072, 0)), ROW(D$2:D$3072)-ROW(D$2)+1) &gt; 0))</f>
        <v>#N/A</v>
      </c>
      <c r="C2965" s="408"/>
      <c r="D2965" s="408"/>
      <c r="E2965" s="408"/>
      <c r="F2965" s="408"/>
      <c r="G2965" s="408"/>
      <c r="H2965" s="408"/>
      <c r="I2965" s="408"/>
      <c r="J2965" s="408"/>
      <c r="K2965" s="408"/>
      <c r="L2965" s="408"/>
      <c r="M2965" s="408"/>
      <c r="N2965" s="408" t="str">
        <f t="shared" si="473"/>
        <v/>
      </c>
      <c r="O2965" s="408"/>
      <c r="P2965" s="408"/>
      <c r="Q2965" s="408"/>
      <c r="R2965" s="408"/>
      <c r="S2965" s="408"/>
      <c r="T2965" s="408"/>
      <c r="U2965" s="408"/>
      <c r="V2965" s="421"/>
      <c r="W2965" s="421"/>
      <c r="X2965" s="421"/>
      <c r="Y2965" s="421"/>
      <c r="Z2965" s="421"/>
      <c r="AA2965" s="421"/>
      <c r="AB2965" s="421"/>
      <c r="AC2965" s="421"/>
      <c r="AD2965" s="421"/>
      <c r="AE2965" s="421"/>
      <c r="AF2965" s="421"/>
      <c r="AG2965" s="421"/>
      <c r="AH2965" s="421"/>
      <c r="AI2965" s="421"/>
      <c r="AJ2965" s="421"/>
      <c r="AK2965" s="421"/>
      <c r="AL2965" s="421"/>
    </row>
    <row r="2966" spans="1:38" hidden="1">
      <c r="A2966" s="408"/>
      <c r="B2966" s="83" t="e">
        <f t="array" ref="B2966">SUM(--(FREQUENCY(IF(C$2:C$3072=C2966, MATCH(D$2:D$3072, D$2:D$3072, 0)), ROW(D$2:D$3072)-ROW(D$2)+1) &gt; 0))</f>
        <v>#N/A</v>
      </c>
      <c r="C2966" s="408"/>
      <c r="D2966" s="408"/>
      <c r="E2966" s="408"/>
      <c r="F2966" s="408"/>
      <c r="G2966" s="408"/>
      <c r="H2966" s="408"/>
      <c r="I2966" s="408"/>
      <c r="J2966" s="408"/>
      <c r="K2966" s="408"/>
      <c r="L2966" s="408"/>
      <c r="M2966" s="408"/>
      <c r="N2966" s="408" t="str">
        <f t="shared" si="473"/>
        <v/>
      </c>
      <c r="O2966" s="408"/>
      <c r="P2966" s="408"/>
      <c r="Q2966" s="408"/>
      <c r="R2966" s="408"/>
      <c r="S2966" s="408"/>
      <c r="T2966" s="408"/>
      <c r="U2966" s="408"/>
      <c r="V2966" s="421"/>
      <c r="W2966" s="421"/>
      <c r="X2966" s="421"/>
      <c r="Y2966" s="421"/>
      <c r="Z2966" s="421"/>
      <c r="AA2966" s="421"/>
      <c r="AB2966" s="421"/>
      <c r="AC2966" s="421"/>
      <c r="AD2966" s="421"/>
      <c r="AE2966" s="421"/>
      <c r="AF2966" s="421"/>
      <c r="AG2966" s="421"/>
      <c r="AH2966" s="421"/>
      <c r="AI2966" s="421"/>
      <c r="AJ2966" s="421"/>
      <c r="AK2966" s="421"/>
      <c r="AL2966" s="421"/>
    </row>
    <row r="2967" spans="1:38" hidden="1">
      <c r="A2967" s="408"/>
      <c r="B2967" s="83" t="e">
        <f t="array" ref="B2967">SUM(--(FREQUENCY(IF(C$2:C$3072=C2967, MATCH(D$2:D$3072, D$2:D$3072, 0)), ROW(D$2:D$3072)-ROW(D$2)+1) &gt; 0))</f>
        <v>#N/A</v>
      </c>
      <c r="C2967" s="408"/>
      <c r="D2967" s="408"/>
      <c r="E2967" s="408"/>
      <c r="F2967" s="408"/>
      <c r="G2967" s="408"/>
      <c r="H2967" s="408"/>
      <c r="I2967" s="408"/>
      <c r="J2967" s="408"/>
      <c r="K2967" s="408"/>
      <c r="L2967" s="408"/>
      <c r="M2967" s="408"/>
      <c r="N2967" s="408" t="str">
        <f t="shared" si="473"/>
        <v/>
      </c>
      <c r="O2967" s="408"/>
      <c r="P2967" s="408"/>
      <c r="Q2967" s="408"/>
      <c r="R2967" s="408"/>
      <c r="S2967" s="408"/>
      <c r="T2967" s="408"/>
      <c r="U2967" s="408"/>
      <c r="V2967" s="421"/>
      <c r="W2967" s="421"/>
      <c r="X2967" s="421"/>
      <c r="Y2967" s="421"/>
      <c r="Z2967" s="421"/>
      <c r="AA2967" s="421"/>
      <c r="AB2967" s="421"/>
      <c r="AC2967" s="421"/>
      <c r="AD2967" s="421"/>
      <c r="AE2967" s="421"/>
      <c r="AF2967" s="421"/>
      <c r="AG2967" s="421"/>
      <c r="AH2967" s="421"/>
      <c r="AI2967" s="421"/>
      <c r="AJ2967" s="421"/>
      <c r="AK2967" s="421"/>
      <c r="AL2967" s="421"/>
    </row>
    <row r="2968" spans="1:38" hidden="1">
      <c r="A2968" s="408"/>
      <c r="B2968" s="83" t="e">
        <f t="array" ref="B2968">SUM(--(FREQUENCY(IF(C$2:C$3072=C2968, MATCH(D$2:D$3072, D$2:D$3072, 0)), ROW(D$2:D$3072)-ROW(D$2)+1) &gt; 0))</f>
        <v>#N/A</v>
      </c>
      <c r="C2968" s="408"/>
      <c r="D2968" s="408"/>
      <c r="E2968" s="408"/>
      <c r="F2968" s="408"/>
      <c r="G2968" s="408"/>
      <c r="H2968" s="408"/>
      <c r="I2968" s="408"/>
      <c r="J2968" s="408"/>
      <c r="K2968" s="408"/>
      <c r="L2968" s="408"/>
      <c r="M2968" s="408"/>
      <c r="N2968" s="408" t="str">
        <f t="shared" si="473"/>
        <v/>
      </c>
      <c r="O2968" s="408"/>
      <c r="P2968" s="408"/>
      <c r="Q2968" s="408"/>
      <c r="R2968" s="408"/>
      <c r="S2968" s="408"/>
      <c r="T2968" s="408"/>
      <c r="U2968" s="408"/>
      <c r="V2968" s="421"/>
      <c r="W2968" s="421"/>
      <c r="X2968" s="421"/>
      <c r="Y2968" s="421"/>
      <c r="Z2968" s="421"/>
      <c r="AA2968" s="421"/>
      <c r="AB2968" s="421"/>
      <c r="AC2968" s="421"/>
      <c r="AD2968" s="421"/>
      <c r="AE2968" s="421"/>
      <c r="AF2968" s="421"/>
      <c r="AG2968" s="421"/>
      <c r="AH2968" s="421"/>
      <c r="AI2968" s="421"/>
      <c r="AJ2968" s="421"/>
      <c r="AK2968" s="421"/>
      <c r="AL2968" s="421"/>
    </row>
    <row r="2969" spans="1:38" hidden="1">
      <c r="A2969" s="408"/>
      <c r="B2969" s="83" t="e">
        <f t="array" ref="B2969">SUM(--(FREQUENCY(IF(C$2:C$3072=C2969, MATCH(D$2:D$3072, D$2:D$3072, 0)), ROW(D$2:D$3072)-ROW(D$2)+1) &gt; 0))</f>
        <v>#N/A</v>
      </c>
      <c r="C2969" s="408"/>
      <c r="D2969" s="408"/>
      <c r="E2969" s="408"/>
      <c r="F2969" s="408"/>
      <c r="G2969" s="408"/>
      <c r="H2969" s="408"/>
      <c r="I2969" s="408"/>
      <c r="J2969" s="408"/>
      <c r="K2969" s="408"/>
      <c r="L2969" s="408"/>
      <c r="M2969" s="408"/>
      <c r="N2969" s="408" t="str">
        <f t="shared" si="473"/>
        <v/>
      </c>
      <c r="O2969" s="408"/>
      <c r="P2969" s="408"/>
      <c r="Q2969" s="408"/>
      <c r="R2969" s="408"/>
      <c r="S2969" s="408"/>
      <c r="T2969" s="408"/>
      <c r="U2969" s="408"/>
      <c r="V2969" s="421"/>
      <c r="W2969" s="421"/>
      <c r="X2969" s="421"/>
      <c r="Y2969" s="421"/>
      <c r="Z2969" s="421"/>
      <c r="AA2969" s="421"/>
      <c r="AB2969" s="421"/>
      <c r="AC2969" s="421"/>
      <c r="AD2969" s="421"/>
      <c r="AE2969" s="421"/>
      <c r="AF2969" s="421"/>
      <c r="AG2969" s="421"/>
      <c r="AH2969" s="421"/>
      <c r="AI2969" s="421"/>
      <c r="AJ2969" s="421"/>
      <c r="AK2969" s="421"/>
      <c r="AL2969" s="421"/>
    </row>
    <row r="2970" spans="1:38" hidden="1">
      <c r="A2970" s="408"/>
      <c r="B2970" s="83" t="e">
        <f t="array" ref="B2970">SUM(--(FREQUENCY(IF(C$2:C$3072=C2970, MATCH(D$2:D$3072, D$2:D$3072, 0)), ROW(D$2:D$3072)-ROW(D$2)+1) &gt; 0))</f>
        <v>#N/A</v>
      </c>
      <c r="C2970" s="408"/>
      <c r="D2970" s="408"/>
      <c r="E2970" s="408"/>
      <c r="F2970" s="408"/>
      <c r="G2970" s="408"/>
      <c r="H2970" s="408"/>
      <c r="I2970" s="408"/>
      <c r="J2970" s="408"/>
      <c r="K2970" s="408"/>
      <c r="L2970" s="408"/>
      <c r="M2970" s="408"/>
      <c r="N2970" s="408" t="str">
        <f t="shared" si="473"/>
        <v/>
      </c>
      <c r="O2970" s="408"/>
      <c r="P2970" s="408"/>
      <c r="Q2970" s="408"/>
      <c r="R2970" s="408"/>
      <c r="S2970" s="408"/>
      <c r="T2970" s="408"/>
      <c r="U2970" s="408"/>
      <c r="V2970" s="421"/>
      <c r="W2970" s="421"/>
      <c r="X2970" s="421"/>
      <c r="Y2970" s="421"/>
      <c r="Z2970" s="421"/>
      <c r="AA2970" s="421"/>
      <c r="AB2970" s="421"/>
      <c r="AC2970" s="421"/>
      <c r="AD2970" s="421"/>
      <c r="AE2970" s="421"/>
      <c r="AF2970" s="421"/>
      <c r="AG2970" s="421"/>
      <c r="AH2970" s="421"/>
      <c r="AI2970" s="421"/>
      <c r="AJ2970" s="421"/>
      <c r="AK2970" s="421"/>
      <c r="AL2970" s="421"/>
    </row>
    <row r="2971" spans="1:38" hidden="1">
      <c r="A2971" s="408"/>
      <c r="B2971" s="83" t="e">
        <f t="array" ref="B2971">SUM(--(FREQUENCY(IF(C$2:C$3072=C2971, MATCH(D$2:D$3072, D$2:D$3072, 0)), ROW(D$2:D$3072)-ROW(D$2)+1) &gt; 0))</f>
        <v>#N/A</v>
      </c>
      <c r="C2971" s="408"/>
      <c r="D2971" s="408"/>
      <c r="E2971" s="408"/>
      <c r="F2971" s="408"/>
      <c r="G2971" s="408"/>
      <c r="H2971" s="408"/>
      <c r="I2971" s="408"/>
      <c r="J2971" s="408"/>
      <c r="K2971" s="408"/>
      <c r="L2971" s="408"/>
      <c r="M2971" s="408"/>
      <c r="N2971" s="408" t="str">
        <f t="shared" si="473"/>
        <v/>
      </c>
      <c r="O2971" s="408"/>
      <c r="P2971" s="408"/>
      <c r="Q2971" s="408"/>
      <c r="R2971" s="408"/>
      <c r="S2971" s="408"/>
      <c r="T2971" s="408"/>
      <c r="U2971" s="408"/>
      <c r="V2971" s="421"/>
      <c r="W2971" s="421"/>
      <c r="X2971" s="421"/>
      <c r="Y2971" s="421"/>
      <c r="Z2971" s="421"/>
      <c r="AA2971" s="421"/>
      <c r="AB2971" s="421"/>
      <c r="AC2971" s="421"/>
      <c r="AD2971" s="421"/>
      <c r="AE2971" s="421"/>
      <c r="AF2971" s="421"/>
      <c r="AG2971" s="421"/>
      <c r="AH2971" s="421"/>
      <c r="AI2971" s="421"/>
      <c r="AJ2971" s="421"/>
      <c r="AK2971" s="421"/>
      <c r="AL2971" s="421"/>
    </row>
    <row r="2972" spans="1:38" hidden="1">
      <c r="A2972" s="408"/>
      <c r="B2972" s="83" t="e">
        <f t="array" ref="B2972">SUM(--(FREQUENCY(IF(C$2:C$3072=C2972, MATCH(D$2:D$3072, D$2:D$3072, 0)), ROW(D$2:D$3072)-ROW(D$2)+1) &gt; 0))</f>
        <v>#N/A</v>
      </c>
      <c r="C2972" s="408"/>
      <c r="D2972" s="408"/>
      <c r="E2972" s="408"/>
      <c r="F2972" s="408"/>
      <c r="G2972" s="408"/>
      <c r="H2972" s="408"/>
      <c r="I2972" s="408"/>
      <c r="J2972" s="408"/>
      <c r="K2972" s="408"/>
      <c r="L2972" s="408"/>
      <c r="M2972" s="408"/>
      <c r="N2972" s="408" t="str">
        <f t="shared" si="473"/>
        <v/>
      </c>
      <c r="O2972" s="408"/>
      <c r="P2972" s="408"/>
      <c r="Q2972" s="408"/>
      <c r="R2972" s="408"/>
      <c r="S2972" s="408"/>
      <c r="T2972" s="408"/>
      <c r="U2972" s="408"/>
      <c r="V2972" s="421"/>
      <c r="W2972" s="421"/>
      <c r="X2972" s="421"/>
      <c r="Y2972" s="421"/>
      <c r="Z2972" s="421"/>
      <c r="AA2972" s="421"/>
      <c r="AB2972" s="421"/>
      <c r="AC2972" s="421"/>
      <c r="AD2972" s="421"/>
      <c r="AE2972" s="421"/>
      <c r="AF2972" s="421"/>
      <c r="AG2972" s="421"/>
      <c r="AH2972" s="421"/>
      <c r="AI2972" s="421"/>
      <c r="AJ2972" s="421"/>
      <c r="AK2972" s="421"/>
      <c r="AL2972" s="421"/>
    </row>
    <row r="2973" spans="1:38" hidden="1">
      <c r="A2973" s="408"/>
      <c r="B2973" s="83" t="e">
        <f t="array" ref="B2973">SUM(--(FREQUENCY(IF(C$2:C$3072=C2973, MATCH(D$2:D$3072, D$2:D$3072, 0)), ROW(D$2:D$3072)-ROW(D$2)+1) &gt; 0))</f>
        <v>#N/A</v>
      </c>
      <c r="C2973" s="408"/>
      <c r="D2973" s="408"/>
      <c r="E2973" s="408"/>
      <c r="F2973" s="408"/>
      <c r="G2973" s="408"/>
      <c r="H2973" s="408"/>
      <c r="I2973" s="408"/>
      <c r="J2973" s="408"/>
      <c r="K2973" s="408"/>
      <c r="L2973" s="408"/>
      <c r="M2973" s="408"/>
      <c r="N2973" s="408" t="str">
        <f t="shared" si="473"/>
        <v/>
      </c>
      <c r="O2973" s="408"/>
      <c r="P2973" s="408"/>
      <c r="Q2973" s="408"/>
      <c r="R2973" s="408"/>
      <c r="S2973" s="408"/>
      <c r="T2973" s="408"/>
      <c r="U2973" s="408"/>
      <c r="V2973" s="421"/>
      <c r="W2973" s="421"/>
      <c r="X2973" s="421"/>
      <c r="Y2973" s="421"/>
      <c r="Z2973" s="421"/>
      <c r="AA2973" s="421"/>
      <c r="AB2973" s="421"/>
      <c r="AC2973" s="421"/>
      <c r="AD2973" s="421"/>
      <c r="AE2973" s="421"/>
      <c r="AF2973" s="421"/>
      <c r="AG2973" s="421"/>
      <c r="AH2973" s="421"/>
      <c r="AI2973" s="421"/>
      <c r="AJ2973" s="421"/>
      <c r="AK2973" s="421"/>
      <c r="AL2973" s="421"/>
    </row>
    <row r="2974" spans="1:38" hidden="1">
      <c r="A2974" s="408"/>
      <c r="B2974" s="83" t="e">
        <f t="array" ref="B2974">SUM(--(FREQUENCY(IF(C$2:C$3072=C2974, MATCH(D$2:D$3072, D$2:D$3072, 0)), ROW(D$2:D$3072)-ROW(D$2)+1) &gt; 0))</f>
        <v>#N/A</v>
      </c>
      <c r="C2974" s="408"/>
      <c r="D2974" s="408"/>
      <c r="E2974" s="408"/>
      <c r="F2974" s="408"/>
      <c r="G2974" s="408"/>
      <c r="H2974" s="408"/>
      <c r="I2974" s="408"/>
      <c r="J2974" s="408"/>
      <c r="K2974" s="408"/>
      <c r="L2974" s="408"/>
      <c r="M2974" s="408"/>
      <c r="N2974" s="408" t="str">
        <f t="shared" si="473"/>
        <v/>
      </c>
      <c r="O2974" s="408"/>
      <c r="P2974" s="408"/>
      <c r="Q2974" s="408"/>
      <c r="R2974" s="408"/>
      <c r="S2974" s="408"/>
      <c r="T2974" s="408"/>
      <c r="U2974" s="408"/>
      <c r="V2974" s="421"/>
      <c r="W2974" s="421"/>
      <c r="X2974" s="421"/>
      <c r="Y2974" s="421"/>
      <c r="Z2974" s="421"/>
      <c r="AA2974" s="421"/>
      <c r="AB2974" s="421"/>
      <c r="AC2974" s="421"/>
      <c r="AD2974" s="421"/>
      <c r="AE2974" s="421"/>
      <c r="AF2974" s="421"/>
      <c r="AG2974" s="421"/>
      <c r="AH2974" s="421"/>
      <c r="AI2974" s="421"/>
      <c r="AJ2974" s="421"/>
      <c r="AK2974" s="421"/>
      <c r="AL2974" s="421"/>
    </row>
    <row r="2975" spans="1:38" hidden="1">
      <c r="A2975" s="408"/>
      <c r="B2975" s="83" t="e">
        <f t="array" ref="B2975">SUM(--(FREQUENCY(IF(C$2:C$3072=C2975, MATCH(D$2:D$3072, D$2:D$3072, 0)), ROW(D$2:D$3072)-ROW(D$2)+1) &gt; 0))</f>
        <v>#N/A</v>
      </c>
      <c r="C2975" s="408"/>
      <c r="D2975" s="408"/>
      <c r="E2975" s="408"/>
      <c r="F2975" s="408"/>
      <c r="G2975" s="408"/>
      <c r="H2975" s="408"/>
      <c r="I2975" s="408"/>
      <c r="J2975" s="408"/>
      <c r="K2975" s="408"/>
      <c r="L2975" s="408"/>
      <c r="M2975" s="408"/>
      <c r="N2975" s="408" t="str">
        <f t="shared" si="473"/>
        <v/>
      </c>
      <c r="O2975" s="408"/>
      <c r="P2975" s="408"/>
      <c r="Q2975" s="408"/>
      <c r="R2975" s="408"/>
      <c r="S2975" s="408"/>
      <c r="T2975" s="408"/>
      <c r="U2975" s="408"/>
      <c r="V2975" s="421"/>
      <c r="W2975" s="421"/>
      <c r="X2975" s="421"/>
      <c r="Y2975" s="421"/>
      <c r="Z2975" s="421"/>
      <c r="AA2975" s="421"/>
      <c r="AB2975" s="421"/>
      <c r="AC2975" s="421"/>
      <c r="AD2975" s="421"/>
      <c r="AE2975" s="421"/>
      <c r="AF2975" s="421"/>
      <c r="AG2975" s="421"/>
      <c r="AH2975" s="421"/>
      <c r="AI2975" s="421"/>
      <c r="AJ2975" s="421"/>
      <c r="AK2975" s="421"/>
      <c r="AL2975" s="421"/>
    </row>
    <row r="2976" spans="1:38" hidden="1">
      <c r="A2976" s="408"/>
      <c r="B2976" s="83" t="e">
        <f t="array" ref="B2976">SUM(--(FREQUENCY(IF(C$2:C$3072=C2976, MATCH(D$2:D$3072, D$2:D$3072, 0)), ROW(D$2:D$3072)-ROW(D$2)+1) &gt; 0))</f>
        <v>#N/A</v>
      </c>
      <c r="C2976" s="408"/>
      <c r="D2976" s="408"/>
      <c r="E2976" s="408"/>
      <c r="F2976" s="408"/>
      <c r="G2976" s="408"/>
      <c r="H2976" s="408"/>
      <c r="I2976" s="408"/>
      <c r="J2976" s="408"/>
      <c r="K2976" s="408"/>
      <c r="L2976" s="408"/>
      <c r="M2976" s="408"/>
      <c r="N2976" s="408" t="str">
        <f t="shared" si="473"/>
        <v/>
      </c>
      <c r="O2976" s="408"/>
      <c r="P2976" s="408"/>
      <c r="Q2976" s="408"/>
      <c r="R2976" s="408"/>
      <c r="S2976" s="408"/>
      <c r="T2976" s="408"/>
      <c r="U2976" s="408"/>
      <c r="V2976" s="421"/>
      <c r="W2976" s="421"/>
      <c r="X2976" s="421"/>
      <c r="Y2976" s="421"/>
      <c r="Z2976" s="421"/>
      <c r="AA2976" s="421"/>
      <c r="AB2976" s="421"/>
      <c r="AC2976" s="421"/>
      <c r="AD2976" s="421"/>
      <c r="AE2976" s="421"/>
      <c r="AF2976" s="421"/>
      <c r="AG2976" s="421"/>
      <c r="AH2976" s="421"/>
      <c r="AI2976" s="421"/>
      <c r="AJ2976" s="421"/>
      <c r="AK2976" s="421"/>
      <c r="AL2976" s="421"/>
    </row>
    <row r="2977" spans="1:38" hidden="1">
      <c r="A2977" s="408"/>
      <c r="B2977" s="83" t="e">
        <f t="array" ref="B2977">SUM(--(FREQUENCY(IF(C$2:C$3072=C2977, MATCH(D$2:D$3072, D$2:D$3072, 0)), ROW(D$2:D$3072)-ROW(D$2)+1) &gt; 0))</f>
        <v>#N/A</v>
      </c>
      <c r="C2977" s="408"/>
      <c r="D2977" s="408"/>
      <c r="E2977" s="408"/>
      <c r="F2977" s="408"/>
      <c r="G2977" s="408"/>
      <c r="H2977" s="408"/>
      <c r="I2977" s="408"/>
      <c r="J2977" s="408"/>
      <c r="K2977" s="408"/>
      <c r="L2977" s="408"/>
      <c r="M2977" s="408"/>
      <c r="N2977" s="408" t="str">
        <f t="shared" si="473"/>
        <v/>
      </c>
      <c r="O2977" s="408"/>
      <c r="P2977" s="408"/>
      <c r="Q2977" s="408"/>
      <c r="R2977" s="408"/>
      <c r="S2977" s="408"/>
      <c r="T2977" s="408"/>
      <c r="U2977" s="408"/>
      <c r="V2977" s="421"/>
      <c r="W2977" s="421"/>
      <c r="X2977" s="421"/>
      <c r="Y2977" s="421"/>
      <c r="Z2977" s="421"/>
      <c r="AA2977" s="421"/>
      <c r="AB2977" s="421"/>
      <c r="AC2977" s="421"/>
      <c r="AD2977" s="421"/>
      <c r="AE2977" s="421"/>
      <c r="AF2977" s="421"/>
      <c r="AG2977" s="421"/>
      <c r="AH2977" s="421"/>
      <c r="AI2977" s="421"/>
      <c r="AJ2977" s="421"/>
      <c r="AK2977" s="421"/>
      <c r="AL2977" s="421"/>
    </row>
    <row r="2978" spans="1:38" hidden="1">
      <c r="A2978" s="408"/>
      <c r="B2978" s="83" t="e">
        <f t="array" ref="B2978">SUM(--(FREQUENCY(IF(C$2:C$3072=C2978, MATCH(D$2:D$3072, D$2:D$3072, 0)), ROW(D$2:D$3072)-ROW(D$2)+1) &gt; 0))</f>
        <v>#N/A</v>
      </c>
      <c r="C2978" s="408"/>
      <c r="D2978" s="408"/>
      <c r="E2978" s="408"/>
      <c r="F2978" s="408"/>
      <c r="G2978" s="408"/>
      <c r="H2978" s="408"/>
      <c r="I2978" s="408"/>
      <c r="J2978" s="408"/>
      <c r="K2978" s="408"/>
      <c r="L2978" s="408"/>
      <c r="M2978" s="408"/>
      <c r="N2978" s="408" t="str">
        <f t="shared" si="473"/>
        <v/>
      </c>
      <c r="O2978" s="408"/>
      <c r="P2978" s="408"/>
      <c r="Q2978" s="408"/>
      <c r="R2978" s="408"/>
      <c r="S2978" s="408"/>
      <c r="T2978" s="408"/>
      <c r="U2978" s="408"/>
      <c r="V2978" s="421"/>
      <c r="W2978" s="421"/>
      <c r="X2978" s="421"/>
      <c r="Y2978" s="421"/>
      <c r="Z2978" s="421"/>
      <c r="AA2978" s="421"/>
      <c r="AB2978" s="421"/>
      <c r="AC2978" s="421"/>
      <c r="AD2978" s="421"/>
      <c r="AE2978" s="421"/>
      <c r="AF2978" s="421"/>
      <c r="AG2978" s="421"/>
      <c r="AH2978" s="421"/>
      <c r="AI2978" s="421"/>
      <c r="AJ2978" s="421"/>
      <c r="AK2978" s="421"/>
      <c r="AL2978" s="421"/>
    </row>
    <row r="2979" spans="1:38" hidden="1">
      <c r="A2979" s="408"/>
      <c r="B2979" s="83" t="e">
        <f t="array" ref="B2979">SUM(--(FREQUENCY(IF(C$2:C$3072=C2979, MATCH(D$2:D$3072, D$2:D$3072, 0)), ROW(D$2:D$3072)-ROW(D$2)+1) &gt; 0))</f>
        <v>#N/A</v>
      </c>
      <c r="C2979" s="408"/>
      <c r="D2979" s="408"/>
      <c r="E2979" s="408"/>
      <c r="F2979" s="408"/>
      <c r="G2979" s="408"/>
      <c r="H2979" s="408"/>
      <c r="I2979" s="408"/>
      <c r="J2979" s="408"/>
      <c r="K2979" s="408"/>
      <c r="L2979" s="408"/>
      <c r="M2979" s="408"/>
      <c r="N2979" s="408" t="str">
        <f t="shared" si="473"/>
        <v/>
      </c>
      <c r="O2979" s="408"/>
      <c r="P2979" s="408"/>
      <c r="Q2979" s="408"/>
      <c r="R2979" s="408"/>
      <c r="S2979" s="408"/>
      <c r="T2979" s="408"/>
      <c r="U2979" s="408"/>
      <c r="V2979" s="421"/>
      <c r="W2979" s="421"/>
      <c r="X2979" s="421"/>
      <c r="Y2979" s="421"/>
      <c r="Z2979" s="421"/>
      <c r="AA2979" s="421"/>
      <c r="AB2979" s="421"/>
      <c r="AC2979" s="421"/>
      <c r="AD2979" s="421"/>
      <c r="AE2979" s="421"/>
      <c r="AF2979" s="421"/>
      <c r="AG2979" s="421"/>
      <c r="AH2979" s="421"/>
      <c r="AI2979" s="421"/>
      <c r="AJ2979" s="421"/>
      <c r="AK2979" s="421"/>
      <c r="AL2979" s="421"/>
    </row>
    <row r="2980" spans="1:38" hidden="1">
      <c r="A2980" s="408"/>
      <c r="B2980" s="83" t="e">
        <f t="array" ref="B2980">SUM(--(FREQUENCY(IF(C$2:C$3072=C2980, MATCH(D$2:D$3072, D$2:D$3072, 0)), ROW(D$2:D$3072)-ROW(D$2)+1) &gt; 0))</f>
        <v>#N/A</v>
      </c>
      <c r="C2980" s="408"/>
      <c r="D2980" s="408"/>
      <c r="E2980" s="408"/>
      <c r="F2980" s="408"/>
      <c r="G2980" s="408"/>
      <c r="H2980" s="408"/>
      <c r="I2980" s="408"/>
      <c r="J2980" s="408"/>
      <c r="K2980" s="408"/>
      <c r="L2980" s="408"/>
      <c r="M2980" s="408"/>
      <c r="N2980" s="408" t="str">
        <f t="shared" si="473"/>
        <v/>
      </c>
      <c r="O2980" s="408"/>
      <c r="P2980" s="408"/>
      <c r="Q2980" s="408"/>
      <c r="R2980" s="408"/>
      <c r="S2980" s="408"/>
      <c r="T2980" s="408"/>
      <c r="U2980" s="408"/>
      <c r="V2980" s="421"/>
      <c r="W2980" s="421"/>
      <c r="X2980" s="421"/>
      <c r="Y2980" s="421"/>
      <c r="Z2980" s="421"/>
      <c r="AA2980" s="421"/>
      <c r="AB2980" s="421"/>
      <c r="AC2980" s="421"/>
      <c r="AD2980" s="421"/>
      <c r="AE2980" s="421"/>
      <c r="AF2980" s="421"/>
      <c r="AG2980" s="421"/>
      <c r="AH2980" s="421"/>
      <c r="AI2980" s="421"/>
      <c r="AJ2980" s="421"/>
      <c r="AK2980" s="421"/>
      <c r="AL2980" s="421"/>
    </row>
    <row r="2981" spans="1:38" hidden="1">
      <c r="A2981" s="408"/>
      <c r="B2981" s="83" t="e">
        <f t="array" ref="B2981">SUM(--(FREQUENCY(IF(C$2:C$3072=C2981, MATCH(D$2:D$3072, D$2:D$3072, 0)), ROW(D$2:D$3072)-ROW(D$2)+1) &gt; 0))</f>
        <v>#N/A</v>
      </c>
      <c r="C2981" s="408"/>
      <c r="D2981" s="408"/>
      <c r="E2981" s="408"/>
      <c r="F2981" s="408"/>
      <c r="G2981" s="408"/>
      <c r="H2981" s="408"/>
      <c r="I2981" s="408"/>
      <c r="J2981" s="408"/>
      <c r="K2981" s="408"/>
      <c r="L2981" s="408"/>
      <c r="M2981" s="408"/>
      <c r="N2981" s="408" t="str">
        <f t="shared" si="473"/>
        <v/>
      </c>
      <c r="O2981" s="408"/>
      <c r="P2981" s="408"/>
      <c r="Q2981" s="408"/>
      <c r="R2981" s="408"/>
      <c r="S2981" s="408"/>
      <c r="T2981" s="408"/>
      <c r="U2981" s="408"/>
      <c r="V2981" s="421"/>
      <c r="W2981" s="421"/>
      <c r="X2981" s="421"/>
      <c r="Y2981" s="421"/>
      <c r="Z2981" s="421"/>
      <c r="AA2981" s="421"/>
      <c r="AB2981" s="421"/>
      <c r="AC2981" s="421"/>
      <c r="AD2981" s="421"/>
      <c r="AE2981" s="421"/>
      <c r="AF2981" s="421"/>
      <c r="AG2981" s="421"/>
      <c r="AH2981" s="421"/>
      <c r="AI2981" s="421"/>
      <c r="AJ2981" s="421"/>
      <c r="AK2981" s="421"/>
      <c r="AL2981" s="421"/>
    </row>
    <row r="2982" spans="1:38" hidden="1">
      <c r="A2982" s="408"/>
      <c r="B2982" s="83" t="e">
        <f t="array" ref="B2982">SUM(--(FREQUENCY(IF(C$2:C$3072=C2982, MATCH(D$2:D$3072, D$2:D$3072, 0)), ROW(D$2:D$3072)-ROW(D$2)+1) &gt; 0))</f>
        <v>#N/A</v>
      </c>
      <c r="C2982" s="408"/>
      <c r="D2982" s="408"/>
      <c r="E2982" s="408"/>
      <c r="F2982" s="408"/>
      <c r="G2982" s="408"/>
      <c r="H2982" s="408"/>
      <c r="I2982" s="408"/>
      <c r="J2982" s="408"/>
      <c r="K2982" s="408"/>
      <c r="L2982" s="408"/>
      <c r="M2982" s="408"/>
      <c r="N2982" s="408" t="str">
        <f t="shared" si="473"/>
        <v/>
      </c>
      <c r="O2982" s="408"/>
      <c r="P2982" s="408"/>
      <c r="Q2982" s="408"/>
      <c r="R2982" s="408"/>
      <c r="S2982" s="408"/>
      <c r="T2982" s="408"/>
      <c r="U2982" s="408"/>
      <c r="V2982" s="421"/>
      <c r="W2982" s="421"/>
      <c r="X2982" s="421"/>
      <c r="Y2982" s="421"/>
      <c r="Z2982" s="421"/>
      <c r="AA2982" s="421"/>
      <c r="AB2982" s="421"/>
      <c r="AC2982" s="421"/>
      <c r="AD2982" s="421"/>
      <c r="AE2982" s="421"/>
      <c r="AF2982" s="421"/>
      <c r="AG2982" s="421"/>
      <c r="AH2982" s="421"/>
      <c r="AI2982" s="421"/>
      <c r="AJ2982" s="421"/>
      <c r="AK2982" s="421"/>
      <c r="AL2982" s="421"/>
    </row>
    <row r="2983" spans="1:38" hidden="1">
      <c r="A2983" s="408"/>
      <c r="B2983" s="83" t="e">
        <f t="array" ref="B2983">SUM(--(FREQUENCY(IF(C$2:C$3072=C2983, MATCH(D$2:D$3072, D$2:D$3072, 0)), ROW(D$2:D$3072)-ROW(D$2)+1) &gt; 0))</f>
        <v>#N/A</v>
      </c>
      <c r="C2983" s="408"/>
      <c r="D2983" s="408"/>
      <c r="E2983" s="408"/>
      <c r="F2983" s="408"/>
      <c r="G2983" s="408"/>
      <c r="H2983" s="408"/>
      <c r="I2983" s="408"/>
      <c r="J2983" s="408"/>
      <c r="K2983" s="408"/>
      <c r="L2983" s="408"/>
      <c r="M2983" s="408"/>
      <c r="N2983" s="408" t="str">
        <f t="shared" si="473"/>
        <v/>
      </c>
      <c r="O2983" s="408"/>
      <c r="P2983" s="408"/>
      <c r="Q2983" s="408"/>
      <c r="R2983" s="408"/>
      <c r="S2983" s="408"/>
      <c r="T2983" s="408"/>
      <c r="U2983" s="408"/>
      <c r="V2983" s="421"/>
      <c r="W2983" s="421"/>
      <c r="X2983" s="421"/>
      <c r="Y2983" s="421"/>
      <c r="Z2983" s="421"/>
      <c r="AA2983" s="421"/>
      <c r="AB2983" s="421"/>
      <c r="AC2983" s="421"/>
      <c r="AD2983" s="421"/>
      <c r="AE2983" s="421"/>
      <c r="AF2983" s="421"/>
      <c r="AG2983" s="421"/>
      <c r="AH2983" s="421"/>
      <c r="AI2983" s="421"/>
      <c r="AJ2983" s="421"/>
      <c r="AK2983" s="421"/>
      <c r="AL2983" s="421"/>
    </row>
    <row r="2984" spans="1:38" hidden="1">
      <c r="A2984" s="408"/>
      <c r="B2984" s="83" t="e">
        <f t="array" ref="B2984">SUM(--(FREQUENCY(IF(C$2:C$3072=C2984, MATCH(D$2:D$3072, D$2:D$3072, 0)), ROW(D$2:D$3072)-ROW(D$2)+1) &gt; 0))</f>
        <v>#N/A</v>
      </c>
      <c r="C2984" s="408"/>
      <c r="D2984" s="408"/>
      <c r="E2984" s="408"/>
      <c r="F2984" s="408"/>
      <c r="G2984" s="408"/>
      <c r="H2984" s="408"/>
      <c r="I2984" s="408"/>
      <c r="J2984" s="408"/>
      <c r="K2984" s="408"/>
      <c r="L2984" s="408"/>
      <c r="M2984" s="408"/>
      <c r="N2984" s="408" t="str">
        <f t="shared" si="473"/>
        <v/>
      </c>
      <c r="O2984" s="408"/>
      <c r="P2984" s="408"/>
      <c r="Q2984" s="408"/>
      <c r="R2984" s="408"/>
      <c r="S2984" s="408"/>
      <c r="T2984" s="408"/>
      <c r="U2984" s="408"/>
      <c r="V2984" s="421"/>
      <c r="W2984" s="421"/>
      <c r="X2984" s="421"/>
      <c r="Y2984" s="421"/>
      <c r="Z2984" s="421"/>
      <c r="AA2984" s="421"/>
      <c r="AB2984" s="421"/>
      <c r="AC2984" s="421"/>
      <c r="AD2984" s="421"/>
      <c r="AE2984" s="421"/>
      <c r="AF2984" s="421"/>
      <c r="AG2984" s="421"/>
      <c r="AH2984" s="421"/>
      <c r="AI2984" s="421"/>
      <c r="AJ2984" s="421"/>
      <c r="AK2984" s="421"/>
      <c r="AL2984" s="421"/>
    </row>
    <row r="2985" spans="1:38" hidden="1">
      <c r="A2985" s="408"/>
      <c r="B2985" s="83" t="e">
        <f t="array" ref="B2985">SUM(--(FREQUENCY(IF(C$2:C$3072=C2985, MATCH(D$2:D$3072, D$2:D$3072, 0)), ROW(D$2:D$3072)-ROW(D$2)+1) &gt; 0))</f>
        <v>#N/A</v>
      </c>
      <c r="C2985" s="408"/>
      <c r="D2985" s="408"/>
      <c r="E2985" s="408"/>
      <c r="F2985" s="408"/>
      <c r="G2985" s="408"/>
      <c r="H2985" s="408"/>
      <c r="I2985" s="408"/>
      <c r="J2985" s="408"/>
      <c r="K2985" s="408"/>
      <c r="L2985" s="408"/>
      <c r="M2985" s="408"/>
      <c r="N2985" s="408" t="str">
        <f t="shared" si="473"/>
        <v/>
      </c>
      <c r="O2985" s="408"/>
      <c r="P2985" s="408"/>
      <c r="Q2985" s="408"/>
      <c r="R2985" s="408"/>
      <c r="S2985" s="408"/>
      <c r="T2985" s="408"/>
      <c r="U2985" s="408"/>
      <c r="V2985" s="421"/>
      <c r="W2985" s="421"/>
      <c r="X2985" s="421"/>
      <c r="Y2985" s="421"/>
      <c r="Z2985" s="421"/>
      <c r="AA2985" s="421"/>
      <c r="AB2985" s="421"/>
      <c r="AC2985" s="421"/>
      <c r="AD2985" s="421"/>
      <c r="AE2985" s="421"/>
      <c r="AF2985" s="421"/>
      <c r="AG2985" s="421"/>
      <c r="AH2985" s="421"/>
      <c r="AI2985" s="421"/>
      <c r="AJ2985" s="421"/>
      <c r="AK2985" s="421"/>
      <c r="AL2985" s="421"/>
    </row>
    <row r="2986" spans="1:38" hidden="1">
      <c r="A2986" s="408"/>
      <c r="B2986" s="83" t="e">
        <f t="array" ref="B2986">SUM(--(FREQUENCY(IF(C$2:C$3072=C2986, MATCH(D$2:D$3072, D$2:D$3072, 0)), ROW(D$2:D$3072)-ROW(D$2)+1) &gt; 0))</f>
        <v>#N/A</v>
      </c>
      <c r="C2986" s="408"/>
      <c r="D2986" s="408"/>
      <c r="E2986" s="408"/>
      <c r="F2986" s="408"/>
      <c r="G2986" s="408"/>
      <c r="H2986" s="408"/>
      <c r="I2986" s="408"/>
      <c r="J2986" s="408"/>
      <c r="K2986" s="408"/>
      <c r="L2986" s="408"/>
      <c r="M2986" s="408"/>
      <c r="N2986" s="408" t="str">
        <f t="shared" si="473"/>
        <v/>
      </c>
      <c r="O2986" s="408"/>
      <c r="P2986" s="408"/>
      <c r="Q2986" s="408"/>
      <c r="R2986" s="408"/>
      <c r="S2986" s="408"/>
      <c r="T2986" s="408"/>
      <c r="U2986" s="408"/>
      <c r="V2986" s="421"/>
      <c r="W2986" s="421"/>
      <c r="X2986" s="421"/>
      <c r="Y2986" s="421"/>
      <c r="Z2986" s="421"/>
      <c r="AA2986" s="421"/>
      <c r="AB2986" s="421"/>
      <c r="AC2986" s="421"/>
      <c r="AD2986" s="421"/>
      <c r="AE2986" s="421"/>
      <c r="AF2986" s="421"/>
      <c r="AG2986" s="421"/>
      <c r="AH2986" s="421"/>
      <c r="AI2986" s="421"/>
      <c r="AJ2986" s="421"/>
      <c r="AK2986" s="421"/>
      <c r="AL2986" s="421"/>
    </row>
    <row r="2987" spans="1:38" hidden="1">
      <c r="A2987" s="408"/>
      <c r="B2987" s="83" t="e">
        <f t="array" ref="B2987">SUM(--(FREQUENCY(IF(C$2:C$3072=C2987, MATCH(D$2:D$3072, D$2:D$3072, 0)), ROW(D$2:D$3072)-ROW(D$2)+1) &gt; 0))</f>
        <v>#N/A</v>
      </c>
      <c r="C2987" s="408"/>
      <c r="D2987" s="408"/>
      <c r="E2987" s="408"/>
      <c r="F2987" s="408"/>
      <c r="G2987" s="408"/>
      <c r="H2987" s="408"/>
      <c r="I2987" s="408"/>
      <c r="J2987" s="408"/>
      <c r="K2987" s="408"/>
      <c r="L2987" s="408"/>
      <c r="M2987" s="408"/>
      <c r="N2987" s="408" t="str">
        <f t="shared" si="473"/>
        <v/>
      </c>
      <c r="O2987" s="408"/>
      <c r="P2987" s="408"/>
      <c r="Q2987" s="408"/>
      <c r="R2987" s="408"/>
      <c r="S2987" s="408"/>
      <c r="T2987" s="408"/>
      <c r="U2987" s="408"/>
      <c r="V2987" s="421"/>
      <c r="W2987" s="421"/>
      <c r="X2987" s="421"/>
      <c r="Y2987" s="421"/>
      <c r="Z2987" s="421"/>
      <c r="AA2987" s="421"/>
      <c r="AB2987" s="421"/>
      <c r="AC2987" s="421"/>
      <c r="AD2987" s="421"/>
      <c r="AE2987" s="421"/>
      <c r="AF2987" s="421"/>
      <c r="AG2987" s="421"/>
      <c r="AH2987" s="421"/>
      <c r="AI2987" s="421"/>
      <c r="AJ2987" s="421"/>
      <c r="AK2987" s="421"/>
      <c r="AL2987" s="421"/>
    </row>
    <row r="2988" spans="1:38" hidden="1">
      <c r="A2988" s="408"/>
      <c r="B2988" s="83" t="e">
        <f t="array" ref="B2988">SUM(--(FREQUENCY(IF(C$2:C$3072=C2988, MATCH(D$2:D$3072, D$2:D$3072, 0)), ROW(D$2:D$3072)-ROW(D$2)+1) &gt; 0))</f>
        <v>#N/A</v>
      </c>
      <c r="C2988" s="408"/>
      <c r="D2988" s="408"/>
      <c r="E2988" s="408"/>
      <c r="F2988" s="408"/>
      <c r="G2988" s="408"/>
      <c r="H2988" s="408"/>
      <c r="I2988" s="408"/>
      <c r="J2988" s="408"/>
      <c r="K2988" s="408"/>
      <c r="L2988" s="408"/>
      <c r="M2988" s="408"/>
      <c r="N2988" s="408" t="str">
        <f t="shared" si="473"/>
        <v/>
      </c>
      <c r="O2988" s="408"/>
      <c r="P2988" s="408"/>
      <c r="Q2988" s="408"/>
      <c r="R2988" s="408"/>
      <c r="S2988" s="408"/>
      <c r="T2988" s="408"/>
      <c r="U2988" s="408"/>
      <c r="V2988" s="421"/>
      <c r="W2988" s="421"/>
      <c r="X2988" s="421"/>
      <c r="Y2988" s="421"/>
      <c r="Z2988" s="421"/>
      <c r="AA2988" s="421"/>
      <c r="AB2988" s="421"/>
      <c r="AC2988" s="421"/>
      <c r="AD2988" s="421"/>
      <c r="AE2988" s="421"/>
      <c r="AF2988" s="421"/>
      <c r="AG2988" s="421"/>
      <c r="AH2988" s="421"/>
      <c r="AI2988" s="421"/>
      <c r="AJ2988" s="421"/>
      <c r="AK2988" s="421"/>
      <c r="AL2988" s="421"/>
    </row>
    <row r="2989" spans="1:38" hidden="1">
      <c r="A2989" s="408"/>
      <c r="B2989" s="83" t="e">
        <f t="array" ref="B2989">SUM(--(FREQUENCY(IF(C$2:C$3072=C2989, MATCH(D$2:D$3072, D$2:D$3072, 0)), ROW(D$2:D$3072)-ROW(D$2)+1) &gt; 0))</f>
        <v>#N/A</v>
      </c>
      <c r="C2989" s="408"/>
      <c r="D2989" s="408"/>
      <c r="E2989" s="408"/>
      <c r="F2989" s="408"/>
      <c r="G2989" s="408"/>
      <c r="H2989" s="408"/>
      <c r="I2989" s="408"/>
      <c r="J2989" s="408"/>
      <c r="K2989" s="408"/>
      <c r="L2989" s="408"/>
      <c r="M2989" s="408"/>
      <c r="N2989" s="408" t="str">
        <f t="shared" si="473"/>
        <v/>
      </c>
      <c r="O2989" s="408"/>
      <c r="P2989" s="408"/>
      <c r="Q2989" s="408"/>
      <c r="R2989" s="408"/>
      <c r="S2989" s="408"/>
      <c r="T2989" s="408"/>
      <c r="U2989" s="408"/>
      <c r="V2989" s="421"/>
      <c r="W2989" s="421"/>
      <c r="X2989" s="421"/>
      <c r="Y2989" s="421"/>
      <c r="Z2989" s="421"/>
      <c r="AA2989" s="421"/>
      <c r="AB2989" s="421"/>
      <c r="AC2989" s="421"/>
      <c r="AD2989" s="421"/>
      <c r="AE2989" s="421"/>
      <c r="AF2989" s="421"/>
      <c r="AG2989" s="421"/>
      <c r="AH2989" s="421"/>
      <c r="AI2989" s="421"/>
      <c r="AJ2989" s="421"/>
      <c r="AK2989" s="421"/>
      <c r="AL2989" s="421"/>
    </row>
    <row r="2990" spans="1:38" hidden="1">
      <c r="A2990" s="408"/>
      <c r="B2990" s="83" t="e">
        <f t="array" ref="B2990">SUM(--(FREQUENCY(IF(C$2:C$3072=C2990, MATCH(D$2:D$3072, D$2:D$3072, 0)), ROW(D$2:D$3072)-ROW(D$2)+1) &gt; 0))</f>
        <v>#N/A</v>
      </c>
      <c r="C2990" s="408"/>
      <c r="D2990" s="408"/>
      <c r="E2990" s="408"/>
      <c r="F2990" s="408"/>
      <c r="G2990" s="408"/>
      <c r="H2990" s="408"/>
      <c r="I2990" s="408"/>
      <c r="J2990" s="408"/>
      <c r="K2990" s="408"/>
      <c r="L2990" s="408"/>
      <c r="M2990" s="408"/>
      <c r="N2990" s="408" t="str">
        <f t="shared" si="473"/>
        <v/>
      </c>
      <c r="O2990" s="408"/>
      <c r="P2990" s="408"/>
      <c r="Q2990" s="408"/>
      <c r="R2990" s="408"/>
      <c r="S2990" s="408"/>
      <c r="T2990" s="408"/>
      <c r="U2990" s="408"/>
      <c r="V2990" s="421"/>
      <c r="W2990" s="421"/>
      <c r="X2990" s="421"/>
      <c r="Y2990" s="421"/>
      <c r="Z2990" s="421"/>
      <c r="AA2990" s="421"/>
      <c r="AB2990" s="421"/>
      <c r="AC2990" s="421"/>
      <c r="AD2990" s="421"/>
      <c r="AE2990" s="421"/>
      <c r="AF2990" s="421"/>
      <c r="AG2990" s="421"/>
      <c r="AH2990" s="421"/>
      <c r="AI2990" s="421"/>
      <c r="AJ2990" s="421"/>
      <c r="AK2990" s="421"/>
      <c r="AL2990" s="421"/>
    </row>
    <row r="2991" spans="1:38" hidden="1">
      <c r="A2991" s="408"/>
      <c r="B2991" s="83" t="e">
        <f t="array" ref="B2991">SUM(--(FREQUENCY(IF(C$2:C$3072=C2991, MATCH(D$2:D$3072, D$2:D$3072, 0)), ROW(D$2:D$3072)-ROW(D$2)+1) &gt; 0))</f>
        <v>#N/A</v>
      </c>
      <c r="C2991" s="408"/>
      <c r="D2991" s="408"/>
      <c r="E2991" s="408"/>
      <c r="F2991" s="408"/>
      <c r="G2991" s="408"/>
      <c r="H2991" s="408"/>
      <c r="I2991" s="408"/>
      <c r="J2991" s="408"/>
      <c r="K2991" s="408"/>
      <c r="L2991" s="408"/>
      <c r="M2991" s="408"/>
      <c r="N2991" s="408" t="str">
        <f t="shared" si="473"/>
        <v/>
      </c>
      <c r="O2991" s="408"/>
      <c r="P2991" s="408"/>
      <c r="Q2991" s="408"/>
      <c r="R2991" s="408"/>
      <c r="S2991" s="408"/>
      <c r="T2991" s="408"/>
      <c r="U2991" s="408"/>
      <c r="V2991" s="421"/>
      <c r="W2991" s="421"/>
      <c r="X2991" s="421"/>
      <c r="Y2991" s="421"/>
      <c r="Z2991" s="421"/>
      <c r="AA2991" s="421"/>
      <c r="AB2991" s="421"/>
      <c r="AC2991" s="421"/>
      <c r="AD2991" s="421"/>
      <c r="AE2991" s="421"/>
      <c r="AF2991" s="421"/>
      <c r="AG2991" s="421"/>
      <c r="AH2991" s="421"/>
      <c r="AI2991" s="421"/>
      <c r="AJ2991" s="421"/>
      <c r="AK2991" s="421"/>
      <c r="AL2991" s="421"/>
    </row>
    <row r="2992" spans="1:38" hidden="1">
      <c r="A2992" s="408"/>
      <c r="B2992" s="83" t="e">
        <f t="array" ref="B2992">SUM(--(FREQUENCY(IF(C$2:C$3072=C2992, MATCH(D$2:D$3072, D$2:D$3072, 0)), ROW(D$2:D$3072)-ROW(D$2)+1) &gt; 0))</f>
        <v>#N/A</v>
      </c>
      <c r="C2992" s="408"/>
      <c r="D2992" s="408"/>
      <c r="E2992" s="408"/>
      <c r="F2992" s="408"/>
      <c r="G2992" s="408"/>
      <c r="H2992" s="408"/>
      <c r="I2992" s="408"/>
      <c r="J2992" s="408"/>
      <c r="K2992" s="408"/>
      <c r="L2992" s="408"/>
      <c r="M2992" s="408"/>
      <c r="N2992" s="408" t="str">
        <f t="shared" si="473"/>
        <v/>
      </c>
      <c r="O2992" s="408"/>
      <c r="P2992" s="408"/>
      <c r="Q2992" s="408"/>
      <c r="R2992" s="408"/>
      <c r="S2992" s="408"/>
      <c r="T2992" s="408"/>
      <c r="U2992" s="408"/>
      <c r="V2992" s="421"/>
      <c r="W2992" s="421"/>
      <c r="X2992" s="421"/>
      <c r="Y2992" s="421"/>
      <c r="Z2992" s="421"/>
      <c r="AA2992" s="421"/>
      <c r="AB2992" s="421"/>
      <c r="AC2992" s="421"/>
      <c r="AD2992" s="421"/>
      <c r="AE2992" s="421"/>
      <c r="AF2992" s="421"/>
      <c r="AG2992" s="421"/>
      <c r="AH2992" s="421"/>
      <c r="AI2992" s="421"/>
      <c r="AJ2992" s="421"/>
      <c r="AK2992" s="421"/>
      <c r="AL2992" s="421"/>
    </row>
    <row r="2993" spans="1:38" hidden="1">
      <c r="A2993" s="408"/>
      <c r="B2993" s="83" t="e">
        <f t="array" ref="B2993">SUM(--(FREQUENCY(IF(C$2:C$3072=C2993, MATCH(D$2:D$3072, D$2:D$3072, 0)), ROW(D$2:D$3072)-ROW(D$2)+1) &gt; 0))</f>
        <v>#N/A</v>
      </c>
      <c r="C2993" s="408"/>
      <c r="D2993" s="408"/>
      <c r="E2993" s="408"/>
      <c r="F2993" s="408"/>
      <c r="G2993" s="408"/>
      <c r="H2993" s="408"/>
      <c r="I2993" s="408"/>
      <c r="J2993" s="408"/>
      <c r="K2993" s="408"/>
      <c r="L2993" s="408"/>
      <c r="M2993" s="408"/>
      <c r="N2993" s="408" t="str">
        <f t="shared" si="473"/>
        <v/>
      </c>
      <c r="O2993" s="408"/>
      <c r="P2993" s="408"/>
      <c r="Q2993" s="408"/>
      <c r="R2993" s="408"/>
      <c r="S2993" s="408"/>
      <c r="T2993" s="408"/>
      <c r="U2993" s="408"/>
      <c r="V2993" s="421"/>
      <c r="W2993" s="421"/>
      <c r="X2993" s="421"/>
      <c r="Y2993" s="421"/>
      <c r="Z2993" s="421"/>
      <c r="AA2993" s="421"/>
      <c r="AB2993" s="421"/>
      <c r="AC2993" s="421"/>
      <c r="AD2993" s="421"/>
      <c r="AE2993" s="421"/>
      <c r="AF2993" s="421"/>
      <c r="AG2993" s="421"/>
      <c r="AH2993" s="421"/>
      <c r="AI2993" s="421"/>
      <c r="AJ2993" s="421"/>
      <c r="AK2993" s="421"/>
      <c r="AL2993" s="421"/>
    </row>
    <row r="2994" spans="1:38" hidden="1">
      <c r="A2994" s="408"/>
      <c r="B2994" s="83" t="e">
        <f t="array" ref="B2994">SUM(--(FREQUENCY(IF(C$2:C$3072=C2994, MATCH(D$2:D$3072, D$2:D$3072, 0)), ROW(D$2:D$3072)-ROW(D$2)+1) &gt; 0))</f>
        <v>#N/A</v>
      </c>
      <c r="C2994" s="408"/>
      <c r="D2994" s="408"/>
      <c r="E2994" s="408"/>
      <c r="F2994" s="408"/>
      <c r="G2994" s="408"/>
      <c r="H2994" s="408"/>
      <c r="I2994" s="408"/>
      <c r="J2994" s="408"/>
      <c r="K2994" s="408"/>
      <c r="L2994" s="408"/>
      <c r="M2994" s="408"/>
      <c r="N2994" s="408" t="str">
        <f t="shared" si="473"/>
        <v/>
      </c>
      <c r="O2994" s="408"/>
      <c r="P2994" s="408"/>
      <c r="Q2994" s="408"/>
      <c r="R2994" s="408"/>
      <c r="S2994" s="408"/>
      <c r="T2994" s="408"/>
      <c r="U2994" s="408"/>
      <c r="V2994" s="421"/>
      <c r="W2994" s="421"/>
      <c r="X2994" s="421"/>
      <c r="Y2994" s="421"/>
      <c r="Z2994" s="421"/>
      <c r="AA2994" s="421"/>
      <c r="AB2994" s="421"/>
      <c r="AC2994" s="421"/>
      <c r="AD2994" s="421"/>
      <c r="AE2994" s="421"/>
      <c r="AF2994" s="421"/>
      <c r="AG2994" s="421"/>
      <c r="AH2994" s="421"/>
      <c r="AI2994" s="421"/>
      <c r="AJ2994" s="421"/>
      <c r="AK2994" s="421"/>
      <c r="AL2994" s="421"/>
    </row>
    <row r="2995" spans="1:38" hidden="1">
      <c r="A2995" s="408"/>
      <c r="B2995" s="83" t="e">
        <f t="array" ref="B2995">SUM(--(FREQUENCY(IF(C$2:C$3072=C2995, MATCH(D$2:D$3072, D$2:D$3072, 0)), ROW(D$2:D$3072)-ROW(D$2)+1) &gt; 0))</f>
        <v>#N/A</v>
      </c>
      <c r="C2995" s="408"/>
      <c r="D2995" s="408"/>
      <c r="E2995" s="408"/>
      <c r="F2995" s="408"/>
      <c r="G2995" s="408"/>
      <c r="H2995" s="408"/>
      <c r="I2995" s="408"/>
      <c r="J2995" s="408"/>
      <c r="K2995" s="408"/>
      <c r="L2995" s="408"/>
      <c r="M2995" s="408"/>
      <c r="N2995" s="408" t="str">
        <f t="shared" si="473"/>
        <v/>
      </c>
      <c r="O2995" s="408"/>
      <c r="P2995" s="408"/>
      <c r="Q2995" s="408"/>
      <c r="R2995" s="408"/>
      <c r="S2995" s="408"/>
      <c r="T2995" s="408"/>
      <c r="U2995" s="408"/>
      <c r="V2995" s="421"/>
      <c r="W2995" s="421"/>
      <c r="X2995" s="421"/>
      <c r="Y2995" s="421"/>
      <c r="Z2995" s="421"/>
      <c r="AA2995" s="421"/>
      <c r="AB2995" s="421"/>
      <c r="AC2995" s="421"/>
      <c r="AD2995" s="421"/>
      <c r="AE2995" s="421"/>
      <c r="AF2995" s="421"/>
      <c r="AG2995" s="421"/>
      <c r="AH2995" s="421"/>
      <c r="AI2995" s="421"/>
      <c r="AJ2995" s="421"/>
      <c r="AK2995" s="421"/>
      <c r="AL2995" s="421"/>
    </row>
    <row r="2996" spans="1:38" hidden="1">
      <c r="A2996" s="408"/>
      <c r="B2996" s="83" t="e">
        <f t="array" ref="B2996">SUM(--(FREQUENCY(IF(C$2:C$3072=C2996, MATCH(D$2:D$3072, D$2:D$3072, 0)), ROW(D$2:D$3072)-ROW(D$2)+1) &gt; 0))</f>
        <v>#N/A</v>
      </c>
      <c r="C2996" s="408"/>
      <c r="D2996" s="408"/>
      <c r="E2996" s="408"/>
      <c r="F2996" s="408"/>
      <c r="G2996" s="408"/>
      <c r="H2996" s="408"/>
      <c r="I2996" s="408"/>
      <c r="J2996" s="408"/>
      <c r="K2996" s="408"/>
      <c r="L2996" s="408"/>
      <c r="M2996" s="408"/>
      <c r="N2996" s="408" t="str">
        <f t="shared" si="473"/>
        <v/>
      </c>
      <c r="O2996" s="408"/>
      <c r="P2996" s="408"/>
      <c r="Q2996" s="408"/>
      <c r="R2996" s="408"/>
      <c r="S2996" s="408"/>
      <c r="T2996" s="408"/>
      <c r="U2996" s="408"/>
      <c r="V2996" s="421"/>
      <c r="W2996" s="421"/>
      <c r="X2996" s="421"/>
      <c r="Y2996" s="421"/>
      <c r="Z2996" s="421"/>
      <c r="AA2996" s="421"/>
      <c r="AB2996" s="421"/>
      <c r="AC2996" s="421"/>
      <c r="AD2996" s="421"/>
      <c r="AE2996" s="421"/>
      <c r="AF2996" s="421"/>
      <c r="AG2996" s="421"/>
      <c r="AH2996" s="421"/>
      <c r="AI2996" s="421"/>
      <c r="AJ2996" s="421"/>
      <c r="AK2996" s="421"/>
      <c r="AL2996" s="421"/>
    </row>
    <row r="2997" spans="1:38" hidden="1">
      <c r="A2997" s="408"/>
      <c r="B2997" s="83" t="e">
        <f t="array" ref="B2997">SUM(--(FREQUENCY(IF(C$2:C$3072=C2997, MATCH(D$2:D$3072, D$2:D$3072, 0)), ROW(D$2:D$3072)-ROW(D$2)+1) &gt; 0))</f>
        <v>#N/A</v>
      </c>
      <c r="C2997" s="408"/>
      <c r="D2997" s="408"/>
      <c r="E2997" s="408"/>
      <c r="F2997" s="408"/>
      <c r="G2997" s="408"/>
      <c r="H2997" s="408"/>
      <c r="I2997" s="408"/>
      <c r="J2997" s="408"/>
      <c r="K2997" s="408"/>
      <c r="L2997" s="408"/>
      <c r="M2997" s="408"/>
      <c r="N2997" s="408" t="str">
        <f t="shared" si="473"/>
        <v/>
      </c>
      <c r="O2997" s="408"/>
      <c r="P2997" s="408"/>
      <c r="Q2997" s="408"/>
      <c r="R2997" s="408"/>
      <c r="S2997" s="408"/>
      <c r="T2997" s="408"/>
      <c r="U2997" s="408"/>
      <c r="V2997" s="421"/>
      <c r="W2997" s="421"/>
      <c r="X2997" s="421"/>
      <c r="Y2997" s="421"/>
      <c r="Z2997" s="421"/>
      <c r="AA2997" s="421"/>
      <c r="AB2997" s="421"/>
      <c r="AC2997" s="421"/>
      <c r="AD2997" s="421"/>
      <c r="AE2997" s="421"/>
      <c r="AF2997" s="421"/>
      <c r="AG2997" s="421"/>
      <c r="AH2997" s="421"/>
      <c r="AI2997" s="421"/>
      <c r="AJ2997" s="421"/>
      <c r="AK2997" s="421"/>
      <c r="AL2997" s="421"/>
    </row>
    <row r="2998" spans="1:38" hidden="1">
      <c r="A2998" s="408"/>
      <c r="B2998" s="83" t="e">
        <f t="array" ref="B2998">SUM(--(FREQUENCY(IF(C$2:C$3072=C2998, MATCH(D$2:D$3072, D$2:D$3072, 0)), ROW(D$2:D$3072)-ROW(D$2)+1) &gt; 0))</f>
        <v>#N/A</v>
      </c>
      <c r="C2998" s="408"/>
      <c r="D2998" s="408"/>
      <c r="E2998" s="408"/>
      <c r="F2998" s="408"/>
      <c r="G2998" s="408"/>
      <c r="H2998" s="408"/>
      <c r="I2998" s="408"/>
      <c r="J2998" s="408"/>
      <c r="K2998" s="408"/>
      <c r="L2998" s="408"/>
      <c r="M2998" s="408"/>
      <c r="N2998" s="408" t="str">
        <f t="shared" si="473"/>
        <v/>
      </c>
      <c r="O2998" s="408"/>
      <c r="P2998" s="408"/>
      <c r="Q2998" s="408"/>
      <c r="R2998" s="408"/>
      <c r="S2998" s="408"/>
      <c r="T2998" s="408"/>
      <c r="U2998" s="408"/>
      <c r="V2998" s="421"/>
      <c r="W2998" s="421"/>
      <c r="X2998" s="421"/>
      <c r="Y2998" s="421"/>
      <c r="Z2998" s="421"/>
      <c r="AA2998" s="421"/>
      <c r="AB2998" s="421"/>
      <c r="AC2998" s="421"/>
      <c r="AD2998" s="421"/>
      <c r="AE2998" s="421"/>
      <c r="AF2998" s="421"/>
      <c r="AG2998" s="421"/>
      <c r="AH2998" s="421"/>
      <c r="AI2998" s="421"/>
      <c r="AJ2998" s="421"/>
      <c r="AK2998" s="421"/>
      <c r="AL2998" s="421"/>
    </row>
    <row r="2999" spans="1:38" hidden="1">
      <c r="A2999" s="408"/>
      <c r="B2999" s="83" t="e">
        <f t="array" ref="B2999">SUM(--(FREQUENCY(IF(C$2:C$3072=C2999, MATCH(D$2:D$3072, D$2:D$3072, 0)), ROW(D$2:D$3072)-ROW(D$2)+1) &gt; 0))</f>
        <v>#N/A</v>
      </c>
      <c r="C2999" s="408"/>
      <c r="D2999" s="408"/>
      <c r="E2999" s="408"/>
      <c r="F2999" s="408"/>
      <c r="G2999" s="408"/>
      <c r="H2999" s="408"/>
      <c r="I2999" s="408"/>
      <c r="J2999" s="408"/>
      <c r="K2999" s="408"/>
      <c r="L2999" s="408"/>
      <c r="M2999" s="408"/>
      <c r="N2999" s="408" t="str">
        <f t="shared" si="473"/>
        <v/>
      </c>
      <c r="O2999" s="408"/>
      <c r="P2999" s="408"/>
      <c r="Q2999" s="408"/>
      <c r="R2999" s="408"/>
      <c r="S2999" s="408"/>
      <c r="T2999" s="408"/>
      <c r="U2999" s="408"/>
      <c r="V2999" s="421"/>
      <c r="W2999" s="421"/>
      <c r="X2999" s="421"/>
      <c r="Y2999" s="421"/>
      <c r="Z2999" s="421"/>
      <c r="AA2999" s="421"/>
      <c r="AB2999" s="421"/>
      <c r="AC2999" s="421"/>
      <c r="AD2999" s="421"/>
      <c r="AE2999" s="421"/>
      <c r="AF2999" s="421"/>
      <c r="AG2999" s="421"/>
      <c r="AH2999" s="421"/>
      <c r="AI2999" s="421"/>
      <c r="AJ2999" s="421"/>
      <c r="AK2999" s="421"/>
      <c r="AL2999" s="421"/>
    </row>
    <row r="3000" spans="1:38" hidden="1">
      <c r="A3000" s="408"/>
      <c r="B3000" s="83" t="e">
        <f t="array" ref="B3000">SUM(--(FREQUENCY(IF(C$2:C$3072=C3000, MATCH(D$2:D$3072, D$2:D$3072, 0)), ROW(D$2:D$3072)-ROW(D$2)+1) &gt; 0))</f>
        <v>#N/A</v>
      </c>
      <c r="C3000" s="408"/>
      <c r="D3000" s="408"/>
      <c r="E3000" s="408"/>
      <c r="F3000" s="408"/>
      <c r="G3000" s="408"/>
      <c r="H3000" s="408"/>
      <c r="I3000" s="408"/>
      <c r="J3000" s="408"/>
      <c r="K3000" s="408"/>
      <c r="L3000" s="408"/>
      <c r="M3000" s="408"/>
      <c r="N3000" s="408" t="str">
        <f t="shared" si="473"/>
        <v/>
      </c>
      <c r="O3000" s="408"/>
      <c r="P3000" s="408"/>
      <c r="Q3000" s="408"/>
      <c r="R3000" s="408"/>
      <c r="S3000" s="408"/>
      <c r="T3000" s="408"/>
      <c r="U3000" s="408"/>
      <c r="V3000" s="421"/>
      <c r="W3000" s="421"/>
      <c r="X3000" s="421"/>
      <c r="Y3000" s="421"/>
      <c r="Z3000" s="421"/>
      <c r="AA3000" s="421"/>
      <c r="AB3000" s="421"/>
      <c r="AC3000" s="421"/>
      <c r="AD3000" s="421"/>
      <c r="AE3000" s="421"/>
      <c r="AF3000" s="421"/>
      <c r="AG3000" s="421"/>
      <c r="AH3000" s="421"/>
      <c r="AI3000" s="421"/>
      <c r="AJ3000" s="421"/>
      <c r="AK3000" s="421"/>
      <c r="AL3000" s="421"/>
    </row>
    <row r="3001" spans="1:38" hidden="1">
      <c r="A3001" s="408"/>
      <c r="B3001" s="83" t="e">
        <f t="array" ref="B3001">SUM(--(FREQUENCY(IF(C$2:C$3072=C3001, MATCH(D$2:D$3072, D$2:D$3072, 0)), ROW(D$2:D$3072)-ROW(D$2)+1) &gt; 0))</f>
        <v>#N/A</v>
      </c>
      <c r="C3001" s="408"/>
      <c r="D3001" s="408"/>
      <c r="E3001" s="408"/>
      <c r="F3001" s="408"/>
      <c r="G3001" s="408"/>
      <c r="H3001" s="408"/>
      <c r="I3001" s="408"/>
      <c r="J3001" s="408"/>
      <c r="K3001" s="408"/>
      <c r="L3001" s="408"/>
      <c r="M3001" s="408"/>
      <c r="N3001" s="408" t="str">
        <f t="shared" si="473"/>
        <v/>
      </c>
      <c r="O3001" s="408"/>
      <c r="P3001" s="408"/>
      <c r="Q3001" s="408"/>
      <c r="R3001" s="408"/>
      <c r="S3001" s="408"/>
      <c r="T3001" s="408"/>
      <c r="U3001" s="408"/>
      <c r="V3001" s="421"/>
      <c r="W3001" s="421"/>
      <c r="X3001" s="421"/>
      <c r="Y3001" s="421"/>
      <c r="Z3001" s="421"/>
      <c r="AA3001" s="421"/>
      <c r="AB3001" s="421"/>
      <c r="AC3001" s="421"/>
      <c r="AD3001" s="421"/>
      <c r="AE3001" s="421"/>
      <c r="AF3001" s="421"/>
      <c r="AG3001" s="421"/>
      <c r="AH3001" s="421"/>
      <c r="AI3001" s="421"/>
      <c r="AJ3001" s="421"/>
      <c r="AK3001" s="421"/>
      <c r="AL3001" s="421"/>
    </row>
    <row r="3002" spans="1:38" hidden="1">
      <c r="A3002" s="408"/>
      <c r="B3002" s="83" t="e">
        <f t="array" ref="B3002">SUM(--(FREQUENCY(IF(C$2:C$3072=C3002, MATCH(D$2:D$3072, D$2:D$3072, 0)), ROW(D$2:D$3072)-ROW(D$2)+1) &gt; 0))</f>
        <v>#N/A</v>
      </c>
      <c r="C3002" s="408"/>
      <c r="D3002" s="408"/>
      <c r="E3002" s="408"/>
      <c r="F3002" s="408"/>
      <c r="G3002" s="408"/>
      <c r="H3002" s="408"/>
      <c r="I3002" s="408"/>
      <c r="J3002" s="408"/>
      <c r="K3002" s="408"/>
      <c r="L3002" s="408"/>
      <c r="M3002" s="408"/>
      <c r="N3002" s="408" t="str">
        <f t="shared" si="473"/>
        <v/>
      </c>
      <c r="O3002" s="408"/>
      <c r="P3002" s="408"/>
      <c r="Q3002" s="408"/>
      <c r="R3002" s="408"/>
      <c r="S3002" s="408"/>
      <c r="T3002" s="408"/>
      <c r="U3002" s="408"/>
      <c r="V3002" s="421"/>
      <c r="W3002" s="421"/>
      <c r="X3002" s="421"/>
      <c r="Y3002" s="421"/>
      <c r="Z3002" s="421"/>
      <c r="AA3002" s="421"/>
      <c r="AB3002" s="421"/>
      <c r="AC3002" s="421"/>
      <c r="AD3002" s="421"/>
      <c r="AE3002" s="421"/>
      <c r="AF3002" s="421"/>
      <c r="AG3002" s="421"/>
      <c r="AH3002" s="421"/>
      <c r="AI3002" s="421"/>
      <c r="AJ3002" s="421"/>
      <c r="AK3002" s="421"/>
      <c r="AL3002" s="421"/>
    </row>
    <row r="3003" spans="1:38" hidden="1">
      <c r="A3003" s="408"/>
      <c r="B3003" s="83" t="e">
        <f t="array" ref="B3003">SUM(--(FREQUENCY(IF(C$2:C$3072=C3003, MATCH(D$2:D$3072, D$2:D$3072, 0)), ROW(D$2:D$3072)-ROW(D$2)+1) &gt; 0))</f>
        <v>#N/A</v>
      </c>
      <c r="C3003" s="408"/>
      <c r="D3003" s="408"/>
      <c r="E3003" s="408"/>
      <c r="F3003" s="408"/>
      <c r="G3003" s="408"/>
      <c r="H3003" s="408"/>
      <c r="I3003" s="408"/>
      <c r="J3003" s="408"/>
      <c r="K3003" s="408"/>
      <c r="L3003" s="408"/>
      <c r="M3003" s="408"/>
      <c r="N3003" s="408" t="str">
        <f t="shared" si="473"/>
        <v/>
      </c>
      <c r="O3003" s="408"/>
      <c r="P3003" s="408"/>
      <c r="Q3003" s="408"/>
      <c r="R3003" s="408"/>
      <c r="S3003" s="408"/>
      <c r="T3003" s="408"/>
      <c r="U3003" s="408"/>
      <c r="V3003" s="421"/>
      <c r="W3003" s="421"/>
      <c r="X3003" s="421"/>
      <c r="Y3003" s="421"/>
      <c r="Z3003" s="421"/>
      <c r="AA3003" s="421"/>
      <c r="AB3003" s="421"/>
      <c r="AC3003" s="421"/>
      <c r="AD3003" s="421"/>
      <c r="AE3003" s="421"/>
      <c r="AF3003" s="421"/>
      <c r="AG3003" s="421"/>
      <c r="AH3003" s="421"/>
      <c r="AI3003" s="421"/>
      <c r="AJ3003" s="421"/>
      <c r="AK3003" s="421"/>
      <c r="AL3003" s="421"/>
    </row>
    <row r="3004" spans="1:38" hidden="1">
      <c r="A3004" s="408"/>
      <c r="B3004" s="83" t="e">
        <f t="array" ref="B3004">SUM(--(FREQUENCY(IF(C$2:C$3072=C3004, MATCH(D$2:D$3072, D$2:D$3072, 0)), ROW(D$2:D$3072)-ROW(D$2)+1) &gt; 0))</f>
        <v>#N/A</v>
      </c>
      <c r="C3004" s="408"/>
      <c r="D3004" s="408"/>
      <c r="E3004" s="408"/>
      <c r="F3004" s="408"/>
      <c r="G3004" s="408"/>
      <c r="H3004" s="408"/>
      <c r="I3004" s="408"/>
      <c r="J3004" s="408"/>
      <c r="K3004" s="408"/>
      <c r="L3004" s="408"/>
      <c r="M3004" s="408"/>
      <c r="N3004" s="408" t="str">
        <f t="shared" si="473"/>
        <v/>
      </c>
      <c r="O3004" s="408"/>
      <c r="P3004" s="408"/>
      <c r="Q3004" s="408"/>
      <c r="R3004" s="408"/>
      <c r="S3004" s="408"/>
      <c r="T3004" s="408"/>
      <c r="U3004" s="408"/>
      <c r="V3004" s="421"/>
      <c r="W3004" s="421"/>
      <c r="X3004" s="421"/>
      <c r="Y3004" s="421"/>
      <c r="Z3004" s="421"/>
      <c r="AA3004" s="421"/>
      <c r="AB3004" s="421"/>
      <c r="AC3004" s="421"/>
      <c r="AD3004" s="421"/>
      <c r="AE3004" s="421"/>
      <c r="AF3004" s="421"/>
      <c r="AG3004" s="421"/>
      <c r="AH3004" s="421"/>
      <c r="AI3004" s="421"/>
      <c r="AJ3004" s="421"/>
      <c r="AK3004" s="421"/>
      <c r="AL3004" s="421"/>
    </row>
    <row r="3005" spans="1:38" hidden="1">
      <c r="A3005" s="408"/>
      <c r="B3005" s="83" t="e">
        <f t="array" ref="B3005">SUM(--(FREQUENCY(IF(C$2:C$3072=C3005, MATCH(D$2:D$3072, D$2:D$3072, 0)), ROW(D$2:D$3072)-ROW(D$2)+1) &gt; 0))</f>
        <v>#N/A</v>
      </c>
      <c r="C3005" s="408"/>
      <c r="D3005" s="408"/>
      <c r="E3005" s="408"/>
      <c r="F3005" s="408"/>
      <c r="G3005" s="408"/>
      <c r="H3005" s="408"/>
      <c r="I3005" s="408"/>
      <c r="J3005" s="408"/>
      <c r="K3005" s="408"/>
      <c r="L3005" s="408"/>
      <c r="M3005" s="408"/>
      <c r="N3005" s="408" t="str">
        <f t="shared" si="473"/>
        <v/>
      </c>
      <c r="O3005" s="408"/>
      <c r="P3005" s="408"/>
      <c r="Q3005" s="408"/>
      <c r="R3005" s="408"/>
      <c r="S3005" s="408"/>
      <c r="T3005" s="408"/>
      <c r="U3005" s="408"/>
      <c r="V3005" s="421"/>
      <c r="W3005" s="421"/>
      <c r="X3005" s="421"/>
      <c r="Y3005" s="421"/>
      <c r="Z3005" s="421"/>
      <c r="AA3005" s="421"/>
      <c r="AB3005" s="421"/>
      <c r="AC3005" s="421"/>
      <c r="AD3005" s="421"/>
      <c r="AE3005" s="421"/>
      <c r="AF3005" s="421"/>
      <c r="AG3005" s="421"/>
      <c r="AH3005" s="421"/>
      <c r="AI3005" s="421"/>
      <c r="AJ3005" s="421"/>
      <c r="AK3005" s="421"/>
      <c r="AL3005" s="421"/>
    </row>
    <row r="3006" spans="1:38" hidden="1">
      <c r="A3006" s="408"/>
      <c r="B3006" s="83" t="e">
        <f t="array" ref="B3006">SUM(--(FREQUENCY(IF(C$2:C$3072=C3006, MATCH(D$2:D$3072, D$2:D$3072, 0)), ROW(D$2:D$3072)-ROW(D$2)+1) &gt; 0))</f>
        <v>#N/A</v>
      </c>
      <c r="C3006" s="408"/>
      <c r="D3006" s="408"/>
      <c r="E3006" s="408"/>
      <c r="F3006" s="408"/>
      <c r="G3006" s="408"/>
      <c r="H3006" s="408"/>
      <c r="I3006" s="408"/>
      <c r="J3006" s="408"/>
      <c r="K3006" s="408"/>
      <c r="L3006" s="408"/>
      <c r="M3006" s="408"/>
      <c r="N3006" s="408" t="str">
        <f t="shared" si="473"/>
        <v/>
      </c>
      <c r="O3006" s="408"/>
      <c r="P3006" s="408"/>
      <c r="Q3006" s="408"/>
      <c r="R3006" s="408"/>
      <c r="S3006" s="408"/>
      <c r="T3006" s="408"/>
      <c r="U3006" s="408"/>
      <c r="V3006" s="421"/>
      <c r="W3006" s="421"/>
      <c r="X3006" s="421"/>
      <c r="Y3006" s="421"/>
      <c r="Z3006" s="421"/>
      <c r="AA3006" s="421"/>
      <c r="AB3006" s="421"/>
      <c r="AC3006" s="421"/>
      <c r="AD3006" s="421"/>
      <c r="AE3006" s="421"/>
      <c r="AF3006" s="421"/>
      <c r="AG3006" s="421"/>
      <c r="AH3006" s="421"/>
      <c r="AI3006" s="421"/>
      <c r="AJ3006" s="421"/>
      <c r="AK3006" s="421"/>
      <c r="AL3006" s="421"/>
    </row>
    <row r="3007" spans="1:38" hidden="1">
      <c r="A3007" s="408"/>
      <c r="B3007" s="83" t="e">
        <f t="array" ref="B3007">SUM(--(FREQUENCY(IF(C$2:C$3072=C3007, MATCH(D$2:D$3072, D$2:D$3072, 0)), ROW(D$2:D$3072)-ROW(D$2)+1) &gt; 0))</f>
        <v>#N/A</v>
      </c>
      <c r="C3007" s="408"/>
      <c r="D3007" s="408"/>
      <c r="E3007" s="408"/>
      <c r="F3007" s="408"/>
      <c r="G3007" s="408"/>
      <c r="H3007" s="408"/>
      <c r="I3007" s="408"/>
      <c r="J3007" s="408"/>
      <c r="K3007" s="408"/>
      <c r="L3007" s="408"/>
      <c r="M3007" s="408"/>
      <c r="N3007" s="408" t="str">
        <f t="shared" si="473"/>
        <v/>
      </c>
      <c r="O3007" s="408"/>
      <c r="P3007" s="408"/>
      <c r="Q3007" s="408"/>
      <c r="R3007" s="408"/>
      <c r="S3007" s="408"/>
      <c r="T3007" s="408"/>
      <c r="U3007" s="408"/>
      <c r="V3007" s="421"/>
      <c r="W3007" s="421"/>
      <c r="X3007" s="421"/>
      <c r="Y3007" s="421"/>
      <c r="Z3007" s="421"/>
      <c r="AA3007" s="421"/>
      <c r="AB3007" s="421"/>
      <c r="AC3007" s="421"/>
      <c r="AD3007" s="421"/>
      <c r="AE3007" s="421"/>
      <c r="AF3007" s="421"/>
      <c r="AG3007" s="421"/>
      <c r="AH3007" s="421"/>
      <c r="AI3007" s="421"/>
      <c r="AJ3007" s="421"/>
      <c r="AK3007" s="421"/>
      <c r="AL3007" s="421"/>
    </row>
    <row r="3008" spans="1:38" hidden="1">
      <c r="A3008" s="408"/>
      <c r="B3008" s="83" t="e">
        <f t="array" ref="B3008">SUM(--(FREQUENCY(IF(C$2:C$3072=C3008, MATCH(D$2:D$3072, D$2:D$3072, 0)), ROW(D$2:D$3072)-ROW(D$2)+1) &gt; 0))</f>
        <v>#N/A</v>
      </c>
      <c r="C3008" s="408"/>
      <c r="D3008" s="408"/>
      <c r="E3008" s="408"/>
      <c r="F3008" s="408"/>
      <c r="G3008" s="408"/>
      <c r="H3008" s="408"/>
      <c r="I3008" s="408"/>
      <c r="J3008" s="408"/>
      <c r="K3008" s="408"/>
      <c r="L3008" s="408"/>
      <c r="M3008" s="408"/>
      <c r="N3008" s="408" t="str">
        <f t="shared" ref="N3008:N3071" si="474">IF(O3008&lt;&gt;"", "NG", "")</f>
        <v/>
      </c>
      <c r="O3008" s="408"/>
      <c r="P3008" s="408"/>
      <c r="Q3008" s="408"/>
      <c r="R3008" s="408"/>
      <c r="S3008" s="408"/>
      <c r="T3008" s="408"/>
      <c r="U3008" s="408"/>
      <c r="V3008" s="421"/>
      <c r="W3008" s="421"/>
      <c r="X3008" s="421"/>
      <c r="Y3008" s="421"/>
      <c r="Z3008" s="421"/>
      <c r="AA3008" s="421"/>
      <c r="AB3008" s="421"/>
      <c r="AC3008" s="421"/>
      <c r="AD3008" s="421"/>
      <c r="AE3008" s="421"/>
      <c r="AF3008" s="421"/>
      <c r="AG3008" s="421"/>
      <c r="AH3008" s="421"/>
      <c r="AI3008" s="421"/>
      <c r="AJ3008" s="421"/>
      <c r="AK3008" s="421"/>
      <c r="AL3008" s="421"/>
    </row>
    <row r="3009" spans="1:38" hidden="1">
      <c r="A3009" s="408"/>
      <c r="B3009" s="83" t="e">
        <f t="array" ref="B3009">SUM(--(FREQUENCY(IF(C$2:C$3072=C3009, MATCH(D$2:D$3072, D$2:D$3072, 0)), ROW(D$2:D$3072)-ROW(D$2)+1) &gt; 0))</f>
        <v>#N/A</v>
      </c>
      <c r="C3009" s="408"/>
      <c r="D3009" s="408"/>
      <c r="E3009" s="408"/>
      <c r="F3009" s="408"/>
      <c r="G3009" s="408"/>
      <c r="H3009" s="408"/>
      <c r="I3009" s="408"/>
      <c r="J3009" s="408"/>
      <c r="K3009" s="408"/>
      <c r="L3009" s="408"/>
      <c r="M3009" s="408"/>
      <c r="N3009" s="408" t="str">
        <f t="shared" si="474"/>
        <v/>
      </c>
      <c r="O3009" s="408"/>
      <c r="P3009" s="408"/>
      <c r="Q3009" s="408"/>
      <c r="R3009" s="408"/>
      <c r="S3009" s="408"/>
      <c r="T3009" s="408"/>
      <c r="U3009" s="408"/>
      <c r="V3009" s="421"/>
      <c r="W3009" s="421"/>
      <c r="X3009" s="421"/>
      <c r="Y3009" s="421"/>
      <c r="Z3009" s="421"/>
      <c r="AA3009" s="421"/>
      <c r="AB3009" s="421"/>
      <c r="AC3009" s="421"/>
      <c r="AD3009" s="421"/>
      <c r="AE3009" s="421"/>
      <c r="AF3009" s="421"/>
      <c r="AG3009" s="421"/>
      <c r="AH3009" s="421"/>
      <c r="AI3009" s="421"/>
      <c r="AJ3009" s="421"/>
      <c r="AK3009" s="421"/>
      <c r="AL3009" s="421"/>
    </row>
    <row r="3010" spans="1:38" hidden="1">
      <c r="A3010" s="408"/>
      <c r="B3010" s="83" t="e">
        <f t="array" ref="B3010">SUM(--(FREQUENCY(IF(C$2:C$3072=C3010, MATCH(D$2:D$3072, D$2:D$3072, 0)), ROW(D$2:D$3072)-ROW(D$2)+1) &gt; 0))</f>
        <v>#N/A</v>
      </c>
      <c r="C3010" s="408"/>
      <c r="D3010" s="408"/>
      <c r="E3010" s="408"/>
      <c r="F3010" s="408"/>
      <c r="G3010" s="408"/>
      <c r="H3010" s="408"/>
      <c r="I3010" s="408"/>
      <c r="J3010" s="408"/>
      <c r="K3010" s="408"/>
      <c r="L3010" s="408"/>
      <c r="M3010" s="408"/>
      <c r="N3010" s="408" t="str">
        <f t="shared" si="474"/>
        <v/>
      </c>
      <c r="O3010" s="408"/>
      <c r="P3010" s="408"/>
      <c r="Q3010" s="408"/>
      <c r="R3010" s="408"/>
      <c r="S3010" s="408"/>
      <c r="T3010" s="408"/>
      <c r="U3010" s="408"/>
      <c r="V3010" s="421"/>
      <c r="W3010" s="421"/>
      <c r="X3010" s="421"/>
      <c r="Y3010" s="421"/>
      <c r="Z3010" s="421"/>
      <c r="AA3010" s="421"/>
      <c r="AB3010" s="421"/>
      <c r="AC3010" s="421"/>
      <c r="AD3010" s="421"/>
      <c r="AE3010" s="421"/>
      <c r="AF3010" s="421"/>
      <c r="AG3010" s="421"/>
      <c r="AH3010" s="421"/>
      <c r="AI3010" s="421"/>
      <c r="AJ3010" s="421"/>
      <c r="AK3010" s="421"/>
      <c r="AL3010" s="421"/>
    </row>
    <row r="3011" spans="1:38" hidden="1">
      <c r="A3011" s="408"/>
      <c r="B3011" s="83" t="e">
        <f t="array" ref="B3011">SUM(--(FREQUENCY(IF(C$2:C$3072=C3011, MATCH(D$2:D$3072, D$2:D$3072, 0)), ROW(D$2:D$3072)-ROW(D$2)+1) &gt; 0))</f>
        <v>#N/A</v>
      </c>
      <c r="C3011" s="408"/>
      <c r="D3011" s="408"/>
      <c r="E3011" s="408"/>
      <c r="F3011" s="408"/>
      <c r="G3011" s="408"/>
      <c r="H3011" s="408"/>
      <c r="I3011" s="408"/>
      <c r="J3011" s="408"/>
      <c r="K3011" s="408"/>
      <c r="L3011" s="408"/>
      <c r="M3011" s="408"/>
      <c r="N3011" s="408" t="str">
        <f t="shared" si="474"/>
        <v/>
      </c>
      <c r="O3011" s="408"/>
      <c r="P3011" s="408"/>
      <c r="Q3011" s="408"/>
      <c r="R3011" s="408"/>
      <c r="S3011" s="408"/>
      <c r="T3011" s="408"/>
      <c r="U3011" s="408"/>
      <c r="V3011" s="421"/>
      <c r="W3011" s="421"/>
      <c r="X3011" s="421"/>
      <c r="Y3011" s="421"/>
      <c r="Z3011" s="421"/>
      <c r="AA3011" s="421"/>
      <c r="AB3011" s="421"/>
      <c r="AC3011" s="421"/>
      <c r="AD3011" s="421"/>
      <c r="AE3011" s="421"/>
      <c r="AF3011" s="421"/>
      <c r="AG3011" s="421"/>
      <c r="AH3011" s="421"/>
      <c r="AI3011" s="421"/>
      <c r="AJ3011" s="421"/>
      <c r="AK3011" s="421"/>
      <c r="AL3011" s="421"/>
    </row>
    <row r="3012" spans="1:38" hidden="1">
      <c r="A3012" s="408"/>
      <c r="B3012" s="83" t="e">
        <f t="array" ref="B3012">SUM(--(FREQUENCY(IF(C$2:C$3072=C3012, MATCH(D$2:D$3072, D$2:D$3072, 0)), ROW(D$2:D$3072)-ROW(D$2)+1) &gt; 0))</f>
        <v>#N/A</v>
      </c>
      <c r="C3012" s="408"/>
      <c r="D3012" s="408"/>
      <c r="E3012" s="408"/>
      <c r="F3012" s="408"/>
      <c r="G3012" s="408"/>
      <c r="H3012" s="408"/>
      <c r="I3012" s="408"/>
      <c r="J3012" s="408"/>
      <c r="K3012" s="408"/>
      <c r="L3012" s="408"/>
      <c r="M3012" s="408"/>
      <c r="N3012" s="408" t="str">
        <f t="shared" si="474"/>
        <v/>
      </c>
      <c r="O3012" s="408"/>
      <c r="P3012" s="408"/>
      <c r="Q3012" s="408"/>
      <c r="R3012" s="408"/>
      <c r="S3012" s="408"/>
      <c r="T3012" s="408"/>
      <c r="U3012" s="408"/>
      <c r="V3012" s="421"/>
      <c r="W3012" s="421"/>
      <c r="X3012" s="421"/>
      <c r="Y3012" s="421"/>
      <c r="Z3012" s="421"/>
      <c r="AA3012" s="421"/>
      <c r="AB3012" s="421"/>
      <c r="AC3012" s="421"/>
      <c r="AD3012" s="421"/>
      <c r="AE3012" s="421"/>
      <c r="AF3012" s="421"/>
      <c r="AG3012" s="421"/>
      <c r="AH3012" s="421"/>
      <c r="AI3012" s="421"/>
      <c r="AJ3012" s="421"/>
      <c r="AK3012" s="421"/>
      <c r="AL3012" s="421"/>
    </row>
    <row r="3013" spans="1:38" hidden="1">
      <c r="A3013" s="408"/>
      <c r="B3013" s="83" t="e">
        <f t="array" ref="B3013">SUM(--(FREQUENCY(IF(C$2:C$3072=C3013, MATCH(D$2:D$3072, D$2:D$3072, 0)), ROW(D$2:D$3072)-ROW(D$2)+1) &gt; 0))</f>
        <v>#N/A</v>
      </c>
      <c r="C3013" s="408"/>
      <c r="D3013" s="408"/>
      <c r="E3013" s="408"/>
      <c r="F3013" s="408"/>
      <c r="G3013" s="408"/>
      <c r="H3013" s="408"/>
      <c r="I3013" s="408"/>
      <c r="J3013" s="408"/>
      <c r="K3013" s="408"/>
      <c r="L3013" s="408"/>
      <c r="M3013" s="408"/>
      <c r="N3013" s="408" t="str">
        <f t="shared" si="474"/>
        <v/>
      </c>
      <c r="O3013" s="408"/>
      <c r="P3013" s="408"/>
      <c r="Q3013" s="408"/>
      <c r="R3013" s="408"/>
      <c r="S3013" s="408"/>
      <c r="T3013" s="408"/>
      <c r="U3013" s="408"/>
      <c r="V3013" s="421"/>
      <c r="W3013" s="421"/>
      <c r="X3013" s="421"/>
      <c r="Y3013" s="421"/>
      <c r="Z3013" s="421"/>
      <c r="AA3013" s="421"/>
      <c r="AB3013" s="421"/>
      <c r="AC3013" s="421"/>
      <c r="AD3013" s="421"/>
      <c r="AE3013" s="421"/>
      <c r="AF3013" s="421"/>
      <c r="AG3013" s="421"/>
      <c r="AH3013" s="421"/>
      <c r="AI3013" s="421"/>
      <c r="AJ3013" s="421"/>
      <c r="AK3013" s="421"/>
      <c r="AL3013" s="421"/>
    </row>
    <row r="3014" spans="1:38" hidden="1">
      <c r="A3014" s="408"/>
      <c r="B3014" s="83" t="e">
        <f t="array" ref="B3014">SUM(--(FREQUENCY(IF(C$2:C$3072=C3014, MATCH(D$2:D$3072, D$2:D$3072, 0)), ROW(D$2:D$3072)-ROW(D$2)+1) &gt; 0))</f>
        <v>#N/A</v>
      </c>
      <c r="C3014" s="408"/>
      <c r="D3014" s="408"/>
      <c r="E3014" s="408"/>
      <c r="F3014" s="408"/>
      <c r="G3014" s="408"/>
      <c r="H3014" s="408"/>
      <c r="I3014" s="408"/>
      <c r="J3014" s="408"/>
      <c r="K3014" s="408"/>
      <c r="L3014" s="408"/>
      <c r="M3014" s="408"/>
      <c r="N3014" s="408" t="str">
        <f t="shared" si="474"/>
        <v/>
      </c>
      <c r="O3014" s="408"/>
      <c r="P3014" s="408"/>
      <c r="Q3014" s="408"/>
      <c r="R3014" s="408"/>
      <c r="S3014" s="408"/>
      <c r="T3014" s="408"/>
      <c r="U3014" s="408"/>
      <c r="V3014" s="421"/>
      <c r="W3014" s="421"/>
      <c r="X3014" s="421"/>
      <c r="Y3014" s="421"/>
      <c r="Z3014" s="421"/>
      <c r="AA3014" s="421"/>
      <c r="AB3014" s="421"/>
      <c r="AC3014" s="421"/>
      <c r="AD3014" s="421"/>
      <c r="AE3014" s="421"/>
      <c r="AF3014" s="421"/>
      <c r="AG3014" s="421"/>
      <c r="AH3014" s="421"/>
      <c r="AI3014" s="421"/>
      <c r="AJ3014" s="421"/>
      <c r="AK3014" s="421"/>
      <c r="AL3014" s="421"/>
    </row>
    <row r="3015" spans="1:38" hidden="1">
      <c r="A3015" s="408"/>
      <c r="B3015" s="83" t="e">
        <f t="array" ref="B3015">SUM(--(FREQUENCY(IF(C$2:C$3072=C3015, MATCH(D$2:D$3072, D$2:D$3072, 0)), ROW(D$2:D$3072)-ROW(D$2)+1) &gt; 0))</f>
        <v>#N/A</v>
      </c>
      <c r="C3015" s="408"/>
      <c r="D3015" s="408"/>
      <c r="E3015" s="408"/>
      <c r="F3015" s="408"/>
      <c r="G3015" s="408"/>
      <c r="H3015" s="408"/>
      <c r="I3015" s="408"/>
      <c r="J3015" s="408"/>
      <c r="K3015" s="408"/>
      <c r="L3015" s="408"/>
      <c r="M3015" s="408"/>
      <c r="N3015" s="408" t="str">
        <f t="shared" si="474"/>
        <v/>
      </c>
      <c r="O3015" s="408"/>
      <c r="P3015" s="408"/>
      <c r="Q3015" s="408"/>
      <c r="R3015" s="408"/>
      <c r="S3015" s="408"/>
      <c r="T3015" s="408"/>
      <c r="U3015" s="408"/>
      <c r="V3015" s="421"/>
      <c r="W3015" s="421"/>
      <c r="X3015" s="421"/>
      <c r="Y3015" s="421"/>
      <c r="Z3015" s="421"/>
      <c r="AA3015" s="421"/>
      <c r="AB3015" s="421"/>
      <c r="AC3015" s="421"/>
      <c r="AD3015" s="421"/>
      <c r="AE3015" s="421"/>
      <c r="AF3015" s="421"/>
      <c r="AG3015" s="421"/>
      <c r="AH3015" s="421"/>
      <c r="AI3015" s="421"/>
      <c r="AJ3015" s="421"/>
      <c r="AK3015" s="421"/>
      <c r="AL3015" s="421"/>
    </row>
    <row r="3016" spans="1:38" hidden="1">
      <c r="A3016" s="408"/>
      <c r="B3016" s="83" t="e">
        <f t="array" ref="B3016">SUM(--(FREQUENCY(IF(C$2:C$3072=C3016, MATCH(D$2:D$3072, D$2:D$3072, 0)), ROW(D$2:D$3072)-ROW(D$2)+1) &gt; 0))</f>
        <v>#N/A</v>
      </c>
      <c r="C3016" s="408"/>
      <c r="D3016" s="408"/>
      <c r="E3016" s="408"/>
      <c r="F3016" s="408"/>
      <c r="G3016" s="408"/>
      <c r="H3016" s="408"/>
      <c r="I3016" s="408"/>
      <c r="J3016" s="408"/>
      <c r="K3016" s="408"/>
      <c r="L3016" s="408"/>
      <c r="M3016" s="408"/>
      <c r="N3016" s="408" t="str">
        <f t="shared" si="474"/>
        <v/>
      </c>
      <c r="O3016" s="408"/>
      <c r="P3016" s="408"/>
      <c r="Q3016" s="408"/>
      <c r="R3016" s="408"/>
      <c r="S3016" s="408"/>
      <c r="T3016" s="408"/>
      <c r="U3016" s="408"/>
      <c r="V3016" s="421"/>
      <c r="W3016" s="421"/>
      <c r="X3016" s="421"/>
      <c r="Y3016" s="421"/>
      <c r="Z3016" s="421"/>
      <c r="AA3016" s="421"/>
      <c r="AB3016" s="421"/>
      <c r="AC3016" s="421"/>
      <c r="AD3016" s="421"/>
      <c r="AE3016" s="421"/>
      <c r="AF3016" s="421"/>
      <c r="AG3016" s="421"/>
      <c r="AH3016" s="421"/>
      <c r="AI3016" s="421"/>
      <c r="AJ3016" s="421"/>
      <c r="AK3016" s="421"/>
      <c r="AL3016" s="421"/>
    </row>
    <row r="3017" spans="1:38" hidden="1">
      <c r="A3017" s="408"/>
      <c r="B3017" s="83" t="e">
        <f t="array" ref="B3017">SUM(--(FREQUENCY(IF(C$2:C$3072=C3017, MATCH(D$2:D$3072, D$2:D$3072, 0)), ROW(D$2:D$3072)-ROW(D$2)+1) &gt; 0))</f>
        <v>#N/A</v>
      </c>
      <c r="C3017" s="408"/>
      <c r="D3017" s="408"/>
      <c r="E3017" s="408"/>
      <c r="F3017" s="408"/>
      <c r="G3017" s="408"/>
      <c r="H3017" s="408"/>
      <c r="I3017" s="408"/>
      <c r="J3017" s="408"/>
      <c r="K3017" s="408"/>
      <c r="L3017" s="408"/>
      <c r="M3017" s="408"/>
      <c r="N3017" s="408" t="str">
        <f t="shared" si="474"/>
        <v/>
      </c>
      <c r="O3017" s="408"/>
      <c r="P3017" s="408"/>
      <c r="Q3017" s="408"/>
      <c r="R3017" s="408"/>
      <c r="S3017" s="408"/>
      <c r="T3017" s="408"/>
      <c r="U3017" s="408"/>
      <c r="V3017" s="421"/>
      <c r="W3017" s="421"/>
      <c r="X3017" s="421"/>
      <c r="Y3017" s="421"/>
      <c r="Z3017" s="421"/>
      <c r="AA3017" s="421"/>
      <c r="AB3017" s="421"/>
      <c r="AC3017" s="421"/>
      <c r="AD3017" s="421"/>
      <c r="AE3017" s="421"/>
      <c r="AF3017" s="421"/>
      <c r="AG3017" s="421"/>
      <c r="AH3017" s="421"/>
      <c r="AI3017" s="421"/>
      <c r="AJ3017" s="421"/>
      <c r="AK3017" s="421"/>
      <c r="AL3017" s="421"/>
    </row>
    <row r="3018" spans="1:38" hidden="1">
      <c r="A3018" s="408"/>
      <c r="B3018" s="83" t="e">
        <f t="array" ref="B3018">SUM(--(FREQUENCY(IF(C$2:C$3072=C3018, MATCH(D$2:D$3072, D$2:D$3072, 0)), ROW(D$2:D$3072)-ROW(D$2)+1) &gt; 0))</f>
        <v>#N/A</v>
      </c>
      <c r="C3018" s="408"/>
      <c r="D3018" s="408"/>
      <c r="E3018" s="408"/>
      <c r="F3018" s="408"/>
      <c r="G3018" s="408"/>
      <c r="H3018" s="408"/>
      <c r="I3018" s="408"/>
      <c r="J3018" s="408"/>
      <c r="K3018" s="408"/>
      <c r="L3018" s="408"/>
      <c r="M3018" s="408"/>
      <c r="N3018" s="408" t="str">
        <f t="shared" si="474"/>
        <v/>
      </c>
      <c r="O3018" s="408"/>
      <c r="P3018" s="408"/>
      <c r="Q3018" s="408"/>
      <c r="R3018" s="408"/>
      <c r="S3018" s="408"/>
      <c r="T3018" s="408"/>
      <c r="U3018" s="408"/>
      <c r="V3018" s="421"/>
      <c r="W3018" s="421"/>
      <c r="X3018" s="421"/>
      <c r="Y3018" s="421"/>
      <c r="Z3018" s="421"/>
      <c r="AA3018" s="421"/>
      <c r="AB3018" s="421"/>
      <c r="AC3018" s="421"/>
      <c r="AD3018" s="421"/>
      <c r="AE3018" s="421"/>
      <c r="AF3018" s="421"/>
      <c r="AG3018" s="421"/>
      <c r="AH3018" s="421"/>
      <c r="AI3018" s="421"/>
      <c r="AJ3018" s="421"/>
      <c r="AK3018" s="421"/>
      <c r="AL3018" s="421"/>
    </row>
    <row r="3019" spans="1:38" hidden="1">
      <c r="A3019" s="408"/>
      <c r="B3019" s="83" t="e">
        <f t="array" ref="B3019">SUM(--(FREQUENCY(IF(C$2:C$3072=C3019, MATCH(D$2:D$3072, D$2:D$3072, 0)), ROW(D$2:D$3072)-ROW(D$2)+1) &gt; 0))</f>
        <v>#N/A</v>
      </c>
      <c r="C3019" s="408"/>
      <c r="D3019" s="408"/>
      <c r="E3019" s="408"/>
      <c r="F3019" s="408"/>
      <c r="G3019" s="408"/>
      <c r="H3019" s="408"/>
      <c r="I3019" s="408"/>
      <c r="J3019" s="408"/>
      <c r="K3019" s="408"/>
      <c r="L3019" s="408"/>
      <c r="M3019" s="408"/>
      <c r="N3019" s="408" t="str">
        <f t="shared" si="474"/>
        <v/>
      </c>
      <c r="O3019" s="408"/>
      <c r="P3019" s="408"/>
      <c r="Q3019" s="408"/>
      <c r="R3019" s="408"/>
      <c r="S3019" s="408"/>
      <c r="T3019" s="408"/>
      <c r="U3019" s="408"/>
      <c r="V3019" s="421"/>
      <c r="W3019" s="421"/>
      <c r="X3019" s="421"/>
      <c r="Y3019" s="421"/>
      <c r="Z3019" s="421"/>
      <c r="AA3019" s="421"/>
      <c r="AB3019" s="421"/>
      <c r="AC3019" s="421"/>
      <c r="AD3019" s="421"/>
      <c r="AE3019" s="421"/>
      <c r="AF3019" s="421"/>
      <c r="AG3019" s="421"/>
      <c r="AH3019" s="421"/>
      <c r="AI3019" s="421"/>
      <c r="AJ3019" s="421"/>
      <c r="AK3019" s="421"/>
      <c r="AL3019" s="421"/>
    </row>
    <row r="3020" spans="1:38" hidden="1">
      <c r="A3020" s="408"/>
      <c r="B3020" s="83" t="e">
        <f t="array" ref="B3020">SUM(--(FREQUENCY(IF(C$2:C$3072=C3020, MATCH(D$2:D$3072, D$2:D$3072, 0)), ROW(D$2:D$3072)-ROW(D$2)+1) &gt; 0))</f>
        <v>#N/A</v>
      </c>
      <c r="C3020" s="408"/>
      <c r="D3020" s="408"/>
      <c r="E3020" s="408"/>
      <c r="F3020" s="408"/>
      <c r="G3020" s="408"/>
      <c r="H3020" s="408"/>
      <c r="I3020" s="408"/>
      <c r="J3020" s="408"/>
      <c r="K3020" s="408"/>
      <c r="L3020" s="408"/>
      <c r="M3020" s="408"/>
      <c r="N3020" s="408" t="str">
        <f t="shared" si="474"/>
        <v/>
      </c>
      <c r="O3020" s="408"/>
      <c r="P3020" s="408"/>
      <c r="Q3020" s="408"/>
      <c r="R3020" s="408"/>
      <c r="S3020" s="408"/>
      <c r="T3020" s="408"/>
      <c r="U3020" s="408"/>
      <c r="V3020" s="421"/>
      <c r="W3020" s="421"/>
      <c r="X3020" s="421"/>
      <c r="Y3020" s="421"/>
      <c r="Z3020" s="421"/>
      <c r="AA3020" s="421"/>
      <c r="AB3020" s="421"/>
      <c r="AC3020" s="421"/>
      <c r="AD3020" s="421"/>
      <c r="AE3020" s="421"/>
      <c r="AF3020" s="421"/>
      <c r="AG3020" s="421"/>
      <c r="AH3020" s="421"/>
      <c r="AI3020" s="421"/>
      <c r="AJ3020" s="421"/>
      <c r="AK3020" s="421"/>
      <c r="AL3020" s="421"/>
    </row>
    <row r="3021" spans="1:38" hidden="1">
      <c r="A3021" s="408"/>
      <c r="B3021" s="83" t="e">
        <f t="array" ref="B3021">SUM(--(FREQUENCY(IF(C$2:C$3072=C3021, MATCH(D$2:D$3072, D$2:D$3072, 0)), ROW(D$2:D$3072)-ROW(D$2)+1) &gt; 0))</f>
        <v>#N/A</v>
      </c>
      <c r="C3021" s="408"/>
      <c r="D3021" s="408"/>
      <c r="E3021" s="408"/>
      <c r="F3021" s="408"/>
      <c r="G3021" s="408"/>
      <c r="H3021" s="408"/>
      <c r="I3021" s="408"/>
      <c r="J3021" s="408"/>
      <c r="K3021" s="408"/>
      <c r="L3021" s="408"/>
      <c r="M3021" s="408"/>
      <c r="N3021" s="408" t="str">
        <f t="shared" si="474"/>
        <v/>
      </c>
      <c r="O3021" s="408"/>
      <c r="P3021" s="408"/>
      <c r="Q3021" s="408"/>
      <c r="R3021" s="408"/>
      <c r="S3021" s="408"/>
      <c r="T3021" s="408"/>
      <c r="U3021" s="408"/>
      <c r="V3021" s="421"/>
      <c r="W3021" s="421"/>
      <c r="X3021" s="421"/>
      <c r="Y3021" s="421"/>
      <c r="Z3021" s="421"/>
      <c r="AA3021" s="421"/>
      <c r="AB3021" s="421"/>
      <c r="AC3021" s="421"/>
      <c r="AD3021" s="421"/>
      <c r="AE3021" s="421"/>
      <c r="AF3021" s="421"/>
      <c r="AG3021" s="421"/>
      <c r="AH3021" s="421"/>
      <c r="AI3021" s="421"/>
      <c r="AJ3021" s="421"/>
      <c r="AK3021" s="421"/>
      <c r="AL3021" s="421"/>
    </row>
    <row r="3022" spans="1:38" hidden="1">
      <c r="A3022" s="408"/>
      <c r="B3022" s="83" t="e">
        <f t="array" ref="B3022">SUM(--(FREQUENCY(IF(C$2:C$3072=C3022, MATCH(D$2:D$3072, D$2:D$3072, 0)), ROW(D$2:D$3072)-ROW(D$2)+1) &gt; 0))</f>
        <v>#N/A</v>
      </c>
      <c r="C3022" s="408"/>
      <c r="D3022" s="408"/>
      <c r="E3022" s="408"/>
      <c r="F3022" s="408"/>
      <c r="G3022" s="408"/>
      <c r="H3022" s="408"/>
      <c r="I3022" s="408"/>
      <c r="J3022" s="408"/>
      <c r="K3022" s="408"/>
      <c r="L3022" s="408"/>
      <c r="M3022" s="408"/>
      <c r="N3022" s="408" t="str">
        <f t="shared" si="474"/>
        <v/>
      </c>
      <c r="O3022" s="408"/>
      <c r="P3022" s="408"/>
      <c r="Q3022" s="408"/>
      <c r="R3022" s="408"/>
      <c r="S3022" s="408"/>
      <c r="T3022" s="408"/>
      <c r="U3022" s="408"/>
      <c r="V3022" s="421"/>
      <c r="W3022" s="421"/>
      <c r="X3022" s="421"/>
      <c r="Y3022" s="421"/>
      <c r="Z3022" s="421"/>
      <c r="AA3022" s="421"/>
      <c r="AB3022" s="421"/>
      <c r="AC3022" s="421"/>
      <c r="AD3022" s="421"/>
      <c r="AE3022" s="421"/>
      <c r="AF3022" s="421"/>
      <c r="AG3022" s="421"/>
      <c r="AH3022" s="421"/>
      <c r="AI3022" s="421"/>
      <c r="AJ3022" s="421"/>
      <c r="AK3022" s="421"/>
      <c r="AL3022" s="421"/>
    </row>
    <row r="3023" spans="1:38" hidden="1">
      <c r="A3023" s="408"/>
      <c r="B3023" s="83" t="e">
        <f t="array" ref="B3023">SUM(--(FREQUENCY(IF(C$2:C$3072=C3023, MATCH(D$2:D$3072, D$2:D$3072, 0)), ROW(D$2:D$3072)-ROW(D$2)+1) &gt; 0))</f>
        <v>#N/A</v>
      </c>
      <c r="C3023" s="408"/>
      <c r="D3023" s="408"/>
      <c r="E3023" s="408"/>
      <c r="F3023" s="408"/>
      <c r="G3023" s="408"/>
      <c r="H3023" s="408"/>
      <c r="I3023" s="408"/>
      <c r="J3023" s="408"/>
      <c r="K3023" s="408"/>
      <c r="L3023" s="408"/>
      <c r="M3023" s="408"/>
      <c r="N3023" s="408" t="str">
        <f t="shared" si="474"/>
        <v/>
      </c>
      <c r="O3023" s="408"/>
      <c r="P3023" s="408"/>
      <c r="Q3023" s="408"/>
      <c r="R3023" s="408"/>
      <c r="S3023" s="408"/>
      <c r="T3023" s="408"/>
      <c r="U3023" s="408"/>
      <c r="V3023" s="421"/>
      <c r="W3023" s="421"/>
      <c r="X3023" s="421"/>
      <c r="Y3023" s="421"/>
      <c r="Z3023" s="421"/>
      <c r="AA3023" s="421"/>
      <c r="AB3023" s="421"/>
      <c r="AC3023" s="421"/>
      <c r="AD3023" s="421"/>
      <c r="AE3023" s="421"/>
      <c r="AF3023" s="421"/>
      <c r="AG3023" s="421"/>
      <c r="AH3023" s="421"/>
      <c r="AI3023" s="421"/>
      <c r="AJ3023" s="421"/>
      <c r="AK3023" s="421"/>
      <c r="AL3023" s="421"/>
    </row>
    <row r="3024" spans="1:38" hidden="1">
      <c r="A3024" s="408"/>
      <c r="B3024" s="83" t="e">
        <f t="array" ref="B3024">SUM(--(FREQUENCY(IF(C$2:C$3072=C3024, MATCH(D$2:D$3072, D$2:D$3072, 0)), ROW(D$2:D$3072)-ROW(D$2)+1) &gt; 0))</f>
        <v>#N/A</v>
      </c>
      <c r="C3024" s="408"/>
      <c r="D3024" s="408"/>
      <c r="E3024" s="408"/>
      <c r="F3024" s="408"/>
      <c r="G3024" s="408"/>
      <c r="H3024" s="408"/>
      <c r="I3024" s="408"/>
      <c r="J3024" s="408"/>
      <c r="K3024" s="408"/>
      <c r="L3024" s="408"/>
      <c r="M3024" s="408"/>
      <c r="N3024" s="408" t="str">
        <f t="shared" si="474"/>
        <v/>
      </c>
      <c r="O3024" s="408"/>
      <c r="P3024" s="408"/>
      <c r="Q3024" s="408"/>
      <c r="R3024" s="408"/>
      <c r="S3024" s="408"/>
      <c r="T3024" s="408"/>
      <c r="U3024" s="408"/>
      <c r="V3024" s="421"/>
      <c r="W3024" s="421"/>
      <c r="X3024" s="421"/>
      <c r="Y3024" s="421"/>
      <c r="Z3024" s="421"/>
      <c r="AA3024" s="421"/>
      <c r="AB3024" s="421"/>
      <c r="AC3024" s="421"/>
      <c r="AD3024" s="421"/>
      <c r="AE3024" s="421"/>
      <c r="AF3024" s="421"/>
      <c r="AG3024" s="421"/>
      <c r="AH3024" s="421"/>
      <c r="AI3024" s="421"/>
      <c r="AJ3024" s="421"/>
      <c r="AK3024" s="421"/>
      <c r="AL3024" s="421"/>
    </row>
    <row r="3025" spans="1:38" hidden="1">
      <c r="A3025" s="408"/>
      <c r="B3025" s="83" t="e">
        <f t="array" ref="B3025">SUM(--(FREQUENCY(IF(C$2:C$3072=C3025, MATCH(D$2:D$3072, D$2:D$3072, 0)), ROW(D$2:D$3072)-ROW(D$2)+1) &gt; 0))</f>
        <v>#N/A</v>
      </c>
      <c r="C3025" s="408"/>
      <c r="D3025" s="408"/>
      <c r="E3025" s="408"/>
      <c r="F3025" s="408"/>
      <c r="G3025" s="408"/>
      <c r="H3025" s="408"/>
      <c r="I3025" s="408"/>
      <c r="J3025" s="408"/>
      <c r="K3025" s="408"/>
      <c r="L3025" s="408"/>
      <c r="M3025" s="408"/>
      <c r="N3025" s="408" t="str">
        <f t="shared" si="474"/>
        <v/>
      </c>
      <c r="O3025" s="408"/>
      <c r="P3025" s="408"/>
      <c r="Q3025" s="408"/>
      <c r="R3025" s="408"/>
      <c r="S3025" s="408"/>
      <c r="T3025" s="408"/>
      <c r="U3025" s="408"/>
      <c r="V3025" s="421"/>
      <c r="W3025" s="421"/>
      <c r="X3025" s="421"/>
      <c r="Y3025" s="421"/>
      <c r="Z3025" s="421"/>
      <c r="AA3025" s="421"/>
      <c r="AB3025" s="421"/>
      <c r="AC3025" s="421"/>
      <c r="AD3025" s="421"/>
      <c r="AE3025" s="421"/>
      <c r="AF3025" s="421"/>
      <c r="AG3025" s="421"/>
      <c r="AH3025" s="421"/>
      <c r="AI3025" s="421"/>
      <c r="AJ3025" s="421"/>
      <c r="AK3025" s="421"/>
      <c r="AL3025" s="421"/>
    </row>
    <row r="3026" spans="1:38" hidden="1">
      <c r="A3026" s="408"/>
      <c r="B3026" s="83" t="e">
        <f t="array" ref="B3026">SUM(--(FREQUENCY(IF(C$2:C$3072=C3026, MATCH(D$2:D$3072, D$2:D$3072, 0)), ROW(D$2:D$3072)-ROW(D$2)+1) &gt; 0))</f>
        <v>#N/A</v>
      </c>
      <c r="C3026" s="408"/>
      <c r="D3026" s="408"/>
      <c r="E3026" s="408"/>
      <c r="F3026" s="408"/>
      <c r="G3026" s="408"/>
      <c r="H3026" s="408"/>
      <c r="I3026" s="408"/>
      <c r="J3026" s="408"/>
      <c r="K3026" s="408"/>
      <c r="L3026" s="408"/>
      <c r="M3026" s="408"/>
      <c r="N3026" s="408" t="str">
        <f t="shared" si="474"/>
        <v/>
      </c>
      <c r="O3026" s="408"/>
      <c r="P3026" s="408"/>
      <c r="Q3026" s="408"/>
      <c r="R3026" s="408"/>
      <c r="S3026" s="408"/>
      <c r="T3026" s="408"/>
      <c r="U3026" s="408"/>
      <c r="V3026" s="421"/>
      <c r="W3026" s="421"/>
      <c r="X3026" s="421"/>
      <c r="Y3026" s="421"/>
      <c r="Z3026" s="421"/>
      <c r="AA3026" s="421"/>
      <c r="AB3026" s="421"/>
      <c r="AC3026" s="421"/>
      <c r="AD3026" s="421"/>
      <c r="AE3026" s="421"/>
      <c r="AF3026" s="421"/>
      <c r="AG3026" s="421"/>
      <c r="AH3026" s="421"/>
      <c r="AI3026" s="421"/>
      <c r="AJ3026" s="421"/>
      <c r="AK3026" s="421"/>
      <c r="AL3026" s="421"/>
    </row>
    <row r="3027" spans="1:38" hidden="1">
      <c r="A3027" s="408"/>
      <c r="B3027" s="83" t="e">
        <f t="array" ref="B3027">SUM(--(FREQUENCY(IF(C$2:C$3072=C3027, MATCH(D$2:D$3072, D$2:D$3072, 0)), ROW(D$2:D$3072)-ROW(D$2)+1) &gt; 0))</f>
        <v>#N/A</v>
      </c>
      <c r="C3027" s="408"/>
      <c r="D3027" s="408"/>
      <c r="E3027" s="408"/>
      <c r="F3027" s="408"/>
      <c r="G3027" s="408"/>
      <c r="H3027" s="408"/>
      <c r="I3027" s="408"/>
      <c r="J3027" s="408"/>
      <c r="K3027" s="408"/>
      <c r="L3027" s="408"/>
      <c r="M3027" s="408"/>
      <c r="N3027" s="408" t="str">
        <f t="shared" si="474"/>
        <v/>
      </c>
      <c r="O3027" s="408"/>
      <c r="P3027" s="408"/>
      <c r="Q3027" s="408"/>
      <c r="R3027" s="408"/>
      <c r="S3027" s="408"/>
      <c r="T3027" s="408"/>
      <c r="U3027" s="408"/>
      <c r="V3027" s="421"/>
      <c r="W3027" s="421"/>
      <c r="X3027" s="421"/>
      <c r="Y3027" s="421"/>
      <c r="Z3027" s="421"/>
      <c r="AA3027" s="421"/>
      <c r="AB3027" s="421"/>
      <c r="AC3027" s="421"/>
      <c r="AD3027" s="421"/>
      <c r="AE3027" s="421"/>
      <c r="AF3027" s="421"/>
      <c r="AG3027" s="421"/>
      <c r="AH3027" s="421"/>
      <c r="AI3027" s="421"/>
      <c r="AJ3027" s="421"/>
      <c r="AK3027" s="421"/>
      <c r="AL3027" s="421"/>
    </row>
    <row r="3028" spans="1:38" hidden="1">
      <c r="A3028" s="408"/>
      <c r="B3028" s="83" t="e">
        <f t="array" ref="B3028">SUM(--(FREQUENCY(IF(C$2:C$3072=C3028, MATCH(D$2:D$3072, D$2:D$3072, 0)), ROW(D$2:D$3072)-ROW(D$2)+1) &gt; 0))</f>
        <v>#N/A</v>
      </c>
      <c r="C3028" s="408"/>
      <c r="D3028" s="408"/>
      <c r="E3028" s="408"/>
      <c r="F3028" s="408"/>
      <c r="G3028" s="408"/>
      <c r="H3028" s="408"/>
      <c r="I3028" s="408"/>
      <c r="J3028" s="408"/>
      <c r="K3028" s="408"/>
      <c r="L3028" s="408"/>
      <c r="M3028" s="408"/>
      <c r="N3028" s="408" t="str">
        <f t="shared" si="474"/>
        <v/>
      </c>
      <c r="O3028" s="408"/>
      <c r="P3028" s="408"/>
      <c r="Q3028" s="408"/>
      <c r="R3028" s="408"/>
      <c r="S3028" s="408"/>
      <c r="T3028" s="408"/>
      <c r="U3028" s="408"/>
      <c r="V3028" s="421"/>
      <c r="W3028" s="421"/>
      <c r="X3028" s="421"/>
      <c r="Y3028" s="421"/>
      <c r="Z3028" s="421"/>
      <c r="AA3028" s="421"/>
      <c r="AB3028" s="421"/>
      <c r="AC3028" s="421"/>
      <c r="AD3028" s="421"/>
      <c r="AE3028" s="421"/>
      <c r="AF3028" s="421"/>
      <c r="AG3028" s="421"/>
      <c r="AH3028" s="421"/>
      <c r="AI3028" s="421"/>
      <c r="AJ3028" s="421"/>
      <c r="AK3028" s="421"/>
      <c r="AL3028" s="421"/>
    </row>
    <row r="3029" spans="1:38" hidden="1">
      <c r="A3029" s="408"/>
      <c r="B3029" s="83" t="e">
        <f t="array" ref="B3029">SUM(--(FREQUENCY(IF(C$2:C$3072=C3029, MATCH(D$2:D$3072, D$2:D$3072, 0)), ROW(D$2:D$3072)-ROW(D$2)+1) &gt; 0))</f>
        <v>#N/A</v>
      </c>
      <c r="C3029" s="408"/>
      <c r="D3029" s="408"/>
      <c r="E3029" s="408"/>
      <c r="F3029" s="408"/>
      <c r="G3029" s="408"/>
      <c r="H3029" s="408"/>
      <c r="I3029" s="408"/>
      <c r="J3029" s="408"/>
      <c r="K3029" s="408"/>
      <c r="L3029" s="408"/>
      <c r="M3029" s="408"/>
      <c r="N3029" s="408" t="str">
        <f t="shared" si="474"/>
        <v/>
      </c>
      <c r="O3029" s="408"/>
      <c r="P3029" s="408"/>
      <c r="Q3029" s="408"/>
      <c r="R3029" s="408"/>
      <c r="S3029" s="408"/>
      <c r="T3029" s="408"/>
      <c r="U3029" s="408"/>
      <c r="V3029" s="421"/>
      <c r="W3029" s="421"/>
      <c r="X3029" s="421"/>
      <c r="Y3029" s="421"/>
      <c r="Z3029" s="421"/>
      <c r="AA3029" s="421"/>
      <c r="AB3029" s="421"/>
      <c r="AC3029" s="421"/>
      <c r="AD3029" s="421"/>
      <c r="AE3029" s="421"/>
      <c r="AF3029" s="421"/>
      <c r="AG3029" s="421"/>
      <c r="AH3029" s="421"/>
      <c r="AI3029" s="421"/>
      <c r="AJ3029" s="421"/>
      <c r="AK3029" s="421"/>
      <c r="AL3029" s="421"/>
    </row>
    <row r="3030" spans="1:38" hidden="1">
      <c r="A3030" s="408"/>
      <c r="B3030" s="83" t="e">
        <f t="array" ref="B3030">SUM(--(FREQUENCY(IF(C$2:C$3072=C3030, MATCH(D$2:D$3072, D$2:D$3072, 0)), ROW(D$2:D$3072)-ROW(D$2)+1) &gt; 0))</f>
        <v>#N/A</v>
      </c>
      <c r="C3030" s="408"/>
      <c r="D3030" s="408"/>
      <c r="E3030" s="408"/>
      <c r="F3030" s="408"/>
      <c r="G3030" s="408"/>
      <c r="H3030" s="408"/>
      <c r="I3030" s="408"/>
      <c r="J3030" s="408"/>
      <c r="K3030" s="408"/>
      <c r="L3030" s="408"/>
      <c r="M3030" s="408"/>
      <c r="N3030" s="408" t="str">
        <f t="shared" si="474"/>
        <v/>
      </c>
      <c r="O3030" s="408"/>
      <c r="P3030" s="408"/>
      <c r="Q3030" s="408"/>
      <c r="R3030" s="408"/>
      <c r="S3030" s="408"/>
      <c r="T3030" s="408"/>
      <c r="U3030" s="408"/>
      <c r="V3030" s="421"/>
      <c r="W3030" s="421"/>
      <c r="X3030" s="421"/>
      <c r="Y3030" s="421"/>
      <c r="Z3030" s="421"/>
      <c r="AA3030" s="421"/>
      <c r="AB3030" s="421"/>
      <c r="AC3030" s="421"/>
      <c r="AD3030" s="421"/>
      <c r="AE3030" s="421"/>
      <c r="AF3030" s="421"/>
      <c r="AG3030" s="421"/>
      <c r="AH3030" s="421"/>
      <c r="AI3030" s="421"/>
      <c r="AJ3030" s="421"/>
      <c r="AK3030" s="421"/>
      <c r="AL3030" s="421"/>
    </row>
    <row r="3031" spans="1:38" hidden="1">
      <c r="A3031" s="408"/>
      <c r="B3031" s="83" t="e">
        <f t="array" ref="B3031">SUM(--(FREQUENCY(IF(C$2:C$3072=C3031, MATCH(D$2:D$3072, D$2:D$3072, 0)), ROW(D$2:D$3072)-ROW(D$2)+1) &gt; 0))</f>
        <v>#N/A</v>
      </c>
      <c r="C3031" s="408"/>
      <c r="D3031" s="408"/>
      <c r="E3031" s="408"/>
      <c r="F3031" s="408"/>
      <c r="G3031" s="408"/>
      <c r="H3031" s="408"/>
      <c r="I3031" s="408"/>
      <c r="J3031" s="408"/>
      <c r="K3031" s="408"/>
      <c r="L3031" s="408"/>
      <c r="M3031" s="408"/>
      <c r="N3031" s="408" t="str">
        <f t="shared" si="474"/>
        <v/>
      </c>
      <c r="O3031" s="408"/>
      <c r="P3031" s="408"/>
      <c r="Q3031" s="408"/>
      <c r="R3031" s="408"/>
      <c r="S3031" s="408"/>
      <c r="T3031" s="408"/>
      <c r="U3031" s="408"/>
      <c r="V3031" s="421"/>
      <c r="W3031" s="421"/>
      <c r="X3031" s="421"/>
      <c r="Y3031" s="421"/>
      <c r="Z3031" s="421"/>
      <c r="AA3031" s="421"/>
      <c r="AB3031" s="421"/>
      <c r="AC3031" s="421"/>
      <c r="AD3031" s="421"/>
      <c r="AE3031" s="421"/>
      <c r="AF3031" s="421"/>
      <c r="AG3031" s="421"/>
      <c r="AH3031" s="421"/>
      <c r="AI3031" s="421"/>
      <c r="AJ3031" s="421"/>
      <c r="AK3031" s="421"/>
      <c r="AL3031" s="421"/>
    </row>
    <row r="3032" spans="1:38" hidden="1">
      <c r="A3032" s="408"/>
      <c r="B3032" s="83" t="e">
        <f t="array" ref="B3032">SUM(--(FREQUENCY(IF(C$2:C$3072=C3032, MATCH(D$2:D$3072, D$2:D$3072, 0)), ROW(D$2:D$3072)-ROW(D$2)+1) &gt; 0))</f>
        <v>#N/A</v>
      </c>
      <c r="C3032" s="408"/>
      <c r="D3032" s="408"/>
      <c r="E3032" s="408"/>
      <c r="F3032" s="408"/>
      <c r="G3032" s="408"/>
      <c r="H3032" s="408"/>
      <c r="I3032" s="408"/>
      <c r="J3032" s="408"/>
      <c r="K3032" s="408"/>
      <c r="L3032" s="408"/>
      <c r="M3032" s="408"/>
      <c r="N3032" s="408" t="str">
        <f t="shared" si="474"/>
        <v/>
      </c>
      <c r="O3032" s="408"/>
      <c r="P3032" s="408"/>
      <c r="Q3032" s="408"/>
      <c r="R3032" s="408"/>
      <c r="S3032" s="408"/>
      <c r="T3032" s="408"/>
      <c r="U3032" s="408"/>
      <c r="V3032" s="421"/>
      <c r="W3032" s="421"/>
      <c r="X3032" s="421"/>
      <c r="Y3032" s="421"/>
      <c r="Z3032" s="421"/>
      <c r="AA3032" s="421"/>
      <c r="AB3032" s="421"/>
      <c r="AC3032" s="421"/>
      <c r="AD3032" s="421"/>
      <c r="AE3032" s="421"/>
      <c r="AF3032" s="421"/>
      <c r="AG3032" s="421"/>
      <c r="AH3032" s="421"/>
      <c r="AI3032" s="421"/>
      <c r="AJ3032" s="421"/>
      <c r="AK3032" s="421"/>
      <c r="AL3032" s="421"/>
    </row>
    <row r="3033" spans="1:38" hidden="1">
      <c r="A3033" s="408"/>
      <c r="B3033" s="83" t="e">
        <f t="array" ref="B3033">SUM(--(FREQUENCY(IF(C$2:C$3072=C3033, MATCH(D$2:D$3072, D$2:D$3072, 0)), ROW(D$2:D$3072)-ROW(D$2)+1) &gt; 0))</f>
        <v>#N/A</v>
      </c>
      <c r="C3033" s="408"/>
      <c r="D3033" s="408"/>
      <c r="E3033" s="408"/>
      <c r="F3033" s="408"/>
      <c r="G3033" s="408"/>
      <c r="H3033" s="408"/>
      <c r="I3033" s="408"/>
      <c r="J3033" s="408"/>
      <c r="K3033" s="408"/>
      <c r="L3033" s="408"/>
      <c r="M3033" s="408"/>
      <c r="N3033" s="408" t="str">
        <f t="shared" si="474"/>
        <v/>
      </c>
      <c r="O3033" s="408"/>
      <c r="P3033" s="408"/>
      <c r="Q3033" s="408"/>
      <c r="R3033" s="408"/>
      <c r="S3033" s="408"/>
      <c r="T3033" s="408"/>
      <c r="U3033" s="408"/>
      <c r="V3033" s="421"/>
      <c r="W3033" s="421"/>
      <c r="X3033" s="421"/>
      <c r="Y3033" s="421"/>
      <c r="Z3033" s="421"/>
      <c r="AA3033" s="421"/>
      <c r="AB3033" s="421"/>
      <c r="AC3033" s="421"/>
      <c r="AD3033" s="421"/>
      <c r="AE3033" s="421"/>
      <c r="AF3033" s="421"/>
      <c r="AG3033" s="421"/>
      <c r="AH3033" s="421"/>
      <c r="AI3033" s="421"/>
      <c r="AJ3033" s="421"/>
      <c r="AK3033" s="421"/>
      <c r="AL3033" s="421"/>
    </row>
    <row r="3034" spans="1:38" hidden="1">
      <c r="A3034" s="408"/>
      <c r="B3034" s="83" t="e">
        <f t="array" ref="B3034">SUM(--(FREQUENCY(IF(C$2:C$3072=C3034, MATCH(D$2:D$3072, D$2:D$3072, 0)), ROW(D$2:D$3072)-ROW(D$2)+1) &gt; 0))</f>
        <v>#N/A</v>
      </c>
      <c r="C3034" s="408"/>
      <c r="D3034" s="408"/>
      <c r="E3034" s="408"/>
      <c r="F3034" s="408"/>
      <c r="G3034" s="408"/>
      <c r="H3034" s="408"/>
      <c r="I3034" s="408"/>
      <c r="J3034" s="408"/>
      <c r="K3034" s="408"/>
      <c r="L3034" s="408"/>
      <c r="M3034" s="408"/>
      <c r="N3034" s="408" t="str">
        <f t="shared" si="474"/>
        <v/>
      </c>
      <c r="O3034" s="408"/>
      <c r="P3034" s="408"/>
      <c r="Q3034" s="408"/>
      <c r="R3034" s="408"/>
      <c r="S3034" s="408"/>
      <c r="T3034" s="408"/>
      <c r="U3034" s="408"/>
      <c r="V3034" s="421"/>
      <c r="W3034" s="421"/>
      <c r="X3034" s="421"/>
      <c r="Y3034" s="421"/>
      <c r="Z3034" s="421"/>
      <c r="AA3034" s="421"/>
      <c r="AB3034" s="421"/>
      <c r="AC3034" s="421"/>
      <c r="AD3034" s="421"/>
      <c r="AE3034" s="421"/>
      <c r="AF3034" s="421"/>
      <c r="AG3034" s="421"/>
      <c r="AH3034" s="421"/>
      <c r="AI3034" s="421"/>
      <c r="AJ3034" s="421"/>
      <c r="AK3034" s="421"/>
      <c r="AL3034" s="421"/>
    </row>
    <row r="3035" spans="1:38" hidden="1">
      <c r="A3035" s="408"/>
      <c r="B3035" s="83" t="e">
        <f t="array" ref="B3035">SUM(--(FREQUENCY(IF(C$2:C$3072=C3035, MATCH(D$2:D$3072, D$2:D$3072, 0)), ROW(D$2:D$3072)-ROW(D$2)+1) &gt; 0))</f>
        <v>#N/A</v>
      </c>
      <c r="C3035" s="408"/>
      <c r="D3035" s="408"/>
      <c r="E3035" s="408"/>
      <c r="F3035" s="408"/>
      <c r="G3035" s="408"/>
      <c r="H3035" s="408"/>
      <c r="I3035" s="408"/>
      <c r="J3035" s="408"/>
      <c r="K3035" s="408"/>
      <c r="L3035" s="408"/>
      <c r="M3035" s="408"/>
      <c r="N3035" s="408" t="str">
        <f t="shared" si="474"/>
        <v/>
      </c>
      <c r="O3035" s="408"/>
      <c r="P3035" s="408"/>
      <c r="Q3035" s="408"/>
      <c r="R3035" s="408"/>
      <c r="S3035" s="408"/>
      <c r="T3035" s="408"/>
      <c r="U3035" s="408"/>
      <c r="V3035" s="421"/>
      <c r="W3035" s="421"/>
      <c r="X3035" s="421"/>
      <c r="Y3035" s="421"/>
      <c r="Z3035" s="421"/>
      <c r="AA3035" s="421"/>
      <c r="AB3035" s="421"/>
      <c r="AC3035" s="421"/>
      <c r="AD3035" s="421"/>
      <c r="AE3035" s="421"/>
      <c r="AF3035" s="421"/>
      <c r="AG3035" s="421"/>
      <c r="AH3035" s="421"/>
      <c r="AI3035" s="421"/>
      <c r="AJ3035" s="421"/>
      <c r="AK3035" s="421"/>
      <c r="AL3035" s="421"/>
    </row>
    <row r="3036" spans="1:38" hidden="1">
      <c r="A3036" s="408"/>
      <c r="B3036" s="83" t="e">
        <f t="array" ref="B3036">SUM(--(FREQUENCY(IF(C$2:C$3072=C3036, MATCH(D$2:D$3072, D$2:D$3072, 0)), ROW(D$2:D$3072)-ROW(D$2)+1) &gt; 0))</f>
        <v>#N/A</v>
      </c>
      <c r="C3036" s="408"/>
      <c r="D3036" s="408"/>
      <c r="E3036" s="408"/>
      <c r="F3036" s="408"/>
      <c r="G3036" s="408"/>
      <c r="H3036" s="408"/>
      <c r="I3036" s="408"/>
      <c r="J3036" s="408"/>
      <c r="K3036" s="408"/>
      <c r="L3036" s="408"/>
      <c r="M3036" s="408"/>
      <c r="N3036" s="408" t="str">
        <f t="shared" si="474"/>
        <v/>
      </c>
      <c r="O3036" s="408"/>
      <c r="P3036" s="408"/>
      <c r="Q3036" s="408"/>
      <c r="R3036" s="408"/>
      <c r="S3036" s="408"/>
      <c r="T3036" s="408"/>
      <c r="U3036" s="408"/>
      <c r="V3036" s="421"/>
      <c r="W3036" s="421"/>
      <c r="X3036" s="421"/>
      <c r="Y3036" s="421"/>
      <c r="Z3036" s="421"/>
      <c r="AA3036" s="421"/>
      <c r="AB3036" s="421"/>
      <c r="AC3036" s="421"/>
      <c r="AD3036" s="421"/>
      <c r="AE3036" s="421"/>
      <c r="AF3036" s="421"/>
      <c r="AG3036" s="421"/>
      <c r="AH3036" s="421"/>
      <c r="AI3036" s="421"/>
      <c r="AJ3036" s="421"/>
      <c r="AK3036" s="421"/>
      <c r="AL3036" s="421"/>
    </row>
    <row r="3037" spans="1:38" hidden="1">
      <c r="A3037" s="408"/>
      <c r="B3037" s="83" t="e">
        <f t="array" ref="B3037">SUM(--(FREQUENCY(IF(C$2:C$3072=C3037, MATCH(D$2:D$3072, D$2:D$3072, 0)), ROW(D$2:D$3072)-ROW(D$2)+1) &gt; 0))</f>
        <v>#N/A</v>
      </c>
      <c r="C3037" s="408"/>
      <c r="D3037" s="408"/>
      <c r="E3037" s="408"/>
      <c r="F3037" s="408"/>
      <c r="G3037" s="408"/>
      <c r="H3037" s="408"/>
      <c r="I3037" s="408"/>
      <c r="J3037" s="408"/>
      <c r="K3037" s="408"/>
      <c r="L3037" s="408"/>
      <c r="M3037" s="408"/>
      <c r="N3037" s="408" t="str">
        <f t="shared" si="474"/>
        <v/>
      </c>
      <c r="O3037" s="408"/>
      <c r="P3037" s="408"/>
      <c r="Q3037" s="408"/>
      <c r="R3037" s="408"/>
      <c r="S3037" s="408"/>
      <c r="T3037" s="408"/>
      <c r="U3037" s="408"/>
      <c r="V3037" s="421"/>
      <c r="W3037" s="421"/>
      <c r="X3037" s="421"/>
      <c r="Y3037" s="421"/>
      <c r="Z3037" s="421"/>
      <c r="AA3037" s="421"/>
      <c r="AB3037" s="421"/>
      <c r="AC3037" s="421"/>
      <c r="AD3037" s="421"/>
      <c r="AE3037" s="421"/>
      <c r="AF3037" s="421"/>
      <c r="AG3037" s="421"/>
      <c r="AH3037" s="421"/>
      <c r="AI3037" s="421"/>
      <c r="AJ3037" s="421"/>
      <c r="AK3037" s="421"/>
      <c r="AL3037" s="421"/>
    </row>
    <row r="3038" spans="1:38" hidden="1">
      <c r="A3038" s="408"/>
      <c r="B3038" s="83" t="e">
        <f t="array" ref="B3038">SUM(--(FREQUENCY(IF(C$2:C$3072=C3038, MATCH(D$2:D$3072, D$2:D$3072, 0)), ROW(D$2:D$3072)-ROW(D$2)+1) &gt; 0))</f>
        <v>#N/A</v>
      </c>
      <c r="C3038" s="408"/>
      <c r="D3038" s="408"/>
      <c r="E3038" s="408"/>
      <c r="F3038" s="408"/>
      <c r="G3038" s="408"/>
      <c r="H3038" s="408"/>
      <c r="I3038" s="408"/>
      <c r="J3038" s="408"/>
      <c r="K3038" s="408"/>
      <c r="L3038" s="408"/>
      <c r="M3038" s="408"/>
      <c r="N3038" s="408" t="str">
        <f t="shared" si="474"/>
        <v/>
      </c>
      <c r="O3038" s="408"/>
      <c r="P3038" s="408"/>
      <c r="Q3038" s="408"/>
      <c r="R3038" s="408"/>
      <c r="S3038" s="408"/>
      <c r="T3038" s="408"/>
      <c r="U3038" s="408"/>
      <c r="V3038" s="421"/>
      <c r="W3038" s="421"/>
      <c r="X3038" s="421"/>
      <c r="Y3038" s="421"/>
      <c r="Z3038" s="421"/>
      <c r="AA3038" s="421"/>
      <c r="AB3038" s="421"/>
      <c r="AC3038" s="421"/>
      <c r="AD3038" s="421"/>
      <c r="AE3038" s="421"/>
      <c r="AF3038" s="421"/>
      <c r="AG3038" s="421"/>
      <c r="AH3038" s="421"/>
      <c r="AI3038" s="421"/>
      <c r="AJ3038" s="421"/>
      <c r="AK3038" s="421"/>
      <c r="AL3038" s="421"/>
    </row>
    <row r="3039" spans="1:38" hidden="1">
      <c r="A3039" s="408"/>
      <c r="B3039" s="83" t="e">
        <f t="array" ref="B3039">SUM(--(FREQUENCY(IF(C$2:C$3072=C3039, MATCH(D$2:D$3072, D$2:D$3072, 0)), ROW(D$2:D$3072)-ROW(D$2)+1) &gt; 0))</f>
        <v>#N/A</v>
      </c>
      <c r="C3039" s="408"/>
      <c r="D3039" s="408"/>
      <c r="E3039" s="408"/>
      <c r="F3039" s="408"/>
      <c r="G3039" s="408"/>
      <c r="H3039" s="408"/>
      <c r="I3039" s="408"/>
      <c r="J3039" s="408"/>
      <c r="K3039" s="408"/>
      <c r="L3039" s="408"/>
      <c r="M3039" s="408"/>
      <c r="N3039" s="408" t="str">
        <f t="shared" si="474"/>
        <v/>
      </c>
      <c r="O3039" s="408"/>
      <c r="P3039" s="408"/>
      <c r="Q3039" s="408"/>
      <c r="R3039" s="408"/>
      <c r="S3039" s="408"/>
      <c r="T3039" s="408"/>
      <c r="U3039" s="408"/>
      <c r="V3039" s="421"/>
      <c r="W3039" s="421"/>
      <c r="X3039" s="421"/>
      <c r="Y3039" s="421"/>
      <c r="Z3039" s="421"/>
      <c r="AA3039" s="421"/>
      <c r="AB3039" s="421"/>
      <c r="AC3039" s="421"/>
      <c r="AD3039" s="421"/>
      <c r="AE3039" s="421"/>
      <c r="AF3039" s="421"/>
      <c r="AG3039" s="421"/>
      <c r="AH3039" s="421"/>
      <c r="AI3039" s="421"/>
      <c r="AJ3039" s="421"/>
      <c r="AK3039" s="421"/>
      <c r="AL3039" s="421"/>
    </row>
    <row r="3040" spans="1:38" hidden="1">
      <c r="A3040" s="408"/>
      <c r="B3040" s="83" t="e">
        <f t="array" ref="B3040">SUM(--(FREQUENCY(IF(C$2:C$3072=C3040, MATCH(D$2:D$3072, D$2:D$3072, 0)), ROW(D$2:D$3072)-ROW(D$2)+1) &gt; 0))</f>
        <v>#N/A</v>
      </c>
      <c r="C3040" s="408"/>
      <c r="D3040" s="408"/>
      <c r="E3040" s="408"/>
      <c r="F3040" s="408"/>
      <c r="G3040" s="408"/>
      <c r="H3040" s="408"/>
      <c r="I3040" s="408"/>
      <c r="J3040" s="408"/>
      <c r="K3040" s="408"/>
      <c r="L3040" s="408"/>
      <c r="M3040" s="408"/>
      <c r="N3040" s="408" t="str">
        <f t="shared" si="474"/>
        <v/>
      </c>
      <c r="O3040" s="408"/>
      <c r="P3040" s="408"/>
      <c r="Q3040" s="408"/>
      <c r="R3040" s="408"/>
      <c r="S3040" s="408"/>
      <c r="T3040" s="408"/>
      <c r="U3040" s="408"/>
      <c r="V3040" s="421"/>
      <c r="W3040" s="421"/>
      <c r="X3040" s="421"/>
      <c r="Y3040" s="421"/>
      <c r="Z3040" s="421"/>
      <c r="AA3040" s="421"/>
      <c r="AB3040" s="421"/>
      <c r="AC3040" s="421"/>
      <c r="AD3040" s="421"/>
      <c r="AE3040" s="421"/>
      <c r="AF3040" s="421"/>
      <c r="AG3040" s="421"/>
      <c r="AH3040" s="421"/>
      <c r="AI3040" s="421"/>
      <c r="AJ3040" s="421"/>
      <c r="AK3040" s="421"/>
      <c r="AL3040" s="421"/>
    </row>
    <row r="3041" spans="1:38" hidden="1">
      <c r="A3041" s="408"/>
      <c r="B3041" s="83" t="e">
        <f t="array" ref="B3041">SUM(--(FREQUENCY(IF(C$2:C$3072=C3041, MATCH(D$2:D$3072, D$2:D$3072, 0)), ROW(D$2:D$3072)-ROW(D$2)+1) &gt; 0))</f>
        <v>#N/A</v>
      </c>
      <c r="C3041" s="408"/>
      <c r="D3041" s="408"/>
      <c r="E3041" s="408"/>
      <c r="F3041" s="408"/>
      <c r="G3041" s="408"/>
      <c r="H3041" s="408"/>
      <c r="I3041" s="408"/>
      <c r="J3041" s="408"/>
      <c r="K3041" s="408"/>
      <c r="L3041" s="408"/>
      <c r="M3041" s="408"/>
      <c r="N3041" s="408" t="str">
        <f t="shared" si="474"/>
        <v/>
      </c>
      <c r="O3041" s="408"/>
      <c r="P3041" s="408"/>
      <c r="Q3041" s="408"/>
      <c r="R3041" s="408"/>
      <c r="S3041" s="408"/>
      <c r="T3041" s="408"/>
      <c r="U3041" s="408"/>
      <c r="V3041" s="421"/>
      <c r="W3041" s="421"/>
      <c r="X3041" s="421"/>
      <c r="Y3041" s="421"/>
      <c r="Z3041" s="421"/>
      <c r="AA3041" s="421"/>
      <c r="AB3041" s="421"/>
      <c r="AC3041" s="421"/>
      <c r="AD3041" s="421"/>
      <c r="AE3041" s="421"/>
      <c r="AF3041" s="421"/>
      <c r="AG3041" s="421"/>
      <c r="AH3041" s="421"/>
      <c r="AI3041" s="421"/>
      <c r="AJ3041" s="421"/>
      <c r="AK3041" s="421"/>
      <c r="AL3041" s="421"/>
    </row>
    <row r="3042" spans="1:38" hidden="1">
      <c r="A3042" s="408"/>
      <c r="B3042" s="83" t="e">
        <f t="array" ref="B3042">SUM(--(FREQUENCY(IF(C$2:C$3072=C3042, MATCH(D$2:D$3072, D$2:D$3072, 0)), ROW(D$2:D$3072)-ROW(D$2)+1) &gt; 0))</f>
        <v>#N/A</v>
      </c>
      <c r="C3042" s="408"/>
      <c r="D3042" s="408"/>
      <c r="E3042" s="408"/>
      <c r="F3042" s="408"/>
      <c r="G3042" s="408"/>
      <c r="H3042" s="408"/>
      <c r="I3042" s="408"/>
      <c r="J3042" s="408"/>
      <c r="K3042" s="408"/>
      <c r="L3042" s="408"/>
      <c r="M3042" s="408"/>
      <c r="N3042" s="408" t="str">
        <f t="shared" si="474"/>
        <v/>
      </c>
      <c r="O3042" s="408"/>
      <c r="P3042" s="408"/>
      <c r="Q3042" s="408"/>
      <c r="R3042" s="408"/>
      <c r="S3042" s="408"/>
      <c r="T3042" s="408"/>
      <c r="U3042" s="408"/>
      <c r="V3042" s="421"/>
      <c r="W3042" s="421"/>
      <c r="X3042" s="421"/>
      <c r="Y3042" s="421"/>
      <c r="Z3042" s="421"/>
      <c r="AA3042" s="421"/>
      <c r="AB3042" s="421"/>
      <c r="AC3042" s="421"/>
      <c r="AD3042" s="421"/>
      <c r="AE3042" s="421"/>
      <c r="AF3042" s="421"/>
      <c r="AG3042" s="421"/>
      <c r="AH3042" s="421"/>
      <c r="AI3042" s="421"/>
      <c r="AJ3042" s="421"/>
      <c r="AK3042" s="421"/>
      <c r="AL3042" s="421"/>
    </row>
    <row r="3043" spans="1:38" hidden="1">
      <c r="A3043" s="408"/>
      <c r="B3043" s="83" t="e">
        <f t="array" ref="B3043">SUM(--(FREQUENCY(IF(C$2:C$3072=C3043, MATCH(D$2:D$3072, D$2:D$3072, 0)), ROW(D$2:D$3072)-ROW(D$2)+1) &gt; 0))</f>
        <v>#N/A</v>
      </c>
      <c r="C3043" s="408"/>
      <c r="D3043" s="408"/>
      <c r="E3043" s="408"/>
      <c r="F3043" s="408"/>
      <c r="G3043" s="408"/>
      <c r="H3043" s="408"/>
      <c r="I3043" s="408"/>
      <c r="J3043" s="408"/>
      <c r="K3043" s="408"/>
      <c r="L3043" s="408"/>
      <c r="M3043" s="408"/>
      <c r="N3043" s="408" t="str">
        <f t="shared" si="474"/>
        <v/>
      </c>
      <c r="O3043" s="408"/>
      <c r="P3043" s="408"/>
      <c r="Q3043" s="408"/>
      <c r="R3043" s="408"/>
      <c r="S3043" s="408"/>
      <c r="T3043" s="408"/>
      <c r="U3043" s="408"/>
      <c r="V3043" s="421"/>
      <c r="W3043" s="421"/>
      <c r="X3043" s="421"/>
      <c r="Y3043" s="421"/>
      <c r="Z3043" s="421"/>
      <c r="AA3043" s="421"/>
      <c r="AB3043" s="421"/>
      <c r="AC3043" s="421"/>
      <c r="AD3043" s="421"/>
      <c r="AE3043" s="421"/>
      <c r="AF3043" s="421"/>
      <c r="AG3043" s="421"/>
      <c r="AH3043" s="421"/>
      <c r="AI3043" s="421"/>
      <c r="AJ3043" s="421"/>
      <c r="AK3043" s="421"/>
      <c r="AL3043" s="421"/>
    </row>
    <row r="3044" spans="1:38" hidden="1">
      <c r="A3044" s="408"/>
      <c r="B3044" s="83" t="e">
        <f t="array" ref="B3044">SUM(--(FREQUENCY(IF(C$2:C$3072=C3044, MATCH(D$2:D$3072, D$2:D$3072, 0)), ROW(D$2:D$3072)-ROW(D$2)+1) &gt; 0))</f>
        <v>#N/A</v>
      </c>
      <c r="C3044" s="408"/>
      <c r="D3044" s="408"/>
      <c r="E3044" s="408"/>
      <c r="F3044" s="408"/>
      <c r="G3044" s="408"/>
      <c r="H3044" s="408"/>
      <c r="I3044" s="408"/>
      <c r="J3044" s="408"/>
      <c r="K3044" s="408"/>
      <c r="L3044" s="408"/>
      <c r="M3044" s="408"/>
      <c r="N3044" s="408" t="str">
        <f t="shared" si="474"/>
        <v/>
      </c>
      <c r="O3044" s="408"/>
      <c r="P3044" s="408"/>
      <c r="Q3044" s="408"/>
      <c r="R3044" s="408"/>
      <c r="S3044" s="408"/>
      <c r="T3044" s="408"/>
      <c r="U3044" s="408"/>
      <c r="V3044" s="421"/>
      <c r="W3044" s="421"/>
      <c r="X3044" s="421"/>
      <c r="Y3044" s="421"/>
      <c r="Z3044" s="421"/>
      <c r="AA3044" s="421"/>
      <c r="AB3044" s="421"/>
      <c r="AC3044" s="421"/>
      <c r="AD3044" s="421"/>
      <c r="AE3044" s="421"/>
      <c r="AF3044" s="421"/>
      <c r="AG3044" s="421"/>
      <c r="AH3044" s="421"/>
      <c r="AI3044" s="421"/>
      <c r="AJ3044" s="421"/>
      <c r="AK3044" s="421"/>
      <c r="AL3044" s="421"/>
    </row>
    <row r="3045" spans="1:38" hidden="1">
      <c r="A3045" s="408"/>
      <c r="B3045" s="83" t="e">
        <f t="array" ref="B3045">SUM(--(FREQUENCY(IF(C$2:C$3072=C3045, MATCH(D$2:D$3072, D$2:D$3072, 0)), ROW(D$2:D$3072)-ROW(D$2)+1) &gt; 0))</f>
        <v>#N/A</v>
      </c>
      <c r="C3045" s="408"/>
      <c r="D3045" s="408"/>
      <c r="E3045" s="408"/>
      <c r="F3045" s="408"/>
      <c r="G3045" s="408"/>
      <c r="H3045" s="408"/>
      <c r="I3045" s="408"/>
      <c r="J3045" s="408"/>
      <c r="K3045" s="408"/>
      <c r="L3045" s="408"/>
      <c r="M3045" s="408"/>
      <c r="N3045" s="408" t="str">
        <f t="shared" si="474"/>
        <v/>
      </c>
      <c r="O3045" s="408"/>
      <c r="P3045" s="408"/>
      <c r="Q3045" s="408"/>
      <c r="R3045" s="408"/>
      <c r="S3045" s="408"/>
      <c r="T3045" s="408"/>
      <c r="U3045" s="408"/>
      <c r="V3045" s="421"/>
      <c r="W3045" s="421"/>
      <c r="X3045" s="421"/>
      <c r="Y3045" s="421"/>
      <c r="Z3045" s="421"/>
      <c r="AA3045" s="421"/>
      <c r="AB3045" s="421"/>
      <c r="AC3045" s="421"/>
      <c r="AD3045" s="421"/>
      <c r="AE3045" s="421"/>
      <c r="AF3045" s="421"/>
      <c r="AG3045" s="421"/>
      <c r="AH3045" s="421"/>
      <c r="AI3045" s="421"/>
      <c r="AJ3045" s="421"/>
      <c r="AK3045" s="421"/>
      <c r="AL3045" s="421"/>
    </row>
    <row r="3046" spans="1:38" hidden="1">
      <c r="A3046" s="408"/>
      <c r="B3046" s="83" t="e">
        <f t="array" ref="B3046">SUM(--(FREQUENCY(IF(C$2:C$3072=C3046, MATCH(D$2:D$3072, D$2:D$3072, 0)), ROW(D$2:D$3072)-ROW(D$2)+1) &gt; 0))</f>
        <v>#N/A</v>
      </c>
      <c r="C3046" s="408"/>
      <c r="D3046" s="408"/>
      <c r="E3046" s="408"/>
      <c r="F3046" s="408"/>
      <c r="G3046" s="408"/>
      <c r="H3046" s="408"/>
      <c r="I3046" s="408"/>
      <c r="J3046" s="408"/>
      <c r="K3046" s="408"/>
      <c r="L3046" s="408"/>
      <c r="M3046" s="408"/>
      <c r="N3046" s="408" t="str">
        <f t="shared" si="474"/>
        <v/>
      </c>
      <c r="O3046" s="408"/>
      <c r="P3046" s="408"/>
      <c r="Q3046" s="408"/>
      <c r="R3046" s="408"/>
      <c r="S3046" s="408"/>
      <c r="T3046" s="408"/>
      <c r="U3046" s="408"/>
      <c r="V3046" s="421"/>
      <c r="W3046" s="421"/>
      <c r="X3046" s="421"/>
      <c r="Y3046" s="421"/>
      <c r="Z3046" s="421"/>
      <c r="AA3046" s="421"/>
      <c r="AB3046" s="421"/>
      <c r="AC3046" s="421"/>
      <c r="AD3046" s="421"/>
      <c r="AE3046" s="421"/>
      <c r="AF3046" s="421"/>
      <c r="AG3046" s="421"/>
      <c r="AH3046" s="421"/>
      <c r="AI3046" s="421"/>
      <c r="AJ3046" s="421"/>
      <c r="AK3046" s="421"/>
      <c r="AL3046" s="421"/>
    </row>
    <row r="3047" spans="1:38" hidden="1">
      <c r="A3047" s="408"/>
      <c r="B3047" s="83" t="e">
        <f t="array" ref="B3047">SUM(--(FREQUENCY(IF(C$2:C$3072=C3047, MATCH(D$2:D$3072, D$2:D$3072, 0)), ROW(D$2:D$3072)-ROW(D$2)+1) &gt; 0))</f>
        <v>#N/A</v>
      </c>
      <c r="C3047" s="408"/>
      <c r="D3047" s="408"/>
      <c r="E3047" s="408"/>
      <c r="F3047" s="408"/>
      <c r="G3047" s="408"/>
      <c r="H3047" s="408"/>
      <c r="I3047" s="408"/>
      <c r="J3047" s="408"/>
      <c r="K3047" s="408"/>
      <c r="L3047" s="408"/>
      <c r="M3047" s="408"/>
      <c r="N3047" s="408" t="str">
        <f t="shared" si="474"/>
        <v/>
      </c>
      <c r="O3047" s="408"/>
      <c r="P3047" s="408"/>
      <c r="Q3047" s="408"/>
      <c r="R3047" s="408"/>
      <c r="S3047" s="408"/>
      <c r="T3047" s="408"/>
      <c r="U3047" s="408"/>
      <c r="V3047" s="421"/>
      <c r="W3047" s="421"/>
      <c r="X3047" s="421"/>
      <c r="Y3047" s="421"/>
      <c r="Z3047" s="421"/>
      <c r="AA3047" s="421"/>
      <c r="AB3047" s="421"/>
      <c r="AC3047" s="421"/>
      <c r="AD3047" s="421"/>
      <c r="AE3047" s="421"/>
      <c r="AF3047" s="421"/>
      <c r="AG3047" s="421"/>
      <c r="AH3047" s="421"/>
      <c r="AI3047" s="421"/>
      <c r="AJ3047" s="421"/>
      <c r="AK3047" s="421"/>
      <c r="AL3047" s="421"/>
    </row>
    <row r="3048" spans="1:38" hidden="1">
      <c r="A3048" s="408"/>
      <c r="B3048" s="83" t="e">
        <f t="array" ref="B3048">SUM(--(FREQUENCY(IF(C$2:C$3072=C3048, MATCH(D$2:D$3072, D$2:D$3072, 0)), ROW(D$2:D$3072)-ROW(D$2)+1) &gt; 0))</f>
        <v>#N/A</v>
      </c>
      <c r="C3048" s="408"/>
      <c r="D3048" s="408"/>
      <c r="E3048" s="408"/>
      <c r="F3048" s="408"/>
      <c r="G3048" s="408"/>
      <c r="H3048" s="408"/>
      <c r="I3048" s="408"/>
      <c r="J3048" s="408"/>
      <c r="K3048" s="408"/>
      <c r="L3048" s="408"/>
      <c r="M3048" s="408"/>
      <c r="N3048" s="408" t="str">
        <f t="shared" si="474"/>
        <v/>
      </c>
      <c r="O3048" s="408"/>
      <c r="P3048" s="408"/>
      <c r="Q3048" s="408"/>
      <c r="R3048" s="408"/>
      <c r="S3048" s="408"/>
      <c r="T3048" s="408"/>
      <c r="U3048" s="408"/>
      <c r="V3048" s="421"/>
      <c r="W3048" s="421"/>
      <c r="X3048" s="421"/>
      <c r="Y3048" s="421"/>
      <c r="Z3048" s="421"/>
      <c r="AA3048" s="421"/>
      <c r="AB3048" s="421"/>
      <c r="AC3048" s="421"/>
      <c r="AD3048" s="421"/>
      <c r="AE3048" s="421"/>
      <c r="AF3048" s="421"/>
      <c r="AG3048" s="421"/>
      <c r="AH3048" s="421"/>
      <c r="AI3048" s="421"/>
      <c r="AJ3048" s="421"/>
      <c r="AK3048" s="421"/>
      <c r="AL3048" s="421"/>
    </row>
    <row r="3049" spans="1:38" hidden="1">
      <c r="A3049" s="408"/>
      <c r="B3049" s="83" t="e">
        <f t="array" ref="B3049">SUM(--(FREQUENCY(IF(C$2:C$3072=C3049, MATCH(D$2:D$3072, D$2:D$3072, 0)), ROW(D$2:D$3072)-ROW(D$2)+1) &gt; 0))</f>
        <v>#N/A</v>
      </c>
      <c r="C3049" s="408"/>
      <c r="D3049" s="408"/>
      <c r="E3049" s="408"/>
      <c r="F3049" s="408"/>
      <c r="G3049" s="408"/>
      <c r="H3049" s="408"/>
      <c r="I3049" s="408"/>
      <c r="J3049" s="408"/>
      <c r="K3049" s="408"/>
      <c r="L3049" s="408"/>
      <c r="M3049" s="408"/>
      <c r="N3049" s="408" t="str">
        <f t="shared" si="474"/>
        <v/>
      </c>
      <c r="O3049" s="408"/>
      <c r="P3049" s="408"/>
      <c r="Q3049" s="408"/>
      <c r="R3049" s="408"/>
      <c r="S3049" s="408"/>
      <c r="T3049" s="408"/>
      <c r="U3049" s="408"/>
      <c r="V3049" s="421"/>
      <c r="W3049" s="421"/>
      <c r="X3049" s="421"/>
      <c r="Y3049" s="421"/>
      <c r="Z3049" s="421"/>
      <c r="AA3049" s="421"/>
      <c r="AB3049" s="421"/>
      <c r="AC3049" s="421"/>
      <c r="AD3049" s="421"/>
      <c r="AE3049" s="421"/>
      <c r="AF3049" s="421"/>
      <c r="AG3049" s="421"/>
      <c r="AH3049" s="421"/>
      <c r="AI3049" s="421"/>
      <c r="AJ3049" s="421"/>
      <c r="AK3049" s="421"/>
      <c r="AL3049" s="421"/>
    </row>
    <row r="3050" spans="1:38" hidden="1">
      <c r="A3050" s="408"/>
      <c r="B3050" s="83" t="e">
        <f t="array" ref="B3050">SUM(--(FREQUENCY(IF(C$2:C$3072=C3050, MATCH(D$2:D$3072, D$2:D$3072, 0)), ROW(D$2:D$3072)-ROW(D$2)+1) &gt; 0))</f>
        <v>#N/A</v>
      </c>
      <c r="C3050" s="408"/>
      <c r="D3050" s="408"/>
      <c r="E3050" s="408"/>
      <c r="F3050" s="408"/>
      <c r="G3050" s="408"/>
      <c r="H3050" s="408"/>
      <c r="I3050" s="408"/>
      <c r="J3050" s="408"/>
      <c r="K3050" s="408"/>
      <c r="L3050" s="408"/>
      <c r="M3050" s="408"/>
      <c r="N3050" s="408" t="str">
        <f t="shared" si="474"/>
        <v/>
      </c>
      <c r="O3050" s="408"/>
      <c r="P3050" s="408"/>
      <c r="Q3050" s="408"/>
      <c r="R3050" s="408"/>
      <c r="S3050" s="408"/>
      <c r="T3050" s="408"/>
      <c r="U3050" s="408"/>
      <c r="V3050" s="421"/>
      <c r="W3050" s="421"/>
      <c r="X3050" s="421"/>
      <c r="Y3050" s="421"/>
      <c r="Z3050" s="421"/>
      <c r="AA3050" s="421"/>
      <c r="AB3050" s="421"/>
      <c r="AC3050" s="421"/>
      <c r="AD3050" s="421"/>
      <c r="AE3050" s="421"/>
      <c r="AF3050" s="421"/>
      <c r="AG3050" s="421"/>
      <c r="AH3050" s="421"/>
      <c r="AI3050" s="421"/>
      <c r="AJ3050" s="421"/>
      <c r="AK3050" s="421"/>
      <c r="AL3050" s="421"/>
    </row>
    <row r="3051" spans="1:38" hidden="1">
      <c r="A3051" s="408"/>
      <c r="B3051" s="83" t="e">
        <f t="array" ref="B3051">SUM(--(FREQUENCY(IF(C$2:C$3072=C3051, MATCH(D$2:D$3072, D$2:D$3072, 0)), ROW(D$2:D$3072)-ROW(D$2)+1) &gt; 0))</f>
        <v>#N/A</v>
      </c>
      <c r="C3051" s="408"/>
      <c r="D3051" s="408"/>
      <c r="E3051" s="408"/>
      <c r="F3051" s="408"/>
      <c r="G3051" s="408"/>
      <c r="H3051" s="408"/>
      <c r="I3051" s="408"/>
      <c r="J3051" s="408"/>
      <c r="K3051" s="408"/>
      <c r="L3051" s="408"/>
      <c r="M3051" s="408"/>
      <c r="N3051" s="408" t="str">
        <f t="shared" si="474"/>
        <v/>
      </c>
      <c r="O3051" s="408"/>
      <c r="P3051" s="408"/>
      <c r="Q3051" s="408"/>
      <c r="R3051" s="408"/>
      <c r="S3051" s="408"/>
      <c r="T3051" s="408"/>
      <c r="U3051" s="408"/>
      <c r="V3051" s="421"/>
      <c r="W3051" s="421"/>
      <c r="X3051" s="421"/>
      <c r="Y3051" s="421"/>
      <c r="Z3051" s="421"/>
      <c r="AA3051" s="421"/>
      <c r="AB3051" s="421"/>
      <c r="AC3051" s="421"/>
      <c r="AD3051" s="421"/>
      <c r="AE3051" s="421"/>
      <c r="AF3051" s="421"/>
      <c r="AG3051" s="421"/>
      <c r="AH3051" s="421"/>
      <c r="AI3051" s="421"/>
      <c r="AJ3051" s="421"/>
      <c r="AK3051" s="421"/>
      <c r="AL3051" s="421"/>
    </row>
    <row r="3052" spans="1:38" hidden="1">
      <c r="A3052" s="408"/>
      <c r="B3052" s="83" t="e">
        <f t="array" ref="B3052">SUM(--(FREQUENCY(IF(C$2:C$3072=C3052, MATCH(D$2:D$3072, D$2:D$3072, 0)), ROW(D$2:D$3072)-ROW(D$2)+1) &gt; 0))</f>
        <v>#N/A</v>
      </c>
      <c r="C3052" s="408"/>
      <c r="D3052" s="408"/>
      <c r="E3052" s="408"/>
      <c r="F3052" s="408"/>
      <c r="G3052" s="408"/>
      <c r="H3052" s="408"/>
      <c r="I3052" s="408"/>
      <c r="J3052" s="408"/>
      <c r="K3052" s="408"/>
      <c r="L3052" s="408"/>
      <c r="M3052" s="408"/>
      <c r="N3052" s="408" t="str">
        <f t="shared" si="474"/>
        <v/>
      </c>
      <c r="O3052" s="408"/>
      <c r="P3052" s="408"/>
      <c r="Q3052" s="408"/>
      <c r="R3052" s="408"/>
      <c r="S3052" s="408"/>
      <c r="T3052" s="408"/>
      <c r="U3052" s="408"/>
      <c r="V3052" s="421"/>
      <c r="W3052" s="421"/>
      <c r="X3052" s="421"/>
      <c r="Y3052" s="421"/>
      <c r="Z3052" s="421"/>
      <c r="AA3052" s="421"/>
      <c r="AB3052" s="421"/>
      <c r="AC3052" s="421"/>
      <c r="AD3052" s="421"/>
      <c r="AE3052" s="421"/>
      <c r="AF3052" s="421"/>
      <c r="AG3052" s="421"/>
      <c r="AH3052" s="421"/>
      <c r="AI3052" s="421"/>
      <c r="AJ3052" s="421"/>
      <c r="AK3052" s="421"/>
      <c r="AL3052" s="421"/>
    </row>
    <row r="3053" spans="1:38" hidden="1">
      <c r="A3053" s="408"/>
      <c r="B3053" s="83" t="e">
        <f t="array" ref="B3053">SUM(--(FREQUENCY(IF(C$2:C$3072=C3053, MATCH(D$2:D$3072, D$2:D$3072, 0)), ROW(D$2:D$3072)-ROW(D$2)+1) &gt; 0))</f>
        <v>#N/A</v>
      </c>
      <c r="C3053" s="408"/>
      <c r="D3053" s="408"/>
      <c r="E3053" s="408"/>
      <c r="F3053" s="408"/>
      <c r="G3053" s="408"/>
      <c r="H3053" s="408"/>
      <c r="I3053" s="408"/>
      <c r="J3053" s="408"/>
      <c r="K3053" s="408"/>
      <c r="L3053" s="408"/>
      <c r="M3053" s="408"/>
      <c r="N3053" s="408" t="str">
        <f t="shared" si="474"/>
        <v/>
      </c>
      <c r="O3053" s="408"/>
      <c r="P3053" s="408"/>
      <c r="Q3053" s="408"/>
      <c r="R3053" s="408"/>
      <c r="S3053" s="408"/>
      <c r="T3053" s="408"/>
      <c r="U3053" s="408"/>
      <c r="V3053" s="421"/>
      <c r="W3053" s="421"/>
      <c r="X3053" s="421"/>
      <c r="Y3053" s="421"/>
      <c r="Z3053" s="421"/>
      <c r="AA3053" s="421"/>
      <c r="AB3053" s="421"/>
      <c r="AC3053" s="421"/>
      <c r="AD3053" s="421"/>
      <c r="AE3053" s="421"/>
      <c r="AF3053" s="421"/>
      <c r="AG3053" s="421"/>
      <c r="AH3053" s="421"/>
      <c r="AI3053" s="421"/>
      <c r="AJ3053" s="421"/>
      <c r="AK3053" s="421"/>
      <c r="AL3053" s="421"/>
    </row>
    <row r="3054" spans="1:38" hidden="1">
      <c r="A3054" s="408"/>
      <c r="B3054" s="83" t="e">
        <f t="array" ref="B3054">SUM(--(FREQUENCY(IF(C$2:C$3072=C3054, MATCH(D$2:D$3072, D$2:D$3072, 0)), ROW(D$2:D$3072)-ROW(D$2)+1) &gt; 0))</f>
        <v>#N/A</v>
      </c>
      <c r="C3054" s="408"/>
      <c r="D3054" s="408"/>
      <c r="E3054" s="408"/>
      <c r="F3054" s="408"/>
      <c r="G3054" s="408"/>
      <c r="H3054" s="408"/>
      <c r="I3054" s="408"/>
      <c r="J3054" s="408"/>
      <c r="K3054" s="408"/>
      <c r="L3054" s="408"/>
      <c r="M3054" s="408"/>
      <c r="N3054" s="408" t="str">
        <f t="shared" si="474"/>
        <v/>
      </c>
      <c r="O3054" s="408"/>
      <c r="P3054" s="408"/>
      <c r="Q3054" s="408"/>
      <c r="R3054" s="408"/>
      <c r="S3054" s="408"/>
      <c r="T3054" s="408"/>
      <c r="U3054" s="408"/>
      <c r="V3054" s="421"/>
      <c r="W3054" s="421"/>
      <c r="X3054" s="421"/>
      <c r="Y3054" s="421"/>
      <c r="Z3054" s="421"/>
      <c r="AA3054" s="421"/>
      <c r="AB3054" s="421"/>
      <c r="AC3054" s="421"/>
      <c r="AD3054" s="421"/>
      <c r="AE3054" s="421"/>
      <c r="AF3054" s="421"/>
      <c r="AG3054" s="421"/>
      <c r="AH3054" s="421"/>
      <c r="AI3054" s="421"/>
      <c r="AJ3054" s="421"/>
      <c r="AK3054" s="421"/>
      <c r="AL3054" s="421"/>
    </row>
    <row r="3055" spans="1:38" hidden="1">
      <c r="A3055" s="408"/>
      <c r="B3055" s="83" t="e">
        <f t="array" ref="B3055">SUM(--(FREQUENCY(IF(C$2:C$3072=C3055, MATCH(D$2:D$3072, D$2:D$3072, 0)), ROW(D$2:D$3072)-ROW(D$2)+1) &gt; 0))</f>
        <v>#N/A</v>
      </c>
      <c r="C3055" s="408"/>
      <c r="D3055" s="408"/>
      <c r="E3055" s="408"/>
      <c r="F3055" s="408"/>
      <c r="G3055" s="408"/>
      <c r="H3055" s="408"/>
      <c r="I3055" s="408"/>
      <c r="J3055" s="408"/>
      <c r="K3055" s="408"/>
      <c r="L3055" s="408"/>
      <c r="M3055" s="408"/>
      <c r="N3055" s="408" t="str">
        <f t="shared" si="474"/>
        <v/>
      </c>
      <c r="O3055" s="408"/>
      <c r="P3055" s="408"/>
      <c r="Q3055" s="408"/>
      <c r="R3055" s="408"/>
      <c r="S3055" s="408"/>
      <c r="T3055" s="408"/>
      <c r="U3055" s="408"/>
      <c r="V3055" s="421"/>
      <c r="W3055" s="421"/>
      <c r="X3055" s="421"/>
      <c r="Y3055" s="421"/>
      <c r="Z3055" s="421"/>
      <c r="AA3055" s="421"/>
      <c r="AB3055" s="421"/>
      <c r="AC3055" s="421"/>
      <c r="AD3055" s="421"/>
      <c r="AE3055" s="421"/>
      <c r="AF3055" s="421"/>
      <c r="AG3055" s="421"/>
      <c r="AH3055" s="421"/>
      <c r="AI3055" s="421"/>
      <c r="AJ3055" s="421"/>
      <c r="AK3055" s="421"/>
      <c r="AL3055" s="421"/>
    </row>
    <row r="3056" spans="1:38" hidden="1">
      <c r="A3056" s="408"/>
      <c r="B3056" s="83" t="e">
        <f t="array" ref="B3056">SUM(--(FREQUENCY(IF(C$2:C$3072=C3056, MATCH(D$2:D$3072, D$2:D$3072, 0)), ROW(D$2:D$3072)-ROW(D$2)+1) &gt; 0))</f>
        <v>#N/A</v>
      </c>
      <c r="C3056" s="408"/>
      <c r="D3056" s="408"/>
      <c r="E3056" s="408"/>
      <c r="F3056" s="408"/>
      <c r="G3056" s="408"/>
      <c r="H3056" s="408"/>
      <c r="I3056" s="408"/>
      <c r="J3056" s="408"/>
      <c r="K3056" s="408"/>
      <c r="L3056" s="408"/>
      <c r="M3056" s="408"/>
      <c r="N3056" s="408" t="str">
        <f t="shared" si="474"/>
        <v/>
      </c>
      <c r="O3056" s="408"/>
      <c r="P3056" s="408"/>
      <c r="Q3056" s="408"/>
      <c r="R3056" s="408"/>
      <c r="S3056" s="408"/>
      <c r="T3056" s="408"/>
      <c r="U3056" s="408"/>
      <c r="V3056" s="421"/>
      <c r="W3056" s="421"/>
      <c r="X3056" s="421"/>
      <c r="Y3056" s="421"/>
      <c r="Z3056" s="421"/>
      <c r="AA3056" s="421"/>
      <c r="AB3056" s="421"/>
      <c r="AC3056" s="421"/>
      <c r="AD3056" s="421"/>
      <c r="AE3056" s="421"/>
      <c r="AF3056" s="421"/>
      <c r="AG3056" s="421"/>
      <c r="AH3056" s="421"/>
      <c r="AI3056" s="421"/>
      <c r="AJ3056" s="421"/>
      <c r="AK3056" s="421"/>
      <c r="AL3056" s="421"/>
    </row>
    <row r="3057" spans="1:38" hidden="1">
      <c r="A3057" s="408"/>
      <c r="B3057" s="83" t="e">
        <f t="array" ref="B3057">SUM(--(FREQUENCY(IF(C$2:C$3072=C3057, MATCH(D$2:D$3072, D$2:D$3072, 0)), ROW(D$2:D$3072)-ROW(D$2)+1) &gt; 0))</f>
        <v>#N/A</v>
      </c>
      <c r="C3057" s="408"/>
      <c r="D3057" s="408"/>
      <c r="E3057" s="408"/>
      <c r="F3057" s="408"/>
      <c r="G3057" s="408"/>
      <c r="H3057" s="408"/>
      <c r="I3057" s="408"/>
      <c r="J3057" s="408"/>
      <c r="K3057" s="408"/>
      <c r="L3057" s="408"/>
      <c r="M3057" s="408"/>
      <c r="N3057" s="408" t="str">
        <f t="shared" si="474"/>
        <v/>
      </c>
      <c r="O3057" s="408"/>
      <c r="P3057" s="408"/>
      <c r="Q3057" s="408"/>
      <c r="R3057" s="408"/>
      <c r="S3057" s="408"/>
      <c r="T3057" s="408"/>
      <c r="U3057" s="408"/>
      <c r="V3057" s="421"/>
      <c r="W3057" s="421"/>
      <c r="X3057" s="421"/>
      <c r="Y3057" s="421"/>
      <c r="Z3057" s="421"/>
      <c r="AA3057" s="421"/>
      <c r="AB3057" s="421"/>
      <c r="AC3057" s="421"/>
      <c r="AD3057" s="421"/>
      <c r="AE3057" s="421"/>
      <c r="AF3057" s="421"/>
      <c r="AG3057" s="421"/>
      <c r="AH3057" s="421"/>
      <c r="AI3057" s="421"/>
      <c r="AJ3057" s="421"/>
      <c r="AK3057" s="421"/>
      <c r="AL3057" s="421"/>
    </row>
    <row r="3058" spans="1:38" hidden="1">
      <c r="A3058" s="408"/>
      <c r="B3058" s="83" t="e">
        <f t="array" ref="B3058">SUM(--(FREQUENCY(IF(C$2:C$3072=C3058, MATCH(D$2:D$3072, D$2:D$3072, 0)), ROW(D$2:D$3072)-ROW(D$2)+1) &gt; 0))</f>
        <v>#N/A</v>
      </c>
      <c r="C3058" s="408"/>
      <c r="D3058" s="408"/>
      <c r="E3058" s="408"/>
      <c r="F3058" s="408"/>
      <c r="G3058" s="408"/>
      <c r="H3058" s="408"/>
      <c r="I3058" s="408"/>
      <c r="J3058" s="408"/>
      <c r="K3058" s="408"/>
      <c r="L3058" s="408"/>
      <c r="M3058" s="408"/>
      <c r="N3058" s="408" t="str">
        <f t="shared" si="474"/>
        <v/>
      </c>
      <c r="O3058" s="408"/>
      <c r="P3058" s="408"/>
      <c r="Q3058" s="408"/>
      <c r="R3058" s="408"/>
      <c r="S3058" s="408"/>
      <c r="T3058" s="408"/>
      <c r="U3058" s="408"/>
      <c r="V3058" s="421"/>
      <c r="W3058" s="421"/>
      <c r="X3058" s="421"/>
      <c r="Y3058" s="421"/>
      <c r="Z3058" s="421"/>
      <c r="AA3058" s="421"/>
      <c r="AB3058" s="421"/>
      <c r="AC3058" s="421"/>
      <c r="AD3058" s="421"/>
      <c r="AE3058" s="421"/>
      <c r="AF3058" s="421"/>
      <c r="AG3058" s="421"/>
      <c r="AH3058" s="421"/>
      <c r="AI3058" s="421"/>
      <c r="AJ3058" s="421"/>
      <c r="AK3058" s="421"/>
      <c r="AL3058" s="421"/>
    </row>
    <row r="3059" spans="1:38" hidden="1">
      <c r="A3059" s="408"/>
      <c r="B3059" s="83" t="e">
        <f t="array" ref="B3059">SUM(--(FREQUENCY(IF(C$2:C$3072=C3059, MATCH(D$2:D$3072, D$2:D$3072, 0)), ROW(D$2:D$3072)-ROW(D$2)+1) &gt; 0))</f>
        <v>#N/A</v>
      </c>
      <c r="C3059" s="408"/>
      <c r="D3059" s="408"/>
      <c r="E3059" s="408"/>
      <c r="F3059" s="408"/>
      <c r="G3059" s="408"/>
      <c r="H3059" s="408"/>
      <c r="I3059" s="408"/>
      <c r="J3059" s="408"/>
      <c r="K3059" s="408"/>
      <c r="L3059" s="408"/>
      <c r="M3059" s="408"/>
      <c r="N3059" s="408" t="str">
        <f t="shared" si="474"/>
        <v/>
      </c>
      <c r="O3059" s="408"/>
      <c r="P3059" s="408"/>
      <c r="Q3059" s="408"/>
      <c r="R3059" s="408"/>
      <c r="S3059" s="408"/>
      <c r="T3059" s="408"/>
      <c r="U3059" s="408"/>
      <c r="V3059" s="421"/>
      <c r="W3059" s="421"/>
      <c r="X3059" s="421"/>
      <c r="Y3059" s="421"/>
      <c r="Z3059" s="421"/>
      <c r="AA3059" s="421"/>
      <c r="AB3059" s="421"/>
      <c r="AC3059" s="421"/>
      <c r="AD3059" s="421"/>
      <c r="AE3059" s="421"/>
      <c r="AF3059" s="421"/>
      <c r="AG3059" s="421"/>
      <c r="AH3059" s="421"/>
      <c r="AI3059" s="421"/>
      <c r="AJ3059" s="421"/>
      <c r="AK3059" s="421"/>
      <c r="AL3059" s="421"/>
    </row>
    <row r="3060" spans="1:38" hidden="1">
      <c r="A3060" s="408"/>
      <c r="B3060" s="83" t="e">
        <f t="array" ref="B3060">SUM(--(FREQUENCY(IF(C$2:C$3072=C3060, MATCH(D$2:D$3072, D$2:D$3072, 0)), ROW(D$2:D$3072)-ROW(D$2)+1) &gt; 0))</f>
        <v>#N/A</v>
      </c>
      <c r="C3060" s="408"/>
      <c r="D3060" s="408"/>
      <c r="E3060" s="408"/>
      <c r="F3060" s="408"/>
      <c r="G3060" s="408"/>
      <c r="H3060" s="408"/>
      <c r="I3060" s="408"/>
      <c r="J3060" s="408"/>
      <c r="K3060" s="408"/>
      <c r="L3060" s="408"/>
      <c r="M3060" s="408"/>
      <c r="N3060" s="408" t="str">
        <f t="shared" si="474"/>
        <v/>
      </c>
      <c r="O3060" s="408"/>
      <c r="P3060" s="408"/>
      <c r="Q3060" s="408"/>
      <c r="R3060" s="408"/>
      <c r="S3060" s="408"/>
      <c r="T3060" s="408"/>
      <c r="U3060" s="408"/>
      <c r="V3060" s="421"/>
      <c r="W3060" s="421"/>
      <c r="X3060" s="421"/>
      <c r="Y3060" s="421"/>
      <c r="Z3060" s="421"/>
      <c r="AA3060" s="421"/>
      <c r="AB3060" s="421"/>
      <c r="AC3060" s="421"/>
      <c r="AD3060" s="421"/>
      <c r="AE3060" s="421"/>
      <c r="AF3060" s="421"/>
      <c r="AG3060" s="421"/>
      <c r="AH3060" s="421"/>
      <c r="AI3060" s="421"/>
      <c r="AJ3060" s="421"/>
      <c r="AK3060" s="421"/>
      <c r="AL3060" s="421"/>
    </row>
    <row r="3061" spans="1:38" hidden="1">
      <c r="A3061" s="408"/>
      <c r="B3061" s="83" t="e">
        <f t="array" ref="B3061">SUM(--(FREQUENCY(IF(C$2:C$3072=C3061, MATCH(D$2:D$3072, D$2:D$3072, 0)), ROW(D$2:D$3072)-ROW(D$2)+1) &gt; 0))</f>
        <v>#N/A</v>
      </c>
      <c r="C3061" s="408"/>
      <c r="D3061" s="408"/>
      <c r="E3061" s="408"/>
      <c r="F3061" s="408"/>
      <c r="G3061" s="408"/>
      <c r="H3061" s="408"/>
      <c r="I3061" s="408"/>
      <c r="J3061" s="408"/>
      <c r="K3061" s="408"/>
      <c r="L3061" s="408"/>
      <c r="M3061" s="408"/>
      <c r="N3061" s="408" t="str">
        <f t="shared" si="474"/>
        <v/>
      </c>
      <c r="O3061" s="408"/>
      <c r="P3061" s="408"/>
      <c r="Q3061" s="408"/>
      <c r="R3061" s="408"/>
      <c r="S3061" s="408"/>
      <c r="T3061" s="408"/>
      <c r="U3061" s="408"/>
      <c r="V3061" s="421"/>
      <c r="W3061" s="421"/>
      <c r="X3061" s="421"/>
      <c r="Y3061" s="421"/>
      <c r="Z3061" s="421"/>
      <c r="AA3061" s="421"/>
      <c r="AB3061" s="421"/>
      <c r="AC3061" s="421"/>
      <c r="AD3061" s="421"/>
      <c r="AE3061" s="421"/>
      <c r="AF3061" s="421"/>
      <c r="AG3061" s="421"/>
      <c r="AH3061" s="421"/>
      <c r="AI3061" s="421"/>
      <c r="AJ3061" s="421"/>
      <c r="AK3061" s="421"/>
      <c r="AL3061" s="421"/>
    </row>
    <row r="3062" spans="1:38" hidden="1">
      <c r="A3062" s="408"/>
      <c r="B3062" s="83" t="e">
        <f t="array" ref="B3062">SUM(--(FREQUENCY(IF(C$2:C$3072=C3062, MATCH(D$2:D$3072, D$2:D$3072, 0)), ROW(D$2:D$3072)-ROW(D$2)+1) &gt; 0))</f>
        <v>#N/A</v>
      </c>
      <c r="C3062" s="408"/>
      <c r="D3062" s="408"/>
      <c r="E3062" s="408"/>
      <c r="F3062" s="408"/>
      <c r="G3062" s="408"/>
      <c r="H3062" s="408"/>
      <c r="I3062" s="408"/>
      <c r="J3062" s="408"/>
      <c r="K3062" s="408"/>
      <c r="L3062" s="408"/>
      <c r="M3062" s="408"/>
      <c r="N3062" s="408" t="str">
        <f t="shared" si="474"/>
        <v/>
      </c>
      <c r="O3062" s="408"/>
      <c r="P3062" s="408"/>
      <c r="Q3062" s="408"/>
      <c r="R3062" s="408"/>
      <c r="S3062" s="408"/>
      <c r="T3062" s="408"/>
      <c r="U3062" s="408"/>
      <c r="V3062" s="421"/>
      <c r="W3062" s="421"/>
      <c r="X3062" s="421"/>
      <c r="Y3062" s="421"/>
      <c r="Z3062" s="421"/>
      <c r="AA3062" s="421"/>
      <c r="AB3062" s="421"/>
      <c r="AC3062" s="421"/>
      <c r="AD3062" s="421"/>
      <c r="AE3062" s="421"/>
      <c r="AF3062" s="421"/>
      <c r="AG3062" s="421"/>
      <c r="AH3062" s="421"/>
      <c r="AI3062" s="421"/>
      <c r="AJ3062" s="421"/>
      <c r="AK3062" s="421"/>
      <c r="AL3062" s="421"/>
    </row>
    <row r="3063" spans="1:38" hidden="1">
      <c r="A3063" s="408"/>
      <c r="B3063" s="83" t="e">
        <f t="array" ref="B3063">SUM(--(FREQUENCY(IF(C$2:C$3072=C3063, MATCH(D$2:D$3072, D$2:D$3072, 0)), ROW(D$2:D$3072)-ROW(D$2)+1) &gt; 0))</f>
        <v>#N/A</v>
      </c>
      <c r="C3063" s="408"/>
      <c r="D3063" s="408"/>
      <c r="E3063" s="408"/>
      <c r="F3063" s="408"/>
      <c r="G3063" s="408"/>
      <c r="H3063" s="408"/>
      <c r="I3063" s="408"/>
      <c r="J3063" s="408"/>
      <c r="K3063" s="408"/>
      <c r="L3063" s="408"/>
      <c r="M3063" s="408"/>
      <c r="N3063" s="408" t="str">
        <f t="shared" si="474"/>
        <v/>
      </c>
      <c r="O3063" s="408"/>
      <c r="P3063" s="408"/>
      <c r="Q3063" s="408"/>
      <c r="R3063" s="408"/>
      <c r="S3063" s="408"/>
      <c r="T3063" s="408"/>
      <c r="U3063" s="408"/>
      <c r="V3063" s="421"/>
      <c r="W3063" s="421"/>
      <c r="X3063" s="421"/>
      <c r="Y3063" s="421"/>
      <c r="Z3063" s="421"/>
      <c r="AA3063" s="421"/>
      <c r="AB3063" s="421"/>
      <c r="AC3063" s="421"/>
      <c r="AD3063" s="421"/>
      <c r="AE3063" s="421"/>
      <c r="AF3063" s="421"/>
      <c r="AG3063" s="421"/>
      <c r="AH3063" s="421"/>
      <c r="AI3063" s="421"/>
      <c r="AJ3063" s="421"/>
      <c r="AK3063" s="421"/>
      <c r="AL3063" s="421"/>
    </row>
    <row r="3064" spans="1:38" hidden="1">
      <c r="A3064" s="408"/>
      <c r="B3064" s="83" t="e">
        <f t="array" ref="B3064">SUM(--(FREQUENCY(IF(C$2:C$3072=C3064, MATCH(D$2:D$3072, D$2:D$3072, 0)), ROW(D$2:D$3072)-ROW(D$2)+1) &gt; 0))</f>
        <v>#N/A</v>
      </c>
      <c r="C3064" s="408"/>
      <c r="D3064" s="408"/>
      <c r="E3064" s="408"/>
      <c r="F3064" s="408"/>
      <c r="G3064" s="408"/>
      <c r="H3064" s="408"/>
      <c r="I3064" s="408"/>
      <c r="J3064" s="408"/>
      <c r="K3064" s="408"/>
      <c r="L3064" s="408"/>
      <c r="M3064" s="408"/>
      <c r="N3064" s="408" t="str">
        <f t="shared" si="474"/>
        <v/>
      </c>
      <c r="O3064" s="408"/>
      <c r="P3064" s="408"/>
      <c r="Q3064" s="408"/>
      <c r="R3064" s="408"/>
      <c r="S3064" s="408"/>
      <c r="T3064" s="408"/>
      <c r="U3064" s="408"/>
      <c r="V3064" s="421"/>
      <c r="W3064" s="421"/>
      <c r="X3064" s="421"/>
      <c r="Y3064" s="421"/>
      <c r="Z3064" s="421"/>
      <c r="AA3064" s="421"/>
      <c r="AB3064" s="421"/>
      <c r="AC3064" s="421"/>
      <c r="AD3064" s="421"/>
      <c r="AE3064" s="421"/>
      <c r="AF3064" s="421"/>
      <c r="AG3064" s="421"/>
      <c r="AH3064" s="421"/>
      <c r="AI3064" s="421"/>
      <c r="AJ3064" s="421"/>
      <c r="AK3064" s="421"/>
      <c r="AL3064" s="421"/>
    </row>
    <row r="3065" spans="1:38" hidden="1">
      <c r="A3065" s="408"/>
      <c r="B3065" s="83" t="e">
        <f t="array" ref="B3065">SUM(--(FREQUENCY(IF(C$2:C$3072=C3065, MATCH(D$2:D$3072, D$2:D$3072, 0)), ROW(D$2:D$3072)-ROW(D$2)+1) &gt; 0))</f>
        <v>#N/A</v>
      </c>
      <c r="C3065" s="408"/>
      <c r="D3065" s="408"/>
      <c r="E3065" s="408"/>
      <c r="F3065" s="408"/>
      <c r="G3065" s="408"/>
      <c r="H3065" s="408"/>
      <c r="I3065" s="408"/>
      <c r="J3065" s="408"/>
      <c r="K3065" s="408"/>
      <c r="L3065" s="408"/>
      <c r="M3065" s="408"/>
      <c r="N3065" s="408" t="str">
        <f t="shared" si="474"/>
        <v/>
      </c>
      <c r="O3065" s="408"/>
      <c r="P3065" s="408"/>
      <c r="Q3065" s="408"/>
      <c r="R3065" s="408"/>
      <c r="S3065" s="408"/>
      <c r="T3065" s="408"/>
      <c r="U3065" s="408"/>
      <c r="V3065" s="421"/>
      <c r="W3065" s="421"/>
      <c r="X3065" s="421"/>
      <c r="Y3065" s="421"/>
      <c r="Z3065" s="421"/>
      <c r="AA3065" s="421"/>
      <c r="AB3065" s="421"/>
      <c r="AC3065" s="421"/>
      <c r="AD3065" s="421"/>
      <c r="AE3065" s="421"/>
      <c r="AF3065" s="421"/>
      <c r="AG3065" s="421"/>
      <c r="AH3065" s="421"/>
      <c r="AI3065" s="421"/>
      <c r="AJ3065" s="421"/>
      <c r="AK3065" s="421"/>
      <c r="AL3065" s="421"/>
    </row>
    <row r="3066" spans="1:38" hidden="1">
      <c r="A3066" s="408"/>
      <c r="B3066" s="83" t="e">
        <f t="array" ref="B3066">SUM(--(FREQUENCY(IF(C$2:C$3072=C3066, MATCH(D$2:D$3072, D$2:D$3072, 0)), ROW(D$2:D$3072)-ROW(D$2)+1) &gt; 0))</f>
        <v>#N/A</v>
      </c>
      <c r="C3066" s="408"/>
      <c r="D3066" s="408"/>
      <c r="E3066" s="408"/>
      <c r="F3066" s="408"/>
      <c r="G3066" s="408"/>
      <c r="H3066" s="408"/>
      <c r="I3066" s="408"/>
      <c r="J3066" s="408"/>
      <c r="K3066" s="408"/>
      <c r="L3066" s="408"/>
      <c r="M3066" s="408"/>
      <c r="N3066" s="408" t="str">
        <f t="shared" si="474"/>
        <v/>
      </c>
      <c r="O3066" s="408"/>
      <c r="P3066" s="408"/>
      <c r="Q3066" s="408"/>
      <c r="R3066" s="408"/>
      <c r="S3066" s="408"/>
      <c r="T3066" s="408"/>
      <c r="U3066" s="408"/>
      <c r="V3066" s="421"/>
      <c r="W3066" s="421"/>
      <c r="X3066" s="421"/>
      <c r="Y3066" s="421"/>
      <c r="Z3066" s="421"/>
      <c r="AA3066" s="421"/>
      <c r="AB3066" s="421"/>
      <c r="AC3066" s="421"/>
      <c r="AD3066" s="421"/>
      <c r="AE3066" s="421"/>
      <c r="AF3066" s="421"/>
      <c r="AG3066" s="421"/>
      <c r="AH3066" s="421"/>
      <c r="AI3066" s="421"/>
      <c r="AJ3066" s="421"/>
      <c r="AK3066" s="421"/>
      <c r="AL3066" s="421"/>
    </row>
    <row r="3067" spans="1:38" hidden="1">
      <c r="A3067" s="408"/>
      <c r="B3067" s="83" t="e">
        <f t="array" ref="B3067">SUM(--(FREQUENCY(IF(C$2:C$3072=C3067, MATCH(D$2:D$3072, D$2:D$3072, 0)), ROW(D$2:D$3072)-ROW(D$2)+1) &gt; 0))</f>
        <v>#N/A</v>
      </c>
      <c r="C3067" s="408"/>
      <c r="D3067" s="408"/>
      <c r="E3067" s="408"/>
      <c r="F3067" s="408"/>
      <c r="G3067" s="408"/>
      <c r="H3067" s="408"/>
      <c r="I3067" s="408"/>
      <c r="J3067" s="408"/>
      <c r="K3067" s="408"/>
      <c r="L3067" s="408"/>
      <c r="M3067" s="408"/>
      <c r="N3067" s="408" t="str">
        <f t="shared" si="474"/>
        <v/>
      </c>
      <c r="O3067" s="408"/>
      <c r="P3067" s="408"/>
      <c r="Q3067" s="408"/>
      <c r="R3067" s="408"/>
      <c r="S3067" s="408"/>
      <c r="T3067" s="408"/>
      <c r="U3067" s="408"/>
      <c r="V3067" s="421"/>
      <c r="W3067" s="421"/>
      <c r="X3067" s="421"/>
      <c r="Y3067" s="421"/>
      <c r="Z3067" s="421"/>
      <c r="AA3067" s="421"/>
      <c r="AB3067" s="421"/>
      <c r="AC3067" s="421"/>
      <c r="AD3067" s="421"/>
      <c r="AE3067" s="421"/>
      <c r="AF3067" s="421"/>
      <c r="AG3067" s="421"/>
      <c r="AH3067" s="421"/>
      <c r="AI3067" s="421"/>
      <c r="AJ3067" s="421"/>
      <c r="AK3067" s="421"/>
      <c r="AL3067" s="421"/>
    </row>
    <row r="3068" spans="1:38" hidden="1">
      <c r="A3068" s="408"/>
      <c r="B3068" s="83" t="e">
        <f t="array" ref="B3068">SUM(--(FREQUENCY(IF(C$2:C$3072=C3068, MATCH(D$2:D$3072, D$2:D$3072, 0)), ROW(D$2:D$3072)-ROW(D$2)+1) &gt; 0))</f>
        <v>#N/A</v>
      </c>
      <c r="C3068" s="408"/>
      <c r="D3068" s="408"/>
      <c r="E3068" s="408"/>
      <c r="F3068" s="408"/>
      <c r="G3068" s="408"/>
      <c r="H3068" s="408"/>
      <c r="I3068" s="408"/>
      <c r="J3068" s="408"/>
      <c r="K3068" s="408"/>
      <c r="L3068" s="408"/>
      <c r="M3068" s="408"/>
      <c r="N3068" s="408" t="str">
        <f t="shared" si="474"/>
        <v/>
      </c>
      <c r="O3068" s="408"/>
      <c r="P3068" s="408"/>
      <c r="Q3068" s="408"/>
      <c r="R3068" s="408"/>
      <c r="S3068" s="408"/>
      <c r="T3068" s="408"/>
      <c r="U3068" s="408"/>
      <c r="V3068" s="421"/>
      <c r="W3068" s="421"/>
      <c r="X3068" s="421"/>
      <c r="Y3068" s="421"/>
      <c r="Z3068" s="421"/>
      <c r="AA3068" s="421"/>
      <c r="AB3068" s="421"/>
      <c r="AC3068" s="421"/>
      <c r="AD3068" s="421"/>
      <c r="AE3068" s="421"/>
      <c r="AF3068" s="421"/>
      <c r="AG3068" s="421"/>
      <c r="AH3068" s="421"/>
      <c r="AI3068" s="421"/>
      <c r="AJ3068" s="421"/>
      <c r="AK3068" s="421"/>
      <c r="AL3068" s="421"/>
    </row>
    <row r="3069" spans="1:38" hidden="1">
      <c r="A3069" s="408"/>
      <c r="B3069" s="83" t="e">
        <f t="array" ref="B3069">SUM(--(FREQUENCY(IF(C$2:C$3072=C3069, MATCH(D$2:D$3072, D$2:D$3072, 0)), ROW(D$2:D$3072)-ROW(D$2)+1) &gt; 0))</f>
        <v>#N/A</v>
      </c>
      <c r="C3069" s="408"/>
      <c r="D3069" s="408"/>
      <c r="E3069" s="408"/>
      <c r="F3069" s="408"/>
      <c r="G3069" s="408"/>
      <c r="H3069" s="408"/>
      <c r="I3069" s="408"/>
      <c r="J3069" s="408"/>
      <c r="K3069" s="408"/>
      <c r="L3069" s="408"/>
      <c r="M3069" s="408"/>
      <c r="N3069" s="408" t="str">
        <f t="shared" si="474"/>
        <v/>
      </c>
      <c r="O3069" s="408"/>
      <c r="P3069" s="408"/>
      <c r="Q3069" s="408"/>
      <c r="R3069" s="408"/>
      <c r="S3069" s="408"/>
      <c r="T3069" s="408"/>
      <c r="U3069" s="408"/>
      <c r="V3069" s="421"/>
      <c r="W3069" s="421"/>
      <c r="X3069" s="421"/>
      <c r="Y3069" s="421"/>
      <c r="Z3069" s="421"/>
      <c r="AA3069" s="421"/>
      <c r="AB3069" s="421"/>
      <c r="AC3069" s="421"/>
      <c r="AD3069" s="421"/>
      <c r="AE3069" s="421"/>
      <c r="AF3069" s="421"/>
      <c r="AG3069" s="421"/>
      <c r="AH3069" s="421"/>
      <c r="AI3069" s="421"/>
      <c r="AJ3069" s="421"/>
      <c r="AK3069" s="421"/>
      <c r="AL3069" s="421"/>
    </row>
    <row r="3070" spans="1:38" hidden="1">
      <c r="A3070" s="408"/>
      <c r="B3070" s="83" t="e">
        <f t="array" ref="B3070">SUM(--(FREQUENCY(IF(C$2:C$3072=C3070, MATCH(D$2:D$3072, D$2:D$3072, 0)), ROW(D$2:D$3072)-ROW(D$2)+1) &gt; 0))</f>
        <v>#N/A</v>
      </c>
      <c r="C3070" s="408"/>
      <c r="D3070" s="408"/>
      <c r="E3070" s="408"/>
      <c r="F3070" s="408"/>
      <c r="G3070" s="408"/>
      <c r="H3070" s="408"/>
      <c r="I3070" s="408"/>
      <c r="J3070" s="408"/>
      <c r="K3070" s="408"/>
      <c r="L3070" s="408"/>
      <c r="M3070" s="408"/>
      <c r="N3070" s="408" t="str">
        <f t="shared" si="474"/>
        <v/>
      </c>
      <c r="O3070" s="408"/>
      <c r="P3070" s="408"/>
      <c r="Q3070" s="408"/>
      <c r="R3070" s="408"/>
      <c r="S3070" s="408"/>
      <c r="T3070" s="408"/>
      <c r="U3070" s="408"/>
      <c r="V3070" s="421"/>
      <c r="W3070" s="421"/>
      <c r="X3070" s="421"/>
      <c r="Y3070" s="421"/>
      <c r="Z3070" s="421"/>
      <c r="AA3070" s="421"/>
      <c r="AB3070" s="421"/>
      <c r="AC3070" s="421"/>
      <c r="AD3070" s="421"/>
      <c r="AE3070" s="421"/>
      <c r="AF3070" s="421"/>
      <c r="AG3070" s="421"/>
      <c r="AH3070" s="421"/>
      <c r="AI3070" s="421"/>
      <c r="AJ3070" s="421"/>
      <c r="AK3070" s="421"/>
      <c r="AL3070" s="421"/>
    </row>
    <row r="3071" spans="1:38" hidden="1">
      <c r="A3071" s="408"/>
      <c r="B3071" s="83" t="e">
        <f t="array" ref="B3071">SUM(--(FREQUENCY(IF(C$2:C$3072=C3071, MATCH(D$2:D$3072, D$2:D$3072, 0)), ROW(D$2:D$3072)-ROW(D$2)+1) &gt; 0))</f>
        <v>#N/A</v>
      </c>
      <c r="C3071" s="408"/>
      <c r="D3071" s="408"/>
      <c r="E3071" s="408"/>
      <c r="F3071" s="408"/>
      <c r="G3071" s="408"/>
      <c r="H3071" s="408"/>
      <c r="I3071" s="408"/>
      <c r="J3071" s="408"/>
      <c r="K3071" s="408"/>
      <c r="L3071" s="408"/>
      <c r="M3071" s="408"/>
      <c r="N3071" s="408" t="str">
        <f t="shared" si="474"/>
        <v/>
      </c>
      <c r="O3071" s="408"/>
      <c r="P3071" s="408"/>
      <c r="Q3071" s="408"/>
      <c r="R3071" s="408"/>
      <c r="S3071" s="408"/>
      <c r="T3071" s="408"/>
      <c r="U3071" s="408"/>
      <c r="V3071" s="421"/>
      <c r="W3071" s="421"/>
      <c r="X3071" s="421"/>
      <c r="Y3071" s="421"/>
      <c r="Z3071" s="421"/>
      <c r="AA3071" s="421"/>
      <c r="AB3071" s="421"/>
      <c r="AC3071" s="421"/>
      <c r="AD3071" s="421"/>
      <c r="AE3071" s="421"/>
      <c r="AF3071" s="421"/>
      <c r="AG3071" s="421"/>
      <c r="AH3071" s="421"/>
      <c r="AI3071" s="421"/>
      <c r="AJ3071" s="421"/>
      <c r="AK3071" s="421"/>
      <c r="AL3071" s="421"/>
    </row>
    <row r="3072" spans="1:38" hidden="1">
      <c r="A3072" s="408"/>
      <c r="B3072" s="83" t="e">
        <f t="array" ref="B3072">SUM(--(FREQUENCY(IF(C$2:C$3072=C3072, MATCH(D$2:D$3072, D$2:D$3072, 0)), ROW(D$2:D$3072)-ROW(D$2)+1) &gt; 0))</f>
        <v>#N/A</v>
      </c>
      <c r="C3072" s="408"/>
      <c r="D3072" s="408"/>
      <c r="E3072" s="408"/>
      <c r="F3072" s="408"/>
      <c r="G3072" s="408"/>
      <c r="H3072" s="408"/>
      <c r="I3072" s="408"/>
      <c r="J3072" s="408"/>
      <c r="K3072" s="408"/>
      <c r="L3072" s="408"/>
      <c r="M3072" s="408"/>
      <c r="N3072" s="408" t="str">
        <f t="shared" ref="N3072:N3135" si="475">IF(O3072&lt;&gt;"", "NG", "")</f>
        <v/>
      </c>
      <c r="O3072" s="408"/>
      <c r="P3072" s="408"/>
      <c r="Q3072" s="408"/>
      <c r="R3072" s="408"/>
      <c r="S3072" s="408"/>
      <c r="T3072" s="408"/>
      <c r="U3072" s="408"/>
      <c r="V3072" s="421"/>
      <c r="W3072" s="421"/>
      <c r="X3072" s="421"/>
      <c r="Y3072" s="421"/>
      <c r="Z3072" s="421"/>
      <c r="AA3072" s="421"/>
      <c r="AB3072" s="421"/>
      <c r="AC3072" s="421"/>
      <c r="AD3072" s="421"/>
      <c r="AE3072" s="421"/>
      <c r="AF3072" s="421"/>
      <c r="AG3072" s="421"/>
      <c r="AH3072" s="421"/>
      <c r="AI3072" s="421"/>
      <c r="AJ3072" s="421"/>
      <c r="AK3072" s="421"/>
      <c r="AL3072" s="421"/>
    </row>
    <row r="3073" spans="1:38" hidden="1">
      <c r="A3073" s="408"/>
      <c r="B3073" s="83" t="e">
        <f t="array" ref="B3073">SUM(--(FREQUENCY(IF(C$2:C$3072=C3073, MATCH(D$2:D$3072, D$2:D$3072, 0)), ROW(D$2:D$3072)-ROW(D$2)+1) &gt; 0))</f>
        <v>#N/A</v>
      </c>
      <c r="C3073" s="408"/>
      <c r="D3073" s="408"/>
      <c r="E3073" s="408"/>
      <c r="F3073" s="408"/>
      <c r="G3073" s="408"/>
      <c r="H3073" s="408"/>
      <c r="I3073" s="408"/>
      <c r="J3073" s="408"/>
      <c r="K3073" s="408"/>
      <c r="L3073" s="408"/>
      <c r="M3073" s="408"/>
      <c r="N3073" s="408" t="str">
        <f t="shared" si="475"/>
        <v/>
      </c>
      <c r="O3073" s="408"/>
      <c r="P3073" s="408"/>
      <c r="Q3073" s="408"/>
      <c r="R3073" s="408"/>
      <c r="S3073" s="408"/>
      <c r="T3073" s="408"/>
      <c r="U3073" s="408"/>
      <c r="V3073" s="421"/>
      <c r="W3073" s="421"/>
      <c r="X3073" s="421"/>
      <c r="Y3073" s="421"/>
      <c r="Z3073" s="421"/>
      <c r="AA3073" s="421"/>
      <c r="AB3073" s="421"/>
      <c r="AC3073" s="421"/>
      <c r="AD3073" s="421"/>
      <c r="AE3073" s="421"/>
      <c r="AF3073" s="421"/>
      <c r="AG3073" s="421"/>
      <c r="AH3073" s="421"/>
      <c r="AI3073" s="421"/>
      <c r="AJ3073" s="421"/>
      <c r="AK3073" s="421"/>
      <c r="AL3073" s="421"/>
    </row>
    <row r="3074" spans="1:38" hidden="1">
      <c r="A3074" s="408"/>
      <c r="B3074" s="83" t="e">
        <f t="array" ref="B3074">SUM(--(FREQUENCY(IF(C$2:C$3072=C3074, MATCH(D$2:D$3072, D$2:D$3072, 0)), ROW(D$2:D$3072)-ROW(D$2)+1) &gt; 0))</f>
        <v>#N/A</v>
      </c>
      <c r="C3074" s="408"/>
      <c r="D3074" s="408"/>
      <c r="E3074" s="408"/>
      <c r="F3074" s="408"/>
      <c r="G3074" s="408"/>
      <c r="H3074" s="408"/>
      <c r="I3074" s="408"/>
      <c r="J3074" s="408"/>
      <c r="K3074" s="408"/>
      <c r="L3074" s="408"/>
      <c r="M3074" s="408"/>
      <c r="N3074" s="408" t="str">
        <f t="shared" si="475"/>
        <v/>
      </c>
      <c r="O3074" s="408"/>
      <c r="P3074" s="408"/>
      <c r="Q3074" s="408"/>
      <c r="R3074" s="408"/>
      <c r="S3074" s="408"/>
      <c r="T3074" s="408"/>
      <c r="U3074" s="408"/>
      <c r="V3074" s="421"/>
      <c r="W3074" s="421"/>
      <c r="X3074" s="421"/>
      <c r="Y3074" s="421"/>
      <c r="Z3074" s="421"/>
      <c r="AA3074" s="421"/>
      <c r="AB3074" s="421"/>
      <c r="AC3074" s="421"/>
      <c r="AD3074" s="421"/>
      <c r="AE3074" s="421"/>
      <c r="AF3074" s="421"/>
      <c r="AG3074" s="421"/>
      <c r="AH3074" s="421"/>
      <c r="AI3074" s="421"/>
      <c r="AJ3074" s="421"/>
      <c r="AK3074" s="421"/>
      <c r="AL3074" s="421"/>
    </row>
    <row r="3075" spans="1:38" hidden="1">
      <c r="A3075" s="408"/>
      <c r="B3075" s="83" t="e">
        <f t="array" ref="B3075">SUM(--(FREQUENCY(IF(C$2:C$3072=C3075, MATCH(D$2:D$3072, D$2:D$3072, 0)), ROW(D$2:D$3072)-ROW(D$2)+1) &gt; 0))</f>
        <v>#N/A</v>
      </c>
      <c r="C3075" s="408"/>
      <c r="D3075" s="408"/>
      <c r="E3075" s="408"/>
      <c r="F3075" s="408"/>
      <c r="G3075" s="408"/>
      <c r="H3075" s="408"/>
      <c r="I3075" s="408"/>
      <c r="J3075" s="408"/>
      <c r="K3075" s="408"/>
      <c r="L3075" s="408"/>
      <c r="M3075" s="408"/>
      <c r="N3075" s="408" t="str">
        <f t="shared" si="475"/>
        <v/>
      </c>
      <c r="O3075" s="408"/>
      <c r="P3075" s="408"/>
      <c r="Q3075" s="408"/>
      <c r="R3075" s="408"/>
      <c r="S3075" s="408"/>
      <c r="T3075" s="408"/>
      <c r="U3075" s="408"/>
      <c r="V3075" s="421"/>
      <c r="W3075" s="421"/>
      <c r="X3075" s="421"/>
      <c r="Y3075" s="421"/>
      <c r="Z3075" s="421"/>
      <c r="AA3075" s="421"/>
      <c r="AB3075" s="421"/>
      <c r="AC3075" s="421"/>
      <c r="AD3075" s="421"/>
      <c r="AE3075" s="421"/>
      <c r="AF3075" s="421"/>
      <c r="AG3075" s="421"/>
      <c r="AH3075" s="421"/>
      <c r="AI3075" s="421"/>
      <c r="AJ3075" s="421"/>
      <c r="AK3075" s="421"/>
      <c r="AL3075" s="421"/>
    </row>
    <row r="3076" spans="1:38" hidden="1">
      <c r="A3076" s="408"/>
      <c r="B3076" s="83" t="e">
        <f t="array" ref="B3076">SUM(--(FREQUENCY(IF(C$2:C$3072=C3076, MATCH(D$2:D$3072, D$2:D$3072, 0)), ROW(D$2:D$3072)-ROW(D$2)+1) &gt; 0))</f>
        <v>#N/A</v>
      </c>
      <c r="C3076" s="408"/>
      <c r="D3076" s="408"/>
      <c r="E3076" s="408"/>
      <c r="F3076" s="408"/>
      <c r="G3076" s="408"/>
      <c r="H3076" s="408"/>
      <c r="I3076" s="408"/>
      <c r="J3076" s="408"/>
      <c r="K3076" s="408"/>
      <c r="L3076" s="408"/>
      <c r="M3076" s="408"/>
      <c r="N3076" s="408" t="str">
        <f t="shared" si="475"/>
        <v/>
      </c>
      <c r="O3076" s="408"/>
      <c r="P3076" s="408"/>
      <c r="Q3076" s="408"/>
      <c r="R3076" s="408"/>
      <c r="S3076" s="408"/>
      <c r="T3076" s="408"/>
      <c r="U3076" s="408"/>
      <c r="V3076" s="421"/>
      <c r="W3076" s="421"/>
      <c r="X3076" s="421"/>
      <c r="Y3076" s="421"/>
      <c r="Z3076" s="421"/>
      <c r="AA3076" s="421"/>
      <c r="AB3076" s="421"/>
      <c r="AC3076" s="421"/>
      <c r="AD3076" s="421"/>
      <c r="AE3076" s="421"/>
      <c r="AF3076" s="421"/>
      <c r="AG3076" s="421"/>
      <c r="AH3076" s="421"/>
      <c r="AI3076" s="421"/>
      <c r="AJ3076" s="421"/>
      <c r="AK3076" s="421"/>
      <c r="AL3076" s="421"/>
    </row>
    <row r="3077" spans="1:38" hidden="1">
      <c r="A3077" s="408"/>
      <c r="B3077" s="83" t="e">
        <f t="array" ref="B3077">SUM(--(FREQUENCY(IF(C$2:C$3072=C3077, MATCH(D$2:D$3072, D$2:D$3072, 0)), ROW(D$2:D$3072)-ROW(D$2)+1) &gt; 0))</f>
        <v>#N/A</v>
      </c>
      <c r="C3077" s="408"/>
      <c r="D3077" s="408"/>
      <c r="E3077" s="408"/>
      <c r="F3077" s="408"/>
      <c r="G3077" s="408"/>
      <c r="H3077" s="408"/>
      <c r="I3077" s="408"/>
      <c r="J3077" s="408"/>
      <c r="K3077" s="408"/>
      <c r="L3077" s="408"/>
      <c r="M3077" s="408"/>
      <c r="N3077" s="408" t="str">
        <f t="shared" si="475"/>
        <v/>
      </c>
      <c r="O3077" s="408"/>
      <c r="P3077" s="408"/>
      <c r="Q3077" s="408"/>
      <c r="R3077" s="408"/>
      <c r="S3077" s="408"/>
      <c r="T3077" s="408"/>
      <c r="U3077" s="408"/>
      <c r="V3077" s="421"/>
      <c r="W3077" s="421"/>
      <c r="X3077" s="421"/>
      <c r="Y3077" s="421"/>
      <c r="Z3077" s="421"/>
      <c r="AA3077" s="421"/>
      <c r="AB3077" s="421"/>
      <c r="AC3077" s="421"/>
      <c r="AD3077" s="421"/>
      <c r="AE3077" s="421"/>
      <c r="AF3077" s="421"/>
      <c r="AG3077" s="421"/>
      <c r="AH3077" s="421"/>
      <c r="AI3077" s="421"/>
      <c r="AJ3077" s="421"/>
      <c r="AK3077" s="421"/>
      <c r="AL3077" s="421"/>
    </row>
    <row r="3078" spans="1:38" hidden="1">
      <c r="A3078" s="408"/>
      <c r="B3078" s="83" t="e">
        <f t="array" ref="B3078">SUM(--(FREQUENCY(IF(C$2:C$3072=C3078, MATCH(D$2:D$3072, D$2:D$3072, 0)), ROW(D$2:D$3072)-ROW(D$2)+1) &gt; 0))</f>
        <v>#N/A</v>
      </c>
      <c r="C3078" s="408"/>
      <c r="D3078" s="408"/>
      <c r="E3078" s="408"/>
      <c r="F3078" s="408"/>
      <c r="G3078" s="408"/>
      <c r="H3078" s="408"/>
      <c r="I3078" s="408"/>
      <c r="J3078" s="408"/>
      <c r="K3078" s="408"/>
      <c r="L3078" s="408"/>
      <c r="M3078" s="408"/>
      <c r="N3078" s="408" t="str">
        <f t="shared" si="475"/>
        <v/>
      </c>
      <c r="O3078" s="408"/>
      <c r="P3078" s="408"/>
      <c r="Q3078" s="408"/>
      <c r="R3078" s="408"/>
      <c r="S3078" s="408"/>
      <c r="T3078" s="408"/>
      <c r="U3078" s="408"/>
      <c r="V3078" s="421"/>
      <c r="W3078" s="421"/>
      <c r="X3078" s="421"/>
      <c r="Y3078" s="421"/>
      <c r="Z3078" s="421"/>
      <c r="AA3078" s="421"/>
      <c r="AB3078" s="421"/>
      <c r="AC3078" s="421"/>
      <c r="AD3078" s="421"/>
      <c r="AE3078" s="421"/>
      <c r="AF3078" s="421"/>
      <c r="AG3078" s="421"/>
      <c r="AH3078" s="421"/>
      <c r="AI3078" s="421"/>
      <c r="AJ3078" s="421"/>
      <c r="AK3078" s="421"/>
      <c r="AL3078" s="421"/>
    </row>
    <row r="3079" spans="1:38" hidden="1">
      <c r="A3079" s="408"/>
      <c r="B3079" s="83" t="e">
        <f t="array" ref="B3079">SUM(--(FREQUENCY(IF(C$2:C$3072=C3079, MATCH(D$2:D$3072, D$2:D$3072, 0)), ROW(D$2:D$3072)-ROW(D$2)+1) &gt; 0))</f>
        <v>#N/A</v>
      </c>
      <c r="C3079" s="408"/>
      <c r="D3079" s="408"/>
      <c r="E3079" s="408"/>
      <c r="F3079" s="408"/>
      <c r="G3079" s="408"/>
      <c r="H3079" s="408"/>
      <c r="I3079" s="408"/>
      <c r="J3079" s="408"/>
      <c r="K3079" s="408"/>
      <c r="L3079" s="408"/>
      <c r="M3079" s="408"/>
      <c r="N3079" s="408" t="str">
        <f t="shared" si="475"/>
        <v/>
      </c>
      <c r="O3079" s="408"/>
      <c r="P3079" s="408"/>
      <c r="Q3079" s="408"/>
      <c r="R3079" s="408"/>
      <c r="S3079" s="408"/>
      <c r="T3079" s="408"/>
      <c r="U3079" s="408"/>
      <c r="V3079" s="421"/>
      <c r="W3079" s="421"/>
      <c r="X3079" s="421"/>
      <c r="Y3079" s="421"/>
      <c r="Z3079" s="421"/>
      <c r="AA3079" s="421"/>
      <c r="AB3079" s="421"/>
      <c r="AC3079" s="421"/>
      <c r="AD3079" s="421"/>
      <c r="AE3079" s="421"/>
      <c r="AF3079" s="421"/>
      <c r="AG3079" s="421"/>
      <c r="AH3079" s="421"/>
      <c r="AI3079" s="421"/>
      <c r="AJ3079" s="421"/>
      <c r="AK3079" s="421"/>
      <c r="AL3079" s="421"/>
    </row>
    <row r="3080" spans="1:38" hidden="1">
      <c r="A3080" s="408"/>
      <c r="B3080" s="83" t="e">
        <f t="array" ref="B3080">SUM(--(FREQUENCY(IF(C$2:C$3072=C3080, MATCH(D$2:D$3072, D$2:D$3072, 0)), ROW(D$2:D$3072)-ROW(D$2)+1) &gt; 0))</f>
        <v>#N/A</v>
      </c>
      <c r="C3080" s="408"/>
      <c r="D3080" s="408"/>
      <c r="E3080" s="408"/>
      <c r="F3080" s="408"/>
      <c r="G3080" s="408"/>
      <c r="H3080" s="408"/>
      <c r="I3080" s="408"/>
      <c r="J3080" s="408"/>
      <c r="K3080" s="408"/>
      <c r="L3080" s="408"/>
      <c r="M3080" s="408"/>
      <c r="N3080" s="408" t="str">
        <f t="shared" si="475"/>
        <v/>
      </c>
      <c r="O3080" s="408"/>
      <c r="P3080" s="408"/>
      <c r="Q3080" s="408"/>
      <c r="R3080" s="408"/>
      <c r="S3080" s="408"/>
      <c r="T3080" s="408"/>
      <c r="U3080" s="408"/>
      <c r="V3080" s="421"/>
      <c r="W3080" s="421"/>
      <c r="X3080" s="421"/>
      <c r="Y3080" s="421"/>
      <c r="Z3080" s="421"/>
      <c r="AA3080" s="421"/>
      <c r="AB3080" s="421"/>
      <c r="AC3080" s="421"/>
      <c r="AD3080" s="421"/>
      <c r="AE3080" s="421"/>
      <c r="AF3080" s="421"/>
      <c r="AG3080" s="421"/>
      <c r="AH3080" s="421"/>
      <c r="AI3080" s="421"/>
      <c r="AJ3080" s="421"/>
      <c r="AK3080" s="421"/>
      <c r="AL3080" s="421"/>
    </row>
    <row r="3081" spans="1:38" hidden="1">
      <c r="A3081" s="408"/>
      <c r="B3081" s="83" t="e">
        <f t="array" ref="B3081">SUM(--(FREQUENCY(IF(C$2:C$3072=C3081, MATCH(D$2:D$3072, D$2:D$3072, 0)), ROW(D$2:D$3072)-ROW(D$2)+1) &gt; 0))</f>
        <v>#N/A</v>
      </c>
      <c r="C3081" s="408"/>
      <c r="D3081" s="408"/>
      <c r="E3081" s="408"/>
      <c r="F3081" s="408"/>
      <c r="G3081" s="408"/>
      <c r="H3081" s="408"/>
      <c r="I3081" s="408"/>
      <c r="J3081" s="408"/>
      <c r="K3081" s="408"/>
      <c r="L3081" s="408"/>
      <c r="M3081" s="408"/>
      <c r="N3081" s="408" t="str">
        <f t="shared" si="475"/>
        <v/>
      </c>
      <c r="O3081" s="408"/>
      <c r="P3081" s="408"/>
      <c r="Q3081" s="408"/>
      <c r="R3081" s="408"/>
      <c r="S3081" s="408"/>
      <c r="T3081" s="408"/>
      <c r="U3081" s="408"/>
      <c r="V3081" s="421"/>
      <c r="W3081" s="421"/>
      <c r="X3081" s="421"/>
      <c r="Y3081" s="421"/>
      <c r="Z3081" s="421"/>
      <c r="AA3081" s="421"/>
      <c r="AB3081" s="421"/>
      <c r="AC3081" s="421"/>
      <c r="AD3081" s="421"/>
      <c r="AE3081" s="421"/>
      <c r="AF3081" s="421"/>
      <c r="AG3081" s="421"/>
      <c r="AH3081" s="421"/>
      <c r="AI3081" s="421"/>
      <c r="AJ3081" s="421"/>
      <c r="AK3081" s="421"/>
      <c r="AL3081" s="421"/>
    </row>
    <row r="3082" spans="1:38" hidden="1">
      <c r="A3082" s="408"/>
      <c r="B3082" s="83" t="e">
        <f t="array" ref="B3082">SUM(--(FREQUENCY(IF(C$2:C$3072=C3082, MATCH(D$2:D$3072, D$2:D$3072, 0)), ROW(D$2:D$3072)-ROW(D$2)+1) &gt; 0))</f>
        <v>#N/A</v>
      </c>
      <c r="C3082" s="408"/>
      <c r="D3082" s="408"/>
      <c r="E3082" s="408"/>
      <c r="F3082" s="408"/>
      <c r="G3082" s="408"/>
      <c r="H3082" s="408"/>
      <c r="I3082" s="408"/>
      <c r="J3082" s="408"/>
      <c r="K3082" s="408"/>
      <c r="L3082" s="408"/>
      <c r="M3082" s="408"/>
      <c r="N3082" s="408" t="str">
        <f t="shared" si="475"/>
        <v/>
      </c>
      <c r="O3082" s="408"/>
      <c r="P3082" s="408"/>
      <c r="Q3082" s="408"/>
      <c r="R3082" s="408"/>
      <c r="S3082" s="408"/>
      <c r="T3082" s="408"/>
      <c r="U3082" s="408"/>
      <c r="V3082" s="421"/>
      <c r="W3082" s="421"/>
      <c r="X3082" s="421"/>
      <c r="Y3082" s="421"/>
      <c r="Z3082" s="421"/>
      <c r="AA3082" s="421"/>
      <c r="AB3082" s="421"/>
      <c r="AC3082" s="421"/>
      <c r="AD3082" s="421"/>
      <c r="AE3082" s="421"/>
      <c r="AF3082" s="421"/>
      <c r="AG3082" s="421"/>
      <c r="AH3082" s="421"/>
      <c r="AI3082" s="421"/>
      <c r="AJ3082" s="421"/>
      <c r="AK3082" s="421"/>
      <c r="AL3082" s="421"/>
    </row>
    <row r="3083" spans="1:38" hidden="1">
      <c r="A3083" s="408"/>
      <c r="B3083" s="83" t="e">
        <f t="array" ref="B3083">SUM(--(FREQUENCY(IF(C$2:C$3072=C3083, MATCH(D$2:D$3072, D$2:D$3072, 0)), ROW(D$2:D$3072)-ROW(D$2)+1) &gt; 0))</f>
        <v>#N/A</v>
      </c>
      <c r="C3083" s="408"/>
      <c r="D3083" s="408"/>
      <c r="E3083" s="408"/>
      <c r="F3083" s="408"/>
      <c r="G3083" s="408"/>
      <c r="H3083" s="408"/>
      <c r="I3083" s="408"/>
      <c r="J3083" s="408"/>
      <c r="K3083" s="408"/>
      <c r="L3083" s="408"/>
      <c r="M3083" s="408"/>
      <c r="N3083" s="408" t="str">
        <f t="shared" si="475"/>
        <v/>
      </c>
      <c r="O3083" s="408"/>
      <c r="P3083" s="408"/>
      <c r="Q3083" s="408"/>
      <c r="R3083" s="408"/>
      <c r="S3083" s="408"/>
      <c r="T3083" s="408"/>
      <c r="U3083" s="408"/>
      <c r="V3083" s="421"/>
      <c r="W3083" s="421"/>
      <c r="X3083" s="421"/>
      <c r="Y3083" s="421"/>
      <c r="Z3083" s="421"/>
      <c r="AA3083" s="421"/>
      <c r="AB3083" s="421"/>
      <c r="AC3083" s="421"/>
      <c r="AD3083" s="421"/>
      <c r="AE3083" s="421"/>
      <c r="AF3083" s="421"/>
      <c r="AG3083" s="421"/>
      <c r="AH3083" s="421"/>
      <c r="AI3083" s="421"/>
      <c r="AJ3083" s="421"/>
      <c r="AK3083" s="421"/>
      <c r="AL3083" s="421"/>
    </row>
    <row r="3084" spans="1:38" hidden="1">
      <c r="A3084" s="408"/>
      <c r="B3084" s="83" t="e">
        <f t="array" ref="B3084">SUM(--(FREQUENCY(IF(C$2:C$3072=C3084, MATCH(D$2:D$3072, D$2:D$3072, 0)), ROW(D$2:D$3072)-ROW(D$2)+1) &gt; 0))</f>
        <v>#N/A</v>
      </c>
      <c r="C3084" s="408"/>
      <c r="D3084" s="408"/>
      <c r="E3084" s="408"/>
      <c r="F3084" s="408"/>
      <c r="G3084" s="408"/>
      <c r="H3084" s="408"/>
      <c r="I3084" s="408"/>
      <c r="J3084" s="408"/>
      <c r="K3084" s="408"/>
      <c r="L3084" s="408"/>
      <c r="M3084" s="408"/>
      <c r="N3084" s="408" t="str">
        <f t="shared" si="475"/>
        <v/>
      </c>
      <c r="O3084" s="408"/>
      <c r="P3084" s="408"/>
      <c r="Q3084" s="408"/>
      <c r="R3084" s="408"/>
      <c r="S3084" s="408"/>
      <c r="T3084" s="408"/>
      <c r="U3084" s="408"/>
      <c r="V3084" s="421"/>
      <c r="W3084" s="421"/>
      <c r="X3084" s="421"/>
      <c r="Y3084" s="421"/>
      <c r="Z3084" s="421"/>
      <c r="AA3084" s="421"/>
      <c r="AB3084" s="421"/>
      <c r="AC3084" s="421"/>
      <c r="AD3084" s="421"/>
      <c r="AE3084" s="421"/>
      <c r="AF3084" s="421"/>
      <c r="AG3084" s="421"/>
      <c r="AH3084" s="421"/>
      <c r="AI3084" s="421"/>
      <c r="AJ3084" s="421"/>
      <c r="AK3084" s="421"/>
      <c r="AL3084" s="421"/>
    </row>
    <row r="3085" spans="1:38" hidden="1">
      <c r="A3085" s="408"/>
      <c r="B3085" s="83" t="e">
        <f t="array" ref="B3085">SUM(--(FREQUENCY(IF(C$2:C$3072=C3085, MATCH(D$2:D$3072, D$2:D$3072, 0)), ROW(D$2:D$3072)-ROW(D$2)+1) &gt; 0))</f>
        <v>#N/A</v>
      </c>
      <c r="C3085" s="408"/>
      <c r="D3085" s="408"/>
      <c r="E3085" s="408"/>
      <c r="F3085" s="408"/>
      <c r="G3085" s="408"/>
      <c r="H3085" s="408"/>
      <c r="I3085" s="408"/>
      <c r="J3085" s="408"/>
      <c r="K3085" s="408"/>
      <c r="L3085" s="408"/>
      <c r="M3085" s="408"/>
      <c r="N3085" s="408" t="str">
        <f t="shared" si="475"/>
        <v/>
      </c>
      <c r="O3085" s="408"/>
      <c r="P3085" s="408"/>
      <c r="Q3085" s="408"/>
      <c r="R3085" s="408"/>
      <c r="S3085" s="408"/>
      <c r="T3085" s="408"/>
      <c r="U3085" s="408"/>
      <c r="V3085" s="421"/>
      <c r="W3085" s="421"/>
      <c r="X3085" s="421"/>
      <c r="Y3085" s="421"/>
      <c r="Z3085" s="421"/>
      <c r="AA3085" s="421"/>
      <c r="AB3085" s="421"/>
      <c r="AC3085" s="421"/>
      <c r="AD3085" s="421"/>
      <c r="AE3085" s="421"/>
      <c r="AF3085" s="421"/>
      <c r="AG3085" s="421"/>
      <c r="AH3085" s="421"/>
      <c r="AI3085" s="421"/>
      <c r="AJ3085" s="421"/>
      <c r="AK3085" s="421"/>
      <c r="AL3085" s="421"/>
    </row>
    <row r="3086" spans="1:38" hidden="1">
      <c r="A3086" s="408"/>
      <c r="B3086" s="83" t="e">
        <f t="array" ref="B3086">SUM(--(FREQUENCY(IF(C$2:C$3072=C3086, MATCH(D$2:D$3072, D$2:D$3072, 0)), ROW(D$2:D$3072)-ROW(D$2)+1) &gt; 0))</f>
        <v>#N/A</v>
      </c>
      <c r="C3086" s="408"/>
      <c r="D3086" s="408"/>
      <c r="E3086" s="408"/>
      <c r="F3086" s="408"/>
      <c r="G3086" s="408"/>
      <c r="H3086" s="408"/>
      <c r="I3086" s="408"/>
      <c r="J3086" s="408"/>
      <c r="K3086" s="408"/>
      <c r="L3086" s="408"/>
      <c r="M3086" s="408"/>
      <c r="N3086" s="408" t="str">
        <f t="shared" si="475"/>
        <v/>
      </c>
      <c r="O3086" s="408"/>
      <c r="P3086" s="408"/>
      <c r="Q3086" s="408"/>
      <c r="R3086" s="408"/>
      <c r="S3086" s="408"/>
      <c r="T3086" s="408"/>
      <c r="U3086" s="408"/>
      <c r="V3086" s="421"/>
      <c r="W3086" s="421"/>
      <c r="X3086" s="421"/>
      <c r="Y3086" s="421"/>
      <c r="Z3086" s="421"/>
      <c r="AA3086" s="421"/>
      <c r="AB3086" s="421"/>
      <c r="AC3086" s="421"/>
      <c r="AD3086" s="421"/>
      <c r="AE3086" s="421"/>
      <c r="AF3086" s="421"/>
      <c r="AG3086" s="421"/>
      <c r="AH3086" s="421"/>
      <c r="AI3086" s="421"/>
      <c r="AJ3086" s="421"/>
      <c r="AK3086" s="421"/>
      <c r="AL3086" s="421"/>
    </row>
    <row r="3087" spans="1:38" hidden="1">
      <c r="A3087" s="408"/>
      <c r="B3087" s="83" t="e">
        <f t="array" ref="B3087">SUM(--(FREQUENCY(IF(C$2:C$3072=C3087, MATCH(D$2:D$3072, D$2:D$3072, 0)), ROW(D$2:D$3072)-ROW(D$2)+1) &gt; 0))</f>
        <v>#N/A</v>
      </c>
      <c r="C3087" s="408"/>
      <c r="D3087" s="408"/>
      <c r="E3087" s="408"/>
      <c r="F3087" s="408"/>
      <c r="G3087" s="408"/>
      <c r="H3087" s="408"/>
      <c r="I3087" s="408"/>
      <c r="J3087" s="408"/>
      <c r="K3087" s="408"/>
      <c r="L3087" s="408"/>
      <c r="M3087" s="408"/>
      <c r="N3087" s="408" t="str">
        <f t="shared" si="475"/>
        <v/>
      </c>
      <c r="O3087" s="408"/>
      <c r="P3087" s="408"/>
      <c r="Q3087" s="408"/>
      <c r="R3087" s="408"/>
      <c r="S3087" s="408"/>
      <c r="T3087" s="408"/>
      <c r="U3087" s="408"/>
      <c r="V3087" s="421"/>
      <c r="W3087" s="421"/>
      <c r="X3087" s="421"/>
      <c r="Y3087" s="421"/>
      <c r="Z3087" s="421"/>
      <c r="AA3087" s="421"/>
      <c r="AB3087" s="421"/>
      <c r="AC3087" s="421"/>
      <c r="AD3087" s="421"/>
      <c r="AE3087" s="421"/>
      <c r="AF3087" s="421"/>
      <c r="AG3087" s="421"/>
      <c r="AH3087" s="421"/>
      <c r="AI3087" s="421"/>
      <c r="AJ3087" s="421"/>
      <c r="AK3087" s="421"/>
      <c r="AL3087" s="421"/>
    </row>
    <row r="3088" spans="1:38" hidden="1">
      <c r="A3088" s="408"/>
      <c r="B3088" s="83" t="e">
        <f t="array" ref="B3088">SUM(--(FREQUENCY(IF(C$2:C$3072=C3088, MATCH(D$2:D$3072, D$2:D$3072, 0)), ROW(D$2:D$3072)-ROW(D$2)+1) &gt; 0))</f>
        <v>#N/A</v>
      </c>
      <c r="C3088" s="408"/>
      <c r="D3088" s="408"/>
      <c r="E3088" s="408"/>
      <c r="F3088" s="408"/>
      <c r="G3088" s="408"/>
      <c r="H3088" s="408"/>
      <c r="I3088" s="408"/>
      <c r="J3088" s="408"/>
      <c r="K3088" s="408"/>
      <c r="L3088" s="408"/>
      <c r="M3088" s="408"/>
      <c r="N3088" s="408" t="str">
        <f t="shared" si="475"/>
        <v/>
      </c>
      <c r="O3088" s="408"/>
      <c r="P3088" s="408"/>
      <c r="Q3088" s="408"/>
      <c r="R3088" s="408"/>
      <c r="S3088" s="408"/>
      <c r="T3088" s="408"/>
      <c r="U3088" s="408"/>
      <c r="V3088" s="421"/>
      <c r="W3088" s="421"/>
      <c r="X3088" s="421"/>
      <c r="Y3088" s="421"/>
      <c r="Z3088" s="421"/>
      <c r="AA3088" s="421"/>
      <c r="AB3088" s="421"/>
      <c r="AC3088" s="421"/>
      <c r="AD3088" s="421"/>
      <c r="AE3088" s="421"/>
      <c r="AF3088" s="421"/>
      <c r="AG3088" s="421"/>
      <c r="AH3088" s="421"/>
      <c r="AI3088" s="421"/>
      <c r="AJ3088" s="421"/>
      <c r="AK3088" s="421"/>
      <c r="AL3088" s="421"/>
    </row>
    <row r="3089" spans="1:38" hidden="1">
      <c r="A3089" s="408"/>
      <c r="B3089" s="83" t="e">
        <f t="array" ref="B3089">SUM(--(FREQUENCY(IF(C$2:C$3072=C3089, MATCH(D$2:D$3072, D$2:D$3072, 0)), ROW(D$2:D$3072)-ROW(D$2)+1) &gt; 0))</f>
        <v>#N/A</v>
      </c>
      <c r="C3089" s="408"/>
      <c r="D3089" s="408"/>
      <c r="E3089" s="408"/>
      <c r="F3089" s="408"/>
      <c r="G3089" s="408"/>
      <c r="H3089" s="408"/>
      <c r="I3089" s="408"/>
      <c r="J3089" s="408"/>
      <c r="K3089" s="408"/>
      <c r="L3089" s="408"/>
      <c r="M3089" s="408"/>
      <c r="N3089" s="408" t="str">
        <f t="shared" si="475"/>
        <v/>
      </c>
      <c r="O3089" s="408"/>
      <c r="P3089" s="408"/>
      <c r="Q3089" s="408"/>
      <c r="R3089" s="408"/>
      <c r="S3089" s="408"/>
      <c r="T3089" s="408"/>
      <c r="U3089" s="408"/>
      <c r="V3089" s="421"/>
      <c r="W3089" s="421"/>
      <c r="X3089" s="421"/>
      <c r="Y3089" s="421"/>
      <c r="Z3089" s="421"/>
      <c r="AA3089" s="421"/>
      <c r="AB3089" s="421"/>
      <c r="AC3089" s="421"/>
      <c r="AD3089" s="421"/>
      <c r="AE3089" s="421"/>
      <c r="AF3089" s="421"/>
      <c r="AG3089" s="421"/>
      <c r="AH3089" s="421"/>
      <c r="AI3089" s="421"/>
      <c r="AJ3089" s="421"/>
      <c r="AK3089" s="421"/>
      <c r="AL3089" s="421"/>
    </row>
    <row r="3090" spans="1:38" hidden="1">
      <c r="A3090" s="408"/>
      <c r="B3090" s="83" t="e">
        <f t="array" ref="B3090">SUM(--(FREQUENCY(IF(C$2:C$3072=C3090, MATCH(D$2:D$3072, D$2:D$3072, 0)), ROW(D$2:D$3072)-ROW(D$2)+1) &gt; 0))</f>
        <v>#N/A</v>
      </c>
      <c r="C3090" s="408"/>
      <c r="D3090" s="408"/>
      <c r="E3090" s="408"/>
      <c r="F3090" s="408"/>
      <c r="G3090" s="408"/>
      <c r="H3090" s="408"/>
      <c r="I3090" s="408"/>
      <c r="J3090" s="408"/>
      <c r="K3090" s="408"/>
      <c r="L3090" s="408"/>
      <c r="M3090" s="408"/>
      <c r="N3090" s="408" t="str">
        <f t="shared" si="475"/>
        <v/>
      </c>
      <c r="O3090" s="408"/>
      <c r="P3090" s="408"/>
      <c r="Q3090" s="408"/>
      <c r="R3090" s="408"/>
      <c r="S3090" s="408"/>
      <c r="T3090" s="408"/>
      <c r="U3090" s="408"/>
      <c r="V3090" s="421"/>
      <c r="W3090" s="421"/>
      <c r="X3090" s="421"/>
      <c r="Y3090" s="421"/>
      <c r="Z3090" s="421"/>
      <c r="AA3090" s="421"/>
      <c r="AB3090" s="421"/>
      <c r="AC3090" s="421"/>
      <c r="AD3090" s="421"/>
      <c r="AE3090" s="421"/>
      <c r="AF3090" s="421"/>
      <c r="AG3090" s="421"/>
      <c r="AH3090" s="421"/>
      <c r="AI3090" s="421"/>
      <c r="AJ3090" s="421"/>
      <c r="AK3090" s="421"/>
      <c r="AL3090" s="421"/>
    </row>
    <row r="3091" spans="1:38" hidden="1">
      <c r="A3091" s="408"/>
      <c r="B3091" s="83" t="e">
        <f t="array" ref="B3091">SUM(--(FREQUENCY(IF(C$2:C$3072=C3091, MATCH(D$2:D$3072, D$2:D$3072, 0)), ROW(D$2:D$3072)-ROW(D$2)+1) &gt; 0))</f>
        <v>#N/A</v>
      </c>
      <c r="C3091" s="408"/>
      <c r="D3091" s="408"/>
      <c r="E3091" s="408"/>
      <c r="F3091" s="408"/>
      <c r="G3091" s="408"/>
      <c r="H3091" s="408"/>
      <c r="I3091" s="408"/>
      <c r="J3091" s="408"/>
      <c r="K3091" s="408"/>
      <c r="L3091" s="408"/>
      <c r="M3091" s="408"/>
      <c r="N3091" s="408" t="str">
        <f t="shared" si="475"/>
        <v/>
      </c>
      <c r="O3091" s="408"/>
      <c r="P3091" s="408"/>
      <c r="Q3091" s="408"/>
      <c r="R3091" s="408"/>
      <c r="S3091" s="408"/>
      <c r="T3091" s="408"/>
      <c r="U3091" s="408"/>
      <c r="V3091" s="421"/>
      <c r="W3091" s="421"/>
      <c r="X3091" s="421"/>
      <c r="Y3091" s="421"/>
      <c r="Z3091" s="421"/>
      <c r="AA3091" s="421"/>
      <c r="AB3091" s="421"/>
      <c r="AC3091" s="421"/>
      <c r="AD3091" s="421"/>
      <c r="AE3091" s="421"/>
      <c r="AF3091" s="421"/>
      <c r="AG3091" s="421"/>
      <c r="AH3091" s="421"/>
      <c r="AI3091" s="421"/>
      <c r="AJ3091" s="421"/>
      <c r="AK3091" s="421"/>
      <c r="AL3091" s="421"/>
    </row>
    <row r="3092" spans="1:38" hidden="1">
      <c r="A3092" s="408"/>
      <c r="B3092" s="83" t="e">
        <f t="array" ref="B3092">SUM(--(FREQUENCY(IF(C$2:C$3072=C3092, MATCH(D$2:D$3072, D$2:D$3072, 0)), ROW(D$2:D$3072)-ROW(D$2)+1) &gt; 0))</f>
        <v>#N/A</v>
      </c>
      <c r="C3092" s="408"/>
      <c r="D3092" s="408"/>
      <c r="E3092" s="408"/>
      <c r="F3092" s="408"/>
      <c r="G3092" s="408"/>
      <c r="H3092" s="408"/>
      <c r="I3092" s="408"/>
      <c r="J3092" s="408"/>
      <c r="K3092" s="408"/>
      <c r="L3092" s="408"/>
      <c r="M3092" s="408"/>
      <c r="N3092" s="408" t="str">
        <f t="shared" si="475"/>
        <v/>
      </c>
      <c r="O3092" s="408"/>
      <c r="P3092" s="408"/>
      <c r="Q3092" s="408"/>
      <c r="R3092" s="408"/>
      <c r="S3092" s="408"/>
      <c r="T3092" s="408"/>
      <c r="U3092" s="408"/>
      <c r="V3092" s="421"/>
      <c r="W3092" s="421"/>
      <c r="X3092" s="421"/>
      <c r="Y3092" s="421"/>
      <c r="Z3092" s="421"/>
      <c r="AA3092" s="421"/>
      <c r="AB3092" s="421"/>
      <c r="AC3092" s="421"/>
      <c r="AD3092" s="421"/>
      <c r="AE3092" s="421"/>
      <c r="AF3092" s="421"/>
      <c r="AG3092" s="421"/>
      <c r="AH3092" s="421"/>
      <c r="AI3092" s="421"/>
      <c r="AJ3092" s="421"/>
      <c r="AK3092" s="421"/>
      <c r="AL3092" s="421"/>
    </row>
    <row r="3093" spans="1:38" hidden="1">
      <c r="A3093" s="408"/>
      <c r="B3093" s="83" t="e">
        <f t="array" ref="B3093">SUM(--(FREQUENCY(IF(C$2:C$3072=C3093, MATCH(D$2:D$3072, D$2:D$3072, 0)), ROW(D$2:D$3072)-ROW(D$2)+1) &gt; 0))</f>
        <v>#N/A</v>
      </c>
      <c r="C3093" s="408"/>
      <c r="D3093" s="408"/>
      <c r="E3093" s="408"/>
      <c r="F3093" s="408"/>
      <c r="G3093" s="408"/>
      <c r="H3093" s="408"/>
      <c r="I3093" s="408"/>
      <c r="J3093" s="408"/>
      <c r="K3093" s="408"/>
      <c r="L3093" s="408"/>
      <c r="M3093" s="408"/>
      <c r="N3093" s="408" t="str">
        <f t="shared" si="475"/>
        <v/>
      </c>
      <c r="O3093" s="408"/>
      <c r="P3093" s="408"/>
      <c r="Q3093" s="408"/>
      <c r="R3093" s="408"/>
      <c r="S3093" s="408"/>
      <c r="T3093" s="408"/>
      <c r="U3093" s="408"/>
      <c r="V3093" s="421"/>
      <c r="W3093" s="421"/>
      <c r="X3093" s="421"/>
      <c r="Y3093" s="421"/>
      <c r="Z3093" s="421"/>
      <c r="AA3093" s="421"/>
      <c r="AB3093" s="421"/>
      <c r="AC3093" s="421"/>
      <c r="AD3093" s="421"/>
      <c r="AE3093" s="421"/>
      <c r="AF3093" s="421"/>
      <c r="AG3093" s="421"/>
      <c r="AH3093" s="421"/>
      <c r="AI3093" s="421"/>
      <c r="AJ3093" s="421"/>
      <c r="AK3093" s="421"/>
      <c r="AL3093" s="421"/>
    </row>
    <row r="3094" spans="1:38" hidden="1">
      <c r="A3094" s="408"/>
      <c r="B3094" s="83" t="e">
        <f t="array" ref="B3094">SUM(--(FREQUENCY(IF(C$2:C$3072=C3094, MATCH(D$2:D$3072, D$2:D$3072, 0)), ROW(D$2:D$3072)-ROW(D$2)+1) &gt; 0))</f>
        <v>#N/A</v>
      </c>
      <c r="C3094" s="408"/>
      <c r="D3094" s="408"/>
      <c r="E3094" s="408"/>
      <c r="F3094" s="408"/>
      <c r="G3094" s="408"/>
      <c r="H3094" s="408"/>
      <c r="I3094" s="408"/>
      <c r="J3094" s="408"/>
      <c r="K3094" s="408"/>
      <c r="L3094" s="408"/>
      <c r="M3094" s="408"/>
      <c r="N3094" s="408" t="str">
        <f t="shared" si="475"/>
        <v/>
      </c>
      <c r="O3094" s="408"/>
      <c r="P3094" s="408"/>
      <c r="Q3094" s="408"/>
      <c r="R3094" s="408"/>
      <c r="S3094" s="408"/>
      <c r="T3094" s="408"/>
      <c r="U3094" s="408"/>
      <c r="V3094" s="421"/>
      <c r="W3094" s="421"/>
      <c r="X3094" s="421"/>
      <c r="Y3094" s="421"/>
      <c r="Z3094" s="421"/>
      <c r="AA3094" s="421"/>
      <c r="AB3094" s="421"/>
      <c r="AC3094" s="421"/>
      <c r="AD3094" s="421"/>
      <c r="AE3094" s="421"/>
      <c r="AF3094" s="421"/>
      <c r="AG3094" s="421"/>
      <c r="AH3094" s="421"/>
      <c r="AI3094" s="421"/>
      <c r="AJ3094" s="421"/>
      <c r="AK3094" s="421"/>
      <c r="AL3094" s="421"/>
    </row>
    <row r="3095" spans="1:38" hidden="1">
      <c r="A3095" s="408"/>
      <c r="B3095" s="83" t="e">
        <f t="array" ref="B3095">SUM(--(FREQUENCY(IF(C$2:C$3072=C3095, MATCH(D$2:D$3072, D$2:D$3072, 0)), ROW(D$2:D$3072)-ROW(D$2)+1) &gt; 0))</f>
        <v>#N/A</v>
      </c>
      <c r="C3095" s="408"/>
      <c r="D3095" s="408"/>
      <c r="E3095" s="408"/>
      <c r="F3095" s="408"/>
      <c r="G3095" s="408"/>
      <c r="H3095" s="408"/>
      <c r="I3095" s="408"/>
      <c r="J3095" s="408"/>
      <c r="K3095" s="408"/>
      <c r="L3095" s="408"/>
      <c r="M3095" s="408"/>
      <c r="N3095" s="408" t="str">
        <f t="shared" si="475"/>
        <v/>
      </c>
      <c r="O3095" s="408"/>
      <c r="P3095" s="408"/>
      <c r="Q3095" s="408"/>
      <c r="R3095" s="408"/>
      <c r="S3095" s="408"/>
      <c r="T3095" s="408"/>
      <c r="U3095" s="408"/>
      <c r="V3095" s="421"/>
      <c r="W3095" s="421"/>
      <c r="X3095" s="421"/>
      <c r="Y3095" s="421"/>
      <c r="Z3095" s="421"/>
      <c r="AA3095" s="421"/>
      <c r="AB3095" s="421"/>
      <c r="AC3095" s="421"/>
      <c r="AD3095" s="421"/>
      <c r="AE3095" s="421"/>
      <c r="AF3095" s="421"/>
      <c r="AG3095" s="421"/>
      <c r="AH3095" s="421"/>
      <c r="AI3095" s="421"/>
      <c r="AJ3095" s="421"/>
      <c r="AK3095" s="421"/>
      <c r="AL3095" s="421"/>
    </row>
    <row r="3096" spans="1:38" hidden="1">
      <c r="A3096" s="408"/>
      <c r="B3096" s="83" t="e">
        <f t="array" ref="B3096">SUM(--(FREQUENCY(IF(C$2:C$3072=C3096, MATCH(D$2:D$3072, D$2:D$3072, 0)), ROW(D$2:D$3072)-ROW(D$2)+1) &gt; 0))</f>
        <v>#N/A</v>
      </c>
      <c r="C3096" s="408"/>
      <c r="D3096" s="408"/>
      <c r="E3096" s="408"/>
      <c r="F3096" s="408"/>
      <c r="G3096" s="408"/>
      <c r="H3096" s="408"/>
      <c r="I3096" s="408"/>
      <c r="J3096" s="408"/>
      <c r="K3096" s="408"/>
      <c r="L3096" s="408"/>
      <c r="M3096" s="408"/>
      <c r="N3096" s="408" t="str">
        <f t="shared" si="475"/>
        <v/>
      </c>
      <c r="O3096" s="408"/>
      <c r="P3096" s="408"/>
      <c r="Q3096" s="408"/>
      <c r="R3096" s="408"/>
      <c r="S3096" s="408"/>
      <c r="T3096" s="408"/>
      <c r="U3096" s="408"/>
      <c r="V3096" s="421"/>
      <c r="W3096" s="421"/>
      <c r="X3096" s="421"/>
      <c r="Y3096" s="421"/>
      <c r="Z3096" s="421"/>
      <c r="AA3096" s="421"/>
      <c r="AB3096" s="421"/>
      <c r="AC3096" s="421"/>
      <c r="AD3096" s="421"/>
      <c r="AE3096" s="421"/>
      <c r="AF3096" s="421"/>
      <c r="AG3096" s="421"/>
      <c r="AH3096" s="421"/>
      <c r="AI3096" s="421"/>
      <c r="AJ3096" s="421"/>
      <c r="AK3096" s="421"/>
      <c r="AL3096" s="421"/>
    </row>
    <row r="3097" spans="1:38" hidden="1">
      <c r="A3097" s="408"/>
      <c r="B3097" s="83" t="e">
        <f t="array" ref="B3097">SUM(--(FREQUENCY(IF(C$2:C$3072=C3097, MATCH(D$2:D$3072, D$2:D$3072, 0)), ROW(D$2:D$3072)-ROW(D$2)+1) &gt; 0))</f>
        <v>#N/A</v>
      </c>
      <c r="C3097" s="408"/>
      <c r="D3097" s="408"/>
      <c r="E3097" s="408"/>
      <c r="F3097" s="408"/>
      <c r="G3097" s="408"/>
      <c r="H3097" s="408"/>
      <c r="I3097" s="408"/>
      <c r="J3097" s="408"/>
      <c r="K3097" s="408"/>
      <c r="L3097" s="408"/>
      <c r="M3097" s="408"/>
      <c r="N3097" s="408" t="str">
        <f t="shared" si="475"/>
        <v/>
      </c>
      <c r="O3097" s="408"/>
      <c r="P3097" s="408"/>
      <c r="Q3097" s="408"/>
      <c r="R3097" s="408"/>
      <c r="S3097" s="408"/>
      <c r="T3097" s="408"/>
      <c r="U3097" s="408"/>
      <c r="V3097" s="421"/>
      <c r="W3097" s="421"/>
      <c r="X3097" s="421"/>
      <c r="Y3097" s="421"/>
      <c r="Z3097" s="421"/>
      <c r="AA3097" s="421"/>
      <c r="AB3097" s="421"/>
      <c r="AC3097" s="421"/>
      <c r="AD3097" s="421"/>
      <c r="AE3097" s="421"/>
      <c r="AF3097" s="421"/>
      <c r="AG3097" s="421"/>
      <c r="AH3097" s="421"/>
      <c r="AI3097" s="421"/>
      <c r="AJ3097" s="421"/>
      <c r="AK3097" s="421"/>
      <c r="AL3097" s="421"/>
    </row>
    <row r="3098" spans="1:38" hidden="1">
      <c r="A3098" s="408"/>
      <c r="B3098" s="83" t="e">
        <f t="array" ref="B3098">SUM(--(FREQUENCY(IF(C$2:C$3072=C3098, MATCH(D$2:D$3072, D$2:D$3072, 0)), ROW(D$2:D$3072)-ROW(D$2)+1) &gt; 0))</f>
        <v>#N/A</v>
      </c>
      <c r="C3098" s="408"/>
      <c r="D3098" s="408"/>
      <c r="E3098" s="408"/>
      <c r="F3098" s="408"/>
      <c r="G3098" s="408"/>
      <c r="H3098" s="408"/>
      <c r="I3098" s="408"/>
      <c r="J3098" s="408"/>
      <c r="K3098" s="408"/>
      <c r="L3098" s="408"/>
      <c r="M3098" s="408"/>
      <c r="N3098" s="408" t="str">
        <f t="shared" si="475"/>
        <v/>
      </c>
      <c r="O3098" s="408"/>
      <c r="P3098" s="408"/>
      <c r="Q3098" s="408"/>
      <c r="R3098" s="408"/>
      <c r="S3098" s="408"/>
      <c r="T3098" s="408"/>
      <c r="U3098" s="408"/>
      <c r="V3098" s="421"/>
      <c r="W3098" s="421"/>
      <c r="X3098" s="421"/>
      <c r="Y3098" s="421"/>
      <c r="Z3098" s="421"/>
      <c r="AA3098" s="421"/>
      <c r="AB3098" s="421"/>
      <c r="AC3098" s="421"/>
      <c r="AD3098" s="421"/>
      <c r="AE3098" s="421"/>
      <c r="AF3098" s="421"/>
      <c r="AG3098" s="421"/>
      <c r="AH3098" s="421"/>
      <c r="AI3098" s="421"/>
      <c r="AJ3098" s="421"/>
      <c r="AK3098" s="421"/>
      <c r="AL3098" s="421"/>
    </row>
    <row r="3099" spans="1:38" hidden="1">
      <c r="A3099" s="408"/>
      <c r="B3099" s="83" t="e">
        <f t="array" ref="B3099">SUM(--(FREQUENCY(IF(C$2:C$3072=C3099, MATCH(D$2:D$3072, D$2:D$3072, 0)), ROW(D$2:D$3072)-ROW(D$2)+1) &gt; 0))</f>
        <v>#N/A</v>
      </c>
      <c r="C3099" s="408"/>
      <c r="D3099" s="408"/>
      <c r="E3099" s="408"/>
      <c r="F3099" s="408"/>
      <c r="G3099" s="408"/>
      <c r="H3099" s="408"/>
      <c r="I3099" s="408"/>
      <c r="J3099" s="408"/>
      <c r="K3099" s="408"/>
      <c r="L3099" s="408"/>
      <c r="M3099" s="408"/>
      <c r="N3099" s="408" t="str">
        <f t="shared" si="475"/>
        <v/>
      </c>
      <c r="O3099" s="408"/>
      <c r="P3099" s="408"/>
      <c r="Q3099" s="408"/>
      <c r="R3099" s="408"/>
      <c r="S3099" s="408"/>
      <c r="T3099" s="408"/>
      <c r="U3099" s="408"/>
      <c r="V3099" s="421"/>
      <c r="W3099" s="421"/>
      <c r="X3099" s="421"/>
      <c r="Y3099" s="421"/>
      <c r="Z3099" s="421"/>
      <c r="AA3099" s="421"/>
      <c r="AB3099" s="421"/>
      <c r="AC3099" s="421"/>
      <c r="AD3099" s="421"/>
      <c r="AE3099" s="421"/>
      <c r="AF3099" s="421"/>
      <c r="AG3099" s="421"/>
      <c r="AH3099" s="421"/>
      <c r="AI3099" s="421"/>
      <c r="AJ3099" s="421"/>
      <c r="AK3099" s="421"/>
      <c r="AL3099" s="421"/>
    </row>
    <row r="3100" spans="1:38" hidden="1">
      <c r="A3100" s="408"/>
      <c r="B3100" s="83" t="e">
        <f t="array" ref="B3100">SUM(--(FREQUENCY(IF(C$2:C$3072=C3100, MATCH(D$2:D$3072, D$2:D$3072, 0)), ROW(D$2:D$3072)-ROW(D$2)+1) &gt; 0))</f>
        <v>#N/A</v>
      </c>
      <c r="C3100" s="408"/>
      <c r="D3100" s="408"/>
      <c r="E3100" s="408"/>
      <c r="F3100" s="408"/>
      <c r="G3100" s="408"/>
      <c r="H3100" s="408"/>
      <c r="I3100" s="408"/>
      <c r="J3100" s="408"/>
      <c r="K3100" s="408"/>
      <c r="L3100" s="408"/>
      <c r="M3100" s="408"/>
      <c r="N3100" s="408" t="str">
        <f t="shared" si="475"/>
        <v/>
      </c>
      <c r="O3100" s="408"/>
      <c r="P3100" s="408"/>
      <c r="Q3100" s="408"/>
      <c r="R3100" s="408"/>
      <c r="S3100" s="408"/>
      <c r="T3100" s="408"/>
      <c r="U3100" s="408"/>
      <c r="V3100" s="421"/>
      <c r="W3100" s="421"/>
      <c r="X3100" s="421"/>
      <c r="Y3100" s="421"/>
      <c r="Z3100" s="421"/>
      <c r="AA3100" s="421"/>
      <c r="AB3100" s="421"/>
      <c r="AC3100" s="421"/>
      <c r="AD3100" s="421"/>
      <c r="AE3100" s="421"/>
      <c r="AF3100" s="421"/>
      <c r="AG3100" s="421"/>
      <c r="AH3100" s="421"/>
      <c r="AI3100" s="421"/>
      <c r="AJ3100" s="421"/>
      <c r="AK3100" s="421"/>
      <c r="AL3100" s="421"/>
    </row>
    <row r="3101" spans="1:38" hidden="1">
      <c r="A3101" s="408"/>
      <c r="B3101" s="83" t="e">
        <f t="array" ref="B3101">SUM(--(FREQUENCY(IF(C$2:C$3072=C3101, MATCH(D$2:D$3072, D$2:D$3072, 0)), ROW(D$2:D$3072)-ROW(D$2)+1) &gt; 0))</f>
        <v>#N/A</v>
      </c>
      <c r="C3101" s="408"/>
      <c r="D3101" s="408"/>
      <c r="E3101" s="408"/>
      <c r="F3101" s="408"/>
      <c r="G3101" s="408"/>
      <c r="H3101" s="408"/>
      <c r="I3101" s="408"/>
      <c r="J3101" s="408"/>
      <c r="K3101" s="408"/>
      <c r="L3101" s="408"/>
      <c r="M3101" s="408"/>
      <c r="N3101" s="408" t="str">
        <f t="shared" si="475"/>
        <v/>
      </c>
      <c r="O3101" s="408"/>
      <c r="P3101" s="408"/>
      <c r="Q3101" s="408"/>
      <c r="R3101" s="408"/>
      <c r="S3101" s="408"/>
      <c r="T3101" s="408"/>
      <c r="U3101" s="408"/>
      <c r="V3101" s="421"/>
      <c r="W3101" s="421"/>
      <c r="X3101" s="421"/>
      <c r="Y3101" s="421"/>
      <c r="Z3101" s="421"/>
      <c r="AA3101" s="421"/>
      <c r="AB3101" s="421"/>
      <c r="AC3101" s="421"/>
      <c r="AD3101" s="421"/>
      <c r="AE3101" s="421"/>
      <c r="AF3101" s="421"/>
      <c r="AG3101" s="421"/>
      <c r="AH3101" s="421"/>
      <c r="AI3101" s="421"/>
      <c r="AJ3101" s="421"/>
      <c r="AK3101" s="421"/>
      <c r="AL3101" s="421"/>
    </row>
    <row r="3102" spans="1:38" hidden="1">
      <c r="A3102" s="408"/>
      <c r="B3102" s="83" t="e">
        <f t="array" ref="B3102">SUM(--(FREQUENCY(IF(C$2:C$3072=C3102, MATCH(D$2:D$3072, D$2:D$3072, 0)), ROW(D$2:D$3072)-ROW(D$2)+1) &gt; 0))</f>
        <v>#N/A</v>
      </c>
      <c r="C3102" s="408"/>
      <c r="D3102" s="408"/>
      <c r="E3102" s="408"/>
      <c r="F3102" s="408"/>
      <c r="G3102" s="408"/>
      <c r="H3102" s="408"/>
      <c r="I3102" s="408"/>
      <c r="J3102" s="408"/>
      <c r="K3102" s="408"/>
      <c r="L3102" s="408"/>
      <c r="M3102" s="408"/>
      <c r="N3102" s="408" t="str">
        <f t="shared" si="475"/>
        <v/>
      </c>
      <c r="O3102" s="408"/>
      <c r="P3102" s="408"/>
      <c r="Q3102" s="408"/>
      <c r="R3102" s="408"/>
      <c r="S3102" s="408"/>
      <c r="T3102" s="408"/>
      <c r="U3102" s="408"/>
      <c r="V3102" s="421"/>
      <c r="W3102" s="421"/>
      <c r="X3102" s="421"/>
      <c r="Y3102" s="421"/>
      <c r="Z3102" s="421"/>
      <c r="AA3102" s="421"/>
      <c r="AB3102" s="421"/>
      <c r="AC3102" s="421"/>
      <c r="AD3102" s="421"/>
      <c r="AE3102" s="421"/>
      <c r="AF3102" s="421"/>
      <c r="AG3102" s="421"/>
      <c r="AH3102" s="421"/>
      <c r="AI3102" s="421"/>
      <c r="AJ3102" s="421"/>
      <c r="AK3102" s="421"/>
      <c r="AL3102" s="421"/>
    </row>
    <row r="3103" spans="1:38" hidden="1">
      <c r="A3103" s="408"/>
      <c r="B3103" s="83" t="e">
        <f t="array" ref="B3103">SUM(--(FREQUENCY(IF(C$2:C$3072=C3103, MATCH(D$2:D$3072, D$2:D$3072, 0)), ROW(D$2:D$3072)-ROW(D$2)+1) &gt; 0))</f>
        <v>#N/A</v>
      </c>
      <c r="C3103" s="408"/>
      <c r="D3103" s="408"/>
      <c r="E3103" s="408"/>
      <c r="F3103" s="408"/>
      <c r="G3103" s="408"/>
      <c r="H3103" s="408"/>
      <c r="I3103" s="408"/>
      <c r="J3103" s="408"/>
      <c r="K3103" s="408"/>
      <c r="L3103" s="408"/>
      <c r="M3103" s="408"/>
      <c r="N3103" s="408" t="str">
        <f t="shared" si="475"/>
        <v/>
      </c>
      <c r="O3103" s="408"/>
      <c r="P3103" s="408"/>
      <c r="Q3103" s="408"/>
      <c r="R3103" s="408"/>
      <c r="S3103" s="408"/>
      <c r="T3103" s="408"/>
      <c r="U3103" s="408"/>
      <c r="V3103" s="421"/>
      <c r="W3103" s="421"/>
      <c r="X3103" s="421"/>
      <c r="Y3103" s="421"/>
      <c r="Z3103" s="421"/>
      <c r="AA3103" s="421"/>
      <c r="AB3103" s="421"/>
      <c r="AC3103" s="421"/>
      <c r="AD3103" s="421"/>
      <c r="AE3103" s="421"/>
      <c r="AF3103" s="421"/>
      <c r="AG3103" s="421"/>
      <c r="AH3103" s="421"/>
      <c r="AI3103" s="421"/>
      <c r="AJ3103" s="421"/>
      <c r="AK3103" s="421"/>
      <c r="AL3103" s="421"/>
    </row>
    <row r="3104" spans="1:38" hidden="1">
      <c r="A3104" s="408"/>
      <c r="B3104" s="83" t="e">
        <f t="array" ref="B3104">SUM(--(FREQUENCY(IF(C$2:C$3072=C3104, MATCH(D$2:D$3072, D$2:D$3072, 0)), ROW(D$2:D$3072)-ROW(D$2)+1) &gt; 0))</f>
        <v>#N/A</v>
      </c>
      <c r="C3104" s="408"/>
      <c r="D3104" s="408"/>
      <c r="E3104" s="408"/>
      <c r="F3104" s="408"/>
      <c r="G3104" s="408"/>
      <c r="H3104" s="408"/>
      <c r="I3104" s="408"/>
      <c r="J3104" s="408"/>
      <c r="K3104" s="408"/>
      <c r="L3104" s="408"/>
      <c r="M3104" s="408"/>
      <c r="N3104" s="408" t="str">
        <f t="shared" si="475"/>
        <v/>
      </c>
      <c r="O3104" s="408"/>
      <c r="P3104" s="408"/>
      <c r="Q3104" s="408"/>
      <c r="R3104" s="408"/>
      <c r="S3104" s="408"/>
      <c r="T3104" s="408"/>
      <c r="U3104" s="408"/>
      <c r="V3104" s="421"/>
      <c r="W3104" s="421"/>
      <c r="X3104" s="421"/>
      <c r="Y3104" s="421"/>
      <c r="Z3104" s="421"/>
      <c r="AA3104" s="421"/>
      <c r="AB3104" s="421"/>
      <c r="AC3104" s="421"/>
      <c r="AD3104" s="421"/>
      <c r="AE3104" s="421"/>
      <c r="AF3104" s="421"/>
      <c r="AG3104" s="421"/>
      <c r="AH3104" s="421"/>
      <c r="AI3104" s="421"/>
      <c r="AJ3104" s="421"/>
      <c r="AK3104" s="421"/>
      <c r="AL3104" s="421"/>
    </row>
    <row r="3105" spans="1:38" hidden="1">
      <c r="A3105" s="408"/>
      <c r="B3105" s="83" t="e">
        <f t="array" ref="B3105">SUM(--(FREQUENCY(IF(C$2:C$3072=C3105, MATCH(D$2:D$3072, D$2:D$3072, 0)), ROW(D$2:D$3072)-ROW(D$2)+1) &gt; 0))</f>
        <v>#N/A</v>
      </c>
      <c r="C3105" s="408"/>
      <c r="D3105" s="408"/>
      <c r="E3105" s="408"/>
      <c r="F3105" s="408"/>
      <c r="G3105" s="408"/>
      <c r="H3105" s="408"/>
      <c r="I3105" s="408"/>
      <c r="J3105" s="408"/>
      <c r="K3105" s="408"/>
      <c r="L3105" s="408"/>
      <c r="M3105" s="408"/>
      <c r="N3105" s="408" t="str">
        <f t="shared" si="475"/>
        <v/>
      </c>
      <c r="O3105" s="408"/>
      <c r="P3105" s="408"/>
      <c r="Q3105" s="408"/>
      <c r="R3105" s="408"/>
      <c r="S3105" s="408"/>
      <c r="T3105" s="408"/>
      <c r="U3105" s="408"/>
      <c r="V3105" s="421"/>
      <c r="W3105" s="421"/>
      <c r="X3105" s="421"/>
      <c r="Y3105" s="421"/>
      <c r="Z3105" s="421"/>
      <c r="AA3105" s="421"/>
      <c r="AB3105" s="421"/>
      <c r="AC3105" s="421"/>
      <c r="AD3105" s="421"/>
      <c r="AE3105" s="421"/>
      <c r="AF3105" s="421"/>
      <c r="AG3105" s="421"/>
      <c r="AH3105" s="421"/>
      <c r="AI3105" s="421"/>
      <c r="AJ3105" s="421"/>
      <c r="AK3105" s="421"/>
      <c r="AL3105" s="421"/>
    </row>
    <row r="3106" spans="1:38" hidden="1">
      <c r="A3106" s="408"/>
      <c r="B3106" s="83" t="e">
        <f t="array" ref="B3106">SUM(--(FREQUENCY(IF(C$2:C$3072=C3106, MATCH(D$2:D$3072, D$2:D$3072, 0)), ROW(D$2:D$3072)-ROW(D$2)+1) &gt; 0))</f>
        <v>#N/A</v>
      </c>
      <c r="C3106" s="408"/>
      <c r="D3106" s="408"/>
      <c r="E3106" s="408"/>
      <c r="F3106" s="408"/>
      <c r="G3106" s="408"/>
      <c r="H3106" s="408"/>
      <c r="I3106" s="408"/>
      <c r="J3106" s="408"/>
      <c r="K3106" s="408"/>
      <c r="L3106" s="408"/>
      <c r="M3106" s="408"/>
      <c r="N3106" s="408" t="str">
        <f t="shared" si="475"/>
        <v/>
      </c>
      <c r="O3106" s="408"/>
      <c r="P3106" s="408"/>
      <c r="Q3106" s="408"/>
      <c r="R3106" s="408"/>
      <c r="S3106" s="408"/>
      <c r="T3106" s="408"/>
      <c r="U3106" s="408"/>
      <c r="V3106" s="421"/>
      <c r="W3106" s="421"/>
      <c r="X3106" s="421"/>
      <c r="Y3106" s="421"/>
      <c r="Z3106" s="421"/>
      <c r="AA3106" s="421"/>
      <c r="AB3106" s="421"/>
      <c r="AC3106" s="421"/>
      <c r="AD3106" s="421"/>
      <c r="AE3106" s="421"/>
      <c r="AF3106" s="421"/>
      <c r="AG3106" s="421"/>
      <c r="AH3106" s="421"/>
      <c r="AI3106" s="421"/>
      <c r="AJ3106" s="421"/>
      <c r="AK3106" s="421"/>
      <c r="AL3106" s="421"/>
    </row>
    <row r="3107" spans="1:38" hidden="1">
      <c r="A3107" s="408"/>
      <c r="B3107" s="83" t="e">
        <f t="array" ref="B3107">SUM(--(FREQUENCY(IF(C$2:C$3072=C3107, MATCH(D$2:D$3072, D$2:D$3072, 0)), ROW(D$2:D$3072)-ROW(D$2)+1) &gt; 0))</f>
        <v>#N/A</v>
      </c>
      <c r="C3107" s="408"/>
      <c r="D3107" s="408"/>
      <c r="E3107" s="408"/>
      <c r="F3107" s="408"/>
      <c r="G3107" s="408"/>
      <c r="H3107" s="408"/>
      <c r="I3107" s="408"/>
      <c r="J3107" s="408"/>
      <c r="K3107" s="408"/>
      <c r="L3107" s="408"/>
      <c r="M3107" s="408"/>
      <c r="N3107" s="408" t="str">
        <f t="shared" si="475"/>
        <v/>
      </c>
      <c r="O3107" s="408"/>
      <c r="P3107" s="408"/>
      <c r="Q3107" s="408"/>
      <c r="R3107" s="408"/>
      <c r="S3107" s="408"/>
      <c r="T3107" s="408"/>
      <c r="U3107" s="408"/>
      <c r="V3107" s="421"/>
      <c r="W3107" s="421"/>
      <c r="X3107" s="421"/>
      <c r="Y3107" s="421"/>
      <c r="Z3107" s="421"/>
      <c r="AA3107" s="421"/>
      <c r="AB3107" s="421"/>
      <c r="AC3107" s="421"/>
      <c r="AD3107" s="421"/>
      <c r="AE3107" s="421"/>
      <c r="AF3107" s="421"/>
      <c r="AG3107" s="421"/>
      <c r="AH3107" s="421"/>
      <c r="AI3107" s="421"/>
      <c r="AJ3107" s="421"/>
      <c r="AK3107" s="421"/>
      <c r="AL3107" s="421"/>
    </row>
    <row r="3108" spans="1:38" hidden="1">
      <c r="A3108" s="408"/>
      <c r="B3108" s="83" t="e">
        <f t="array" ref="B3108">SUM(--(FREQUENCY(IF(C$2:C$3072=C3108, MATCH(D$2:D$3072, D$2:D$3072, 0)), ROW(D$2:D$3072)-ROW(D$2)+1) &gt; 0))</f>
        <v>#N/A</v>
      </c>
      <c r="C3108" s="408"/>
      <c r="D3108" s="408"/>
      <c r="E3108" s="408"/>
      <c r="F3108" s="408"/>
      <c r="G3108" s="408"/>
      <c r="H3108" s="408"/>
      <c r="I3108" s="408"/>
      <c r="J3108" s="408"/>
      <c r="K3108" s="408"/>
      <c r="L3108" s="408"/>
      <c r="M3108" s="408"/>
      <c r="N3108" s="408" t="str">
        <f t="shared" si="475"/>
        <v/>
      </c>
      <c r="O3108" s="408"/>
      <c r="P3108" s="408"/>
      <c r="Q3108" s="408"/>
      <c r="R3108" s="408"/>
      <c r="S3108" s="408"/>
      <c r="T3108" s="408"/>
      <c r="U3108" s="408"/>
      <c r="V3108" s="421"/>
      <c r="W3108" s="421"/>
      <c r="X3108" s="421"/>
      <c r="Y3108" s="421"/>
      <c r="Z3108" s="421"/>
      <c r="AA3108" s="421"/>
      <c r="AB3108" s="421"/>
      <c r="AC3108" s="421"/>
      <c r="AD3108" s="421"/>
      <c r="AE3108" s="421"/>
      <c r="AF3108" s="421"/>
      <c r="AG3108" s="421"/>
      <c r="AH3108" s="421"/>
      <c r="AI3108" s="421"/>
      <c r="AJ3108" s="421"/>
      <c r="AK3108" s="421"/>
      <c r="AL3108" s="421"/>
    </row>
    <row r="3109" spans="1:38" hidden="1">
      <c r="A3109" s="408"/>
      <c r="B3109" s="83" t="e">
        <f t="array" ref="B3109">SUM(--(FREQUENCY(IF(C$2:C$3072=C3109, MATCH(D$2:D$3072, D$2:D$3072, 0)), ROW(D$2:D$3072)-ROW(D$2)+1) &gt; 0))</f>
        <v>#N/A</v>
      </c>
      <c r="C3109" s="408"/>
      <c r="D3109" s="408"/>
      <c r="E3109" s="408"/>
      <c r="F3109" s="408"/>
      <c r="G3109" s="408"/>
      <c r="H3109" s="408"/>
      <c r="I3109" s="408"/>
      <c r="J3109" s="408"/>
      <c r="K3109" s="408"/>
      <c r="L3109" s="408"/>
      <c r="M3109" s="408"/>
      <c r="N3109" s="408" t="str">
        <f t="shared" si="475"/>
        <v/>
      </c>
      <c r="O3109" s="408"/>
      <c r="P3109" s="408"/>
      <c r="Q3109" s="408"/>
      <c r="R3109" s="408"/>
      <c r="S3109" s="408"/>
      <c r="T3109" s="408"/>
      <c r="U3109" s="408"/>
      <c r="V3109" s="421"/>
      <c r="W3109" s="421"/>
      <c r="X3109" s="421"/>
      <c r="Y3109" s="421"/>
      <c r="Z3109" s="421"/>
      <c r="AA3109" s="421"/>
      <c r="AB3109" s="421"/>
      <c r="AC3109" s="421"/>
      <c r="AD3109" s="421"/>
      <c r="AE3109" s="421"/>
      <c r="AF3109" s="421"/>
      <c r="AG3109" s="421"/>
      <c r="AH3109" s="421"/>
      <c r="AI3109" s="421"/>
      <c r="AJ3109" s="421"/>
      <c r="AK3109" s="421"/>
      <c r="AL3109" s="421"/>
    </row>
    <row r="3110" spans="1:38" hidden="1">
      <c r="A3110" s="408"/>
      <c r="B3110" s="83" t="e">
        <f t="array" ref="B3110">SUM(--(FREQUENCY(IF(C$2:C$3072=C3110, MATCH(D$2:D$3072, D$2:D$3072, 0)), ROW(D$2:D$3072)-ROW(D$2)+1) &gt; 0))</f>
        <v>#N/A</v>
      </c>
      <c r="C3110" s="408"/>
      <c r="D3110" s="408"/>
      <c r="E3110" s="408"/>
      <c r="F3110" s="408"/>
      <c r="G3110" s="408"/>
      <c r="H3110" s="408"/>
      <c r="I3110" s="408"/>
      <c r="J3110" s="408"/>
      <c r="K3110" s="408"/>
      <c r="L3110" s="408"/>
      <c r="M3110" s="408"/>
      <c r="N3110" s="408" t="str">
        <f t="shared" si="475"/>
        <v/>
      </c>
      <c r="O3110" s="408"/>
      <c r="P3110" s="408"/>
      <c r="Q3110" s="408"/>
      <c r="R3110" s="408"/>
      <c r="S3110" s="408"/>
      <c r="T3110" s="408"/>
      <c r="U3110" s="408"/>
      <c r="V3110" s="421"/>
      <c r="W3110" s="421"/>
      <c r="X3110" s="421"/>
      <c r="Y3110" s="421"/>
      <c r="Z3110" s="421"/>
      <c r="AA3110" s="421"/>
      <c r="AB3110" s="421"/>
      <c r="AC3110" s="421"/>
      <c r="AD3110" s="421"/>
      <c r="AE3110" s="421"/>
      <c r="AF3110" s="421"/>
      <c r="AG3110" s="421"/>
      <c r="AH3110" s="421"/>
      <c r="AI3110" s="421"/>
      <c r="AJ3110" s="421"/>
      <c r="AK3110" s="421"/>
      <c r="AL3110" s="421"/>
    </row>
    <row r="3111" spans="1:38" hidden="1">
      <c r="A3111" s="408"/>
      <c r="B3111" s="83" t="e">
        <f t="array" ref="B3111">SUM(--(FREQUENCY(IF(C$2:C$3072=C3111, MATCH(D$2:D$3072, D$2:D$3072, 0)), ROW(D$2:D$3072)-ROW(D$2)+1) &gt; 0))</f>
        <v>#N/A</v>
      </c>
      <c r="C3111" s="408"/>
      <c r="D3111" s="408"/>
      <c r="E3111" s="408"/>
      <c r="F3111" s="408"/>
      <c r="G3111" s="408"/>
      <c r="H3111" s="408"/>
      <c r="I3111" s="408"/>
      <c r="J3111" s="408"/>
      <c r="K3111" s="408"/>
      <c r="L3111" s="408"/>
      <c r="M3111" s="408"/>
      <c r="N3111" s="408" t="str">
        <f t="shared" si="475"/>
        <v/>
      </c>
      <c r="O3111" s="408"/>
      <c r="P3111" s="408"/>
      <c r="Q3111" s="408"/>
      <c r="R3111" s="408"/>
      <c r="S3111" s="408"/>
      <c r="T3111" s="408"/>
      <c r="U3111" s="408"/>
      <c r="V3111" s="421"/>
      <c r="W3111" s="421"/>
      <c r="X3111" s="421"/>
      <c r="Y3111" s="421"/>
      <c r="Z3111" s="421"/>
      <c r="AA3111" s="421"/>
      <c r="AB3111" s="421"/>
      <c r="AC3111" s="421"/>
      <c r="AD3111" s="421"/>
      <c r="AE3111" s="421"/>
      <c r="AF3111" s="421"/>
      <c r="AG3111" s="421"/>
      <c r="AH3111" s="421"/>
      <c r="AI3111" s="421"/>
      <c r="AJ3111" s="421"/>
      <c r="AK3111" s="421"/>
      <c r="AL3111" s="421"/>
    </row>
    <row r="3112" spans="1:38" hidden="1">
      <c r="A3112" s="408"/>
      <c r="B3112" s="83" t="e">
        <f t="array" ref="B3112">SUM(--(FREQUENCY(IF(C$2:C$3072=C3112, MATCH(D$2:D$3072, D$2:D$3072, 0)), ROW(D$2:D$3072)-ROW(D$2)+1) &gt; 0))</f>
        <v>#N/A</v>
      </c>
      <c r="C3112" s="408"/>
      <c r="D3112" s="408"/>
      <c r="E3112" s="408"/>
      <c r="F3112" s="408"/>
      <c r="G3112" s="408"/>
      <c r="H3112" s="408"/>
      <c r="I3112" s="408"/>
      <c r="J3112" s="408"/>
      <c r="K3112" s="408"/>
      <c r="L3112" s="408"/>
      <c r="M3112" s="408"/>
      <c r="N3112" s="408" t="str">
        <f t="shared" si="475"/>
        <v/>
      </c>
      <c r="O3112" s="408"/>
      <c r="P3112" s="408"/>
      <c r="Q3112" s="408"/>
      <c r="R3112" s="408"/>
      <c r="S3112" s="408"/>
      <c r="T3112" s="408"/>
      <c r="U3112" s="408"/>
      <c r="V3112" s="421"/>
      <c r="W3112" s="421"/>
      <c r="X3112" s="421"/>
      <c r="Y3112" s="421"/>
      <c r="Z3112" s="421"/>
      <c r="AA3112" s="421"/>
      <c r="AB3112" s="421"/>
      <c r="AC3112" s="421"/>
      <c r="AD3112" s="421"/>
      <c r="AE3112" s="421"/>
      <c r="AF3112" s="421"/>
      <c r="AG3112" s="421"/>
      <c r="AH3112" s="421"/>
      <c r="AI3112" s="421"/>
      <c r="AJ3112" s="421"/>
      <c r="AK3112" s="421"/>
      <c r="AL3112" s="421"/>
    </row>
    <row r="3113" spans="1:38" hidden="1">
      <c r="A3113" s="408"/>
      <c r="B3113" s="83" t="e">
        <f t="array" ref="B3113">SUM(--(FREQUENCY(IF(C$2:C$3072=C3113, MATCH(D$2:D$3072, D$2:D$3072, 0)), ROW(D$2:D$3072)-ROW(D$2)+1) &gt; 0))</f>
        <v>#N/A</v>
      </c>
      <c r="C3113" s="408"/>
      <c r="D3113" s="408"/>
      <c r="E3113" s="408"/>
      <c r="F3113" s="408"/>
      <c r="G3113" s="408"/>
      <c r="H3113" s="408"/>
      <c r="I3113" s="408"/>
      <c r="J3113" s="408"/>
      <c r="K3113" s="408"/>
      <c r="L3113" s="408"/>
      <c r="M3113" s="408"/>
      <c r="N3113" s="408" t="str">
        <f t="shared" si="475"/>
        <v/>
      </c>
      <c r="O3113" s="408"/>
      <c r="P3113" s="408"/>
      <c r="Q3113" s="408"/>
      <c r="R3113" s="408"/>
      <c r="S3113" s="408"/>
      <c r="T3113" s="408"/>
      <c r="U3113" s="408"/>
      <c r="V3113" s="421"/>
      <c r="W3113" s="421"/>
      <c r="X3113" s="421"/>
      <c r="Y3113" s="421"/>
      <c r="Z3113" s="421"/>
      <c r="AA3113" s="421"/>
      <c r="AB3113" s="421"/>
      <c r="AC3113" s="421"/>
      <c r="AD3113" s="421"/>
      <c r="AE3113" s="421"/>
      <c r="AF3113" s="421"/>
      <c r="AG3113" s="421"/>
      <c r="AH3113" s="421"/>
      <c r="AI3113" s="421"/>
      <c r="AJ3113" s="421"/>
      <c r="AK3113" s="421"/>
      <c r="AL3113" s="421"/>
    </row>
    <row r="3114" spans="1:38" hidden="1">
      <c r="A3114" s="408"/>
      <c r="B3114" s="83" t="e">
        <f t="array" ref="B3114">SUM(--(FREQUENCY(IF(C$2:C$3072=C3114, MATCH(D$2:D$3072, D$2:D$3072, 0)), ROW(D$2:D$3072)-ROW(D$2)+1) &gt; 0))</f>
        <v>#N/A</v>
      </c>
      <c r="C3114" s="408"/>
      <c r="D3114" s="408"/>
      <c r="E3114" s="408"/>
      <c r="F3114" s="408"/>
      <c r="G3114" s="408"/>
      <c r="H3114" s="408"/>
      <c r="I3114" s="408"/>
      <c r="J3114" s="408"/>
      <c r="K3114" s="408"/>
      <c r="L3114" s="408"/>
      <c r="M3114" s="408"/>
      <c r="N3114" s="408" t="str">
        <f t="shared" si="475"/>
        <v/>
      </c>
      <c r="O3114" s="408"/>
      <c r="P3114" s="408"/>
      <c r="Q3114" s="408"/>
      <c r="R3114" s="408"/>
      <c r="S3114" s="408"/>
      <c r="T3114" s="408"/>
      <c r="U3114" s="408"/>
      <c r="V3114" s="421"/>
      <c r="W3114" s="421"/>
      <c r="X3114" s="421"/>
      <c r="Y3114" s="421"/>
      <c r="Z3114" s="421"/>
      <c r="AA3114" s="421"/>
      <c r="AB3114" s="421"/>
      <c r="AC3114" s="421"/>
      <c r="AD3114" s="421"/>
      <c r="AE3114" s="421"/>
      <c r="AF3114" s="421"/>
      <c r="AG3114" s="421"/>
      <c r="AH3114" s="421"/>
      <c r="AI3114" s="421"/>
      <c r="AJ3114" s="421"/>
      <c r="AK3114" s="421"/>
      <c r="AL3114" s="421"/>
    </row>
    <row r="3115" spans="1:38" hidden="1">
      <c r="A3115" s="408"/>
      <c r="B3115" s="83" t="e">
        <f t="array" ref="B3115">SUM(--(FREQUENCY(IF(C$2:C$3072=C3115, MATCH(D$2:D$3072, D$2:D$3072, 0)), ROW(D$2:D$3072)-ROW(D$2)+1) &gt; 0))</f>
        <v>#N/A</v>
      </c>
      <c r="C3115" s="408"/>
      <c r="D3115" s="408"/>
      <c r="E3115" s="408"/>
      <c r="F3115" s="408"/>
      <c r="G3115" s="408"/>
      <c r="H3115" s="408"/>
      <c r="I3115" s="408"/>
      <c r="J3115" s="408"/>
      <c r="K3115" s="408"/>
      <c r="L3115" s="408"/>
      <c r="M3115" s="408"/>
      <c r="N3115" s="408" t="str">
        <f t="shared" si="475"/>
        <v/>
      </c>
      <c r="O3115" s="408"/>
      <c r="P3115" s="408"/>
      <c r="Q3115" s="408"/>
      <c r="R3115" s="408"/>
      <c r="S3115" s="408"/>
      <c r="T3115" s="408"/>
      <c r="U3115" s="408"/>
      <c r="V3115" s="421"/>
      <c r="W3115" s="421"/>
      <c r="X3115" s="421"/>
      <c r="Y3115" s="421"/>
      <c r="Z3115" s="421"/>
      <c r="AA3115" s="421"/>
      <c r="AB3115" s="421"/>
      <c r="AC3115" s="421"/>
      <c r="AD3115" s="421"/>
      <c r="AE3115" s="421"/>
      <c r="AF3115" s="421"/>
      <c r="AG3115" s="421"/>
      <c r="AH3115" s="421"/>
      <c r="AI3115" s="421"/>
      <c r="AJ3115" s="421"/>
      <c r="AK3115" s="421"/>
      <c r="AL3115" s="421"/>
    </row>
    <row r="3116" spans="1:38" hidden="1">
      <c r="A3116" s="408"/>
      <c r="B3116" s="83" t="e">
        <f t="array" ref="B3116">SUM(--(FREQUENCY(IF(C$2:C$3072=C3116, MATCH(D$2:D$3072, D$2:D$3072, 0)), ROW(D$2:D$3072)-ROW(D$2)+1) &gt; 0))</f>
        <v>#N/A</v>
      </c>
      <c r="C3116" s="408"/>
      <c r="D3116" s="408"/>
      <c r="E3116" s="408"/>
      <c r="F3116" s="408"/>
      <c r="G3116" s="408"/>
      <c r="H3116" s="408"/>
      <c r="I3116" s="408"/>
      <c r="J3116" s="408"/>
      <c r="K3116" s="408"/>
      <c r="L3116" s="408"/>
      <c r="M3116" s="408"/>
      <c r="N3116" s="408" t="str">
        <f t="shared" si="475"/>
        <v/>
      </c>
      <c r="O3116" s="408"/>
      <c r="P3116" s="408"/>
      <c r="Q3116" s="408"/>
      <c r="R3116" s="408"/>
      <c r="S3116" s="408"/>
      <c r="T3116" s="408"/>
      <c r="U3116" s="408"/>
      <c r="V3116" s="421"/>
      <c r="W3116" s="421"/>
      <c r="X3116" s="421"/>
      <c r="Y3116" s="421"/>
      <c r="Z3116" s="421"/>
      <c r="AA3116" s="421"/>
      <c r="AB3116" s="421"/>
      <c r="AC3116" s="421"/>
      <c r="AD3116" s="421"/>
      <c r="AE3116" s="421"/>
      <c r="AF3116" s="421"/>
      <c r="AG3116" s="421"/>
      <c r="AH3116" s="421"/>
      <c r="AI3116" s="421"/>
      <c r="AJ3116" s="421"/>
      <c r="AK3116" s="421"/>
      <c r="AL3116" s="421"/>
    </row>
    <row r="3117" spans="1:38" hidden="1">
      <c r="A3117" s="408"/>
      <c r="B3117" s="83" t="e">
        <f t="array" ref="B3117">SUM(--(FREQUENCY(IF(C$2:C$3072=C3117, MATCH(D$2:D$3072, D$2:D$3072, 0)), ROW(D$2:D$3072)-ROW(D$2)+1) &gt; 0))</f>
        <v>#N/A</v>
      </c>
      <c r="C3117" s="408"/>
      <c r="D3117" s="408"/>
      <c r="E3117" s="408"/>
      <c r="F3117" s="408"/>
      <c r="G3117" s="408"/>
      <c r="H3117" s="408"/>
      <c r="I3117" s="408"/>
      <c r="J3117" s="408"/>
      <c r="K3117" s="408"/>
      <c r="L3117" s="408"/>
      <c r="M3117" s="408"/>
      <c r="N3117" s="408" t="str">
        <f t="shared" si="475"/>
        <v/>
      </c>
      <c r="O3117" s="408"/>
      <c r="P3117" s="408"/>
      <c r="Q3117" s="408"/>
      <c r="R3117" s="408"/>
      <c r="S3117" s="408"/>
      <c r="T3117" s="408"/>
      <c r="U3117" s="408"/>
      <c r="V3117" s="421"/>
      <c r="W3117" s="421"/>
      <c r="X3117" s="421"/>
      <c r="Y3117" s="421"/>
      <c r="Z3117" s="421"/>
      <c r="AA3117" s="421"/>
      <c r="AB3117" s="421"/>
      <c r="AC3117" s="421"/>
      <c r="AD3117" s="421"/>
      <c r="AE3117" s="421"/>
      <c r="AF3117" s="421"/>
      <c r="AG3117" s="421"/>
      <c r="AH3117" s="421"/>
      <c r="AI3117" s="421"/>
      <c r="AJ3117" s="421"/>
      <c r="AK3117" s="421"/>
      <c r="AL3117" s="421"/>
    </row>
    <row r="3118" spans="1:38" hidden="1">
      <c r="A3118" s="408"/>
      <c r="B3118" s="83" t="e">
        <f t="array" ref="B3118">SUM(--(FREQUENCY(IF(C$2:C$3072=C3118, MATCH(D$2:D$3072, D$2:D$3072, 0)), ROW(D$2:D$3072)-ROW(D$2)+1) &gt; 0))</f>
        <v>#N/A</v>
      </c>
      <c r="C3118" s="408"/>
      <c r="D3118" s="408"/>
      <c r="E3118" s="408"/>
      <c r="F3118" s="408"/>
      <c r="G3118" s="408"/>
      <c r="H3118" s="408"/>
      <c r="I3118" s="408"/>
      <c r="J3118" s="408"/>
      <c r="K3118" s="408"/>
      <c r="L3118" s="408"/>
      <c r="M3118" s="408"/>
      <c r="N3118" s="408" t="str">
        <f t="shared" si="475"/>
        <v/>
      </c>
      <c r="O3118" s="408"/>
      <c r="P3118" s="408"/>
      <c r="Q3118" s="408"/>
      <c r="R3118" s="408"/>
      <c r="S3118" s="408"/>
      <c r="T3118" s="408"/>
      <c r="U3118" s="408"/>
      <c r="V3118" s="421"/>
      <c r="W3118" s="421"/>
      <c r="X3118" s="421"/>
      <c r="Y3118" s="421"/>
      <c r="Z3118" s="421"/>
      <c r="AA3118" s="421"/>
      <c r="AB3118" s="421"/>
      <c r="AC3118" s="421"/>
      <c r="AD3118" s="421"/>
      <c r="AE3118" s="421"/>
      <c r="AF3118" s="421"/>
      <c r="AG3118" s="421"/>
      <c r="AH3118" s="421"/>
      <c r="AI3118" s="421"/>
      <c r="AJ3118" s="421"/>
      <c r="AK3118" s="421"/>
      <c r="AL3118" s="421"/>
    </row>
    <row r="3119" spans="1:38" hidden="1">
      <c r="A3119" s="408"/>
      <c r="B3119" s="83" t="e">
        <f t="array" ref="B3119">SUM(--(FREQUENCY(IF(C$2:C$3072=C3119, MATCH(D$2:D$3072, D$2:D$3072, 0)), ROW(D$2:D$3072)-ROW(D$2)+1) &gt; 0))</f>
        <v>#N/A</v>
      </c>
      <c r="C3119" s="408"/>
      <c r="D3119" s="408"/>
      <c r="E3119" s="408"/>
      <c r="F3119" s="408"/>
      <c r="G3119" s="408"/>
      <c r="H3119" s="408"/>
      <c r="I3119" s="408"/>
      <c r="J3119" s="408"/>
      <c r="K3119" s="408"/>
      <c r="L3119" s="408"/>
      <c r="M3119" s="408"/>
      <c r="N3119" s="408" t="str">
        <f t="shared" si="475"/>
        <v/>
      </c>
      <c r="O3119" s="408"/>
      <c r="P3119" s="408"/>
      <c r="Q3119" s="408"/>
      <c r="R3119" s="408"/>
      <c r="S3119" s="408"/>
      <c r="T3119" s="408"/>
      <c r="U3119" s="408"/>
      <c r="V3119" s="421"/>
      <c r="W3119" s="421"/>
      <c r="X3119" s="421"/>
      <c r="Y3119" s="421"/>
      <c r="Z3119" s="421"/>
      <c r="AA3119" s="421"/>
      <c r="AB3119" s="421"/>
      <c r="AC3119" s="421"/>
      <c r="AD3119" s="421"/>
      <c r="AE3119" s="421"/>
      <c r="AF3119" s="421"/>
      <c r="AG3119" s="421"/>
      <c r="AH3119" s="421"/>
      <c r="AI3119" s="421"/>
      <c r="AJ3119" s="421"/>
      <c r="AK3119" s="421"/>
      <c r="AL3119" s="421"/>
    </row>
    <row r="3120" spans="1:38" hidden="1">
      <c r="A3120" s="408"/>
      <c r="B3120" s="83" t="e">
        <f t="array" ref="B3120">SUM(--(FREQUENCY(IF(C$2:C$3072=C3120, MATCH(D$2:D$3072, D$2:D$3072, 0)), ROW(D$2:D$3072)-ROW(D$2)+1) &gt; 0))</f>
        <v>#N/A</v>
      </c>
      <c r="C3120" s="408"/>
      <c r="D3120" s="408"/>
      <c r="E3120" s="408"/>
      <c r="F3120" s="408"/>
      <c r="G3120" s="408"/>
      <c r="H3120" s="408"/>
      <c r="I3120" s="408"/>
      <c r="J3120" s="408"/>
      <c r="K3120" s="408"/>
      <c r="L3120" s="408"/>
      <c r="M3120" s="408"/>
      <c r="N3120" s="408" t="str">
        <f t="shared" si="475"/>
        <v/>
      </c>
      <c r="O3120" s="408"/>
      <c r="P3120" s="408"/>
      <c r="Q3120" s="408"/>
      <c r="R3120" s="408"/>
      <c r="S3120" s="408"/>
      <c r="T3120" s="408"/>
      <c r="U3120" s="408"/>
      <c r="V3120" s="421"/>
      <c r="W3120" s="421"/>
      <c r="X3120" s="421"/>
      <c r="Y3120" s="421"/>
      <c r="Z3120" s="421"/>
      <c r="AA3120" s="421"/>
      <c r="AB3120" s="421"/>
      <c r="AC3120" s="421"/>
      <c r="AD3120" s="421"/>
      <c r="AE3120" s="421"/>
      <c r="AF3120" s="421"/>
      <c r="AG3120" s="421"/>
      <c r="AH3120" s="421"/>
      <c r="AI3120" s="421"/>
      <c r="AJ3120" s="421"/>
      <c r="AK3120" s="421"/>
      <c r="AL3120" s="421"/>
    </row>
    <row r="3121" spans="1:38" hidden="1">
      <c r="A3121" s="408"/>
      <c r="B3121" s="83" t="e">
        <f t="array" ref="B3121">SUM(--(FREQUENCY(IF(C$2:C$3072=C3121, MATCH(D$2:D$3072, D$2:D$3072, 0)), ROW(D$2:D$3072)-ROW(D$2)+1) &gt; 0))</f>
        <v>#N/A</v>
      </c>
      <c r="C3121" s="408"/>
      <c r="D3121" s="408"/>
      <c r="E3121" s="408"/>
      <c r="F3121" s="408"/>
      <c r="G3121" s="408"/>
      <c r="H3121" s="408"/>
      <c r="I3121" s="408"/>
      <c r="J3121" s="408"/>
      <c r="K3121" s="408"/>
      <c r="L3121" s="408"/>
      <c r="M3121" s="408"/>
      <c r="N3121" s="408" t="str">
        <f t="shared" si="475"/>
        <v/>
      </c>
      <c r="O3121" s="408"/>
      <c r="P3121" s="408"/>
      <c r="Q3121" s="408"/>
      <c r="R3121" s="408"/>
      <c r="S3121" s="408"/>
      <c r="T3121" s="408"/>
      <c r="U3121" s="408"/>
      <c r="V3121" s="421"/>
      <c r="W3121" s="421"/>
      <c r="X3121" s="421"/>
      <c r="Y3121" s="421"/>
      <c r="Z3121" s="421"/>
      <c r="AA3121" s="421"/>
      <c r="AB3121" s="421"/>
      <c r="AC3121" s="421"/>
      <c r="AD3121" s="421"/>
      <c r="AE3121" s="421"/>
      <c r="AF3121" s="421"/>
      <c r="AG3121" s="421"/>
      <c r="AH3121" s="421"/>
      <c r="AI3121" s="421"/>
      <c r="AJ3121" s="421"/>
      <c r="AK3121" s="421"/>
      <c r="AL3121" s="421"/>
    </row>
    <row r="3122" spans="1:38" hidden="1">
      <c r="A3122" s="408"/>
      <c r="B3122" s="83" t="e">
        <f t="array" ref="B3122">SUM(--(FREQUENCY(IF(C$2:C$3072=C3122, MATCH(D$2:D$3072, D$2:D$3072, 0)), ROW(D$2:D$3072)-ROW(D$2)+1) &gt; 0))</f>
        <v>#N/A</v>
      </c>
      <c r="C3122" s="408"/>
      <c r="D3122" s="408"/>
      <c r="E3122" s="408"/>
      <c r="F3122" s="408"/>
      <c r="G3122" s="408"/>
      <c r="H3122" s="408"/>
      <c r="I3122" s="408"/>
      <c r="J3122" s="408"/>
      <c r="K3122" s="408"/>
      <c r="L3122" s="408"/>
      <c r="M3122" s="408"/>
      <c r="N3122" s="408" t="str">
        <f t="shared" si="475"/>
        <v/>
      </c>
      <c r="O3122" s="408"/>
      <c r="P3122" s="408"/>
      <c r="Q3122" s="408"/>
      <c r="R3122" s="408"/>
      <c r="S3122" s="408"/>
      <c r="T3122" s="408"/>
      <c r="U3122" s="408"/>
      <c r="V3122" s="421"/>
      <c r="W3122" s="421"/>
      <c r="X3122" s="421"/>
      <c r="Y3122" s="421"/>
      <c r="Z3122" s="421"/>
      <c r="AA3122" s="421"/>
      <c r="AB3122" s="421"/>
      <c r="AC3122" s="421"/>
      <c r="AD3122" s="421"/>
      <c r="AE3122" s="421"/>
      <c r="AF3122" s="421"/>
      <c r="AG3122" s="421"/>
      <c r="AH3122" s="421"/>
      <c r="AI3122" s="421"/>
      <c r="AJ3122" s="421"/>
      <c r="AK3122" s="421"/>
      <c r="AL3122" s="421"/>
    </row>
    <row r="3123" spans="1:38" hidden="1">
      <c r="A3123" s="408"/>
      <c r="B3123" s="83" t="e">
        <f t="array" ref="B3123">SUM(--(FREQUENCY(IF(C$2:C$3072=C3123, MATCH(D$2:D$3072, D$2:D$3072, 0)), ROW(D$2:D$3072)-ROW(D$2)+1) &gt; 0))</f>
        <v>#N/A</v>
      </c>
      <c r="C3123" s="408"/>
      <c r="D3123" s="408"/>
      <c r="E3123" s="408"/>
      <c r="F3123" s="408"/>
      <c r="G3123" s="408"/>
      <c r="H3123" s="408"/>
      <c r="I3123" s="408"/>
      <c r="J3123" s="408"/>
      <c r="K3123" s="408"/>
      <c r="L3123" s="408"/>
      <c r="M3123" s="408"/>
      <c r="N3123" s="408" t="str">
        <f t="shared" si="475"/>
        <v/>
      </c>
      <c r="O3123" s="408"/>
      <c r="P3123" s="408"/>
      <c r="Q3123" s="408"/>
      <c r="R3123" s="408"/>
      <c r="S3123" s="408"/>
      <c r="T3123" s="408"/>
      <c r="U3123" s="408"/>
      <c r="V3123" s="421"/>
      <c r="W3123" s="421"/>
      <c r="X3123" s="421"/>
      <c r="Y3123" s="421"/>
      <c r="Z3123" s="421"/>
      <c r="AA3123" s="421"/>
      <c r="AB3123" s="421"/>
      <c r="AC3123" s="421"/>
      <c r="AD3123" s="421"/>
      <c r="AE3123" s="421"/>
      <c r="AF3123" s="421"/>
      <c r="AG3123" s="421"/>
      <c r="AH3123" s="421"/>
      <c r="AI3123" s="421"/>
      <c r="AJ3123" s="421"/>
      <c r="AK3123" s="421"/>
      <c r="AL3123" s="421"/>
    </row>
    <row r="3124" spans="1:38" hidden="1">
      <c r="A3124" s="408"/>
      <c r="B3124" s="83" t="e">
        <f t="array" ref="B3124">SUM(--(FREQUENCY(IF(C$2:C$3072=C3124, MATCH(D$2:D$3072, D$2:D$3072, 0)), ROW(D$2:D$3072)-ROW(D$2)+1) &gt; 0))</f>
        <v>#N/A</v>
      </c>
      <c r="C3124" s="408"/>
      <c r="D3124" s="408"/>
      <c r="E3124" s="408"/>
      <c r="F3124" s="408"/>
      <c r="G3124" s="408"/>
      <c r="H3124" s="408"/>
      <c r="I3124" s="408"/>
      <c r="J3124" s="408"/>
      <c r="K3124" s="408"/>
      <c r="L3124" s="408"/>
      <c r="M3124" s="408"/>
      <c r="N3124" s="408" t="str">
        <f t="shared" si="475"/>
        <v/>
      </c>
      <c r="O3124" s="408"/>
      <c r="P3124" s="408"/>
      <c r="Q3124" s="408"/>
      <c r="R3124" s="408"/>
      <c r="S3124" s="408"/>
      <c r="T3124" s="408"/>
      <c r="U3124" s="408"/>
      <c r="V3124" s="421"/>
      <c r="W3124" s="421"/>
      <c r="X3124" s="421"/>
      <c r="Y3124" s="421"/>
      <c r="Z3124" s="421"/>
      <c r="AA3124" s="421"/>
      <c r="AB3124" s="421"/>
      <c r="AC3124" s="421"/>
      <c r="AD3124" s="421"/>
      <c r="AE3124" s="421"/>
      <c r="AF3124" s="421"/>
      <c r="AG3124" s="421"/>
      <c r="AH3124" s="421"/>
      <c r="AI3124" s="421"/>
      <c r="AJ3124" s="421"/>
      <c r="AK3124" s="421"/>
      <c r="AL3124" s="421"/>
    </row>
    <row r="3125" spans="1:38" hidden="1">
      <c r="A3125" s="408"/>
      <c r="B3125" s="83" t="e">
        <f t="array" ref="B3125">SUM(--(FREQUENCY(IF(C$2:C$3072=C3125, MATCH(D$2:D$3072, D$2:D$3072, 0)), ROW(D$2:D$3072)-ROW(D$2)+1) &gt; 0))</f>
        <v>#N/A</v>
      </c>
      <c r="C3125" s="408"/>
      <c r="D3125" s="408"/>
      <c r="E3125" s="408"/>
      <c r="F3125" s="408"/>
      <c r="G3125" s="408"/>
      <c r="H3125" s="408"/>
      <c r="I3125" s="408"/>
      <c r="J3125" s="408"/>
      <c r="K3125" s="408"/>
      <c r="L3125" s="408"/>
      <c r="M3125" s="408"/>
      <c r="N3125" s="408" t="str">
        <f t="shared" si="475"/>
        <v/>
      </c>
      <c r="O3125" s="408"/>
      <c r="P3125" s="408"/>
      <c r="Q3125" s="408"/>
      <c r="R3125" s="408"/>
      <c r="S3125" s="408"/>
      <c r="T3125" s="408"/>
      <c r="U3125" s="408"/>
      <c r="V3125" s="421"/>
      <c r="W3125" s="421"/>
      <c r="X3125" s="421"/>
      <c r="Y3125" s="421"/>
      <c r="Z3125" s="421"/>
      <c r="AA3125" s="421"/>
      <c r="AB3125" s="421"/>
      <c r="AC3125" s="421"/>
      <c r="AD3125" s="421"/>
      <c r="AE3125" s="421"/>
      <c r="AF3125" s="421"/>
      <c r="AG3125" s="421"/>
      <c r="AH3125" s="421"/>
      <c r="AI3125" s="421"/>
      <c r="AJ3125" s="421"/>
      <c r="AK3125" s="421"/>
      <c r="AL3125" s="421"/>
    </row>
    <row r="3126" spans="1:38" hidden="1">
      <c r="A3126" s="408"/>
      <c r="B3126" s="83" t="e">
        <f t="array" ref="B3126">SUM(--(FREQUENCY(IF(C$2:C$3072=C3126, MATCH(D$2:D$3072, D$2:D$3072, 0)), ROW(D$2:D$3072)-ROW(D$2)+1) &gt; 0))</f>
        <v>#N/A</v>
      </c>
      <c r="C3126" s="408"/>
      <c r="D3126" s="408"/>
      <c r="E3126" s="408"/>
      <c r="F3126" s="408"/>
      <c r="G3126" s="408"/>
      <c r="H3126" s="408"/>
      <c r="I3126" s="408"/>
      <c r="J3126" s="408"/>
      <c r="K3126" s="408"/>
      <c r="L3126" s="408"/>
      <c r="M3126" s="408"/>
      <c r="N3126" s="408" t="str">
        <f t="shared" si="475"/>
        <v/>
      </c>
      <c r="O3126" s="408"/>
      <c r="P3126" s="408"/>
      <c r="Q3126" s="408"/>
      <c r="R3126" s="408"/>
      <c r="S3126" s="408"/>
      <c r="T3126" s="408"/>
      <c r="U3126" s="408"/>
      <c r="V3126" s="421"/>
      <c r="W3126" s="421"/>
      <c r="X3126" s="421"/>
      <c r="Y3126" s="421"/>
      <c r="Z3126" s="421"/>
      <c r="AA3126" s="421"/>
      <c r="AB3126" s="421"/>
      <c r="AC3126" s="421"/>
      <c r="AD3126" s="421"/>
      <c r="AE3126" s="421"/>
      <c r="AF3126" s="421"/>
      <c r="AG3126" s="421"/>
      <c r="AH3126" s="421"/>
      <c r="AI3126" s="421"/>
      <c r="AJ3126" s="421"/>
      <c r="AK3126" s="421"/>
      <c r="AL3126" s="421"/>
    </row>
    <row r="3127" spans="1:38" hidden="1">
      <c r="A3127" s="408"/>
      <c r="B3127" s="83" t="e">
        <f t="array" ref="B3127">SUM(--(FREQUENCY(IF(C$2:C$3072=C3127, MATCH(D$2:D$3072, D$2:D$3072, 0)), ROW(D$2:D$3072)-ROW(D$2)+1) &gt; 0))</f>
        <v>#N/A</v>
      </c>
      <c r="C3127" s="408"/>
      <c r="D3127" s="408"/>
      <c r="E3127" s="408"/>
      <c r="F3127" s="408"/>
      <c r="G3127" s="408"/>
      <c r="H3127" s="408"/>
      <c r="I3127" s="408"/>
      <c r="J3127" s="408"/>
      <c r="K3127" s="408"/>
      <c r="L3127" s="408"/>
      <c r="M3127" s="408"/>
      <c r="N3127" s="408" t="str">
        <f t="shared" si="475"/>
        <v/>
      </c>
      <c r="O3127" s="408"/>
      <c r="P3127" s="408"/>
      <c r="Q3127" s="408"/>
      <c r="R3127" s="408"/>
      <c r="S3127" s="408"/>
      <c r="T3127" s="408"/>
      <c r="U3127" s="408"/>
      <c r="V3127" s="421"/>
      <c r="W3127" s="421"/>
      <c r="X3127" s="421"/>
      <c r="Y3127" s="421"/>
      <c r="Z3127" s="421"/>
      <c r="AA3127" s="421"/>
      <c r="AB3127" s="421"/>
      <c r="AC3127" s="421"/>
      <c r="AD3127" s="421"/>
      <c r="AE3127" s="421"/>
      <c r="AF3127" s="421"/>
      <c r="AG3127" s="421"/>
      <c r="AH3127" s="421"/>
      <c r="AI3127" s="421"/>
      <c r="AJ3127" s="421"/>
      <c r="AK3127" s="421"/>
      <c r="AL3127" s="421"/>
    </row>
    <row r="3128" spans="1:38" hidden="1">
      <c r="A3128" s="408"/>
      <c r="B3128" s="83" t="e">
        <f t="array" ref="B3128">SUM(--(FREQUENCY(IF(C$2:C$3072=C3128, MATCH(D$2:D$3072, D$2:D$3072, 0)), ROW(D$2:D$3072)-ROW(D$2)+1) &gt; 0))</f>
        <v>#N/A</v>
      </c>
      <c r="C3128" s="408"/>
      <c r="D3128" s="408"/>
      <c r="E3128" s="408"/>
      <c r="F3128" s="408"/>
      <c r="G3128" s="408"/>
      <c r="H3128" s="408"/>
      <c r="I3128" s="408"/>
      <c r="J3128" s="408"/>
      <c r="K3128" s="408"/>
      <c r="L3128" s="408"/>
      <c r="M3128" s="408"/>
      <c r="N3128" s="408" t="str">
        <f t="shared" si="475"/>
        <v/>
      </c>
      <c r="O3128" s="408"/>
      <c r="P3128" s="408"/>
      <c r="Q3128" s="408"/>
      <c r="R3128" s="408"/>
      <c r="S3128" s="408"/>
      <c r="T3128" s="408"/>
      <c r="U3128" s="408"/>
      <c r="V3128" s="421"/>
      <c r="W3128" s="421"/>
      <c r="X3128" s="421"/>
      <c r="Y3128" s="421"/>
      <c r="Z3128" s="421"/>
      <c r="AA3128" s="421"/>
      <c r="AB3128" s="421"/>
      <c r="AC3128" s="421"/>
      <c r="AD3128" s="421"/>
      <c r="AE3128" s="421"/>
      <c r="AF3128" s="421"/>
      <c r="AG3128" s="421"/>
      <c r="AH3128" s="421"/>
      <c r="AI3128" s="421"/>
      <c r="AJ3128" s="421"/>
      <c r="AK3128" s="421"/>
      <c r="AL3128" s="421"/>
    </row>
    <row r="3129" spans="1:38" hidden="1">
      <c r="A3129" s="408"/>
      <c r="B3129" s="83" t="e">
        <f t="array" ref="B3129">SUM(--(FREQUENCY(IF(C$2:C$3072=C3129, MATCH(D$2:D$3072, D$2:D$3072, 0)), ROW(D$2:D$3072)-ROW(D$2)+1) &gt; 0))</f>
        <v>#N/A</v>
      </c>
      <c r="C3129" s="408"/>
      <c r="D3129" s="408"/>
      <c r="E3129" s="408"/>
      <c r="F3129" s="408"/>
      <c r="G3129" s="408"/>
      <c r="H3129" s="408"/>
      <c r="I3129" s="408"/>
      <c r="J3129" s="408"/>
      <c r="K3129" s="408"/>
      <c r="L3129" s="408"/>
      <c r="M3129" s="408"/>
      <c r="N3129" s="408" t="str">
        <f t="shared" si="475"/>
        <v/>
      </c>
      <c r="O3129" s="408"/>
      <c r="P3129" s="408"/>
      <c r="Q3129" s="408"/>
      <c r="R3129" s="408"/>
      <c r="S3129" s="408"/>
      <c r="T3129" s="408"/>
      <c r="U3129" s="408"/>
      <c r="V3129" s="421"/>
      <c r="W3129" s="421"/>
      <c r="X3129" s="421"/>
      <c r="Y3129" s="421"/>
      <c r="Z3129" s="421"/>
      <c r="AA3129" s="421"/>
      <c r="AB3129" s="421"/>
      <c r="AC3129" s="421"/>
      <c r="AD3129" s="421"/>
      <c r="AE3129" s="421"/>
      <c r="AF3129" s="421"/>
      <c r="AG3129" s="421"/>
      <c r="AH3129" s="421"/>
      <c r="AI3129" s="421"/>
      <c r="AJ3129" s="421"/>
      <c r="AK3129" s="421"/>
      <c r="AL3129" s="421"/>
    </row>
    <row r="3130" spans="1:38" hidden="1">
      <c r="A3130" s="408"/>
      <c r="B3130" s="83" t="e">
        <f t="array" ref="B3130">SUM(--(FREQUENCY(IF(C$2:C$3072=C3130, MATCH(D$2:D$3072, D$2:D$3072, 0)), ROW(D$2:D$3072)-ROW(D$2)+1) &gt; 0))</f>
        <v>#N/A</v>
      </c>
      <c r="C3130" s="408"/>
      <c r="D3130" s="408"/>
      <c r="E3130" s="408"/>
      <c r="F3130" s="408"/>
      <c r="G3130" s="408"/>
      <c r="H3130" s="408"/>
      <c r="I3130" s="408"/>
      <c r="J3130" s="408"/>
      <c r="K3130" s="408"/>
      <c r="L3130" s="408"/>
      <c r="M3130" s="408"/>
      <c r="N3130" s="408" t="str">
        <f t="shared" si="475"/>
        <v/>
      </c>
      <c r="O3130" s="408"/>
      <c r="P3130" s="408"/>
      <c r="Q3130" s="408"/>
      <c r="R3130" s="408"/>
      <c r="S3130" s="408"/>
      <c r="T3130" s="408"/>
      <c r="U3130" s="408"/>
      <c r="V3130" s="421"/>
      <c r="W3130" s="421"/>
      <c r="X3130" s="421"/>
      <c r="Y3130" s="421"/>
      <c r="Z3130" s="421"/>
      <c r="AA3130" s="421"/>
      <c r="AB3130" s="421"/>
      <c r="AC3130" s="421"/>
      <c r="AD3130" s="421"/>
      <c r="AE3130" s="421"/>
      <c r="AF3130" s="421"/>
      <c r="AG3130" s="421"/>
      <c r="AH3130" s="421"/>
      <c r="AI3130" s="421"/>
      <c r="AJ3130" s="421"/>
      <c r="AK3130" s="421"/>
      <c r="AL3130" s="421"/>
    </row>
    <row r="3131" spans="1:38" hidden="1">
      <c r="A3131" s="408"/>
      <c r="B3131" s="83" t="e">
        <f t="array" ref="B3131">SUM(--(FREQUENCY(IF(C$2:C$3072=C3131, MATCH(D$2:D$3072, D$2:D$3072, 0)), ROW(D$2:D$3072)-ROW(D$2)+1) &gt; 0))</f>
        <v>#N/A</v>
      </c>
      <c r="C3131" s="408"/>
      <c r="D3131" s="408"/>
      <c r="E3131" s="408"/>
      <c r="F3131" s="408"/>
      <c r="G3131" s="408"/>
      <c r="H3131" s="408"/>
      <c r="I3131" s="408"/>
      <c r="J3131" s="408"/>
      <c r="K3131" s="408"/>
      <c r="L3131" s="408"/>
      <c r="M3131" s="408"/>
      <c r="N3131" s="408" t="str">
        <f t="shared" si="475"/>
        <v/>
      </c>
      <c r="O3131" s="408"/>
      <c r="P3131" s="408"/>
      <c r="Q3131" s="408"/>
      <c r="R3131" s="408"/>
      <c r="S3131" s="408"/>
      <c r="T3131" s="408"/>
      <c r="U3131" s="408"/>
      <c r="V3131" s="421"/>
      <c r="W3131" s="421"/>
      <c r="X3131" s="421"/>
      <c r="Y3131" s="421"/>
      <c r="Z3131" s="421"/>
      <c r="AA3131" s="421"/>
      <c r="AB3131" s="421"/>
      <c r="AC3131" s="421"/>
      <c r="AD3131" s="421"/>
      <c r="AE3131" s="421"/>
      <c r="AF3131" s="421"/>
      <c r="AG3131" s="421"/>
      <c r="AH3131" s="421"/>
      <c r="AI3131" s="421"/>
      <c r="AJ3131" s="421"/>
      <c r="AK3131" s="421"/>
      <c r="AL3131" s="421"/>
    </row>
    <row r="3132" spans="1:38" hidden="1">
      <c r="A3132" s="408"/>
      <c r="B3132" s="83" t="e">
        <f t="array" ref="B3132">SUM(--(FREQUENCY(IF(C$2:C$3072=C3132, MATCH(D$2:D$3072, D$2:D$3072, 0)), ROW(D$2:D$3072)-ROW(D$2)+1) &gt; 0))</f>
        <v>#N/A</v>
      </c>
      <c r="C3132" s="408"/>
      <c r="D3132" s="408"/>
      <c r="E3132" s="408"/>
      <c r="F3132" s="408"/>
      <c r="G3132" s="408"/>
      <c r="H3132" s="408"/>
      <c r="I3132" s="408"/>
      <c r="J3132" s="408"/>
      <c r="K3132" s="408"/>
      <c r="L3132" s="408"/>
      <c r="M3132" s="408"/>
      <c r="N3132" s="408" t="str">
        <f t="shared" si="475"/>
        <v/>
      </c>
      <c r="O3132" s="408"/>
      <c r="P3132" s="408"/>
      <c r="Q3132" s="408"/>
      <c r="R3132" s="408"/>
      <c r="S3132" s="408"/>
      <c r="T3132" s="408"/>
      <c r="U3132" s="408"/>
      <c r="V3132" s="421"/>
      <c r="W3132" s="421"/>
      <c r="X3132" s="421"/>
      <c r="Y3132" s="421"/>
      <c r="Z3132" s="421"/>
      <c r="AA3132" s="421"/>
      <c r="AB3132" s="421"/>
      <c r="AC3132" s="421"/>
      <c r="AD3132" s="421"/>
      <c r="AE3132" s="421"/>
      <c r="AF3132" s="421"/>
      <c r="AG3132" s="421"/>
      <c r="AH3132" s="421"/>
      <c r="AI3132" s="421"/>
      <c r="AJ3132" s="421"/>
      <c r="AK3132" s="421"/>
      <c r="AL3132" s="421"/>
    </row>
    <row r="3133" spans="1:38" hidden="1">
      <c r="A3133" s="408"/>
      <c r="B3133" s="83" t="e">
        <f t="array" ref="B3133">SUM(--(FREQUENCY(IF(C$2:C$3072=C3133, MATCH(D$2:D$3072, D$2:D$3072, 0)), ROW(D$2:D$3072)-ROW(D$2)+1) &gt; 0))</f>
        <v>#N/A</v>
      </c>
      <c r="C3133" s="408"/>
      <c r="D3133" s="408"/>
      <c r="E3133" s="408"/>
      <c r="F3133" s="408"/>
      <c r="G3133" s="408"/>
      <c r="H3133" s="408"/>
      <c r="I3133" s="408"/>
      <c r="J3133" s="408"/>
      <c r="K3133" s="408"/>
      <c r="L3133" s="408"/>
      <c r="M3133" s="408"/>
      <c r="N3133" s="408" t="str">
        <f t="shared" si="475"/>
        <v/>
      </c>
      <c r="O3133" s="408"/>
      <c r="P3133" s="408"/>
      <c r="Q3133" s="408"/>
      <c r="R3133" s="408"/>
      <c r="S3133" s="408"/>
      <c r="T3133" s="408"/>
      <c r="U3133" s="408"/>
      <c r="V3133" s="421"/>
      <c r="W3133" s="421"/>
      <c r="X3133" s="421"/>
      <c r="Y3133" s="421"/>
      <c r="Z3133" s="421"/>
      <c r="AA3133" s="421"/>
      <c r="AB3133" s="421"/>
      <c r="AC3133" s="421"/>
      <c r="AD3133" s="421"/>
      <c r="AE3133" s="421"/>
      <c r="AF3133" s="421"/>
      <c r="AG3133" s="421"/>
      <c r="AH3133" s="421"/>
      <c r="AI3133" s="421"/>
      <c r="AJ3133" s="421"/>
      <c r="AK3133" s="421"/>
      <c r="AL3133" s="421"/>
    </row>
    <row r="3134" spans="1:38" hidden="1">
      <c r="A3134" s="408"/>
      <c r="B3134" s="83" t="e">
        <f t="array" ref="B3134">SUM(--(FREQUENCY(IF(C$2:C$3072=C3134, MATCH(D$2:D$3072, D$2:D$3072, 0)), ROW(D$2:D$3072)-ROW(D$2)+1) &gt; 0))</f>
        <v>#N/A</v>
      </c>
      <c r="C3134" s="408"/>
      <c r="D3134" s="408"/>
      <c r="E3134" s="408"/>
      <c r="F3134" s="408"/>
      <c r="G3134" s="408"/>
      <c r="H3134" s="408"/>
      <c r="I3134" s="408"/>
      <c r="J3134" s="408"/>
      <c r="K3134" s="408"/>
      <c r="L3134" s="408"/>
      <c r="M3134" s="408"/>
      <c r="N3134" s="408" t="str">
        <f t="shared" si="475"/>
        <v/>
      </c>
      <c r="O3134" s="408"/>
      <c r="P3134" s="408"/>
      <c r="Q3134" s="408"/>
      <c r="R3134" s="408"/>
      <c r="S3134" s="408"/>
      <c r="T3134" s="408"/>
      <c r="U3134" s="408"/>
      <c r="V3134" s="421"/>
      <c r="W3134" s="421"/>
      <c r="X3134" s="421"/>
      <c r="Y3134" s="421"/>
      <c r="Z3134" s="421"/>
      <c r="AA3134" s="421"/>
      <c r="AB3134" s="421"/>
      <c r="AC3134" s="421"/>
      <c r="AD3134" s="421"/>
      <c r="AE3134" s="421"/>
      <c r="AF3134" s="421"/>
      <c r="AG3134" s="421"/>
      <c r="AH3134" s="421"/>
      <c r="AI3134" s="421"/>
      <c r="AJ3134" s="421"/>
      <c r="AK3134" s="421"/>
      <c r="AL3134" s="421"/>
    </row>
    <row r="3135" spans="1:38" hidden="1">
      <c r="A3135" s="408"/>
      <c r="B3135" s="83" t="e">
        <f t="array" ref="B3135">SUM(--(FREQUENCY(IF(C$2:C$3072=C3135, MATCH(D$2:D$3072, D$2:D$3072, 0)), ROW(D$2:D$3072)-ROW(D$2)+1) &gt; 0))</f>
        <v>#N/A</v>
      </c>
      <c r="C3135" s="408"/>
      <c r="D3135" s="408"/>
      <c r="E3135" s="408"/>
      <c r="F3135" s="408"/>
      <c r="G3135" s="408"/>
      <c r="H3135" s="408"/>
      <c r="I3135" s="408"/>
      <c r="J3135" s="408"/>
      <c r="K3135" s="408"/>
      <c r="L3135" s="408"/>
      <c r="M3135" s="408"/>
      <c r="N3135" s="408" t="str">
        <f t="shared" si="475"/>
        <v/>
      </c>
      <c r="O3135" s="408"/>
      <c r="P3135" s="408"/>
      <c r="Q3135" s="408"/>
      <c r="R3135" s="408"/>
      <c r="S3135" s="408"/>
      <c r="T3135" s="408"/>
      <c r="U3135" s="408"/>
      <c r="V3135" s="421"/>
      <c r="W3135" s="421"/>
      <c r="X3135" s="421"/>
      <c r="Y3135" s="421"/>
      <c r="Z3135" s="421"/>
      <c r="AA3135" s="421"/>
      <c r="AB3135" s="421"/>
      <c r="AC3135" s="421"/>
      <c r="AD3135" s="421"/>
      <c r="AE3135" s="421"/>
      <c r="AF3135" s="421"/>
      <c r="AG3135" s="421"/>
      <c r="AH3135" s="421"/>
      <c r="AI3135" s="421"/>
      <c r="AJ3135" s="421"/>
      <c r="AK3135" s="421"/>
      <c r="AL3135" s="421"/>
    </row>
    <row r="3136" spans="1:38" hidden="1">
      <c r="A3136" s="408"/>
      <c r="B3136" s="83" t="e">
        <f t="array" ref="B3136">SUM(--(FREQUENCY(IF(C$2:C$3072=C3136, MATCH(D$2:D$3072, D$2:D$3072, 0)), ROW(D$2:D$3072)-ROW(D$2)+1) &gt; 0))</f>
        <v>#N/A</v>
      </c>
      <c r="C3136" s="408"/>
      <c r="D3136" s="408"/>
      <c r="E3136" s="408"/>
      <c r="F3136" s="408"/>
      <c r="G3136" s="408"/>
      <c r="H3136" s="408"/>
      <c r="I3136" s="408"/>
      <c r="J3136" s="408"/>
      <c r="K3136" s="408"/>
      <c r="L3136" s="408"/>
      <c r="M3136" s="408"/>
      <c r="N3136" s="408" t="str">
        <f t="shared" ref="N3136:N3199" si="476">IF(O3136&lt;&gt;"", "NG", "")</f>
        <v/>
      </c>
      <c r="O3136" s="408"/>
      <c r="P3136" s="408"/>
      <c r="Q3136" s="408"/>
      <c r="R3136" s="408"/>
      <c r="S3136" s="408"/>
      <c r="T3136" s="408"/>
      <c r="U3136" s="408"/>
      <c r="V3136" s="421"/>
      <c r="W3136" s="421"/>
      <c r="X3136" s="421"/>
      <c r="Y3136" s="421"/>
      <c r="Z3136" s="421"/>
      <c r="AA3136" s="421"/>
      <c r="AB3136" s="421"/>
      <c r="AC3136" s="421"/>
      <c r="AD3136" s="421"/>
      <c r="AE3136" s="421"/>
      <c r="AF3136" s="421"/>
      <c r="AG3136" s="421"/>
      <c r="AH3136" s="421"/>
      <c r="AI3136" s="421"/>
      <c r="AJ3136" s="421"/>
      <c r="AK3136" s="421"/>
      <c r="AL3136" s="421"/>
    </row>
    <row r="3137" spans="1:38" hidden="1">
      <c r="A3137" s="408"/>
      <c r="B3137" s="83" t="e">
        <f t="array" ref="B3137">SUM(--(FREQUENCY(IF(C$2:C$3072=C3137, MATCH(D$2:D$3072, D$2:D$3072, 0)), ROW(D$2:D$3072)-ROW(D$2)+1) &gt; 0))</f>
        <v>#N/A</v>
      </c>
      <c r="C3137" s="408"/>
      <c r="D3137" s="408"/>
      <c r="E3137" s="408"/>
      <c r="F3137" s="408"/>
      <c r="G3137" s="408"/>
      <c r="H3137" s="408"/>
      <c r="I3137" s="408"/>
      <c r="J3137" s="408"/>
      <c r="K3137" s="408"/>
      <c r="L3137" s="408"/>
      <c r="M3137" s="408"/>
      <c r="N3137" s="408" t="str">
        <f t="shared" si="476"/>
        <v/>
      </c>
      <c r="O3137" s="408"/>
      <c r="P3137" s="408"/>
      <c r="Q3137" s="408"/>
      <c r="R3137" s="408"/>
      <c r="S3137" s="408"/>
      <c r="T3137" s="408"/>
      <c r="U3137" s="408"/>
      <c r="V3137" s="421"/>
      <c r="W3137" s="421"/>
      <c r="X3137" s="421"/>
      <c r="Y3137" s="421"/>
      <c r="Z3137" s="421"/>
      <c r="AA3137" s="421"/>
      <c r="AB3137" s="421"/>
      <c r="AC3137" s="421"/>
      <c r="AD3137" s="421"/>
      <c r="AE3137" s="421"/>
      <c r="AF3137" s="421"/>
      <c r="AG3137" s="421"/>
      <c r="AH3137" s="421"/>
      <c r="AI3137" s="421"/>
      <c r="AJ3137" s="421"/>
      <c r="AK3137" s="421"/>
      <c r="AL3137" s="421"/>
    </row>
    <row r="3138" spans="1:38" hidden="1">
      <c r="A3138" s="408"/>
      <c r="B3138" s="83" t="e">
        <f t="array" ref="B3138">SUM(--(FREQUENCY(IF(C$2:C$3072=C3138, MATCH(D$2:D$3072, D$2:D$3072, 0)), ROW(D$2:D$3072)-ROW(D$2)+1) &gt; 0))</f>
        <v>#N/A</v>
      </c>
      <c r="C3138" s="408"/>
      <c r="D3138" s="408"/>
      <c r="E3138" s="408"/>
      <c r="F3138" s="408"/>
      <c r="G3138" s="408"/>
      <c r="H3138" s="408"/>
      <c r="I3138" s="408"/>
      <c r="J3138" s="408"/>
      <c r="K3138" s="408"/>
      <c r="L3138" s="408"/>
      <c r="M3138" s="408"/>
      <c r="N3138" s="408" t="str">
        <f t="shared" si="476"/>
        <v/>
      </c>
      <c r="O3138" s="408"/>
      <c r="P3138" s="408"/>
      <c r="Q3138" s="408"/>
      <c r="R3138" s="408"/>
      <c r="S3138" s="408"/>
      <c r="T3138" s="408"/>
      <c r="U3138" s="408"/>
      <c r="V3138" s="421"/>
      <c r="W3138" s="421"/>
      <c r="X3138" s="421"/>
      <c r="Y3138" s="421"/>
      <c r="Z3138" s="421"/>
      <c r="AA3138" s="421"/>
      <c r="AB3138" s="421"/>
      <c r="AC3138" s="421"/>
      <c r="AD3138" s="421"/>
      <c r="AE3138" s="421"/>
      <c r="AF3138" s="421"/>
      <c r="AG3138" s="421"/>
      <c r="AH3138" s="421"/>
      <c r="AI3138" s="421"/>
      <c r="AJ3138" s="421"/>
      <c r="AK3138" s="421"/>
      <c r="AL3138" s="421"/>
    </row>
    <row r="3139" spans="1:38" hidden="1">
      <c r="A3139" s="408"/>
      <c r="B3139" s="83" t="e">
        <f t="array" ref="B3139">SUM(--(FREQUENCY(IF(C$2:C$3072=C3139, MATCH(D$2:D$3072, D$2:D$3072, 0)), ROW(D$2:D$3072)-ROW(D$2)+1) &gt; 0))</f>
        <v>#N/A</v>
      </c>
      <c r="C3139" s="408"/>
      <c r="D3139" s="408"/>
      <c r="E3139" s="408"/>
      <c r="F3139" s="408"/>
      <c r="G3139" s="408"/>
      <c r="H3139" s="408"/>
      <c r="I3139" s="408"/>
      <c r="J3139" s="408"/>
      <c r="K3139" s="408"/>
      <c r="L3139" s="408"/>
      <c r="M3139" s="408"/>
      <c r="N3139" s="408" t="str">
        <f t="shared" si="476"/>
        <v/>
      </c>
      <c r="O3139" s="408"/>
      <c r="P3139" s="408"/>
      <c r="Q3139" s="408"/>
      <c r="R3139" s="408"/>
      <c r="S3139" s="408"/>
      <c r="T3139" s="408"/>
      <c r="U3139" s="408"/>
      <c r="V3139" s="421"/>
      <c r="W3139" s="421"/>
      <c r="X3139" s="421"/>
      <c r="Y3139" s="421"/>
      <c r="Z3139" s="421"/>
      <c r="AA3139" s="421"/>
      <c r="AB3139" s="421"/>
      <c r="AC3139" s="421"/>
      <c r="AD3139" s="421"/>
      <c r="AE3139" s="421"/>
      <c r="AF3139" s="421"/>
      <c r="AG3139" s="421"/>
      <c r="AH3139" s="421"/>
      <c r="AI3139" s="421"/>
      <c r="AJ3139" s="421"/>
      <c r="AK3139" s="421"/>
      <c r="AL3139" s="421"/>
    </row>
    <row r="3140" spans="1:38" hidden="1">
      <c r="A3140" s="408"/>
      <c r="B3140" s="83" t="e">
        <f t="array" ref="B3140">SUM(--(FREQUENCY(IF(C$2:C$3072=C3140, MATCH(D$2:D$3072, D$2:D$3072, 0)), ROW(D$2:D$3072)-ROW(D$2)+1) &gt; 0))</f>
        <v>#N/A</v>
      </c>
      <c r="C3140" s="408"/>
      <c r="D3140" s="408"/>
      <c r="E3140" s="408"/>
      <c r="F3140" s="408"/>
      <c r="G3140" s="408"/>
      <c r="H3140" s="408"/>
      <c r="I3140" s="408"/>
      <c r="J3140" s="408"/>
      <c r="K3140" s="408"/>
      <c r="L3140" s="408"/>
      <c r="M3140" s="408"/>
      <c r="N3140" s="408" t="str">
        <f t="shared" si="476"/>
        <v/>
      </c>
      <c r="O3140" s="408"/>
      <c r="P3140" s="408"/>
      <c r="Q3140" s="408"/>
      <c r="R3140" s="408"/>
      <c r="S3140" s="408"/>
      <c r="T3140" s="408"/>
      <c r="U3140" s="408"/>
      <c r="V3140" s="421"/>
      <c r="W3140" s="421"/>
      <c r="X3140" s="421"/>
      <c r="Y3140" s="421"/>
      <c r="Z3140" s="421"/>
      <c r="AA3140" s="421"/>
      <c r="AB3140" s="421"/>
      <c r="AC3140" s="421"/>
      <c r="AD3140" s="421"/>
      <c r="AE3140" s="421"/>
      <c r="AF3140" s="421"/>
      <c r="AG3140" s="421"/>
      <c r="AH3140" s="421"/>
      <c r="AI3140" s="421"/>
      <c r="AJ3140" s="421"/>
      <c r="AK3140" s="421"/>
      <c r="AL3140" s="421"/>
    </row>
    <row r="3141" spans="1:38" hidden="1">
      <c r="A3141" s="408"/>
      <c r="B3141" s="83" t="e">
        <f t="array" ref="B3141">SUM(--(FREQUENCY(IF(C$2:C$3072=C3141, MATCH(D$2:D$3072, D$2:D$3072, 0)), ROW(D$2:D$3072)-ROW(D$2)+1) &gt; 0))</f>
        <v>#N/A</v>
      </c>
      <c r="C3141" s="408"/>
      <c r="D3141" s="408"/>
      <c r="E3141" s="408"/>
      <c r="F3141" s="408"/>
      <c r="G3141" s="408"/>
      <c r="H3141" s="408"/>
      <c r="I3141" s="408"/>
      <c r="J3141" s="408"/>
      <c r="K3141" s="408"/>
      <c r="L3141" s="408"/>
      <c r="M3141" s="408"/>
      <c r="N3141" s="408" t="str">
        <f t="shared" si="476"/>
        <v/>
      </c>
      <c r="O3141" s="408"/>
      <c r="P3141" s="408"/>
      <c r="Q3141" s="408"/>
      <c r="R3141" s="408"/>
      <c r="S3141" s="408"/>
      <c r="T3141" s="408"/>
      <c r="U3141" s="408"/>
      <c r="V3141" s="421"/>
      <c r="W3141" s="421"/>
      <c r="X3141" s="421"/>
      <c r="Y3141" s="421"/>
      <c r="Z3141" s="421"/>
      <c r="AA3141" s="421"/>
      <c r="AB3141" s="421"/>
      <c r="AC3141" s="421"/>
      <c r="AD3141" s="421"/>
      <c r="AE3141" s="421"/>
      <c r="AF3141" s="421"/>
      <c r="AG3141" s="421"/>
      <c r="AH3141" s="421"/>
      <c r="AI3141" s="421"/>
      <c r="AJ3141" s="421"/>
      <c r="AK3141" s="421"/>
      <c r="AL3141" s="421"/>
    </row>
    <row r="3142" spans="1:38" hidden="1">
      <c r="A3142" s="408"/>
      <c r="B3142" s="83" t="e">
        <f t="array" ref="B3142">SUM(--(FREQUENCY(IF(C$2:C$3072=C3142, MATCH(D$2:D$3072, D$2:D$3072, 0)), ROW(D$2:D$3072)-ROW(D$2)+1) &gt; 0))</f>
        <v>#N/A</v>
      </c>
      <c r="C3142" s="408"/>
      <c r="D3142" s="408"/>
      <c r="E3142" s="408"/>
      <c r="F3142" s="408"/>
      <c r="G3142" s="408"/>
      <c r="H3142" s="408"/>
      <c r="I3142" s="408"/>
      <c r="J3142" s="408"/>
      <c r="K3142" s="408"/>
      <c r="L3142" s="408"/>
      <c r="M3142" s="408"/>
      <c r="N3142" s="408" t="str">
        <f t="shared" si="476"/>
        <v/>
      </c>
      <c r="O3142" s="408"/>
      <c r="P3142" s="408"/>
      <c r="Q3142" s="408"/>
      <c r="R3142" s="408"/>
      <c r="S3142" s="408"/>
      <c r="T3142" s="408"/>
      <c r="U3142" s="408"/>
      <c r="V3142" s="421"/>
      <c r="W3142" s="421"/>
      <c r="X3142" s="421"/>
      <c r="Y3142" s="421"/>
      <c r="Z3142" s="421"/>
      <c r="AA3142" s="421"/>
      <c r="AB3142" s="421"/>
      <c r="AC3142" s="421"/>
      <c r="AD3142" s="421"/>
      <c r="AE3142" s="421"/>
      <c r="AF3142" s="421"/>
      <c r="AG3142" s="421"/>
      <c r="AH3142" s="421"/>
      <c r="AI3142" s="421"/>
      <c r="AJ3142" s="421"/>
      <c r="AK3142" s="421"/>
      <c r="AL3142" s="421"/>
    </row>
    <row r="3143" spans="1:38" hidden="1">
      <c r="A3143" s="408"/>
      <c r="B3143" s="83" t="e">
        <f t="array" ref="B3143">SUM(--(FREQUENCY(IF(C$2:C$3072=C3143, MATCH(D$2:D$3072, D$2:D$3072, 0)), ROW(D$2:D$3072)-ROW(D$2)+1) &gt; 0))</f>
        <v>#N/A</v>
      </c>
      <c r="C3143" s="408"/>
      <c r="D3143" s="408"/>
      <c r="E3143" s="408"/>
      <c r="F3143" s="408"/>
      <c r="G3143" s="408"/>
      <c r="H3143" s="408"/>
      <c r="I3143" s="408"/>
      <c r="J3143" s="408"/>
      <c r="K3143" s="408"/>
      <c r="L3143" s="408"/>
      <c r="M3143" s="408"/>
      <c r="N3143" s="408" t="str">
        <f t="shared" si="476"/>
        <v/>
      </c>
      <c r="O3143" s="408"/>
      <c r="P3143" s="408"/>
      <c r="Q3143" s="408"/>
      <c r="R3143" s="408"/>
      <c r="S3143" s="408"/>
      <c r="T3143" s="408"/>
      <c r="U3143" s="408"/>
      <c r="V3143" s="421"/>
      <c r="W3143" s="421"/>
      <c r="X3143" s="421"/>
      <c r="Y3143" s="421"/>
      <c r="Z3143" s="421"/>
      <c r="AA3143" s="421"/>
      <c r="AB3143" s="421"/>
      <c r="AC3143" s="421"/>
      <c r="AD3143" s="421"/>
      <c r="AE3143" s="421"/>
      <c r="AF3143" s="421"/>
      <c r="AG3143" s="421"/>
      <c r="AH3143" s="421"/>
      <c r="AI3143" s="421"/>
      <c r="AJ3143" s="421"/>
      <c r="AK3143" s="421"/>
      <c r="AL3143" s="421"/>
    </row>
    <row r="3144" spans="1:38" hidden="1">
      <c r="A3144" s="408"/>
      <c r="B3144" s="83" t="e">
        <f t="array" ref="B3144">SUM(--(FREQUENCY(IF(C$2:C$3072=C3144, MATCH(D$2:D$3072, D$2:D$3072, 0)), ROW(D$2:D$3072)-ROW(D$2)+1) &gt; 0))</f>
        <v>#N/A</v>
      </c>
      <c r="C3144" s="408"/>
      <c r="D3144" s="408"/>
      <c r="E3144" s="408"/>
      <c r="F3144" s="408"/>
      <c r="G3144" s="408"/>
      <c r="H3144" s="408"/>
      <c r="I3144" s="408"/>
      <c r="J3144" s="408"/>
      <c r="K3144" s="408"/>
      <c r="L3144" s="408"/>
      <c r="M3144" s="408"/>
      <c r="N3144" s="408" t="str">
        <f t="shared" si="476"/>
        <v/>
      </c>
      <c r="O3144" s="408"/>
      <c r="P3144" s="408"/>
      <c r="Q3144" s="408"/>
      <c r="R3144" s="408"/>
      <c r="S3144" s="408"/>
      <c r="T3144" s="408"/>
      <c r="U3144" s="408"/>
      <c r="V3144" s="421"/>
      <c r="W3144" s="421"/>
      <c r="X3144" s="421"/>
      <c r="Y3144" s="421"/>
      <c r="Z3144" s="421"/>
      <c r="AA3144" s="421"/>
      <c r="AB3144" s="421"/>
      <c r="AC3144" s="421"/>
      <c r="AD3144" s="421"/>
      <c r="AE3144" s="421"/>
      <c r="AF3144" s="421"/>
      <c r="AG3144" s="421"/>
      <c r="AH3144" s="421"/>
      <c r="AI3144" s="421"/>
      <c r="AJ3144" s="421"/>
      <c r="AK3144" s="421"/>
      <c r="AL3144" s="421"/>
    </row>
    <row r="3145" spans="1:38" hidden="1">
      <c r="A3145" s="408"/>
      <c r="B3145" s="83" t="e">
        <f t="array" ref="B3145">SUM(--(FREQUENCY(IF(C$2:C$3072=C3145, MATCH(D$2:D$3072, D$2:D$3072, 0)), ROW(D$2:D$3072)-ROW(D$2)+1) &gt; 0))</f>
        <v>#N/A</v>
      </c>
      <c r="C3145" s="408"/>
      <c r="D3145" s="408"/>
      <c r="E3145" s="408"/>
      <c r="F3145" s="408"/>
      <c r="G3145" s="408"/>
      <c r="H3145" s="408"/>
      <c r="I3145" s="408"/>
      <c r="J3145" s="408"/>
      <c r="K3145" s="408"/>
      <c r="L3145" s="408"/>
      <c r="M3145" s="408"/>
      <c r="N3145" s="408" t="str">
        <f t="shared" si="476"/>
        <v/>
      </c>
      <c r="O3145" s="408"/>
      <c r="P3145" s="408"/>
      <c r="Q3145" s="408"/>
      <c r="R3145" s="408"/>
      <c r="S3145" s="408"/>
      <c r="T3145" s="408"/>
      <c r="U3145" s="408"/>
      <c r="V3145" s="421"/>
      <c r="W3145" s="421"/>
      <c r="X3145" s="421"/>
      <c r="Y3145" s="421"/>
      <c r="Z3145" s="421"/>
      <c r="AA3145" s="421"/>
      <c r="AB3145" s="421"/>
      <c r="AC3145" s="421"/>
      <c r="AD3145" s="421"/>
      <c r="AE3145" s="421"/>
      <c r="AF3145" s="421"/>
      <c r="AG3145" s="421"/>
      <c r="AH3145" s="421"/>
      <c r="AI3145" s="421"/>
      <c r="AJ3145" s="421"/>
      <c r="AK3145" s="421"/>
      <c r="AL3145" s="421"/>
    </row>
    <row r="3146" spans="1:38" hidden="1">
      <c r="A3146" s="408"/>
      <c r="B3146" s="83" t="e">
        <f t="array" ref="B3146">SUM(--(FREQUENCY(IF(C$2:C$3072=C3146, MATCH(D$2:D$3072, D$2:D$3072, 0)), ROW(D$2:D$3072)-ROW(D$2)+1) &gt; 0))</f>
        <v>#N/A</v>
      </c>
      <c r="C3146" s="408"/>
      <c r="D3146" s="408"/>
      <c r="E3146" s="408"/>
      <c r="F3146" s="408"/>
      <c r="G3146" s="408"/>
      <c r="H3146" s="408"/>
      <c r="I3146" s="408"/>
      <c r="J3146" s="408"/>
      <c r="K3146" s="408"/>
      <c r="L3146" s="408"/>
      <c r="M3146" s="408"/>
      <c r="N3146" s="408" t="str">
        <f t="shared" si="476"/>
        <v/>
      </c>
      <c r="O3146" s="408"/>
      <c r="P3146" s="408"/>
      <c r="Q3146" s="408"/>
      <c r="R3146" s="408"/>
      <c r="S3146" s="408"/>
      <c r="T3146" s="408"/>
      <c r="U3146" s="408"/>
      <c r="V3146" s="421"/>
      <c r="W3146" s="421"/>
      <c r="X3146" s="421"/>
      <c r="Y3146" s="421"/>
      <c r="Z3146" s="421"/>
      <c r="AA3146" s="421"/>
      <c r="AB3146" s="421"/>
      <c r="AC3146" s="421"/>
      <c r="AD3146" s="421"/>
      <c r="AE3146" s="421"/>
      <c r="AF3146" s="421"/>
      <c r="AG3146" s="421"/>
      <c r="AH3146" s="421"/>
      <c r="AI3146" s="421"/>
      <c r="AJ3146" s="421"/>
      <c r="AK3146" s="421"/>
      <c r="AL3146" s="421"/>
    </row>
    <row r="3147" spans="1:38" hidden="1">
      <c r="A3147" s="408"/>
      <c r="B3147" s="83" t="e">
        <f t="array" ref="B3147">SUM(--(FREQUENCY(IF(C$2:C$3072=C3147, MATCH(D$2:D$3072, D$2:D$3072, 0)), ROW(D$2:D$3072)-ROW(D$2)+1) &gt; 0))</f>
        <v>#N/A</v>
      </c>
      <c r="C3147" s="408"/>
      <c r="D3147" s="408"/>
      <c r="E3147" s="408"/>
      <c r="F3147" s="408"/>
      <c r="G3147" s="408"/>
      <c r="H3147" s="408"/>
      <c r="I3147" s="408"/>
      <c r="J3147" s="408"/>
      <c r="K3147" s="408"/>
      <c r="L3147" s="408"/>
      <c r="M3147" s="408"/>
      <c r="N3147" s="408" t="str">
        <f t="shared" si="476"/>
        <v/>
      </c>
      <c r="O3147" s="408"/>
      <c r="P3147" s="408"/>
      <c r="Q3147" s="408"/>
      <c r="R3147" s="408"/>
      <c r="S3147" s="408"/>
      <c r="T3147" s="408"/>
      <c r="U3147" s="408"/>
      <c r="V3147" s="421"/>
      <c r="W3147" s="421"/>
      <c r="X3147" s="421"/>
      <c r="Y3147" s="421"/>
      <c r="Z3147" s="421"/>
      <c r="AA3147" s="421"/>
      <c r="AB3147" s="421"/>
      <c r="AC3147" s="421"/>
      <c r="AD3147" s="421"/>
      <c r="AE3147" s="421"/>
      <c r="AF3147" s="421"/>
      <c r="AG3147" s="421"/>
      <c r="AH3147" s="421"/>
      <c r="AI3147" s="421"/>
      <c r="AJ3147" s="421"/>
      <c r="AK3147" s="421"/>
      <c r="AL3147" s="421"/>
    </row>
    <row r="3148" spans="1:38" hidden="1">
      <c r="A3148" s="408"/>
      <c r="B3148" s="83" t="e">
        <f t="array" ref="B3148">SUM(--(FREQUENCY(IF(C$2:C$3072=C3148, MATCH(D$2:D$3072, D$2:D$3072, 0)), ROW(D$2:D$3072)-ROW(D$2)+1) &gt; 0))</f>
        <v>#N/A</v>
      </c>
      <c r="C3148" s="408"/>
      <c r="D3148" s="408"/>
      <c r="E3148" s="408"/>
      <c r="F3148" s="408"/>
      <c r="G3148" s="408"/>
      <c r="H3148" s="408"/>
      <c r="I3148" s="408"/>
      <c r="J3148" s="408"/>
      <c r="K3148" s="408"/>
      <c r="L3148" s="408"/>
      <c r="M3148" s="408"/>
      <c r="N3148" s="408" t="str">
        <f t="shared" si="476"/>
        <v/>
      </c>
      <c r="O3148" s="408"/>
      <c r="P3148" s="408"/>
      <c r="Q3148" s="408"/>
      <c r="R3148" s="408"/>
      <c r="S3148" s="408"/>
      <c r="T3148" s="408"/>
      <c r="U3148" s="408"/>
      <c r="V3148" s="421"/>
      <c r="W3148" s="421"/>
      <c r="X3148" s="421"/>
      <c r="Y3148" s="421"/>
      <c r="Z3148" s="421"/>
      <c r="AA3148" s="421"/>
      <c r="AB3148" s="421"/>
      <c r="AC3148" s="421"/>
      <c r="AD3148" s="421"/>
      <c r="AE3148" s="421"/>
      <c r="AF3148" s="421"/>
      <c r="AG3148" s="421"/>
      <c r="AH3148" s="421"/>
      <c r="AI3148" s="421"/>
      <c r="AJ3148" s="421"/>
      <c r="AK3148" s="421"/>
      <c r="AL3148" s="421"/>
    </row>
    <row r="3149" spans="1:38" hidden="1">
      <c r="A3149" s="408"/>
      <c r="B3149" s="83" t="e">
        <f t="array" ref="B3149">SUM(--(FREQUENCY(IF(C$2:C$3072=C3149, MATCH(D$2:D$3072, D$2:D$3072, 0)), ROW(D$2:D$3072)-ROW(D$2)+1) &gt; 0))</f>
        <v>#N/A</v>
      </c>
      <c r="C3149" s="408"/>
      <c r="D3149" s="408"/>
      <c r="E3149" s="408"/>
      <c r="F3149" s="408"/>
      <c r="G3149" s="408"/>
      <c r="H3149" s="408"/>
      <c r="I3149" s="408"/>
      <c r="J3149" s="408"/>
      <c r="K3149" s="408"/>
      <c r="L3149" s="408"/>
      <c r="M3149" s="408"/>
      <c r="N3149" s="408" t="str">
        <f t="shared" si="476"/>
        <v/>
      </c>
      <c r="O3149" s="408"/>
      <c r="P3149" s="408"/>
      <c r="Q3149" s="408"/>
      <c r="R3149" s="408"/>
      <c r="S3149" s="408"/>
      <c r="T3149" s="408"/>
      <c r="U3149" s="408"/>
      <c r="V3149" s="421"/>
      <c r="W3149" s="421"/>
      <c r="X3149" s="421"/>
      <c r="Y3149" s="421"/>
      <c r="Z3149" s="421"/>
      <c r="AA3149" s="421"/>
      <c r="AB3149" s="421"/>
      <c r="AC3149" s="421"/>
      <c r="AD3149" s="421"/>
      <c r="AE3149" s="421"/>
      <c r="AF3149" s="421"/>
      <c r="AG3149" s="421"/>
      <c r="AH3149" s="421"/>
      <c r="AI3149" s="421"/>
      <c r="AJ3149" s="421"/>
      <c r="AK3149" s="421"/>
      <c r="AL3149" s="421"/>
    </row>
    <row r="3150" spans="1:38" hidden="1">
      <c r="A3150" s="408"/>
      <c r="B3150" s="83" t="e">
        <f t="array" ref="B3150">SUM(--(FREQUENCY(IF(C$2:C$3072=C3150, MATCH(D$2:D$3072, D$2:D$3072, 0)), ROW(D$2:D$3072)-ROW(D$2)+1) &gt; 0))</f>
        <v>#N/A</v>
      </c>
      <c r="C3150" s="408"/>
      <c r="D3150" s="408"/>
      <c r="E3150" s="408"/>
      <c r="F3150" s="408"/>
      <c r="G3150" s="408"/>
      <c r="H3150" s="408"/>
      <c r="I3150" s="408"/>
      <c r="J3150" s="408"/>
      <c r="K3150" s="408"/>
      <c r="L3150" s="408"/>
      <c r="M3150" s="408"/>
      <c r="N3150" s="408" t="str">
        <f t="shared" si="476"/>
        <v/>
      </c>
      <c r="O3150" s="408"/>
      <c r="P3150" s="408"/>
      <c r="Q3150" s="408"/>
      <c r="R3150" s="408"/>
      <c r="S3150" s="408"/>
      <c r="T3150" s="408"/>
      <c r="U3150" s="408"/>
      <c r="V3150" s="421"/>
      <c r="W3150" s="421"/>
      <c r="X3150" s="421"/>
      <c r="Y3150" s="421"/>
      <c r="Z3150" s="421"/>
      <c r="AA3150" s="421"/>
      <c r="AB3150" s="421"/>
      <c r="AC3150" s="421"/>
      <c r="AD3150" s="421"/>
      <c r="AE3150" s="421"/>
      <c r="AF3150" s="421"/>
      <c r="AG3150" s="421"/>
      <c r="AH3150" s="421"/>
      <c r="AI3150" s="421"/>
      <c r="AJ3150" s="421"/>
      <c r="AK3150" s="421"/>
      <c r="AL3150" s="421"/>
    </row>
    <row r="3151" spans="1:38" hidden="1">
      <c r="A3151" s="408"/>
      <c r="B3151" s="83" t="e">
        <f t="array" ref="B3151">SUM(--(FREQUENCY(IF(C$2:C$3072=C3151, MATCH(D$2:D$3072, D$2:D$3072, 0)), ROW(D$2:D$3072)-ROW(D$2)+1) &gt; 0))</f>
        <v>#N/A</v>
      </c>
      <c r="C3151" s="408"/>
      <c r="D3151" s="408"/>
      <c r="E3151" s="408"/>
      <c r="F3151" s="408"/>
      <c r="G3151" s="408"/>
      <c r="H3151" s="408"/>
      <c r="I3151" s="408"/>
      <c r="J3151" s="408"/>
      <c r="K3151" s="408"/>
      <c r="L3151" s="408"/>
      <c r="M3151" s="408"/>
      <c r="N3151" s="408" t="str">
        <f t="shared" si="476"/>
        <v/>
      </c>
      <c r="O3151" s="408"/>
      <c r="P3151" s="408"/>
      <c r="Q3151" s="408"/>
      <c r="R3151" s="408"/>
      <c r="S3151" s="408"/>
      <c r="T3151" s="408"/>
      <c r="U3151" s="408"/>
      <c r="V3151" s="421"/>
      <c r="W3151" s="421"/>
      <c r="X3151" s="421"/>
      <c r="Y3151" s="421"/>
      <c r="Z3151" s="421"/>
      <c r="AA3151" s="421"/>
      <c r="AB3151" s="421"/>
      <c r="AC3151" s="421"/>
      <c r="AD3151" s="421"/>
      <c r="AE3151" s="421"/>
      <c r="AF3151" s="421"/>
      <c r="AG3151" s="421"/>
      <c r="AH3151" s="421"/>
      <c r="AI3151" s="421"/>
      <c r="AJ3151" s="421"/>
      <c r="AK3151" s="421"/>
      <c r="AL3151" s="421"/>
    </row>
    <row r="3152" spans="1:38" hidden="1">
      <c r="A3152" s="408"/>
      <c r="B3152" s="83" t="e">
        <f t="array" ref="B3152">SUM(--(FREQUENCY(IF(C$2:C$3072=C3152, MATCH(D$2:D$3072, D$2:D$3072, 0)), ROW(D$2:D$3072)-ROW(D$2)+1) &gt; 0))</f>
        <v>#N/A</v>
      </c>
      <c r="C3152" s="408"/>
      <c r="D3152" s="408"/>
      <c r="E3152" s="408"/>
      <c r="F3152" s="408"/>
      <c r="G3152" s="408"/>
      <c r="H3152" s="408"/>
      <c r="I3152" s="408"/>
      <c r="J3152" s="408"/>
      <c r="K3152" s="408"/>
      <c r="L3152" s="408"/>
      <c r="M3152" s="408"/>
      <c r="N3152" s="408" t="str">
        <f t="shared" si="476"/>
        <v/>
      </c>
      <c r="O3152" s="408"/>
      <c r="P3152" s="408"/>
      <c r="Q3152" s="408"/>
      <c r="R3152" s="408"/>
      <c r="S3152" s="408"/>
      <c r="T3152" s="408"/>
      <c r="U3152" s="408"/>
      <c r="V3152" s="421"/>
      <c r="W3152" s="421"/>
      <c r="X3152" s="421"/>
      <c r="Y3152" s="421"/>
      <c r="Z3152" s="421"/>
      <c r="AA3152" s="421"/>
      <c r="AB3152" s="421"/>
      <c r="AC3152" s="421"/>
      <c r="AD3152" s="421"/>
      <c r="AE3152" s="421"/>
      <c r="AF3152" s="421"/>
      <c r="AG3152" s="421"/>
      <c r="AH3152" s="421"/>
      <c r="AI3152" s="421"/>
      <c r="AJ3152" s="421"/>
      <c r="AK3152" s="421"/>
      <c r="AL3152" s="421"/>
    </row>
    <row r="3153" spans="1:38" hidden="1">
      <c r="A3153" s="408"/>
      <c r="B3153" s="83" t="e">
        <f t="array" ref="B3153">SUM(--(FREQUENCY(IF(C$2:C$3072=C3153, MATCH(D$2:D$3072, D$2:D$3072, 0)), ROW(D$2:D$3072)-ROW(D$2)+1) &gt; 0))</f>
        <v>#N/A</v>
      </c>
      <c r="C3153" s="408"/>
      <c r="D3153" s="408"/>
      <c r="E3153" s="408"/>
      <c r="F3153" s="408"/>
      <c r="G3153" s="408"/>
      <c r="H3153" s="408"/>
      <c r="I3153" s="408"/>
      <c r="J3153" s="408"/>
      <c r="K3153" s="408"/>
      <c r="L3153" s="408"/>
      <c r="M3153" s="408"/>
      <c r="N3153" s="408" t="str">
        <f t="shared" si="476"/>
        <v/>
      </c>
      <c r="O3153" s="408"/>
      <c r="P3153" s="408"/>
      <c r="Q3153" s="408"/>
      <c r="R3153" s="408"/>
      <c r="S3153" s="408"/>
      <c r="T3153" s="408"/>
      <c r="U3153" s="408"/>
      <c r="V3153" s="421"/>
      <c r="W3153" s="421"/>
      <c r="X3153" s="421"/>
      <c r="Y3153" s="421"/>
      <c r="Z3153" s="421"/>
      <c r="AA3153" s="421"/>
      <c r="AB3153" s="421"/>
      <c r="AC3153" s="421"/>
      <c r="AD3153" s="421"/>
      <c r="AE3153" s="421"/>
      <c r="AF3153" s="421"/>
      <c r="AG3153" s="421"/>
      <c r="AH3153" s="421"/>
      <c r="AI3153" s="421"/>
      <c r="AJ3153" s="421"/>
      <c r="AK3153" s="421"/>
      <c r="AL3153" s="421"/>
    </row>
    <row r="3154" spans="1:38" hidden="1">
      <c r="A3154" s="408"/>
      <c r="B3154" s="83" t="e">
        <f t="array" ref="B3154">SUM(--(FREQUENCY(IF(C$2:C$3072=C3154, MATCH(D$2:D$3072, D$2:D$3072, 0)), ROW(D$2:D$3072)-ROW(D$2)+1) &gt; 0))</f>
        <v>#N/A</v>
      </c>
      <c r="C3154" s="408"/>
      <c r="D3154" s="408"/>
      <c r="E3154" s="408"/>
      <c r="F3154" s="408"/>
      <c r="G3154" s="408"/>
      <c r="H3154" s="408"/>
      <c r="I3154" s="408"/>
      <c r="J3154" s="408"/>
      <c r="K3154" s="408"/>
      <c r="L3154" s="408"/>
      <c r="M3154" s="408"/>
      <c r="N3154" s="408" t="str">
        <f t="shared" si="476"/>
        <v/>
      </c>
      <c r="O3154" s="408"/>
      <c r="P3154" s="408"/>
      <c r="Q3154" s="408"/>
      <c r="R3154" s="408"/>
      <c r="S3154" s="408"/>
      <c r="T3154" s="408"/>
      <c r="U3154" s="408"/>
      <c r="V3154" s="421"/>
      <c r="W3154" s="421"/>
      <c r="X3154" s="421"/>
      <c r="Y3154" s="421"/>
      <c r="Z3154" s="421"/>
      <c r="AA3154" s="421"/>
      <c r="AB3154" s="421"/>
      <c r="AC3154" s="421"/>
      <c r="AD3154" s="421"/>
      <c r="AE3154" s="421"/>
      <c r="AF3154" s="421"/>
      <c r="AG3154" s="421"/>
      <c r="AH3154" s="421"/>
      <c r="AI3154" s="421"/>
      <c r="AJ3154" s="421"/>
      <c r="AK3154" s="421"/>
      <c r="AL3154" s="421"/>
    </row>
    <row r="3155" spans="1:38" hidden="1">
      <c r="A3155" s="408"/>
      <c r="B3155" s="83" t="e">
        <f t="array" ref="B3155">SUM(--(FREQUENCY(IF(C$2:C$3072=C3155, MATCH(D$2:D$3072, D$2:D$3072, 0)), ROW(D$2:D$3072)-ROW(D$2)+1) &gt; 0))</f>
        <v>#N/A</v>
      </c>
      <c r="C3155" s="408"/>
      <c r="D3155" s="408"/>
      <c r="E3155" s="408"/>
      <c r="F3155" s="408"/>
      <c r="G3155" s="408"/>
      <c r="H3155" s="408"/>
      <c r="I3155" s="408"/>
      <c r="J3155" s="408"/>
      <c r="K3155" s="408"/>
      <c r="L3155" s="408"/>
      <c r="M3155" s="408"/>
      <c r="N3155" s="408" t="str">
        <f t="shared" si="476"/>
        <v/>
      </c>
      <c r="O3155" s="408"/>
      <c r="P3155" s="408"/>
      <c r="Q3155" s="408"/>
      <c r="R3155" s="408"/>
      <c r="S3155" s="408"/>
      <c r="T3155" s="408"/>
      <c r="U3155" s="408"/>
      <c r="V3155" s="421"/>
      <c r="W3155" s="421"/>
      <c r="X3155" s="421"/>
      <c r="Y3155" s="421"/>
      <c r="Z3155" s="421"/>
      <c r="AA3155" s="421"/>
      <c r="AB3155" s="421"/>
      <c r="AC3155" s="421"/>
      <c r="AD3155" s="421"/>
      <c r="AE3155" s="421"/>
      <c r="AF3155" s="421"/>
      <c r="AG3155" s="421"/>
      <c r="AH3155" s="421"/>
      <c r="AI3155" s="421"/>
      <c r="AJ3155" s="421"/>
      <c r="AK3155" s="421"/>
      <c r="AL3155" s="421"/>
    </row>
    <row r="3156" spans="1:38" hidden="1">
      <c r="A3156" s="408"/>
      <c r="B3156" s="83" t="e">
        <f t="array" ref="B3156">SUM(--(FREQUENCY(IF(C$2:C$3072=C3156, MATCH(D$2:D$3072, D$2:D$3072, 0)), ROW(D$2:D$3072)-ROW(D$2)+1) &gt; 0))</f>
        <v>#N/A</v>
      </c>
      <c r="C3156" s="408"/>
      <c r="D3156" s="408"/>
      <c r="E3156" s="408"/>
      <c r="F3156" s="408"/>
      <c r="G3156" s="408"/>
      <c r="H3156" s="408"/>
      <c r="I3156" s="408"/>
      <c r="J3156" s="408"/>
      <c r="K3156" s="408"/>
      <c r="L3156" s="408"/>
      <c r="M3156" s="408"/>
      <c r="N3156" s="408" t="str">
        <f t="shared" si="476"/>
        <v/>
      </c>
      <c r="O3156" s="408"/>
      <c r="P3156" s="408"/>
      <c r="Q3156" s="408"/>
      <c r="R3156" s="408"/>
      <c r="S3156" s="408"/>
      <c r="T3156" s="408"/>
      <c r="U3156" s="408"/>
      <c r="V3156" s="421"/>
      <c r="W3156" s="421"/>
      <c r="X3156" s="421"/>
      <c r="Y3156" s="421"/>
      <c r="Z3156" s="421"/>
      <c r="AA3156" s="421"/>
      <c r="AB3156" s="421"/>
      <c r="AC3156" s="421"/>
      <c r="AD3156" s="421"/>
      <c r="AE3156" s="421"/>
      <c r="AF3156" s="421"/>
      <c r="AG3156" s="421"/>
      <c r="AH3156" s="421"/>
      <c r="AI3156" s="421"/>
      <c r="AJ3156" s="421"/>
      <c r="AK3156" s="421"/>
      <c r="AL3156" s="421"/>
    </row>
    <row r="3157" spans="1:38" hidden="1">
      <c r="A3157" s="408"/>
      <c r="B3157" s="83" t="e">
        <f t="array" ref="B3157">SUM(--(FREQUENCY(IF(C$2:C$3072=C3157, MATCH(D$2:D$3072, D$2:D$3072, 0)), ROW(D$2:D$3072)-ROW(D$2)+1) &gt; 0))</f>
        <v>#N/A</v>
      </c>
      <c r="C3157" s="408"/>
      <c r="D3157" s="408"/>
      <c r="E3157" s="408"/>
      <c r="F3157" s="408"/>
      <c r="G3157" s="408"/>
      <c r="H3157" s="408"/>
      <c r="I3157" s="408"/>
      <c r="J3157" s="408"/>
      <c r="K3157" s="408"/>
      <c r="L3157" s="408"/>
      <c r="M3157" s="408"/>
      <c r="N3157" s="408" t="str">
        <f t="shared" si="476"/>
        <v/>
      </c>
      <c r="O3157" s="408"/>
      <c r="P3157" s="408"/>
      <c r="Q3157" s="408"/>
      <c r="R3157" s="408"/>
      <c r="S3157" s="408"/>
      <c r="T3157" s="408"/>
      <c r="U3157" s="408"/>
      <c r="V3157" s="421"/>
      <c r="W3157" s="421"/>
      <c r="X3157" s="421"/>
      <c r="Y3157" s="421"/>
      <c r="Z3157" s="421"/>
      <c r="AA3157" s="421"/>
      <c r="AB3157" s="421"/>
      <c r="AC3157" s="421"/>
      <c r="AD3157" s="421"/>
      <c r="AE3157" s="421"/>
      <c r="AF3157" s="421"/>
      <c r="AG3157" s="421"/>
      <c r="AH3157" s="421"/>
      <c r="AI3157" s="421"/>
      <c r="AJ3157" s="421"/>
      <c r="AK3157" s="421"/>
      <c r="AL3157" s="421"/>
    </row>
    <row r="3158" spans="1:38" hidden="1">
      <c r="A3158" s="408"/>
      <c r="B3158" s="83" t="e">
        <f t="array" ref="B3158">SUM(--(FREQUENCY(IF(C$2:C$3072=C3158, MATCH(D$2:D$3072, D$2:D$3072, 0)), ROW(D$2:D$3072)-ROW(D$2)+1) &gt; 0))</f>
        <v>#N/A</v>
      </c>
      <c r="C3158" s="408"/>
      <c r="D3158" s="408"/>
      <c r="E3158" s="408"/>
      <c r="F3158" s="408"/>
      <c r="G3158" s="408"/>
      <c r="H3158" s="408"/>
      <c r="I3158" s="408"/>
      <c r="J3158" s="408"/>
      <c r="K3158" s="408"/>
      <c r="L3158" s="408"/>
      <c r="M3158" s="408"/>
      <c r="N3158" s="408" t="str">
        <f t="shared" si="476"/>
        <v/>
      </c>
      <c r="O3158" s="408"/>
      <c r="P3158" s="408"/>
      <c r="Q3158" s="408"/>
      <c r="R3158" s="408"/>
      <c r="S3158" s="408"/>
      <c r="T3158" s="408"/>
      <c r="U3158" s="408"/>
      <c r="V3158" s="421"/>
      <c r="W3158" s="421"/>
      <c r="X3158" s="421"/>
      <c r="Y3158" s="421"/>
      <c r="Z3158" s="421"/>
      <c r="AA3158" s="421"/>
      <c r="AB3158" s="421"/>
      <c r="AC3158" s="421"/>
      <c r="AD3158" s="421"/>
      <c r="AE3158" s="421"/>
      <c r="AF3158" s="421"/>
      <c r="AG3158" s="421"/>
      <c r="AH3158" s="421"/>
      <c r="AI3158" s="421"/>
      <c r="AJ3158" s="421"/>
      <c r="AK3158" s="421"/>
      <c r="AL3158" s="421"/>
    </row>
    <row r="3159" spans="1:38" hidden="1">
      <c r="A3159" s="408"/>
      <c r="B3159" s="83" t="e">
        <f t="array" ref="B3159">SUM(--(FREQUENCY(IF(C$2:C$3072=C3159, MATCH(D$2:D$3072, D$2:D$3072, 0)), ROW(D$2:D$3072)-ROW(D$2)+1) &gt; 0))</f>
        <v>#N/A</v>
      </c>
      <c r="C3159" s="408"/>
      <c r="D3159" s="408"/>
      <c r="E3159" s="408"/>
      <c r="F3159" s="408"/>
      <c r="G3159" s="408"/>
      <c r="H3159" s="408"/>
      <c r="I3159" s="408"/>
      <c r="J3159" s="408"/>
      <c r="K3159" s="408"/>
      <c r="L3159" s="408"/>
      <c r="M3159" s="408"/>
      <c r="N3159" s="408" t="str">
        <f t="shared" si="476"/>
        <v/>
      </c>
      <c r="O3159" s="408"/>
      <c r="P3159" s="408"/>
      <c r="Q3159" s="408"/>
      <c r="R3159" s="408"/>
      <c r="S3159" s="408"/>
      <c r="T3159" s="408"/>
      <c r="U3159" s="408"/>
      <c r="V3159" s="421"/>
      <c r="W3159" s="421"/>
      <c r="X3159" s="421"/>
      <c r="Y3159" s="421"/>
      <c r="Z3159" s="421"/>
      <c r="AA3159" s="421"/>
      <c r="AB3159" s="421"/>
      <c r="AC3159" s="421"/>
      <c r="AD3159" s="421"/>
      <c r="AE3159" s="421"/>
      <c r="AF3159" s="421"/>
      <c r="AG3159" s="421"/>
      <c r="AH3159" s="421"/>
      <c r="AI3159" s="421"/>
      <c r="AJ3159" s="421"/>
      <c r="AK3159" s="421"/>
      <c r="AL3159" s="421"/>
    </row>
    <row r="3160" spans="1:38" hidden="1">
      <c r="A3160" s="408"/>
      <c r="B3160" s="83" t="e">
        <f t="array" ref="B3160">SUM(--(FREQUENCY(IF(C$2:C$3072=C3160, MATCH(D$2:D$3072, D$2:D$3072, 0)), ROW(D$2:D$3072)-ROW(D$2)+1) &gt; 0))</f>
        <v>#N/A</v>
      </c>
      <c r="C3160" s="408"/>
      <c r="D3160" s="408"/>
      <c r="E3160" s="408"/>
      <c r="F3160" s="408"/>
      <c r="G3160" s="408"/>
      <c r="H3160" s="408"/>
      <c r="I3160" s="408"/>
      <c r="J3160" s="408"/>
      <c r="K3160" s="408"/>
      <c r="L3160" s="408"/>
      <c r="M3160" s="408"/>
      <c r="N3160" s="408" t="str">
        <f t="shared" si="476"/>
        <v/>
      </c>
      <c r="O3160" s="408"/>
      <c r="P3160" s="408"/>
      <c r="Q3160" s="408"/>
      <c r="R3160" s="408"/>
      <c r="S3160" s="408"/>
      <c r="T3160" s="408"/>
      <c r="U3160" s="408"/>
      <c r="V3160" s="421"/>
      <c r="W3160" s="421"/>
      <c r="X3160" s="421"/>
      <c r="Y3160" s="421"/>
      <c r="Z3160" s="421"/>
      <c r="AA3160" s="421"/>
      <c r="AB3160" s="421"/>
      <c r="AC3160" s="421"/>
      <c r="AD3160" s="421"/>
      <c r="AE3160" s="421"/>
      <c r="AF3160" s="421"/>
      <c r="AG3160" s="421"/>
      <c r="AH3160" s="421"/>
      <c r="AI3160" s="421"/>
      <c r="AJ3160" s="421"/>
      <c r="AK3160" s="421"/>
      <c r="AL3160" s="421"/>
    </row>
    <row r="3161" spans="1:38" hidden="1">
      <c r="A3161" s="408"/>
      <c r="B3161" s="83" t="e">
        <f t="array" ref="B3161">SUM(--(FREQUENCY(IF(C$2:C$3072=C3161, MATCH(D$2:D$3072, D$2:D$3072, 0)), ROW(D$2:D$3072)-ROW(D$2)+1) &gt; 0))</f>
        <v>#N/A</v>
      </c>
      <c r="C3161" s="408"/>
      <c r="D3161" s="408"/>
      <c r="E3161" s="408"/>
      <c r="F3161" s="408"/>
      <c r="G3161" s="408"/>
      <c r="H3161" s="408"/>
      <c r="I3161" s="408"/>
      <c r="J3161" s="408"/>
      <c r="K3161" s="408"/>
      <c r="L3161" s="408"/>
      <c r="M3161" s="408"/>
      <c r="N3161" s="408" t="str">
        <f t="shared" si="476"/>
        <v/>
      </c>
      <c r="O3161" s="408"/>
      <c r="P3161" s="408"/>
      <c r="Q3161" s="408"/>
      <c r="R3161" s="408"/>
      <c r="S3161" s="408"/>
      <c r="T3161" s="408"/>
      <c r="U3161" s="408"/>
      <c r="V3161" s="421"/>
      <c r="W3161" s="421"/>
      <c r="X3161" s="421"/>
      <c r="Y3161" s="421"/>
      <c r="Z3161" s="421"/>
      <c r="AA3161" s="421"/>
      <c r="AB3161" s="421"/>
      <c r="AC3161" s="421"/>
      <c r="AD3161" s="421"/>
      <c r="AE3161" s="421"/>
      <c r="AF3161" s="421"/>
      <c r="AG3161" s="421"/>
      <c r="AH3161" s="421"/>
      <c r="AI3161" s="421"/>
      <c r="AJ3161" s="421"/>
      <c r="AK3161" s="421"/>
      <c r="AL3161" s="421"/>
    </row>
    <row r="3162" spans="1:38" hidden="1">
      <c r="A3162" s="408"/>
      <c r="B3162" s="83" t="e">
        <f t="array" ref="B3162">SUM(--(FREQUENCY(IF(C$2:C$3072=C3162, MATCH(D$2:D$3072, D$2:D$3072, 0)), ROW(D$2:D$3072)-ROW(D$2)+1) &gt; 0))</f>
        <v>#N/A</v>
      </c>
      <c r="C3162" s="408"/>
      <c r="D3162" s="408"/>
      <c r="E3162" s="408"/>
      <c r="F3162" s="408"/>
      <c r="G3162" s="408"/>
      <c r="H3162" s="408"/>
      <c r="I3162" s="408"/>
      <c r="J3162" s="408"/>
      <c r="K3162" s="408"/>
      <c r="L3162" s="408"/>
      <c r="M3162" s="408"/>
      <c r="N3162" s="408" t="str">
        <f t="shared" si="476"/>
        <v/>
      </c>
      <c r="O3162" s="408"/>
      <c r="P3162" s="408"/>
      <c r="Q3162" s="408"/>
      <c r="R3162" s="408"/>
      <c r="S3162" s="408"/>
      <c r="T3162" s="408"/>
      <c r="U3162" s="408"/>
      <c r="V3162" s="421"/>
      <c r="W3162" s="421"/>
      <c r="X3162" s="421"/>
      <c r="Y3162" s="421"/>
      <c r="Z3162" s="421"/>
      <c r="AA3162" s="421"/>
      <c r="AB3162" s="421"/>
      <c r="AC3162" s="421"/>
      <c r="AD3162" s="421"/>
      <c r="AE3162" s="421"/>
      <c r="AF3162" s="421"/>
      <c r="AG3162" s="421"/>
      <c r="AH3162" s="421"/>
      <c r="AI3162" s="421"/>
      <c r="AJ3162" s="421"/>
      <c r="AK3162" s="421"/>
      <c r="AL3162" s="421"/>
    </row>
    <row r="3163" spans="1:38" hidden="1">
      <c r="A3163" s="408"/>
      <c r="B3163" s="83" t="e">
        <f t="array" ref="B3163">SUM(--(FREQUENCY(IF(C$2:C$3072=C3163, MATCH(D$2:D$3072, D$2:D$3072, 0)), ROW(D$2:D$3072)-ROW(D$2)+1) &gt; 0))</f>
        <v>#N/A</v>
      </c>
      <c r="C3163" s="408"/>
      <c r="D3163" s="408"/>
      <c r="E3163" s="408"/>
      <c r="F3163" s="408"/>
      <c r="G3163" s="408"/>
      <c r="H3163" s="408"/>
      <c r="I3163" s="408"/>
      <c r="J3163" s="408"/>
      <c r="K3163" s="408"/>
      <c r="L3163" s="408"/>
      <c r="M3163" s="408"/>
      <c r="N3163" s="408" t="str">
        <f t="shared" si="476"/>
        <v/>
      </c>
      <c r="O3163" s="408"/>
      <c r="P3163" s="408"/>
      <c r="Q3163" s="408"/>
      <c r="R3163" s="408"/>
      <c r="S3163" s="408"/>
      <c r="T3163" s="408"/>
      <c r="U3163" s="408"/>
      <c r="V3163" s="421"/>
      <c r="W3163" s="421"/>
      <c r="X3163" s="421"/>
      <c r="Y3163" s="421"/>
      <c r="Z3163" s="421"/>
      <c r="AA3163" s="421"/>
      <c r="AB3163" s="421"/>
      <c r="AC3163" s="421"/>
      <c r="AD3163" s="421"/>
      <c r="AE3163" s="421"/>
      <c r="AF3163" s="421"/>
      <c r="AG3163" s="421"/>
      <c r="AH3163" s="421"/>
      <c r="AI3163" s="421"/>
      <c r="AJ3163" s="421"/>
      <c r="AK3163" s="421"/>
      <c r="AL3163" s="421"/>
    </row>
    <row r="3164" spans="1:38" hidden="1">
      <c r="A3164" s="408"/>
      <c r="B3164" s="83" t="e">
        <f t="array" ref="B3164">SUM(--(FREQUENCY(IF(C$2:C$3072=C3164, MATCH(D$2:D$3072, D$2:D$3072, 0)), ROW(D$2:D$3072)-ROW(D$2)+1) &gt; 0))</f>
        <v>#N/A</v>
      </c>
      <c r="C3164" s="408"/>
      <c r="D3164" s="408"/>
      <c r="E3164" s="408"/>
      <c r="F3164" s="408"/>
      <c r="G3164" s="408"/>
      <c r="H3164" s="408"/>
      <c r="I3164" s="408"/>
      <c r="J3164" s="408"/>
      <c r="K3164" s="408"/>
      <c r="L3164" s="408"/>
      <c r="M3164" s="408"/>
      <c r="N3164" s="408" t="str">
        <f t="shared" si="476"/>
        <v/>
      </c>
      <c r="O3164" s="408"/>
      <c r="P3164" s="408"/>
      <c r="Q3164" s="408"/>
      <c r="R3164" s="408"/>
      <c r="S3164" s="408"/>
      <c r="T3164" s="408"/>
      <c r="U3164" s="408"/>
      <c r="V3164" s="421"/>
      <c r="W3164" s="421"/>
      <c r="X3164" s="421"/>
      <c r="Y3164" s="421"/>
      <c r="Z3164" s="421"/>
      <c r="AA3164" s="421"/>
      <c r="AB3164" s="421"/>
      <c r="AC3164" s="421"/>
      <c r="AD3164" s="421"/>
      <c r="AE3164" s="421"/>
      <c r="AF3164" s="421"/>
      <c r="AG3164" s="421"/>
      <c r="AH3164" s="421"/>
      <c r="AI3164" s="421"/>
      <c r="AJ3164" s="421"/>
      <c r="AK3164" s="421"/>
      <c r="AL3164" s="421"/>
    </row>
    <row r="3165" spans="1:38" hidden="1">
      <c r="A3165" s="408"/>
      <c r="B3165" s="83" t="e">
        <f t="array" ref="B3165">SUM(--(FREQUENCY(IF(C$2:C$3072=C3165, MATCH(D$2:D$3072, D$2:D$3072, 0)), ROW(D$2:D$3072)-ROW(D$2)+1) &gt; 0))</f>
        <v>#N/A</v>
      </c>
      <c r="C3165" s="408"/>
      <c r="D3165" s="408"/>
      <c r="E3165" s="408"/>
      <c r="F3165" s="408"/>
      <c r="G3165" s="408"/>
      <c r="H3165" s="408"/>
      <c r="I3165" s="408"/>
      <c r="J3165" s="408"/>
      <c r="K3165" s="408"/>
      <c r="L3165" s="408"/>
      <c r="M3165" s="408"/>
      <c r="N3165" s="408" t="str">
        <f t="shared" si="476"/>
        <v/>
      </c>
      <c r="O3165" s="408"/>
      <c r="P3165" s="408"/>
      <c r="Q3165" s="408"/>
      <c r="R3165" s="408"/>
      <c r="S3165" s="408"/>
      <c r="T3165" s="408"/>
      <c r="U3165" s="408"/>
      <c r="V3165" s="421"/>
      <c r="W3165" s="421"/>
      <c r="X3165" s="421"/>
      <c r="Y3165" s="421"/>
      <c r="Z3165" s="421"/>
      <c r="AA3165" s="421"/>
      <c r="AB3165" s="421"/>
      <c r="AC3165" s="421"/>
      <c r="AD3165" s="421"/>
      <c r="AE3165" s="421"/>
      <c r="AF3165" s="421"/>
      <c r="AG3165" s="421"/>
      <c r="AH3165" s="421"/>
      <c r="AI3165" s="421"/>
      <c r="AJ3165" s="421"/>
      <c r="AK3165" s="421"/>
      <c r="AL3165" s="421"/>
    </row>
    <row r="3166" spans="1:38" hidden="1">
      <c r="A3166" s="408"/>
      <c r="B3166" s="83" t="e">
        <f t="array" ref="B3166">SUM(--(FREQUENCY(IF(C$2:C$3072=C3166, MATCH(D$2:D$3072, D$2:D$3072, 0)), ROW(D$2:D$3072)-ROW(D$2)+1) &gt; 0))</f>
        <v>#N/A</v>
      </c>
      <c r="C3166" s="408"/>
      <c r="D3166" s="408"/>
      <c r="E3166" s="408"/>
      <c r="F3166" s="408"/>
      <c r="G3166" s="408"/>
      <c r="H3166" s="408"/>
      <c r="I3166" s="408"/>
      <c r="J3166" s="408"/>
      <c r="K3166" s="408"/>
      <c r="L3166" s="408"/>
      <c r="M3166" s="408"/>
      <c r="N3166" s="408" t="str">
        <f t="shared" si="476"/>
        <v/>
      </c>
      <c r="O3166" s="408"/>
      <c r="P3166" s="408"/>
      <c r="Q3166" s="408"/>
      <c r="R3166" s="408"/>
      <c r="S3166" s="408"/>
      <c r="T3166" s="408"/>
      <c r="U3166" s="408"/>
      <c r="V3166" s="421"/>
      <c r="W3166" s="421"/>
      <c r="X3166" s="421"/>
      <c r="Y3166" s="421"/>
      <c r="Z3166" s="421"/>
      <c r="AA3166" s="421"/>
      <c r="AB3166" s="421"/>
      <c r="AC3166" s="421"/>
      <c r="AD3166" s="421"/>
      <c r="AE3166" s="421"/>
      <c r="AF3166" s="421"/>
      <c r="AG3166" s="421"/>
      <c r="AH3166" s="421"/>
      <c r="AI3166" s="421"/>
      <c r="AJ3166" s="421"/>
      <c r="AK3166" s="421"/>
      <c r="AL3166" s="421"/>
    </row>
    <row r="3167" spans="1:38" hidden="1">
      <c r="A3167" s="408"/>
      <c r="B3167" s="83" t="e">
        <f t="array" ref="B3167">SUM(--(FREQUENCY(IF(C$2:C$3072=C3167, MATCH(D$2:D$3072, D$2:D$3072, 0)), ROW(D$2:D$3072)-ROW(D$2)+1) &gt; 0))</f>
        <v>#N/A</v>
      </c>
      <c r="C3167" s="408"/>
      <c r="D3167" s="408"/>
      <c r="E3167" s="408"/>
      <c r="F3167" s="408"/>
      <c r="G3167" s="408"/>
      <c r="H3167" s="408"/>
      <c r="I3167" s="408"/>
      <c r="J3167" s="408"/>
      <c r="K3167" s="408"/>
      <c r="L3167" s="408"/>
      <c r="M3167" s="408"/>
      <c r="N3167" s="408" t="str">
        <f t="shared" si="476"/>
        <v/>
      </c>
      <c r="O3167" s="408"/>
      <c r="P3167" s="408"/>
      <c r="Q3167" s="408"/>
      <c r="R3167" s="408"/>
      <c r="S3167" s="408"/>
      <c r="T3167" s="408"/>
      <c r="U3167" s="408"/>
      <c r="V3167" s="421"/>
      <c r="W3167" s="421"/>
      <c r="X3167" s="421"/>
      <c r="Y3167" s="421"/>
      <c r="Z3167" s="421"/>
      <c r="AA3167" s="421"/>
      <c r="AB3167" s="421"/>
      <c r="AC3167" s="421"/>
      <c r="AD3167" s="421"/>
      <c r="AE3167" s="421"/>
      <c r="AF3167" s="421"/>
      <c r="AG3167" s="421"/>
      <c r="AH3167" s="421"/>
      <c r="AI3167" s="421"/>
      <c r="AJ3167" s="421"/>
      <c r="AK3167" s="421"/>
      <c r="AL3167" s="421"/>
    </row>
    <row r="3168" spans="1:38" hidden="1">
      <c r="A3168" s="408"/>
      <c r="B3168" s="83" t="e">
        <f t="array" ref="B3168">SUM(--(FREQUENCY(IF(C$2:C$3072=C3168, MATCH(D$2:D$3072, D$2:D$3072, 0)), ROW(D$2:D$3072)-ROW(D$2)+1) &gt; 0))</f>
        <v>#N/A</v>
      </c>
      <c r="C3168" s="408"/>
      <c r="D3168" s="408"/>
      <c r="E3168" s="408"/>
      <c r="F3168" s="408"/>
      <c r="G3168" s="408"/>
      <c r="H3168" s="408"/>
      <c r="I3168" s="408"/>
      <c r="J3168" s="408"/>
      <c r="K3168" s="408"/>
      <c r="L3168" s="408"/>
      <c r="M3168" s="408"/>
      <c r="N3168" s="408" t="str">
        <f t="shared" si="476"/>
        <v/>
      </c>
      <c r="O3168" s="408"/>
      <c r="P3168" s="408"/>
      <c r="Q3168" s="408"/>
      <c r="R3168" s="408"/>
      <c r="S3168" s="408"/>
      <c r="T3168" s="408"/>
      <c r="U3168" s="408"/>
      <c r="V3168" s="421"/>
      <c r="W3168" s="421"/>
      <c r="X3168" s="421"/>
      <c r="Y3168" s="421"/>
      <c r="Z3168" s="421"/>
      <c r="AA3168" s="421"/>
      <c r="AB3168" s="421"/>
      <c r="AC3168" s="421"/>
      <c r="AD3168" s="421"/>
      <c r="AE3168" s="421"/>
      <c r="AF3168" s="421"/>
      <c r="AG3168" s="421"/>
      <c r="AH3168" s="421"/>
      <c r="AI3168" s="421"/>
      <c r="AJ3168" s="421"/>
      <c r="AK3168" s="421"/>
      <c r="AL3168" s="421"/>
    </row>
    <row r="3169" spans="1:38" hidden="1">
      <c r="A3169" s="408"/>
      <c r="B3169" s="83" t="e">
        <f t="array" ref="B3169">SUM(--(FREQUENCY(IF(C$2:C$3072=C3169, MATCH(D$2:D$3072, D$2:D$3072, 0)), ROW(D$2:D$3072)-ROW(D$2)+1) &gt; 0))</f>
        <v>#N/A</v>
      </c>
      <c r="C3169" s="408"/>
      <c r="D3169" s="408"/>
      <c r="E3169" s="408"/>
      <c r="F3169" s="408"/>
      <c r="G3169" s="408"/>
      <c r="H3169" s="408"/>
      <c r="I3169" s="408"/>
      <c r="J3169" s="408"/>
      <c r="K3169" s="408"/>
      <c r="L3169" s="408"/>
      <c r="M3169" s="408"/>
      <c r="N3169" s="408" t="str">
        <f t="shared" si="476"/>
        <v/>
      </c>
      <c r="O3169" s="408"/>
      <c r="P3169" s="408"/>
      <c r="Q3169" s="408"/>
      <c r="R3169" s="408"/>
      <c r="S3169" s="408"/>
      <c r="T3169" s="408"/>
      <c r="U3169" s="408"/>
      <c r="V3169" s="421"/>
      <c r="W3169" s="421"/>
      <c r="X3169" s="421"/>
      <c r="Y3169" s="421"/>
      <c r="Z3169" s="421"/>
      <c r="AA3169" s="421"/>
      <c r="AB3169" s="421"/>
      <c r="AC3169" s="421"/>
      <c r="AD3169" s="421"/>
      <c r="AE3169" s="421"/>
      <c r="AF3169" s="421"/>
      <c r="AG3169" s="421"/>
      <c r="AH3169" s="421"/>
      <c r="AI3169" s="421"/>
      <c r="AJ3169" s="421"/>
      <c r="AK3169" s="421"/>
      <c r="AL3169" s="421"/>
    </row>
    <row r="3170" spans="1:38" hidden="1">
      <c r="A3170" s="408"/>
      <c r="B3170" s="83" t="e">
        <f t="array" ref="B3170">SUM(--(FREQUENCY(IF(C$2:C$3072=C3170, MATCH(D$2:D$3072, D$2:D$3072, 0)), ROW(D$2:D$3072)-ROW(D$2)+1) &gt; 0))</f>
        <v>#N/A</v>
      </c>
      <c r="C3170" s="408"/>
      <c r="D3170" s="408"/>
      <c r="E3170" s="408"/>
      <c r="F3170" s="408"/>
      <c r="G3170" s="408"/>
      <c r="H3170" s="408"/>
      <c r="I3170" s="408"/>
      <c r="J3170" s="408"/>
      <c r="K3170" s="408"/>
      <c r="L3170" s="408"/>
      <c r="M3170" s="408"/>
      <c r="N3170" s="408" t="str">
        <f t="shared" si="476"/>
        <v/>
      </c>
      <c r="O3170" s="408"/>
      <c r="P3170" s="408"/>
      <c r="Q3170" s="408"/>
      <c r="R3170" s="408"/>
      <c r="S3170" s="408"/>
      <c r="T3170" s="408"/>
      <c r="U3170" s="408"/>
      <c r="V3170" s="421"/>
      <c r="W3170" s="421"/>
      <c r="X3170" s="421"/>
      <c r="Y3170" s="421"/>
      <c r="Z3170" s="421"/>
      <c r="AA3170" s="421"/>
      <c r="AB3170" s="421"/>
      <c r="AC3170" s="421"/>
      <c r="AD3170" s="421"/>
      <c r="AE3170" s="421"/>
      <c r="AF3170" s="421"/>
      <c r="AG3170" s="421"/>
      <c r="AH3170" s="421"/>
      <c r="AI3170" s="421"/>
      <c r="AJ3170" s="421"/>
      <c r="AK3170" s="421"/>
      <c r="AL3170" s="421"/>
    </row>
    <row r="3171" spans="1:38" hidden="1">
      <c r="A3171" s="408"/>
      <c r="B3171" s="83" t="e">
        <f t="array" ref="B3171">SUM(--(FREQUENCY(IF(C$2:C$3072=C3171, MATCH(D$2:D$3072, D$2:D$3072, 0)), ROW(D$2:D$3072)-ROW(D$2)+1) &gt; 0))</f>
        <v>#N/A</v>
      </c>
      <c r="C3171" s="408"/>
      <c r="D3171" s="408"/>
      <c r="E3171" s="408"/>
      <c r="F3171" s="408"/>
      <c r="G3171" s="408"/>
      <c r="H3171" s="408"/>
      <c r="I3171" s="408"/>
      <c r="J3171" s="408"/>
      <c r="K3171" s="408"/>
      <c r="L3171" s="408"/>
      <c r="M3171" s="408"/>
      <c r="N3171" s="408" t="str">
        <f t="shared" si="476"/>
        <v/>
      </c>
      <c r="O3171" s="408"/>
      <c r="P3171" s="408"/>
      <c r="Q3171" s="408"/>
      <c r="R3171" s="408"/>
      <c r="S3171" s="408"/>
      <c r="T3171" s="408"/>
      <c r="U3171" s="408"/>
      <c r="V3171" s="421"/>
      <c r="W3171" s="421"/>
      <c r="X3171" s="421"/>
      <c r="Y3171" s="421"/>
      <c r="Z3171" s="421"/>
      <c r="AA3171" s="421"/>
      <c r="AB3171" s="421"/>
      <c r="AC3171" s="421"/>
      <c r="AD3171" s="421"/>
      <c r="AE3171" s="421"/>
      <c r="AF3171" s="421"/>
      <c r="AG3171" s="421"/>
      <c r="AH3171" s="421"/>
      <c r="AI3171" s="421"/>
      <c r="AJ3171" s="421"/>
      <c r="AK3171" s="421"/>
      <c r="AL3171" s="421"/>
    </row>
    <row r="3172" spans="1:38" hidden="1">
      <c r="A3172" s="408"/>
      <c r="B3172" s="83" t="e">
        <f t="array" ref="B3172">SUM(--(FREQUENCY(IF(C$2:C$3072=C3172, MATCH(D$2:D$3072, D$2:D$3072, 0)), ROW(D$2:D$3072)-ROW(D$2)+1) &gt; 0))</f>
        <v>#N/A</v>
      </c>
      <c r="C3172" s="408"/>
      <c r="D3172" s="408"/>
      <c r="E3172" s="408"/>
      <c r="F3172" s="408"/>
      <c r="G3172" s="408"/>
      <c r="H3172" s="408"/>
      <c r="I3172" s="408"/>
      <c r="J3172" s="408"/>
      <c r="K3172" s="408"/>
      <c r="L3172" s="408"/>
      <c r="M3172" s="408"/>
      <c r="N3172" s="408" t="str">
        <f t="shared" si="476"/>
        <v/>
      </c>
      <c r="O3172" s="408"/>
      <c r="P3172" s="408"/>
      <c r="Q3172" s="408"/>
      <c r="R3172" s="408"/>
      <c r="S3172" s="408"/>
      <c r="T3172" s="408"/>
      <c r="U3172" s="408"/>
      <c r="V3172" s="421"/>
      <c r="W3172" s="421"/>
      <c r="X3172" s="421"/>
      <c r="Y3172" s="421"/>
      <c r="Z3172" s="421"/>
      <c r="AA3172" s="421"/>
      <c r="AB3172" s="421"/>
      <c r="AC3172" s="421"/>
      <c r="AD3172" s="421"/>
      <c r="AE3172" s="421"/>
      <c r="AF3172" s="421"/>
      <c r="AG3172" s="421"/>
      <c r="AH3172" s="421"/>
      <c r="AI3172" s="421"/>
      <c r="AJ3172" s="421"/>
      <c r="AK3172" s="421"/>
      <c r="AL3172" s="421"/>
    </row>
    <row r="3173" spans="1:38" hidden="1">
      <c r="A3173" s="408"/>
      <c r="B3173" s="83" t="e">
        <f t="array" ref="B3173">SUM(--(FREQUENCY(IF(C$2:C$3072=C3173, MATCH(D$2:D$3072, D$2:D$3072, 0)), ROW(D$2:D$3072)-ROW(D$2)+1) &gt; 0))</f>
        <v>#N/A</v>
      </c>
      <c r="C3173" s="408"/>
      <c r="D3173" s="408"/>
      <c r="E3173" s="408"/>
      <c r="F3173" s="408"/>
      <c r="G3173" s="408"/>
      <c r="H3173" s="408"/>
      <c r="I3173" s="408"/>
      <c r="J3173" s="408"/>
      <c r="K3173" s="408"/>
      <c r="L3173" s="408"/>
      <c r="M3173" s="408"/>
      <c r="N3173" s="408" t="str">
        <f t="shared" si="476"/>
        <v/>
      </c>
      <c r="O3173" s="408"/>
      <c r="P3173" s="408"/>
      <c r="Q3173" s="408"/>
      <c r="R3173" s="408"/>
      <c r="S3173" s="408"/>
      <c r="T3173" s="408"/>
      <c r="U3173" s="408"/>
      <c r="V3173" s="421"/>
      <c r="W3173" s="421"/>
      <c r="X3173" s="421"/>
      <c r="Y3173" s="421"/>
      <c r="Z3173" s="421"/>
      <c r="AA3173" s="421"/>
      <c r="AB3173" s="421"/>
      <c r="AC3173" s="421"/>
      <c r="AD3173" s="421"/>
      <c r="AE3173" s="421"/>
      <c r="AF3173" s="421"/>
      <c r="AG3173" s="421"/>
      <c r="AH3173" s="421"/>
      <c r="AI3173" s="421"/>
      <c r="AJ3173" s="421"/>
      <c r="AK3173" s="421"/>
      <c r="AL3173" s="421"/>
    </row>
    <row r="3174" spans="1:38" hidden="1">
      <c r="A3174" s="408"/>
      <c r="B3174" s="83" t="e">
        <f t="array" ref="B3174">SUM(--(FREQUENCY(IF(C$2:C$3072=C3174, MATCH(D$2:D$3072, D$2:D$3072, 0)), ROW(D$2:D$3072)-ROW(D$2)+1) &gt; 0))</f>
        <v>#N/A</v>
      </c>
      <c r="C3174" s="408"/>
      <c r="D3174" s="408"/>
      <c r="E3174" s="408"/>
      <c r="F3174" s="408"/>
      <c r="G3174" s="408"/>
      <c r="H3174" s="408"/>
      <c r="I3174" s="408"/>
      <c r="J3174" s="408"/>
      <c r="K3174" s="408"/>
      <c r="L3174" s="408"/>
      <c r="M3174" s="408"/>
      <c r="N3174" s="408" t="str">
        <f t="shared" si="476"/>
        <v/>
      </c>
      <c r="O3174" s="408"/>
      <c r="P3174" s="408"/>
      <c r="Q3174" s="408"/>
      <c r="R3174" s="408"/>
      <c r="S3174" s="408"/>
      <c r="T3174" s="408"/>
      <c r="U3174" s="408"/>
      <c r="V3174" s="421"/>
      <c r="W3174" s="421"/>
      <c r="X3174" s="421"/>
      <c r="Y3174" s="421"/>
      <c r="Z3174" s="421"/>
      <c r="AA3174" s="421"/>
      <c r="AB3174" s="421"/>
      <c r="AC3174" s="421"/>
      <c r="AD3174" s="421"/>
      <c r="AE3174" s="421"/>
      <c r="AF3174" s="421"/>
      <c r="AG3174" s="421"/>
      <c r="AH3174" s="421"/>
      <c r="AI3174" s="421"/>
      <c r="AJ3174" s="421"/>
      <c r="AK3174" s="421"/>
      <c r="AL3174" s="421"/>
    </row>
    <row r="3175" spans="1:38" hidden="1">
      <c r="A3175" s="408"/>
      <c r="B3175" s="83" t="e">
        <f t="array" ref="B3175">SUM(--(FREQUENCY(IF(C$2:C$3072=C3175, MATCH(D$2:D$3072, D$2:D$3072, 0)), ROW(D$2:D$3072)-ROW(D$2)+1) &gt; 0))</f>
        <v>#N/A</v>
      </c>
      <c r="C3175" s="408"/>
      <c r="D3175" s="408"/>
      <c r="E3175" s="408"/>
      <c r="F3175" s="408"/>
      <c r="G3175" s="408"/>
      <c r="H3175" s="408"/>
      <c r="I3175" s="408"/>
      <c r="J3175" s="408"/>
      <c r="K3175" s="408"/>
      <c r="L3175" s="408"/>
      <c r="M3175" s="408"/>
      <c r="N3175" s="408" t="str">
        <f t="shared" si="476"/>
        <v/>
      </c>
      <c r="O3175" s="408"/>
      <c r="P3175" s="408"/>
      <c r="Q3175" s="408"/>
      <c r="R3175" s="408"/>
      <c r="S3175" s="408"/>
      <c r="T3175" s="408"/>
      <c r="U3175" s="408"/>
      <c r="V3175" s="421"/>
      <c r="W3175" s="421"/>
      <c r="X3175" s="421"/>
      <c r="Y3175" s="421"/>
      <c r="Z3175" s="421"/>
      <c r="AA3175" s="421"/>
      <c r="AB3175" s="421"/>
      <c r="AC3175" s="421"/>
      <c r="AD3175" s="421"/>
      <c r="AE3175" s="421"/>
      <c r="AF3175" s="421"/>
      <c r="AG3175" s="421"/>
      <c r="AH3175" s="421"/>
      <c r="AI3175" s="421"/>
      <c r="AJ3175" s="421"/>
      <c r="AK3175" s="421"/>
      <c r="AL3175" s="421"/>
    </row>
    <row r="3176" spans="1:38" hidden="1">
      <c r="A3176" s="408"/>
      <c r="B3176" s="83" t="e">
        <f t="array" ref="B3176">SUM(--(FREQUENCY(IF(C$2:C$3072=C3176, MATCH(D$2:D$3072, D$2:D$3072, 0)), ROW(D$2:D$3072)-ROW(D$2)+1) &gt; 0))</f>
        <v>#N/A</v>
      </c>
      <c r="C3176" s="408"/>
      <c r="D3176" s="408"/>
      <c r="E3176" s="408"/>
      <c r="F3176" s="408"/>
      <c r="G3176" s="408"/>
      <c r="H3176" s="408"/>
      <c r="I3176" s="408"/>
      <c r="J3176" s="408"/>
      <c r="K3176" s="408"/>
      <c r="L3176" s="408"/>
      <c r="M3176" s="408"/>
      <c r="N3176" s="408" t="str">
        <f t="shared" si="476"/>
        <v/>
      </c>
      <c r="O3176" s="408"/>
      <c r="P3176" s="408"/>
      <c r="Q3176" s="408"/>
      <c r="R3176" s="408"/>
      <c r="S3176" s="408"/>
      <c r="T3176" s="408"/>
      <c r="U3176" s="408"/>
      <c r="V3176" s="421"/>
      <c r="W3176" s="421"/>
      <c r="X3176" s="421"/>
      <c r="Y3176" s="421"/>
      <c r="Z3176" s="421"/>
      <c r="AA3176" s="421"/>
      <c r="AB3176" s="421"/>
      <c r="AC3176" s="421"/>
      <c r="AD3176" s="421"/>
      <c r="AE3176" s="421"/>
      <c r="AF3176" s="421"/>
      <c r="AG3176" s="421"/>
      <c r="AH3176" s="421"/>
      <c r="AI3176" s="421"/>
      <c r="AJ3176" s="421"/>
      <c r="AK3176" s="421"/>
      <c r="AL3176" s="421"/>
    </row>
    <row r="3177" spans="1:38" hidden="1">
      <c r="A3177" s="408"/>
      <c r="B3177" s="83" t="e">
        <f t="array" ref="B3177">SUM(--(FREQUENCY(IF(C$2:C$3072=C3177, MATCH(D$2:D$3072, D$2:D$3072, 0)), ROW(D$2:D$3072)-ROW(D$2)+1) &gt; 0))</f>
        <v>#N/A</v>
      </c>
      <c r="C3177" s="408"/>
      <c r="D3177" s="408"/>
      <c r="E3177" s="408"/>
      <c r="F3177" s="408"/>
      <c r="G3177" s="408"/>
      <c r="H3177" s="408"/>
      <c r="I3177" s="408"/>
      <c r="J3177" s="408"/>
      <c r="K3177" s="408"/>
      <c r="L3177" s="408"/>
      <c r="M3177" s="408"/>
      <c r="N3177" s="408" t="str">
        <f t="shared" si="476"/>
        <v/>
      </c>
      <c r="O3177" s="408"/>
      <c r="P3177" s="408"/>
      <c r="Q3177" s="408"/>
      <c r="R3177" s="408"/>
      <c r="S3177" s="408"/>
      <c r="T3177" s="408"/>
      <c r="U3177" s="408"/>
      <c r="V3177" s="421"/>
      <c r="W3177" s="421"/>
      <c r="X3177" s="421"/>
      <c r="Y3177" s="421"/>
      <c r="Z3177" s="421"/>
      <c r="AA3177" s="421"/>
      <c r="AB3177" s="421"/>
      <c r="AC3177" s="421"/>
      <c r="AD3177" s="421"/>
      <c r="AE3177" s="421"/>
      <c r="AF3177" s="421"/>
      <c r="AG3177" s="421"/>
      <c r="AH3177" s="421"/>
      <c r="AI3177" s="421"/>
      <c r="AJ3177" s="421"/>
      <c r="AK3177" s="421"/>
      <c r="AL3177" s="421"/>
    </row>
    <row r="3178" spans="1:38" hidden="1">
      <c r="A3178" s="408"/>
      <c r="B3178" s="83" t="e">
        <f t="array" ref="B3178">SUM(--(FREQUENCY(IF(C$2:C$3072=C3178, MATCH(D$2:D$3072, D$2:D$3072, 0)), ROW(D$2:D$3072)-ROW(D$2)+1) &gt; 0))</f>
        <v>#N/A</v>
      </c>
      <c r="C3178" s="408"/>
      <c r="D3178" s="408"/>
      <c r="E3178" s="408"/>
      <c r="F3178" s="408"/>
      <c r="G3178" s="408"/>
      <c r="H3178" s="408"/>
      <c r="I3178" s="408"/>
      <c r="J3178" s="408"/>
      <c r="K3178" s="408"/>
      <c r="L3178" s="408"/>
      <c r="M3178" s="408"/>
      <c r="N3178" s="408" t="str">
        <f t="shared" si="476"/>
        <v/>
      </c>
      <c r="O3178" s="408"/>
      <c r="P3178" s="408"/>
      <c r="Q3178" s="408"/>
      <c r="R3178" s="408"/>
      <c r="S3178" s="408"/>
      <c r="T3178" s="408"/>
      <c r="U3178" s="408"/>
      <c r="V3178" s="421"/>
      <c r="W3178" s="421"/>
      <c r="X3178" s="421"/>
      <c r="Y3178" s="421"/>
      <c r="Z3178" s="421"/>
      <c r="AA3178" s="421"/>
      <c r="AB3178" s="421"/>
      <c r="AC3178" s="421"/>
      <c r="AD3178" s="421"/>
      <c r="AE3178" s="421"/>
      <c r="AF3178" s="421"/>
      <c r="AG3178" s="421"/>
      <c r="AH3178" s="421"/>
      <c r="AI3178" s="421"/>
      <c r="AJ3178" s="421"/>
      <c r="AK3178" s="421"/>
      <c r="AL3178" s="421"/>
    </row>
    <row r="3179" spans="1:38" hidden="1">
      <c r="A3179" s="408"/>
      <c r="B3179" s="83" t="e">
        <f t="array" ref="B3179">SUM(--(FREQUENCY(IF(C$2:C$3072=C3179, MATCH(D$2:D$3072, D$2:D$3072, 0)), ROW(D$2:D$3072)-ROW(D$2)+1) &gt; 0))</f>
        <v>#N/A</v>
      </c>
      <c r="C3179" s="408"/>
      <c r="D3179" s="408"/>
      <c r="E3179" s="408"/>
      <c r="F3179" s="408"/>
      <c r="G3179" s="408"/>
      <c r="H3179" s="408"/>
      <c r="I3179" s="408"/>
      <c r="J3179" s="408"/>
      <c r="K3179" s="408"/>
      <c r="L3179" s="408"/>
      <c r="M3179" s="408"/>
      <c r="N3179" s="408" t="str">
        <f t="shared" si="476"/>
        <v/>
      </c>
      <c r="O3179" s="408"/>
      <c r="P3179" s="408"/>
      <c r="Q3179" s="408"/>
      <c r="R3179" s="408"/>
      <c r="S3179" s="408"/>
      <c r="T3179" s="408"/>
      <c r="U3179" s="408"/>
      <c r="V3179" s="421"/>
      <c r="W3179" s="421"/>
      <c r="X3179" s="421"/>
      <c r="Y3179" s="421"/>
      <c r="Z3179" s="421"/>
      <c r="AA3179" s="421"/>
      <c r="AB3179" s="421"/>
      <c r="AC3179" s="421"/>
      <c r="AD3179" s="421"/>
      <c r="AE3179" s="421"/>
      <c r="AF3179" s="421"/>
      <c r="AG3179" s="421"/>
      <c r="AH3179" s="421"/>
      <c r="AI3179" s="421"/>
      <c r="AJ3179" s="421"/>
      <c r="AK3179" s="421"/>
      <c r="AL3179" s="421"/>
    </row>
    <row r="3180" spans="1:38" hidden="1">
      <c r="A3180" s="408"/>
      <c r="B3180" s="83" t="e">
        <f t="array" ref="B3180">SUM(--(FREQUENCY(IF(C$2:C$3072=C3180, MATCH(D$2:D$3072, D$2:D$3072, 0)), ROW(D$2:D$3072)-ROW(D$2)+1) &gt; 0))</f>
        <v>#N/A</v>
      </c>
      <c r="C3180" s="408"/>
      <c r="D3180" s="408"/>
      <c r="E3180" s="408"/>
      <c r="F3180" s="408"/>
      <c r="G3180" s="408"/>
      <c r="H3180" s="408"/>
      <c r="I3180" s="408"/>
      <c r="J3180" s="408"/>
      <c r="K3180" s="408"/>
      <c r="L3180" s="408"/>
      <c r="M3180" s="408"/>
      <c r="N3180" s="408" t="str">
        <f t="shared" si="476"/>
        <v/>
      </c>
      <c r="O3180" s="408"/>
      <c r="P3180" s="408"/>
      <c r="Q3180" s="408"/>
      <c r="R3180" s="408"/>
      <c r="S3180" s="408"/>
      <c r="T3180" s="408"/>
      <c r="U3180" s="408"/>
      <c r="V3180" s="421"/>
      <c r="W3180" s="421"/>
      <c r="X3180" s="421"/>
      <c r="Y3180" s="421"/>
      <c r="Z3180" s="421"/>
      <c r="AA3180" s="421"/>
      <c r="AB3180" s="421"/>
      <c r="AC3180" s="421"/>
      <c r="AD3180" s="421"/>
      <c r="AE3180" s="421"/>
      <c r="AF3180" s="421"/>
      <c r="AG3180" s="421"/>
      <c r="AH3180" s="421"/>
      <c r="AI3180" s="421"/>
      <c r="AJ3180" s="421"/>
      <c r="AK3180" s="421"/>
      <c r="AL3180" s="421"/>
    </row>
    <row r="3181" spans="1:38" hidden="1">
      <c r="A3181" s="408"/>
      <c r="B3181" s="83" t="e">
        <f t="array" ref="B3181">SUM(--(FREQUENCY(IF(C$2:C$3072=C3181, MATCH(D$2:D$3072, D$2:D$3072, 0)), ROW(D$2:D$3072)-ROW(D$2)+1) &gt; 0))</f>
        <v>#N/A</v>
      </c>
      <c r="C3181" s="408"/>
      <c r="D3181" s="408"/>
      <c r="E3181" s="408"/>
      <c r="F3181" s="408"/>
      <c r="G3181" s="408"/>
      <c r="H3181" s="408"/>
      <c r="I3181" s="408"/>
      <c r="J3181" s="408"/>
      <c r="K3181" s="408"/>
      <c r="L3181" s="408"/>
      <c r="M3181" s="408"/>
      <c r="N3181" s="408" t="str">
        <f t="shared" si="476"/>
        <v/>
      </c>
      <c r="O3181" s="408"/>
      <c r="P3181" s="408"/>
      <c r="Q3181" s="408"/>
      <c r="R3181" s="408"/>
      <c r="S3181" s="408"/>
      <c r="T3181" s="408"/>
      <c r="U3181" s="408"/>
      <c r="V3181" s="421"/>
      <c r="W3181" s="421"/>
      <c r="X3181" s="421"/>
      <c r="Y3181" s="421"/>
      <c r="Z3181" s="421"/>
      <c r="AA3181" s="421"/>
      <c r="AB3181" s="421"/>
      <c r="AC3181" s="421"/>
      <c r="AD3181" s="421"/>
      <c r="AE3181" s="421"/>
      <c r="AF3181" s="421"/>
      <c r="AG3181" s="421"/>
      <c r="AH3181" s="421"/>
      <c r="AI3181" s="421"/>
      <c r="AJ3181" s="421"/>
      <c r="AK3181" s="421"/>
      <c r="AL3181" s="421"/>
    </row>
    <row r="3182" spans="1:38" hidden="1">
      <c r="A3182" s="408"/>
      <c r="B3182" s="83" t="e">
        <f t="array" ref="B3182">SUM(--(FREQUENCY(IF(C$2:C$3072=C3182, MATCH(D$2:D$3072, D$2:D$3072, 0)), ROW(D$2:D$3072)-ROW(D$2)+1) &gt; 0))</f>
        <v>#N/A</v>
      </c>
      <c r="C3182" s="408"/>
      <c r="D3182" s="408"/>
      <c r="E3182" s="408"/>
      <c r="F3182" s="408"/>
      <c r="G3182" s="408"/>
      <c r="H3182" s="408"/>
      <c r="I3182" s="408"/>
      <c r="J3182" s="408"/>
      <c r="K3182" s="408"/>
      <c r="L3182" s="408"/>
      <c r="M3182" s="408"/>
      <c r="N3182" s="408" t="str">
        <f t="shared" si="476"/>
        <v/>
      </c>
      <c r="O3182" s="408"/>
      <c r="P3182" s="408"/>
      <c r="Q3182" s="408"/>
      <c r="R3182" s="408"/>
      <c r="S3182" s="408"/>
      <c r="T3182" s="408"/>
      <c r="U3182" s="408"/>
      <c r="V3182" s="421"/>
      <c r="W3182" s="421"/>
      <c r="X3182" s="421"/>
      <c r="Y3182" s="421"/>
      <c r="Z3182" s="421"/>
      <c r="AA3182" s="421"/>
      <c r="AB3182" s="421"/>
      <c r="AC3182" s="421"/>
      <c r="AD3182" s="421"/>
      <c r="AE3182" s="421"/>
      <c r="AF3182" s="421"/>
      <c r="AG3182" s="421"/>
      <c r="AH3182" s="421"/>
      <c r="AI3182" s="421"/>
      <c r="AJ3182" s="421"/>
      <c r="AK3182" s="421"/>
      <c r="AL3182" s="421"/>
    </row>
    <row r="3183" spans="1:38" hidden="1">
      <c r="A3183" s="408"/>
      <c r="B3183" s="83" t="e">
        <f t="array" ref="B3183">SUM(--(FREQUENCY(IF(C$2:C$3072=C3183, MATCH(D$2:D$3072, D$2:D$3072, 0)), ROW(D$2:D$3072)-ROW(D$2)+1) &gt; 0))</f>
        <v>#N/A</v>
      </c>
      <c r="C3183" s="408"/>
      <c r="D3183" s="408"/>
      <c r="E3183" s="408"/>
      <c r="F3183" s="408"/>
      <c r="G3183" s="408"/>
      <c r="H3183" s="408"/>
      <c r="I3183" s="408"/>
      <c r="J3183" s="408"/>
      <c r="K3183" s="408"/>
      <c r="L3183" s="408"/>
      <c r="M3183" s="408"/>
      <c r="N3183" s="408" t="str">
        <f t="shared" si="476"/>
        <v/>
      </c>
      <c r="O3183" s="408"/>
      <c r="P3183" s="408"/>
      <c r="Q3183" s="408"/>
      <c r="R3183" s="408"/>
      <c r="S3183" s="408"/>
      <c r="T3183" s="408"/>
      <c r="U3183" s="408"/>
      <c r="V3183" s="421"/>
      <c r="W3183" s="421"/>
      <c r="X3183" s="421"/>
      <c r="Y3183" s="421"/>
      <c r="Z3183" s="421"/>
      <c r="AA3183" s="421"/>
      <c r="AB3183" s="421"/>
      <c r="AC3183" s="421"/>
      <c r="AD3183" s="421"/>
      <c r="AE3183" s="421"/>
      <c r="AF3183" s="421"/>
      <c r="AG3183" s="421"/>
      <c r="AH3183" s="421"/>
      <c r="AI3183" s="421"/>
      <c r="AJ3183" s="421"/>
      <c r="AK3183" s="421"/>
      <c r="AL3183" s="421"/>
    </row>
    <row r="3184" spans="1:38" hidden="1">
      <c r="A3184" s="408"/>
      <c r="B3184" s="83" t="e">
        <f t="array" ref="B3184">SUM(--(FREQUENCY(IF(C$2:C$3072=C3184, MATCH(D$2:D$3072, D$2:D$3072, 0)), ROW(D$2:D$3072)-ROW(D$2)+1) &gt; 0))</f>
        <v>#N/A</v>
      </c>
      <c r="C3184" s="408"/>
      <c r="D3184" s="408"/>
      <c r="E3184" s="408"/>
      <c r="F3184" s="408"/>
      <c r="G3184" s="408"/>
      <c r="H3184" s="408"/>
      <c r="I3184" s="408"/>
      <c r="J3184" s="408"/>
      <c r="K3184" s="408"/>
      <c r="L3184" s="408"/>
      <c r="M3184" s="408"/>
      <c r="N3184" s="408" t="str">
        <f t="shared" si="476"/>
        <v/>
      </c>
      <c r="O3184" s="408"/>
      <c r="P3184" s="408"/>
      <c r="Q3184" s="408"/>
      <c r="R3184" s="408"/>
      <c r="S3184" s="408"/>
      <c r="T3184" s="408"/>
      <c r="U3184" s="408"/>
      <c r="V3184" s="421"/>
      <c r="W3184" s="421"/>
      <c r="X3184" s="421"/>
      <c r="Y3184" s="421"/>
      <c r="Z3184" s="421"/>
      <c r="AA3184" s="421"/>
      <c r="AB3184" s="421"/>
      <c r="AC3184" s="421"/>
      <c r="AD3184" s="421"/>
      <c r="AE3184" s="421"/>
      <c r="AF3184" s="421"/>
      <c r="AG3184" s="421"/>
      <c r="AH3184" s="421"/>
      <c r="AI3184" s="421"/>
      <c r="AJ3184" s="421"/>
      <c r="AK3184" s="421"/>
      <c r="AL3184" s="421"/>
    </row>
    <row r="3185" spans="1:38" hidden="1">
      <c r="A3185" s="408"/>
      <c r="B3185" s="83" t="e">
        <f t="array" ref="B3185">SUM(--(FREQUENCY(IF(C$2:C$3072=C3185, MATCH(D$2:D$3072, D$2:D$3072, 0)), ROW(D$2:D$3072)-ROW(D$2)+1) &gt; 0))</f>
        <v>#N/A</v>
      </c>
      <c r="C3185" s="408"/>
      <c r="D3185" s="408"/>
      <c r="E3185" s="408"/>
      <c r="F3185" s="408"/>
      <c r="G3185" s="408"/>
      <c r="H3185" s="408"/>
      <c r="I3185" s="408"/>
      <c r="J3185" s="408"/>
      <c r="K3185" s="408"/>
      <c r="L3185" s="408"/>
      <c r="M3185" s="408"/>
      <c r="N3185" s="408" t="str">
        <f t="shared" si="476"/>
        <v/>
      </c>
      <c r="O3185" s="408"/>
      <c r="P3185" s="408"/>
      <c r="Q3185" s="408"/>
      <c r="R3185" s="408"/>
      <c r="S3185" s="408"/>
      <c r="T3185" s="408"/>
      <c r="U3185" s="408"/>
      <c r="V3185" s="421"/>
      <c r="W3185" s="421"/>
      <c r="X3185" s="421"/>
      <c r="Y3185" s="421"/>
      <c r="Z3185" s="421"/>
      <c r="AA3185" s="421"/>
      <c r="AB3185" s="421"/>
      <c r="AC3185" s="421"/>
      <c r="AD3185" s="421"/>
      <c r="AE3185" s="421"/>
      <c r="AF3185" s="421"/>
      <c r="AG3185" s="421"/>
      <c r="AH3185" s="421"/>
      <c r="AI3185" s="421"/>
      <c r="AJ3185" s="421"/>
      <c r="AK3185" s="421"/>
      <c r="AL3185" s="421"/>
    </row>
    <row r="3186" spans="1:38" hidden="1">
      <c r="A3186" s="408"/>
      <c r="B3186" s="83" t="e">
        <f t="array" ref="B3186">SUM(--(FREQUENCY(IF(C$2:C$3072=C3186, MATCH(D$2:D$3072, D$2:D$3072, 0)), ROW(D$2:D$3072)-ROW(D$2)+1) &gt; 0))</f>
        <v>#N/A</v>
      </c>
      <c r="C3186" s="408"/>
      <c r="D3186" s="408"/>
      <c r="E3186" s="408"/>
      <c r="F3186" s="408"/>
      <c r="G3186" s="408"/>
      <c r="H3186" s="408"/>
      <c r="I3186" s="408"/>
      <c r="J3186" s="408"/>
      <c r="K3186" s="408"/>
      <c r="L3186" s="408"/>
      <c r="M3186" s="408"/>
      <c r="N3186" s="408" t="str">
        <f t="shared" si="476"/>
        <v/>
      </c>
      <c r="O3186" s="408"/>
      <c r="P3186" s="408"/>
      <c r="Q3186" s="408"/>
      <c r="R3186" s="408"/>
      <c r="S3186" s="408"/>
      <c r="T3186" s="408"/>
      <c r="U3186" s="408"/>
      <c r="V3186" s="421"/>
      <c r="W3186" s="421"/>
      <c r="X3186" s="421"/>
      <c r="Y3186" s="421"/>
      <c r="Z3186" s="421"/>
      <c r="AA3186" s="421"/>
      <c r="AB3186" s="421"/>
      <c r="AC3186" s="421"/>
      <c r="AD3186" s="421"/>
      <c r="AE3186" s="421"/>
      <c r="AF3186" s="421"/>
      <c r="AG3186" s="421"/>
      <c r="AH3186" s="421"/>
      <c r="AI3186" s="421"/>
      <c r="AJ3186" s="421"/>
      <c r="AK3186" s="421"/>
      <c r="AL3186" s="421"/>
    </row>
    <row r="3187" spans="1:38" hidden="1">
      <c r="A3187" s="408"/>
      <c r="B3187" s="83" t="e">
        <f t="array" ref="B3187">SUM(--(FREQUENCY(IF(C$2:C$3072=C3187, MATCH(D$2:D$3072, D$2:D$3072, 0)), ROW(D$2:D$3072)-ROW(D$2)+1) &gt; 0))</f>
        <v>#N/A</v>
      </c>
      <c r="C3187" s="408"/>
      <c r="D3187" s="408"/>
      <c r="E3187" s="408"/>
      <c r="F3187" s="408"/>
      <c r="G3187" s="408"/>
      <c r="H3187" s="408"/>
      <c r="I3187" s="408"/>
      <c r="J3187" s="408"/>
      <c r="K3187" s="408"/>
      <c r="L3187" s="408"/>
      <c r="M3187" s="408"/>
      <c r="N3187" s="408" t="str">
        <f t="shared" si="476"/>
        <v/>
      </c>
      <c r="O3187" s="408"/>
      <c r="P3187" s="408"/>
      <c r="Q3187" s="408"/>
      <c r="R3187" s="408"/>
      <c r="S3187" s="408"/>
      <c r="T3187" s="408"/>
      <c r="U3187" s="408"/>
      <c r="V3187" s="421"/>
      <c r="W3187" s="421"/>
      <c r="X3187" s="421"/>
      <c r="Y3187" s="421"/>
      <c r="Z3187" s="421"/>
      <c r="AA3187" s="421"/>
      <c r="AB3187" s="421"/>
      <c r="AC3187" s="421"/>
      <c r="AD3187" s="421"/>
      <c r="AE3187" s="421"/>
      <c r="AF3187" s="421"/>
      <c r="AG3187" s="421"/>
      <c r="AH3187" s="421"/>
      <c r="AI3187" s="421"/>
      <c r="AJ3187" s="421"/>
      <c r="AK3187" s="421"/>
      <c r="AL3187" s="421"/>
    </row>
    <row r="3188" spans="1:38" hidden="1">
      <c r="A3188" s="408"/>
      <c r="B3188" s="83" t="e">
        <f t="array" ref="B3188">SUM(--(FREQUENCY(IF(C$2:C$3072=C3188, MATCH(D$2:D$3072, D$2:D$3072, 0)), ROW(D$2:D$3072)-ROW(D$2)+1) &gt; 0))</f>
        <v>#N/A</v>
      </c>
      <c r="C3188" s="408"/>
      <c r="D3188" s="408"/>
      <c r="E3188" s="408"/>
      <c r="F3188" s="408"/>
      <c r="G3188" s="408"/>
      <c r="H3188" s="408"/>
      <c r="I3188" s="408"/>
      <c r="J3188" s="408"/>
      <c r="K3188" s="408"/>
      <c r="L3188" s="408"/>
      <c r="M3188" s="408"/>
      <c r="N3188" s="408" t="str">
        <f t="shared" si="476"/>
        <v/>
      </c>
      <c r="O3188" s="408"/>
      <c r="P3188" s="408"/>
      <c r="Q3188" s="408"/>
      <c r="R3188" s="408"/>
      <c r="S3188" s="408"/>
      <c r="T3188" s="408"/>
      <c r="U3188" s="408"/>
      <c r="V3188" s="421"/>
      <c r="W3188" s="421"/>
      <c r="X3188" s="421"/>
      <c r="Y3188" s="421"/>
      <c r="Z3188" s="421"/>
      <c r="AA3188" s="421"/>
      <c r="AB3188" s="421"/>
      <c r="AC3188" s="421"/>
      <c r="AD3188" s="421"/>
      <c r="AE3188" s="421"/>
      <c r="AF3188" s="421"/>
      <c r="AG3188" s="421"/>
      <c r="AH3188" s="421"/>
      <c r="AI3188" s="421"/>
      <c r="AJ3188" s="421"/>
      <c r="AK3188" s="421"/>
      <c r="AL3188" s="421"/>
    </row>
    <row r="3189" spans="1:38" hidden="1">
      <c r="A3189" s="408"/>
      <c r="B3189" s="83" t="e">
        <f t="array" ref="B3189">SUM(--(FREQUENCY(IF(C$2:C$3072=C3189, MATCH(D$2:D$3072, D$2:D$3072, 0)), ROW(D$2:D$3072)-ROW(D$2)+1) &gt; 0))</f>
        <v>#N/A</v>
      </c>
      <c r="C3189" s="408"/>
      <c r="D3189" s="408"/>
      <c r="E3189" s="408"/>
      <c r="F3189" s="408"/>
      <c r="G3189" s="408"/>
      <c r="H3189" s="408"/>
      <c r="I3189" s="408"/>
      <c r="J3189" s="408"/>
      <c r="K3189" s="408"/>
      <c r="L3189" s="408"/>
      <c r="M3189" s="408"/>
      <c r="N3189" s="408" t="str">
        <f t="shared" si="476"/>
        <v/>
      </c>
      <c r="O3189" s="408"/>
      <c r="P3189" s="408"/>
      <c r="Q3189" s="408"/>
      <c r="R3189" s="408"/>
      <c r="S3189" s="408"/>
      <c r="T3189" s="408"/>
      <c r="U3189" s="408"/>
      <c r="V3189" s="421"/>
      <c r="W3189" s="421"/>
      <c r="X3189" s="421"/>
      <c r="Y3189" s="421"/>
      <c r="Z3189" s="421"/>
      <c r="AA3189" s="421"/>
      <c r="AB3189" s="421"/>
      <c r="AC3189" s="421"/>
      <c r="AD3189" s="421"/>
      <c r="AE3189" s="421"/>
      <c r="AF3189" s="421"/>
      <c r="AG3189" s="421"/>
      <c r="AH3189" s="421"/>
      <c r="AI3189" s="421"/>
      <c r="AJ3189" s="421"/>
      <c r="AK3189" s="421"/>
      <c r="AL3189" s="421"/>
    </row>
    <row r="3190" spans="1:38" hidden="1">
      <c r="A3190" s="408"/>
      <c r="B3190" s="83" t="e">
        <f t="array" ref="B3190">SUM(--(FREQUENCY(IF(C$2:C$3072=C3190, MATCH(D$2:D$3072, D$2:D$3072, 0)), ROW(D$2:D$3072)-ROW(D$2)+1) &gt; 0))</f>
        <v>#N/A</v>
      </c>
      <c r="C3190" s="408"/>
      <c r="D3190" s="408"/>
      <c r="E3190" s="408"/>
      <c r="F3190" s="408"/>
      <c r="G3190" s="408"/>
      <c r="H3190" s="408"/>
      <c r="I3190" s="408"/>
      <c r="J3190" s="408"/>
      <c r="K3190" s="408"/>
      <c r="L3190" s="408"/>
      <c r="M3190" s="408"/>
      <c r="N3190" s="408" t="str">
        <f t="shared" si="476"/>
        <v/>
      </c>
      <c r="O3190" s="408"/>
      <c r="P3190" s="408"/>
      <c r="Q3190" s="408"/>
      <c r="R3190" s="408"/>
      <c r="S3190" s="408"/>
      <c r="T3190" s="408"/>
      <c r="U3190" s="408"/>
      <c r="V3190" s="421"/>
      <c r="W3190" s="421"/>
      <c r="X3190" s="421"/>
      <c r="Y3190" s="421"/>
      <c r="Z3190" s="421"/>
      <c r="AA3190" s="421"/>
      <c r="AB3190" s="421"/>
      <c r="AC3190" s="421"/>
      <c r="AD3190" s="421"/>
      <c r="AE3190" s="421"/>
      <c r="AF3190" s="421"/>
      <c r="AG3190" s="421"/>
      <c r="AH3190" s="421"/>
      <c r="AI3190" s="421"/>
      <c r="AJ3190" s="421"/>
      <c r="AK3190" s="421"/>
      <c r="AL3190" s="421"/>
    </row>
    <row r="3191" spans="1:38" hidden="1">
      <c r="A3191" s="408"/>
      <c r="B3191" s="83" t="e">
        <f t="array" ref="B3191">SUM(--(FREQUENCY(IF(C$2:C$3072=C3191, MATCH(D$2:D$3072, D$2:D$3072, 0)), ROW(D$2:D$3072)-ROW(D$2)+1) &gt; 0))</f>
        <v>#N/A</v>
      </c>
      <c r="C3191" s="408"/>
      <c r="D3191" s="408"/>
      <c r="E3191" s="408"/>
      <c r="F3191" s="408"/>
      <c r="G3191" s="408"/>
      <c r="H3191" s="408"/>
      <c r="I3191" s="408"/>
      <c r="J3191" s="408"/>
      <c r="K3191" s="408"/>
      <c r="L3191" s="408"/>
      <c r="M3191" s="408"/>
      <c r="N3191" s="408" t="str">
        <f t="shared" si="476"/>
        <v/>
      </c>
      <c r="O3191" s="408"/>
      <c r="P3191" s="408"/>
      <c r="Q3191" s="408"/>
      <c r="R3191" s="408"/>
      <c r="S3191" s="408"/>
      <c r="T3191" s="408"/>
      <c r="U3191" s="408"/>
      <c r="V3191" s="421"/>
      <c r="W3191" s="421"/>
      <c r="X3191" s="421"/>
      <c r="Y3191" s="421"/>
      <c r="Z3191" s="421"/>
      <c r="AA3191" s="421"/>
      <c r="AB3191" s="421"/>
      <c r="AC3191" s="421"/>
      <c r="AD3191" s="421"/>
      <c r="AE3191" s="421"/>
      <c r="AF3191" s="421"/>
      <c r="AG3191" s="421"/>
      <c r="AH3191" s="421"/>
      <c r="AI3191" s="421"/>
      <c r="AJ3191" s="421"/>
      <c r="AK3191" s="421"/>
      <c r="AL3191" s="421"/>
    </row>
    <row r="3192" spans="1:38" hidden="1">
      <c r="A3192" s="408"/>
      <c r="B3192" s="83" t="e">
        <f t="array" ref="B3192">SUM(--(FREQUENCY(IF(C$2:C$3072=C3192, MATCH(D$2:D$3072, D$2:D$3072, 0)), ROW(D$2:D$3072)-ROW(D$2)+1) &gt; 0))</f>
        <v>#N/A</v>
      </c>
      <c r="C3192" s="408"/>
      <c r="D3192" s="408"/>
      <c r="E3192" s="408"/>
      <c r="F3192" s="408"/>
      <c r="G3192" s="408"/>
      <c r="H3192" s="408"/>
      <c r="I3192" s="408"/>
      <c r="J3192" s="408"/>
      <c r="K3192" s="408"/>
      <c r="L3192" s="408"/>
      <c r="M3192" s="408"/>
      <c r="N3192" s="408" t="str">
        <f t="shared" si="476"/>
        <v/>
      </c>
      <c r="O3192" s="408"/>
      <c r="P3192" s="408"/>
      <c r="Q3192" s="408"/>
      <c r="R3192" s="408"/>
      <c r="S3192" s="408"/>
      <c r="T3192" s="408"/>
      <c r="U3192" s="408"/>
      <c r="V3192" s="421"/>
      <c r="W3192" s="421"/>
      <c r="X3192" s="421"/>
      <c r="Y3192" s="421"/>
      <c r="Z3192" s="421"/>
      <c r="AA3192" s="421"/>
      <c r="AB3192" s="421"/>
      <c r="AC3192" s="421"/>
      <c r="AD3192" s="421"/>
      <c r="AE3192" s="421"/>
      <c r="AF3192" s="421"/>
      <c r="AG3192" s="421"/>
      <c r="AH3192" s="421"/>
      <c r="AI3192" s="421"/>
      <c r="AJ3192" s="421"/>
      <c r="AK3192" s="421"/>
      <c r="AL3192" s="421"/>
    </row>
    <row r="3193" spans="1:38" hidden="1">
      <c r="A3193" s="408"/>
      <c r="B3193" s="83" t="e">
        <f t="array" ref="B3193">SUM(--(FREQUENCY(IF(C$2:C$3072=C3193, MATCH(D$2:D$3072, D$2:D$3072, 0)), ROW(D$2:D$3072)-ROW(D$2)+1) &gt; 0))</f>
        <v>#N/A</v>
      </c>
      <c r="C3193" s="408"/>
      <c r="D3193" s="408"/>
      <c r="E3193" s="408"/>
      <c r="F3193" s="408"/>
      <c r="G3193" s="408"/>
      <c r="H3193" s="408"/>
      <c r="I3193" s="408"/>
      <c r="J3193" s="408"/>
      <c r="K3193" s="408"/>
      <c r="L3193" s="408"/>
      <c r="M3193" s="408"/>
      <c r="N3193" s="408" t="str">
        <f t="shared" si="476"/>
        <v/>
      </c>
      <c r="O3193" s="408"/>
      <c r="P3193" s="408"/>
      <c r="Q3193" s="408"/>
      <c r="R3193" s="408"/>
      <c r="S3193" s="408"/>
      <c r="T3193" s="408"/>
      <c r="U3193" s="408"/>
      <c r="V3193" s="421"/>
      <c r="W3193" s="421"/>
      <c r="X3193" s="421"/>
      <c r="Y3193" s="421"/>
      <c r="Z3193" s="421"/>
      <c r="AA3193" s="421"/>
      <c r="AB3193" s="421"/>
      <c r="AC3193" s="421"/>
      <c r="AD3193" s="421"/>
      <c r="AE3193" s="421"/>
      <c r="AF3193" s="421"/>
      <c r="AG3193" s="421"/>
      <c r="AH3193" s="421"/>
      <c r="AI3193" s="421"/>
      <c r="AJ3193" s="421"/>
      <c r="AK3193" s="421"/>
      <c r="AL3193" s="421"/>
    </row>
    <row r="3194" spans="1:38" hidden="1">
      <c r="A3194" s="408"/>
      <c r="B3194" s="83" t="e">
        <f t="array" ref="B3194">SUM(--(FREQUENCY(IF(C$2:C$3072=C3194, MATCH(D$2:D$3072, D$2:D$3072, 0)), ROW(D$2:D$3072)-ROW(D$2)+1) &gt; 0))</f>
        <v>#N/A</v>
      </c>
      <c r="C3194" s="408"/>
      <c r="D3194" s="408"/>
      <c r="E3194" s="408"/>
      <c r="F3194" s="408"/>
      <c r="G3194" s="408"/>
      <c r="H3194" s="408"/>
      <c r="I3194" s="408"/>
      <c r="J3194" s="408"/>
      <c r="K3194" s="408"/>
      <c r="L3194" s="408"/>
      <c r="M3194" s="408"/>
      <c r="N3194" s="408" t="str">
        <f t="shared" si="476"/>
        <v/>
      </c>
      <c r="O3194" s="408"/>
      <c r="P3194" s="408"/>
      <c r="Q3194" s="408"/>
      <c r="R3194" s="408"/>
      <c r="S3194" s="408"/>
      <c r="T3194" s="408"/>
      <c r="U3194" s="408"/>
      <c r="V3194" s="421"/>
      <c r="W3194" s="421"/>
      <c r="X3194" s="421"/>
      <c r="Y3194" s="421"/>
      <c r="Z3194" s="421"/>
      <c r="AA3194" s="421"/>
      <c r="AB3194" s="421"/>
      <c r="AC3194" s="421"/>
      <c r="AD3194" s="421"/>
      <c r="AE3194" s="421"/>
      <c r="AF3194" s="421"/>
      <c r="AG3194" s="421"/>
      <c r="AH3194" s="421"/>
      <c r="AI3194" s="421"/>
      <c r="AJ3194" s="421"/>
      <c r="AK3194" s="421"/>
      <c r="AL3194" s="421"/>
    </row>
    <row r="3195" spans="1:38" hidden="1">
      <c r="A3195" s="408"/>
      <c r="B3195" s="83" t="e">
        <f t="array" ref="B3195">SUM(--(FREQUENCY(IF(C$2:C$3072=C3195, MATCH(D$2:D$3072, D$2:D$3072, 0)), ROW(D$2:D$3072)-ROW(D$2)+1) &gt; 0))</f>
        <v>#N/A</v>
      </c>
      <c r="C3195" s="408"/>
      <c r="D3195" s="408"/>
      <c r="E3195" s="408"/>
      <c r="F3195" s="408"/>
      <c r="G3195" s="408"/>
      <c r="H3195" s="408"/>
      <c r="I3195" s="408"/>
      <c r="J3195" s="408"/>
      <c r="K3195" s="408"/>
      <c r="L3195" s="408"/>
      <c r="M3195" s="408"/>
      <c r="N3195" s="408" t="str">
        <f t="shared" si="476"/>
        <v/>
      </c>
      <c r="O3195" s="408"/>
      <c r="P3195" s="408"/>
      <c r="Q3195" s="408"/>
      <c r="R3195" s="408"/>
      <c r="S3195" s="408"/>
      <c r="T3195" s="408"/>
      <c r="U3195" s="408"/>
      <c r="V3195" s="421"/>
      <c r="W3195" s="421"/>
      <c r="X3195" s="421"/>
      <c r="Y3195" s="421"/>
      <c r="Z3195" s="421"/>
      <c r="AA3195" s="421"/>
      <c r="AB3195" s="421"/>
      <c r="AC3195" s="421"/>
      <c r="AD3195" s="421"/>
      <c r="AE3195" s="421"/>
      <c r="AF3195" s="421"/>
      <c r="AG3195" s="421"/>
      <c r="AH3195" s="421"/>
      <c r="AI3195" s="421"/>
      <c r="AJ3195" s="421"/>
      <c r="AK3195" s="421"/>
      <c r="AL3195" s="421"/>
    </row>
    <row r="3196" spans="1:38" hidden="1">
      <c r="A3196" s="408"/>
      <c r="B3196" s="83" t="e">
        <f t="array" ref="B3196">SUM(--(FREQUENCY(IF(C$2:C$3072=C3196, MATCH(D$2:D$3072, D$2:D$3072, 0)), ROW(D$2:D$3072)-ROW(D$2)+1) &gt; 0))</f>
        <v>#N/A</v>
      </c>
      <c r="C3196" s="408"/>
      <c r="D3196" s="408"/>
      <c r="E3196" s="408"/>
      <c r="F3196" s="408"/>
      <c r="G3196" s="408"/>
      <c r="H3196" s="408"/>
      <c r="I3196" s="408"/>
      <c r="J3196" s="408"/>
      <c r="K3196" s="408"/>
      <c r="L3196" s="408"/>
      <c r="M3196" s="408"/>
      <c r="N3196" s="408" t="str">
        <f t="shared" si="476"/>
        <v/>
      </c>
      <c r="O3196" s="408"/>
      <c r="P3196" s="408"/>
      <c r="Q3196" s="408"/>
      <c r="R3196" s="408"/>
      <c r="S3196" s="408"/>
      <c r="T3196" s="408"/>
      <c r="U3196" s="408"/>
      <c r="V3196" s="421"/>
      <c r="W3196" s="421"/>
      <c r="X3196" s="421"/>
      <c r="Y3196" s="421"/>
      <c r="Z3196" s="421"/>
      <c r="AA3196" s="421"/>
      <c r="AB3196" s="421"/>
      <c r="AC3196" s="421"/>
      <c r="AD3196" s="421"/>
      <c r="AE3196" s="421"/>
      <c r="AF3196" s="421"/>
      <c r="AG3196" s="421"/>
      <c r="AH3196" s="421"/>
      <c r="AI3196" s="421"/>
      <c r="AJ3196" s="421"/>
      <c r="AK3196" s="421"/>
      <c r="AL3196" s="421"/>
    </row>
    <row r="3197" spans="1:38" hidden="1">
      <c r="A3197" s="408"/>
      <c r="B3197" s="83" t="e">
        <f t="array" ref="B3197">SUM(--(FREQUENCY(IF(C$2:C$3072=C3197, MATCH(D$2:D$3072, D$2:D$3072, 0)), ROW(D$2:D$3072)-ROW(D$2)+1) &gt; 0))</f>
        <v>#N/A</v>
      </c>
      <c r="C3197" s="408"/>
      <c r="D3197" s="408"/>
      <c r="E3197" s="408"/>
      <c r="F3197" s="408"/>
      <c r="G3197" s="408"/>
      <c r="H3197" s="408"/>
      <c r="I3197" s="408"/>
      <c r="J3197" s="408"/>
      <c r="K3197" s="408"/>
      <c r="L3197" s="408"/>
      <c r="M3197" s="408"/>
      <c r="N3197" s="408" t="str">
        <f t="shared" si="476"/>
        <v/>
      </c>
      <c r="O3197" s="408"/>
      <c r="P3197" s="408"/>
      <c r="Q3197" s="408"/>
      <c r="R3197" s="408"/>
      <c r="S3197" s="408"/>
      <c r="T3197" s="408"/>
      <c r="U3197" s="408"/>
      <c r="V3197" s="421"/>
      <c r="W3197" s="421"/>
      <c r="X3197" s="421"/>
      <c r="Y3197" s="421"/>
      <c r="Z3197" s="421"/>
      <c r="AA3197" s="421"/>
      <c r="AB3197" s="421"/>
      <c r="AC3197" s="421"/>
      <c r="AD3197" s="421"/>
      <c r="AE3197" s="421"/>
      <c r="AF3197" s="421"/>
      <c r="AG3197" s="421"/>
      <c r="AH3197" s="421"/>
      <c r="AI3197" s="421"/>
      <c r="AJ3197" s="421"/>
      <c r="AK3197" s="421"/>
      <c r="AL3197" s="421"/>
    </row>
    <row r="3198" spans="1:38" hidden="1">
      <c r="A3198" s="408"/>
      <c r="B3198" s="83" t="e">
        <f t="array" ref="B3198">SUM(--(FREQUENCY(IF(C$2:C$3072=C3198, MATCH(D$2:D$3072, D$2:D$3072, 0)), ROW(D$2:D$3072)-ROW(D$2)+1) &gt; 0))</f>
        <v>#N/A</v>
      </c>
      <c r="C3198" s="408"/>
      <c r="D3198" s="408"/>
      <c r="E3198" s="408"/>
      <c r="F3198" s="408"/>
      <c r="G3198" s="408"/>
      <c r="H3198" s="408"/>
      <c r="I3198" s="408"/>
      <c r="J3198" s="408"/>
      <c r="K3198" s="408"/>
      <c r="L3198" s="408"/>
      <c r="M3198" s="408"/>
      <c r="N3198" s="408" t="str">
        <f t="shared" si="476"/>
        <v/>
      </c>
      <c r="O3198" s="408"/>
      <c r="P3198" s="408"/>
      <c r="Q3198" s="408"/>
      <c r="R3198" s="408"/>
      <c r="S3198" s="408"/>
      <c r="T3198" s="408"/>
      <c r="U3198" s="408"/>
      <c r="V3198" s="421"/>
      <c r="W3198" s="421"/>
      <c r="X3198" s="421"/>
      <c r="Y3198" s="421"/>
      <c r="Z3198" s="421"/>
      <c r="AA3198" s="421"/>
      <c r="AB3198" s="421"/>
      <c r="AC3198" s="421"/>
      <c r="AD3198" s="421"/>
      <c r="AE3198" s="421"/>
      <c r="AF3198" s="421"/>
      <c r="AG3198" s="421"/>
      <c r="AH3198" s="421"/>
      <c r="AI3198" s="421"/>
      <c r="AJ3198" s="421"/>
      <c r="AK3198" s="421"/>
      <c r="AL3198" s="421"/>
    </row>
    <row r="3199" spans="1:38" hidden="1">
      <c r="A3199" s="408"/>
      <c r="B3199" s="83" t="e">
        <f t="array" ref="B3199">SUM(--(FREQUENCY(IF(C$2:C$3072=C3199, MATCH(D$2:D$3072, D$2:D$3072, 0)), ROW(D$2:D$3072)-ROW(D$2)+1) &gt; 0))</f>
        <v>#N/A</v>
      </c>
      <c r="C3199" s="408"/>
      <c r="D3199" s="408"/>
      <c r="E3199" s="408"/>
      <c r="F3199" s="408"/>
      <c r="G3199" s="408"/>
      <c r="H3199" s="408"/>
      <c r="I3199" s="408"/>
      <c r="J3199" s="408"/>
      <c r="K3199" s="408"/>
      <c r="L3199" s="408"/>
      <c r="M3199" s="408"/>
      <c r="N3199" s="408" t="str">
        <f t="shared" si="476"/>
        <v/>
      </c>
      <c r="O3199" s="408"/>
      <c r="P3199" s="408"/>
      <c r="Q3199" s="408"/>
      <c r="R3199" s="408"/>
      <c r="S3199" s="408"/>
      <c r="T3199" s="408"/>
      <c r="U3199" s="408"/>
      <c r="V3199" s="421"/>
      <c r="W3199" s="421"/>
      <c r="X3199" s="421"/>
      <c r="Y3199" s="421"/>
      <c r="Z3199" s="421"/>
      <c r="AA3199" s="421"/>
      <c r="AB3199" s="421"/>
      <c r="AC3199" s="421"/>
      <c r="AD3199" s="421"/>
      <c r="AE3199" s="421"/>
      <c r="AF3199" s="421"/>
      <c r="AG3199" s="421"/>
      <c r="AH3199" s="421"/>
      <c r="AI3199" s="421"/>
      <c r="AJ3199" s="421"/>
      <c r="AK3199" s="421"/>
      <c r="AL3199" s="421"/>
    </row>
    <row r="3200" spans="1:38" hidden="1">
      <c r="A3200" s="408"/>
      <c r="B3200" s="83" t="e">
        <f t="array" ref="B3200">SUM(--(FREQUENCY(IF(C$2:C$3072=C3200, MATCH(D$2:D$3072, D$2:D$3072, 0)), ROW(D$2:D$3072)-ROW(D$2)+1) &gt; 0))</f>
        <v>#N/A</v>
      </c>
      <c r="C3200" s="408"/>
      <c r="D3200" s="408"/>
      <c r="E3200" s="408"/>
      <c r="F3200" s="408"/>
      <c r="G3200" s="408"/>
      <c r="H3200" s="408"/>
      <c r="I3200" s="408"/>
      <c r="J3200" s="408"/>
      <c r="K3200" s="408"/>
      <c r="L3200" s="408"/>
      <c r="M3200" s="408"/>
      <c r="N3200" s="408" t="str">
        <f t="shared" ref="N3200:N3263" si="477">IF(O3200&lt;&gt;"", "NG", "")</f>
        <v/>
      </c>
      <c r="O3200" s="408"/>
      <c r="P3200" s="408"/>
      <c r="Q3200" s="408"/>
      <c r="R3200" s="408"/>
      <c r="S3200" s="408"/>
      <c r="T3200" s="408"/>
      <c r="U3200" s="408"/>
      <c r="V3200" s="421"/>
      <c r="W3200" s="421"/>
      <c r="X3200" s="421"/>
      <c r="Y3200" s="421"/>
      <c r="Z3200" s="421"/>
      <c r="AA3200" s="421"/>
      <c r="AB3200" s="421"/>
      <c r="AC3200" s="421"/>
      <c r="AD3200" s="421"/>
      <c r="AE3200" s="421"/>
      <c r="AF3200" s="421"/>
      <c r="AG3200" s="421"/>
      <c r="AH3200" s="421"/>
      <c r="AI3200" s="421"/>
      <c r="AJ3200" s="421"/>
      <c r="AK3200" s="421"/>
      <c r="AL3200" s="421"/>
    </row>
    <row r="3201" spans="1:38" hidden="1">
      <c r="A3201" s="408"/>
      <c r="B3201" s="83" t="e">
        <f t="array" ref="B3201">SUM(--(FREQUENCY(IF(C$2:C$3072=C3201, MATCH(D$2:D$3072, D$2:D$3072, 0)), ROW(D$2:D$3072)-ROW(D$2)+1) &gt; 0))</f>
        <v>#N/A</v>
      </c>
      <c r="C3201" s="408"/>
      <c r="D3201" s="408"/>
      <c r="E3201" s="408"/>
      <c r="F3201" s="408"/>
      <c r="G3201" s="408"/>
      <c r="H3201" s="408"/>
      <c r="I3201" s="408"/>
      <c r="J3201" s="408"/>
      <c r="K3201" s="408"/>
      <c r="L3201" s="408"/>
      <c r="M3201" s="408"/>
      <c r="N3201" s="408" t="str">
        <f t="shared" si="477"/>
        <v/>
      </c>
      <c r="O3201" s="408"/>
      <c r="P3201" s="408"/>
      <c r="Q3201" s="408"/>
      <c r="R3201" s="408"/>
      <c r="S3201" s="408"/>
      <c r="T3201" s="408"/>
      <c r="U3201" s="408"/>
      <c r="V3201" s="421"/>
      <c r="W3201" s="421"/>
      <c r="X3201" s="421"/>
      <c r="Y3201" s="421"/>
      <c r="Z3201" s="421"/>
      <c r="AA3201" s="421"/>
      <c r="AB3201" s="421"/>
      <c r="AC3201" s="421"/>
      <c r="AD3201" s="421"/>
      <c r="AE3201" s="421"/>
      <c r="AF3201" s="421"/>
      <c r="AG3201" s="421"/>
      <c r="AH3201" s="421"/>
      <c r="AI3201" s="421"/>
      <c r="AJ3201" s="421"/>
      <c r="AK3201" s="421"/>
      <c r="AL3201" s="421"/>
    </row>
    <row r="3202" spans="1:38" hidden="1">
      <c r="A3202" s="408"/>
      <c r="B3202" s="83" t="e">
        <f t="array" ref="B3202">SUM(--(FREQUENCY(IF(C$2:C$3072=C3202, MATCH(D$2:D$3072, D$2:D$3072, 0)), ROW(D$2:D$3072)-ROW(D$2)+1) &gt; 0))</f>
        <v>#N/A</v>
      </c>
      <c r="C3202" s="408"/>
      <c r="D3202" s="408"/>
      <c r="E3202" s="408"/>
      <c r="F3202" s="408"/>
      <c r="G3202" s="408"/>
      <c r="H3202" s="408"/>
      <c r="I3202" s="408"/>
      <c r="J3202" s="408"/>
      <c r="K3202" s="408"/>
      <c r="L3202" s="408"/>
      <c r="M3202" s="408"/>
      <c r="N3202" s="408" t="str">
        <f t="shared" si="477"/>
        <v/>
      </c>
      <c r="O3202" s="408"/>
      <c r="P3202" s="408"/>
      <c r="Q3202" s="408"/>
      <c r="R3202" s="408"/>
      <c r="S3202" s="408"/>
      <c r="T3202" s="408"/>
      <c r="U3202" s="408"/>
      <c r="V3202" s="421"/>
      <c r="W3202" s="421"/>
      <c r="X3202" s="421"/>
      <c r="Y3202" s="421"/>
      <c r="Z3202" s="421"/>
      <c r="AA3202" s="421"/>
      <c r="AB3202" s="421"/>
      <c r="AC3202" s="421"/>
      <c r="AD3202" s="421"/>
      <c r="AE3202" s="421"/>
      <c r="AF3202" s="421"/>
      <c r="AG3202" s="421"/>
      <c r="AH3202" s="421"/>
      <c r="AI3202" s="421"/>
      <c r="AJ3202" s="421"/>
      <c r="AK3202" s="421"/>
      <c r="AL3202" s="421"/>
    </row>
    <row r="3203" spans="1:38" hidden="1">
      <c r="A3203" s="408"/>
      <c r="B3203" s="83" t="e">
        <f t="array" ref="B3203">SUM(--(FREQUENCY(IF(C$2:C$3072=C3203, MATCH(D$2:D$3072, D$2:D$3072, 0)), ROW(D$2:D$3072)-ROW(D$2)+1) &gt; 0))</f>
        <v>#N/A</v>
      </c>
      <c r="C3203" s="408"/>
      <c r="D3203" s="408"/>
      <c r="E3203" s="408"/>
      <c r="F3203" s="408"/>
      <c r="G3203" s="408"/>
      <c r="H3203" s="408"/>
      <c r="I3203" s="408"/>
      <c r="J3203" s="408"/>
      <c r="K3203" s="408"/>
      <c r="L3203" s="408"/>
      <c r="M3203" s="408"/>
      <c r="N3203" s="408" t="str">
        <f t="shared" si="477"/>
        <v/>
      </c>
      <c r="O3203" s="408"/>
      <c r="P3203" s="408"/>
      <c r="Q3203" s="408"/>
      <c r="R3203" s="408"/>
      <c r="S3203" s="408"/>
      <c r="T3203" s="408"/>
      <c r="U3203" s="408"/>
      <c r="V3203" s="421"/>
      <c r="W3203" s="421"/>
      <c r="X3203" s="421"/>
      <c r="Y3203" s="421"/>
      <c r="Z3203" s="421"/>
      <c r="AA3203" s="421"/>
      <c r="AB3203" s="421"/>
      <c r="AC3203" s="421"/>
      <c r="AD3203" s="421"/>
      <c r="AE3203" s="421"/>
      <c r="AF3203" s="421"/>
      <c r="AG3203" s="421"/>
      <c r="AH3203" s="421"/>
      <c r="AI3203" s="421"/>
      <c r="AJ3203" s="421"/>
      <c r="AK3203" s="421"/>
      <c r="AL3203" s="421"/>
    </row>
    <row r="3204" spans="1:38" hidden="1">
      <c r="A3204" s="408"/>
      <c r="B3204" s="83" t="e">
        <f t="array" ref="B3204">SUM(--(FREQUENCY(IF(C$2:C$3072=C3204, MATCH(D$2:D$3072, D$2:D$3072, 0)), ROW(D$2:D$3072)-ROW(D$2)+1) &gt; 0))</f>
        <v>#N/A</v>
      </c>
      <c r="C3204" s="408"/>
      <c r="D3204" s="408"/>
      <c r="E3204" s="408"/>
      <c r="F3204" s="408"/>
      <c r="G3204" s="408"/>
      <c r="H3204" s="408"/>
      <c r="I3204" s="408"/>
      <c r="J3204" s="408"/>
      <c r="K3204" s="408"/>
      <c r="L3204" s="408"/>
      <c r="M3204" s="408"/>
      <c r="N3204" s="408" t="str">
        <f t="shared" si="477"/>
        <v/>
      </c>
      <c r="O3204" s="408"/>
      <c r="P3204" s="408"/>
      <c r="Q3204" s="408"/>
      <c r="R3204" s="408"/>
      <c r="S3204" s="408"/>
      <c r="T3204" s="408"/>
      <c r="U3204" s="408"/>
      <c r="V3204" s="421"/>
      <c r="W3204" s="421"/>
      <c r="X3204" s="421"/>
      <c r="Y3204" s="421"/>
      <c r="Z3204" s="421"/>
      <c r="AA3204" s="421"/>
      <c r="AB3204" s="421"/>
      <c r="AC3204" s="421"/>
      <c r="AD3204" s="421"/>
      <c r="AE3204" s="421"/>
      <c r="AF3204" s="421"/>
      <c r="AG3204" s="421"/>
      <c r="AH3204" s="421"/>
      <c r="AI3204" s="421"/>
      <c r="AJ3204" s="421"/>
      <c r="AK3204" s="421"/>
      <c r="AL3204" s="421"/>
    </row>
    <row r="3205" spans="1:38" hidden="1">
      <c r="A3205" s="408"/>
      <c r="B3205" s="83" t="e">
        <f t="array" ref="B3205">SUM(--(FREQUENCY(IF(C$2:C$3072=C3205, MATCH(D$2:D$3072, D$2:D$3072, 0)), ROW(D$2:D$3072)-ROW(D$2)+1) &gt; 0))</f>
        <v>#N/A</v>
      </c>
      <c r="C3205" s="408"/>
      <c r="D3205" s="408"/>
      <c r="E3205" s="408"/>
      <c r="F3205" s="408"/>
      <c r="G3205" s="408"/>
      <c r="H3205" s="408"/>
      <c r="I3205" s="408"/>
      <c r="J3205" s="408"/>
      <c r="K3205" s="408"/>
      <c r="L3205" s="408"/>
      <c r="M3205" s="408"/>
      <c r="N3205" s="408" t="str">
        <f t="shared" si="477"/>
        <v/>
      </c>
      <c r="O3205" s="408"/>
      <c r="P3205" s="408"/>
      <c r="Q3205" s="408"/>
      <c r="R3205" s="408"/>
      <c r="S3205" s="408"/>
      <c r="T3205" s="408"/>
      <c r="U3205" s="408"/>
      <c r="V3205" s="421"/>
      <c r="W3205" s="421"/>
      <c r="X3205" s="421"/>
      <c r="Y3205" s="421"/>
      <c r="Z3205" s="421"/>
      <c r="AA3205" s="421"/>
      <c r="AB3205" s="421"/>
      <c r="AC3205" s="421"/>
      <c r="AD3205" s="421"/>
      <c r="AE3205" s="421"/>
      <c r="AF3205" s="421"/>
      <c r="AG3205" s="421"/>
      <c r="AH3205" s="421"/>
      <c r="AI3205" s="421"/>
      <c r="AJ3205" s="421"/>
      <c r="AK3205" s="421"/>
      <c r="AL3205" s="421"/>
    </row>
    <row r="3206" spans="1:38" hidden="1">
      <c r="A3206" s="408"/>
      <c r="B3206" s="83" t="e">
        <f t="array" ref="B3206">SUM(--(FREQUENCY(IF(C$2:C$3072=C3206, MATCH(D$2:D$3072, D$2:D$3072, 0)), ROW(D$2:D$3072)-ROW(D$2)+1) &gt; 0))</f>
        <v>#N/A</v>
      </c>
      <c r="C3206" s="408"/>
      <c r="D3206" s="408"/>
      <c r="E3206" s="408"/>
      <c r="F3206" s="408"/>
      <c r="G3206" s="408"/>
      <c r="H3206" s="408"/>
      <c r="I3206" s="408"/>
      <c r="J3206" s="408"/>
      <c r="K3206" s="408"/>
      <c r="L3206" s="408"/>
      <c r="M3206" s="408"/>
      <c r="N3206" s="408" t="str">
        <f t="shared" si="477"/>
        <v/>
      </c>
      <c r="O3206" s="408"/>
      <c r="P3206" s="408"/>
      <c r="Q3206" s="408"/>
      <c r="R3206" s="408"/>
      <c r="S3206" s="408"/>
      <c r="T3206" s="408"/>
      <c r="U3206" s="408"/>
      <c r="V3206" s="421"/>
      <c r="W3206" s="421"/>
      <c r="X3206" s="421"/>
      <c r="Y3206" s="421"/>
      <c r="Z3206" s="421"/>
      <c r="AA3206" s="421"/>
      <c r="AB3206" s="421"/>
      <c r="AC3206" s="421"/>
      <c r="AD3206" s="421"/>
      <c r="AE3206" s="421"/>
      <c r="AF3206" s="421"/>
      <c r="AG3206" s="421"/>
      <c r="AH3206" s="421"/>
      <c r="AI3206" s="421"/>
      <c r="AJ3206" s="421"/>
      <c r="AK3206" s="421"/>
      <c r="AL3206" s="421"/>
    </row>
    <row r="3207" spans="1:38" hidden="1">
      <c r="A3207" s="408"/>
      <c r="B3207" s="83" t="e">
        <f t="array" ref="B3207">SUM(--(FREQUENCY(IF(C$2:C$3072=C3207, MATCH(D$2:D$3072, D$2:D$3072, 0)), ROW(D$2:D$3072)-ROW(D$2)+1) &gt; 0))</f>
        <v>#N/A</v>
      </c>
      <c r="C3207" s="408"/>
      <c r="D3207" s="408"/>
      <c r="E3207" s="408"/>
      <c r="F3207" s="408"/>
      <c r="G3207" s="408"/>
      <c r="H3207" s="408"/>
      <c r="I3207" s="408"/>
      <c r="J3207" s="408"/>
      <c r="K3207" s="408"/>
      <c r="L3207" s="408"/>
      <c r="M3207" s="408"/>
      <c r="N3207" s="408" t="str">
        <f t="shared" si="477"/>
        <v/>
      </c>
      <c r="O3207" s="408"/>
      <c r="P3207" s="408"/>
      <c r="Q3207" s="408"/>
      <c r="R3207" s="408"/>
      <c r="S3207" s="408"/>
      <c r="T3207" s="408"/>
      <c r="U3207" s="408"/>
      <c r="V3207" s="421"/>
      <c r="W3207" s="421"/>
      <c r="X3207" s="421"/>
      <c r="Y3207" s="421"/>
      <c r="Z3207" s="421"/>
      <c r="AA3207" s="421"/>
      <c r="AB3207" s="421"/>
      <c r="AC3207" s="421"/>
      <c r="AD3207" s="421"/>
      <c r="AE3207" s="421"/>
      <c r="AF3207" s="421"/>
      <c r="AG3207" s="421"/>
      <c r="AH3207" s="421"/>
      <c r="AI3207" s="421"/>
      <c r="AJ3207" s="421"/>
      <c r="AK3207" s="421"/>
      <c r="AL3207" s="421"/>
    </row>
    <row r="3208" spans="1:38" hidden="1">
      <c r="A3208" s="408"/>
      <c r="B3208" s="83" t="e">
        <f t="array" ref="B3208">SUM(--(FREQUENCY(IF(C$2:C$3072=C3208, MATCH(D$2:D$3072, D$2:D$3072, 0)), ROW(D$2:D$3072)-ROW(D$2)+1) &gt; 0))</f>
        <v>#N/A</v>
      </c>
      <c r="C3208" s="408"/>
      <c r="D3208" s="408"/>
      <c r="E3208" s="408"/>
      <c r="F3208" s="408"/>
      <c r="G3208" s="408"/>
      <c r="H3208" s="408"/>
      <c r="I3208" s="408"/>
      <c r="J3208" s="408"/>
      <c r="K3208" s="408"/>
      <c r="L3208" s="408"/>
      <c r="M3208" s="408"/>
      <c r="N3208" s="408" t="str">
        <f t="shared" si="477"/>
        <v/>
      </c>
      <c r="O3208" s="408"/>
      <c r="P3208" s="408"/>
      <c r="Q3208" s="408"/>
      <c r="R3208" s="408"/>
      <c r="S3208" s="408"/>
      <c r="T3208" s="408"/>
      <c r="U3208" s="408"/>
      <c r="V3208" s="421"/>
      <c r="W3208" s="421"/>
      <c r="X3208" s="421"/>
      <c r="Y3208" s="421"/>
      <c r="Z3208" s="421"/>
      <c r="AA3208" s="421"/>
      <c r="AB3208" s="421"/>
      <c r="AC3208" s="421"/>
      <c r="AD3208" s="421"/>
      <c r="AE3208" s="421"/>
      <c r="AF3208" s="421"/>
      <c r="AG3208" s="421"/>
      <c r="AH3208" s="421"/>
      <c r="AI3208" s="421"/>
      <c r="AJ3208" s="421"/>
      <c r="AK3208" s="421"/>
      <c r="AL3208" s="421"/>
    </row>
    <row r="3209" spans="1:38" hidden="1">
      <c r="A3209" s="408"/>
      <c r="B3209" s="83" t="e">
        <f t="array" ref="B3209">SUM(--(FREQUENCY(IF(C$2:C$3072=C3209, MATCH(D$2:D$3072, D$2:D$3072, 0)), ROW(D$2:D$3072)-ROW(D$2)+1) &gt; 0))</f>
        <v>#N/A</v>
      </c>
      <c r="C3209" s="408"/>
      <c r="D3209" s="408"/>
      <c r="E3209" s="408"/>
      <c r="F3209" s="408"/>
      <c r="G3209" s="408"/>
      <c r="H3209" s="408"/>
      <c r="I3209" s="408"/>
      <c r="J3209" s="408"/>
      <c r="K3209" s="408"/>
      <c r="L3209" s="408"/>
      <c r="M3209" s="408"/>
      <c r="N3209" s="408" t="str">
        <f t="shared" si="477"/>
        <v/>
      </c>
      <c r="O3209" s="408"/>
      <c r="P3209" s="408"/>
      <c r="Q3209" s="408"/>
      <c r="R3209" s="408"/>
      <c r="S3209" s="408"/>
      <c r="T3209" s="408"/>
      <c r="U3209" s="408"/>
      <c r="V3209" s="421"/>
      <c r="W3209" s="421"/>
      <c r="X3209" s="421"/>
      <c r="Y3209" s="421"/>
      <c r="Z3209" s="421"/>
      <c r="AA3209" s="421"/>
      <c r="AB3209" s="421"/>
      <c r="AC3209" s="421"/>
      <c r="AD3209" s="421"/>
      <c r="AE3209" s="421"/>
      <c r="AF3209" s="421"/>
      <c r="AG3209" s="421"/>
      <c r="AH3209" s="421"/>
      <c r="AI3209" s="421"/>
      <c r="AJ3209" s="421"/>
      <c r="AK3209" s="421"/>
      <c r="AL3209" s="421"/>
    </row>
    <row r="3210" spans="1:38" hidden="1">
      <c r="A3210" s="408"/>
      <c r="B3210" s="83" t="e">
        <f t="array" ref="B3210">SUM(--(FREQUENCY(IF(C$2:C$3072=C3210, MATCH(D$2:D$3072, D$2:D$3072, 0)), ROW(D$2:D$3072)-ROW(D$2)+1) &gt; 0))</f>
        <v>#N/A</v>
      </c>
      <c r="C3210" s="408"/>
      <c r="D3210" s="408"/>
      <c r="E3210" s="408"/>
      <c r="F3210" s="408"/>
      <c r="G3210" s="408"/>
      <c r="H3210" s="408"/>
      <c r="I3210" s="408"/>
      <c r="J3210" s="408"/>
      <c r="K3210" s="408"/>
      <c r="L3210" s="408"/>
      <c r="M3210" s="408"/>
      <c r="N3210" s="408" t="str">
        <f t="shared" si="477"/>
        <v/>
      </c>
      <c r="O3210" s="408"/>
      <c r="P3210" s="408"/>
      <c r="Q3210" s="408"/>
      <c r="R3210" s="408"/>
      <c r="S3210" s="408"/>
      <c r="T3210" s="408"/>
      <c r="U3210" s="408"/>
      <c r="V3210" s="421"/>
      <c r="W3210" s="421"/>
      <c r="X3210" s="421"/>
      <c r="Y3210" s="421"/>
      <c r="Z3210" s="421"/>
      <c r="AA3210" s="421"/>
      <c r="AB3210" s="421"/>
      <c r="AC3210" s="421"/>
      <c r="AD3210" s="421"/>
      <c r="AE3210" s="421"/>
      <c r="AF3210" s="421"/>
      <c r="AG3210" s="421"/>
      <c r="AH3210" s="421"/>
      <c r="AI3210" s="421"/>
      <c r="AJ3210" s="421"/>
      <c r="AK3210" s="421"/>
      <c r="AL3210" s="421"/>
    </row>
    <row r="3211" spans="1:38" hidden="1">
      <c r="A3211" s="408"/>
      <c r="B3211" s="83" t="e">
        <f t="array" ref="B3211">SUM(--(FREQUENCY(IF(C$2:C$3072=C3211, MATCH(D$2:D$3072, D$2:D$3072, 0)), ROW(D$2:D$3072)-ROW(D$2)+1) &gt; 0))</f>
        <v>#N/A</v>
      </c>
      <c r="C3211" s="408"/>
      <c r="D3211" s="408"/>
      <c r="E3211" s="408"/>
      <c r="F3211" s="408"/>
      <c r="G3211" s="408"/>
      <c r="H3211" s="408"/>
      <c r="I3211" s="408"/>
      <c r="J3211" s="408"/>
      <c r="K3211" s="408"/>
      <c r="L3211" s="408"/>
      <c r="M3211" s="408"/>
      <c r="N3211" s="408" t="str">
        <f t="shared" si="477"/>
        <v/>
      </c>
      <c r="O3211" s="408"/>
      <c r="P3211" s="408"/>
      <c r="Q3211" s="408"/>
      <c r="R3211" s="408"/>
      <c r="S3211" s="408"/>
      <c r="T3211" s="408"/>
      <c r="U3211" s="408"/>
      <c r="V3211" s="421"/>
      <c r="W3211" s="421"/>
      <c r="X3211" s="421"/>
      <c r="Y3211" s="421"/>
      <c r="Z3211" s="421"/>
      <c r="AA3211" s="421"/>
      <c r="AB3211" s="421"/>
      <c r="AC3211" s="421"/>
      <c r="AD3211" s="421"/>
      <c r="AE3211" s="421"/>
      <c r="AF3211" s="421"/>
      <c r="AG3211" s="421"/>
      <c r="AH3211" s="421"/>
      <c r="AI3211" s="421"/>
      <c r="AJ3211" s="421"/>
      <c r="AK3211" s="421"/>
      <c r="AL3211" s="421"/>
    </row>
    <row r="3212" spans="1:38" hidden="1">
      <c r="A3212" s="408"/>
      <c r="B3212" s="83" t="e">
        <f t="array" ref="B3212">SUM(--(FREQUENCY(IF(C$2:C$3072=C3212, MATCH(D$2:D$3072, D$2:D$3072, 0)), ROW(D$2:D$3072)-ROW(D$2)+1) &gt; 0))</f>
        <v>#N/A</v>
      </c>
      <c r="C3212" s="408"/>
      <c r="D3212" s="408"/>
      <c r="E3212" s="408"/>
      <c r="F3212" s="408"/>
      <c r="G3212" s="408"/>
      <c r="H3212" s="408"/>
      <c r="I3212" s="408"/>
      <c r="J3212" s="408"/>
      <c r="K3212" s="408"/>
      <c r="L3212" s="408"/>
      <c r="M3212" s="408"/>
      <c r="N3212" s="408" t="str">
        <f t="shared" si="477"/>
        <v/>
      </c>
      <c r="O3212" s="408"/>
      <c r="P3212" s="408"/>
      <c r="Q3212" s="408"/>
      <c r="R3212" s="408"/>
      <c r="S3212" s="408"/>
      <c r="T3212" s="408"/>
      <c r="U3212" s="408"/>
      <c r="V3212" s="421"/>
      <c r="W3212" s="421"/>
      <c r="X3212" s="421"/>
      <c r="Y3212" s="421"/>
      <c r="Z3212" s="421"/>
      <c r="AA3212" s="421"/>
      <c r="AB3212" s="421"/>
      <c r="AC3212" s="421"/>
      <c r="AD3212" s="421"/>
      <c r="AE3212" s="421"/>
      <c r="AF3212" s="421"/>
      <c r="AG3212" s="421"/>
      <c r="AH3212" s="421"/>
      <c r="AI3212" s="421"/>
      <c r="AJ3212" s="421"/>
      <c r="AK3212" s="421"/>
      <c r="AL3212" s="421"/>
    </row>
    <row r="3213" spans="1:38" hidden="1">
      <c r="A3213" s="408"/>
      <c r="B3213" s="83" t="e">
        <f t="array" ref="B3213">SUM(--(FREQUENCY(IF(C$2:C$3072=C3213, MATCH(D$2:D$3072, D$2:D$3072, 0)), ROW(D$2:D$3072)-ROW(D$2)+1) &gt; 0))</f>
        <v>#N/A</v>
      </c>
      <c r="C3213" s="408"/>
      <c r="D3213" s="408"/>
      <c r="E3213" s="408"/>
      <c r="F3213" s="408"/>
      <c r="G3213" s="408"/>
      <c r="H3213" s="408"/>
      <c r="I3213" s="408"/>
      <c r="J3213" s="408"/>
      <c r="K3213" s="408"/>
      <c r="L3213" s="408"/>
      <c r="M3213" s="408"/>
      <c r="N3213" s="408" t="str">
        <f t="shared" si="477"/>
        <v/>
      </c>
      <c r="O3213" s="408"/>
      <c r="P3213" s="408"/>
      <c r="Q3213" s="408"/>
      <c r="R3213" s="408"/>
      <c r="S3213" s="408"/>
      <c r="T3213" s="408"/>
      <c r="U3213" s="408"/>
      <c r="V3213" s="421"/>
      <c r="W3213" s="421"/>
      <c r="X3213" s="421"/>
      <c r="Y3213" s="421"/>
      <c r="Z3213" s="421"/>
      <c r="AA3213" s="421"/>
      <c r="AB3213" s="421"/>
      <c r="AC3213" s="421"/>
      <c r="AD3213" s="421"/>
      <c r="AE3213" s="421"/>
      <c r="AF3213" s="421"/>
      <c r="AG3213" s="421"/>
      <c r="AH3213" s="421"/>
      <c r="AI3213" s="421"/>
      <c r="AJ3213" s="421"/>
      <c r="AK3213" s="421"/>
      <c r="AL3213" s="421"/>
    </row>
    <row r="3214" spans="1:38" hidden="1">
      <c r="A3214" s="408"/>
      <c r="B3214" s="83" t="e">
        <f t="array" ref="B3214">SUM(--(FREQUENCY(IF(C$2:C$3072=C3214, MATCH(D$2:D$3072, D$2:D$3072, 0)), ROW(D$2:D$3072)-ROW(D$2)+1) &gt; 0))</f>
        <v>#N/A</v>
      </c>
      <c r="C3214" s="408"/>
      <c r="D3214" s="408"/>
      <c r="E3214" s="408"/>
      <c r="F3214" s="408"/>
      <c r="G3214" s="408"/>
      <c r="H3214" s="408"/>
      <c r="I3214" s="408"/>
      <c r="J3214" s="408"/>
      <c r="K3214" s="408"/>
      <c r="L3214" s="408"/>
      <c r="M3214" s="408"/>
      <c r="N3214" s="408" t="str">
        <f t="shared" si="477"/>
        <v/>
      </c>
      <c r="O3214" s="408"/>
      <c r="P3214" s="408"/>
      <c r="Q3214" s="408"/>
      <c r="R3214" s="408"/>
      <c r="S3214" s="408"/>
      <c r="T3214" s="408"/>
      <c r="U3214" s="408"/>
      <c r="V3214" s="421"/>
      <c r="W3214" s="421"/>
      <c r="X3214" s="421"/>
      <c r="Y3214" s="421"/>
      <c r="Z3214" s="421"/>
      <c r="AA3214" s="421"/>
      <c r="AB3214" s="421"/>
      <c r="AC3214" s="421"/>
      <c r="AD3214" s="421"/>
      <c r="AE3214" s="421"/>
      <c r="AF3214" s="421"/>
      <c r="AG3214" s="421"/>
      <c r="AH3214" s="421"/>
      <c r="AI3214" s="421"/>
      <c r="AJ3214" s="421"/>
      <c r="AK3214" s="421"/>
      <c r="AL3214" s="421"/>
    </row>
    <row r="3215" spans="1:38" hidden="1">
      <c r="A3215" s="408"/>
      <c r="B3215" s="83" t="e">
        <f t="array" ref="B3215">SUM(--(FREQUENCY(IF(C$2:C$3072=C3215, MATCH(D$2:D$3072, D$2:D$3072, 0)), ROW(D$2:D$3072)-ROW(D$2)+1) &gt; 0))</f>
        <v>#N/A</v>
      </c>
      <c r="C3215" s="408"/>
      <c r="D3215" s="408"/>
      <c r="E3215" s="408"/>
      <c r="F3215" s="408"/>
      <c r="G3215" s="408"/>
      <c r="H3215" s="408"/>
      <c r="I3215" s="408"/>
      <c r="J3215" s="408"/>
      <c r="K3215" s="408"/>
      <c r="L3215" s="408"/>
      <c r="M3215" s="408"/>
      <c r="N3215" s="408" t="str">
        <f t="shared" si="477"/>
        <v/>
      </c>
      <c r="O3215" s="408"/>
      <c r="P3215" s="408"/>
      <c r="Q3215" s="408"/>
      <c r="R3215" s="408"/>
      <c r="S3215" s="408"/>
      <c r="T3215" s="408"/>
      <c r="U3215" s="408"/>
      <c r="V3215" s="421"/>
      <c r="W3215" s="421"/>
      <c r="X3215" s="421"/>
      <c r="Y3215" s="421"/>
      <c r="Z3215" s="421"/>
      <c r="AA3215" s="421"/>
      <c r="AB3215" s="421"/>
      <c r="AC3215" s="421"/>
      <c r="AD3215" s="421"/>
      <c r="AE3215" s="421"/>
      <c r="AF3215" s="421"/>
      <c r="AG3215" s="421"/>
      <c r="AH3215" s="421"/>
      <c r="AI3215" s="421"/>
      <c r="AJ3215" s="421"/>
      <c r="AK3215" s="421"/>
      <c r="AL3215" s="421"/>
    </row>
    <row r="3216" spans="1:38" hidden="1">
      <c r="A3216" s="408"/>
      <c r="B3216" s="83" t="e">
        <f t="array" ref="B3216">SUM(--(FREQUENCY(IF(C$2:C$3072=C3216, MATCH(D$2:D$3072, D$2:D$3072, 0)), ROW(D$2:D$3072)-ROW(D$2)+1) &gt; 0))</f>
        <v>#N/A</v>
      </c>
      <c r="C3216" s="408"/>
      <c r="D3216" s="408"/>
      <c r="E3216" s="408"/>
      <c r="F3216" s="408"/>
      <c r="G3216" s="408"/>
      <c r="H3216" s="408"/>
      <c r="I3216" s="408"/>
      <c r="J3216" s="408"/>
      <c r="K3216" s="408"/>
      <c r="L3216" s="408"/>
      <c r="M3216" s="408"/>
      <c r="N3216" s="408" t="str">
        <f t="shared" si="477"/>
        <v/>
      </c>
      <c r="O3216" s="408"/>
      <c r="P3216" s="408"/>
      <c r="Q3216" s="408"/>
      <c r="R3216" s="408"/>
      <c r="S3216" s="408"/>
      <c r="T3216" s="408"/>
      <c r="U3216" s="408"/>
      <c r="V3216" s="421"/>
      <c r="W3216" s="421"/>
      <c r="X3216" s="421"/>
      <c r="Y3216" s="421"/>
      <c r="Z3216" s="421"/>
      <c r="AA3216" s="421"/>
      <c r="AB3216" s="421"/>
      <c r="AC3216" s="421"/>
      <c r="AD3216" s="421"/>
      <c r="AE3216" s="421"/>
      <c r="AF3216" s="421"/>
      <c r="AG3216" s="421"/>
      <c r="AH3216" s="421"/>
      <c r="AI3216" s="421"/>
      <c r="AJ3216" s="421"/>
      <c r="AK3216" s="421"/>
      <c r="AL3216" s="421"/>
    </row>
    <row r="3217" spans="1:38" hidden="1">
      <c r="A3217" s="408"/>
      <c r="B3217" s="83" t="e">
        <f t="array" ref="B3217">SUM(--(FREQUENCY(IF(C$2:C$3072=C3217, MATCH(D$2:D$3072, D$2:D$3072, 0)), ROW(D$2:D$3072)-ROW(D$2)+1) &gt; 0))</f>
        <v>#N/A</v>
      </c>
      <c r="C3217" s="408"/>
      <c r="D3217" s="408"/>
      <c r="E3217" s="408"/>
      <c r="F3217" s="408"/>
      <c r="G3217" s="408"/>
      <c r="H3217" s="408"/>
      <c r="I3217" s="408"/>
      <c r="J3217" s="408"/>
      <c r="K3217" s="408"/>
      <c r="L3217" s="408"/>
      <c r="M3217" s="408"/>
      <c r="N3217" s="408" t="str">
        <f t="shared" si="477"/>
        <v/>
      </c>
      <c r="O3217" s="408"/>
      <c r="P3217" s="408"/>
      <c r="Q3217" s="408"/>
      <c r="R3217" s="408"/>
      <c r="S3217" s="408"/>
      <c r="T3217" s="408"/>
      <c r="U3217" s="408"/>
      <c r="V3217" s="421"/>
      <c r="W3217" s="421"/>
      <c r="X3217" s="421"/>
      <c r="Y3217" s="421"/>
      <c r="Z3217" s="421"/>
      <c r="AA3217" s="421"/>
      <c r="AB3217" s="421"/>
      <c r="AC3217" s="421"/>
      <c r="AD3217" s="421"/>
      <c r="AE3217" s="421"/>
      <c r="AF3217" s="421"/>
      <c r="AG3217" s="421"/>
      <c r="AH3217" s="421"/>
      <c r="AI3217" s="421"/>
      <c r="AJ3217" s="421"/>
      <c r="AK3217" s="421"/>
      <c r="AL3217" s="421"/>
    </row>
    <row r="3218" spans="1:38" hidden="1">
      <c r="A3218" s="408"/>
      <c r="B3218" s="83" t="e">
        <f t="array" ref="B3218">SUM(--(FREQUENCY(IF(C$2:C$3072=C3218, MATCH(D$2:D$3072, D$2:D$3072, 0)), ROW(D$2:D$3072)-ROW(D$2)+1) &gt; 0))</f>
        <v>#N/A</v>
      </c>
      <c r="C3218" s="408"/>
      <c r="D3218" s="408"/>
      <c r="E3218" s="408"/>
      <c r="F3218" s="408"/>
      <c r="G3218" s="408"/>
      <c r="H3218" s="408"/>
      <c r="I3218" s="408"/>
      <c r="J3218" s="408"/>
      <c r="K3218" s="408"/>
      <c r="L3218" s="408"/>
      <c r="M3218" s="408"/>
      <c r="N3218" s="408" t="str">
        <f t="shared" si="477"/>
        <v/>
      </c>
      <c r="O3218" s="408"/>
      <c r="P3218" s="408"/>
      <c r="Q3218" s="408"/>
      <c r="R3218" s="408"/>
      <c r="S3218" s="408"/>
      <c r="T3218" s="408"/>
      <c r="U3218" s="408"/>
      <c r="V3218" s="421"/>
      <c r="W3218" s="421"/>
      <c r="X3218" s="421"/>
      <c r="Y3218" s="421"/>
      <c r="Z3218" s="421"/>
      <c r="AA3218" s="421"/>
      <c r="AB3218" s="421"/>
      <c r="AC3218" s="421"/>
      <c r="AD3218" s="421"/>
      <c r="AE3218" s="421"/>
      <c r="AF3218" s="421"/>
      <c r="AG3218" s="421"/>
      <c r="AH3218" s="421"/>
      <c r="AI3218" s="421"/>
      <c r="AJ3218" s="421"/>
      <c r="AK3218" s="421"/>
      <c r="AL3218" s="421"/>
    </row>
    <row r="3219" spans="1:38" hidden="1">
      <c r="A3219" s="408"/>
      <c r="B3219" s="83" t="e">
        <f t="array" ref="B3219">SUM(--(FREQUENCY(IF(C$2:C$3072=C3219, MATCH(D$2:D$3072, D$2:D$3072, 0)), ROW(D$2:D$3072)-ROW(D$2)+1) &gt; 0))</f>
        <v>#N/A</v>
      </c>
      <c r="C3219" s="408"/>
      <c r="D3219" s="408"/>
      <c r="E3219" s="408"/>
      <c r="F3219" s="408"/>
      <c r="G3219" s="408"/>
      <c r="H3219" s="408"/>
      <c r="I3219" s="408"/>
      <c r="J3219" s="408"/>
      <c r="K3219" s="408"/>
      <c r="L3219" s="408"/>
      <c r="M3219" s="408"/>
      <c r="N3219" s="408" t="str">
        <f t="shared" si="477"/>
        <v/>
      </c>
      <c r="O3219" s="408"/>
      <c r="P3219" s="408"/>
      <c r="Q3219" s="408"/>
      <c r="R3219" s="408"/>
      <c r="S3219" s="408"/>
      <c r="T3219" s="408"/>
      <c r="U3219" s="408"/>
      <c r="V3219" s="421"/>
      <c r="W3219" s="421"/>
      <c r="X3219" s="421"/>
      <c r="Y3219" s="421"/>
      <c r="Z3219" s="421"/>
      <c r="AA3219" s="421"/>
      <c r="AB3219" s="421"/>
      <c r="AC3219" s="421"/>
      <c r="AD3219" s="421"/>
      <c r="AE3219" s="421"/>
      <c r="AF3219" s="421"/>
      <c r="AG3219" s="421"/>
      <c r="AH3219" s="421"/>
      <c r="AI3219" s="421"/>
      <c r="AJ3219" s="421"/>
      <c r="AK3219" s="421"/>
      <c r="AL3219" s="421"/>
    </row>
    <row r="3220" spans="1:38" hidden="1">
      <c r="A3220" s="408"/>
      <c r="B3220" s="83" t="e">
        <f t="array" ref="B3220">SUM(--(FREQUENCY(IF(C$2:C$3072=C3220, MATCH(D$2:D$3072, D$2:D$3072, 0)), ROW(D$2:D$3072)-ROW(D$2)+1) &gt; 0))</f>
        <v>#N/A</v>
      </c>
      <c r="C3220" s="408"/>
      <c r="D3220" s="408"/>
      <c r="E3220" s="408"/>
      <c r="F3220" s="408"/>
      <c r="G3220" s="408"/>
      <c r="H3220" s="408"/>
      <c r="I3220" s="408"/>
      <c r="J3220" s="408"/>
      <c r="K3220" s="408"/>
      <c r="L3220" s="408"/>
      <c r="M3220" s="408"/>
      <c r="N3220" s="408" t="str">
        <f t="shared" si="477"/>
        <v/>
      </c>
      <c r="O3220" s="408"/>
      <c r="P3220" s="408"/>
      <c r="Q3220" s="408"/>
      <c r="R3220" s="408"/>
      <c r="S3220" s="408"/>
      <c r="T3220" s="408"/>
      <c r="U3220" s="408"/>
      <c r="V3220" s="421"/>
      <c r="W3220" s="421"/>
      <c r="X3220" s="421"/>
      <c r="Y3220" s="421"/>
      <c r="Z3220" s="421"/>
      <c r="AA3220" s="421"/>
      <c r="AB3220" s="421"/>
      <c r="AC3220" s="421"/>
      <c r="AD3220" s="421"/>
      <c r="AE3220" s="421"/>
      <c r="AF3220" s="421"/>
      <c r="AG3220" s="421"/>
      <c r="AH3220" s="421"/>
      <c r="AI3220" s="421"/>
      <c r="AJ3220" s="421"/>
      <c r="AK3220" s="421"/>
      <c r="AL3220" s="421"/>
    </row>
    <row r="3221" spans="1:38" hidden="1">
      <c r="A3221" s="408"/>
      <c r="B3221" s="83" t="e">
        <f t="array" ref="B3221">SUM(--(FREQUENCY(IF(C$2:C$3072=C3221, MATCH(D$2:D$3072, D$2:D$3072, 0)), ROW(D$2:D$3072)-ROW(D$2)+1) &gt; 0))</f>
        <v>#N/A</v>
      </c>
      <c r="C3221" s="408"/>
      <c r="D3221" s="408"/>
      <c r="E3221" s="408"/>
      <c r="F3221" s="408"/>
      <c r="G3221" s="408"/>
      <c r="H3221" s="408"/>
      <c r="I3221" s="408"/>
      <c r="J3221" s="408"/>
      <c r="K3221" s="408"/>
      <c r="L3221" s="408"/>
      <c r="M3221" s="408"/>
      <c r="N3221" s="408" t="str">
        <f t="shared" si="477"/>
        <v/>
      </c>
      <c r="O3221" s="408"/>
      <c r="P3221" s="408"/>
      <c r="Q3221" s="408"/>
      <c r="R3221" s="408"/>
      <c r="S3221" s="408"/>
      <c r="T3221" s="408"/>
      <c r="U3221" s="408"/>
      <c r="V3221" s="421"/>
      <c r="W3221" s="421"/>
      <c r="X3221" s="421"/>
      <c r="Y3221" s="421"/>
      <c r="Z3221" s="421"/>
      <c r="AA3221" s="421"/>
      <c r="AB3221" s="421"/>
      <c r="AC3221" s="421"/>
      <c r="AD3221" s="421"/>
      <c r="AE3221" s="421"/>
      <c r="AF3221" s="421"/>
      <c r="AG3221" s="421"/>
      <c r="AH3221" s="421"/>
      <c r="AI3221" s="421"/>
      <c r="AJ3221" s="421"/>
      <c r="AK3221" s="421"/>
      <c r="AL3221" s="421"/>
    </row>
    <row r="3222" spans="1:38" hidden="1">
      <c r="A3222" s="408"/>
      <c r="B3222" s="83" t="e">
        <f t="array" ref="B3222">SUM(--(FREQUENCY(IF(C$2:C$3072=C3222, MATCH(D$2:D$3072, D$2:D$3072, 0)), ROW(D$2:D$3072)-ROW(D$2)+1) &gt; 0))</f>
        <v>#N/A</v>
      </c>
      <c r="C3222" s="408"/>
      <c r="D3222" s="408"/>
      <c r="E3222" s="408"/>
      <c r="F3222" s="408"/>
      <c r="G3222" s="408"/>
      <c r="H3222" s="408"/>
      <c r="I3222" s="408"/>
      <c r="J3222" s="408"/>
      <c r="K3222" s="408"/>
      <c r="L3222" s="408"/>
      <c r="M3222" s="408"/>
      <c r="N3222" s="408" t="str">
        <f t="shared" si="477"/>
        <v/>
      </c>
      <c r="O3222" s="408"/>
      <c r="P3222" s="408"/>
      <c r="Q3222" s="408"/>
      <c r="R3222" s="408"/>
      <c r="S3222" s="408"/>
      <c r="T3222" s="408"/>
      <c r="U3222" s="408"/>
      <c r="V3222" s="421"/>
      <c r="W3222" s="421"/>
      <c r="X3222" s="421"/>
      <c r="Y3222" s="421"/>
      <c r="Z3222" s="421"/>
      <c r="AA3222" s="421"/>
      <c r="AB3222" s="421"/>
      <c r="AC3222" s="421"/>
      <c r="AD3222" s="421"/>
      <c r="AE3222" s="421"/>
      <c r="AF3222" s="421"/>
      <c r="AG3222" s="421"/>
      <c r="AH3222" s="421"/>
      <c r="AI3222" s="421"/>
      <c r="AJ3222" s="421"/>
      <c r="AK3222" s="421"/>
      <c r="AL3222" s="421"/>
    </row>
    <row r="3223" spans="1:38" hidden="1">
      <c r="A3223" s="408"/>
      <c r="B3223" s="83" t="e">
        <f t="array" ref="B3223">SUM(--(FREQUENCY(IF(C$2:C$3072=C3223, MATCH(D$2:D$3072, D$2:D$3072, 0)), ROW(D$2:D$3072)-ROW(D$2)+1) &gt; 0))</f>
        <v>#N/A</v>
      </c>
      <c r="C3223" s="408"/>
      <c r="D3223" s="408"/>
      <c r="E3223" s="408"/>
      <c r="F3223" s="408"/>
      <c r="G3223" s="408"/>
      <c r="H3223" s="408"/>
      <c r="I3223" s="408"/>
      <c r="J3223" s="408"/>
      <c r="K3223" s="408"/>
      <c r="L3223" s="408"/>
      <c r="M3223" s="408"/>
      <c r="N3223" s="408" t="str">
        <f t="shared" si="477"/>
        <v/>
      </c>
      <c r="O3223" s="408"/>
      <c r="P3223" s="408"/>
      <c r="Q3223" s="408"/>
      <c r="R3223" s="408"/>
      <c r="S3223" s="408"/>
      <c r="T3223" s="408"/>
      <c r="U3223" s="408"/>
      <c r="V3223" s="421"/>
      <c r="W3223" s="421"/>
      <c r="X3223" s="421"/>
      <c r="Y3223" s="421"/>
      <c r="Z3223" s="421"/>
      <c r="AA3223" s="421"/>
      <c r="AB3223" s="421"/>
      <c r="AC3223" s="421"/>
      <c r="AD3223" s="421"/>
      <c r="AE3223" s="421"/>
      <c r="AF3223" s="421"/>
      <c r="AG3223" s="421"/>
      <c r="AH3223" s="421"/>
      <c r="AI3223" s="421"/>
      <c r="AJ3223" s="421"/>
      <c r="AK3223" s="421"/>
      <c r="AL3223" s="421"/>
    </row>
    <row r="3224" spans="1:38" hidden="1">
      <c r="A3224" s="408"/>
      <c r="B3224" s="83" t="e">
        <f t="array" ref="B3224">SUM(--(FREQUENCY(IF(C$2:C$3072=C3224, MATCH(D$2:D$3072, D$2:D$3072, 0)), ROW(D$2:D$3072)-ROW(D$2)+1) &gt; 0))</f>
        <v>#N/A</v>
      </c>
      <c r="C3224" s="408"/>
      <c r="D3224" s="408"/>
      <c r="E3224" s="408"/>
      <c r="F3224" s="408"/>
      <c r="G3224" s="408"/>
      <c r="H3224" s="408"/>
      <c r="I3224" s="408"/>
      <c r="J3224" s="408"/>
      <c r="K3224" s="408"/>
      <c r="L3224" s="408"/>
      <c r="M3224" s="408"/>
      <c r="N3224" s="408" t="str">
        <f t="shared" si="477"/>
        <v/>
      </c>
      <c r="O3224" s="408"/>
      <c r="P3224" s="408"/>
      <c r="Q3224" s="408"/>
      <c r="R3224" s="408"/>
      <c r="S3224" s="408"/>
      <c r="T3224" s="408"/>
      <c r="U3224" s="408"/>
      <c r="V3224" s="421"/>
      <c r="W3224" s="421"/>
      <c r="X3224" s="421"/>
      <c r="Y3224" s="421"/>
      <c r="Z3224" s="421"/>
      <c r="AA3224" s="421"/>
      <c r="AB3224" s="421"/>
      <c r="AC3224" s="421"/>
      <c r="AD3224" s="421"/>
      <c r="AE3224" s="421"/>
      <c r="AF3224" s="421"/>
      <c r="AG3224" s="421"/>
      <c r="AH3224" s="421"/>
      <c r="AI3224" s="421"/>
      <c r="AJ3224" s="421"/>
      <c r="AK3224" s="421"/>
      <c r="AL3224" s="421"/>
    </row>
    <row r="3225" spans="1:38" hidden="1">
      <c r="A3225" s="408"/>
      <c r="B3225" s="83" t="e">
        <f t="array" ref="B3225">SUM(--(FREQUENCY(IF(C$2:C$3072=C3225, MATCH(D$2:D$3072, D$2:D$3072, 0)), ROW(D$2:D$3072)-ROW(D$2)+1) &gt; 0))</f>
        <v>#N/A</v>
      </c>
      <c r="C3225" s="408"/>
      <c r="D3225" s="408"/>
      <c r="E3225" s="408"/>
      <c r="F3225" s="408"/>
      <c r="G3225" s="408"/>
      <c r="H3225" s="408"/>
      <c r="I3225" s="408"/>
      <c r="J3225" s="408"/>
      <c r="K3225" s="408"/>
      <c r="L3225" s="408"/>
      <c r="M3225" s="408"/>
      <c r="N3225" s="408" t="str">
        <f t="shared" si="477"/>
        <v/>
      </c>
      <c r="O3225" s="408"/>
      <c r="P3225" s="408"/>
      <c r="Q3225" s="408"/>
      <c r="R3225" s="408"/>
      <c r="S3225" s="408"/>
      <c r="T3225" s="408"/>
      <c r="U3225" s="408"/>
      <c r="V3225" s="421"/>
      <c r="W3225" s="421"/>
      <c r="X3225" s="421"/>
      <c r="Y3225" s="421"/>
      <c r="Z3225" s="421"/>
      <c r="AA3225" s="421"/>
      <c r="AB3225" s="421"/>
      <c r="AC3225" s="421"/>
      <c r="AD3225" s="421"/>
      <c r="AE3225" s="421"/>
      <c r="AF3225" s="421"/>
      <c r="AG3225" s="421"/>
      <c r="AH3225" s="421"/>
      <c r="AI3225" s="421"/>
      <c r="AJ3225" s="421"/>
      <c r="AK3225" s="421"/>
      <c r="AL3225" s="421"/>
    </row>
    <row r="3226" spans="1:38" hidden="1">
      <c r="A3226" s="408"/>
      <c r="B3226" s="83" t="e">
        <f t="array" ref="B3226">SUM(--(FREQUENCY(IF(C$2:C$3072=C3226, MATCH(D$2:D$3072, D$2:D$3072, 0)), ROW(D$2:D$3072)-ROW(D$2)+1) &gt; 0))</f>
        <v>#N/A</v>
      </c>
      <c r="C3226" s="408"/>
      <c r="D3226" s="408"/>
      <c r="E3226" s="408"/>
      <c r="F3226" s="408"/>
      <c r="G3226" s="408"/>
      <c r="H3226" s="408"/>
      <c r="I3226" s="408"/>
      <c r="J3226" s="408"/>
      <c r="K3226" s="408"/>
      <c r="L3226" s="408"/>
      <c r="M3226" s="408"/>
      <c r="N3226" s="408" t="str">
        <f t="shared" si="477"/>
        <v/>
      </c>
      <c r="O3226" s="408"/>
      <c r="P3226" s="408"/>
      <c r="Q3226" s="408"/>
      <c r="R3226" s="408"/>
      <c r="S3226" s="408"/>
      <c r="T3226" s="408"/>
      <c r="U3226" s="408"/>
      <c r="V3226" s="421"/>
      <c r="W3226" s="421"/>
      <c r="X3226" s="421"/>
      <c r="Y3226" s="421"/>
      <c r="Z3226" s="421"/>
      <c r="AA3226" s="421"/>
      <c r="AB3226" s="421"/>
      <c r="AC3226" s="421"/>
      <c r="AD3226" s="421"/>
      <c r="AE3226" s="421"/>
      <c r="AF3226" s="421"/>
      <c r="AG3226" s="421"/>
      <c r="AH3226" s="421"/>
      <c r="AI3226" s="421"/>
      <c r="AJ3226" s="421"/>
      <c r="AK3226" s="421"/>
      <c r="AL3226" s="421"/>
    </row>
    <row r="3227" spans="1:38" hidden="1">
      <c r="A3227" s="408"/>
      <c r="B3227" s="83" t="e">
        <f t="array" ref="B3227">SUM(--(FREQUENCY(IF(C$2:C$3072=C3227, MATCH(D$2:D$3072, D$2:D$3072, 0)), ROW(D$2:D$3072)-ROW(D$2)+1) &gt; 0))</f>
        <v>#N/A</v>
      </c>
      <c r="C3227" s="408"/>
      <c r="D3227" s="408"/>
      <c r="E3227" s="408"/>
      <c r="F3227" s="408"/>
      <c r="G3227" s="408"/>
      <c r="H3227" s="408"/>
      <c r="I3227" s="408"/>
      <c r="J3227" s="408"/>
      <c r="K3227" s="408"/>
      <c r="L3227" s="408"/>
      <c r="M3227" s="408"/>
      <c r="N3227" s="408" t="str">
        <f t="shared" si="477"/>
        <v/>
      </c>
      <c r="O3227" s="408"/>
      <c r="P3227" s="408"/>
      <c r="Q3227" s="408"/>
      <c r="R3227" s="408"/>
      <c r="S3227" s="408"/>
      <c r="T3227" s="408"/>
      <c r="U3227" s="408"/>
      <c r="V3227" s="421"/>
      <c r="W3227" s="421"/>
      <c r="X3227" s="421"/>
      <c r="Y3227" s="421"/>
      <c r="Z3227" s="421"/>
      <c r="AA3227" s="421"/>
      <c r="AB3227" s="421"/>
      <c r="AC3227" s="421"/>
      <c r="AD3227" s="421"/>
      <c r="AE3227" s="421"/>
      <c r="AF3227" s="421"/>
      <c r="AG3227" s="421"/>
      <c r="AH3227" s="421"/>
      <c r="AI3227" s="421"/>
      <c r="AJ3227" s="421"/>
      <c r="AK3227" s="421"/>
      <c r="AL3227" s="421"/>
    </row>
    <row r="3228" spans="1:38" hidden="1">
      <c r="A3228" s="408"/>
      <c r="B3228" s="83" t="e">
        <f t="array" ref="B3228">SUM(--(FREQUENCY(IF(C$2:C$3072=C3228, MATCH(D$2:D$3072, D$2:D$3072, 0)), ROW(D$2:D$3072)-ROW(D$2)+1) &gt; 0))</f>
        <v>#N/A</v>
      </c>
      <c r="C3228" s="408"/>
      <c r="D3228" s="408"/>
      <c r="E3228" s="408"/>
      <c r="F3228" s="408"/>
      <c r="G3228" s="408"/>
      <c r="H3228" s="408"/>
      <c r="I3228" s="408"/>
      <c r="J3228" s="408"/>
      <c r="K3228" s="408"/>
      <c r="L3228" s="408"/>
      <c r="M3228" s="408"/>
      <c r="N3228" s="408" t="str">
        <f t="shared" si="477"/>
        <v/>
      </c>
      <c r="O3228" s="408"/>
      <c r="P3228" s="408"/>
      <c r="Q3228" s="408"/>
      <c r="R3228" s="408"/>
      <c r="S3228" s="408"/>
      <c r="T3228" s="408"/>
      <c r="U3228" s="408"/>
      <c r="V3228" s="421"/>
      <c r="W3228" s="421"/>
      <c r="X3228" s="421"/>
      <c r="Y3228" s="421"/>
      <c r="Z3228" s="421"/>
      <c r="AA3228" s="421"/>
      <c r="AB3228" s="421"/>
      <c r="AC3228" s="421"/>
      <c r="AD3228" s="421"/>
      <c r="AE3228" s="421"/>
      <c r="AF3228" s="421"/>
      <c r="AG3228" s="421"/>
      <c r="AH3228" s="421"/>
      <c r="AI3228" s="421"/>
      <c r="AJ3228" s="421"/>
      <c r="AK3228" s="421"/>
      <c r="AL3228" s="421"/>
    </row>
    <row r="3229" spans="1:38" hidden="1">
      <c r="A3229" s="408"/>
      <c r="B3229" s="83" t="e">
        <f t="array" ref="B3229">SUM(--(FREQUENCY(IF(C$2:C$3072=C3229, MATCH(D$2:D$3072, D$2:D$3072, 0)), ROW(D$2:D$3072)-ROW(D$2)+1) &gt; 0))</f>
        <v>#N/A</v>
      </c>
      <c r="C3229" s="408"/>
      <c r="D3229" s="408"/>
      <c r="E3229" s="408"/>
      <c r="F3229" s="408"/>
      <c r="G3229" s="408"/>
      <c r="H3229" s="408"/>
      <c r="I3229" s="408"/>
      <c r="J3229" s="408"/>
      <c r="K3229" s="408"/>
      <c r="L3229" s="408"/>
      <c r="M3229" s="408"/>
      <c r="N3229" s="408" t="str">
        <f t="shared" si="477"/>
        <v/>
      </c>
      <c r="O3229" s="408"/>
      <c r="P3229" s="408"/>
      <c r="Q3229" s="408"/>
      <c r="R3229" s="408"/>
      <c r="S3229" s="408"/>
      <c r="T3229" s="408"/>
      <c r="U3229" s="408"/>
      <c r="V3229" s="421"/>
      <c r="W3229" s="421"/>
      <c r="X3229" s="421"/>
      <c r="Y3229" s="421"/>
      <c r="Z3229" s="421"/>
      <c r="AA3229" s="421"/>
      <c r="AB3229" s="421"/>
      <c r="AC3229" s="421"/>
      <c r="AD3229" s="421"/>
      <c r="AE3229" s="421"/>
      <c r="AF3229" s="421"/>
      <c r="AG3229" s="421"/>
      <c r="AH3229" s="421"/>
      <c r="AI3229" s="421"/>
      <c r="AJ3229" s="421"/>
      <c r="AK3229" s="421"/>
      <c r="AL3229" s="421"/>
    </row>
    <row r="3230" spans="1:38" hidden="1">
      <c r="A3230" s="408"/>
      <c r="B3230" s="83" t="e">
        <f t="array" ref="B3230">SUM(--(FREQUENCY(IF(C$2:C$3072=C3230, MATCH(D$2:D$3072, D$2:D$3072, 0)), ROW(D$2:D$3072)-ROW(D$2)+1) &gt; 0))</f>
        <v>#N/A</v>
      </c>
      <c r="C3230" s="408"/>
      <c r="D3230" s="408"/>
      <c r="E3230" s="408"/>
      <c r="F3230" s="408"/>
      <c r="G3230" s="408"/>
      <c r="H3230" s="408"/>
      <c r="I3230" s="408"/>
      <c r="J3230" s="408"/>
      <c r="K3230" s="408"/>
      <c r="L3230" s="408"/>
      <c r="M3230" s="408"/>
      <c r="N3230" s="408" t="str">
        <f t="shared" si="477"/>
        <v/>
      </c>
      <c r="O3230" s="408"/>
      <c r="P3230" s="408"/>
      <c r="Q3230" s="408"/>
      <c r="R3230" s="408"/>
      <c r="S3230" s="408"/>
      <c r="T3230" s="408"/>
      <c r="U3230" s="408"/>
      <c r="V3230" s="421"/>
      <c r="W3230" s="421"/>
      <c r="X3230" s="421"/>
      <c r="Y3230" s="421"/>
      <c r="Z3230" s="421"/>
      <c r="AA3230" s="421"/>
      <c r="AB3230" s="421"/>
      <c r="AC3230" s="421"/>
      <c r="AD3230" s="421"/>
      <c r="AE3230" s="421"/>
      <c r="AF3230" s="421"/>
      <c r="AG3230" s="421"/>
      <c r="AH3230" s="421"/>
      <c r="AI3230" s="421"/>
      <c r="AJ3230" s="421"/>
      <c r="AK3230" s="421"/>
      <c r="AL3230" s="421"/>
    </row>
    <row r="3231" spans="1:38" hidden="1">
      <c r="A3231" s="408"/>
      <c r="B3231" s="83" t="e">
        <f t="array" ref="B3231">SUM(--(FREQUENCY(IF(C$2:C$3072=C3231, MATCH(D$2:D$3072, D$2:D$3072, 0)), ROW(D$2:D$3072)-ROW(D$2)+1) &gt; 0))</f>
        <v>#N/A</v>
      </c>
      <c r="C3231" s="408"/>
      <c r="D3231" s="408"/>
      <c r="E3231" s="408"/>
      <c r="F3231" s="408"/>
      <c r="G3231" s="408"/>
      <c r="H3231" s="408"/>
      <c r="I3231" s="408"/>
      <c r="J3231" s="408"/>
      <c r="K3231" s="408"/>
      <c r="L3231" s="408"/>
      <c r="M3231" s="408"/>
      <c r="N3231" s="408" t="str">
        <f t="shared" si="477"/>
        <v/>
      </c>
      <c r="O3231" s="408"/>
      <c r="P3231" s="408"/>
      <c r="Q3231" s="408"/>
      <c r="R3231" s="408"/>
      <c r="S3231" s="408"/>
      <c r="T3231" s="408"/>
      <c r="U3231" s="408"/>
      <c r="V3231" s="421"/>
      <c r="W3231" s="421"/>
      <c r="X3231" s="421"/>
      <c r="Y3231" s="421"/>
      <c r="Z3231" s="421"/>
      <c r="AA3231" s="421"/>
      <c r="AB3231" s="421"/>
      <c r="AC3231" s="421"/>
      <c r="AD3231" s="421"/>
      <c r="AE3231" s="421"/>
      <c r="AF3231" s="421"/>
      <c r="AG3231" s="421"/>
      <c r="AH3231" s="421"/>
      <c r="AI3231" s="421"/>
      <c r="AJ3231" s="421"/>
      <c r="AK3231" s="421"/>
      <c r="AL3231" s="421"/>
    </row>
    <row r="3232" spans="1:38" hidden="1">
      <c r="A3232" s="408"/>
      <c r="B3232" s="83" t="e">
        <f t="array" ref="B3232">SUM(--(FREQUENCY(IF(C$2:C$3072=C3232, MATCH(D$2:D$3072, D$2:D$3072, 0)), ROW(D$2:D$3072)-ROW(D$2)+1) &gt; 0))</f>
        <v>#N/A</v>
      </c>
      <c r="C3232" s="408"/>
      <c r="D3232" s="408"/>
      <c r="E3232" s="408"/>
      <c r="F3232" s="408"/>
      <c r="G3232" s="408"/>
      <c r="H3232" s="408"/>
      <c r="I3232" s="408"/>
      <c r="J3232" s="408"/>
      <c r="K3232" s="408"/>
      <c r="L3232" s="408"/>
      <c r="M3232" s="408"/>
      <c r="N3232" s="408" t="str">
        <f t="shared" si="477"/>
        <v/>
      </c>
      <c r="O3232" s="408"/>
      <c r="P3232" s="408"/>
      <c r="Q3232" s="408"/>
      <c r="R3232" s="408"/>
      <c r="S3232" s="408"/>
      <c r="T3232" s="408"/>
      <c r="U3232" s="408"/>
      <c r="V3232" s="421"/>
      <c r="W3232" s="421"/>
      <c r="X3232" s="421"/>
      <c r="Y3232" s="421"/>
      <c r="Z3232" s="421"/>
      <c r="AA3232" s="421"/>
      <c r="AB3232" s="421"/>
      <c r="AC3232" s="421"/>
      <c r="AD3232" s="421"/>
      <c r="AE3232" s="421"/>
      <c r="AF3232" s="421"/>
      <c r="AG3232" s="421"/>
      <c r="AH3232" s="421"/>
      <c r="AI3232" s="421"/>
      <c r="AJ3232" s="421"/>
      <c r="AK3232" s="421"/>
      <c r="AL3232" s="421"/>
    </row>
    <row r="3233" spans="1:38" hidden="1">
      <c r="A3233" s="408"/>
      <c r="B3233" s="83" t="e">
        <f t="array" ref="B3233">SUM(--(FREQUENCY(IF(C$2:C$3072=C3233, MATCH(D$2:D$3072, D$2:D$3072, 0)), ROW(D$2:D$3072)-ROW(D$2)+1) &gt; 0))</f>
        <v>#N/A</v>
      </c>
      <c r="C3233" s="408"/>
      <c r="D3233" s="408"/>
      <c r="E3233" s="408"/>
      <c r="F3233" s="408"/>
      <c r="G3233" s="408"/>
      <c r="H3233" s="408"/>
      <c r="I3233" s="408"/>
      <c r="J3233" s="408"/>
      <c r="K3233" s="408"/>
      <c r="L3233" s="408"/>
      <c r="M3233" s="408"/>
      <c r="N3233" s="408" t="str">
        <f t="shared" si="477"/>
        <v/>
      </c>
      <c r="O3233" s="408"/>
      <c r="P3233" s="408"/>
      <c r="Q3233" s="408"/>
      <c r="R3233" s="408"/>
      <c r="S3233" s="408"/>
      <c r="T3233" s="408"/>
      <c r="U3233" s="408"/>
      <c r="V3233" s="421"/>
      <c r="W3233" s="421"/>
      <c r="X3233" s="421"/>
      <c r="Y3233" s="421"/>
      <c r="Z3233" s="421"/>
      <c r="AA3233" s="421"/>
      <c r="AB3233" s="421"/>
      <c r="AC3233" s="421"/>
      <c r="AD3233" s="421"/>
      <c r="AE3233" s="421"/>
      <c r="AF3233" s="421"/>
      <c r="AG3233" s="421"/>
      <c r="AH3233" s="421"/>
      <c r="AI3233" s="421"/>
      <c r="AJ3233" s="421"/>
      <c r="AK3233" s="421"/>
      <c r="AL3233" s="421"/>
    </row>
    <row r="3234" spans="1:38" hidden="1">
      <c r="A3234" s="408"/>
      <c r="B3234" s="83" t="e">
        <f t="array" ref="B3234">SUM(--(FREQUENCY(IF(C$2:C$3072=C3234, MATCH(D$2:D$3072, D$2:D$3072, 0)), ROW(D$2:D$3072)-ROW(D$2)+1) &gt; 0))</f>
        <v>#N/A</v>
      </c>
      <c r="C3234" s="408"/>
      <c r="D3234" s="408"/>
      <c r="E3234" s="408"/>
      <c r="F3234" s="408"/>
      <c r="G3234" s="408"/>
      <c r="H3234" s="408"/>
      <c r="I3234" s="408"/>
      <c r="J3234" s="408"/>
      <c r="K3234" s="408"/>
      <c r="L3234" s="408"/>
      <c r="M3234" s="408"/>
      <c r="N3234" s="408" t="str">
        <f t="shared" si="477"/>
        <v/>
      </c>
      <c r="O3234" s="408"/>
      <c r="P3234" s="408"/>
      <c r="Q3234" s="408"/>
      <c r="R3234" s="408"/>
      <c r="S3234" s="408"/>
      <c r="T3234" s="408"/>
      <c r="U3234" s="408"/>
      <c r="V3234" s="421"/>
      <c r="W3234" s="421"/>
      <c r="X3234" s="421"/>
      <c r="Y3234" s="421"/>
      <c r="Z3234" s="421"/>
      <c r="AA3234" s="421"/>
      <c r="AB3234" s="421"/>
      <c r="AC3234" s="421"/>
      <c r="AD3234" s="421"/>
      <c r="AE3234" s="421"/>
      <c r="AF3234" s="421"/>
      <c r="AG3234" s="421"/>
      <c r="AH3234" s="421"/>
      <c r="AI3234" s="421"/>
      <c r="AJ3234" s="421"/>
      <c r="AK3234" s="421"/>
      <c r="AL3234" s="421"/>
    </row>
    <row r="3235" spans="1:38" hidden="1">
      <c r="A3235" s="408"/>
      <c r="B3235" s="83" t="e">
        <f t="array" ref="B3235">SUM(--(FREQUENCY(IF(C$2:C$3072=C3235, MATCH(D$2:D$3072, D$2:D$3072, 0)), ROW(D$2:D$3072)-ROW(D$2)+1) &gt; 0))</f>
        <v>#N/A</v>
      </c>
      <c r="C3235" s="408"/>
      <c r="D3235" s="408"/>
      <c r="E3235" s="408"/>
      <c r="F3235" s="408"/>
      <c r="G3235" s="408"/>
      <c r="H3235" s="408"/>
      <c r="I3235" s="408"/>
      <c r="J3235" s="408"/>
      <c r="K3235" s="408"/>
      <c r="L3235" s="408"/>
      <c r="M3235" s="408"/>
      <c r="N3235" s="408" t="str">
        <f t="shared" si="477"/>
        <v/>
      </c>
      <c r="O3235" s="408"/>
      <c r="P3235" s="408"/>
      <c r="Q3235" s="408"/>
      <c r="R3235" s="408"/>
      <c r="S3235" s="408"/>
      <c r="T3235" s="408"/>
      <c r="U3235" s="408"/>
      <c r="V3235" s="421"/>
      <c r="W3235" s="421"/>
      <c r="X3235" s="421"/>
      <c r="Y3235" s="421"/>
      <c r="Z3235" s="421"/>
      <c r="AA3235" s="421"/>
      <c r="AB3235" s="421"/>
      <c r="AC3235" s="421"/>
      <c r="AD3235" s="421"/>
      <c r="AE3235" s="421"/>
      <c r="AF3235" s="421"/>
      <c r="AG3235" s="421"/>
      <c r="AH3235" s="421"/>
      <c r="AI3235" s="421"/>
      <c r="AJ3235" s="421"/>
      <c r="AK3235" s="421"/>
      <c r="AL3235" s="421"/>
    </row>
    <row r="3236" spans="1:38" hidden="1">
      <c r="A3236" s="408"/>
      <c r="B3236" s="83" t="e">
        <f t="array" ref="B3236">SUM(--(FREQUENCY(IF(C$2:C$3072=C3236, MATCH(D$2:D$3072, D$2:D$3072, 0)), ROW(D$2:D$3072)-ROW(D$2)+1) &gt; 0))</f>
        <v>#N/A</v>
      </c>
      <c r="C3236" s="408"/>
      <c r="D3236" s="408"/>
      <c r="E3236" s="408"/>
      <c r="F3236" s="408"/>
      <c r="G3236" s="408"/>
      <c r="H3236" s="408"/>
      <c r="I3236" s="408"/>
      <c r="J3236" s="408"/>
      <c r="K3236" s="408"/>
      <c r="L3236" s="408"/>
      <c r="M3236" s="408"/>
      <c r="N3236" s="408" t="str">
        <f t="shared" si="477"/>
        <v/>
      </c>
      <c r="O3236" s="408"/>
      <c r="P3236" s="408"/>
      <c r="Q3236" s="408"/>
      <c r="R3236" s="408"/>
      <c r="S3236" s="408"/>
      <c r="T3236" s="408"/>
      <c r="U3236" s="408"/>
      <c r="V3236" s="421"/>
      <c r="W3236" s="421"/>
      <c r="X3236" s="421"/>
      <c r="Y3236" s="421"/>
      <c r="Z3236" s="421"/>
      <c r="AA3236" s="421"/>
      <c r="AB3236" s="421"/>
      <c r="AC3236" s="421"/>
      <c r="AD3236" s="421"/>
      <c r="AE3236" s="421"/>
      <c r="AF3236" s="421"/>
      <c r="AG3236" s="421"/>
      <c r="AH3236" s="421"/>
      <c r="AI3236" s="421"/>
      <c r="AJ3236" s="421"/>
      <c r="AK3236" s="421"/>
      <c r="AL3236" s="421"/>
    </row>
    <row r="3237" spans="1:38" hidden="1">
      <c r="A3237" s="408"/>
      <c r="B3237" s="83" t="e">
        <f t="array" ref="B3237">SUM(--(FREQUENCY(IF(C$2:C$3072=C3237, MATCH(D$2:D$3072, D$2:D$3072, 0)), ROW(D$2:D$3072)-ROW(D$2)+1) &gt; 0))</f>
        <v>#N/A</v>
      </c>
      <c r="C3237" s="408"/>
      <c r="D3237" s="408"/>
      <c r="E3237" s="408"/>
      <c r="F3237" s="408"/>
      <c r="G3237" s="408"/>
      <c r="H3237" s="408"/>
      <c r="I3237" s="408"/>
      <c r="J3237" s="408"/>
      <c r="K3237" s="408"/>
      <c r="L3237" s="408"/>
      <c r="M3237" s="408"/>
      <c r="N3237" s="408" t="str">
        <f t="shared" si="477"/>
        <v/>
      </c>
      <c r="O3237" s="408"/>
      <c r="P3237" s="408"/>
      <c r="Q3237" s="408"/>
      <c r="R3237" s="408"/>
      <c r="S3237" s="408"/>
      <c r="T3237" s="408"/>
      <c r="U3237" s="408"/>
      <c r="V3237" s="421"/>
      <c r="W3237" s="421"/>
      <c r="X3237" s="421"/>
      <c r="Y3237" s="421"/>
      <c r="Z3237" s="421"/>
      <c r="AA3237" s="421"/>
      <c r="AB3237" s="421"/>
      <c r="AC3237" s="421"/>
      <c r="AD3237" s="421"/>
      <c r="AE3237" s="421"/>
      <c r="AF3237" s="421"/>
      <c r="AG3237" s="421"/>
      <c r="AH3237" s="421"/>
      <c r="AI3237" s="421"/>
      <c r="AJ3237" s="421"/>
      <c r="AK3237" s="421"/>
      <c r="AL3237" s="421"/>
    </row>
    <row r="3238" spans="1:38" hidden="1">
      <c r="A3238" s="408"/>
      <c r="B3238" s="83" t="e">
        <f t="array" ref="B3238">SUM(--(FREQUENCY(IF(C$2:C$3072=C3238, MATCH(D$2:D$3072, D$2:D$3072, 0)), ROW(D$2:D$3072)-ROW(D$2)+1) &gt; 0))</f>
        <v>#N/A</v>
      </c>
      <c r="C3238" s="408"/>
      <c r="D3238" s="408"/>
      <c r="E3238" s="408"/>
      <c r="F3238" s="408"/>
      <c r="G3238" s="408"/>
      <c r="H3238" s="408"/>
      <c r="I3238" s="408"/>
      <c r="J3238" s="408"/>
      <c r="K3238" s="408"/>
      <c r="L3238" s="408"/>
      <c r="M3238" s="408"/>
      <c r="N3238" s="408" t="str">
        <f t="shared" si="477"/>
        <v/>
      </c>
      <c r="O3238" s="408"/>
      <c r="P3238" s="408"/>
      <c r="Q3238" s="408"/>
      <c r="R3238" s="408"/>
      <c r="S3238" s="408"/>
      <c r="T3238" s="408"/>
      <c r="U3238" s="408"/>
      <c r="V3238" s="421"/>
      <c r="W3238" s="421"/>
      <c r="X3238" s="421"/>
      <c r="Y3238" s="421"/>
      <c r="Z3238" s="421"/>
      <c r="AA3238" s="421"/>
      <c r="AB3238" s="421"/>
      <c r="AC3238" s="421"/>
      <c r="AD3238" s="421"/>
      <c r="AE3238" s="421"/>
      <c r="AF3238" s="421"/>
      <c r="AG3238" s="421"/>
      <c r="AH3238" s="421"/>
      <c r="AI3238" s="421"/>
      <c r="AJ3238" s="421"/>
      <c r="AK3238" s="421"/>
      <c r="AL3238" s="421"/>
    </row>
    <row r="3239" spans="1:38" hidden="1">
      <c r="A3239" s="408"/>
      <c r="B3239" s="83" t="e">
        <f t="array" ref="B3239">SUM(--(FREQUENCY(IF(C$2:C$3072=C3239, MATCH(D$2:D$3072, D$2:D$3072, 0)), ROW(D$2:D$3072)-ROW(D$2)+1) &gt; 0))</f>
        <v>#N/A</v>
      </c>
      <c r="C3239" s="408"/>
      <c r="D3239" s="408"/>
      <c r="E3239" s="408"/>
      <c r="F3239" s="408"/>
      <c r="G3239" s="408"/>
      <c r="H3239" s="408"/>
      <c r="I3239" s="408"/>
      <c r="J3239" s="408"/>
      <c r="K3239" s="408"/>
      <c r="L3239" s="408"/>
      <c r="M3239" s="408"/>
      <c r="N3239" s="408" t="str">
        <f t="shared" si="477"/>
        <v/>
      </c>
      <c r="O3239" s="408"/>
      <c r="P3239" s="408"/>
      <c r="Q3239" s="408"/>
      <c r="R3239" s="408"/>
      <c r="S3239" s="408"/>
      <c r="T3239" s="408"/>
      <c r="U3239" s="408"/>
      <c r="V3239" s="421"/>
      <c r="W3239" s="421"/>
      <c r="X3239" s="421"/>
      <c r="Y3239" s="421"/>
      <c r="Z3239" s="421"/>
      <c r="AA3239" s="421"/>
      <c r="AB3239" s="421"/>
      <c r="AC3239" s="421"/>
      <c r="AD3239" s="421"/>
      <c r="AE3239" s="421"/>
      <c r="AF3239" s="421"/>
      <c r="AG3239" s="421"/>
      <c r="AH3239" s="421"/>
      <c r="AI3239" s="421"/>
      <c r="AJ3239" s="421"/>
      <c r="AK3239" s="421"/>
      <c r="AL3239" s="421"/>
    </row>
    <row r="3240" spans="1:38" hidden="1">
      <c r="A3240" s="408"/>
      <c r="B3240" s="83" t="e">
        <f t="array" ref="B3240">SUM(--(FREQUENCY(IF(C$2:C$3072=C3240, MATCH(D$2:D$3072, D$2:D$3072, 0)), ROW(D$2:D$3072)-ROW(D$2)+1) &gt; 0))</f>
        <v>#N/A</v>
      </c>
      <c r="C3240" s="408"/>
      <c r="D3240" s="408"/>
      <c r="E3240" s="408"/>
      <c r="F3240" s="408"/>
      <c r="G3240" s="408"/>
      <c r="H3240" s="408"/>
      <c r="I3240" s="408"/>
      <c r="J3240" s="408"/>
      <c r="K3240" s="408"/>
      <c r="L3240" s="408"/>
      <c r="M3240" s="408"/>
      <c r="N3240" s="408" t="str">
        <f t="shared" si="477"/>
        <v/>
      </c>
      <c r="O3240" s="408"/>
      <c r="P3240" s="408"/>
      <c r="Q3240" s="408"/>
      <c r="R3240" s="408"/>
      <c r="S3240" s="408"/>
      <c r="T3240" s="408"/>
      <c r="U3240" s="408"/>
      <c r="V3240" s="421"/>
      <c r="W3240" s="421"/>
      <c r="X3240" s="421"/>
      <c r="Y3240" s="421"/>
      <c r="Z3240" s="421"/>
      <c r="AA3240" s="421"/>
      <c r="AB3240" s="421"/>
      <c r="AC3240" s="421"/>
      <c r="AD3240" s="421"/>
      <c r="AE3240" s="421"/>
      <c r="AF3240" s="421"/>
      <c r="AG3240" s="421"/>
      <c r="AH3240" s="421"/>
      <c r="AI3240" s="421"/>
      <c r="AJ3240" s="421"/>
      <c r="AK3240" s="421"/>
      <c r="AL3240" s="421"/>
    </row>
    <row r="3241" spans="1:38" hidden="1">
      <c r="A3241" s="408"/>
      <c r="B3241" s="83" t="e">
        <f t="array" ref="B3241">SUM(--(FREQUENCY(IF(C$2:C$3072=C3241, MATCH(D$2:D$3072, D$2:D$3072, 0)), ROW(D$2:D$3072)-ROW(D$2)+1) &gt; 0))</f>
        <v>#N/A</v>
      </c>
      <c r="C3241" s="408"/>
      <c r="D3241" s="408"/>
      <c r="E3241" s="408"/>
      <c r="F3241" s="408"/>
      <c r="G3241" s="408"/>
      <c r="H3241" s="408"/>
      <c r="I3241" s="408"/>
      <c r="J3241" s="408"/>
      <c r="K3241" s="408"/>
      <c r="L3241" s="408"/>
      <c r="M3241" s="408"/>
      <c r="N3241" s="408" t="str">
        <f t="shared" si="477"/>
        <v/>
      </c>
      <c r="O3241" s="408"/>
      <c r="P3241" s="408"/>
      <c r="Q3241" s="408"/>
      <c r="R3241" s="408"/>
      <c r="S3241" s="408"/>
      <c r="T3241" s="408"/>
      <c r="U3241" s="408"/>
      <c r="V3241" s="421"/>
      <c r="W3241" s="421"/>
      <c r="X3241" s="421"/>
      <c r="Y3241" s="421"/>
      <c r="Z3241" s="421"/>
      <c r="AA3241" s="421"/>
      <c r="AB3241" s="421"/>
      <c r="AC3241" s="421"/>
      <c r="AD3241" s="421"/>
      <c r="AE3241" s="421"/>
      <c r="AF3241" s="421"/>
      <c r="AG3241" s="421"/>
      <c r="AH3241" s="421"/>
      <c r="AI3241" s="421"/>
      <c r="AJ3241" s="421"/>
      <c r="AK3241" s="421"/>
      <c r="AL3241" s="421"/>
    </row>
    <row r="3242" spans="1:38" hidden="1">
      <c r="A3242" s="408"/>
      <c r="B3242" s="83" t="e">
        <f t="array" ref="B3242">SUM(--(FREQUENCY(IF(C$2:C$3072=C3242, MATCH(D$2:D$3072, D$2:D$3072, 0)), ROW(D$2:D$3072)-ROW(D$2)+1) &gt; 0))</f>
        <v>#N/A</v>
      </c>
      <c r="C3242" s="408"/>
      <c r="D3242" s="408"/>
      <c r="E3242" s="408"/>
      <c r="F3242" s="408"/>
      <c r="G3242" s="408"/>
      <c r="H3242" s="408"/>
      <c r="I3242" s="408"/>
      <c r="J3242" s="408"/>
      <c r="K3242" s="408"/>
      <c r="L3242" s="408"/>
      <c r="M3242" s="408"/>
      <c r="N3242" s="408" t="str">
        <f t="shared" si="477"/>
        <v/>
      </c>
      <c r="O3242" s="408"/>
      <c r="P3242" s="408"/>
      <c r="Q3242" s="408"/>
      <c r="R3242" s="408"/>
      <c r="S3242" s="408"/>
      <c r="T3242" s="408"/>
      <c r="U3242" s="408"/>
      <c r="V3242" s="421"/>
      <c r="W3242" s="421"/>
      <c r="X3242" s="421"/>
      <c r="Y3242" s="421"/>
      <c r="Z3242" s="421"/>
      <c r="AA3242" s="421"/>
      <c r="AB3242" s="421"/>
      <c r="AC3242" s="421"/>
      <c r="AD3242" s="421"/>
      <c r="AE3242" s="421"/>
      <c r="AF3242" s="421"/>
      <c r="AG3242" s="421"/>
      <c r="AH3242" s="421"/>
      <c r="AI3242" s="421"/>
      <c r="AJ3242" s="421"/>
      <c r="AK3242" s="421"/>
      <c r="AL3242" s="421"/>
    </row>
    <row r="3243" spans="1:38" hidden="1">
      <c r="A3243" s="408"/>
      <c r="B3243" s="83" t="e">
        <f t="array" ref="B3243">SUM(--(FREQUENCY(IF(C$2:C$3072=C3243, MATCH(D$2:D$3072, D$2:D$3072, 0)), ROW(D$2:D$3072)-ROW(D$2)+1) &gt; 0))</f>
        <v>#N/A</v>
      </c>
      <c r="C3243" s="408"/>
      <c r="D3243" s="408"/>
      <c r="E3243" s="408"/>
      <c r="F3243" s="408"/>
      <c r="G3243" s="408"/>
      <c r="H3243" s="408"/>
      <c r="I3243" s="408"/>
      <c r="J3243" s="408"/>
      <c r="K3243" s="408"/>
      <c r="L3243" s="408"/>
      <c r="M3243" s="408"/>
      <c r="N3243" s="408" t="str">
        <f t="shared" si="477"/>
        <v/>
      </c>
      <c r="O3243" s="408"/>
      <c r="P3243" s="408"/>
      <c r="Q3243" s="408"/>
      <c r="R3243" s="408"/>
      <c r="S3243" s="408"/>
      <c r="T3243" s="408"/>
      <c r="U3243" s="408"/>
      <c r="V3243" s="421"/>
      <c r="W3243" s="421"/>
      <c r="X3243" s="421"/>
      <c r="Y3243" s="421"/>
      <c r="Z3243" s="421"/>
      <c r="AA3243" s="421"/>
      <c r="AB3243" s="421"/>
      <c r="AC3243" s="421"/>
      <c r="AD3243" s="421"/>
      <c r="AE3243" s="421"/>
      <c r="AF3243" s="421"/>
      <c r="AG3243" s="421"/>
      <c r="AH3243" s="421"/>
      <c r="AI3243" s="421"/>
      <c r="AJ3243" s="421"/>
      <c r="AK3243" s="421"/>
      <c r="AL3243" s="421"/>
    </row>
    <row r="3244" spans="1:38" hidden="1">
      <c r="A3244" s="408"/>
      <c r="B3244" s="83" t="e">
        <f t="array" ref="B3244">SUM(--(FREQUENCY(IF(C$2:C$3072=C3244, MATCH(D$2:D$3072, D$2:D$3072, 0)), ROW(D$2:D$3072)-ROW(D$2)+1) &gt; 0))</f>
        <v>#N/A</v>
      </c>
      <c r="C3244" s="408"/>
      <c r="D3244" s="408"/>
      <c r="E3244" s="408"/>
      <c r="F3244" s="408"/>
      <c r="G3244" s="408"/>
      <c r="H3244" s="408"/>
      <c r="I3244" s="408"/>
      <c r="J3244" s="408"/>
      <c r="K3244" s="408"/>
      <c r="L3244" s="408"/>
      <c r="M3244" s="408"/>
      <c r="N3244" s="408" t="str">
        <f t="shared" si="477"/>
        <v/>
      </c>
      <c r="O3244" s="408"/>
      <c r="P3244" s="408"/>
      <c r="Q3244" s="408"/>
      <c r="R3244" s="408"/>
      <c r="S3244" s="408"/>
      <c r="T3244" s="408"/>
      <c r="U3244" s="408"/>
      <c r="V3244" s="421"/>
      <c r="W3244" s="421"/>
      <c r="X3244" s="421"/>
      <c r="Y3244" s="421"/>
      <c r="Z3244" s="421"/>
      <c r="AA3244" s="421"/>
      <c r="AB3244" s="421"/>
      <c r="AC3244" s="421"/>
      <c r="AD3244" s="421"/>
      <c r="AE3244" s="421"/>
      <c r="AF3244" s="421"/>
      <c r="AG3244" s="421"/>
      <c r="AH3244" s="421"/>
      <c r="AI3244" s="421"/>
      <c r="AJ3244" s="421"/>
      <c r="AK3244" s="421"/>
      <c r="AL3244" s="421"/>
    </row>
    <row r="3245" spans="1:38" hidden="1">
      <c r="A3245" s="408"/>
      <c r="B3245" s="83" t="e">
        <f t="array" ref="B3245">SUM(--(FREQUENCY(IF(C$2:C$3072=C3245, MATCH(D$2:D$3072, D$2:D$3072, 0)), ROW(D$2:D$3072)-ROW(D$2)+1) &gt; 0))</f>
        <v>#N/A</v>
      </c>
      <c r="C3245" s="408"/>
      <c r="D3245" s="408"/>
      <c r="E3245" s="408"/>
      <c r="F3245" s="408"/>
      <c r="G3245" s="408"/>
      <c r="H3245" s="408"/>
      <c r="I3245" s="408"/>
      <c r="J3245" s="408"/>
      <c r="K3245" s="408"/>
      <c r="L3245" s="408"/>
      <c r="M3245" s="408"/>
      <c r="N3245" s="408" t="str">
        <f t="shared" si="477"/>
        <v/>
      </c>
      <c r="O3245" s="408"/>
      <c r="P3245" s="408"/>
      <c r="Q3245" s="408"/>
      <c r="R3245" s="408"/>
      <c r="S3245" s="408"/>
      <c r="T3245" s="408"/>
      <c r="U3245" s="408"/>
      <c r="V3245" s="421"/>
      <c r="W3245" s="421"/>
      <c r="X3245" s="421"/>
      <c r="Y3245" s="421"/>
      <c r="Z3245" s="421"/>
      <c r="AA3245" s="421"/>
      <c r="AB3245" s="421"/>
      <c r="AC3245" s="421"/>
      <c r="AD3245" s="421"/>
      <c r="AE3245" s="421"/>
      <c r="AF3245" s="421"/>
      <c r="AG3245" s="421"/>
      <c r="AH3245" s="421"/>
      <c r="AI3245" s="421"/>
      <c r="AJ3245" s="421"/>
      <c r="AK3245" s="421"/>
      <c r="AL3245" s="421"/>
    </row>
    <row r="3246" spans="1:38" hidden="1">
      <c r="A3246" s="408"/>
      <c r="B3246" s="83" t="e">
        <f t="array" ref="B3246">SUM(--(FREQUENCY(IF(C$2:C$3072=C3246, MATCH(D$2:D$3072, D$2:D$3072, 0)), ROW(D$2:D$3072)-ROW(D$2)+1) &gt; 0))</f>
        <v>#N/A</v>
      </c>
      <c r="C3246" s="408"/>
      <c r="D3246" s="408"/>
      <c r="E3246" s="408"/>
      <c r="F3246" s="408"/>
      <c r="G3246" s="408"/>
      <c r="H3246" s="408"/>
      <c r="I3246" s="408"/>
      <c r="J3246" s="408"/>
      <c r="K3246" s="408"/>
      <c r="L3246" s="408"/>
      <c r="M3246" s="408"/>
      <c r="N3246" s="408" t="str">
        <f t="shared" si="477"/>
        <v/>
      </c>
      <c r="O3246" s="408"/>
      <c r="P3246" s="408"/>
      <c r="Q3246" s="408"/>
      <c r="R3246" s="408"/>
      <c r="S3246" s="408"/>
      <c r="T3246" s="408"/>
      <c r="U3246" s="408"/>
      <c r="V3246" s="421"/>
      <c r="W3246" s="421"/>
      <c r="X3246" s="421"/>
      <c r="Y3246" s="421"/>
      <c r="Z3246" s="421"/>
      <c r="AA3246" s="421"/>
      <c r="AB3246" s="421"/>
      <c r="AC3246" s="421"/>
      <c r="AD3246" s="421"/>
      <c r="AE3246" s="421"/>
      <c r="AF3246" s="421"/>
      <c r="AG3246" s="421"/>
      <c r="AH3246" s="421"/>
      <c r="AI3246" s="421"/>
      <c r="AJ3246" s="421"/>
      <c r="AK3246" s="421"/>
      <c r="AL3246" s="421"/>
    </row>
    <row r="3247" spans="1:38" hidden="1">
      <c r="A3247" s="408"/>
      <c r="B3247" s="83" t="e">
        <f t="array" ref="B3247">SUM(--(FREQUENCY(IF(C$2:C$3072=C3247, MATCH(D$2:D$3072, D$2:D$3072, 0)), ROW(D$2:D$3072)-ROW(D$2)+1) &gt; 0))</f>
        <v>#N/A</v>
      </c>
      <c r="C3247" s="408"/>
      <c r="D3247" s="408"/>
      <c r="E3247" s="408"/>
      <c r="F3247" s="408"/>
      <c r="G3247" s="408"/>
      <c r="H3247" s="408"/>
      <c r="I3247" s="408"/>
      <c r="J3247" s="408"/>
      <c r="K3247" s="408"/>
      <c r="L3247" s="408"/>
      <c r="M3247" s="408"/>
      <c r="N3247" s="408" t="str">
        <f t="shared" si="477"/>
        <v/>
      </c>
      <c r="O3247" s="408"/>
      <c r="P3247" s="408"/>
      <c r="Q3247" s="408"/>
      <c r="R3247" s="408"/>
      <c r="S3247" s="408"/>
      <c r="T3247" s="408"/>
      <c r="U3247" s="408"/>
      <c r="V3247" s="421"/>
      <c r="W3247" s="421"/>
      <c r="X3247" s="421"/>
      <c r="Y3247" s="421"/>
      <c r="Z3247" s="421"/>
      <c r="AA3247" s="421"/>
      <c r="AB3247" s="421"/>
      <c r="AC3247" s="421"/>
      <c r="AD3247" s="421"/>
      <c r="AE3247" s="421"/>
      <c r="AF3247" s="421"/>
      <c r="AG3247" s="421"/>
      <c r="AH3247" s="421"/>
      <c r="AI3247" s="421"/>
      <c r="AJ3247" s="421"/>
      <c r="AK3247" s="421"/>
      <c r="AL3247" s="421"/>
    </row>
    <row r="3248" spans="1:38" hidden="1">
      <c r="A3248" s="408"/>
      <c r="B3248" s="83" t="e">
        <f t="array" ref="B3248">SUM(--(FREQUENCY(IF(C$2:C$3072=C3248, MATCH(D$2:D$3072, D$2:D$3072, 0)), ROW(D$2:D$3072)-ROW(D$2)+1) &gt; 0))</f>
        <v>#N/A</v>
      </c>
      <c r="C3248" s="408"/>
      <c r="D3248" s="408"/>
      <c r="E3248" s="408"/>
      <c r="F3248" s="408"/>
      <c r="G3248" s="408"/>
      <c r="H3248" s="408"/>
      <c r="I3248" s="408"/>
      <c r="J3248" s="408"/>
      <c r="K3248" s="408"/>
      <c r="L3248" s="408"/>
      <c r="M3248" s="408"/>
      <c r="N3248" s="408" t="str">
        <f t="shared" si="477"/>
        <v/>
      </c>
      <c r="O3248" s="408"/>
      <c r="P3248" s="408"/>
      <c r="Q3248" s="408"/>
      <c r="R3248" s="408"/>
      <c r="S3248" s="408"/>
      <c r="T3248" s="408"/>
      <c r="U3248" s="408"/>
      <c r="V3248" s="421"/>
      <c r="W3248" s="421"/>
      <c r="X3248" s="421"/>
      <c r="Y3248" s="421"/>
      <c r="Z3248" s="421"/>
      <c r="AA3248" s="421"/>
      <c r="AB3248" s="421"/>
      <c r="AC3248" s="421"/>
      <c r="AD3248" s="421"/>
      <c r="AE3248" s="421"/>
      <c r="AF3248" s="421"/>
      <c r="AG3248" s="421"/>
      <c r="AH3248" s="421"/>
      <c r="AI3248" s="421"/>
      <c r="AJ3248" s="421"/>
      <c r="AK3248" s="421"/>
      <c r="AL3248" s="421"/>
    </row>
    <row r="3249" spans="1:38" hidden="1">
      <c r="A3249" s="408"/>
      <c r="B3249" s="83" t="e">
        <f t="array" ref="B3249">SUM(--(FREQUENCY(IF(C$2:C$3072=C3249, MATCH(D$2:D$3072, D$2:D$3072, 0)), ROW(D$2:D$3072)-ROW(D$2)+1) &gt; 0))</f>
        <v>#N/A</v>
      </c>
      <c r="C3249" s="408"/>
      <c r="D3249" s="408"/>
      <c r="E3249" s="408"/>
      <c r="F3249" s="408"/>
      <c r="G3249" s="408"/>
      <c r="H3249" s="408"/>
      <c r="I3249" s="408"/>
      <c r="J3249" s="408"/>
      <c r="K3249" s="408"/>
      <c r="L3249" s="408"/>
      <c r="M3249" s="408"/>
      <c r="N3249" s="408" t="str">
        <f t="shared" si="477"/>
        <v/>
      </c>
      <c r="O3249" s="408"/>
      <c r="P3249" s="408"/>
      <c r="Q3249" s="408"/>
      <c r="R3249" s="408"/>
      <c r="S3249" s="408"/>
      <c r="T3249" s="408"/>
      <c r="U3249" s="408"/>
      <c r="V3249" s="421"/>
      <c r="W3249" s="421"/>
      <c r="X3249" s="421"/>
      <c r="Y3249" s="421"/>
      <c r="Z3249" s="421"/>
      <c r="AA3249" s="421"/>
      <c r="AB3249" s="421"/>
      <c r="AC3249" s="421"/>
      <c r="AD3249" s="421"/>
      <c r="AE3249" s="421"/>
      <c r="AF3249" s="421"/>
      <c r="AG3249" s="421"/>
      <c r="AH3249" s="421"/>
      <c r="AI3249" s="421"/>
      <c r="AJ3249" s="421"/>
      <c r="AK3249" s="421"/>
      <c r="AL3249" s="421"/>
    </row>
    <row r="3250" spans="1:38" hidden="1">
      <c r="A3250" s="408"/>
      <c r="B3250" s="83" t="e">
        <f t="array" ref="B3250">SUM(--(FREQUENCY(IF(C$2:C$3072=C3250, MATCH(D$2:D$3072, D$2:D$3072, 0)), ROW(D$2:D$3072)-ROW(D$2)+1) &gt; 0))</f>
        <v>#N/A</v>
      </c>
      <c r="C3250" s="408"/>
      <c r="D3250" s="408"/>
      <c r="E3250" s="408"/>
      <c r="F3250" s="408"/>
      <c r="G3250" s="408"/>
      <c r="H3250" s="408"/>
      <c r="I3250" s="408"/>
      <c r="J3250" s="408"/>
      <c r="K3250" s="408"/>
      <c r="L3250" s="408"/>
      <c r="M3250" s="408"/>
      <c r="N3250" s="408" t="str">
        <f t="shared" si="477"/>
        <v/>
      </c>
      <c r="O3250" s="408"/>
      <c r="P3250" s="408"/>
      <c r="Q3250" s="408"/>
      <c r="R3250" s="408"/>
      <c r="S3250" s="408"/>
      <c r="T3250" s="408"/>
      <c r="U3250" s="408"/>
      <c r="V3250" s="421"/>
      <c r="W3250" s="421"/>
      <c r="X3250" s="421"/>
      <c r="Y3250" s="421"/>
      <c r="Z3250" s="421"/>
      <c r="AA3250" s="421"/>
      <c r="AB3250" s="421"/>
      <c r="AC3250" s="421"/>
      <c r="AD3250" s="421"/>
      <c r="AE3250" s="421"/>
      <c r="AF3250" s="421"/>
      <c r="AG3250" s="421"/>
      <c r="AH3250" s="421"/>
      <c r="AI3250" s="421"/>
      <c r="AJ3250" s="421"/>
      <c r="AK3250" s="421"/>
      <c r="AL3250" s="421"/>
    </row>
    <row r="3251" spans="1:38" hidden="1">
      <c r="A3251" s="408"/>
      <c r="B3251" s="83" t="e">
        <f t="array" ref="B3251">SUM(--(FREQUENCY(IF(C$2:C$3072=C3251, MATCH(D$2:D$3072, D$2:D$3072, 0)), ROW(D$2:D$3072)-ROW(D$2)+1) &gt; 0))</f>
        <v>#N/A</v>
      </c>
      <c r="C3251" s="408"/>
      <c r="D3251" s="408"/>
      <c r="E3251" s="408"/>
      <c r="F3251" s="408"/>
      <c r="G3251" s="408"/>
      <c r="H3251" s="408"/>
      <c r="I3251" s="408"/>
      <c r="J3251" s="408"/>
      <c r="K3251" s="408"/>
      <c r="L3251" s="408"/>
      <c r="M3251" s="408"/>
      <c r="N3251" s="408" t="str">
        <f t="shared" si="477"/>
        <v/>
      </c>
      <c r="O3251" s="408"/>
      <c r="P3251" s="408"/>
      <c r="Q3251" s="408"/>
      <c r="R3251" s="408"/>
      <c r="S3251" s="408"/>
      <c r="T3251" s="408"/>
      <c r="U3251" s="408"/>
      <c r="V3251" s="421"/>
      <c r="W3251" s="421"/>
      <c r="X3251" s="421"/>
      <c r="Y3251" s="421"/>
      <c r="Z3251" s="421"/>
      <c r="AA3251" s="421"/>
      <c r="AB3251" s="421"/>
      <c r="AC3251" s="421"/>
      <c r="AD3251" s="421"/>
      <c r="AE3251" s="421"/>
      <c r="AF3251" s="421"/>
      <c r="AG3251" s="421"/>
      <c r="AH3251" s="421"/>
      <c r="AI3251" s="421"/>
      <c r="AJ3251" s="421"/>
      <c r="AK3251" s="421"/>
      <c r="AL3251" s="421"/>
    </row>
    <row r="3252" spans="1:38" hidden="1">
      <c r="A3252" s="408"/>
      <c r="B3252" s="83" t="e">
        <f t="array" ref="B3252">SUM(--(FREQUENCY(IF(C$2:C$3072=C3252, MATCH(D$2:D$3072, D$2:D$3072, 0)), ROW(D$2:D$3072)-ROW(D$2)+1) &gt; 0))</f>
        <v>#N/A</v>
      </c>
      <c r="C3252" s="408"/>
      <c r="D3252" s="408"/>
      <c r="E3252" s="408"/>
      <c r="F3252" s="408"/>
      <c r="G3252" s="408"/>
      <c r="H3252" s="408"/>
      <c r="I3252" s="408"/>
      <c r="J3252" s="408"/>
      <c r="K3252" s="408"/>
      <c r="L3252" s="408"/>
      <c r="M3252" s="408"/>
      <c r="N3252" s="408" t="str">
        <f t="shared" si="477"/>
        <v/>
      </c>
      <c r="O3252" s="408"/>
      <c r="P3252" s="408"/>
      <c r="Q3252" s="408"/>
      <c r="R3252" s="408"/>
      <c r="S3252" s="408"/>
      <c r="T3252" s="408"/>
      <c r="U3252" s="408"/>
      <c r="V3252" s="421"/>
      <c r="W3252" s="421"/>
      <c r="X3252" s="421"/>
      <c r="Y3252" s="421"/>
      <c r="Z3252" s="421"/>
      <c r="AA3252" s="421"/>
      <c r="AB3252" s="421"/>
      <c r="AC3252" s="421"/>
      <c r="AD3252" s="421"/>
      <c r="AE3252" s="421"/>
      <c r="AF3252" s="421"/>
      <c r="AG3252" s="421"/>
      <c r="AH3252" s="421"/>
      <c r="AI3252" s="421"/>
      <c r="AJ3252" s="421"/>
      <c r="AK3252" s="421"/>
      <c r="AL3252" s="421"/>
    </row>
    <row r="3253" spans="1:38" hidden="1">
      <c r="A3253" s="408"/>
      <c r="B3253" s="83" t="e">
        <f t="array" ref="B3253">SUM(--(FREQUENCY(IF(C$2:C$3072=C3253, MATCH(D$2:D$3072, D$2:D$3072, 0)), ROW(D$2:D$3072)-ROW(D$2)+1) &gt; 0))</f>
        <v>#N/A</v>
      </c>
      <c r="C3253" s="408"/>
      <c r="D3253" s="408"/>
      <c r="E3253" s="408"/>
      <c r="F3253" s="408"/>
      <c r="G3253" s="408"/>
      <c r="H3253" s="408"/>
      <c r="I3253" s="408"/>
      <c r="J3253" s="408"/>
      <c r="K3253" s="408"/>
      <c r="L3253" s="408"/>
      <c r="M3253" s="408"/>
      <c r="N3253" s="408" t="str">
        <f t="shared" si="477"/>
        <v/>
      </c>
      <c r="O3253" s="408"/>
      <c r="P3253" s="408"/>
      <c r="Q3253" s="408"/>
      <c r="R3253" s="408"/>
      <c r="S3253" s="408"/>
      <c r="T3253" s="408"/>
      <c r="U3253" s="408"/>
      <c r="V3253" s="421"/>
      <c r="W3253" s="421"/>
      <c r="X3253" s="421"/>
      <c r="Y3253" s="421"/>
      <c r="Z3253" s="421"/>
      <c r="AA3253" s="421"/>
      <c r="AB3253" s="421"/>
      <c r="AC3253" s="421"/>
      <c r="AD3253" s="421"/>
      <c r="AE3253" s="421"/>
      <c r="AF3253" s="421"/>
      <c r="AG3253" s="421"/>
      <c r="AH3253" s="421"/>
      <c r="AI3253" s="421"/>
      <c r="AJ3253" s="421"/>
      <c r="AK3253" s="421"/>
      <c r="AL3253" s="421"/>
    </row>
    <row r="3254" spans="1:38" hidden="1">
      <c r="A3254" s="408"/>
      <c r="B3254" s="83" t="e">
        <f t="array" ref="B3254">SUM(--(FREQUENCY(IF(C$2:C$3072=C3254, MATCH(D$2:D$3072, D$2:D$3072, 0)), ROW(D$2:D$3072)-ROW(D$2)+1) &gt; 0))</f>
        <v>#N/A</v>
      </c>
      <c r="C3254" s="408"/>
      <c r="D3254" s="408"/>
      <c r="E3254" s="408"/>
      <c r="F3254" s="408"/>
      <c r="G3254" s="408"/>
      <c r="H3254" s="408"/>
      <c r="I3254" s="408"/>
      <c r="J3254" s="408"/>
      <c r="K3254" s="408"/>
      <c r="L3254" s="408"/>
      <c r="M3254" s="408"/>
      <c r="N3254" s="408" t="str">
        <f t="shared" si="477"/>
        <v/>
      </c>
      <c r="O3254" s="408"/>
      <c r="P3254" s="408"/>
      <c r="Q3254" s="408"/>
      <c r="R3254" s="408"/>
      <c r="S3254" s="408"/>
      <c r="T3254" s="408"/>
      <c r="U3254" s="408"/>
      <c r="V3254" s="421"/>
      <c r="W3254" s="421"/>
      <c r="X3254" s="421"/>
      <c r="Y3254" s="421"/>
      <c r="Z3254" s="421"/>
      <c r="AA3254" s="421"/>
      <c r="AB3254" s="421"/>
      <c r="AC3254" s="421"/>
      <c r="AD3254" s="421"/>
      <c r="AE3254" s="421"/>
      <c r="AF3254" s="421"/>
      <c r="AG3254" s="421"/>
      <c r="AH3254" s="421"/>
      <c r="AI3254" s="421"/>
      <c r="AJ3254" s="421"/>
      <c r="AK3254" s="421"/>
      <c r="AL3254" s="421"/>
    </row>
    <row r="3255" spans="1:38" hidden="1">
      <c r="A3255" s="408"/>
      <c r="B3255" s="83" t="e">
        <f t="array" ref="B3255">SUM(--(FREQUENCY(IF(C$2:C$3072=C3255, MATCH(D$2:D$3072, D$2:D$3072, 0)), ROW(D$2:D$3072)-ROW(D$2)+1) &gt; 0))</f>
        <v>#N/A</v>
      </c>
      <c r="C3255" s="408"/>
      <c r="D3255" s="408"/>
      <c r="E3255" s="408"/>
      <c r="F3255" s="408"/>
      <c r="G3255" s="408"/>
      <c r="H3255" s="408"/>
      <c r="I3255" s="408"/>
      <c r="J3255" s="408"/>
      <c r="K3255" s="408"/>
      <c r="L3255" s="408"/>
      <c r="M3255" s="408"/>
      <c r="N3255" s="408" t="str">
        <f t="shared" si="477"/>
        <v/>
      </c>
      <c r="O3255" s="408"/>
      <c r="P3255" s="408"/>
      <c r="Q3255" s="408"/>
      <c r="R3255" s="408"/>
      <c r="S3255" s="408"/>
      <c r="T3255" s="408"/>
      <c r="U3255" s="408"/>
      <c r="V3255" s="421"/>
      <c r="W3255" s="421"/>
      <c r="X3255" s="421"/>
      <c r="Y3255" s="421"/>
      <c r="Z3255" s="421"/>
      <c r="AA3255" s="421"/>
      <c r="AB3255" s="421"/>
      <c r="AC3255" s="421"/>
      <c r="AD3255" s="421"/>
      <c r="AE3255" s="421"/>
      <c r="AF3255" s="421"/>
      <c r="AG3255" s="421"/>
      <c r="AH3255" s="421"/>
      <c r="AI3255" s="421"/>
      <c r="AJ3255" s="421"/>
      <c r="AK3255" s="421"/>
      <c r="AL3255" s="421"/>
    </row>
    <row r="3256" spans="1:38" hidden="1">
      <c r="A3256" s="408"/>
      <c r="B3256" s="83" t="e">
        <f t="array" ref="B3256">SUM(--(FREQUENCY(IF(C$2:C$3072=C3256, MATCH(D$2:D$3072, D$2:D$3072, 0)), ROW(D$2:D$3072)-ROW(D$2)+1) &gt; 0))</f>
        <v>#N/A</v>
      </c>
      <c r="C3256" s="408"/>
      <c r="D3256" s="408"/>
      <c r="E3256" s="408"/>
      <c r="F3256" s="408"/>
      <c r="G3256" s="408"/>
      <c r="H3256" s="408"/>
      <c r="I3256" s="408"/>
      <c r="J3256" s="408"/>
      <c r="K3256" s="408"/>
      <c r="L3256" s="408"/>
      <c r="M3256" s="408"/>
      <c r="N3256" s="408" t="str">
        <f t="shared" si="477"/>
        <v/>
      </c>
      <c r="O3256" s="408"/>
      <c r="P3256" s="408"/>
      <c r="Q3256" s="408"/>
      <c r="R3256" s="408"/>
      <c r="S3256" s="408"/>
      <c r="T3256" s="408"/>
      <c r="U3256" s="408"/>
      <c r="V3256" s="421"/>
      <c r="W3256" s="421"/>
      <c r="X3256" s="421"/>
      <c r="Y3256" s="421"/>
      <c r="Z3256" s="421"/>
      <c r="AA3256" s="421"/>
      <c r="AB3256" s="421"/>
      <c r="AC3256" s="421"/>
      <c r="AD3256" s="421"/>
      <c r="AE3256" s="421"/>
      <c r="AF3256" s="421"/>
      <c r="AG3256" s="421"/>
      <c r="AH3256" s="421"/>
      <c r="AI3256" s="421"/>
      <c r="AJ3256" s="421"/>
      <c r="AK3256" s="421"/>
      <c r="AL3256" s="421"/>
    </row>
    <row r="3257" spans="1:38" hidden="1">
      <c r="A3257" s="408"/>
      <c r="B3257" s="83" t="e">
        <f t="array" ref="B3257">SUM(--(FREQUENCY(IF(C$2:C$3072=C3257, MATCH(D$2:D$3072, D$2:D$3072, 0)), ROW(D$2:D$3072)-ROW(D$2)+1) &gt; 0))</f>
        <v>#N/A</v>
      </c>
      <c r="C3257" s="408"/>
      <c r="D3257" s="408"/>
      <c r="E3257" s="408"/>
      <c r="F3257" s="408"/>
      <c r="G3257" s="408"/>
      <c r="H3257" s="408"/>
      <c r="I3257" s="408"/>
      <c r="J3257" s="408"/>
      <c r="K3257" s="408"/>
      <c r="L3257" s="408"/>
      <c r="M3257" s="408"/>
      <c r="N3257" s="408" t="str">
        <f t="shared" si="477"/>
        <v/>
      </c>
      <c r="O3257" s="408"/>
      <c r="P3257" s="408"/>
      <c r="Q3257" s="408"/>
      <c r="R3257" s="408"/>
      <c r="S3257" s="408"/>
      <c r="T3257" s="408"/>
      <c r="U3257" s="408"/>
      <c r="V3257" s="421"/>
      <c r="W3257" s="421"/>
      <c r="X3257" s="421"/>
      <c r="Y3257" s="421"/>
      <c r="Z3257" s="421"/>
      <c r="AA3257" s="421"/>
      <c r="AB3257" s="421"/>
      <c r="AC3257" s="421"/>
      <c r="AD3257" s="421"/>
      <c r="AE3257" s="421"/>
      <c r="AF3257" s="421"/>
      <c r="AG3257" s="421"/>
      <c r="AH3257" s="421"/>
      <c r="AI3257" s="421"/>
      <c r="AJ3257" s="421"/>
      <c r="AK3257" s="421"/>
      <c r="AL3257" s="421"/>
    </row>
    <row r="3258" spans="1:38" hidden="1">
      <c r="A3258" s="408"/>
      <c r="B3258" s="83" t="e">
        <f t="array" ref="B3258">SUM(--(FREQUENCY(IF(C$2:C$3072=C3258, MATCH(D$2:D$3072, D$2:D$3072, 0)), ROW(D$2:D$3072)-ROW(D$2)+1) &gt; 0))</f>
        <v>#N/A</v>
      </c>
      <c r="C3258" s="408"/>
      <c r="D3258" s="408"/>
      <c r="E3258" s="408"/>
      <c r="F3258" s="408"/>
      <c r="G3258" s="408"/>
      <c r="H3258" s="408"/>
      <c r="I3258" s="408"/>
      <c r="J3258" s="408"/>
      <c r="K3258" s="408"/>
      <c r="L3258" s="408"/>
      <c r="M3258" s="408"/>
      <c r="N3258" s="408" t="str">
        <f t="shared" si="477"/>
        <v/>
      </c>
      <c r="O3258" s="408"/>
      <c r="P3258" s="408"/>
      <c r="Q3258" s="408"/>
      <c r="R3258" s="408"/>
      <c r="S3258" s="408"/>
      <c r="T3258" s="408"/>
      <c r="U3258" s="408"/>
      <c r="V3258" s="421"/>
      <c r="W3258" s="421"/>
      <c r="X3258" s="421"/>
      <c r="Y3258" s="421"/>
      <c r="Z3258" s="421"/>
      <c r="AA3258" s="421"/>
      <c r="AB3258" s="421"/>
      <c r="AC3258" s="421"/>
      <c r="AD3258" s="421"/>
      <c r="AE3258" s="421"/>
      <c r="AF3258" s="421"/>
      <c r="AG3258" s="421"/>
      <c r="AH3258" s="421"/>
      <c r="AI3258" s="421"/>
      <c r="AJ3258" s="421"/>
      <c r="AK3258" s="421"/>
      <c r="AL3258" s="421"/>
    </row>
    <row r="3259" spans="1:38" hidden="1">
      <c r="A3259" s="408"/>
      <c r="B3259" s="83" t="e">
        <f t="array" ref="B3259">SUM(--(FREQUENCY(IF(C$2:C$3072=C3259, MATCH(D$2:D$3072, D$2:D$3072, 0)), ROW(D$2:D$3072)-ROW(D$2)+1) &gt; 0))</f>
        <v>#N/A</v>
      </c>
      <c r="C3259" s="408"/>
      <c r="D3259" s="408"/>
      <c r="E3259" s="408"/>
      <c r="F3259" s="408"/>
      <c r="G3259" s="408"/>
      <c r="H3259" s="408"/>
      <c r="I3259" s="408"/>
      <c r="J3259" s="408"/>
      <c r="K3259" s="408"/>
      <c r="L3259" s="408"/>
      <c r="M3259" s="408"/>
      <c r="N3259" s="408" t="str">
        <f t="shared" si="477"/>
        <v/>
      </c>
      <c r="O3259" s="408"/>
      <c r="P3259" s="408"/>
      <c r="Q3259" s="408"/>
      <c r="R3259" s="408"/>
      <c r="S3259" s="408"/>
      <c r="T3259" s="408"/>
      <c r="U3259" s="408"/>
      <c r="V3259" s="421"/>
      <c r="W3259" s="421"/>
      <c r="X3259" s="421"/>
      <c r="Y3259" s="421"/>
      <c r="Z3259" s="421"/>
      <c r="AA3259" s="421"/>
      <c r="AB3259" s="421"/>
      <c r="AC3259" s="421"/>
      <c r="AD3259" s="421"/>
      <c r="AE3259" s="421"/>
      <c r="AF3259" s="421"/>
      <c r="AG3259" s="421"/>
      <c r="AH3259" s="421"/>
      <c r="AI3259" s="421"/>
      <c r="AJ3259" s="421"/>
      <c r="AK3259" s="421"/>
      <c r="AL3259" s="421"/>
    </row>
    <row r="3260" spans="1:38" hidden="1">
      <c r="A3260" s="408"/>
      <c r="B3260" s="83" t="e">
        <f t="array" ref="B3260">SUM(--(FREQUENCY(IF(C$2:C$3072=C3260, MATCH(D$2:D$3072, D$2:D$3072, 0)), ROW(D$2:D$3072)-ROW(D$2)+1) &gt; 0))</f>
        <v>#N/A</v>
      </c>
      <c r="C3260" s="408"/>
      <c r="D3260" s="408"/>
      <c r="E3260" s="408"/>
      <c r="F3260" s="408"/>
      <c r="G3260" s="408"/>
      <c r="H3260" s="408"/>
      <c r="I3260" s="408"/>
      <c r="J3260" s="408"/>
      <c r="K3260" s="408"/>
      <c r="L3260" s="408"/>
      <c r="M3260" s="408"/>
      <c r="N3260" s="408" t="str">
        <f t="shared" si="477"/>
        <v/>
      </c>
      <c r="O3260" s="408"/>
      <c r="P3260" s="408"/>
      <c r="Q3260" s="408"/>
      <c r="R3260" s="408"/>
      <c r="S3260" s="408"/>
      <c r="T3260" s="408"/>
      <c r="U3260" s="408"/>
      <c r="V3260" s="421"/>
      <c r="W3260" s="421"/>
      <c r="X3260" s="421"/>
      <c r="Y3260" s="421"/>
      <c r="Z3260" s="421"/>
      <c r="AA3260" s="421"/>
      <c r="AB3260" s="421"/>
      <c r="AC3260" s="421"/>
      <c r="AD3260" s="421"/>
      <c r="AE3260" s="421"/>
      <c r="AF3260" s="421"/>
      <c r="AG3260" s="421"/>
      <c r="AH3260" s="421"/>
      <c r="AI3260" s="421"/>
      <c r="AJ3260" s="421"/>
      <c r="AK3260" s="421"/>
      <c r="AL3260" s="421"/>
    </row>
    <row r="3261" spans="1:38" hidden="1">
      <c r="A3261" s="408"/>
      <c r="B3261" s="83" t="e">
        <f t="array" ref="B3261">SUM(--(FREQUENCY(IF(C$2:C$3072=C3261, MATCH(D$2:D$3072, D$2:D$3072, 0)), ROW(D$2:D$3072)-ROW(D$2)+1) &gt; 0))</f>
        <v>#N/A</v>
      </c>
      <c r="C3261" s="408"/>
      <c r="D3261" s="408"/>
      <c r="E3261" s="408"/>
      <c r="F3261" s="408"/>
      <c r="G3261" s="408"/>
      <c r="H3261" s="408"/>
      <c r="I3261" s="408"/>
      <c r="J3261" s="408"/>
      <c r="K3261" s="408"/>
      <c r="L3261" s="408"/>
      <c r="M3261" s="408"/>
      <c r="N3261" s="408" t="str">
        <f t="shared" si="477"/>
        <v/>
      </c>
      <c r="O3261" s="408"/>
      <c r="P3261" s="408"/>
      <c r="Q3261" s="408"/>
      <c r="R3261" s="408"/>
      <c r="S3261" s="408"/>
      <c r="T3261" s="408"/>
      <c r="U3261" s="408"/>
      <c r="V3261" s="421"/>
      <c r="W3261" s="421"/>
      <c r="X3261" s="421"/>
      <c r="Y3261" s="421"/>
      <c r="Z3261" s="421"/>
      <c r="AA3261" s="421"/>
      <c r="AB3261" s="421"/>
      <c r="AC3261" s="421"/>
      <c r="AD3261" s="421"/>
      <c r="AE3261" s="421"/>
      <c r="AF3261" s="421"/>
      <c r="AG3261" s="421"/>
      <c r="AH3261" s="421"/>
      <c r="AI3261" s="421"/>
      <c r="AJ3261" s="421"/>
      <c r="AK3261" s="421"/>
      <c r="AL3261" s="421"/>
    </row>
    <row r="3262" spans="1:38" hidden="1">
      <c r="A3262" s="408"/>
      <c r="B3262" s="83" t="e">
        <f t="array" ref="B3262">SUM(--(FREQUENCY(IF(C$2:C$3072=C3262, MATCH(D$2:D$3072, D$2:D$3072, 0)), ROW(D$2:D$3072)-ROW(D$2)+1) &gt; 0))</f>
        <v>#N/A</v>
      </c>
      <c r="C3262" s="408"/>
      <c r="D3262" s="408"/>
      <c r="E3262" s="408"/>
      <c r="F3262" s="408"/>
      <c r="G3262" s="408"/>
      <c r="H3262" s="408"/>
      <c r="I3262" s="408"/>
      <c r="J3262" s="408"/>
      <c r="K3262" s="408"/>
      <c r="L3262" s="408"/>
      <c r="M3262" s="408"/>
      <c r="N3262" s="408" t="str">
        <f t="shared" si="477"/>
        <v/>
      </c>
      <c r="O3262" s="408"/>
      <c r="P3262" s="408"/>
      <c r="Q3262" s="408"/>
      <c r="R3262" s="408"/>
      <c r="S3262" s="408"/>
      <c r="T3262" s="408"/>
      <c r="U3262" s="408"/>
      <c r="V3262" s="421"/>
      <c r="W3262" s="421"/>
      <c r="X3262" s="421"/>
      <c r="Y3262" s="421"/>
      <c r="Z3262" s="421"/>
      <c r="AA3262" s="421"/>
      <c r="AB3262" s="421"/>
      <c r="AC3262" s="421"/>
      <c r="AD3262" s="421"/>
      <c r="AE3262" s="421"/>
      <c r="AF3262" s="421"/>
      <c r="AG3262" s="421"/>
      <c r="AH3262" s="421"/>
      <c r="AI3262" s="421"/>
      <c r="AJ3262" s="421"/>
      <c r="AK3262" s="421"/>
      <c r="AL3262" s="421"/>
    </row>
    <row r="3263" spans="1:38" hidden="1">
      <c r="A3263" s="408"/>
      <c r="B3263" s="83" t="e">
        <f t="array" ref="B3263">SUM(--(FREQUENCY(IF(C$2:C$3072=C3263, MATCH(D$2:D$3072, D$2:D$3072, 0)), ROW(D$2:D$3072)-ROW(D$2)+1) &gt; 0))</f>
        <v>#N/A</v>
      </c>
      <c r="C3263" s="408"/>
      <c r="D3263" s="408"/>
      <c r="E3263" s="408"/>
      <c r="F3263" s="408"/>
      <c r="G3263" s="408"/>
      <c r="H3263" s="408"/>
      <c r="I3263" s="408"/>
      <c r="J3263" s="408"/>
      <c r="K3263" s="408"/>
      <c r="L3263" s="408"/>
      <c r="M3263" s="408"/>
      <c r="N3263" s="408" t="str">
        <f t="shared" si="477"/>
        <v/>
      </c>
      <c r="O3263" s="408"/>
      <c r="P3263" s="408"/>
      <c r="Q3263" s="408"/>
      <c r="R3263" s="408"/>
      <c r="S3263" s="408"/>
      <c r="T3263" s="408"/>
      <c r="U3263" s="408"/>
      <c r="V3263" s="421"/>
      <c r="W3263" s="421"/>
      <c r="X3263" s="421"/>
      <c r="Y3263" s="421"/>
      <c r="Z3263" s="421"/>
      <c r="AA3263" s="421"/>
      <c r="AB3263" s="421"/>
      <c r="AC3263" s="421"/>
      <c r="AD3263" s="421"/>
      <c r="AE3263" s="421"/>
      <c r="AF3263" s="421"/>
      <c r="AG3263" s="421"/>
      <c r="AH3263" s="421"/>
      <c r="AI3263" s="421"/>
      <c r="AJ3263" s="421"/>
      <c r="AK3263" s="421"/>
      <c r="AL3263" s="421"/>
    </row>
    <row r="3264" spans="1:38" hidden="1">
      <c r="A3264" s="408"/>
      <c r="B3264" s="83" t="e">
        <f t="array" ref="B3264">SUM(--(FREQUENCY(IF(C$2:C$3072=C3264, MATCH(D$2:D$3072, D$2:D$3072, 0)), ROW(D$2:D$3072)-ROW(D$2)+1) &gt; 0))</f>
        <v>#N/A</v>
      </c>
      <c r="C3264" s="408"/>
      <c r="D3264" s="408"/>
      <c r="E3264" s="408"/>
      <c r="F3264" s="408"/>
      <c r="G3264" s="408"/>
      <c r="H3264" s="408"/>
      <c r="I3264" s="408"/>
      <c r="J3264" s="408"/>
      <c r="K3264" s="408"/>
      <c r="L3264" s="408"/>
      <c r="M3264" s="408"/>
      <c r="N3264" s="408" t="str">
        <f t="shared" ref="N3264:N3327" si="478">IF(O3264&lt;&gt;"", "NG", "")</f>
        <v/>
      </c>
      <c r="O3264" s="408"/>
      <c r="P3264" s="408"/>
      <c r="Q3264" s="408"/>
      <c r="R3264" s="408"/>
      <c r="S3264" s="408"/>
      <c r="T3264" s="408"/>
      <c r="U3264" s="408"/>
      <c r="V3264" s="421"/>
      <c r="W3264" s="421"/>
      <c r="X3264" s="421"/>
      <c r="Y3264" s="421"/>
      <c r="Z3264" s="421"/>
      <c r="AA3264" s="421"/>
      <c r="AB3264" s="421"/>
      <c r="AC3264" s="421"/>
      <c r="AD3264" s="421"/>
      <c r="AE3264" s="421"/>
      <c r="AF3264" s="421"/>
      <c r="AG3264" s="421"/>
      <c r="AH3264" s="421"/>
      <c r="AI3264" s="421"/>
      <c r="AJ3264" s="421"/>
      <c r="AK3264" s="421"/>
      <c r="AL3264" s="421"/>
    </row>
    <row r="3265" spans="1:38" hidden="1">
      <c r="A3265" s="408"/>
      <c r="B3265" s="83" t="e">
        <f t="array" ref="B3265">SUM(--(FREQUENCY(IF(C$2:C$3072=C3265, MATCH(D$2:D$3072, D$2:D$3072, 0)), ROW(D$2:D$3072)-ROW(D$2)+1) &gt; 0))</f>
        <v>#N/A</v>
      </c>
      <c r="C3265" s="408"/>
      <c r="D3265" s="408"/>
      <c r="E3265" s="408"/>
      <c r="F3265" s="408"/>
      <c r="G3265" s="408"/>
      <c r="H3265" s="408"/>
      <c r="I3265" s="408"/>
      <c r="J3265" s="408"/>
      <c r="K3265" s="408"/>
      <c r="L3265" s="408"/>
      <c r="M3265" s="408"/>
      <c r="N3265" s="408" t="str">
        <f t="shared" si="478"/>
        <v/>
      </c>
      <c r="O3265" s="408"/>
      <c r="P3265" s="408"/>
      <c r="Q3265" s="408"/>
      <c r="R3265" s="408"/>
      <c r="S3265" s="408"/>
      <c r="T3265" s="408"/>
      <c r="U3265" s="408"/>
      <c r="V3265" s="421"/>
      <c r="W3265" s="421"/>
      <c r="X3265" s="421"/>
      <c r="Y3265" s="421"/>
      <c r="Z3265" s="421"/>
      <c r="AA3265" s="421"/>
      <c r="AB3265" s="421"/>
      <c r="AC3265" s="421"/>
      <c r="AD3265" s="421"/>
      <c r="AE3265" s="421"/>
      <c r="AF3265" s="421"/>
      <c r="AG3265" s="421"/>
      <c r="AH3265" s="421"/>
      <c r="AI3265" s="421"/>
      <c r="AJ3265" s="421"/>
      <c r="AK3265" s="421"/>
      <c r="AL3265" s="421"/>
    </row>
    <row r="3266" spans="1:38" hidden="1">
      <c r="A3266" s="408"/>
      <c r="B3266" s="83" t="e">
        <f t="array" ref="B3266">SUM(--(FREQUENCY(IF(C$2:C$3072=C3266, MATCH(D$2:D$3072, D$2:D$3072, 0)), ROW(D$2:D$3072)-ROW(D$2)+1) &gt; 0))</f>
        <v>#N/A</v>
      </c>
      <c r="C3266" s="408"/>
      <c r="D3266" s="408"/>
      <c r="E3266" s="408"/>
      <c r="F3266" s="408"/>
      <c r="G3266" s="408"/>
      <c r="H3266" s="408"/>
      <c r="I3266" s="408"/>
      <c r="J3266" s="408"/>
      <c r="K3266" s="408"/>
      <c r="L3266" s="408"/>
      <c r="M3266" s="408"/>
      <c r="N3266" s="408" t="str">
        <f t="shared" si="478"/>
        <v/>
      </c>
      <c r="O3266" s="408"/>
      <c r="P3266" s="408"/>
      <c r="Q3266" s="408"/>
      <c r="R3266" s="408"/>
      <c r="S3266" s="408"/>
      <c r="T3266" s="408"/>
      <c r="U3266" s="408"/>
      <c r="V3266" s="421"/>
      <c r="W3266" s="421"/>
      <c r="X3266" s="421"/>
      <c r="Y3266" s="421"/>
      <c r="Z3266" s="421"/>
      <c r="AA3266" s="421"/>
      <c r="AB3266" s="421"/>
      <c r="AC3266" s="421"/>
      <c r="AD3266" s="421"/>
      <c r="AE3266" s="421"/>
      <c r="AF3266" s="421"/>
      <c r="AG3266" s="421"/>
      <c r="AH3266" s="421"/>
      <c r="AI3266" s="421"/>
      <c r="AJ3266" s="421"/>
      <c r="AK3266" s="421"/>
      <c r="AL3266" s="421"/>
    </row>
    <row r="3267" spans="1:38" hidden="1">
      <c r="A3267" s="408"/>
      <c r="B3267" s="83" t="e">
        <f t="array" ref="B3267">SUM(--(FREQUENCY(IF(C$2:C$3072=C3267, MATCH(D$2:D$3072, D$2:D$3072, 0)), ROW(D$2:D$3072)-ROW(D$2)+1) &gt; 0))</f>
        <v>#N/A</v>
      </c>
      <c r="C3267" s="408"/>
      <c r="D3267" s="408"/>
      <c r="E3267" s="408"/>
      <c r="F3267" s="408"/>
      <c r="G3267" s="408"/>
      <c r="H3267" s="408"/>
      <c r="I3267" s="408"/>
      <c r="J3267" s="408"/>
      <c r="K3267" s="408"/>
      <c r="L3267" s="408"/>
      <c r="M3267" s="408"/>
      <c r="N3267" s="408" t="str">
        <f t="shared" si="478"/>
        <v/>
      </c>
      <c r="O3267" s="408"/>
      <c r="P3267" s="408"/>
      <c r="Q3267" s="408"/>
      <c r="R3267" s="408"/>
      <c r="S3267" s="408"/>
      <c r="T3267" s="408"/>
      <c r="U3267" s="408"/>
      <c r="V3267" s="421"/>
      <c r="W3267" s="421"/>
      <c r="X3267" s="421"/>
      <c r="Y3267" s="421"/>
      <c r="Z3267" s="421"/>
      <c r="AA3267" s="421"/>
      <c r="AB3267" s="421"/>
      <c r="AC3267" s="421"/>
      <c r="AD3267" s="421"/>
      <c r="AE3267" s="421"/>
      <c r="AF3267" s="421"/>
      <c r="AG3267" s="421"/>
      <c r="AH3267" s="421"/>
      <c r="AI3267" s="421"/>
      <c r="AJ3267" s="421"/>
      <c r="AK3267" s="421"/>
      <c r="AL3267" s="421"/>
    </row>
    <row r="3268" spans="1:38" hidden="1">
      <c r="A3268" s="408"/>
      <c r="B3268" s="83" t="e">
        <f t="array" ref="B3268">SUM(--(FREQUENCY(IF(C$2:C$3072=C3268, MATCH(D$2:D$3072, D$2:D$3072, 0)), ROW(D$2:D$3072)-ROW(D$2)+1) &gt; 0))</f>
        <v>#N/A</v>
      </c>
      <c r="C3268" s="408"/>
      <c r="D3268" s="408"/>
      <c r="E3268" s="408"/>
      <c r="F3268" s="408"/>
      <c r="G3268" s="408"/>
      <c r="H3268" s="408"/>
      <c r="I3268" s="408"/>
      <c r="J3268" s="408"/>
      <c r="K3268" s="408"/>
      <c r="L3268" s="408"/>
      <c r="M3268" s="408"/>
      <c r="N3268" s="408" t="str">
        <f t="shared" si="478"/>
        <v/>
      </c>
      <c r="O3268" s="408"/>
      <c r="P3268" s="408"/>
      <c r="Q3268" s="408"/>
      <c r="R3268" s="408"/>
      <c r="S3268" s="408"/>
      <c r="T3268" s="408"/>
      <c r="U3268" s="408"/>
      <c r="V3268" s="421"/>
      <c r="W3268" s="421"/>
      <c r="X3268" s="421"/>
      <c r="Y3268" s="421"/>
      <c r="Z3268" s="421"/>
      <c r="AA3268" s="421"/>
      <c r="AB3268" s="421"/>
      <c r="AC3268" s="421"/>
      <c r="AD3268" s="421"/>
      <c r="AE3268" s="421"/>
      <c r="AF3268" s="421"/>
      <c r="AG3268" s="421"/>
      <c r="AH3268" s="421"/>
      <c r="AI3268" s="421"/>
      <c r="AJ3268" s="421"/>
      <c r="AK3268" s="421"/>
      <c r="AL3268" s="421"/>
    </row>
    <row r="3269" spans="1:38" hidden="1">
      <c r="A3269" s="408"/>
      <c r="B3269" s="83" t="e">
        <f t="array" ref="B3269">SUM(--(FREQUENCY(IF(C$2:C$3072=C3269, MATCH(D$2:D$3072, D$2:D$3072, 0)), ROW(D$2:D$3072)-ROW(D$2)+1) &gt; 0))</f>
        <v>#N/A</v>
      </c>
      <c r="C3269" s="408"/>
      <c r="D3269" s="408"/>
      <c r="E3269" s="408"/>
      <c r="F3269" s="408"/>
      <c r="G3269" s="408"/>
      <c r="H3269" s="408"/>
      <c r="I3269" s="408"/>
      <c r="J3269" s="408"/>
      <c r="K3269" s="408"/>
      <c r="L3269" s="408"/>
      <c r="M3269" s="408"/>
      <c r="N3269" s="408" t="str">
        <f t="shared" si="478"/>
        <v/>
      </c>
      <c r="O3269" s="408"/>
      <c r="P3269" s="408"/>
      <c r="Q3269" s="408"/>
      <c r="R3269" s="408"/>
      <c r="S3269" s="408"/>
      <c r="T3269" s="408"/>
      <c r="U3269" s="408"/>
      <c r="V3269" s="421"/>
      <c r="W3269" s="421"/>
      <c r="X3269" s="421"/>
      <c r="Y3269" s="421"/>
      <c r="Z3269" s="421"/>
      <c r="AA3269" s="421"/>
      <c r="AB3269" s="421"/>
      <c r="AC3269" s="421"/>
      <c r="AD3269" s="421"/>
      <c r="AE3269" s="421"/>
      <c r="AF3269" s="421"/>
      <c r="AG3269" s="421"/>
      <c r="AH3269" s="421"/>
      <c r="AI3269" s="421"/>
      <c r="AJ3269" s="421"/>
      <c r="AK3269" s="421"/>
      <c r="AL3269" s="421"/>
    </row>
    <row r="3270" spans="1:38" hidden="1">
      <c r="A3270" s="408"/>
      <c r="B3270" s="83" t="e">
        <f t="array" ref="B3270">SUM(--(FREQUENCY(IF(C$2:C$3072=C3270, MATCH(D$2:D$3072, D$2:D$3072, 0)), ROW(D$2:D$3072)-ROW(D$2)+1) &gt; 0))</f>
        <v>#N/A</v>
      </c>
      <c r="C3270" s="408"/>
      <c r="D3270" s="408"/>
      <c r="E3270" s="408"/>
      <c r="F3270" s="408"/>
      <c r="G3270" s="408"/>
      <c r="H3270" s="408"/>
      <c r="I3270" s="408"/>
      <c r="J3270" s="408"/>
      <c r="K3270" s="408"/>
      <c r="L3270" s="408"/>
      <c r="M3270" s="408"/>
      <c r="N3270" s="408" t="str">
        <f t="shared" si="478"/>
        <v/>
      </c>
      <c r="O3270" s="408"/>
      <c r="P3270" s="408"/>
      <c r="Q3270" s="408"/>
      <c r="R3270" s="408"/>
      <c r="S3270" s="408"/>
      <c r="T3270" s="408"/>
      <c r="U3270" s="408"/>
      <c r="V3270" s="421"/>
      <c r="W3270" s="421"/>
      <c r="X3270" s="421"/>
      <c r="Y3270" s="421"/>
      <c r="Z3270" s="421"/>
      <c r="AA3270" s="421"/>
      <c r="AB3270" s="421"/>
      <c r="AC3270" s="421"/>
      <c r="AD3270" s="421"/>
      <c r="AE3270" s="421"/>
      <c r="AF3270" s="421"/>
      <c r="AG3270" s="421"/>
      <c r="AH3270" s="421"/>
      <c r="AI3270" s="421"/>
      <c r="AJ3270" s="421"/>
      <c r="AK3270" s="421"/>
      <c r="AL3270" s="421"/>
    </row>
    <row r="3271" spans="1:38" hidden="1">
      <c r="A3271" s="408"/>
      <c r="B3271" s="83" t="e">
        <f t="array" ref="B3271">SUM(--(FREQUENCY(IF(C$2:C$3072=C3271, MATCH(D$2:D$3072, D$2:D$3072, 0)), ROW(D$2:D$3072)-ROW(D$2)+1) &gt; 0))</f>
        <v>#N/A</v>
      </c>
      <c r="C3271" s="408"/>
      <c r="D3271" s="408"/>
      <c r="E3271" s="408"/>
      <c r="F3271" s="408"/>
      <c r="G3271" s="408"/>
      <c r="H3271" s="408"/>
      <c r="I3271" s="408"/>
      <c r="J3271" s="408"/>
      <c r="K3271" s="408"/>
      <c r="L3271" s="408"/>
      <c r="M3271" s="408"/>
      <c r="N3271" s="408" t="str">
        <f t="shared" si="478"/>
        <v/>
      </c>
      <c r="O3271" s="408"/>
      <c r="P3271" s="408"/>
      <c r="Q3271" s="408"/>
      <c r="R3271" s="408"/>
      <c r="S3271" s="408"/>
      <c r="T3271" s="408"/>
      <c r="U3271" s="408"/>
      <c r="V3271" s="421"/>
      <c r="W3271" s="421"/>
      <c r="X3271" s="421"/>
      <c r="Y3271" s="421"/>
      <c r="Z3271" s="421"/>
      <c r="AA3271" s="421"/>
      <c r="AB3271" s="421"/>
      <c r="AC3271" s="421"/>
      <c r="AD3271" s="421"/>
      <c r="AE3271" s="421"/>
      <c r="AF3271" s="421"/>
      <c r="AG3271" s="421"/>
      <c r="AH3271" s="421"/>
      <c r="AI3271" s="421"/>
      <c r="AJ3271" s="421"/>
      <c r="AK3271" s="421"/>
      <c r="AL3271" s="421"/>
    </row>
    <row r="3272" spans="1:38" hidden="1">
      <c r="A3272" s="408"/>
      <c r="B3272" s="83" t="e">
        <f t="array" ref="B3272">SUM(--(FREQUENCY(IF(C$2:C$3072=C3272, MATCH(D$2:D$3072, D$2:D$3072, 0)), ROW(D$2:D$3072)-ROW(D$2)+1) &gt; 0))</f>
        <v>#N/A</v>
      </c>
      <c r="C3272" s="408"/>
      <c r="D3272" s="408"/>
      <c r="E3272" s="408"/>
      <c r="F3272" s="408"/>
      <c r="G3272" s="408"/>
      <c r="H3272" s="408"/>
      <c r="I3272" s="408"/>
      <c r="J3272" s="408"/>
      <c r="K3272" s="408"/>
      <c r="L3272" s="408"/>
      <c r="M3272" s="408"/>
      <c r="N3272" s="408" t="str">
        <f t="shared" si="478"/>
        <v/>
      </c>
      <c r="O3272" s="408"/>
      <c r="P3272" s="408"/>
      <c r="Q3272" s="408"/>
      <c r="R3272" s="408"/>
      <c r="S3272" s="408"/>
      <c r="T3272" s="408"/>
      <c r="U3272" s="408"/>
      <c r="V3272" s="421"/>
      <c r="W3272" s="421"/>
      <c r="X3272" s="421"/>
      <c r="Y3272" s="421"/>
      <c r="Z3272" s="421"/>
      <c r="AA3272" s="421"/>
      <c r="AB3272" s="421"/>
      <c r="AC3272" s="421"/>
      <c r="AD3272" s="421"/>
      <c r="AE3272" s="421"/>
      <c r="AF3272" s="421"/>
      <c r="AG3272" s="421"/>
      <c r="AH3272" s="421"/>
      <c r="AI3272" s="421"/>
      <c r="AJ3272" s="421"/>
      <c r="AK3272" s="421"/>
      <c r="AL3272" s="421"/>
    </row>
    <row r="3273" spans="1:38" hidden="1">
      <c r="A3273" s="408"/>
      <c r="B3273" s="83" t="e">
        <f t="array" ref="B3273">SUM(--(FREQUENCY(IF(C$2:C$3072=C3273, MATCH(D$2:D$3072, D$2:D$3072, 0)), ROW(D$2:D$3072)-ROW(D$2)+1) &gt; 0))</f>
        <v>#N/A</v>
      </c>
      <c r="C3273" s="408"/>
      <c r="D3273" s="408"/>
      <c r="E3273" s="408"/>
      <c r="F3273" s="408"/>
      <c r="G3273" s="408"/>
      <c r="H3273" s="408"/>
      <c r="I3273" s="408"/>
      <c r="J3273" s="408"/>
      <c r="K3273" s="408"/>
      <c r="L3273" s="408"/>
      <c r="M3273" s="408"/>
      <c r="N3273" s="408" t="str">
        <f t="shared" si="478"/>
        <v/>
      </c>
      <c r="O3273" s="408"/>
      <c r="P3273" s="408"/>
      <c r="Q3273" s="408"/>
      <c r="R3273" s="408"/>
      <c r="S3273" s="408"/>
      <c r="T3273" s="408"/>
      <c r="U3273" s="408"/>
      <c r="V3273" s="421"/>
      <c r="W3273" s="421"/>
      <c r="X3273" s="421"/>
      <c r="Y3273" s="421"/>
      <c r="Z3273" s="421"/>
      <c r="AA3273" s="421"/>
      <c r="AB3273" s="421"/>
      <c r="AC3273" s="421"/>
      <c r="AD3273" s="421"/>
      <c r="AE3273" s="421"/>
      <c r="AF3273" s="421"/>
      <c r="AG3273" s="421"/>
      <c r="AH3273" s="421"/>
      <c r="AI3273" s="421"/>
      <c r="AJ3273" s="421"/>
      <c r="AK3273" s="421"/>
      <c r="AL3273" s="421"/>
    </row>
    <row r="3274" spans="1:38" hidden="1">
      <c r="A3274" s="408"/>
      <c r="B3274" s="83" t="e">
        <f t="array" ref="B3274">SUM(--(FREQUENCY(IF(C$2:C$3072=C3274, MATCH(D$2:D$3072, D$2:D$3072, 0)), ROW(D$2:D$3072)-ROW(D$2)+1) &gt; 0))</f>
        <v>#N/A</v>
      </c>
      <c r="C3274" s="408"/>
      <c r="D3274" s="408"/>
      <c r="E3274" s="408"/>
      <c r="F3274" s="408"/>
      <c r="G3274" s="408"/>
      <c r="H3274" s="408"/>
      <c r="I3274" s="408"/>
      <c r="J3274" s="408"/>
      <c r="K3274" s="408"/>
      <c r="L3274" s="408"/>
      <c r="M3274" s="408"/>
      <c r="N3274" s="408" t="str">
        <f t="shared" si="478"/>
        <v/>
      </c>
      <c r="O3274" s="408"/>
      <c r="P3274" s="408"/>
      <c r="Q3274" s="408"/>
      <c r="R3274" s="408"/>
      <c r="S3274" s="408"/>
      <c r="T3274" s="408"/>
      <c r="U3274" s="408"/>
      <c r="V3274" s="421"/>
      <c r="W3274" s="421"/>
      <c r="X3274" s="421"/>
      <c r="Y3274" s="421"/>
      <c r="Z3274" s="421"/>
      <c r="AA3274" s="421"/>
      <c r="AB3274" s="421"/>
      <c r="AC3274" s="421"/>
      <c r="AD3274" s="421"/>
      <c r="AE3274" s="421"/>
      <c r="AF3274" s="421"/>
      <c r="AG3274" s="421"/>
      <c r="AH3274" s="421"/>
      <c r="AI3274" s="421"/>
      <c r="AJ3274" s="421"/>
      <c r="AK3274" s="421"/>
      <c r="AL3274" s="421"/>
    </row>
    <row r="3275" spans="1:38" hidden="1">
      <c r="A3275" s="408"/>
      <c r="B3275" s="83" t="e">
        <f t="array" ref="B3275">SUM(--(FREQUENCY(IF(C$2:C$3072=C3275, MATCH(D$2:D$3072, D$2:D$3072, 0)), ROW(D$2:D$3072)-ROW(D$2)+1) &gt; 0))</f>
        <v>#N/A</v>
      </c>
      <c r="C3275" s="408"/>
      <c r="D3275" s="408"/>
      <c r="E3275" s="408"/>
      <c r="F3275" s="408"/>
      <c r="G3275" s="408"/>
      <c r="H3275" s="408"/>
      <c r="I3275" s="408"/>
      <c r="J3275" s="408"/>
      <c r="K3275" s="408"/>
      <c r="L3275" s="408"/>
      <c r="M3275" s="408"/>
      <c r="N3275" s="408" t="str">
        <f t="shared" si="478"/>
        <v/>
      </c>
      <c r="O3275" s="408"/>
      <c r="P3275" s="408"/>
      <c r="Q3275" s="408"/>
      <c r="R3275" s="408"/>
      <c r="S3275" s="408"/>
      <c r="T3275" s="408"/>
      <c r="U3275" s="408"/>
      <c r="V3275" s="421"/>
      <c r="W3275" s="421"/>
      <c r="X3275" s="421"/>
      <c r="Y3275" s="421"/>
      <c r="Z3275" s="421"/>
      <c r="AA3275" s="421"/>
      <c r="AB3275" s="421"/>
      <c r="AC3275" s="421"/>
      <c r="AD3275" s="421"/>
      <c r="AE3275" s="421"/>
      <c r="AF3275" s="421"/>
      <c r="AG3275" s="421"/>
      <c r="AH3275" s="421"/>
      <c r="AI3275" s="421"/>
      <c r="AJ3275" s="421"/>
      <c r="AK3275" s="421"/>
      <c r="AL3275" s="421"/>
    </row>
    <row r="3276" spans="1:38" hidden="1">
      <c r="A3276" s="408"/>
      <c r="B3276" s="83" t="e">
        <f t="array" ref="B3276">SUM(--(FREQUENCY(IF(C$2:C$3072=C3276, MATCH(D$2:D$3072, D$2:D$3072, 0)), ROW(D$2:D$3072)-ROW(D$2)+1) &gt; 0))</f>
        <v>#N/A</v>
      </c>
      <c r="C3276" s="408"/>
      <c r="D3276" s="408"/>
      <c r="E3276" s="408"/>
      <c r="F3276" s="408"/>
      <c r="G3276" s="408"/>
      <c r="H3276" s="408"/>
      <c r="I3276" s="408"/>
      <c r="J3276" s="408"/>
      <c r="K3276" s="408"/>
      <c r="L3276" s="408"/>
      <c r="M3276" s="408"/>
      <c r="N3276" s="408" t="str">
        <f t="shared" si="478"/>
        <v/>
      </c>
      <c r="O3276" s="408"/>
      <c r="P3276" s="408"/>
      <c r="Q3276" s="408"/>
      <c r="R3276" s="408"/>
      <c r="S3276" s="408"/>
      <c r="T3276" s="408"/>
      <c r="U3276" s="408"/>
      <c r="V3276" s="421"/>
      <c r="W3276" s="421"/>
      <c r="X3276" s="421"/>
      <c r="Y3276" s="421"/>
      <c r="Z3276" s="421"/>
      <c r="AA3276" s="421"/>
      <c r="AB3276" s="421"/>
      <c r="AC3276" s="421"/>
      <c r="AD3276" s="421"/>
      <c r="AE3276" s="421"/>
      <c r="AF3276" s="421"/>
      <c r="AG3276" s="421"/>
      <c r="AH3276" s="421"/>
      <c r="AI3276" s="421"/>
      <c r="AJ3276" s="421"/>
      <c r="AK3276" s="421"/>
      <c r="AL3276" s="421"/>
    </row>
    <row r="3277" spans="1:38" hidden="1">
      <c r="A3277" s="408"/>
      <c r="B3277" s="83" t="e">
        <f t="array" ref="B3277">SUM(--(FREQUENCY(IF(C$2:C$3072=C3277, MATCH(D$2:D$3072, D$2:D$3072, 0)), ROW(D$2:D$3072)-ROW(D$2)+1) &gt; 0))</f>
        <v>#N/A</v>
      </c>
      <c r="C3277" s="408"/>
      <c r="D3277" s="408"/>
      <c r="E3277" s="408"/>
      <c r="F3277" s="408"/>
      <c r="G3277" s="408"/>
      <c r="H3277" s="408"/>
      <c r="I3277" s="408"/>
      <c r="J3277" s="408"/>
      <c r="K3277" s="408"/>
      <c r="L3277" s="408"/>
      <c r="M3277" s="408"/>
      <c r="N3277" s="408" t="str">
        <f t="shared" si="478"/>
        <v/>
      </c>
      <c r="O3277" s="408"/>
      <c r="P3277" s="408"/>
      <c r="Q3277" s="408"/>
      <c r="R3277" s="408"/>
      <c r="S3277" s="408"/>
      <c r="T3277" s="408"/>
      <c r="U3277" s="408"/>
      <c r="V3277" s="421"/>
      <c r="W3277" s="421"/>
      <c r="X3277" s="421"/>
      <c r="Y3277" s="421"/>
      <c r="Z3277" s="421"/>
      <c r="AA3277" s="421"/>
      <c r="AB3277" s="421"/>
      <c r="AC3277" s="421"/>
      <c r="AD3277" s="421"/>
      <c r="AE3277" s="421"/>
      <c r="AF3277" s="421"/>
      <c r="AG3277" s="421"/>
      <c r="AH3277" s="421"/>
      <c r="AI3277" s="421"/>
      <c r="AJ3277" s="421"/>
      <c r="AK3277" s="421"/>
      <c r="AL3277" s="421"/>
    </row>
    <row r="3278" spans="1:38" hidden="1">
      <c r="A3278" s="408"/>
      <c r="B3278" s="83" t="e">
        <f t="array" ref="B3278">SUM(--(FREQUENCY(IF(C$2:C$3072=C3278, MATCH(D$2:D$3072, D$2:D$3072, 0)), ROW(D$2:D$3072)-ROW(D$2)+1) &gt; 0))</f>
        <v>#N/A</v>
      </c>
      <c r="C3278" s="408"/>
      <c r="D3278" s="408"/>
      <c r="E3278" s="408"/>
      <c r="F3278" s="408"/>
      <c r="G3278" s="408"/>
      <c r="H3278" s="408"/>
      <c r="I3278" s="408"/>
      <c r="J3278" s="408"/>
      <c r="K3278" s="408"/>
      <c r="L3278" s="408"/>
      <c r="M3278" s="408"/>
      <c r="N3278" s="408" t="str">
        <f t="shared" si="478"/>
        <v/>
      </c>
      <c r="O3278" s="408"/>
      <c r="P3278" s="408"/>
      <c r="Q3278" s="408"/>
      <c r="R3278" s="408"/>
      <c r="S3278" s="408"/>
      <c r="T3278" s="408"/>
      <c r="U3278" s="408"/>
      <c r="V3278" s="421"/>
      <c r="W3278" s="421"/>
      <c r="X3278" s="421"/>
      <c r="Y3278" s="421"/>
      <c r="Z3278" s="421"/>
      <c r="AA3278" s="421"/>
      <c r="AB3278" s="421"/>
      <c r="AC3278" s="421"/>
      <c r="AD3278" s="421"/>
      <c r="AE3278" s="421"/>
      <c r="AF3278" s="421"/>
      <c r="AG3278" s="421"/>
      <c r="AH3278" s="421"/>
      <c r="AI3278" s="421"/>
      <c r="AJ3278" s="421"/>
      <c r="AK3278" s="421"/>
      <c r="AL3278" s="421"/>
    </row>
    <row r="3279" spans="1:38" hidden="1">
      <c r="A3279" s="408"/>
      <c r="B3279" s="83" t="e">
        <f t="array" ref="B3279">SUM(--(FREQUENCY(IF(C$2:C$3072=C3279, MATCH(D$2:D$3072, D$2:D$3072, 0)), ROW(D$2:D$3072)-ROW(D$2)+1) &gt; 0))</f>
        <v>#N/A</v>
      </c>
      <c r="C3279" s="408"/>
      <c r="D3279" s="408"/>
      <c r="E3279" s="408"/>
      <c r="F3279" s="408"/>
      <c r="G3279" s="408"/>
      <c r="H3279" s="408"/>
      <c r="I3279" s="408"/>
      <c r="J3279" s="408"/>
      <c r="K3279" s="408"/>
      <c r="L3279" s="408"/>
      <c r="M3279" s="408"/>
      <c r="N3279" s="408" t="str">
        <f t="shared" si="478"/>
        <v/>
      </c>
      <c r="O3279" s="408"/>
      <c r="P3279" s="408"/>
      <c r="Q3279" s="408"/>
      <c r="R3279" s="408"/>
      <c r="S3279" s="408"/>
      <c r="T3279" s="408"/>
      <c r="U3279" s="408"/>
      <c r="V3279" s="421"/>
      <c r="W3279" s="421"/>
      <c r="X3279" s="421"/>
      <c r="Y3279" s="421"/>
      <c r="Z3279" s="421"/>
      <c r="AA3279" s="421"/>
      <c r="AB3279" s="421"/>
      <c r="AC3279" s="421"/>
      <c r="AD3279" s="421"/>
      <c r="AE3279" s="421"/>
      <c r="AF3279" s="421"/>
      <c r="AG3279" s="421"/>
      <c r="AH3279" s="421"/>
      <c r="AI3279" s="421"/>
      <c r="AJ3279" s="421"/>
      <c r="AK3279" s="421"/>
      <c r="AL3279" s="421"/>
    </row>
    <row r="3280" spans="1:38" hidden="1">
      <c r="A3280" s="408"/>
      <c r="B3280" s="83" t="e">
        <f t="array" ref="B3280">SUM(--(FREQUENCY(IF(C$2:C$3072=C3280, MATCH(D$2:D$3072, D$2:D$3072, 0)), ROW(D$2:D$3072)-ROW(D$2)+1) &gt; 0))</f>
        <v>#N/A</v>
      </c>
      <c r="C3280" s="408"/>
      <c r="D3280" s="408"/>
      <c r="E3280" s="408"/>
      <c r="F3280" s="408"/>
      <c r="G3280" s="408"/>
      <c r="H3280" s="408"/>
      <c r="I3280" s="408"/>
      <c r="J3280" s="408"/>
      <c r="K3280" s="408"/>
      <c r="L3280" s="408"/>
      <c r="M3280" s="408"/>
      <c r="N3280" s="408" t="str">
        <f t="shared" si="478"/>
        <v/>
      </c>
      <c r="O3280" s="408"/>
      <c r="P3280" s="408"/>
      <c r="Q3280" s="408"/>
      <c r="R3280" s="408"/>
      <c r="S3280" s="408"/>
      <c r="T3280" s="408"/>
      <c r="U3280" s="408"/>
      <c r="V3280" s="421"/>
      <c r="W3280" s="421"/>
      <c r="X3280" s="421"/>
      <c r="Y3280" s="421"/>
      <c r="Z3280" s="421"/>
      <c r="AA3280" s="421"/>
      <c r="AB3280" s="421"/>
      <c r="AC3280" s="421"/>
      <c r="AD3280" s="421"/>
      <c r="AE3280" s="421"/>
      <c r="AF3280" s="421"/>
      <c r="AG3280" s="421"/>
      <c r="AH3280" s="421"/>
      <c r="AI3280" s="421"/>
      <c r="AJ3280" s="421"/>
      <c r="AK3280" s="421"/>
      <c r="AL3280" s="421"/>
    </row>
    <row r="3281" spans="1:38" hidden="1">
      <c r="A3281" s="408"/>
      <c r="B3281" s="83" t="e">
        <f t="array" ref="B3281">SUM(--(FREQUENCY(IF(C$2:C$3072=C3281, MATCH(D$2:D$3072, D$2:D$3072, 0)), ROW(D$2:D$3072)-ROW(D$2)+1) &gt; 0))</f>
        <v>#N/A</v>
      </c>
      <c r="C3281" s="408"/>
      <c r="D3281" s="408"/>
      <c r="E3281" s="408"/>
      <c r="F3281" s="408"/>
      <c r="G3281" s="408"/>
      <c r="H3281" s="408"/>
      <c r="I3281" s="408"/>
      <c r="J3281" s="408"/>
      <c r="K3281" s="408"/>
      <c r="L3281" s="408"/>
      <c r="M3281" s="408"/>
      <c r="N3281" s="408" t="str">
        <f t="shared" si="478"/>
        <v/>
      </c>
      <c r="O3281" s="408"/>
      <c r="P3281" s="408"/>
      <c r="Q3281" s="408"/>
      <c r="R3281" s="408"/>
      <c r="S3281" s="408"/>
      <c r="T3281" s="408"/>
      <c r="U3281" s="408"/>
      <c r="V3281" s="421"/>
      <c r="W3281" s="421"/>
      <c r="X3281" s="421"/>
      <c r="Y3281" s="421"/>
      <c r="Z3281" s="421"/>
      <c r="AA3281" s="421"/>
      <c r="AB3281" s="421"/>
      <c r="AC3281" s="421"/>
      <c r="AD3281" s="421"/>
      <c r="AE3281" s="421"/>
      <c r="AF3281" s="421"/>
      <c r="AG3281" s="421"/>
      <c r="AH3281" s="421"/>
      <c r="AI3281" s="421"/>
      <c r="AJ3281" s="421"/>
      <c r="AK3281" s="421"/>
      <c r="AL3281" s="421"/>
    </row>
    <row r="3282" spans="1:38" hidden="1">
      <c r="A3282" s="408"/>
      <c r="B3282" s="83" t="e">
        <f t="array" ref="B3282">SUM(--(FREQUENCY(IF(C$2:C$3072=C3282, MATCH(D$2:D$3072, D$2:D$3072, 0)), ROW(D$2:D$3072)-ROW(D$2)+1) &gt; 0))</f>
        <v>#N/A</v>
      </c>
      <c r="C3282" s="408"/>
      <c r="D3282" s="408"/>
      <c r="E3282" s="408"/>
      <c r="F3282" s="408"/>
      <c r="G3282" s="408"/>
      <c r="H3282" s="408"/>
      <c r="I3282" s="408"/>
      <c r="J3282" s="408"/>
      <c r="K3282" s="408"/>
      <c r="L3282" s="408"/>
      <c r="M3282" s="408"/>
      <c r="N3282" s="408" t="str">
        <f t="shared" si="478"/>
        <v/>
      </c>
      <c r="O3282" s="408"/>
      <c r="P3282" s="408"/>
      <c r="Q3282" s="408"/>
      <c r="R3282" s="408"/>
      <c r="S3282" s="408"/>
      <c r="T3282" s="408"/>
      <c r="U3282" s="408"/>
      <c r="V3282" s="421"/>
      <c r="W3282" s="421"/>
      <c r="X3282" s="421"/>
      <c r="Y3282" s="421"/>
      <c r="Z3282" s="421"/>
      <c r="AA3282" s="421"/>
      <c r="AB3282" s="421"/>
      <c r="AC3282" s="421"/>
      <c r="AD3282" s="421"/>
      <c r="AE3282" s="421"/>
      <c r="AF3282" s="421"/>
      <c r="AG3282" s="421"/>
      <c r="AH3282" s="421"/>
      <c r="AI3282" s="421"/>
      <c r="AJ3282" s="421"/>
      <c r="AK3282" s="421"/>
      <c r="AL3282" s="421"/>
    </row>
    <row r="3283" spans="1:38" hidden="1">
      <c r="A3283" s="408"/>
      <c r="B3283" s="83" t="e">
        <f t="array" ref="B3283">SUM(--(FREQUENCY(IF(C$2:C$3072=C3283, MATCH(D$2:D$3072, D$2:D$3072, 0)), ROW(D$2:D$3072)-ROW(D$2)+1) &gt; 0))</f>
        <v>#N/A</v>
      </c>
      <c r="C3283" s="408"/>
      <c r="D3283" s="408"/>
      <c r="E3283" s="408"/>
      <c r="F3283" s="408"/>
      <c r="G3283" s="408"/>
      <c r="H3283" s="408"/>
      <c r="I3283" s="408"/>
      <c r="J3283" s="408"/>
      <c r="K3283" s="408"/>
      <c r="L3283" s="408"/>
      <c r="M3283" s="408"/>
      <c r="N3283" s="408" t="str">
        <f t="shared" si="478"/>
        <v/>
      </c>
      <c r="O3283" s="408"/>
      <c r="P3283" s="408"/>
      <c r="Q3283" s="408"/>
      <c r="R3283" s="408"/>
      <c r="S3283" s="408"/>
      <c r="T3283" s="408"/>
      <c r="U3283" s="408"/>
      <c r="V3283" s="421"/>
      <c r="W3283" s="421"/>
      <c r="X3283" s="421"/>
      <c r="Y3283" s="421"/>
      <c r="Z3283" s="421"/>
      <c r="AA3283" s="421"/>
      <c r="AB3283" s="421"/>
      <c r="AC3283" s="421"/>
      <c r="AD3283" s="421"/>
      <c r="AE3283" s="421"/>
      <c r="AF3283" s="421"/>
      <c r="AG3283" s="421"/>
      <c r="AH3283" s="421"/>
      <c r="AI3283" s="421"/>
      <c r="AJ3283" s="421"/>
      <c r="AK3283" s="421"/>
      <c r="AL3283" s="421"/>
    </row>
    <row r="3284" spans="1:38" hidden="1">
      <c r="A3284" s="408"/>
      <c r="B3284" s="83" t="e">
        <f t="array" ref="B3284">SUM(--(FREQUENCY(IF(C$2:C$3072=C3284, MATCH(D$2:D$3072, D$2:D$3072, 0)), ROW(D$2:D$3072)-ROW(D$2)+1) &gt; 0))</f>
        <v>#N/A</v>
      </c>
      <c r="C3284" s="408"/>
      <c r="D3284" s="408"/>
      <c r="E3284" s="408"/>
      <c r="F3284" s="408"/>
      <c r="G3284" s="408"/>
      <c r="H3284" s="408"/>
      <c r="I3284" s="408"/>
      <c r="J3284" s="408"/>
      <c r="K3284" s="408"/>
      <c r="L3284" s="408"/>
      <c r="M3284" s="408"/>
      <c r="N3284" s="408" t="str">
        <f t="shared" si="478"/>
        <v/>
      </c>
      <c r="O3284" s="408"/>
      <c r="P3284" s="408"/>
      <c r="Q3284" s="408"/>
      <c r="R3284" s="408"/>
      <c r="S3284" s="408"/>
      <c r="T3284" s="408"/>
      <c r="U3284" s="408"/>
      <c r="V3284" s="421"/>
      <c r="W3284" s="421"/>
      <c r="X3284" s="421"/>
      <c r="Y3284" s="421"/>
      <c r="Z3284" s="421"/>
      <c r="AA3284" s="421"/>
      <c r="AB3284" s="421"/>
      <c r="AC3284" s="421"/>
      <c r="AD3284" s="421"/>
      <c r="AE3284" s="421"/>
      <c r="AF3284" s="421"/>
      <c r="AG3284" s="421"/>
      <c r="AH3284" s="421"/>
      <c r="AI3284" s="421"/>
      <c r="AJ3284" s="421"/>
      <c r="AK3284" s="421"/>
      <c r="AL3284" s="421"/>
    </row>
    <row r="3285" spans="1:38" hidden="1">
      <c r="A3285" s="408"/>
      <c r="B3285" s="83" t="e">
        <f t="array" ref="B3285">SUM(--(FREQUENCY(IF(C$2:C$3072=C3285, MATCH(D$2:D$3072, D$2:D$3072, 0)), ROW(D$2:D$3072)-ROW(D$2)+1) &gt; 0))</f>
        <v>#N/A</v>
      </c>
      <c r="C3285" s="408"/>
      <c r="D3285" s="408"/>
      <c r="E3285" s="408"/>
      <c r="F3285" s="408"/>
      <c r="G3285" s="408"/>
      <c r="H3285" s="408"/>
      <c r="I3285" s="408"/>
      <c r="J3285" s="408"/>
      <c r="K3285" s="408"/>
      <c r="L3285" s="408"/>
      <c r="M3285" s="408"/>
      <c r="N3285" s="408" t="str">
        <f t="shared" si="478"/>
        <v/>
      </c>
      <c r="O3285" s="408"/>
      <c r="P3285" s="408"/>
      <c r="Q3285" s="408"/>
      <c r="R3285" s="408"/>
      <c r="S3285" s="408"/>
      <c r="T3285" s="408"/>
      <c r="U3285" s="408"/>
      <c r="V3285" s="421"/>
      <c r="W3285" s="421"/>
      <c r="X3285" s="421"/>
      <c r="Y3285" s="421"/>
      <c r="Z3285" s="421"/>
      <c r="AA3285" s="421"/>
      <c r="AB3285" s="421"/>
      <c r="AC3285" s="421"/>
      <c r="AD3285" s="421"/>
      <c r="AE3285" s="421"/>
      <c r="AF3285" s="421"/>
      <c r="AG3285" s="421"/>
      <c r="AH3285" s="421"/>
      <c r="AI3285" s="421"/>
      <c r="AJ3285" s="421"/>
      <c r="AK3285" s="421"/>
      <c r="AL3285" s="421"/>
    </row>
    <row r="3286" spans="1:38" hidden="1">
      <c r="A3286" s="408"/>
      <c r="B3286" s="83" t="e">
        <f t="array" ref="B3286">SUM(--(FREQUENCY(IF(C$2:C$3072=C3286, MATCH(D$2:D$3072, D$2:D$3072, 0)), ROW(D$2:D$3072)-ROW(D$2)+1) &gt; 0))</f>
        <v>#N/A</v>
      </c>
      <c r="C3286" s="408"/>
      <c r="D3286" s="408"/>
      <c r="E3286" s="408"/>
      <c r="F3286" s="408"/>
      <c r="G3286" s="408"/>
      <c r="H3286" s="408"/>
      <c r="I3286" s="408"/>
      <c r="J3286" s="408"/>
      <c r="K3286" s="408"/>
      <c r="L3286" s="408"/>
      <c r="M3286" s="408"/>
      <c r="N3286" s="408" t="str">
        <f t="shared" si="478"/>
        <v/>
      </c>
      <c r="O3286" s="408"/>
      <c r="P3286" s="408"/>
      <c r="Q3286" s="408"/>
      <c r="R3286" s="408"/>
      <c r="S3286" s="408"/>
      <c r="T3286" s="408"/>
      <c r="U3286" s="408"/>
      <c r="V3286" s="421"/>
      <c r="W3286" s="421"/>
      <c r="X3286" s="421"/>
      <c r="Y3286" s="421"/>
      <c r="Z3286" s="421"/>
      <c r="AA3286" s="421"/>
      <c r="AB3286" s="421"/>
      <c r="AC3286" s="421"/>
      <c r="AD3286" s="421"/>
      <c r="AE3286" s="421"/>
      <c r="AF3286" s="421"/>
      <c r="AG3286" s="421"/>
      <c r="AH3286" s="421"/>
      <c r="AI3286" s="421"/>
      <c r="AJ3286" s="421"/>
      <c r="AK3286" s="421"/>
      <c r="AL3286" s="421"/>
    </row>
    <row r="3287" spans="1:38" hidden="1">
      <c r="A3287" s="408"/>
      <c r="B3287" s="83" t="e">
        <f t="array" ref="B3287">SUM(--(FREQUENCY(IF(C$2:C$3072=C3287, MATCH(D$2:D$3072, D$2:D$3072, 0)), ROW(D$2:D$3072)-ROW(D$2)+1) &gt; 0))</f>
        <v>#N/A</v>
      </c>
      <c r="C3287" s="408"/>
      <c r="D3287" s="408"/>
      <c r="E3287" s="408"/>
      <c r="F3287" s="408"/>
      <c r="G3287" s="408"/>
      <c r="H3287" s="408"/>
      <c r="I3287" s="408"/>
      <c r="J3287" s="408"/>
      <c r="K3287" s="408"/>
      <c r="L3287" s="408"/>
      <c r="M3287" s="408"/>
      <c r="N3287" s="408" t="str">
        <f t="shared" si="478"/>
        <v/>
      </c>
      <c r="O3287" s="408"/>
      <c r="P3287" s="408"/>
      <c r="Q3287" s="408"/>
      <c r="R3287" s="408"/>
      <c r="S3287" s="408"/>
      <c r="T3287" s="408"/>
      <c r="U3287" s="408"/>
      <c r="V3287" s="421"/>
      <c r="W3287" s="421"/>
      <c r="X3287" s="421"/>
      <c r="Y3287" s="421"/>
      <c r="Z3287" s="421"/>
      <c r="AA3287" s="421"/>
      <c r="AB3287" s="421"/>
      <c r="AC3287" s="421"/>
      <c r="AD3287" s="421"/>
      <c r="AE3287" s="421"/>
      <c r="AF3287" s="421"/>
      <c r="AG3287" s="421"/>
      <c r="AH3287" s="421"/>
      <c r="AI3287" s="421"/>
      <c r="AJ3287" s="421"/>
      <c r="AK3287" s="421"/>
      <c r="AL3287" s="421"/>
    </row>
    <row r="3288" spans="1:38" hidden="1">
      <c r="A3288" s="408"/>
      <c r="B3288" s="83" t="e">
        <f t="array" ref="B3288">SUM(--(FREQUENCY(IF(C$2:C$3072=C3288, MATCH(D$2:D$3072, D$2:D$3072, 0)), ROW(D$2:D$3072)-ROW(D$2)+1) &gt; 0))</f>
        <v>#N/A</v>
      </c>
      <c r="C3288" s="408"/>
      <c r="D3288" s="408"/>
      <c r="E3288" s="408"/>
      <c r="F3288" s="408"/>
      <c r="G3288" s="408"/>
      <c r="H3288" s="408"/>
      <c r="I3288" s="408"/>
      <c r="J3288" s="408"/>
      <c r="K3288" s="408"/>
      <c r="L3288" s="408"/>
      <c r="M3288" s="408"/>
      <c r="N3288" s="408" t="str">
        <f t="shared" si="478"/>
        <v/>
      </c>
      <c r="O3288" s="408"/>
      <c r="P3288" s="408"/>
      <c r="Q3288" s="408"/>
      <c r="R3288" s="408"/>
      <c r="S3288" s="408"/>
      <c r="T3288" s="408"/>
      <c r="U3288" s="408"/>
      <c r="V3288" s="421"/>
      <c r="W3288" s="421"/>
      <c r="X3288" s="421"/>
      <c r="Y3288" s="421"/>
      <c r="Z3288" s="421"/>
      <c r="AA3288" s="421"/>
      <c r="AB3288" s="421"/>
      <c r="AC3288" s="421"/>
      <c r="AD3288" s="421"/>
      <c r="AE3288" s="421"/>
      <c r="AF3288" s="421"/>
      <c r="AG3288" s="421"/>
      <c r="AH3288" s="421"/>
      <c r="AI3288" s="421"/>
      <c r="AJ3288" s="421"/>
      <c r="AK3288" s="421"/>
      <c r="AL3288" s="421"/>
    </row>
    <row r="3289" spans="1:38" hidden="1">
      <c r="A3289" s="408"/>
      <c r="B3289" s="83" t="e">
        <f t="array" ref="B3289">SUM(--(FREQUENCY(IF(C$2:C$3072=C3289, MATCH(D$2:D$3072, D$2:D$3072, 0)), ROW(D$2:D$3072)-ROW(D$2)+1) &gt; 0))</f>
        <v>#N/A</v>
      </c>
      <c r="C3289" s="408"/>
      <c r="D3289" s="408"/>
      <c r="E3289" s="408"/>
      <c r="F3289" s="408"/>
      <c r="G3289" s="408"/>
      <c r="H3289" s="408"/>
      <c r="I3289" s="408"/>
      <c r="J3289" s="408"/>
      <c r="K3289" s="408"/>
      <c r="L3289" s="408"/>
      <c r="M3289" s="408"/>
      <c r="N3289" s="408" t="str">
        <f t="shared" si="478"/>
        <v/>
      </c>
      <c r="O3289" s="408"/>
      <c r="P3289" s="408"/>
      <c r="Q3289" s="408"/>
      <c r="R3289" s="408"/>
      <c r="S3289" s="408"/>
      <c r="T3289" s="408"/>
      <c r="U3289" s="408"/>
      <c r="V3289" s="421"/>
      <c r="W3289" s="421"/>
      <c r="X3289" s="421"/>
      <c r="Y3289" s="421"/>
      <c r="Z3289" s="421"/>
      <c r="AA3289" s="421"/>
      <c r="AB3289" s="421"/>
      <c r="AC3289" s="421"/>
      <c r="AD3289" s="421"/>
      <c r="AE3289" s="421"/>
      <c r="AF3289" s="421"/>
      <c r="AG3289" s="421"/>
      <c r="AH3289" s="421"/>
      <c r="AI3289" s="421"/>
      <c r="AJ3289" s="421"/>
      <c r="AK3289" s="421"/>
      <c r="AL3289" s="421"/>
    </row>
    <row r="3290" spans="1:38" hidden="1">
      <c r="A3290" s="408"/>
      <c r="B3290" s="83" t="e">
        <f t="array" ref="B3290">SUM(--(FREQUENCY(IF(C$2:C$3072=C3290, MATCH(D$2:D$3072, D$2:D$3072, 0)), ROW(D$2:D$3072)-ROW(D$2)+1) &gt; 0))</f>
        <v>#N/A</v>
      </c>
      <c r="C3290" s="408"/>
      <c r="D3290" s="408"/>
      <c r="E3290" s="408"/>
      <c r="F3290" s="408"/>
      <c r="G3290" s="408"/>
      <c r="H3290" s="408"/>
      <c r="I3290" s="408"/>
      <c r="J3290" s="408"/>
      <c r="K3290" s="408"/>
      <c r="L3290" s="408"/>
      <c r="M3290" s="408"/>
      <c r="N3290" s="408" t="str">
        <f t="shared" si="478"/>
        <v/>
      </c>
      <c r="O3290" s="408"/>
      <c r="P3290" s="408"/>
      <c r="Q3290" s="408"/>
      <c r="R3290" s="408"/>
      <c r="S3290" s="408"/>
      <c r="T3290" s="408"/>
      <c r="U3290" s="408"/>
      <c r="V3290" s="421"/>
      <c r="W3290" s="421"/>
      <c r="X3290" s="421"/>
      <c r="Y3290" s="421"/>
      <c r="Z3290" s="421"/>
      <c r="AA3290" s="421"/>
      <c r="AB3290" s="421"/>
      <c r="AC3290" s="421"/>
      <c r="AD3290" s="421"/>
      <c r="AE3290" s="421"/>
      <c r="AF3290" s="421"/>
      <c r="AG3290" s="421"/>
      <c r="AH3290" s="421"/>
      <c r="AI3290" s="421"/>
      <c r="AJ3290" s="421"/>
      <c r="AK3290" s="421"/>
      <c r="AL3290" s="421"/>
    </row>
    <row r="3291" spans="1:38" hidden="1">
      <c r="A3291" s="408"/>
      <c r="B3291" s="83" t="e">
        <f t="array" ref="B3291">SUM(--(FREQUENCY(IF(C$2:C$3072=C3291, MATCH(D$2:D$3072, D$2:D$3072, 0)), ROW(D$2:D$3072)-ROW(D$2)+1) &gt; 0))</f>
        <v>#N/A</v>
      </c>
      <c r="C3291" s="408"/>
      <c r="D3291" s="408"/>
      <c r="E3291" s="408"/>
      <c r="F3291" s="408"/>
      <c r="G3291" s="408"/>
      <c r="H3291" s="408"/>
      <c r="I3291" s="408"/>
      <c r="J3291" s="408"/>
      <c r="K3291" s="408"/>
      <c r="L3291" s="408"/>
      <c r="M3291" s="408"/>
      <c r="N3291" s="408" t="str">
        <f t="shared" si="478"/>
        <v/>
      </c>
      <c r="O3291" s="408"/>
      <c r="P3291" s="408"/>
      <c r="Q3291" s="408"/>
      <c r="R3291" s="408"/>
      <c r="S3291" s="408"/>
      <c r="T3291" s="408"/>
      <c r="U3291" s="408"/>
      <c r="V3291" s="421"/>
      <c r="W3291" s="421"/>
      <c r="X3291" s="421"/>
      <c r="Y3291" s="421"/>
      <c r="Z3291" s="421"/>
      <c r="AA3291" s="421"/>
      <c r="AB3291" s="421"/>
      <c r="AC3291" s="421"/>
      <c r="AD3291" s="421"/>
      <c r="AE3291" s="421"/>
      <c r="AF3291" s="421"/>
      <c r="AG3291" s="421"/>
      <c r="AH3291" s="421"/>
      <c r="AI3291" s="421"/>
      <c r="AJ3291" s="421"/>
      <c r="AK3291" s="421"/>
      <c r="AL3291" s="421"/>
    </row>
    <row r="3292" spans="1:38" hidden="1">
      <c r="A3292" s="408"/>
      <c r="B3292" s="83" t="e">
        <f t="array" ref="B3292">SUM(--(FREQUENCY(IF(C$2:C$3072=C3292, MATCH(D$2:D$3072, D$2:D$3072, 0)), ROW(D$2:D$3072)-ROW(D$2)+1) &gt; 0))</f>
        <v>#N/A</v>
      </c>
      <c r="C3292" s="408"/>
      <c r="D3292" s="408"/>
      <c r="E3292" s="408"/>
      <c r="F3292" s="408"/>
      <c r="G3292" s="408"/>
      <c r="H3292" s="408"/>
      <c r="I3292" s="408"/>
      <c r="J3292" s="408"/>
      <c r="K3292" s="408"/>
      <c r="L3292" s="408"/>
      <c r="M3292" s="408"/>
      <c r="N3292" s="408" t="str">
        <f t="shared" si="478"/>
        <v/>
      </c>
      <c r="O3292" s="408"/>
      <c r="P3292" s="408"/>
      <c r="Q3292" s="408"/>
      <c r="R3292" s="408"/>
      <c r="S3292" s="408"/>
      <c r="T3292" s="408"/>
      <c r="U3292" s="408"/>
      <c r="V3292" s="421"/>
      <c r="W3292" s="421"/>
      <c r="X3292" s="421"/>
      <c r="Y3292" s="421"/>
      <c r="Z3292" s="421"/>
      <c r="AA3292" s="421"/>
      <c r="AB3292" s="421"/>
      <c r="AC3292" s="421"/>
      <c r="AD3292" s="421"/>
      <c r="AE3292" s="421"/>
      <c r="AF3292" s="421"/>
      <c r="AG3292" s="421"/>
      <c r="AH3292" s="421"/>
      <c r="AI3292" s="421"/>
      <c r="AJ3292" s="421"/>
      <c r="AK3292" s="421"/>
      <c r="AL3292" s="421"/>
    </row>
    <row r="3293" spans="1:38" hidden="1">
      <c r="A3293" s="408"/>
      <c r="B3293" s="83" t="e">
        <f t="array" ref="B3293">SUM(--(FREQUENCY(IF(C$2:C$3072=C3293, MATCH(D$2:D$3072, D$2:D$3072, 0)), ROW(D$2:D$3072)-ROW(D$2)+1) &gt; 0))</f>
        <v>#N/A</v>
      </c>
      <c r="C3293" s="408"/>
      <c r="D3293" s="408"/>
      <c r="E3293" s="408"/>
      <c r="F3293" s="408"/>
      <c r="G3293" s="408"/>
      <c r="H3293" s="408"/>
      <c r="I3293" s="408"/>
      <c r="J3293" s="408"/>
      <c r="K3293" s="408"/>
      <c r="L3293" s="408"/>
      <c r="M3293" s="408"/>
      <c r="N3293" s="408" t="str">
        <f t="shared" si="478"/>
        <v/>
      </c>
      <c r="O3293" s="408"/>
      <c r="P3293" s="408"/>
      <c r="Q3293" s="408"/>
      <c r="R3293" s="408"/>
      <c r="S3293" s="408"/>
      <c r="T3293" s="408"/>
      <c r="U3293" s="408"/>
      <c r="V3293" s="421"/>
      <c r="W3293" s="421"/>
      <c r="X3293" s="421"/>
      <c r="Y3293" s="421"/>
      <c r="Z3293" s="421"/>
      <c r="AA3293" s="421"/>
      <c r="AB3293" s="421"/>
      <c r="AC3293" s="421"/>
      <c r="AD3293" s="421"/>
      <c r="AE3293" s="421"/>
      <c r="AF3293" s="421"/>
      <c r="AG3293" s="421"/>
      <c r="AH3293" s="421"/>
      <c r="AI3293" s="421"/>
      <c r="AJ3293" s="421"/>
      <c r="AK3293" s="421"/>
      <c r="AL3293" s="421"/>
    </row>
    <row r="3294" spans="1:38" hidden="1">
      <c r="A3294" s="408"/>
      <c r="B3294" s="83" t="e">
        <f t="array" ref="B3294">SUM(--(FREQUENCY(IF(C$2:C$3072=C3294, MATCH(D$2:D$3072, D$2:D$3072, 0)), ROW(D$2:D$3072)-ROW(D$2)+1) &gt; 0))</f>
        <v>#N/A</v>
      </c>
      <c r="C3294" s="408"/>
      <c r="D3294" s="408"/>
      <c r="E3294" s="408"/>
      <c r="F3294" s="408"/>
      <c r="G3294" s="408"/>
      <c r="H3294" s="408"/>
      <c r="I3294" s="408"/>
      <c r="J3294" s="408"/>
      <c r="K3294" s="408"/>
      <c r="L3294" s="408"/>
      <c r="M3294" s="408"/>
      <c r="N3294" s="408" t="str">
        <f t="shared" si="478"/>
        <v/>
      </c>
      <c r="O3294" s="408"/>
      <c r="P3294" s="408"/>
      <c r="Q3294" s="408"/>
      <c r="R3294" s="408"/>
      <c r="S3294" s="408"/>
      <c r="T3294" s="408"/>
      <c r="U3294" s="408"/>
      <c r="V3294" s="421"/>
      <c r="W3294" s="421"/>
      <c r="X3294" s="421"/>
      <c r="Y3294" s="421"/>
      <c r="Z3294" s="421"/>
      <c r="AA3294" s="421"/>
      <c r="AB3294" s="421"/>
      <c r="AC3294" s="421"/>
      <c r="AD3294" s="421"/>
      <c r="AE3294" s="421"/>
      <c r="AF3294" s="421"/>
      <c r="AG3294" s="421"/>
      <c r="AH3294" s="421"/>
      <c r="AI3294" s="421"/>
      <c r="AJ3294" s="421"/>
      <c r="AK3294" s="421"/>
      <c r="AL3294" s="421"/>
    </row>
    <row r="3295" spans="1:38" hidden="1">
      <c r="A3295" s="408"/>
      <c r="B3295" s="83" t="e">
        <f t="array" ref="B3295">SUM(--(FREQUENCY(IF(C$2:C$3072=C3295, MATCH(D$2:D$3072, D$2:D$3072, 0)), ROW(D$2:D$3072)-ROW(D$2)+1) &gt; 0))</f>
        <v>#N/A</v>
      </c>
      <c r="C3295" s="408"/>
      <c r="D3295" s="408"/>
      <c r="E3295" s="408"/>
      <c r="F3295" s="408"/>
      <c r="G3295" s="408"/>
      <c r="H3295" s="408"/>
      <c r="I3295" s="408"/>
      <c r="J3295" s="408"/>
      <c r="K3295" s="408"/>
      <c r="L3295" s="408"/>
      <c r="M3295" s="408"/>
      <c r="N3295" s="408" t="str">
        <f t="shared" si="478"/>
        <v/>
      </c>
      <c r="O3295" s="408"/>
      <c r="P3295" s="408"/>
      <c r="Q3295" s="408"/>
      <c r="R3295" s="408"/>
      <c r="S3295" s="408"/>
      <c r="T3295" s="408"/>
      <c r="U3295" s="408"/>
      <c r="V3295" s="421"/>
      <c r="W3295" s="421"/>
      <c r="X3295" s="421"/>
      <c r="Y3295" s="421"/>
      <c r="Z3295" s="421"/>
      <c r="AA3295" s="421"/>
      <c r="AB3295" s="421"/>
      <c r="AC3295" s="421"/>
      <c r="AD3295" s="421"/>
      <c r="AE3295" s="421"/>
      <c r="AF3295" s="421"/>
      <c r="AG3295" s="421"/>
      <c r="AH3295" s="421"/>
      <c r="AI3295" s="421"/>
      <c r="AJ3295" s="421"/>
      <c r="AK3295" s="421"/>
      <c r="AL3295" s="421"/>
    </row>
    <row r="3296" spans="1:38" hidden="1">
      <c r="A3296" s="408"/>
      <c r="B3296" s="83" t="e">
        <f t="array" ref="B3296">SUM(--(FREQUENCY(IF(C$2:C$3072=C3296, MATCH(D$2:D$3072, D$2:D$3072, 0)), ROW(D$2:D$3072)-ROW(D$2)+1) &gt; 0))</f>
        <v>#N/A</v>
      </c>
      <c r="C3296" s="408"/>
      <c r="D3296" s="408"/>
      <c r="E3296" s="408"/>
      <c r="F3296" s="408"/>
      <c r="G3296" s="408"/>
      <c r="H3296" s="408"/>
      <c r="I3296" s="408"/>
      <c r="J3296" s="408"/>
      <c r="K3296" s="408"/>
      <c r="L3296" s="408"/>
      <c r="M3296" s="408"/>
      <c r="N3296" s="408" t="str">
        <f t="shared" si="478"/>
        <v/>
      </c>
      <c r="O3296" s="408"/>
      <c r="P3296" s="408"/>
      <c r="Q3296" s="408"/>
      <c r="R3296" s="408"/>
      <c r="S3296" s="408"/>
      <c r="T3296" s="408"/>
      <c r="U3296" s="408"/>
      <c r="V3296" s="421"/>
      <c r="W3296" s="421"/>
      <c r="X3296" s="421"/>
      <c r="Y3296" s="421"/>
      <c r="Z3296" s="421"/>
      <c r="AA3296" s="421"/>
      <c r="AB3296" s="421"/>
      <c r="AC3296" s="421"/>
      <c r="AD3296" s="421"/>
      <c r="AE3296" s="421"/>
      <c r="AF3296" s="421"/>
      <c r="AG3296" s="421"/>
      <c r="AH3296" s="421"/>
      <c r="AI3296" s="421"/>
      <c r="AJ3296" s="421"/>
      <c r="AK3296" s="421"/>
      <c r="AL3296" s="421"/>
    </row>
    <row r="3297" spans="1:38" hidden="1">
      <c r="A3297" s="408"/>
      <c r="B3297" s="83" t="e">
        <f t="array" ref="B3297">SUM(--(FREQUENCY(IF(C$2:C$3072=C3297, MATCH(D$2:D$3072, D$2:D$3072, 0)), ROW(D$2:D$3072)-ROW(D$2)+1) &gt; 0))</f>
        <v>#N/A</v>
      </c>
      <c r="C3297" s="408"/>
      <c r="D3297" s="408"/>
      <c r="E3297" s="408"/>
      <c r="F3297" s="408"/>
      <c r="G3297" s="408"/>
      <c r="H3297" s="408"/>
      <c r="I3297" s="408"/>
      <c r="J3297" s="408"/>
      <c r="K3297" s="408"/>
      <c r="L3297" s="408"/>
      <c r="M3297" s="408"/>
      <c r="N3297" s="408" t="str">
        <f t="shared" si="478"/>
        <v/>
      </c>
      <c r="O3297" s="408"/>
      <c r="P3297" s="408"/>
      <c r="Q3297" s="408"/>
      <c r="R3297" s="408"/>
      <c r="S3297" s="408"/>
      <c r="T3297" s="408"/>
      <c r="U3297" s="408"/>
      <c r="V3297" s="421"/>
      <c r="W3297" s="421"/>
      <c r="X3297" s="421"/>
      <c r="Y3297" s="421"/>
      <c r="Z3297" s="421"/>
      <c r="AA3297" s="421"/>
      <c r="AB3297" s="421"/>
      <c r="AC3297" s="421"/>
      <c r="AD3297" s="421"/>
      <c r="AE3297" s="421"/>
      <c r="AF3297" s="421"/>
      <c r="AG3297" s="421"/>
      <c r="AH3297" s="421"/>
      <c r="AI3297" s="421"/>
      <c r="AJ3297" s="421"/>
      <c r="AK3297" s="421"/>
      <c r="AL3297" s="421"/>
    </row>
    <row r="3298" spans="1:38" hidden="1">
      <c r="A3298" s="408"/>
      <c r="B3298" s="83" t="e">
        <f t="array" ref="B3298">SUM(--(FREQUENCY(IF(C$2:C$3072=C3298, MATCH(D$2:D$3072, D$2:D$3072, 0)), ROW(D$2:D$3072)-ROW(D$2)+1) &gt; 0))</f>
        <v>#N/A</v>
      </c>
      <c r="C3298" s="408"/>
      <c r="D3298" s="408"/>
      <c r="E3298" s="408"/>
      <c r="F3298" s="408"/>
      <c r="G3298" s="408"/>
      <c r="H3298" s="408"/>
      <c r="I3298" s="408"/>
      <c r="J3298" s="408"/>
      <c r="K3298" s="408"/>
      <c r="L3298" s="408"/>
      <c r="M3298" s="408"/>
      <c r="N3298" s="408" t="str">
        <f t="shared" si="478"/>
        <v/>
      </c>
      <c r="O3298" s="408"/>
      <c r="P3298" s="408"/>
      <c r="Q3298" s="408"/>
      <c r="R3298" s="408"/>
      <c r="S3298" s="408"/>
      <c r="T3298" s="408"/>
      <c r="U3298" s="408"/>
      <c r="V3298" s="421"/>
      <c r="W3298" s="421"/>
      <c r="X3298" s="421"/>
      <c r="Y3298" s="421"/>
      <c r="Z3298" s="421"/>
      <c r="AA3298" s="421"/>
      <c r="AB3298" s="421"/>
      <c r="AC3298" s="421"/>
      <c r="AD3298" s="421"/>
      <c r="AE3298" s="421"/>
      <c r="AF3298" s="421"/>
      <c r="AG3298" s="421"/>
      <c r="AH3298" s="421"/>
      <c r="AI3298" s="421"/>
      <c r="AJ3298" s="421"/>
      <c r="AK3298" s="421"/>
      <c r="AL3298" s="421"/>
    </row>
    <row r="3299" spans="1:38" hidden="1">
      <c r="A3299" s="408"/>
      <c r="B3299" s="83" t="e">
        <f t="array" ref="B3299">SUM(--(FREQUENCY(IF(C$2:C$3072=C3299, MATCH(D$2:D$3072, D$2:D$3072, 0)), ROW(D$2:D$3072)-ROW(D$2)+1) &gt; 0))</f>
        <v>#N/A</v>
      </c>
      <c r="C3299" s="408"/>
      <c r="D3299" s="408"/>
      <c r="E3299" s="408"/>
      <c r="F3299" s="408"/>
      <c r="G3299" s="408"/>
      <c r="H3299" s="408"/>
      <c r="I3299" s="408"/>
      <c r="J3299" s="408"/>
      <c r="K3299" s="408"/>
      <c r="L3299" s="408"/>
      <c r="M3299" s="408"/>
      <c r="N3299" s="408" t="str">
        <f t="shared" si="478"/>
        <v/>
      </c>
      <c r="O3299" s="408"/>
      <c r="P3299" s="408"/>
      <c r="Q3299" s="408"/>
      <c r="R3299" s="408"/>
      <c r="S3299" s="408"/>
      <c r="T3299" s="408"/>
      <c r="U3299" s="408"/>
      <c r="V3299" s="421"/>
      <c r="W3299" s="421"/>
      <c r="X3299" s="421"/>
      <c r="Y3299" s="421"/>
      <c r="Z3299" s="421"/>
      <c r="AA3299" s="421"/>
      <c r="AB3299" s="421"/>
      <c r="AC3299" s="421"/>
      <c r="AD3299" s="421"/>
      <c r="AE3299" s="421"/>
      <c r="AF3299" s="421"/>
      <c r="AG3299" s="421"/>
      <c r="AH3299" s="421"/>
      <c r="AI3299" s="421"/>
      <c r="AJ3299" s="421"/>
      <c r="AK3299" s="421"/>
      <c r="AL3299" s="421"/>
    </row>
    <row r="3300" spans="1:38" hidden="1">
      <c r="A3300" s="408"/>
      <c r="B3300" s="83" t="e">
        <f t="array" ref="B3300">SUM(--(FREQUENCY(IF(C$2:C$3072=C3300, MATCH(D$2:D$3072, D$2:D$3072, 0)), ROW(D$2:D$3072)-ROW(D$2)+1) &gt; 0))</f>
        <v>#N/A</v>
      </c>
      <c r="C3300" s="408"/>
      <c r="D3300" s="408"/>
      <c r="E3300" s="408"/>
      <c r="F3300" s="408"/>
      <c r="G3300" s="408"/>
      <c r="H3300" s="408"/>
      <c r="I3300" s="408"/>
      <c r="J3300" s="408"/>
      <c r="K3300" s="408"/>
      <c r="L3300" s="408"/>
      <c r="M3300" s="408"/>
      <c r="N3300" s="408" t="str">
        <f t="shared" si="478"/>
        <v/>
      </c>
      <c r="O3300" s="408"/>
      <c r="P3300" s="408"/>
      <c r="Q3300" s="408"/>
      <c r="R3300" s="408"/>
      <c r="S3300" s="408"/>
      <c r="T3300" s="408"/>
      <c r="U3300" s="408"/>
      <c r="V3300" s="421"/>
      <c r="W3300" s="421"/>
      <c r="X3300" s="421"/>
      <c r="Y3300" s="421"/>
      <c r="Z3300" s="421"/>
      <c r="AA3300" s="421"/>
      <c r="AB3300" s="421"/>
      <c r="AC3300" s="421"/>
      <c r="AD3300" s="421"/>
      <c r="AE3300" s="421"/>
      <c r="AF3300" s="421"/>
      <c r="AG3300" s="421"/>
      <c r="AH3300" s="421"/>
      <c r="AI3300" s="421"/>
      <c r="AJ3300" s="421"/>
      <c r="AK3300" s="421"/>
      <c r="AL3300" s="421"/>
    </row>
    <row r="3301" spans="1:38" hidden="1">
      <c r="A3301" s="408"/>
      <c r="B3301" s="83" t="e">
        <f t="array" ref="B3301">SUM(--(FREQUENCY(IF(C$2:C$3072=C3301, MATCH(D$2:D$3072, D$2:D$3072, 0)), ROW(D$2:D$3072)-ROW(D$2)+1) &gt; 0))</f>
        <v>#N/A</v>
      </c>
      <c r="C3301" s="408"/>
      <c r="D3301" s="408"/>
      <c r="E3301" s="408"/>
      <c r="F3301" s="408"/>
      <c r="G3301" s="408"/>
      <c r="H3301" s="408"/>
      <c r="I3301" s="408"/>
      <c r="J3301" s="408"/>
      <c r="K3301" s="408"/>
      <c r="L3301" s="408"/>
      <c r="M3301" s="408"/>
      <c r="N3301" s="408" t="str">
        <f t="shared" si="478"/>
        <v/>
      </c>
      <c r="O3301" s="408"/>
      <c r="P3301" s="408"/>
      <c r="Q3301" s="408"/>
      <c r="R3301" s="408"/>
      <c r="S3301" s="408"/>
      <c r="T3301" s="408"/>
      <c r="U3301" s="408"/>
      <c r="V3301" s="421"/>
      <c r="W3301" s="421"/>
      <c r="X3301" s="421"/>
      <c r="Y3301" s="421"/>
      <c r="Z3301" s="421"/>
      <c r="AA3301" s="421"/>
      <c r="AB3301" s="421"/>
      <c r="AC3301" s="421"/>
      <c r="AD3301" s="421"/>
      <c r="AE3301" s="421"/>
      <c r="AF3301" s="421"/>
      <c r="AG3301" s="421"/>
      <c r="AH3301" s="421"/>
      <c r="AI3301" s="421"/>
      <c r="AJ3301" s="421"/>
      <c r="AK3301" s="421"/>
      <c r="AL3301" s="421"/>
    </row>
    <row r="3302" spans="1:38" hidden="1">
      <c r="A3302" s="408"/>
      <c r="B3302" s="83" t="e">
        <f t="array" ref="B3302">SUM(--(FREQUENCY(IF(C$2:C$3072=C3302, MATCH(D$2:D$3072, D$2:D$3072, 0)), ROW(D$2:D$3072)-ROW(D$2)+1) &gt; 0))</f>
        <v>#N/A</v>
      </c>
      <c r="C3302" s="408"/>
      <c r="D3302" s="408"/>
      <c r="E3302" s="408"/>
      <c r="F3302" s="408"/>
      <c r="G3302" s="408"/>
      <c r="H3302" s="408"/>
      <c r="I3302" s="408"/>
      <c r="J3302" s="408"/>
      <c r="K3302" s="408"/>
      <c r="L3302" s="408"/>
      <c r="M3302" s="408"/>
      <c r="N3302" s="408" t="str">
        <f t="shared" si="478"/>
        <v/>
      </c>
      <c r="O3302" s="408"/>
      <c r="P3302" s="408"/>
      <c r="Q3302" s="408"/>
      <c r="R3302" s="408"/>
      <c r="S3302" s="408"/>
      <c r="T3302" s="408"/>
      <c r="U3302" s="408"/>
      <c r="V3302" s="421"/>
      <c r="W3302" s="421"/>
      <c r="X3302" s="421"/>
      <c r="Y3302" s="421"/>
      <c r="Z3302" s="421"/>
      <c r="AA3302" s="421"/>
      <c r="AB3302" s="421"/>
      <c r="AC3302" s="421"/>
      <c r="AD3302" s="421"/>
      <c r="AE3302" s="421"/>
      <c r="AF3302" s="421"/>
      <c r="AG3302" s="421"/>
      <c r="AH3302" s="421"/>
      <c r="AI3302" s="421"/>
      <c r="AJ3302" s="421"/>
      <c r="AK3302" s="421"/>
      <c r="AL3302" s="421"/>
    </row>
    <row r="3303" spans="1:38" hidden="1">
      <c r="A3303" s="408"/>
      <c r="B3303" s="83" t="e">
        <f t="array" ref="B3303">SUM(--(FREQUENCY(IF(C$2:C$3072=C3303, MATCH(D$2:D$3072, D$2:D$3072, 0)), ROW(D$2:D$3072)-ROW(D$2)+1) &gt; 0))</f>
        <v>#N/A</v>
      </c>
      <c r="C3303" s="408"/>
      <c r="D3303" s="408"/>
      <c r="E3303" s="408"/>
      <c r="F3303" s="408"/>
      <c r="G3303" s="408"/>
      <c r="H3303" s="408"/>
      <c r="I3303" s="408"/>
      <c r="J3303" s="408"/>
      <c r="K3303" s="408"/>
      <c r="L3303" s="408"/>
      <c r="M3303" s="408"/>
      <c r="N3303" s="408" t="str">
        <f t="shared" si="478"/>
        <v/>
      </c>
      <c r="O3303" s="408"/>
      <c r="P3303" s="408"/>
      <c r="Q3303" s="408"/>
      <c r="R3303" s="408"/>
      <c r="S3303" s="408"/>
      <c r="T3303" s="408"/>
      <c r="U3303" s="408"/>
      <c r="V3303" s="421"/>
      <c r="W3303" s="421"/>
      <c r="X3303" s="421"/>
      <c r="Y3303" s="421"/>
      <c r="Z3303" s="421"/>
      <c r="AA3303" s="421"/>
      <c r="AB3303" s="421"/>
      <c r="AC3303" s="421"/>
      <c r="AD3303" s="421"/>
      <c r="AE3303" s="421"/>
      <c r="AF3303" s="421"/>
      <c r="AG3303" s="421"/>
      <c r="AH3303" s="421"/>
      <c r="AI3303" s="421"/>
      <c r="AJ3303" s="421"/>
      <c r="AK3303" s="421"/>
      <c r="AL3303" s="421"/>
    </row>
    <row r="3304" spans="1:38" hidden="1">
      <c r="A3304" s="408"/>
      <c r="B3304" s="83" t="e">
        <f t="array" ref="B3304">SUM(--(FREQUENCY(IF(C$2:C$3072=C3304, MATCH(D$2:D$3072, D$2:D$3072, 0)), ROW(D$2:D$3072)-ROW(D$2)+1) &gt; 0))</f>
        <v>#N/A</v>
      </c>
      <c r="C3304" s="408"/>
      <c r="D3304" s="408"/>
      <c r="E3304" s="408"/>
      <c r="F3304" s="408"/>
      <c r="G3304" s="408"/>
      <c r="H3304" s="408"/>
      <c r="I3304" s="408"/>
      <c r="J3304" s="408"/>
      <c r="K3304" s="408"/>
      <c r="L3304" s="408"/>
      <c r="M3304" s="408"/>
      <c r="N3304" s="408" t="str">
        <f t="shared" si="478"/>
        <v/>
      </c>
      <c r="O3304" s="408"/>
      <c r="P3304" s="408"/>
      <c r="Q3304" s="408"/>
      <c r="R3304" s="408"/>
      <c r="S3304" s="408"/>
      <c r="T3304" s="408"/>
      <c r="U3304" s="408"/>
      <c r="V3304" s="421"/>
      <c r="W3304" s="421"/>
      <c r="X3304" s="421"/>
      <c r="Y3304" s="421"/>
      <c r="Z3304" s="421"/>
      <c r="AA3304" s="421"/>
      <c r="AB3304" s="421"/>
      <c r="AC3304" s="421"/>
      <c r="AD3304" s="421"/>
      <c r="AE3304" s="421"/>
      <c r="AF3304" s="421"/>
      <c r="AG3304" s="421"/>
      <c r="AH3304" s="421"/>
      <c r="AI3304" s="421"/>
      <c r="AJ3304" s="421"/>
      <c r="AK3304" s="421"/>
      <c r="AL3304" s="421"/>
    </row>
    <row r="3305" spans="1:38" hidden="1">
      <c r="A3305" s="408"/>
      <c r="B3305" s="83" t="e">
        <f t="array" ref="B3305">SUM(--(FREQUENCY(IF(C$2:C$3072=C3305, MATCH(D$2:D$3072, D$2:D$3072, 0)), ROW(D$2:D$3072)-ROW(D$2)+1) &gt; 0))</f>
        <v>#N/A</v>
      </c>
      <c r="C3305" s="408"/>
      <c r="D3305" s="408"/>
      <c r="E3305" s="408"/>
      <c r="F3305" s="408"/>
      <c r="G3305" s="408"/>
      <c r="H3305" s="408"/>
      <c r="I3305" s="408"/>
      <c r="J3305" s="408"/>
      <c r="K3305" s="408"/>
      <c r="L3305" s="408"/>
      <c r="M3305" s="408"/>
      <c r="N3305" s="408" t="str">
        <f t="shared" si="478"/>
        <v/>
      </c>
      <c r="O3305" s="408"/>
      <c r="P3305" s="408"/>
      <c r="Q3305" s="408"/>
      <c r="R3305" s="408"/>
      <c r="S3305" s="408"/>
      <c r="T3305" s="408"/>
      <c r="U3305" s="408"/>
      <c r="V3305" s="421"/>
      <c r="W3305" s="421"/>
      <c r="X3305" s="421"/>
      <c r="Y3305" s="421"/>
      <c r="Z3305" s="421"/>
      <c r="AA3305" s="421"/>
      <c r="AB3305" s="421"/>
      <c r="AC3305" s="421"/>
      <c r="AD3305" s="421"/>
      <c r="AE3305" s="421"/>
      <c r="AF3305" s="421"/>
      <c r="AG3305" s="421"/>
      <c r="AH3305" s="421"/>
      <c r="AI3305" s="421"/>
      <c r="AJ3305" s="421"/>
      <c r="AK3305" s="421"/>
      <c r="AL3305" s="421"/>
    </row>
    <row r="3306" spans="1:38" hidden="1">
      <c r="A3306" s="408"/>
      <c r="B3306" s="83" t="e">
        <f t="array" ref="B3306">SUM(--(FREQUENCY(IF(C$2:C$3072=C3306, MATCH(D$2:D$3072, D$2:D$3072, 0)), ROW(D$2:D$3072)-ROW(D$2)+1) &gt; 0))</f>
        <v>#N/A</v>
      </c>
      <c r="C3306" s="408"/>
      <c r="D3306" s="408"/>
      <c r="E3306" s="408"/>
      <c r="F3306" s="408"/>
      <c r="G3306" s="408"/>
      <c r="H3306" s="408"/>
      <c r="I3306" s="408"/>
      <c r="J3306" s="408"/>
      <c r="K3306" s="408"/>
      <c r="L3306" s="408"/>
      <c r="M3306" s="408"/>
      <c r="N3306" s="408" t="str">
        <f t="shared" si="478"/>
        <v/>
      </c>
      <c r="O3306" s="408"/>
      <c r="P3306" s="408"/>
      <c r="Q3306" s="408"/>
      <c r="R3306" s="408"/>
      <c r="S3306" s="408"/>
      <c r="T3306" s="408"/>
      <c r="U3306" s="408"/>
      <c r="V3306" s="421"/>
      <c r="W3306" s="421"/>
      <c r="X3306" s="421"/>
      <c r="Y3306" s="421"/>
      <c r="Z3306" s="421"/>
      <c r="AA3306" s="421"/>
      <c r="AB3306" s="421"/>
      <c r="AC3306" s="421"/>
      <c r="AD3306" s="421"/>
      <c r="AE3306" s="421"/>
      <c r="AF3306" s="421"/>
      <c r="AG3306" s="421"/>
      <c r="AH3306" s="421"/>
      <c r="AI3306" s="421"/>
      <c r="AJ3306" s="421"/>
      <c r="AK3306" s="421"/>
      <c r="AL3306" s="421"/>
    </row>
    <row r="3307" spans="1:38" hidden="1">
      <c r="A3307" s="408"/>
      <c r="B3307" s="83" t="e">
        <f t="array" ref="B3307">SUM(--(FREQUENCY(IF(C$2:C$3072=C3307, MATCH(D$2:D$3072, D$2:D$3072, 0)), ROW(D$2:D$3072)-ROW(D$2)+1) &gt; 0))</f>
        <v>#N/A</v>
      </c>
      <c r="C3307" s="408"/>
      <c r="D3307" s="408"/>
      <c r="E3307" s="408"/>
      <c r="F3307" s="408"/>
      <c r="G3307" s="408"/>
      <c r="H3307" s="408"/>
      <c r="I3307" s="408"/>
      <c r="J3307" s="408"/>
      <c r="K3307" s="408"/>
      <c r="L3307" s="408"/>
      <c r="M3307" s="408"/>
      <c r="N3307" s="408" t="str">
        <f t="shared" si="478"/>
        <v/>
      </c>
      <c r="O3307" s="408"/>
      <c r="P3307" s="408"/>
      <c r="Q3307" s="408"/>
      <c r="R3307" s="408"/>
      <c r="S3307" s="408"/>
      <c r="T3307" s="408"/>
      <c r="U3307" s="408"/>
      <c r="V3307" s="421"/>
      <c r="W3307" s="421"/>
      <c r="X3307" s="421"/>
      <c r="Y3307" s="421"/>
      <c r="Z3307" s="421"/>
      <c r="AA3307" s="421"/>
      <c r="AB3307" s="421"/>
      <c r="AC3307" s="421"/>
      <c r="AD3307" s="421"/>
      <c r="AE3307" s="421"/>
      <c r="AF3307" s="421"/>
      <c r="AG3307" s="421"/>
      <c r="AH3307" s="421"/>
      <c r="AI3307" s="421"/>
      <c r="AJ3307" s="421"/>
      <c r="AK3307" s="421"/>
      <c r="AL3307" s="421"/>
    </row>
    <row r="3308" spans="1:38" hidden="1">
      <c r="A3308" s="408"/>
      <c r="B3308" s="83" t="e">
        <f t="array" ref="B3308">SUM(--(FREQUENCY(IF(C$2:C$3072=C3308, MATCH(D$2:D$3072, D$2:D$3072, 0)), ROW(D$2:D$3072)-ROW(D$2)+1) &gt; 0))</f>
        <v>#N/A</v>
      </c>
      <c r="C3308" s="408"/>
      <c r="D3308" s="408"/>
      <c r="E3308" s="408"/>
      <c r="F3308" s="408"/>
      <c r="G3308" s="408"/>
      <c r="H3308" s="408"/>
      <c r="I3308" s="408"/>
      <c r="J3308" s="408"/>
      <c r="K3308" s="408"/>
      <c r="L3308" s="408"/>
      <c r="M3308" s="408"/>
      <c r="N3308" s="408" t="str">
        <f t="shared" si="478"/>
        <v/>
      </c>
      <c r="O3308" s="408"/>
      <c r="P3308" s="408"/>
      <c r="Q3308" s="408"/>
      <c r="R3308" s="408"/>
      <c r="S3308" s="408"/>
      <c r="T3308" s="408"/>
      <c r="U3308" s="408"/>
      <c r="V3308" s="421"/>
      <c r="W3308" s="421"/>
      <c r="X3308" s="421"/>
      <c r="Y3308" s="421"/>
      <c r="Z3308" s="421"/>
      <c r="AA3308" s="421"/>
      <c r="AB3308" s="421"/>
      <c r="AC3308" s="421"/>
      <c r="AD3308" s="421"/>
      <c r="AE3308" s="421"/>
      <c r="AF3308" s="421"/>
      <c r="AG3308" s="421"/>
      <c r="AH3308" s="421"/>
      <c r="AI3308" s="421"/>
      <c r="AJ3308" s="421"/>
      <c r="AK3308" s="421"/>
      <c r="AL3308" s="421"/>
    </row>
    <row r="3309" spans="1:38" hidden="1">
      <c r="A3309" s="408"/>
      <c r="B3309" s="83" t="e">
        <f t="array" ref="B3309">SUM(--(FREQUENCY(IF(C$2:C$3072=C3309, MATCH(D$2:D$3072, D$2:D$3072, 0)), ROW(D$2:D$3072)-ROW(D$2)+1) &gt; 0))</f>
        <v>#N/A</v>
      </c>
      <c r="C3309" s="408"/>
      <c r="D3309" s="408"/>
      <c r="E3309" s="408"/>
      <c r="F3309" s="408"/>
      <c r="G3309" s="408"/>
      <c r="H3309" s="408"/>
      <c r="I3309" s="408"/>
      <c r="J3309" s="408"/>
      <c r="K3309" s="408"/>
      <c r="L3309" s="408"/>
      <c r="M3309" s="408"/>
      <c r="N3309" s="408" t="str">
        <f t="shared" si="478"/>
        <v/>
      </c>
      <c r="O3309" s="408"/>
      <c r="P3309" s="408"/>
      <c r="Q3309" s="408"/>
      <c r="R3309" s="408"/>
      <c r="S3309" s="408"/>
      <c r="T3309" s="408"/>
      <c r="U3309" s="408"/>
      <c r="V3309" s="421"/>
      <c r="W3309" s="421"/>
      <c r="X3309" s="421"/>
      <c r="Y3309" s="421"/>
      <c r="Z3309" s="421"/>
      <c r="AA3309" s="421"/>
      <c r="AB3309" s="421"/>
      <c r="AC3309" s="421"/>
      <c r="AD3309" s="421"/>
      <c r="AE3309" s="421"/>
      <c r="AF3309" s="421"/>
      <c r="AG3309" s="421"/>
      <c r="AH3309" s="421"/>
      <c r="AI3309" s="421"/>
      <c r="AJ3309" s="421"/>
      <c r="AK3309" s="421"/>
      <c r="AL3309" s="421"/>
    </row>
    <row r="3310" spans="1:38" hidden="1">
      <c r="A3310" s="408"/>
      <c r="B3310" s="83" t="e">
        <f t="array" ref="B3310">SUM(--(FREQUENCY(IF(C$2:C$3072=C3310, MATCH(D$2:D$3072, D$2:D$3072, 0)), ROW(D$2:D$3072)-ROW(D$2)+1) &gt; 0))</f>
        <v>#N/A</v>
      </c>
      <c r="C3310" s="408"/>
      <c r="D3310" s="408"/>
      <c r="E3310" s="408"/>
      <c r="F3310" s="408"/>
      <c r="G3310" s="408"/>
      <c r="H3310" s="408"/>
      <c r="I3310" s="408"/>
      <c r="J3310" s="408"/>
      <c r="K3310" s="408"/>
      <c r="L3310" s="408"/>
      <c r="M3310" s="408"/>
      <c r="N3310" s="408" t="str">
        <f t="shared" si="478"/>
        <v/>
      </c>
      <c r="O3310" s="408"/>
      <c r="P3310" s="408"/>
      <c r="Q3310" s="408"/>
      <c r="R3310" s="408"/>
      <c r="S3310" s="408"/>
      <c r="T3310" s="408"/>
      <c r="U3310" s="408"/>
      <c r="V3310" s="421"/>
      <c r="W3310" s="421"/>
      <c r="X3310" s="421"/>
      <c r="Y3310" s="421"/>
      <c r="Z3310" s="421"/>
      <c r="AA3310" s="421"/>
      <c r="AB3310" s="421"/>
      <c r="AC3310" s="421"/>
      <c r="AD3310" s="421"/>
      <c r="AE3310" s="421"/>
      <c r="AF3310" s="421"/>
      <c r="AG3310" s="421"/>
      <c r="AH3310" s="421"/>
      <c r="AI3310" s="421"/>
      <c r="AJ3310" s="421"/>
      <c r="AK3310" s="421"/>
      <c r="AL3310" s="421"/>
    </row>
    <row r="3311" spans="1:38" hidden="1">
      <c r="A3311" s="408"/>
      <c r="B3311" s="83" t="e">
        <f t="array" ref="B3311">SUM(--(FREQUENCY(IF(C$2:C$3072=C3311, MATCH(D$2:D$3072, D$2:D$3072, 0)), ROW(D$2:D$3072)-ROW(D$2)+1) &gt; 0))</f>
        <v>#N/A</v>
      </c>
      <c r="C3311" s="408"/>
      <c r="D3311" s="408"/>
      <c r="E3311" s="408"/>
      <c r="F3311" s="408"/>
      <c r="G3311" s="408"/>
      <c r="H3311" s="408"/>
      <c r="I3311" s="408"/>
      <c r="J3311" s="408"/>
      <c r="K3311" s="408"/>
      <c r="L3311" s="408"/>
      <c r="M3311" s="408"/>
      <c r="N3311" s="408" t="str">
        <f t="shared" si="478"/>
        <v/>
      </c>
      <c r="O3311" s="408"/>
      <c r="P3311" s="408"/>
      <c r="Q3311" s="408"/>
      <c r="R3311" s="408"/>
      <c r="S3311" s="408"/>
      <c r="T3311" s="408"/>
      <c r="U3311" s="408"/>
      <c r="V3311" s="421"/>
      <c r="W3311" s="421"/>
      <c r="X3311" s="421"/>
      <c r="Y3311" s="421"/>
      <c r="Z3311" s="421"/>
      <c r="AA3311" s="421"/>
      <c r="AB3311" s="421"/>
      <c r="AC3311" s="421"/>
      <c r="AD3311" s="421"/>
      <c r="AE3311" s="421"/>
      <c r="AF3311" s="421"/>
      <c r="AG3311" s="421"/>
      <c r="AH3311" s="421"/>
      <c r="AI3311" s="421"/>
      <c r="AJ3311" s="421"/>
      <c r="AK3311" s="421"/>
      <c r="AL3311" s="421"/>
    </row>
    <row r="3312" spans="1:38" hidden="1">
      <c r="A3312" s="408"/>
      <c r="B3312" s="83" t="e">
        <f t="array" ref="B3312">SUM(--(FREQUENCY(IF(C$2:C$3072=C3312, MATCH(D$2:D$3072, D$2:D$3072, 0)), ROW(D$2:D$3072)-ROW(D$2)+1) &gt; 0))</f>
        <v>#N/A</v>
      </c>
      <c r="C3312" s="408"/>
      <c r="D3312" s="408"/>
      <c r="E3312" s="408"/>
      <c r="F3312" s="408"/>
      <c r="G3312" s="408"/>
      <c r="H3312" s="408"/>
      <c r="I3312" s="408"/>
      <c r="J3312" s="408"/>
      <c r="K3312" s="408"/>
      <c r="L3312" s="408"/>
      <c r="M3312" s="408"/>
      <c r="N3312" s="408" t="str">
        <f t="shared" si="478"/>
        <v/>
      </c>
      <c r="O3312" s="408"/>
      <c r="P3312" s="408"/>
      <c r="Q3312" s="408"/>
      <c r="R3312" s="408"/>
      <c r="S3312" s="408"/>
      <c r="T3312" s="408"/>
      <c r="U3312" s="408"/>
      <c r="V3312" s="421"/>
      <c r="W3312" s="421"/>
      <c r="X3312" s="421"/>
      <c r="Y3312" s="421"/>
      <c r="Z3312" s="421"/>
      <c r="AA3312" s="421"/>
      <c r="AB3312" s="421"/>
      <c r="AC3312" s="421"/>
      <c r="AD3312" s="421"/>
      <c r="AE3312" s="421"/>
      <c r="AF3312" s="421"/>
      <c r="AG3312" s="421"/>
      <c r="AH3312" s="421"/>
      <c r="AI3312" s="421"/>
      <c r="AJ3312" s="421"/>
      <c r="AK3312" s="421"/>
      <c r="AL3312" s="421"/>
    </row>
    <row r="3313" spans="1:38" hidden="1">
      <c r="A3313" s="408"/>
      <c r="B3313" s="83" t="e">
        <f t="array" ref="B3313">SUM(--(FREQUENCY(IF(C$2:C$3072=C3313, MATCH(D$2:D$3072, D$2:D$3072, 0)), ROW(D$2:D$3072)-ROW(D$2)+1) &gt; 0))</f>
        <v>#N/A</v>
      </c>
      <c r="C3313" s="408"/>
      <c r="D3313" s="408"/>
      <c r="E3313" s="408"/>
      <c r="F3313" s="408"/>
      <c r="G3313" s="408"/>
      <c r="H3313" s="408"/>
      <c r="I3313" s="408"/>
      <c r="J3313" s="408"/>
      <c r="K3313" s="408"/>
      <c r="L3313" s="408"/>
      <c r="M3313" s="408"/>
      <c r="N3313" s="408" t="str">
        <f t="shared" si="478"/>
        <v/>
      </c>
      <c r="O3313" s="408"/>
      <c r="P3313" s="408"/>
      <c r="Q3313" s="408"/>
      <c r="R3313" s="408"/>
      <c r="S3313" s="408"/>
      <c r="T3313" s="408"/>
      <c r="U3313" s="408"/>
      <c r="V3313" s="421"/>
      <c r="W3313" s="421"/>
      <c r="X3313" s="421"/>
      <c r="Y3313" s="421"/>
      <c r="Z3313" s="421"/>
      <c r="AA3313" s="421"/>
      <c r="AB3313" s="421"/>
      <c r="AC3313" s="421"/>
      <c r="AD3313" s="421"/>
      <c r="AE3313" s="421"/>
      <c r="AF3313" s="421"/>
      <c r="AG3313" s="421"/>
      <c r="AH3313" s="421"/>
      <c r="AI3313" s="421"/>
      <c r="AJ3313" s="421"/>
      <c r="AK3313" s="421"/>
      <c r="AL3313" s="421"/>
    </row>
    <row r="3314" spans="1:38" hidden="1">
      <c r="A3314" s="408"/>
      <c r="B3314" s="83" t="e">
        <f t="array" ref="B3314">SUM(--(FREQUENCY(IF(C$2:C$3072=C3314, MATCH(D$2:D$3072, D$2:D$3072, 0)), ROW(D$2:D$3072)-ROW(D$2)+1) &gt; 0))</f>
        <v>#N/A</v>
      </c>
      <c r="C3314" s="408"/>
      <c r="D3314" s="408"/>
      <c r="E3314" s="408"/>
      <c r="F3314" s="408"/>
      <c r="G3314" s="408"/>
      <c r="H3314" s="408"/>
      <c r="I3314" s="408"/>
      <c r="J3314" s="408"/>
      <c r="K3314" s="408"/>
      <c r="L3314" s="408"/>
      <c r="M3314" s="408"/>
      <c r="N3314" s="408" t="str">
        <f t="shared" si="478"/>
        <v/>
      </c>
      <c r="O3314" s="408"/>
      <c r="P3314" s="408"/>
      <c r="Q3314" s="408"/>
      <c r="R3314" s="408"/>
      <c r="S3314" s="408"/>
      <c r="T3314" s="408"/>
      <c r="U3314" s="408"/>
      <c r="V3314" s="421"/>
      <c r="W3314" s="421"/>
      <c r="X3314" s="421"/>
      <c r="Y3314" s="421"/>
      <c r="Z3314" s="421"/>
      <c r="AA3314" s="421"/>
      <c r="AB3314" s="421"/>
      <c r="AC3314" s="421"/>
      <c r="AD3314" s="421"/>
      <c r="AE3314" s="421"/>
      <c r="AF3314" s="421"/>
      <c r="AG3314" s="421"/>
      <c r="AH3314" s="421"/>
      <c r="AI3314" s="421"/>
      <c r="AJ3314" s="421"/>
      <c r="AK3314" s="421"/>
      <c r="AL3314" s="421"/>
    </row>
    <row r="3315" spans="1:38" hidden="1">
      <c r="A3315" s="408"/>
      <c r="B3315" s="83" t="e">
        <f t="array" ref="B3315">SUM(--(FREQUENCY(IF(C$2:C$3072=C3315, MATCH(D$2:D$3072, D$2:D$3072, 0)), ROW(D$2:D$3072)-ROW(D$2)+1) &gt; 0))</f>
        <v>#N/A</v>
      </c>
      <c r="C3315" s="408"/>
      <c r="D3315" s="408"/>
      <c r="E3315" s="408"/>
      <c r="F3315" s="408"/>
      <c r="G3315" s="408"/>
      <c r="H3315" s="408"/>
      <c r="I3315" s="408"/>
      <c r="J3315" s="408"/>
      <c r="K3315" s="408"/>
      <c r="L3315" s="408"/>
      <c r="M3315" s="408"/>
      <c r="N3315" s="408" t="str">
        <f t="shared" si="478"/>
        <v/>
      </c>
      <c r="O3315" s="408"/>
      <c r="P3315" s="408"/>
      <c r="Q3315" s="408"/>
      <c r="R3315" s="408"/>
      <c r="S3315" s="408"/>
      <c r="T3315" s="408"/>
      <c r="U3315" s="408"/>
      <c r="V3315" s="421"/>
      <c r="W3315" s="421"/>
      <c r="X3315" s="421"/>
      <c r="Y3315" s="421"/>
      <c r="Z3315" s="421"/>
      <c r="AA3315" s="421"/>
      <c r="AB3315" s="421"/>
      <c r="AC3315" s="421"/>
      <c r="AD3315" s="421"/>
      <c r="AE3315" s="421"/>
      <c r="AF3315" s="421"/>
      <c r="AG3315" s="421"/>
      <c r="AH3315" s="421"/>
      <c r="AI3315" s="421"/>
      <c r="AJ3315" s="421"/>
      <c r="AK3315" s="421"/>
      <c r="AL3315" s="421"/>
    </row>
    <row r="3316" spans="1:38" hidden="1">
      <c r="A3316" s="408"/>
      <c r="B3316" s="83" t="e">
        <f t="array" ref="B3316">SUM(--(FREQUENCY(IF(C$2:C$3072=C3316, MATCH(D$2:D$3072, D$2:D$3072, 0)), ROW(D$2:D$3072)-ROW(D$2)+1) &gt; 0))</f>
        <v>#N/A</v>
      </c>
      <c r="C3316" s="408"/>
      <c r="D3316" s="408"/>
      <c r="E3316" s="408"/>
      <c r="F3316" s="408"/>
      <c r="G3316" s="408"/>
      <c r="H3316" s="408"/>
      <c r="I3316" s="408"/>
      <c r="J3316" s="408"/>
      <c r="K3316" s="408"/>
      <c r="L3316" s="408"/>
      <c r="M3316" s="408"/>
      <c r="N3316" s="408" t="str">
        <f t="shared" si="478"/>
        <v/>
      </c>
      <c r="O3316" s="408"/>
      <c r="P3316" s="408"/>
      <c r="Q3316" s="408"/>
      <c r="R3316" s="408"/>
      <c r="S3316" s="408"/>
      <c r="T3316" s="408"/>
      <c r="U3316" s="408"/>
      <c r="V3316" s="421"/>
      <c r="W3316" s="421"/>
      <c r="X3316" s="421"/>
      <c r="Y3316" s="421"/>
      <c r="Z3316" s="421"/>
      <c r="AA3316" s="421"/>
      <c r="AB3316" s="421"/>
      <c r="AC3316" s="421"/>
      <c r="AD3316" s="421"/>
      <c r="AE3316" s="421"/>
      <c r="AF3316" s="421"/>
      <c r="AG3316" s="421"/>
      <c r="AH3316" s="421"/>
      <c r="AI3316" s="421"/>
      <c r="AJ3316" s="421"/>
      <c r="AK3316" s="421"/>
      <c r="AL3316" s="421"/>
    </row>
    <row r="3317" spans="1:38" hidden="1">
      <c r="A3317" s="408"/>
      <c r="B3317" s="83" t="e">
        <f t="array" ref="B3317">SUM(--(FREQUENCY(IF(C$2:C$3072=C3317, MATCH(D$2:D$3072, D$2:D$3072, 0)), ROW(D$2:D$3072)-ROW(D$2)+1) &gt; 0))</f>
        <v>#N/A</v>
      </c>
      <c r="C3317" s="408"/>
      <c r="D3317" s="408"/>
      <c r="E3317" s="408"/>
      <c r="F3317" s="408"/>
      <c r="G3317" s="408"/>
      <c r="H3317" s="408"/>
      <c r="I3317" s="408"/>
      <c r="J3317" s="408"/>
      <c r="K3317" s="408"/>
      <c r="L3317" s="408"/>
      <c r="M3317" s="408"/>
      <c r="N3317" s="408" t="str">
        <f t="shared" si="478"/>
        <v/>
      </c>
      <c r="O3317" s="408"/>
      <c r="P3317" s="408"/>
      <c r="Q3317" s="408"/>
      <c r="R3317" s="408"/>
      <c r="S3317" s="408"/>
      <c r="T3317" s="408"/>
      <c r="U3317" s="408"/>
      <c r="V3317" s="421"/>
      <c r="W3317" s="421"/>
      <c r="X3317" s="421"/>
      <c r="Y3317" s="421"/>
      <c r="Z3317" s="421"/>
      <c r="AA3317" s="421"/>
      <c r="AB3317" s="421"/>
      <c r="AC3317" s="421"/>
      <c r="AD3317" s="421"/>
      <c r="AE3317" s="421"/>
      <c r="AF3317" s="421"/>
      <c r="AG3317" s="421"/>
      <c r="AH3317" s="421"/>
      <c r="AI3317" s="421"/>
      <c r="AJ3317" s="421"/>
      <c r="AK3317" s="421"/>
      <c r="AL3317" s="421"/>
    </row>
    <row r="3318" spans="1:38" hidden="1">
      <c r="A3318" s="408"/>
      <c r="B3318" s="83" t="e">
        <f t="array" ref="B3318">SUM(--(FREQUENCY(IF(C$2:C$3072=C3318, MATCH(D$2:D$3072, D$2:D$3072, 0)), ROW(D$2:D$3072)-ROW(D$2)+1) &gt; 0))</f>
        <v>#N/A</v>
      </c>
      <c r="C3318" s="408"/>
      <c r="D3318" s="408"/>
      <c r="E3318" s="408"/>
      <c r="F3318" s="408"/>
      <c r="G3318" s="408"/>
      <c r="H3318" s="408"/>
      <c r="I3318" s="408"/>
      <c r="J3318" s="408"/>
      <c r="K3318" s="408"/>
      <c r="L3318" s="408"/>
      <c r="M3318" s="408"/>
      <c r="N3318" s="408" t="str">
        <f t="shared" si="478"/>
        <v/>
      </c>
      <c r="O3318" s="408"/>
      <c r="P3318" s="408"/>
      <c r="Q3318" s="408"/>
      <c r="R3318" s="408"/>
      <c r="S3318" s="408"/>
      <c r="T3318" s="408"/>
      <c r="U3318" s="408"/>
      <c r="V3318" s="421"/>
      <c r="W3318" s="421"/>
      <c r="X3318" s="421"/>
      <c r="Y3318" s="421"/>
      <c r="Z3318" s="421"/>
      <c r="AA3318" s="421"/>
      <c r="AB3318" s="421"/>
      <c r="AC3318" s="421"/>
      <c r="AD3318" s="421"/>
      <c r="AE3318" s="421"/>
      <c r="AF3318" s="421"/>
      <c r="AG3318" s="421"/>
      <c r="AH3318" s="421"/>
      <c r="AI3318" s="421"/>
      <c r="AJ3318" s="421"/>
      <c r="AK3318" s="421"/>
      <c r="AL3318" s="421"/>
    </row>
    <row r="3319" spans="1:38" hidden="1">
      <c r="A3319" s="408"/>
      <c r="B3319" s="83" t="e">
        <f t="array" ref="B3319">SUM(--(FREQUENCY(IF(C$2:C$3072=C3319, MATCH(D$2:D$3072, D$2:D$3072, 0)), ROW(D$2:D$3072)-ROW(D$2)+1) &gt; 0))</f>
        <v>#N/A</v>
      </c>
      <c r="C3319" s="408"/>
      <c r="D3319" s="408"/>
      <c r="E3319" s="408"/>
      <c r="F3319" s="408"/>
      <c r="G3319" s="408"/>
      <c r="H3319" s="408"/>
      <c r="I3319" s="408"/>
      <c r="J3319" s="408"/>
      <c r="K3319" s="408"/>
      <c r="L3319" s="408"/>
      <c r="M3319" s="408"/>
      <c r="N3319" s="408" t="str">
        <f t="shared" si="478"/>
        <v/>
      </c>
      <c r="O3319" s="408"/>
      <c r="P3319" s="408"/>
      <c r="Q3319" s="408"/>
      <c r="R3319" s="408"/>
      <c r="S3319" s="408"/>
      <c r="T3319" s="408"/>
      <c r="U3319" s="408"/>
      <c r="V3319" s="421"/>
      <c r="W3319" s="421"/>
      <c r="X3319" s="421"/>
      <c r="Y3319" s="421"/>
      <c r="Z3319" s="421"/>
      <c r="AA3319" s="421"/>
      <c r="AB3319" s="421"/>
      <c r="AC3319" s="421"/>
      <c r="AD3319" s="421"/>
      <c r="AE3319" s="421"/>
      <c r="AF3319" s="421"/>
      <c r="AG3319" s="421"/>
      <c r="AH3319" s="421"/>
      <c r="AI3319" s="421"/>
      <c r="AJ3319" s="421"/>
      <c r="AK3319" s="421"/>
      <c r="AL3319" s="421"/>
    </row>
    <row r="3320" spans="1:38" hidden="1">
      <c r="A3320" s="408"/>
      <c r="B3320" s="83" t="e">
        <f t="array" ref="B3320">SUM(--(FREQUENCY(IF(C$2:C$3072=C3320, MATCH(D$2:D$3072, D$2:D$3072, 0)), ROW(D$2:D$3072)-ROW(D$2)+1) &gt; 0))</f>
        <v>#N/A</v>
      </c>
      <c r="C3320" s="408"/>
      <c r="D3320" s="408"/>
      <c r="E3320" s="408"/>
      <c r="F3320" s="408"/>
      <c r="G3320" s="408"/>
      <c r="H3320" s="408"/>
      <c r="I3320" s="408"/>
      <c r="J3320" s="408"/>
      <c r="K3320" s="408"/>
      <c r="L3320" s="408"/>
      <c r="M3320" s="408"/>
      <c r="N3320" s="408" t="str">
        <f t="shared" si="478"/>
        <v/>
      </c>
      <c r="O3320" s="408"/>
      <c r="P3320" s="408"/>
      <c r="Q3320" s="408"/>
      <c r="R3320" s="408"/>
      <c r="S3320" s="408"/>
      <c r="T3320" s="408"/>
      <c r="U3320" s="408"/>
      <c r="V3320" s="421"/>
      <c r="W3320" s="421"/>
      <c r="X3320" s="421"/>
      <c r="Y3320" s="421"/>
      <c r="Z3320" s="421"/>
      <c r="AA3320" s="421"/>
      <c r="AB3320" s="421"/>
      <c r="AC3320" s="421"/>
      <c r="AD3320" s="421"/>
      <c r="AE3320" s="421"/>
      <c r="AF3320" s="421"/>
      <c r="AG3320" s="421"/>
      <c r="AH3320" s="421"/>
      <c r="AI3320" s="421"/>
      <c r="AJ3320" s="421"/>
      <c r="AK3320" s="421"/>
      <c r="AL3320" s="421"/>
    </row>
    <row r="3321" spans="1:38" hidden="1">
      <c r="A3321" s="408"/>
      <c r="B3321" s="83" t="e">
        <f t="array" ref="B3321">SUM(--(FREQUENCY(IF(C$2:C$3072=C3321, MATCH(D$2:D$3072, D$2:D$3072, 0)), ROW(D$2:D$3072)-ROW(D$2)+1) &gt; 0))</f>
        <v>#N/A</v>
      </c>
      <c r="C3321" s="408"/>
      <c r="D3321" s="408"/>
      <c r="E3321" s="408"/>
      <c r="F3321" s="408"/>
      <c r="G3321" s="408"/>
      <c r="H3321" s="408"/>
      <c r="I3321" s="408"/>
      <c r="J3321" s="408"/>
      <c r="K3321" s="408"/>
      <c r="L3321" s="408"/>
      <c r="M3321" s="408"/>
      <c r="N3321" s="408" t="str">
        <f t="shared" si="478"/>
        <v/>
      </c>
      <c r="O3321" s="408"/>
      <c r="P3321" s="408"/>
      <c r="Q3321" s="408"/>
      <c r="R3321" s="408"/>
      <c r="S3321" s="408"/>
      <c r="T3321" s="408"/>
      <c r="U3321" s="408"/>
      <c r="V3321" s="421"/>
      <c r="W3321" s="421"/>
      <c r="X3321" s="421"/>
      <c r="Y3321" s="421"/>
      <c r="Z3321" s="421"/>
      <c r="AA3321" s="421"/>
      <c r="AB3321" s="421"/>
      <c r="AC3321" s="421"/>
      <c r="AD3321" s="421"/>
      <c r="AE3321" s="421"/>
      <c r="AF3321" s="421"/>
      <c r="AG3321" s="421"/>
      <c r="AH3321" s="421"/>
      <c r="AI3321" s="421"/>
      <c r="AJ3321" s="421"/>
      <c r="AK3321" s="421"/>
      <c r="AL3321" s="421"/>
    </row>
    <row r="3322" spans="1:38" hidden="1">
      <c r="A3322" s="408"/>
      <c r="B3322" s="83" t="e">
        <f t="array" ref="B3322">SUM(--(FREQUENCY(IF(C$2:C$3072=C3322, MATCH(D$2:D$3072, D$2:D$3072, 0)), ROW(D$2:D$3072)-ROW(D$2)+1) &gt; 0))</f>
        <v>#N/A</v>
      </c>
      <c r="C3322" s="408"/>
      <c r="D3322" s="408"/>
      <c r="E3322" s="408"/>
      <c r="F3322" s="408"/>
      <c r="G3322" s="408"/>
      <c r="H3322" s="408"/>
      <c r="I3322" s="408"/>
      <c r="J3322" s="408"/>
      <c r="K3322" s="408"/>
      <c r="L3322" s="408"/>
      <c r="M3322" s="408"/>
      <c r="N3322" s="408" t="str">
        <f t="shared" si="478"/>
        <v/>
      </c>
      <c r="O3322" s="408"/>
      <c r="P3322" s="408"/>
      <c r="Q3322" s="408"/>
      <c r="R3322" s="408"/>
      <c r="S3322" s="408"/>
      <c r="T3322" s="408"/>
      <c r="U3322" s="408"/>
      <c r="V3322" s="421"/>
      <c r="W3322" s="421"/>
      <c r="X3322" s="421"/>
      <c r="Y3322" s="421"/>
      <c r="Z3322" s="421"/>
      <c r="AA3322" s="421"/>
      <c r="AB3322" s="421"/>
      <c r="AC3322" s="421"/>
      <c r="AD3322" s="421"/>
      <c r="AE3322" s="421"/>
      <c r="AF3322" s="421"/>
      <c r="AG3322" s="421"/>
      <c r="AH3322" s="421"/>
      <c r="AI3322" s="421"/>
      <c r="AJ3322" s="421"/>
      <c r="AK3322" s="421"/>
      <c r="AL3322" s="421"/>
    </row>
    <row r="3323" spans="1:38" hidden="1">
      <c r="A3323" s="408"/>
      <c r="B3323" s="83" t="e">
        <f t="array" ref="B3323">SUM(--(FREQUENCY(IF(C$2:C$3072=C3323, MATCH(D$2:D$3072, D$2:D$3072, 0)), ROW(D$2:D$3072)-ROW(D$2)+1) &gt; 0))</f>
        <v>#N/A</v>
      </c>
      <c r="C3323" s="408"/>
      <c r="D3323" s="408"/>
      <c r="E3323" s="408"/>
      <c r="F3323" s="408"/>
      <c r="G3323" s="408"/>
      <c r="H3323" s="408"/>
      <c r="I3323" s="408"/>
      <c r="J3323" s="408"/>
      <c r="K3323" s="408"/>
      <c r="L3323" s="408"/>
      <c r="M3323" s="408"/>
      <c r="N3323" s="408" t="str">
        <f t="shared" si="478"/>
        <v/>
      </c>
      <c r="O3323" s="408"/>
      <c r="P3323" s="408"/>
      <c r="Q3323" s="408"/>
      <c r="R3323" s="408"/>
      <c r="S3323" s="408"/>
      <c r="T3323" s="408"/>
      <c r="U3323" s="408"/>
      <c r="V3323" s="421"/>
      <c r="W3323" s="421"/>
      <c r="X3323" s="421"/>
      <c r="Y3323" s="421"/>
      <c r="Z3323" s="421"/>
      <c r="AA3323" s="421"/>
      <c r="AB3323" s="421"/>
      <c r="AC3323" s="421"/>
      <c r="AD3323" s="421"/>
      <c r="AE3323" s="421"/>
      <c r="AF3323" s="421"/>
      <c r="AG3323" s="421"/>
      <c r="AH3323" s="421"/>
      <c r="AI3323" s="421"/>
      <c r="AJ3323" s="421"/>
      <c r="AK3323" s="421"/>
      <c r="AL3323" s="421"/>
    </row>
    <row r="3324" spans="1:38" hidden="1">
      <c r="A3324" s="408"/>
      <c r="B3324" s="83" t="e">
        <f t="array" ref="B3324">SUM(--(FREQUENCY(IF(C$2:C$3072=C3324, MATCH(D$2:D$3072, D$2:D$3072, 0)), ROW(D$2:D$3072)-ROW(D$2)+1) &gt; 0))</f>
        <v>#N/A</v>
      </c>
      <c r="C3324" s="408"/>
      <c r="D3324" s="408"/>
      <c r="E3324" s="408"/>
      <c r="F3324" s="408"/>
      <c r="G3324" s="408"/>
      <c r="H3324" s="408"/>
      <c r="I3324" s="408"/>
      <c r="J3324" s="408"/>
      <c r="K3324" s="408"/>
      <c r="L3324" s="408"/>
      <c r="M3324" s="408"/>
      <c r="N3324" s="408" t="str">
        <f t="shared" si="478"/>
        <v/>
      </c>
      <c r="O3324" s="408"/>
      <c r="P3324" s="408"/>
      <c r="Q3324" s="408"/>
      <c r="R3324" s="408"/>
      <c r="S3324" s="408"/>
      <c r="T3324" s="408"/>
      <c r="U3324" s="408"/>
      <c r="V3324" s="421"/>
      <c r="W3324" s="421"/>
      <c r="X3324" s="421"/>
      <c r="Y3324" s="421"/>
      <c r="Z3324" s="421"/>
      <c r="AA3324" s="421"/>
      <c r="AB3324" s="421"/>
      <c r="AC3324" s="421"/>
      <c r="AD3324" s="421"/>
      <c r="AE3324" s="421"/>
      <c r="AF3324" s="421"/>
      <c r="AG3324" s="421"/>
      <c r="AH3324" s="421"/>
      <c r="AI3324" s="421"/>
      <c r="AJ3324" s="421"/>
      <c r="AK3324" s="421"/>
      <c r="AL3324" s="421"/>
    </row>
    <row r="3325" spans="1:38" hidden="1">
      <c r="A3325" s="408"/>
      <c r="B3325" s="83" t="e">
        <f t="array" ref="B3325">SUM(--(FREQUENCY(IF(C$2:C$3072=C3325, MATCH(D$2:D$3072, D$2:D$3072, 0)), ROW(D$2:D$3072)-ROW(D$2)+1) &gt; 0))</f>
        <v>#N/A</v>
      </c>
      <c r="C3325" s="408"/>
      <c r="D3325" s="408"/>
      <c r="E3325" s="408"/>
      <c r="F3325" s="408"/>
      <c r="G3325" s="408"/>
      <c r="H3325" s="408"/>
      <c r="I3325" s="408"/>
      <c r="J3325" s="408"/>
      <c r="K3325" s="408"/>
      <c r="L3325" s="408"/>
      <c r="M3325" s="408"/>
      <c r="N3325" s="408" t="str">
        <f t="shared" si="478"/>
        <v/>
      </c>
      <c r="O3325" s="408"/>
      <c r="P3325" s="408"/>
      <c r="Q3325" s="408"/>
      <c r="R3325" s="408"/>
      <c r="S3325" s="408"/>
      <c r="T3325" s="408"/>
      <c r="U3325" s="408"/>
      <c r="V3325" s="421"/>
      <c r="W3325" s="421"/>
      <c r="X3325" s="421"/>
      <c r="Y3325" s="421"/>
      <c r="Z3325" s="421"/>
      <c r="AA3325" s="421"/>
      <c r="AB3325" s="421"/>
      <c r="AC3325" s="421"/>
      <c r="AD3325" s="421"/>
      <c r="AE3325" s="421"/>
      <c r="AF3325" s="421"/>
      <c r="AG3325" s="421"/>
      <c r="AH3325" s="421"/>
      <c r="AI3325" s="421"/>
      <c r="AJ3325" s="421"/>
      <c r="AK3325" s="421"/>
      <c r="AL3325" s="421"/>
    </row>
    <row r="3326" spans="1:38" hidden="1">
      <c r="A3326" s="408"/>
      <c r="B3326" s="83" t="e">
        <f t="array" ref="B3326">SUM(--(FREQUENCY(IF(C$2:C$3072=C3326, MATCH(D$2:D$3072, D$2:D$3072, 0)), ROW(D$2:D$3072)-ROW(D$2)+1) &gt; 0))</f>
        <v>#N/A</v>
      </c>
      <c r="C3326" s="408"/>
      <c r="D3326" s="408"/>
      <c r="E3326" s="408"/>
      <c r="F3326" s="408"/>
      <c r="G3326" s="408"/>
      <c r="H3326" s="408"/>
      <c r="I3326" s="408"/>
      <c r="J3326" s="408"/>
      <c r="K3326" s="408"/>
      <c r="L3326" s="408"/>
      <c r="M3326" s="408"/>
      <c r="N3326" s="408" t="str">
        <f t="shared" si="478"/>
        <v/>
      </c>
      <c r="O3326" s="408"/>
      <c r="P3326" s="408"/>
      <c r="Q3326" s="408"/>
      <c r="R3326" s="408"/>
      <c r="S3326" s="408"/>
      <c r="T3326" s="408"/>
      <c r="U3326" s="408"/>
      <c r="V3326" s="421"/>
      <c r="W3326" s="421"/>
      <c r="X3326" s="421"/>
      <c r="Y3326" s="421"/>
      <c r="Z3326" s="421"/>
      <c r="AA3326" s="421"/>
      <c r="AB3326" s="421"/>
      <c r="AC3326" s="421"/>
      <c r="AD3326" s="421"/>
      <c r="AE3326" s="421"/>
      <c r="AF3326" s="421"/>
      <c r="AG3326" s="421"/>
      <c r="AH3326" s="421"/>
      <c r="AI3326" s="421"/>
      <c r="AJ3326" s="421"/>
      <c r="AK3326" s="421"/>
      <c r="AL3326" s="421"/>
    </row>
    <row r="3327" spans="1:38" hidden="1">
      <c r="A3327" s="408"/>
      <c r="B3327" s="83" t="e">
        <f t="array" ref="B3327">SUM(--(FREQUENCY(IF(C$2:C$3072=C3327, MATCH(D$2:D$3072, D$2:D$3072, 0)), ROW(D$2:D$3072)-ROW(D$2)+1) &gt; 0))</f>
        <v>#N/A</v>
      </c>
      <c r="C3327" s="408"/>
      <c r="D3327" s="408"/>
      <c r="E3327" s="408"/>
      <c r="F3327" s="408"/>
      <c r="G3327" s="408"/>
      <c r="H3327" s="408"/>
      <c r="I3327" s="408"/>
      <c r="J3327" s="408"/>
      <c r="K3327" s="408"/>
      <c r="L3327" s="408"/>
      <c r="M3327" s="408"/>
      <c r="N3327" s="408" t="str">
        <f t="shared" si="478"/>
        <v/>
      </c>
      <c r="O3327" s="408"/>
      <c r="P3327" s="408"/>
      <c r="Q3327" s="408"/>
      <c r="R3327" s="408"/>
      <c r="S3327" s="408"/>
      <c r="T3327" s="408"/>
      <c r="U3327" s="408"/>
      <c r="V3327" s="421"/>
      <c r="W3327" s="421"/>
      <c r="X3327" s="421"/>
      <c r="Y3327" s="421"/>
      <c r="Z3327" s="421"/>
      <c r="AA3327" s="421"/>
      <c r="AB3327" s="421"/>
      <c r="AC3327" s="421"/>
      <c r="AD3327" s="421"/>
      <c r="AE3327" s="421"/>
      <c r="AF3327" s="421"/>
      <c r="AG3327" s="421"/>
      <c r="AH3327" s="421"/>
      <c r="AI3327" s="421"/>
      <c r="AJ3327" s="421"/>
      <c r="AK3327" s="421"/>
      <c r="AL3327" s="421"/>
    </row>
    <row r="3328" spans="1:38" hidden="1">
      <c r="A3328" s="408"/>
      <c r="B3328" s="83" t="e">
        <f t="array" ref="B3328">SUM(--(FREQUENCY(IF(C$2:C$3072=C3328, MATCH(D$2:D$3072, D$2:D$3072, 0)), ROW(D$2:D$3072)-ROW(D$2)+1) &gt; 0))</f>
        <v>#N/A</v>
      </c>
      <c r="C3328" s="408"/>
      <c r="D3328" s="408"/>
      <c r="E3328" s="408"/>
      <c r="F3328" s="408"/>
      <c r="G3328" s="408"/>
      <c r="H3328" s="408"/>
      <c r="I3328" s="408"/>
      <c r="J3328" s="408"/>
      <c r="K3328" s="408"/>
      <c r="L3328" s="408"/>
      <c r="M3328" s="408"/>
      <c r="N3328" s="408" t="str">
        <f t="shared" ref="N3328:N3391" si="479">IF(O3328&lt;&gt;"", "NG", "")</f>
        <v/>
      </c>
      <c r="O3328" s="408"/>
      <c r="P3328" s="408"/>
      <c r="Q3328" s="408"/>
      <c r="R3328" s="408"/>
      <c r="S3328" s="408"/>
      <c r="T3328" s="408"/>
      <c r="U3328" s="408"/>
      <c r="V3328" s="421"/>
      <c r="W3328" s="421"/>
      <c r="X3328" s="421"/>
      <c r="Y3328" s="421"/>
      <c r="Z3328" s="421"/>
      <c r="AA3328" s="421"/>
      <c r="AB3328" s="421"/>
      <c r="AC3328" s="421"/>
      <c r="AD3328" s="421"/>
      <c r="AE3328" s="421"/>
      <c r="AF3328" s="421"/>
      <c r="AG3328" s="421"/>
      <c r="AH3328" s="421"/>
      <c r="AI3328" s="421"/>
      <c r="AJ3328" s="421"/>
      <c r="AK3328" s="421"/>
      <c r="AL3328" s="421"/>
    </row>
    <row r="3329" spans="1:38" hidden="1">
      <c r="A3329" s="408"/>
      <c r="B3329" s="83" t="e">
        <f t="array" ref="B3329">SUM(--(FREQUENCY(IF(C$2:C$3072=C3329, MATCH(D$2:D$3072, D$2:D$3072, 0)), ROW(D$2:D$3072)-ROW(D$2)+1) &gt; 0))</f>
        <v>#N/A</v>
      </c>
      <c r="C3329" s="408"/>
      <c r="D3329" s="408"/>
      <c r="E3329" s="408"/>
      <c r="F3329" s="408"/>
      <c r="G3329" s="408"/>
      <c r="H3329" s="408"/>
      <c r="I3329" s="408"/>
      <c r="J3329" s="408"/>
      <c r="K3329" s="408"/>
      <c r="L3329" s="408"/>
      <c r="M3329" s="408"/>
      <c r="N3329" s="408" t="str">
        <f t="shared" si="479"/>
        <v/>
      </c>
      <c r="O3329" s="408"/>
      <c r="P3329" s="408"/>
      <c r="Q3329" s="408"/>
      <c r="R3329" s="408"/>
      <c r="S3329" s="408"/>
      <c r="T3329" s="408"/>
      <c r="U3329" s="408"/>
      <c r="V3329" s="421"/>
      <c r="W3329" s="421"/>
      <c r="X3329" s="421"/>
      <c r="Y3329" s="421"/>
      <c r="Z3329" s="421"/>
      <c r="AA3329" s="421"/>
      <c r="AB3329" s="421"/>
      <c r="AC3329" s="421"/>
      <c r="AD3329" s="421"/>
      <c r="AE3329" s="421"/>
      <c r="AF3329" s="421"/>
      <c r="AG3329" s="421"/>
      <c r="AH3329" s="421"/>
      <c r="AI3329" s="421"/>
      <c r="AJ3329" s="421"/>
      <c r="AK3329" s="421"/>
      <c r="AL3329" s="421"/>
    </row>
    <row r="3330" spans="1:38" hidden="1">
      <c r="A3330" s="408"/>
      <c r="B3330" s="83" t="e">
        <f t="array" ref="B3330">SUM(--(FREQUENCY(IF(C$2:C$3072=C3330, MATCH(D$2:D$3072, D$2:D$3072, 0)), ROW(D$2:D$3072)-ROW(D$2)+1) &gt; 0))</f>
        <v>#N/A</v>
      </c>
      <c r="C3330" s="408"/>
      <c r="D3330" s="408"/>
      <c r="E3330" s="408"/>
      <c r="F3330" s="408"/>
      <c r="G3330" s="408"/>
      <c r="H3330" s="408"/>
      <c r="I3330" s="408"/>
      <c r="J3330" s="408"/>
      <c r="K3330" s="408"/>
      <c r="L3330" s="408"/>
      <c r="M3330" s="408"/>
      <c r="N3330" s="408" t="str">
        <f t="shared" si="479"/>
        <v/>
      </c>
      <c r="O3330" s="408"/>
      <c r="P3330" s="408"/>
      <c r="Q3330" s="408"/>
      <c r="R3330" s="408"/>
      <c r="S3330" s="408"/>
      <c r="T3330" s="408"/>
      <c r="U3330" s="408"/>
      <c r="V3330" s="421"/>
      <c r="W3330" s="421"/>
      <c r="X3330" s="421"/>
      <c r="Y3330" s="421"/>
      <c r="Z3330" s="421"/>
      <c r="AA3330" s="421"/>
      <c r="AB3330" s="421"/>
      <c r="AC3330" s="421"/>
      <c r="AD3330" s="421"/>
      <c r="AE3330" s="421"/>
      <c r="AF3330" s="421"/>
      <c r="AG3330" s="421"/>
      <c r="AH3330" s="421"/>
      <c r="AI3330" s="421"/>
      <c r="AJ3330" s="421"/>
      <c r="AK3330" s="421"/>
      <c r="AL3330" s="421"/>
    </row>
    <row r="3331" spans="1:38" hidden="1">
      <c r="A3331" s="408"/>
      <c r="B3331" s="83" t="e">
        <f t="array" ref="B3331">SUM(--(FREQUENCY(IF(C$2:C$3072=C3331, MATCH(D$2:D$3072, D$2:D$3072, 0)), ROW(D$2:D$3072)-ROW(D$2)+1) &gt; 0))</f>
        <v>#N/A</v>
      </c>
      <c r="C3331" s="408"/>
      <c r="D3331" s="408"/>
      <c r="E3331" s="408"/>
      <c r="F3331" s="408"/>
      <c r="G3331" s="408"/>
      <c r="H3331" s="408"/>
      <c r="I3331" s="408"/>
      <c r="J3331" s="408"/>
      <c r="K3331" s="408"/>
      <c r="L3331" s="408"/>
      <c r="M3331" s="408"/>
      <c r="N3331" s="408" t="str">
        <f t="shared" si="479"/>
        <v/>
      </c>
      <c r="O3331" s="408"/>
      <c r="P3331" s="408"/>
      <c r="Q3331" s="408"/>
      <c r="R3331" s="408"/>
      <c r="S3331" s="408"/>
      <c r="T3331" s="408"/>
      <c r="U3331" s="408"/>
      <c r="V3331" s="421"/>
      <c r="W3331" s="421"/>
      <c r="X3331" s="421"/>
      <c r="Y3331" s="421"/>
      <c r="Z3331" s="421"/>
      <c r="AA3331" s="421"/>
      <c r="AB3331" s="421"/>
      <c r="AC3331" s="421"/>
      <c r="AD3331" s="421"/>
      <c r="AE3331" s="421"/>
      <c r="AF3331" s="421"/>
      <c r="AG3331" s="421"/>
      <c r="AH3331" s="421"/>
      <c r="AI3331" s="421"/>
      <c r="AJ3331" s="421"/>
      <c r="AK3331" s="421"/>
      <c r="AL3331" s="421"/>
    </row>
    <row r="3332" spans="1:38" hidden="1">
      <c r="A3332" s="408"/>
      <c r="B3332" s="83" t="e">
        <f t="array" ref="B3332">SUM(--(FREQUENCY(IF(C$2:C$3072=C3332, MATCH(D$2:D$3072, D$2:D$3072, 0)), ROW(D$2:D$3072)-ROW(D$2)+1) &gt; 0))</f>
        <v>#N/A</v>
      </c>
      <c r="C3332" s="408"/>
      <c r="D3332" s="408"/>
      <c r="E3332" s="408"/>
      <c r="F3332" s="408"/>
      <c r="G3332" s="408"/>
      <c r="H3332" s="408"/>
      <c r="I3332" s="408"/>
      <c r="J3332" s="408"/>
      <c r="K3332" s="408"/>
      <c r="L3332" s="408"/>
      <c r="M3332" s="408"/>
      <c r="N3332" s="408" t="str">
        <f t="shared" si="479"/>
        <v/>
      </c>
      <c r="O3332" s="408"/>
      <c r="P3332" s="408"/>
      <c r="Q3332" s="408"/>
      <c r="R3332" s="408"/>
      <c r="S3332" s="408"/>
      <c r="T3332" s="408"/>
      <c r="U3332" s="408"/>
      <c r="V3332" s="421"/>
      <c r="W3332" s="421"/>
      <c r="X3332" s="421"/>
      <c r="Y3332" s="421"/>
      <c r="Z3332" s="421"/>
      <c r="AA3332" s="421"/>
      <c r="AB3332" s="421"/>
      <c r="AC3332" s="421"/>
      <c r="AD3332" s="421"/>
      <c r="AE3332" s="421"/>
      <c r="AF3332" s="421"/>
      <c r="AG3332" s="421"/>
      <c r="AH3332" s="421"/>
      <c r="AI3332" s="421"/>
      <c r="AJ3332" s="421"/>
      <c r="AK3332" s="421"/>
      <c r="AL3332" s="421"/>
    </row>
    <row r="3333" spans="1:38" hidden="1">
      <c r="A3333" s="408"/>
      <c r="B3333" s="83" t="e">
        <f t="array" ref="B3333">SUM(--(FREQUENCY(IF(C$2:C$3072=C3333, MATCH(D$2:D$3072, D$2:D$3072, 0)), ROW(D$2:D$3072)-ROW(D$2)+1) &gt; 0))</f>
        <v>#N/A</v>
      </c>
      <c r="C3333" s="408"/>
      <c r="D3333" s="408"/>
      <c r="E3333" s="408"/>
      <c r="F3333" s="408"/>
      <c r="G3333" s="408"/>
      <c r="H3333" s="408"/>
      <c r="I3333" s="408"/>
      <c r="J3333" s="408"/>
      <c r="K3333" s="408"/>
      <c r="L3333" s="408"/>
      <c r="M3333" s="408"/>
      <c r="N3333" s="408" t="str">
        <f t="shared" si="479"/>
        <v/>
      </c>
      <c r="O3333" s="408"/>
      <c r="P3333" s="408"/>
      <c r="Q3333" s="408"/>
      <c r="R3333" s="408"/>
      <c r="S3333" s="408"/>
      <c r="T3333" s="408"/>
      <c r="U3333" s="408"/>
      <c r="V3333" s="421"/>
      <c r="W3333" s="421"/>
      <c r="X3333" s="421"/>
      <c r="Y3333" s="421"/>
      <c r="Z3333" s="421"/>
      <c r="AA3333" s="421"/>
      <c r="AB3333" s="421"/>
      <c r="AC3333" s="421"/>
      <c r="AD3333" s="421"/>
      <c r="AE3333" s="421"/>
      <c r="AF3333" s="421"/>
      <c r="AG3333" s="421"/>
      <c r="AH3333" s="421"/>
      <c r="AI3333" s="421"/>
      <c r="AJ3333" s="421"/>
      <c r="AK3333" s="421"/>
      <c r="AL3333" s="421"/>
    </row>
    <row r="3334" spans="1:38" hidden="1">
      <c r="A3334" s="408"/>
      <c r="B3334" s="83" t="e">
        <f t="array" ref="B3334">SUM(--(FREQUENCY(IF(C$2:C$3072=C3334, MATCH(D$2:D$3072, D$2:D$3072, 0)), ROW(D$2:D$3072)-ROW(D$2)+1) &gt; 0))</f>
        <v>#N/A</v>
      </c>
      <c r="C3334" s="408"/>
      <c r="D3334" s="408"/>
      <c r="E3334" s="408"/>
      <c r="F3334" s="408"/>
      <c r="G3334" s="408"/>
      <c r="H3334" s="408"/>
      <c r="I3334" s="408"/>
      <c r="J3334" s="408"/>
      <c r="K3334" s="408"/>
      <c r="L3334" s="408"/>
      <c r="M3334" s="408"/>
      <c r="N3334" s="408" t="str">
        <f t="shared" si="479"/>
        <v/>
      </c>
      <c r="O3334" s="408"/>
      <c r="P3334" s="408"/>
      <c r="Q3334" s="408"/>
      <c r="R3334" s="408"/>
      <c r="S3334" s="408"/>
      <c r="T3334" s="408"/>
      <c r="U3334" s="408"/>
      <c r="V3334" s="421"/>
      <c r="W3334" s="421"/>
      <c r="X3334" s="421"/>
      <c r="Y3334" s="421"/>
      <c r="Z3334" s="421"/>
      <c r="AA3334" s="421"/>
      <c r="AB3334" s="421"/>
      <c r="AC3334" s="421"/>
      <c r="AD3334" s="421"/>
      <c r="AE3334" s="421"/>
      <c r="AF3334" s="421"/>
      <c r="AG3334" s="421"/>
      <c r="AH3334" s="421"/>
      <c r="AI3334" s="421"/>
      <c r="AJ3334" s="421"/>
      <c r="AK3334" s="421"/>
      <c r="AL3334" s="421"/>
    </row>
    <row r="3335" spans="1:38" hidden="1">
      <c r="A3335" s="408"/>
      <c r="B3335" s="83" t="e">
        <f t="array" ref="B3335">SUM(--(FREQUENCY(IF(C$2:C$3072=C3335, MATCH(D$2:D$3072, D$2:D$3072, 0)), ROW(D$2:D$3072)-ROW(D$2)+1) &gt; 0))</f>
        <v>#N/A</v>
      </c>
      <c r="C3335" s="408"/>
      <c r="D3335" s="408"/>
      <c r="E3335" s="408"/>
      <c r="F3335" s="408"/>
      <c r="G3335" s="408"/>
      <c r="H3335" s="408"/>
      <c r="I3335" s="408"/>
      <c r="J3335" s="408"/>
      <c r="K3335" s="408"/>
      <c r="L3335" s="408"/>
      <c r="M3335" s="408"/>
      <c r="N3335" s="408" t="str">
        <f t="shared" si="479"/>
        <v/>
      </c>
      <c r="O3335" s="408"/>
      <c r="P3335" s="408"/>
      <c r="Q3335" s="408"/>
      <c r="R3335" s="408"/>
      <c r="S3335" s="408"/>
      <c r="T3335" s="408"/>
      <c r="U3335" s="408"/>
      <c r="V3335" s="421"/>
      <c r="W3335" s="421"/>
      <c r="X3335" s="421"/>
      <c r="Y3335" s="421"/>
      <c r="Z3335" s="421"/>
      <c r="AA3335" s="421"/>
      <c r="AB3335" s="421"/>
      <c r="AC3335" s="421"/>
      <c r="AD3335" s="421"/>
      <c r="AE3335" s="421"/>
      <c r="AF3335" s="421"/>
      <c r="AG3335" s="421"/>
      <c r="AH3335" s="421"/>
      <c r="AI3335" s="421"/>
      <c r="AJ3335" s="421"/>
      <c r="AK3335" s="421"/>
      <c r="AL3335" s="421"/>
    </row>
    <row r="3336" spans="1:38" hidden="1">
      <c r="A3336" s="408"/>
      <c r="B3336" s="83" t="e">
        <f t="array" ref="B3336">SUM(--(FREQUENCY(IF(C$2:C$3072=C3336, MATCH(D$2:D$3072, D$2:D$3072, 0)), ROW(D$2:D$3072)-ROW(D$2)+1) &gt; 0))</f>
        <v>#N/A</v>
      </c>
      <c r="C3336" s="408"/>
      <c r="D3336" s="408"/>
      <c r="E3336" s="408"/>
      <c r="F3336" s="408"/>
      <c r="G3336" s="408"/>
      <c r="H3336" s="408"/>
      <c r="I3336" s="408"/>
      <c r="J3336" s="408"/>
      <c r="K3336" s="408"/>
      <c r="L3336" s="408"/>
      <c r="M3336" s="408"/>
      <c r="N3336" s="408" t="str">
        <f t="shared" si="479"/>
        <v/>
      </c>
      <c r="O3336" s="408"/>
      <c r="P3336" s="408"/>
      <c r="Q3336" s="408"/>
      <c r="R3336" s="408"/>
      <c r="S3336" s="408"/>
      <c r="T3336" s="408"/>
      <c r="U3336" s="408"/>
      <c r="V3336" s="421"/>
      <c r="W3336" s="421"/>
      <c r="X3336" s="421"/>
      <c r="Y3336" s="421"/>
      <c r="Z3336" s="421"/>
      <c r="AA3336" s="421"/>
      <c r="AB3336" s="421"/>
      <c r="AC3336" s="421"/>
      <c r="AD3336" s="421"/>
      <c r="AE3336" s="421"/>
      <c r="AF3336" s="421"/>
      <c r="AG3336" s="421"/>
      <c r="AH3336" s="421"/>
      <c r="AI3336" s="421"/>
      <c r="AJ3336" s="421"/>
      <c r="AK3336" s="421"/>
      <c r="AL3336" s="421"/>
    </row>
    <row r="3337" spans="1:38" hidden="1">
      <c r="A3337" s="408"/>
      <c r="B3337" s="83" t="e">
        <f t="array" ref="B3337">SUM(--(FREQUENCY(IF(C$2:C$3072=C3337, MATCH(D$2:D$3072, D$2:D$3072, 0)), ROW(D$2:D$3072)-ROW(D$2)+1) &gt; 0))</f>
        <v>#N/A</v>
      </c>
      <c r="C3337" s="408"/>
      <c r="D3337" s="408"/>
      <c r="E3337" s="408"/>
      <c r="F3337" s="408"/>
      <c r="G3337" s="408"/>
      <c r="H3337" s="408"/>
      <c r="I3337" s="408"/>
      <c r="J3337" s="408"/>
      <c r="K3337" s="408"/>
      <c r="L3337" s="408"/>
      <c r="M3337" s="408"/>
      <c r="N3337" s="408" t="str">
        <f t="shared" si="479"/>
        <v/>
      </c>
      <c r="O3337" s="408"/>
      <c r="P3337" s="408"/>
      <c r="Q3337" s="408"/>
      <c r="R3337" s="408"/>
      <c r="S3337" s="408"/>
      <c r="T3337" s="408"/>
      <c r="U3337" s="408"/>
      <c r="V3337" s="421"/>
      <c r="W3337" s="421"/>
      <c r="X3337" s="421"/>
      <c r="Y3337" s="421"/>
      <c r="Z3337" s="421"/>
      <c r="AA3337" s="421"/>
      <c r="AB3337" s="421"/>
      <c r="AC3337" s="421"/>
      <c r="AD3337" s="421"/>
      <c r="AE3337" s="421"/>
      <c r="AF3337" s="421"/>
      <c r="AG3337" s="421"/>
      <c r="AH3337" s="421"/>
      <c r="AI3337" s="421"/>
      <c r="AJ3337" s="421"/>
      <c r="AK3337" s="421"/>
      <c r="AL3337" s="421"/>
    </row>
    <row r="3338" spans="1:38" hidden="1">
      <c r="A3338" s="408"/>
      <c r="B3338" s="83" t="e">
        <f t="array" ref="B3338">SUM(--(FREQUENCY(IF(C$2:C$3072=C3338, MATCH(D$2:D$3072, D$2:D$3072, 0)), ROW(D$2:D$3072)-ROW(D$2)+1) &gt; 0))</f>
        <v>#N/A</v>
      </c>
      <c r="C3338" s="408"/>
      <c r="D3338" s="408"/>
      <c r="E3338" s="408"/>
      <c r="F3338" s="408"/>
      <c r="G3338" s="408"/>
      <c r="H3338" s="408"/>
      <c r="I3338" s="408"/>
      <c r="J3338" s="408"/>
      <c r="K3338" s="408"/>
      <c r="L3338" s="408"/>
      <c r="M3338" s="408"/>
      <c r="N3338" s="408" t="str">
        <f t="shared" si="479"/>
        <v/>
      </c>
      <c r="O3338" s="408"/>
      <c r="P3338" s="408"/>
      <c r="Q3338" s="408"/>
      <c r="R3338" s="408"/>
      <c r="S3338" s="408"/>
      <c r="T3338" s="408"/>
      <c r="U3338" s="408"/>
      <c r="V3338" s="421"/>
      <c r="W3338" s="421"/>
      <c r="X3338" s="421"/>
      <c r="Y3338" s="421"/>
      <c r="Z3338" s="421"/>
      <c r="AA3338" s="421"/>
      <c r="AB3338" s="421"/>
      <c r="AC3338" s="421"/>
      <c r="AD3338" s="421"/>
      <c r="AE3338" s="421"/>
      <c r="AF3338" s="421"/>
      <c r="AG3338" s="421"/>
      <c r="AH3338" s="421"/>
      <c r="AI3338" s="421"/>
      <c r="AJ3338" s="421"/>
      <c r="AK3338" s="421"/>
      <c r="AL3338" s="421"/>
    </row>
    <row r="3339" spans="1:38" hidden="1">
      <c r="A3339" s="408"/>
      <c r="B3339" s="83" t="e">
        <f t="array" ref="B3339">SUM(--(FREQUENCY(IF(C$2:C$3072=C3339, MATCH(D$2:D$3072, D$2:D$3072, 0)), ROW(D$2:D$3072)-ROW(D$2)+1) &gt; 0))</f>
        <v>#N/A</v>
      </c>
      <c r="C3339" s="408"/>
      <c r="D3339" s="408"/>
      <c r="E3339" s="408"/>
      <c r="F3339" s="408"/>
      <c r="G3339" s="408"/>
      <c r="H3339" s="408"/>
      <c r="I3339" s="408"/>
      <c r="J3339" s="408"/>
      <c r="K3339" s="408"/>
      <c r="L3339" s="408"/>
      <c r="M3339" s="408"/>
      <c r="N3339" s="408" t="str">
        <f t="shared" si="479"/>
        <v/>
      </c>
      <c r="O3339" s="408"/>
      <c r="P3339" s="408"/>
      <c r="Q3339" s="408"/>
      <c r="R3339" s="408"/>
      <c r="S3339" s="408"/>
      <c r="T3339" s="408"/>
      <c r="U3339" s="408"/>
      <c r="V3339" s="421"/>
      <c r="W3339" s="421"/>
      <c r="X3339" s="421"/>
      <c r="Y3339" s="421"/>
      <c r="Z3339" s="421"/>
      <c r="AA3339" s="421"/>
      <c r="AB3339" s="421"/>
      <c r="AC3339" s="421"/>
      <c r="AD3339" s="421"/>
      <c r="AE3339" s="421"/>
      <c r="AF3339" s="421"/>
      <c r="AG3339" s="421"/>
      <c r="AH3339" s="421"/>
      <c r="AI3339" s="421"/>
      <c r="AJ3339" s="421"/>
      <c r="AK3339" s="421"/>
      <c r="AL3339" s="421"/>
    </row>
    <row r="3340" spans="1:38" hidden="1">
      <c r="A3340" s="408"/>
      <c r="B3340" s="83" t="e">
        <f t="array" ref="B3340">SUM(--(FREQUENCY(IF(C$2:C$3072=C3340, MATCH(D$2:D$3072, D$2:D$3072, 0)), ROW(D$2:D$3072)-ROW(D$2)+1) &gt; 0))</f>
        <v>#N/A</v>
      </c>
      <c r="C3340" s="408"/>
      <c r="D3340" s="408"/>
      <c r="E3340" s="408"/>
      <c r="F3340" s="408"/>
      <c r="G3340" s="408"/>
      <c r="H3340" s="408"/>
      <c r="I3340" s="408"/>
      <c r="J3340" s="408"/>
      <c r="K3340" s="408"/>
      <c r="L3340" s="408"/>
      <c r="M3340" s="408"/>
      <c r="N3340" s="408" t="str">
        <f t="shared" si="479"/>
        <v/>
      </c>
      <c r="O3340" s="408"/>
      <c r="P3340" s="408"/>
      <c r="Q3340" s="408"/>
      <c r="R3340" s="408"/>
      <c r="S3340" s="408"/>
      <c r="T3340" s="408"/>
      <c r="U3340" s="408"/>
      <c r="V3340" s="421"/>
      <c r="W3340" s="421"/>
      <c r="X3340" s="421"/>
      <c r="Y3340" s="421"/>
      <c r="Z3340" s="421"/>
      <c r="AA3340" s="421"/>
      <c r="AB3340" s="421"/>
      <c r="AC3340" s="421"/>
      <c r="AD3340" s="421"/>
      <c r="AE3340" s="421"/>
      <c r="AF3340" s="421"/>
      <c r="AG3340" s="421"/>
      <c r="AH3340" s="421"/>
      <c r="AI3340" s="421"/>
      <c r="AJ3340" s="421"/>
      <c r="AK3340" s="421"/>
      <c r="AL3340" s="421"/>
    </row>
    <row r="3341" spans="1:38" hidden="1">
      <c r="A3341" s="408"/>
      <c r="B3341" s="83" t="e">
        <f t="array" ref="B3341">SUM(--(FREQUENCY(IF(C$2:C$3072=C3341, MATCH(D$2:D$3072, D$2:D$3072, 0)), ROW(D$2:D$3072)-ROW(D$2)+1) &gt; 0))</f>
        <v>#N/A</v>
      </c>
      <c r="C3341" s="408"/>
      <c r="D3341" s="408"/>
      <c r="E3341" s="408"/>
      <c r="F3341" s="408"/>
      <c r="G3341" s="408"/>
      <c r="H3341" s="408"/>
      <c r="I3341" s="408"/>
      <c r="J3341" s="408"/>
      <c r="K3341" s="408"/>
      <c r="L3341" s="408"/>
      <c r="M3341" s="408"/>
      <c r="N3341" s="408" t="str">
        <f t="shared" si="479"/>
        <v/>
      </c>
      <c r="O3341" s="408"/>
      <c r="P3341" s="408"/>
      <c r="Q3341" s="408"/>
      <c r="R3341" s="408"/>
      <c r="S3341" s="408"/>
      <c r="T3341" s="408"/>
      <c r="U3341" s="408"/>
      <c r="V3341" s="421"/>
      <c r="W3341" s="421"/>
      <c r="X3341" s="421"/>
      <c r="Y3341" s="421"/>
      <c r="Z3341" s="421"/>
      <c r="AA3341" s="421"/>
      <c r="AB3341" s="421"/>
      <c r="AC3341" s="421"/>
      <c r="AD3341" s="421"/>
      <c r="AE3341" s="421"/>
      <c r="AF3341" s="421"/>
      <c r="AG3341" s="421"/>
      <c r="AH3341" s="421"/>
      <c r="AI3341" s="421"/>
      <c r="AJ3341" s="421"/>
      <c r="AK3341" s="421"/>
      <c r="AL3341" s="421"/>
    </row>
    <row r="3342" spans="1:38" hidden="1">
      <c r="A3342" s="408"/>
      <c r="B3342" s="83" t="e">
        <f t="array" ref="B3342">SUM(--(FREQUENCY(IF(C$2:C$3072=C3342, MATCH(D$2:D$3072, D$2:D$3072, 0)), ROW(D$2:D$3072)-ROW(D$2)+1) &gt; 0))</f>
        <v>#N/A</v>
      </c>
      <c r="C3342" s="408"/>
      <c r="D3342" s="408"/>
      <c r="E3342" s="408"/>
      <c r="F3342" s="408"/>
      <c r="G3342" s="408"/>
      <c r="H3342" s="408"/>
      <c r="I3342" s="408"/>
      <c r="J3342" s="408"/>
      <c r="K3342" s="408"/>
      <c r="L3342" s="408"/>
      <c r="M3342" s="408"/>
      <c r="N3342" s="408" t="str">
        <f t="shared" si="479"/>
        <v/>
      </c>
      <c r="O3342" s="408"/>
      <c r="P3342" s="408"/>
      <c r="Q3342" s="408"/>
      <c r="R3342" s="408"/>
      <c r="S3342" s="408"/>
      <c r="T3342" s="408"/>
      <c r="U3342" s="408"/>
      <c r="V3342" s="421"/>
      <c r="W3342" s="421"/>
      <c r="X3342" s="421"/>
      <c r="Y3342" s="421"/>
      <c r="Z3342" s="421"/>
      <c r="AA3342" s="421"/>
      <c r="AB3342" s="421"/>
      <c r="AC3342" s="421"/>
      <c r="AD3342" s="421"/>
      <c r="AE3342" s="421"/>
      <c r="AF3342" s="421"/>
      <c r="AG3342" s="421"/>
      <c r="AH3342" s="421"/>
      <c r="AI3342" s="421"/>
      <c r="AJ3342" s="421"/>
      <c r="AK3342" s="421"/>
      <c r="AL3342" s="421"/>
    </row>
    <row r="3343" spans="1:38" hidden="1">
      <c r="A3343" s="408"/>
      <c r="B3343" s="83" t="e">
        <f t="array" ref="B3343">SUM(--(FREQUENCY(IF(C$2:C$3072=C3343, MATCH(D$2:D$3072, D$2:D$3072, 0)), ROW(D$2:D$3072)-ROW(D$2)+1) &gt; 0))</f>
        <v>#N/A</v>
      </c>
      <c r="C3343" s="408"/>
      <c r="D3343" s="408"/>
      <c r="E3343" s="408"/>
      <c r="F3343" s="408"/>
      <c r="G3343" s="408"/>
      <c r="H3343" s="408"/>
      <c r="I3343" s="408"/>
      <c r="J3343" s="408"/>
      <c r="K3343" s="408"/>
      <c r="L3343" s="408"/>
      <c r="M3343" s="408"/>
      <c r="N3343" s="408" t="str">
        <f t="shared" si="479"/>
        <v/>
      </c>
      <c r="O3343" s="408"/>
      <c r="P3343" s="408"/>
      <c r="Q3343" s="408"/>
      <c r="R3343" s="408"/>
      <c r="S3343" s="408"/>
      <c r="T3343" s="408"/>
      <c r="U3343" s="408"/>
      <c r="V3343" s="421"/>
      <c r="W3343" s="421"/>
      <c r="X3343" s="421"/>
      <c r="Y3343" s="421"/>
      <c r="Z3343" s="421"/>
      <c r="AA3343" s="421"/>
      <c r="AB3343" s="421"/>
      <c r="AC3343" s="421"/>
      <c r="AD3343" s="421"/>
      <c r="AE3343" s="421"/>
      <c r="AF3343" s="421"/>
      <c r="AG3343" s="421"/>
      <c r="AH3343" s="421"/>
      <c r="AI3343" s="421"/>
      <c r="AJ3343" s="421"/>
      <c r="AK3343" s="421"/>
      <c r="AL3343" s="421"/>
    </row>
    <row r="3344" spans="1:38" hidden="1">
      <c r="A3344" s="408"/>
      <c r="B3344" s="83" t="e">
        <f t="array" ref="B3344">SUM(--(FREQUENCY(IF(C$2:C$3072=C3344, MATCH(D$2:D$3072, D$2:D$3072, 0)), ROW(D$2:D$3072)-ROW(D$2)+1) &gt; 0))</f>
        <v>#N/A</v>
      </c>
      <c r="C3344" s="408"/>
      <c r="D3344" s="408"/>
      <c r="E3344" s="408"/>
      <c r="F3344" s="408"/>
      <c r="G3344" s="408"/>
      <c r="H3344" s="408"/>
      <c r="I3344" s="408"/>
      <c r="J3344" s="408"/>
      <c r="K3344" s="408"/>
      <c r="L3344" s="408"/>
      <c r="M3344" s="408"/>
      <c r="N3344" s="408" t="str">
        <f t="shared" si="479"/>
        <v/>
      </c>
      <c r="O3344" s="408"/>
      <c r="P3344" s="408"/>
      <c r="Q3344" s="408"/>
      <c r="R3344" s="408"/>
      <c r="S3344" s="408"/>
      <c r="T3344" s="408"/>
      <c r="U3344" s="408"/>
      <c r="V3344" s="421"/>
      <c r="W3344" s="421"/>
      <c r="X3344" s="421"/>
      <c r="Y3344" s="421"/>
      <c r="Z3344" s="421"/>
      <c r="AA3344" s="421"/>
      <c r="AB3344" s="421"/>
      <c r="AC3344" s="421"/>
      <c r="AD3344" s="421"/>
      <c r="AE3344" s="421"/>
      <c r="AF3344" s="421"/>
      <c r="AG3344" s="421"/>
      <c r="AH3344" s="421"/>
      <c r="AI3344" s="421"/>
      <c r="AJ3344" s="421"/>
      <c r="AK3344" s="421"/>
      <c r="AL3344" s="421"/>
    </row>
    <row r="3345" spans="1:38" hidden="1">
      <c r="A3345" s="408"/>
      <c r="B3345" s="83" t="e">
        <f t="array" ref="B3345">SUM(--(FREQUENCY(IF(C$2:C$3072=C3345, MATCH(D$2:D$3072, D$2:D$3072, 0)), ROW(D$2:D$3072)-ROW(D$2)+1) &gt; 0))</f>
        <v>#N/A</v>
      </c>
      <c r="C3345" s="408"/>
      <c r="D3345" s="408"/>
      <c r="E3345" s="408"/>
      <c r="F3345" s="408"/>
      <c r="G3345" s="408"/>
      <c r="H3345" s="408"/>
      <c r="I3345" s="408"/>
      <c r="J3345" s="408"/>
      <c r="K3345" s="408"/>
      <c r="L3345" s="408"/>
      <c r="M3345" s="408"/>
      <c r="N3345" s="408" t="str">
        <f t="shared" si="479"/>
        <v/>
      </c>
      <c r="O3345" s="408"/>
      <c r="P3345" s="408"/>
      <c r="Q3345" s="408"/>
      <c r="R3345" s="408"/>
      <c r="S3345" s="408"/>
      <c r="T3345" s="408"/>
      <c r="U3345" s="408"/>
      <c r="V3345" s="421"/>
      <c r="W3345" s="421"/>
      <c r="X3345" s="421"/>
      <c r="Y3345" s="421"/>
      <c r="Z3345" s="421"/>
      <c r="AA3345" s="421"/>
      <c r="AB3345" s="421"/>
      <c r="AC3345" s="421"/>
      <c r="AD3345" s="421"/>
      <c r="AE3345" s="421"/>
      <c r="AF3345" s="421"/>
      <c r="AG3345" s="421"/>
      <c r="AH3345" s="421"/>
      <c r="AI3345" s="421"/>
      <c r="AJ3345" s="421"/>
      <c r="AK3345" s="421"/>
      <c r="AL3345" s="421"/>
    </row>
    <row r="3346" spans="1:38" hidden="1">
      <c r="A3346" s="408"/>
      <c r="B3346" s="83" t="e">
        <f t="array" ref="B3346">SUM(--(FREQUENCY(IF(C$2:C$3072=C3346, MATCH(D$2:D$3072, D$2:D$3072, 0)), ROW(D$2:D$3072)-ROW(D$2)+1) &gt; 0))</f>
        <v>#N/A</v>
      </c>
      <c r="C3346" s="408"/>
      <c r="D3346" s="408"/>
      <c r="E3346" s="408"/>
      <c r="F3346" s="408"/>
      <c r="G3346" s="408"/>
      <c r="H3346" s="408"/>
      <c r="I3346" s="408"/>
      <c r="J3346" s="408"/>
      <c r="K3346" s="408"/>
      <c r="L3346" s="408"/>
      <c r="M3346" s="408"/>
      <c r="N3346" s="408" t="str">
        <f t="shared" si="479"/>
        <v/>
      </c>
      <c r="O3346" s="408"/>
      <c r="P3346" s="408"/>
      <c r="Q3346" s="408"/>
      <c r="R3346" s="408"/>
      <c r="S3346" s="408"/>
      <c r="T3346" s="408"/>
      <c r="U3346" s="408"/>
      <c r="V3346" s="421"/>
      <c r="W3346" s="421"/>
      <c r="X3346" s="421"/>
      <c r="Y3346" s="421"/>
      <c r="Z3346" s="421"/>
      <c r="AA3346" s="421"/>
      <c r="AB3346" s="421"/>
      <c r="AC3346" s="421"/>
      <c r="AD3346" s="421"/>
      <c r="AE3346" s="421"/>
      <c r="AF3346" s="421"/>
      <c r="AG3346" s="421"/>
      <c r="AH3346" s="421"/>
      <c r="AI3346" s="421"/>
      <c r="AJ3346" s="421"/>
      <c r="AK3346" s="421"/>
      <c r="AL3346" s="421"/>
    </row>
    <row r="3347" spans="1:38" hidden="1">
      <c r="A3347" s="408"/>
      <c r="B3347" s="83" t="e">
        <f t="array" ref="B3347">SUM(--(FREQUENCY(IF(C$2:C$3072=C3347, MATCH(D$2:D$3072, D$2:D$3072, 0)), ROW(D$2:D$3072)-ROW(D$2)+1) &gt; 0))</f>
        <v>#N/A</v>
      </c>
      <c r="C3347" s="408"/>
      <c r="D3347" s="408"/>
      <c r="E3347" s="408"/>
      <c r="F3347" s="408"/>
      <c r="G3347" s="408"/>
      <c r="H3347" s="408"/>
      <c r="I3347" s="408"/>
      <c r="J3347" s="408"/>
      <c r="K3347" s="408"/>
      <c r="L3347" s="408"/>
      <c r="M3347" s="408"/>
      <c r="N3347" s="408" t="str">
        <f t="shared" si="479"/>
        <v/>
      </c>
      <c r="O3347" s="408"/>
      <c r="P3347" s="408"/>
      <c r="Q3347" s="408"/>
      <c r="R3347" s="408"/>
      <c r="S3347" s="408"/>
      <c r="T3347" s="408"/>
      <c r="U3347" s="408"/>
      <c r="V3347" s="421"/>
      <c r="W3347" s="421"/>
      <c r="X3347" s="421"/>
      <c r="Y3347" s="421"/>
      <c r="Z3347" s="421"/>
      <c r="AA3347" s="421"/>
      <c r="AB3347" s="421"/>
      <c r="AC3347" s="421"/>
      <c r="AD3347" s="421"/>
      <c r="AE3347" s="421"/>
      <c r="AF3347" s="421"/>
      <c r="AG3347" s="421"/>
      <c r="AH3347" s="421"/>
      <c r="AI3347" s="421"/>
      <c r="AJ3347" s="421"/>
      <c r="AK3347" s="421"/>
      <c r="AL3347" s="421"/>
    </row>
    <row r="3348" spans="1:38" hidden="1">
      <c r="A3348" s="408"/>
      <c r="B3348" s="83" t="e">
        <f t="array" ref="B3348">SUM(--(FREQUENCY(IF(C$2:C$3072=C3348, MATCH(D$2:D$3072, D$2:D$3072, 0)), ROW(D$2:D$3072)-ROW(D$2)+1) &gt; 0))</f>
        <v>#N/A</v>
      </c>
      <c r="C3348" s="408"/>
      <c r="D3348" s="408"/>
      <c r="E3348" s="408"/>
      <c r="F3348" s="408"/>
      <c r="G3348" s="408"/>
      <c r="H3348" s="408"/>
      <c r="I3348" s="408"/>
      <c r="J3348" s="408"/>
      <c r="K3348" s="408"/>
      <c r="L3348" s="408"/>
      <c r="M3348" s="408"/>
      <c r="N3348" s="408" t="str">
        <f t="shared" si="479"/>
        <v/>
      </c>
      <c r="O3348" s="408"/>
      <c r="P3348" s="408"/>
      <c r="Q3348" s="408"/>
      <c r="R3348" s="408"/>
      <c r="S3348" s="408"/>
      <c r="T3348" s="408"/>
      <c r="U3348" s="408"/>
      <c r="V3348" s="421"/>
      <c r="W3348" s="421"/>
      <c r="X3348" s="421"/>
      <c r="Y3348" s="421"/>
      <c r="Z3348" s="421"/>
      <c r="AA3348" s="421"/>
      <c r="AB3348" s="421"/>
      <c r="AC3348" s="421"/>
      <c r="AD3348" s="421"/>
      <c r="AE3348" s="421"/>
      <c r="AF3348" s="421"/>
      <c r="AG3348" s="421"/>
      <c r="AH3348" s="421"/>
      <c r="AI3348" s="421"/>
      <c r="AJ3348" s="421"/>
      <c r="AK3348" s="421"/>
      <c r="AL3348" s="421"/>
    </row>
    <row r="3349" spans="1:38" hidden="1">
      <c r="A3349" s="408"/>
      <c r="B3349" s="83" t="e">
        <f t="array" ref="B3349">SUM(--(FREQUENCY(IF(C$2:C$3072=C3349, MATCH(D$2:D$3072, D$2:D$3072, 0)), ROW(D$2:D$3072)-ROW(D$2)+1) &gt; 0))</f>
        <v>#N/A</v>
      </c>
      <c r="C3349" s="408"/>
      <c r="D3349" s="408"/>
      <c r="E3349" s="408"/>
      <c r="F3349" s="408"/>
      <c r="G3349" s="408"/>
      <c r="H3349" s="408"/>
      <c r="I3349" s="408"/>
      <c r="J3349" s="408"/>
      <c r="K3349" s="408"/>
      <c r="L3349" s="408"/>
      <c r="M3349" s="408"/>
      <c r="N3349" s="408" t="str">
        <f t="shared" si="479"/>
        <v/>
      </c>
      <c r="O3349" s="408"/>
      <c r="P3349" s="408"/>
      <c r="Q3349" s="408"/>
      <c r="R3349" s="408"/>
      <c r="S3349" s="408"/>
      <c r="T3349" s="408"/>
      <c r="U3349" s="408"/>
      <c r="V3349" s="421"/>
      <c r="W3349" s="421"/>
      <c r="X3349" s="421"/>
      <c r="Y3349" s="421"/>
      <c r="Z3349" s="421"/>
      <c r="AA3349" s="421"/>
      <c r="AB3349" s="421"/>
      <c r="AC3349" s="421"/>
      <c r="AD3349" s="421"/>
      <c r="AE3349" s="421"/>
      <c r="AF3349" s="421"/>
      <c r="AG3349" s="421"/>
      <c r="AH3349" s="421"/>
      <c r="AI3349" s="421"/>
      <c r="AJ3349" s="421"/>
      <c r="AK3349" s="421"/>
      <c r="AL3349" s="421"/>
    </row>
    <row r="3350" spans="1:38" hidden="1">
      <c r="A3350" s="408"/>
      <c r="B3350" s="83" t="e">
        <f t="array" ref="B3350">SUM(--(FREQUENCY(IF(C$2:C$3072=C3350, MATCH(D$2:D$3072, D$2:D$3072, 0)), ROW(D$2:D$3072)-ROW(D$2)+1) &gt; 0))</f>
        <v>#N/A</v>
      </c>
      <c r="C3350" s="408"/>
      <c r="D3350" s="408"/>
      <c r="E3350" s="408"/>
      <c r="F3350" s="408"/>
      <c r="G3350" s="408"/>
      <c r="H3350" s="408"/>
      <c r="I3350" s="408"/>
      <c r="J3350" s="408"/>
      <c r="K3350" s="408"/>
      <c r="L3350" s="408"/>
      <c r="M3350" s="408"/>
      <c r="N3350" s="408" t="str">
        <f t="shared" si="479"/>
        <v/>
      </c>
      <c r="O3350" s="408"/>
      <c r="P3350" s="408"/>
      <c r="Q3350" s="408"/>
      <c r="R3350" s="408"/>
      <c r="S3350" s="408"/>
      <c r="T3350" s="408"/>
      <c r="U3350" s="408"/>
      <c r="V3350" s="421"/>
      <c r="W3350" s="421"/>
      <c r="X3350" s="421"/>
      <c r="Y3350" s="421"/>
      <c r="Z3350" s="421"/>
      <c r="AA3350" s="421"/>
      <c r="AB3350" s="421"/>
      <c r="AC3350" s="421"/>
      <c r="AD3350" s="421"/>
      <c r="AE3350" s="421"/>
      <c r="AF3350" s="421"/>
      <c r="AG3350" s="421"/>
      <c r="AH3350" s="421"/>
      <c r="AI3350" s="421"/>
      <c r="AJ3350" s="421"/>
      <c r="AK3350" s="421"/>
      <c r="AL3350" s="421"/>
    </row>
    <row r="3351" spans="1:38" hidden="1">
      <c r="A3351" s="408"/>
      <c r="B3351" s="83" t="e">
        <f t="array" ref="B3351">SUM(--(FREQUENCY(IF(C$2:C$3072=C3351, MATCH(D$2:D$3072, D$2:D$3072, 0)), ROW(D$2:D$3072)-ROW(D$2)+1) &gt; 0))</f>
        <v>#N/A</v>
      </c>
      <c r="C3351" s="408"/>
      <c r="D3351" s="408"/>
      <c r="E3351" s="408"/>
      <c r="F3351" s="408"/>
      <c r="G3351" s="408"/>
      <c r="H3351" s="408"/>
      <c r="I3351" s="408"/>
      <c r="J3351" s="408"/>
      <c r="K3351" s="408"/>
      <c r="L3351" s="408"/>
      <c r="M3351" s="408"/>
      <c r="N3351" s="408" t="str">
        <f t="shared" si="479"/>
        <v/>
      </c>
      <c r="O3351" s="408"/>
      <c r="P3351" s="408"/>
      <c r="Q3351" s="408"/>
      <c r="R3351" s="408"/>
      <c r="S3351" s="408"/>
      <c r="T3351" s="408"/>
      <c r="U3351" s="408"/>
      <c r="V3351" s="421"/>
      <c r="W3351" s="421"/>
      <c r="X3351" s="421"/>
      <c r="Y3351" s="421"/>
      <c r="Z3351" s="421"/>
      <c r="AA3351" s="421"/>
      <c r="AB3351" s="421"/>
      <c r="AC3351" s="421"/>
      <c r="AD3351" s="421"/>
      <c r="AE3351" s="421"/>
      <c r="AF3351" s="421"/>
      <c r="AG3351" s="421"/>
      <c r="AH3351" s="421"/>
      <c r="AI3351" s="421"/>
      <c r="AJ3351" s="421"/>
      <c r="AK3351" s="421"/>
      <c r="AL3351" s="421"/>
    </row>
    <row r="3352" spans="1:38" hidden="1">
      <c r="A3352" s="408"/>
      <c r="B3352" s="83" t="e">
        <f t="array" ref="B3352">SUM(--(FREQUENCY(IF(C$2:C$3072=C3352, MATCH(D$2:D$3072, D$2:D$3072, 0)), ROW(D$2:D$3072)-ROW(D$2)+1) &gt; 0))</f>
        <v>#N/A</v>
      </c>
      <c r="C3352" s="408"/>
      <c r="D3352" s="408"/>
      <c r="E3352" s="408"/>
      <c r="F3352" s="408"/>
      <c r="G3352" s="408"/>
      <c r="H3352" s="408"/>
      <c r="I3352" s="408"/>
      <c r="J3352" s="408"/>
      <c r="K3352" s="408"/>
      <c r="L3352" s="408"/>
      <c r="M3352" s="408"/>
      <c r="N3352" s="408" t="str">
        <f t="shared" si="479"/>
        <v/>
      </c>
      <c r="O3352" s="408"/>
      <c r="P3352" s="408"/>
      <c r="Q3352" s="408"/>
      <c r="R3352" s="408"/>
      <c r="S3352" s="408"/>
      <c r="T3352" s="408"/>
      <c r="U3352" s="408"/>
      <c r="V3352" s="421"/>
      <c r="W3352" s="421"/>
      <c r="X3352" s="421"/>
      <c r="Y3352" s="421"/>
      <c r="Z3352" s="421"/>
      <c r="AA3352" s="421"/>
      <c r="AB3352" s="421"/>
      <c r="AC3352" s="421"/>
      <c r="AD3352" s="421"/>
      <c r="AE3352" s="421"/>
      <c r="AF3352" s="421"/>
      <c r="AG3352" s="421"/>
      <c r="AH3352" s="421"/>
      <c r="AI3352" s="421"/>
      <c r="AJ3352" s="421"/>
      <c r="AK3352" s="421"/>
      <c r="AL3352" s="421"/>
    </row>
    <row r="3353" spans="1:38" hidden="1">
      <c r="A3353" s="408"/>
      <c r="B3353" s="83" t="e">
        <f t="array" ref="B3353">SUM(--(FREQUENCY(IF(C$2:C$3072=C3353, MATCH(D$2:D$3072, D$2:D$3072, 0)), ROW(D$2:D$3072)-ROW(D$2)+1) &gt; 0))</f>
        <v>#N/A</v>
      </c>
      <c r="C3353" s="408"/>
      <c r="D3353" s="408"/>
      <c r="E3353" s="408"/>
      <c r="F3353" s="408"/>
      <c r="G3353" s="408"/>
      <c r="H3353" s="408"/>
      <c r="I3353" s="408"/>
      <c r="J3353" s="408"/>
      <c r="K3353" s="408"/>
      <c r="L3353" s="408"/>
      <c r="M3353" s="408"/>
      <c r="N3353" s="408" t="str">
        <f t="shared" si="479"/>
        <v/>
      </c>
      <c r="O3353" s="408"/>
      <c r="P3353" s="408"/>
      <c r="Q3353" s="408"/>
      <c r="R3353" s="408"/>
      <c r="S3353" s="408"/>
      <c r="T3353" s="408"/>
      <c r="U3353" s="408"/>
      <c r="V3353" s="421"/>
      <c r="W3353" s="421"/>
      <c r="X3353" s="421"/>
      <c r="Y3353" s="421"/>
      <c r="Z3353" s="421"/>
      <c r="AA3353" s="421"/>
      <c r="AB3353" s="421"/>
      <c r="AC3353" s="421"/>
      <c r="AD3353" s="421"/>
      <c r="AE3353" s="421"/>
      <c r="AF3353" s="421"/>
      <c r="AG3353" s="421"/>
      <c r="AH3353" s="421"/>
      <c r="AI3353" s="421"/>
      <c r="AJ3353" s="421"/>
      <c r="AK3353" s="421"/>
      <c r="AL3353" s="421"/>
    </row>
    <row r="3354" spans="1:38" hidden="1">
      <c r="A3354" s="408"/>
      <c r="B3354" s="83" t="e">
        <f t="array" ref="B3354">SUM(--(FREQUENCY(IF(C$2:C$3072=C3354, MATCH(D$2:D$3072, D$2:D$3072, 0)), ROW(D$2:D$3072)-ROW(D$2)+1) &gt; 0))</f>
        <v>#N/A</v>
      </c>
      <c r="C3354" s="408"/>
      <c r="D3354" s="408"/>
      <c r="E3354" s="408"/>
      <c r="F3354" s="408"/>
      <c r="G3354" s="408"/>
      <c r="H3354" s="408"/>
      <c r="I3354" s="408"/>
      <c r="J3354" s="408"/>
      <c r="K3354" s="408"/>
      <c r="L3354" s="408"/>
      <c r="M3354" s="408"/>
      <c r="N3354" s="408" t="str">
        <f t="shared" si="479"/>
        <v/>
      </c>
      <c r="O3354" s="408"/>
      <c r="P3354" s="408"/>
      <c r="Q3354" s="408"/>
      <c r="R3354" s="408"/>
      <c r="S3354" s="408"/>
      <c r="T3354" s="408"/>
      <c r="U3354" s="408"/>
      <c r="V3354" s="421"/>
      <c r="W3354" s="421"/>
      <c r="X3354" s="421"/>
      <c r="Y3354" s="421"/>
      <c r="Z3354" s="421"/>
      <c r="AA3354" s="421"/>
      <c r="AB3354" s="421"/>
      <c r="AC3354" s="421"/>
      <c r="AD3354" s="421"/>
      <c r="AE3354" s="421"/>
      <c r="AF3354" s="421"/>
      <c r="AG3354" s="421"/>
      <c r="AH3354" s="421"/>
      <c r="AI3354" s="421"/>
      <c r="AJ3354" s="421"/>
      <c r="AK3354" s="421"/>
      <c r="AL3354" s="421"/>
    </row>
    <row r="3355" spans="1:38" hidden="1">
      <c r="A3355" s="408"/>
      <c r="B3355" s="83" t="e">
        <f t="array" ref="B3355">SUM(--(FREQUENCY(IF(C$2:C$3072=C3355, MATCH(D$2:D$3072, D$2:D$3072, 0)), ROW(D$2:D$3072)-ROW(D$2)+1) &gt; 0))</f>
        <v>#N/A</v>
      </c>
      <c r="C3355" s="408"/>
      <c r="D3355" s="408"/>
      <c r="E3355" s="408"/>
      <c r="F3355" s="408"/>
      <c r="G3355" s="408"/>
      <c r="H3355" s="408"/>
      <c r="I3355" s="408"/>
      <c r="J3355" s="408"/>
      <c r="K3355" s="408"/>
      <c r="L3355" s="408"/>
      <c r="M3355" s="408"/>
      <c r="N3355" s="408" t="str">
        <f t="shared" si="479"/>
        <v/>
      </c>
      <c r="O3355" s="408"/>
      <c r="P3355" s="408"/>
      <c r="Q3355" s="408"/>
      <c r="R3355" s="408"/>
      <c r="S3355" s="408"/>
      <c r="T3355" s="408"/>
      <c r="U3355" s="408"/>
      <c r="V3355" s="421"/>
      <c r="W3355" s="421"/>
      <c r="X3355" s="421"/>
      <c r="Y3355" s="421"/>
      <c r="Z3355" s="421"/>
      <c r="AA3355" s="421"/>
      <c r="AB3355" s="421"/>
      <c r="AC3355" s="421"/>
      <c r="AD3355" s="421"/>
      <c r="AE3355" s="421"/>
      <c r="AF3355" s="421"/>
      <c r="AG3355" s="421"/>
      <c r="AH3355" s="421"/>
      <c r="AI3355" s="421"/>
      <c r="AJ3355" s="421"/>
      <c r="AK3355" s="421"/>
      <c r="AL3355" s="421"/>
    </row>
    <row r="3356" spans="1:38" hidden="1">
      <c r="A3356" s="408"/>
      <c r="B3356" s="83" t="e">
        <f t="array" ref="B3356">SUM(--(FREQUENCY(IF(C$2:C$3072=C3356, MATCH(D$2:D$3072, D$2:D$3072, 0)), ROW(D$2:D$3072)-ROW(D$2)+1) &gt; 0))</f>
        <v>#N/A</v>
      </c>
      <c r="C3356" s="408"/>
      <c r="D3356" s="408"/>
      <c r="E3356" s="408"/>
      <c r="F3356" s="408"/>
      <c r="G3356" s="408"/>
      <c r="H3356" s="408"/>
      <c r="I3356" s="408"/>
      <c r="J3356" s="408"/>
      <c r="K3356" s="408"/>
      <c r="L3356" s="408"/>
      <c r="M3356" s="408"/>
      <c r="N3356" s="408" t="str">
        <f t="shared" si="479"/>
        <v/>
      </c>
      <c r="O3356" s="408"/>
      <c r="P3356" s="408"/>
      <c r="Q3356" s="408"/>
      <c r="R3356" s="408"/>
      <c r="S3356" s="408"/>
      <c r="T3356" s="408"/>
      <c r="U3356" s="408"/>
      <c r="V3356" s="421"/>
      <c r="W3356" s="421"/>
      <c r="X3356" s="421"/>
      <c r="Y3356" s="421"/>
      <c r="Z3356" s="421"/>
      <c r="AA3356" s="421"/>
      <c r="AB3356" s="421"/>
      <c r="AC3356" s="421"/>
      <c r="AD3356" s="421"/>
      <c r="AE3356" s="421"/>
      <c r="AF3356" s="421"/>
      <c r="AG3356" s="421"/>
      <c r="AH3356" s="421"/>
      <c r="AI3356" s="421"/>
      <c r="AJ3356" s="421"/>
      <c r="AK3356" s="421"/>
      <c r="AL3356" s="421"/>
    </row>
    <row r="3357" spans="1:38" hidden="1">
      <c r="A3357" s="408"/>
      <c r="B3357" s="83" t="e">
        <f t="array" ref="B3357">SUM(--(FREQUENCY(IF(C$2:C$3072=C3357, MATCH(D$2:D$3072, D$2:D$3072, 0)), ROW(D$2:D$3072)-ROW(D$2)+1) &gt; 0))</f>
        <v>#N/A</v>
      </c>
      <c r="C3357" s="408"/>
      <c r="D3357" s="408"/>
      <c r="E3357" s="408"/>
      <c r="F3357" s="408"/>
      <c r="G3357" s="408"/>
      <c r="H3357" s="408"/>
      <c r="I3357" s="408"/>
      <c r="J3357" s="408"/>
      <c r="K3357" s="408"/>
      <c r="L3357" s="408"/>
      <c r="M3357" s="408"/>
      <c r="N3357" s="408" t="str">
        <f t="shared" si="479"/>
        <v/>
      </c>
      <c r="O3357" s="408"/>
      <c r="P3357" s="408"/>
      <c r="Q3357" s="408"/>
      <c r="R3357" s="408"/>
      <c r="S3357" s="408"/>
      <c r="T3357" s="408"/>
      <c r="U3357" s="408"/>
      <c r="V3357" s="421"/>
      <c r="W3357" s="421"/>
      <c r="X3357" s="421"/>
      <c r="Y3357" s="421"/>
      <c r="Z3357" s="421"/>
      <c r="AA3357" s="421"/>
      <c r="AB3357" s="421"/>
      <c r="AC3357" s="421"/>
      <c r="AD3357" s="421"/>
      <c r="AE3357" s="421"/>
      <c r="AF3357" s="421"/>
      <c r="AG3357" s="421"/>
      <c r="AH3357" s="421"/>
      <c r="AI3357" s="421"/>
      <c r="AJ3357" s="421"/>
      <c r="AK3357" s="421"/>
      <c r="AL3357" s="421"/>
    </row>
    <row r="3358" spans="1:38" hidden="1">
      <c r="A3358" s="408"/>
      <c r="B3358" s="83" t="e">
        <f t="array" ref="B3358">SUM(--(FREQUENCY(IF(C$2:C$3072=C3358, MATCH(D$2:D$3072, D$2:D$3072, 0)), ROW(D$2:D$3072)-ROW(D$2)+1) &gt; 0))</f>
        <v>#N/A</v>
      </c>
      <c r="C3358" s="408"/>
      <c r="D3358" s="408"/>
      <c r="E3358" s="408"/>
      <c r="F3358" s="408"/>
      <c r="G3358" s="408"/>
      <c r="H3358" s="408"/>
      <c r="I3358" s="408"/>
      <c r="J3358" s="408"/>
      <c r="K3358" s="408"/>
      <c r="L3358" s="408"/>
      <c r="M3358" s="408"/>
      <c r="N3358" s="408" t="str">
        <f t="shared" si="479"/>
        <v/>
      </c>
      <c r="O3358" s="408"/>
      <c r="P3358" s="408"/>
      <c r="Q3358" s="408"/>
      <c r="R3358" s="408"/>
      <c r="S3358" s="408"/>
      <c r="T3358" s="408"/>
      <c r="U3358" s="408"/>
      <c r="V3358" s="421"/>
      <c r="W3358" s="421"/>
      <c r="X3358" s="421"/>
      <c r="Y3358" s="421"/>
      <c r="Z3358" s="421"/>
      <c r="AA3358" s="421"/>
      <c r="AB3358" s="421"/>
      <c r="AC3358" s="421"/>
      <c r="AD3358" s="421"/>
      <c r="AE3358" s="421"/>
      <c r="AF3358" s="421"/>
      <c r="AG3358" s="421"/>
      <c r="AH3358" s="421"/>
      <c r="AI3358" s="421"/>
      <c r="AJ3358" s="421"/>
      <c r="AK3358" s="421"/>
      <c r="AL3358" s="421"/>
    </row>
    <row r="3359" spans="1:38" hidden="1">
      <c r="A3359" s="408"/>
      <c r="B3359" s="83" t="e">
        <f t="array" ref="B3359">SUM(--(FREQUENCY(IF(C$2:C$3072=C3359, MATCH(D$2:D$3072, D$2:D$3072, 0)), ROW(D$2:D$3072)-ROW(D$2)+1) &gt; 0))</f>
        <v>#N/A</v>
      </c>
      <c r="C3359" s="408"/>
      <c r="D3359" s="408"/>
      <c r="E3359" s="408"/>
      <c r="F3359" s="408"/>
      <c r="G3359" s="408"/>
      <c r="H3359" s="408"/>
      <c r="I3359" s="408"/>
      <c r="J3359" s="408"/>
      <c r="K3359" s="408"/>
      <c r="L3359" s="408"/>
      <c r="M3359" s="408"/>
      <c r="N3359" s="408" t="str">
        <f t="shared" si="479"/>
        <v/>
      </c>
      <c r="O3359" s="408"/>
      <c r="P3359" s="408"/>
      <c r="Q3359" s="408"/>
      <c r="R3359" s="408"/>
      <c r="S3359" s="408"/>
      <c r="T3359" s="408"/>
      <c r="U3359" s="408"/>
      <c r="V3359" s="421"/>
      <c r="W3359" s="421"/>
      <c r="X3359" s="421"/>
      <c r="Y3359" s="421"/>
      <c r="Z3359" s="421"/>
      <c r="AA3359" s="421"/>
      <c r="AB3359" s="421"/>
      <c r="AC3359" s="421"/>
      <c r="AD3359" s="421"/>
      <c r="AE3359" s="421"/>
      <c r="AF3359" s="421"/>
      <c r="AG3359" s="421"/>
      <c r="AH3359" s="421"/>
      <c r="AI3359" s="421"/>
      <c r="AJ3359" s="421"/>
      <c r="AK3359" s="421"/>
      <c r="AL3359" s="421"/>
    </row>
    <row r="3360" spans="1:38" hidden="1">
      <c r="A3360" s="408"/>
      <c r="B3360" s="83" t="e">
        <f t="array" ref="B3360">SUM(--(FREQUENCY(IF(C$2:C$3072=C3360, MATCH(D$2:D$3072, D$2:D$3072, 0)), ROW(D$2:D$3072)-ROW(D$2)+1) &gt; 0))</f>
        <v>#N/A</v>
      </c>
      <c r="C3360" s="408"/>
      <c r="D3360" s="408"/>
      <c r="E3360" s="408"/>
      <c r="F3360" s="408"/>
      <c r="G3360" s="408"/>
      <c r="H3360" s="408"/>
      <c r="I3360" s="408"/>
      <c r="J3360" s="408"/>
      <c r="K3360" s="408"/>
      <c r="L3360" s="408"/>
      <c r="M3360" s="408"/>
      <c r="N3360" s="408" t="str">
        <f t="shared" si="479"/>
        <v/>
      </c>
      <c r="O3360" s="408"/>
      <c r="P3360" s="408"/>
      <c r="Q3360" s="408"/>
      <c r="R3360" s="408"/>
      <c r="S3360" s="408"/>
      <c r="T3360" s="408"/>
      <c r="U3360" s="408"/>
      <c r="V3360" s="421"/>
      <c r="W3360" s="421"/>
      <c r="X3360" s="421"/>
      <c r="Y3360" s="421"/>
      <c r="Z3360" s="421"/>
      <c r="AA3360" s="421"/>
      <c r="AB3360" s="421"/>
      <c r="AC3360" s="421"/>
      <c r="AD3360" s="421"/>
      <c r="AE3360" s="421"/>
      <c r="AF3360" s="421"/>
      <c r="AG3360" s="421"/>
      <c r="AH3360" s="421"/>
      <c r="AI3360" s="421"/>
      <c r="AJ3360" s="421"/>
      <c r="AK3360" s="421"/>
      <c r="AL3360" s="421"/>
    </row>
    <row r="3361" spans="1:38" hidden="1">
      <c r="A3361" s="408"/>
      <c r="B3361" s="83" t="e">
        <f t="array" ref="B3361">SUM(--(FREQUENCY(IF(C$2:C$3072=C3361, MATCH(D$2:D$3072, D$2:D$3072, 0)), ROW(D$2:D$3072)-ROW(D$2)+1) &gt; 0))</f>
        <v>#N/A</v>
      </c>
      <c r="C3361" s="408"/>
      <c r="D3361" s="408"/>
      <c r="E3361" s="408"/>
      <c r="F3361" s="408"/>
      <c r="G3361" s="408"/>
      <c r="H3361" s="408"/>
      <c r="I3361" s="408"/>
      <c r="J3361" s="408"/>
      <c r="K3361" s="408"/>
      <c r="L3361" s="408"/>
      <c r="M3361" s="408"/>
      <c r="N3361" s="408" t="str">
        <f t="shared" si="479"/>
        <v/>
      </c>
      <c r="O3361" s="408"/>
      <c r="P3361" s="408"/>
      <c r="Q3361" s="408"/>
      <c r="R3361" s="408"/>
      <c r="S3361" s="408"/>
      <c r="T3361" s="408"/>
      <c r="U3361" s="408"/>
      <c r="V3361" s="421"/>
      <c r="W3361" s="421"/>
      <c r="X3361" s="421"/>
      <c r="Y3361" s="421"/>
      <c r="Z3361" s="421"/>
      <c r="AA3361" s="421"/>
      <c r="AB3361" s="421"/>
      <c r="AC3361" s="421"/>
      <c r="AD3361" s="421"/>
      <c r="AE3361" s="421"/>
      <c r="AF3361" s="421"/>
      <c r="AG3361" s="421"/>
      <c r="AH3361" s="421"/>
      <c r="AI3361" s="421"/>
      <c r="AJ3361" s="421"/>
      <c r="AK3361" s="421"/>
      <c r="AL3361" s="421"/>
    </row>
    <row r="3362" spans="1:38" hidden="1">
      <c r="A3362" s="408"/>
      <c r="B3362" s="83" t="e">
        <f t="array" ref="B3362">SUM(--(FREQUENCY(IF(C$2:C$3072=C3362, MATCH(D$2:D$3072, D$2:D$3072, 0)), ROW(D$2:D$3072)-ROW(D$2)+1) &gt; 0))</f>
        <v>#N/A</v>
      </c>
      <c r="C3362" s="408"/>
      <c r="D3362" s="408"/>
      <c r="E3362" s="408"/>
      <c r="F3362" s="408"/>
      <c r="G3362" s="408"/>
      <c r="H3362" s="408"/>
      <c r="I3362" s="408"/>
      <c r="J3362" s="408"/>
      <c r="K3362" s="408"/>
      <c r="L3362" s="408"/>
      <c r="M3362" s="408"/>
      <c r="N3362" s="408" t="str">
        <f t="shared" si="479"/>
        <v/>
      </c>
      <c r="O3362" s="408"/>
      <c r="P3362" s="408"/>
      <c r="Q3362" s="408"/>
      <c r="R3362" s="408"/>
      <c r="S3362" s="408"/>
      <c r="T3362" s="408"/>
      <c r="U3362" s="408"/>
      <c r="V3362" s="421"/>
      <c r="W3362" s="421"/>
      <c r="X3362" s="421"/>
      <c r="Y3362" s="421"/>
      <c r="Z3362" s="421"/>
      <c r="AA3362" s="421"/>
      <c r="AB3362" s="421"/>
      <c r="AC3362" s="421"/>
      <c r="AD3362" s="421"/>
      <c r="AE3362" s="421"/>
      <c r="AF3362" s="421"/>
      <c r="AG3362" s="421"/>
      <c r="AH3362" s="421"/>
      <c r="AI3362" s="421"/>
      <c r="AJ3362" s="421"/>
      <c r="AK3362" s="421"/>
      <c r="AL3362" s="421"/>
    </row>
    <row r="3363" spans="1:38" hidden="1">
      <c r="A3363" s="408"/>
      <c r="B3363" s="83" t="e">
        <f t="array" ref="B3363">SUM(--(FREQUENCY(IF(C$2:C$3072=C3363, MATCH(D$2:D$3072, D$2:D$3072, 0)), ROW(D$2:D$3072)-ROW(D$2)+1) &gt; 0))</f>
        <v>#N/A</v>
      </c>
      <c r="C3363" s="408"/>
      <c r="D3363" s="408"/>
      <c r="E3363" s="408"/>
      <c r="F3363" s="408"/>
      <c r="G3363" s="408"/>
      <c r="H3363" s="408"/>
      <c r="I3363" s="408"/>
      <c r="J3363" s="408"/>
      <c r="K3363" s="408"/>
      <c r="L3363" s="408"/>
      <c r="M3363" s="408"/>
      <c r="N3363" s="408" t="str">
        <f t="shared" si="479"/>
        <v/>
      </c>
      <c r="O3363" s="408"/>
      <c r="P3363" s="408"/>
      <c r="Q3363" s="408"/>
      <c r="R3363" s="408"/>
      <c r="S3363" s="408"/>
      <c r="T3363" s="408"/>
      <c r="U3363" s="408"/>
      <c r="V3363" s="421"/>
      <c r="W3363" s="421"/>
      <c r="X3363" s="421"/>
      <c r="Y3363" s="421"/>
      <c r="Z3363" s="421"/>
      <c r="AA3363" s="421"/>
      <c r="AB3363" s="421"/>
      <c r="AC3363" s="421"/>
      <c r="AD3363" s="421"/>
      <c r="AE3363" s="421"/>
      <c r="AF3363" s="421"/>
      <c r="AG3363" s="421"/>
      <c r="AH3363" s="421"/>
      <c r="AI3363" s="421"/>
      <c r="AJ3363" s="421"/>
      <c r="AK3363" s="421"/>
      <c r="AL3363" s="421"/>
    </row>
    <row r="3364" spans="1:38" hidden="1">
      <c r="A3364" s="408"/>
      <c r="B3364" s="83" t="e">
        <f t="array" ref="B3364">SUM(--(FREQUENCY(IF(C$2:C$3072=C3364, MATCH(D$2:D$3072, D$2:D$3072, 0)), ROW(D$2:D$3072)-ROW(D$2)+1) &gt; 0))</f>
        <v>#N/A</v>
      </c>
      <c r="C3364" s="408"/>
      <c r="D3364" s="408"/>
      <c r="E3364" s="408"/>
      <c r="F3364" s="408"/>
      <c r="G3364" s="408"/>
      <c r="H3364" s="408"/>
      <c r="I3364" s="408"/>
      <c r="J3364" s="408"/>
      <c r="K3364" s="408"/>
      <c r="L3364" s="408"/>
      <c r="M3364" s="408"/>
      <c r="N3364" s="408" t="str">
        <f t="shared" si="479"/>
        <v/>
      </c>
      <c r="O3364" s="408"/>
      <c r="P3364" s="408"/>
      <c r="Q3364" s="408"/>
      <c r="R3364" s="408"/>
      <c r="S3364" s="408"/>
      <c r="T3364" s="408"/>
      <c r="U3364" s="408"/>
      <c r="V3364" s="421"/>
      <c r="W3364" s="421"/>
      <c r="X3364" s="421"/>
      <c r="Y3364" s="421"/>
      <c r="Z3364" s="421"/>
      <c r="AA3364" s="421"/>
      <c r="AB3364" s="421"/>
      <c r="AC3364" s="421"/>
      <c r="AD3364" s="421"/>
      <c r="AE3364" s="421"/>
      <c r="AF3364" s="421"/>
      <c r="AG3364" s="421"/>
      <c r="AH3364" s="421"/>
      <c r="AI3364" s="421"/>
      <c r="AJ3364" s="421"/>
      <c r="AK3364" s="421"/>
      <c r="AL3364" s="421"/>
    </row>
    <row r="3365" spans="1:38" hidden="1">
      <c r="A3365" s="408"/>
      <c r="B3365" s="83" t="e">
        <f t="array" ref="B3365">SUM(--(FREQUENCY(IF(C$2:C$3072=C3365, MATCH(D$2:D$3072, D$2:D$3072, 0)), ROW(D$2:D$3072)-ROW(D$2)+1) &gt; 0))</f>
        <v>#N/A</v>
      </c>
      <c r="C3365" s="408"/>
      <c r="D3365" s="408"/>
      <c r="E3365" s="408"/>
      <c r="F3365" s="408"/>
      <c r="G3365" s="408"/>
      <c r="H3365" s="408"/>
      <c r="I3365" s="408"/>
      <c r="J3365" s="408"/>
      <c r="K3365" s="408"/>
      <c r="L3365" s="408"/>
      <c r="M3365" s="408"/>
      <c r="N3365" s="408" t="str">
        <f t="shared" si="479"/>
        <v/>
      </c>
      <c r="O3365" s="408"/>
      <c r="P3365" s="408"/>
      <c r="Q3365" s="408"/>
      <c r="R3365" s="408"/>
      <c r="S3365" s="408"/>
      <c r="T3365" s="408"/>
      <c r="U3365" s="408"/>
      <c r="V3365" s="421"/>
      <c r="W3365" s="421"/>
      <c r="X3365" s="421"/>
      <c r="Y3365" s="421"/>
      <c r="Z3365" s="421"/>
      <c r="AA3365" s="421"/>
      <c r="AB3365" s="421"/>
      <c r="AC3365" s="421"/>
      <c r="AD3365" s="421"/>
      <c r="AE3365" s="421"/>
      <c r="AF3365" s="421"/>
      <c r="AG3365" s="421"/>
      <c r="AH3365" s="421"/>
      <c r="AI3365" s="421"/>
      <c r="AJ3365" s="421"/>
      <c r="AK3365" s="421"/>
      <c r="AL3365" s="421"/>
    </row>
    <row r="3366" spans="1:38" hidden="1">
      <c r="A3366" s="408"/>
      <c r="B3366" s="83" t="e">
        <f t="array" ref="B3366">SUM(--(FREQUENCY(IF(C$2:C$3072=C3366, MATCH(D$2:D$3072, D$2:D$3072, 0)), ROW(D$2:D$3072)-ROW(D$2)+1) &gt; 0))</f>
        <v>#N/A</v>
      </c>
      <c r="C3366" s="408"/>
      <c r="D3366" s="408"/>
      <c r="E3366" s="408"/>
      <c r="F3366" s="408"/>
      <c r="G3366" s="408"/>
      <c r="H3366" s="408"/>
      <c r="I3366" s="408"/>
      <c r="J3366" s="408"/>
      <c r="K3366" s="408"/>
      <c r="L3366" s="408"/>
      <c r="M3366" s="408"/>
      <c r="N3366" s="408" t="str">
        <f t="shared" si="479"/>
        <v/>
      </c>
      <c r="O3366" s="408"/>
      <c r="P3366" s="408"/>
      <c r="Q3366" s="408"/>
      <c r="R3366" s="408"/>
      <c r="S3366" s="408"/>
      <c r="T3366" s="408"/>
      <c r="U3366" s="408"/>
      <c r="V3366" s="421"/>
      <c r="W3366" s="421"/>
      <c r="X3366" s="421"/>
      <c r="Y3366" s="421"/>
      <c r="Z3366" s="421"/>
      <c r="AA3366" s="421"/>
      <c r="AB3366" s="421"/>
      <c r="AC3366" s="421"/>
      <c r="AD3366" s="421"/>
      <c r="AE3366" s="421"/>
      <c r="AF3366" s="421"/>
      <c r="AG3366" s="421"/>
      <c r="AH3366" s="421"/>
      <c r="AI3366" s="421"/>
      <c r="AJ3366" s="421"/>
      <c r="AK3366" s="421"/>
      <c r="AL3366" s="421"/>
    </row>
    <row r="3367" spans="1:38" hidden="1">
      <c r="A3367" s="408"/>
      <c r="B3367" s="83" t="e">
        <f t="array" ref="B3367">SUM(--(FREQUENCY(IF(C$2:C$3072=C3367, MATCH(D$2:D$3072, D$2:D$3072, 0)), ROW(D$2:D$3072)-ROW(D$2)+1) &gt; 0))</f>
        <v>#N/A</v>
      </c>
      <c r="C3367" s="408"/>
      <c r="D3367" s="408"/>
      <c r="E3367" s="408"/>
      <c r="F3367" s="408"/>
      <c r="G3367" s="408"/>
      <c r="H3367" s="408"/>
      <c r="I3367" s="408"/>
      <c r="J3367" s="408"/>
      <c r="K3367" s="408"/>
      <c r="L3367" s="408"/>
      <c r="M3367" s="408"/>
      <c r="N3367" s="408" t="str">
        <f t="shared" si="479"/>
        <v/>
      </c>
      <c r="O3367" s="408"/>
      <c r="P3367" s="408"/>
      <c r="Q3367" s="408"/>
      <c r="R3367" s="408"/>
      <c r="S3367" s="408"/>
      <c r="T3367" s="408"/>
      <c r="U3367" s="408"/>
      <c r="V3367" s="421"/>
      <c r="W3367" s="421"/>
      <c r="X3367" s="421"/>
      <c r="Y3367" s="421"/>
      <c r="Z3367" s="421"/>
      <c r="AA3367" s="421"/>
      <c r="AB3367" s="421"/>
      <c r="AC3367" s="421"/>
      <c r="AD3367" s="421"/>
      <c r="AE3367" s="421"/>
      <c r="AF3367" s="421"/>
      <c r="AG3367" s="421"/>
      <c r="AH3367" s="421"/>
      <c r="AI3367" s="421"/>
      <c r="AJ3367" s="421"/>
      <c r="AK3367" s="421"/>
      <c r="AL3367" s="421"/>
    </row>
    <row r="3368" spans="1:38" hidden="1">
      <c r="A3368" s="408"/>
      <c r="B3368" s="83" t="e">
        <f t="array" ref="B3368">SUM(--(FREQUENCY(IF(C$2:C$3072=C3368, MATCH(D$2:D$3072, D$2:D$3072, 0)), ROW(D$2:D$3072)-ROW(D$2)+1) &gt; 0))</f>
        <v>#N/A</v>
      </c>
      <c r="C3368" s="408"/>
      <c r="D3368" s="408"/>
      <c r="E3368" s="408"/>
      <c r="F3368" s="408"/>
      <c r="G3368" s="408"/>
      <c r="H3368" s="408"/>
      <c r="I3368" s="408"/>
      <c r="J3368" s="408"/>
      <c r="K3368" s="408"/>
      <c r="L3368" s="408"/>
      <c r="M3368" s="408"/>
      <c r="N3368" s="408" t="str">
        <f t="shared" si="479"/>
        <v/>
      </c>
      <c r="O3368" s="408"/>
      <c r="P3368" s="408"/>
      <c r="Q3368" s="408"/>
      <c r="R3368" s="408"/>
      <c r="S3368" s="408"/>
      <c r="T3368" s="408"/>
      <c r="U3368" s="408"/>
      <c r="V3368" s="421"/>
      <c r="W3368" s="421"/>
      <c r="X3368" s="421"/>
      <c r="Y3368" s="421"/>
      <c r="Z3368" s="421"/>
      <c r="AA3368" s="421"/>
      <c r="AB3368" s="421"/>
      <c r="AC3368" s="421"/>
      <c r="AD3368" s="421"/>
      <c r="AE3368" s="421"/>
      <c r="AF3368" s="421"/>
      <c r="AG3368" s="421"/>
      <c r="AH3368" s="421"/>
      <c r="AI3368" s="421"/>
      <c r="AJ3368" s="421"/>
      <c r="AK3368" s="421"/>
      <c r="AL3368" s="421"/>
    </row>
    <row r="3369" spans="1:38" hidden="1">
      <c r="A3369" s="408"/>
      <c r="B3369" s="83" t="e">
        <f t="array" ref="B3369">SUM(--(FREQUENCY(IF(C$2:C$3072=C3369, MATCH(D$2:D$3072, D$2:D$3072, 0)), ROW(D$2:D$3072)-ROW(D$2)+1) &gt; 0))</f>
        <v>#N/A</v>
      </c>
      <c r="C3369" s="408"/>
      <c r="D3369" s="408"/>
      <c r="E3369" s="408"/>
      <c r="F3369" s="408"/>
      <c r="G3369" s="408"/>
      <c r="H3369" s="408"/>
      <c r="I3369" s="408"/>
      <c r="J3369" s="408"/>
      <c r="K3369" s="408"/>
      <c r="L3369" s="408"/>
      <c r="M3369" s="408"/>
      <c r="N3369" s="408" t="str">
        <f t="shared" si="479"/>
        <v/>
      </c>
      <c r="O3369" s="408"/>
      <c r="P3369" s="408"/>
      <c r="Q3369" s="408"/>
      <c r="R3369" s="408"/>
      <c r="S3369" s="408"/>
      <c r="T3369" s="408"/>
      <c r="U3369" s="408"/>
      <c r="V3369" s="421"/>
      <c r="W3369" s="421"/>
      <c r="X3369" s="421"/>
      <c r="Y3369" s="421"/>
      <c r="Z3369" s="421"/>
      <c r="AA3369" s="421"/>
      <c r="AB3369" s="421"/>
      <c r="AC3369" s="421"/>
      <c r="AD3369" s="421"/>
      <c r="AE3369" s="421"/>
      <c r="AF3369" s="421"/>
      <c r="AG3369" s="421"/>
      <c r="AH3369" s="421"/>
      <c r="AI3369" s="421"/>
      <c r="AJ3369" s="421"/>
      <c r="AK3369" s="421"/>
      <c r="AL3369" s="421"/>
    </row>
    <row r="3370" spans="1:38" hidden="1">
      <c r="A3370" s="408"/>
      <c r="B3370" s="83" t="e">
        <f t="array" ref="B3370">SUM(--(FREQUENCY(IF(C$2:C$3072=C3370, MATCH(D$2:D$3072, D$2:D$3072, 0)), ROW(D$2:D$3072)-ROW(D$2)+1) &gt; 0))</f>
        <v>#N/A</v>
      </c>
      <c r="C3370" s="408"/>
      <c r="D3370" s="408"/>
      <c r="E3370" s="408"/>
      <c r="F3370" s="408"/>
      <c r="G3370" s="408"/>
      <c r="H3370" s="408"/>
      <c r="I3370" s="408"/>
      <c r="J3370" s="408"/>
      <c r="K3370" s="408"/>
      <c r="L3370" s="408"/>
      <c r="M3370" s="408"/>
      <c r="N3370" s="408" t="str">
        <f t="shared" si="479"/>
        <v/>
      </c>
      <c r="O3370" s="408"/>
      <c r="P3370" s="408"/>
      <c r="Q3370" s="408"/>
      <c r="R3370" s="408"/>
      <c r="S3370" s="408"/>
      <c r="T3370" s="408"/>
      <c r="U3370" s="408"/>
      <c r="V3370" s="421"/>
      <c r="W3370" s="421"/>
      <c r="X3370" s="421"/>
      <c r="Y3370" s="421"/>
      <c r="Z3370" s="421"/>
      <c r="AA3370" s="421"/>
      <c r="AB3370" s="421"/>
      <c r="AC3370" s="421"/>
      <c r="AD3370" s="421"/>
      <c r="AE3370" s="421"/>
      <c r="AF3370" s="421"/>
      <c r="AG3370" s="421"/>
      <c r="AH3370" s="421"/>
      <c r="AI3370" s="421"/>
      <c r="AJ3370" s="421"/>
      <c r="AK3370" s="421"/>
      <c r="AL3370" s="421"/>
    </row>
    <row r="3371" spans="1:38" hidden="1">
      <c r="A3371" s="408"/>
      <c r="B3371" s="83" t="e">
        <f t="array" ref="B3371">SUM(--(FREQUENCY(IF(C$2:C$3072=C3371, MATCH(D$2:D$3072, D$2:D$3072, 0)), ROW(D$2:D$3072)-ROW(D$2)+1) &gt; 0))</f>
        <v>#N/A</v>
      </c>
      <c r="C3371" s="408"/>
      <c r="D3371" s="408"/>
      <c r="E3371" s="408"/>
      <c r="F3371" s="408"/>
      <c r="G3371" s="408"/>
      <c r="H3371" s="408"/>
      <c r="I3371" s="408"/>
      <c r="J3371" s="408"/>
      <c r="K3371" s="408"/>
      <c r="L3371" s="408"/>
      <c r="M3371" s="408"/>
      <c r="N3371" s="408" t="str">
        <f t="shared" si="479"/>
        <v/>
      </c>
      <c r="O3371" s="408"/>
      <c r="P3371" s="408"/>
      <c r="Q3371" s="408"/>
      <c r="R3371" s="408"/>
      <c r="S3371" s="408"/>
      <c r="T3371" s="408"/>
      <c r="U3371" s="408"/>
      <c r="V3371" s="421"/>
      <c r="W3371" s="421"/>
      <c r="X3371" s="421"/>
      <c r="Y3371" s="421"/>
      <c r="Z3371" s="421"/>
      <c r="AA3371" s="421"/>
      <c r="AB3371" s="421"/>
      <c r="AC3371" s="421"/>
      <c r="AD3371" s="421"/>
      <c r="AE3371" s="421"/>
      <c r="AF3371" s="421"/>
      <c r="AG3371" s="421"/>
      <c r="AH3371" s="421"/>
      <c r="AI3371" s="421"/>
      <c r="AJ3371" s="421"/>
      <c r="AK3371" s="421"/>
      <c r="AL3371" s="421"/>
    </row>
    <row r="3372" spans="1:38" hidden="1">
      <c r="A3372" s="408"/>
      <c r="B3372" s="83" t="e">
        <f t="array" ref="B3372">SUM(--(FREQUENCY(IF(C$2:C$3072=C3372, MATCH(D$2:D$3072, D$2:D$3072, 0)), ROW(D$2:D$3072)-ROW(D$2)+1) &gt; 0))</f>
        <v>#N/A</v>
      </c>
      <c r="C3372" s="408"/>
      <c r="D3372" s="408"/>
      <c r="E3372" s="408"/>
      <c r="F3372" s="408"/>
      <c r="G3372" s="408"/>
      <c r="H3372" s="408"/>
      <c r="I3372" s="408"/>
      <c r="J3372" s="408"/>
      <c r="K3372" s="408"/>
      <c r="L3372" s="408"/>
      <c r="M3372" s="408"/>
      <c r="N3372" s="408" t="str">
        <f t="shared" si="479"/>
        <v/>
      </c>
      <c r="O3372" s="408"/>
      <c r="P3372" s="408"/>
      <c r="Q3372" s="408"/>
      <c r="R3372" s="408"/>
      <c r="S3372" s="408"/>
      <c r="T3372" s="408"/>
      <c r="U3372" s="408"/>
      <c r="V3372" s="421"/>
      <c r="W3372" s="421"/>
      <c r="X3372" s="421"/>
      <c r="Y3372" s="421"/>
      <c r="Z3372" s="421"/>
      <c r="AA3372" s="421"/>
      <c r="AB3372" s="421"/>
      <c r="AC3372" s="421"/>
      <c r="AD3372" s="421"/>
      <c r="AE3372" s="421"/>
      <c r="AF3372" s="421"/>
      <c r="AG3372" s="421"/>
      <c r="AH3372" s="421"/>
      <c r="AI3372" s="421"/>
      <c r="AJ3372" s="421"/>
      <c r="AK3372" s="421"/>
      <c r="AL3372" s="421"/>
    </row>
    <row r="3373" spans="1:38" hidden="1">
      <c r="A3373" s="408"/>
      <c r="B3373" s="83" t="e">
        <f t="array" ref="B3373">SUM(--(FREQUENCY(IF(C$2:C$3072=C3373, MATCH(D$2:D$3072, D$2:D$3072, 0)), ROW(D$2:D$3072)-ROW(D$2)+1) &gt; 0))</f>
        <v>#N/A</v>
      </c>
      <c r="C3373" s="408"/>
      <c r="D3373" s="408"/>
      <c r="E3373" s="408"/>
      <c r="F3373" s="408"/>
      <c r="G3373" s="408"/>
      <c r="H3373" s="408"/>
      <c r="I3373" s="408"/>
      <c r="J3373" s="408"/>
      <c r="K3373" s="408"/>
      <c r="L3373" s="408"/>
      <c r="M3373" s="408"/>
      <c r="N3373" s="408" t="str">
        <f t="shared" si="479"/>
        <v/>
      </c>
      <c r="O3373" s="408"/>
      <c r="P3373" s="408"/>
      <c r="Q3373" s="408"/>
      <c r="R3373" s="408"/>
      <c r="S3373" s="408"/>
      <c r="T3373" s="408"/>
      <c r="U3373" s="408"/>
      <c r="V3373" s="421"/>
      <c r="W3373" s="421"/>
      <c r="X3373" s="421"/>
      <c r="Y3373" s="421"/>
      <c r="Z3373" s="421"/>
      <c r="AA3373" s="421"/>
      <c r="AB3373" s="421"/>
      <c r="AC3373" s="421"/>
      <c r="AD3373" s="421"/>
      <c r="AE3373" s="421"/>
      <c r="AF3373" s="421"/>
      <c r="AG3373" s="421"/>
      <c r="AH3373" s="421"/>
      <c r="AI3373" s="421"/>
      <c r="AJ3373" s="421"/>
      <c r="AK3373" s="421"/>
      <c r="AL3373" s="421"/>
    </row>
    <row r="3374" spans="1:38" hidden="1">
      <c r="A3374" s="408"/>
      <c r="B3374" s="83" t="e">
        <f t="array" ref="B3374">SUM(--(FREQUENCY(IF(C$2:C$3072=C3374, MATCH(D$2:D$3072, D$2:D$3072, 0)), ROW(D$2:D$3072)-ROW(D$2)+1) &gt; 0))</f>
        <v>#N/A</v>
      </c>
      <c r="C3374" s="408"/>
      <c r="D3374" s="408"/>
      <c r="E3374" s="408"/>
      <c r="F3374" s="408"/>
      <c r="G3374" s="408"/>
      <c r="H3374" s="408"/>
      <c r="I3374" s="408"/>
      <c r="J3374" s="408"/>
      <c r="K3374" s="408"/>
      <c r="L3374" s="408"/>
      <c r="M3374" s="408"/>
      <c r="N3374" s="408" t="str">
        <f t="shared" si="479"/>
        <v/>
      </c>
      <c r="O3374" s="408"/>
      <c r="P3374" s="408"/>
      <c r="Q3374" s="408"/>
      <c r="R3374" s="408"/>
      <c r="S3374" s="408"/>
      <c r="T3374" s="408"/>
      <c r="U3374" s="408"/>
      <c r="V3374" s="421"/>
      <c r="W3374" s="421"/>
      <c r="X3374" s="421"/>
      <c r="Y3374" s="421"/>
      <c r="Z3374" s="421"/>
      <c r="AA3374" s="421"/>
      <c r="AB3374" s="421"/>
      <c r="AC3374" s="421"/>
      <c r="AD3374" s="421"/>
      <c r="AE3374" s="421"/>
      <c r="AF3374" s="421"/>
      <c r="AG3374" s="421"/>
      <c r="AH3374" s="421"/>
      <c r="AI3374" s="421"/>
      <c r="AJ3374" s="421"/>
      <c r="AK3374" s="421"/>
      <c r="AL3374" s="421"/>
    </row>
    <row r="3375" spans="1:38" hidden="1">
      <c r="A3375" s="408"/>
      <c r="B3375" s="83" t="e">
        <f t="array" ref="B3375">SUM(--(FREQUENCY(IF(C$2:C$3072=C3375, MATCH(D$2:D$3072, D$2:D$3072, 0)), ROW(D$2:D$3072)-ROW(D$2)+1) &gt; 0))</f>
        <v>#N/A</v>
      </c>
      <c r="C3375" s="408"/>
      <c r="D3375" s="408"/>
      <c r="E3375" s="408"/>
      <c r="F3375" s="408"/>
      <c r="G3375" s="408"/>
      <c r="H3375" s="408"/>
      <c r="I3375" s="408"/>
      <c r="J3375" s="408"/>
      <c r="K3375" s="408"/>
      <c r="L3375" s="408"/>
      <c r="M3375" s="408"/>
      <c r="N3375" s="408" t="str">
        <f t="shared" si="479"/>
        <v/>
      </c>
      <c r="O3375" s="408"/>
      <c r="P3375" s="408"/>
      <c r="Q3375" s="408"/>
      <c r="R3375" s="408"/>
      <c r="S3375" s="408"/>
      <c r="T3375" s="408"/>
      <c r="U3375" s="408"/>
      <c r="V3375" s="421"/>
      <c r="W3375" s="421"/>
      <c r="X3375" s="421"/>
      <c r="Y3375" s="421"/>
      <c r="Z3375" s="421"/>
      <c r="AA3375" s="421"/>
      <c r="AB3375" s="421"/>
      <c r="AC3375" s="421"/>
      <c r="AD3375" s="421"/>
      <c r="AE3375" s="421"/>
      <c r="AF3375" s="421"/>
      <c r="AG3375" s="421"/>
      <c r="AH3375" s="421"/>
      <c r="AI3375" s="421"/>
      <c r="AJ3375" s="421"/>
      <c r="AK3375" s="421"/>
      <c r="AL3375" s="421"/>
    </row>
    <row r="3376" spans="1:38" hidden="1">
      <c r="A3376" s="408"/>
      <c r="B3376" s="83" t="e">
        <f t="array" ref="B3376">SUM(--(FREQUENCY(IF(C$2:C$3072=C3376, MATCH(D$2:D$3072, D$2:D$3072, 0)), ROW(D$2:D$3072)-ROW(D$2)+1) &gt; 0))</f>
        <v>#N/A</v>
      </c>
      <c r="C3376" s="408"/>
      <c r="D3376" s="408"/>
      <c r="E3376" s="408"/>
      <c r="F3376" s="408"/>
      <c r="G3376" s="408"/>
      <c r="H3376" s="408"/>
      <c r="I3376" s="408"/>
      <c r="J3376" s="408"/>
      <c r="K3376" s="408"/>
      <c r="L3376" s="408"/>
      <c r="M3376" s="408"/>
      <c r="N3376" s="408" t="str">
        <f t="shared" si="479"/>
        <v/>
      </c>
      <c r="O3376" s="408"/>
      <c r="P3376" s="408"/>
      <c r="Q3376" s="408"/>
      <c r="R3376" s="408"/>
      <c r="S3376" s="408"/>
      <c r="T3376" s="408"/>
      <c r="U3376" s="408"/>
      <c r="V3376" s="421"/>
      <c r="W3376" s="421"/>
      <c r="X3376" s="421"/>
      <c r="Y3376" s="421"/>
      <c r="Z3376" s="421"/>
      <c r="AA3376" s="421"/>
      <c r="AB3376" s="421"/>
      <c r="AC3376" s="421"/>
      <c r="AD3376" s="421"/>
      <c r="AE3376" s="421"/>
      <c r="AF3376" s="421"/>
      <c r="AG3376" s="421"/>
      <c r="AH3376" s="421"/>
      <c r="AI3376" s="421"/>
      <c r="AJ3376" s="421"/>
      <c r="AK3376" s="421"/>
      <c r="AL3376" s="421"/>
    </row>
    <row r="3377" spans="1:38" hidden="1">
      <c r="A3377" s="408"/>
      <c r="B3377" s="83" t="e">
        <f t="array" ref="B3377">SUM(--(FREQUENCY(IF(C$2:C$3072=C3377, MATCH(D$2:D$3072, D$2:D$3072, 0)), ROW(D$2:D$3072)-ROW(D$2)+1) &gt; 0))</f>
        <v>#N/A</v>
      </c>
      <c r="C3377" s="408"/>
      <c r="D3377" s="408"/>
      <c r="E3377" s="408"/>
      <c r="F3377" s="408"/>
      <c r="G3377" s="408"/>
      <c r="H3377" s="408"/>
      <c r="I3377" s="408"/>
      <c r="J3377" s="408"/>
      <c r="K3377" s="408"/>
      <c r="L3377" s="408"/>
      <c r="M3377" s="408"/>
      <c r="N3377" s="408" t="str">
        <f t="shared" si="479"/>
        <v/>
      </c>
      <c r="O3377" s="408"/>
      <c r="P3377" s="408"/>
      <c r="Q3377" s="408"/>
      <c r="R3377" s="408"/>
      <c r="S3377" s="408"/>
      <c r="T3377" s="408"/>
      <c r="U3377" s="408"/>
      <c r="V3377" s="421"/>
      <c r="W3377" s="421"/>
      <c r="X3377" s="421"/>
      <c r="Y3377" s="421"/>
      <c r="Z3377" s="421"/>
      <c r="AA3377" s="421"/>
      <c r="AB3377" s="421"/>
      <c r="AC3377" s="421"/>
      <c r="AD3377" s="421"/>
      <c r="AE3377" s="421"/>
      <c r="AF3377" s="421"/>
      <c r="AG3377" s="421"/>
      <c r="AH3377" s="421"/>
      <c r="AI3377" s="421"/>
      <c r="AJ3377" s="421"/>
      <c r="AK3377" s="421"/>
      <c r="AL3377" s="421"/>
    </row>
    <row r="3378" spans="1:38" hidden="1">
      <c r="A3378" s="408"/>
      <c r="B3378" s="83" t="e">
        <f t="array" ref="B3378">SUM(--(FREQUENCY(IF(C$2:C$3072=C3378, MATCH(D$2:D$3072, D$2:D$3072, 0)), ROW(D$2:D$3072)-ROW(D$2)+1) &gt; 0))</f>
        <v>#N/A</v>
      </c>
      <c r="C3378" s="408"/>
      <c r="D3378" s="408"/>
      <c r="E3378" s="408"/>
      <c r="F3378" s="408"/>
      <c r="G3378" s="408"/>
      <c r="H3378" s="408"/>
      <c r="I3378" s="408"/>
      <c r="J3378" s="408"/>
      <c r="K3378" s="408"/>
      <c r="L3378" s="408"/>
      <c r="M3378" s="408"/>
      <c r="N3378" s="408" t="str">
        <f t="shared" si="479"/>
        <v/>
      </c>
      <c r="O3378" s="408"/>
      <c r="P3378" s="408"/>
      <c r="Q3378" s="408"/>
      <c r="R3378" s="408"/>
      <c r="S3378" s="408"/>
      <c r="T3378" s="408"/>
      <c r="U3378" s="408"/>
      <c r="V3378" s="421"/>
      <c r="W3378" s="421"/>
      <c r="X3378" s="421"/>
      <c r="Y3378" s="421"/>
      <c r="Z3378" s="421"/>
      <c r="AA3378" s="421"/>
      <c r="AB3378" s="421"/>
      <c r="AC3378" s="421"/>
      <c r="AD3378" s="421"/>
      <c r="AE3378" s="421"/>
      <c r="AF3378" s="421"/>
      <c r="AG3378" s="421"/>
      <c r="AH3378" s="421"/>
      <c r="AI3378" s="421"/>
      <c r="AJ3378" s="421"/>
      <c r="AK3378" s="421"/>
      <c r="AL3378" s="421"/>
    </row>
    <row r="3379" spans="1:38" hidden="1">
      <c r="A3379" s="408"/>
      <c r="B3379" s="83" t="e">
        <f t="array" ref="B3379">SUM(--(FREQUENCY(IF(C$2:C$3072=C3379, MATCH(D$2:D$3072, D$2:D$3072, 0)), ROW(D$2:D$3072)-ROW(D$2)+1) &gt; 0))</f>
        <v>#N/A</v>
      </c>
      <c r="C3379" s="408"/>
      <c r="D3379" s="408"/>
      <c r="E3379" s="408"/>
      <c r="F3379" s="408"/>
      <c r="G3379" s="408"/>
      <c r="H3379" s="408"/>
      <c r="I3379" s="408"/>
      <c r="J3379" s="408"/>
      <c r="K3379" s="408"/>
      <c r="L3379" s="408"/>
      <c r="M3379" s="408"/>
      <c r="N3379" s="408" t="str">
        <f t="shared" si="479"/>
        <v/>
      </c>
      <c r="O3379" s="408"/>
      <c r="P3379" s="408"/>
      <c r="Q3379" s="408"/>
      <c r="R3379" s="408"/>
      <c r="S3379" s="408"/>
      <c r="T3379" s="408"/>
      <c r="U3379" s="408"/>
      <c r="V3379" s="421"/>
      <c r="W3379" s="421"/>
      <c r="X3379" s="421"/>
      <c r="Y3379" s="421"/>
      <c r="Z3379" s="421"/>
      <c r="AA3379" s="421"/>
      <c r="AB3379" s="421"/>
      <c r="AC3379" s="421"/>
      <c r="AD3379" s="421"/>
      <c r="AE3379" s="421"/>
      <c r="AF3379" s="421"/>
      <c r="AG3379" s="421"/>
      <c r="AH3379" s="421"/>
      <c r="AI3379" s="421"/>
      <c r="AJ3379" s="421"/>
      <c r="AK3379" s="421"/>
      <c r="AL3379" s="421"/>
    </row>
    <row r="3380" spans="1:38" hidden="1">
      <c r="A3380" s="408"/>
      <c r="B3380" s="83" t="e">
        <f t="array" ref="B3380">SUM(--(FREQUENCY(IF(C$2:C$3072=C3380, MATCH(D$2:D$3072, D$2:D$3072, 0)), ROW(D$2:D$3072)-ROW(D$2)+1) &gt; 0))</f>
        <v>#N/A</v>
      </c>
      <c r="C3380" s="408"/>
      <c r="D3380" s="408"/>
      <c r="E3380" s="408"/>
      <c r="F3380" s="408"/>
      <c r="G3380" s="408"/>
      <c r="H3380" s="408"/>
      <c r="I3380" s="408"/>
      <c r="J3380" s="408"/>
      <c r="K3380" s="408"/>
      <c r="L3380" s="408"/>
      <c r="M3380" s="408"/>
      <c r="N3380" s="408" t="str">
        <f t="shared" si="479"/>
        <v/>
      </c>
      <c r="O3380" s="408"/>
      <c r="P3380" s="408"/>
      <c r="Q3380" s="408"/>
      <c r="R3380" s="408"/>
      <c r="S3380" s="408"/>
      <c r="T3380" s="408"/>
      <c r="U3380" s="408"/>
      <c r="V3380" s="421"/>
      <c r="W3380" s="421"/>
      <c r="X3380" s="421"/>
      <c r="Y3380" s="421"/>
      <c r="Z3380" s="421"/>
      <c r="AA3380" s="421"/>
      <c r="AB3380" s="421"/>
      <c r="AC3380" s="421"/>
      <c r="AD3380" s="421"/>
      <c r="AE3380" s="421"/>
      <c r="AF3380" s="421"/>
      <c r="AG3380" s="421"/>
      <c r="AH3380" s="421"/>
      <c r="AI3380" s="421"/>
      <c r="AJ3380" s="421"/>
      <c r="AK3380" s="421"/>
      <c r="AL3380" s="421"/>
    </row>
    <row r="3381" spans="1:38" hidden="1">
      <c r="A3381" s="408"/>
      <c r="B3381" s="83" t="e">
        <f t="array" ref="B3381">SUM(--(FREQUENCY(IF(C$2:C$3072=C3381, MATCH(D$2:D$3072, D$2:D$3072, 0)), ROW(D$2:D$3072)-ROW(D$2)+1) &gt; 0))</f>
        <v>#N/A</v>
      </c>
      <c r="C3381" s="408"/>
      <c r="D3381" s="408"/>
      <c r="E3381" s="408"/>
      <c r="F3381" s="408"/>
      <c r="G3381" s="408"/>
      <c r="H3381" s="408"/>
      <c r="I3381" s="408"/>
      <c r="J3381" s="408"/>
      <c r="K3381" s="408"/>
      <c r="L3381" s="408"/>
      <c r="M3381" s="408"/>
      <c r="N3381" s="408" t="str">
        <f t="shared" si="479"/>
        <v/>
      </c>
      <c r="O3381" s="408"/>
      <c r="P3381" s="408"/>
      <c r="Q3381" s="408"/>
      <c r="R3381" s="408"/>
      <c r="S3381" s="408"/>
      <c r="T3381" s="408"/>
      <c r="U3381" s="408"/>
      <c r="V3381" s="421"/>
      <c r="W3381" s="421"/>
      <c r="X3381" s="421"/>
      <c r="Y3381" s="421"/>
      <c r="Z3381" s="421"/>
      <c r="AA3381" s="421"/>
      <c r="AB3381" s="421"/>
      <c r="AC3381" s="421"/>
      <c r="AD3381" s="421"/>
      <c r="AE3381" s="421"/>
      <c r="AF3381" s="421"/>
      <c r="AG3381" s="421"/>
      <c r="AH3381" s="421"/>
      <c r="AI3381" s="421"/>
      <c r="AJ3381" s="421"/>
      <c r="AK3381" s="421"/>
      <c r="AL3381" s="421"/>
    </row>
    <row r="3382" spans="1:38" hidden="1">
      <c r="A3382" s="408"/>
      <c r="B3382" s="83" t="e">
        <f t="array" ref="B3382">SUM(--(FREQUENCY(IF(C$2:C$3072=C3382, MATCH(D$2:D$3072, D$2:D$3072, 0)), ROW(D$2:D$3072)-ROW(D$2)+1) &gt; 0))</f>
        <v>#N/A</v>
      </c>
      <c r="C3382" s="408"/>
      <c r="D3382" s="408"/>
      <c r="E3382" s="408"/>
      <c r="F3382" s="408"/>
      <c r="G3382" s="408"/>
      <c r="H3382" s="408"/>
      <c r="I3382" s="408"/>
      <c r="J3382" s="408"/>
      <c r="K3382" s="408"/>
      <c r="L3382" s="408"/>
      <c r="M3382" s="408"/>
      <c r="N3382" s="408" t="str">
        <f t="shared" si="479"/>
        <v/>
      </c>
      <c r="O3382" s="408"/>
      <c r="P3382" s="408"/>
      <c r="Q3382" s="408"/>
      <c r="R3382" s="408"/>
      <c r="S3382" s="408"/>
      <c r="T3382" s="408"/>
      <c r="U3382" s="408"/>
      <c r="V3382" s="421"/>
      <c r="W3382" s="421"/>
      <c r="X3382" s="421"/>
      <c r="Y3382" s="421"/>
      <c r="Z3382" s="421"/>
      <c r="AA3382" s="421"/>
      <c r="AB3382" s="421"/>
      <c r="AC3382" s="421"/>
      <c r="AD3382" s="421"/>
      <c r="AE3382" s="421"/>
      <c r="AF3382" s="421"/>
      <c r="AG3382" s="421"/>
      <c r="AH3382" s="421"/>
      <c r="AI3382" s="421"/>
      <c r="AJ3382" s="421"/>
      <c r="AK3382" s="421"/>
      <c r="AL3382" s="421"/>
    </row>
    <row r="3383" spans="1:38" hidden="1">
      <c r="A3383" s="408"/>
      <c r="B3383" s="83" t="e">
        <f t="array" ref="B3383">SUM(--(FREQUENCY(IF(C$2:C$3072=C3383, MATCH(D$2:D$3072, D$2:D$3072, 0)), ROW(D$2:D$3072)-ROW(D$2)+1) &gt; 0))</f>
        <v>#N/A</v>
      </c>
      <c r="C3383" s="408"/>
      <c r="D3383" s="408"/>
      <c r="E3383" s="408"/>
      <c r="F3383" s="408"/>
      <c r="G3383" s="408"/>
      <c r="H3383" s="408"/>
      <c r="I3383" s="408"/>
      <c r="J3383" s="408"/>
      <c r="K3383" s="408"/>
      <c r="L3383" s="408"/>
      <c r="M3383" s="408"/>
      <c r="N3383" s="408" t="str">
        <f t="shared" si="479"/>
        <v/>
      </c>
      <c r="O3383" s="408"/>
      <c r="P3383" s="408"/>
      <c r="Q3383" s="408"/>
      <c r="R3383" s="408"/>
      <c r="S3383" s="408"/>
      <c r="T3383" s="408"/>
      <c r="U3383" s="408"/>
      <c r="V3383" s="421"/>
      <c r="W3383" s="421"/>
      <c r="X3383" s="421"/>
      <c r="Y3383" s="421"/>
      <c r="Z3383" s="421"/>
      <c r="AA3383" s="421"/>
      <c r="AB3383" s="421"/>
      <c r="AC3383" s="421"/>
      <c r="AD3383" s="421"/>
      <c r="AE3383" s="421"/>
      <c r="AF3383" s="421"/>
      <c r="AG3383" s="421"/>
      <c r="AH3383" s="421"/>
      <c r="AI3383" s="421"/>
      <c r="AJ3383" s="421"/>
      <c r="AK3383" s="421"/>
      <c r="AL3383" s="421"/>
    </row>
    <row r="3384" spans="1:38" hidden="1">
      <c r="A3384" s="408"/>
      <c r="B3384" s="83" t="e">
        <f t="array" ref="B3384">SUM(--(FREQUENCY(IF(C$2:C$3072=C3384, MATCH(D$2:D$3072, D$2:D$3072, 0)), ROW(D$2:D$3072)-ROW(D$2)+1) &gt; 0))</f>
        <v>#N/A</v>
      </c>
      <c r="C3384" s="408"/>
      <c r="D3384" s="408"/>
      <c r="E3384" s="408"/>
      <c r="F3384" s="408"/>
      <c r="G3384" s="408"/>
      <c r="H3384" s="408"/>
      <c r="I3384" s="408"/>
      <c r="J3384" s="408"/>
      <c r="K3384" s="408"/>
      <c r="L3384" s="408"/>
      <c r="M3384" s="408"/>
      <c r="N3384" s="408" t="str">
        <f t="shared" si="479"/>
        <v/>
      </c>
      <c r="O3384" s="408"/>
      <c r="P3384" s="408"/>
      <c r="Q3384" s="408"/>
      <c r="R3384" s="408"/>
      <c r="S3384" s="408"/>
      <c r="T3384" s="408"/>
      <c r="U3384" s="408"/>
      <c r="V3384" s="421"/>
      <c r="W3384" s="421"/>
      <c r="X3384" s="421"/>
      <c r="Y3384" s="421"/>
      <c r="Z3384" s="421"/>
      <c r="AA3384" s="421"/>
      <c r="AB3384" s="421"/>
      <c r="AC3384" s="421"/>
      <c r="AD3384" s="421"/>
      <c r="AE3384" s="421"/>
      <c r="AF3384" s="421"/>
      <c r="AG3384" s="421"/>
      <c r="AH3384" s="421"/>
      <c r="AI3384" s="421"/>
      <c r="AJ3384" s="421"/>
      <c r="AK3384" s="421"/>
      <c r="AL3384" s="421"/>
    </row>
    <row r="3385" spans="1:38" hidden="1">
      <c r="A3385" s="408"/>
      <c r="B3385" s="83" t="e">
        <f t="array" ref="B3385">SUM(--(FREQUENCY(IF(C$2:C$3072=C3385, MATCH(D$2:D$3072, D$2:D$3072, 0)), ROW(D$2:D$3072)-ROW(D$2)+1) &gt; 0))</f>
        <v>#N/A</v>
      </c>
      <c r="C3385" s="408"/>
      <c r="D3385" s="408"/>
      <c r="E3385" s="408"/>
      <c r="F3385" s="408"/>
      <c r="G3385" s="408"/>
      <c r="H3385" s="408"/>
      <c r="I3385" s="408"/>
      <c r="J3385" s="408"/>
      <c r="K3385" s="408"/>
      <c r="L3385" s="408"/>
      <c r="M3385" s="408"/>
      <c r="N3385" s="408" t="str">
        <f t="shared" si="479"/>
        <v/>
      </c>
      <c r="O3385" s="408"/>
      <c r="P3385" s="408"/>
      <c r="Q3385" s="408"/>
      <c r="R3385" s="408"/>
      <c r="S3385" s="408"/>
      <c r="T3385" s="408"/>
      <c r="U3385" s="408"/>
      <c r="V3385" s="421"/>
      <c r="W3385" s="421"/>
      <c r="X3385" s="421"/>
      <c r="Y3385" s="421"/>
      <c r="Z3385" s="421"/>
      <c r="AA3385" s="421"/>
      <c r="AB3385" s="421"/>
      <c r="AC3385" s="421"/>
      <c r="AD3385" s="421"/>
      <c r="AE3385" s="421"/>
      <c r="AF3385" s="421"/>
      <c r="AG3385" s="421"/>
      <c r="AH3385" s="421"/>
      <c r="AI3385" s="421"/>
      <c r="AJ3385" s="421"/>
      <c r="AK3385" s="421"/>
      <c r="AL3385" s="421"/>
    </row>
    <row r="3386" spans="1:38" hidden="1">
      <c r="A3386" s="408"/>
      <c r="B3386" s="83" t="e">
        <f t="array" ref="B3386">SUM(--(FREQUENCY(IF(C$2:C$3072=C3386, MATCH(D$2:D$3072, D$2:D$3072, 0)), ROW(D$2:D$3072)-ROW(D$2)+1) &gt; 0))</f>
        <v>#N/A</v>
      </c>
      <c r="C3386" s="408"/>
      <c r="D3386" s="408"/>
      <c r="E3386" s="408"/>
      <c r="F3386" s="408"/>
      <c r="G3386" s="408"/>
      <c r="H3386" s="408"/>
      <c r="I3386" s="408"/>
      <c r="J3386" s="408"/>
      <c r="K3386" s="408"/>
      <c r="L3386" s="408"/>
      <c r="M3386" s="408"/>
      <c r="N3386" s="408" t="str">
        <f t="shared" si="479"/>
        <v/>
      </c>
      <c r="O3386" s="408"/>
      <c r="P3386" s="408"/>
      <c r="Q3386" s="408"/>
      <c r="R3386" s="408"/>
      <c r="S3386" s="408"/>
      <c r="T3386" s="408"/>
      <c r="U3386" s="408"/>
      <c r="V3386" s="421"/>
      <c r="W3386" s="421"/>
      <c r="X3386" s="421"/>
      <c r="Y3386" s="421"/>
      <c r="Z3386" s="421"/>
      <c r="AA3386" s="421"/>
      <c r="AB3386" s="421"/>
      <c r="AC3386" s="421"/>
      <c r="AD3386" s="421"/>
      <c r="AE3386" s="421"/>
      <c r="AF3386" s="421"/>
      <c r="AG3386" s="421"/>
      <c r="AH3386" s="421"/>
      <c r="AI3386" s="421"/>
      <c r="AJ3386" s="421"/>
      <c r="AK3386" s="421"/>
      <c r="AL3386" s="421"/>
    </row>
    <row r="3387" spans="1:38" hidden="1">
      <c r="A3387" s="408"/>
      <c r="B3387" s="83" t="e">
        <f t="array" ref="B3387">SUM(--(FREQUENCY(IF(C$2:C$3072=C3387, MATCH(D$2:D$3072, D$2:D$3072, 0)), ROW(D$2:D$3072)-ROW(D$2)+1) &gt; 0))</f>
        <v>#N/A</v>
      </c>
      <c r="C3387" s="408"/>
      <c r="D3387" s="408"/>
      <c r="E3387" s="408"/>
      <c r="F3387" s="408"/>
      <c r="G3387" s="408"/>
      <c r="H3387" s="408"/>
      <c r="I3387" s="408"/>
      <c r="J3387" s="408"/>
      <c r="K3387" s="408"/>
      <c r="L3387" s="408"/>
      <c r="M3387" s="408"/>
      <c r="N3387" s="408" t="str">
        <f t="shared" si="479"/>
        <v/>
      </c>
      <c r="O3387" s="408"/>
      <c r="P3387" s="408"/>
      <c r="Q3387" s="408"/>
      <c r="R3387" s="408"/>
      <c r="S3387" s="408"/>
      <c r="T3387" s="408"/>
      <c r="U3387" s="408"/>
      <c r="V3387" s="421"/>
      <c r="W3387" s="421"/>
      <c r="X3387" s="421"/>
      <c r="Y3387" s="421"/>
      <c r="Z3387" s="421"/>
      <c r="AA3387" s="421"/>
      <c r="AB3387" s="421"/>
      <c r="AC3387" s="421"/>
      <c r="AD3387" s="421"/>
      <c r="AE3387" s="421"/>
      <c r="AF3387" s="421"/>
      <c r="AG3387" s="421"/>
      <c r="AH3387" s="421"/>
      <c r="AI3387" s="421"/>
      <c r="AJ3387" s="421"/>
      <c r="AK3387" s="421"/>
      <c r="AL3387" s="421"/>
    </row>
    <row r="3388" spans="1:38" hidden="1">
      <c r="A3388" s="408"/>
      <c r="B3388" s="83" t="e">
        <f t="array" ref="B3388">SUM(--(FREQUENCY(IF(C$2:C$3072=C3388, MATCH(D$2:D$3072, D$2:D$3072, 0)), ROW(D$2:D$3072)-ROW(D$2)+1) &gt; 0))</f>
        <v>#N/A</v>
      </c>
      <c r="C3388" s="408"/>
      <c r="D3388" s="408"/>
      <c r="E3388" s="408"/>
      <c r="F3388" s="408"/>
      <c r="G3388" s="408"/>
      <c r="H3388" s="408"/>
      <c r="I3388" s="408"/>
      <c r="J3388" s="408"/>
      <c r="K3388" s="408"/>
      <c r="L3388" s="408"/>
      <c r="M3388" s="408"/>
      <c r="N3388" s="408" t="str">
        <f t="shared" si="479"/>
        <v/>
      </c>
      <c r="O3388" s="408"/>
      <c r="P3388" s="408"/>
      <c r="Q3388" s="408"/>
      <c r="R3388" s="408"/>
      <c r="S3388" s="408"/>
      <c r="T3388" s="408"/>
      <c r="U3388" s="408"/>
      <c r="V3388" s="421"/>
      <c r="W3388" s="421"/>
      <c r="X3388" s="421"/>
      <c r="Y3388" s="421"/>
      <c r="Z3388" s="421"/>
      <c r="AA3388" s="421"/>
      <c r="AB3388" s="421"/>
      <c r="AC3388" s="421"/>
      <c r="AD3388" s="421"/>
      <c r="AE3388" s="421"/>
      <c r="AF3388" s="421"/>
      <c r="AG3388" s="421"/>
      <c r="AH3388" s="421"/>
      <c r="AI3388" s="421"/>
      <c r="AJ3388" s="421"/>
      <c r="AK3388" s="421"/>
      <c r="AL3388" s="421"/>
    </row>
    <row r="3389" spans="1:38" hidden="1">
      <c r="A3389" s="408"/>
      <c r="B3389" s="83" t="e">
        <f t="array" ref="B3389">SUM(--(FREQUENCY(IF(C$2:C$3072=C3389, MATCH(D$2:D$3072, D$2:D$3072, 0)), ROW(D$2:D$3072)-ROW(D$2)+1) &gt; 0))</f>
        <v>#N/A</v>
      </c>
      <c r="C3389" s="408"/>
      <c r="D3389" s="408"/>
      <c r="E3389" s="408"/>
      <c r="F3389" s="408"/>
      <c r="G3389" s="408"/>
      <c r="H3389" s="408"/>
      <c r="I3389" s="408"/>
      <c r="J3389" s="408"/>
      <c r="K3389" s="408"/>
      <c r="L3389" s="408"/>
      <c r="M3389" s="408"/>
      <c r="N3389" s="408" t="str">
        <f t="shared" si="479"/>
        <v/>
      </c>
      <c r="O3389" s="408"/>
      <c r="P3389" s="408"/>
      <c r="Q3389" s="408"/>
      <c r="R3389" s="408"/>
      <c r="S3389" s="408"/>
      <c r="T3389" s="408"/>
      <c r="U3389" s="408"/>
      <c r="V3389" s="421"/>
      <c r="W3389" s="421"/>
      <c r="X3389" s="421"/>
      <c r="Y3389" s="421"/>
      <c r="Z3389" s="421"/>
      <c r="AA3389" s="421"/>
      <c r="AB3389" s="421"/>
      <c r="AC3389" s="421"/>
      <c r="AD3389" s="421"/>
      <c r="AE3389" s="421"/>
      <c r="AF3389" s="421"/>
      <c r="AG3389" s="421"/>
      <c r="AH3389" s="421"/>
      <c r="AI3389" s="421"/>
      <c r="AJ3389" s="421"/>
      <c r="AK3389" s="421"/>
      <c r="AL3389" s="421"/>
    </row>
    <row r="3390" spans="1:38" hidden="1">
      <c r="A3390" s="408"/>
      <c r="B3390" s="83" t="e">
        <f t="array" ref="B3390">SUM(--(FREQUENCY(IF(C$2:C$3072=C3390, MATCH(D$2:D$3072, D$2:D$3072, 0)), ROW(D$2:D$3072)-ROW(D$2)+1) &gt; 0))</f>
        <v>#N/A</v>
      </c>
      <c r="C3390" s="408"/>
      <c r="D3390" s="408"/>
      <c r="E3390" s="408"/>
      <c r="F3390" s="408"/>
      <c r="G3390" s="408"/>
      <c r="H3390" s="408"/>
      <c r="I3390" s="408"/>
      <c r="J3390" s="408"/>
      <c r="K3390" s="408"/>
      <c r="L3390" s="408"/>
      <c r="M3390" s="408"/>
      <c r="N3390" s="408" t="str">
        <f t="shared" si="479"/>
        <v/>
      </c>
      <c r="O3390" s="408"/>
      <c r="P3390" s="408"/>
      <c r="Q3390" s="408"/>
      <c r="R3390" s="408"/>
      <c r="S3390" s="408"/>
      <c r="T3390" s="408"/>
      <c r="U3390" s="408"/>
      <c r="V3390" s="421"/>
      <c r="W3390" s="421"/>
      <c r="X3390" s="421"/>
      <c r="Y3390" s="421"/>
      <c r="Z3390" s="421"/>
      <c r="AA3390" s="421"/>
      <c r="AB3390" s="421"/>
      <c r="AC3390" s="421"/>
      <c r="AD3390" s="421"/>
      <c r="AE3390" s="421"/>
      <c r="AF3390" s="421"/>
      <c r="AG3390" s="421"/>
      <c r="AH3390" s="421"/>
      <c r="AI3390" s="421"/>
      <c r="AJ3390" s="421"/>
      <c r="AK3390" s="421"/>
      <c r="AL3390" s="421"/>
    </row>
    <row r="3391" spans="1:38" hidden="1">
      <c r="A3391" s="408"/>
      <c r="B3391" s="83" t="e">
        <f t="array" ref="B3391">SUM(--(FREQUENCY(IF(C$2:C$3072=C3391, MATCH(D$2:D$3072, D$2:D$3072, 0)), ROW(D$2:D$3072)-ROW(D$2)+1) &gt; 0))</f>
        <v>#N/A</v>
      </c>
      <c r="C3391" s="408"/>
      <c r="D3391" s="408"/>
      <c r="E3391" s="408"/>
      <c r="F3391" s="408"/>
      <c r="G3391" s="408"/>
      <c r="H3391" s="408"/>
      <c r="I3391" s="408"/>
      <c r="J3391" s="408"/>
      <c r="K3391" s="408"/>
      <c r="L3391" s="408"/>
      <c r="M3391" s="408"/>
      <c r="N3391" s="408" t="str">
        <f t="shared" si="479"/>
        <v/>
      </c>
      <c r="O3391" s="408"/>
      <c r="P3391" s="408"/>
      <c r="Q3391" s="408"/>
      <c r="R3391" s="408"/>
      <c r="S3391" s="408"/>
      <c r="T3391" s="408"/>
      <c r="U3391" s="408"/>
      <c r="V3391" s="421"/>
      <c r="W3391" s="421"/>
      <c r="X3391" s="421"/>
      <c r="Y3391" s="421"/>
      <c r="Z3391" s="421"/>
      <c r="AA3391" s="421"/>
      <c r="AB3391" s="421"/>
      <c r="AC3391" s="421"/>
      <c r="AD3391" s="421"/>
      <c r="AE3391" s="421"/>
      <c r="AF3391" s="421"/>
      <c r="AG3391" s="421"/>
      <c r="AH3391" s="421"/>
      <c r="AI3391" s="421"/>
      <c r="AJ3391" s="421"/>
      <c r="AK3391" s="421"/>
      <c r="AL3391" s="421"/>
    </row>
    <row r="3392" spans="1:38" hidden="1">
      <c r="A3392" s="408"/>
      <c r="B3392" s="83" t="e">
        <f t="array" ref="B3392">SUM(--(FREQUENCY(IF(C$2:C$3072=C3392, MATCH(D$2:D$3072, D$2:D$3072, 0)), ROW(D$2:D$3072)-ROW(D$2)+1) &gt; 0))</f>
        <v>#N/A</v>
      </c>
      <c r="C3392" s="408"/>
      <c r="D3392" s="408"/>
      <c r="E3392" s="408"/>
      <c r="F3392" s="408"/>
      <c r="G3392" s="408"/>
      <c r="H3392" s="408"/>
      <c r="I3392" s="408"/>
      <c r="J3392" s="408"/>
      <c r="K3392" s="408"/>
      <c r="L3392" s="408"/>
      <c r="M3392" s="408"/>
      <c r="N3392" s="408" t="str">
        <f t="shared" ref="N3392:N3455" si="480">IF(O3392&lt;&gt;"", "NG", "")</f>
        <v/>
      </c>
      <c r="O3392" s="408"/>
      <c r="P3392" s="408"/>
      <c r="Q3392" s="408"/>
      <c r="R3392" s="408"/>
      <c r="S3392" s="408"/>
      <c r="T3392" s="408"/>
      <c r="U3392" s="408"/>
      <c r="V3392" s="421"/>
      <c r="W3392" s="421"/>
      <c r="X3392" s="421"/>
      <c r="Y3392" s="421"/>
      <c r="Z3392" s="421"/>
      <c r="AA3392" s="421"/>
      <c r="AB3392" s="421"/>
      <c r="AC3392" s="421"/>
      <c r="AD3392" s="421"/>
      <c r="AE3392" s="421"/>
      <c r="AF3392" s="421"/>
      <c r="AG3392" s="421"/>
      <c r="AH3392" s="421"/>
      <c r="AI3392" s="421"/>
      <c r="AJ3392" s="421"/>
      <c r="AK3392" s="421"/>
      <c r="AL3392" s="421"/>
    </row>
    <row r="3393" spans="1:38" hidden="1">
      <c r="A3393" s="408"/>
      <c r="B3393" s="83" t="e">
        <f t="array" ref="B3393">SUM(--(FREQUENCY(IF(C$2:C$3072=C3393, MATCH(D$2:D$3072, D$2:D$3072, 0)), ROW(D$2:D$3072)-ROW(D$2)+1) &gt; 0))</f>
        <v>#N/A</v>
      </c>
      <c r="C3393" s="408"/>
      <c r="D3393" s="408"/>
      <c r="E3393" s="408"/>
      <c r="F3393" s="408"/>
      <c r="G3393" s="408"/>
      <c r="H3393" s="408"/>
      <c r="I3393" s="408"/>
      <c r="J3393" s="408"/>
      <c r="K3393" s="408"/>
      <c r="L3393" s="408"/>
      <c r="M3393" s="408"/>
      <c r="N3393" s="408" t="str">
        <f t="shared" si="480"/>
        <v/>
      </c>
      <c r="O3393" s="408"/>
      <c r="P3393" s="408"/>
      <c r="Q3393" s="408"/>
      <c r="R3393" s="408"/>
      <c r="S3393" s="408"/>
      <c r="T3393" s="408"/>
      <c r="U3393" s="408"/>
      <c r="V3393" s="421"/>
      <c r="W3393" s="421"/>
      <c r="X3393" s="421"/>
      <c r="Y3393" s="421"/>
      <c r="Z3393" s="421"/>
      <c r="AA3393" s="421"/>
      <c r="AB3393" s="421"/>
      <c r="AC3393" s="421"/>
      <c r="AD3393" s="421"/>
      <c r="AE3393" s="421"/>
      <c r="AF3393" s="421"/>
      <c r="AG3393" s="421"/>
      <c r="AH3393" s="421"/>
      <c r="AI3393" s="421"/>
      <c r="AJ3393" s="421"/>
      <c r="AK3393" s="421"/>
      <c r="AL3393" s="421"/>
    </row>
    <row r="3394" spans="1:38" hidden="1">
      <c r="A3394" s="408"/>
      <c r="B3394" s="83" t="e">
        <f t="array" ref="B3394">SUM(--(FREQUENCY(IF(C$2:C$3072=C3394, MATCH(D$2:D$3072, D$2:D$3072, 0)), ROW(D$2:D$3072)-ROW(D$2)+1) &gt; 0))</f>
        <v>#N/A</v>
      </c>
      <c r="C3394" s="408"/>
      <c r="D3394" s="408"/>
      <c r="E3394" s="408"/>
      <c r="F3394" s="408"/>
      <c r="G3394" s="408"/>
      <c r="H3394" s="408"/>
      <c r="I3394" s="408"/>
      <c r="J3394" s="408"/>
      <c r="K3394" s="408"/>
      <c r="L3394" s="408"/>
      <c r="M3394" s="408"/>
      <c r="N3394" s="408" t="str">
        <f t="shared" si="480"/>
        <v/>
      </c>
      <c r="O3394" s="408"/>
      <c r="P3394" s="408"/>
      <c r="Q3394" s="408"/>
      <c r="R3394" s="408"/>
      <c r="S3394" s="408"/>
      <c r="T3394" s="408"/>
      <c r="U3394" s="408"/>
      <c r="V3394" s="421"/>
      <c r="W3394" s="421"/>
      <c r="X3394" s="421"/>
      <c r="Y3394" s="421"/>
      <c r="Z3394" s="421"/>
      <c r="AA3394" s="421"/>
      <c r="AB3394" s="421"/>
      <c r="AC3394" s="421"/>
      <c r="AD3394" s="421"/>
      <c r="AE3394" s="421"/>
      <c r="AF3394" s="421"/>
      <c r="AG3394" s="421"/>
      <c r="AH3394" s="421"/>
      <c r="AI3394" s="421"/>
      <c r="AJ3394" s="421"/>
      <c r="AK3394" s="421"/>
      <c r="AL3394" s="421"/>
    </row>
    <row r="3395" spans="1:38" hidden="1">
      <c r="A3395" s="408"/>
      <c r="B3395" s="83" t="e">
        <f t="array" ref="B3395">SUM(--(FREQUENCY(IF(C$2:C$3072=C3395, MATCH(D$2:D$3072, D$2:D$3072, 0)), ROW(D$2:D$3072)-ROW(D$2)+1) &gt; 0))</f>
        <v>#N/A</v>
      </c>
      <c r="C3395" s="408"/>
      <c r="D3395" s="408"/>
      <c r="E3395" s="408"/>
      <c r="F3395" s="408"/>
      <c r="G3395" s="408"/>
      <c r="H3395" s="408"/>
      <c r="I3395" s="408"/>
      <c r="J3395" s="408"/>
      <c r="K3395" s="408"/>
      <c r="L3395" s="408"/>
      <c r="M3395" s="408"/>
      <c r="N3395" s="408" t="str">
        <f t="shared" si="480"/>
        <v/>
      </c>
      <c r="O3395" s="408"/>
      <c r="P3395" s="408"/>
      <c r="Q3395" s="408"/>
      <c r="R3395" s="408"/>
      <c r="S3395" s="408"/>
      <c r="T3395" s="408"/>
      <c r="U3395" s="408"/>
      <c r="V3395" s="421"/>
      <c r="W3395" s="421"/>
      <c r="X3395" s="421"/>
      <c r="Y3395" s="421"/>
      <c r="Z3395" s="421"/>
      <c r="AA3395" s="421"/>
      <c r="AB3395" s="421"/>
      <c r="AC3395" s="421"/>
      <c r="AD3395" s="421"/>
      <c r="AE3395" s="421"/>
      <c r="AF3395" s="421"/>
      <c r="AG3395" s="421"/>
      <c r="AH3395" s="421"/>
      <c r="AI3395" s="421"/>
      <c r="AJ3395" s="421"/>
      <c r="AK3395" s="421"/>
      <c r="AL3395" s="421"/>
    </row>
    <row r="3396" spans="1:38" hidden="1">
      <c r="A3396" s="408"/>
      <c r="B3396" s="83" t="e">
        <f t="array" ref="B3396">SUM(--(FREQUENCY(IF(C$2:C$3072=C3396, MATCH(D$2:D$3072, D$2:D$3072, 0)), ROW(D$2:D$3072)-ROW(D$2)+1) &gt; 0))</f>
        <v>#N/A</v>
      </c>
      <c r="C3396" s="408"/>
      <c r="D3396" s="408"/>
      <c r="E3396" s="408"/>
      <c r="F3396" s="408"/>
      <c r="G3396" s="408"/>
      <c r="H3396" s="408"/>
      <c r="I3396" s="408"/>
      <c r="J3396" s="408"/>
      <c r="K3396" s="408"/>
      <c r="L3396" s="408"/>
      <c r="M3396" s="408"/>
      <c r="N3396" s="408" t="str">
        <f t="shared" si="480"/>
        <v/>
      </c>
      <c r="O3396" s="408"/>
      <c r="P3396" s="408"/>
      <c r="Q3396" s="408"/>
      <c r="R3396" s="408"/>
      <c r="S3396" s="408"/>
      <c r="T3396" s="408"/>
      <c r="U3396" s="408"/>
      <c r="V3396" s="421"/>
      <c r="W3396" s="421"/>
      <c r="X3396" s="421"/>
      <c r="Y3396" s="421"/>
      <c r="Z3396" s="421"/>
      <c r="AA3396" s="421"/>
      <c r="AB3396" s="421"/>
      <c r="AC3396" s="421"/>
      <c r="AD3396" s="421"/>
      <c r="AE3396" s="421"/>
      <c r="AF3396" s="421"/>
      <c r="AG3396" s="421"/>
      <c r="AH3396" s="421"/>
      <c r="AI3396" s="421"/>
      <c r="AJ3396" s="421"/>
      <c r="AK3396" s="421"/>
      <c r="AL3396" s="421"/>
    </row>
    <row r="3397" spans="1:38" hidden="1">
      <c r="A3397" s="408"/>
      <c r="B3397" s="83" t="e">
        <f t="array" ref="B3397">SUM(--(FREQUENCY(IF(C$2:C$3072=C3397, MATCH(D$2:D$3072, D$2:D$3072, 0)), ROW(D$2:D$3072)-ROW(D$2)+1) &gt; 0))</f>
        <v>#N/A</v>
      </c>
      <c r="C3397" s="408"/>
      <c r="D3397" s="408"/>
      <c r="E3397" s="408"/>
      <c r="F3397" s="408"/>
      <c r="G3397" s="408"/>
      <c r="H3397" s="408"/>
      <c r="I3397" s="408"/>
      <c r="J3397" s="408"/>
      <c r="K3397" s="408"/>
      <c r="L3397" s="408"/>
      <c r="M3397" s="408"/>
      <c r="N3397" s="408" t="str">
        <f t="shared" si="480"/>
        <v/>
      </c>
      <c r="O3397" s="408"/>
      <c r="P3397" s="408"/>
      <c r="Q3397" s="408"/>
      <c r="R3397" s="408"/>
      <c r="S3397" s="408"/>
      <c r="T3397" s="408"/>
      <c r="U3397" s="408"/>
      <c r="V3397" s="421"/>
      <c r="W3397" s="421"/>
      <c r="X3397" s="421"/>
      <c r="Y3397" s="421"/>
      <c r="Z3397" s="421"/>
      <c r="AA3397" s="421"/>
      <c r="AB3397" s="421"/>
      <c r="AC3397" s="421"/>
      <c r="AD3397" s="421"/>
      <c r="AE3397" s="421"/>
      <c r="AF3397" s="421"/>
      <c r="AG3397" s="421"/>
      <c r="AH3397" s="421"/>
      <c r="AI3397" s="421"/>
      <c r="AJ3397" s="421"/>
      <c r="AK3397" s="421"/>
      <c r="AL3397" s="421"/>
    </row>
    <row r="3398" spans="1:38" hidden="1">
      <c r="A3398" s="408"/>
      <c r="B3398" s="83" t="e">
        <f t="array" ref="B3398">SUM(--(FREQUENCY(IF(C$2:C$3072=C3398, MATCH(D$2:D$3072, D$2:D$3072, 0)), ROW(D$2:D$3072)-ROW(D$2)+1) &gt; 0))</f>
        <v>#N/A</v>
      </c>
      <c r="C3398" s="408"/>
      <c r="D3398" s="408"/>
      <c r="E3398" s="408"/>
      <c r="F3398" s="408"/>
      <c r="G3398" s="408"/>
      <c r="H3398" s="408"/>
      <c r="I3398" s="408"/>
      <c r="J3398" s="408"/>
      <c r="K3398" s="408"/>
      <c r="L3398" s="408"/>
      <c r="M3398" s="408"/>
      <c r="N3398" s="408" t="str">
        <f t="shared" si="480"/>
        <v/>
      </c>
      <c r="O3398" s="408"/>
      <c r="P3398" s="408"/>
      <c r="Q3398" s="408"/>
      <c r="R3398" s="408"/>
      <c r="S3398" s="408"/>
      <c r="T3398" s="408"/>
      <c r="U3398" s="408"/>
      <c r="V3398" s="421"/>
      <c r="W3398" s="421"/>
      <c r="X3398" s="421"/>
      <c r="Y3398" s="421"/>
      <c r="Z3398" s="421"/>
      <c r="AA3398" s="421"/>
      <c r="AB3398" s="421"/>
      <c r="AC3398" s="421"/>
      <c r="AD3398" s="421"/>
      <c r="AE3398" s="421"/>
      <c r="AF3398" s="421"/>
      <c r="AG3398" s="421"/>
      <c r="AH3398" s="421"/>
      <c r="AI3398" s="421"/>
      <c r="AJ3398" s="421"/>
      <c r="AK3398" s="421"/>
      <c r="AL3398" s="421"/>
    </row>
    <row r="3399" spans="1:38" hidden="1">
      <c r="A3399" s="408"/>
      <c r="B3399" s="83" t="e">
        <f t="array" ref="B3399">SUM(--(FREQUENCY(IF(C$2:C$3072=C3399, MATCH(D$2:D$3072, D$2:D$3072, 0)), ROW(D$2:D$3072)-ROW(D$2)+1) &gt; 0))</f>
        <v>#N/A</v>
      </c>
      <c r="C3399" s="408"/>
      <c r="D3399" s="408"/>
      <c r="E3399" s="408"/>
      <c r="F3399" s="408"/>
      <c r="G3399" s="408"/>
      <c r="H3399" s="408"/>
      <c r="I3399" s="408"/>
      <c r="J3399" s="408"/>
      <c r="K3399" s="408"/>
      <c r="L3399" s="408"/>
      <c r="M3399" s="408"/>
      <c r="N3399" s="408" t="str">
        <f t="shared" si="480"/>
        <v/>
      </c>
      <c r="O3399" s="408"/>
      <c r="P3399" s="408"/>
      <c r="Q3399" s="408"/>
      <c r="R3399" s="408"/>
      <c r="S3399" s="408"/>
      <c r="T3399" s="408"/>
      <c r="U3399" s="408"/>
      <c r="V3399" s="421"/>
      <c r="W3399" s="421"/>
      <c r="X3399" s="421"/>
      <c r="Y3399" s="421"/>
      <c r="Z3399" s="421"/>
      <c r="AA3399" s="421"/>
      <c r="AB3399" s="421"/>
      <c r="AC3399" s="421"/>
      <c r="AD3399" s="421"/>
      <c r="AE3399" s="421"/>
      <c r="AF3399" s="421"/>
      <c r="AG3399" s="421"/>
      <c r="AH3399" s="421"/>
      <c r="AI3399" s="421"/>
      <c r="AJ3399" s="421"/>
      <c r="AK3399" s="421"/>
      <c r="AL3399" s="421"/>
    </row>
    <row r="3400" spans="1:38" hidden="1">
      <c r="A3400" s="408"/>
      <c r="B3400" s="83" t="e">
        <f t="array" ref="B3400">SUM(--(FREQUENCY(IF(C$2:C$3072=C3400, MATCH(D$2:D$3072, D$2:D$3072, 0)), ROW(D$2:D$3072)-ROW(D$2)+1) &gt; 0))</f>
        <v>#N/A</v>
      </c>
      <c r="C3400" s="408"/>
      <c r="D3400" s="408"/>
      <c r="E3400" s="408"/>
      <c r="F3400" s="408"/>
      <c r="G3400" s="408"/>
      <c r="H3400" s="408"/>
      <c r="I3400" s="408"/>
      <c r="J3400" s="408"/>
      <c r="K3400" s="408"/>
      <c r="L3400" s="408"/>
      <c r="M3400" s="408"/>
      <c r="N3400" s="408" t="str">
        <f t="shared" si="480"/>
        <v/>
      </c>
      <c r="O3400" s="408"/>
      <c r="P3400" s="408"/>
      <c r="Q3400" s="408"/>
      <c r="R3400" s="408"/>
      <c r="S3400" s="408"/>
      <c r="T3400" s="408"/>
      <c r="U3400" s="408"/>
      <c r="V3400" s="421"/>
      <c r="W3400" s="421"/>
      <c r="X3400" s="421"/>
      <c r="Y3400" s="421"/>
      <c r="Z3400" s="421"/>
      <c r="AA3400" s="421"/>
      <c r="AB3400" s="421"/>
      <c r="AC3400" s="421"/>
      <c r="AD3400" s="421"/>
      <c r="AE3400" s="421"/>
      <c r="AF3400" s="421"/>
      <c r="AG3400" s="421"/>
      <c r="AH3400" s="421"/>
      <c r="AI3400" s="421"/>
      <c r="AJ3400" s="421"/>
      <c r="AK3400" s="421"/>
      <c r="AL3400" s="421"/>
    </row>
    <row r="3401" spans="1:38" hidden="1">
      <c r="A3401" s="408"/>
      <c r="B3401" s="83" t="e">
        <f t="array" ref="B3401">SUM(--(FREQUENCY(IF(C$2:C$3072=C3401, MATCH(D$2:D$3072, D$2:D$3072, 0)), ROW(D$2:D$3072)-ROW(D$2)+1) &gt; 0))</f>
        <v>#N/A</v>
      </c>
      <c r="C3401" s="408"/>
      <c r="D3401" s="408"/>
      <c r="E3401" s="408"/>
      <c r="F3401" s="408"/>
      <c r="G3401" s="408"/>
      <c r="H3401" s="408"/>
      <c r="I3401" s="408"/>
      <c r="J3401" s="408"/>
      <c r="K3401" s="408"/>
      <c r="L3401" s="408"/>
      <c r="M3401" s="408"/>
      <c r="N3401" s="408" t="str">
        <f t="shared" si="480"/>
        <v/>
      </c>
      <c r="O3401" s="408"/>
      <c r="P3401" s="408"/>
      <c r="Q3401" s="408"/>
      <c r="R3401" s="408"/>
      <c r="S3401" s="408"/>
      <c r="T3401" s="408"/>
      <c r="U3401" s="408"/>
      <c r="V3401" s="421"/>
      <c r="W3401" s="421"/>
      <c r="X3401" s="421"/>
      <c r="Y3401" s="421"/>
      <c r="Z3401" s="421"/>
      <c r="AA3401" s="421"/>
      <c r="AB3401" s="421"/>
      <c r="AC3401" s="421"/>
      <c r="AD3401" s="421"/>
      <c r="AE3401" s="421"/>
      <c r="AF3401" s="421"/>
      <c r="AG3401" s="421"/>
      <c r="AH3401" s="421"/>
      <c r="AI3401" s="421"/>
      <c r="AJ3401" s="421"/>
      <c r="AK3401" s="421"/>
      <c r="AL3401" s="421"/>
    </row>
    <row r="3402" spans="1:38" hidden="1">
      <c r="A3402" s="408"/>
      <c r="B3402" s="83" t="e">
        <f t="array" ref="B3402">SUM(--(FREQUENCY(IF(C$2:C$3072=C3402, MATCH(D$2:D$3072, D$2:D$3072, 0)), ROW(D$2:D$3072)-ROW(D$2)+1) &gt; 0))</f>
        <v>#N/A</v>
      </c>
      <c r="C3402" s="408"/>
      <c r="D3402" s="408"/>
      <c r="E3402" s="408"/>
      <c r="F3402" s="408"/>
      <c r="G3402" s="408"/>
      <c r="H3402" s="408"/>
      <c r="I3402" s="408"/>
      <c r="J3402" s="408"/>
      <c r="K3402" s="408"/>
      <c r="L3402" s="408"/>
      <c r="M3402" s="408"/>
      <c r="N3402" s="408" t="str">
        <f t="shared" si="480"/>
        <v/>
      </c>
      <c r="O3402" s="408"/>
      <c r="P3402" s="408"/>
      <c r="Q3402" s="408"/>
      <c r="R3402" s="408"/>
      <c r="S3402" s="408"/>
      <c r="T3402" s="408"/>
      <c r="U3402" s="408"/>
      <c r="V3402" s="421"/>
      <c r="W3402" s="421"/>
      <c r="X3402" s="421"/>
      <c r="Y3402" s="421"/>
      <c r="Z3402" s="421"/>
      <c r="AA3402" s="421"/>
      <c r="AB3402" s="421"/>
      <c r="AC3402" s="421"/>
      <c r="AD3402" s="421"/>
      <c r="AE3402" s="421"/>
      <c r="AF3402" s="421"/>
      <c r="AG3402" s="421"/>
      <c r="AH3402" s="421"/>
      <c r="AI3402" s="421"/>
      <c r="AJ3402" s="421"/>
      <c r="AK3402" s="421"/>
      <c r="AL3402" s="421"/>
    </row>
    <row r="3403" spans="1:38" hidden="1">
      <c r="A3403" s="408"/>
      <c r="B3403" s="83" t="e">
        <f t="array" ref="B3403">SUM(--(FREQUENCY(IF(C$2:C$3072=C3403, MATCH(D$2:D$3072, D$2:D$3072, 0)), ROW(D$2:D$3072)-ROW(D$2)+1) &gt; 0))</f>
        <v>#N/A</v>
      </c>
      <c r="C3403" s="408"/>
      <c r="D3403" s="408"/>
      <c r="E3403" s="408"/>
      <c r="F3403" s="408"/>
      <c r="G3403" s="408"/>
      <c r="H3403" s="408"/>
      <c r="I3403" s="408"/>
      <c r="J3403" s="408"/>
      <c r="K3403" s="408"/>
      <c r="L3403" s="408"/>
      <c r="M3403" s="408"/>
      <c r="N3403" s="408" t="str">
        <f t="shared" si="480"/>
        <v/>
      </c>
      <c r="O3403" s="408"/>
      <c r="P3403" s="408"/>
      <c r="Q3403" s="408"/>
      <c r="R3403" s="408"/>
      <c r="S3403" s="408"/>
      <c r="T3403" s="408"/>
      <c r="U3403" s="408"/>
      <c r="V3403" s="421"/>
      <c r="W3403" s="421"/>
      <c r="X3403" s="421"/>
      <c r="Y3403" s="421"/>
      <c r="Z3403" s="421"/>
      <c r="AA3403" s="421"/>
      <c r="AB3403" s="421"/>
      <c r="AC3403" s="421"/>
      <c r="AD3403" s="421"/>
      <c r="AE3403" s="421"/>
      <c r="AF3403" s="421"/>
      <c r="AG3403" s="421"/>
      <c r="AH3403" s="421"/>
      <c r="AI3403" s="421"/>
      <c r="AJ3403" s="421"/>
      <c r="AK3403" s="421"/>
      <c r="AL3403" s="421"/>
    </row>
    <row r="3404" spans="1:38" hidden="1">
      <c r="A3404" s="408"/>
      <c r="B3404" s="83" t="e">
        <f t="array" ref="B3404">SUM(--(FREQUENCY(IF(C$2:C$3072=C3404, MATCH(D$2:D$3072, D$2:D$3072, 0)), ROW(D$2:D$3072)-ROW(D$2)+1) &gt; 0))</f>
        <v>#N/A</v>
      </c>
      <c r="C3404" s="408"/>
      <c r="D3404" s="408"/>
      <c r="E3404" s="408"/>
      <c r="F3404" s="408"/>
      <c r="G3404" s="408"/>
      <c r="H3404" s="408"/>
      <c r="I3404" s="408"/>
      <c r="J3404" s="408"/>
      <c r="K3404" s="408"/>
      <c r="L3404" s="408"/>
      <c r="M3404" s="408"/>
      <c r="N3404" s="408" t="str">
        <f t="shared" si="480"/>
        <v/>
      </c>
      <c r="O3404" s="408"/>
      <c r="P3404" s="408"/>
      <c r="Q3404" s="408"/>
      <c r="R3404" s="408"/>
      <c r="S3404" s="408"/>
      <c r="T3404" s="408"/>
      <c r="U3404" s="408"/>
      <c r="V3404" s="421"/>
      <c r="W3404" s="421"/>
      <c r="X3404" s="421"/>
      <c r="Y3404" s="421"/>
      <c r="Z3404" s="421"/>
      <c r="AA3404" s="421"/>
      <c r="AB3404" s="421"/>
      <c r="AC3404" s="421"/>
      <c r="AD3404" s="421"/>
      <c r="AE3404" s="421"/>
      <c r="AF3404" s="421"/>
      <c r="AG3404" s="421"/>
      <c r="AH3404" s="421"/>
      <c r="AI3404" s="421"/>
      <c r="AJ3404" s="421"/>
      <c r="AK3404" s="421"/>
      <c r="AL3404" s="421"/>
    </row>
    <row r="3405" spans="1:38" hidden="1">
      <c r="A3405" s="408"/>
      <c r="B3405" s="83" t="e">
        <f t="array" ref="B3405">SUM(--(FREQUENCY(IF(C$2:C$3072=C3405, MATCH(D$2:D$3072, D$2:D$3072, 0)), ROW(D$2:D$3072)-ROW(D$2)+1) &gt; 0))</f>
        <v>#N/A</v>
      </c>
      <c r="C3405" s="408"/>
      <c r="D3405" s="408"/>
      <c r="E3405" s="408"/>
      <c r="F3405" s="408"/>
      <c r="G3405" s="408"/>
      <c r="H3405" s="408"/>
      <c r="I3405" s="408"/>
      <c r="J3405" s="408"/>
      <c r="K3405" s="408"/>
      <c r="L3405" s="408"/>
      <c r="M3405" s="408"/>
      <c r="N3405" s="408" t="str">
        <f t="shared" si="480"/>
        <v/>
      </c>
      <c r="O3405" s="408"/>
      <c r="P3405" s="408"/>
      <c r="Q3405" s="408"/>
      <c r="R3405" s="408"/>
      <c r="S3405" s="408"/>
      <c r="T3405" s="408"/>
      <c r="U3405" s="408"/>
      <c r="V3405" s="421"/>
      <c r="W3405" s="421"/>
      <c r="X3405" s="421"/>
      <c r="Y3405" s="421"/>
      <c r="Z3405" s="421"/>
      <c r="AA3405" s="421"/>
      <c r="AB3405" s="421"/>
      <c r="AC3405" s="421"/>
      <c r="AD3405" s="421"/>
      <c r="AE3405" s="421"/>
      <c r="AF3405" s="421"/>
      <c r="AG3405" s="421"/>
      <c r="AH3405" s="421"/>
      <c r="AI3405" s="421"/>
      <c r="AJ3405" s="421"/>
      <c r="AK3405" s="421"/>
      <c r="AL3405" s="421"/>
    </row>
    <row r="3406" spans="1:38" hidden="1">
      <c r="A3406" s="408"/>
      <c r="B3406" s="83" t="e">
        <f t="array" ref="B3406">SUM(--(FREQUENCY(IF(C$2:C$3072=C3406, MATCH(D$2:D$3072, D$2:D$3072, 0)), ROW(D$2:D$3072)-ROW(D$2)+1) &gt; 0))</f>
        <v>#N/A</v>
      </c>
      <c r="C3406" s="408"/>
      <c r="D3406" s="408"/>
      <c r="E3406" s="408"/>
      <c r="F3406" s="408"/>
      <c r="G3406" s="408"/>
      <c r="H3406" s="408"/>
      <c r="I3406" s="408"/>
      <c r="J3406" s="408"/>
      <c r="K3406" s="408"/>
      <c r="L3406" s="408"/>
      <c r="M3406" s="408"/>
      <c r="N3406" s="408" t="str">
        <f t="shared" si="480"/>
        <v/>
      </c>
      <c r="O3406" s="408"/>
      <c r="P3406" s="408"/>
      <c r="Q3406" s="408"/>
      <c r="R3406" s="408"/>
      <c r="S3406" s="408"/>
      <c r="T3406" s="408"/>
      <c r="U3406" s="408"/>
      <c r="V3406" s="421"/>
      <c r="W3406" s="421"/>
      <c r="X3406" s="421"/>
      <c r="Y3406" s="421"/>
      <c r="Z3406" s="421"/>
      <c r="AA3406" s="421"/>
      <c r="AB3406" s="421"/>
      <c r="AC3406" s="421"/>
      <c r="AD3406" s="421"/>
      <c r="AE3406" s="421"/>
      <c r="AF3406" s="421"/>
      <c r="AG3406" s="421"/>
      <c r="AH3406" s="421"/>
      <c r="AI3406" s="421"/>
      <c r="AJ3406" s="421"/>
      <c r="AK3406" s="421"/>
      <c r="AL3406" s="421"/>
    </row>
    <row r="3407" spans="1:38" hidden="1">
      <c r="A3407" s="408"/>
      <c r="B3407" s="83" t="e">
        <f t="array" ref="B3407">SUM(--(FREQUENCY(IF(C$2:C$3072=C3407, MATCH(D$2:D$3072, D$2:D$3072, 0)), ROW(D$2:D$3072)-ROW(D$2)+1) &gt; 0))</f>
        <v>#N/A</v>
      </c>
      <c r="C3407" s="408"/>
      <c r="D3407" s="408"/>
      <c r="E3407" s="408"/>
      <c r="F3407" s="408"/>
      <c r="G3407" s="408"/>
      <c r="H3407" s="408"/>
      <c r="I3407" s="408"/>
      <c r="J3407" s="408"/>
      <c r="K3407" s="408"/>
      <c r="L3407" s="408"/>
      <c r="M3407" s="408"/>
      <c r="N3407" s="408" t="str">
        <f t="shared" si="480"/>
        <v/>
      </c>
      <c r="O3407" s="408"/>
      <c r="P3407" s="408"/>
      <c r="Q3407" s="408"/>
      <c r="R3407" s="408"/>
      <c r="S3407" s="408"/>
      <c r="T3407" s="408"/>
      <c r="U3407" s="408"/>
      <c r="V3407" s="421"/>
      <c r="W3407" s="421"/>
      <c r="X3407" s="421"/>
      <c r="Y3407" s="421"/>
      <c r="Z3407" s="421"/>
      <c r="AA3407" s="421"/>
      <c r="AB3407" s="421"/>
      <c r="AC3407" s="421"/>
      <c r="AD3407" s="421"/>
      <c r="AE3407" s="421"/>
      <c r="AF3407" s="421"/>
      <c r="AG3407" s="421"/>
      <c r="AH3407" s="421"/>
      <c r="AI3407" s="421"/>
      <c r="AJ3407" s="421"/>
      <c r="AK3407" s="421"/>
      <c r="AL3407" s="421"/>
    </row>
    <row r="3408" spans="1:38" hidden="1">
      <c r="A3408" s="408"/>
      <c r="B3408" s="83" t="e">
        <f t="array" ref="B3408">SUM(--(FREQUENCY(IF(C$2:C$3072=C3408, MATCH(D$2:D$3072, D$2:D$3072, 0)), ROW(D$2:D$3072)-ROW(D$2)+1) &gt; 0))</f>
        <v>#N/A</v>
      </c>
      <c r="C3408" s="408"/>
      <c r="D3408" s="408"/>
      <c r="E3408" s="408"/>
      <c r="F3408" s="408"/>
      <c r="G3408" s="408"/>
      <c r="H3408" s="408"/>
      <c r="I3408" s="408"/>
      <c r="J3408" s="408"/>
      <c r="K3408" s="408"/>
      <c r="L3408" s="408"/>
      <c r="M3408" s="408"/>
      <c r="N3408" s="408" t="str">
        <f t="shared" si="480"/>
        <v/>
      </c>
      <c r="O3408" s="408"/>
      <c r="P3408" s="408"/>
      <c r="Q3408" s="408"/>
      <c r="R3408" s="408"/>
      <c r="S3408" s="408"/>
      <c r="T3408" s="408"/>
      <c r="U3408" s="408"/>
      <c r="V3408" s="421"/>
      <c r="W3408" s="421"/>
      <c r="X3408" s="421"/>
      <c r="Y3408" s="421"/>
      <c r="Z3408" s="421"/>
      <c r="AA3408" s="421"/>
      <c r="AB3408" s="421"/>
      <c r="AC3408" s="421"/>
      <c r="AD3408" s="421"/>
      <c r="AE3408" s="421"/>
      <c r="AF3408" s="421"/>
      <c r="AG3408" s="421"/>
      <c r="AH3408" s="421"/>
      <c r="AI3408" s="421"/>
      <c r="AJ3408" s="421"/>
      <c r="AK3408" s="421"/>
      <c r="AL3408" s="421"/>
    </row>
    <row r="3409" spans="1:38" hidden="1">
      <c r="A3409" s="408"/>
      <c r="B3409" s="83" t="e">
        <f t="array" ref="B3409">SUM(--(FREQUENCY(IF(C$2:C$3072=C3409, MATCH(D$2:D$3072, D$2:D$3072, 0)), ROW(D$2:D$3072)-ROW(D$2)+1) &gt; 0))</f>
        <v>#N/A</v>
      </c>
      <c r="C3409" s="408"/>
      <c r="D3409" s="408"/>
      <c r="E3409" s="408"/>
      <c r="F3409" s="408"/>
      <c r="G3409" s="408"/>
      <c r="H3409" s="408"/>
      <c r="I3409" s="408"/>
      <c r="J3409" s="408"/>
      <c r="K3409" s="408"/>
      <c r="L3409" s="408"/>
      <c r="M3409" s="408"/>
      <c r="N3409" s="408" t="str">
        <f t="shared" si="480"/>
        <v/>
      </c>
      <c r="O3409" s="408"/>
      <c r="P3409" s="408"/>
      <c r="Q3409" s="408"/>
      <c r="R3409" s="408"/>
      <c r="S3409" s="408"/>
      <c r="T3409" s="408"/>
      <c r="U3409" s="408"/>
      <c r="V3409" s="421"/>
      <c r="W3409" s="421"/>
      <c r="X3409" s="421"/>
      <c r="Y3409" s="421"/>
      <c r="Z3409" s="421"/>
      <c r="AA3409" s="421"/>
      <c r="AB3409" s="421"/>
      <c r="AC3409" s="421"/>
      <c r="AD3409" s="421"/>
      <c r="AE3409" s="421"/>
      <c r="AF3409" s="421"/>
      <c r="AG3409" s="421"/>
      <c r="AH3409" s="421"/>
      <c r="AI3409" s="421"/>
      <c r="AJ3409" s="421"/>
      <c r="AK3409" s="421"/>
      <c r="AL3409" s="421"/>
    </row>
    <row r="3410" spans="1:38" hidden="1">
      <c r="A3410" s="408"/>
      <c r="B3410" s="83" t="e">
        <f t="array" ref="B3410">SUM(--(FREQUENCY(IF(C$2:C$3072=C3410, MATCH(D$2:D$3072, D$2:D$3072, 0)), ROW(D$2:D$3072)-ROW(D$2)+1) &gt; 0))</f>
        <v>#N/A</v>
      </c>
      <c r="C3410" s="408"/>
      <c r="D3410" s="408"/>
      <c r="E3410" s="408"/>
      <c r="F3410" s="408"/>
      <c r="G3410" s="408"/>
      <c r="H3410" s="408"/>
      <c r="I3410" s="408"/>
      <c r="J3410" s="408"/>
      <c r="K3410" s="408"/>
      <c r="L3410" s="408"/>
      <c r="M3410" s="408"/>
      <c r="N3410" s="408" t="str">
        <f t="shared" si="480"/>
        <v/>
      </c>
      <c r="O3410" s="408"/>
      <c r="P3410" s="408"/>
      <c r="Q3410" s="408"/>
      <c r="R3410" s="408"/>
      <c r="S3410" s="408"/>
      <c r="T3410" s="408"/>
      <c r="U3410" s="408"/>
      <c r="V3410" s="421"/>
      <c r="W3410" s="421"/>
      <c r="X3410" s="421"/>
      <c r="Y3410" s="421"/>
      <c r="Z3410" s="421"/>
      <c r="AA3410" s="421"/>
      <c r="AB3410" s="421"/>
      <c r="AC3410" s="421"/>
      <c r="AD3410" s="421"/>
      <c r="AE3410" s="421"/>
      <c r="AF3410" s="421"/>
      <c r="AG3410" s="421"/>
      <c r="AH3410" s="421"/>
      <c r="AI3410" s="421"/>
      <c r="AJ3410" s="421"/>
      <c r="AK3410" s="421"/>
      <c r="AL3410" s="421"/>
    </row>
    <row r="3411" spans="1:38" hidden="1">
      <c r="A3411" s="408"/>
      <c r="B3411" s="83" t="e">
        <f t="array" ref="B3411">SUM(--(FREQUENCY(IF(C$2:C$3072=C3411, MATCH(D$2:D$3072, D$2:D$3072, 0)), ROW(D$2:D$3072)-ROW(D$2)+1) &gt; 0))</f>
        <v>#N/A</v>
      </c>
      <c r="C3411" s="408"/>
      <c r="D3411" s="408"/>
      <c r="E3411" s="408"/>
      <c r="F3411" s="408"/>
      <c r="G3411" s="408"/>
      <c r="H3411" s="408"/>
      <c r="I3411" s="408"/>
      <c r="J3411" s="408"/>
      <c r="K3411" s="408"/>
      <c r="L3411" s="408"/>
      <c r="M3411" s="408"/>
      <c r="N3411" s="408" t="str">
        <f t="shared" si="480"/>
        <v/>
      </c>
      <c r="O3411" s="408"/>
      <c r="P3411" s="408"/>
      <c r="Q3411" s="408"/>
      <c r="R3411" s="408"/>
      <c r="S3411" s="408"/>
      <c r="T3411" s="408"/>
      <c r="U3411" s="408"/>
      <c r="V3411" s="421"/>
      <c r="W3411" s="421"/>
      <c r="X3411" s="421"/>
      <c r="Y3411" s="421"/>
      <c r="Z3411" s="421"/>
      <c r="AA3411" s="421"/>
      <c r="AB3411" s="421"/>
      <c r="AC3411" s="421"/>
      <c r="AD3411" s="421"/>
      <c r="AE3411" s="421"/>
      <c r="AF3411" s="421"/>
      <c r="AG3411" s="421"/>
      <c r="AH3411" s="421"/>
      <c r="AI3411" s="421"/>
      <c r="AJ3411" s="421"/>
      <c r="AK3411" s="421"/>
      <c r="AL3411" s="421"/>
    </row>
    <row r="3412" spans="1:38" hidden="1">
      <c r="A3412" s="408"/>
      <c r="B3412" s="83" t="e">
        <f t="array" ref="B3412">SUM(--(FREQUENCY(IF(C$2:C$3072=C3412, MATCH(D$2:D$3072, D$2:D$3072, 0)), ROW(D$2:D$3072)-ROW(D$2)+1) &gt; 0))</f>
        <v>#N/A</v>
      </c>
      <c r="C3412" s="408"/>
      <c r="D3412" s="408"/>
      <c r="E3412" s="408"/>
      <c r="F3412" s="408"/>
      <c r="G3412" s="408"/>
      <c r="H3412" s="408"/>
      <c r="I3412" s="408"/>
      <c r="J3412" s="408"/>
      <c r="K3412" s="408"/>
      <c r="L3412" s="408"/>
      <c r="M3412" s="408"/>
      <c r="N3412" s="408" t="str">
        <f t="shared" si="480"/>
        <v/>
      </c>
      <c r="O3412" s="408"/>
      <c r="P3412" s="408"/>
      <c r="Q3412" s="408"/>
      <c r="R3412" s="408"/>
      <c r="S3412" s="408"/>
      <c r="T3412" s="408"/>
      <c r="U3412" s="408"/>
      <c r="V3412" s="421"/>
      <c r="W3412" s="421"/>
      <c r="X3412" s="421"/>
      <c r="Y3412" s="421"/>
      <c r="Z3412" s="421"/>
      <c r="AA3412" s="421"/>
      <c r="AB3412" s="421"/>
      <c r="AC3412" s="421"/>
      <c r="AD3412" s="421"/>
      <c r="AE3412" s="421"/>
      <c r="AF3412" s="421"/>
      <c r="AG3412" s="421"/>
      <c r="AH3412" s="421"/>
      <c r="AI3412" s="421"/>
      <c r="AJ3412" s="421"/>
      <c r="AK3412" s="421"/>
      <c r="AL3412" s="421"/>
    </row>
    <row r="3413" spans="1:38" hidden="1">
      <c r="A3413" s="408"/>
      <c r="B3413" s="83" t="e">
        <f t="array" ref="B3413">SUM(--(FREQUENCY(IF(C$2:C$3072=C3413, MATCH(D$2:D$3072, D$2:D$3072, 0)), ROW(D$2:D$3072)-ROW(D$2)+1) &gt; 0))</f>
        <v>#N/A</v>
      </c>
      <c r="C3413" s="408"/>
      <c r="D3413" s="408"/>
      <c r="E3413" s="408"/>
      <c r="F3413" s="408"/>
      <c r="G3413" s="408"/>
      <c r="H3413" s="408"/>
      <c r="I3413" s="408"/>
      <c r="J3413" s="408"/>
      <c r="K3413" s="408"/>
      <c r="L3413" s="408"/>
      <c r="M3413" s="408"/>
      <c r="N3413" s="408" t="str">
        <f t="shared" si="480"/>
        <v/>
      </c>
      <c r="O3413" s="408"/>
      <c r="P3413" s="408"/>
      <c r="Q3413" s="408"/>
      <c r="R3413" s="408"/>
      <c r="S3413" s="408"/>
      <c r="T3413" s="408"/>
      <c r="U3413" s="408"/>
      <c r="V3413" s="421"/>
      <c r="W3413" s="421"/>
      <c r="X3413" s="421"/>
      <c r="Y3413" s="421"/>
      <c r="Z3413" s="421"/>
      <c r="AA3413" s="421"/>
      <c r="AB3413" s="421"/>
      <c r="AC3413" s="421"/>
      <c r="AD3413" s="421"/>
      <c r="AE3413" s="421"/>
      <c r="AF3413" s="421"/>
      <c r="AG3413" s="421"/>
      <c r="AH3413" s="421"/>
      <c r="AI3413" s="421"/>
      <c r="AJ3413" s="421"/>
      <c r="AK3413" s="421"/>
      <c r="AL3413" s="421"/>
    </row>
    <row r="3414" spans="1:38" hidden="1">
      <c r="A3414" s="408"/>
      <c r="B3414" s="83" t="e">
        <f t="array" ref="B3414">SUM(--(FREQUENCY(IF(C$2:C$3072=C3414, MATCH(D$2:D$3072, D$2:D$3072, 0)), ROW(D$2:D$3072)-ROW(D$2)+1) &gt; 0))</f>
        <v>#N/A</v>
      </c>
      <c r="C3414" s="408"/>
      <c r="D3414" s="408"/>
      <c r="E3414" s="408"/>
      <c r="F3414" s="408"/>
      <c r="G3414" s="408"/>
      <c r="H3414" s="408"/>
      <c r="I3414" s="408"/>
      <c r="J3414" s="408"/>
      <c r="K3414" s="408"/>
      <c r="L3414" s="408"/>
      <c r="M3414" s="408"/>
      <c r="N3414" s="408" t="str">
        <f t="shared" si="480"/>
        <v/>
      </c>
      <c r="O3414" s="408"/>
      <c r="P3414" s="408"/>
      <c r="Q3414" s="408"/>
      <c r="R3414" s="408"/>
      <c r="S3414" s="408"/>
      <c r="T3414" s="408"/>
      <c r="U3414" s="408"/>
      <c r="V3414" s="421"/>
      <c r="W3414" s="421"/>
      <c r="X3414" s="421"/>
      <c r="Y3414" s="421"/>
      <c r="Z3414" s="421"/>
      <c r="AA3414" s="421"/>
      <c r="AB3414" s="421"/>
      <c r="AC3414" s="421"/>
      <c r="AD3414" s="421"/>
      <c r="AE3414" s="421"/>
      <c r="AF3414" s="421"/>
      <c r="AG3414" s="421"/>
      <c r="AH3414" s="421"/>
      <c r="AI3414" s="421"/>
      <c r="AJ3414" s="421"/>
      <c r="AK3414" s="421"/>
      <c r="AL3414" s="421"/>
    </row>
    <row r="3415" spans="1:38" hidden="1">
      <c r="A3415" s="408"/>
      <c r="B3415" s="83" t="e">
        <f t="array" ref="B3415">SUM(--(FREQUENCY(IF(C$2:C$3072=C3415, MATCH(D$2:D$3072, D$2:D$3072, 0)), ROW(D$2:D$3072)-ROW(D$2)+1) &gt; 0))</f>
        <v>#N/A</v>
      </c>
      <c r="C3415" s="408"/>
      <c r="D3415" s="408"/>
      <c r="E3415" s="408"/>
      <c r="F3415" s="408"/>
      <c r="G3415" s="408"/>
      <c r="H3415" s="408"/>
      <c r="I3415" s="408"/>
      <c r="J3415" s="408"/>
      <c r="K3415" s="408"/>
      <c r="L3415" s="408"/>
      <c r="M3415" s="408"/>
      <c r="N3415" s="408" t="str">
        <f t="shared" si="480"/>
        <v/>
      </c>
      <c r="O3415" s="408"/>
      <c r="P3415" s="408"/>
      <c r="Q3415" s="408"/>
      <c r="R3415" s="408"/>
      <c r="S3415" s="408"/>
      <c r="T3415" s="408"/>
      <c r="U3415" s="408"/>
      <c r="V3415" s="421"/>
      <c r="W3415" s="421"/>
      <c r="X3415" s="421"/>
      <c r="Y3415" s="421"/>
      <c r="Z3415" s="421"/>
      <c r="AA3415" s="421"/>
      <c r="AB3415" s="421"/>
      <c r="AC3415" s="421"/>
      <c r="AD3415" s="421"/>
      <c r="AE3415" s="421"/>
      <c r="AF3415" s="421"/>
      <c r="AG3415" s="421"/>
      <c r="AH3415" s="421"/>
      <c r="AI3415" s="421"/>
      <c r="AJ3415" s="421"/>
      <c r="AK3415" s="421"/>
      <c r="AL3415" s="421"/>
    </row>
    <row r="3416" spans="1:38" hidden="1">
      <c r="A3416" s="408"/>
      <c r="B3416" s="83" t="e">
        <f t="array" ref="B3416">SUM(--(FREQUENCY(IF(C$2:C$3072=C3416, MATCH(D$2:D$3072, D$2:D$3072, 0)), ROW(D$2:D$3072)-ROW(D$2)+1) &gt; 0))</f>
        <v>#N/A</v>
      </c>
      <c r="C3416" s="408"/>
      <c r="D3416" s="408"/>
      <c r="E3416" s="408"/>
      <c r="F3416" s="408"/>
      <c r="G3416" s="408"/>
      <c r="H3416" s="408"/>
      <c r="I3416" s="408"/>
      <c r="J3416" s="408"/>
      <c r="K3416" s="408"/>
      <c r="L3416" s="408"/>
      <c r="M3416" s="408"/>
      <c r="N3416" s="408" t="str">
        <f t="shared" si="480"/>
        <v/>
      </c>
      <c r="O3416" s="408"/>
      <c r="P3416" s="408"/>
      <c r="Q3416" s="408"/>
      <c r="R3416" s="408"/>
      <c r="S3416" s="408"/>
      <c r="T3416" s="408"/>
      <c r="U3416" s="408"/>
      <c r="V3416" s="421"/>
      <c r="W3416" s="421"/>
      <c r="X3416" s="421"/>
      <c r="Y3416" s="421"/>
      <c r="Z3416" s="421"/>
      <c r="AA3416" s="421"/>
      <c r="AB3416" s="421"/>
      <c r="AC3416" s="421"/>
      <c r="AD3416" s="421"/>
      <c r="AE3416" s="421"/>
      <c r="AF3416" s="421"/>
      <c r="AG3416" s="421"/>
      <c r="AH3416" s="421"/>
      <c r="AI3416" s="421"/>
      <c r="AJ3416" s="421"/>
      <c r="AK3416" s="421"/>
      <c r="AL3416" s="421"/>
    </row>
    <row r="3417" spans="1:38" hidden="1">
      <c r="A3417" s="408"/>
      <c r="B3417" s="83" t="e">
        <f t="array" ref="B3417">SUM(--(FREQUENCY(IF(C$2:C$3072=C3417, MATCH(D$2:D$3072, D$2:D$3072, 0)), ROW(D$2:D$3072)-ROW(D$2)+1) &gt; 0))</f>
        <v>#N/A</v>
      </c>
      <c r="C3417" s="408"/>
      <c r="D3417" s="408"/>
      <c r="E3417" s="408"/>
      <c r="F3417" s="408"/>
      <c r="G3417" s="408"/>
      <c r="H3417" s="408"/>
      <c r="I3417" s="408"/>
      <c r="J3417" s="408"/>
      <c r="K3417" s="408"/>
      <c r="L3417" s="408"/>
      <c r="M3417" s="408"/>
      <c r="N3417" s="408" t="str">
        <f t="shared" si="480"/>
        <v/>
      </c>
      <c r="O3417" s="408"/>
      <c r="P3417" s="408"/>
      <c r="Q3417" s="408"/>
      <c r="R3417" s="408"/>
      <c r="S3417" s="408"/>
      <c r="T3417" s="408"/>
      <c r="U3417" s="408"/>
      <c r="V3417" s="421"/>
      <c r="W3417" s="421"/>
      <c r="X3417" s="421"/>
      <c r="Y3417" s="421"/>
      <c r="Z3417" s="421"/>
      <c r="AA3417" s="421"/>
      <c r="AB3417" s="421"/>
      <c r="AC3417" s="421"/>
      <c r="AD3417" s="421"/>
      <c r="AE3417" s="421"/>
      <c r="AF3417" s="421"/>
      <c r="AG3417" s="421"/>
      <c r="AH3417" s="421"/>
      <c r="AI3417" s="421"/>
      <c r="AJ3417" s="421"/>
      <c r="AK3417" s="421"/>
      <c r="AL3417" s="421"/>
    </row>
    <row r="3418" spans="1:38" hidden="1">
      <c r="A3418" s="408"/>
      <c r="B3418" s="83" t="e">
        <f t="array" ref="B3418">SUM(--(FREQUENCY(IF(C$2:C$3072=C3418, MATCH(D$2:D$3072, D$2:D$3072, 0)), ROW(D$2:D$3072)-ROW(D$2)+1) &gt; 0))</f>
        <v>#N/A</v>
      </c>
      <c r="C3418" s="408"/>
      <c r="D3418" s="408"/>
      <c r="E3418" s="408"/>
      <c r="F3418" s="408"/>
      <c r="G3418" s="408"/>
      <c r="H3418" s="408"/>
      <c r="I3418" s="408"/>
      <c r="J3418" s="408"/>
      <c r="K3418" s="408"/>
      <c r="L3418" s="408"/>
      <c r="M3418" s="408"/>
      <c r="N3418" s="408" t="str">
        <f t="shared" si="480"/>
        <v/>
      </c>
      <c r="O3418" s="408"/>
      <c r="P3418" s="408"/>
      <c r="Q3418" s="408"/>
      <c r="R3418" s="408"/>
      <c r="S3418" s="408"/>
      <c r="T3418" s="408"/>
      <c r="U3418" s="408"/>
      <c r="V3418" s="421"/>
      <c r="W3418" s="421"/>
      <c r="X3418" s="421"/>
      <c r="Y3418" s="421"/>
      <c r="Z3418" s="421"/>
      <c r="AA3418" s="421"/>
      <c r="AB3418" s="421"/>
      <c r="AC3418" s="421"/>
      <c r="AD3418" s="421"/>
      <c r="AE3418" s="421"/>
      <c r="AF3418" s="421"/>
      <c r="AG3418" s="421"/>
      <c r="AH3418" s="421"/>
      <c r="AI3418" s="421"/>
      <c r="AJ3418" s="421"/>
      <c r="AK3418" s="421"/>
      <c r="AL3418" s="421"/>
    </row>
    <row r="3419" spans="1:38" hidden="1">
      <c r="A3419" s="408"/>
      <c r="B3419" s="83" t="e">
        <f t="array" ref="B3419">SUM(--(FREQUENCY(IF(C$2:C$3072=C3419, MATCH(D$2:D$3072, D$2:D$3072, 0)), ROW(D$2:D$3072)-ROW(D$2)+1) &gt; 0))</f>
        <v>#N/A</v>
      </c>
      <c r="C3419" s="408"/>
      <c r="D3419" s="408"/>
      <c r="E3419" s="408"/>
      <c r="F3419" s="408"/>
      <c r="G3419" s="408"/>
      <c r="H3419" s="408"/>
      <c r="I3419" s="408"/>
      <c r="J3419" s="408"/>
      <c r="K3419" s="408"/>
      <c r="L3419" s="408"/>
      <c r="M3419" s="408"/>
      <c r="N3419" s="408" t="str">
        <f t="shared" si="480"/>
        <v/>
      </c>
      <c r="O3419" s="408"/>
      <c r="P3419" s="408"/>
      <c r="Q3419" s="408"/>
      <c r="R3419" s="408"/>
      <c r="S3419" s="408"/>
      <c r="T3419" s="408"/>
      <c r="U3419" s="408"/>
      <c r="V3419" s="421"/>
      <c r="W3419" s="421"/>
      <c r="X3419" s="421"/>
      <c r="Y3419" s="421"/>
      <c r="Z3419" s="421"/>
      <c r="AA3419" s="421"/>
      <c r="AB3419" s="421"/>
      <c r="AC3419" s="421"/>
      <c r="AD3419" s="421"/>
      <c r="AE3419" s="421"/>
      <c r="AF3419" s="421"/>
      <c r="AG3419" s="421"/>
      <c r="AH3419" s="421"/>
      <c r="AI3419" s="421"/>
      <c r="AJ3419" s="421"/>
      <c r="AK3419" s="421"/>
      <c r="AL3419" s="421"/>
    </row>
    <row r="3420" spans="1:38" hidden="1">
      <c r="A3420" s="408"/>
      <c r="B3420" s="83" t="e">
        <f t="array" ref="B3420">SUM(--(FREQUENCY(IF(C$2:C$3072=C3420, MATCH(D$2:D$3072, D$2:D$3072, 0)), ROW(D$2:D$3072)-ROW(D$2)+1) &gt; 0))</f>
        <v>#N/A</v>
      </c>
      <c r="C3420" s="408"/>
      <c r="D3420" s="408"/>
      <c r="E3420" s="408"/>
      <c r="F3420" s="408"/>
      <c r="G3420" s="408"/>
      <c r="H3420" s="408"/>
      <c r="I3420" s="408"/>
      <c r="J3420" s="408"/>
      <c r="K3420" s="408"/>
      <c r="L3420" s="408"/>
      <c r="M3420" s="408"/>
      <c r="N3420" s="408" t="str">
        <f t="shared" si="480"/>
        <v/>
      </c>
      <c r="O3420" s="408"/>
      <c r="P3420" s="408"/>
      <c r="Q3420" s="408"/>
      <c r="R3420" s="408"/>
      <c r="S3420" s="408"/>
      <c r="T3420" s="408"/>
      <c r="U3420" s="408"/>
      <c r="V3420" s="421"/>
      <c r="W3420" s="421"/>
      <c r="X3420" s="421"/>
      <c r="Y3420" s="421"/>
      <c r="Z3420" s="421"/>
      <c r="AA3420" s="421"/>
      <c r="AB3420" s="421"/>
      <c r="AC3420" s="421"/>
      <c r="AD3420" s="421"/>
      <c r="AE3420" s="421"/>
      <c r="AF3420" s="421"/>
      <c r="AG3420" s="421"/>
      <c r="AH3420" s="421"/>
      <c r="AI3420" s="421"/>
      <c r="AJ3420" s="421"/>
      <c r="AK3420" s="421"/>
      <c r="AL3420" s="421"/>
    </row>
    <row r="3421" spans="1:38" hidden="1">
      <c r="A3421" s="408"/>
      <c r="B3421" s="83" t="e">
        <f t="array" ref="B3421">SUM(--(FREQUENCY(IF(C$2:C$3072=C3421, MATCH(D$2:D$3072, D$2:D$3072, 0)), ROW(D$2:D$3072)-ROW(D$2)+1) &gt; 0))</f>
        <v>#N/A</v>
      </c>
      <c r="C3421" s="408"/>
      <c r="D3421" s="408"/>
      <c r="E3421" s="408"/>
      <c r="F3421" s="408"/>
      <c r="G3421" s="408"/>
      <c r="H3421" s="408"/>
      <c r="I3421" s="408"/>
      <c r="J3421" s="408"/>
      <c r="K3421" s="408"/>
      <c r="L3421" s="408"/>
      <c r="M3421" s="408"/>
      <c r="N3421" s="408" t="str">
        <f t="shared" si="480"/>
        <v/>
      </c>
      <c r="O3421" s="408"/>
      <c r="P3421" s="408"/>
      <c r="Q3421" s="408"/>
      <c r="R3421" s="408"/>
      <c r="S3421" s="408"/>
      <c r="T3421" s="408"/>
      <c r="U3421" s="408"/>
      <c r="V3421" s="421"/>
      <c r="W3421" s="421"/>
      <c r="X3421" s="421"/>
      <c r="Y3421" s="421"/>
      <c r="Z3421" s="421"/>
      <c r="AA3421" s="421"/>
      <c r="AB3421" s="421"/>
      <c r="AC3421" s="421"/>
      <c r="AD3421" s="421"/>
      <c r="AE3421" s="421"/>
      <c r="AF3421" s="421"/>
      <c r="AG3421" s="421"/>
      <c r="AH3421" s="421"/>
      <c r="AI3421" s="421"/>
      <c r="AJ3421" s="421"/>
      <c r="AK3421" s="421"/>
      <c r="AL3421" s="421"/>
    </row>
    <row r="3422" spans="1:38" hidden="1">
      <c r="A3422" s="408"/>
      <c r="B3422" s="83" t="e">
        <f t="array" ref="B3422">SUM(--(FREQUENCY(IF(C$2:C$3072=C3422, MATCH(D$2:D$3072, D$2:D$3072, 0)), ROW(D$2:D$3072)-ROW(D$2)+1) &gt; 0))</f>
        <v>#N/A</v>
      </c>
      <c r="C3422" s="408"/>
      <c r="D3422" s="408"/>
      <c r="E3422" s="408"/>
      <c r="F3422" s="408"/>
      <c r="G3422" s="408"/>
      <c r="H3422" s="408"/>
      <c r="I3422" s="408"/>
      <c r="J3422" s="408"/>
      <c r="K3422" s="408"/>
      <c r="L3422" s="408"/>
      <c r="M3422" s="408"/>
      <c r="N3422" s="408" t="str">
        <f t="shared" si="480"/>
        <v/>
      </c>
      <c r="O3422" s="408"/>
      <c r="P3422" s="408"/>
      <c r="Q3422" s="408"/>
      <c r="R3422" s="408"/>
      <c r="S3422" s="408"/>
      <c r="T3422" s="408"/>
      <c r="U3422" s="408"/>
      <c r="V3422" s="421"/>
      <c r="W3422" s="421"/>
      <c r="X3422" s="421"/>
      <c r="Y3422" s="421"/>
      <c r="Z3422" s="421"/>
      <c r="AA3422" s="421"/>
      <c r="AB3422" s="421"/>
      <c r="AC3422" s="421"/>
      <c r="AD3422" s="421"/>
      <c r="AE3422" s="421"/>
      <c r="AF3422" s="421"/>
      <c r="AG3422" s="421"/>
      <c r="AH3422" s="421"/>
      <c r="AI3422" s="421"/>
      <c r="AJ3422" s="421"/>
      <c r="AK3422" s="421"/>
      <c r="AL3422" s="421"/>
    </row>
    <row r="3423" spans="1:38" hidden="1">
      <c r="A3423" s="408"/>
      <c r="B3423" s="83" t="e">
        <f t="array" ref="B3423">SUM(--(FREQUENCY(IF(C$2:C$3072=C3423, MATCH(D$2:D$3072, D$2:D$3072, 0)), ROW(D$2:D$3072)-ROW(D$2)+1) &gt; 0))</f>
        <v>#N/A</v>
      </c>
      <c r="C3423" s="408"/>
      <c r="D3423" s="408"/>
      <c r="E3423" s="408"/>
      <c r="F3423" s="408"/>
      <c r="G3423" s="408"/>
      <c r="H3423" s="408"/>
      <c r="I3423" s="408"/>
      <c r="J3423" s="408"/>
      <c r="K3423" s="408"/>
      <c r="L3423" s="408"/>
      <c r="M3423" s="408"/>
      <c r="N3423" s="408" t="str">
        <f t="shared" si="480"/>
        <v/>
      </c>
      <c r="O3423" s="408"/>
      <c r="P3423" s="408"/>
      <c r="Q3423" s="408"/>
      <c r="R3423" s="408"/>
      <c r="S3423" s="408"/>
      <c r="T3423" s="408"/>
      <c r="U3423" s="408"/>
      <c r="V3423" s="421"/>
      <c r="W3423" s="421"/>
      <c r="X3423" s="421"/>
      <c r="Y3423" s="421"/>
      <c r="Z3423" s="421"/>
      <c r="AA3423" s="421"/>
      <c r="AB3423" s="421"/>
      <c r="AC3423" s="421"/>
      <c r="AD3423" s="421"/>
      <c r="AE3423" s="421"/>
      <c r="AF3423" s="421"/>
      <c r="AG3423" s="421"/>
      <c r="AH3423" s="421"/>
      <c r="AI3423" s="421"/>
      <c r="AJ3423" s="421"/>
      <c r="AK3423" s="421"/>
      <c r="AL3423" s="421"/>
    </row>
    <row r="3424" spans="1:38" hidden="1">
      <c r="A3424" s="408"/>
      <c r="B3424" s="83" t="e">
        <f t="array" ref="B3424">SUM(--(FREQUENCY(IF(C$2:C$3072=C3424, MATCH(D$2:D$3072, D$2:D$3072, 0)), ROW(D$2:D$3072)-ROW(D$2)+1) &gt; 0))</f>
        <v>#N/A</v>
      </c>
      <c r="C3424" s="408"/>
      <c r="D3424" s="408"/>
      <c r="E3424" s="408"/>
      <c r="F3424" s="408"/>
      <c r="G3424" s="408"/>
      <c r="H3424" s="408"/>
      <c r="I3424" s="408"/>
      <c r="J3424" s="408"/>
      <c r="K3424" s="408"/>
      <c r="L3424" s="408"/>
      <c r="M3424" s="408"/>
      <c r="N3424" s="408" t="str">
        <f t="shared" si="480"/>
        <v/>
      </c>
      <c r="O3424" s="408"/>
      <c r="P3424" s="408"/>
      <c r="Q3424" s="408"/>
      <c r="R3424" s="408"/>
      <c r="S3424" s="408"/>
      <c r="T3424" s="408"/>
      <c r="U3424" s="408"/>
      <c r="V3424" s="421"/>
      <c r="W3424" s="421"/>
      <c r="X3424" s="421"/>
      <c r="Y3424" s="421"/>
      <c r="Z3424" s="421"/>
      <c r="AA3424" s="421"/>
      <c r="AB3424" s="421"/>
      <c r="AC3424" s="421"/>
      <c r="AD3424" s="421"/>
      <c r="AE3424" s="421"/>
      <c r="AF3424" s="421"/>
      <c r="AG3424" s="421"/>
      <c r="AH3424" s="421"/>
      <c r="AI3424" s="421"/>
      <c r="AJ3424" s="421"/>
      <c r="AK3424" s="421"/>
      <c r="AL3424" s="421"/>
    </row>
    <row r="3425" spans="1:38" hidden="1">
      <c r="A3425" s="408"/>
      <c r="B3425" s="83" t="e">
        <f t="array" ref="B3425">SUM(--(FREQUENCY(IF(C$2:C$3072=C3425, MATCH(D$2:D$3072, D$2:D$3072, 0)), ROW(D$2:D$3072)-ROW(D$2)+1) &gt; 0))</f>
        <v>#N/A</v>
      </c>
      <c r="C3425" s="408"/>
      <c r="D3425" s="408"/>
      <c r="E3425" s="408"/>
      <c r="F3425" s="408"/>
      <c r="G3425" s="408"/>
      <c r="H3425" s="408"/>
      <c r="I3425" s="408"/>
      <c r="J3425" s="408"/>
      <c r="K3425" s="408"/>
      <c r="L3425" s="408"/>
      <c r="M3425" s="408"/>
      <c r="N3425" s="408" t="str">
        <f t="shared" si="480"/>
        <v/>
      </c>
      <c r="O3425" s="408"/>
      <c r="P3425" s="408"/>
      <c r="Q3425" s="408"/>
      <c r="R3425" s="408"/>
      <c r="S3425" s="408"/>
      <c r="T3425" s="408"/>
      <c r="U3425" s="408"/>
      <c r="V3425" s="421"/>
      <c r="W3425" s="421"/>
      <c r="X3425" s="421"/>
      <c r="Y3425" s="421"/>
      <c r="Z3425" s="421"/>
      <c r="AA3425" s="421"/>
      <c r="AB3425" s="421"/>
      <c r="AC3425" s="421"/>
      <c r="AD3425" s="421"/>
      <c r="AE3425" s="421"/>
      <c r="AF3425" s="421"/>
      <c r="AG3425" s="421"/>
      <c r="AH3425" s="421"/>
      <c r="AI3425" s="421"/>
      <c r="AJ3425" s="421"/>
      <c r="AK3425" s="421"/>
      <c r="AL3425" s="421"/>
    </row>
    <row r="3426" spans="1:38" hidden="1">
      <c r="A3426" s="408"/>
      <c r="B3426" s="83" t="e">
        <f t="array" ref="B3426">SUM(--(FREQUENCY(IF(C$2:C$3072=C3426, MATCH(D$2:D$3072, D$2:D$3072, 0)), ROW(D$2:D$3072)-ROW(D$2)+1) &gt; 0))</f>
        <v>#N/A</v>
      </c>
      <c r="C3426" s="408"/>
      <c r="D3426" s="408"/>
      <c r="E3426" s="408"/>
      <c r="F3426" s="408"/>
      <c r="G3426" s="408"/>
      <c r="H3426" s="408"/>
      <c r="I3426" s="408"/>
      <c r="J3426" s="408"/>
      <c r="K3426" s="408"/>
      <c r="L3426" s="408"/>
      <c r="M3426" s="408"/>
      <c r="N3426" s="408" t="str">
        <f t="shared" si="480"/>
        <v/>
      </c>
      <c r="O3426" s="408"/>
      <c r="P3426" s="408"/>
      <c r="Q3426" s="408"/>
      <c r="R3426" s="408"/>
      <c r="S3426" s="408"/>
      <c r="T3426" s="408"/>
      <c r="U3426" s="408"/>
      <c r="V3426" s="421"/>
      <c r="W3426" s="421"/>
      <c r="X3426" s="421"/>
      <c r="Y3426" s="421"/>
      <c r="Z3426" s="421"/>
      <c r="AA3426" s="421"/>
      <c r="AB3426" s="421"/>
      <c r="AC3426" s="421"/>
      <c r="AD3426" s="421"/>
      <c r="AE3426" s="421"/>
      <c r="AF3426" s="421"/>
      <c r="AG3426" s="421"/>
      <c r="AH3426" s="421"/>
      <c r="AI3426" s="421"/>
      <c r="AJ3426" s="421"/>
      <c r="AK3426" s="421"/>
      <c r="AL3426" s="421"/>
    </row>
    <row r="3427" spans="1:38" hidden="1">
      <c r="A3427" s="408"/>
      <c r="B3427" s="83" t="e">
        <f t="array" ref="B3427">SUM(--(FREQUENCY(IF(C$2:C$3072=C3427, MATCH(D$2:D$3072, D$2:D$3072, 0)), ROW(D$2:D$3072)-ROW(D$2)+1) &gt; 0))</f>
        <v>#N/A</v>
      </c>
      <c r="C3427" s="408"/>
      <c r="D3427" s="408"/>
      <c r="E3427" s="408"/>
      <c r="F3427" s="408"/>
      <c r="G3427" s="408"/>
      <c r="H3427" s="408"/>
      <c r="I3427" s="408"/>
      <c r="J3427" s="408"/>
      <c r="K3427" s="408"/>
      <c r="L3427" s="408"/>
      <c r="M3427" s="408"/>
      <c r="N3427" s="408" t="str">
        <f t="shared" si="480"/>
        <v/>
      </c>
      <c r="O3427" s="408"/>
      <c r="P3427" s="408"/>
      <c r="Q3427" s="408"/>
      <c r="R3427" s="408"/>
      <c r="S3427" s="408"/>
      <c r="T3427" s="408"/>
      <c r="U3427" s="408"/>
      <c r="V3427" s="421"/>
      <c r="W3427" s="421"/>
      <c r="X3427" s="421"/>
      <c r="Y3427" s="421"/>
      <c r="Z3427" s="421"/>
      <c r="AA3427" s="421"/>
      <c r="AB3427" s="421"/>
      <c r="AC3427" s="421"/>
      <c r="AD3427" s="421"/>
      <c r="AE3427" s="421"/>
      <c r="AF3427" s="421"/>
      <c r="AG3427" s="421"/>
      <c r="AH3427" s="421"/>
      <c r="AI3427" s="421"/>
      <c r="AJ3427" s="421"/>
      <c r="AK3427" s="421"/>
      <c r="AL3427" s="421"/>
    </row>
    <row r="3428" spans="1:38" hidden="1">
      <c r="A3428" s="408"/>
      <c r="B3428" s="83" t="e">
        <f t="array" ref="B3428">SUM(--(FREQUENCY(IF(C$2:C$3072=C3428, MATCH(D$2:D$3072, D$2:D$3072, 0)), ROW(D$2:D$3072)-ROW(D$2)+1) &gt; 0))</f>
        <v>#N/A</v>
      </c>
      <c r="C3428" s="408"/>
      <c r="D3428" s="408"/>
      <c r="E3428" s="408"/>
      <c r="F3428" s="408"/>
      <c r="G3428" s="408"/>
      <c r="H3428" s="408"/>
      <c r="I3428" s="408"/>
      <c r="J3428" s="408"/>
      <c r="K3428" s="408"/>
      <c r="L3428" s="408"/>
      <c r="M3428" s="408"/>
      <c r="N3428" s="408" t="str">
        <f t="shared" si="480"/>
        <v/>
      </c>
      <c r="O3428" s="408"/>
      <c r="P3428" s="408"/>
      <c r="Q3428" s="408"/>
      <c r="R3428" s="408"/>
      <c r="S3428" s="408"/>
      <c r="T3428" s="408"/>
      <c r="U3428" s="408"/>
      <c r="V3428" s="421"/>
      <c r="W3428" s="421"/>
      <c r="X3428" s="421"/>
      <c r="Y3428" s="421"/>
      <c r="Z3428" s="421"/>
      <c r="AA3428" s="421"/>
      <c r="AB3428" s="421"/>
      <c r="AC3428" s="421"/>
      <c r="AD3428" s="421"/>
      <c r="AE3428" s="421"/>
      <c r="AF3428" s="421"/>
      <c r="AG3428" s="421"/>
      <c r="AH3428" s="421"/>
      <c r="AI3428" s="421"/>
      <c r="AJ3428" s="421"/>
      <c r="AK3428" s="421"/>
      <c r="AL3428" s="421"/>
    </row>
    <row r="3429" spans="1:38" hidden="1">
      <c r="A3429" s="408"/>
      <c r="B3429" s="83" t="e">
        <f t="array" ref="B3429">SUM(--(FREQUENCY(IF(C$2:C$3072=C3429, MATCH(D$2:D$3072, D$2:D$3072, 0)), ROW(D$2:D$3072)-ROW(D$2)+1) &gt; 0))</f>
        <v>#N/A</v>
      </c>
      <c r="C3429" s="408"/>
      <c r="D3429" s="408"/>
      <c r="E3429" s="408"/>
      <c r="F3429" s="408"/>
      <c r="G3429" s="408"/>
      <c r="H3429" s="408"/>
      <c r="I3429" s="408"/>
      <c r="J3429" s="408"/>
      <c r="K3429" s="408"/>
      <c r="L3429" s="408"/>
      <c r="M3429" s="408"/>
      <c r="N3429" s="408" t="str">
        <f t="shared" si="480"/>
        <v/>
      </c>
      <c r="O3429" s="408"/>
      <c r="P3429" s="408"/>
      <c r="Q3429" s="408"/>
      <c r="R3429" s="408"/>
      <c r="S3429" s="408"/>
      <c r="T3429" s="408"/>
      <c r="U3429" s="408"/>
      <c r="V3429" s="421"/>
      <c r="W3429" s="421"/>
      <c r="X3429" s="421"/>
      <c r="Y3429" s="421"/>
      <c r="Z3429" s="421"/>
      <c r="AA3429" s="421"/>
      <c r="AB3429" s="421"/>
      <c r="AC3429" s="421"/>
      <c r="AD3429" s="421"/>
      <c r="AE3429" s="421"/>
      <c r="AF3429" s="421"/>
      <c r="AG3429" s="421"/>
      <c r="AH3429" s="421"/>
      <c r="AI3429" s="421"/>
      <c r="AJ3429" s="421"/>
      <c r="AK3429" s="421"/>
      <c r="AL3429" s="421"/>
    </row>
    <row r="3430" spans="1:38" hidden="1">
      <c r="A3430" s="408"/>
      <c r="B3430" s="83" t="e">
        <f t="array" ref="B3430">SUM(--(FREQUENCY(IF(C$2:C$3072=C3430, MATCH(D$2:D$3072, D$2:D$3072, 0)), ROW(D$2:D$3072)-ROW(D$2)+1) &gt; 0))</f>
        <v>#N/A</v>
      </c>
      <c r="C3430" s="408"/>
      <c r="D3430" s="408"/>
      <c r="E3430" s="408"/>
      <c r="F3430" s="408"/>
      <c r="G3430" s="408"/>
      <c r="H3430" s="408"/>
      <c r="I3430" s="408"/>
      <c r="J3430" s="408"/>
      <c r="K3430" s="408"/>
      <c r="L3430" s="408"/>
      <c r="M3430" s="408"/>
      <c r="N3430" s="408" t="str">
        <f t="shared" si="480"/>
        <v/>
      </c>
      <c r="O3430" s="408"/>
      <c r="P3430" s="408"/>
      <c r="Q3430" s="408"/>
      <c r="R3430" s="408"/>
      <c r="S3430" s="408"/>
      <c r="T3430" s="408"/>
      <c r="U3430" s="408"/>
      <c r="V3430" s="421"/>
      <c r="W3430" s="421"/>
      <c r="X3430" s="421"/>
      <c r="Y3430" s="421"/>
      <c r="Z3430" s="421"/>
      <c r="AA3430" s="421"/>
      <c r="AB3430" s="421"/>
      <c r="AC3430" s="421"/>
      <c r="AD3430" s="421"/>
      <c r="AE3430" s="421"/>
      <c r="AF3430" s="421"/>
      <c r="AG3430" s="421"/>
      <c r="AH3430" s="421"/>
      <c r="AI3430" s="421"/>
      <c r="AJ3430" s="421"/>
      <c r="AK3430" s="421"/>
      <c r="AL3430" s="421"/>
    </row>
    <row r="3431" spans="1:38" hidden="1">
      <c r="A3431" s="408"/>
      <c r="B3431" s="83" t="e">
        <f t="array" ref="B3431">SUM(--(FREQUENCY(IF(C$2:C$3072=C3431, MATCH(D$2:D$3072, D$2:D$3072, 0)), ROW(D$2:D$3072)-ROW(D$2)+1) &gt; 0))</f>
        <v>#N/A</v>
      </c>
      <c r="C3431" s="408"/>
      <c r="D3431" s="408"/>
      <c r="E3431" s="408"/>
      <c r="F3431" s="408"/>
      <c r="G3431" s="408"/>
      <c r="H3431" s="408"/>
      <c r="I3431" s="408"/>
      <c r="J3431" s="408"/>
      <c r="K3431" s="408"/>
      <c r="L3431" s="408"/>
      <c r="M3431" s="408"/>
      <c r="N3431" s="408" t="str">
        <f t="shared" si="480"/>
        <v/>
      </c>
      <c r="O3431" s="408"/>
      <c r="P3431" s="408"/>
      <c r="Q3431" s="408"/>
      <c r="R3431" s="408"/>
      <c r="S3431" s="408"/>
      <c r="T3431" s="408"/>
      <c r="U3431" s="408"/>
      <c r="V3431" s="421"/>
      <c r="W3431" s="421"/>
      <c r="X3431" s="421"/>
      <c r="Y3431" s="421"/>
      <c r="Z3431" s="421"/>
      <c r="AA3431" s="421"/>
      <c r="AB3431" s="421"/>
      <c r="AC3431" s="421"/>
      <c r="AD3431" s="421"/>
      <c r="AE3431" s="421"/>
      <c r="AF3431" s="421"/>
      <c r="AG3431" s="421"/>
      <c r="AH3431" s="421"/>
      <c r="AI3431" s="421"/>
      <c r="AJ3431" s="421"/>
      <c r="AK3431" s="421"/>
      <c r="AL3431" s="421"/>
    </row>
    <row r="3432" spans="1:38" hidden="1">
      <c r="A3432" s="408"/>
      <c r="B3432" s="83" t="e">
        <f t="array" ref="B3432">SUM(--(FREQUENCY(IF(C$2:C$3072=C3432, MATCH(D$2:D$3072, D$2:D$3072, 0)), ROW(D$2:D$3072)-ROW(D$2)+1) &gt; 0))</f>
        <v>#N/A</v>
      </c>
      <c r="C3432" s="408"/>
      <c r="D3432" s="408"/>
      <c r="E3432" s="408"/>
      <c r="F3432" s="408"/>
      <c r="G3432" s="408"/>
      <c r="H3432" s="408"/>
      <c r="I3432" s="408"/>
      <c r="J3432" s="408"/>
      <c r="K3432" s="408"/>
      <c r="L3432" s="408"/>
      <c r="M3432" s="408"/>
      <c r="N3432" s="408" t="str">
        <f t="shared" si="480"/>
        <v/>
      </c>
      <c r="O3432" s="408"/>
      <c r="P3432" s="408"/>
      <c r="Q3432" s="408"/>
      <c r="R3432" s="408"/>
      <c r="S3432" s="408"/>
      <c r="T3432" s="408"/>
      <c r="U3432" s="408"/>
      <c r="V3432" s="421"/>
      <c r="W3432" s="421"/>
      <c r="X3432" s="421"/>
      <c r="Y3432" s="421"/>
      <c r="Z3432" s="421"/>
      <c r="AA3432" s="421"/>
      <c r="AB3432" s="421"/>
      <c r="AC3432" s="421"/>
      <c r="AD3432" s="421"/>
      <c r="AE3432" s="421"/>
      <c r="AF3432" s="421"/>
      <c r="AG3432" s="421"/>
      <c r="AH3432" s="421"/>
      <c r="AI3432" s="421"/>
      <c r="AJ3432" s="421"/>
      <c r="AK3432" s="421"/>
      <c r="AL3432" s="421"/>
    </row>
    <row r="3433" spans="1:38" hidden="1">
      <c r="A3433" s="408"/>
      <c r="B3433" s="83" t="e">
        <f t="array" ref="B3433">SUM(--(FREQUENCY(IF(C$2:C$3072=C3433, MATCH(D$2:D$3072, D$2:D$3072, 0)), ROW(D$2:D$3072)-ROW(D$2)+1) &gt; 0))</f>
        <v>#N/A</v>
      </c>
      <c r="C3433" s="408"/>
      <c r="D3433" s="408"/>
      <c r="E3433" s="408"/>
      <c r="F3433" s="408"/>
      <c r="G3433" s="408"/>
      <c r="H3433" s="408"/>
      <c r="I3433" s="408"/>
      <c r="J3433" s="408"/>
      <c r="K3433" s="408"/>
      <c r="L3433" s="408"/>
      <c r="M3433" s="408"/>
      <c r="N3433" s="408" t="str">
        <f t="shared" si="480"/>
        <v/>
      </c>
      <c r="O3433" s="408"/>
      <c r="P3433" s="408"/>
      <c r="Q3433" s="408"/>
      <c r="R3433" s="408"/>
      <c r="S3433" s="408"/>
      <c r="T3433" s="408"/>
      <c r="U3433" s="408"/>
      <c r="V3433" s="421"/>
      <c r="W3433" s="421"/>
      <c r="X3433" s="421"/>
      <c r="Y3433" s="421"/>
      <c r="Z3433" s="421"/>
      <c r="AA3433" s="421"/>
      <c r="AB3433" s="421"/>
      <c r="AC3433" s="421"/>
      <c r="AD3433" s="421"/>
      <c r="AE3433" s="421"/>
      <c r="AF3433" s="421"/>
      <c r="AG3433" s="421"/>
      <c r="AH3433" s="421"/>
      <c r="AI3433" s="421"/>
      <c r="AJ3433" s="421"/>
      <c r="AK3433" s="421"/>
      <c r="AL3433" s="421"/>
    </row>
    <row r="3434" spans="1:38" hidden="1">
      <c r="A3434" s="408"/>
      <c r="B3434" s="83" t="e">
        <f t="array" ref="B3434">SUM(--(FREQUENCY(IF(C$2:C$3072=C3434, MATCH(D$2:D$3072, D$2:D$3072, 0)), ROW(D$2:D$3072)-ROW(D$2)+1) &gt; 0))</f>
        <v>#N/A</v>
      </c>
      <c r="C3434" s="408"/>
      <c r="D3434" s="408"/>
      <c r="E3434" s="408"/>
      <c r="F3434" s="408"/>
      <c r="G3434" s="408"/>
      <c r="H3434" s="408"/>
      <c r="I3434" s="408"/>
      <c r="J3434" s="408"/>
      <c r="K3434" s="408"/>
      <c r="L3434" s="408"/>
      <c r="M3434" s="408"/>
      <c r="N3434" s="408" t="str">
        <f t="shared" si="480"/>
        <v/>
      </c>
      <c r="O3434" s="408"/>
      <c r="P3434" s="408"/>
      <c r="Q3434" s="408"/>
      <c r="R3434" s="408"/>
      <c r="S3434" s="408"/>
      <c r="T3434" s="408"/>
      <c r="U3434" s="408"/>
      <c r="V3434" s="421"/>
      <c r="W3434" s="421"/>
      <c r="X3434" s="421"/>
      <c r="Y3434" s="421"/>
      <c r="Z3434" s="421"/>
      <c r="AA3434" s="421"/>
      <c r="AB3434" s="421"/>
      <c r="AC3434" s="421"/>
      <c r="AD3434" s="421"/>
      <c r="AE3434" s="421"/>
      <c r="AF3434" s="421"/>
      <c r="AG3434" s="421"/>
      <c r="AH3434" s="421"/>
      <c r="AI3434" s="421"/>
      <c r="AJ3434" s="421"/>
      <c r="AK3434" s="421"/>
      <c r="AL3434" s="421"/>
    </row>
    <row r="3435" spans="1:38" hidden="1">
      <c r="A3435" s="408"/>
      <c r="B3435" s="83" t="e">
        <f t="array" ref="B3435">SUM(--(FREQUENCY(IF(C$2:C$3072=C3435, MATCH(D$2:D$3072, D$2:D$3072, 0)), ROW(D$2:D$3072)-ROW(D$2)+1) &gt; 0))</f>
        <v>#N/A</v>
      </c>
      <c r="C3435" s="408"/>
      <c r="D3435" s="408"/>
      <c r="E3435" s="408"/>
      <c r="F3435" s="408"/>
      <c r="G3435" s="408"/>
      <c r="H3435" s="408"/>
      <c r="I3435" s="408"/>
      <c r="J3435" s="408"/>
      <c r="K3435" s="408"/>
      <c r="L3435" s="408"/>
      <c r="M3435" s="408"/>
      <c r="N3435" s="408" t="str">
        <f t="shared" si="480"/>
        <v/>
      </c>
      <c r="O3435" s="408"/>
      <c r="P3435" s="408"/>
      <c r="Q3435" s="408"/>
      <c r="R3435" s="408"/>
      <c r="S3435" s="408"/>
      <c r="T3435" s="408"/>
      <c r="U3435" s="408"/>
      <c r="V3435" s="421"/>
      <c r="W3435" s="421"/>
      <c r="X3435" s="421"/>
      <c r="Y3435" s="421"/>
      <c r="Z3435" s="421"/>
      <c r="AA3435" s="421"/>
      <c r="AB3435" s="421"/>
      <c r="AC3435" s="421"/>
      <c r="AD3435" s="421"/>
      <c r="AE3435" s="421"/>
      <c r="AF3435" s="421"/>
      <c r="AG3435" s="421"/>
      <c r="AH3435" s="421"/>
      <c r="AI3435" s="421"/>
      <c r="AJ3435" s="421"/>
      <c r="AK3435" s="421"/>
      <c r="AL3435" s="421"/>
    </row>
    <row r="3436" spans="1:38" hidden="1">
      <c r="A3436" s="408"/>
      <c r="B3436" s="83" t="e">
        <f t="array" ref="B3436">SUM(--(FREQUENCY(IF(C$2:C$3072=C3436, MATCH(D$2:D$3072, D$2:D$3072, 0)), ROW(D$2:D$3072)-ROW(D$2)+1) &gt; 0))</f>
        <v>#N/A</v>
      </c>
      <c r="C3436" s="408"/>
      <c r="D3436" s="408"/>
      <c r="E3436" s="408"/>
      <c r="F3436" s="408"/>
      <c r="G3436" s="408"/>
      <c r="H3436" s="408"/>
      <c r="I3436" s="408"/>
      <c r="J3436" s="408"/>
      <c r="K3436" s="408"/>
      <c r="L3436" s="408"/>
      <c r="M3436" s="408"/>
      <c r="N3436" s="408" t="str">
        <f t="shared" si="480"/>
        <v/>
      </c>
      <c r="O3436" s="408"/>
      <c r="P3436" s="408"/>
      <c r="Q3436" s="408"/>
      <c r="R3436" s="408"/>
      <c r="S3436" s="408"/>
      <c r="T3436" s="408"/>
      <c r="U3436" s="408"/>
      <c r="V3436" s="421"/>
      <c r="W3436" s="421"/>
      <c r="X3436" s="421"/>
      <c r="Y3436" s="421"/>
      <c r="Z3436" s="421"/>
      <c r="AA3436" s="421"/>
      <c r="AB3436" s="421"/>
      <c r="AC3436" s="421"/>
      <c r="AD3436" s="421"/>
      <c r="AE3436" s="421"/>
      <c r="AF3436" s="421"/>
      <c r="AG3436" s="421"/>
      <c r="AH3436" s="421"/>
      <c r="AI3436" s="421"/>
      <c r="AJ3436" s="421"/>
      <c r="AK3436" s="421"/>
      <c r="AL3436" s="421"/>
    </row>
    <row r="3437" spans="1:38" hidden="1">
      <c r="A3437" s="408"/>
      <c r="B3437" s="83" t="e">
        <f t="array" ref="B3437">SUM(--(FREQUENCY(IF(C$2:C$3072=C3437, MATCH(D$2:D$3072, D$2:D$3072, 0)), ROW(D$2:D$3072)-ROW(D$2)+1) &gt; 0))</f>
        <v>#N/A</v>
      </c>
      <c r="C3437" s="408"/>
      <c r="D3437" s="408"/>
      <c r="E3437" s="408"/>
      <c r="F3437" s="408"/>
      <c r="G3437" s="408"/>
      <c r="H3437" s="408"/>
      <c r="I3437" s="408"/>
      <c r="J3437" s="408"/>
      <c r="K3437" s="408"/>
      <c r="L3437" s="408"/>
      <c r="M3437" s="408"/>
      <c r="N3437" s="408" t="str">
        <f t="shared" si="480"/>
        <v/>
      </c>
      <c r="O3437" s="408"/>
      <c r="P3437" s="408"/>
      <c r="Q3437" s="408"/>
      <c r="R3437" s="408"/>
      <c r="S3437" s="408"/>
      <c r="T3437" s="408"/>
      <c r="U3437" s="408"/>
      <c r="V3437" s="421"/>
      <c r="W3437" s="421"/>
      <c r="X3437" s="421"/>
      <c r="Y3437" s="421"/>
      <c r="Z3437" s="421"/>
      <c r="AA3437" s="421"/>
      <c r="AB3437" s="421"/>
      <c r="AC3437" s="421"/>
      <c r="AD3437" s="421"/>
      <c r="AE3437" s="421"/>
      <c r="AF3437" s="421"/>
      <c r="AG3437" s="421"/>
      <c r="AH3437" s="421"/>
      <c r="AI3437" s="421"/>
      <c r="AJ3437" s="421"/>
      <c r="AK3437" s="421"/>
      <c r="AL3437" s="421"/>
    </row>
    <row r="3438" spans="1:38" hidden="1">
      <c r="A3438" s="408"/>
      <c r="B3438" s="83" t="e">
        <f t="array" ref="B3438">SUM(--(FREQUENCY(IF(C$2:C$3072=C3438, MATCH(D$2:D$3072, D$2:D$3072, 0)), ROW(D$2:D$3072)-ROW(D$2)+1) &gt; 0))</f>
        <v>#N/A</v>
      </c>
      <c r="C3438" s="408"/>
      <c r="D3438" s="408"/>
      <c r="E3438" s="408"/>
      <c r="F3438" s="408"/>
      <c r="G3438" s="408"/>
      <c r="H3438" s="408"/>
      <c r="I3438" s="408"/>
      <c r="J3438" s="408"/>
      <c r="K3438" s="408"/>
      <c r="L3438" s="408"/>
      <c r="M3438" s="408"/>
      <c r="N3438" s="408" t="str">
        <f t="shared" si="480"/>
        <v/>
      </c>
      <c r="O3438" s="408"/>
      <c r="P3438" s="408"/>
      <c r="Q3438" s="408"/>
      <c r="R3438" s="408"/>
      <c r="S3438" s="408"/>
      <c r="T3438" s="408"/>
      <c r="U3438" s="408"/>
      <c r="V3438" s="421"/>
      <c r="W3438" s="421"/>
      <c r="X3438" s="421"/>
      <c r="Y3438" s="421"/>
      <c r="Z3438" s="421"/>
      <c r="AA3438" s="421"/>
      <c r="AB3438" s="421"/>
      <c r="AC3438" s="421"/>
      <c r="AD3438" s="421"/>
      <c r="AE3438" s="421"/>
      <c r="AF3438" s="421"/>
      <c r="AG3438" s="421"/>
      <c r="AH3438" s="421"/>
      <c r="AI3438" s="421"/>
      <c r="AJ3438" s="421"/>
      <c r="AK3438" s="421"/>
      <c r="AL3438" s="421"/>
    </row>
    <row r="3439" spans="1:38" hidden="1">
      <c r="A3439" s="408"/>
      <c r="B3439" s="83" t="e">
        <f t="array" ref="B3439">SUM(--(FREQUENCY(IF(C$2:C$3072=C3439, MATCH(D$2:D$3072, D$2:D$3072, 0)), ROW(D$2:D$3072)-ROW(D$2)+1) &gt; 0))</f>
        <v>#N/A</v>
      </c>
      <c r="C3439" s="408"/>
      <c r="D3439" s="408"/>
      <c r="E3439" s="408"/>
      <c r="F3439" s="408"/>
      <c r="G3439" s="408"/>
      <c r="H3439" s="408"/>
      <c r="I3439" s="408"/>
      <c r="J3439" s="408"/>
      <c r="K3439" s="408"/>
      <c r="L3439" s="408"/>
      <c r="M3439" s="408"/>
      <c r="N3439" s="408" t="str">
        <f t="shared" si="480"/>
        <v/>
      </c>
      <c r="O3439" s="408"/>
      <c r="P3439" s="408"/>
      <c r="Q3439" s="408"/>
      <c r="R3439" s="408"/>
      <c r="S3439" s="408"/>
      <c r="T3439" s="408"/>
      <c r="U3439" s="408"/>
      <c r="V3439" s="421"/>
      <c r="W3439" s="421"/>
      <c r="X3439" s="421"/>
      <c r="Y3439" s="421"/>
      <c r="Z3439" s="421"/>
      <c r="AA3439" s="421"/>
      <c r="AB3439" s="421"/>
      <c r="AC3439" s="421"/>
      <c r="AD3439" s="421"/>
      <c r="AE3439" s="421"/>
      <c r="AF3439" s="421"/>
      <c r="AG3439" s="421"/>
      <c r="AH3439" s="421"/>
      <c r="AI3439" s="421"/>
      <c r="AJ3439" s="421"/>
      <c r="AK3439" s="421"/>
      <c r="AL3439" s="421"/>
    </row>
    <row r="3440" spans="1:38" hidden="1">
      <c r="A3440" s="408"/>
      <c r="B3440" s="83" t="e">
        <f t="array" ref="B3440">SUM(--(FREQUENCY(IF(C$2:C$3072=C3440, MATCH(D$2:D$3072, D$2:D$3072, 0)), ROW(D$2:D$3072)-ROW(D$2)+1) &gt; 0))</f>
        <v>#N/A</v>
      </c>
      <c r="C3440" s="408"/>
      <c r="D3440" s="408"/>
      <c r="E3440" s="408"/>
      <c r="F3440" s="408"/>
      <c r="G3440" s="408"/>
      <c r="H3440" s="408"/>
      <c r="I3440" s="408"/>
      <c r="J3440" s="408"/>
      <c r="K3440" s="408"/>
      <c r="L3440" s="408"/>
      <c r="M3440" s="408"/>
      <c r="N3440" s="408" t="str">
        <f t="shared" si="480"/>
        <v/>
      </c>
      <c r="O3440" s="408"/>
      <c r="P3440" s="408"/>
      <c r="Q3440" s="408"/>
      <c r="R3440" s="408"/>
      <c r="S3440" s="408"/>
      <c r="T3440" s="408"/>
      <c r="U3440" s="408"/>
      <c r="V3440" s="421"/>
      <c r="W3440" s="421"/>
      <c r="X3440" s="421"/>
      <c r="Y3440" s="421"/>
      <c r="Z3440" s="421"/>
      <c r="AA3440" s="421"/>
      <c r="AB3440" s="421"/>
      <c r="AC3440" s="421"/>
      <c r="AD3440" s="421"/>
      <c r="AE3440" s="421"/>
      <c r="AF3440" s="421"/>
      <c r="AG3440" s="421"/>
      <c r="AH3440" s="421"/>
      <c r="AI3440" s="421"/>
      <c r="AJ3440" s="421"/>
      <c r="AK3440" s="421"/>
      <c r="AL3440" s="421"/>
    </row>
    <row r="3441" spans="1:38" hidden="1">
      <c r="A3441" s="408"/>
      <c r="B3441" s="83" t="e">
        <f t="array" ref="B3441">SUM(--(FREQUENCY(IF(C$2:C$3072=C3441, MATCH(D$2:D$3072, D$2:D$3072, 0)), ROW(D$2:D$3072)-ROW(D$2)+1) &gt; 0))</f>
        <v>#N/A</v>
      </c>
      <c r="C3441" s="408"/>
      <c r="D3441" s="408"/>
      <c r="E3441" s="408"/>
      <c r="F3441" s="408"/>
      <c r="G3441" s="408"/>
      <c r="H3441" s="408"/>
      <c r="I3441" s="408"/>
      <c r="J3441" s="408"/>
      <c r="K3441" s="408"/>
      <c r="L3441" s="408"/>
      <c r="M3441" s="408"/>
      <c r="N3441" s="408" t="str">
        <f t="shared" si="480"/>
        <v/>
      </c>
      <c r="O3441" s="408"/>
      <c r="P3441" s="408"/>
      <c r="Q3441" s="408"/>
      <c r="R3441" s="408"/>
      <c r="S3441" s="408"/>
      <c r="T3441" s="408"/>
      <c r="U3441" s="408"/>
      <c r="V3441" s="421"/>
      <c r="W3441" s="421"/>
      <c r="X3441" s="421"/>
      <c r="Y3441" s="421"/>
      <c r="Z3441" s="421"/>
      <c r="AA3441" s="421"/>
      <c r="AB3441" s="421"/>
      <c r="AC3441" s="421"/>
      <c r="AD3441" s="421"/>
      <c r="AE3441" s="421"/>
      <c r="AF3441" s="421"/>
      <c r="AG3441" s="421"/>
      <c r="AH3441" s="421"/>
      <c r="AI3441" s="421"/>
      <c r="AJ3441" s="421"/>
      <c r="AK3441" s="421"/>
      <c r="AL3441" s="421"/>
    </row>
    <row r="3442" spans="1:38" hidden="1">
      <c r="A3442" s="408"/>
      <c r="B3442" s="83" t="e">
        <f t="array" ref="B3442">SUM(--(FREQUENCY(IF(C$2:C$3072=C3442, MATCH(D$2:D$3072, D$2:D$3072, 0)), ROW(D$2:D$3072)-ROW(D$2)+1) &gt; 0))</f>
        <v>#N/A</v>
      </c>
      <c r="C3442" s="408"/>
      <c r="D3442" s="408"/>
      <c r="E3442" s="408"/>
      <c r="F3442" s="408"/>
      <c r="G3442" s="408"/>
      <c r="H3442" s="408"/>
      <c r="I3442" s="408"/>
      <c r="J3442" s="408"/>
      <c r="K3442" s="408"/>
      <c r="L3442" s="408"/>
      <c r="M3442" s="408"/>
      <c r="N3442" s="408" t="str">
        <f t="shared" si="480"/>
        <v/>
      </c>
      <c r="O3442" s="408"/>
      <c r="P3442" s="408"/>
      <c r="Q3442" s="408"/>
      <c r="R3442" s="408"/>
      <c r="S3442" s="408"/>
      <c r="T3442" s="408"/>
      <c r="U3442" s="408"/>
      <c r="V3442" s="421"/>
      <c r="W3442" s="421"/>
      <c r="X3442" s="421"/>
      <c r="Y3442" s="421"/>
      <c r="Z3442" s="421"/>
      <c r="AA3442" s="421"/>
      <c r="AB3442" s="421"/>
      <c r="AC3442" s="421"/>
      <c r="AD3442" s="421"/>
      <c r="AE3442" s="421"/>
      <c r="AF3442" s="421"/>
      <c r="AG3442" s="421"/>
      <c r="AH3442" s="421"/>
      <c r="AI3442" s="421"/>
      <c r="AJ3442" s="421"/>
      <c r="AK3442" s="421"/>
      <c r="AL3442" s="421"/>
    </row>
    <row r="3443" spans="1:38" hidden="1">
      <c r="A3443" s="408"/>
      <c r="B3443" s="83" t="e">
        <f t="array" ref="B3443">SUM(--(FREQUENCY(IF(C$2:C$3072=C3443, MATCH(D$2:D$3072, D$2:D$3072, 0)), ROW(D$2:D$3072)-ROW(D$2)+1) &gt; 0))</f>
        <v>#N/A</v>
      </c>
      <c r="C3443" s="408"/>
      <c r="D3443" s="408"/>
      <c r="E3443" s="408"/>
      <c r="F3443" s="408"/>
      <c r="G3443" s="408"/>
      <c r="H3443" s="408"/>
      <c r="I3443" s="408"/>
      <c r="J3443" s="408"/>
      <c r="K3443" s="408"/>
      <c r="L3443" s="408"/>
      <c r="M3443" s="408"/>
      <c r="N3443" s="408" t="str">
        <f t="shared" si="480"/>
        <v/>
      </c>
      <c r="O3443" s="408"/>
      <c r="P3443" s="408"/>
      <c r="Q3443" s="408"/>
      <c r="R3443" s="408"/>
      <c r="S3443" s="408"/>
      <c r="T3443" s="408"/>
      <c r="U3443" s="408"/>
      <c r="V3443" s="421"/>
      <c r="W3443" s="421"/>
      <c r="X3443" s="421"/>
      <c r="Y3443" s="421"/>
      <c r="Z3443" s="421"/>
      <c r="AA3443" s="421"/>
      <c r="AB3443" s="421"/>
      <c r="AC3443" s="421"/>
      <c r="AD3443" s="421"/>
      <c r="AE3443" s="421"/>
      <c r="AF3443" s="421"/>
      <c r="AG3443" s="421"/>
      <c r="AH3443" s="421"/>
      <c r="AI3443" s="421"/>
      <c r="AJ3443" s="421"/>
      <c r="AK3443" s="421"/>
      <c r="AL3443" s="421"/>
    </row>
    <row r="3444" spans="1:38" hidden="1">
      <c r="A3444" s="408"/>
      <c r="B3444" s="83" t="e">
        <f t="array" ref="B3444">SUM(--(FREQUENCY(IF(C$2:C$3072=C3444, MATCH(D$2:D$3072, D$2:D$3072, 0)), ROW(D$2:D$3072)-ROW(D$2)+1) &gt; 0))</f>
        <v>#N/A</v>
      </c>
      <c r="C3444" s="408"/>
      <c r="D3444" s="408"/>
      <c r="E3444" s="408"/>
      <c r="F3444" s="408"/>
      <c r="G3444" s="408"/>
      <c r="H3444" s="408"/>
      <c r="I3444" s="408"/>
      <c r="J3444" s="408"/>
      <c r="K3444" s="408"/>
      <c r="L3444" s="408"/>
      <c r="M3444" s="408"/>
      <c r="N3444" s="408" t="str">
        <f t="shared" si="480"/>
        <v/>
      </c>
      <c r="O3444" s="408"/>
      <c r="P3444" s="408"/>
      <c r="Q3444" s="408"/>
      <c r="R3444" s="408"/>
      <c r="S3444" s="408"/>
      <c r="T3444" s="408"/>
      <c r="U3444" s="408"/>
      <c r="V3444" s="421"/>
      <c r="W3444" s="421"/>
      <c r="X3444" s="421"/>
      <c r="Y3444" s="421"/>
      <c r="Z3444" s="421"/>
      <c r="AA3444" s="421"/>
      <c r="AB3444" s="421"/>
      <c r="AC3444" s="421"/>
      <c r="AD3444" s="421"/>
      <c r="AE3444" s="421"/>
      <c r="AF3444" s="421"/>
      <c r="AG3444" s="421"/>
      <c r="AH3444" s="421"/>
      <c r="AI3444" s="421"/>
      <c r="AJ3444" s="421"/>
      <c r="AK3444" s="421"/>
      <c r="AL3444" s="421"/>
    </row>
    <row r="3445" spans="1:38" hidden="1">
      <c r="A3445" s="408"/>
      <c r="B3445" s="83" t="e">
        <f t="array" ref="B3445">SUM(--(FREQUENCY(IF(C$2:C$3072=C3445, MATCH(D$2:D$3072, D$2:D$3072, 0)), ROW(D$2:D$3072)-ROW(D$2)+1) &gt; 0))</f>
        <v>#N/A</v>
      </c>
      <c r="C3445" s="408"/>
      <c r="D3445" s="408"/>
      <c r="E3445" s="408"/>
      <c r="F3445" s="408"/>
      <c r="G3445" s="408"/>
      <c r="H3445" s="408"/>
      <c r="I3445" s="408"/>
      <c r="J3445" s="408"/>
      <c r="K3445" s="408"/>
      <c r="L3445" s="408"/>
      <c r="M3445" s="408"/>
      <c r="N3445" s="408" t="str">
        <f t="shared" si="480"/>
        <v/>
      </c>
      <c r="O3445" s="408"/>
      <c r="P3445" s="408"/>
      <c r="Q3445" s="408"/>
      <c r="R3445" s="408"/>
      <c r="S3445" s="408"/>
      <c r="T3445" s="408"/>
      <c r="U3445" s="408"/>
      <c r="V3445" s="421"/>
      <c r="W3445" s="421"/>
      <c r="X3445" s="421"/>
      <c r="Y3445" s="421"/>
      <c r="Z3445" s="421"/>
      <c r="AA3445" s="421"/>
      <c r="AB3445" s="421"/>
      <c r="AC3445" s="421"/>
      <c r="AD3445" s="421"/>
      <c r="AE3445" s="421"/>
      <c r="AF3445" s="421"/>
      <c r="AG3445" s="421"/>
      <c r="AH3445" s="421"/>
      <c r="AI3445" s="421"/>
      <c r="AJ3445" s="421"/>
      <c r="AK3445" s="421"/>
      <c r="AL3445" s="421"/>
    </row>
    <row r="3446" spans="1:38" hidden="1">
      <c r="A3446" s="408"/>
      <c r="B3446" s="83" t="e">
        <f t="array" ref="B3446">SUM(--(FREQUENCY(IF(C$2:C$3072=C3446, MATCH(D$2:D$3072, D$2:D$3072, 0)), ROW(D$2:D$3072)-ROW(D$2)+1) &gt; 0))</f>
        <v>#N/A</v>
      </c>
      <c r="C3446" s="408"/>
      <c r="D3446" s="408"/>
      <c r="E3446" s="408"/>
      <c r="F3446" s="408"/>
      <c r="G3446" s="408"/>
      <c r="H3446" s="408"/>
      <c r="I3446" s="408"/>
      <c r="J3446" s="408"/>
      <c r="K3446" s="408"/>
      <c r="L3446" s="408"/>
      <c r="M3446" s="408"/>
      <c r="N3446" s="408" t="str">
        <f t="shared" si="480"/>
        <v/>
      </c>
      <c r="O3446" s="408"/>
      <c r="P3446" s="408"/>
      <c r="Q3446" s="408"/>
      <c r="R3446" s="408"/>
      <c r="S3446" s="408"/>
      <c r="T3446" s="408"/>
      <c r="U3446" s="408"/>
      <c r="V3446" s="421"/>
      <c r="W3446" s="421"/>
      <c r="X3446" s="421"/>
      <c r="Y3446" s="421"/>
      <c r="Z3446" s="421"/>
      <c r="AA3446" s="421"/>
      <c r="AB3446" s="421"/>
      <c r="AC3446" s="421"/>
      <c r="AD3446" s="421"/>
      <c r="AE3446" s="421"/>
      <c r="AF3446" s="421"/>
      <c r="AG3446" s="421"/>
      <c r="AH3446" s="421"/>
      <c r="AI3446" s="421"/>
      <c r="AJ3446" s="421"/>
      <c r="AK3446" s="421"/>
      <c r="AL3446" s="421"/>
    </row>
    <row r="3447" spans="1:38" hidden="1">
      <c r="A3447" s="408"/>
      <c r="B3447" s="83" t="e">
        <f t="array" ref="B3447">SUM(--(FREQUENCY(IF(C$2:C$3072=C3447, MATCH(D$2:D$3072, D$2:D$3072, 0)), ROW(D$2:D$3072)-ROW(D$2)+1) &gt; 0))</f>
        <v>#N/A</v>
      </c>
      <c r="C3447" s="408"/>
      <c r="D3447" s="408"/>
      <c r="E3447" s="408"/>
      <c r="F3447" s="408"/>
      <c r="G3447" s="408"/>
      <c r="H3447" s="408"/>
      <c r="I3447" s="408"/>
      <c r="J3447" s="408"/>
      <c r="K3447" s="408"/>
      <c r="L3447" s="408"/>
      <c r="M3447" s="408"/>
      <c r="N3447" s="408" t="str">
        <f t="shared" si="480"/>
        <v/>
      </c>
      <c r="O3447" s="408"/>
      <c r="P3447" s="408"/>
      <c r="Q3447" s="408"/>
      <c r="R3447" s="408"/>
      <c r="S3447" s="408"/>
      <c r="T3447" s="408"/>
      <c r="U3447" s="408"/>
      <c r="V3447" s="421"/>
      <c r="W3447" s="421"/>
      <c r="X3447" s="421"/>
      <c r="Y3447" s="421"/>
      <c r="Z3447" s="421"/>
      <c r="AA3447" s="421"/>
      <c r="AB3447" s="421"/>
      <c r="AC3447" s="421"/>
      <c r="AD3447" s="421"/>
      <c r="AE3447" s="421"/>
      <c r="AF3447" s="421"/>
      <c r="AG3447" s="421"/>
      <c r="AH3447" s="421"/>
      <c r="AI3447" s="421"/>
      <c r="AJ3447" s="421"/>
      <c r="AK3447" s="421"/>
      <c r="AL3447" s="421"/>
    </row>
    <row r="3448" spans="1:38" hidden="1">
      <c r="A3448" s="408"/>
      <c r="B3448" s="83" t="e">
        <f t="array" ref="B3448">SUM(--(FREQUENCY(IF(C$2:C$3072=C3448, MATCH(D$2:D$3072, D$2:D$3072, 0)), ROW(D$2:D$3072)-ROW(D$2)+1) &gt; 0))</f>
        <v>#N/A</v>
      </c>
      <c r="C3448" s="408"/>
      <c r="D3448" s="408"/>
      <c r="E3448" s="408"/>
      <c r="F3448" s="408"/>
      <c r="G3448" s="408"/>
      <c r="H3448" s="408"/>
      <c r="I3448" s="408"/>
      <c r="J3448" s="408"/>
      <c r="K3448" s="408"/>
      <c r="L3448" s="408"/>
      <c r="M3448" s="408"/>
      <c r="N3448" s="408" t="str">
        <f t="shared" si="480"/>
        <v/>
      </c>
      <c r="O3448" s="408"/>
      <c r="P3448" s="408"/>
      <c r="Q3448" s="408"/>
      <c r="R3448" s="408"/>
      <c r="S3448" s="408"/>
      <c r="T3448" s="408"/>
      <c r="U3448" s="408"/>
      <c r="V3448" s="421"/>
      <c r="W3448" s="421"/>
      <c r="X3448" s="421"/>
      <c r="Y3448" s="421"/>
      <c r="Z3448" s="421"/>
      <c r="AA3448" s="421"/>
      <c r="AB3448" s="421"/>
      <c r="AC3448" s="421"/>
      <c r="AD3448" s="421"/>
      <c r="AE3448" s="421"/>
      <c r="AF3448" s="421"/>
      <c r="AG3448" s="421"/>
      <c r="AH3448" s="421"/>
      <c r="AI3448" s="421"/>
      <c r="AJ3448" s="421"/>
      <c r="AK3448" s="421"/>
      <c r="AL3448" s="421"/>
    </row>
    <row r="3449" spans="1:38" hidden="1">
      <c r="A3449" s="408"/>
      <c r="B3449" s="83" t="e">
        <f t="array" ref="B3449">SUM(--(FREQUENCY(IF(C$2:C$3072=C3449, MATCH(D$2:D$3072, D$2:D$3072, 0)), ROW(D$2:D$3072)-ROW(D$2)+1) &gt; 0))</f>
        <v>#N/A</v>
      </c>
      <c r="C3449" s="408"/>
      <c r="D3449" s="408"/>
      <c r="E3449" s="408"/>
      <c r="F3449" s="408"/>
      <c r="G3449" s="408"/>
      <c r="H3449" s="408"/>
      <c r="I3449" s="408"/>
      <c r="J3449" s="408"/>
      <c r="K3449" s="408"/>
      <c r="L3449" s="408"/>
      <c r="M3449" s="408"/>
      <c r="N3449" s="408" t="str">
        <f t="shared" si="480"/>
        <v/>
      </c>
      <c r="O3449" s="408"/>
      <c r="P3449" s="408"/>
      <c r="Q3449" s="408"/>
      <c r="R3449" s="408"/>
      <c r="S3449" s="408"/>
      <c r="T3449" s="408"/>
      <c r="U3449" s="408"/>
      <c r="V3449" s="421"/>
      <c r="W3449" s="421"/>
      <c r="X3449" s="421"/>
      <c r="Y3449" s="421"/>
      <c r="Z3449" s="421"/>
      <c r="AA3449" s="421"/>
      <c r="AB3449" s="421"/>
      <c r="AC3449" s="421"/>
      <c r="AD3449" s="421"/>
      <c r="AE3449" s="421"/>
      <c r="AF3449" s="421"/>
      <c r="AG3449" s="421"/>
      <c r="AH3449" s="421"/>
      <c r="AI3449" s="421"/>
      <c r="AJ3449" s="421"/>
      <c r="AK3449" s="421"/>
      <c r="AL3449" s="421"/>
    </row>
    <row r="3450" spans="1:38" hidden="1">
      <c r="A3450" s="408"/>
      <c r="B3450" s="83" t="e">
        <f t="array" ref="B3450">SUM(--(FREQUENCY(IF(C$2:C$3072=C3450, MATCH(D$2:D$3072, D$2:D$3072, 0)), ROW(D$2:D$3072)-ROW(D$2)+1) &gt; 0))</f>
        <v>#N/A</v>
      </c>
      <c r="C3450" s="408"/>
      <c r="D3450" s="408"/>
      <c r="E3450" s="408"/>
      <c r="F3450" s="408"/>
      <c r="G3450" s="408"/>
      <c r="H3450" s="408"/>
      <c r="I3450" s="408"/>
      <c r="J3450" s="408"/>
      <c r="K3450" s="408"/>
      <c r="L3450" s="408"/>
      <c r="M3450" s="408"/>
      <c r="N3450" s="408" t="str">
        <f t="shared" si="480"/>
        <v/>
      </c>
      <c r="O3450" s="408"/>
      <c r="P3450" s="408"/>
      <c r="Q3450" s="408"/>
      <c r="R3450" s="408"/>
      <c r="S3450" s="408"/>
      <c r="T3450" s="408"/>
      <c r="U3450" s="408"/>
      <c r="V3450" s="421"/>
      <c r="W3450" s="421"/>
      <c r="X3450" s="421"/>
      <c r="Y3450" s="421"/>
      <c r="Z3450" s="421"/>
      <c r="AA3450" s="421"/>
      <c r="AB3450" s="421"/>
      <c r="AC3450" s="421"/>
      <c r="AD3450" s="421"/>
      <c r="AE3450" s="421"/>
      <c r="AF3450" s="421"/>
      <c r="AG3450" s="421"/>
      <c r="AH3450" s="421"/>
      <c r="AI3450" s="421"/>
      <c r="AJ3450" s="421"/>
      <c r="AK3450" s="421"/>
      <c r="AL3450" s="421"/>
    </row>
    <row r="3451" spans="1:38" hidden="1">
      <c r="A3451" s="408"/>
      <c r="B3451" s="83" t="e">
        <f t="array" ref="B3451">SUM(--(FREQUENCY(IF(C$2:C$3072=C3451, MATCH(D$2:D$3072, D$2:D$3072, 0)), ROW(D$2:D$3072)-ROW(D$2)+1) &gt; 0))</f>
        <v>#N/A</v>
      </c>
      <c r="C3451" s="408"/>
      <c r="D3451" s="408"/>
      <c r="E3451" s="408"/>
      <c r="F3451" s="408"/>
      <c r="G3451" s="408"/>
      <c r="H3451" s="408"/>
      <c r="I3451" s="408"/>
      <c r="J3451" s="408"/>
      <c r="K3451" s="408"/>
      <c r="L3451" s="408"/>
      <c r="M3451" s="408"/>
      <c r="N3451" s="408" t="str">
        <f t="shared" si="480"/>
        <v/>
      </c>
      <c r="O3451" s="408"/>
      <c r="P3451" s="408"/>
      <c r="Q3451" s="408"/>
      <c r="R3451" s="408"/>
      <c r="S3451" s="408"/>
      <c r="T3451" s="408"/>
      <c r="U3451" s="408"/>
      <c r="V3451" s="421"/>
      <c r="W3451" s="421"/>
      <c r="X3451" s="421"/>
      <c r="Y3451" s="421"/>
      <c r="Z3451" s="421"/>
      <c r="AA3451" s="421"/>
      <c r="AB3451" s="421"/>
      <c r="AC3451" s="421"/>
      <c r="AD3451" s="421"/>
      <c r="AE3451" s="421"/>
      <c r="AF3451" s="421"/>
      <c r="AG3451" s="421"/>
      <c r="AH3451" s="421"/>
      <c r="AI3451" s="421"/>
      <c r="AJ3451" s="421"/>
      <c r="AK3451" s="421"/>
      <c r="AL3451" s="421"/>
    </row>
    <row r="3452" spans="1:38" hidden="1">
      <c r="A3452" s="408"/>
      <c r="B3452" s="83" t="e">
        <f t="array" ref="B3452">SUM(--(FREQUENCY(IF(C$2:C$3072=C3452, MATCH(D$2:D$3072, D$2:D$3072, 0)), ROW(D$2:D$3072)-ROW(D$2)+1) &gt; 0))</f>
        <v>#N/A</v>
      </c>
      <c r="C3452" s="408"/>
      <c r="D3452" s="408"/>
      <c r="E3452" s="408"/>
      <c r="F3452" s="408"/>
      <c r="G3452" s="408"/>
      <c r="H3452" s="408"/>
      <c r="I3452" s="408"/>
      <c r="J3452" s="408"/>
      <c r="K3452" s="408"/>
      <c r="L3452" s="408"/>
      <c r="M3452" s="408"/>
      <c r="N3452" s="408" t="str">
        <f t="shared" si="480"/>
        <v/>
      </c>
      <c r="O3452" s="408"/>
      <c r="P3452" s="408"/>
      <c r="Q3452" s="408"/>
      <c r="R3452" s="408"/>
      <c r="S3452" s="408"/>
      <c r="T3452" s="408"/>
      <c r="U3452" s="408"/>
      <c r="V3452" s="421"/>
      <c r="W3452" s="421"/>
      <c r="X3452" s="421"/>
      <c r="Y3452" s="421"/>
      <c r="Z3452" s="421"/>
      <c r="AA3452" s="421"/>
      <c r="AB3452" s="421"/>
      <c r="AC3452" s="421"/>
      <c r="AD3452" s="421"/>
      <c r="AE3452" s="421"/>
      <c r="AF3452" s="421"/>
      <c r="AG3452" s="421"/>
      <c r="AH3452" s="421"/>
      <c r="AI3452" s="421"/>
      <c r="AJ3452" s="421"/>
      <c r="AK3452" s="421"/>
      <c r="AL3452" s="421"/>
    </row>
    <row r="3453" spans="1:38" hidden="1">
      <c r="A3453" s="408"/>
      <c r="B3453" s="83" t="e">
        <f t="array" ref="B3453">SUM(--(FREQUENCY(IF(C$2:C$3072=C3453, MATCH(D$2:D$3072, D$2:D$3072, 0)), ROW(D$2:D$3072)-ROW(D$2)+1) &gt; 0))</f>
        <v>#N/A</v>
      </c>
      <c r="C3453" s="408"/>
      <c r="D3453" s="408"/>
      <c r="E3453" s="408"/>
      <c r="F3453" s="408"/>
      <c r="G3453" s="408"/>
      <c r="H3453" s="408"/>
      <c r="I3453" s="408"/>
      <c r="J3453" s="408"/>
      <c r="K3453" s="408"/>
      <c r="L3453" s="408"/>
      <c r="M3453" s="408"/>
      <c r="N3453" s="408" t="str">
        <f t="shared" si="480"/>
        <v/>
      </c>
      <c r="O3453" s="408"/>
      <c r="P3453" s="408"/>
      <c r="Q3453" s="408"/>
      <c r="R3453" s="408"/>
      <c r="S3453" s="408"/>
      <c r="T3453" s="408"/>
      <c r="U3453" s="408"/>
      <c r="V3453" s="421"/>
      <c r="W3453" s="421"/>
      <c r="X3453" s="421"/>
      <c r="Y3453" s="421"/>
      <c r="Z3453" s="421"/>
      <c r="AA3453" s="421"/>
      <c r="AB3453" s="421"/>
      <c r="AC3453" s="421"/>
      <c r="AD3453" s="421"/>
      <c r="AE3453" s="421"/>
      <c r="AF3453" s="421"/>
      <c r="AG3453" s="421"/>
      <c r="AH3453" s="421"/>
      <c r="AI3453" s="421"/>
      <c r="AJ3453" s="421"/>
      <c r="AK3453" s="421"/>
      <c r="AL3453" s="421"/>
    </row>
    <row r="3454" spans="1:38" hidden="1">
      <c r="A3454" s="408"/>
      <c r="B3454" s="83" t="e">
        <f t="array" ref="B3454">SUM(--(FREQUENCY(IF(C$2:C$3072=C3454, MATCH(D$2:D$3072, D$2:D$3072, 0)), ROW(D$2:D$3072)-ROW(D$2)+1) &gt; 0))</f>
        <v>#N/A</v>
      </c>
      <c r="C3454" s="408"/>
      <c r="D3454" s="408"/>
      <c r="E3454" s="408"/>
      <c r="F3454" s="408"/>
      <c r="G3454" s="408"/>
      <c r="H3454" s="408"/>
      <c r="I3454" s="408"/>
      <c r="J3454" s="408"/>
      <c r="K3454" s="408"/>
      <c r="L3454" s="408"/>
      <c r="M3454" s="408"/>
      <c r="N3454" s="408" t="str">
        <f t="shared" si="480"/>
        <v/>
      </c>
      <c r="O3454" s="408"/>
      <c r="P3454" s="408"/>
      <c r="Q3454" s="408"/>
      <c r="R3454" s="408"/>
      <c r="S3454" s="408"/>
      <c r="T3454" s="408"/>
      <c r="U3454" s="408"/>
      <c r="V3454" s="421"/>
      <c r="W3454" s="421"/>
      <c r="X3454" s="421"/>
      <c r="Y3454" s="421"/>
      <c r="Z3454" s="421"/>
      <c r="AA3454" s="421"/>
      <c r="AB3454" s="421"/>
      <c r="AC3454" s="421"/>
      <c r="AD3454" s="421"/>
      <c r="AE3454" s="421"/>
      <c r="AF3454" s="421"/>
      <c r="AG3454" s="421"/>
      <c r="AH3454" s="421"/>
      <c r="AI3454" s="421"/>
      <c r="AJ3454" s="421"/>
      <c r="AK3454" s="421"/>
      <c r="AL3454" s="421"/>
    </row>
    <row r="3455" spans="1:38" hidden="1">
      <c r="A3455" s="408"/>
      <c r="B3455" s="83" t="e">
        <f t="array" ref="B3455">SUM(--(FREQUENCY(IF(C$2:C$3072=C3455, MATCH(D$2:D$3072, D$2:D$3072, 0)), ROW(D$2:D$3072)-ROW(D$2)+1) &gt; 0))</f>
        <v>#N/A</v>
      </c>
      <c r="C3455" s="408"/>
      <c r="D3455" s="408"/>
      <c r="E3455" s="408"/>
      <c r="F3455" s="408"/>
      <c r="G3455" s="408"/>
      <c r="H3455" s="408"/>
      <c r="I3455" s="408"/>
      <c r="J3455" s="408"/>
      <c r="K3455" s="408"/>
      <c r="L3455" s="408"/>
      <c r="M3455" s="408"/>
      <c r="N3455" s="408" t="str">
        <f t="shared" si="480"/>
        <v/>
      </c>
      <c r="O3455" s="408"/>
      <c r="P3455" s="408"/>
      <c r="Q3455" s="408"/>
      <c r="R3455" s="408"/>
      <c r="S3455" s="408"/>
      <c r="T3455" s="408"/>
      <c r="U3455" s="408"/>
      <c r="V3455" s="421"/>
      <c r="W3455" s="421"/>
      <c r="X3455" s="421"/>
      <c r="Y3455" s="421"/>
      <c r="Z3455" s="421"/>
      <c r="AA3455" s="421"/>
      <c r="AB3455" s="421"/>
      <c r="AC3455" s="421"/>
      <c r="AD3455" s="421"/>
      <c r="AE3455" s="421"/>
      <c r="AF3455" s="421"/>
      <c r="AG3455" s="421"/>
      <c r="AH3455" s="421"/>
      <c r="AI3455" s="421"/>
      <c r="AJ3455" s="421"/>
      <c r="AK3455" s="421"/>
      <c r="AL3455" s="421"/>
    </row>
    <row r="3456" spans="1:38" hidden="1">
      <c r="A3456" s="408"/>
      <c r="B3456" s="83" t="e">
        <f t="array" ref="B3456">SUM(--(FREQUENCY(IF(C$2:C$3072=C3456, MATCH(D$2:D$3072, D$2:D$3072, 0)), ROW(D$2:D$3072)-ROW(D$2)+1) &gt; 0))</f>
        <v>#N/A</v>
      </c>
      <c r="C3456" s="408"/>
      <c r="D3456" s="408"/>
      <c r="E3456" s="408"/>
      <c r="F3456" s="408"/>
      <c r="G3456" s="408"/>
      <c r="H3456" s="408"/>
      <c r="I3456" s="408"/>
      <c r="J3456" s="408"/>
      <c r="K3456" s="408"/>
      <c r="L3456" s="408"/>
      <c r="M3456" s="408"/>
      <c r="N3456" s="408" t="str">
        <f t="shared" ref="N3456:N3519" si="481">IF(O3456&lt;&gt;"", "NG", "")</f>
        <v/>
      </c>
      <c r="O3456" s="408"/>
      <c r="P3456" s="408"/>
      <c r="Q3456" s="408"/>
      <c r="R3456" s="408"/>
      <c r="S3456" s="408"/>
      <c r="T3456" s="408"/>
      <c r="U3456" s="408"/>
      <c r="V3456" s="421"/>
      <c r="W3456" s="421"/>
      <c r="X3456" s="421"/>
      <c r="Y3456" s="421"/>
      <c r="Z3456" s="421"/>
      <c r="AA3456" s="421"/>
      <c r="AB3456" s="421"/>
      <c r="AC3456" s="421"/>
      <c r="AD3456" s="421"/>
      <c r="AE3456" s="421"/>
      <c r="AF3456" s="421"/>
      <c r="AG3456" s="421"/>
      <c r="AH3456" s="421"/>
      <c r="AI3456" s="421"/>
      <c r="AJ3456" s="421"/>
      <c r="AK3456" s="421"/>
      <c r="AL3456" s="421"/>
    </row>
    <row r="3457" spans="1:38" hidden="1">
      <c r="A3457" s="408"/>
      <c r="B3457" s="83" t="e">
        <f t="array" ref="B3457">SUM(--(FREQUENCY(IF(C$2:C$3072=C3457, MATCH(D$2:D$3072, D$2:D$3072, 0)), ROW(D$2:D$3072)-ROW(D$2)+1) &gt; 0))</f>
        <v>#N/A</v>
      </c>
      <c r="C3457" s="408"/>
      <c r="D3457" s="408"/>
      <c r="E3457" s="408"/>
      <c r="F3457" s="408"/>
      <c r="G3457" s="408"/>
      <c r="H3457" s="408"/>
      <c r="I3457" s="408"/>
      <c r="J3457" s="408"/>
      <c r="K3457" s="408"/>
      <c r="L3457" s="408"/>
      <c r="M3457" s="408"/>
      <c r="N3457" s="408" t="str">
        <f t="shared" si="481"/>
        <v/>
      </c>
      <c r="O3457" s="408"/>
      <c r="P3457" s="408"/>
      <c r="Q3457" s="408"/>
      <c r="R3457" s="408"/>
      <c r="S3457" s="408"/>
      <c r="T3457" s="408"/>
      <c r="U3457" s="408"/>
      <c r="V3457" s="421"/>
      <c r="W3457" s="421"/>
      <c r="X3457" s="421"/>
      <c r="Y3457" s="421"/>
      <c r="Z3457" s="421"/>
      <c r="AA3457" s="421"/>
      <c r="AB3457" s="421"/>
      <c r="AC3457" s="421"/>
      <c r="AD3457" s="421"/>
      <c r="AE3457" s="421"/>
      <c r="AF3457" s="421"/>
      <c r="AG3457" s="421"/>
      <c r="AH3457" s="421"/>
      <c r="AI3457" s="421"/>
      <c r="AJ3457" s="421"/>
      <c r="AK3457" s="421"/>
      <c r="AL3457" s="421"/>
    </row>
    <row r="3458" spans="1:38" hidden="1">
      <c r="A3458" s="408"/>
      <c r="B3458" s="83" t="e">
        <f t="array" ref="B3458">SUM(--(FREQUENCY(IF(C$2:C$3072=C3458, MATCH(D$2:D$3072, D$2:D$3072, 0)), ROW(D$2:D$3072)-ROW(D$2)+1) &gt; 0))</f>
        <v>#N/A</v>
      </c>
      <c r="C3458" s="408"/>
      <c r="D3458" s="408"/>
      <c r="E3458" s="408"/>
      <c r="F3458" s="408"/>
      <c r="G3458" s="408"/>
      <c r="H3458" s="408"/>
      <c r="I3458" s="408"/>
      <c r="J3458" s="408"/>
      <c r="K3458" s="408"/>
      <c r="L3458" s="408"/>
      <c r="M3458" s="408"/>
      <c r="N3458" s="408" t="str">
        <f t="shared" si="481"/>
        <v/>
      </c>
      <c r="O3458" s="408"/>
      <c r="P3458" s="408"/>
      <c r="Q3458" s="408"/>
      <c r="R3458" s="408"/>
      <c r="S3458" s="408"/>
      <c r="T3458" s="408"/>
      <c r="U3458" s="408"/>
      <c r="V3458" s="421"/>
      <c r="W3458" s="421"/>
      <c r="X3458" s="421"/>
      <c r="Y3458" s="421"/>
      <c r="Z3458" s="421"/>
      <c r="AA3458" s="421"/>
      <c r="AB3458" s="421"/>
      <c r="AC3458" s="421"/>
      <c r="AD3458" s="421"/>
      <c r="AE3458" s="421"/>
      <c r="AF3458" s="421"/>
      <c r="AG3458" s="421"/>
      <c r="AH3458" s="421"/>
      <c r="AI3458" s="421"/>
      <c r="AJ3458" s="421"/>
      <c r="AK3458" s="421"/>
      <c r="AL3458" s="421"/>
    </row>
    <row r="3459" spans="1:38" hidden="1">
      <c r="A3459" s="408"/>
      <c r="B3459" s="83" t="e">
        <f t="array" ref="B3459">SUM(--(FREQUENCY(IF(C$2:C$3072=C3459, MATCH(D$2:D$3072, D$2:D$3072, 0)), ROW(D$2:D$3072)-ROW(D$2)+1) &gt; 0))</f>
        <v>#N/A</v>
      </c>
      <c r="C3459" s="408"/>
      <c r="D3459" s="408"/>
      <c r="E3459" s="408"/>
      <c r="F3459" s="408"/>
      <c r="G3459" s="408"/>
      <c r="H3459" s="408"/>
      <c r="I3459" s="408"/>
      <c r="J3459" s="408"/>
      <c r="K3459" s="408"/>
      <c r="L3459" s="408"/>
      <c r="M3459" s="408"/>
      <c r="N3459" s="408" t="str">
        <f t="shared" si="481"/>
        <v/>
      </c>
      <c r="O3459" s="408"/>
      <c r="P3459" s="408"/>
      <c r="Q3459" s="408"/>
      <c r="R3459" s="408"/>
      <c r="S3459" s="408"/>
      <c r="T3459" s="408"/>
      <c r="U3459" s="408"/>
      <c r="V3459" s="421"/>
      <c r="W3459" s="421"/>
      <c r="X3459" s="421"/>
      <c r="Y3459" s="421"/>
      <c r="Z3459" s="421"/>
      <c r="AA3459" s="421"/>
      <c r="AB3459" s="421"/>
      <c r="AC3459" s="421"/>
      <c r="AD3459" s="421"/>
      <c r="AE3459" s="421"/>
      <c r="AF3459" s="421"/>
      <c r="AG3459" s="421"/>
      <c r="AH3459" s="421"/>
      <c r="AI3459" s="421"/>
      <c r="AJ3459" s="421"/>
      <c r="AK3459" s="421"/>
      <c r="AL3459" s="421"/>
    </row>
    <row r="3460" spans="1:38" hidden="1">
      <c r="A3460" s="408"/>
      <c r="B3460" s="83" t="e">
        <f t="array" ref="B3460">SUM(--(FREQUENCY(IF(C$2:C$3072=C3460, MATCH(D$2:D$3072, D$2:D$3072, 0)), ROW(D$2:D$3072)-ROW(D$2)+1) &gt; 0))</f>
        <v>#N/A</v>
      </c>
      <c r="C3460" s="408"/>
      <c r="D3460" s="408"/>
      <c r="E3460" s="408"/>
      <c r="F3460" s="408"/>
      <c r="G3460" s="408"/>
      <c r="H3460" s="408"/>
      <c r="I3460" s="408"/>
      <c r="J3460" s="408"/>
      <c r="K3460" s="408"/>
      <c r="L3460" s="408"/>
      <c r="M3460" s="408"/>
      <c r="N3460" s="408" t="str">
        <f t="shared" si="481"/>
        <v/>
      </c>
      <c r="O3460" s="408"/>
      <c r="P3460" s="408"/>
      <c r="Q3460" s="408"/>
      <c r="R3460" s="408"/>
      <c r="S3460" s="408"/>
      <c r="T3460" s="408"/>
      <c r="U3460" s="408"/>
      <c r="V3460" s="421"/>
      <c r="W3460" s="421"/>
      <c r="X3460" s="421"/>
      <c r="Y3460" s="421"/>
      <c r="Z3460" s="421"/>
      <c r="AA3460" s="421"/>
      <c r="AB3460" s="421"/>
      <c r="AC3460" s="421"/>
      <c r="AD3460" s="421"/>
      <c r="AE3460" s="421"/>
      <c r="AF3460" s="421"/>
      <c r="AG3460" s="421"/>
      <c r="AH3460" s="421"/>
      <c r="AI3460" s="421"/>
      <c r="AJ3460" s="421"/>
      <c r="AK3460" s="421"/>
      <c r="AL3460" s="421"/>
    </row>
    <row r="3461" spans="1:38" hidden="1">
      <c r="A3461" s="408"/>
      <c r="B3461" s="83" t="e">
        <f t="array" ref="B3461">SUM(--(FREQUENCY(IF(C$2:C$3072=C3461, MATCH(D$2:D$3072, D$2:D$3072, 0)), ROW(D$2:D$3072)-ROW(D$2)+1) &gt; 0))</f>
        <v>#N/A</v>
      </c>
      <c r="C3461" s="408"/>
      <c r="D3461" s="408"/>
      <c r="E3461" s="408"/>
      <c r="F3461" s="408"/>
      <c r="G3461" s="408"/>
      <c r="H3461" s="408"/>
      <c r="I3461" s="408"/>
      <c r="J3461" s="408"/>
      <c r="K3461" s="408"/>
      <c r="L3461" s="408"/>
      <c r="M3461" s="408"/>
      <c r="N3461" s="408" t="str">
        <f t="shared" si="481"/>
        <v/>
      </c>
      <c r="O3461" s="408"/>
      <c r="P3461" s="408"/>
      <c r="Q3461" s="408"/>
      <c r="R3461" s="408"/>
      <c r="S3461" s="408"/>
      <c r="T3461" s="408"/>
      <c r="U3461" s="408"/>
      <c r="V3461" s="421"/>
      <c r="W3461" s="421"/>
      <c r="X3461" s="421"/>
      <c r="Y3461" s="421"/>
      <c r="Z3461" s="421"/>
      <c r="AA3461" s="421"/>
      <c r="AB3461" s="421"/>
      <c r="AC3461" s="421"/>
      <c r="AD3461" s="421"/>
      <c r="AE3461" s="421"/>
      <c r="AF3461" s="421"/>
      <c r="AG3461" s="421"/>
      <c r="AH3461" s="421"/>
      <c r="AI3461" s="421"/>
      <c r="AJ3461" s="421"/>
      <c r="AK3461" s="421"/>
      <c r="AL3461" s="421"/>
    </row>
    <row r="3462" spans="1:38" hidden="1">
      <c r="A3462" s="408"/>
      <c r="B3462" s="83" t="e">
        <f t="array" ref="B3462">SUM(--(FREQUENCY(IF(C$2:C$3072=C3462, MATCH(D$2:D$3072, D$2:D$3072, 0)), ROW(D$2:D$3072)-ROW(D$2)+1) &gt; 0))</f>
        <v>#N/A</v>
      </c>
      <c r="C3462" s="408"/>
      <c r="D3462" s="408"/>
      <c r="E3462" s="408"/>
      <c r="F3462" s="408"/>
      <c r="G3462" s="408"/>
      <c r="H3462" s="408"/>
      <c r="I3462" s="408"/>
      <c r="J3462" s="408"/>
      <c r="K3462" s="408"/>
      <c r="L3462" s="408"/>
      <c r="M3462" s="408"/>
      <c r="N3462" s="408" t="str">
        <f t="shared" si="481"/>
        <v/>
      </c>
      <c r="O3462" s="408"/>
      <c r="P3462" s="408"/>
      <c r="Q3462" s="408"/>
      <c r="R3462" s="408"/>
      <c r="S3462" s="408"/>
      <c r="T3462" s="408"/>
      <c r="U3462" s="408"/>
      <c r="V3462" s="421"/>
      <c r="W3462" s="421"/>
      <c r="X3462" s="421"/>
      <c r="Y3462" s="421"/>
      <c r="Z3462" s="421"/>
      <c r="AA3462" s="421"/>
      <c r="AB3462" s="421"/>
      <c r="AC3462" s="421"/>
      <c r="AD3462" s="421"/>
      <c r="AE3462" s="421"/>
      <c r="AF3462" s="421"/>
      <c r="AG3462" s="421"/>
      <c r="AH3462" s="421"/>
      <c r="AI3462" s="421"/>
      <c r="AJ3462" s="421"/>
      <c r="AK3462" s="421"/>
      <c r="AL3462" s="421"/>
    </row>
    <row r="3463" spans="1:38" hidden="1">
      <c r="A3463" s="408"/>
      <c r="B3463" s="83" t="e">
        <f t="array" ref="B3463">SUM(--(FREQUENCY(IF(C$2:C$3072=C3463, MATCH(D$2:D$3072, D$2:D$3072, 0)), ROW(D$2:D$3072)-ROW(D$2)+1) &gt; 0))</f>
        <v>#N/A</v>
      </c>
      <c r="C3463" s="408"/>
      <c r="D3463" s="408"/>
      <c r="E3463" s="408"/>
      <c r="F3463" s="408"/>
      <c r="G3463" s="408"/>
      <c r="H3463" s="408"/>
      <c r="I3463" s="408"/>
      <c r="J3463" s="408"/>
      <c r="K3463" s="408"/>
      <c r="L3463" s="408"/>
      <c r="M3463" s="408"/>
      <c r="N3463" s="408" t="str">
        <f t="shared" si="481"/>
        <v/>
      </c>
      <c r="O3463" s="408"/>
      <c r="P3463" s="408"/>
      <c r="Q3463" s="408"/>
      <c r="R3463" s="408"/>
      <c r="S3463" s="408"/>
      <c r="T3463" s="408"/>
      <c r="U3463" s="408"/>
      <c r="V3463" s="421"/>
      <c r="W3463" s="421"/>
      <c r="X3463" s="421"/>
      <c r="Y3463" s="421"/>
      <c r="Z3463" s="421"/>
      <c r="AA3463" s="421"/>
      <c r="AB3463" s="421"/>
      <c r="AC3463" s="421"/>
      <c r="AD3463" s="421"/>
      <c r="AE3463" s="421"/>
      <c r="AF3463" s="421"/>
      <c r="AG3463" s="421"/>
      <c r="AH3463" s="421"/>
      <c r="AI3463" s="421"/>
      <c r="AJ3463" s="421"/>
      <c r="AK3463" s="421"/>
      <c r="AL3463" s="421"/>
    </row>
    <row r="3464" spans="1:38" hidden="1">
      <c r="A3464" s="408"/>
      <c r="B3464" s="83" t="e">
        <f t="array" ref="B3464">SUM(--(FREQUENCY(IF(C$2:C$3072=C3464, MATCH(D$2:D$3072, D$2:D$3072, 0)), ROW(D$2:D$3072)-ROW(D$2)+1) &gt; 0))</f>
        <v>#N/A</v>
      </c>
      <c r="C3464" s="408"/>
      <c r="D3464" s="408"/>
      <c r="E3464" s="408"/>
      <c r="F3464" s="408"/>
      <c r="G3464" s="408"/>
      <c r="H3464" s="408"/>
      <c r="I3464" s="408"/>
      <c r="J3464" s="408"/>
      <c r="K3464" s="408"/>
      <c r="L3464" s="408"/>
      <c r="M3464" s="408"/>
      <c r="N3464" s="408" t="str">
        <f t="shared" si="481"/>
        <v/>
      </c>
      <c r="O3464" s="408"/>
      <c r="P3464" s="408"/>
      <c r="Q3464" s="408"/>
      <c r="R3464" s="408"/>
      <c r="S3464" s="408"/>
      <c r="T3464" s="408"/>
      <c r="U3464" s="408"/>
      <c r="V3464" s="421"/>
      <c r="W3464" s="421"/>
      <c r="X3464" s="421"/>
      <c r="Y3464" s="421"/>
      <c r="Z3464" s="421"/>
      <c r="AA3464" s="421"/>
      <c r="AB3464" s="421"/>
      <c r="AC3464" s="421"/>
      <c r="AD3464" s="421"/>
      <c r="AE3464" s="421"/>
      <c r="AF3464" s="421"/>
      <c r="AG3464" s="421"/>
      <c r="AH3464" s="421"/>
      <c r="AI3464" s="421"/>
      <c r="AJ3464" s="421"/>
      <c r="AK3464" s="421"/>
      <c r="AL3464" s="421"/>
    </row>
    <row r="3465" spans="1:38" hidden="1">
      <c r="A3465" s="408"/>
      <c r="B3465" s="83" t="e">
        <f t="array" ref="B3465">SUM(--(FREQUENCY(IF(C$2:C$3072=C3465, MATCH(D$2:D$3072, D$2:D$3072, 0)), ROW(D$2:D$3072)-ROW(D$2)+1) &gt; 0))</f>
        <v>#N/A</v>
      </c>
      <c r="C3465" s="408"/>
      <c r="D3465" s="408"/>
      <c r="E3465" s="408"/>
      <c r="F3465" s="408"/>
      <c r="G3465" s="408"/>
      <c r="H3465" s="408"/>
      <c r="I3465" s="408"/>
      <c r="J3465" s="408"/>
      <c r="K3465" s="408"/>
      <c r="L3465" s="408"/>
      <c r="M3465" s="408"/>
      <c r="N3465" s="408" t="str">
        <f t="shared" si="481"/>
        <v/>
      </c>
      <c r="O3465" s="408"/>
      <c r="P3465" s="408"/>
      <c r="Q3465" s="408"/>
      <c r="R3465" s="408"/>
      <c r="S3465" s="408"/>
      <c r="T3465" s="408"/>
      <c r="U3465" s="408"/>
      <c r="V3465" s="421"/>
      <c r="W3465" s="421"/>
      <c r="X3465" s="421"/>
      <c r="Y3465" s="421"/>
      <c r="Z3465" s="421"/>
      <c r="AA3465" s="421"/>
      <c r="AB3465" s="421"/>
      <c r="AC3465" s="421"/>
      <c r="AD3465" s="421"/>
      <c r="AE3465" s="421"/>
      <c r="AF3465" s="421"/>
      <c r="AG3465" s="421"/>
      <c r="AH3465" s="421"/>
      <c r="AI3465" s="421"/>
      <c r="AJ3465" s="421"/>
      <c r="AK3465" s="421"/>
      <c r="AL3465" s="421"/>
    </row>
    <row r="3466" spans="1:38" hidden="1">
      <c r="A3466" s="408"/>
      <c r="B3466" s="83" t="e">
        <f t="array" ref="B3466">SUM(--(FREQUENCY(IF(C$2:C$3072=C3466, MATCH(D$2:D$3072, D$2:D$3072, 0)), ROW(D$2:D$3072)-ROW(D$2)+1) &gt; 0))</f>
        <v>#N/A</v>
      </c>
      <c r="C3466" s="408"/>
      <c r="D3466" s="408"/>
      <c r="E3466" s="408"/>
      <c r="F3466" s="408"/>
      <c r="G3466" s="408"/>
      <c r="H3466" s="408"/>
      <c r="I3466" s="408"/>
      <c r="J3466" s="408"/>
      <c r="K3466" s="408"/>
      <c r="L3466" s="408"/>
      <c r="M3466" s="408"/>
      <c r="N3466" s="408" t="str">
        <f t="shared" si="481"/>
        <v/>
      </c>
      <c r="O3466" s="408"/>
      <c r="P3466" s="408"/>
      <c r="Q3466" s="408"/>
      <c r="R3466" s="408"/>
      <c r="S3466" s="408"/>
      <c r="T3466" s="408"/>
      <c r="U3466" s="408"/>
      <c r="V3466" s="421"/>
      <c r="W3466" s="421"/>
      <c r="X3466" s="421"/>
      <c r="Y3466" s="421"/>
      <c r="Z3466" s="421"/>
      <c r="AA3466" s="421"/>
      <c r="AB3466" s="421"/>
      <c r="AC3466" s="421"/>
      <c r="AD3466" s="421"/>
      <c r="AE3466" s="421"/>
      <c r="AF3466" s="421"/>
      <c r="AG3466" s="421"/>
      <c r="AH3466" s="421"/>
      <c r="AI3466" s="421"/>
      <c r="AJ3466" s="421"/>
      <c r="AK3466" s="421"/>
      <c r="AL3466" s="421"/>
    </row>
    <row r="3467" spans="1:38" hidden="1">
      <c r="A3467" s="408"/>
      <c r="B3467" s="83" t="e">
        <f t="array" ref="B3467">SUM(--(FREQUENCY(IF(C$2:C$3072=C3467, MATCH(D$2:D$3072, D$2:D$3072, 0)), ROW(D$2:D$3072)-ROW(D$2)+1) &gt; 0))</f>
        <v>#N/A</v>
      </c>
      <c r="C3467" s="408"/>
      <c r="D3467" s="408"/>
      <c r="E3467" s="408"/>
      <c r="F3467" s="408"/>
      <c r="G3467" s="408"/>
      <c r="H3467" s="408"/>
      <c r="I3467" s="408"/>
      <c r="J3467" s="408"/>
      <c r="K3467" s="408"/>
      <c r="L3467" s="408"/>
      <c r="M3467" s="408"/>
      <c r="N3467" s="408" t="str">
        <f t="shared" si="481"/>
        <v/>
      </c>
      <c r="O3467" s="408"/>
      <c r="P3467" s="408"/>
      <c r="Q3467" s="408"/>
      <c r="R3467" s="408"/>
      <c r="S3467" s="408"/>
      <c r="T3467" s="408"/>
      <c r="U3467" s="408"/>
      <c r="V3467" s="421"/>
      <c r="W3467" s="421"/>
      <c r="X3467" s="421"/>
      <c r="Y3467" s="421"/>
      <c r="Z3467" s="421"/>
      <c r="AA3467" s="421"/>
      <c r="AB3467" s="421"/>
      <c r="AC3467" s="421"/>
      <c r="AD3467" s="421"/>
      <c r="AE3467" s="421"/>
      <c r="AF3467" s="421"/>
      <c r="AG3467" s="421"/>
      <c r="AH3467" s="421"/>
      <c r="AI3467" s="421"/>
      <c r="AJ3467" s="421"/>
      <c r="AK3467" s="421"/>
      <c r="AL3467" s="421"/>
    </row>
    <row r="3468" spans="1:38" hidden="1">
      <c r="A3468" s="408"/>
      <c r="B3468" s="83" t="e">
        <f t="array" ref="B3468">SUM(--(FREQUENCY(IF(C$2:C$3072=C3468, MATCH(D$2:D$3072, D$2:D$3072, 0)), ROW(D$2:D$3072)-ROW(D$2)+1) &gt; 0))</f>
        <v>#N/A</v>
      </c>
      <c r="C3468" s="408"/>
      <c r="D3468" s="408"/>
      <c r="E3468" s="408"/>
      <c r="F3468" s="408"/>
      <c r="G3468" s="408"/>
      <c r="H3468" s="408"/>
      <c r="I3468" s="408"/>
      <c r="J3468" s="408"/>
      <c r="K3468" s="408"/>
      <c r="L3468" s="408"/>
      <c r="M3468" s="408"/>
      <c r="N3468" s="408" t="str">
        <f t="shared" si="481"/>
        <v/>
      </c>
      <c r="O3468" s="408"/>
      <c r="P3468" s="408"/>
      <c r="Q3468" s="408"/>
      <c r="R3468" s="408"/>
      <c r="S3468" s="408"/>
      <c r="T3468" s="408"/>
      <c r="U3468" s="408"/>
      <c r="V3468" s="421"/>
      <c r="W3468" s="421"/>
      <c r="X3468" s="421"/>
      <c r="Y3468" s="421"/>
      <c r="Z3468" s="421"/>
      <c r="AA3468" s="421"/>
      <c r="AB3468" s="421"/>
      <c r="AC3468" s="421"/>
      <c r="AD3468" s="421"/>
      <c r="AE3468" s="421"/>
      <c r="AF3468" s="421"/>
      <c r="AG3468" s="421"/>
      <c r="AH3468" s="421"/>
      <c r="AI3468" s="421"/>
      <c r="AJ3468" s="421"/>
      <c r="AK3468" s="421"/>
      <c r="AL3468" s="421"/>
    </row>
    <row r="3469" spans="1:38" hidden="1">
      <c r="A3469" s="408"/>
      <c r="B3469" s="83" t="e">
        <f t="array" ref="B3469">SUM(--(FREQUENCY(IF(C$2:C$3072=C3469, MATCH(D$2:D$3072, D$2:D$3072, 0)), ROW(D$2:D$3072)-ROW(D$2)+1) &gt; 0))</f>
        <v>#N/A</v>
      </c>
      <c r="C3469" s="408"/>
      <c r="D3469" s="408"/>
      <c r="E3469" s="408"/>
      <c r="F3469" s="408"/>
      <c r="G3469" s="408"/>
      <c r="H3469" s="408"/>
      <c r="I3469" s="408"/>
      <c r="J3469" s="408"/>
      <c r="K3469" s="408"/>
      <c r="L3469" s="408"/>
      <c r="M3469" s="408"/>
      <c r="N3469" s="408" t="str">
        <f t="shared" si="481"/>
        <v/>
      </c>
      <c r="O3469" s="408"/>
      <c r="P3469" s="408"/>
      <c r="Q3469" s="408"/>
      <c r="R3469" s="408"/>
      <c r="S3469" s="408"/>
      <c r="T3469" s="408"/>
      <c r="U3469" s="408"/>
      <c r="V3469" s="421"/>
      <c r="W3469" s="421"/>
      <c r="X3469" s="421"/>
      <c r="Y3469" s="421"/>
      <c r="Z3469" s="421"/>
      <c r="AA3469" s="421"/>
      <c r="AB3469" s="421"/>
      <c r="AC3469" s="421"/>
      <c r="AD3469" s="421"/>
      <c r="AE3469" s="421"/>
      <c r="AF3469" s="421"/>
      <c r="AG3469" s="421"/>
      <c r="AH3469" s="421"/>
      <c r="AI3469" s="421"/>
      <c r="AJ3469" s="421"/>
      <c r="AK3469" s="421"/>
      <c r="AL3469" s="421"/>
    </row>
    <row r="3470" spans="1:38" hidden="1">
      <c r="A3470" s="408"/>
      <c r="B3470" s="83" t="e">
        <f t="array" ref="B3470">SUM(--(FREQUENCY(IF(C$2:C$3072=C3470, MATCH(D$2:D$3072, D$2:D$3072, 0)), ROW(D$2:D$3072)-ROW(D$2)+1) &gt; 0))</f>
        <v>#N/A</v>
      </c>
      <c r="C3470" s="408"/>
      <c r="D3470" s="408"/>
      <c r="E3470" s="408"/>
      <c r="F3470" s="408"/>
      <c r="G3470" s="408"/>
      <c r="H3470" s="408"/>
      <c r="I3470" s="408"/>
      <c r="J3470" s="408"/>
      <c r="K3470" s="408"/>
      <c r="L3470" s="408"/>
      <c r="M3470" s="408"/>
      <c r="N3470" s="408" t="str">
        <f t="shared" si="481"/>
        <v/>
      </c>
      <c r="O3470" s="408"/>
      <c r="P3470" s="408"/>
      <c r="Q3470" s="408"/>
      <c r="R3470" s="408"/>
      <c r="S3470" s="408"/>
      <c r="T3470" s="408"/>
      <c r="U3470" s="408"/>
      <c r="V3470" s="421"/>
      <c r="W3470" s="421"/>
      <c r="X3470" s="421"/>
      <c r="Y3470" s="421"/>
      <c r="Z3470" s="421"/>
      <c r="AA3470" s="421"/>
      <c r="AB3470" s="421"/>
      <c r="AC3470" s="421"/>
      <c r="AD3470" s="421"/>
      <c r="AE3470" s="421"/>
      <c r="AF3470" s="421"/>
      <c r="AG3470" s="421"/>
      <c r="AH3470" s="421"/>
      <c r="AI3470" s="421"/>
      <c r="AJ3470" s="421"/>
      <c r="AK3470" s="421"/>
      <c r="AL3470" s="421"/>
    </row>
    <row r="3471" spans="1:38" hidden="1">
      <c r="A3471" s="408"/>
      <c r="B3471" s="83" t="e">
        <f t="array" ref="B3471">SUM(--(FREQUENCY(IF(C$2:C$3072=C3471, MATCH(D$2:D$3072, D$2:D$3072, 0)), ROW(D$2:D$3072)-ROW(D$2)+1) &gt; 0))</f>
        <v>#N/A</v>
      </c>
      <c r="C3471" s="408"/>
      <c r="D3471" s="408"/>
      <c r="E3471" s="408"/>
      <c r="F3471" s="408"/>
      <c r="G3471" s="408"/>
      <c r="H3471" s="408"/>
      <c r="I3471" s="408"/>
      <c r="J3471" s="408"/>
      <c r="K3471" s="408"/>
      <c r="L3471" s="408"/>
      <c r="M3471" s="408"/>
      <c r="N3471" s="408" t="str">
        <f t="shared" si="481"/>
        <v/>
      </c>
      <c r="O3471" s="408"/>
      <c r="P3471" s="408"/>
      <c r="Q3471" s="408"/>
      <c r="R3471" s="408"/>
      <c r="S3471" s="408"/>
      <c r="T3471" s="408"/>
      <c r="U3471" s="408"/>
      <c r="V3471" s="421"/>
      <c r="W3471" s="421"/>
      <c r="X3471" s="421"/>
      <c r="Y3471" s="421"/>
      <c r="Z3471" s="421"/>
      <c r="AA3471" s="421"/>
      <c r="AB3471" s="421"/>
      <c r="AC3471" s="421"/>
      <c r="AD3471" s="421"/>
      <c r="AE3471" s="421"/>
      <c r="AF3471" s="421"/>
      <c r="AG3471" s="421"/>
      <c r="AH3471" s="421"/>
      <c r="AI3471" s="421"/>
      <c r="AJ3471" s="421"/>
      <c r="AK3471" s="421"/>
      <c r="AL3471" s="421"/>
    </row>
    <row r="3472" spans="1:38" hidden="1">
      <c r="A3472" s="408"/>
      <c r="B3472" s="83" t="e">
        <f t="array" ref="B3472">SUM(--(FREQUENCY(IF(C$2:C$3072=C3472, MATCH(D$2:D$3072, D$2:D$3072, 0)), ROW(D$2:D$3072)-ROW(D$2)+1) &gt; 0))</f>
        <v>#N/A</v>
      </c>
      <c r="C3472" s="408"/>
      <c r="D3472" s="408"/>
      <c r="E3472" s="408"/>
      <c r="F3472" s="408"/>
      <c r="G3472" s="408"/>
      <c r="H3472" s="408"/>
      <c r="I3472" s="408"/>
      <c r="J3472" s="408"/>
      <c r="K3472" s="408"/>
      <c r="L3472" s="408"/>
      <c r="M3472" s="408"/>
      <c r="N3472" s="408" t="str">
        <f t="shared" si="481"/>
        <v/>
      </c>
      <c r="O3472" s="408"/>
      <c r="P3472" s="408"/>
      <c r="Q3472" s="408"/>
      <c r="R3472" s="408"/>
      <c r="S3472" s="408"/>
      <c r="T3472" s="408"/>
      <c r="U3472" s="408"/>
      <c r="V3472" s="421"/>
      <c r="W3472" s="421"/>
      <c r="X3472" s="421"/>
      <c r="Y3472" s="421"/>
      <c r="Z3472" s="421"/>
      <c r="AA3472" s="421"/>
      <c r="AB3472" s="421"/>
      <c r="AC3472" s="421"/>
      <c r="AD3472" s="421"/>
      <c r="AE3472" s="421"/>
      <c r="AF3472" s="421"/>
      <c r="AG3472" s="421"/>
      <c r="AH3472" s="421"/>
      <c r="AI3472" s="421"/>
      <c r="AJ3472" s="421"/>
      <c r="AK3472" s="421"/>
      <c r="AL3472" s="421"/>
    </row>
    <row r="3473" spans="1:38" hidden="1">
      <c r="A3473" s="408"/>
      <c r="B3473" s="83" t="e">
        <f t="array" ref="B3473">SUM(--(FREQUENCY(IF(C$2:C$3072=C3473, MATCH(D$2:D$3072, D$2:D$3072, 0)), ROW(D$2:D$3072)-ROW(D$2)+1) &gt; 0))</f>
        <v>#N/A</v>
      </c>
      <c r="C3473" s="408"/>
      <c r="D3473" s="408"/>
      <c r="E3473" s="408"/>
      <c r="F3473" s="408"/>
      <c r="G3473" s="408"/>
      <c r="H3473" s="408"/>
      <c r="I3473" s="408"/>
      <c r="J3473" s="408"/>
      <c r="K3473" s="408"/>
      <c r="L3473" s="408"/>
      <c r="M3473" s="408"/>
      <c r="N3473" s="408" t="str">
        <f t="shared" si="481"/>
        <v/>
      </c>
      <c r="O3473" s="408"/>
      <c r="P3473" s="408"/>
      <c r="Q3473" s="408"/>
      <c r="R3473" s="408"/>
      <c r="S3473" s="408"/>
      <c r="T3473" s="408"/>
      <c r="U3473" s="408"/>
      <c r="V3473" s="421"/>
      <c r="W3473" s="421"/>
      <c r="X3473" s="421"/>
      <c r="Y3473" s="421"/>
      <c r="Z3473" s="421"/>
      <c r="AA3473" s="421"/>
      <c r="AB3473" s="421"/>
      <c r="AC3473" s="421"/>
      <c r="AD3473" s="421"/>
      <c r="AE3473" s="421"/>
      <c r="AF3473" s="421"/>
      <c r="AG3473" s="421"/>
      <c r="AH3473" s="421"/>
      <c r="AI3473" s="421"/>
      <c r="AJ3473" s="421"/>
      <c r="AK3473" s="421"/>
      <c r="AL3473" s="421"/>
    </row>
    <row r="3474" spans="1:38" hidden="1">
      <c r="A3474" s="408"/>
      <c r="B3474" s="83" t="e">
        <f t="array" ref="B3474">SUM(--(FREQUENCY(IF(C$2:C$3072=C3474, MATCH(D$2:D$3072, D$2:D$3072, 0)), ROW(D$2:D$3072)-ROW(D$2)+1) &gt; 0))</f>
        <v>#N/A</v>
      </c>
      <c r="C3474" s="408"/>
      <c r="D3474" s="408"/>
      <c r="E3474" s="408"/>
      <c r="F3474" s="408"/>
      <c r="G3474" s="408"/>
      <c r="H3474" s="408"/>
      <c r="I3474" s="408"/>
      <c r="J3474" s="408"/>
      <c r="K3474" s="408"/>
      <c r="L3474" s="408"/>
      <c r="M3474" s="408"/>
      <c r="N3474" s="408" t="str">
        <f t="shared" si="481"/>
        <v/>
      </c>
      <c r="O3474" s="408"/>
      <c r="P3474" s="408"/>
      <c r="Q3474" s="408"/>
      <c r="R3474" s="408"/>
      <c r="S3474" s="408"/>
      <c r="T3474" s="408"/>
      <c r="U3474" s="408"/>
      <c r="V3474" s="421"/>
      <c r="W3474" s="421"/>
      <c r="X3474" s="421"/>
      <c r="Y3474" s="421"/>
      <c r="Z3474" s="421"/>
      <c r="AA3474" s="421"/>
      <c r="AB3474" s="421"/>
      <c r="AC3474" s="421"/>
      <c r="AD3474" s="421"/>
      <c r="AE3474" s="421"/>
      <c r="AF3474" s="421"/>
      <c r="AG3474" s="421"/>
      <c r="AH3474" s="421"/>
      <c r="AI3474" s="421"/>
      <c r="AJ3474" s="421"/>
      <c r="AK3474" s="421"/>
      <c r="AL3474" s="421"/>
    </row>
    <row r="3475" spans="1:38" hidden="1">
      <c r="A3475" s="408"/>
      <c r="B3475" s="83" t="e">
        <f t="array" ref="B3475">SUM(--(FREQUENCY(IF(C$2:C$3072=C3475, MATCH(D$2:D$3072, D$2:D$3072, 0)), ROW(D$2:D$3072)-ROW(D$2)+1) &gt; 0))</f>
        <v>#N/A</v>
      </c>
      <c r="C3475" s="408"/>
      <c r="D3475" s="408"/>
      <c r="E3475" s="408"/>
      <c r="F3475" s="408"/>
      <c r="G3475" s="408"/>
      <c r="H3475" s="408"/>
      <c r="I3475" s="408"/>
      <c r="J3475" s="408"/>
      <c r="K3475" s="408"/>
      <c r="L3475" s="408"/>
      <c r="M3475" s="408"/>
      <c r="N3475" s="408" t="str">
        <f t="shared" si="481"/>
        <v/>
      </c>
      <c r="O3475" s="408"/>
      <c r="P3475" s="408"/>
      <c r="Q3475" s="408"/>
      <c r="R3475" s="408"/>
      <c r="S3475" s="408"/>
      <c r="T3475" s="408"/>
      <c r="U3475" s="408"/>
      <c r="V3475" s="421"/>
      <c r="W3475" s="421"/>
      <c r="X3475" s="421"/>
      <c r="Y3475" s="421"/>
      <c r="Z3475" s="421"/>
      <c r="AA3475" s="421"/>
      <c r="AB3475" s="421"/>
      <c r="AC3475" s="421"/>
      <c r="AD3475" s="421"/>
      <c r="AE3475" s="421"/>
      <c r="AF3475" s="421"/>
      <c r="AG3475" s="421"/>
      <c r="AH3475" s="421"/>
      <c r="AI3475" s="421"/>
      <c r="AJ3475" s="421"/>
      <c r="AK3475" s="421"/>
      <c r="AL3475" s="421"/>
    </row>
    <row r="3476" spans="1:38" hidden="1">
      <c r="A3476" s="408"/>
      <c r="B3476" s="83" t="e">
        <f t="array" ref="B3476">SUM(--(FREQUENCY(IF(C$2:C$3072=C3476, MATCH(D$2:D$3072, D$2:D$3072, 0)), ROW(D$2:D$3072)-ROW(D$2)+1) &gt; 0))</f>
        <v>#N/A</v>
      </c>
      <c r="C3476" s="408"/>
      <c r="D3476" s="408"/>
      <c r="E3476" s="408"/>
      <c r="F3476" s="408"/>
      <c r="G3476" s="408"/>
      <c r="H3476" s="408"/>
      <c r="I3476" s="408"/>
      <c r="J3476" s="408"/>
      <c r="K3476" s="408"/>
      <c r="L3476" s="408"/>
      <c r="M3476" s="408"/>
      <c r="N3476" s="408" t="str">
        <f t="shared" si="481"/>
        <v/>
      </c>
      <c r="O3476" s="408"/>
      <c r="P3476" s="408"/>
      <c r="Q3476" s="408"/>
      <c r="R3476" s="408"/>
      <c r="S3476" s="408"/>
      <c r="T3476" s="408"/>
      <c r="U3476" s="408"/>
      <c r="V3476" s="421"/>
      <c r="W3476" s="421"/>
      <c r="X3476" s="421"/>
      <c r="Y3476" s="421"/>
      <c r="Z3476" s="421"/>
      <c r="AA3476" s="421"/>
      <c r="AB3476" s="421"/>
      <c r="AC3476" s="421"/>
      <c r="AD3476" s="421"/>
      <c r="AE3476" s="421"/>
      <c r="AF3476" s="421"/>
      <c r="AG3476" s="421"/>
      <c r="AH3476" s="421"/>
      <c r="AI3476" s="421"/>
      <c r="AJ3476" s="421"/>
      <c r="AK3476" s="421"/>
      <c r="AL3476" s="421"/>
    </row>
    <row r="3477" spans="1:38" hidden="1">
      <c r="A3477" s="408"/>
      <c r="B3477" s="83" t="e">
        <f t="array" ref="B3477">SUM(--(FREQUENCY(IF(C$2:C$3072=C3477, MATCH(D$2:D$3072, D$2:D$3072, 0)), ROW(D$2:D$3072)-ROW(D$2)+1) &gt; 0))</f>
        <v>#N/A</v>
      </c>
      <c r="C3477" s="408"/>
      <c r="D3477" s="408"/>
      <c r="E3477" s="408"/>
      <c r="F3477" s="408"/>
      <c r="G3477" s="408"/>
      <c r="H3477" s="408"/>
      <c r="I3477" s="408"/>
      <c r="J3477" s="408"/>
      <c r="K3477" s="408"/>
      <c r="L3477" s="408"/>
      <c r="M3477" s="408"/>
      <c r="N3477" s="408" t="str">
        <f t="shared" si="481"/>
        <v/>
      </c>
      <c r="O3477" s="408"/>
      <c r="P3477" s="408"/>
      <c r="Q3477" s="408"/>
      <c r="R3477" s="408"/>
      <c r="S3477" s="408"/>
      <c r="T3477" s="408"/>
      <c r="U3477" s="408"/>
      <c r="V3477" s="421"/>
      <c r="W3477" s="421"/>
      <c r="X3477" s="421"/>
      <c r="Y3477" s="421"/>
      <c r="Z3477" s="421"/>
      <c r="AA3477" s="421"/>
      <c r="AB3477" s="421"/>
      <c r="AC3477" s="421"/>
      <c r="AD3477" s="421"/>
      <c r="AE3477" s="421"/>
      <c r="AF3477" s="421"/>
      <c r="AG3477" s="421"/>
      <c r="AH3477" s="421"/>
      <c r="AI3477" s="421"/>
      <c r="AJ3477" s="421"/>
      <c r="AK3477" s="421"/>
      <c r="AL3477" s="421"/>
    </row>
    <row r="3478" spans="1:38" hidden="1">
      <c r="A3478" s="408"/>
      <c r="B3478" s="83" t="e">
        <f t="array" ref="B3478">SUM(--(FREQUENCY(IF(C$2:C$3072=C3478, MATCH(D$2:D$3072, D$2:D$3072, 0)), ROW(D$2:D$3072)-ROW(D$2)+1) &gt; 0))</f>
        <v>#N/A</v>
      </c>
      <c r="C3478" s="408"/>
      <c r="D3478" s="408"/>
      <c r="E3478" s="408"/>
      <c r="F3478" s="408"/>
      <c r="G3478" s="408"/>
      <c r="H3478" s="408"/>
      <c r="I3478" s="408"/>
      <c r="J3478" s="408"/>
      <c r="K3478" s="408"/>
      <c r="L3478" s="408"/>
      <c r="M3478" s="408"/>
      <c r="N3478" s="408" t="str">
        <f t="shared" si="481"/>
        <v/>
      </c>
      <c r="O3478" s="408"/>
      <c r="P3478" s="408"/>
      <c r="Q3478" s="408"/>
      <c r="R3478" s="408"/>
      <c r="S3478" s="408"/>
      <c r="T3478" s="408"/>
      <c r="U3478" s="408"/>
      <c r="V3478" s="421"/>
      <c r="W3478" s="421"/>
      <c r="X3478" s="421"/>
      <c r="Y3478" s="421"/>
      <c r="Z3478" s="421"/>
      <c r="AA3478" s="421"/>
      <c r="AB3478" s="421"/>
      <c r="AC3478" s="421"/>
      <c r="AD3478" s="421"/>
      <c r="AE3478" s="421"/>
      <c r="AF3478" s="421"/>
      <c r="AG3478" s="421"/>
      <c r="AH3478" s="421"/>
      <c r="AI3478" s="421"/>
      <c r="AJ3478" s="421"/>
      <c r="AK3478" s="421"/>
      <c r="AL3478" s="421"/>
    </row>
    <row r="3479" spans="1:38" hidden="1">
      <c r="A3479" s="408"/>
      <c r="B3479" s="83" t="e">
        <f t="array" ref="B3479">SUM(--(FREQUENCY(IF(C$2:C$3072=C3479, MATCH(D$2:D$3072, D$2:D$3072, 0)), ROW(D$2:D$3072)-ROW(D$2)+1) &gt; 0))</f>
        <v>#N/A</v>
      </c>
      <c r="C3479" s="408"/>
      <c r="D3479" s="408"/>
      <c r="E3479" s="408"/>
      <c r="F3479" s="408"/>
      <c r="G3479" s="408"/>
      <c r="H3479" s="408"/>
      <c r="I3479" s="408"/>
      <c r="J3479" s="408"/>
      <c r="K3479" s="408"/>
      <c r="L3479" s="408"/>
      <c r="M3479" s="408"/>
      <c r="N3479" s="408" t="str">
        <f t="shared" si="481"/>
        <v/>
      </c>
      <c r="O3479" s="408"/>
      <c r="P3479" s="408"/>
      <c r="Q3479" s="408"/>
      <c r="R3479" s="408"/>
      <c r="S3479" s="408"/>
      <c r="T3479" s="408"/>
      <c r="U3479" s="408"/>
      <c r="V3479" s="421"/>
      <c r="W3479" s="421"/>
      <c r="X3479" s="421"/>
      <c r="Y3479" s="421"/>
      <c r="Z3479" s="421"/>
      <c r="AA3479" s="421"/>
      <c r="AB3479" s="421"/>
      <c r="AC3479" s="421"/>
      <c r="AD3479" s="421"/>
      <c r="AE3479" s="421"/>
      <c r="AF3479" s="421"/>
      <c r="AG3479" s="421"/>
      <c r="AH3479" s="421"/>
      <c r="AI3479" s="421"/>
      <c r="AJ3479" s="421"/>
      <c r="AK3479" s="421"/>
      <c r="AL3479" s="421"/>
    </row>
    <row r="3480" spans="1:38" hidden="1">
      <c r="A3480" s="408"/>
      <c r="B3480" s="83" t="e">
        <f t="array" ref="B3480">SUM(--(FREQUENCY(IF(C$2:C$3072=C3480, MATCH(D$2:D$3072, D$2:D$3072, 0)), ROW(D$2:D$3072)-ROW(D$2)+1) &gt; 0))</f>
        <v>#N/A</v>
      </c>
      <c r="C3480" s="408"/>
      <c r="D3480" s="408"/>
      <c r="E3480" s="408"/>
      <c r="F3480" s="408"/>
      <c r="G3480" s="408"/>
      <c r="H3480" s="408"/>
      <c r="I3480" s="408"/>
      <c r="J3480" s="408"/>
      <c r="K3480" s="408"/>
      <c r="L3480" s="408"/>
      <c r="M3480" s="408"/>
      <c r="N3480" s="408" t="str">
        <f t="shared" si="481"/>
        <v/>
      </c>
      <c r="O3480" s="408"/>
      <c r="P3480" s="408"/>
      <c r="Q3480" s="408"/>
      <c r="R3480" s="408"/>
      <c r="S3480" s="408"/>
      <c r="T3480" s="408"/>
      <c r="U3480" s="408"/>
      <c r="V3480" s="421"/>
      <c r="W3480" s="421"/>
      <c r="X3480" s="421"/>
      <c r="Y3480" s="421"/>
      <c r="Z3480" s="421"/>
      <c r="AA3480" s="421"/>
      <c r="AB3480" s="421"/>
      <c r="AC3480" s="421"/>
      <c r="AD3480" s="421"/>
      <c r="AE3480" s="421"/>
      <c r="AF3480" s="421"/>
      <c r="AG3480" s="421"/>
      <c r="AH3480" s="421"/>
      <c r="AI3480" s="421"/>
      <c r="AJ3480" s="421"/>
      <c r="AK3480" s="421"/>
      <c r="AL3480" s="421"/>
    </row>
    <row r="3481" spans="1:38" hidden="1">
      <c r="A3481" s="408"/>
      <c r="B3481" s="83" t="e">
        <f t="array" ref="B3481">SUM(--(FREQUENCY(IF(C$2:C$3072=C3481, MATCH(D$2:D$3072, D$2:D$3072, 0)), ROW(D$2:D$3072)-ROW(D$2)+1) &gt; 0))</f>
        <v>#N/A</v>
      </c>
      <c r="C3481" s="408"/>
      <c r="D3481" s="408"/>
      <c r="E3481" s="408"/>
      <c r="F3481" s="408"/>
      <c r="G3481" s="408"/>
      <c r="H3481" s="408"/>
      <c r="I3481" s="408"/>
      <c r="J3481" s="408"/>
      <c r="K3481" s="408"/>
      <c r="L3481" s="408"/>
      <c r="M3481" s="408"/>
      <c r="N3481" s="408" t="str">
        <f t="shared" si="481"/>
        <v/>
      </c>
      <c r="O3481" s="408"/>
      <c r="P3481" s="408"/>
      <c r="Q3481" s="408"/>
      <c r="R3481" s="408"/>
      <c r="S3481" s="408"/>
      <c r="T3481" s="408"/>
      <c r="U3481" s="408"/>
      <c r="V3481" s="421"/>
      <c r="W3481" s="421"/>
      <c r="X3481" s="421"/>
      <c r="Y3481" s="421"/>
      <c r="Z3481" s="421"/>
      <c r="AA3481" s="421"/>
      <c r="AB3481" s="421"/>
      <c r="AC3481" s="421"/>
      <c r="AD3481" s="421"/>
      <c r="AE3481" s="421"/>
      <c r="AF3481" s="421"/>
      <c r="AG3481" s="421"/>
      <c r="AH3481" s="421"/>
      <c r="AI3481" s="421"/>
      <c r="AJ3481" s="421"/>
      <c r="AK3481" s="421"/>
      <c r="AL3481" s="421"/>
    </row>
    <row r="3482" spans="1:38" hidden="1">
      <c r="A3482" s="408"/>
      <c r="B3482" s="83" t="e">
        <f t="array" ref="B3482">SUM(--(FREQUENCY(IF(C$2:C$3072=C3482, MATCH(D$2:D$3072, D$2:D$3072, 0)), ROW(D$2:D$3072)-ROW(D$2)+1) &gt; 0))</f>
        <v>#N/A</v>
      </c>
      <c r="C3482" s="408"/>
      <c r="D3482" s="408"/>
      <c r="E3482" s="408"/>
      <c r="F3482" s="408"/>
      <c r="G3482" s="408"/>
      <c r="H3482" s="408"/>
      <c r="I3482" s="408"/>
      <c r="J3482" s="408"/>
      <c r="K3482" s="408"/>
      <c r="L3482" s="408"/>
      <c r="M3482" s="408"/>
      <c r="N3482" s="408" t="str">
        <f t="shared" si="481"/>
        <v/>
      </c>
      <c r="O3482" s="408"/>
      <c r="P3482" s="408"/>
      <c r="Q3482" s="408"/>
      <c r="R3482" s="408"/>
      <c r="S3482" s="408"/>
      <c r="T3482" s="408"/>
      <c r="U3482" s="408"/>
      <c r="V3482" s="421"/>
      <c r="W3482" s="421"/>
      <c r="X3482" s="421"/>
      <c r="Y3482" s="421"/>
      <c r="Z3482" s="421"/>
      <c r="AA3482" s="421"/>
      <c r="AB3482" s="421"/>
      <c r="AC3482" s="421"/>
      <c r="AD3482" s="421"/>
      <c r="AE3482" s="421"/>
      <c r="AF3482" s="421"/>
      <c r="AG3482" s="421"/>
      <c r="AH3482" s="421"/>
      <c r="AI3482" s="421"/>
      <c r="AJ3482" s="421"/>
      <c r="AK3482" s="421"/>
      <c r="AL3482" s="421"/>
    </row>
    <row r="3483" spans="1:38" hidden="1">
      <c r="A3483" s="408"/>
      <c r="B3483" s="83" t="e">
        <f t="array" ref="B3483">SUM(--(FREQUENCY(IF(C$2:C$3072=C3483, MATCH(D$2:D$3072, D$2:D$3072, 0)), ROW(D$2:D$3072)-ROW(D$2)+1) &gt; 0))</f>
        <v>#N/A</v>
      </c>
      <c r="C3483" s="408"/>
      <c r="D3483" s="408"/>
      <c r="E3483" s="408"/>
      <c r="F3483" s="408"/>
      <c r="G3483" s="408"/>
      <c r="H3483" s="408"/>
      <c r="I3483" s="408"/>
      <c r="J3483" s="408"/>
      <c r="K3483" s="408"/>
      <c r="L3483" s="408"/>
      <c r="M3483" s="408"/>
      <c r="N3483" s="408" t="str">
        <f t="shared" si="481"/>
        <v/>
      </c>
      <c r="O3483" s="408"/>
      <c r="P3483" s="408"/>
      <c r="Q3483" s="408"/>
      <c r="R3483" s="408"/>
      <c r="S3483" s="408"/>
      <c r="T3483" s="408"/>
      <c r="U3483" s="408"/>
      <c r="V3483" s="421"/>
      <c r="W3483" s="421"/>
      <c r="X3483" s="421"/>
      <c r="Y3483" s="421"/>
      <c r="Z3483" s="421"/>
      <c r="AA3483" s="421"/>
      <c r="AB3483" s="421"/>
      <c r="AC3483" s="421"/>
      <c r="AD3483" s="421"/>
      <c r="AE3483" s="421"/>
      <c r="AF3483" s="421"/>
      <c r="AG3483" s="421"/>
      <c r="AH3483" s="421"/>
      <c r="AI3483" s="421"/>
      <c r="AJ3483" s="421"/>
      <c r="AK3483" s="421"/>
      <c r="AL3483" s="421"/>
    </row>
    <row r="3484" spans="1:38" hidden="1">
      <c r="A3484" s="408"/>
      <c r="B3484" s="83" t="e">
        <f t="array" ref="B3484">SUM(--(FREQUENCY(IF(C$2:C$3072=C3484, MATCH(D$2:D$3072, D$2:D$3072, 0)), ROW(D$2:D$3072)-ROW(D$2)+1) &gt; 0))</f>
        <v>#N/A</v>
      </c>
      <c r="C3484" s="408"/>
      <c r="D3484" s="408"/>
      <c r="E3484" s="408"/>
      <c r="F3484" s="408"/>
      <c r="G3484" s="408"/>
      <c r="H3484" s="408"/>
      <c r="I3484" s="408"/>
      <c r="J3484" s="408"/>
      <c r="K3484" s="408"/>
      <c r="L3484" s="408"/>
      <c r="M3484" s="408"/>
      <c r="N3484" s="408" t="str">
        <f t="shared" si="481"/>
        <v/>
      </c>
      <c r="O3484" s="408"/>
      <c r="P3484" s="408"/>
      <c r="Q3484" s="408"/>
      <c r="R3484" s="408"/>
      <c r="S3484" s="408"/>
      <c r="T3484" s="408"/>
      <c r="U3484" s="408"/>
      <c r="V3484" s="421"/>
      <c r="W3484" s="421"/>
      <c r="X3484" s="421"/>
      <c r="Y3484" s="421"/>
      <c r="Z3484" s="421"/>
      <c r="AA3484" s="421"/>
      <c r="AB3484" s="421"/>
      <c r="AC3484" s="421"/>
      <c r="AD3484" s="421"/>
      <c r="AE3484" s="421"/>
      <c r="AF3484" s="421"/>
      <c r="AG3484" s="421"/>
      <c r="AH3484" s="421"/>
      <c r="AI3484" s="421"/>
      <c r="AJ3484" s="421"/>
      <c r="AK3484" s="421"/>
      <c r="AL3484" s="421"/>
    </row>
    <row r="3485" spans="1:38" hidden="1">
      <c r="A3485" s="408"/>
      <c r="B3485" s="83" t="e">
        <f t="array" ref="B3485">SUM(--(FREQUENCY(IF(C$2:C$3072=C3485, MATCH(D$2:D$3072, D$2:D$3072, 0)), ROW(D$2:D$3072)-ROW(D$2)+1) &gt; 0))</f>
        <v>#N/A</v>
      </c>
      <c r="C3485" s="408"/>
      <c r="D3485" s="408"/>
      <c r="E3485" s="408"/>
      <c r="F3485" s="408"/>
      <c r="G3485" s="408"/>
      <c r="H3485" s="408"/>
      <c r="I3485" s="408"/>
      <c r="J3485" s="408"/>
      <c r="K3485" s="408"/>
      <c r="L3485" s="408"/>
      <c r="M3485" s="408"/>
      <c r="N3485" s="408" t="str">
        <f t="shared" si="481"/>
        <v/>
      </c>
      <c r="O3485" s="408"/>
      <c r="P3485" s="408"/>
      <c r="Q3485" s="408"/>
      <c r="R3485" s="408"/>
      <c r="S3485" s="408"/>
      <c r="T3485" s="408"/>
      <c r="U3485" s="408"/>
      <c r="V3485" s="421"/>
      <c r="W3485" s="421"/>
      <c r="X3485" s="421"/>
      <c r="Y3485" s="421"/>
      <c r="Z3485" s="421"/>
      <c r="AA3485" s="421"/>
      <c r="AB3485" s="421"/>
      <c r="AC3485" s="421"/>
      <c r="AD3485" s="421"/>
      <c r="AE3485" s="421"/>
      <c r="AF3485" s="421"/>
      <c r="AG3485" s="421"/>
      <c r="AH3485" s="421"/>
      <c r="AI3485" s="421"/>
      <c r="AJ3485" s="421"/>
      <c r="AK3485" s="421"/>
      <c r="AL3485" s="421"/>
    </row>
    <row r="3486" spans="1:38" hidden="1">
      <c r="A3486" s="408"/>
      <c r="B3486" s="83" t="e">
        <f t="array" ref="B3486">SUM(--(FREQUENCY(IF(C$2:C$3072=C3486, MATCH(D$2:D$3072, D$2:D$3072, 0)), ROW(D$2:D$3072)-ROW(D$2)+1) &gt; 0))</f>
        <v>#N/A</v>
      </c>
      <c r="C3486" s="408"/>
      <c r="D3486" s="408"/>
      <c r="E3486" s="408"/>
      <c r="F3486" s="408"/>
      <c r="G3486" s="408"/>
      <c r="H3486" s="408"/>
      <c r="I3486" s="408"/>
      <c r="J3486" s="408"/>
      <c r="K3486" s="408"/>
      <c r="L3486" s="408"/>
      <c r="M3486" s="408"/>
      <c r="N3486" s="408" t="str">
        <f t="shared" si="481"/>
        <v/>
      </c>
      <c r="O3486" s="408"/>
      <c r="P3486" s="408"/>
      <c r="Q3486" s="408"/>
      <c r="R3486" s="408"/>
      <c r="S3486" s="408"/>
      <c r="T3486" s="408"/>
      <c r="U3486" s="408"/>
      <c r="V3486" s="421"/>
      <c r="W3486" s="421"/>
      <c r="X3486" s="421"/>
      <c r="Y3486" s="421"/>
      <c r="Z3486" s="421"/>
      <c r="AA3486" s="421"/>
      <c r="AB3486" s="421"/>
      <c r="AC3486" s="421"/>
      <c r="AD3486" s="421"/>
      <c r="AE3486" s="421"/>
      <c r="AF3486" s="421"/>
      <c r="AG3486" s="421"/>
      <c r="AH3486" s="421"/>
      <c r="AI3486" s="421"/>
      <c r="AJ3486" s="421"/>
      <c r="AK3486" s="421"/>
      <c r="AL3486" s="421"/>
    </row>
    <row r="3487" spans="1:38" hidden="1">
      <c r="A3487" s="408"/>
      <c r="B3487" s="83" t="e">
        <f t="array" ref="B3487">SUM(--(FREQUENCY(IF(C$2:C$3072=C3487, MATCH(D$2:D$3072, D$2:D$3072, 0)), ROW(D$2:D$3072)-ROW(D$2)+1) &gt; 0))</f>
        <v>#N/A</v>
      </c>
      <c r="C3487" s="408"/>
      <c r="D3487" s="408"/>
      <c r="E3487" s="408"/>
      <c r="F3487" s="408"/>
      <c r="G3487" s="408"/>
      <c r="H3487" s="408"/>
      <c r="I3487" s="408"/>
      <c r="J3487" s="408"/>
      <c r="K3487" s="408"/>
      <c r="L3487" s="408"/>
      <c r="M3487" s="408"/>
      <c r="N3487" s="408" t="str">
        <f t="shared" si="481"/>
        <v/>
      </c>
      <c r="O3487" s="408"/>
      <c r="P3487" s="408"/>
      <c r="Q3487" s="408"/>
      <c r="R3487" s="408"/>
      <c r="S3487" s="408"/>
      <c r="T3487" s="408"/>
      <c r="U3487" s="408"/>
      <c r="V3487" s="421"/>
      <c r="W3487" s="421"/>
      <c r="X3487" s="421"/>
      <c r="Y3487" s="421"/>
      <c r="Z3487" s="421"/>
      <c r="AA3487" s="421"/>
      <c r="AB3487" s="421"/>
      <c r="AC3487" s="421"/>
      <c r="AD3487" s="421"/>
      <c r="AE3487" s="421"/>
      <c r="AF3487" s="421"/>
      <c r="AG3487" s="421"/>
      <c r="AH3487" s="421"/>
      <c r="AI3487" s="421"/>
      <c r="AJ3487" s="421"/>
      <c r="AK3487" s="421"/>
      <c r="AL3487" s="421"/>
    </row>
    <row r="3488" spans="1:38" hidden="1">
      <c r="A3488" s="408"/>
      <c r="B3488" s="83" t="e">
        <f t="array" ref="B3488">SUM(--(FREQUENCY(IF(C$2:C$3072=C3488, MATCH(D$2:D$3072, D$2:D$3072, 0)), ROW(D$2:D$3072)-ROW(D$2)+1) &gt; 0))</f>
        <v>#N/A</v>
      </c>
      <c r="C3488" s="408"/>
      <c r="D3488" s="408"/>
      <c r="E3488" s="408"/>
      <c r="F3488" s="408"/>
      <c r="G3488" s="408"/>
      <c r="H3488" s="408"/>
      <c r="I3488" s="408"/>
      <c r="J3488" s="408"/>
      <c r="K3488" s="408"/>
      <c r="L3488" s="408"/>
      <c r="M3488" s="408"/>
      <c r="N3488" s="408" t="str">
        <f t="shared" si="481"/>
        <v/>
      </c>
      <c r="O3488" s="408"/>
      <c r="P3488" s="408"/>
      <c r="Q3488" s="408"/>
      <c r="R3488" s="408"/>
      <c r="S3488" s="408"/>
      <c r="T3488" s="408"/>
      <c r="U3488" s="408"/>
      <c r="V3488" s="421"/>
      <c r="W3488" s="421"/>
      <c r="X3488" s="421"/>
      <c r="Y3488" s="421"/>
      <c r="Z3488" s="421"/>
      <c r="AA3488" s="421"/>
      <c r="AB3488" s="421"/>
      <c r="AC3488" s="421"/>
      <c r="AD3488" s="421"/>
      <c r="AE3488" s="421"/>
      <c r="AF3488" s="421"/>
      <c r="AG3488" s="421"/>
      <c r="AH3488" s="421"/>
      <c r="AI3488" s="421"/>
      <c r="AJ3488" s="421"/>
      <c r="AK3488" s="421"/>
      <c r="AL3488" s="421"/>
    </row>
    <row r="3489" spans="1:38" hidden="1">
      <c r="A3489" s="408"/>
      <c r="B3489" s="83" t="e">
        <f t="array" ref="B3489">SUM(--(FREQUENCY(IF(C$2:C$3072=C3489, MATCH(D$2:D$3072, D$2:D$3072, 0)), ROW(D$2:D$3072)-ROW(D$2)+1) &gt; 0))</f>
        <v>#N/A</v>
      </c>
      <c r="C3489" s="408"/>
      <c r="D3489" s="408"/>
      <c r="E3489" s="408"/>
      <c r="F3489" s="408"/>
      <c r="G3489" s="408"/>
      <c r="H3489" s="408"/>
      <c r="I3489" s="408"/>
      <c r="J3489" s="408"/>
      <c r="K3489" s="408"/>
      <c r="L3489" s="408"/>
      <c r="M3489" s="408"/>
      <c r="N3489" s="408" t="str">
        <f t="shared" si="481"/>
        <v/>
      </c>
      <c r="O3489" s="408"/>
      <c r="P3489" s="408"/>
      <c r="Q3489" s="408"/>
      <c r="R3489" s="408"/>
      <c r="S3489" s="408"/>
      <c r="T3489" s="408"/>
      <c r="U3489" s="408"/>
      <c r="V3489" s="421"/>
      <c r="W3489" s="421"/>
      <c r="X3489" s="421"/>
      <c r="Y3489" s="421"/>
      <c r="Z3489" s="421"/>
      <c r="AA3489" s="421"/>
      <c r="AB3489" s="421"/>
      <c r="AC3489" s="421"/>
      <c r="AD3489" s="421"/>
      <c r="AE3489" s="421"/>
      <c r="AF3489" s="421"/>
      <c r="AG3489" s="421"/>
      <c r="AH3489" s="421"/>
      <c r="AI3489" s="421"/>
      <c r="AJ3489" s="421"/>
      <c r="AK3489" s="421"/>
      <c r="AL3489" s="421"/>
    </row>
    <row r="3490" spans="1:38" hidden="1">
      <c r="A3490" s="408"/>
      <c r="B3490" s="83" t="e">
        <f t="array" ref="B3490">SUM(--(FREQUENCY(IF(C$2:C$3072=C3490, MATCH(D$2:D$3072, D$2:D$3072, 0)), ROW(D$2:D$3072)-ROW(D$2)+1) &gt; 0))</f>
        <v>#N/A</v>
      </c>
      <c r="C3490" s="408"/>
      <c r="D3490" s="408"/>
      <c r="E3490" s="408"/>
      <c r="F3490" s="408"/>
      <c r="G3490" s="408"/>
      <c r="H3490" s="408"/>
      <c r="I3490" s="408"/>
      <c r="J3490" s="408"/>
      <c r="K3490" s="408"/>
      <c r="L3490" s="408"/>
      <c r="M3490" s="408"/>
      <c r="N3490" s="408" t="str">
        <f t="shared" si="481"/>
        <v/>
      </c>
      <c r="O3490" s="408"/>
      <c r="P3490" s="408"/>
      <c r="Q3490" s="408"/>
      <c r="R3490" s="408"/>
      <c r="S3490" s="408"/>
      <c r="T3490" s="408"/>
      <c r="U3490" s="408"/>
      <c r="V3490" s="421"/>
      <c r="W3490" s="421"/>
      <c r="X3490" s="421"/>
      <c r="Y3490" s="421"/>
      <c r="Z3490" s="421"/>
      <c r="AA3490" s="421"/>
      <c r="AB3490" s="421"/>
      <c r="AC3490" s="421"/>
      <c r="AD3490" s="421"/>
      <c r="AE3490" s="421"/>
      <c r="AF3490" s="421"/>
      <c r="AG3490" s="421"/>
      <c r="AH3490" s="421"/>
      <c r="AI3490" s="421"/>
      <c r="AJ3490" s="421"/>
      <c r="AK3490" s="421"/>
      <c r="AL3490" s="421"/>
    </row>
    <row r="3491" spans="1:38" hidden="1">
      <c r="A3491" s="408"/>
      <c r="B3491" s="83" t="e">
        <f t="array" ref="B3491">SUM(--(FREQUENCY(IF(C$2:C$3072=C3491, MATCH(D$2:D$3072, D$2:D$3072, 0)), ROW(D$2:D$3072)-ROW(D$2)+1) &gt; 0))</f>
        <v>#N/A</v>
      </c>
      <c r="C3491" s="408"/>
      <c r="D3491" s="408"/>
      <c r="E3491" s="408"/>
      <c r="F3491" s="408"/>
      <c r="G3491" s="408"/>
      <c r="H3491" s="408"/>
      <c r="I3491" s="408"/>
      <c r="J3491" s="408"/>
      <c r="K3491" s="408"/>
      <c r="L3491" s="408"/>
      <c r="M3491" s="408"/>
      <c r="N3491" s="408" t="str">
        <f t="shared" si="481"/>
        <v/>
      </c>
      <c r="O3491" s="408"/>
      <c r="P3491" s="408"/>
      <c r="Q3491" s="408"/>
      <c r="R3491" s="408"/>
      <c r="S3491" s="408"/>
      <c r="T3491" s="408"/>
      <c r="U3491" s="408"/>
      <c r="V3491" s="421"/>
      <c r="W3491" s="421"/>
      <c r="X3491" s="421"/>
      <c r="Y3491" s="421"/>
      <c r="Z3491" s="421"/>
      <c r="AA3491" s="421"/>
      <c r="AB3491" s="421"/>
      <c r="AC3491" s="421"/>
      <c r="AD3491" s="421"/>
      <c r="AE3491" s="421"/>
      <c r="AF3491" s="421"/>
      <c r="AG3491" s="421"/>
      <c r="AH3491" s="421"/>
      <c r="AI3491" s="421"/>
      <c r="AJ3491" s="421"/>
      <c r="AK3491" s="421"/>
      <c r="AL3491" s="421"/>
    </row>
    <row r="3492" spans="1:38" hidden="1">
      <c r="A3492" s="408"/>
      <c r="B3492" s="83" t="e">
        <f t="array" ref="B3492">SUM(--(FREQUENCY(IF(C$2:C$3072=C3492, MATCH(D$2:D$3072, D$2:D$3072, 0)), ROW(D$2:D$3072)-ROW(D$2)+1) &gt; 0))</f>
        <v>#N/A</v>
      </c>
      <c r="C3492" s="408"/>
      <c r="D3492" s="408"/>
      <c r="E3492" s="408"/>
      <c r="F3492" s="408"/>
      <c r="G3492" s="408"/>
      <c r="H3492" s="408"/>
      <c r="I3492" s="408"/>
      <c r="J3492" s="408"/>
      <c r="K3492" s="408"/>
      <c r="L3492" s="408"/>
      <c r="M3492" s="408"/>
      <c r="N3492" s="408" t="str">
        <f t="shared" si="481"/>
        <v/>
      </c>
      <c r="O3492" s="408"/>
      <c r="P3492" s="408"/>
      <c r="Q3492" s="408"/>
      <c r="R3492" s="408"/>
      <c r="S3492" s="408"/>
      <c r="T3492" s="408"/>
      <c r="U3492" s="408"/>
      <c r="V3492" s="421"/>
      <c r="W3492" s="421"/>
      <c r="X3492" s="421"/>
      <c r="Y3492" s="421"/>
      <c r="Z3492" s="421"/>
      <c r="AA3492" s="421"/>
      <c r="AB3492" s="421"/>
      <c r="AC3492" s="421"/>
      <c r="AD3492" s="421"/>
      <c r="AE3492" s="421"/>
      <c r="AF3492" s="421"/>
      <c r="AG3492" s="421"/>
      <c r="AH3492" s="421"/>
      <c r="AI3492" s="421"/>
      <c r="AJ3492" s="421"/>
      <c r="AK3492" s="421"/>
      <c r="AL3492" s="421"/>
    </row>
    <row r="3493" spans="1:38" hidden="1">
      <c r="A3493" s="408"/>
      <c r="B3493" s="83" t="e">
        <f t="array" ref="B3493">SUM(--(FREQUENCY(IF(C$2:C$3072=C3493, MATCH(D$2:D$3072, D$2:D$3072, 0)), ROW(D$2:D$3072)-ROW(D$2)+1) &gt; 0))</f>
        <v>#N/A</v>
      </c>
      <c r="C3493" s="408"/>
      <c r="D3493" s="408"/>
      <c r="E3493" s="408"/>
      <c r="F3493" s="408"/>
      <c r="G3493" s="408"/>
      <c r="H3493" s="408"/>
      <c r="I3493" s="408"/>
      <c r="J3493" s="408"/>
      <c r="K3493" s="408"/>
      <c r="L3493" s="408"/>
      <c r="M3493" s="408"/>
      <c r="N3493" s="408" t="str">
        <f t="shared" si="481"/>
        <v/>
      </c>
      <c r="O3493" s="408"/>
      <c r="P3493" s="408"/>
      <c r="Q3493" s="408"/>
      <c r="R3493" s="408"/>
      <c r="S3493" s="408"/>
      <c r="T3493" s="408"/>
      <c r="U3493" s="408"/>
      <c r="V3493" s="421"/>
      <c r="W3493" s="421"/>
      <c r="X3493" s="421"/>
      <c r="Y3493" s="421"/>
      <c r="Z3493" s="421"/>
      <c r="AA3493" s="421"/>
      <c r="AB3493" s="421"/>
      <c r="AC3493" s="421"/>
      <c r="AD3493" s="421"/>
      <c r="AE3493" s="421"/>
      <c r="AF3493" s="421"/>
      <c r="AG3493" s="421"/>
      <c r="AH3493" s="421"/>
      <c r="AI3493" s="421"/>
      <c r="AJ3493" s="421"/>
      <c r="AK3493" s="421"/>
      <c r="AL3493" s="421"/>
    </row>
    <row r="3494" spans="1:38" hidden="1">
      <c r="A3494" s="408"/>
      <c r="B3494" s="83" t="e">
        <f t="array" ref="B3494">SUM(--(FREQUENCY(IF(C$2:C$3072=C3494, MATCH(D$2:D$3072, D$2:D$3072, 0)), ROW(D$2:D$3072)-ROW(D$2)+1) &gt; 0))</f>
        <v>#N/A</v>
      </c>
      <c r="C3494" s="408"/>
      <c r="D3494" s="408"/>
      <c r="E3494" s="408"/>
      <c r="F3494" s="408"/>
      <c r="G3494" s="408"/>
      <c r="H3494" s="408"/>
      <c r="I3494" s="408"/>
      <c r="J3494" s="408"/>
      <c r="K3494" s="408"/>
      <c r="L3494" s="408"/>
      <c r="M3494" s="408"/>
      <c r="N3494" s="408" t="str">
        <f t="shared" si="481"/>
        <v/>
      </c>
      <c r="O3494" s="408"/>
      <c r="P3494" s="408"/>
      <c r="Q3494" s="408"/>
      <c r="R3494" s="408"/>
      <c r="S3494" s="408"/>
      <c r="T3494" s="408"/>
      <c r="U3494" s="408"/>
      <c r="V3494" s="421"/>
      <c r="W3494" s="421"/>
      <c r="X3494" s="421"/>
      <c r="Y3494" s="421"/>
      <c r="Z3494" s="421"/>
      <c r="AA3494" s="421"/>
      <c r="AB3494" s="421"/>
      <c r="AC3494" s="421"/>
      <c r="AD3494" s="421"/>
      <c r="AE3494" s="421"/>
      <c r="AF3494" s="421"/>
      <c r="AG3494" s="421"/>
      <c r="AH3494" s="421"/>
      <c r="AI3494" s="421"/>
      <c r="AJ3494" s="421"/>
      <c r="AK3494" s="421"/>
      <c r="AL3494" s="421"/>
    </row>
    <row r="3495" spans="1:38" hidden="1">
      <c r="A3495" s="408"/>
      <c r="B3495" s="83" t="e">
        <f t="array" ref="B3495">SUM(--(FREQUENCY(IF(C$2:C$3072=C3495, MATCH(D$2:D$3072, D$2:D$3072, 0)), ROW(D$2:D$3072)-ROW(D$2)+1) &gt; 0))</f>
        <v>#N/A</v>
      </c>
      <c r="C3495" s="408"/>
      <c r="D3495" s="408"/>
      <c r="E3495" s="408"/>
      <c r="F3495" s="408"/>
      <c r="G3495" s="408"/>
      <c r="H3495" s="408"/>
      <c r="I3495" s="408"/>
      <c r="J3495" s="408"/>
      <c r="K3495" s="408"/>
      <c r="L3495" s="408"/>
      <c r="M3495" s="408"/>
      <c r="N3495" s="408" t="str">
        <f t="shared" si="481"/>
        <v/>
      </c>
      <c r="O3495" s="408"/>
      <c r="P3495" s="408"/>
      <c r="Q3495" s="408"/>
      <c r="R3495" s="408"/>
      <c r="S3495" s="408"/>
      <c r="T3495" s="408"/>
      <c r="U3495" s="408"/>
      <c r="V3495" s="421"/>
      <c r="W3495" s="421"/>
      <c r="X3495" s="421"/>
      <c r="Y3495" s="421"/>
      <c r="Z3495" s="421"/>
      <c r="AA3495" s="421"/>
      <c r="AB3495" s="421"/>
      <c r="AC3495" s="421"/>
      <c r="AD3495" s="421"/>
      <c r="AE3495" s="421"/>
      <c r="AF3495" s="421"/>
      <c r="AG3495" s="421"/>
      <c r="AH3495" s="421"/>
      <c r="AI3495" s="421"/>
      <c r="AJ3495" s="421"/>
      <c r="AK3495" s="421"/>
      <c r="AL3495" s="421"/>
    </row>
    <row r="3496" spans="1:38" hidden="1">
      <c r="A3496" s="408"/>
      <c r="B3496" s="83" t="e">
        <f t="array" ref="B3496">SUM(--(FREQUENCY(IF(C$2:C$3072=C3496, MATCH(D$2:D$3072, D$2:D$3072, 0)), ROW(D$2:D$3072)-ROW(D$2)+1) &gt; 0))</f>
        <v>#N/A</v>
      </c>
      <c r="C3496" s="408"/>
      <c r="D3496" s="408"/>
      <c r="E3496" s="408"/>
      <c r="F3496" s="408"/>
      <c r="G3496" s="408"/>
      <c r="H3496" s="408"/>
      <c r="I3496" s="408"/>
      <c r="J3496" s="408"/>
      <c r="K3496" s="408"/>
      <c r="L3496" s="408"/>
      <c r="M3496" s="408"/>
      <c r="N3496" s="408" t="str">
        <f t="shared" si="481"/>
        <v/>
      </c>
      <c r="O3496" s="408"/>
      <c r="P3496" s="408"/>
      <c r="Q3496" s="408"/>
      <c r="R3496" s="408"/>
      <c r="S3496" s="408"/>
      <c r="T3496" s="408"/>
      <c r="U3496" s="408"/>
      <c r="V3496" s="421"/>
      <c r="W3496" s="421"/>
      <c r="X3496" s="421"/>
      <c r="Y3496" s="421"/>
      <c r="Z3496" s="421"/>
      <c r="AA3496" s="421"/>
      <c r="AB3496" s="421"/>
      <c r="AC3496" s="421"/>
      <c r="AD3496" s="421"/>
      <c r="AE3496" s="421"/>
      <c r="AF3496" s="421"/>
      <c r="AG3496" s="421"/>
      <c r="AH3496" s="421"/>
      <c r="AI3496" s="421"/>
      <c r="AJ3496" s="421"/>
      <c r="AK3496" s="421"/>
      <c r="AL3496" s="421"/>
    </row>
    <row r="3497" spans="1:38" hidden="1">
      <c r="A3497" s="408"/>
      <c r="B3497" s="83" t="e">
        <f t="array" ref="B3497">SUM(--(FREQUENCY(IF(C$2:C$3072=C3497, MATCH(D$2:D$3072, D$2:D$3072, 0)), ROW(D$2:D$3072)-ROW(D$2)+1) &gt; 0))</f>
        <v>#N/A</v>
      </c>
      <c r="C3497" s="408"/>
      <c r="D3497" s="408"/>
      <c r="E3497" s="408"/>
      <c r="F3497" s="408"/>
      <c r="G3497" s="408"/>
      <c r="H3497" s="408"/>
      <c r="I3497" s="408"/>
      <c r="J3497" s="408"/>
      <c r="K3497" s="408"/>
      <c r="L3497" s="408"/>
      <c r="M3497" s="408"/>
      <c r="N3497" s="408" t="str">
        <f t="shared" si="481"/>
        <v/>
      </c>
      <c r="O3497" s="408"/>
      <c r="P3497" s="408"/>
      <c r="Q3497" s="408"/>
      <c r="R3497" s="408"/>
      <c r="S3497" s="408"/>
      <c r="T3497" s="408"/>
      <c r="U3497" s="408"/>
      <c r="V3497" s="421"/>
      <c r="W3497" s="421"/>
      <c r="X3497" s="421"/>
      <c r="Y3497" s="421"/>
      <c r="Z3497" s="421"/>
      <c r="AA3497" s="421"/>
      <c r="AB3497" s="421"/>
      <c r="AC3497" s="421"/>
      <c r="AD3497" s="421"/>
      <c r="AE3497" s="421"/>
      <c r="AF3497" s="421"/>
      <c r="AG3497" s="421"/>
      <c r="AH3497" s="421"/>
      <c r="AI3497" s="421"/>
      <c r="AJ3497" s="421"/>
      <c r="AK3497" s="421"/>
      <c r="AL3497" s="421"/>
    </row>
    <row r="3498" spans="1:38" hidden="1">
      <c r="A3498" s="408"/>
      <c r="B3498" s="83" t="e">
        <f t="array" ref="B3498">SUM(--(FREQUENCY(IF(C$2:C$3072=C3498, MATCH(D$2:D$3072, D$2:D$3072, 0)), ROW(D$2:D$3072)-ROW(D$2)+1) &gt; 0))</f>
        <v>#N/A</v>
      </c>
      <c r="C3498" s="408"/>
      <c r="D3498" s="408"/>
      <c r="E3498" s="408"/>
      <c r="F3498" s="408"/>
      <c r="G3498" s="408"/>
      <c r="H3498" s="408"/>
      <c r="I3498" s="408"/>
      <c r="J3498" s="408"/>
      <c r="K3498" s="408"/>
      <c r="L3498" s="408"/>
      <c r="M3498" s="408"/>
      <c r="N3498" s="408" t="str">
        <f t="shared" si="481"/>
        <v/>
      </c>
      <c r="O3498" s="408"/>
      <c r="P3498" s="408"/>
      <c r="Q3498" s="408"/>
      <c r="R3498" s="408"/>
      <c r="S3498" s="408"/>
      <c r="T3498" s="408"/>
      <c r="U3498" s="408"/>
      <c r="V3498" s="421"/>
      <c r="W3498" s="421"/>
      <c r="X3498" s="421"/>
      <c r="Y3498" s="421"/>
      <c r="Z3498" s="421"/>
      <c r="AA3498" s="421"/>
      <c r="AB3498" s="421"/>
      <c r="AC3498" s="421"/>
      <c r="AD3498" s="421"/>
      <c r="AE3498" s="421"/>
      <c r="AF3498" s="421"/>
      <c r="AG3498" s="421"/>
      <c r="AH3498" s="421"/>
      <c r="AI3498" s="421"/>
      <c r="AJ3498" s="421"/>
      <c r="AK3498" s="421"/>
      <c r="AL3498" s="421"/>
    </row>
    <row r="3499" spans="1:38" hidden="1">
      <c r="A3499" s="408"/>
      <c r="B3499" s="83" t="e">
        <f t="array" ref="B3499">SUM(--(FREQUENCY(IF(C$2:C$3072=C3499, MATCH(D$2:D$3072, D$2:D$3072, 0)), ROW(D$2:D$3072)-ROW(D$2)+1) &gt; 0))</f>
        <v>#N/A</v>
      </c>
      <c r="C3499" s="408"/>
      <c r="D3499" s="408"/>
      <c r="E3499" s="408"/>
      <c r="F3499" s="408"/>
      <c r="G3499" s="408"/>
      <c r="H3499" s="408"/>
      <c r="I3499" s="408"/>
      <c r="J3499" s="408"/>
      <c r="K3499" s="408"/>
      <c r="L3499" s="408"/>
      <c r="M3499" s="408"/>
      <c r="N3499" s="408" t="str">
        <f t="shared" si="481"/>
        <v/>
      </c>
      <c r="O3499" s="408"/>
      <c r="P3499" s="408"/>
      <c r="Q3499" s="408"/>
      <c r="R3499" s="408"/>
      <c r="S3499" s="408"/>
      <c r="T3499" s="408"/>
      <c r="U3499" s="408"/>
      <c r="V3499" s="421"/>
      <c r="W3499" s="421"/>
      <c r="X3499" s="421"/>
      <c r="Y3499" s="421"/>
      <c r="Z3499" s="421"/>
      <c r="AA3499" s="421"/>
      <c r="AB3499" s="421"/>
      <c r="AC3499" s="421"/>
      <c r="AD3499" s="421"/>
      <c r="AE3499" s="421"/>
      <c r="AF3499" s="421"/>
      <c r="AG3499" s="421"/>
      <c r="AH3499" s="421"/>
      <c r="AI3499" s="421"/>
      <c r="AJ3499" s="421"/>
      <c r="AK3499" s="421"/>
      <c r="AL3499" s="421"/>
    </row>
    <row r="3500" spans="1:38" hidden="1">
      <c r="A3500" s="408"/>
      <c r="B3500" s="83" t="e">
        <f t="array" ref="B3500">SUM(--(FREQUENCY(IF(C$2:C$3072=C3500, MATCH(D$2:D$3072, D$2:D$3072, 0)), ROW(D$2:D$3072)-ROW(D$2)+1) &gt; 0))</f>
        <v>#N/A</v>
      </c>
      <c r="C3500" s="408"/>
      <c r="D3500" s="408"/>
      <c r="E3500" s="408"/>
      <c r="F3500" s="408"/>
      <c r="G3500" s="408"/>
      <c r="H3500" s="408"/>
      <c r="I3500" s="408"/>
      <c r="J3500" s="408"/>
      <c r="K3500" s="408"/>
      <c r="L3500" s="408"/>
      <c r="M3500" s="408"/>
      <c r="N3500" s="408" t="str">
        <f t="shared" si="481"/>
        <v/>
      </c>
      <c r="O3500" s="408"/>
      <c r="P3500" s="408"/>
      <c r="Q3500" s="408"/>
      <c r="R3500" s="408"/>
      <c r="S3500" s="408"/>
      <c r="T3500" s="408"/>
      <c r="U3500" s="408"/>
      <c r="V3500" s="421"/>
      <c r="W3500" s="421"/>
      <c r="X3500" s="421"/>
      <c r="Y3500" s="421"/>
      <c r="Z3500" s="421"/>
      <c r="AA3500" s="421"/>
      <c r="AB3500" s="421"/>
      <c r="AC3500" s="421"/>
      <c r="AD3500" s="421"/>
      <c r="AE3500" s="421"/>
      <c r="AF3500" s="421"/>
      <c r="AG3500" s="421"/>
      <c r="AH3500" s="421"/>
      <c r="AI3500" s="421"/>
      <c r="AJ3500" s="421"/>
      <c r="AK3500" s="421"/>
      <c r="AL3500" s="421"/>
    </row>
    <row r="3501" spans="1:38" hidden="1">
      <c r="A3501" s="408"/>
      <c r="B3501" s="83" t="e">
        <f t="array" ref="B3501">SUM(--(FREQUENCY(IF(C$2:C$3072=C3501, MATCH(D$2:D$3072, D$2:D$3072, 0)), ROW(D$2:D$3072)-ROW(D$2)+1) &gt; 0))</f>
        <v>#N/A</v>
      </c>
      <c r="C3501" s="408"/>
      <c r="D3501" s="408"/>
      <c r="E3501" s="408"/>
      <c r="F3501" s="408"/>
      <c r="G3501" s="408"/>
      <c r="H3501" s="408"/>
      <c r="I3501" s="408"/>
      <c r="J3501" s="408"/>
      <c r="K3501" s="408"/>
      <c r="L3501" s="408"/>
      <c r="M3501" s="408"/>
      <c r="N3501" s="408" t="str">
        <f t="shared" si="481"/>
        <v/>
      </c>
      <c r="O3501" s="408"/>
      <c r="P3501" s="408"/>
      <c r="Q3501" s="408"/>
      <c r="R3501" s="408"/>
      <c r="S3501" s="408"/>
      <c r="T3501" s="408"/>
      <c r="U3501" s="408"/>
      <c r="V3501" s="421"/>
      <c r="W3501" s="421"/>
      <c r="X3501" s="421"/>
      <c r="Y3501" s="421"/>
      <c r="Z3501" s="421"/>
      <c r="AA3501" s="421"/>
      <c r="AB3501" s="421"/>
      <c r="AC3501" s="421"/>
      <c r="AD3501" s="421"/>
      <c r="AE3501" s="421"/>
      <c r="AF3501" s="421"/>
      <c r="AG3501" s="421"/>
      <c r="AH3501" s="421"/>
      <c r="AI3501" s="421"/>
      <c r="AJ3501" s="421"/>
      <c r="AK3501" s="421"/>
      <c r="AL3501" s="421"/>
    </row>
    <row r="3502" spans="1:38" hidden="1">
      <c r="A3502" s="408"/>
      <c r="B3502" s="83" t="e">
        <f t="array" ref="B3502">SUM(--(FREQUENCY(IF(C$2:C$3072=C3502, MATCH(D$2:D$3072, D$2:D$3072, 0)), ROW(D$2:D$3072)-ROW(D$2)+1) &gt; 0))</f>
        <v>#N/A</v>
      </c>
      <c r="C3502" s="408"/>
      <c r="D3502" s="408"/>
      <c r="E3502" s="408"/>
      <c r="F3502" s="408"/>
      <c r="G3502" s="408"/>
      <c r="H3502" s="408"/>
      <c r="I3502" s="408"/>
      <c r="J3502" s="408"/>
      <c r="K3502" s="408"/>
      <c r="L3502" s="408"/>
      <c r="M3502" s="408"/>
      <c r="N3502" s="408" t="str">
        <f t="shared" si="481"/>
        <v/>
      </c>
      <c r="O3502" s="408"/>
      <c r="P3502" s="408"/>
      <c r="Q3502" s="408"/>
      <c r="R3502" s="408"/>
      <c r="S3502" s="408"/>
      <c r="T3502" s="408"/>
      <c r="U3502" s="408"/>
      <c r="V3502" s="421"/>
      <c r="W3502" s="421"/>
      <c r="X3502" s="421"/>
      <c r="Y3502" s="421"/>
      <c r="Z3502" s="421"/>
      <c r="AA3502" s="421"/>
      <c r="AB3502" s="421"/>
      <c r="AC3502" s="421"/>
      <c r="AD3502" s="421"/>
      <c r="AE3502" s="421"/>
      <c r="AF3502" s="421"/>
      <c r="AG3502" s="421"/>
      <c r="AH3502" s="421"/>
      <c r="AI3502" s="421"/>
      <c r="AJ3502" s="421"/>
      <c r="AK3502" s="421"/>
      <c r="AL3502" s="421"/>
    </row>
    <row r="3503" spans="1:38" hidden="1">
      <c r="A3503" s="408"/>
      <c r="B3503" s="83" t="e">
        <f t="array" ref="B3503">SUM(--(FREQUENCY(IF(C$2:C$3072=C3503, MATCH(D$2:D$3072, D$2:D$3072, 0)), ROW(D$2:D$3072)-ROW(D$2)+1) &gt; 0))</f>
        <v>#N/A</v>
      </c>
      <c r="C3503" s="408"/>
      <c r="D3503" s="408"/>
      <c r="E3503" s="408"/>
      <c r="F3503" s="408"/>
      <c r="G3503" s="408"/>
      <c r="H3503" s="408"/>
      <c r="I3503" s="408"/>
      <c r="J3503" s="408"/>
      <c r="K3503" s="408"/>
      <c r="L3503" s="408"/>
      <c r="M3503" s="408"/>
      <c r="N3503" s="408" t="str">
        <f t="shared" si="481"/>
        <v/>
      </c>
      <c r="O3503" s="408"/>
      <c r="P3503" s="408"/>
      <c r="Q3503" s="408"/>
      <c r="R3503" s="408"/>
      <c r="S3503" s="408"/>
      <c r="T3503" s="408"/>
      <c r="U3503" s="408"/>
      <c r="V3503" s="421"/>
      <c r="W3503" s="421"/>
      <c r="X3503" s="421"/>
      <c r="Y3503" s="421"/>
      <c r="Z3503" s="421"/>
      <c r="AA3503" s="421"/>
      <c r="AB3503" s="421"/>
      <c r="AC3503" s="421"/>
      <c r="AD3503" s="421"/>
      <c r="AE3503" s="421"/>
      <c r="AF3503" s="421"/>
      <c r="AG3503" s="421"/>
      <c r="AH3503" s="421"/>
      <c r="AI3503" s="421"/>
      <c r="AJ3503" s="421"/>
      <c r="AK3503" s="421"/>
      <c r="AL3503" s="421"/>
    </row>
    <row r="3504" spans="1:38" hidden="1">
      <c r="A3504" s="408"/>
      <c r="B3504" s="83" t="e">
        <f t="array" ref="B3504">SUM(--(FREQUENCY(IF(C$2:C$3072=C3504, MATCH(D$2:D$3072, D$2:D$3072, 0)), ROW(D$2:D$3072)-ROW(D$2)+1) &gt; 0))</f>
        <v>#N/A</v>
      </c>
      <c r="C3504" s="408"/>
      <c r="D3504" s="408"/>
      <c r="E3504" s="408"/>
      <c r="F3504" s="408"/>
      <c r="G3504" s="408"/>
      <c r="H3504" s="408"/>
      <c r="I3504" s="408"/>
      <c r="J3504" s="408"/>
      <c r="K3504" s="408"/>
      <c r="L3504" s="408"/>
      <c r="M3504" s="408"/>
      <c r="N3504" s="408" t="str">
        <f t="shared" si="481"/>
        <v/>
      </c>
      <c r="O3504" s="408"/>
      <c r="P3504" s="408"/>
      <c r="Q3504" s="408"/>
      <c r="R3504" s="408"/>
      <c r="S3504" s="408"/>
      <c r="T3504" s="408"/>
      <c r="U3504" s="408"/>
      <c r="V3504" s="421"/>
      <c r="W3504" s="421"/>
      <c r="X3504" s="421"/>
      <c r="Y3504" s="421"/>
      <c r="Z3504" s="421"/>
      <c r="AA3504" s="421"/>
      <c r="AB3504" s="421"/>
      <c r="AC3504" s="421"/>
      <c r="AD3504" s="421"/>
      <c r="AE3504" s="421"/>
      <c r="AF3504" s="421"/>
      <c r="AG3504" s="421"/>
      <c r="AH3504" s="421"/>
      <c r="AI3504" s="421"/>
      <c r="AJ3504" s="421"/>
      <c r="AK3504" s="421"/>
      <c r="AL3504" s="421"/>
    </row>
    <row r="3505" spans="1:38" hidden="1">
      <c r="A3505" s="408"/>
      <c r="B3505" s="83" t="e">
        <f t="array" ref="B3505">SUM(--(FREQUENCY(IF(C$2:C$3072=C3505, MATCH(D$2:D$3072, D$2:D$3072, 0)), ROW(D$2:D$3072)-ROW(D$2)+1) &gt; 0))</f>
        <v>#N/A</v>
      </c>
      <c r="C3505" s="408"/>
      <c r="D3505" s="408"/>
      <c r="E3505" s="408"/>
      <c r="F3505" s="408"/>
      <c r="G3505" s="408"/>
      <c r="H3505" s="408"/>
      <c r="I3505" s="408"/>
      <c r="J3505" s="408"/>
      <c r="K3505" s="408"/>
      <c r="L3505" s="408"/>
      <c r="M3505" s="408"/>
      <c r="N3505" s="408" t="str">
        <f t="shared" si="481"/>
        <v/>
      </c>
      <c r="O3505" s="408"/>
      <c r="P3505" s="408"/>
      <c r="Q3505" s="408"/>
      <c r="R3505" s="408"/>
      <c r="S3505" s="408"/>
      <c r="T3505" s="408"/>
      <c r="U3505" s="408"/>
      <c r="V3505" s="421"/>
      <c r="W3505" s="421"/>
      <c r="X3505" s="421"/>
      <c r="Y3505" s="421"/>
      <c r="Z3505" s="421"/>
      <c r="AA3505" s="421"/>
      <c r="AB3505" s="421"/>
      <c r="AC3505" s="421"/>
      <c r="AD3505" s="421"/>
      <c r="AE3505" s="421"/>
      <c r="AF3505" s="421"/>
      <c r="AG3505" s="421"/>
      <c r="AH3505" s="421"/>
      <c r="AI3505" s="421"/>
      <c r="AJ3505" s="421"/>
      <c r="AK3505" s="421"/>
      <c r="AL3505" s="421"/>
    </row>
    <row r="3506" spans="1:38" hidden="1">
      <c r="A3506" s="408"/>
      <c r="B3506" s="83" t="e">
        <f t="array" ref="B3506">SUM(--(FREQUENCY(IF(C$2:C$3072=C3506, MATCH(D$2:D$3072, D$2:D$3072, 0)), ROW(D$2:D$3072)-ROW(D$2)+1) &gt; 0))</f>
        <v>#N/A</v>
      </c>
      <c r="C3506" s="408"/>
      <c r="D3506" s="408"/>
      <c r="E3506" s="408"/>
      <c r="F3506" s="408"/>
      <c r="G3506" s="408"/>
      <c r="H3506" s="408"/>
      <c r="I3506" s="408"/>
      <c r="J3506" s="408"/>
      <c r="K3506" s="408"/>
      <c r="L3506" s="408"/>
      <c r="M3506" s="408"/>
      <c r="N3506" s="408" t="str">
        <f t="shared" si="481"/>
        <v/>
      </c>
      <c r="O3506" s="408"/>
      <c r="P3506" s="408"/>
      <c r="Q3506" s="408"/>
      <c r="R3506" s="408"/>
      <c r="S3506" s="408"/>
      <c r="T3506" s="408"/>
      <c r="U3506" s="408"/>
      <c r="V3506" s="421"/>
      <c r="W3506" s="421"/>
      <c r="X3506" s="421"/>
      <c r="Y3506" s="421"/>
      <c r="Z3506" s="421"/>
      <c r="AA3506" s="421"/>
      <c r="AB3506" s="421"/>
      <c r="AC3506" s="421"/>
      <c r="AD3506" s="421"/>
      <c r="AE3506" s="421"/>
      <c r="AF3506" s="421"/>
      <c r="AG3506" s="421"/>
      <c r="AH3506" s="421"/>
      <c r="AI3506" s="421"/>
      <c r="AJ3506" s="421"/>
      <c r="AK3506" s="421"/>
      <c r="AL3506" s="421"/>
    </row>
    <row r="3507" spans="1:38" hidden="1">
      <c r="A3507" s="408"/>
      <c r="B3507" s="83" t="e">
        <f t="array" ref="B3507">SUM(--(FREQUENCY(IF(C$2:C$3072=C3507, MATCH(D$2:D$3072, D$2:D$3072, 0)), ROW(D$2:D$3072)-ROW(D$2)+1) &gt; 0))</f>
        <v>#N/A</v>
      </c>
      <c r="C3507" s="408"/>
      <c r="D3507" s="408"/>
      <c r="E3507" s="408"/>
      <c r="F3507" s="408"/>
      <c r="G3507" s="408"/>
      <c r="H3507" s="408"/>
      <c r="I3507" s="408"/>
      <c r="J3507" s="408"/>
      <c r="K3507" s="408"/>
      <c r="L3507" s="408"/>
      <c r="M3507" s="408"/>
      <c r="N3507" s="408" t="str">
        <f t="shared" si="481"/>
        <v/>
      </c>
      <c r="O3507" s="408"/>
      <c r="P3507" s="408"/>
      <c r="Q3507" s="408"/>
      <c r="R3507" s="408"/>
      <c r="S3507" s="408"/>
      <c r="T3507" s="408"/>
      <c r="U3507" s="408"/>
      <c r="V3507" s="421"/>
      <c r="W3507" s="421"/>
      <c r="X3507" s="421"/>
      <c r="Y3507" s="421"/>
      <c r="Z3507" s="421"/>
      <c r="AA3507" s="421"/>
      <c r="AB3507" s="421"/>
      <c r="AC3507" s="421"/>
      <c r="AD3507" s="421"/>
      <c r="AE3507" s="421"/>
      <c r="AF3507" s="421"/>
      <c r="AG3507" s="421"/>
      <c r="AH3507" s="421"/>
      <c r="AI3507" s="421"/>
      <c r="AJ3507" s="421"/>
      <c r="AK3507" s="421"/>
      <c r="AL3507" s="421"/>
    </row>
    <row r="3508" spans="1:38" hidden="1">
      <c r="A3508" s="408"/>
      <c r="B3508" s="83" t="e">
        <f t="array" ref="B3508">SUM(--(FREQUENCY(IF(C$2:C$3072=C3508, MATCH(D$2:D$3072, D$2:D$3072, 0)), ROW(D$2:D$3072)-ROW(D$2)+1) &gt; 0))</f>
        <v>#N/A</v>
      </c>
      <c r="C3508" s="408"/>
      <c r="D3508" s="408"/>
      <c r="E3508" s="408"/>
      <c r="F3508" s="408"/>
      <c r="G3508" s="408"/>
      <c r="H3508" s="408"/>
      <c r="I3508" s="408"/>
      <c r="J3508" s="408"/>
      <c r="K3508" s="408"/>
      <c r="L3508" s="408"/>
      <c r="M3508" s="408"/>
      <c r="N3508" s="408" t="str">
        <f t="shared" si="481"/>
        <v/>
      </c>
      <c r="O3508" s="408"/>
      <c r="P3508" s="408"/>
      <c r="Q3508" s="408"/>
      <c r="R3508" s="408"/>
      <c r="S3508" s="408"/>
      <c r="T3508" s="408"/>
      <c r="U3508" s="408"/>
      <c r="V3508" s="421"/>
      <c r="W3508" s="421"/>
      <c r="X3508" s="421"/>
      <c r="Y3508" s="421"/>
      <c r="Z3508" s="421"/>
      <c r="AA3508" s="421"/>
      <c r="AB3508" s="421"/>
      <c r="AC3508" s="421"/>
      <c r="AD3508" s="421"/>
      <c r="AE3508" s="421"/>
      <c r="AF3508" s="421"/>
      <c r="AG3508" s="421"/>
      <c r="AH3508" s="421"/>
      <c r="AI3508" s="421"/>
      <c r="AJ3508" s="421"/>
      <c r="AK3508" s="421"/>
      <c r="AL3508" s="421"/>
    </row>
    <row r="3509" spans="1:38" hidden="1">
      <c r="A3509" s="408"/>
      <c r="B3509" s="83" t="e">
        <f t="array" ref="B3509">SUM(--(FREQUENCY(IF(C$2:C$3072=C3509, MATCH(D$2:D$3072, D$2:D$3072, 0)), ROW(D$2:D$3072)-ROW(D$2)+1) &gt; 0))</f>
        <v>#N/A</v>
      </c>
      <c r="C3509" s="408"/>
      <c r="D3509" s="408"/>
      <c r="E3509" s="408"/>
      <c r="F3509" s="408"/>
      <c r="G3509" s="408"/>
      <c r="H3509" s="408"/>
      <c r="I3509" s="408"/>
      <c r="J3509" s="408"/>
      <c r="K3509" s="408"/>
      <c r="L3509" s="408"/>
      <c r="M3509" s="408"/>
      <c r="N3509" s="408" t="str">
        <f t="shared" si="481"/>
        <v/>
      </c>
      <c r="O3509" s="408"/>
      <c r="P3509" s="408"/>
      <c r="Q3509" s="408"/>
      <c r="R3509" s="408"/>
      <c r="S3509" s="408"/>
      <c r="T3509" s="408"/>
      <c r="U3509" s="408"/>
      <c r="V3509" s="421"/>
      <c r="W3509" s="421"/>
      <c r="X3509" s="421"/>
      <c r="Y3509" s="421"/>
      <c r="Z3509" s="421"/>
      <c r="AA3509" s="421"/>
      <c r="AB3509" s="421"/>
      <c r="AC3509" s="421"/>
      <c r="AD3509" s="421"/>
      <c r="AE3509" s="421"/>
      <c r="AF3509" s="421"/>
      <c r="AG3509" s="421"/>
      <c r="AH3509" s="421"/>
      <c r="AI3509" s="421"/>
      <c r="AJ3509" s="421"/>
      <c r="AK3509" s="421"/>
      <c r="AL3509" s="421"/>
    </row>
    <row r="3510" spans="1:38" hidden="1">
      <c r="A3510" s="408"/>
      <c r="B3510" s="83" t="e">
        <f t="array" ref="B3510">SUM(--(FREQUENCY(IF(C$2:C$3072=C3510, MATCH(D$2:D$3072, D$2:D$3072, 0)), ROW(D$2:D$3072)-ROW(D$2)+1) &gt; 0))</f>
        <v>#N/A</v>
      </c>
      <c r="C3510" s="408"/>
      <c r="D3510" s="408"/>
      <c r="E3510" s="408"/>
      <c r="F3510" s="408"/>
      <c r="G3510" s="408"/>
      <c r="H3510" s="408"/>
      <c r="I3510" s="408"/>
      <c r="J3510" s="408"/>
      <c r="K3510" s="408"/>
      <c r="L3510" s="408"/>
      <c r="M3510" s="408"/>
      <c r="N3510" s="408" t="str">
        <f t="shared" si="481"/>
        <v/>
      </c>
      <c r="O3510" s="408"/>
      <c r="P3510" s="408"/>
      <c r="Q3510" s="408"/>
      <c r="R3510" s="408"/>
      <c r="S3510" s="408"/>
      <c r="T3510" s="408"/>
      <c r="U3510" s="408"/>
      <c r="V3510" s="421"/>
      <c r="W3510" s="421"/>
      <c r="X3510" s="421"/>
      <c r="Y3510" s="421"/>
      <c r="Z3510" s="421"/>
      <c r="AA3510" s="421"/>
      <c r="AB3510" s="421"/>
      <c r="AC3510" s="421"/>
      <c r="AD3510" s="421"/>
      <c r="AE3510" s="421"/>
      <c r="AF3510" s="421"/>
      <c r="AG3510" s="421"/>
      <c r="AH3510" s="421"/>
      <c r="AI3510" s="421"/>
      <c r="AJ3510" s="421"/>
      <c r="AK3510" s="421"/>
      <c r="AL3510" s="421"/>
    </row>
    <row r="3511" spans="1:38" hidden="1">
      <c r="A3511" s="408"/>
      <c r="B3511" s="83" t="e">
        <f t="array" ref="B3511">SUM(--(FREQUENCY(IF(C$2:C$3072=C3511, MATCH(D$2:D$3072, D$2:D$3072, 0)), ROW(D$2:D$3072)-ROW(D$2)+1) &gt; 0))</f>
        <v>#N/A</v>
      </c>
      <c r="C3511" s="408"/>
      <c r="D3511" s="408"/>
      <c r="E3511" s="408"/>
      <c r="F3511" s="408"/>
      <c r="G3511" s="408"/>
      <c r="H3511" s="408"/>
      <c r="I3511" s="408"/>
      <c r="J3511" s="408"/>
      <c r="K3511" s="408"/>
      <c r="L3511" s="408"/>
      <c r="M3511" s="408"/>
      <c r="N3511" s="408" t="str">
        <f t="shared" si="481"/>
        <v/>
      </c>
      <c r="O3511" s="408"/>
      <c r="P3511" s="408"/>
      <c r="Q3511" s="408"/>
      <c r="R3511" s="408"/>
      <c r="S3511" s="408"/>
      <c r="T3511" s="408"/>
      <c r="U3511" s="408"/>
      <c r="V3511" s="421"/>
      <c r="W3511" s="421"/>
      <c r="X3511" s="421"/>
      <c r="Y3511" s="421"/>
      <c r="Z3511" s="421"/>
      <c r="AA3511" s="421"/>
      <c r="AB3511" s="421"/>
      <c r="AC3511" s="421"/>
      <c r="AD3511" s="421"/>
      <c r="AE3511" s="421"/>
      <c r="AF3511" s="421"/>
      <c r="AG3511" s="421"/>
      <c r="AH3511" s="421"/>
      <c r="AI3511" s="421"/>
      <c r="AJ3511" s="421"/>
      <c r="AK3511" s="421"/>
      <c r="AL3511" s="421"/>
    </row>
    <row r="3512" spans="1:38" hidden="1">
      <c r="A3512" s="408"/>
      <c r="B3512" s="83" t="e">
        <f t="array" ref="B3512">SUM(--(FREQUENCY(IF(C$2:C$3072=C3512, MATCH(D$2:D$3072, D$2:D$3072, 0)), ROW(D$2:D$3072)-ROW(D$2)+1) &gt; 0))</f>
        <v>#N/A</v>
      </c>
      <c r="C3512" s="408"/>
      <c r="D3512" s="408"/>
      <c r="E3512" s="408"/>
      <c r="F3512" s="408"/>
      <c r="G3512" s="408"/>
      <c r="H3512" s="408"/>
      <c r="I3512" s="408"/>
      <c r="J3512" s="408"/>
      <c r="K3512" s="408"/>
      <c r="L3512" s="408"/>
      <c r="M3512" s="408"/>
      <c r="N3512" s="408" t="str">
        <f t="shared" si="481"/>
        <v/>
      </c>
      <c r="O3512" s="408"/>
      <c r="P3512" s="408"/>
      <c r="Q3512" s="408"/>
      <c r="R3512" s="408"/>
      <c r="S3512" s="408"/>
      <c r="T3512" s="408"/>
      <c r="U3512" s="408"/>
      <c r="V3512" s="421"/>
      <c r="W3512" s="421"/>
      <c r="X3512" s="421"/>
      <c r="Y3512" s="421"/>
      <c r="Z3512" s="421"/>
      <c r="AA3512" s="421"/>
      <c r="AB3512" s="421"/>
      <c r="AC3512" s="421"/>
      <c r="AD3512" s="421"/>
      <c r="AE3512" s="421"/>
      <c r="AF3512" s="421"/>
      <c r="AG3512" s="421"/>
      <c r="AH3512" s="421"/>
      <c r="AI3512" s="421"/>
      <c r="AJ3512" s="421"/>
      <c r="AK3512" s="421"/>
      <c r="AL3512" s="421"/>
    </row>
    <row r="3513" spans="1:38" hidden="1">
      <c r="A3513" s="408"/>
      <c r="B3513" s="83" t="e">
        <f t="array" ref="B3513">SUM(--(FREQUENCY(IF(C$2:C$3072=C3513, MATCH(D$2:D$3072, D$2:D$3072, 0)), ROW(D$2:D$3072)-ROW(D$2)+1) &gt; 0))</f>
        <v>#N/A</v>
      </c>
      <c r="C3513" s="408"/>
      <c r="D3513" s="408"/>
      <c r="E3513" s="408"/>
      <c r="F3513" s="408"/>
      <c r="G3513" s="408"/>
      <c r="H3513" s="408"/>
      <c r="I3513" s="408"/>
      <c r="J3513" s="408"/>
      <c r="K3513" s="408"/>
      <c r="L3513" s="408"/>
      <c r="M3513" s="408"/>
      <c r="N3513" s="408" t="str">
        <f t="shared" si="481"/>
        <v/>
      </c>
      <c r="O3513" s="408"/>
      <c r="P3513" s="408"/>
      <c r="Q3513" s="408"/>
      <c r="R3513" s="408"/>
      <c r="S3513" s="408"/>
      <c r="T3513" s="408"/>
      <c r="U3513" s="408"/>
      <c r="V3513" s="421"/>
      <c r="W3513" s="421"/>
      <c r="X3513" s="421"/>
      <c r="Y3513" s="421"/>
      <c r="Z3513" s="421"/>
      <c r="AA3513" s="421"/>
      <c r="AB3513" s="421"/>
      <c r="AC3513" s="421"/>
      <c r="AD3513" s="421"/>
      <c r="AE3513" s="421"/>
      <c r="AF3513" s="421"/>
      <c r="AG3513" s="421"/>
      <c r="AH3513" s="421"/>
      <c r="AI3513" s="421"/>
      <c r="AJ3513" s="421"/>
      <c r="AK3513" s="421"/>
      <c r="AL3513" s="421"/>
    </row>
    <row r="3514" spans="1:38" hidden="1">
      <c r="A3514" s="408"/>
      <c r="B3514" s="83" t="e">
        <f t="array" ref="B3514">SUM(--(FREQUENCY(IF(C$2:C$3072=C3514, MATCH(D$2:D$3072, D$2:D$3072, 0)), ROW(D$2:D$3072)-ROW(D$2)+1) &gt; 0))</f>
        <v>#N/A</v>
      </c>
      <c r="C3514" s="408"/>
      <c r="D3514" s="408"/>
      <c r="E3514" s="408"/>
      <c r="F3514" s="408"/>
      <c r="G3514" s="408"/>
      <c r="H3514" s="408"/>
      <c r="I3514" s="408"/>
      <c r="J3514" s="408"/>
      <c r="K3514" s="408"/>
      <c r="L3514" s="408"/>
      <c r="M3514" s="408"/>
      <c r="N3514" s="408" t="str">
        <f t="shared" si="481"/>
        <v/>
      </c>
      <c r="O3514" s="408"/>
      <c r="P3514" s="408"/>
      <c r="Q3514" s="408"/>
      <c r="R3514" s="408"/>
      <c r="S3514" s="408"/>
      <c r="T3514" s="408"/>
      <c r="U3514" s="408"/>
      <c r="V3514" s="421"/>
      <c r="W3514" s="421"/>
      <c r="X3514" s="421"/>
      <c r="Y3514" s="421"/>
      <c r="Z3514" s="421"/>
      <c r="AA3514" s="421"/>
      <c r="AB3514" s="421"/>
      <c r="AC3514" s="421"/>
      <c r="AD3514" s="421"/>
      <c r="AE3514" s="421"/>
      <c r="AF3514" s="421"/>
      <c r="AG3514" s="421"/>
      <c r="AH3514" s="421"/>
      <c r="AI3514" s="421"/>
      <c r="AJ3514" s="421"/>
      <c r="AK3514" s="421"/>
      <c r="AL3514" s="421"/>
    </row>
    <row r="3515" spans="1:38" hidden="1">
      <c r="A3515" s="408"/>
      <c r="B3515" s="83" t="e">
        <f t="array" ref="B3515">SUM(--(FREQUENCY(IF(C$2:C$3072=C3515, MATCH(D$2:D$3072, D$2:D$3072, 0)), ROW(D$2:D$3072)-ROW(D$2)+1) &gt; 0))</f>
        <v>#N/A</v>
      </c>
      <c r="C3515" s="408"/>
      <c r="D3515" s="408"/>
      <c r="E3515" s="408"/>
      <c r="F3515" s="408"/>
      <c r="G3515" s="408"/>
      <c r="H3515" s="408"/>
      <c r="I3515" s="408"/>
      <c r="J3515" s="408"/>
      <c r="K3515" s="408"/>
      <c r="L3515" s="408"/>
      <c r="M3515" s="408"/>
      <c r="N3515" s="408" t="str">
        <f t="shared" si="481"/>
        <v/>
      </c>
      <c r="O3515" s="408"/>
      <c r="P3515" s="408"/>
      <c r="Q3515" s="408"/>
      <c r="R3515" s="408"/>
      <c r="S3515" s="408"/>
      <c r="T3515" s="408"/>
      <c r="U3515" s="408"/>
      <c r="V3515" s="421"/>
      <c r="W3515" s="421"/>
      <c r="X3515" s="421"/>
      <c r="Y3515" s="421"/>
      <c r="Z3515" s="421"/>
      <c r="AA3515" s="421"/>
      <c r="AB3515" s="421"/>
      <c r="AC3515" s="421"/>
      <c r="AD3515" s="421"/>
      <c r="AE3515" s="421"/>
      <c r="AF3515" s="421"/>
      <c r="AG3515" s="421"/>
      <c r="AH3515" s="421"/>
      <c r="AI3515" s="421"/>
      <c r="AJ3515" s="421"/>
      <c r="AK3515" s="421"/>
      <c r="AL3515" s="421"/>
    </row>
    <row r="3516" spans="1:38" hidden="1">
      <c r="A3516" s="408"/>
      <c r="B3516" s="83" t="e">
        <f t="array" ref="B3516">SUM(--(FREQUENCY(IF(C$2:C$3072=C3516, MATCH(D$2:D$3072, D$2:D$3072, 0)), ROW(D$2:D$3072)-ROW(D$2)+1) &gt; 0))</f>
        <v>#N/A</v>
      </c>
      <c r="C3516" s="408"/>
      <c r="D3516" s="408"/>
      <c r="E3516" s="408"/>
      <c r="F3516" s="408"/>
      <c r="G3516" s="408"/>
      <c r="H3516" s="408"/>
      <c r="I3516" s="408"/>
      <c r="J3516" s="408"/>
      <c r="K3516" s="408"/>
      <c r="L3516" s="408"/>
      <c r="M3516" s="408"/>
      <c r="N3516" s="408" t="str">
        <f t="shared" si="481"/>
        <v/>
      </c>
      <c r="O3516" s="408"/>
      <c r="P3516" s="408"/>
      <c r="Q3516" s="408"/>
      <c r="R3516" s="408"/>
      <c r="S3516" s="408"/>
      <c r="T3516" s="408"/>
      <c r="U3516" s="408"/>
      <c r="V3516" s="421"/>
      <c r="W3516" s="421"/>
      <c r="X3516" s="421"/>
      <c r="Y3516" s="421"/>
      <c r="Z3516" s="421"/>
      <c r="AA3516" s="421"/>
      <c r="AB3516" s="421"/>
      <c r="AC3516" s="421"/>
      <c r="AD3516" s="421"/>
      <c r="AE3516" s="421"/>
      <c r="AF3516" s="421"/>
      <c r="AG3516" s="421"/>
      <c r="AH3516" s="421"/>
      <c r="AI3516" s="421"/>
      <c r="AJ3516" s="421"/>
      <c r="AK3516" s="421"/>
      <c r="AL3516" s="421"/>
    </row>
    <row r="3517" spans="1:38" hidden="1">
      <c r="A3517" s="408"/>
      <c r="B3517" s="83" t="e">
        <f t="array" ref="B3517">SUM(--(FREQUENCY(IF(C$2:C$3072=C3517, MATCH(D$2:D$3072, D$2:D$3072, 0)), ROW(D$2:D$3072)-ROW(D$2)+1) &gt; 0))</f>
        <v>#N/A</v>
      </c>
      <c r="C3517" s="408"/>
      <c r="D3517" s="408"/>
      <c r="E3517" s="408"/>
      <c r="F3517" s="408"/>
      <c r="G3517" s="408"/>
      <c r="H3517" s="408"/>
      <c r="I3517" s="408"/>
      <c r="J3517" s="408"/>
      <c r="K3517" s="408"/>
      <c r="L3517" s="408"/>
      <c r="M3517" s="408"/>
      <c r="N3517" s="408" t="str">
        <f t="shared" si="481"/>
        <v/>
      </c>
      <c r="O3517" s="408"/>
      <c r="P3517" s="408"/>
      <c r="Q3517" s="408"/>
      <c r="R3517" s="408"/>
      <c r="S3517" s="408"/>
      <c r="T3517" s="408"/>
      <c r="U3517" s="408"/>
      <c r="V3517" s="421"/>
      <c r="W3517" s="421"/>
      <c r="X3517" s="421"/>
      <c r="Y3517" s="421"/>
      <c r="Z3517" s="421"/>
      <c r="AA3517" s="421"/>
      <c r="AB3517" s="421"/>
      <c r="AC3517" s="421"/>
      <c r="AD3517" s="421"/>
      <c r="AE3517" s="421"/>
      <c r="AF3517" s="421"/>
      <c r="AG3517" s="421"/>
      <c r="AH3517" s="421"/>
      <c r="AI3517" s="421"/>
      <c r="AJ3517" s="421"/>
      <c r="AK3517" s="421"/>
      <c r="AL3517" s="421"/>
    </row>
    <row r="3518" spans="1:38" hidden="1">
      <c r="A3518" s="408"/>
      <c r="B3518" s="83" t="e">
        <f t="array" ref="B3518">SUM(--(FREQUENCY(IF(C$2:C$3072=C3518, MATCH(D$2:D$3072, D$2:D$3072, 0)), ROW(D$2:D$3072)-ROW(D$2)+1) &gt; 0))</f>
        <v>#N/A</v>
      </c>
      <c r="C3518" s="408"/>
      <c r="D3518" s="408"/>
      <c r="E3518" s="408"/>
      <c r="F3518" s="408"/>
      <c r="G3518" s="408"/>
      <c r="H3518" s="408"/>
      <c r="I3518" s="408"/>
      <c r="J3518" s="408"/>
      <c r="K3518" s="408"/>
      <c r="L3518" s="408"/>
      <c r="M3518" s="408"/>
      <c r="N3518" s="408" t="str">
        <f t="shared" si="481"/>
        <v/>
      </c>
      <c r="O3518" s="408"/>
      <c r="P3518" s="408"/>
      <c r="Q3518" s="408"/>
      <c r="R3518" s="408"/>
      <c r="S3518" s="408"/>
      <c r="T3518" s="408"/>
      <c r="U3518" s="408"/>
      <c r="V3518" s="421"/>
      <c r="W3518" s="421"/>
      <c r="X3518" s="421"/>
      <c r="Y3518" s="421"/>
      <c r="Z3518" s="421"/>
      <c r="AA3518" s="421"/>
      <c r="AB3518" s="421"/>
      <c r="AC3518" s="421"/>
      <c r="AD3518" s="421"/>
      <c r="AE3518" s="421"/>
      <c r="AF3518" s="421"/>
      <c r="AG3518" s="421"/>
      <c r="AH3518" s="421"/>
      <c r="AI3518" s="421"/>
      <c r="AJ3518" s="421"/>
      <c r="AK3518" s="421"/>
      <c r="AL3518" s="421"/>
    </row>
    <row r="3519" spans="1:38" hidden="1">
      <c r="A3519" s="408"/>
      <c r="B3519" s="83" t="e">
        <f t="array" ref="B3519">SUM(--(FREQUENCY(IF(C$2:C$3072=C3519, MATCH(D$2:D$3072, D$2:D$3072, 0)), ROW(D$2:D$3072)-ROW(D$2)+1) &gt; 0))</f>
        <v>#N/A</v>
      </c>
      <c r="C3519" s="408"/>
      <c r="D3519" s="408"/>
      <c r="E3519" s="408"/>
      <c r="F3519" s="408"/>
      <c r="G3519" s="408"/>
      <c r="H3519" s="408"/>
      <c r="I3519" s="408"/>
      <c r="J3519" s="408"/>
      <c r="K3519" s="408"/>
      <c r="L3519" s="408"/>
      <c r="M3519" s="408"/>
      <c r="N3519" s="408" t="str">
        <f t="shared" si="481"/>
        <v/>
      </c>
      <c r="O3519" s="408"/>
      <c r="P3519" s="408"/>
      <c r="Q3519" s="408"/>
      <c r="R3519" s="408"/>
      <c r="S3519" s="408"/>
      <c r="T3519" s="408"/>
      <c r="U3519" s="408"/>
      <c r="V3519" s="421"/>
      <c r="W3519" s="421"/>
      <c r="X3519" s="421"/>
      <c r="Y3519" s="421"/>
      <c r="Z3519" s="421"/>
      <c r="AA3519" s="421"/>
      <c r="AB3519" s="421"/>
      <c r="AC3519" s="421"/>
      <c r="AD3519" s="421"/>
      <c r="AE3519" s="421"/>
      <c r="AF3519" s="421"/>
      <c r="AG3519" s="421"/>
      <c r="AH3519" s="421"/>
      <c r="AI3519" s="421"/>
      <c r="AJ3519" s="421"/>
      <c r="AK3519" s="421"/>
      <c r="AL3519" s="421"/>
    </row>
    <row r="3520" spans="1:38" hidden="1">
      <c r="A3520" s="408"/>
      <c r="B3520" s="83" t="e">
        <f t="array" ref="B3520">SUM(--(FREQUENCY(IF(C$2:C$3072=C3520, MATCH(D$2:D$3072, D$2:D$3072, 0)), ROW(D$2:D$3072)-ROW(D$2)+1) &gt; 0))</f>
        <v>#N/A</v>
      </c>
      <c r="C3520" s="408"/>
      <c r="D3520" s="408"/>
      <c r="E3520" s="408"/>
      <c r="F3520" s="408"/>
      <c r="G3520" s="408"/>
      <c r="H3520" s="408"/>
      <c r="I3520" s="408"/>
      <c r="J3520" s="408"/>
      <c r="K3520" s="408"/>
      <c r="L3520" s="408"/>
      <c r="M3520" s="408"/>
      <c r="N3520" s="408" t="str">
        <f t="shared" ref="N3520:N3583" si="482">IF(O3520&lt;&gt;"", "NG", "")</f>
        <v/>
      </c>
      <c r="O3520" s="408"/>
      <c r="P3520" s="408"/>
      <c r="Q3520" s="408"/>
      <c r="R3520" s="408"/>
      <c r="S3520" s="408"/>
      <c r="T3520" s="408"/>
      <c r="U3520" s="408"/>
      <c r="V3520" s="421"/>
      <c r="W3520" s="421"/>
      <c r="X3520" s="421"/>
      <c r="Y3520" s="421"/>
      <c r="Z3520" s="421"/>
      <c r="AA3520" s="421"/>
      <c r="AB3520" s="421"/>
      <c r="AC3520" s="421"/>
      <c r="AD3520" s="421"/>
      <c r="AE3520" s="421"/>
      <c r="AF3520" s="421"/>
      <c r="AG3520" s="421"/>
      <c r="AH3520" s="421"/>
      <c r="AI3520" s="421"/>
      <c r="AJ3520" s="421"/>
      <c r="AK3520" s="421"/>
      <c r="AL3520" s="421"/>
    </row>
    <row r="3521" spans="1:38" hidden="1">
      <c r="A3521" s="408"/>
      <c r="B3521" s="83" t="e">
        <f t="array" ref="B3521">SUM(--(FREQUENCY(IF(C$2:C$3072=C3521, MATCH(D$2:D$3072, D$2:D$3072, 0)), ROW(D$2:D$3072)-ROW(D$2)+1) &gt; 0))</f>
        <v>#N/A</v>
      </c>
      <c r="C3521" s="408"/>
      <c r="D3521" s="408"/>
      <c r="E3521" s="408"/>
      <c r="F3521" s="408"/>
      <c r="G3521" s="408"/>
      <c r="H3521" s="408"/>
      <c r="I3521" s="408"/>
      <c r="J3521" s="408"/>
      <c r="K3521" s="408"/>
      <c r="L3521" s="408"/>
      <c r="M3521" s="408"/>
      <c r="N3521" s="408" t="str">
        <f t="shared" si="482"/>
        <v/>
      </c>
      <c r="O3521" s="408"/>
      <c r="P3521" s="408"/>
      <c r="Q3521" s="408"/>
      <c r="R3521" s="408"/>
      <c r="S3521" s="408"/>
      <c r="T3521" s="408"/>
      <c r="U3521" s="408"/>
      <c r="V3521" s="421"/>
      <c r="W3521" s="421"/>
      <c r="X3521" s="421"/>
      <c r="Y3521" s="421"/>
      <c r="Z3521" s="421"/>
      <c r="AA3521" s="421"/>
      <c r="AB3521" s="421"/>
      <c r="AC3521" s="421"/>
      <c r="AD3521" s="421"/>
      <c r="AE3521" s="421"/>
      <c r="AF3521" s="421"/>
      <c r="AG3521" s="421"/>
      <c r="AH3521" s="421"/>
      <c r="AI3521" s="421"/>
      <c r="AJ3521" s="421"/>
      <c r="AK3521" s="421"/>
      <c r="AL3521" s="421"/>
    </row>
    <row r="3522" spans="1:38" hidden="1">
      <c r="A3522" s="408"/>
      <c r="B3522" s="83" t="e">
        <f t="array" ref="B3522">SUM(--(FREQUENCY(IF(C$2:C$3072=C3522, MATCH(D$2:D$3072, D$2:D$3072, 0)), ROW(D$2:D$3072)-ROW(D$2)+1) &gt; 0))</f>
        <v>#N/A</v>
      </c>
      <c r="C3522" s="408"/>
      <c r="D3522" s="408"/>
      <c r="E3522" s="408"/>
      <c r="F3522" s="408"/>
      <c r="G3522" s="408"/>
      <c r="H3522" s="408"/>
      <c r="I3522" s="408"/>
      <c r="J3522" s="408"/>
      <c r="K3522" s="408"/>
      <c r="L3522" s="408"/>
      <c r="M3522" s="408"/>
      <c r="N3522" s="408" t="str">
        <f t="shared" si="482"/>
        <v/>
      </c>
      <c r="O3522" s="408"/>
      <c r="P3522" s="408"/>
      <c r="Q3522" s="408"/>
      <c r="R3522" s="408"/>
      <c r="S3522" s="408"/>
      <c r="T3522" s="408"/>
      <c r="U3522" s="408"/>
      <c r="V3522" s="421"/>
      <c r="W3522" s="421"/>
      <c r="X3522" s="421"/>
      <c r="Y3522" s="421"/>
      <c r="Z3522" s="421"/>
      <c r="AA3522" s="421"/>
      <c r="AB3522" s="421"/>
      <c r="AC3522" s="421"/>
      <c r="AD3522" s="421"/>
      <c r="AE3522" s="421"/>
      <c r="AF3522" s="421"/>
      <c r="AG3522" s="421"/>
      <c r="AH3522" s="421"/>
      <c r="AI3522" s="421"/>
      <c r="AJ3522" s="421"/>
      <c r="AK3522" s="421"/>
      <c r="AL3522" s="421"/>
    </row>
    <row r="3523" spans="1:38" hidden="1">
      <c r="A3523" s="408"/>
      <c r="B3523" s="83" t="e">
        <f t="array" ref="B3523">SUM(--(FREQUENCY(IF(C$2:C$3072=C3523, MATCH(D$2:D$3072, D$2:D$3072, 0)), ROW(D$2:D$3072)-ROW(D$2)+1) &gt; 0))</f>
        <v>#N/A</v>
      </c>
      <c r="C3523" s="408"/>
      <c r="D3523" s="408"/>
      <c r="E3523" s="408"/>
      <c r="F3523" s="408"/>
      <c r="G3523" s="408"/>
      <c r="H3523" s="408"/>
      <c r="I3523" s="408"/>
      <c r="J3523" s="408"/>
      <c r="K3523" s="408"/>
      <c r="L3523" s="408"/>
      <c r="M3523" s="408"/>
      <c r="N3523" s="408" t="str">
        <f t="shared" si="482"/>
        <v/>
      </c>
      <c r="O3523" s="408"/>
      <c r="P3523" s="408"/>
      <c r="Q3523" s="408"/>
      <c r="R3523" s="408"/>
      <c r="S3523" s="408"/>
      <c r="T3523" s="408"/>
      <c r="U3523" s="408"/>
      <c r="V3523" s="421"/>
      <c r="W3523" s="421"/>
      <c r="X3523" s="421"/>
      <c r="Y3523" s="421"/>
      <c r="Z3523" s="421"/>
      <c r="AA3523" s="421"/>
      <c r="AB3523" s="421"/>
      <c r="AC3523" s="421"/>
      <c r="AD3523" s="421"/>
      <c r="AE3523" s="421"/>
      <c r="AF3523" s="421"/>
      <c r="AG3523" s="421"/>
      <c r="AH3523" s="421"/>
      <c r="AI3523" s="421"/>
      <c r="AJ3523" s="421"/>
      <c r="AK3523" s="421"/>
      <c r="AL3523" s="421"/>
    </row>
    <row r="3524" spans="1:38" hidden="1">
      <c r="A3524" s="408"/>
      <c r="B3524" s="83" t="e">
        <f t="array" ref="B3524">SUM(--(FREQUENCY(IF(C$2:C$3072=C3524, MATCH(D$2:D$3072, D$2:D$3072, 0)), ROW(D$2:D$3072)-ROW(D$2)+1) &gt; 0))</f>
        <v>#N/A</v>
      </c>
      <c r="C3524" s="408"/>
      <c r="D3524" s="408"/>
      <c r="E3524" s="408"/>
      <c r="F3524" s="408"/>
      <c r="G3524" s="408"/>
      <c r="H3524" s="408"/>
      <c r="I3524" s="408"/>
      <c r="J3524" s="408"/>
      <c r="K3524" s="408"/>
      <c r="L3524" s="408"/>
      <c r="M3524" s="408"/>
      <c r="N3524" s="408" t="str">
        <f t="shared" si="482"/>
        <v/>
      </c>
      <c r="O3524" s="408"/>
      <c r="P3524" s="408"/>
      <c r="Q3524" s="408"/>
      <c r="R3524" s="408"/>
      <c r="S3524" s="408"/>
      <c r="T3524" s="408"/>
      <c r="U3524" s="408"/>
      <c r="V3524" s="421"/>
      <c r="W3524" s="421"/>
      <c r="X3524" s="421"/>
      <c r="Y3524" s="421"/>
      <c r="Z3524" s="421"/>
      <c r="AA3524" s="421"/>
      <c r="AB3524" s="421"/>
      <c r="AC3524" s="421"/>
      <c r="AD3524" s="421"/>
      <c r="AE3524" s="421"/>
      <c r="AF3524" s="421"/>
      <c r="AG3524" s="421"/>
      <c r="AH3524" s="421"/>
      <c r="AI3524" s="421"/>
      <c r="AJ3524" s="421"/>
      <c r="AK3524" s="421"/>
      <c r="AL3524" s="421"/>
    </row>
    <row r="3525" spans="1:38" hidden="1">
      <c r="A3525" s="408"/>
      <c r="B3525" s="83" t="e">
        <f t="array" ref="B3525">SUM(--(FREQUENCY(IF(C$2:C$3072=C3525, MATCH(D$2:D$3072, D$2:D$3072, 0)), ROW(D$2:D$3072)-ROW(D$2)+1) &gt; 0))</f>
        <v>#N/A</v>
      </c>
      <c r="C3525" s="408"/>
      <c r="D3525" s="408"/>
      <c r="E3525" s="408"/>
      <c r="F3525" s="408"/>
      <c r="G3525" s="408"/>
      <c r="H3525" s="408"/>
      <c r="I3525" s="408"/>
      <c r="J3525" s="408"/>
      <c r="K3525" s="408"/>
      <c r="L3525" s="408"/>
      <c r="M3525" s="408"/>
      <c r="N3525" s="408" t="str">
        <f t="shared" si="482"/>
        <v/>
      </c>
      <c r="O3525" s="408"/>
      <c r="P3525" s="408"/>
      <c r="Q3525" s="408"/>
      <c r="R3525" s="408"/>
      <c r="S3525" s="408"/>
      <c r="T3525" s="408"/>
      <c r="U3525" s="408"/>
      <c r="V3525" s="421"/>
      <c r="W3525" s="421"/>
      <c r="X3525" s="421"/>
      <c r="Y3525" s="421"/>
      <c r="Z3525" s="421"/>
      <c r="AA3525" s="421"/>
      <c r="AB3525" s="421"/>
      <c r="AC3525" s="421"/>
      <c r="AD3525" s="421"/>
      <c r="AE3525" s="421"/>
      <c r="AF3525" s="421"/>
      <c r="AG3525" s="421"/>
      <c r="AH3525" s="421"/>
      <c r="AI3525" s="421"/>
      <c r="AJ3525" s="421"/>
      <c r="AK3525" s="421"/>
      <c r="AL3525" s="421"/>
    </row>
    <row r="3526" spans="1:38" hidden="1">
      <c r="A3526" s="408"/>
      <c r="B3526" s="83" t="e">
        <f t="array" ref="B3526">SUM(--(FREQUENCY(IF(C$2:C$3072=C3526, MATCH(D$2:D$3072, D$2:D$3072, 0)), ROW(D$2:D$3072)-ROW(D$2)+1) &gt; 0))</f>
        <v>#N/A</v>
      </c>
      <c r="C3526" s="408"/>
      <c r="D3526" s="408"/>
      <c r="E3526" s="408"/>
      <c r="F3526" s="408"/>
      <c r="G3526" s="408"/>
      <c r="H3526" s="408"/>
      <c r="I3526" s="408"/>
      <c r="J3526" s="408"/>
      <c r="K3526" s="408"/>
      <c r="L3526" s="408"/>
      <c r="M3526" s="408"/>
      <c r="N3526" s="408" t="str">
        <f t="shared" si="482"/>
        <v/>
      </c>
      <c r="O3526" s="408"/>
      <c r="P3526" s="408"/>
      <c r="Q3526" s="408"/>
      <c r="R3526" s="408"/>
      <c r="S3526" s="408"/>
      <c r="T3526" s="408"/>
      <c r="U3526" s="408"/>
      <c r="V3526" s="421"/>
      <c r="W3526" s="421"/>
      <c r="X3526" s="421"/>
      <c r="Y3526" s="421"/>
      <c r="Z3526" s="421"/>
      <c r="AA3526" s="421"/>
      <c r="AB3526" s="421"/>
      <c r="AC3526" s="421"/>
      <c r="AD3526" s="421"/>
      <c r="AE3526" s="421"/>
      <c r="AF3526" s="421"/>
      <c r="AG3526" s="421"/>
      <c r="AH3526" s="421"/>
      <c r="AI3526" s="421"/>
      <c r="AJ3526" s="421"/>
      <c r="AK3526" s="421"/>
      <c r="AL3526" s="421"/>
    </row>
    <row r="3527" spans="1:38" hidden="1">
      <c r="A3527" s="408"/>
      <c r="B3527" s="83" t="e">
        <f t="array" ref="B3527">SUM(--(FREQUENCY(IF(C$2:C$3072=C3527, MATCH(D$2:D$3072, D$2:D$3072, 0)), ROW(D$2:D$3072)-ROW(D$2)+1) &gt; 0))</f>
        <v>#N/A</v>
      </c>
      <c r="C3527" s="408"/>
      <c r="D3527" s="408"/>
      <c r="E3527" s="408"/>
      <c r="F3527" s="408"/>
      <c r="G3527" s="408"/>
      <c r="H3527" s="408"/>
      <c r="I3527" s="408"/>
      <c r="J3527" s="408"/>
      <c r="K3527" s="408"/>
      <c r="L3527" s="408"/>
      <c r="M3527" s="408"/>
      <c r="N3527" s="408" t="str">
        <f t="shared" si="482"/>
        <v/>
      </c>
      <c r="O3527" s="408"/>
      <c r="P3527" s="408"/>
      <c r="Q3527" s="408"/>
      <c r="R3527" s="408"/>
      <c r="S3527" s="408"/>
      <c r="T3527" s="408"/>
      <c r="U3527" s="408"/>
      <c r="V3527" s="421"/>
      <c r="W3527" s="421"/>
      <c r="X3527" s="421"/>
      <c r="Y3527" s="421"/>
      <c r="Z3527" s="421"/>
      <c r="AA3527" s="421"/>
      <c r="AB3527" s="421"/>
      <c r="AC3527" s="421"/>
      <c r="AD3527" s="421"/>
      <c r="AE3527" s="421"/>
      <c r="AF3527" s="421"/>
      <c r="AG3527" s="421"/>
      <c r="AH3527" s="421"/>
      <c r="AI3527" s="421"/>
      <c r="AJ3527" s="421"/>
      <c r="AK3527" s="421"/>
      <c r="AL3527" s="421"/>
    </row>
    <row r="3528" spans="1:38" hidden="1">
      <c r="A3528" s="408"/>
      <c r="B3528" s="83" t="e">
        <f t="array" ref="B3528">SUM(--(FREQUENCY(IF(C$2:C$3072=C3528, MATCH(D$2:D$3072, D$2:D$3072, 0)), ROW(D$2:D$3072)-ROW(D$2)+1) &gt; 0))</f>
        <v>#N/A</v>
      </c>
      <c r="C3528" s="408"/>
      <c r="D3528" s="408"/>
      <c r="E3528" s="408"/>
      <c r="F3528" s="408"/>
      <c r="G3528" s="408"/>
      <c r="H3528" s="408"/>
      <c r="I3528" s="408"/>
      <c r="J3528" s="408"/>
      <c r="K3528" s="408"/>
      <c r="L3528" s="408"/>
      <c r="M3528" s="408"/>
      <c r="N3528" s="408" t="str">
        <f t="shared" si="482"/>
        <v/>
      </c>
      <c r="O3528" s="408"/>
      <c r="P3528" s="408"/>
      <c r="Q3528" s="408"/>
      <c r="R3528" s="408"/>
      <c r="S3528" s="408"/>
      <c r="T3528" s="408"/>
      <c r="U3528" s="408"/>
      <c r="V3528" s="421"/>
      <c r="W3528" s="421"/>
      <c r="X3528" s="421"/>
      <c r="Y3528" s="421"/>
      <c r="Z3528" s="421"/>
      <c r="AA3528" s="421"/>
      <c r="AB3528" s="421"/>
      <c r="AC3528" s="421"/>
      <c r="AD3528" s="421"/>
      <c r="AE3528" s="421"/>
      <c r="AF3528" s="421"/>
      <c r="AG3528" s="421"/>
      <c r="AH3528" s="421"/>
      <c r="AI3528" s="421"/>
      <c r="AJ3528" s="421"/>
      <c r="AK3528" s="421"/>
      <c r="AL3528" s="421"/>
    </row>
    <row r="3529" spans="1:38" hidden="1">
      <c r="A3529" s="408"/>
      <c r="B3529" s="83" t="e">
        <f t="array" ref="B3529">SUM(--(FREQUENCY(IF(C$2:C$3072=C3529, MATCH(D$2:D$3072, D$2:D$3072, 0)), ROW(D$2:D$3072)-ROW(D$2)+1) &gt; 0))</f>
        <v>#N/A</v>
      </c>
      <c r="C3529" s="408"/>
      <c r="D3529" s="408"/>
      <c r="E3529" s="408"/>
      <c r="F3529" s="408"/>
      <c r="G3529" s="408"/>
      <c r="H3529" s="408"/>
      <c r="I3529" s="408"/>
      <c r="J3529" s="408"/>
      <c r="K3529" s="408"/>
      <c r="L3529" s="408"/>
      <c r="M3529" s="408"/>
      <c r="N3529" s="408" t="str">
        <f t="shared" si="482"/>
        <v/>
      </c>
      <c r="O3529" s="408"/>
      <c r="P3529" s="408"/>
      <c r="Q3529" s="408"/>
      <c r="R3529" s="408"/>
      <c r="S3529" s="408"/>
      <c r="T3529" s="408"/>
      <c r="U3529" s="408"/>
      <c r="V3529" s="421"/>
      <c r="W3529" s="421"/>
      <c r="X3529" s="421"/>
      <c r="Y3529" s="421"/>
      <c r="Z3529" s="421"/>
      <c r="AA3529" s="421"/>
      <c r="AB3529" s="421"/>
      <c r="AC3529" s="421"/>
      <c r="AD3529" s="421"/>
      <c r="AE3529" s="421"/>
      <c r="AF3529" s="421"/>
      <c r="AG3529" s="421"/>
      <c r="AH3529" s="421"/>
      <c r="AI3529" s="421"/>
      <c r="AJ3529" s="421"/>
      <c r="AK3529" s="421"/>
      <c r="AL3529" s="421"/>
    </row>
    <row r="3530" spans="1:38" hidden="1">
      <c r="A3530" s="408"/>
      <c r="B3530" s="83" t="e">
        <f t="array" ref="B3530">SUM(--(FREQUENCY(IF(C$2:C$3072=C3530, MATCH(D$2:D$3072, D$2:D$3072, 0)), ROW(D$2:D$3072)-ROW(D$2)+1) &gt; 0))</f>
        <v>#N/A</v>
      </c>
      <c r="C3530" s="408"/>
      <c r="D3530" s="408"/>
      <c r="E3530" s="408"/>
      <c r="F3530" s="408"/>
      <c r="G3530" s="408"/>
      <c r="H3530" s="408"/>
      <c r="I3530" s="408"/>
      <c r="J3530" s="408"/>
      <c r="K3530" s="408"/>
      <c r="L3530" s="408"/>
      <c r="M3530" s="408"/>
      <c r="N3530" s="408" t="str">
        <f t="shared" si="482"/>
        <v/>
      </c>
      <c r="O3530" s="408"/>
      <c r="P3530" s="408"/>
      <c r="Q3530" s="408"/>
      <c r="R3530" s="408"/>
      <c r="S3530" s="408"/>
      <c r="T3530" s="408"/>
      <c r="U3530" s="408"/>
      <c r="V3530" s="421"/>
      <c r="W3530" s="421"/>
      <c r="X3530" s="421"/>
      <c r="Y3530" s="421"/>
      <c r="Z3530" s="421"/>
      <c r="AA3530" s="421"/>
      <c r="AB3530" s="421"/>
      <c r="AC3530" s="421"/>
      <c r="AD3530" s="421"/>
      <c r="AE3530" s="421"/>
      <c r="AF3530" s="421"/>
      <c r="AG3530" s="421"/>
      <c r="AH3530" s="421"/>
      <c r="AI3530" s="421"/>
      <c r="AJ3530" s="421"/>
      <c r="AK3530" s="421"/>
      <c r="AL3530" s="421"/>
    </row>
    <row r="3531" spans="1:38" hidden="1">
      <c r="A3531" s="408"/>
      <c r="B3531" s="83" t="e">
        <f t="array" ref="B3531">SUM(--(FREQUENCY(IF(C$2:C$3072=C3531, MATCH(D$2:D$3072, D$2:D$3072, 0)), ROW(D$2:D$3072)-ROW(D$2)+1) &gt; 0))</f>
        <v>#N/A</v>
      </c>
      <c r="C3531" s="408"/>
      <c r="D3531" s="408"/>
      <c r="E3531" s="408"/>
      <c r="F3531" s="408"/>
      <c r="G3531" s="408"/>
      <c r="H3531" s="408"/>
      <c r="I3531" s="408"/>
      <c r="J3531" s="408"/>
      <c r="K3531" s="408"/>
      <c r="L3531" s="408"/>
      <c r="M3531" s="408"/>
      <c r="N3531" s="408" t="str">
        <f t="shared" si="482"/>
        <v/>
      </c>
      <c r="O3531" s="408"/>
      <c r="P3531" s="408"/>
      <c r="Q3531" s="408"/>
      <c r="R3531" s="408"/>
      <c r="S3531" s="408"/>
      <c r="T3531" s="408"/>
      <c r="U3531" s="408"/>
      <c r="V3531" s="421"/>
      <c r="W3531" s="421"/>
      <c r="X3531" s="421"/>
      <c r="Y3531" s="421"/>
      <c r="Z3531" s="421"/>
      <c r="AA3531" s="421"/>
      <c r="AB3531" s="421"/>
      <c r="AC3531" s="421"/>
      <c r="AD3531" s="421"/>
      <c r="AE3531" s="421"/>
      <c r="AF3531" s="421"/>
      <c r="AG3531" s="421"/>
      <c r="AH3531" s="421"/>
      <c r="AI3531" s="421"/>
      <c r="AJ3531" s="421"/>
      <c r="AK3531" s="421"/>
      <c r="AL3531" s="421"/>
    </row>
    <row r="3532" spans="1:38" hidden="1">
      <c r="A3532" s="408"/>
      <c r="B3532" s="83" t="e">
        <f t="array" ref="B3532">SUM(--(FREQUENCY(IF(C$2:C$3072=C3532, MATCH(D$2:D$3072, D$2:D$3072, 0)), ROW(D$2:D$3072)-ROW(D$2)+1) &gt; 0))</f>
        <v>#N/A</v>
      </c>
      <c r="C3532" s="408"/>
      <c r="D3532" s="408"/>
      <c r="E3532" s="408"/>
      <c r="F3532" s="408"/>
      <c r="G3532" s="408"/>
      <c r="H3532" s="408"/>
      <c r="I3532" s="408"/>
      <c r="J3532" s="408"/>
      <c r="K3532" s="408"/>
      <c r="L3532" s="408"/>
      <c r="M3532" s="408"/>
      <c r="N3532" s="408" t="str">
        <f t="shared" si="482"/>
        <v/>
      </c>
      <c r="O3532" s="408"/>
      <c r="P3532" s="408"/>
      <c r="Q3532" s="408"/>
      <c r="R3532" s="408"/>
      <c r="S3532" s="408"/>
      <c r="T3532" s="408"/>
      <c r="U3532" s="408"/>
      <c r="V3532" s="421"/>
      <c r="W3532" s="421"/>
      <c r="X3532" s="421"/>
      <c r="Y3532" s="421"/>
      <c r="Z3532" s="421"/>
      <c r="AA3532" s="421"/>
      <c r="AB3532" s="421"/>
      <c r="AC3532" s="421"/>
      <c r="AD3532" s="421"/>
      <c r="AE3532" s="421"/>
      <c r="AF3532" s="421"/>
      <c r="AG3532" s="421"/>
      <c r="AH3532" s="421"/>
      <c r="AI3532" s="421"/>
      <c r="AJ3532" s="421"/>
      <c r="AK3532" s="421"/>
      <c r="AL3532" s="421"/>
    </row>
    <row r="3533" spans="1:38" hidden="1">
      <c r="A3533" s="408"/>
      <c r="B3533" s="83" t="e">
        <f t="array" ref="B3533">SUM(--(FREQUENCY(IF(C$2:C$3072=C3533, MATCH(D$2:D$3072, D$2:D$3072, 0)), ROW(D$2:D$3072)-ROW(D$2)+1) &gt; 0))</f>
        <v>#N/A</v>
      </c>
      <c r="C3533" s="408"/>
      <c r="D3533" s="408"/>
      <c r="E3533" s="408"/>
      <c r="F3533" s="408"/>
      <c r="G3533" s="408"/>
      <c r="H3533" s="408"/>
      <c r="I3533" s="408"/>
      <c r="J3533" s="408"/>
      <c r="K3533" s="408"/>
      <c r="L3533" s="408"/>
      <c r="M3533" s="408"/>
      <c r="N3533" s="408" t="str">
        <f t="shared" si="482"/>
        <v/>
      </c>
      <c r="O3533" s="408"/>
      <c r="P3533" s="408"/>
      <c r="Q3533" s="408"/>
      <c r="R3533" s="408"/>
      <c r="S3533" s="408"/>
      <c r="T3533" s="408"/>
      <c r="U3533" s="408"/>
      <c r="V3533" s="421"/>
      <c r="W3533" s="421"/>
      <c r="X3533" s="421"/>
      <c r="Y3533" s="421"/>
      <c r="Z3533" s="421"/>
      <c r="AA3533" s="421"/>
      <c r="AB3533" s="421"/>
      <c r="AC3533" s="421"/>
      <c r="AD3533" s="421"/>
      <c r="AE3533" s="421"/>
      <c r="AF3533" s="421"/>
      <c r="AG3533" s="421"/>
      <c r="AH3533" s="421"/>
      <c r="AI3533" s="421"/>
      <c r="AJ3533" s="421"/>
      <c r="AK3533" s="421"/>
      <c r="AL3533" s="421"/>
    </row>
    <row r="3534" spans="1:38" hidden="1">
      <c r="A3534" s="408"/>
      <c r="B3534" s="83" t="e">
        <f t="array" ref="B3534">SUM(--(FREQUENCY(IF(C$2:C$3072=C3534, MATCH(D$2:D$3072, D$2:D$3072, 0)), ROW(D$2:D$3072)-ROW(D$2)+1) &gt; 0))</f>
        <v>#N/A</v>
      </c>
      <c r="C3534" s="408"/>
      <c r="D3534" s="408"/>
      <c r="E3534" s="408"/>
      <c r="F3534" s="408"/>
      <c r="G3534" s="408"/>
      <c r="H3534" s="408"/>
      <c r="I3534" s="408"/>
      <c r="J3534" s="408"/>
      <c r="K3534" s="408"/>
      <c r="L3534" s="408"/>
      <c r="M3534" s="408"/>
      <c r="N3534" s="408" t="str">
        <f t="shared" si="482"/>
        <v/>
      </c>
      <c r="O3534" s="408"/>
      <c r="P3534" s="408"/>
      <c r="Q3534" s="408"/>
      <c r="R3534" s="408"/>
      <c r="S3534" s="408"/>
      <c r="T3534" s="408"/>
      <c r="U3534" s="408"/>
      <c r="V3534" s="421"/>
      <c r="W3534" s="421"/>
      <c r="X3534" s="421"/>
      <c r="Y3534" s="421"/>
      <c r="Z3534" s="421"/>
      <c r="AA3534" s="421"/>
      <c r="AB3534" s="421"/>
      <c r="AC3534" s="421"/>
      <c r="AD3534" s="421"/>
      <c r="AE3534" s="421"/>
      <c r="AF3534" s="421"/>
      <c r="AG3534" s="421"/>
      <c r="AH3534" s="421"/>
      <c r="AI3534" s="421"/>
      <c r="AJ3534" s="421"/>
      <c r="AK3534" s="421"/>
      <c r="AL3534" s="421"/>
    </row>
    <row r="3535" spans="1:38" hidden="1">
      <c r="A3535" s="408"/>
      <c r="B3535" s="83" t="e">
        <f t="array" ref="B3535">SUM(--(FREQUENCY(IF(C$2:C$3072=C3535, MATCH(D$2:D$3072, D$2:D$3072, 0)), ROW(D$2:D$3072)-ROW(D$2)+1) &gt; 0))</f>
        <v>#N/A</v>
      </c>
      <c r="C3535" s="408"/>
      <c r="D3535" s="408"/>
      <c r="E3535" s="408"/>
      <c r="F3535" s="408"/>
      <c r="G3535" s="408"/>
      <c r="H3535" s="408"/>
      <c r="I3535" s="408"/>
      <c r="J3535" s="408"/>
      <c r="K3535" s="408"/>
      <c r="L3535" s="408"/>
      <c r="M3535" s="408"/>
      <c r="N3535" s="408" t="str">
        <f t="shared" si="482"/>
        <v/>
      </c>
      <c r="O3535" s="408"/>
      <c r="P3535" s="408"/>
      <c r="Q3535" s="408"/>
      <c r="R3535" s="408"/>
      <c r="S3535" s="408"/>
      <c r="T3535" s="408"/>
      <c r="U3535" s="408"/>
      <c r="V3535" s="421"/>
      <c r="W3535" s="421"/>
      <c r="X3535" s="421"/>
      <c r="Y3535" s="421"/>
      <c r="Z3535" s="421"/>
      <c r="AA3535" s="421"/>
      <c r="AB3535" s="421"/>
      <c r="AC3535" s="421"/>
      <c r="AD3535" s="421"/>
      <c r="AE3535" s="421"/>
      <c r="AF3535" s="421"/>
      <c r="AG3535" s="421"/>
      <c r="AH3535" s="421"/>
      <c r="AI3535" s="421"/>
      <c r="AJ3535" s="421"/>
      <c r="AK3535" s="421"/>
      <c r="AL3535" s="421"/>
    </row>
    <row r="3536" spans="1:38" hidden="1">
      <c r="A3536" s="408"/>
      <c r="B3536" s="83" t="e">
        <f t="array" ref="B3536">SUM(--(FREQUENCY(IF(C$2:C$3072=C3536, MATCH(D$2:D$3072, D$2:D$3072, 0)), ROW(D$2:D$3072)-ROW(D$2)+1) &gt; 0))</f>
        <v>#N/A</v>
      </c>
      <c r="C3536" s="408"/>
      <c r="D3536" s="408"/>
      <c r="E3536" s="408"/>
      <c r="F3536" s="408"/>
      <c r="G3536" s="408"/>
      <c r="H3536" s="408"/>
      <c r="I3536" s="408"/>
      <c r="J3536" s="408"/>
      <c r="K3536" s="408"/>
      <c r="L3536" s="408"/>
      <c r="M3536" s="408"/>
      <c r="N3536" s="408" t="str">
        <f t="shared" si="482"/>
        <v/>
      </c>
      <c r="O3536" s="408"/>
      <c r="P3536" s="408"/>
      <c r="Q3536" s="408"/>
      <c r="R3536" s="408"/>
      <c r="S3536" s="408"/>
      <c r="T3536" s="408"/>
      <c r="U3536" s="408"/>
      <c r="V3536" s="421"/>
      <c r="W3536" s="421"/>
      <c r="X3536" s="421"/>
      <c r="Y3536" s="421"/>
      <c r="Z3536" s="421"/>
      <c r="AA3536" s="421"/>
      <c r="AB3536" s="421"/>
      <c r="AC3536" s="421"/>
      <c r="AD3536" s="421"/>
      <c r="AE3536" s="421"/>
      <c r="AF3536" s="421"/>
      <c r="AG3536" s="421"/>
      <c r="AH3536" s="421"/>
      <c r="AI3536" s="421"/>
      <c r="AJ3536" s="421"/>
      <c r="AK3536" s="421"/>
      <c r="AL3536" s="421"/>
    </row>
    <row r="3537" spans="1:38" hidden="1">
      <c r="A3537" s="408"/>
      <c r="B3537" s="83" t="e">
        <f t="array" ref="B3537">SUM(--(FREQUENCY(IF(C$2:C$3072=C3537, MATCH(D$2:D$3072, D$2:D$3072, 0)), ROW(D$2:D$3072)-ROW(D$2)+1) &gt; 0))</f>
        <v>#N/A</v>
      </c>
      <c r="C3537" s="408"/>
      <c r="D3537" s="408"/>
      <c r="E3537" s="408"/>
      <c r="F3537" s="408"/>
      <c r="G3537" s="408"/>
      <c r="H3537" s="408"/>
      <c r="I3537" s="408"/>
      <c r="J3537" s="408"/>
      <c r="K3537" s="408"/>
      <c r="L3537" s="408"/>
      <c r="M3537" s="408"/>
      <c r="N3537" s="408" t="str">
        <f t="shared" si="482"/>
        <v/>
      </c>
      <c r="O3537" s="408"/>
      <c r="P3537" s="408"/>
      <c r="Q3537" s="408"/>
      <c r="R3537" s="408"/>
      <c r="S3537" s="408"/>
      <c r="T3537" s="408"/>
      <c r="U3537" s="408"/>
      <c r="V3537" s="421"/>
      <c r="W3537" s="421"/>
      <c r="X3537" s="421"/>
      <c r="Y3537" s="421"/>
      <c r="Z3537" s="421"/>
      <c r="AA3537" s="421"/>
      <c r="AB3537" s="421"/>
      <c r="AC3537" s="421"/>
      <c r="AD3537" s="421"/>
      <c r="AE3537" s="421"/>
      <c r="AF3537" s="421"/>
      <c r="AG3537" s="421"/>
      <c r="AH3537" s="421"/>
      <c r="AI3537" s="421"/>
      <c r="AJ3537" s="421"/>
      <c r="AK3537" s="421"/>
      <c r="AL3537" s="421"/>
    </row>
    <row r="3538" spans="1:38" hidden="1">
      <c r="A3538" s="408"/>
      <c r="B3538" s="83" t="e">
        <f t="array" ref="B3538">SUM(--(FREQUENCY(IF(C$2:C$3072=C3538, MATCH(D$2:D$3072, D$2:D$3072, 0)), ROW(D$2:D$3072)-ROW(D$2)+1) &gt; 0))</f>
        <v>#N/A</v>
      </c>
      <c r="C3538" s="408"/>
      <c r="D3538" s="408"/>
      <c r="E3538" s="408"/>
      <c r="F3538" s="408"/>
      <c r="G3538" s="408"/>
      <c r="H3538" s="408"/>
      <c r="I3538" s="408"/>
      <c r="J3538" s="408"/>
      <c r="K3538" s="408"/>
      <c r="L3538" s="408"/>
      <c r="M3538" s="408"/>
      <c r="N3538" s="408" t="str">
        <f t="shared" si="482"/>
        <v/>
      </c>
      <c r="O3538" s="408"/>
      <c r="P3538" s="408"/>
      <c r="Q3538" s="408"/>
      <c r="R3538" s="408"/>
      <c r="S3538" s="408"/>
      <c r="T3538" s="408"/>
      <c r="U3538" s="408"/>
      <c r="V3538" s="421"/>
      <c r="W3538" s="421"/>
      <c r="X3538" s="421"/>
      <c r="Y3538" s="421"/>
      <c r="Z3538" s="421"/>
      <c r="AA3538" s="421"/>
      <c r="AB3538" s="421"/>
      <c r="AC3538" s="421"/>
      <c r="AD3538" s="421"/>
      <c r="AE3538" s="421"/>
      <c r="AF3538" s="421"/>
      <c r="AG3538" s="421"/>
      <c r="AH3538" s="421"/>
      <c r="AI3538" s="421"/>
      <c r="AJ3538" s="421"/>
      <c r="AK3538" s="421"/>
      <c r="AL3538" s="421"/>
    </row>
    <row r="3539" spans="1:38" hidden="1">
      <c r="A3539" s="408"/>
      <c r="B3539" s="83" t="e">
        <f t="array" ref="B3539">SUM(--(FREQUENCY(IF(C$2:C$3072=C3539, MATCH(D$2:D$3072, D$2:D$3072, 0)), ROW(D$2:D$3072)-ROW(D$2)+1) &gt; 0))</f>
        <v>#N/A</v>
      </c>
      <c r="C3539" s="408"/>
      <c r="D3539" s="408"/>
      <c r="E3539" s="408"/>
      <c r="F3539" s="408"/>
      <c r="G3539" s="408"/>
      <c r="H3539" s="408"/>
      <c r="I3539" s="408"/>
      <c r="J3539" s="408"/>
      <c r="K3539" s="408"/>
      <c r="L3539" s="408"/>
      <c r="M3539" s="408"/>
      <c r="N3539" s="408" t="str">
        <f t="shared" si="482"/>
        <v/>
      </c>
      <c r="O3539" s="408"/>
      <c r="P3539" s="408"/>
      <c r="Q3539" s="408"/>
      <c r="R3539" s="408"/>
      <c r="S3539" s="408"/>
      <c r="T3539" s="408"/>
      <c r="U3539" s="408"/>
      <c r="V3539" s="421"/>
      <c r="W3539" s="421"/>
      <c r="X3539" s="421"/>
      <c r="Y3539" s="421"/>
      <c r="Z3539" s="421"/>
      <c r="AA3539" s="421"/>
      <c r="AB3539" s="421"/>
      <c r="AC3539" s="421"/>
      <c r="AD3539" s="421"/>
      <c r="AE3539" s="421"/>
      <c r="AF3539" s="421"/>
      <c r="AG3539" s="421"/>
      <c r="AH3539" s="421"/>
      <c r="AI3539" s="421"/>
      <c r="AJ3539" s="421"/>
      <c r="AK3539" s="421"/>
      <c r="AL3539" s="421"/>
    </row>
    <row r="3540" spans="1:38" hidden="1">
      <c r="A3540" s="408"/>
      <c r="B3540" s="83" t="e">
        <f t="array" ref="B3540">SUM(--(FREQUENCY(IF(C$2:C$3072=C3540, MATCH(D$2:D$3072, D$2:D$3072, 0)), ROW(D$2:D$3072)-ROW(D$2)+1) &gt; 0))</f>
        <v>#N/A</v>
      </c>
      <c r="C3540" s="408"/>
      <c r="D3540" s="408"/>
      <c r="E3540" s="408"/>
      <c r="F3540" s="408"/>
      <c r="G3540" s="408"/>
      <c r="H3540" s="408"/>
      <c r="I3540" s="408"/>
      <c r="J3540" s="408"/>
      <c r="K3540" s="408"/>
      <c r="L3540" s="408"/>
      <c r="M3540" s="408"/>
      <c r="N3540" s="408" t="str">
        <f t="shared" si="482"/>
        <v/>
      </c>
      <c r="O3540" s="408"/>
      <c r="P3540" s="408"/>
      <c r="Q3540" s="408"/>
      <c r="R3540" s="408"/>
      <c r="S3540" s="408"/>
      <c r="T3540" s="408"/>
      <c r="U3540" s="408"/>
      <c r="V3540" s="421"/>
      <c r="W3540" s="421"/>
      <c r="X3540" s="421"/>
      <c r="Y3540" s="421"/>
      <c r="Z3540" s="421"/>
      <c r="AA3540" s="421"/>
      <c r="AB3540" s="421"/>
      <c r="AC3540" s="421"/>
      <c r="AD3540" s="421"/>
      <c r="AE3540" s="421"/>
      <c r="AF3540" s="421"/>
      <c r="AG3540" s="421"/>
      <c r="AH3540" s="421"/>
      <c r="AI3540" s="421"/>
      <c r="AJ3540" s="421"/>
      <c r="AK3540" s="421"/>
      <c r="AL3540" s="421"/>
    </row>
    <row r="3541" spans="1:38" hidden="1">
      <c r="A3541" s="408"/>
      <c r="B3541" s="83" t="e">
        <f t="array" ref="B3541">SUM(--(FREQUENCY(IF(C$2:C$3072=C3541, MATCH(D$2:D$3072, D$2:D$3072, 0)), ROW(D$2:D$3072)-ROW(D$2)+1) &gt; 0))</f>
        <v>#N/A</v>
      </c>
      <c r="C3541" s="408"/>
      <c r="D3541" s="408"/>
      <c r="E3541" s="408"/>
      <c r="F3541" s="408"/>
      <c r="G3541" s="408"/>
      <c r="H3541" s="408"/>
      <c r="I3541" s="408"/>
      <c r="J3541" s="408"/>
      <c r="K3541" s="408"/>
      <c r="L3541" s="408"/>
      <c r="M3541" s="408"/>
      <c r="N3541" s="408" t="str">
        <f t="shared" si="482"/>
        <v/>
      </c>
      <c r="O3541" s="408"/>
      <c r="P3541" s="408"/>
      <c r="Q3541" s="408"/>
      <c r="R3541" s="408"/>
      <c r="S3541" s="408"/>
      <c r="T3541" s="408"/>
      <c r="U3541" s="408"/>
      <c r="V3541" s="421"/>
      <c r="W3541" s="421"/>
      <c r="X3541" s="421"/>
      <c r="Y3541" s="421"/>
      <c r="Z3541" s="421"/>
      <c r="AA3541" s="421"/>
      <c r="AB3541" s="421"/>
      <c r="AC3541" s="421"/>
      <c r="AD3541" s="421"/>
      <c r="AE3541" s="421"/>
      <c r="AF3541" s="421"/>
      <c r="AG3541" s="421"/>
      <c r="AH3541" s="421"/>
      <c r="AI3541" s="421"/>
      <c r="AJ3541" s="421"/>
      <c r="AK3541" s="421"/>
      <c r="AL3541" s="421"/>
    </row>
    <row r="3542" spans="1:38" hidden="1">
      <c r="A3542" s="408"/>
      <c r="B3542" s="83" t="e">
        <f t="array" ref="B3542">SUM(--(FREQUENCY(IF(C$2:C$3072=C3542, MATCH(D$2:D$3072, D$2:D$3072, 0)), ROW(D$2:D$3072)-ROW(D$2)+1) &gt; 0))</f>
        <v>#N/A</v>
      </c>
      <c r="C3542" s="408"/>
      <c r="D3542" s="408"/>
      <c r="E3542" s="408"/>
      <c r="F3542" s="408"/>
      <c r="G3542" s="408"/>
      <c r="H3542" s="408"/>
      <c r="I3542" s="408"/>
      <c r="J3542" s="408"/>
      <c r="K3542" s="408"/>
      <c r="L3542" s="408"/>
      <c r="M3542" s="408"/>
      <c r="N3542" s="408" t="str">
        <f t="shared" si="482"/>
        <v/>
      </c>
      <c r="O3542" s="408"/>
      <c r="P3542" s="408"/>
      <c r="Q3542" s="408"/>
      <c r="R3542" s="408"/>
      <c r="S3542" s="408"/>
      <c r="T3542" s="408"/>
      <c r="U3542" s="408"/>
      <c r="V3542" s="421"/>
      <c r="W3542" s="421"/>
      <c r="X3542" s="421"/>
      <c r="Y3542" s="421"/>
      <c r="Z3542" s="421"/>
      <c r="AA3542" s="421"/>
      <c r="AB3542" s="421"/>
      <c r="AC3542" s="421"/>
      <c r="AD3542" s="421"/>
      <c r="AE3542" s="421"/>
      <c r="AF3542" s="421"/>
      <c r="AG3542" s="421"/>
      <c r="AH3542" s="421"/>
      <c r="AI3542" s="421"/>
      <c r="AJ3542" s="421"/>
      <c r="AK3542" s="421"/>
      <c r="AL3542" s="421"/>
    </row>
    <row r="3543" spans="1:38" hidden="1">
      <c r="A3543" s="408"/>
      <c r="B3543" s="83" t="e">
        <f t="array" ref="B3543">SUM(--(FREQUENCY(IF(C$2:C$3072=C3543, MATCH(D$2:D$3072, D$2:D$3072, 0)), ROW(D$2:D$3072)-ROW(D$2)+1) &gt; 0))</f>
        <v>#N/A</v>
      </c>
      <c r="C3543" s="408"/>
      <c r="D3543" s="408"/>
      <c r="E3543" s="408"/>
      <c r="F3543" s="408"/>
      <c r="G3543" s="408"/>
      <c r="H3543" s="408"/>
      <c r="I3543" s="408"/>
      <c r="J3543" s="408"/>
      <c r="K3543" s="408"/>
      <c r="L3543" s="408"/>
      <c r="M3543" s="408"/>
      <c r="N3543" s="408" t="str">
        <f t="shared" si="482"/>
        <v/>
      </c>
      <c r="O3543" s="408"/>
      <c r="P3543" s="408"/>
      <c r="Q3543" s="408"/>
      <c r="R3543" s="408"/>
      <c r="S3543" s="408"/>
      <c r="T3543" s="408"/>
      <c r="U3543" s="408"/>
      <c r="V3543" s="421"/>
      <c r="W3543" s="421"/>
      <c r="X3543" s="421"/>
      <c r="Y3543" s="421"/>
      <c r="Z3543" s="421"/>
      <c r="AA3543" s="421"/>
      <c r="AB3543" s="421"/>
      <c r="AC3543" s="421"/>
      <c r="AD3543" s="421"/>
      <c r="AE3543" s="421"/>
      <c r="AF3543" s="421"/>
      <c r="AG3543" s="421"/>
      <c r="AH3543" s="421"/>
      <c r="AI3543" s="421"/>
      <c r="AJ3543" s="421"/>
      <c r="AK3543" s="421"/>
      <c r="AL3543" s="421"/>
    </row>
    <row r="3544" spans="1:38" hidden="1">
      <c r="A3544" s="408"/>
      <c r="B3544" s="83" t="e">
        <f t="array" ref="B3544">SUM(--(FREQUENCY(IF(C$2:C$3072=C3544, MATCH(D$2:D$3072, D$2:D$3072, 0)), ROW(D$2:D$3072)-ROW(D$2)+1) &gt; 0))</f>
        <v>#N/A</v>
      </c>
      <c r="C3544" s="408"/>
      <c r="D3544" s="408"/>
      <c r="E3544" s="408"/>
      <c r="F3544" s="408"/>
      <c r="G3544" s="408"/>
      <c r="H3544" s="408"/>
      <c r="I3544" s="408"/>
      <c r="J3544" s="408"/>
      <c r="K3544" s="408"/>
      <c r="L3544" s="408"/>
      <c r="M3544" s="408"/>
      <c r="N3544" s="408" t="str">
        <f t="shared" si="482"/>
        <v/>
      </c>
      <c r="O3544" s="408"/>
      <c r="P3544" s="408"/>
      <c r="Q3544" s="408"/>
      <c r="R3544" s="408"/>
      <c r="S3544" s="408"/>
      <c r="T3544" s="408"/>
      <c r="U3544" s="408"/>
      <c r="V3544" s="421"/>
      <c r="W3544" s="421"/>
      <c r="X3544" s="421"/>
      <c r="Y3544" s="421"/>
      <c r="Z3544" s="421"/>
      <c r="AA3544" s="421"/>
      <c r="AB3544" s="421"/>
      <c r="AC3544" s="421"/>
      <c r="AD3544" s="421"/>
      <c r="AE3544" s="421"/>
      <c r="AF3544" s="421"/>
      <c r="AG3544" s="421"/>
      <c r="AH3544" s="421"/>
      <c r="AI3544" s="421"/>
      <c r="AJ3544" s="421"/>
      <c r="AK3544" s="421"/>
      <c r="AL3544" s="421"/>
    </row>
    <row r="3545" spans="1:38" hidden="1">
      <c r="A3545" s="408"/>
      <c r="B3545" s="83" t="e">
        <f t="array" ref="B3545">SUM(--(FREQUENCY(IF(C$2:C$3072=C3545, MATCH(D$2:D$3072, D$2:D$3072, 0)), ROW(D$2:D$3072)-ROW(D$2)+1) &gt; 0))</f>
        <v>#N/A</v>
      </c>
      <c r="C3545" s="408"/>
      <c r="D3545" s="408"/>
      <c r="E3545" s="408"/>
      <c r="F3545" s="408"/>
      <c r="G3545" s="408"/>
      <c r="H3545" s="408"/>
      <c r="I3545" s="408"/>
      <c r="J3545" s="408"/>
      <c r="K3545" s="408"/>
      <c r="L3545" s="408"/>
      <c r="M3545" s="408"/>
      <c r="N3545" s="408" t="str">
        <f t="shared" si="482"/>
        <v/>
      </c>
      <c r="O3545" s="408"/>
      <c r="P3545" s="408"/>
      <c r="Q3545" s="408"/>
      <c r="R3545" s="408"/>
      <c r="S3545" s="408"/>
      <c r="T3545" s="408"/>
      <c r="U3545" s="408"/>
      <c r="V3545" s="421"/>
      <c r="W3545" s="421"/>
      <c r="X3545" s="421"/>
      <c r="Y3545" s="421"/>
      <c r="Z3545" s="421"/>
      <c r="AA3545" s="421"/>
      <c r="AB3545" s="421"/>
      <c r="AC3545" s="421"/>
      <c r="AD3545" s="421"/>
      <c r="AE3545" s="421"/>
      <c r="AF3545" s="421"/>
      <c r="AG3545" s="421"/>
      <c r="AH3545" s="421"/>
      <c r="AI3545" s="421"/>
      <c r="AJ3545" s="421"/>
      <c r="AK3545" s="421"/>
      <c r="AL3545" s="421"/>
    </row>
    <row r="3546" spans="1:38" hidden="1">
      <c r="A3546" s="408"/>
      <c r="B3546" s="83" t="e">
        <f t="array" ref="B3546">SUM(--(FREQUENCY(IF(C$2:C$3072=C3546, MATCH(D$2:D$3072, D$2:D$3072, 0)), ROW(D$2:D$3072)-ROW(D$2)+1) &gt; 0))</f>
        <v>#N/A</v>
      </c>
      <c r="C3546" s="408"/>
      <c r="D3546" s="408"/>
      <c r="E3546" s="408"/>
      <c r="F3546" s="408"/>
      <c r="G3546" s="408"/>
      <c r="H3546" s="408"/>
      <c r="I3546" s="408"/>
      <c r="J3546" s="408"/>
      <c r="K3546" s="408"/>
      <c r="L3546" s="408"/>
      <c r="M3546" s="408"/>
      <c r="N3546" s="408" t="str">
        <f t="shared" si="482"/>
        <v/>
      </c>
      <c r="O3546" s="408"/>
      <c r="P3546" s="408"/>
      <c r="Q3546" s="408"/>
      <c r="R3546" s="408"/>
      <c r="S3546" s="408"/>
      <c r="T3546" s="408"/>
      <c r="U3546" s="408"/>
      <c r="V3546" s="421"/>
      <c r="W3546" s="421"/>
      <c r="X3546" s="421"/>
      <c r="Y3546" s="421"/>
      <c r="Z3546" s="421"/>
      <c r="AA3546" s="421"/>
      <c r="AB3546" s="421"/>
      <c r="AC3546" s="421"/>
      <c r="AD3546" s="421"/>
      <c r="AE3546" s="421"/>
      <c r="AF3546" s="421"/>
      <c r="AG3546" s="421"/>
      <c r="AH3546" s="421"/>
      <c r="AI3546" s="421"/>
      <c r="AJ3546" s="421"/>
      <c r="AK3546" s="421"/>
      <c r="AL3546" s="421"/>
    </row>
    <row r="3547" spans="1:38" hidden="1">
      <c r="A3547" s="408"/>
      <c r="B3547" s="83" t="e">
        <f t="array" ref="B3547">SUM(--(FREQUENCY(IF(C$2:C$3072=C3547, MATCH(D$2:D$3072, D$2:D$3072, 0)), ROW(D$2:D$3072)-ROW(D$2)+1) &gt; 0))</f>
        <v>#N/A</v>
      </c>
      <c r="C3547" s="408"/>
      <c r="D3547" s="408"/>
      <c r="E3547" s="408"/>
      <c r="F3547" s="408"/>
      <c r="G3547" s="408"/>
      <c r="H3547" s="408"/>
      <c r="I3547" s="408"/>
      <c r="J3547" s="408"/>
      <c r="K3547" s="408"/>
      <c r="L3547" s="408"/>
      <c r="M3547" s="408"/>
      <c r="N3547" s="408" t="str">
        <f t="shared" si="482"/>
        <v/>
      </c>
      <c r="O3547" s="408"/>
      <c r="P3547" s="408"/>
      <c r="Q3547" s="408"/>
      <c r="R3547" s="408"/>
      <c r="S3547" s="408"/>
      <c r="T3547" s="408"/>
      <c r="U3547" s="408"/>
      <c r="V3547" s="421"/>
      <c r="W3547" s="421"/>
      <c r="X3547" s="421"/>
      <c r="Y3547" s="421"/>
      <c r="Z3547" s="421"/>
      <c r="AA3547" s="421"/>
      <c r="AB3547" s="421"/>
      <c r="AC3547" s="421"/>
      <c r="AD3547" s="421"/>
      <c r="AE3547" s="421"/>
      <c r="AF3547" s="421"/>
      <c r="AG3547" s="421"/>
      <c r="AH3547" s="421"/>
      <c r="AI3547" s="421"/>
      <c r="AJ3547" s="421"/>
      <c r="AK3547" s="421"/>
      <c r="AL3547" s="421"/>
    </row>
    <row r="3548" spans="1:38" hidden="1">
      <c r="A3548" s="408"/>
      <c r="B3548" s="83" t="e">
        <f t="array" ref="B3548">SUM(--(FREQUENCY(IF(C$2:C$3072=C3548, MATCH(D$2:D$3072, D$2:D$3072, 0)), ROW(D$2:D$3072)-ROW(D$2)+1) &gt; 0))</f>
        <v>#N/A</v>
      </c>
      <c r="C3548" s="408"/>
      <c r="D3548" s="408"/>
      <c r="E3548" s="408"/>
      <c r="F3548" s="408"/>
      <c r="G3548" s="408"/>
      <c r="H3548" s="408"/>
      <c r="I3548" s="408"/>
      <c r="J3548" s="408"/>
      <c r="K3548" s="408"/>
      <c r="L3548" s="408"/>
      <c r="M3548" s="408"/>
      <c r="N3548" s="408" t="str">
        <f t="shared" si="482"/>
        <v/>
      </c>
      <c r="O3548" s="408"/>
      <c r="P3548" s="408"/>
      <c r="Q3548" s="408"/>
      <c r="R3548" s="408"/>
      <c r="S3548" s="408"/>
      <c r="T3548" s="408"/>
      <c r="U3548" s="408"/>
      <c r="V3548" s="421"/>
      <c r="W3548" s="421"/>
      <c r="X3548" s="421"/>
      <c r="Y3548" s="421"/>
      <c r="Z3548" s="421"/>
      <c r="AA3548" s="421"/>
      <c r="AB3548" s="421"/>
      <c r="AC3548" s="421"/>
      <c r="AD3548" s="421"/>
      <c r="AE3548" s="421"/>
      <c r="AF3548" s="421"/>
      <c r="AG3548" s="421"/>
      <c r="AH3548" s="421"/>
      <c r="AI3548" s="421"/>
      <c r="AJ3548" s="421"/>
      <c r="AK3548" s="421"/>
      <c r="AL3548" s="421"/>
    </row>
    <row r="3549" spans="1:38" hidden="1">
      <c r="A3549" s="408"/>
      <c r="B3549" s="83" t="e">
        <f t="array" ref="B3549">SUM(--(FREQUENCY(IF(C$2:C$3072=C3549, MATCH(D$2:D$3072, D$2:D$3072, 0)), ROW(D$2:D$3072)-ROW(D$2)+1) &gt; 0))</f>
        <v>#N/A</v>
      </c>
      <c r="C3549" s="408"/>
      <c r="D3549" s="408"/>
      <c r="E3549" s="408"/>
      <c r="F3549" s="408"/>
      <c r="G3549" s="408"/>
      <c r="H3549" s="408"/>
      <c r="I3549" s="408"/>
      <c r="J3549" s="408"/>
      <c r="K3549" s="408"/>
      <c r="L3549" s="408"/>
      <c r="M3549" s="408"/>
      <c r="N3549" s="408" t="str">
        <f t="shared" si="482"/>
        <v/>
      </c>
      <c r="O3549" s="408"/>
      <c r="P3549" s="408"/>
      <c r="Q3549" s="408"/>
      <c r="R3549" s="408"/>
      <c r="S3549" s="408"/>
      <c r="T3549" s="408"/>
      <c r="U3549" s="408"/>
      <c r="V3549" s="421"/>
      <c r="W3549" s="421"/>
      <c r="X3549" s="421"/>
      <c r="Y3549" s="421"/>
      <c r="Z3549" s="421"/>
      <c r="AA3549" s="421"/>
      <c r="AB3549" s="421"/>
      <c r="AC3549" s="421"/>
      <c r="AD3549" s="421"/>
      <c r="AE3549" s="421"/>
      <c r="AF3549" s="421"/>
      <c r="AG3549" s="421"/>
      <c r="AH3549" s="421"/>
      <c r="AI3549" s="421"/>
      <c r="AJ3549" s="421"/>
      <c r="AK3549" s="421"/>
      <c r="AL3549" s="421"/>
    </row>
    <row r="3550" spans="1:38" hidden="1">
      <c r="A3550" s="408"/>
      <c r="B3550" s="83" t="e">
        <f t="array" ref="B3550">SUM(--(FREQUENCY(IF(C$2:C$3072=C3550, MATCH(D$2:D$3072, D$2:D$3072, 0)), ROW(D$2:D$3072)-ROW(D$2)+1) &gt; 0))</f>
        <v>#N/A</v>
      </c>
      <c r="C3550" s="408"/>
      <c r="D3550" s="408"/>
      <c r="E3550" s="408"/>
      <c r="F3550" s="408"/>
      <c r="G3550" s="408"/>
      <c r="H3550" s="408"/>
      <c r="I3550" s="408"/>
      <c r="J3550" s="408"/>
      <c r="K3550" s="408"/>
      <c r="L3550" s="408"/>
      <c r="M3550" s="408"/>
      <c r="N3550" s="408" t="str">
        <f t="shared" si="482"/>
        <v/>
      </c>
      <c r="O3550" s="408"/>
      <c r="P3550" s="408"/>
      <c r="Q3550" s="408"/>
      <c r="R3550" s="408"/>
      <c r="S3550" s="408"/>
      <c r="T3550" s="408"/>
      <c r="U3550" s="408"/>
      <c r="V3550" s="421"/>
      <c r="W3550" s="421"/>
      <c r="X3550" s="421"/>
      <c r="Y3550" s="421"/>
      <c r="Z3550" s="421"/>
      <c r="AA3550" s="421"/>
      <c r="AB3550" s="421"/>
      <c r="AC3550" s="421"/>
      <c r="AD3550" s="421"/>
      <c r="AE3550" s="421"/>
      <c r="AF3550" s="421"/>
      <c r="AG3550" s="421"/>
      <c r="AH3550" s="421"/>
      <c r="AI3550" s="421"/>
      <c r="AJ3550" s="421"/>
      <c r="AK3550" s="421"/>
      <c r="AL3550" s="421"/>
    </row>
    <row r="3551" spans="1:38" hidden="1">
      <c r="A3551" s="408"/>
      <c r="B3551" s="83" t="e">
        <f t="array" ref="B3551">SUM(--(FREQUENCY(IF(C$2:C$3072=C3551, MATCH(D$2:D$3072, D$2:D$3072, 0)), ROW(D$2:D$3072)-ROW(D$2)+1) &gt; 0))</f>
        <v>#N/A</v>
      </c>
      <c r="C3551" s="408"/>
      <c r="D3551" s="408"/>
      <c r="E3551" s="408"/>
      <c r="F3551" s="408"/>
      <c r="G3551" s="408"/>
      <c r="H3551" s="408"/>
      <c r="I3551" s="408"/>
      <c r="J3551" s="408"/>
      <c r="K3551" s="408"/>
      <c r="L3551" s="408"/>
      <c r="M3551" s="408"/>
      <c r="N3551" s="408" t="str">
        <f t="shared" si="482"/>
        <v/>
      </c>
      <c r="O3551" s="408"/>
      <c r="P3551" s="408"/>
      <c r="Q3551" s="408"/>
      <c r="R3551" s="408"/>
      <c r="S3551" s="408"/>
      <c r="T3551" s="408"/>
      <c r="U3551" s="408"/>
      <c r="V3551" s="421"/>
      <c r="W3551" s="421"/>
      <c r="X3551" s="421"/>
      <c r="Y3551" s="421"/>
      <c r="Z3551" s="421"/>
      <c r="AA3551" s="421"/>
      <c r="AB3551" s="421"/>
      <c r="AC3551" s="421"/>
      <c r="AD3551" s="421"/>
      <c r="AE3551" s="421"/>
      <c r="AF3551" s="421"/>
      <c r="AG3551" s="421"/>
      <c r="AH3551" s="421"/>
      <c r="AI3551" s="421"/>
      <c r="AJ3551" s="421"/>
      <c r="AK3551" s="421"/>
      <c r="AL3551" s="421"/>
    </row>
    <row r="3552" spans="1:38" hidden="1">
      <c r="A3552" s="408"/>
      <c r="B3552" s="83" t="e">
        <f t="array" ref="B3552">SUM(--(FREQUENCY(IF(C$2:C$3072=C3552, MATCH(D$2:D$3072, D$2:D$3072, 0)), ROW(D$2:D$3072)-ROW(D$2)+1) &gt; 0))</f>
        <v>#N/A</v>
      </c>
      <c r="C3552" s="408"/>
      <c r="D3552" s="408"/>
      <c r="E3552" s="408"/>
      <c r="F3552" s="408"/>
      <c r="G3552" s="408"/>
      <c r="H3552" s="408"/>
      <c r="I3552" s="408"/>
      <c r="J3552" s="408"/>
      <c r="K3552" s="408"/>
      <c r="L3552" s="408"/>
      <c r="M3552" s="408"/>
      <c r="N3552" s="408" t="str">
        <f t="shared" si="482"/>
        <v/>
      </c>
      <c r="O3552" s="408"/>
      <c r="P3552" s="408"/>
      <c r="Q3552" s="408"/>
      <c r="R3552" s="408"/>
      <c r="S3552" s="408"/>
      <c r="T3552" s="408"/>
      <c r="U3552" s="408"/>
      <c r="V3552" s="421"/>
      <c r="W3552" s="421"/>
      <c r="X3552" s="421"/>
      <c r="Y3552" s="421"/>
      <c r="Z3552" s="421"/>
      <c r="AA3552" s="421"/>
      <c r="AB3552" s="421"/>
      <c r="AC3552" s="421"/>
      <c r="AD3552" s="421"/>
      <c r="AE3552" s="421"/>
      <c r="AF3552" s="421"/>
      <c r="AG3552" s="421"/>
      <c r="AH3552" s="421"/>
      <c r="AI3552" s="421"/>
      <c r="AJ3552" s="421"/>
      <c r="AK3552" s="421"/>
      <c r="AL3552" s="421"/>
    </row>
    <row r="3553" spans="1:38" hidden="1">
      <c r="A3553" s="408"/>
      <c r="B3553" s="83" t="e">
        <f t="array" ref="B3553">SUM(--(FREQUENCY(IF(C$2:C$3072=C3553, MATCH(D$2:D$3072, D$2:D$3072, 0)), ROW(D$2:D$3072)-ROW(D$2)+1) &gt; 0))</f>
        <v>#N/A</v>
      </c>
      <c r="C3553" s="408"/>
      <c r="D3553" s="408"/>
      <c r="E3553" s="408"/>
      <c r="F3553" s="408"/>
      <c r="G3553" s="408"/>
      <c r="H3553" s="408"/>
      <c r="I3553" s="408"/>
      <c r="J3553" s="408"/>
      <c r="K3553" s="408"/>
      <c r="L3553" s="408"/>
      <c r="M3553" s="408"/>
      <c r="N3553" s="408" t="str">
        <f t="shared" si="482"/>
        <v/>
      </c>
      <c r="O3553" s="408"/>
      <c r="P3553" s="408"/>
      <c r="Q3553" s="408"/>
      <c r="R3553" s="408"/>
      <c r="S3553" s="408"/>
      <c r="T3553" s="408"/>
      <c r="U3553" s="408"/>
      <c r="V3553" s="421"/>
      <c r="W3553" s="421"/>
      <c r="X3553" s="421"/>
      <c r="Y3553" s="421"/>
      <c r="Z3553" s="421"/>
      <c r="AA3553" s="421"/>
      <c r="AB3553" s="421"/>
      <c r="AC3553" s="421"/>
      <c r="AD3553" s="421"/>
      <c r="AE3553" s="421"/>
      <c r="AF3553" s="421"/>
      <c r="AG3553" s="421"/>
      <c r="AH3553" s="421"/>
      <c r="AI3553" s="421"/>
      <c r="AJ3553" s="421"/>
      <c r="AK3553" s="421"/>
      <c r="AL3553" s="421"/>
    </row>
    <row r="3554" spans="1:38" hidden="1">
      <c r="A3554" s="408"/>
      <c r="B3554" s="83" t="e">
        <f t="array" ref="B3554">SUM(--(FREQUENCY(IF(C$2:C$3072=C3554, MATCH(D$2:D$3072, D$2:D$3072, 0)), ROW(D$2:D$3072)-ROW(D$2)+1) &gt; 0))</f>
        <v>#N/A</v>
      </c>
      <c r="C3554" s="408"/>
      <c r="D3554" s="408"/>
      <c r="E3554" s="408"/>
      <c r="F3554" s="408"/>
      <c r="G3554" s="408"/>
      <c r="H3554" s="408"/>
      <c r="I3554" s="408"/>
      <c r="J3554" s="408"/>
      <c r="K3554" s="408"/>
      <c r="L3554" s="408"/>
      <c r="M3554" s="408"/>
      <c r="N3554" s="408" t="str">
        <f t="shared" si="482"/>
        <v/>
      </c>
      <c r="O3554" s="408"/>
      <c r="P3554" s="408"/>
      <c r="Q3554" s="408"/>
      <c r="R3554" s="408"/>
      <c r="S3554" s="408"/>
      <c r="T3554" s="408"/>
      <c r="U3554" s="408"/>
      <c r="V3554" s="421"/>
      <c r="W3554" s="421"/>
      <c r="X3554" s="421"/>
      <c r="Y3554" s="421"/>
      <c r="Z3554" s="421"/>
      <c r="AA3554" s="421"/>
      <c r="AB3554" s="421"/>
      <c r="AC3554" s="421"/>
      <c r="AD3554" s="421"/>
      <c r="AE3554" s="421"/>
      <c r="AF3554" s="421"/>
      <c r="AG3554" s="421"/>
      <c r="AH3554" s="421"/>
      <c r="AI3554" s="421"/>
      <c r="AJ3554" s="421"/>
      <c r="AK3554" s="421"/>
      <c r="AL3554" s="421"/>
    </row>
    <row r="3555" spans="1:38" hidden="1">
      <c r="A3555" s="408"/>
      <c r="B3555" s="83" t="e">
        <f t="array" ref="B3555">SUM(--(FREQUENCY(IF(C$2:C$3072=C3555, MATCH(D$2:D$3072, D$2:D$3072, 0)), ROW(D$2:D$3072)-ROW(D$2)+1) &gt; 0))</f>
        <v>#N/A</v>
      </c>
      <c r="C3555" s="408"/>
      <c r="D3555" s="408"/>
      <c r="E3555" s="408"/>
      <c r="F3555" s="408"/>
      <c r="G3555" s="408"/>
      <c r="H3555" s="408"/>
      <c r="I3555" s="408"/>
      <c r="J3555" s="408"/>
      <c r="K3555" s="408"/>
      <c r="L3555" s="408"/>
      <c r="M3555" s="408"/>
      <c r="N3555" s="408" t="str">
        <f t="shared" si="482"/>
        <v/>
      </c>
      <c r="O3555" s="408"/>
      <c r="P3555" s="408"/>
      <c r="Q3555" s="408"/>
      <c r="R3555" s="408"/>
      <c r="S3555" s="408"/>
      <c r="T3555" s="408"/>
      <c r="U3555" s="408"/>
      <c r="V3555" s="421"/>
      <c r="W3555" s="421"/>
      <c r="X3555" s="421"/>
      <c r="Y3555" s="421"/>
      <c r="Z3555" s="421"/>
      <c r="AA3555" s="421"/>
      <c r="AB3555" s="421"/>
      <c r="AC3555" s="421"/>
      <c r="AD3555" s="421"/>
      <c r="AE3555" s="421"/>
      <c r="AF3555" s="421"/>
      <c r="AG3555" s="421"/>
      <c r="AH3555" s="421"/>
      <c r="AI3555" s="421"/>
      <c r="AJ3555" s="421"/>
      <c r="AK3555" s="421"/>
      <c r="AL3555" s="421"/>
    </row>
    <row r="3556" spans="1:38" hidden="1">
      <c r="A3556" s="408"/>
      <c r="B3556" s="83" t="e">
        <f t="array" ref="B3556">SUM(--(FREQUENCY(IF(C$2:C$3072=C3556, MATCH(D$2:D$3072, D$2:D$3072, 0)), ROW(D$2:D$3072)-ROW(D$2)+1) &gt; 0))</f>
        <v>#N/A</v>
      </c>
      <c r="C3556" s="408"/>
      <c r="D3556" s="408"/>
      <c r="E3556" s="408"/>
      <c r="F3556" s="408"/>
      <c r="G3556" s="408"/>
      <c r="H3556" s="408"/>
      <c r="I3556" s="408"/>
      <c r="J3556" s="408"/>
      <c r="K3556" s="408"/>
      <c r="L3556" s="408"/>
      <c r="M3556" s="408"/>
      <c r="N3556" s="408" t="str">
        <f t="shared" si="482"/>
        <v/>
      </c>
      <c r="O3556" s="408"/>
      <c r="P3556" s="408"/>
      <c r="Q3556" s="408"/>
      <c r="R3556" s="408"/>
      <c r="S3556" s="408"/>
      <c r="T3556" s="408"/>
      <c r="U3556" s="408"/>
      <c r="V3556" s="421"/>
      <c r="W3556" s="421"/>
      <c r="X3556" s="421"/>
      <c r="Y3556" s="421"/>
      <c r="Z3556" s="421"/>
      <c r="AA3556" s="421"/>
      <c r="AB3556" s="421"/>
      <c r="AC3556" s="421"/>
      <c r="AD3556" s="421"/>
      <c r="AE3556" s="421"/>
      <c r="AF3556" s="421"/>
      <c r="AG3556" s="421"/>
      <c r="AH3556" s="421"/>
      <c r="AI3556" s="421"/>
      <c r="AJ3556" s="421"/>
      <c r="AK3556" s="421"/>
      <c r="AL3556" s="421"/>
    </row>
    <row r="3557" spans="1:38" hidden="1">
      <c r="A3557" s="408"/>
      <c r="B3557" s="83" t="e">
        <f t="array" ref="B3557">SUM(--(FREQUENCY(IF(C$2:C$3072=C3557, MATCH(D$2:D$3072, D$2:D$3072, 0)), ROW(D$2:D$3072)-ROW(D$2)+1) &gt; 0))</f>
        <v>#N/A</v>
      </c>
      <c r="C3557" s="408"/>
      <c r="D3557" s="408"/>
      <c r="E3557" s="408"/>
      <c r="F3557" s="408"/>
      <c r="G3557" s="408"/>
      <c r="H3557" s="408"/>
      <c r="I3557" s="408"/>
      <c r="J3557" s="408"/>
      <c r="K3557" s="408"/>
      <c r="L3557" s="408"/>
      <c r="M3557" s="408"/>
      <c r="N3557" s="408" t="str">
        <f t="shared" si="482"/>
        <v/>
      </c>
      <c r="O3557" s="408"/>
      <c r="P3557" s="408"/>
      <c r="Q3557" s="408"/>
      <c r="R3557" s="408"/>
      <c r="S3557" s="408"/>
      <c r="T3557" s="408"/>
      <c r="U3557" s="408"/>
      <c r="V3557" s="421"/>
      <c r="W3557" s="421"/>
      <c r="X3557" s="421"/>
      <c r="Y3557" s="421"/>
      <c r="Z3557" s="421"/>
      <c r="AA3557" s="421"/>
      <c r="AB3557" s="421"/>
      <c r="AC3557" s="421"/>
      <c r="AD3557" s="421"/>
      <c r="AE3557" s="421"/>
      <c r="AF3557" s="421"/>
      <c r="AG3557" s="421"/>
      <c r="AH3557" s="421"/>
      <c r="AI3557" s="421"/>
      <c r="AJ3557" s="421"/>
      <c r="AK3557" s="421"/>
      <c r="AL3557" s="421"/>
    </row>
    <row r="3558" spans="1:38" hidden="1">
      <c r="A3558" s="408"/>
      <c r="B3558" s="83" t="e">
        <f t="array" ref="B3558">SUM(--(FREQUENCY(IF(C$2:C$3072=C3558, MATCH(D$2:D$3072, D$2:D$3072, 0)), ROW(D$2:D$3072)-ROW(D$2)+1) &gt; 0))</f>
        <v>#N/A</v>
      </c>
      <c r="C3558" s="408"/>
      <c r="D3558" s="408"/>
      <c r="E3558" s="408"/>
      <c r="F3558" s="408"/>
      <c r="G3558" s="408"/>
      <c r="H3558" s="408"/>
      <c r="I3558" s="408"/>
      <c r="J3558" s="408"/>
      <c r="K3558" s="408"/>
      <c r="L3558" s="408"/>
      <c r="M3558" s="408"/>
      <c r="N3558" s="408" t="str">
        <f t="shared" si="482"/>
        <v/>
      </c>
      <c r="O3558" s="408"/>
      <c r="P3558" s="408"/>
      <c r="Q3558" s="408"/>
      <c r="R3558" s="408"/>
      <c r="S3558" s="408"/>
      <c r="T3558" s="408"/>
      <c r="U3558" s="408"/>
      <c r="V3558" s="421"/>
      <c r="W3558" s="421"/>
      <c r="X3558" s="421"/>
      <c r="Y3558" s="421"/>
      <c r="Z3558" s="421"/>
      <c r="AA3558" s="421"/>
      <c r="AB3558" s="421"/>
      <c r="AC3558" s="421"/>
      <c r="AD3558" s="421"/>
      <c r="AE3558" s="421"/>
      <c r="AF3558" s="421"/>
      <c r="AG3558" s="421"/>
      <c r="AH3558" s="421"/>
      <c r="AI3558" s="421"/>
      <c r="AJ3558" s="421"/>
      <c r="AK3558" s="421"/>
      <c r="AL3558" s="421"/>
    </row>
    <row r="3559" spans="1:38" hidden="1">
      <c r="A3559" s="408"/>
      <c r="B3559" s="83" t="e">
        <f t="array" ref="B3559">SUM(--(FREQUENCY(IF(C$2:C$3072=C3559, MATCH(D$2:D$3072, D$2:D$3072, 0)), ROW(D$2:D$3072)-ROW(D$2)+1) &gt; 0))</f>
        <v>#N/A</v>
      </c>
      <c r="C3559" s="408"/>
      <c r="D3559" s="408"/>
      <c r="E3559" s="408"/>
      <c r="F3559" s="408"/>
      <c r="G3559" s="408"/>
      <c r="H3559" s="408"/>
      <c r="I3559" s="408"/>
      <c r="J3559" s="408"/>
      <c r="K3559" s="408"/>
      <c r="L3559" s="408"/>
      <c r="M3559" s="408"/>
      <c r="N3559" s="408" t="str">
        <f t="shared" si="482"/>
        <v/>
      </c>
      <c r="O3559" s="408"/>
      <c r="P3559" s="408"/>
      <c r="Q3559" s="408"/>
      <c r="R3559" s="408"/>
      <c r="S3559" s="408"/>
      <c r="T3559" s="408"/>
      <c r="U3559" s="408"/>
      <c r="V3559" s="421"/>
      <c r="W3559" s="421"/>
      <c r="X3559" s="421"/>
      <c r="Y3559" s="421"/>
      <c r="Z3559" s="421"/>
      <c r="AA3559" s="421"/>
      <c r="AB3559" s="421"/>
      <c r="AC3559" s="421"/>
      <c r="AD3559" s="421"/>
      <c r="AE3559" s="421"/>
      <c r="AF3559" s="421"/>
      <c r="AG3559" s="421"/>
      <c r="AH3559" s="421"/>
      <c r="AI3559" s="421"/>
      <c r="AJ3559" s="421"/>
      <c r="AK3559" s="421"/>
      <c r="AL3559" s="421"/>
    </row>
    <row r="3560" spans="1:38" hidden="1">
      <c r="A3560" s="408"/>
      <c r="B3560" s="83" t="e">
        <f t="array" ref="B3560">SUM(--(FREQUENCY(IF(C$2:C$3072=C3560, MATCH(D$2:D$3072, D$2:D$3072, 0)), ROW(D$2:D$3072)-ROW(D$2)+1) &gt; 0))</f>
        <v>#N/A</v>
      </c>
      <c r="C3560" s="408"/>
      <c r="D3560" s="408"/>
      <c r="E3560" s="408"/>
      <c r="F3560" s="408"/>
      <c r="G3560" s="408"/>
      <c r="H3560" s="408"/>
      <c r="I3560" s="408"/>
      <c r="J3560" s="408"/>
      <c r="K3560" s="408"/>
      <c r="L3560" s="408"/>
      <c r="M3560" s="408"/>
      <c r="N3560" s="408" t="str">
        <f t="shared" si="482"/>
        <v/>
      </c>
      <c r="O3560" s="408"/>
      <c r="P3560" s="408"/>
      <c r="Q3560" s="408"/>
      <c r="R3560" s="408"/>
      <c r="S3560" s="408"/>
      <c r="T3560" s="408"/>
      <c r="U3560" s="408"/>
      <c r="V3560" s="421"/>
      <c r="W3560" s="421"/>
      <c r="X3560" s="421"/>
      <c r="Y3560" s="421"/>
      <c r="Z3560" s="421"/>
      <c r="AA3560" s="421"/>
      <c r="AB3560" s="421"/>
      <c r="AC3560" s="421"/>
      <c r="AD3560" s="421"/>
      <c r="AE3560" s="421"/>
      <c r="AF3560" s="421"/>
      <c r="AG3560" s="421"/>
      <c r="AH3560" s="421"/>
      <c r="AI3560" s="421"/>
      <c r="AJ3560" s="421"/>
      <c r="AK3560" s="421"/>
      <c r="AL3560" s="421"/>
    </row>
    <row r="3561" spans="1:38" hidden="1">
      <c r="A3561" s="408"/>
      <c r="B3561" s="83" t="e">
        <f t="array" ref="B3561">SUM(--(FREQUENCY(IF(C$2:C$3072=C3561, MATCH(D$2:D$3072, D$2:D$3072, 0)), ROW(D$2:D$3072)-ROW(D$2)+1) &gt; 0))</f>
        <v>#N/A</v>
      </c>
      <c r="C3561" s="408"/>
      <c r="D3561" s="408"/>
      <c r="E3561" s="408"/>
      <c r="F3561" s="408"/>
      <c r="G3561" s="408"/>
      <c r="H3561" s="408"/>
      <c r="I3561" s="408"/>
      <c r="J3561" s="408"/>
      <c r="K3561" s="408"/>
      <c r="L3561" s="408"/>
      <c r="M3561" s="408"/>
      <c r="N3561" s="408" t="str">
        <f t="shared" si="482"/>
        <v/>
      </c>
      <c r="O3561" s="408"/>
      <c r="P3561" s="408"/>
      <c r="Q3561" s="408"/>
      <c r="R3561" s="408"/>
      <c r="S3561" s="408"/>
      <c r="T3561" s="408"/>
      <c r="U3561" s="408"/>
      <c r="V3561" s="421"/>
      <c r="W3561" s="421"/>
      <c r="X3561" s="421"/>
      <c r="Y3561" s="421"/>
      <c r="Z3561" s="421"/>
      <c r="AA3561" s="421"/>
      <c r="AB3561" s="421"/>
      <c r="AC3561" s="421"/>
      <c r="AD3561" s="421"/>
      <c r="AE3561" s="421"/>
      <c r="AF3561" s="421"/>
      <c r="AG3561" s="421"/>
      <c r="AH3561" s="421"/>
      <c r="AI3561" s="421"/>
      <c r="AJ3561" s="421"/>
      <c r="AK3561" s="421"/>
      <c r="AL3561" s="421"/>
    </row>
    <row r="3562" spans="1:38" hidden="1">
      <c r="A3562" s="408"/>
      <c r="B3562" s="83" t="e">
        <f t="array" ref="B3562">SUM(--(FREQUENCY(IF(C$2:C$3072=C3562, MATCH(D$2:D$3072, D$2:D$3072, 0)), ROW(D$2:D$3072)-ROW(D$2)+1) &gt; 0))</f>
        <v>#N/A</v>
      </c>
      <c r="C3562" s="408"/>
      <c r="D3562" s="408"/>
      <c r="E3562" s="408"/>
      <c r="F3562" s="408"/>
      <c r="G3562" s="408"/>
      <c r="H3562" s="408"/>
      <c r="I3562" s="408"/>
      <c r="J3562" s="408"/>
      <c r="K3562" s="408"/>
      <c r="L3562" s="408"/>
      <c r="M3562" s="408"/>
      <c r="N3562" s="408" t="str">
        <f t="shared" si="482"/>
        <v/>
      </c>
      <c r="O3562" s="408"/>
      <c r="P3562" s="408"/>
      <c r="Q3562" s="408"/>
      <c r="R3562" s="408"/>
      <c r="S3562" s="408"/>
      <c r="T3562" s="408"/>
      <c r="U3562" s="408"/>
      <c r="V3562" s="421"/>
      <c r="W3562" s="421"/>
      <c r="X3562" s="421"/>
      <c r="Y3562" s="421"/>
      <c r="Z3562" s="421"/>
      <c r="AA3562" s="421"/>
      <c r="AB3562" s="421"/>
      <c r="AC3562" s="421"/>
      <c r="AD3562" s="421"/>
      <c r="AE3562" s="421"/>
      <c r="AF3562" s="421"/>
      <c r="AG3562" s="421"/>
      <c r="AH3562" s="421"/>
      <c r="AI3562" s="421"/>
      <c r="AJ3562" s="421"/>
      <c r="AK3562" s="421"/>
      <c r="AL3562" s="421"/>
    </row>
    <row r="3563" spans="1:38" hidden="1">
      <c r="A3563" s="408"/>
      <c r="B3563" s="83" t="e">
        <f t="array" ref="B3563">SUM(--(FREQUENCY(IF(C$2:C$3072=C3563, MATCH(D$2:D$3072, D$2:D$3072, 0)), ROW(D$2:D$3072)-ROW(D$2)+1) &gt; 0))</f>
        <v>#N/A</v>
      </c>
      <c r="C3563" s="408"/>
      <c r="D3563" s="408"/>
      <c r="E3563" s="408"/>
      <c r="F3563" s="408"/>
      <c r="G3563" s="408"/>
      <c r="H3563" s="408"/>
      <c r="I3563" s="408"/>
      <c r="J3563" s="408"/>
      <c r="K3563" s="408"/>
      <c r="L3563" s="408"/>
      <c r="M3563" s="408"/>
      <c r="N3563" s="408" t="str">
        <f t="shared" si="482"/>
        <v/>
      </c>
      <c r="O3563" s="408"/>
      <c r="P3563" s="408"/>
      <c r="Q3563" s="408"/>
      <c r="R3563" s="408"/>
      <c r="S3563" s="408"/>
      <c r="T3563" s="408"/>
      <c r="U3563" s="408"/>
      <c r="V3563" s="421"/>
      <c r="W3563" s="421"/>
      <c r="X3563" s="421"/>
      <c r="Y3563" s="421"/>
      <c r="Z3563" s="421"/>
      <c r="AA3563" s="421"/>
      <c r="AB3563" s="421"/>
      <c r="AC3563" s="421"/>
      <c r="AD3563" s="421"/>
      <c r="AE3563" s="421"/>
      <c r="AF3563" s="421"/>
      <c r="AG3563" s="421"/>
      <c r="AH3563" s="421"/>
      <c r="AI3563" s="421"/>
      <c r="AJ3563" s="421"/>
      <c r="AK3563" s="421"/>
      <c r="AL3563" s="421"/>
    </row>
    <row r="3564" spans="1:38" hidden="1">
      <c r="A3564" s="408"/>
      <c r="B3564" s="83" t="e">
        <f t="array" ref="B3564">SUM(--(FREQUENCY(IF(C$2:C$3072=C3564, MATCH(D$2:D$3072, D$2:D$3072, 0)), ROW(D$2:D$3072)-ROW(D$2)+1) &gt; 0))</f>
        <v>#N/A</v>
      </c>
      <c r="C3564" s="408"/>
      <c r="D3564" s="408"/>
      <c r="E3564" s="408"/>
      <c r="F3564" s="408"/>
      <c r="G3564" s="408"/>
      <c r="H3564" s="408"/>
      <c r="I3564" s="408"/>
      <c r="J3564" s="408"/>
      <c r="K3564" s="408"/>
      <c r="L3564" s="408"/>
      <c r="M3564" s="408"/>
      <c r="N3564" s="408" t="str">
        <f t="shared" si="482"/>
        <v/>
      </c>
      <c r="O3564" s="408"/>
      <c r="P3564" s="408"/>
      <c r="Q3564" s="408"/>
      <c r="R3564" s="408"/>
      <c r="S3564" s="408"/>
      <c r="T3564" s="408"/>
      <c r="U3564" s="408"/>
      <c r="V3564" s="421"/>
      <c r="W3564" s="421"/>
      <c r="X3564" s="421"/>
      <c r="Y3564" s="421"/>
      <c r="Z3564" s="421"/>
      <c r="AA3564" s="421"/>
      <c r="AB3564" s="421"/>
      <c r="AC3564" s="421"/>
      <c r="AD3564" s="421"/>
      <c r="AE3564" s="421"/>
      <c r="AF3564" s="421"/>
      <c r="AG3564" s="421"/>
      <c r="AH3564" s="421"/>
      <c r="AI3564" s="421"/>
      <c r="AJ3564" s="421"/>
      <c r="AK3564" s="421"/>
      <c r="AL3564" s="421"/>
    </row>
    <row r="3565" spans="1:38" hidden="1">
      <c r="A3565" s="408"/>
      <c r="B3565" s="83" t="e">
        <f t="array" ref="B3565">SUM(--(FREQUENCY(IF(C$2:C$3072=C3565, MATCH(D$2:D$3072, D$2:D$3072, 0)), ROW(D$2:D$3072)-ROW(D$2)+1) &gt; 0))</f>
        <v>#N/A</v>
      </c>
      <c r="C3565" s="408"/>
      <c r="D3565" s="408"/>
      <c r="E3565" s="408"/>
      <c r="F3565" s="408"/>
      <c r="G3565" s="408"/>
      <c r="H3565" s="408"/>
      <c r="I3565" s="408"/>
      <c r="J3565" s="408"/>
      <c r="K3565" s="408"/>
      <c r="L3565" s="408"/>
      <c r="M3565" s="408"/>
      <c r="N3565" s="408" t="str">
        <f t="shared" si="482"/>
        <v/>
      </c>
      <c r="O3565" s="408"/>
      <c r="P3565" s="408"/>
      <c r="Q3565" s="408"/>
      <c r="R3565" s="408"/>
      <c r="S3565" s="408"/>
      <c r="T3565" s="408"/>
      <c r="U3565" s="408"/>
      <c r="V3565" s="421"/>
      <c r="W3565" s="421"/>
      <c r="X3565" s="421"/>
      <c r="Y3565" s="421"/>
      <c r="Z3565" s="421"/>
      <c r="AA3565" s="421"/>
      <c r="AB3565" s="421"/>
      <c r="AC3565" s="421"/>
      <c r="AD3565" s="421"/>
      <c r="AE3565" s="421"/>
      <c r="AF3565" s="421"/>
      <c r="AG3565" s="421"/>
      <c r="AH3565" s="421"/>
      <c r="AI3565" s="421"/>
      <c r="AJ3565" s="421"/>
      <c r="AK3565" s="421"/>
      <c r="AL3565" s="421"/>
    </row>
    <row r="3566" spans="1:38" hidden="1">
      <c r="A3566" s="408"/>
      <c r="B3566" s="83" t="e">
        <f t="array" ref="B3566">SUM(--(FREQUENCY(IF(C$2:C$3072=C3566, MATCH(D$2:D$3072, D$2:D$3072, 0)), ROW(D$2:D$3072)-ROW(D$2)+1) &gt; 0))</f>
        <v>#N/A</v>
      </c>
      <c r="C3566" s="408"/>
      <c r="D3566" s="408"/>
      <c r="E3566" s="408"/>
      <c r="F3566" s="408"/>
      <c r="G3566" s="408"/>
      <c r="H3566" s="408"/>
      <c r="I3566" s="408"/>
      <c r="J3566" s="408"/>
      <c r="K3566" s="408"/>
      <c r="L3566" s="408"/>
      <c r="M3566" s="408"/>
      <c r="N3566" s="408" t="str">
        <f t="shared" si="482"/>
        <v/>
      </c>
      <c r="O3566" s="408"/>
      <c r="P3566" s="408"/>
      <c r="Q3566" s="408"/>
      <c r="R3566" s="408"/>
      <c r="S3566" s="408"/>
      <c r="T3566" s="408"/>
      <c r="U3566" s="408"/>
      <c r="V3566" s="421"/>
      <c r="W3566" s="421"/>
      <c r="X3566" s="421"/>
      <c r="Y3566" s="421"/>
      <c r="Z3566" s="421"/>
      <c r="AA3566" s="421"/>
      <c r="AB3566" s="421"/>
      <c r="AC3566" s="421"/>
      <c r="AD3566" s="421"/>
      <c r="AE3566" s="421"/>
      <c r="AF3566" s="421"/>
      <c r="AG3566" s="421"/>
      <c r="AH3566" s="421"/>
      <c r="AI3566" s="421"/>
      <c r="AJ3566" s="421"/>
      <c r="AK3566" s="421"/>
      <c r="AL3566" s="421"/>
    </row>
    <row r="3567" spans="1:38" hidden="1">
      <c r="A3567" s="408"/>
      <c r="B3567" s="83" t="e">
        <f t="array" ref="B3567">SUM(--(FREQUENCY(IF(C$2:C$3072=C3567, MATCH(D$2:D$3072, D$2:D$3072, 0)), ROW(D$2:D$3072)-ROW(D$2)+1) &gt; 0))</f>
        <v>#N/A</v>
      </c>
      <c r="C3567" s="408"/>
      <c r="D3567" s="408"/>
      <c r="E3567" s="408"/>
      <c r="F3567" s="408"/>
      <c r="G3567" s="408"/>
      <c r="H3567" s="408"/>
      <c r="I3567" s="408"/>
      <c r="J3567" s="408"/>
      <c r="K3567" s="408"/>
      <c r="L3567" s="408"/>
      <c r="M3567" s="408"/>
      <c r="N3567" s="408" t="str">
        <f t="shared" si="482"/>
        <v/>
      </c>
      <c r="O3567" s="408"/>
      <c r="P3567" s="408"/>
      <c r="Q3567" s="408"/>
      <c r="R3567" s="408"/>
      <c r="S3567" s="408"/>
      <c r="T3567" s="408"/>
      <c r="U3567" s="408"/>
      <c r="V3567" s="421"/>
      <c r="W3567" s="421"/>
      <c r="X3567" s="421"/>
      <c r="Y3567" s="421"/>
      <c r="Z3567" s="421"/>
      <c r="AA3567" s="421"/>
      <c r="AB3567" s="421"/>
      <c r="AC3567" s="421"/>
      <c r="AD3567" s="421"/>
      <c r="AE3567" s="421"/>
      <c r="AF3567" s="421"/>
      <c r="AG3567" s="421"/>
      <c r="AH3567" s="421"/>
      <c r="AI3567" s="421"/>
      <c r="AJ3567" s="421"/>
      <c r="AK3567" s="421"/>
      <c r="AL3567" s="421"/>
    </row>
    <row r="3568" spans="1:38" hidden="1">
      <c r="A3568" s="408"/>
      <c r="B3568" s="83" t="e">
        <f t="array" ref="B3568">SUM(--(FREQUENCY(IF(C$2:C$3072=C3568, MATCH(D$2:D$3072, D$2:D$3072, 0)), ROW(D$2:D$3072)-ROW(D$2)+1) &gt; 0))</f>
        <v>#N/A</v>
      </c>
      <c r="C3568" s="408"/>
      <c r="D3568" s="408"/>
      <c r="E3568" s="408"/>
      <c r="F3568" s="408"/>
      <c r="G3568" s="408"/>
      <c r="H3568" s="408"/>
      <c r="I3568" s="408"/>
      <c r="J3568" s="408"/>
      <c r="K3568" s="408"/>
      <c r="L3568" s="408"/>
      <c r="M3568" s="408"/>
      <c r="N3568" s="408" t="str">
        <f t="shared" si="482"/>
        <v/>
      </c>
      <c r="O3568" s="408"/>
      <c r="P3568" s="408"/>
      <c r="Q3568" s="408"/>
      <c r="R3568" s="408"/>
      <c r="S3568" s="408"/>
      <c r="T3568" s="408"/>
      <c r="U3568" s="408"/>
      <c r="V3568" s="421"/>
      <c r="W3568" s="421"/>
      <c r="X3568" s="421"/>
      <c r="Y3568" s="421"/>
      <c r="Z3568" s="421"/>
      <c r="AA3568" s="421"/>
      <c r="AB3568" s="421"/>
      <c r="AC3568" s="421"/>
      <c r="AD3568" s="421"/>
      <c r="AE3568" s="421"/>
      <c r="AF3568" s="421"/>
      <c r="AG3568" s="421"/>
      <c r="AH3568" s="421"/>
      <c r="AI3568" s="421"/>
      <c r="AJ3568" s="421"/>
      <c r="AK3568" s="421"/>
      <c r="AL3568" s="421"/>
    </row>
    <row r="3569" spans="1:38" hidden="1">
      <c r="A3569" s="408"/>
      <c r="B3569" s="83" t="e">
        <f t="array" ref="B3569">SUM(--(FREQUENCY(IF(C$2:C$3072=C3569, MATCH(D$2:D$3072, D$2:D$3072, 0)), ROW(D$2:D$3072)-ROW(D$2)+1) &gt; 0))</f>
        <v>#N/A</v>
      </c>
      <c r="C3569" s="408"/>
      <c r="D3569" s="408"/>
      <c r="E3569" s="408"/>
      <c r="F3569" s="408"/>
      <c r="G3569" s="408"/>
      <c r="H3569" s="408"/>
      <c r="I3569" s="408"/>
      <c r="J3569" s="408"/>
      <c r="K3569" s="408"/>
      <c r="L3569" s="408"/>
      <c r="M3569" s="408"/>
      <c r="N3569" s="408" t="str">
        <f t="shared" si="482"/>
        <v/>
      </c>
      <c r="O3569" s="408"/>
      <c r="P3569" s="408"/>
      <c r="Q3569" s="408"/>
      <c r="R3569" s="408"/>
      <c r="S3569" s="408"/>
      <c r="T3569" s="408"/>
      <c r="U3569" s="408"/>
      <c r="V3569" s="421"/>
      <c r="W3569" s="421"/>
      <c r="X3569" s="421"/>
      <c r="Y3569" s="421"/>
      <c r="Z3569" s="421"/>
      <c r="AA3569" s="421"/>
      <c r="AB3569" s="421"/>
      <c r="AC3569" s="421"/>
      <c r="AD3569" s="421"/>
      <c r="AE3569" s="421"/>
      <c r="AF3569" s="421"/>
      <c r="AG3569" s="421"/>
      <c r="AH3569" s="421"/>
      <c r="AI3569" s="421"/>
      <c r="AJ3569" s="421"/>
      <c r="AK3569" s="421"/>
      <c r="AL3569" s="421"/>
    </row>
    <row r="3570" spans="1:38" hidden="1">
      <c r="A3570" s="408"/>
      <c r="B3570" s="83" t="e">
        <f t="array" ref="B3570">SUM(--(FREQUENCY(IF(C$2:C$3072=C3570, MATCH(D$2:D$3072, D$2:D$3072, 0)), ROW(D$2:D$3072)-ROW(D$2)+1) &gt; 0))</f>
        <v>#N/A</v>
      </c>
      <c r="C3570" s="408"/>
      <c r="D3570" s="408"/>
      <c r="E3570" s="408"/>
      <c r="F3570" s="408"/>
      <c r="G3570" s="408"/>
      <c r="H3570" s="408"/>
      <c r="I3570" s="408"/>
      <c r="J3570" s="408"/>
      <c r="K3570" s="408"/>
      <c r="L3570" s="408"/>
      <c r="M3570" s="408"/>
      <c r="N3570" s="408" t="str">
        <f t="shared" si="482"/>
        <v/>
      </c>
      <c r="O3570" s="408"/>
      <c r="P3570" s="408"/>
      <c r="Q3570" s="408"/>
      <c r="R3570" s="408"/>
      <c r="S3570" s="408"/>
      <c r="T3570" s="408"/>
      <c r="U3570" s="408"/>
      <c r="V3570" s="421"/>
      <c r="W3570" s="421"/>
      <c r="X3570" s="421"/>
      <c r="Y3570" s="421"/>
      <c r="Z3570" s="421"/>
      <c r="AA3570" s="421"/>
      <c r="AB3570" s="421"/>
      <c r="AC3570" s="421"/>
      <c r="AD3570" s="421"/>
      <c r="AE3570" s="421"/>
      <c r="AF3570" s="421"/>
      <c r="AG3570" s="421"/>
      <c r="AH3570" s="421"/>
      <c r="AI3570" s="421"/>
      <c r="AJ3570" s="421"/>
      <c r="AK3570" s="421"/>
      <c r="AL3570" s="421"/>
    </row>
    <row r="3571" spans="1:38" hidden="1">
      <c r="A3571" s="408"/>
      <c r="B3571" s="83" t="e">
        <f t="array" ref="B3571">SUM(--(FREQUENCY(IF(C$2:C$3072=C3571, MATCH(D$2:D$3072, D$2:D$3072, 0)), ROW(D$2:D$3072)-ROW(D$2)+1) &gt; 0))</f>
        <v>#N/A</v>
      </c>
      <c r="C3571" s="408"/>
      <c r="D3571" s="408"/>
      <c r="E3571" s="408"/>
      <c r="F3571" s="408"/>
      <c r="G3571" s="408"/>
      <c r="H3571" s="408"/>
      <c r="I3571" s="408"/>
      <c r="J3571" s="408"/>
      <c r="K3571" s="408"/>
      <c r="L3571" s="408"/>
      <c r="M3571" s="408"/>
      <c r="N3571" s="408" t="str">
        <f t="shared" si="482"/>
        <v/>
      </c>
      <c r="O3571" s="408"/>
      <c r="P3571" s="408"/>
      <c r="Q3571" s="408"/>
      <c r="R3571" s="408"/>
      <c r="S3571" s="408"/>
      <c r="T3571" s="408"/>
      <c r="U3571" s="408"/>
      <c r="V3571" s="421"/>
      <c r="W3571" s="421"/>
      <c r="X3571" s="421"/>
      <c r="Y3571" s="421"/>
      <c r="Z3571" s="421"/>
      <c r="AA3571" s="421"/>
      <c r="AB3571" s="421"/>
      <c r="AC3571" s="421"/>
      <c r="AD3571" s="421"/>
      <c r="AE3571" s="421"/>
      <c r="AF3571" s="421"/>
      <c r="AG3571" s="421"/>
      <c r="AH3571" s="421"/>
      <c r="AI3571" s="421"/>
      <c r="AJ3571" s="421"/>
      <c r="AK3571" s="421"/>
      <c r="AL3571" s="421"/>
    </row>
    <row r="3572" spans="1:38" hidden="1">
      <c r="A3572" s="408"/>
      <c r="B3572" s="83" t="e">
        <f t="array" ref="B3572">SUM(--(FREQUENCY(IF(C$2:C$3072=C3572, MATCH(D$2:D$3072, D$2:D$3072, 0)), ROW(D$2:D$3072)-ROW(D$2)+1) &gt; 0))</f>
        <v>#N/A</v>
      </c>
      <c r="C3572" s="408"/>
      <c r="D3572" s="408"/>
      <c r="E3572" s="408"/>
      <c r="F3572" s="408"/>
      <c r="G3572" s="408"/>
      <c r="H3572" s="408"/>
      <c r="I3572" s="408"/>
      <c r="J3572" s="408"/>
      <c r="K3572" s="408"/>
      <c r="L3572" s="408"/>
      <c r="M3572" s="408"/>
      <c r="N3572" s="408" t="str">
        <f t="shared" si="482"/>
        <v/>
      </c>
      <c r="O3572" s="408"/>
      <c r="P3572" s="408"/>
      <c r="Q3572" s="408"/>
      <c r="R3572" s="408"/>
      <c r="S3572" s="408"/>
      <c r="T3572" s="408"/>
      <c r="U3572" s="408"/>
      <c r="V3572" s="421"/>
      <c r="W3572" s="421"/>
      <c r="X3572" s="421"/>
      <c r="Y3572" s="421"/>
      <c r="Z3572" s="421"/>
      <c r="AA3572" s="421"/>
      <c r="AB3572" s="421"/>
      <c r="AC3572" s="421"/>
      <c r="AD3572" s="421"/>
      <c r="AE3572" s="421"/>
      <c r="AF3572" s="421"/>
      <c r="AG3572" s="421"/>
      <c r="AH3572" s="421"/>
      <c r="AI3572" s="421"/>
      <c r="AJ3572" s="421"/>
      <c r="AK3572" s="421"/>
      <c r="AL3572" s="421"/>
    </row>
    <row r="3573" spans="1:38" hidden="1">
      <c r="A3573" s="408"/>
      <c r="B3573" s="83" t="e">
        <f t="array" ref="B3573">SUM(--(FREQUENCY(IF(C$2:C$3072=C3573, MATCH(D$2:D$3072, D$2:D$3072, 0)), ROW(D$2:D$3072)-ROW(D$2)+1) &gt; 0))</f>
        <v>#N/A</v>
      </c>
      <c r="C3573" s="408"/>
      <c r="D3573" s="408"/>
      <c r="E3573" s="408"/>
      <c r="F3573" s="408"/>
      <c r="G3573" s="408"/>
      <c r="H3573" s="408"/>
      <c r="I3573" s="408"/>
      <c r="J3573" s="408"/>
      <c r="K3573" s="408"/>
      <c r="L3573" s="408"/>
      <c r="M3573" s="408"/>
      <c r="N3573" s="408" t="str">
        <f t="shared" si="482"/>
        <v/>
      </c>
      <c r="O3573" s="408"/>
      <c r="P3573" s="408"/>
      <c r="Q3573" s="408"/>
      <c r="R3573" s="408"/>
      <c r="S3573" s="408"/>
      <c r="T3573" s="408"/>
      <c r="U3573" s="408"/>
      <c r="V3573" s="421"/>
      <c r="W3573" s="421"/>
      <c r="X3573" s="421"/>
      <c r="Y3573" s="421"/>
      <c r="Z3573" s="421"/>
      <c r="AA3573" s="421"/>
      <c r="AB3573" s="421"/>
      <c r="AC3573" s="421"/>
      <c r="AD3573" s="421"/>
      <c r="AE3573" s="421"/>
      <c r="AF3573" s="421"/>
      <c r="AG3573" s="421"/>
      <c r="AH3573" s="421"/>
      <c r="AI3573" s="421"/>
      <c r="AJ3573" s="421"/>
      <c r="AK3573" s="421"/>
      <c r="AL3573" s="421"/>
    </row>
    <row r="3574" spans="1:38" hidden="1">
      <c r="A3574" s="408"/>
      <c r="B3574" s="83" t="e">
        <f t="array" ref="B3574">SUM(--(FREQUENCY(IF(C$2:C$3072=C3574, MATCH(D$2:D$3072, D$2:D$3072, 0)), ROW(D$2:D$3072)-ROW(D$2)+1) &gt; 0))</f>
        <v>#N/A</v>
      </c>
      <c r="C3574" s="408"/>
      <c r="D3574" s="408"/>
      <c r="E3574" s="408"/>
      <c r="F3574" s="408"/>
      <c r="G3574" s="408"/>
      <c r="H3574" s="408"/>
      <c r="I3574" s="408"/>
      <c r="J3574" s="408"/>
      <c r="K3574" s="408"/>
      <c r="L3574" s="408"/>
      <c r="M3574" s="408"/>
      <c r="N3574" s="408" t="str">
        <f t="shared" si="482"/>
        <v/>
      </c>
      <c r="O3574" s="408"/>
      <c r="P3574" s="408"/>
      <c r="Q3574" s="408"/>
      <c r="R3574" s="408"/>
      <c r="S3574" s="408"/>
      <c r="T3574" s="408"/>
      <c r="U3574" s="408"/>
      <c r="V3574" s="421"/>
      <c r="W3574" s="421"/>
      <c r="X3574" s="421"/>
      <c r="Y3574" s="421"/>
      <c r="Z3574" s="421"/>
      <c r="AA3574" s="421"/>
      <c r="AB3574" s="421"/>
      <c r="AC3574" s="421"/>
      <c r="AD3574" s="421"/>
      <c r="AE3574" s="421"/>
      <c r="AF3574" s="421"/>
      <c r="AG3574" s="421"/>
      <c r="AH3574" s="421"/>
      <c r="AI3574" s="421"/>
      <c r="AJ3574" s="421"/>
      <c r="AK3574" s="421"/>
      <c r="AL3574" s="421"/>
    </row>
    <row r="3575" spans="1:38" hidden="1">
      <c r="A3575" s="408"/>
      <c r="B3575" s="83" t="e">
        <f t="array" ref="B3575">SUM(--(FREQUENCY(IF(C$2:C$3072=C3575, MATCH(D$2:D$3072, D$2:D$3072, 0)), ROW(D$2:D$3072)-ROW(D$2)+1) &gt; 0))</f>
        <v>#N/A</v>
      </c>
      <c r="C3575" s="408"/>
      <c r="D3575" s="408"/>
      <c r="E3575" s="408"/>
      <c r="F3575" s="408"/>
      <c r="G3575" s="408"/>
      <c r="H3575" s="408"/>
      <c r="I3575" s="408"/>
      <c r="J3575" s="408"/>
      <c r="K3575" s="408"/>
      <c r="L3575" s="408"/>
      <c r="M3575" s="408"/>
      <c r="N3575" s="408" t="str">
        <f t="shared" si="482"/>
        <v/>
      </c>
      <c r="O3575" s="408"/>
      <c r="P3575" s="408"/>
      <c r="Q3575" s="408"/>
      <c r="R3575" s="408"/>
      <c r="S3575" s="408"/>
      <c r="T3575" s="408"/>
      <c r="U3575" s="408"/>
      <c r="V3575" s="421"/>
      <c r="W3575" s="421"/>
      <c r="X3575" s="421"/>
      <c r="Y3575" s="421"/>
      <c r="Z3575" s="421"/>
      <c r="AA3575" s="421"/>
      <c r="AB3575" s="421"/>
      <c r="AC3575" s="421"/>
      <c r="AD3575" s="421"/>
      <c r="AE3575" s="421"/>
      <c r="AF3575" s="421"/>
      <c r="AG3575" s="421"/>
      <c r="AH3575" s="421"/>
      <c r="AI3575" s="421"/>
      <c r="AJ3575" s="421"/>
      <c r="AK3575" s="421"/>
      <c r="AL3575" s="421"/>
    </row>
    <row r="3576" spans="1:38" hidden="1">
      <c r="A3576" s="408"/>
      <c r="B3576" s="83" t="e">
        <f t="array" ref="B3576">SUM(--(FREQUENCY(IF(C$2:C$3072=C3576, MATCH(D$2:D$3072, D$2:D$3072, 0)), ROW(D$2:D$3072)-ROW(D$2)+1) &gt; 0))</f>
        <v>#N/A</v>
      </c>
      <c r="C3576" s="408"/>
      <c r="D3576" s="408"/>
      <c r="E3576" s="408"/>
      <c r="F3576" s="408"/>
      <c r="G3576" s="408"/>
      <c r="H3576" s="408"/>
      <c r="I3576" s="408"/>
      <c r="J3576" s="408"/>
      <c r="K3576" s="408"/>
      <c r="L3576" s="408"/>
      <c r="M3576" s="408"/>
      <c r="N3576" s="408" t="str">
        <f t="shared" si="482"/>
        <v/>
      </c>
      <c r="O3576" s="408"/>
      <c r="P3576" s="408"/>
      <c r="Q3576" s="408"/>
      <c r="R3576" s="408"/>
      <c r="S3576" s="408"/>
      <c r="T3576" s="408"/>
      <c r="U3576" s="408"/>
      <c r="V3576" s="421"/>
      <c r="W3576" s="421"/>
      <c r="X3576" s="421"/>
      <c r="Y3576" s="421"/>
      <c r="Z3576" s="421"/>
      <c r="AA3576" s="421"/>
      <c r="AB3576" s="421"/>
      <c r="AC3576" s="421"/>
      <c r="AD3576" s="421"/>
      <c r="AE3576" s="421"/>
      <c r="AF3576" s="421"/>
      <c r="AG3576" s="421"/>
      <c r="AH3576" s="421"/>
      <c r="AI3576" s="421"/>
      <c r="AJ3576" s="421"/>
      <c r="AK3576" s="421"/>
      <c r="AL3576" s="421"/>
    </row>
    <row r="3577" spans="1:38" hidden="1">
      <c r="A3577" s="408"/>
      <c r="B3577" s="83" t="e">
        <f t="array" ref="B3577">SUM(--(FREQUENCY(IF(C$2:C$3072=C3577, MATCH(D$2:D$3072, D$2:D$3072, 0)), ROW(D$2:D$3072)-ROW(D$2)+1) &gt; 0))</f>
        <v>#N/A</v>
      </c>
      <c r="C3577" s="408"/>
      <c r="D3577" s="408"/>
      <c r="E3577" s="408"/>
      <c r="F3577" s="408"/>
      <c r="G3577" s="408"/>
      <c r="H3577" s="408"/>
      <c r="I3577" s="408"/>
      <c r="J3577" s="408"/>
      <c r="K3577" s="408"/>
      <c r="L3577" s="408"/>
      <c r="M3577" s="408"/>
      <c r="N3577" s="408" t="str">
        <f t="shared" si="482"/>
        <v/>
      </c>
      <c r="O3577" s="408"/>
      <c r="P3577" s="408"/>
      <c r="Q3577" s="408"/>
      <c r="R3577" s="408"/>
      <c r="S3577" s="408"/>
      <c r="T3577" s="408"/>
      <c r="U3577" s="408"/>
      <c r="V3577" s="421"/>
      <c r="W3577" s="421"/>
      <c r="X3577" s="421"/>
      <c r="Y3577" s="421"/>
      <c r="Z3577" s="421"/>
      <c r="AA3577" s="421"/>
      <c r="AB3577" s="421"/>
      <c r="AC3577" s="421"/>
      <c r="AD3577" s="421"/>
      <c r="AE3577" s="421"/>
      <c r="AF3577" s="421"/>
      <c r="AG3577" s="421"/>
      <c r="AH3577" s="421"/>
      <c r="AI3577" s="421"/>
      <c r="AJ3577" s="421"/>
      <c r="AK3577" s="421"/>
      <c r="AL3577" s="421"/>
    </row>
    <row r="3578" spans="1:38" hidden="1">
      <c r="A3578" s="408"/>
      <c r="B3578" s="83" t="e">
        <f t="array" ref="B3578">SUM(--(FREQUENCY(IF(C$2:C$3072=C3578, MATCH(D$2:D$3072, D$2:D$3072, 0)), ROW(D$2:D$3072)-ROW(D$2)+1) &gt; 0))</f>
        <v>#N/A</v>
      </c>
      <c r="C3578" s="408"/>
      <c r="D3578" s="408"/>
      <c r="E3578" s="408"/>
      <c r="F3578" s="408"/>
      <c r="G3578" s="408"/>
      <c r="H3578" s="408"/>
      <c r="I3578" s="408"/>
      <c r="J3578" s="408"/>
      <c r="K3578" s="408"/>
      <c r="L3578" s="408"/>
      <c r="M3578" s="408"/>
      <c r="N3578" s="408" t="str">
        <f t="shared" si="482"/>
        <v/>
      </c>
      <c r="O3578" s="408"/>
      <c r="P3578" s="408"/>
      <c r="Q3578" s="408"/>
      <c r="R3578" s="408"/>
      <c r="S3578" s="408"/>
      <c r="T3578" s="408"/>
      <c r="U3578" s="408"/>
      <c r="V3578" s="421"/>
      <c r="W3578" s="421"/>
      <c r="X3578" s="421"/>
      <c r="Y3578" s="421"/>
      <c r="Z3578" s="421"/>
      <c r="AA3578" s="421"/>
      <c r="AB3578" s="421"/>
      <c r="AC3578" s="421"/>
      <c r="AD3578" s="421"/>
      <c r="AE3578" s="421"/>
      <c r="AF3578" s="421"/>
      <c r="AG3578" s="421"/>
      <c r="AH3578" s="421"/>
      <c r="AI3578" s="421"/>
      <c r="AJ3578" s="421"/>
      <c r="AK3578" s="421"/>
      <c r="AL3578" s="421"/>
    </row>
    <row r="3579" spans="1:38" hidden="1">
      <c r="A3579" s="408"/>
      <c r="B3579" s="83" t="e">
        <f t="array" ref="B3579">SUM(--(FREQUENCY(IF(C$2:C$3072=C3579, MATCH(D$2:D$3072, D$2:D$3072, 0)), ROW(D$2:D$3072)-ROW(D$2)+1) &gt; 0))</f>
        <v>#N/A</v>
      </c>
      <c r="C3579" s="408"/>
      <c r="D3579" s="408"/>
      <c r="E3579" s="408"/>
      <c r="F3579" s="408"/>
      <c r="G3579" s="408"/>
      <c r="H3579" s="408"/>
      <c r="I3579" s="408"/>
      <c r="J3579" s="408"/>
      <c r="K3579" s="408"/>
      <c r="L3579" s="408"/>
      <c r="M3579" s="408"/>
      <c r="N3579" s="408" t="str">
        <f t="shared" si="482"/>
        <v/>
      </c>
      <c r="O3579" s="408"/>
      <c r="P3579" s="408"/>
      <c r="Q3579" s="408"/>
      <c r="R3579" s="408"/>
      <c r="S3579" s="408"/>
      <c r="T3579" s="408"/>
      <c r="U3579" s="408"/>
      <c r="V3579" s="421"/>
      <c r="W3579" s="421"/>
      <c r="X3579" s="421"/>
      <c r="Y3579" s="421"/>
      <c r="Z3579" s="421"/>
      <c r="AA3579" s="421"/>
      <c r="AB3579" s="421"/>
      <c r="AC3579" s="421"/>
      <c r="AD3579" s="421"/>
      <c r="AE3579" s="421"/>
      <c r="AF3579" s="421"/>
      <c r="AG3579" s="421"/>
      <c r="AH3579" s="421"/>
      <c r="AI3579" s="421"/>
      <c r="AJ3579" s="421"/>
      <c r="AK3579" s="421"/>
      <c r="AL3579" s="421"/>
    </row>
    <row r="3580" spans="1:38" hidden="1">
      <c r="A3580" s="408"/>
      <c r="B3580" s="83" t="e">
        <f t="array" ref="B3580">SUM(--(FREQUENCY(IF(C$2:C$3072=C3580, MATCH(D$2:D$3072, D$2:D$3072, 0)), ROW(D$2:D$3072)-ROW(D$2)+1) &gt; 0))</f>
        <v>#N/A</v>
      </c>
      <c r="C3580" s="408"/>
      <c r="D3580" s="408"/>
      <c r="E3580" s="408"/>
      <c r="F3580" s="408"/>
      <c r="G3580" s="408"/>
      <c r="H3580" s="408"/>
      <c r="I3580" s="408"/>
      <c r="J3580" s="408"/>
      <c r="K3580" s="408"/>
      <c r="L3580" s="408"/>
      <c r="M3580" s="408"/>
      <c r="N3580" s="408" t="str">
        <f t="shared" si="482"/>
        <v/>
      </c>
      <c r="O3580" s="408"/>
      <c r="P3580" s="408"/>
      <c r="Q3580" s="408"/>
      <c r="R3580" s="408"/>
      <c r="S3580" s="408"/>
      <c r="T3580" s="408"/>
      <c r="U3580" s="408"/>
      <c r="V3580" s="421"/>
      <c r="W3580" s="421"/>
      <c r="X3580" s="421"/>
      <c r="Y3580" s="421"/>
      <c r="Z3580" s="421"/>
      <c r="AA3580" s="421"/>
      <c r="AB3580" s="421"/>
      <c r="AC3580" s="421"/>
      <c r="AD3580" s="421"/>
      <c r="AE3580" s="421"/>
      <c r="AF3580" s="421"/>
      <c r="AG3580" s="421"/>
      <c r="AH3580" s="421"/>
      <c r="AI3580" s="421"/>
      <c r="AJ3580" s="421"/>
      <c r="AK3580" s="421"/>
      <c r="AL3580" s="421"/>
    </row>
    <row r="3581" spans="1:38" hidden="1">
      <c r="A3581" s="408"/>
      <c r="B3581" s="83" t="e">
        <f t="array" ref="B3581">SUM(--(FREQUENCY(IF(C$2:C$3072=C3581, MATCH(D$2:D$3072, D$2:D$3072, 0)), ROW(D$2:D$3072)-ROW(D$2)+1) &gt; 0))</f>
        <v>#N/A</v>
      </c>
      <c r="C3581" s="408"/>
      <c r="D3581" s="408"/>
      <c r="E3581" s="408"/>
      <c r="F3581" s="408"/>
      <c r="G3581" s="408"/>
      <c r="H3581" s="408"/>
      <c r="I3581" s="408"/>
      <c r="J3581" s="408"/>
      <c r="K3581" s="408"/>
      <c r="L3581" s="408"/>
      <c r="M3581" s="408"/>
      <c r="N3581" s="408" t="str">
        <f t="shared" si="482"/>
        <v/>
      </c>
      <c r="O3581" s="408"/>
      <c r="P3581" s="408"/>
      <c r="Q3581" s="408"/>
      <c r="R3581" s="408"/>
      <c r="S3581" s="408"/>
      <c r="T3581" s="408"/>
      <c r="U3581" s="408"/>
      <c r="V3581" s="421"/>
      <c r="W3581" s="421"/>
      <c r="X3581" s="421"/>
      <c r="Y3581" s="421"/>
      <c r="Z3581" s="421"/>
      <c r="AA3581" s="421"/>
      <c r="AB3581" s="421"/>
      <c r="AC3581" s="421"/>
      <c r="AD3581" s="421"/>
      <c r="AE3581" s="421"/>
      <c r="AF3581" s="421"/>
      <c r="AG3581" s="421"/>
      <c r="AH3581" s="421"/>
      <c r="AI3581" s="421"/>
      <c r="AJ3581" s="421"/>
      <c r="AK3581" s="421"/>
      <c r="AL3581" s="421"/>
    </row>
    <row r="3582" spans="1:38" hidden="1">
      <c r="A3582" s="408"/>
      <c r="B3582" s="83" t="e">
        <f t="array" ref="B3582">SUM(--(FREQUENCY(IF(C$2:C$3072=C3582, MATCH(D$2:D$3072, D$2:D$3072, 0)), ROW(D$2:D$3072)-ROW(D$2)+1) &gt; 0))</f>
        <v>#N/A</v>
      </c>
      <c r="C3582" s="408"/>
      <c r="D3582" s="408"/>
      <c r="E3582" s="408"/>
      <c r="F3582" s="408"/>
      <c r="G3582" s="408"/>
      <c r="H3582" s="408"/>
      <c r="I3582" s="408"/>
      <c r="J3582" s="408"/>
      <c r="K3582" s="408"/>
      <c r="L3582" s="408"/>
      <c r="M3582" s="408"/>
      <c r="N3582" s="408" t="str">
        <f t="shared" si="482"/>
        <v/>
      </c>
      <c r="O3582" s="408"/>
      <c r="P3582" s="408"/>
      <c r="Q3582" s="408"/>
      <c r="R3582" s="408"/>
      <c r="S3582" s="408"/>
      <c r="T3582" s="408"/>
      <c r="U3582" s="408"/>
      <c r="V3582" s="421"/>
      <c r="W3582" s="421"/>
      <c r="X3582" s="421"/>
      <c r="Y3582" s="421"/>
      <c r="Z3582" s="421"/>
      <c r="AA3582" s="421"/>
      <c r="AB3582" s="421"/>
      <c r="AC3582" s="421"/>
      <c r="AD3582" s="421"/>
      <c r="AE3582" s="421"/>
      <c r="AF3582" s="421"/>
      <c r="AG3582" s="421"/>
      <c r="AH3582" s="421"/>
      <c r="AI3582" s="421"/>
      <c r="AJ3582" s="421"/>
      <c r="AK3582" s="421"/>
      <c r="AL3582" s="421"/>
    </row>
    <row r="3583" spans="1:38" hidden="1">
      <c r="A3583" s="408"/>
      <c r="B3583" s="83" t="e">
        <f t="array" ref="B3583">SUM(--(FREQUENCY(IF(C$2:C$3072=C3583, MATCH(D$2:D$3072, D$2:D$3072, 0)), ROW(D$2:D$3072)-ROW(D$2)+1) &gt; 0))</f>
        <v>#N/A</v>
      </c>
      <c r="C3583" s="408"/>
      <c r="D3583" s="408"/>
      <c r="E3583" s="408"/>
      <c r="F3583" s="408"/>
      <c r="G3583" s="408"/>
      <c r="H3583" s="408"/>
      <c r="I3583" s="408"/>
      <c r="J3583" s="408"/>
      <c r="K3583" s="408"/>
      <c r="L3583" s="408"/>
      <c r="M3583" s="408"/>
      <c r="N3583" s="408" t="str">
        <f t="shared" si="482"/>
        <v/>
      </c>
      <c r="O3583" s="408"/>
      <c r="P3583" s="408"/>
      <c r="Q3583" s="408"/>
      <c r="R3583" s="408"/>
      <c r="S3583" s="408"/>
      <c r="T3583" s="408"/>
      <c r="U3583" s="408"/>
      <c r="V3583" s="421"/>
      <c r="W3583" s="421"/>
      <c r="X3583" s="421"/>
      <c r="Y3583" s="421"/>
      <c r="Z3583" s="421"/>
      <c r="AA3583" s="421"/>
      <c r="AB3583" s="421"/>
      <c r="AC3583" s="421"/>
      <c r="AD3583" s="421"/>
      <c r="AE3583" s="421"/>
      <c r="AF3583" s="421"/>
      <c r="AG3583" s="421"/>
      <c r="AH3583" s="421"/>
      <c r="AI3583" s="421"/>
      <c r="AJ3583" s="421"/>
      <c r="AK3583" s="421"/>
      <c r="AL3583" s="421"/>
    </row>
    <row r="3584" spans="1:38" hidden="1">
      <c r="A3584" s="408"/>
      <c r="B3584" s="83" t="e">
        <f t="array" ref="B3584">SUM(--(FREQUENCY(IF(C$2:C$3072=C3584, MATCH(D$2:D$3072, D$2:D$3072, 0)), ROW(D$2:D$3072)-ROW(D$2)+1) &gt; 0))</f>
        <v>#N/A</v>
      </c>
      <c r="C3584" s="408"/>
      <c r="D3584" s="408"/>
      <c r="E3584" s="408"/>
      <c r="F3584" s="408"/>
      <c r="G3584" s="408"/>
      <c r="H3584" s="408"/>
      <c r="I3584" s="408"/>
      <c r="J3584" s="408"/>
      <c r="K3584" s="408"/>
      <c r="L3584" s="408"/>
      <c r="M3584" s="408"/>
      <c r="N3584" s="408" t="str">
        <f t="shared" ref="N3584:N3647" si="483">IF(O3584&lt;&gt;"", "NG", "")</f>
        <v/>
      </c>
      <c r="O3584" s="408"/>
      <c r="P3584" s="408"/>
      <c r="Q3584" s="408"/>
      <c r="R3584" s="408"/>
      <c r="S3584" s="408"/>
      <c r="T3584" s="408"/>
      <c r="U3584" s="408"/>
      <c r="V3584" s="421"/>
      <c r="W3584" s="421"/>
      <c r="X3584" s="421"/>
      <c r="Y3584" s="421"/>
      <c r="Z3584" s="421"/>
      <c r="AA3584" s="421"/>
      <c r="AB3584" s="421"/>
      <c r="AC3584" s="421"/>
      <c r="AD3584" s="421"/>
      <c r="AE3584" s="421"/>
      <c r="AF3584" s="421"/>
      <c r="AG3584" s="421"/>
      <c r="AH3584" s="421"/>
      <c r="AI3584" s="421"/>
      <c r="AJ3584" s="421"/>
      <c r="AK3584" s="421"/>
      <c r="AL3584" s="421"/>
    </row>
    <row r="3585" spans="1:38" hidden="1">
      <c r="A3585" s="408"/>
      <c r="B3585" s="83" t="e">
        <f t="array" ref="B3585">SUM(--(FREQUENCY(IF(C$2:C$3072=C3585, MATCH(D$2:D$3072, D$2:D$3072, 0)), ROW(D$2:D$3072)-ROW(D$2)+1) &gt; 0))</f>
        <v>#N/A</v>
      </c>
      <c r="C3585" s="408"/>
      <c r="D3585" s="408"/>
      <c r="E3585" s="408"/>
      <c r="F3585" s="408"/>
      <c r="G3585" s="408"/>
      <c r="H3585" s="408"/>
      <c r="I3585" s="408"/>
      <c r="J3585" s="408"/>
      <c r="K3585" s="408"/>
      <c r="L3585" s="408"/>
      <c r="M3585" s="408"/>
      <c r="N3585" s="408" t="str">
        <f t="shared" si="483"/>
        <v/>
      </c>
      <c r="O3585" s="408"/>
      <c r="P3585" s="408"/>
      <c r="Q3585" s="408"/>
      <c r="R3585" s="408"/>
      <c r="S3585" s="408"/>
      <c r="T3585" s="408"/>
      <c r="U3585" s="408"/>
      <c r="V3585" s="421"/>
      <c r="W3585" s="421"/>
      <c r="X3585" s="421"/>
      <c r="Y3585" s="421"/>
      <c r="Z3585" s="421"/>
      <c r="AA3585" s="421"/>
      <c r="AB3585" s="421"/>
      <c r="AC3585" s="421"/>
      <c r="AD3585" s="421"/>
      <c r="AE3585" s="421"/>
      <c r="AF3585" s="421"/>
      <c r="AG3585" s="421"/>
      <c r="AH3585" s="421"/>
      <c r="AI3585" s="421"/>
      <c r="AJ3585" s="421"/>
      <c r="AK3585" s="421"/>
      <c r="AL3585" s="421"/>
    </row>
    <row r="3586" spans="1:38" hidden="1">
      <c r="A3586" s="408"/>
      <c r="B3586" s="83" t="e">
        <f t="array" ref="B3586">SUM(--(FREQUENCY(IF(C$2:C$3072=C3586, MATCH(D$2:D$3072, D$2:D$3072, 0)), ROW(D$2:D$3072)-ROW(D$2)+1) &gt; 0))</f>
        <v>#N/A</v>
      </c>
      <c r="C3586" s="408"/>
      <c r="D3586" s="408"/>
      <c r="E3586" s="408"/>
      <c r="F3586" s="408"/>
      <c r="G3586" s="408"/>
      <c r="H3586" s="408"/>
      <c r="I3586" s="408"/>
      <c r="J3586" s="408"/>
      <c r="K3586" s="408"/>
      <c r="L3586" s="408"/>
      <c r="M3586" s="408"/>
      <c r="N3586" s="408" t="str">
        <f t="shared" si="483"/>
        <v/>
      </c>
      <c r="O3586" s="408"/>
      <c r="P3586" s="408"/>
      <c r="Q3586" s="408"/>
      <c r="R3586" s="408"/>
      <c r="S3586" s="408"/>
      <c r="T3586" s="408"/>
      <c r="U3586" s="408"/>
      <c r="V3586" s="421"/>
      <c r="W3586" s="421"/>
      <c r="X3586" s="421"/>
      <c r="Y3586" s="421"/>
      <c r="Z3586" s="421"/>
      <c r="AA3586" s="421"/>
      <c r="AB3586" s="421"/>
      <c r="AC3586" s="421"/>
      <c r="AD3586" s="421"/>
      <c r="AE3586" s="421"/>
      <c r="AF3586" s="421"/>
      <c r="AG3586" s="421"/>
      <c r="AH3586" s="421"/>
      <c r="AI3586" s="421"/>
      <c r="AJ3586" s="421"/>
      <c r="AK3586" s="421"/>
      <c r="AL3586" s="421"/>
    </row>
    <row r="3587" spans="1:38" hidden="1">
      <c r="A3587" s="408"/>
      <c r="B3587" s="83" t="e">
        <f t="array" ref="B3587">SUM(--(FREQUENCY(IF(C$2:C$3072=C3587, MATCH(D$2:D$3072, D$2:D$3072, 0)), ROW(D$2:D$3072)-ROW(D$2)+1) &gt; 0))</f>
        <v>#N/A</v>
      </c>
      <c r="C3587" s="408"/>
      <c r="D3587" s="408"/>
      <c r="E3587" s="408"/>
      <c r="F3587" s="408"/>
      <c r="G3587" s="408"/>
      <c r="H3587" s="408"/>
      <c r="I3587" s="408"/>
      <c r="J3587" s="408"/>
      <c r="K3587" s="408"/>
      <c r="L3587" s="408"/>
      <c r="M3587" s="408"/>
      <c r="N3587" s="408" t="str">
        <f t="shared" si="483"/>
        <v/>
      </c>
      <c r="O3587" s="408"/>
      <c r="P3587" s="408"/>
      <c r="Q3587" s="408"/>
      <c r="R3587" s="408"/>
      <c r="S3587" s="408"/>
      <c r="T3587" s="408"/>
      <c r="U3587" s="408"/>
      <c r="V3587" s="421"/>
      <c r="W3587" s="421"/>
      <c r="X3587" s="421"/>
      <c r="Y3587" s="421"/>
      <c r="Z3587" s="421"/>
      <c r="AA3587" s="421"/>
      <c r="AB3587" s="421"/>
      <c r="AC3587" s="421"/>
      <c r="AD3587" s="421"/>
      <c r="AE3587" s="421"/>
      <c r="AF3587" s="421"/>
      <c r="AG3587" s="421"/>
      <c r="AH3587" s="421"/>
      <c r="AI3587" s="421"/>
      <c r="AJ3587" s="421"/>
      <c r="AK3587" s="421"/>
      <c r="AL3587" s="421"/>
    </row>
    <row r="3588" spans="1:38" hidden="1">
      <c r="A3588" s="408"/>
      <c r="B3588" s="83" t="e">
        <f t="array" ref="B3588">SUM(--(FREQUENCY(IF(C$2:C$3072=C3588, MATCH(D$2:D$3072, D$2:D$3072, 0)), ROW(D$2:D$3072)-ROW(D$2)+1) &gt; 0))</f>
        <v>#N/A</v>
      </c>
      <c r="C3588" s="408"/>
      <c r="D3588" s="408"/>
      <c r="E3588" s="408"/>
      <c r="F3588" s="408"/>
      <c r="G3588" s="408"/>
      <c r="H3588" s="408"/>
      <c r="I3588" s="408"/>
      <c r="J3588" s="408"/>
      <c r="K3588" s="408"/>
      <c r="L3588" s="408"/>
      <c r="M3588" s="408"/>
      <c r="N3588" s="408" t="str">
        <f t="shared" si="483"/>
        <v/>
      </c>
      <c r="O3588" s="408"/>
      <c r="P3588" s="408"/>
      <c r="Q3588" s="408"/>
      <c r="R3588" s="408"/>
      <c r="S3588" s="408"/>
      <c r="T3588" s="408"/>
      <c r="U3588" s="408"/>
      <c r="V3588" s="421"/>
      <c r="W3588" s="421"/>
      <c r="X3588" s="421"/>
      <c r="Y3588" s="421"/>
      <c r="Z3588" s="421"/>
      <c r="AA3588" s="421"/>
      <c r="AB3588" s="421"/>
      <c r="AC3588" s="421"/>
      <c r="AD3588" s="421"/>
      <c r="AE3588" s="421"/>
      <c r="AF3588" s="421"/>
      <c r="AG3588" s="421"/>
      <c r="AH3588" s="421"/>
      <c r="AI3588" s="421"/>
      <c r="AJ3588" s="421"/>
      <c r="AK3588" s="421"/>
      <c r="AL3588" s="421"/>
    </row>
    <row r="3589" spans="1:38" hidden="1">
      <c r="A3589" s="408"/>
      <c r="B3589" s="83" t="e">
        <f t="array" ref="B3589">SUM(--(FREQUENCY(IF(C$2:C$3072=C3589, MATCH(D$2:D$3072, D$2:D$3072, 0)), ROW(D$2:D$3072)-ROW(D$2)+1) &gt; 0))</f>
        <v>#N/A</v>
      </c>
      <c r="C3589" s="408"/>
      <c r="D3589" s="408"/>
      <c r="E3589" s="408"/>
      <c r="F3589" s="408"/>
      <c r="G3589" s="408"/>
      <c r="H3589" s="408"/>
      <c r="I3589" s="408"/>
      <c r="J3589" s="408"/>
      <c r="K3589" s="408"/>
      <c r="L3589" s="408"/>
      <c r="M3589" s="408"/>
      <c r="N3589" s="408" t="str">
        <f t="shared" si="483"/>
        <v/>
      </c>
      <c r="O3589" s="408"/>
      <c r="P3589" s="408"/>
      <c r="Q3589" s="408"/>
      <c r="R3589" s="408"/>
      <c r="S3589" s="408"/>
      <c r="T3589" s="408"/>
      <c r="U3589" s="408"/>
      <c r="V3589" s="421"/>
      <c r="W3589" s="421"/>
      <c r="X3589" s="421"/>
      <c r="Y3589" s="421"/>
      <c r="Z3589" s="421"/>
      <c r="AA3589" s="421"/>
      <c r="AB3589" s="421"/>
      <c r="AC3589" s="421"/>
      <c r="AD3589" s="421"/>
      <c r="AE3589" s="421"/>
      <c r="AF3589" s="421"/>
      <c r="AG3589" s="421"/>
      <c r="AH3589" s="421"/>
      <c r="AI3589" s="421"/>
      <c r="AJ3589" s="421"/>
      <c r="AK3589" s="421"/>
      <c r="AL3589" s="421"/>
    </row>
    <row r="3590" spans="1:38" hidden="1">
      <c r="A3590" s="408"/>
      <c r="B3590" s="83" t="e">
        <f t="array" ref="B3590">SUM(--(FREQUENCY(IF(C$2:C$3072=C3590, MATCH(D$2:D$3072, D$2:D$3072, 0)), ROW(D$2:D$3072)-ROW(D$2)+1) &gt; 0))</f>
        <v>#N/A</v>
      </c>
      <c r="C3590" s="408"/>
      <c r="D3590" s="408"/>
      <c r="E3590" s="408"/>
      <c r="F3590" s="408"/>
      <c r="G3590" s="408"/>
      <c r="H3590" s="408"/>
      <c r="I3590" s="408"/>
      <c r="J3590" s="408"/>
      <c r="K3590" s="408"/>
      <c r="L3590" s="408"/>
      <c r="M3590" s="408"/>
      <c r="N3590" s="408" t="str">
        <f t="shared" si="483"/>
        <v/>
      </c>
      <c r="O3590" s="408"/>
      <c r="P3590" s="408"/>
      <c r="Q3590" s="408"/>
      <c r="R3590" s="408"/>
      <c r="S3590" s="408"/>
      <c r="T3590" s="408"/>
      <c r="U3590" s="408"/>
      <c r="V3590" s="421"/>
      <c r="W3590" s="421"/>
      <c r="X3590" s="421"/>
      <c r="Y3590" s="421"/>
      <c r="Z3590" s="421"/>
      <c r="AA3590" s="421"/>
      <c r="AB3590" s="421"/>
      <c r="AC3590" s="421"/>
      <c r="AD3590" s="421"/>
      <c r="AE3590" s="421"/>
      <c r="AF3590" s="421"/>
      <c r="AG3590" s="421"/>
      <c r="AH3590" s="421"/>
      <c r="AI3590" s="421"/>
      <c r="AJ3590" s="421"/>
      <c r="AK3590" s="421"/>
      <c r="AL3590" s="421"/>
    </row>
    <row r="3591" spans="1:38" hidden="1">
      <c r="A3591" s="408"/>
      <c r="B3591" s="83" t="e">
        <f t="array" ref="B3591">SUM(--(FREQUENCY(IF(C$2:C$3072=C3591, MATCH(D$2:D$3072, D$2:D$3072, 0)), ROW(D$2:D$3072)-ROW(D$2)+1) &gt; 0))</f>
        <v>#N/A</v>
      </c>
      <c r="C3591" s="408"/>
      <c r="D3591" s="408"/>
      <c r="E3591" s="408"/>
      <c r="F3591" s="408"/>
      <c r="G3591" s="408"/>
      <c r="H3591" s="408"/>
      <c r="I3591" s="408"/>
      <c r="J3591" s="408"/>
      <c r="K3591" s="408"/>
      <c r="L3591" s="408"/>
      <c r="M3591" s="408"/>
      <c r="N3591" s="408" t="str">
        <f t="shared" si="483"/>
        <v/>
      </c>
      <c r="O3591" s="408"/>
      <c r="P3591" s="408"/>
      <c r="Q3591" s="408"/>
      <c r="R3591" s="408"/>
      <c r="S3591" s="408"/>
      <c r="T3591" s="408"/>
      <c r="U3591" s="408"/>
      <c r="V3591" s="421"/>
      <c r="W3591" s="421"/>
      <c r="X3591" s="421"/>
      <c r="Y3591" s="421"/>
      <c r="Z3591" s="421"/>
      <c r="AA3591" s="421"/>
      <c r="AB3591" s="421"/>
      <c r="AC3591" s="421"/>
      <c r="AD3591" s="421"/>
      <c r="AE3591" s="421"/>
      <c r="AF3591" s="421"/>
      <c r="AG3591" s="421"/>
      <c r="AH3591" s="421"/>
      <c r="AI3591" s="421"/>
      <c r="AJ3591" s="421"/>
      <c r="AK3591" s="421"/>
      <c r="AL3591" s="421"/>
    </row>
    <row r="3592" spans="1:38" hidden="1">
      <c r="A3592" s="408"/>
      <c r="B3592" s="83" t="e">
        <f t="array" ref="B3592">SUM(--(FREQUENCY(IF(C$2:C$3072=C3592, MATCH(D$2:D$3072, D$2:D$3072, 0)), ROW(D$2:D$3072)-ROW(D$2)+1) &gt; 0))</f>
        <v>#N/A</v>
      </c>
      <c r="C3592" s="408"/>
      <c r="D3592" s="408"/>
      <c r="E3592" s="408"/>
      <c r="F3592" s="408"/>
      <c r="G3592" s="408"/>
      <c r="H3592" s="408"/>
      <c r="I3592" s="408"/>
      <c r="J3592" s="408"/>
      <c r="K3592" s="408"/>
      <c r="L3592" s="408"/>
      <c r="M3592" s="408"/>
      <c r="N3592" s="408" t="str">
        <f t="shared" si="483"/>
        <v/>
      </c>
      <c r="O3592" s="408"/>
      <c r="P3592" s="408"/>
      <c r="Q3592" s="408"/>
      <c r="R3592" s="408"/>
      <c r="S3592" s="408"/>
      <c r="T3592" s="408"/>
      <c r="U3592" s="408"/>
      <c r="V3592" s="421"/>
      <c r="W3592" s="421"/>
      <c r="X3592" s="421"/>
      <c r="Y3592" s="421"/>
      <c r="Z3592" s="421"/>
      <c r="AA3592" s="421"/>
      <c r="AB3592" s="421"/>
      <c r="AC3592" s="421"/>
      <c r="AD3592" s="421"/>
      <c r="AE3592" s="421"/>
      <c r="AF3592" s="421"/>
      <c r="AG3592" s="421"/>
      <c r="AH3592" s="421"/>
      <c r="AI3592" s="421"/>
      <c r="AJ3592" s="421"/>
      <c r="AK3592" s="421"/>
      <c r="AL3592" s="421"/>
    </row>
    <row r="3593" spans="1:38" hidden="1">
      <c r="A3593" s="408"/>
      <c r="B3593" s="83" t="e">
        <f t="array" ref="B3593">SUM(--(FREQUENCY(IF(C$2:C$3072=C3593, MATCH(D$2:D$3072, D$2:D$3072, 0)), ROW(D$2:D$3072)-ROW(D$2)+1) &gt; 0))</f>
        <v>#N/A</v>
      </c>
      <c r="C3593" s="408"/>
      <c r="D3593" s="408"/>
      <c r="E3593" s="408"/>
      <c r="F3593" s="408"/>
      <c r="G3593" s="408"/>
      <c r="H3593" s="408"/>
      <c r="I3593" s="408"/>
      <c r="J3593" s="408"/>
      <c r="K3593" s="408"/>
      <c r="L3593" s="408"/>
      <c r="M3593" s="408"/>
      <c r="N3593" s="408" t="str">
        <f t="shared" si="483"/>
        <v/>
      </c>
      <c r="O3593" s="408"/>
      <c r="P3593" s="408"/>
      <c r="Q3593" s="408"/>
      <c r="R3593" s="408"/>
      <c r="S3593" s="408"/>
      <c r="T3593" s="408"/>
      <c r="U3593" s="408"/>
      <c r="V3593" s="421"/>
      <c r="W3593" s="421"/>
      <c r="X3593" s="421"/>
      <c r="Y3593" s="421"/>
      <c r="Z3593" s="421"/>
      <c r="AA3593" s="421"/>
      <c r="AB3593" s="421"/>
      <c r="AC3593" s="421"/>
      <c r="AD3593" s="421"/>
      <c r="AE3593" s="421"/>
      <c r="AF3593" s="421"/>
      <c r="AG3593" s="421"/>
      <c r="AH3593" s="421"/>
      <c r="AI3593" s="421"/>
      <c r="AJ3593" s="421"/>
      <c r="AK3593" s="421"/>
      <c r="AL3593" s="421"/>
    </row>
    <row r="3594" spans="1:38" hidden="1">
      <c r="A3594" s="408"/>
      <c r="B3594" s="83" t="e">
        <f t="array" ref="B3594">SUM(--(FREQUENCY(IF(C$2:C$3072=C3594, MATCH(D$2:D$3072, D$2:D$3072, 0)), ROW(D$2:D$3072)-ROW(D$2)+1) &gt; 0))</f>
        <v>#N/A</v>
      </c>
      <c r="C3594" s="408"/>
      <c r="D3594" s="408"/>
      <c r="E3594" s="408"/>
      <c r="F3594" s="408"/>
      <c r="G3594" s="408"/>
      <c r="H3594" s="408"/>
      <c r="I3594" s="408"/>
      <c r="J3594" s="408"/>
      <c r="K3594" s="408"/>
      <c r="L3594" s="408"/>
      <c r="M3594" s="408"/>
      <c r="N3594" s="408" t="str">
        <f t="shared" si="483"/>
        <v/>
      </c>
      <c r="O3594" s="408"/>
      <c r="P3594" s="408"/>
      <c r="Q3594" s="408"/>
      <c r="R3594" s="408"/>
      <c r="S3594" s="408"/>
      <c r="T3594" s="408"/>
      <c r="U3594" s="408"/>
      <c r="V3594" s="421"/>
      <c r="W3594" s="421"/>
      <c r="X3594" s="421"/>
      <c r="Y3594" s="421"/>
      <c r="Z3594" s="421"/>
      <c r="AA3594" s="421"/>
      <c r="AB3594" s="421"/>
      <c r="AC3594" s="421"/>
      <c r="AD3594" s="421"/>
      <c r="AE3594" s="421"/>
      <c r="AF3594" s="421"/>
      <c r="AG3594" s="421"/>
      <c r="AH3594" s="421"/>
      <c r="AI3594" s="421"/>
      <c r="AJ3594" s="421"/>
      <c r="AK3594" s="421"/>
      <c r="AL3594" s="421"/>
    </row>
    <row r="3595" spans="1:38" hidden="1">
      <c r="A3595" s="408"/>
      <c r="B3595" s="83" t="e">
        <f t="array" ref="B3595">SUM(--(FREQUENCY(IF(C$2:C$3072=C3595, MATCH(D$2:D$3072, D$2:D$3072, 0)), ROW(D$2:D$3072)-ROW(D$2)+1) &gt; 0))</f>
        <v>#N/A</v>
      </c>
      <c r="C3595" s="408"/>
      <c r="D3595" s="408"/>
      <c r="E3595" s="408"/>
      <c r="F3595" s="408"/>
      <c r="G3595" s="408"/>
      <c r="H3595" s="408"/>
      <c r="I3595" s="408"/>
      <c r="J3595" s="408"/>
      <c r="K3595" s="408"/>
      <c r="L3595" s="408"/>
      <c r="M3595" s="408"/>
      <c r="N3595" s="408" t="str">
        <f t="shared" si="483"/>
        <v/>
      </c>
      <c r="O3595" s="408"/>
      <c r="P3595" s="408"/>
      <c r="Q3595" s="408"/>
      <c r="R3595" s="408"/>
      <c r="S3595" s="408"/>
      <c r="T3595" s="408"/>
      <c r="U3595" s="408"/>
      <c r="V3595" s="421"/>
      <c r="W3595" s="421"/>
      <c r="X3595" s="421"/>
      <c r="Y3595" s="421"/>
      <c r="Z3595" s="421"/>
      <c r="AA3595" s="421"/>
      <c r="AB3595" s="421"/>
      <c r="AC3595" s="421"/>
      <c r="AD3595" s="421"/>
      <c r="AE3595" s="421"/>
      <c r="AF3595" s="421"/>
      <c r="AG3595" s="421"/>
      <c r="AH3595" s="421"/>
      <c r="AI3595" s="421"/>
      <c r="AJ3595" s="421"/>
      <c r="AK3595" s="421"/>
      <c r="AL3595" s="421"/>
    </row>
    <row r="3596" spans="1:38" hidden="1">
      <c r="A3596" s="408"/>
      <c r="B3596" s="83" t="e">
        <f t="array" ref="B3596">SUM(--(FREQUENCY(IF(C$2:C$3072=C3596, MATCH(D$2:D$3072, D$2:D$3072, 0)), ROW(D$2:D$3072)-ROW(D$2)+1) &gt; 0))</f>
        <v>#N/A</v>
      </c>
      <c r="C3596" s="408"/>
      <c r="D3596" s="408"/>
      <c r="E3596" s="408"/>
      <c r="F3596" s="408"/>
      <c r="G3596" s="408"/>
      <c r="H3596" s="408"/>
      <c r="I3596" s="408"/>
      <c r="J3596" s="408"/>
      <c r="K3596" s="408"/>
      <c r="L3596" s="408"/>
      <c r="M3596" s="408"/>
      <c r="N3596" s="408" t="str">
        <f t="shared" si="483"/>
        <v/>
      </c>
      <c r="O3596" s="408"/>
      <c r="P3596" s="408"/>
      <c r="Q3596" s="408"/>
      <c r="R3596" s="408"/>
      <c r="S3596" s="408"/>
      <c r="T3596" s="408"/>
      <c r="U3596" s="408"/>
      <c r="V3596" s="421"/>
      <c r="W3596" s="421"/>
      <c r="X3596" s="421"/>
      <c r="Y3596" s="421"/>
      <c r="Z3596" s="421"/>
      <c r="AA3596" s="421"/>
      <c r="AB3596" s="421"/>
      <c r="AC3596" s="421"/>
      <c r="AD3596" s="421"/>
      <c r="AE3596" s="421"/>
      <c r="AF3596" s="421"/>
      <c r="AG3596" s="421"/>
      <c r="AH3596" s="421"/>
      <c r="AI3596" s="421"/>
      <c r="AJ3596" s="421"/>
      <c r="AK3596" s="421"/>
      <c r="AL3596" s="421"/>
    </row>
    <row r="3597" spans="1:38" hidden="1">
      <c r="A3597" s="408"/>
      <c r="B3597" s="83" t="e">
        <f t="array" ref="B3597">SUM(--(FREQUENCY(IF(C$2:C$3072=C3597, MATCH(D$2:D$3072, D$2:D$3072, 0)), ROW(D$2:D$3072)-ROW(D$2)+1) &gt; 0))</f>
        <v>#N/A</v>
      </c>
      <c r="C3597" s="408"/>
      <c r="D3597" s="408"/>
      <c r="E3597" s="408"/>
      <c r="F3597" s="408"/>
      <c r="G3597" s="408"/>
      <c r="H3597" s="408"/>
      <c r="I3597" s="408"/>
      <c r="J3597" s="408"/>
      <c r="K3597" s="408"/>
      <c r="L3597" s="408"/>
      <c r="M3597" s="408"/>
      <c r="N3597" s="408" t="str">
        <f t="shared" si="483"/>
        <v/>
      </c>
      <c r="O3597" s="408"/>
      <c r="P3597" s="408"/>
      <c r="Q3597" s="408"/>
      <c r="R3597" s="408"/>
      <c r="S3597" s="408"/>
      <c r="T3597" s="408"/>
      <c r="U3597" s="408"/>
      <c r="V3597" s="421"/>
      <c r="W3597" s="421"/>
      <c r="X3597" s="421"/>
      <c r="Y3597" s="421"/>
      <c r="Z3597" s="421"/>
      <c r="AA3597" s="421"/>
      <c r="AB3597" s="421"/>
      <c r="AC3597" s="421"/>
      <c r="AD3597" s="421"/>
      <c r="AE3597" s="421"/>
      <c r="AF3597" s="421"/>
      <c r="AG3597" s="421"/>
      <c r="AH3597" s="421"/>
      <c r="AI3597" s="421"/>
      <c r="AJ3597" s="421"/>
      <c r="AK3597" s="421"/>
      <c r="AL3597" s="421"/>
    </row>
    <row r="3598" spans="1:38" hidden="1">
      <c r="A3598" s="408"/>
      <c r="B3598" s="83" t="e">
        <f t="array" ref="B3598">SUM(--(FREQUENCY(IF(C$2:C$3072=C3598, MATCH(D$2:D$3072, D$2:D$3072, 0)), ROW(D$2:D$3072)-ROW(D$2)+1) &gt; 0))</f>
        <v>#N/A</v>
      </c>
      <c r="C3598" s="408"/>
      <c r="D3598" s="408"/>
      <c r="E3598" s="408"/>
      <c r="F3598" s="408"/>
      <c r="G3598" s="408"/>
      <c r="H3598" s="408"/>
      <c r="I3598" s="408"/>
      <c r="J3598" s="408"/>
      <c r="K3598" s="408"/>
      <c r="L3598" s="408"/>
      <c r="M3598" s="408"/>
      <c r="N3598" s="408" t="str">
        <f t="shared" si="483"/>
        <v/>
      </c>
      <c r="O3598" s="408"/>
      <c r="P3598" s="408"/>
      <c r="Q3598" s="408"/>
      <c r="R3598" s="408"/>
      <c r="S3598" s="408"/>
      <c r="T3598" s="408"/>
      <c r="U3598" s="408"/>
      <c r="V3598" s="421"/>
      <c r="W3598" s="421"/>
      <c r="X3598" s="421"/>
      <c r="Y3598" s="421"/>
      <c r="Z3598" s="421"/>
      <c r="AA3598" s="421"/>
      <c r="AB3598" s="421"/>
      <c r="AC3598" s="421"/>
      <c r="AD3598" s="421"/>
      <c r="AE3598" s="421"/>
      <c r="AF3598" s="421"/>
      <c r="AG3598" s="421"/>
      <c r="AH3598" s="421"/>
      <c r="AI3598" s="421"/>
      <c r="AJ3598" s="421"/>
      <c r="AK3598" s="421"/>
      <c r="AL3598" s="421"/>
    </row>
    <row r="3599" spans="1:38" hidden="1">
      <c r="A3599" s="408"/>
      <c r="B3599" s="83" t="e">
        <f t="array" ref="B3599">SUM(--(FREQUENCY(IF(C$2:C$3072=C3599, MATCH(D$2:D$3072, D$2:D$3072, 0)), ROW(D$2:D$3072)-ROW(D$2)+1) &gt; 0))</f>
        <v>#N/A</v>
      </c>
      <c r="C3599" s="408"/>
      <c r="D3599" s="408"/>
      <c r="E3599" s="408"/>
      <c r="F3599" s="408"/>
      <c r="G3599" s="408"/>
      <c r="H3599" s="408"/>
      <c r="I3599" s="408"/>
      <c r="J3599" s="408"/>
      <c r="K3599" s="408"/>
      <c r="L3599" s="408"/>
      <c r="M3599" s="408"/>
      <c r="N3599" s="408" t="str">
        <f t="shared" si="483"/>
        <v/>
      </c>
      <c r="O3599" s="408"/>
      <c r="P3599" s="408"/>
      <c r="Q3599" s="408"/>
      <c r="R3599" s="408"/>
      <c r="S3599" s="408"/>
      <c r="T3599" s="408"/>
      <c r="U3599" s="408"/>
      <c r="V3599" s="421"/>
      <c r="W3599" s="421"/>
      <c r="X3599" s="421"/>
      <c r="Y3599" s="421"/>
      <c r="Z3599" s="421"/>
      <c r="AA3599" s="421"/>
      <c r="AB3599" s="421"/>
      <c r="AC3599" s="421"/>
      <c r="AD3599" s="421"/>
      <c r="AE3599" s="421"/>
      <c r="AF3599" s="421"/>
      <c r="AG3599" s="421"/>
      <c r="AH3599" s="421"/>
      <c r="AI3599" s="421"/>
      <c r="AJ3599" s="421"/>
      <c r="AK3599" s="421"/>
      <c r="AL3599" s="421"/>
    </row>
    <row r="3600" spans="1:38" hidden="1">
      <c r="A3600" s="408"/>
      <c r="B3600" s="83" t="e">
        <f t="array" ref="B3600">SUM(--(FREQUENCY(IF(C$2:C$3072=C3600, MATCH(D$2:D$3072, D$2:D$3072, 0)), ROW(D$2:D$3072)-ROW(D$2)+1) &gt; 0))</f>
        <v>#N/A</v>
      </c>
      <c r="C3600" s="408"/>
      <c r="D3600" s="408"/>
      <c r="E3600" s="408"/>
      <c r="F3600" s="408"/>
      <c r="G3600" s="408"/>
      <c r="H3600" s="408"/>
      <c r="I3600" s="408"/>
      <c r="J3600" s="408"/>
      <c r="K3600" s="408"/>
      <c r="L3600" s="408"/>
      <c r="M3600" s="408"/>
      <c r="N3600" s="408" t="str">
        <f t="shared" si="483"/>
        <v/>
      </c>
      <c r="O3600" s="408"/>
      <c r="P3600" s="408"/>
      <c r="Q3600" s="408"/>
      <c r="R3600" s="408"/>
      <c r="S3600" s="408"/>
      <c r="T3600" s="408"/>
      <c r="U3600" s="408"/>
      <c r="V3600" s="421"/>
      <c r="W3600" s="421"/>
      <c r="X3600" s="421"/>
      <c r="Y3600" s="421"/>
      <c r="Z3600" s="421"/>
      <c r="AA3600" s="421"/>
      <c r="AB3600" s="421"/>
      <c r="AC3600" s="421"/>
      <c r="AD3600" s="421"/>
      <c r="AE3600" s="421"/>
      <c r="AF3600" s="421"/>
      <c r="AG3600" s="421"/>
      <c r="AH3600" s="421"/>
      <c r="AI3600" s="421"/>
      <c r="AJ3600" s="421"/>
      <c r="AK3600" s="421"/>
      <c r="AL3600" s="421"/>
    </row>
    <row r="3601" spans="1:38" hidden="1">
      <c r="A3601" s="408"/>
      <c r="B3601" s="83" t="e">
        <f t="array" ref="B3601">SUM(--(FREQUENCY(IF(C$2:C$3072=C3601, MATCH(D$2:D$3072, D$2:D$3072, 0)), ROW(D$2:D$3072)-ROW(D$2)+1) &gt; 0))</f>
        <v>#N/A</v>
      </c>
      <c r="C3601" s="408"/>
      <c r="D3601" s="408"/>
      <c r="E3601" s="408"/>
      <c r="F3601" s="408"/>
      <c r="G3601" s="408"/>
      <c r="H3601" s="408"/>
      <c r="I3601" s="408"/>
      <c r="J3601" s="408"/>
      <c r="K3601" s="408"/>
      <c r="L3601" s="408"/>
      <c r="M3601" s="408"/>
      <c r="N3601" s="408" t="str">
        <f t="shared" si="483"/>
        <v/>
      </c>
      <c r="O3601" s="408"/>
      <c r="P3601" s="408"/>
      <c r="Q3601" s="408"/>
      <c r="R3601" s="408"/>
      <c r="S3601" s="408"/>
      <c r="T3601" s="408"/>
      <c r="U3601" s="408"/>
      <c r="V3601" s="421"/>
      <c r="W3601" s="421"/>
      <c r="X3601" s="421"/>
      <c r="Y3601" s="421"/>
      <c r="Z3601" s="421"/>
      <c r="AA3601" s="421"/>
      <c r="AB3601" s="421"/>
      <c r="AC3601" s="421"/>
      <c r="AD3601" s="421"/>
      <c r="AE3601" s="421"/>
      <c r="AF3601" s="421"/>
      <c r="AG3601" s="421"/>
      <c r="AH3601" s="421"/>
      <c r="AI3601" s="421"/>
      <c r="AJ3601" s="421"/>
      <c r="AK3601" s="421"/>
      <c r="AL3601" s="421"/>
    </row>
    <row r="3602" spans="1:38" hidden="1">
      <c r="A3602" s="408"/>
      <c r="B3602" s="83" t="e">
        <f t="array" ref="B3602">SUM(--(FREQUENCY(IF(C$2:C$3072=C3602, MATCH(D$2:D$3072, D$2:D$3072, 0)), ROW(D$2:D$3072)-ROW(D$2)+1) &gt; 0))</f>
        <v>#N/A</v>
      </c>
      <c r="C3602" s="408"/>
      <c r="D3602" s="408"/>
      <c r="E3602" s="408"/>
      <c r="F3602" s="408"/>
      <c r="G3602" s="408"/>
      <c r="H3602" s="408"/>
      <c r="I3602" s="408"/>
      <c r="J3602" s="408"/>
      <c r="K3602" s="408"/>
      <c r="L3602" s="408"/>
      <c r="M3602" s="408"/>
      <c r="N3602" s="408" t="str">
        <f t="shared" si="483"/>
        <v/>
      </c>
      <c r="O3602" s="408"/>
      <c r="P3602" s="408"/>
      <c r="Q3602" s="408"/>
      <c r="R3602" s="408"/>
      <c r="S3602" s="408"/>
      <c r="T3602" s="408"/>
      <c r="U3602" s="408"/>
      <c r="V3602" s="421"/>
      <c r="W3602" s="421"/>
      <c r="X3602" s="421"/>
      <c r="Y3602" s="421"/>
      <c r="Z3602" s="421"/>
      <c r="AA3602" s="421"/>
      <c r="AB3602" s="421"/>
      <c r="AC3602" s="421"/>
      <c r="AD3602" s="421"/>
      <c r="AE3602" s="421"/>
      <c r="AF3602" s="421"/>
      <c r="AG3602" s="421"/>
      <c r="AH3602" s="421"/>
      <c r="AI3602" s="421"/>
      <c r="AJ3602" s="421"/>
      <c r="AK3602" s="421"/>
      <c r="AL3602" s="421"/>
    </row>
    <row r="3603" spans="1:38" hidden="1">
      <c r="A3603" s="408"/>
      <c r="B3603" s="83" t="e">
        <f t="array" ref="B3603">SUM(--(FREQUENCY(IF(C$2:C$3072=C3603, MATCH(D$2:D$3072, D$2:D$3072, 0)), ROW(D$2:D$3072)-ROW(D$2)+1) &gt; 0))</f>
        <v>#N/A</v>
      </c>
      <c r="C3603" s="408"/>
      <c r="D3603" s="408"/>
      <c r="E3603" s="408"/>
      <c r="F3603" s="408"/>
      <c r="G3603" s="408"/>
      <c r="H3603" s="408"/>
      <c r="I3603" s="408"/>
      <c r="J3603" s="408"/>
      <c r="K3603" s="408"/>
      <c r="L3603" s="408"/>
      <c r="M3603" s="408"/>
      <c r="N3603" s="408" t="str">
        <f t="shared" si="483"/>
        <v/>
      </c>
      <c r="O3603" s="408"/>
      <c r="P3603" s="408"/>
      <c r="Q3603" s="408"/>
      <c r="R3603" s="408"/>
      <c r="S3603" s="408"/>
      <c r="T3603" s="408"/>
      <c r="U3603" s="408"/>
      <c r="V3603" s="421"/>
      <c r="W3603" s="421"/>
      <c r="X3603" s="421"/>
      <c r="Y3603" s="421"/>
      <c r="Z3603" s="421"/>
      <c r="AA3603" s="421"/>
      <c r="AB3603" s="421"/>
      <c r="AC3603" s="421"/>
      <c r="AD3603" s="421"/>
      <c r="AE3603" s="421"/>
      <c r="AF3603" s="421"/>
      <c r="AG3603" s="421"/>
      <c r="AH3603" s="421"/>
      <c r="AI3603" s="421"/>
      <c r="AJ3603" s="421"/>
      <c r="AK3603" s="421"/>
      <c r="AL3603" s="421"/>
    </row>
    <row r="3604" spans="1:38" hidden="1">
      <c r="A3604" s="408"/>
      <c r="B3604" s="83" t="e">
        <f t="array" ref="B3604">SUM(--(FREQUENCY(IF(C$2:C$3072=C3604, MATCH(D$2:D$3072, D$2:D$3072, 0)), ROW(D$2:D$3072)-ROW(D$2)+1) &gt; 0))</f>
        <v>#N/A</v>
      </c>
      <c r="C3604" s="408"/>
      <c r="D3604" s="408"/>
      <c r="E3604" s="408"/>
      <c r="F3604" s="408"/>
      <c r="G3604" s="408"/>
      <c r="H3604" s="408"/>
      <c r="I3604" s="408"/>
      <c r="J3604" s="408"/>
      <c r="K3604" s="408"/>
      <c r="L3604" s="408"/>
      <c r="M3604" s="408"/>
      <c r="N3604" s="408" t="str">
        <f t="shared" si="483"/>
        <v/>
      </c>
      <c r="O3604" s="408"/>
      <c r="P3604" s="408"/>
      <c r="Q3604" s="408"/>
      <c r="R3604" s="408"/>
      <c r="S3604" s="408"/>
      <c r="T3604" s="408"/>
      <c r="U3604" s="408"/>
      <c r="V3604" s="421"/>
      <c r="W3604" s="421"/>
      <c r="X3604" s="421"/>
      <c r="Y3604" s="421"/>
      <c r="Z3604" s="421"/>
      <c r="AA3604" s="421"/>
      <c r="AB3604" s="421"/>
      <c r="AC3604" s="421"/>
      <c r="AD3604" s="421"/>
      <c r="AE3604" s="421"/>
      <c r="AF3604" s="421"/>
      <c r="AG3604" s="421"/>
      <c r="AH3604" s="421"/>
      <c r="AI3604" s="421"/>
      <c r="AJ3604" s="421"/>
      <c r="AK3604" s="421"/>
      <c r="AL3604" s="421"/>
    </row>
    <row r="3605" spans="1:38" hidden="1">
      <c r="A3605" s="408"/>
      <c r="B3605" s="83" t="e">
        <f t="array" ref="B3605">SUM(--(FREQUENCY(IF(C$2:C$3072=C3605, MATCH(D$2:D$3072, D$2:D$3072, 0)), ROW(D$2:D$3072)-ROW(D$2)+1) &gt; 0))</f>
        <v>#N/A</v>
      </c>
      <c r="C3605" s="408"/>
      <c r="D3605" s="408"/>
      <c r="E3605" s="408"/>
      <c r="F3605" s="408"/>
      <c r="G3605" s="408"/>
      <c r="H3605" s="408"/>
      <c r="I3605" s="408"/>
      <c r="J3605" s="408"/>
      <c r="K3605" s="408"/>
      <c r="L3605" s="408"/>
      <c r="M3605" s="408"/>
      <c r="N3605" s="408" t="str">
        <f t="shared" si="483"/>
        <v/>
      </c>
      <c r="O3605" s="408"/>
      <c r="P3605" s="408"/>
      <c r="Q3605" s="408"/>
      <c r="R3605" s="408"/>
      <c r="S3605" s="408"/>
      <c r="T3605" s="408"/>
      <c r="U3605" s="408"/>
      <c r="V3605" s="421"/>
      <c r="W3605" s="421"/>
      <c r="X3605" s="421"/>
      <c r="Y3605" s="421"/>
      <c r="Z3605" s="421"/>
      <c r="AA3605" s="421"/>
      <c r="AB3605" s="421"/>
      <c r="AC3605" s="421"/>
      <c r="AD3605" s="421"/>
      <c r="AE3605" s="421"/>
      <c r="AF3605" s="421"/>
      <c r="AG3605" s="421"/>
      <c r="AH3605" s="421"/>
      <c r="AI3605" s="421"/>
      <c r="AJ3605" s="421"/>
      <c r="AK3605" s="421"/>
      <c r="AL3605" s="421"/>
    </row>
    <row r="3606" spans="1:38" hidden="1">
      <c r="A3606" s="408"/>
      <c r="B3606" s="83" t="e">
        <f t="array" ref="B3606">SUM(--(FREQUENCY(IF(C$2:C$3072=C3606, MATCH(D$2:D$3072, D$2:D$3072, 0)), ROW(D$2:D$3072)-ROW(D$2)+1) &gt; 0))</f>
        <v>#N/A</v>
      </c>
      <c r="C3606" s="408"/>
      <c r="D3606" s="408"/>
      <c r="E3606" s="408"/>
      <c r="F3606" s="408"/>
      <c r="G3606" s="408"/>
      <c r="H3606" s="408"/>
      <c r="I3606" s="408"/>
      <c r="J3606" s="408"/>
      <c r="K3606" s="408"/>
      <c r="L3606" s="408"/>
      <c r="M3606" s="408"/>
      <c r="N3606" s="408" t="str">
        <f t="shared" si="483"/>
        <v/>
      </c>
      <c r="O3606" s="408"/>
      <c r="P3606" s="408"/>
      <c r="Q3606" s="408"/>
      <c r="R3606" s="408"/>
      <c r="S3606" s="408"/>
      <c r="T3606" s="408"/>
      <c r="U3606" s="408"/>
      <c r="V3606" s="421"/>
      <c r="W3606" s="421"/>
      <c r="X3606" s="421"/>
      <c r="Y3606" s="421"/>
      <c r="Z3606" s="421"/>
      <c r="AA3606" s="421"/>
      <c r="AB3606" s="421"/>
      <c r="AC3606" s="421"/>
      <c r="AD3606" s="421"/>
      <c r="AE3606" s="421"/>
      <c r="AF3606" s="421"/>
      <c r="AG3606" s="421"/>
      <c r="AH3606" s="421"/>
      <c r="AI3606" s="421"/>
      <c r="AJ3606" s="421"/>
      <c r="AK3606" s="421"/>
      <c r="AL3606" s="421"/>
    </row>
    <row r="3607" spans="1:38" hidden="1">
      <c r="A3607" s="408"/>
      <c r="B3607" s="83" t="e">
        <f t="array" ref="B3607">SUM(--(FREQUENCY(IF(C$2:C$3072=C3607, MATCH(D$2:D$3072, D$2:D$3072, 0)), ROW(D$2:D$3072)-ROW(D$2)+1) &gt; 0))</f>
        <v>#N/A</v>
      </c>
      <c r="C3607" s="408"/>
      <c r="D3607" s="408"/>
      <c r="E3607" s="408"/>
      <c r="F3607" s="408"/>
      <c r="G3607" s="408"/>
      <c r="H3607" s="408"/>
      <c r="I3607" s="408"/>
      <c r="J3607" s="408"/>
      <c r="K3607" s="408"/>
      <c r="L3607" s="408"/>
      <c r="M3607" s="408"/>
      <c r="N3607" s="408" t="str">
        <f t="shared" si="483"/>
        <v/>
      </c>
      <c r="O3607" s="408"/>
      <c r="P3607" s="408"/>
      <c r="Q3607" s="408"/>
      <c r="R3607" s="408"/>
      <c r="S3607" s="408"/>
      <c r="T3607" s="408"/>
      <c r="U3607" s="408"/>
      <c r="V3607" s="421"/>
      <c r="W3607" s="421"/>
      <c r="X3607" s="421"/>
      <c r="Y3607" s="421"/>
      <c r="Z3607" s="421"/>
      <c r="AA3607" s="421"/>
      <c r="AB3607" s="421"/>
      <c r="AC3607" s="421"/>
      <c r="AD3607" s="421"/>
      <c r="AE3607" s="421"/>
      <c r="AF3607" s="421"/>
      <c r="AG3607" s="421"/>
      <c r="AH3607" s="421"/>
      <c r="AI3607" s="421"/>
      <c r="AJ3607" s="421"/>
      <c r="AK3607" s="421"/>
      <c r="AL3607" s="421"/>
    </row>
    <row r="3608" spans="1:38" hidden="1">
      <c r="A3608" s="408"/>
      <c r="B3608" s="83" t="e">
        <f t="array" ref="B3608">SUM(--(FREQUENCY(IF(C$2:C$3072=C3608, MATCH(D$2:D$3072, D$2:D$3072, 0)), ROW(D$2:D$3072)-ROW(D$2)+1) &gt; 0))</f>
        <v>#N/A</v>
      </c>
      <c r="C3608" s="408"/>
      <c r="D3608" s="408"/>
      <c r="E3608" s="408"/>
      <c r="F3608" s="408"/>
      <c r="G3608" s="408"/>
      <c r="H3608" s="408"/>
      <c r="I3608" s="408"/>
      <c r="J3608" s="408"/>
      <c r="K3608" s="408"/>
      <c r="L3608" s="408"/>
      <c r="M3608" s="408"/>
      <c r="N3608" s="408" t="str">
        <f t="shared" si="483"/>
        <v/>
      </c>
      <c r="O3608" s="408"/>
      <c r="P3608" s="408"/>
      <c r="Q3608" s="408"/>
      <c r="R3608" s="408"/>
      <c r="S3608" s="408"/>
      <c r="T3608" s="408"/>
      <c r="U3608" s="408"/>
      <c r="V3608" s="421"/>
      <c r="W3608" s="421"/>
      <c r="X3608" s="421"/>
      <c r="Y3608" s="421"/>
      <c r="Z3608" s="421"/>
      <c r="AA3608" s="421"/>
      <c r="AB3608" s="421"/>
      <c r="AC3608" s="421"/>
      <c r="AD3608" s="421"/>
      <c r="AE3608" s="421"/>
      <c r="AF3608" s="421"/>
      <c r="AG3608" s="421"/>
      <c r="AH3608" s="421"/>
      <c r="AI3608" s="421"/>
      <c r="AJ3608" s="421"/>
      <c r="AK3608" s="421"/>
      <c r="AL3608" s="421"/>
    </row>
    <row r="3609" spans="1:38" hidden="1">
      <c r="A3609" s="408"/>
      <c r="B3609" s="83" t="e">
        <f t="array" ref="B3609">SUM(--(FREQUENCY(IF(C$2:C$3072=C3609, MATCH(D$2:D$3072, D$2:D$3072, 0)), ROW(D$2:D$3072)-ROW(D$2)+1) &gt; 0))</f>
        <v>#N/A</v>
      </c>
      <c r="C3609" s="408"/>
      <c r="D3609" s="408"/>
      <c r="E3609" s="408"/>
      <c r="F3609" s="408"/>
      <c r="G3609" s="408"/>
      <c r="H3609" s="408"/>
      <c r="I3609" s="408"/>
      <c r="J3609" s="408"/>
      <c r="K3609" s="408"/>
      <c r="L3609" s="408"/>
      <c r="M3609" s="408"/>
      <c r="N3609" s="408" t="str">
        <f t="shared" si="483"/>
        <v/>
      </c>
      <c r="O3609" s="408"/>
      <c r="P3609" s="408"/>
      <c r="Q3609" s="408"/>
      <c r="R3609" s="408"/>
      <c r="S3609" s="408"/>
      <c r="T3609" s="408"/>
      <c r="U3609" s="408"/>
      <c r="V3609" s="421"/>
      <c r="W3609" s="421"/>
      <c r="X3609" s="421"/>
      <c r="Y3609" s="421"/>
      <c r="Z3609" s="421"/>
      <c r="AA3609" s="421"/>
      <c r="AB3609" s="421"/>
      <c r="AC3609" s="421"/>
      <c r="AD3609" s="421"/>
      <c r="AE3609" s="421"/>
      <c r="AF3609" s="421"/>
      <c r="AG3609" s="421"/>
      <c r="AH3609" s="421"/>
      <c r="AI3609" s="421"/>
      <c r="AJ3609" s="421"/>
      <c r="AK3609" s="421"/>
      <c r="AL3609" s="421"/>
    </row>
    <row r="3610" spans="1:38" hidden="1">
      <c r="A3610" s="408"/>
      <c r="B3610" s="83" t="e">
        <f t="array" ref="B3610">SUM(--(FREQUENCY(IF(C$2:C$3072=C3610, MATCH(D$2:D$3072, D$2:D$3072, 0)), ROW(D$2:D$3072)-ROW(D$2)+1) &gt; 0))</f>
        <v>#N/A</v>
      </c>
      <c r="C3610" s="408"/>
      <c r="D3610" s="408"/>
      <c r="E3610" s="408"/>
      <c r="F3610" s="408"/>
      <c r="G3610" s="408"/>
      <c r="H3610" s="408"/>
      <c r="I3610" s="408"/>
      <c r="J3610" s="408"/>
      <c r="K3610" s="408"/>
      <c r="L3610" s="408"/>
      <c r="M3610" s="408"/>
      <c r="N3610" s="408" t="str">
        <f t="shared" si="483"/>
        <v/>
      </c>
      <c r="O3610" s="408"/>
      <c r="P3610" s="408"/>
      <c r="Q3610" s="408"/>
      <c r="R3610" s="408"/>
      <c r="S3610" s="408"/>
      <c r="T3610" s="408"/>
      <c r="U3610" s="408"/>
      <c r="V3610" s="421"/>
      <c r="W3610" s="421"/>
      <c r="X3610" s="421"/>
      <c r="Y3610" s="421"/>
      <c r="Z3610" s="421"/>
      <c r="AA3610" s="421"/>
      <c r="AB3610" s="421"/>
      <c r="AC3610" s="421"/>
      <c r="AD3610" s="421"/>
      <c r="AE3610" s="421"/>
      <c r="AF3610" s="421"/>
      <c r="AG3610" s="421"/>
      <c r="AH3610" s="421"/>
      <c r="AI3610" s="421"/>
      <c r="AJ3610" s="421"/>
      <c r="AK3610" s="421"/>
      <c r="AL3610" s="421"/>
    </row>
    <row r="3611" spans="1:38" hidden="1">
      <c r="A3611" s="408"/>
      <c r="B3611" s="83" t="e">
        <f t="array" ref="B3611">SUM(--(FREQUENCY(IF(C$2:C$3072=C3611, MATCH(D$2:D$3072, D$2:D$3072, 0)), ROW(D$2:D$3072)-ROW(D$2)+1) &gt; 0))</f>
        <v>#N/A</v>
      </c>
      <c r="C3611" s="408"/>
      <c r="D3611" s="408"/>
      <c r="E3611" s="408"/>
      <c r="F3611" s="408"/>
      <c r="G3611" s="408"/>
      <c r="H3611" s="408"/>
      <c r="I3611" s="408"/>
      <c r="J3611" s="408"/>
      <c r="K3611" s="408"/>
      <c r="L3611" s="408"/>
      <c r="M3611" s="408"/>
      <c r="N3611" s="408" t="str">
        <f t="shared" si="483"/>
        <v/>
      </c>
      <c r="O3611" s="408"/>
      <c r="P3611" s="408"/>
      <c r="Q3611" s="408"/>
      <c r="R3611" s="408"/>
      <c r="S3611" s="408"/>
      <c r="T3611" s="408"/>
      <c r="U3611" s="408"/>
      <c r="V3611" s="421"/>
      <c r="W3611" s="421"/>
      <c r="X3611" s="421"/>
      <c r="Y3611" s="421"/>
      <c r="Z3611" s="421"/>
      <c r="AA3611" s="421"/>
      <c r="AB3611" s="421"/>
      <c r="AC3611" s="421"/>
      <c r="AD3611" s="421"/>
      <c r="AE3611" s="421"/>
      <c r="AF3611" s="421"/>
      <c r="AG3611" s="421"/>
      <c r="AH3611" s="421"/>
      <c r="AI3611" s="421"/>
      <c r="AJ3611" s="421"/>
      <c r="AK3611" s="421"/>
      <c r="AL3611" s="421"/>
    </row>
    <row r="3612" spans="1:38" hidden="1">
      <c r="A3612" s="408"/>
      <c r="B3612" s="83" t="e">
        <f t="array" ref="B3612">SUM(--(FREQUENCY(IF(C$2:C$3072=C3612, MATCH(D$2:D$3072, D$2:D$3072, 0)), ROW(D$2:D$3072)-ROW(D$2)+1) &gt; 0))</f>
        <v>#N/A</v>
      </c>
      <c r="C3612" s="408"/>
      <c r="D3612" s="408"/>
      <c r="E3612" s="408"/>
      <c r="F3612" s="408"/>
      <c r="G3612" s="408"/>
      <c r="H3612" s="408"/>
      <c r="I3612" s="408"/>
      <c r="J3612" s="408"/>
      <c r="K3612" s="408"/>
      <c r="L3612" s="408"/>
      <c r="M3612" s="408"/>
      <c r="N3612" s="408" t="str">
        <f t="shared" si="483"/>
        <v/>
      </c>
      <c r="O3612" s="408"/>
      <c r="P3612" s="408"/>
      <c r="Q3612" s="408"/>
      <c r="R3612" s="408"/>
      <c r="S3612" s="408"/>
      <c r="T3612" s="408"/>
      <c r="U3612" s="408"/>
      <c r="V3612" s="421"/>
      <c r="W3612" s="421"/>
      <c r="X3612" s="421"/>
      <c r="Y3612" s="421"/>
      <c r="Z3612" s="421"/>
      <c r="AA3612" s="421"/>
      <c r="AB3612" s="421"/>
      <c r="AC3612" s="421"/>
      <c r="AD3612" s="421"/>
      <c r="AE3612" s="421"/>
      <c r="AF3612" s="421"/>
      <c r="AG3612" s="421"/>
      <c r="AH3612" s="421"/>
      <c r="AI3612" s="421"/>
      <c r="AJ3612" s="421"/>
      <c r="AK3612" s="421"/>
      <c r="AL3612" s="421"/>
    </row>
    <row r="3613" spans="1:38" hidden="1">
      <c r="A3613" s="408"/>
      <c r="B3613" s="83" t="e">
        <f t="array" ref="B3613">SUM(--(FREQUENCY(IF(C$2:C$3072=C3613, MATCH(D$2:D$3072, D$2:D$3072, 0)), ROW(D$2:D$3072)-ROW(D$2)+1) &gt; 0))</f>
        <v>#N/A</v>
      </c>
      <c r="C3613" s="408"/>
      <c r="D3613" s="408"/>
      <c r="E3613" s="408"/>
      <c r="F3613" s="408"/>
      <c r="G3613" s="408"/>
      <c r="H3613" s="408"/>
      <c r="I3613" s="408"/>
      <c r="J3613" s="408"/>
      <c r="K3613" s="408"/>
      <c r="L3613" s="408"/>
      <c r="M3613" s="408"/>
      <c r="N3613" s="408" t="str">
        <f t="shared" si="483"/>
        <v/>
      </c>
      <c r="O3613" s="408"/>
      <c r="P3613" s="408"/>
      <c r="Q3613" s="408"/>
      <c r="R3613" s="408"/>
      <c r="S3613" s="408"/>
      <c r="T3613" s="408"/>
      <c r="U3613" s="408"/>
      <c r="V3613" s="421"/>
      <c r="W3613" s="421"/>
      <c r="X3613" s="421"/>
      <c r="Y3613" s="421"/>
      <c r="Z3613" s="421"/>
      <c r="AA3613" s="421"/>
      <c r="AB3613" s="421"/>
      <c r="AC3613" s="421"/>
      <c r="AD3613" s="421"/>
      <c r="AE3613" s="421"/>
      <c r="AF3613" s="421"/>
      <c r="AG3613" s="421"/>
      <c r="AH3613" s="421"/>
      <c r="AI3613" s="421"/>
      <c r="AJ3613" s="421"/>
      <c r="AK3613" s="421"/>
      <c r="AL3613" s="421"/>
    </row>
    <row r="3614" spans="1:38" hidden="1">
      <c r="A3614" s="408"/>
      <c r="B3614" s="83" t="e">
        <f t="array" ref="B3614">SUM(--(FREQUENCY(IF(C$2:C$3072=C3614, MATCH(D$2:D$3072, D$2:D$3072, 0)), ROW(D$2:D$3072)-ROW(D$2)+1) &gt; 0))</f>
        <v>#N/A</v>
      </c>
      <c r="C3614" s="408"/>
      <c r="D3614" s="408"/>
      <c r="E3614" s="408"/>
      <c r="F3614" s="408"/>
      <c r="G3614" s="408"/>
      <c r="H3614" s="408"/>
      <c r="I3614" s="408"/>
      <c r="J3614" s="408"/>
      <c r="K3614" s="408"/>
      <c r="L3614" s="408"/>
      <c r="M3614" s="408"/>
      <c r="N3614" s="408" t="str">
        <f t="shared" si="483"/>
        <v/>
      </c>
      <c r="O3614" s="408"/>
      <c r="P3614" s="408"/>
      <c r="Q3614" s="408"/>
      <c r="R3614" s="408"/>
      <c r="S3614" s="408"/>
      <c r="T3614" s="408"/>
      <c r="U3614" s="408"/>
      <c r="V3614" s="421"/>
      <c r="W3614" s="421"/>
      <c r="X3614" s="421"/>
      <c r="Y3614" s="421"/>
      <c r="Z3614" s="421"/>
      <c r="AA3614" s="421"/>
      <c r="AB3614" s="421"/>
      <c r="AC3614" s="421"/>
      <c r="AD3614" s="421"/>
      <c r="AE3614" s="421"/>
      <c r="AF3614" s="421"/>
      <c r="AG3614" s="421"/>
      <c r="AH3614" s="421"/>
      <c r="AI3614" s="421"/>
      <c r="AJ3614" s="421"/>
      <c r="AK3614" s="421"/>
      <c r="AL3614" s="421"/>
    </row>
    <row r="3615" spans="1:38" hidden="1">
      <c r="A3615" s="408"/>
      <c r="B3615" s="83" t="e">
        <f t="array" ref="B3615">SUM(--(FREQUENCY(IF(C$2:C$3072=C3615, MATCH(D$2:D$3072, D$2:D$3072, 0)), ROW(D$2:D$3072)-ROW(D$2)+1) &gt; 0))</f>
        <v>#N/A</v>
      </c>
      <c r="C3615" s="408"/>
      <c r="D3615" s="408"/>
      <c r="E3615" s="408"/>
      <c r="F3615" s="408"/>
      <c r="G3615" s="408"/>
      <c r="H3615" s="408"/>
      <c r="I3615" s="408"/>
      <c r="J3615" s="408"/>
      <c r="K3615" s="408"/>
      <c r="L3615" s="408"/>
      <c r="M3615" s="408"/>
      <c r="N3615" s="408" t="str">
        <f t="shared" si="483"/>
        <v/>
      </c>
      <c r="O3615" s="408"/>
      <c r="P3615" s="408"/>
      <c r="Q3615" s="408"/>
      <c r="R3615" s="408"/>
      <c r="S3615" s="408"/>
      <c r="T3615" s="408"/>
      <c r="U3615" s="408"/>
      <c r="V3615" s="421"/>
      <c r="W3615" s="421"/>
      <c r="X3615" s="421"/>
      <c r="Y3615" s="421"/>
      <c r="Z3615" s="421"/>
      <c r="AA3615" s="421"/>
      <c r="AB3615" s="421"/>
      <c r="AC3615" s="421"/>
      <c r="AD3615" s="421"/>
      <c r="AE3615" s="421"/>
      <c r="AF3615" s="421"/>
      <c r="AG3615" s="421"/>
      <c r="AH3615" s="421"/>
      <c r="AI3615" s="421"/>
      <c r="AJ3615" s="421"/>
      <c r="AK3615" s="421"/>
      <c r="AL3615" s="421"/>
    </row>
    <row r="3616" spans="1:38" hidden="1">
      <c r="A3616" s="408"/>
      <c r="B3616" s="83" t="e">
        <f t="array" ref="B3616">SUM(--(FREQUENCY(IF(C$2:C$3072=C3616, MATCH(D$2:D$3072, D$2:D$3072, 0)), ROW(D$2:D$3072)-ROW(D$2)+1) &gt; 0))</f>
        <v>#N/A</v>
      </c>
      <c r="C3616" s="408"/>
      <c r="D3616" s="408"/>
      <c r="E3616" s="408"/>
      <c r="F3616" s="408"/>
      <c r="G3616" s="408"/>
      <c r="H3616" s="408"/>
      <c r="I3616" s="408"/>
      <c r="J3616" s="408"/>
      <c r="K3616" s="408"/>
      <c r="L3616" s="408"/>
      <c r="M3616" s="408"/>
      <c r="N3616" s="408" t="str">
        <f t="shared" si="483"/>
        <v/>
      </c>
      <c r="O3616" s="408"/>
      <c r="P3616" s="408"/>
      <c r="Q3616" s="408"/>
      <c r="R3616" s="408"/>
      <c r="S3616" s="408"/>
      <c r="T3616" s="408"/>
      <c r="U3616" s="408"/>
      <c r="V3616" s="421"/>
      <c r="W3616" s="421"/>
      <c r="X3616" s="421"/>
      <c r="Y3616" s="421"/>
      <c r="Z3616" s="421"/>
      <c r="AA3616" s="421"/>
      <c r="AB3616" s="421"/>
      <c r="AC3616" s="421"/>
      <c r="AD3616" s="421"/>
      <c r="AE3616" s="421"/>
      <c r="AF3616" s="421"/>
      <c r="AG3616" s="421"/>
      <c r="AH3616" s="421"/>
      <c r="AI3616" s="421"/>
      <c r="AJ3616" s="421"/>
      <c r="AK3616" s="421"/>
      <c r="AL3616" s="421"/>
    </row>
    <row r="3617" spans="1:38" hidden="1">
      <c r="A3617" s="408"/>
      <c r="B3617" s="83" t="e">
        <f t="array" ref="B3617">SUM(--(FREQUENCY(IF(C$2:C$3072=C3617, MATCH(D$2:D$3072, D$2:D$3072, 0)), ROW(D$2:D$3072)-ROW(D$2)+1) &gt; 0))</f>
        <v>#N/A</v>
      </c>
      <c r="C3617" s="408"/>
      <c r="D3617" s="408"/>
      <c r="E3617" s="408"/>
      <c r="F3617" s="408"/>
      <c r="G3617" s="408"/>
      <c r="H3617" s="408"/>
      <c r="I3617" s="408"/>
      <c r="J3617" s="408"/>
      <c r="K3617" s="408"/>
      <c r="L3617" s="408"/>
      <c r="M3617" s="408"/>
      <c r="N3617" s="408" t="str">
        <f t="shared" si="483"/>
        <v/>
      </c>
      <c r="O3617" s="408"/>
      <c r="P3617" s="408"/>
      <c r="Q3617" s="408"/>
      <c r="R3617" s="408"/>
      <c r="S3617" s="408"/>
      <c r="T3617" s="408"/>
      <c r="U3617" s="408"/>
      <c r="V3617" s="421"/>
      <c r="W3617" s="421"/>
      <c r="X3617" s="421"/>
      <c r="Y3617" s="421"/>
      <c r="Z3617" s="421"/>
      <c r="AA3617" s="421"/>
      <c r="AB3617" s="421"/>
      <c r="AC3617" s="421"/>
      <c r="AD3617" s="421"/>
      <c r="AE3617" s="421"/>
      <c r="AF3617" s="421"/>
      <c r="AG3617" s="421"/>
      <c r="AH3617" s="421"/>
      <c r="AI3617" s="421"/>
      <c r="AJ3617" s="421"/>
      <c r="AK3617" s="421"/>
      <c r="AL3617" s="421"/>
    </row>
    <row r="3618" spans="1:38" hidden="1">
      <c r="A3618" s="408"/>
      <c r="B3618" s="83" t="e">
        <f t="array" ref="B3618">SUM(--(FREQUENCY(IF(C$2:C$3072=C3618, MATCH(D$2:D$3072, D$2:D$3072, 0)), ROW(D$2:D$3072)-ROW(D$2)+1) &gt; 0))</f>
        <v>#N/A</v>
      </c>
      <c r="C3618" s="408"/>
      <c r="D3618" s="408"/>
      <c r="E3618" s="408"/>
      <c r="F3618" s="408"/>
      <c r="G3618" s="408"/>
      <c r="H3618" s="408"/>
      <c r="I3618" s="408"/>
      <c r="J3618" s="408"/>
      <c r="K3618" s="408"/>
      <c r="L3618" s="408"/>
      <c r="M3618" s="408"/>
      <c r="N3618" s="408" t="str">
        <f t="shared" si="483"/>
        <v/>
      </c>
      <c r="O3618" s="408"/>
      <c r="P3618" s="408"/>
      <c r="Q3618" s="408"/>
      <c r="R3618" s="408"/>
      <c r="S3618" s="408"/>
      <c r="T3618" s="408"/>
      <c r="U3618" s="408"/>
      <c r="V3618" s="421"/>
      <c r="W3618" s="421"/>
      <c r="X3618" s="421"/>
      <c r="Y3618" s="421"/>
      <c r="Z3618" s="421"/>
      <c r="AA3618" s="421"/>
      <c r="AB3618" s="421"/>
      <c r="AC3618" s="421"/>
      <c r="AD3618" s="421"/>
      <c r="AE3618" s="421"/>
      <c r="AF3618" s="421"/>
      <c r="AG3618" s="421"/>
      <c r="AH3618" s="421"/>
      <c r="AI3618" s="421"/>
      <c r="AJ3618" s="421"/>
      <c r="AK3618" s="421"/>
      <c r="AL3618" s="421"/>
    </row>
    <row r="3619" spans="1:38" hidden="1">
      <c r="A3619" s="408"/>
      <c r="B3619" s="83" t="e">
        <f t="array" ref="B3619">SUM(--(FREQUENCY(IF(C$2:C$3072=C3619, MATCH(D$2:D$3072, D$2:D$3072, 0)), ROW(D$2:D$3072)-ROW(D$2)+1) &gt; 0))</f>
        <v>#N/A</v>
      </c>
      <c r="C3619" s="408"/>
      <c r="D3619" s="408"/>
      <c r="E3619" s="408"/>
      <c r="F3619" s="408"/>
      <c r="G3619" s="408"/>
      <c r="H3619" s="408"/>
      <c r="I3619" s="408"/>
      <c r="J3619" s="408"/>
      <c r="K3619" s="408"/>
      <c r="L3619" s="408"/>
      <c r="M3619" s="408"/>
      <c r="N3619" s="408" t="str">
        <f t="shared" si="483"/>
        <v/>
      </c>
      <c r="O3619" s="408"/>
      <c r="P3619" s="408"/>
      <c r="Q3619" s="408"/>
      <c r="R3619" s="408"/>
      <c r="S3619" s="408"/>
      <c r="T3619" s="408"/>
      <c r="U3619" s="408"/>
      <c r="V3619" s="421"/>
      <c r="W3619" s="421"/>
      <c r="X3619" s="421"/>
      <c r="Y3619" s="421"/>
      <c r="Z3619" s="421"/>
      <c r="AA3619" s="421"/>
      <c r="AB3619" s="421"/>
      <c r="AC3619" s="421"/>
      <c r="AD3619" s="421"/>
      <c r="AE3619" s="421"/>
      <c r="AF3619" s="421"/>
      <c r="AG3619" s="421"/>
      <c r="AH3619" s="421"/>
      <c r="AI3619" s="421"/>
      <c r="AJ3619" s="421"/>
      <c r="AK3619" s="421"/>
      <c r="AL3619" s="421"/>
    </row>
    <row r="3620" spans="1:38" hidden="1">
      <c r="A3620" s="408"/>
      <c r="B3620" s="83" t="e">
        <f t="array" ref="B3620">SUM(--(FREQUENCY(IF(C$2:C$3072=C3620, MATCH(D$2:D$3072, D$2:D$3072, 0)), ROW(D$2:D$3072)-ROW(D$2)+1) &gt; 0))</f>
        <v>#N/A</v>
      </c>
      <c r="C3620" s="408"/>
      <c r="D3620" s="408"/>
      <c r="E3620" s="408"/>
      <c r="F3620" s="408"/>
      <c r="G3620" s="408"/>
      <c r="H3620" s="408"/>
      <c r="I3620" s="408"/>
      <c r="J3620" s="408"/>
      <c r="K3620" s="408"/>
      <c r="L3620" s="408"/>
      <c r="M3620" s="408"/>
      <c r="N3620" s="408" t="str">
        <f t="shared" si="483"/>
        <v/>
      </c>
      <c r="O3620" s="408"/>
      <c r="P3620" s="408"/>
      <c r="Q3620" s="408"/>
      <c r="R3620" s="408"/>
      <c r="S3620" s="408"/>
      <c r="T3620" s="408"/>
      <c r="U3620" s="408"/>
      <c r="V3620" s="421"/>
      <c r="W3620" s="421"/>
      <c r="X3620" s="421"/>
      <c r="Y3620" s="421"/>
      <c r="Z3620" s="421"/>
      <c r="AA3620" s="421"/>
      <c r="AB3620" s="421"/>
      <c r="AC3620" s="421"/>
      <c r="AD3620" s="421"/>
      <c r="AE3620" s="421"/>
      <c r="AF3620" s="421"/>
      <c r="AG3620" s="421"/>
      <c r="AH3620" s="421"/>
      <c r="AI3620" s="421"/>
      <c r="AJ3620" s="421"/>
      <c r="AK3620" s="421"/>
      <c r="AL3620" s="421"/>
    </row>
    <row r="3621" spans="1:38" hidden="1">
      <c r="A3621" s="408"/>
      <c r="B3621" s="83" t="e">
        <f t="array" ref="B3621">SUM(--(FREQUENCY(IF(C$2:C$3072=C3621, MATCH(D$2:D$3072, D$2:D$3072, 0)), ROW(D$2:D$3072)-ROW(D$2)+1) &gt; 0))</f>
        <v>#N/A</v>
      </c>
      <c r="C3621" s="408"/>
      <c r="D3621" s="408"/>
      <c r="E3621" s="408"/>
      <c r="F3621" s="408"/>
      <c r="G3621" s="408"/>
      <c r="H3621" s="408"/>
      <c r="I3621" s="408"/>
      <c r="J3621" s="408"/>
      <c r="K3621" s="408"/>
      <c r="L3621" s="408"/>
      <c r="M3621" s="408"/>
      <c r="N3621" s="408" t="str">
        <f t="shared" si="483"/>
        <v/>
      </c>
      <c r="O3621" s="408"/>
      <c r="P3621" s="408"/>
      <c r="Q3621" s="408"/>
      <c r="R3621" s="408"/>
      <c r="S3621" s="408"/>
      <c r="T3621" s="408"/>
      <c r="U3621" s="408"/>
      <c r="V3621" s="421"/>
      <c r="W3621" s="421"/>
      <c r="X3621" s="421"/>
      <c r="Y3621" s="421"/>
      <c r="Z3621" s="421"/>
      <c r="AA3621" s="421"/>
      <c r="AB3621" s="421"/>
      <c r="AC3621" s="421"/>
      <c r="AD3621" s="421"/>
      <c r="AE3621" s="421"/>
      <c r="AF3621" s="421"/>
      <c r="AG3621" s="421"/>
      <c r="AH3621" s="421"/>
      <c r="AI3621" s="421"/>
      <c r="AJ3621" s="421"/>
      <c r="AK3621" s="421"/>
      <c r="AL3621" s="421"/>
    </row>
    <row r="3622" spans="1:38" hidden="1">
      <c r="A3622" s="408"/>
      <c r="B3622" s="83" t="e">
        <f t="array" ref="B3622">SUM(--(FREQUENCY(IF(C$2:C$3072=C3622, MATCH(D$2:D$3072, D$2:D$3072, 0)), ROW(D$2:D$3072)-ROW(D$2)+1) &gt; 0))</f>
        <v>#N/A</v>
      </c>
      <c r="C3622" s="408"/>
      <c r="D3622" s="408"/>
      <c r="E3622" s="408"/>
      <c r="F3622" s="408"/>
      <c r="G3622" s="408"/>
      <c r="H3622" s="408"/>
      <c r="I3622" s="408"/>
      <c r="J3622" s="408"/>
      <c r="K3622" s="408"/>
      <c r="L3622" s="408"/>
      <c r="M3622" s="408"/>
      <c r="N3622" s="408" t="str">
        <f t="shared" si="483"/>
        <v/>
      </c>
      <c r="O3622" s="408"/>
      <c r="P3622" s="408"/>
      <c r="Q3622" s="408"/>
      <c r="R3622" s="408"/>
      <c r="S3622" s="408"/>
      <c r="T3622" s="408"/>
      <c r="U3622" s="408"/>
      <c r="V3622" s="421"/>
      <c r="W3622" s="421"/>
      <c r="X3622" s="421"/>
      <c r="Y3622" s="421"/>
      <c r="Z3622" s="421"/>
      <c r="AA3622" s="421"/>
      <c r="AB3622" s="421"/>
      <c r="AC3622" s="421"/>
      <c r="AD3622" s="421"/>
      <c r="AE3622" s="421"/>
      <c r="AF3622" s="421"/>
      <c r="AG3622" s="421"/>
      <c r="AH3622" s="421"/>
      <c r="AI3622" s="421"/>
      <c r="AJ3622" s="421"/>
      <c r="AK3622" s="421"/>
      <c r="AL3622" s="421"/>
    </row>
    <row r="3623" spans="1:38" hidden="1">
      <c r="A3623" s="408"/>
      <c r="B3623" s="83" t="e">
        <f t="array" ref="B3623">SUM(--(FREQUENCY(IF(C$2:C$3072=C3623, MATCH(D$2:D$3072, D$2:D$3072, 0)), ROW(D$2:D$3072)-ROW(D$2)+1) &gt; 0))</f>
        <v>#N/A</v>
      </c>
      <c r="C3623" s="408"/>
      <c r="D3623" s="408"/>
      <c r="E3623" s="408"/>
      <c r="F3623" s="408"/>
      <c r="G3623" s="408"/>
      <c r="H3623" s="408"/>
      <c r="I3623" s="408"/>
      <c r="J3623" s="408"/>
      <c r="K3623" s="408"/>
      <c r="L3623" s="408"/>
      <c r="M3623" s="408"/>
      <c r="N3623" s="408" t="str">
        <f t="shared" si="483"/>
        <v/>
      </c>
      <c r="O3623" s="408"/>
      <c r="P3623" s="408"/>
      <c r="Q3623" s="408"/>
      <c r="R3623" s="408"/>
      <c r="S3623" s="408"/>
      <c r="T3623" s="408"/>
      <c r="U3623" s="408"/>
      <c r="V3623" s="421"/>
      <c r="W3623" s="421"/>
      <c r="X3623" s="421"/>
      <c r="Y3623" s="421"/>
      <c r="Z3623" s="421"/>
      <c r="AA3623" s="421"/>
      <c r="AB3623" s="421"/>
      <c r="AC3623" s="421"/>
      <c r="AD3623" s="421"/>
      <c r="AE3623" s="421"/>
      <c r="AF3623" s="421"/>
      <c r="AG3623" s="421"/>
      <c r="AH3623" s="421"/>
      <c r="AI3623" s="421"/>
      <c r="AJ3623" s="421"/>
      <c r="AK3623" s="421"/>
      <c r="AL3623" s="421"/>
    </row>
    <row r="3624" spans="1:38" hidden="1">
      <c r="A3624" s="408"/>
      <c r="B3624" s="83" t="e">
        <f t="array" ref="B3624">SUM(--(FREQUENCY(IF(C$2:C$3072=C3624, MATCH(D$2:D$3072, D$2:D$3072, 0)), ROW(D$2:D$3072)-ROW(D$2)+1) &gt; 0))</f>
        <v>#N/A</v>
      </c>
      <c r="C3624" s="408"/>
      <c r="D3624" s="408"/>
      <c r="E3624" s="408"/>
      <c r="F3624" s="408"/>
      <c r="G3624" s="408"/>
      <c r="H3624" s="408"/>
      <c r="I3624" s="408"/>
      <c r="J3624" s="408"/>
      <c r="K3624" s="408"/>
      <c r="L3624" s="408"/>
      <c r="M3624" s="408"/>
      <c r="N3624" s="408" t="str">
        <f t="shared" si="483"/>
        <v/>
      </c>
      <c r="O3624" s="408"/>
      <c r="P3624" s="408"/>
      <c r="Q3624" s="408"/>
      <c r="R3624" s="408"/>
      <c r="S3624" s="408"/>
      <c r="T3624" s="408"/>
      <c r="U3624" s="408"/>
      <c r="V3624" s="421"/>
      <c r="W3624" s="421"/>
      <c r="X3624" s="421"/>
      <c r="Y3624" s="421"/>
      <c r="Z3624" s="421"/>
      <c r="AA3624" s="421"/>
      <c r="AB3624" s="421"/>
      <c r="AC3624" s="421"/>
      <c r="AD3624" s="421"/>
      <c r="AE3624" s="421"/>
      <c r="AF3624" s="421"/>
      <c r="AG3624" s="421"/>
      <c r="AH3624" s="421"/>
      <c r="AI3624" s="421"/>
      <c r="AJ3624" s="421"/>
      <c r="AK3624" s="421"/>
      <c r="AL3624" s="421"/>
    </row>
    <row r="3625" spans="1:38" hidden="1">
      <c r="A3625" s="408"/>
      <c r="B3625" s="83" t="e">
        <f t="array" ref="B3625">SUM(--(FREQUENCY(IF(C$2:C$3072=C3625, MATCH(D$2:D$3072, D$2:D$3072, 0)), ROW(D$2:D$3072)-ROW(D$2)+1) &gt; 0))</f>
        <v>#N/A</v>
      </c>
      <c r="C3625" s="408"/>
      <c r="D3625" s="408"/>
      <c r="E3625" s="408"/>
      <c r="F3625" s="408"/>
      <c r="G3625" s="408"/>
      <c r="H3625" s="408"/>
      <c r="I3625" s="408"/>
      <c r="J3625" s="408"/>
      <c r="K3625" s="408"/>
      <c r="L3625" s="408"/>
      <c r="M3625" s="408"/>
      <c r="N3625" s="408" t="str">
        <f t="shared" si="483"/>
        <v/>
      </c>
      <c r="O3625" s="408"/>
      <c r="P3625" s="408"/>
      <c r="Q3625" s="408"/>
      <c r="R3625" s="408"/>
      <c r="S3625" s="408"/>
      <c r="T3625" s="408"/>
      <c r="U3625" s="408"/>
      <c r="V3625" s="421"/>
      <c r="W3625" s="421"/>
      <c r="X3625" s="421"/>
      <c r="Y3625" s="421"/>
      <c r="Z3625" s="421"/>
      <c r="AA3625" s="421"/>
      <c r="AB3625" s="421"/>
      <c r="AC3625" s="421"/>
      <c r="AD3625" s="421"/>
      <c r="AE3625" s="421"/>
      <c r="AF3625" s="421"/>
      <c r="AG3625" s="421"/>
      <c r="AH3625" s="421"/>
      <c r="AI3625" s="421"/>
      <c r="AJ3625" s="421"/>
      <c r="AK3625" s="421"/>
      <c r="AL3625" s="421"/>
    </row>
    <row r="3626" spans="1:38" hidden="1">
      <c r="A3626" s="408"/>
      <c r="B3626" s="83" t="e">
        <f t="array" ref="B3626">SUM(--(FREQUENCY(IF(C$2:C$3072=C3626, MATCH(D$2:D$3072, D$2:D$3072, 0)), ROW(D$2:D$3072)-ROW(D$2)+1) &gt; 0))</f>
        <v>#N/A</v>
      </c>
      <c r="C3626" s="408"/>
      <c r="D3626" s="408"/>
      <c r="E3626" s="408"/>
      <c r="F3626" s="408"/>
      <c r="G3626" s="408"/>
      <c r="H3626" s="408"/>
      <c r="I3626" s="408"/>
      <c r="J3626" s="408"/>
      <c r="K3626" s="408"/>
      <c r="L3626" s="408"/>
      <c r="M3626" s="408"/>
      <c r="N3626" s="408" t="str">
        <f t="shared" si="483"/>
        <v/>
      </c>
      <c r="O3626" s="408"/>
      <c r="P3626" s="408"/>
      <c r="Q3626" s="408"/>
      <c r="R3626" s="408"/>
      <c r="S3626" s="408"/>
      <c r="T3626" s="408"/>
      <c r="U3626" s="408"/>
      <c r="V3626" s="421"/>
      <c r="W3626" s="421"/>
      <c r="X3626" s="421"/>
      <c r="Y3626" s="421"/>
      <c r="Z3626" s="421"/>
      <c r="AA3626" s="421"/>
      <c r="AB3626" s="421"/>
      <c r="AC3626" s="421"/>
      <c r="AD3626" s="421"/>
      <c r="AE3626" s="421"/>
      <c r="AF3626" s="421"/>
      <c r="AG3626" s="421"/>
      <c r="AH3626" s="421"/>
      <c r="AI3626" s="421"/>
      <c r="AJ3626" s="421"/>
      <c r="AK3626" s="421"/>
      <c r="AL3626" s="421"/>
    </row>
    <row r="3627" spans="1:38" hidden="1">
      <c r="A3627" s="408"/>
      <c r="B3627" s="83" t="e">
        <f t="array" ref="B3627">SUM(--(FREQUENCY(IF(C$2:C$3072=C3627, MATCH(D$2:D$3072, D$2:D$3072, 0)), ROW(D$2:D$3072)-ROW(D$2)+1) &gt; 0))</f>
        <v>#N/A</v>
      </c>
      <c r="C3627" s="408"/>
      <c r="D3627" s="408"/>
      <c r="E3627" s="408"/>
      <c r="F3627" s="408"/>
      <c r="G3627" s="408"/>
      <c r="H3627" s="408"/>
      <c r="I3627" s="408"/>
      <c r="J3627" s="408"/>
      <c r="K3627" s="408"/>
      <c r="L3627" s="408"/>
      <c r="M3627" s="408"/>
      <c r="N3627" s="408" t="str">
        <f t="shared" si="483"/>
        <v/>
      </c>
      <c r="O3627" s="408"/>
      <c r="P3627" s="408"/>
      <c r="Q3627" s="408"/>
      <c r="R3627" s="408"/>
      <c r="S3627" s="408"/>
      <c r="T3627" s="408"/>
      <c r="U3627" s="408"/>
      <c r="V3627" s="421"/>
      <c r="W3627" s="421"/>
      <c r="X3627" s="421"/>
      <c r="Y3627" s="421"/>
      <c r="Z3627" s="421"/>
      <c r="AA3627" s="421"/>
      <c r="AB3627" s="421"/>
      <c r="AC3627" s="421"/>
      <c r="AD3627" s="421"/>
      <c r="AE3627" s="421"/>
      <c r="AF3627" s="421"/>
      <c r="AG3627" s="421"/>
      <c r="AH3627" s="421"/>
      <c r="AI3627" s="421"/>
      <c r="AJ3627" s="421"/>
      <c r="AK3627" s="421"/>
      <c r="AL3627" s="421"/>
    </row>
    <row r="3628" spans="1:38" hidden="1">
      <c r="A3628" s="408"/>
      <c r="B3628" s="83" t="e">
        <f t="array" ref="B3628">SUM(--(FREQUENCY(IF(C$2:C$3072=C3628, MATCH(D$2:D$3072, D$2:D$3072, 0)), ROW(D$2:D$3072)-ROW(D$2)+1) &gt; 0))</f>
        <v>#N/A</v>
      </c>
      <c r="C3628" s="408"/>
      <c r="D3628" s="408"/>
      <c r="E3628" s="408"/>
      <c r="F3628" s="408"/>
      <c r="G3628" s="408"/>
      <c r="H3628" s="408"/>
      <c r="I3628" s="408"/>
      <c r="J3628" s="408"/>
      <c r="K3628" s="408"/>
      <c r="L3628" s="408"/>
      <c r="M3628" s="408"/>
      <c r="N3628" s="408" t="str">
        <f t="shared" si="483"/>
        <v/>
      </c>
      <c r="O3628" s="408"/>
      <c r="P3628" s="408"/>
      <c r="Q3628" s="408"/>
      <c r="R3628" s="408"/>
      <c r="S3628" s="408"/>
      <c r="T3628" s="408"/>
      <c r="U3628" s="408"/>
      <c r="V3628" s="421"/>
      <c r="W3628" s="421"/>
      <c r="X3628" s="421"/>
      <c r="Y3628" s="421"/>
      <c r="Z3628" s="421"/>
      <c r="AA3628" s="421"/>
      <c r="AB3628" s="421"/>
      <c r="AC3628" s="421"/>
      <c r="AD3628" s="421"/>
      <c r="AE3628" s="421"/>
      <c r="AF3628" s="421"/>
      <c r="AG3628" s="421"/>
      <c r="AH3628" s="421"/>
      <c r="AI3628" s="421"/>
      <c r="AJ3628" s="421"/>
      <c r="AK3628" s="421"/>
      <c r="AL3628" s="421"/>
    </row>
    <row r="3629" spans="1:38" hidden="1">
      <c r="A3629" s="408"/>
      <c r="B3629" s="83" t="e">
        <f t="array" ref="B3629">SUM(--(FREQUENCY(IF(C$2:C$3072=C3629, MATCH(D$2:D$3072, D$2:D$3072, 0)), ROW(D$2:D$3072)-ROW(D$2)+1) &gt; 0))</f>
        <v>#N/A</v>
      </c>
      <c r="C3629" s="408"/>
      <c r="D3629" s="408"/>
      <c r="E3629" s="408"/>
      <c r="F3629" s="408"/>
      <c r="G3629" s="408"/>
      <c r="H3629" s="408"/>
      <c r="I3629" s="408"/>
      <c r="J3629" s="408"/>
      <c r="K3629" s="408"/>
      <c r="L3629" s="408"/>
      <c r="M3629" s="408"/>
      <c r="N3629" s="408" t="str">
        <f t="shared" si="483"/>
        <v/>
      </c>
      <c r="O3629" s="408"/>
      <c r="P3629" s="408"/>
      <c r="Q3629" s="408"/>
      <c r="R3629" s="408"/>
      <c r="S3629" s="408"/>
      <c r="T3629" s="408"/>
      <c r="U3629" s="408"/>
      <c r="V3629" s="421"/>
      <c r="W3629" s="421"/>
      <c r="X3629" s="421"/>
      <c r="Y3629" s="421"/>
      <c r="Z3629" s="421"/>
      <c r="AA3629" s="421"/>
      <c r="AB3629" s="421"/>
      <c r="AC3629" s="421"/>
      <c r="AD3629" s="421"/>
      <c r="AE3629" s="421"/>
      <c r="AF3629" s="421"/>
      <c r="AG3629" s="421"/>
      <c r="AH3629" s="421"/>
      <c r="AI3629" s="421"/>
      <c r="AJ3629" s="421"/>
      <c r="AK3629" s="421"/>
      <c r="AL3629" s="421"/>
    </row>
    <row r="3630" spans="1:38" hidden="1">
      <c r="A3630" s="408"/>
      <c r="B3630" s="83" t="e">
        <f t="array" ref="B3630">SUM(--(FREQUENCY(IF(C$2:C$3072=C3630, MATCH(D$2:D$3072, D$2:D$3072, 0)), ROW(D$2:D$3072)-ROW(D$2)+1) &gt; 0))</f>
        <v>#N/A</v>
      </c>
      <c r="C3630" s="408"/>
      <c r="D3630" s="408"/>
      <c r="E3630" s="408"/>
      <c r="F3630" s="408"/>
      <c r="G3630" s="408"/>
      <c r="H3630" s="408"/>
      <c r="I3630" s="408"/>
      <c r="J3630" s="408"/>
      <c r="K3630" s="408"/>
      <c r="L3630" s="408"/>
      <c r="M3630" s="408"/>
      <c r="N3630" s="408" t="str">
        <f t="shared" si="483"/>
        <v/>
      </c>
      <c r="O3630" s="408"/>
      <c r="P3630" s="408"/>
      <c r="Q3630" s="408"/>
      <c r="R3630" s="408"/>
      <c r="S3630" s="408"/>
      <c r="T3630" s="408"/>
      <c r="U3630" s="408"/>
      <c r="V3630" s="421"/>
      <c r="W3630" s="421"/>
      <c r="X3630" s="421"/>
      <c r="Y3630" s="421"/>
      <c r="Z3630" s="421"/>
      <c r="AA3630" s="421"/>
      <c r="AB3630" s="421"/>
      <c r="AC3630" s="421"/>
      <c r="AD3630" s="421"/>
      <c r="AE3630" s="421"/>
      <c r="AF3630" s="421"/>
      <c r="AG3630" s="421"/>
      <c r="AH3630" s="421"/>
      <c r="AI3630" s="421"/>
      <c r="AJ3630" s="421"/>
      <c r="AK3630" s="421"/>
      <c r="AL3630" s="421"/>
    </row>
    <row r="3631" spans="1:38" hidden="1">
      <c r="A3631" s="408"/>
      <c r="B3631" s="83" t="e">
        <f t="array" ref="B3631">SUM(--(FREQUENCY(IF(C$2:C$3072=C3631, MATCH(D$2:D$3072, D$2:D$3072, 0)), ROW(D$2:D$3072)-ROW(D$2)+1) &gt; 0))</f>
        <v>#N/A</v>
      </c>
      <c r="C3631" s="408"/>
      <c r="D3631" s="408"/>
      <c r="E3631" s="408"/>
      <c r="F3631" s="408"/>
      <c r="G3631" s="408"/>
      <c r="H3631" s="408"/>
      <c r="I3631" s="408"/>
      <c r="J3631" s="408"/>
      <c r="K3631" s="408"/>
      <c r="L3631" s="408"/>
      <c r="M3631" s="408"/>
      <c r="N3631" s="408" t="str">
        <f t="shared" si="483"/>
        <v/>
      </c>
      <c r="O3631" s="408"/>
      <c r="P3631" s="408"/>
      <c r="Q3631" s="408"/>
      <c r="R3631" s="408"/>
      <c r="S3631" s="408"/>
      <c r="T3631" s="408"/>
      <c r="U3631" s="408"/>
      <c r="V3631" s="421"/>
      <c r="W3631" s="421"/>
      <c r="X3631" s="421"/>
      <c r="Y3631" s="421"/>
      <c r="Z3631" s="421"/>
      <c r="AA3631" s="421"/>
      <c r="AB3631" s="421"/>
      <c r="AC3631" s="421"/>
      <c r="AD3631" s="421"/>
      <c r="AE3631" s="421"/>
      <c r="AF3631" s="421"/>
      <c r="AG3631" s="421"/>
      <c r="AH3631" s="421"/>
      <c r="AI3631" s="421"/>
      <c r="AJ3631" s="421"/>
      <c r="AK3631" s="421"/>
      <c r="AL3631" s="421"/>
    </row>
    <row r="3632" spans="1:38" hidden="1">
      <c r="A3632" s="408"/>
      <c r="B3632" s="83" t="e">
        <f t="array" ref="B3632">SUM(--(FREQUENCY(IF(C$2:C$3072=C3632, MATCH(D$2:D$3072, D$2:D$3072, 0)), ROW(D$2:D$3072)-ROW(D$2)+1) &gt; 0))</f>
        <v>#N/A</v>
      </c>
      <c r="C3632" s="408"/>
      <c r="D3632" s="408"/>
      <c r="E3632" s="408"/>
      <c r="F3632" s="408"/>
      <c r="G3632" s="408"/>
      <c r="H3632" s="408"/>
      <c r="I3632" s="408"/>
      <c r="J3632" s="408"/>
      <c r="K3632" s="408"/>
      <c r="L3632" s="408"/>
      <c r="M3632" s="408"/>
      <c r="N3632" s="408" t="str">
        <f t="shared" si="483"/>
        <v/>
      </c>
      <c r="O3632" s="408"/>
      <c r="P3632" s="408"/>
      <c r="Q3632" s="408"/>
      <c r="R3632" s="408"/>
      <c r="S3632" s="408"/>
      <c r="T3632" s="408"/>
      <c r="U3632" s="408"/>
      <c r="V3632" s="421"/>
      <c r="W3632" s="421"/>
      <c r="X3632" s="421"/>
      <c r="Y3632" s="421"/>
      <c r="Z3632" s="421"/>
      <c r="AA3632" s="421"/>
      <c r="AB3632" s="421"/>
      <c r="AC3632" s="421"/>
      <c r="AD3632" s="421"/>
      <c r="AE3632" s="421"/>
      <c r="AF3632" s="421"/>
      <c r="AG3632" s="421"/>
      <c r="AH3632" s="421"/>
      <c r="AI3632" s="421"/>
      <c r="AJ3632" s="421"/>
      <c r="AK3632" s="421"/>
      <c r="AL3632" s="421"/>
    </row>
    <row r="3633" spans="1:38" hidden="1">
      <c r="A3633" s="408"/>
      <c r="B3633" s="83" t="e">
        <f t="array" ref="B3633">SUM(--(FREQUENCY(IF(C$2:C$3072=C3633, MATCH(D$2:D$3072, D$2:D$3072, 0)), ROW(D$2:D$3072)-ROW(D$2)+1) &gt; 0))</f>
        <v>#N/A</v>
      </c>
      <c r="C3633" s="408"/>
      <c r="D3633" s="408"/>
      <c r="E3633" s="408"/>
      <c r="F3633" s="408"/>
      <c r="G3633" s="408"/>
      <c r="H3633" s="408"/>
      <c r="I3633" s="408"/>
      <c r="J3633" s="408"/>
      <c r="K3633" s="408"/>
      <c r="L3633" s="408"/>
      <c r="M3633" s="408"/>
      <c r="N3633" s="408" t="str">
        <f t="shared" si="483"/>
        <v/>
      </c>
      <c r="O3633" s="408"/>
      <c r="P3633" s="408"/>
      <c r="Q3633" s="408"/>
      <c r="R3633" s="408"/>
      <c r="S3633" s="408"/>
      <c r="T3633" s="408"/>
      <c r="U3633" s="408"/>
      <c r="V3633" s="421"/>
      <c r="W3633" s="421"/>
      <c r="X3633" s="421"/>
      <c r="Y3633" s="421"/>
      <c r="Z3633" s="421"/>
      <c r="AA3633" s="421"/>
      <c r="AB3633" s="421"/>
      <c r="AC3633" s="421"/>
      <c r="AD3633" s="421"/>
      <c r="AE3633" s="421"/>
      <c r="AF3633" s="421"/>
      <c r="AG3633" s="421"/>
      <c r="AH3633" s="421"/>
      <c r="AI3633" s="421"/>
      <c r="AJ3633" s="421"/>
      <c r="AK3633" s="421"/>
      <c r="AL3633" s="421"/>
    </row>
    <row r="3634" spans="1:38" hidden="1">
      <c r="A3634" s="408"/>
      <c r="B3634" s="83" t="e">
        <f t="array" ref="B3634">SUM(--(FREQUENCY(IF(C$2:C$3072=C3634, MATCH(D$2:D$3072, D$2:D$3072, 0)), ROW(D$2:D$3072)-ROW(D$2)+1) &gt; 0))</f>
        <v>#N/A</v>
      </c>
      <c r="C3634" s="408"/>
      <c r="D3634" s="408"/>
      <c r="E3634" s="408"/>
      <c r="F3634" s="408"/>
      <c r="G3634" s="408"/>
      <c r="H3634" s="408"/>
      <c r="I3634" s="408"/>
      <c r="J3634" s="408"/>
      <c r="K3634" s="408"/>
      <c r="L3634" s="408"/>
      <c r="M3634" s="408"/>
      <c r="N3634" s="408" t="str">
        <f t="shared" si="483"/>
        <v/>
      </c>
      <c r="O3634" s="408"/>
      <c r="P3634" s="408"/>
      <c r="Q3634" s="408"/>
      <c r="R3634" s="408"/>
      <c r="S3634" s="408"/>
      <c r="T3634" s="408"/>
      <c r="U3634" s="408"/>
      <c r="V3634" s="421"/>
      <c r="W3634" s="421"/>
      <c r="X3634" s="421"/>
      <c r="Y3634" s="421"/>
      <c r="Z3634" s="421"/>
      <c r="AA3634" s="421"/>
      <c r="AB3634" s="421"/>
      <c r="AC3634" s="421"/>
      <c r="AD3634" s="421"/>
      <c r="AE3634" s="421"/>
      <c r="AF3634" s="421"/>
      <c r="AG3634" s="421"/>
      <c r="AH3634" s="421"/>
      <c r="AI3634" s="421"/>
      <c r="AJ3634" s="421"/>
      <c r="AK3634" s="421"/>
      <c r="AL3634" s="421"/>
    </row>
    <row r="3635" spans="1:38" hidden="1">
      <c r="A3635" s="408"/>
      <c r="B3635" s="83" t="e">
        <f t="array" ref="B3635">SUM(--(FREQUENCY(IF(C$2:C$3072=C3635, MATCH(D$2:D$3072, D$2:D$3072, 0)), ROW(D$2:D$3072)-ROW(D$2)+1) &gt; 0))</f>
        <v>#N/A</v>
      </c>
      <c r="C3635" s="408"/>
      <c r="D3635" s="408"/>
      <c r="E3635" s="408"/>
      <c r="F3635" s="408"/>
      <c r="G3635" s="408"/>
      <c r="H3635" s="408"/>
      <c r="I3635" s="408"/>
      <c r="J3635" s="408"/>
      <c r="K3635" s="408"/>
      <c r="L3635" s="408"/>
      <c r="M3635" s="408"/>
      <c r="N3635" s="408" t="str">
        <f t="shared" si="483"/>
        <v/>
      </c>
      <c r="O3635" s="408"/>
      <c r="P3635" s="408"/>
      <c r="Q3635" s="408"/>
      <c r="R3635" s="408"/>
      <c r="S3635" s="408"/>
      <c r="T3635" s="408"/>
      <c r="U3635" s="408"/>
      <c r="V3635" s="421"/>
      <c r="W3635" s="421"/>
      <c r="X3635" s="421"/>
      <c r="Y3635" s="421"/>
      <c r="Z3635" s="421"/>
      <c r="AA3635" s="421"/>
      <c r="AB3635" s="421"/>
      <c r="AC3635" s="421"/>
      <c r="AD3635" s="421"/>
      <c r="AE3635" s="421"/>
      <c r="AF3635" s="421"/>
      <c r="AG3635" s="421"/>
      <c r="AH3635" s="421"/>
      <c r="AI3635" s="421"/>
      <c r="AJ3635" s="421"/>
      <c r="AK3635" s="421"/>
      <c r="AL3635" s="421"/>
    </row>
    <row r="3636" spans="1:38" hidden="1">
      <c r="A3636" s="408"/>
      <c r="B3636" s="83" t="e">
        <f t="array" ref="B3636">SUM(--(FREQUENCY(IF(C$2:C$3072=C3636, MATCH(D$2:D$3072, D$2:D$3072, 0)), ROW(D$2:D$3072)-ROW(D$2)+1) &gt; 0))</f>
        <v>#N/A</v>
      </c>
      <c r="C3636" s="408"/>
      <c r="D3636" s="408"/>
      <c r="E3636" s="408"/>
      <c r="F3636" s="408"/>
      <c r="G3636" s="408"/>
      <c r="H3636" s="408"/>
      <c r="I3636" s="408"/>
      <c r="J3636" s="408"/>
      <c r="K3636" s="408"/>
      <c r="L3636" s="408"/>
      <c r="M3636" s="408"/>
      <c r="N3636" s="408" t="str">
        <f t="shared" si="483"/>
        <v/>
      </c>
      <c r="O3636" s="408"/>
      <c r="P3636" s="408"/>
      <c r="Q3636" s="408"/>
      <c r="R3636" s="408"/>
      <c r="S3636" s="408"/>
      <c r="T3636" s="408"/>
      <c r="U3636" s="408"/>
      <c r="V3636" s="421"/>
      <c r="W3636" s="421"/>
      <c r="X3636" s="421"/>
      <c r="Y3636" s="421"/>
      <c r="Z3636" s="421"/>
      <c r="AA3636" s="421"/>
      <c r="AB3636" s="421"/>
      <c r="AC3636" s="421"/>
      <c r="AD3636" s="421"/>
      <c r="AE3636" s="421"/>
      <c r="AF3636" s="421"/>
      <c r="AG3636" s="421"/>
      <c r="AH3636" s="421"/>
      <c r="AI3636" s="421"/>
      <c r="AJ3636" s="421"/>
      <c r="AK3636" s="421"/>
      <c r="AL3636" s="421"/>
    </row>
    <row r="3637" spans="1:38" hidden="1">
      <c r="A3637" s="408"/>
      <c r="B3637" s="83" t="e">
        <f t="array" ref="B3637">SUM(--(FREQUENCY(IF(C$2:C$3072=C3637, MATCH(D$2:D$3072, D$2:D$3072, 0)), ROW(D$2:D$3072)-ROW(D$2)+1) &gt; 0))</f>
        <v>#N/A</v>
      </c>
      <c r="C3637" s="408"/>
      <c r="D3637" s="408"/>
      <c r="E3637" s="408"/>
      <c r="F3637" s="408"/>
      <c r="G3637" s="408"/>
      <c r="H3637" s="408"/>
      <c r="I3637" s="408"/>
      <c r="J3637" s="408"/>
      <c r="K3637" s="408"/>
      <c r="L3637" s="408"/>
      <c r="M3637" s="408"/>
      <c r="N3637" s="408" t="str">
        <f t="shared" si="483"/>
        <v/>
      </c>
      <c r="O3637" s="408"/>
      <c r="P3637" s="408"/>
      <c r="Q3637" s="408"/>
      <c r="R3637" s="408"/>
      <c r="S3637" s="408"/>
      <c r="T3637" s="408"/>
      <c r="U3637" s="408"/>
      <c r="V3637" s="421"/>
      <c r="W3637" s="421"/>
      <c r="X3637" s="421"/>
      <c r="Y3637" s="421"/>
      <c r="Z3637" s="421"/>
      <c r="AA3637" s="421"/>
      <c r="AB3637" s="421"/>
      <c r="AC3637" s="421"/>
      <c r="AD3637" s="421"/>
      <c r="AE3637" s="421"/>
      <c r="AF3637" s="421"/>
      <c r="AG3637" s="421"/>
      <c r="AH3637" s="421"/>
      <c r="AI3637" s="421"/>
      <c r="AJ3637" s="421"/>
      <c r="AK3637" s="421"/>
      <c r="AL3637" s="421"/>
    </row>
    <row r="3638" spans="1:38" hidden="1">
      <c r="A3638" s="408"/>
      <c r="B3638" s="83" t="e">
        <f t="array" ref="B3638">SUM(--(FREQUENCY(IF(C$2:C$3072=C3638, MATCH(D$2:D$3072, D$2:D$3072, 0)), ROW(D$2:D$3072)-ROW(D$2)+1) &gt; 0))</f>
        <v>#N/A</v>
      </c>
      <c r="C3638" s="408"/>
      <c r="D3638" s="408"/>
      <c r="E3638" s="408"/>
      <c r="F3638" s="408"/>
      <c r="G3638" s="408"/>
      <c r="H3638" s="408"/>
      <c r="I3638" s="408"/>
      <c r="J3638" s="408"/>
      <c r="K3638" s="408"/>
      <c r="L3638" s="408"/>
      <c r="M3638" s="408"/>
      <c r="N3638" s="408" t="str">
        <f t="shared" si="483"/>
        <v/>
      </c>
      <c r="O3638" s="408"/>
      <c r="P3638" s="408"/>
      <c r="Q3638" s="408"/>
      <c r="R3638" s="408"/>
      <c r="S3638" s="408"/>
      <c r="T3638" s="408"/>
      <c r="U3638" s="408"/>
      <c r="V3638" s="421"/>
      <c r="W3638" s="421"/>
      <c r="X3638" s="421"/>
      <c r="Y3638" s="421"/>
      <c r="Z3638" s="421"/>
      <c r="AA3638" s="421"/>
      <c r="AB3638" s="421"/>
      <c r="AC3638" s="421"/>
      <c r="AD3638" s="421"/>
      <c r="AE3638" s="421"/>
      <c r="AF3638" s="421"/>
      <c r="AG3638" s="421"/>
      <c r="AH3638" s="421"/>
      <c r="AI3638" s="421"/>
      <c r="AJ3638" s="421"/>
      <c r="AK3638" s="421"/>
      <c r="AL3638" s="421"/>
    </row>
    <row r="3639" spans="1:38" hidden="1">
      <c r="A3639" s="408"/>
      <c r="B3639" s="83" t="e">
        <f t="array" ref="B3639">SUM(--(FREQUENCY(IF(C$2:C$3072=C3639, MATCH(D$2:D$3072, D$2:D$3072, 0)), ROW(D$2:D$3072)-ROW(D$2)+1) &gt; 0))</f>
        <v>#N/A</v>
      </c>
      <c r="C3639" s="408"/>
      <c r="D3639" s="408"/>
      <c r="E3639" s="408"/>
      <c r="F3639" s="408"/>
      <c r="G3639" s="408"/>
      <c r="H3639" s="408"/>
      <c r="I3639" s="408"/>
      <c r="J3639" s="408"/>
      <c r="K3639" s="408"/>
      <c r="L3639" s="408"/>
      <c r="M3639" s="408"/>
      <c r="N3639" s="408" t="str">
        <f t="shared" si="483"/>
        <v/>
      </c>
      <c r="O3639" s="408"/>
      <c r="P3639" s="408"/>
      <c r="Q3639" s="408"/>
      <c r="R3639" s="408"/>
      <c r="S3639" s="408"/>
      <c r="T3639" s="408"/>
      <c r="U3639" s="408"/>
      <c r="V3639" s="421"/>
      <c r="W3639" s="421"/>
      <c r="X3639" s="421"/>
      <c r="Y3639" s="421"/>
      <c r="Z3639" s="421"/>
      <c r="AA3639" s="421"/>
      <c r="AB3639" s="421"/>
      <c r="AC3639" s="421"/>
      <c r="AD3639" s="421"/>
      <c r="AE3639" s="421"/>
      <c r="AF3639" s="421"/>
      <c r="AG3639" s="421"/>
      <c r="AH3639" s="421"/>
      <c r="AI3639" s="421"/>
      <c r="AJ3639" s="421"/>
      <c r="AK3639" s="421"/>
      <c r="AL3639" s="421"/>
    </row>
    <row r="3640" spans="1:38" hidden="1">
      <c r="A3640" s="408"/>
      <c r="B3640" s="83" t="e">
        <f t="array" ref="B3640">SUM(--(FREQUENCY(IF(C$2:C$3072=C3640, MATCH(D$2:D$3072, D$2:D$3072, 0)), ROW(D$2:D$3072)-ROW(D$2)+1) &gt; 0))</f>
        <v>#N/A</v>
      </c>
      <c r="C3640" s="408"/>
      <c r="D3640" s="408"/>
      <c r="E3640" s="408"/>
      <c r="F3640" s="408"/>
      <c r="G3640" s="408"/>
      <c r="H3640" s="408"/>
      <c r="I3640" s="408"/>
      <c r="J3640" s="408"/>
      <c r="K3640" s="408"/>
      <c r="L3640" s="408"/>
      <c r="M3640" s="408"/>
      <c r="N3640" s="408" t="str">
        <f t="shared" si="483"/>
        <v/>
      </c>
      <c r="O3640" s="408"/>
      <c r="P3640" s="408"/>
      <c r="Q3640" s="408"/>
      <c r="R3640" s="408"/>
      <c r="S3640" s="408"/>
      <c r="T3640" s="408"/>
      <c r="U3640" s="408"/>
      <c r="V3640" s="421"/>
      <c r="W3640" s="421"/>
      <c r="X3640" s="421"/>
      <c r="Y3640" s="421"/>
      <c r="Z3640" s="421"/>
      <c r="AA3640" s="421"/>
      <c r="AB3640" s="421"/>
      <c r="AC3640" s="421"/>
      <c r="AD3640" s="421"/>
      <c r="AE3640" s="421"/>
      <c r="AF3640" s="421"/>
      <c r="AG3640" s="421"/>
      <c r="AH3640" s="421"/>
      <c r="AI3640" s="421"/>
      <c r="AJ3640" s="421"/>
      <c r="AK3640" s="421"/>
      <c r="AL3640" s="421"/>
    </row>
    <row r="3641" spans="1:38" hidden="1">
      <c r="A3641" s="408"/>
      <c r="B3641" s="83" t="e">
        <f t="array" ref="B3641">SUM(--(FREQUENCY(IF(C$2:C$3072=C3641, MATCH(D$2:D$3072, D$2:D$3072, 0)), ROW(D$2:D$3072)-ROW(D$2)+1) &gt; 0))</f>
        <v>#N/A</v>
      </c>
      <c r="C3641" s="408"/>
      <c r="D3641" s="408"/>
      <c r="E3641" s="408"/>
      <c r="F3641" s="408"/>
      <c r="G3641" s="408"/>
      <c r="H3641" s="408"/>
      <c r="I3641" s="408"/>
      <c r="J3641" s="408"/>
      <c r="K3641" s="408"/>
      <c r="L3641" s="408"/>
      <c r="M3641" s="408"/>
      <c r="N3641" s="408" t="str">
        <f t="shared" si="483"/>
        <v/>
      </c>
      <c r="O3641" s="408"/>
      <c r="P3641" s="408"/>
      <c r="Q3641" s="408"/>
      <c r="R3641" s="408"/>
      <c r="S3641" s="408"/>
      <c r="T3641" s="408"/>
      <c r="U3641" s="408"/>
      <c r="V3641" s="421"/>
      <c r="W3641" s="421"/>
      <c r="X3641" s="421"/>
      <c r="Y3641" s="421"/>
      <c r="Z3641" s="421"/>
      <c r="AA3641" s="421"/>
      <c r="AB3641" s="421"/>
      <c r="AC3641" s="421"/>
      <c r="AD3641" s="421"/>
      <c r="AE3641" s="421"/>
      <c r="AF3641" s="421"/>
      <c r="AG3641" s="421"/>
      <c r="AH3641" s="421"/>
      <c r="AI3641" s="421"/>
      <c r="AJ3641" s="421"/>
      <c r="AK3641" s="421"/>
      <c r="AL3641" s="421"/>
    </row>
    <row r="3642" spans="1:38" hidden="1">
      <c r="A3642" s="408"/>
      <c r="B3642" s="83" t="e">
        <f t="array" ref="B3642">SUM(--(FREQUENCY(IF(C$2:C$3072=C3642, MATCH(D$2:D$3072, D$2:D$3072, 0)), ROW(D$2:D$3072)-ROW(D$2)+1) &gt; 0))</f>
        <v>#N/A</v>
      </c>
      <c r="C3642" s="408"/>
      <c r="D3642" s="408"/>
      <c r="E3642" s="408"/>
      <c r="F3642" s="408"/>
      <c r="G3642" s="408"/>
      <c r="H3642" s="408"/>
      <c r="I3642" s="408"/>
      <c r="J3642" s="408"/>
      <c r="K3642" s="408"/>
      <c r="L3642" s="408"/>
      <c r="M3642" s="408"/>
      <c r="N3642" s="408" t="str">
        <f t="shared" si="483"/>
        <v/>
      </c>
      <c r="O3642" s="408"/>
      <c r="P3642" s="408"/>
      <c r="Q3642" s="408"/>
      <c r="R3642" s="408"/>
      <c r="S3642" s="408"/>
      <c r="T3642" s="408"/>
      <c r="U3642" s="408"/>
      <c r="V3642" s="421"/>
      <c r="W3642" s="421"/>
      <c r="X3642" s="421"/>
      <c r="Y3642" s="421"/>
      <c r="Z3642" s="421"/>
      <c r="AA3642" s="421"/>
      <c r="AB3642" s="421"/>
      <c r="AC3642" s="421"/>
      <c r="AD3642" s="421"/>
      <c r="AE3642" s="421"/>
      <c r="AF3642" s="421"/>
      <c r="AG3642" s="421"/>
      <c r="AH3642" s="421"/>
      <c r="AI3642" s="421"/>
      <c r="AJ3642" s="421"/>
      <c r="AK3642" s="421"/>
      <c r="AL3642" s="421"/>
    </row>
    <row r="3643" spans="1:38" hidden="1">
      <c r="A3643" s="408"/>
      <c r="B3643" s="83" t="e">
        <f t="array" ref="B3643">SUM(--(FREQUENCY(IF(C$2:C$3072=C3643, MATCH(D$2:D$3072, D$2:D$3072, 0)), ROW(D$2:D$3072)-ROW(D$2)+1) &gt; 0))</f>
        <v>#N/A</v>
      </c>
      <c r="C3643" s="408"/>
      <c r="D3643" s="408"/>
      <c r="E3643" s="408"/>
      <c r="F3643" s="408"/>
      <c r="G3643" s="408"/>
      <c r="H3643" s="408"/>
      <c r="I3643" s="408"/>
      <c r="J3643" s="408"/>
      <c r="K3643" s="408"/>
      <c r="L3643" s="408"/>
      <c r="M3643" s="408"/>
      <c r="N3643" s="408" t="str">
        <f t="shared" si="483"/>
        <v/>
      </c>
      <c r="O3643" s="408"/>
      <c r="P3643" s="408"/>
      <c r="Q3643" s="408"/>
      <c r="R3643" s="408"/>
      <c r="S3643" s="408"/>
      <c r="T3643" s="408"/>
      <c r="U3643" s="408"/>
      <c r="V3643" s="421"/>
      <c r="W3643" s="421"/>
      <c r="X3643" s="421"/>
      <c r="Y3643" s="421"/>
      <c r="Z3643" s="421"/>
      <c r="AA3643" s="421"/>
      <c r="AB3643" s="421"/>
      <c r="AC3643" s="421"/>
      <c r="AD3643" s="421"/>
      <c r="AE3643" s="421"/>
      <c r="AF3643" s="421"/>
      <c r="AG3643" s="421"/>
      <c r="AH3643" s="421"/>
      <c r="AI3643" s="421"/>
      <c r="AJ3643" s="421"/>
      <c r="AK3643" s="421"/>
      <c r="AL3643" s="421"/>
    </row>
    <row r="3644" spans="1:38" hidden="1">
      <c r="A3644" s="408"/>
      <c r="B3644" s="83" t="e">
        <f t="array" ref="B3644">SUM(--(FREQUENCY(IF(C$2:C$3072=C3644, MATCH(D$2:D$3072, D$2:D$3072, 0)), ROW(D$2:D$3072)-ROW(D$2)+1) &gt; 0))</f>
        <v>#N/A</v>
      </c>
      <c r="C3644" s="408"/>
      <c r="D3644" s="408"/>
      <c r="E3644" s="408"/>
      <c r="F3644" s="408"/>
      <c r="G3644" s="408"/>
      <c r="H3644" s="408"/>
      <c r="I3644" s="408"/>
      <c r="J3644" s="408"/>
      <c r="K3644" s="408"/>
      <c r="L3644" s="408"/>
      <c r="M3644" s="408"/>
      <c r="N3644" s="408" t="str">
        <f t="shared" si="483"/>
        <v/>
      </c>
      <c r="O3644" s="408"/>
      <c r="P3644" s="408"/>
      <c r="Q3644" s="408"/>
      <c r="R3644" s="408"/>
      <c r="S3644" s="408"/>
      <c r="T3644" s="408"/>
      <c r="U3644" s="408"/>
      <c r="V3644" s="421"/>
      <c r="W3644" s="421"/>
      <c r="X3644" s="421"/>
      <c r="Y3644" s="421"/>
      <c r="Z3644" s="421"/>
      <c r="AA3644" s="421"/>
      <c r="AB3644" s="421"/>
      <c r="AC3644" s="421"/>
      <c r="AD3644" s="421"/>
      <c r="AE3644" s="421"/>
      <c r="AF3644" s="421"/>
      <c r="AG3644" s="421"/>
      <c r="AH3644" s="421"/>
      <c r="AI3644" s="421"/>
      <c r="AJ3644" s="421"/>
      <c r="AK3644" s="421"/>
      <c r="AL3644" s="421"/>
    </row>
    <row r="3645" spans="1:38" hidden="1">
      <c r="A3645" s="408"/>
      <c r="B3645" s="83" t="e">
        <f t="array" ref="B3645">SUM(--(FREQUENCY(IF(C$2:C$3072=C3645, MATCH(D$2:D$3072, D$2:D$3072, 0)), ROW(D$2:D$3072)-ROW(D$2)+1) &gt; 0))</f>
        <v>#N/A</v>
      </c>
      <c r="C3645" s="408"/>
      <c r="D3645" s="408"/>
      <c r="E3645" s="408"/>
      <c r="F3645" s="408"/>
      <c r="G3645" s="408"/>
      <c r="H3645" s="408"/>
      <c r="I3645" s="408"/>
      <c r="J3645" s="408"/>
      <c r="K3645" s="408"/>
      <c r="L3645" s="408"/>
      <c r="M3645" s="408"/>
      <c r="N3645" s="408" t="str">
        <f t="shared" si="483"/>
        <v/>
      </c>
      <c r="O3645" s="408"/>
      <c r="P3645" s="408"/>
      <c r="Q3645" s="408"/>
      <c r="R3645" s="408"/>
      <c r="S3645" s="408"/>
      <c r="T3645" s="408"/>
      <c r="U3645" s="408"/>
      <c r="V3645" s="421"/>
      <c r="W3645" s="421"/>
      <c r="X3645" s="421"/>
      <c r="Y3645" s="421"/>
      <c r="Z3645" s="421"/>
      <c r="AA3645" s="421"/>
      <c r="AB3645" s="421"/>
      <c r="AC3645" s="421"/>
      <c r="AD3645" s="421"/>
      <c r="AE3645" s="421"/>
      <c r="AF3645" s="421"/>
      <c r="AG3645" s="421"/>
      <c r="AH3645" s="421"/>
      <c r="AI3645" s="421"/>
      <c r="AJ3645" s="421"/>
      <c r="AK3645" s="421"/>
      <c r="AL3645" s="421"/>
    </row>
    <row r="3646" spans="1:38" hidden="1">
      <c r="A3646" s="408"/>
      <c r="B3646" s="83" t="e">
        <f t="array" ref="B3646">SUM(--(FREQUENCY(IF(C$2:C$3072=C3646, MATCH(D$2:D$3072, D$2:D$3072, 0)), ROW(D$2:D$3072)-ROW(D$2)+1) &gt; 0))</f>
        <v>#N/A</v>
      </c>
      <c r="C3646" s="408"/>
      <c r="D3646" s="408"/>
      <c r="E3646" s="408"/>
      <c r="F3646" s="408"/>
      <c r="G3646" s="408"/>
      <c r="H3646" s="408"/>
      <c r="I3646" s="408"/>
      <c r="J3646" s="408"/>
      <c r="K3646" s="408"/>
      <c r="L3646" s="408"/>
      <c r="M3646" s="408"/>
      <c r="N3646" s="408" t="str">
        <f t="shared" si="483"/>
        <v/>
      </c>
      <c r="O3646" s="408"/>
      <c r="P3646" s="408"/>
      <c r="Q3646" s="408"/>
      <c r="R3646" s="408"/>
      <c r="S3646" s="408"/>
      <c r="T3646" s="408"/>
      <c r="U3646" s="408"/>
      <c r="V3646" s="421"/>
      <c r="W3646" s="421"/>
      <c r="X3646" s="421"/>
      <c r="Y3646" s="421"/>
      <c r="Z3646" s="421"/>
      <c r="AA3646" s="421"/>
      <c r="AB3646" s="421"/>
      <c r="AC3646" s="421"/>
      <c r="AD3646" s="421"/>
      <c r="AE3646" s="421"/>
      <c r="AF3646" s="421"/>
      <c r="AG3646" s="421"/>
      <c r="AH3646" s="421"/>
      <c r="AI3646" s="421"/>
      <c r="AJ3646" s="421"/>
      <c r="AK3646" s="421"/>
      <c r="AL3646" s="421"/>
    </row>
    <row r="3647" spans="1:38" hidden="1">
      <c r="A3647" s="408"/>
      <c r="B3647" s="83" t="e">
        <f t="array" ref="B3647">SUM(--(FREQUENCY(IF(C$2:C$3072=C3647, MATCH(D$2:D$3072, D$2:D$3072, 0)), ROW(D$2:D$3072)-ROW(D$2)+1) &gt; 0))</f>
        <v>#N/A</v>
      </c>
      <c r="C3647" s="408"/>
      <c r="D3647" s="408"/>
      <c r="E3647" s="408"/>
      <c r="F3647" s="408"/>
      <c r="G3647" s="408"/>
      <c r="H3647" s="408"/>
      <c r="I3647" s="408"/>
      <c r="J3647" s="408"/>
      <c r="K3647" s="408"/>
      <c r="L3647" s="408"/>
      <c r="M3647" s="408"/>
      <c r="N3647" s="408" t="str">
        <f t="shared" si="483"/>
        <v/>
      </c>
      <c r="O3647" s="408"/>
      <c r="P3647" s="408"/>
      <c r="Q3647" s="408"/>
      <c r="R3647" s="408"/>
      <c r="S3647" s="408"/>
      <c r="T3647" s="408"/>
      <c r="U3647" s="408"/>
      <c r="V3647" s="421"/>
      <c r="W3647" s="421"/>
      <c r="X3647" s="421"/>
      <c r="Y3647" s="421"/>
      <c r="Z3647" s="421"/>
      <c r="AA3647" s="421"/>
      <c r="AB3647" s="421"/>
      <c r="AC3647" s="421"/>
      <c r="AD3647" s="421"/>
      <c r="AE3647" s="421"/>
      <c r="AF3647" s="421"/>
      <c r="AG3647" s="421"/>
      <c r="AH3647" s="421"/>
      <c r="AI3647" s="421"/>
      <c r="AJ3647" s="421"/>
      <c r="AK3647" s="421"/>
      <c r="AL3647" s="421"/>
    </row>
    <row r="3648" spans="1:38" hidden="1">
      <c r="A3648" s="408"/>
      <c r="B3648" s="83" t="e">
        <f t="array" ref="B3648">SUM(--(FREQUENCY(IF(C$2:C$3072=C3648, MATCH(D$2:D$3072, D$2:D$3072, 0)), ROW(D$2:D$3072)-ROW(D$2)+1) &gt; 0))</f>
        <v>#N/A</v>
      </c>
      <c r="C3648" s="408"/>
      <c r="D3648" s="408"/>
      <c r="E3648" s="408"/>
      <c r="F3648" s="408"/>
      <c r="G3648" s="408"/>
      <c r="H3648" s="408"/>
      <c r="I3648" s="408"/>
      <c r="J3648" s="408"/>
      <c r="K3648" s="408"/>
      <c r="L3648" s="408"/>
      <c r="M3648" s="408"/>
      <c r="N3648" s="408" t="str">
        <f t="shared" ref="N3648:N3711" si="484">IF(O3648&lt;&gt;"", "NG", "")</f>
        <v/>
      </c>
      <c r="O3648" s="408"/>
      <c r="P3648" s="408"/>
      <c r="Q3648" s="408"/>
      <c r="R3648" s="408"/>
      <c r="S3648" s="408"/>
      <c r="T3648" s="408"/>
      <c r="U3648" s="408"/>
      <c r="V3648" s="421"/>
      <c r="W3648" s="421"/>
      <c r="X3648" s="421"/>
      <c r="Y3648" s="421"/>
      <c r="Z3648" s="421"/>
      <c r="AA3648" s="421"/>
      <c r="AB3648" s="421"/>
      <c r="AC3648" s="421"/>
      <c r="AD3648" s="421"/>
      <c r="AE3648" s="421"/>
      <c r="AF3648" s="421"/>
      <c r="AG3648" s="421"/>
      <c r="AH3648" s="421"/>
      <c r="AI3648" s="421"/>
      <c r="AJ3648" s="421"/>
      <c r="AK3648" s="421"/>
      <c r="AL3648" s="421"/>
    </row>
    <row r="3649" spans="1:38" hidden="1">
      <c r="A3649" s="408"/>
      <c r="B3649" s="83" t="e">
        <f t="array" ref="B3649">SUM(--(FREQUENCY(IF(C$2:C$3072=C3649, MATCH(D$2:D$3072, D$2:D$3072, 0)), ROW(D$2:D$3072)-ROW(D$2)+1) &gt; 0))</f>
        <v>#N/A</v>
      </c>
      <c r="C3649" s="408"/>
      <c r="D3649" s="408"/>
      <c r="E3649" s="408"/>
      <c r="F3649" s="408"/>
      <c r="G3649" s="408"/>
      <c r="H3649" s="408"/>
      <c r="I3649" s="408"/>
      <c r="J3649" s="408"/>
      <c r="K3649" s="408"/>
      <c r="L3649" s="408"/>
      <c r="M3649" s="408"/>
      <c r="N3649" s="408" t="str">
        <f t="shared" si="484"/>
        <v/>
      </c>
      <c r="O3649" s="408"/>
      <c r="P3649" s="408"/>
      <c r="Q3649" s="408"/>
      <c r="R3649" s="408"/>
      <c r="S3649" s="408"/>
      <c r="T3649" s="408"/>
      <c r="U3649" s="408"/>
      <c r="V3649" s="421"/>
      <c r="W3649" s="421"/>
      <c r="X3649" s="421"/>
      <c r="Y3649" s="421"/>
      <c r="Z3649" s="421"/>
      <c r="AA3649" s="421"/>
      <c r="AB3649" s="421"/>
      <c r="AC3649" s="421"/>
      <c r="AD3649" s="421"/>
      <c r="AE3649" s="421"/>
      <c r="AF3649" s="421"/>
      <c r="AG3649" s="421"/>
      <c r="AH3649" s="421"/>
      <c r="AI3649" s="421"/>
      <c r="AJ3649" s="421"/>
      <c r="AK3649" s="421"/>
      <c r="AL3649" s="421"/>
    </row>
    <row r="3650" spans="1:38" hidden="1">
      <c r="A3650" s="408"/>
      <c r="B3650" s="83" t="e">
        <f t="array" ref="B3650">SUM(--(FREQUENCY(IF(C$2:C$3072=C3650, MATCH(D$2:D$3072, D$2:D$3072, 0)), ROW(D$2:D$3072)-ROW(D$2)+1) &gt; 0))</f>
        <v>#N/A</v>
      </c>
      <c r="C3650" s="408"/>
      <c r="D3650" s="408"/>
      <c r="E3650" s="408"/>
      <c r="F3650" s="408"/>
      <c r="G3650" s="408"/>
      <c r="H3650" s="408"/>
      <c r="I3650" s="408"/>
      <c r="J3650" s="408"/>
      <c r="K3650" s="408"/>
      <c r="L3650" s="408"/>
      <c r="M3650" s="408"/>
      <c r="N3650" s="408" t="str">
        <f t="shared" si="484"/>
        <v/>
      </c>
      <c r="O3650" s="408"/>
      <c r="P3650" s="408"/>
      <c r="Q3650" s="408"/>
      <c r="R3650" s="408"/>
      <c r="S3650" s="408"/>
      <c r="T3650" s="408"/>
      <c r="U3650" s="408"/>
      <c r="V3650" s="421"/>
      <c r="W3650" s="421"/>
      <c r="X3650" s="421"/>
      <c r="Y3650" s="421"/>
      <c r="Z3650" s="421"/>
      <c r="AA3650" s="421"/>
      <c r="AB3650" s="421"/>
      <c r="AC3650" s="421"/>
      <c r="AD3650" s="421"/>
      <c r="AE3650" s="421"/>
      <c r="AF3650" s="421"/>
      <c r="AG3650" s="421"/>
      <c r="AH3650" s="421"/>
      <c r="AI3650" s="421"/>
      <c r="AJ3650" s="421"/>
      <c r="AK3650" s="421"/>
      <c r="AL3650" s="421"/>
    </row>
    <row r="3651" spans="1:38" hidden="1">
      <c r="A3651" s="408"/>
      <c r="B3651" s="83" t="e">
        <f t="array" ref="B3651">SUM(--(FREQUENCY(IF(C$2:C$3072=C3651, MATCH(D$2:D$3072, D$2:D$3072, 0)), ROW(D$2:D$3072)-ROW(D$2)+1) &gt; 0))</f>
        <v>#N/A</v>
      </c>
      <c r="C3651" s="408"/>
      <c r="D3651" s="408"/>
      <c r="E3651" s="408"/>
      <c r="F3651" s="408"/>
      <c r="G3651" s="408"/>
      <c r="H3651" s="408"/>
      <c r="I3651" s="408"/>
      <c r="J3651" s="408"/>
      <c r="K3651" s="408"/>
      <c r="L3651" s="408"/>
      <c r="M3651" s="408"/>
      <c r="N3651" s="408" t="str">
        <f t="shared" si="484"/>
        <v/>
      </c>
      <c r="O3651" s="408"/>
      <c r="P3651" s="408"/>
      <c r="Q3651" s="408"/>
      <c r="R3651" s="408"/>
      <c r="S3651" s="408"/>
      <c r="T3651" s="408"/>
      <c r="U3651" s="408"/>
      <c r="V3651" s="421"/>
      <c r="W3651" s="421"/>
      <c r="X3651" s="421"/>
      <c r="Y3651" s="421"/>
      <c r="Z3651" s="421"/>
      <c r="AA3651" s="421"/>
      <c r="AB3651" s="421"/>
      <c r="AC3651" s="421"/>
      <c r="AD3651" s="421"/>
      <c r="AE3651" s="421"/>
      <c r="AF3651" s="421"/>
      <c r="AG3651" s="421"/>
      <c r="AH3651" s="421"/>
      <c r="AI3651" s="421"/>
      <c r="AJ3651" s="421"/>
      <c r="AK3651" s="421"/>
      <c r="AL3651" s="421"/>
    </row>
    <row r="3652" spans="1:38" hidden="1">
      <c r="A3652" s="408"/>
      <c r="B3652" s="83" t="e">
        <f t="array" ref="B3652">SUM(--(FREQUENCY(IF(C$2:C$3072=C3652, MATCH(D$2:D$3072, D$2:D$3072, 0)), ROW(D$2:D$3072)-ROW(D$2)+1) &gt; 0))</f>
        <v>#N/A</v>
      </c>
      <c r="C3652" s="408"/>
      <c r="D3652" s="408"/>
      <c r="E3652" s="408"/>
      <c r="F3652" s="408"/>
      <c r="G3652" s="408"/>
      <c r="H3652" s="408"/>
      <c r="I3652" s="408"/>
      <c r="J3652" s="408"/>
      <c r="K3652" s="408"/>
      <c r="L3652" s="408"/>
      <c r="M3652" s="408"/>
      <c r="N3652" s="408" t="str">
        <f t="shared" si="484"/>
        <v/>
      </c>
      <c r="O3652" s="408"/>
      <c r="P3652" s="408"/>
      <c r="Q3652" s="408"/>
      <c r="R3652" s="408"/>
      <c r="S3652" s="408"/>
      <c r="T3652" s="408"/>
      <c r="U3652" s="408"/>
      <c r="V3652" s="421"/>
      <c r="W3652" s="421"/>
      <c r="X3652" s="421"/>
      <c r="Y3652" s="421"/>
      <c r="Z3652" s="421"/>
      <c r="AA3652" s="421"/>
      <c r="AB3652" s="421"/>
      <c r="AC3652" s="421"/>
      <c r="AD3652" s="421"/>
      <c r="AE3652" s="421"/>
      <c r="AF3652" s="421"/>
      <c r="AG3652" s="421"/>
      <c r="AH3652" s="421"/>
      <c r="AI3652" s="421"/>
      <c r="AJ3652" s="421"/>
      <c r="AK3652" s="421"/>
      <c r="AL3652" s="421"/>
    </row>
    <row r="3653" spans="1:38" hidden="1">
      <c r="A3653" s="408"/>
      <c r="B3653" s="83" t="e">
        <f t="array" ref="B3653">SUM(--(FREQUENCY(IF(C$2:C$3072=C3653, MATCH(D$2:D$3072, D$2:D$3072, 0)), ROW(D$2:D$3072)-ROW(D$2)+1) &gt; 0))</f>
        <v>#N/A</v>
      </c>
      <c r="C3653" s="408"/>
      <c r="D3653" s="408"/>
      <c r="E3653" s="408"/>
      <c r="F3653" s="408"/>
      <c r="G3653" s="408"/>
      <c r="H3653" s="408"/>
      <c r="I3653" s="408"/>
      <c r="J3653" s="408"/>
      <c r="K3653" s="408"/>
      <c r="L3653" s="408"/>
      <c r="M3653" s="408"/>
      <c r="N3653" s="408" t="str">
        <f t="shared" si="484"/>
        <v/>
      </c>
      <c r="O3653" s="408"/>
      <c r="P3653" s="408"/>
      <c r="Q3653" s="408"/>
      <c r="R3653" s="408"/>
      <c r="S3653" s="408"/>
      <c r="T3653" s="408"/>
      <c r="U3653" s="408"/>
      <c r="V3653" s="421"/>
      <c r="W3653" s="421"/>
      <c r="X3653" s="421"/>
      <c r="Y3653" s="421"/>
      <c r="Z3653" s="421"/>
      <c r="AA3653" s="421"/>
      <c r="AB3653" s="421"/>
      <c r="AC3653" s="421"/>
      <c r="AD3653" s="421"/>
      <c r="AE3653" s="421"/>
      <c r="AF3653" s="421"/>
      <c r="AG3653" s="421"/>
      <c r="AH3653" s="421"/>
      <c r="AI3653" s="421"/>
      <c r="AJ3653" s="421"/>
      <c r="AK3653" s="421"/>
      <c r="AL3653" s="421"/>
    </row>
    <row r="3654" spans="1:38" hidden="1">
      <c r="A3654" s="408"/>
      <c r="B3654" s="83" t="e">
        <f t="array" ref="B3654">SUM(--(FREQUENCY(IF(C$2:C$3072=C3654, MATCH(D$2:D$3072, D$2:D$3072, 0)), ROW(D$2:D$3072)-ROW(D$2)+1) &gt; 0))</f>
        <v>#N/A</v>
      </c>
      <c r="C3654" s="408"/>
      <c r="D3654" s="408"/>
      <c r="E3654" s="408"/>
      <c r="F3654" s="408"/>
      <c r="G3654" s="408"/>
      <c r="H3654" s="408"/>
      <c r="I3654" s="408"/>
      <c r="J3654" s="408"/>
      <c r="K3654" s="408"/>
      <c r="L3654" s="408"/>
      <c r="M3654" s="408"/>
      <c r="N3654" s="408" t="str">
        <f t="shared" si="484"/>
        <v/>
      </c>
      <c r="O3654" s="408"/>
      <c r="P3654" s="408"/>
      <c r="Q3654" s="408"/>
      <c r="R3654" s="408"/>
      <c r="S3654" s="408"/>
      <c r="T3654" s="408"/>
      <c r="U3654" s="408"/>
      <c r="V3654" s="421"/>
      <c r="W3654" s="421"/>
      <c r="X3654" s="421"/>
      <c r="Y3654" s="421"/>
      <c r="Z3654" s="421"/>
      <c r="AA3654" s="421"/>
      <c r="AB3654" s="421"/>
      <c r="AC3654" s="421"/>
      <c r="AD3654" s="421"/>
      <c r="AE3654" s="421"/>
      <c r="AF3654" s="421"/>
      <c r="AG3654" s="421"/>
      <c r="AH3654" s="421"/>
      <c r="AI3654" s="421"/>
      <c r="AJ3654" s="421"/>
      <c r="AK3654" s="421"/>
      <c r="AL3654" s="421"/>
    </row>
    <row r="3655" spans="1:38" hidden="1">
      <c r="A3655" s="408"/>
      <c r="B3655" s="83" t="e">
        <f t="array" ref="B3655">SUM(--(FREQUENCY(IF(C$2:C$3072=C3655, MATCH(D$2:D$3072, D$2:D$3072, 0)), ROW(D$2:D$3072)-ROW(D$2)+1) &gt; 0))</f>
        <v>#N/A</v>
      </c>
      <c r="C3655" s="408"/>
      <c r="D3655" s="408"/>
      <c r="E3655" s="408"/>
      <c r="F3655" s="408"/>
      <c r="G3655" s="408"/>
      <c r="H3655" s="408"/>
      <c r="I3655" s="408"/>
      <c r="J3655" s="408"/>
      <c r="K3655" s="408"/>
      <c r="L3655" s="408"/>
      <c r="M3655" s="408"/>
      <c r="N3655" s="408" t="str">
        <f t="shared" si="484"/>
        <v/>
      </c>
      <c r="O3655" s="408"/>
      <c r="P3655" s="408"/>
      <c r="Q3655" s="408"/>
      <c r="R3655" s="408"/>
      <c r="S3655" s="408"/>
      <c r="T3655" s="408"/>
      <c r="U3655" s="408"/>
      <c r="V3655" s="421"/>
      <c r="W3655" s="421"/>
      <c r="X3655" s="421"/>
      <c r="Y3655" s="421"/>
      <c r="Z3655" s="421"/>
      <c r="AA3655" s="421"/>
      <c r="AB3655" s="421"/>
      <c r="AC3655" s="421"/>
      <c r="AD3655" s="421"/>
      <c r="AE3655" s="421"/>
      <c r="AF3655" s="421"/>
      <c r="AG3655" s="421"/>
      <c r="AH3655" s="421"/>
      <c r="AI3655" s="421"/>
      <c r="AJ3655" s="421"/>
      <c r="AK3655" s="421"/>
      <c r="AL3655" s="421"/>
    </row>
    <row r="3656" spans="1:38" hidden="1">
      <c r="A3656" s="408"/>
      <c r="B3656" s="83" t="e">
        <f t="array" ref="B3656">SUM(--(FREQUENCY(IF(C$2:C$3072=C3656, MATCH(D$2:D$3072, D$2:D$3072, 0)), ROW(D$2:D$3072)-ROW(D$2)+1) &gt; 0))</f>
        <v>#N/A</v>
      </c>
      <c r="C3656" s="408"/>
      <c r="D3656" s="408"/>
      <c r="E3656" s="408"/>
      <c r="F3656" s="408"/>
      <c r="G3656" s="408"/>
      <c r="H3656" s="408"/>
      <c r="I3656" s="408"/>
      <c r="J3656" s="408"/>
      <c r="K3656" s="408"/>
      <c r="L3656" s="408"/>
      <c r="M3656" s="408"/>
      <c r="N3656" s="408" t="str">
        <f t="shared" si="484"/>
        <v/>
      </c>
      <c r="O3656" s="408"/>
      <c r="P3656" s="408"/>
      <c r="Q3656" s="408"/>
      <c r="R3656" s="408"/>
      <c r="S3656" s="408"/>
      <c r="T3656" s="408"/>
      <c r="U3656" s="408"/>
      <c r="V3656" s="421"/>
      <c r="W3656" s="421"/>
      <c r="X3656" s="421"/>
      <c r="Y3656" s="421"/>
      <c r="Z3656" s="421"/>
      <c r="AA3656" s="421"/>
      <c r="AB3656" s="421"/>
      <c r="AC3656" s="421"/>
      <c r="AD3656" s="421"/>
      <c r="AE3656" s="421"/>
      <c r="AF3656" s="421"/>
      <c r="AG3656" s="421"/>
      <c r="AH3656" s="421"/>
      <c r="AI3656" s="421"/>
      <c r="AJ3656" s="421"/>
      <c r="AK3656" s="421"/>
      <c r="AL3656" s="421"/>
    </row>
    <row r="3657" spans="1:38" hidden="1">
      <c r="A3657" s="408"/>
      <c r="B3657" s="83" t="e">
        <f t="array" ref="B3657">SUM(--(FREQUENCY(IF(C$2:C$3072=C3657, MATCH(D$2:D$3072, D$2:D$3072, 0)), ROW(D$2:D$3072)-ROW(D$2)+1) &gt; 0))</f>
        <v>#N/A</v>
      </c>
      <c r="C3657" s="408"/>
      <c r="D3657" s="408"/>
      <c r="E3657" s="408"/>
      <c r="F3657" s="408"/>
      <c r="G3657" s="408"/>
      <c r="H3657" s="408"/>
      <c r="I3657" s="408"/>
      <c r="J3657" s="408"/>
      <c r="K3657" s="408"/>
      <c r="L3657" s="408"/>
      <c r="M3657" s="408"/>
      <c r="N3657" s="408" t="str">
        <f t="shared" si="484"/>
        <v/>
      </c>
      <c r="O3657" s="408"/>
      <c r="P3657" s="408"/>
      <c r="Q3657" s="408"/>
      <c r="R3657" s="408"/>
      <c r="S3657" s="408"/>
      <c r="T3657" s="408"/>
      <c r="U3657" s="408"/>
      <c r="V3657" s="421"/>
      <c r="W3657" s="421"/>
      <c r="X3657" s="421"/>
      <c r="Y3657" s="421"/>
      <c r="Z3657" s="421"/>
      <c r="AA3657" s="421"/>
      <c r="AB3657" s="421"/>
      <c r="AC3657" s="421"/>
      <c r="AD3657" s="421"/>
      <c r="AE3657" s="421"/>
      <c r="AF3657" s="421"/>
      <c r="AG3657" s="421"/>
      <c r="AH3657" s="421"/>
      <c r="AI3657" s="421"/>
      <c r="AJ3657" s="421"/>
      <c r="AK3657" s="421"/>
      <c r="AL3657" s="421"/>
    </row>
    <row r="3658" spans="1:38" hidden="1">
      <c r="A3658" s="408"/>
      <c r="B3658" s="83" t="e">
        <f t="array" ref="B3658">SUM(--(FREQUENCY(IF(C$2:C$3072=C3658, MATCH(D$2:D$3072, D$2:D$3072, 0)), ROW(D$2:D$3072)-ROW(D$2)+1) &gt; 0))</f>
        <v>#N/A</v>
      </c>
      <c r="C3658" s="408"/>
      <c r="D3658" s="408"/>
      <c r="E3658" s="408"/>
      <c r="F3658" s="408"/>
      <c r="G3658" s="408"/>
      <c r="H3658" s="408"/>
      <c r="I3658" s="408"/>
      <c r="J3658" s="408"/>
      <c r="K3658" s="408"/>
      <c r="L3658" s="408"/>
      <c r="M3658" s="408"/>
      <c r="N3658" s="408" t="str">
        <f t="shared" si="484"/>
        <v/>
      </c>
      <c r="O3658" s="408"/>
      <c r="P3658" s="408"/>
      <c r="Q3658" s="408"/>
      <c r="R3658" s="408"/>
      <c r="S3658" s="408"/>
      <c r="T3658" s="408"/>
      <c r="U3658" s="408"/>
      <c r="V3658" s="421"/>
      <c r="W3658" s="421"/>
      <c r="X3658" s="421"/>
      <c r="Y3658" s="421"/>
      <c r="Z3658" s="421"/>
      <c r="AA3658" s="421"/>
      <c r="AB3658" s="421"/>
      <c r="AC3658" s="421"/>
      <c r="AD3658" s="421"/>
      <c r="AE3658" s="421"/>
      <c r="AF3658" s="421"/>
      <c r="AG3658" s="421"/>
      <c r="AH3658" s="421"/>
      <c r="AI3658" s="421"/>
      <c r="AJ3658" s="421"/>
      <c r="AK3658" s="421"/>
      <c r="AL3658" s="421"/>
    </row>
    <row r="3659" spans="1:38" hidden="1">
      <c r="A3659" s="408"/>
      <c r="B3659" s="83" t="e">
        <f t="array" ref="B3659">SUM(--(FREQUENCY(IF(C$2:C$3072=C3659, MATCH(D$2:D$3072, D$2:D$3072, 0)), ROW(D$2:D$3072)-ROW(D$2)+1) &gt; 0))</f>
        <v>#N/A</v>
      </c>
      <c r="C3659" s="408"/>
      <c r="D3659" s="408"/>
      <c r="E3659" s="408"/>
      <c r="F3659" s="408"/>
      <c r="G3659" s="408"/>
      <c r="H3659" s="408"/>
      <c r="I3659" s="408"/>
      <c r="J3659" s="408"/>
      <c r="K3659" s="408"/>
      <c r="L3659" s="408"/>
      <c r="M3659" s="408"/>
      <c r="N3659" s="408" t="str">
        <f t="shared" si="484"/>
        <v/>
      </c>
      <c r="O3659" s="408"/>
      <c r="P3659" s="408"/>
      <c r="Q3659" s="408"/>
      <c r="R3659" s="408"/>
      <c r="S3659" s="408"/>
      <c r="T3659" s="408"/>
      <c r="U3659" s="408"/>
      <c r="V3659" s="421"/>
      <c r="W3659" s="421"/>
      <c r="X3659" s="421"/>
      <c r="Y3659" s="421"/>
      <c r="Z3659" s="421"/>
      <c r="AA3659" s="421"/>
      <c r="AB3659" s="421"/>
      <c r="AC3659" s="421"/>
      <c r="AD3659" s="421"/>
      <c r="AE3659" s="421"/>
      <c r="AF3659" s="421"/>
      <c r="AG3659" s="421"/>
      <c r="AH3659" s="421"/>
      <c r="AI3659" s="421"/>
      <c r="AJ3659" s="421"/>
      <c r="AK3659" s="421"/>
      <c r="AL3659" s="421"/>
    </row>
    <row r="3660" spans="1:38" hidden="1">
      <c r="A3660" s="408"/>
      <c r="B3660" s="83" t="e">
        <f t="array" ref="B3660">SUM(--(FREQUENCY(IF(C$2:C$3072=C3660, MATCH(D$2:D$3072, D$2:D$3072, 0)), ROW(D$2:D$3072)-ROW(D$2)+1) &gt; 0))</f>
        <v>#N/A</v>
      </c>
      <c r="C3660" s="408"/>
      <c r="D3660" s="408"/>
      <c r="E3660" s="408"/>
      <c r="F3660" s="408"/>
      <c r="G3660" s="408"/>
      <c r="H3660" s="408"/>
      <c r="I3660" s="408"/>
      <c r="J3660" s="408"/>
      <c r="K3660" s="408"/>
      <c r="L3660" s="408"/>
      <c r="M3660" s="408"/>
      <c r="N3660" s="408" t="str">
        <f t="shared" si="484"/>
        <v/>
      </c>
      <c r="O3660" s="408"/>
      <c r="P3660" s="408"/>
      <c r="Q3660" s="408"/>
      <c r="R3660" s="408"/>
      <c r="S3660" s="408"/>
      <c r="T3660" s="408"/>
      <c r="U3660" s="408"/>
      <c r="V3660" s="421"/>
      <c r="W3660" s="421"/>
      <c r="X3660" s="421"/>
      <c r="Y3660" s="421"/>
      <c r="Z3660" s="421"/>
      <c r="AA3660" s="421"/>
      <c r="AB3660" s="421"/>
      <c r="AC3660" s="421"/>
      <c r="AD3660" s="421"/>
      <c r="AE3660" s="421"/>
      <c r="AF3660" s="421"/>
      <c r="AG3660" s="421"/>
      <c r="AH3660" s="421"/>
      <c r="AI3660" s="421"/>
      <c r="AJ3660" s="421"/>
      <c r="AK3660" s="421"/>
      <c r="AL3660" s="421"/>
    </row>
    <row r="3661" spans="1:38" hidden="1">
      <c r="A3661" s="408"/>
      <c r="B3661" s="83" t="e">
        <f t="array" ref="B3661">SUM(--(FREQUENCY(IF(C$2:C$3072=C3661, MATCH(D$2:D$3072, D$2:D$3072, 0)), ROW(D$2:D$3072)-ROW(D$2)+1) &gt; 0))</f>
        <v>#N/A</v>
      </c>
      <c r="C3661" s="408"/>
      <c r="D3661" s="408"/>
      <c r="E3661" s="408"/>
      <c r="F3661" s="408"/>
      <c r="G3661" s="408"/>
      <c r="H3661" s="408"/>
      <c r="I3661" s="408"/>
      <c r="J3661" s="408"/>
      <c r="K3661" s="408"/>
      <c r="L3661" s="408"/>
      <c r="M3661" s="408"/>
      <c r="N3661" s="408" t="str">
        <f t="shared" si="484"/>
        <v/>
      </c>
      <c r="O3661" s="408"/>
      <c r="P3661" s="408"/>
      <c r="Q3661" s="408"/>
      <c r="R3661" s="408"/>
      <c r="S3661" s="408"/>
      <c r="T3661" s="408"/>
      <c r="U3661" s="408"/>
      <c r="V3661" s="421"/>
      <c r="W3661" s="421"/>
      <c r="X3661" s="421"/>
      <c r="Y3661" s="421"/>
      <c r="Z3661" s="421"/>
      <c r="AA3661" s="421"/>
      <c r="AB3661" s="421"/>
      <c r="AC3661" s="421"/>
      <c r="AD3661" s="421"/>
      <c r="AE3661" s="421"/>
      <c r="AF3661" s="421"/>
      <c r="AG3661" s="421"/>
      <c r="AH3661" s="421"/>
      <c r="AI3661" s="421"/>
      <c r="AJ3661" s="421"/>
      <c r="AK3661" s="421"/>
      <c r="AL3661" s="421"/>
    </row>
    <row r="3662" spans="1:38" hidden="1">
      <c r="A3662" s="408"/>
      <c r="B3662" s="83" t="e">
        <f t="array" ref="B3662">SUM(--(FREQUENCY(IF(C$2:C$3072=C3662, MATCH(D$2:D$3072, D$2:D$3072, 0)), ROW(D$2:D$3072)-ROW(D$2)+1) &gt; 0))</f>
        <v>#N/A</v>
      </c>
      <c r="C3662" s="408"/>
      <c r="D3662" s="408"/>
      <c r="E3662" s="408"/>
      <c r="F3662" s="408"/>
      <c r="G3662" s="408"/>
      <c r="H3662" s="408"/>
      <c r="I3662" s="408"/>
      <c r="J3662" s="408"/>
      <c r="K3662" s="408"/>
      <c r="L3662" s="408"/>
      <c r="M3662" s="408"/>
      <c r="N3662" s="408" t="str">
        <f t="shared" si="484"/>
        <v/>
      </c>
      <c r="O3662" s="408"/>
      <c r="P3662" s="408"/>
      <c r="Q3662" s="408"/>
      <c r="R3662" s="408"/>
      <c r="S3662" s="408"/>
      <c r="T3662" s="408"/>
      <c r="U3662" s="408"/>
      <c r="V3662" s="421"/>
      <c r="W3662" s="421"/>
      <c r="X3662" s="421"/>
      <c r="Y3662" s="421"/>
      <c r="Z3662" s="421"/>
      <c r="AA3662" s="421"/>
      <c r="AB3662" s="421"/>
      <c r="AC3662" s="421"/>
      <c r="AD3662" s="421"/>
      <c r="AE3662" s="421"/>
      <c r="AF3662" s="421"/>
      <c r="AG3662" s="421"/>
      <c r="AH3662" s="421"/>
      <c r="AI3662" s="421"/>
      <c r="AJ3662" s="421"/>
      <c r="AK3662" s="421"/>
      <c r="AL3662" s="421"/>
    </row>
    <row r="3663" spans="1:38" hidden="1">
      <c r="A3663" s="408"/>
      <c r="B3663" s="83" t="e">
        <f t="array" ref="B3663">SUM(--(FREQUENCY(IF(C$2:C$3072=C3663, MATCH(D$2:D$3072, D$2:D$3072, 0)), ROW(D$2:D$3072)-ROW(D$2)+1) &gt; 0))</f>
        <v>#N/A</v>
      </c>
      <c r="C3663" s="408"/>
      <c r="D3663" s="408"/>
      <c r="E3663" s="408"/>
      <c r="F3663" s="408"/>
      <c r="G3663" s="408"/>
      <c r="H3663" s="408"/>
      <c r="I3663" s="408"/>
      <c r="J3663" s="408"/>
      <c r="K3663" s="408"/>
      <c r="L3663" s="408"/>
      <c r="M3663" s="408"/>
      <c r="N3663" s="408" t="str">
        <f t="shared" si="484"/>
        <v/>
      </c>
      <c r="O3663" s="408"/>
      <c r="P3663" s="408"/>
      <c r="Q3663" s="408"/>
      <c r="R3663" s="408"/>
      <c r="S3663" s="408"/>
      <c r="T3663" s="408"/>
      <c r="U3663" s="408"/>
      <c r="V3663" s="421"/>
      <c r="W3663" s="421"/>
      <c r="X3663" s="421"/>
      <c r="Y3663" s="421"/>
      <c r="Z3663" s="421"/>
      <c r="AA3663" s="421"/>
      <c r="AB3663" s="421"/>
      <c r="AC3663" s="421"/>
      <c r="AD3663" s="421"/>
      <c r="AE3663" s="421"/>
      <c r="AF3663" s="421"/>
      <c r="AG3663" s="421"/>
      <c r="AH3663" s="421"/>
      <c r="AI3663" s="421"/>
      <c r="AJ3663" s="421"/>
      <c r="AK3663" s="421"/>
      <c r="AL3663" s="421"/>
    </row>
    <row r="3664" spans="1:38" hidden="1">
      <c r="A3664" s="408"/>
      <c r="B3664" s="83" t="e">
        <f t="array" ref="B3664">SUM(--(FREQUENCY(IF(C$2:C$3072=C3664, MATCH(D$2:D$3072, D$2:D$3072, 0)), ROW(D$2:D$3072)-ROW(D$2)+1) &gt; 0))</f>
        <v>#N/A</v>
      </c>
      <c r="C3664" s="408"/>
      <c r="D3664" s="408"/>
      <c r="E3664" s="408"/>
      <c r="F3664" s="408"/>
      <c r="G3664" s="408"/>
      <c r="H3664" s="408"/>
      <c r="I3664" s="408"/>
      <c r="J3664" s="408"/>
      <c r="K3664" s="408"/>
      <c r="L3664" s="408"/>
      <c r="M3664" s="408"/>
      <c r="N3664" s="408" t="str">
        <f t="shared" si="484"/>
        <v/>
      </c>
      <c r="O3664" s="408"/>
      <c r="P3664" s="408"/>
      <c r="Q3664" s="408"/>
      <c r="R3664" s="408"/>
      <c r="S3664" s="408"/>
      <c r="T3664" s="408"/>
      <c r="U3664" s="408"/>
      <c r="V3664" s="421"/>
      <c r="W3664" s="421"/>
      <c r="X3664" s="421"/>
      <c r="Y3664" s="421"/>
      <c r="Z3664" s="421"/>
      <c r="AA3664" s="421"/>
      <c r="AB3664" s="421"/>
      <c r="AC3664" s="421"/>
      <c r="AD3664" s="421"/>
      <c r="AE3664" s="421"/>
      <c r="AF3664" s="421"/>
      <c r="AG3664" s="421"/>
      <c r="AH3664" s="421"/>
      <c r="AI3664" s="421"/>
      <c r="AJ3664" s="421"/>
      <c r="AK3664" s="421"/>
      <c r="AL3664" s="421"/>
    </row>
    <row r="3665" spans="1:38" hidden="1">
      <c r="A3665" s="408"/>
      <c r="B3665" s="83" t="e">
        <f t="array" ref="B3665">SUM(--(FREQUENCY(IF(C$2:C$3072=C3665, MATCH(D$2:D$3072, D$2:D$3072, 0)), ROW(D$2:D$3072)-ROW(D$2)+1) &gt; 0))</f>
        <v>#N/A</v>
      </c>
      <c r="C3665" s="408"/>
      <c r="D3665" s="408"/>
      <c r="E3665" s="408"/>
      <c r="F3665" s="408"/>
      <c r="G3665" s="408"/>
      <c r="H3665" s="408"/>
      <c r="I3665" s="408"/>
      <c r="J3665" s="408"/>
      <c r="K3665" s="408"/>
      <c r="L3665" s="408"/>
      <c r="M3665" s="408"/>
      <c r="N3665" s="408" t="str">
        <f t="shared" si="484"/>
        <v/>
      </c>
      <c r="O3665" s="408"/>
      <c r="P3665" s="408"/>
      <c r="Q3665" s="408"/>
      <c r="R3665" s="408"/>
      <c r="S3665" s="408"/>
      <c r="T3665" s="408"/>
      <c r="U3665" s="408"/>
      <c r="V3665" s="421"/>
      <c r="W3665" s="421"/>
      <c r="X3665" s="421"/>
      <c r="Y3665" s="421"/>
      <c r="Z3665" s="421"/>
      <c r="AA3665" s="421"/>
      <c r="AB3665" s="421"/>
      <c r="AC3665" s="421"/>
      <c r="AD3665" s="421"/>
      <c r="AE3665" s="421"/>
      <c r="AF3665" s="421"/>
      <c r="AG3665" s="421"/>
      <c r="AH3665" s="421"/>
      <c r="AI3665" s="421"/>
      <c r="AJ3665" s="421"/>
      <c r="AK3665" s="421"/>
      <c r="AL3665" s="421"/>
    </row>
    <row r="3666" spans="1:38" hidden="1">
      <c r="A3666" s="408"/>
      <c r="B3666" s="83" t="e">
        <f t="array" ref="B3666">SUM(--(FREQUENCY(IF(C$2:C$3072=C3666, MATCH(D$2:D$3072, D$2:D$3072, 0)), ROW(D$2:D$3072)-ROW(D$2)+1) &gt; 0))</f>
        <v>#N/A</v>
      </c>
      <c r="C3666" s="408"/>
      <c r="D3666" s="408"/>
      <c r="E3666" s="408"/>
      <c r="F3666" s="408"/>
      <c r="G3666" s="408"/>
      <c r="H3666" s="408"/>
      <c r="I3666" s="408"/>
      <c r="J3666" s="408"/>
      <c r="K3666" s="408"/>
      <c r="L3666" s="408"/>
      <c r="M3666" s="408"/>
      <c r="N3666" s="408" t="str">
        <f t="shared" si="484"/>
        <v/>
      </c>
      <c r="O3666" s="408"/>
      <c r="P3666" s="408"/>
      <c r="Q3666" s="408"/>
      <c r="R3666" s="408"/>
      <c r="S3666" s="408"/>
      <c r="T3666" s="408"/>
      <c r="U3666" s="408"/>
      <c r="V3666" s="421"/>
      <c r="W3666" s="421"/>
      <c r="X3666" s="421"/>
      <c r="Y3666" s="421"/>
      <c r="Z3666" s="421"/>
      <c r="AA3666" s="421"/>
      <c r="AB3666" s="421"/>
      <c r="AC3666" s="421"/>
      <c r="AD3666" s="421"/>
      <c r="AE3666" s="421"/>
      <c r="AF3666" s="421"/>
      <c r="AG3666" s="421"/>
      <c r="AH3666" s="421"/>
      <c r="AI3666" s="421"/>
      <c r="AJ3666" s="421"/>
      <c r="AK3666" s="421"/>
      <c r="AL3666" s="421"/>
    </row>
    <row r="3667" spans="1:38" hidden="1">
      <c r="A3667" s="408"/>
      <c r="B3667" s="83" t="e">
        <f t="array" ref="B3667">SUM(--(FREQUENCY(IF(C$2:C$3072=C3667, MATCH(D$2:D$3072, D$2:D$3072, 0)), ROW(D$2:D$3072)-ROW(D$2)+1) &gt; 0))</f>
        <v>#N/A</v>
      </c>
      <c r="C3667" s="408"/>
      <c r="D3667" s="408"/>
      <c r="E3667" s="408"/>
      <c r="F3667" s="408"/>
      <c r="G3667" s="408"/>
      <c r="H3667" s="408"/>
      <c r="I3667" s="408"/>
      <c r="J3667" s="408"/>
      <c r="K3667" s="408"/>
      <c r="L3667" s="408"/>
      <c r="M3667" s="408"/>
      <c r="N3667" s="408" t="str">
        <f t="shared" si="484"/>
        <v/>
      </c>
      <c r="O3667" s="408"/>
      <c r="P3667" s="408"/>
      <c r="Q3667" s="408"/>
      <c r="R3667" s="408"/>
      <c r="S3667" s="408"/>
      <c r="T3667" s="408"/>
      <c r="U3667" s="408"/>
      <c r="V3667" s="421"/>
      <c r="W3667" s="421"/>
      <c r="X3667" s="421"/>
      <c r="Y3667" s="421"/>
      <c r="Z3667" s="421"/>
      <c r="AA3667" s="421"/>
      <c r="AB3667" s="421"/>
      <c r="AC3667" s="421"/>
      <c r="AD3667" s="421"/>
      <c r="AE3667" s="421"/>
      <c r="AF3667" s="421"/>
      <c r="AG3667" s="421"/>
      <c r="AH3667" s="421"/>
      <c r="AI3667" s="421"/>
      <c r="AJ3667" s="421"/>
      <c r="AK3667" s="421"/>
      <c r="AL3667" s="421"/>
    </row>
    <row r="3668" spans="1:38" hidden="1">
      <c r="A3668" s="408"/>
      <c r="B3668" s="83" t="e">
        <f t="array" ref="B3668">SUM(--(FREQUENCY(IF(C$2:C$3072=C3668, MATCH(D$2:D$3072, D$2:D$3072, 0)), ROW(D$2:D$3072)-ROW(D$2)+1) &gt; 0))</f>
        <v>#N/A</v>
      </c>
      <c r="C3668" s="408"/>
      <c r="D3668" s="408"/>
      <c r="E3668" s="408"/>
      <c r="F3668" s="408"/>
      <c r="G3668" s="408"/>
      <c r="H3668" s="408"/>
      <c r="I3668" s="408"/>
      <c r="J3668" s="408"/>
      <c r="K3668" s="408"/>
      <c r="L3668" s="408"/>
      <c r="M3668" s="408"/>
      <c r="N3668" s="408" t="str">
        <f t="shared" si="484"/>
        <v/>
      </c>
      <c r="O3668" s="408"/>
      <c r="P3668" s="408"/>
      <c r="Q3668" s="408"/>
      <c r="R3668" s="408"/>
      <c r="S3668" s="408"/>
      <c r="T3668" s="408"/>
      <c r="U3668" s="408"/>
      <c r="V3668" s="421"/>
      <c r="W3668" s="421"/>
      <c r="X3668" s="421"/>
      <c r="Y3668" s="421"/>
      <c r="Z3668" s="421"/>
      <c r="AA3668" s="421"/>
      <c r="AB3668" s="421"/>
      <c r="AC3668" s="421"/>
      <c r="AD3668" s="421"/>
      <c r="AE3668" s="421"/>
      <c r="AF3668" s="421"/>
      <c r="AG3668" s="421"/>
      <c r="AH3668" s="421"/>
      <c r="AI3668" s="421"/>
      <c r="AJ3668" s="421"/>
      <c r="AK3668" s="421"/>
      <c r="AL3668" s="421"/>
    </row>
    <row r="3669" spans="1:38" hidden="1">
      <c r="A3669" s="408"/>
      <c r="B3669" s="83" t="e">
        <f t="array" ref="B3669">SUM(--(FREQUENCY(IF(C$2:C$3072=C3669, MATCH(D$2:D$3072, D$2:D$3072, 0)), ROW(D$2:D$3072)-ROW(D$2)+1) &gt; 0))</f>
        <v>#N/A</v>
      </c>
      <c r="C3669" s="408"/>
      <c r="D3669" s="408"/>
      <c r="E3669" s="408"/>
      <c r="F3669" s="408"/>
      <c r="G3669" s="408"/>
      <c r="H3669" s="408"/>
      <c r="I3669" s="408"/>
      <c r="J3669" s="408"/>
      <c r="K3669" s="408"/>
      <c r="L3669" s="408"/>
      <c r="M3669" s="408"/>
      <c r="N3669" s="408" t="str">
        <f t="shared" si="484"/>
        <v/>
      </c>
      <c r="O3669" s="408"/>
      <c r="P3669" s="408"/>
      <c r="Q3669" s="408"/>
      <c r="R3669" s="408"/>
      <c r="S3669" s="408"/>
      <c r="T3669" s="408"/>
      <c r="U3669" s="408"/>
      <c r="V3669" s="421"/>
      <c r="W3669" s="421"/>
      <c r="X3669" s="421"/>
      <c r="Y3669" s="421"/>
      <c r="Z3669" s="421"/>
      <c r="AA3669" s="421"/>
      <c r="AB3669" s="421"/>
      <c r="AC3669" s="421"/>
      <c r="AD3669" s="421"/>
      <c r="AE3669" s="421"/>
      <c r="AF3669" s="421"/>
      <c r="AG3669" s="421"/>
      <c r="AH3669" s="421"/>
      <c r="AI3669" s="421"/>
      <c r="AJ3669" s="421"/>
      <c r="AK3669" s="421"/>
      <c r="AL3669" s="421"/>
    </row>
    <row r="3670" spans="1:38" hidden="1">
      <c r="A3670" s="408"/>
      <c r="B3670" s="83" t="e">
        <f t="array" ref="B3670">SUM(--(FREQUENCY(IF(C$2:C$3072=C3670, MATCH(D$2:D$3072, D$2:D$3072, 0)), ROW(D$2:D$3072)-ROW(D$2)+1) &gt; 0))</f>
        <v>#N/A</v>
      </c>
      <c r="C3670" s="408"/>
      <c r="D3670" s="408"/>
      <c r="E3670" s="408"/>
      <c r="F3670" s="408"/>
      <c r="G3670" s="408"/>
      <c r="H3670" s="408"/>
      <c r="I3670" s="408"/>
      <c r="J3670" s="408"/>
      <c r="K3670" s="408"/>
      <c r="L3670" s="408"/>
      <c r="M3670" s="408"/>
      <c r="N3670" s="408" t="str">
        <f t="shared" si="484"/>
        <v/>
      </c>
      <c r="O3670" s="408"/>
      <c r="P3670" s="408"/>
      <c r="Q3670" s="408"/>
      <c r="R3670" s="408"/>
      <c r="S3670" s="408"/>
      <c r="T3670" s="408"/>
      <c r="U3670" s="408"/>
      <c r="V3670" s="421"/>
      <c r="W3670" s="421"/>
      <c r="X3670" s="421"/>
      <c r="Y3670" s="421"/>
      <c r="Z3670" s="421"/>
      <c r="AA3670" s="421"/>
      <c r="AB3670" s="421"/>
      <c r="AC3670" s="421"/>
      <c r="AD3670" s="421"/>
      <c r="AE3670" s="421"/>
      <c r="AF3670" s="421"/>
      <c r="AG3670" s="421"/>
      <c r="AH3670" s="421"/>
      <c r="AI3670" s="421"/>
      <c r="AJ3670" s="421"/>
      <c r="AK3670" s="421"/>
      <c r="AL3670" s="421"/>
    </row>
    <row r="3671" spans="1:38" hidden="1">
      <c r="A3671" s="408"/>
      <c r="B3671" s="83" t="e">
        <f t="array" ref="B3671">SUM(--(FREQUENCY(IF(C$2:C$3072=C3671, MATCH(D$2:D$3072, D$2:D$3072, 0)), ROW(D$2:D$3072)-ROW(D$2)+1) &gt; 0))</f>
        <v>#N/A</v>
      </c>
      <c r="C3671" s="408"/>
      <c r="D3671" s="408"/>
      <c r="E3671" s="408"/>
      <c r="F3671" s="408"/>
      <c r="G3671" s="408"/>
      <c r="H3671" s="408"/>
      <c r="I3671" s="408"/>
      <c r="J3671" s="408"/>
      <c r="K3671" s="408"/>
      <c r="L3671" s="408"/>
      <c r="M3671" s="408"/>
      <c r="N3671" s="408" t="str">
        <f t="shared" si="484"/>
        <v/>
      </c>
      <c r="O3671" s="408"/>
      <c r="P3671" s="408"/>
      <c r="Q3671" s="408"/>
      <c r="R3671" s="408"/>
      <c r="S3671" s="408"/>
      <c r="T3671" s="408"/>
      <c r="U3671" s="408"/>
      <c r="V3671" s="421"/>
      <c r="W3671" s="421"/>
      <c r="X3671" s="421"/>
      <c r="Y3671" s="421"/>
      <c r="Z3671" s="421"/>
      <c r="AA3671" s="421"/>
      <c r="AB3671" s="421"/>
      <c r="AC3671" s="421"/>
      <c r="AD3671" s="421"/>
      <c r="AE3671" s="421"/>
      <c r="AF3671" s="421"/>
      <c r="AG3671" s="421"/>
      <c r="AH3671" s="421"/>
      <c r="AI3671" s="421"/>
      <c r="AJ3671" s="421"/>
      <c r="AK3671" s="421"/>
      <c r="AL3671" s="421"/>
    </row>
    <row r="3672" spans="1:38" hidden="1">
      <c r="A3672" s="408"/>
      <c r="B3672" s="83" t="e">
        <f t="array" ref="B3672">SUM(--(FREQUENCY(IF(C$2:C$3072=C3672, MATCH(D$2:D$3072, D$2:D$3072, 0)), ROW(D$2:D$3072)-ROW(D$2)+1) &gt; 0))</f>
        <v>#N/A</v>
      </c>
      <c r="C3672" s="408"/>
      <c r="D3672" s="408"/>
      <c r="E3672" s="408"/>
      <c r="F3672" s="408"/>
      <c r="G3672" s="408"/>
      <c r="H3672" s="408"/>
      <c r="I3672" s="408"/>
      <c r="J3672" s="408"/>
      <c r="K3672" s="408"/>
      <c r="L3672" s="408"/>
      <c r="M3672" s="408"/>
      <c r="N3672" s="408" t="str">
        <f t="shared" si="484"/>
        <v/>
      </c>
      <c r="O3672" s="408"/>
      <c r="P3672" s="408"/>
      <c r="Q3672" s="408"/>
      <c r="R3672" s="408"/>
      <c r="S3672" s="408"/>
      <c r="T3672" s="408"/>
      <c r="U3672" s="408"/>
      <c r="V3672" s="421"/>
      <c r="W3672" s="421"/>
      <c r="X3672" s="421"/>
      <c r="Y3672" s="421"/>
      <c r="Z3672" s="421"/>
      <c r="AA3672" s="421"/>
      <c r="AB3672" s="421"/>
      <c r="AC3672" s="421"/>
      <c r="AD3672" s="421"/>
      <c r="AE3672" s="421"/>
      <c r="AF3672" s="421"/>
      <c r="AG3672" s="421"/>
      <c r="AH3672" s="421"/>
      <c r="AI3672" s="421"/>
      <c r="AJ3672" s="421"/>
      <c r="AK3672" s="421"/>
      <c r="AL3672" s="421"/>
    </row>
    <row r="3673" spans="1:38" hidden="1">
      <c r="A3673" s="408"/>
      <c r="B3673" s="83" t="e">
        <f t="array" ref="B3673">SUM(--(FREQUENCY(IF(C$2:C$3072=C3673, MATCH(D$2:D$3072, D$2:D$3072, 0)), ROW(D$2:D$3072)-ROW(D$2)+1) &gt; 0))</f>
        <v>#N/A</v>
      </c>
      <c r="C3673" s="408"/>
      <c r="D3673" s="408"/>
      <c r="E3673" s="408"/>
      <c r="F3673" s="408"/>
      <c r="G3673" s="408"/>
      <c r="H3673" s="408"/>
      <c r="I3673" s="408"/>
      <c r="J3673" s="408"/>
      <c r="K3673" s="408"/>
      <c r="L3673" s="408"/>
      <c r="M3673" s="408"/>
      <c r="N3673" s="408" t="str">
        <f t="shared" si="484"/>
        <v/>
      </c>
      <c r="O3673" s="408"/>
      <c r="P3673" s="408"/>
      <c r="Q3673" s="408"/>
      <c r="R3673" s="408"/>
      <c r="S3673" s="408"/>
      <c r="T3673" s="408"/>
      <c r="U3673" s="408"/>
      <c r="V3673" s="421"/>
      <c r="W3673" s="421"/>
      <c r="X3673" s="421"/>
      <c r="Y3673" s="421"/>
      <c r="Z3673" s="421"/>
      <c r="AA3673" s="421"/>
      <c r="AB3673" s="421"/>
      <c r="AC3673" s="421"/>
      <c r="AD3673" s="421"/>
      <c r="AE3673" s="421"/>
      <c r="AF3673" s="421"/>
      <c r="AG3673" s="421"/>
      <c r="AH3673" s="421"/>
      <c r="AI3673" s="421"/>
      <c r="AJ3673" s="421"/>
      <c r="AK3673" s="421"/>
      <c r="AL3673" s="421"/>
    </row>
    <row r="3674" spans="1:38" hidden="1">
      <c r="A3674" s="408"/>
      <c r="B3674" s="83" t="e">
        <f t="array" ref="B3674">SUM(--(FREQUENCY(IF(C$2:C$3072=C3674, MATCH(D$2:D$3072, D$2:D$3072, 0)), ROW(D$2:D$3072)-ROW(D$2)+1) &gt; 0))</f>
        <v>#N/A</v>
      </c>
      <c r="C3674" s="408"/>
      <c r="D3674" s="408"/>
      <c r="E3674" s="408"/>
      <c r="F3674" s="408"/>
      <c r="G3674" s="408"/>
      <c r="H3674" s="408"/>
      <c r="I3674" s="408"/>
      <c r="J3674" s="408"/>
      <c r="K3674" s="408"/>
      <c r="L3674" s="408"/>
      <c r="M3674" s="408"/>
      <c r="N3674" s="408" t="str">
        <f t="shared" si="484"/>
        <v/>
      </c>
      <c r="O3674" s="408"/>
      <c r="P3674" s="408"/>
      <c r="Q3674" s="408"/>
      <c r="R3674" s="408"/>
      <c r="S3674" s="408"/>
      <c r="T3674" s="408"/>
      <c r="U3674" s="408"/>
      <c r="V3674" s="421"/>
      <c r="W3674" s="421"/>
      <c r="X3674" s="421"/>
      <c r="Y3674" s="421"/>
      <c r="Z3674" s="421"/>
      <c r="AA3674" s="421"/>
      <c r="AB3674" s="421"/>
      <c r="AC3674" s="421"/>
      <c r="AD3674" s="421"/>
      <c r="AE3674" s="421"/>
      <c r="AF3674" s="421"/>
      <c r="AG3674" s="421"/>
      <c r="AH3674" s="421"/>
      <c r="AI3674" s="421"/>
      <c r="AJ3674" s="421"/>
      <c r="AK3674" s="421"/>
      <c r="AL3674" s="421"/>
    </row>
    <row r="3675" spans="1:38" hidden="1">
      <c r="A3675" s="408"/>
      <c r="B3675" s="83" t="e">
        <f t="array" ref="B3675">SUM(--(FREQUENCY(IF(C$2:C$3072=C3675, MATCH(D$2:D$3072, D$2:D$3072, 0)), ROW(D$2:D$3072)-ROW(D$2)+1) &gt; 0))</f>
        <v>#N/A</v>
      </c>
      <c r="C3675" s="408"/>
      <c r="D3675" s="408"/>
      <c r="E3675" s="408"/>
      <c r="F3675" s="408"/>
      <c r="G3675" s="408"/>
      <c r="H3675" s="408"/>
      <c r="I3675" s="408"/>
      <c r="J3675" s="408"/>
      <c r="K3675" s="408"/>
      <c r="L3675" s="408"/>
      <c r="M3675" s="408"/>
      <c r="N3675" s="408" t="str">
        <f t="shared" si="484"/>
        <v/>
      </c>
      <c r="O3675" s="408"/>
      <c r="P3675" s="408"/>
      <c r="Q3675" s="408"/>
      <c r="R3675" s="408"/>
      <c r="S3675" s="408"/>
      <c r="T3675" s="408"/>
      <c r="U3675" s="408"/>
      <c r="V3675" s="421"/>
      <c r="W3675" s="421"/>
      <c r="X3675" s="421"/>
      <c r="Y3675" s="421"/>
      <c r="Z3675" s="421"/>
      <c r="AA3675" s="421"/>
      <c r="AB3675" s="421"/>
      <c r="AC3675" s="421"/>
      <c r="AD3675" s="421"/>
      <c r="AE3675" s="421"/>
      <c r="AF3675" s="421"/>
      <c r="AG3675" s="421"/>
      <c r="AH3675" s="421"/>
      <c r="AI3675" s="421"/>
      <c r="AJ3675" s="421"/>
      <c r="AK3675" s="421"/>
      <c r="AL3675" s="421"/>
    </row>
    <row r="3676" spans="1:38" hidden="1">
      <c r="A3676" s="408"/>
      <c r="B3676" s="83" t="e">
        <f t="array" ref="B3676">SUM(--(FREQUENCY(IF(C$2:C$3072=C3676, MATCH(D$2:D$3072, D$2:D$3072, 0)), ROW(D$2:D$3072)-ROW(D$2)+1) &gt; 0))</f>
        <v>#N/A</v>
      </c>
      <c r="C3676" s="408"/>
      <c r="D3676" s="408"/>
      <c r="E3676" s="408"/>
      <c r="F3676" s="408"/>
      <c r="G3676" s="408"/>
      <c r="H3676" s="408"/>
      <c r="I3676" s="408"/>
      <c r="J3676" s="408"/>
      <c r="K3676" s="408"/>
      <c r="L3676" s="408"/>
      <c r="M3676" s="408"/>
      <c r="N3676" s="408" t="str">
        <f t="shared" si="484"/>
        <v/>
      </c>
      <c r="O3676" s="408"/>
      <c r="P3676" s="408"/>
      <c r="Q3676" s="408"/>
      <c r="R3676" s="408"/>
      <c r="S3676" s="408"/>
      <c r="T3676" s="408"/>
      <c r="U3676" s="408"/>
      <c r="V3676" s="421"/>
      <c r="W3676" s="421"/>
      <c r="X3676" s="421"/>
      <c r="Y3676" s="421"/>
      <c r="Z3676" s="421"/>
      <c r="AA3676" s="421"/>
      <c r="AB3676" s="421"/>
      <c r="AC3676" s="421"/>
      <c r="AD3676" s="421"/>
      <c r="AE3676" s="421"/>
      <c r="AF3676" s="421"/>
      <c r="AG3676" s="421"/>
      <c r="AH3676" s="421"/>
      <c r="AI3676" s="421"/>
      <c r="AJ3676" s="421"/>
      <c r="AK3676" s="421"/>
      <c r="AL3676" s="421"/>
    </row>
    <row r="3677" spans="1:38" hidden="1">
      <c r="A3677" s="408"/>
      <c r="B3677" s="83" t="e">
        <f t="array" ref="B3677">SUM(--(FREQUENCY(IF(C$2:C$3072=C3677, MATCH(D$2:D$3072, D$2:D$3072, 0)), ROW(D$2:D$3072)-ROW(D$2)+1) &gt; 0))</f>
        <v>#N/A</v>
      </c>
      <c r="C3677" s="408"/>
      <c r="D3677" s="408"/>
      <c r="E3677" s="408"/>
      <c r="F3677" s="408"/>
      <c r="G3677" s="408"/>
      <c r="H3677" s="408"/>
      <c r="I3677" s="408"/>
      <c r="J3677" s="408"/>
      <c r="K3677" s="408"/>
      <c r="L3677" s="408"/>
      <c r="M3677" s="408"/>
      <c r="N3677" s="408" t="str">
        <f t="shared" si="484"/>
        <v/>
      </c>
      <c r="O3677" s="408"/>
      <c r="P3677" s="408"/>
      <c r="Q3677" s="408"/>
      <c r="R3677" s="408"/>
      <c r="S3677" s="408"/>
      <c r="T3677" s="408"/>
      <c r="U3677" s="408"/>
      <c r="V3677" s="421"/>
      <c r="W3677" s="421"/>
      <c r="X3677" s="421"/>
      <c r="Y3677" s="421"/>
      <c r="Z3677" s="421"/>
      <c r="AA3677" s="421"/>
      <c r="AB3677" s="421"/>
      <c r="AC3677" s="421"/>
      <c r="AD3677" s="421"/>
      <c r="AE3677" s="421"/>
      <c r="AF3677" s="421"/>
      <c r="AG3677" s="421"/>
      <c r="AH3677" s="421"/>
      <c r="AI3677" s="421"/>
      <c r="AJ3677" s="421"/>
      <c r="AK3677" s="421"/>
      <c r="AL3677" s="421"/>
    </row>
    <row r="3678" spans="1:38" hidden="1">
      <c r="A3678" s="408"/>
      <c r="B3678" s="83" t="e">
        <f t="array" ref="B3678">SUM(--(FREQUENCY(IF(C$2:C$3072=C3678, MATCH(D$2:D$3072, D$2:D$3072, 0)), ROW(D$2:D$3072)-ROW(D$2)+1) &gt; 0))</f>
        <v>#N/A</v>
      </c>
      <c r="C3678" s="408"/>
      <c r="D3678" s="408"/>
      <c r="E3678" s="408"/>
      <c r="F3678" s="408"/>
      <c r="G3678" s="408"/>
      <c r="H3678" s="408"/>
      <c r="I3678" s="408"/>
      <c r="J3678" s="408"/>
      <c r="K3678" s="408"/>
      <c r="L3678" s="408"/>
      <c r="M3678" s="408"/>
      <c r="N3678" s="408" t="str">
        <f t="shared" si="484"/>
        <v/>
      </c>
      <c r="O3678" s="408"/>
      <c r="P3678" s="408"/>
      <c r="Q3678" s="408"/>
      <c r="R3678" s="408"/>
      <c r="S3678" s="408"/>
      <c r="T3678" s="408"/>
      <c r="U3678" s="408"/>
      <c r="V3678" s="421"/>
      <c r="W3678" s="421"/>
      <c r="X3678" s="421"/>
      <c r="Y3678" s="421"/>
      <c r="Z3678" s="421"/>
      <c r="AA3678" s="421"/>
      <c r="AB3678" s="421"/>
      <c r="AC3678" s="421"/>
      <c r="AD3678" s="421"/>
      <c r="AE3678" s="421"/>
      <c r="AF3678" s="421"/>
      <c r="AG3678" s="421"/>
      <c r="AH3678" s="421"/>
      <c r="AI3678" s="421"/>
      <c r="AJ3678" s="421"/>
      <c r="AK3678" s="421"/>
      <c r="AL3678" s="421"/>
    </row>
    <row r="3679" spans="1:38" hidden="1">
      <c r="A3679" s="408"/>
      <c r="B3679" s="83" t="e">
        <f t="array" ref="B3679">SUM(--(FREQUENCY(IF(C$2:C$3072=C3679, MATCH(D$2:D$3072, D$2:D$3072, 0)), ROW(D$2:D$3072)-ROW(D$2)+1) &gt; 0))</f>
        <v>#N/A</v>
      </c>
      <c r="C3679" s="408"/>
      <c r="D3679" s="408"/>
      <c r="E3679" s="408"/>
      <c r="F3679" s="408"/>
      <c r="G3679" s="408"/>
      <c r="H3679" s="408"/>
      <c r="I3679" s="408"/>
      <c r="J3679" s="408"/>
      <c r="K3679" s="408"/>
      <c r="L3679" s="408"/>
      <c r="M3679" s="408"/>
      <c r="N3679" s="408" t="str">
        <f t="shared" si="484"/>
        <v/>
      </c>
      <c r="O3679" s="408"/>
      <c r="P3679" s="408"/>
      <c r="Q3679" s="408"/>
      <c r="R3679" s="408"/>
      <c r="S3679" s="408"/>
      <c r="T3679" s="408"/>
      <c r="U3679" s="408"/>
      <c r="V3679" s="421"/>
      <c r="W3679" s="421"/>
      <c r="X3679" s="421"/>
      <c r="Y3679" s="421"/>
      <c r="Z3679" s="421"/>
      <c r="AA3679" s="421"/>
      <c r="AB3679" s="421"/>
      <c r="AC3679" s="421"/>
      <c r="AD3679" s="421"/>
      <c r="AE3679" s="421"/>
      <c r="AF3679" s="421"/>
      <c r="AG3679" s="421"/>
      <c r="AH3679" s="421"/>
      <c r="AI3679" s="421"/>
      <c r="AJ3679" s="421"/>
      <c r="AK3679" s="421"/>
      <c r="AL3679" s="421"/>
    </row>
    <row r="3680" spans="1:38" hidden="1">
      <c r="A3680" s="408"/>
      <c r="B3680" s="83" t="e">
        <f t="array" ref="B3680">SUM(--(FREQUENCY(IF(C$2:C$3072=C3680, MATCH(D$2:D$3072, D$2:D$3072, 0)), ROW(D$2:D$3072)-ROW(D$2)+1) &gt; 0))</f>
        <v>#N/A</v>
      </c>
      <c r="C3680" s="408"/>
      <c r="D3680" s="408"/>
      <c r="E3680" s="408"/>
      <c r="F3680" s="408"/>
      <c r="G3680" s="408"/>
      <c r="H3680" s="408"/>
      <c r="I3680" s="408"/>
      <c r="J3680" s="408"/>
      <c r="K3680" s="408"/>
      <c r="L3680" s="408"/>
      <c r="M3680" s="408"/>
      <c r="N3680" s="408" t="str">
        <f t="shared" si="484"/>
        <v/>
      </c>
      <c r="O3680" s="408"/>
      <c r="P3680" s="408"/>
      <c r="Q3680" s="408"/>
      <c r="R3680" s="408"/>
      <c r="S3680" s="408"/>
      <c r="T3680" s="408"/>
      <c r="U3680" s="408"/>
      <c r="V3680" s="421"/>
      <c r="W3680" s="421"/>
      <c r="X3680" s="421"/>
      <c r="Y3680" s="421"/>
      <c r="Z3680" s="421"/>
      <c r="AA3680" s="421"/>
      <c r="AB3680" s="421"/>
      <c r="AC3680" s="421"/>
      <c r="AD3680" s="421"/>
      <c r="AE3680" s="421"/>
      <c r="AF3680" s="421"/>
      <c r="AG3680" s="421"/>
      <c r="AH3680" s="421"/>
      <c r="AI3680" s="421"/>
      <c r="AJ3680" s="421"/>
      <c r="AK3680" s="421"/>
      <c r="AL3680" s="421"/>
    </row>
    <row r="3681" spans="1:38" hidden="1">
      <c r="A3681" s="408"/>
      <c r="B3681" s="83" t="e">
        <f t="array" ref="B3681">SUM(--(FREQUENCY(IF(C$2:C$3072=C3681, MATCH(D$2:D$3072, D$2:D$3072, 0)), ROW(D$2:D$3072)-ROW(D$2)+1) &gt; 0))</f>
        <v>#N/A</v>
      </c>
      <c r="C3681" s="408"/>
      <c r="D3681" s="408"/>
      <c r="E3681" s="408"/>
      <c r="F3681" s="408"/>
      <c r="G3681" s="408"/>
      <c r="H3681" s="408"/>
      <c r="I3681" s="408"/>
      <c r="J3681" s="408"/>
      <c r="K3681" s="408"/>
      <c r="L3681" s="408"/>
      <c r="M3681" s="408"/>
      <c r="N3681" s="408" t="str">
        <f t="shared" si="484"/>
        <v/>
      </c>
      <c r="O3681" s="408"/>
      <c r="P3681" s="408"/>
      <c r="Q3681" s="408"/>
      <c r="R3681" s="408"/>
      <c r="S3681" s="408"/>
      <c r="T3681" s="408"/>
      <c r="U3681" s="408"/>
      <c r="V3681" s="421"/>
      <c r="W3681" s="421"/>
      <c r="X3681" s="421"/>
      <c r="Y3681" s="421"/>
      <c r="Z3681" s="421"/>
      <c r="AA3681" s="421"/>
      <c r="AB3681" s="421"/>
      <c r="AC3681" s="421"/>
      <c r="AD3681" s="421"/>
      <c r="AE3681" s="421"/>
      <c r="AF3681" s="421"/>
      <c r="AG3681" s="421"/>
      <c r="AH3681" s="421"/>
      <c r="AI3681" s="421"/>
      <c r="AJ3681" s="421"/>
      <c r="AK3681" s="421"/>
      <c r="AL3681" s="421"/>
    </row>
    <row r="3682" spans="1:38" hidden="1">
      <c r="A3682" s="408"/>
      <c r="B3682" s="83" t="e">
        <f t="array" ref="B3682">SUM(--(FREQUENCY(IF(C$2:C$3072=C3682, MATCH(D$2:D$3072, D$2:D$3072, 0)), ROW(D$2:D$3072)-ROW(D$2)+1) &gt; 0))</f>
        <v>#N/A</v>
      </c>
      <c r="C3682" s="408"/>
      <c r="D3682" s="408"/>
      <c r="E3682" s="408"/>
      <c r="F3682" s="408"/>
      <c r="G3682" s="408"/>
      <c r="H3682" s="408"/>
      <c r="I3682" s="408"/>
      <c r="J3682" s="408"/>
      <c r="K3682" s="408"/>
      <c r="L3682" s="408"/>
      <c r="M3682" s="408"/>
      <c r="N3682" s="408" t="str">
        <f t="shared" si="484"/>
        <v/>
      </c>
      <c r="O3682" s="408"/>
      <c r="P3682" s="408"/>
      <c r="Q3682" s="408"/>
      <c r="R3682" s="408"/>
      <c r="S3682" s="408"/>
      <c r="T3682" s="408"/>
      <c r="U3682" s="408"/>
      <c r="V3682" s="421"/>
      <c r="W3682" s="421"/>
      <c r="X3682" s="421"/>
      <c r="Y3682" s="421"/>
      <c r="Z3682" s="421"/>
      <c r="AA3682" s="421"/>
      <c r="AB3682" s="421"/>
      <c r="AC3682" s="421"/>
      <c r="AD3682" s="421"/>
      <c r="AE3682" s="421"/>
      <c r="AF3682" s="421"/>
      <c r="AG3682" s="421"/>
      <c r="AH3682" s="421"/>
      <c r="AI3682" s="421"/>
      <c r="AJ3682" s="421"/>
      <c r="AK3682" s="421"/>
      <c r="AL3682" s="421"/>
    </row>
    <row r="3683" spans="1:38" hidden="1">
      <c r="A3683" s="408"/>
      <c r="B3683" s="83" t="e">
        <f t="array" ref="B3683">SUM(--(FREQUENCY(IF(C$2:C$3072=C3683, MATCH(D$2:D$3072, D$2:D$3072, 0)), ROW(D$2:D$3072)-ROW(D$2)+1) &gt; 0))</f>
        <v>#N/A</v>
      </c>
      <c r="C3683" s="408"/>
      <c r="D3683" s="408"/>
      <c r="E3683" s="408"/>
      <c r="F3683" s="408"/>
      <c r="G3683" s="408"/>
      <c r="H3683" s="408"/>
      <c r="I3683" s="408"/>
      <c r="J3683" s="408"/>
      <c r="K3683" s="408"/>
      <c r="L3683" s="408"/>
      <c r="M3683" s="408"/>
      <c r="N3683" s="408" t="str">
        <f t="shared" si="484"/>
        <v/>
      </c>
      <c r="O3683" s="408"/>
      <c r="P3683" s="408"/>
      <c r="Q3683" s="408"/>
      <c r="R3683" s="408"/>
      <c r="S3683" s="408"/>
      <c r="T3683" s="408"/>
      <c r="U3683" s="408"/>
      <c r="V3683" s="421"/>
      <c r="W3683" s="421"/>
      <c r="X3683" s="421"/>
      <c r="Y3683" s="421"/>
      <c r="Z3683" s="421"/>
      <c r="AA3683" s="421"/>
      <c r="AB3683" s="421"/>
      <c r="AC3683" s="421"/>
      <c r="AD3683" s="421"/>
      <c r="AE3683" s="421"/>
      <c r="AF3683" s="421"/>
      <c r="AG3683" s="421"/>
      <c r="AH3683" s="421"/>
      <c r="AI3683" s="421"/>
      <c r="AJ3683" s="421"/>
      <c r="AK3683" s="421"/>
      <c r="AL3683" s="421"/>
    </row>
    <row r="3684" spans="1:38" hidden="1">
      <c r="A3684" s="408"/>
      <c r="B3684" s="83" t="e">
        <f t="array" ref="B3684">SUM(--(FREQUENCY(IF(C$2:C$3072=C3684, MATCH(D$2:D$3072, D$2:D$3072, 0)), ROW(D$2:D$3072)-ROW(D$2)+1) &gt; 0))</f>
        <v>#N/A</v>
      </c>
      <c r="C3684" s="408"/>
      <c r="D3684" s="408"/>
      <c r="E3684" s="408"/>
      <c r="F3684" s="408"/>
      <c r="G3684" s="408"/>
      <c r="H3684" s="408"/>
      <c r="I3684" s="408"/>
      <c r="J3684" s="408"/>
      <c r="K3684" s="408"/>
      <c r="L3684" s="408"/>
      <c r="M3684" s="408"/>
      <c r="N3684" s="408" t="str">
        <f t="shared" si="484"/>
        <v/>
      </c>
      <c r="O3684" s="408"/>
      <c r="P3684" s="408"/>
      <c r="Q3684" s="408"/>
      <c r="R3684" s="408"/>
      <c r="S3684" s="408"/>
      <c r="T3684" s="408"/>
      <c r="U3684" s="408"/>
      <c r="V3684" s="421"/>
      <c r="W3684" s="421"/>
      <c r="X3684" s="421"/>
      <c r="Y3684" s="421"/>
      <c r="Z3684" s="421"/>
      <c r="AA3684" s="421"/>
      <c r="AB3684" s="421"/>
      <c r="AC3684" s="421"/>
      <c r="AD3684" s="421"/>
      <c r="AE3684" s="421"/>
      <c r="AF3684" s="421"/>
      <c r="AG3684" s="421"/>
      <c r="AH3684" s="421"/>
      <c r="AI3684" s="421"/>
      <c r="AJ3684" s="421"/>
      <c r="AK3684" s="421"/>
      <c r="AL3684" s="421"/>
    </row>
    <row r="3685" spans="1:38" hidden="1">
      <c r="A3685" s="408"/>
      <c r="B3685" s="83" t="e">
        <f t="array" ref="B3685">SUM(--(FREQUENCY(IF(C$2:C$3072=C3685, MATCH(D$2:D$3072, D$2:D$3072, 0)), ROW(D$2:D$3072)-ROW(D$2)+1) &gt; 0))</f>
        <v>#N/A</v>
      </c>
      <c r="C3685" s="408"/>
      <c r="D3685" s="408"/>
      <c r="E3685" s="408"/>
      <c r="F3685" s="408"/>
      <c r="G3685" s="408"/>
      <c r="H3685" s="408"/>
      <c r="I3685" s="408"/>
      <c r="J3685" s="408"/>
      <c r="K3685" s="408"/>
      <c r="L3685" s="408"/>
      <c r="M3685" s="408"/>
      <c r="N3685" s="408" t="str">
        <f t="shared" si="484"/>
        <v/>
      </c>
      <c r="O3685" s="408"/>
      <c r="P3685" s="408"/>
      <c r="Q3685" s="408"/>
      <c r="R3685" s="408"/>
      <c r="S3685" s="408"/>
      <c r="T3685" s="408"/>
      <c r="U3685" s="408"/>
      <c r="V3685" s="421"/>
      <c r="W3685" s="421"/>
      <c r="X3685" s="421"/>
      <c r="Y3685" s="421"/>
      <c r="Z3685" s="421"/>
      <c r="AA3685" s="421"/>
      <c r="AB3685" s="421"/>
      <c r="AC3685" s="421"/>
      <c r="AD3685" s="421"/>
      <c r="AE3685" s="421"/>
      <c r="AF3685" s="421"/>
      <c r="AG3685" s="421"/>
      <c r="AH3685" s="421"/>
      <c r="AI3685" s="421"/>
      <c r="AJ3685" s="421"/>
      <c r="AK3685" s="421"/>
      <c r="AL3685" s="421"/>
    </row>
    <row r="3686" spans="1:38" hidden="1">
      <c r="A3686" s="408"/>
      <c r="B3686" s="83" t="e">
        <f t="array" ref="B3686">SUM(--(FREQUENCY(IF(C$2:C$3072=C3686, MATCH(D$2:D$3072, D$2:D$3072, 0)), ROW(D$2:D$3072)-ROW(D$2)+1) &gt; 0))</f>
        <v>#N/A</v>
      </c>
      <c r="C3686" s="408"/>
      <c r="D3686" s="408"/>
      <c r="E3686" s="408"/>
      <c r="F3686" s="408"/>
      <c r="G3686" s="408"/>
      <c r="H3686" s="408"/>
      <c r="I3686" s="408"/>
      <c r="J3686" s="408"/>
      <c r="K3686" s="408"/>
      <c r="L3686" s="408"/>
      <c r="M3686" s="408"/>
      <c r="N3686" s="408" t="str">
        <f t="shared" si="484"/>
        <v/>
      </c>
      <c r="O3686" s="408"/>
      <c r="P3686" s="408"/>
      <c r="Q3686" s="408"/>
      <c r="R3686" s="408"/>
      <c r="S3686" s="408"/>
      <c r="T3686" s="408"/>
      <c r="U3686" s="408"/>
      <c r="V3686" s="421"/>
      <c r="W3686" s="421"/>
      <c r="X3686" s="421"/>
      <c r="Y3686" s="421"/>
      <c r="Z3686" s="421"/>
      <c r="AA3686" s="421"/>
      <c r="AB3686" s="421"/>
      <c r="AC3686" s="421"/>
      <c r="AD3686" s="421"/>
      <c r="AE3686" s="421"/>
      <c r="AF3686" s="421"/>
      <c r="AG3686" s="421"/>
      <c r="AH3686" s="421"/>
      <c r="AI3686" s="421"/>
      <c r="AJ3686" s="421"/>
      <c r="AK3686" s="421"/>
      <c r="AL3686" s="421"/>
    </row>
    <row r="3687" spans="1:38" hidden="1">
      <c r="A3687" s="408"/>
      <c r="B3687" s="83" t="e">
        <f t="array" ref="B3687">SUM(--(FREQUENCY(IF(C$2:C$3072=C3687, MATCH(D$2:D$3072, D$2:D$3072, 0)), ROW(D$2:D$3072)-ROW(D$2)+1) &gt; 0))</f>
        <v>#N/A</v>
      </c>
      <c r="C3687" s="408"/>
      <c r="D3687" s="408"/>
      <c r="E3687" s="408"/>
      <c r="F3687" s="408"/>
      <c r="G3687" s="408"/>
      <c r="H3687" s="408"/>
      <c r="I3687" s="408"/>
      <c r="J3687" s="408"/>
      <c r="K3687" s="408"/>
      <c r="L3687" s="408"/>
      <c r="M3687" s="408"/>
      <c r="N3687" s="408" t="str">
        <f t="shared" si="484"/>
        <v/>
      </c>
      <c r="O3687" s="408"/>
      <c r="P3687" s="408"/>
      <c r="Q3687" s="408"/>
      <c r="R3687" s="408"/>
      <c r="S3687" s="408"/>
      <c r="T3687" s="408"/>
      <c r="U3687" s="408"/>
      <c r="V3687" s="421"/>
      <c r="W3687" s="421"/>
      <c r="X3687" s="421"/>
      <c r="Y3687" s="421"/>
      <c r="Z3687" s="421"/>
      <c r="AA3687" s="421"/>
      <c r="AB3687" s="421"/>
      <c r="AC3687" s="421"/>
      <c r="AD3687" s="421"/>
      <c r="AE3687" s="421"/>
      <c r="AF3687" s="421"/>
      <c r="AG3687" s="421"/>
      <c r="AH3687" s="421"/>
      <c r="AI3687" s="421"/>
      <c r="AJ3687" s="421"/>
      <c r="AK3687" s="421"/>
      <c r="AL3687" s="421"/>
    </row>
    <row r="3688" spans="1:38" hidden="1">
      <c r="A3688" s="408"/>
      <c r="B3688" s="83" t="e">
        <f t="array" ref="B3688">SUM(--(FREQUENCY(IF(C$2:C$3072=C3688, MATCH(D$2:D$3072, D$2:D$3072, 0)), ROW(D$2:D$3072)-ROW(D$2)+1) &gt; 0))</f>
        <v>#N/A</v>
      </c>
      <c r="C3688" s="408"/>
      <c r="D3688" s="408"/>
      <c r="E3688" s="408"/>
      <c r="F3688" s="408"/>
      <c r="G3688" s="408"/>
      <c r="H3688" s="408"/>
      <c r="I3688" s="408"/>
      <c r="J3688" s="408"/>
      <c r="K3688" s="408"/>
      <c r="L3688" s="408"/>
      <c r="M3688" s="408"/>
      <c r="N3688" s="408" t="str">
        <f t="shared" si="484"/>
        <v/>
      </c>
      <c r="O3688" s="408"/>
      <c r="P3688" s="408"/>
      <c r="Q3688" s="408"/>
      <c r="R3688" s="408"/>
      <c r="S3688" s="408"/>
      <c r="T3688" s="408"/>
      <c r="U3688" s="408"/>
      <c r="V3688" s="421"/>
      <c r="W3688" s="421"/>
      <c r="X3688" s="421"/>
      <c r="Y3688" s="421"/>
      <c r="Z3688" s="421"/>
      <c r="AA3688" s="421"/>
      <c r="AB3688" s="421"/>
      <c r="AC3688" s="421"/>
      <c r="AD3688" s="421"/>
      <c r="AE3688" s="421"/>
      <c r="AF3688" s="421"/>
      <c r="AG3688" s="421"/>
      <c r="AH3688" s="421"/>
      <c r="AI3688" s="421"/>
      <c r="AJ3688" s="421"/>
      <c r="AK3688" s="421"/>
      <c r="AL3688" s="421"/>
    </row>
    <row r="3689" spans="1:38" hidden="1">
      <c r="A3689" s="408"/>
      <c r="B3689" s="83" t="e">
        <f t="array" ref="B3689">SUM(--(FREQUENCY(IF(C$2:C$3072=C3689, MATCH(D$2:D$3072, D$2:D$3072, 0)), ROW(D$2:D$3072)-ROW(D$2)+1) &gt; 0))</f>
        <v>#N/A</v>
      </c>
      <c r="C3689" s="408"/>
      <c r="D3689" s="408"/>
      <c r="E3689" s="408"/>
      <c r="F3689" s="408"/>
      <c r="G3689" s="408"/>
      <c r="H3689" s="408"/>
      <c r="I3689" s="408"/>
      <c r="J3689" s="408"/>
      <c r="K3689" s="408"/>
      <c r="L3689" s="408"/>
      <c r="M3689" s="408"/>
      <c r="N3689" s="408" t="str">
        <f t="shared" si="484"/>
        <v/>
      </c>
      <c r="O3689" s="408"/>
      <c r="P3689" s="408"/>
      <c r="Q3689" s="408"/>
      <c r="R3689" s="408"/>
      <c r="S3689" s="408"/>
      <c r="T3689" s="408"/>
      <c r="U3689" s="408"/>
      <c r="V3689" s="421"/>
      <c r="W3689" s="421"/>
      <c r="X3689" s="421"/>
      <c r="Y3689" s="421"/>
      <c r="Z3689" s="421"/>
      <c r="AA3689" s="421"/>
      <c r="AB3689" s="421"/>
      <c r="AC3689" s="421"/>
      <c r="AD3689" s="421"/>
      <c r="AE3689" s="421"/>
      <c r="AF3689" s="421"/>
      <c r="AG3689" s="421"/>
      <c r="AH3689" s="421"/>
      <c r="AI3689" s="421"/>
      <c r="AJ3689" s="421"/>
      <c r="AK3689" s="421"/>
      <c r="AL3689" s="421"/>
    </row>
    <row r="3690" spans="1:38" hidden="1">
      <c r="A3690" s="408"/>
      <c r="B3690" s="83" t="e">
        <f t="array" ref="B3690">SUM(--(FREQUENCY(IF(C$2:C$3072=C3690, MATCH(D$2:D$3072, D$2:D$3072, 0)), ROW(D$2:D$3072)-ROW(D$2)+1) &gt; 0))</f>
        <v>#N/A</v>
      </c>
      <c r="C3690" s="408"/>
      <c r="D3690" s="408"/>
      <c r="E3690" s="408"/>
      <c r="F3690" s="408"/>
      <c r="G3690" s="408"/>
      <c r="H3690" s="408"/>
      <c r="I3690" s="408"/>
      <c r="J3690" s="408"/>
      <c r="K3690" s="408"/>
      <c r="L3690" s="408"/>
      <c r="M3690" s="408"/>
      <c r="N3690" s="408" t="str">
        <f t="shared" si="484"/>
        <v/>
      </c>
      <c r="O3690" s="408"/>
      <c r="P3690" s="408"/>
      <c r="Q3690" s="408"/>
      <c r="R3690" s="408"/>
      <c r="S3690" s="408"/>
      <c r="T3690" s="408"/>
      <c r="U3690" s="408"/>
      <c r="V3690" s="421"/>
      <c r="W3690" s="421"/>
      <c r="X3690" s="421"/>
      <c r="Y3690" s="421"/>
      <c r="Z3690" s="421"/>
      <c r="AA3690" s="421"/>
      <c r="AB3690" s="421"/>
      <c r="AC3690" s="421"/>
      <c r="AD3690" s="421"/>
      <c r="AE3690" s="421"/>
      <c r="AF3690" s="421"/>
      <c r="AG3690" s="421"/>
      <c r="AH3690" s="421"/>
      <c r="AI3690" s="421"/>
      <c r="AJ3690" s="421"/>
      <c r="AK3690" s="421"/>
      <c r="AL3690" s="421"/>
    </row>
    <row r="3691" spans="1:38" hidden="1">
      <c r="A3691" s="408"/>
      <c r="B3691" s="83" t="e">
        <f t="array" ref="B3691">SUM(--(FREQUENCY(IF(C$2:C$3072=C3691, MATCH(D$2:D$3072, D$2:D$3072, 0)), ROW(D$2:D$3072)-ROW(D$2)+1) &gt; 0))</f>
        <v>#N/A</v>
      </c>
      <c r="C3691" s="408"/>
      <c r="D3691" s="408"/>
      <c r="E3691" s="408"/>
      <c r="F3691" s="408"/>
      <c r="G3691" s="408"/>
      <c r="H3691" s="408"/>
      <c r="I3691" s="408"/>
      <c r="J3691" s="408"/>
      <c r="K3691" s="408"/>
      <c r="L3691" s="408"/>
      <c r="M3691" s="408"/>
      <c r="N3691" s="408" t="str">
        <f t="shared" si="484"/>
        <v/>
      </c>
      <c r="O3691" s="408"/>
      <c r="P3691" s="408"/>
      <c r="Q3691" s="408"/>
      <c r="R3691" s="408"/>
      <c r="S3691" s="408"/>
      <c r="T3691" s="408"/>
      <c r="U3691" s="408"/>
      <c r="V3691" s="421"/>
      <c r="W3691" s="421"/>
      <c r="X3691" s="421"/>
      <c r="Y3691" s="421"/>
      <c r="Z3691" s="421"/>
      <c r="AA3691" s="421"/>
      <c r="AB3691" s="421"/>
      <c r="AC3691" s="421"/>
      <c r="AD3691" s="421"/>
      <c r="AE3691" s="421"/>
      <c r="AF3691" s="421"/>
      <c r="AG3691" s="421"/>
      <c r="AH3691" s="421"/>
      <c r="AI3691" s="421"/>
      <c r="AJ3691" s="421"/>
      <c r="AK3691" s="421"/>
      <c r="AL3691" s="421"/>
    </row>
    <row r="3692" spans="1:38" hidden="1">
      <c r="A3692" s="408"/>
      <c r="B3692" s="83" t="e">
        <f t="array" ref="B3692">SUM(--(FREQUENCY(IF(C$2:C$3072=C3692, MATCH(D$2:D$3072, D$2:D$3072, 0)), ROW(D$2:D$3072)-ROW(D$2)+1) &gt; 0))</f>
        <v>#N/A</v>
      </c>
      <c r="C3692" s="408"/>
      <c r="D3692" s="408"/>
      <c r="E3692" s="408"/>
      <c r="F3692" s="408"/>
      <c r="G3692" s="408"/>
      <c r="H3692" s="408"/>
      <c r="I3692" s="408"/>
      <c r="J3692" s="408"/>
      <c r="K3692" s="408"/>
      <c r="L3692" s="408"/>
      <c r="M3692" s="408"/>
      <c r="N3692" s="408" t="str">
        <f t="shared" si="484"/>
        <v/>
      </c>
      <c r="O3692" s="408"/>
      <c r="P3692" s="408"/>
      <c r="Q3692" s="408"/>
      <c r="R3692" s="408"/>
      <c r="S3692" s="408"/>
      <c r="T3692" s="408"/>
      <c r="U3692" s="408"/>
      <c r="V3692" s="421"/>
      <c r="W3692" s="421"/>
      <c r="X3692" s="421"/>
      <c r="Y3692" s="421"/>
      <c r="Z3692" s="421"/>
      <c r="AA3692" s="421"/>
      <c r="AB3692" s="421"/>
      <c r="AC3692" s="421"/>
      <c r="AD3692" s="421"/>
      <c r="AE3692" s="421"/>
      <c r="AF3692" s="421"/>
      <c r="AG3692" s="421"/>
      <c r="AH3692" s="421"/>
      <c r="AI3692" s="421"/>
      <c r="AJ3692" s="421"/>
      <c r="AK3692" s="421"/>
      <c r="AL3692" s="421"/>
    </row>
    <row r="3693" spans="1:38" hidden="1">
      <c r="A3693" s="408"/>
      <c r="B3693" s="83" t="e">
        <f t="array" ref="B3693">SUM(--(FREQUENCY(IF(C$2:C$3072=C3693, MATCH(D$2:D$3072, D$2:D$3072, 0)), ROW(D$2:D$3072)-ROW(D$2)+1) &gt; 0))</f>
        <v>#N/A</v>
      </c>
      <c r="C3693" s="408"/>
      <c r="D3693" s="408"/>
      <c r="E3693" s="408"/>
      <c r="F3693" s="408"/>
      <c r="G3693" s="408"/>
      <c r="H3693" s="408"/>
      <c r="I3693" s="408"/>
      <c r="J3693" s="408"/>
      <c r="K3693" s="408"/>
      <c r="L3693" s="408"/>
      <c r="M3693" s="408"/>
      <c r="N3693" s="408" t="str">
        <f t="shared" si="484"/>
        <v/>
      </c>
      <c r="O3693" s="408"/>
      <c r="P3693" s="408"/>
      <c r="Q3693" s="408"/>
      <c r="R3693" s="408"/>
      <c r="S3693" s="408"/>
      <c r="T3693" s="408"/>
      <c r="U3693" s="408"/>
      <c r="V3693" s="421"/>
      <c r="W3693" s="421"/>
      <c r="X3693" s="421"/>
      <c r="Y3693" s="421"/>
      <c r="Z3693" s="421"/>
      <c r="AA3693" s="421"/>
      <c r="AB3693" s="421"/>
      <c r="AC3693" s="421"/>
      <c r="AD3693" s="421"/>
      <c r="AE3693" s="421"/>
      <c r="AF3693" s="421"/>
      <c r="AG3693" s="421"/>
      <c r="AH3693" s="421"/>
      <c r="AI3693" s="421"/>
      <c r="AJ3693" s="421"/>
      <c r="AK3693" s="421"/>
      <c r="AL3693" s="421"/>
    </row>
    <row r="3694" spans="1:38" hidden="1">
      <c r="A3694" s="408"/>
      <c r="B3694" s="83" t="e">
        <f t="array" ref="B3694">SUM(--(FREQUENCY(IF(C$2:C$3072=C3694, MATCH(D$2:D$3072, D$2:D$3072, 0)), ROW(D$2:D$3072)-ROW(D$2)+1) &gt; 0))</f>
        <v>#N/A</v>
      </c>
      <c r="C3694" s="408"/>
      <c r="D3694" s="408"/>
      <c r="E3694" s="408"/>
      <c r="F3694" s="408"/>
      <c r="G3694" s="408"/>
      <c r="H3694" s="408"/>
      <c r="I3694" s="408"/>
      <c r="J3694" s="408"/>
      <c r="K3694" s="408"/>
      <c r="L3694" s="408"/>
      <c r="M3694" s="408"/>
      <c r="N3694" s="408" t="str">
        <f t="shared" si="484"/>
        <v/>
      </c>
      <c r="O3694" s="408"/>
      <c r="P3694" s="408"/>
      <c r="Q3694" s="408"/>
      <c r="R3694" s="408"/>
      <c r="S3694" s="408"/>
      <c r="T3694" s="408"/>
      <c r="U3694" s="408"/>
      <c r="V3694" s="421"/>
      <c r="W3694" s="421"/>
      <c r="X3694" s="421"/>
      <c r="Y3694" s="421"/>
      <c r="Z3694" s="421"/>
      <c r="AA3694" s="421"/>
      <c r="AB3694" s="421"/>
      <c r="AC3694" s="421"/>
      <c r="AD3694" s="421"/>
      <c r="AE3694" s="421"/>
      <c r="AF3694" s="421"/>
      <c r="AG3694" s="421"/>
      <c r="AH3694" s="421"/>
      <c r="AI3694" s="421"/>
      <c r="AJ3694" s="421"/>
      <c r="AK3694" s="421"/>
      <c r="AL3694" s="421"/>
    </row>
    <row r="3695" spans="1:38" hidden="1">
      <c r="A3695" s="408"/>
      <c r="B3695" s="83" t="e">
        <f t="array" ref="B3695">SUM(--(FREQUENCY(IF(C$2:C$3072=C3695, MATCH(D$2:D$3072, D$2:D$3072, 0)), ROW(D$2:D$3072)-ROW(D$2)+1) &gt; 0))</f>
        <v>#N/A</v>
      </c>
      <c r="C3695" s="408"/>
      <c r="D3695" s="408"/>
      <c r="E3695" s="408"/>
      <c r="F3695" s="408"/>
      <c r="G3695" s="408"/>
      <c r="H3695" s="408"/>
      <c r="I3695" s="408"/>
      <c r="J3695" s="408"/>
      <c r="K3695" s="408"/>
      <c r="L3695" s="408"/>
      <c r="M3695" s="408"/>
      <c r="N3695" s="408" t="str">
        <f t="shared" si="484"/>
        <v/>
      </c>
      <c r="O3695" s="408"/>
      <c r="P3695" s="408"/>
      <c r="Q3695" s="408"/>
      <c r="R3695" s="408"/>
      <c r="S3695" s="408"/>
      <c r="T3695" s="408"/>
      <c r="U3695" s="408"/>
      <c r="V3695" s="421"/>
      <c r="W3695" s="421"/>
      <c r="X3695" s="421"/>
      <c r="Y3695" s="421"/>
      <c r="Z3695" s="421"/>
      <c r="AA3695" s="421"/>
      <c r="AB3695" s="421"/>
      <c r="AC3695" s="421"/>
      <c r="AD3695" s="421"/>
      <c r="AE3695" s="421"/>
      <c r="AF3695" s="421"/>
      <c r="AG3695" s="421"/>
      <c r="AH3695" s="421"/>
      <c r="AI3695" s="421"/>
      <c r="AJ3695" s="421"/>
      <c r="AK3695" s="421"/>
      <c r="AL3695" s="421"/>
    </row>
    <row r="3696" spans="1:38" hidden="1">
      <c r="A3696" s="408"/>
      <c r="B3696" s="83" t="e">
        <f t="array" ref="B3696">SUM(--(FREQUENCY(IF(C$2:C$3072=C3696, MATCH(D$2:D$3072, D$2:D$3072, 0)), ROW(D$2:D$3072)-ROW(D$2)+1) &gt; 0))</f>
        <v>#N/A</v>
      </c>
      <c r="C3696" s="408"/>
      <c r="D3696" s="408"/>
      <c r="E3696" s="408"/>
      <c r="F3696" s="408"/>
      <c r="G3696" s="408"/>
      <c r="H3696" s="408"/>
      <c r="I3696" s="408"/>
      <c r="J3696" s="408"/>
      <c r="K3696" s="408"/>
      <c r="L3696" s="408"/>
      <c r="M3696" s="408"/>
      <c r="N3696" s="408" t="str">
        <f t="shared" si="484"/>
        <v/>
      </c>
      <c r="O3696" s="408"/>
      <c r="P3696" s="408"/>
      <c r="Q3696" s="408"/>
      <c r="R3696" s="408"/>
      <c r="S3696" s="408"/>
      <c r="T3696" s="408"/>
      <c r="U3696" s="408"/>
      <c r="V3696" s="421"/>
      <c r="W3696" s="421"/>
      <c r="X3696" s="421"/>
      <c r="Y3696" s="421"/>
      <c r="Z3696" s="421"/>
      <c r="AA3696" s="421"/>
      <c r="AB3696" s="421"/>
      <c r="AC3696" s="421"/>
      <c r="AD3696" s="421"/>
      <c r="AE3696" s="421"/>
      <c r="AF3696" s="421"/>
      <c r="AG3696" s="421"/>
      <c r="AH3696" s="421"/>
      <c r="AI3696" s="421"/>
      <c r="AJ3696" s="421"/>
      <c r="AK3696" s="421"/>
      <c r="AL3696" s="421"/>
    </row>
    <row r="3697" spans="1:38" hidden="1">
      <c r="A3697" s="408"/>
      <c r="B3697" s="83" t="e">
        <f t="array" ref="B3697">SUM(--(FREQUENCY(IF(C$2:C$3072=C3697, MATCH(D$2:D$3072, D$2:D$3072, 0)), ROW(D$2:D$3072)-ROW(D$2)+1) &gt; 0))</f>
        <v>#N/A</v>
      </c>
      <c r="C3697" s="408"/>
      <c r="D3697" s="408"/>
      <c r="E3697" s="408"/>
      <c r="F3697" s="408"/>
      <c r="G3697" s="408"/>
      <c r="H3697" s="408"/>
      <c r="I3697" s="408"/>
      <c r="J3697" s="408"/>
      <c r="K3697" s="408"/>
      <c r="L3697" s="408"/>
      <c r="M3697" s="408"/>
      <c r="N3697" s="408" t="str">
        <f t="shared" si="484"/>
        <v/>
      </c>
      <c r="O3697" s="408"/>
      <c r="P3697" s="408"/>
      <c r="Q3697" s="408"/>
      <c r="R3697" s="408"/>
      <c r="S3697" s="408"/>
      <c r="T3697" s="408"/>
      <c r="U3697" s="408"/>
      <c r="V3697" s="421"/>
      <c r="W3697" s="421"/>
      <c r="X3697" s="421"/>
      <c r="Y3697" s="421"/>
      <c r="Z3697" s="421"/>
      <c r="AA3697" s="421"/>
      <c r="AB3697" s="421"/>
      <c r="AC3697" s="421"/>
      <c r="AD3697" s="421"/>
      <c r="AE3697" s="421"/>
      <c r="AF3697" s="421"/>
      <c r="AG3697" s="421"/>
      <c r="AH3697" s="421"/>
      <c r="AI3697" s="421"/>
      <c r="AJ3697" s="421"/>
      <c r="AK3697" s="421"/>
      <c r="AL3697" s="421"/>
    </row>
    <row r="3698" spans="1:38" hidden="1">
      <c r="A3698" s="408"/>
      <c r="B3698" s="83" t="e">
        <f t="array" ref="B3698">SUM(--(FREQUENCY(IF(C$2:C$3072=C3698, MATCH(D$2:D$3072, D$2:D$3072, 0)), ROW(D$2:D$3072)-ROW(D$2)+1) &gt; 0))</f>
        <v>#N/A</v>
      </c>
      <c r="C3698" s="408"/>
      <c r="D3698" s="408"/>
      <c r="E3698" s="408"/>
      <c r="F3698" s="408"/>
      <c r="G3698" s="408"/>
      <c r="H3698" s="408"/>
      <c r="I3698" s="408"/>
      <c r="J3698" s="408"/>
      <c r="K3698" s="408"/>
      <c r="L3698" s="408"/>
      <c r="M3698" s="408"/>
      <c r="N3698" s="408" t="str">
        <f t="shared" si="484"/>
        <v/>
      </c>
      <c r="O3698" s="408"/>
      <c r="P3698" s="408"/>
      <c r="Q3698" s="408"/>
      <c r="R3698" s="408"/>
      <c r="S3698" s="408"/>
      <c r="T3698" s="408"/>
      <c r="U3698" s="408"/>
      <c r="V3698" s="421"/>
      <c r="W3698" s="421"/>
      <c r="X3698" s="421"/>
      <c r="Y3698" s="421"/>
      <c r="Z3698" s="421"/>
      <c r="AA3698" s="421"/>
      <c r="AB3698" s="421"/>
      <c r="AC3698" s="421"/>
      <c r="AD3698" s="421"/>
      <c r="AE3698" s="421"/>
      <c r="AF3698" s="421"/>
      <c r="AG3698" s="421"/>
      <c r="AH3698" s="421"/>
      <c r="AI3698" s="421"/>
      <c r="AJ3698" s="421"/>
      <c r="AK3698" s="421"/>
      <c r="AL3698" s="421"/>
    </row>
    <row r="3699" spans="1:38" hidden="1">
      <c r="A3699" s="408"/>
      <c r="B3699" s="83" t="e">
        <f t="array" ref="B3699">SUM(--(FREQUENCY(IF(C$2:C$3072=C3699, MATCH(D$2:D$3072, D$2:D$3072, 0)), ROW(D$2:D$3072)-ROW(D$2)+1) &gt; 0))</f>
        <v>#N/A</v>
      </c>
      <c r="C3699" s="408"/>
      <c r="D3699" s="408"/>
      <c r="E3699" s="408"/>
      <c r="F3699" s="408"/>
      <c r="G3699" s="408"/>
      <c r="H3699" s="408"/>
      <c r="I3699" s="408"/>
      <c r="J3699" s="408"/>
      <c r="K3699" s="408"/>
      <c r="L3699" s="408"/>
      <c r="M3699" s="408"/>
      <c r="N3699" s="408" t="str">
        <f t="shared" si="484"/>
        <v/>
      </c>
      <c r="O3699" s="408"/>
      <c r="P3699" s="408"/>
      <c r="Q3699" s="408"/>
      <c r="R3699" s="408"/>
      <c r="S3699" s="408"/>
      <c r="T3699" s="408"/>
      <c r="U3699" s="408"/>
      <c r="V3699" s="421"/>
      <c r="W3699" s="421"/>
      <c r="X3699" s="421"/>
      <c r="Y3699" s="421"/>
      <c r="Z3699" s="421"/>
      <c r="AA3699" s="421"/>
      <c r="AB3699" s="421"/>
      <c r="AC3699" s="421"/>
      <c r="AD3699" s="421"/>
      <c r="AE3699" s="421"/>
      <c r="AF3699" s="421"/>
      <c r="AG3699" s="421"/>
      <c r="AH3699" s="421"/>
      <c r="AI3699" s="421"/>
      <c r="AJ3699" s="421"/>
      <c r="AK3699" s="421"/>
      <c r="AL3699" s="421"/>
    </row>
    <row r="3700" spans="1:38" hidden="1">
      <c r="A3700" s="408"/>
      <c r="B3700" s="83" t="e">
        <f t="array" ref="B3700">SUM(--(FREQUENCY(IF(C$2:C$3072=C3700, MATCH(D$2:D$3072, D$2:D$3072, 0)), ROW(D$2:D$3072)-ROW(D$2)+1) &gt; 0))</f>
        <v>#N/A</v>
      </c>
      <c r="C3700" s="408"/>
      <c r="D3700" s="408"/>
      <c r="E3700" s="408"/>
      <c r="F3700" s="408"/>
      <c r="G3700" s="408"/>
      <c r="H3700" s="408"/>
      <c r="I3700" s="408"/>
      <c r="J3700" s="408"/>
      <c r="K3700" s="408"/>
      <c r="L3700" s="408"/>
      <c r="M3700" s="408"/>
      <c r="N3700" s="408" t="str">
        <f t="shared" si="484"/>
        <v/>
      </c>
      <c r="O3700" s="408"/>
      <c r="P3700" s="408"/>
      <c r="Q3700" s="408"/>
      <c r="R3700" s="408"/>
      <c r="S3700" s="408"/>
      <c r="T3700" s="408"/>
      <c r="U3700" s="408"/>
      <c r="V3700" s="421"/>
      <c r="W3700" s="421"/>
      <c r="X3700" s="421"/>
      <c r="Y3700" s="421"/>
      <c r="Z3700" s="421"/>
      <c r="AA3700" s="421"/>
      <c r="AB3700" s="421"/>
      <c r="AC3700" s="421"/>
      <c r="AD3700" s="421"/>
      <c r="AE3700" s="421"/>
      <c r="AF3700" s="421"/>
      <c r="AG3700" s="421"/>
      <c r="AH3700" s="421"/>
      <c r="AI3700" s="421"/>
      <c r="AJ3700" s="421"/>
      <c r="AK3700" s="421"/>
      <c r="AL3700" s="421"/>
    </row>
    <row r="3701" spans="1:38" hidden="1">
      <c r="A3701" s="408"/>
      <c r="B3701" s="83" t="e">
        <f t="array" ref="B3701">SUM(--(FREQUENCY(IF(C$2:C$3072=C3701, MATCH(D$2:D$3072, D$2:D$3072, 0)), ROW(D$2:D$3072)-ROW(D$2)+1) &gt; 0))</f>
        <v>#N/A</v>
      </c>
      <c r="C3701" s="408"/>
      <c r="D3701" s="408"/>
      <c r="E3701" s="408"/>
      <c r="F3701" s="408"/>
      <c r="G3701" s="408"/>
      <c r="H3701" s="408"/>
      <c r="I3701" s="408"/>
      <c r="J3701" s="408"/>
      <c r="K3701" s="408"/>
      <c r="L3701" s="408"/>
      <c r="M3701" s="408"/>
      <c r="N3701" s="408" t="str">
        <f t="shared" si="484"/>
        <v/>
      </c>
      <c r="O3701" s="408"/>
      <c r="P3701" s="408"/>
      <c r="Q3701" s="408"/>
      <c r="R3701" s="408"/>
      <c r="S3701" s="408"/>
      <c r="T3701" s="408"/>
      <c r="U3701" s="408"/>
      <c r="V3701" s="421"/>
      <c r="W3701" s="421"/>
      <c r="X3701" s="421"/>
      <c r="Y3701" s="421"/>
      <c r="Z3701" s="421"/>
      <c r="AA3701" s="421"/>
      <c r="AB3701" s="421"/>
      <c r="AC3701" s="421"/>
      <c r="AD3701" s="421"/>
      <c r="AE3701" s="421"/>
      <c r="AF3701" s="421"/>
      <c r="AG3701" s="421"/>
      <c r="AH3701" s="421"/>
      <c r="AI3701" s="421"/>
      <c r="AJ3701" s="421"/>
      <c r="AK3701" s="421"/>
      <c r="AL3701" s="421"/>
    </row>
    <row r="3702" spans="1:38" hidden="1">
      <c r="A3702" s="408"/>
      <c r="B3702" s="83" t="e">
        <f t="array" ref="B3702">SUM(--(FREQUENCY(IF(C$2:C$3072=C3702, MATCH(D$2:D$3072, D$2:D$3072, 0)), ROW(D$2:D$3072)-ROW(D$2)+1) &gt; 0))</f>
        <v>#N/A</v>
      </c>
      <c r="C3702" s="408"/>
      <c r="D3702" s="408"/>
      <c r="E3702" s="408"/>
      <c r="F3702" s="408"/>
      <c r="G3702" s="408"/>
      <c r="H3702" s="408"/>
      <c r="I3702" s="408"/>
      <c r="J3702" s="408"/>
      <c r="K3702" s="408"/>
      <c r="L3702" s="408"/>
      <c r="M3702" s="408"/>
      <c r="N3702" s="408" t="str">
        <f t="shared" si="484"/>
        <v/>
      </c>
      <c r="O3702" s="408"/>
      <c r="P3702" s="408"/>
      <c r="Q3702" s="408"/>
      <c r="R3702" s="408"/>
      <c r="S3702" s="408"/>
      <c r="T3702" s="408"/>
      <c r="U3702" s="408"/>
      <c r="V3702" s="421"/>
      <c r="W3702" s="421"/>
      <c r="X3702" s="421"/>
      <c r="Y3702" s="421"/>
      <c r="Z3702" s="421"/>
      <c r="AA3702" s="421"/>
      <c r="AB3702" s="421"/>
      <c r="AC3702" s="421"/>
      <c r="AD3702" s="421"/>
      <c r="AE3702" s="421"/>
      <c r="AF3702" s="421"/>
      <c r="AG3702" s="421"/>
      <c r="AH3702" s="421"/>
      <c r="AI3702" s="421"/>
      <c r="AJ3702" s="421"/>
      <c r="AK3702" s="421"/>
      <c r="AL3702" s="421"/>
    </row>
    <row r="3703" spans="1:38" hidden="1">
      <c r="A3703" s="408"/>
      <c r="B3703" s="83" t="e">
        <f t="array" ref="B3703">SUM(--(FREQUENCY(IF(C$2:C$3072=C3703, MATCH(D$2:D$3072, D$2:D$3072, 0)), ROW(D$2:D$3072)-ROW(D$2)+1) &gt; 0))</f>
        <v>#N/A</v>
      </c>
      <c r="C3703" s="408"/>
      <c r="D3703" s="408"/>
      <c r="E3703" s="408"/>
      <c r="F3703" s="408"/>
      <c r="G3703" s="408"/>
      <c r="H3703" s="408"/>
      <c r="I3703" s="408"/>
      <c r="J3703" s="408"/>
      <c r="K3703" s="408"/>
      <c r="L3703" s="408"/>
      <c r="M3703" s="408"/>
      <c r="N3703" s="408" t="str">
        <f t="shared" si="484"/>
        <v/>
      </c>
      <c r="O3703" s="408"/>
      <c r="P3703" s="408"/>
      <c r="Q3703" s="408"/>
      <c r="R3703" s="408"/>
      <c r="S3703" s="408"/>
      <c r="T3703" s="408"/>
      <c r="U3703" s="408"/>
      <c r="V3703" s="421"/>
      <c r="W3703" s="421"/>
      <c r="X3703" s="421"/>
      <c r="Y3703" s="421"/>
      <c r="Z3703" s="421"/>
      <c r="AA3703" s="421"/>
      <c r="AB3703" s="421"/>
      <c r="AC3703" s="421"/>
      <c r="AD3703" s="421"/>
      <c r="AE3703" s="421"/>
      <c r="AF3703" s="421"/>
      <c r="AG3703" s="421"/>
      <c r="AH3703" s="421"/>
      <c r="AI3703" s="421"/>
      <c r="AJ3703" s="421"/>
      <c r="AK3703" s="421"/>
      <c r="AL3703" s="421"/>
    </row>
    <row r="3704" spans="1:38" hidden="1">
      <c r="A3704" s="408"/>
      <c r="B3704" s="83" t="e">
        <f t="array" ref="B3704">SUM(--(FREQUENCY(IF(C$2:C$3072=C3704, MATCH(D$2:D$3072, D$2:D$3072, 0)), ROW(D$2:D$3072)-ROW(D$2)+1) &gt; 0))</f>
        <v>#N/A</v>
      </c>
      <c r="C3704" s="408"/>
      <c r="D3704" s="408"/>
      <c r="E3704" s="408"/>
      <c r="F3704" s="408"/>
      <c r="G3704" s="408"/>
      <c r="H3704" s="408"/>
      <c r="I3704" s="408"/>
      <c r="J3704" s="408"/>
      <c r="K3704" s="408"/>
      <c r="L3704" s="408"/>
      <c r="M3704" s="408"/>
      <c r="N3704" s="408" t="str">
        <f t="shared" si="484"/>
        <v/>
      </c>
      <c r="O3704" s="408"/>
      <c r="P3704" s="408"/>
      <c r="Q3704" s="408"/>
      <c r="R3704" s="408"/>
      <c r="S3704" s="408"/>
      <c r="T3704" s="408"/>
      <c r="U3704" s="408"/>
      <c r="V3704" s="421"/>
      <c r="W3704" s="421"/>
      <c r="X3704" s="421"/>
      <c r="Y3704" s="421"/>
      <c r="Z3704" s="421"/>
      <c r="AA3704" s="421"/>
      <c r="AB3704" s="421"/>
      <c r="AC3704" s="421"/>
      <c r="AD3704" s="421"/>
      <c r="AE3704" s="421"/>
      <c r="AF3704" s="421"/>
      <c r="AG3704" s="421"/>
      <c r="AH3704" s="421"/>
      <c r="AI3704" s="421"/>
      <c r="AJ3704" s="421"/>
      <c r="AK3704" s="421"/>
      <c r="AL3704" s="421"/>
    </row>
    <row r="3705" spans="1:38" hidden="1">
      <c r="A3705" s="408"/>
      <c r="B3705" s="83" t="e">
        <f t="array" ref="B3705">SUM(--(FREQUENCY(IF(C$2:C$3072=C3705, MATCH(D$2:D$3072, D$2:D$3072, 0)), ROW(D$2:D$3072)-ROW(D$2)+1) &gt; 0))</f>
        <v>#N/A</v>
      </c>
      <c r="C3705" s="408"/>
      <c r="D3705" s="408"/>
      <c r="E3705" s="408"/>
      <c r="F3705" s="408"/>
      <c r="G3705" s="408"/>
      <c r="H3705" s="408"/>
      <c r="I3705" s="408"/>
      <c r="J3705" s="408"/>
      <c r="K3705" s="408"/>
      <c r="L3705" s="408"/>
      <c r="M3705" s="408"/>
      <c r="N3705" s="408" t="str">
        <f t="shared" si="484"/>
        <v/>
      </c>
      <c r="O3705" s="408"/>
      <c r="P3705" s="408"/>
      <c r="Q3705" s="408"/>
      <c r="R3705" s="408"/>
      <c r="S3705" s="408"/>
      <c r="T3705" s="408"/>
      <c r="U3705" s="408"/>
      <c r="V3705" s="421"/>
      <c r="W3705" s="421"/>
      <c r="X3705" s="421"/>
      <c r="Y3705" s="421"/>
      <c r="Z3705" s="421"/>
      <c r="AA3705" s="421"/>
      <c r="AB3705" s="421"/>
      <c r="AC3705" s="421"/>
      <c r="AD3705" s="421"/>
      <c r="AE3705" s="421"/>
      <c r="AF3705" s="421"/>
      <c r="AG3705" s="421"/>
      <c r="AH3705" s="421"/>
      <c r="AI3705" s="421"/>
      <c r="AJ3705" s="421"/>
      <c r="AK3705" s="421"/>
      <c r="AL3705" s="421"/>
    </row>
    <row r="3706" spans="1:38" hidden="1">
      <c r="A3706" s="408"/>
      <c r="B3706" s="83" t="e">
        <f t="array" ref="B3706">SUM(--(FREQUENCY(IF(C$2:C$3072=C3706, MATCH(D$2:D$3072, D$2:D$3072, 0)), ROW(D$2:D$3072)-ROW(D$2)+1) &gt; 0))</f>
        <v>#N/A</v>
      </c>
      <c r="C3706" s="408"/>
      <c r="D3706" s="408"/>
      <c r="E3706" s="408"/>
      <c r="F3706" s="408"/>
      <c r="G3706" s="408"/>
      <c r="H3706" s="408"/>
      <c r="I3706" s="408"/>
      <c r="J3706" s="408"/>
      <c r="K3706" s="408"/>
      <c r="L3706" s="408"/>
      <c r="M3706" s="408"/>
      <c r="N3706" s="408" t="str">
        <f t="shared" si="484"/>
        <v/>
      </c>
      <c r="O3706" s="408"/>
      <c r="P3706" s="408"/>
      <c r="Q3706" s="408"/>
      <c r="R3706" s="408"/>
      <c r="S3706" s="408"/>
      <c r="T3706" s="408"/>
      <c r="U3706" s="408"/>
      <c r="V3706" s="421"/>
      <c r="W3706" s="421"/>
      <c r="X3706" s="421"/>
      <c r="Y3706" s="421"/>
      <c r="Z3706" s="421"/>
      <c r="AA3706" s="421"/>
      <c r="AB3706" s="421"/>
      <c r="AC3706" s="421"/>
      <c r="AD3706" s="421"/>
      <c r="AE3706" s="421"/>
      <c r="AF3706" s="421"/>
      <c r="AG3706" s="421"/>
      <c r="AH3706" s="421"/>
      <c r="AI3706" s="421"/>
      <c r="AJ3706" s="421"/>
      <c r="AK3706" s="421"/>
      <c r="AL3706" s="421"/>
    </row>
    <row r="3707" spans="1:38" hidden="1">
      <c r="A3707" s="408"/>
      <c r="B3707" s="83" t="e">
        <f t="array" ref="B3707">SUM(--(FREQUENCY(IF(C$2:C$3072=C3707, MATCH(D$2:D$3072, D$2:D$3072, 0)), ROW(D$2:D$3072)-ROW(D$2)+1) &gt; 0))</f>
        <v>#N/A</v>
      </c>
      <c r="C3707" s="408"/>
      <c r="D3707" s="408"/>
      <c r="E3707" s="408"/>
      <c r="F3707" s="408"/>
      <c r="G3707" s="408"/>
      <c r="H3707" s="408"/>
      <c r="I3707" s="408"/>
      <c r="J3707" s="408"/>
      <c r="K3707" s="408"/>
      <c r="L3707" s="408"/>
      <c r="M3707" s="408"/>
      <c r="N3707" s="408" t="str">
        <f t="shared" si="484"/>
        <v/>
      </c>
      <c r="O3707" s="408"/>
      <c r="P3707" s="408"/>
      <c r="Q3707" s="408"/>
      <c r="R3707" s="408"/>
      <c r="S3707" s="408"/>
      <c r="T3707" s="408"/>
      <c r="U3707" s="408"/>
      <c r="V3707" s="421"/>
      <c r="W3707" s="421"/>
      <c r="X3707" s="421"/>
      <c r="Y3707" s="421"/>
      <c r="Z3707" s="421"/>
      <c r="AA3707" s="421"/>
      <c r="AB3707" s="421"/>
      <c r="AC3707" s="421"/>
      <c r="AD3707" s="421"/>
      <c r="AE3707" s="421"/>
      <c r="AF3707" s="421"/>
      <c r="AG3707" s="421"/>
      <c r="AH3707" s="421"/>
      <c r="AI3707" s="421"/>
      <c r="AJ3707" s="421"/>
      <c r="AK3707" s="421"/>
      <c r="AL3707" s="421"/>
    </row>
    <row r="3708" spans="1:38" hidden="1">
      <c r="A3708" s="408"/>
      <c r="B3708" s="83" t="e">
        <f t="array" ref="B3708">SUM(--(FREQUENCY(IF(C$2:C$3072=C3708, MATCH(D$2:D$3072, D$2:D$3072, 0)), ROW(D$2:D$3072)-ROW(D$2)+1) &gt; 0))</f>
        <v>#N/A</v>
      </c>
      <c r="C3708" s="408"/>
      <c r="D3708" s="408"/>
      <c r="E3708" s="408"/>
      <c r="F3708" s="408"/>
      <c r="G3708" s="408"/>
      <c r="H3708" s="408"/>
      <c r="I3708" s="408"/>
      <c r="J3708" s="408"/>
      <c r="K3708" s="408"/>
      <c r="L3708" s="408"/>
      <c r="M3708" s="408"/>
      <c r="N3708" s="408" t="str">
        <f t="shared" si="484"/>
        <v/>
      </c>
      <c r="O3708" s="408"/>
      <c r="P3708" s="408"/>
      <c r="Q3708" s="408"/>
      <c r="R3708" s="408"/>
      <c r="S3708" s="408"/>
      <c r="T3708" s="408"/>
      <c r="U3708" s="408"/>
      <c r="V3708" s="421"/>
      <c r="W3708" s="421"/>
      <c r="X3708" s="421"/>
      <c r="Y3708" s="421"/>
      <c r="Z3708" s="421"/>
      <c r="AA3708" s="421"/>
      <c r="AB3708" s="421"/>
      <c r="AC3708" s="421"/>
      <c r="AD3708" s="421"/>
      <c r="AE3708" s="421"/>
      <c r="AF3708" s="421"/>
      <c r="AG3708" s="421"/>
      <c r="AH3708" s="421"/>
      <c r="AI3708" s="421"/>
      <c r="AJ3708" s="421"/>
      <c r="AK3708" s="421"/>
      <c r="AL3708" s="421"/>
    </row>
    <row r="3709" spans="1:38" hidden="1">
      <c r="A3709" s="408"/>
      <c r="B3709" s="83" t="e">
        <f t="array" ref="B3709">SUM(--(FREQUENCY(IF(C$2:C$3072=C3709, MATCH(D$2:D$3072, D$2:D$3072, 0)), ROW(D$2:D$3072)-ROW(D$2)+1) &gt; 0))</f>
        <v>#N/A</v>
      </c>
      <c r="C3709" s="408"/>
      <c r="D3709" s="408"/>
      <c r="E3709" s="408"/>
      <c r="F3709" s="408"/>
      <c r="G3709" s="408"/>
      <c r="H3709" s="408"/>
      <c r="I3709" s="408"/>
      <c r="J3709" s="408"/>
      <c r="K3709" s="408"/>
      <c r="L3709" s="408"/>
      <c r="M3709" s="408"/>
      <c r="N3709" s="408" t="str">
        <f t="shared" si="484"/>
        <v/>
      </c>
      <c r="O3709" s="408"/>
      <c r="P3709" s="408"/>
      <c r="Q3709" s="408"/>
      <c r="R3709" s="408"/>
      <c r="S3709" s="408"/>
      <c r="T3709" s="408"/>
      <c r="U3709" s="408"/>
      <c r="V3709" s="421"/>
      <c r="W3709" s="421"/>
      <c r="X3709" s="421"/>
      <c r="Y3709" s="421"/>
      <c r="Z3709" s="421"/>
      <c r="AA3709" s="421"/>
      <c r="AB3709" s="421"/>
      <c r="AC3709" s="421"/>
      <c r="AD3709" s="421"/>
      <c r="AE3709" s="421"/>
      <c r="AF3709" s="421"/>
      <c r="AG3709" s="421"/>
      <c r="AH3709" s="421"/>
      <c r="AI3709" s="421"/>
      <c r="AJ3709" s="421"/>
      <c r="AK3709" s="421"/>
      <c r="AL3709" s="421"/>
    </row>
    <row r="3710" spans="1:38" hidden="1">
      <c r="A3710" s="408"/>
      <c r="B3710" s="83" t="e">
        <f t="array" ref="B3710">SUM(--(FREQUENCY(IF(C$2:C$3072=C3710, MATCH(D$2:D$3072, D$2:D$3072, 0)), ROW(D$2:D$3072)-ROW(D$2)+1) &gt; 0))</f>
        <v>#N/A</v>
      </c>
      <c r="C3710" s="408"/>
      <c r="D3710" s="408"/>
      <c r="E3710" s="408"/>
      <c r="F3710" s="408"/>
      <c r="G3710" s="408"/>
      <c r="H3710" s="408"/>
      <c r="I3710" s="408"/>
      <c r="J3710" s="408"/>
      <c r="K3710" s="408"/>
      <c r="L3710" s="408"/>
      <c r="M3710" s="408"/>
      <c r="N3710" s="408" t="str">
        <f t="shared" si="484"/>
        <v/>
      </c>
      <c r="O3710" s="408"/>
      <c r="P3710" s="408"/>
      <c r="Q3710" s="408"/>
      <c r="R3710" s="408"/>
      <c r="S3710" s="408"/>
      <c r="T3710" s="408"/>
      <c r="U3710" s="408"/>
      <c r="V3710" s="421"/>
      <c r="W3710" s="421"/>
      <c r="X3710" s="421"/>
      <c r="Y3710" s="421"/>
      <c r="Z3710" s="421"/>
      <c r="AA3710" s="421"/>
      <c r="AB3710" s="421"/>
      <c r="AC3710" s="421"/>
      <c r="AD3710" s="421"/>
      <c r="AE3710" s="421"/>
      <c r="AF3710" s="421"/>
      <c r="AG3710" s="421"/>
      <c r="AH3710" s="421"/>
      <c r="AI3710" s="421"/>
      <c r="AJ3710" s="421"/>
      <c r="AK3710" s="421"/>
      <c r="AL3710" s="421"/>
    </row>
    <row r="3711" spans="1:38" hidden="1">
      <c r="A3711" s="408"/>
      <c r="B3711" s="83" t="e">
        <f t="array" ref="B3711">SUM(--(FREQUENCY(IF(C$2:C$3072=C3711, MATCH(D$2:D$3072, D$2:D$3072, 0)), ROW(D$2:D$3072)-ROW(D$2)+1) &gt; 0))</f>
        <v>#N/A</v>
      </c>
      <c r="C3711" s="408"/>
      <c r="D3711" s="408"/>
      <c r="E3711" s="408"/>
      <c r="F3711" s="408"/>
      <c r="G3711" s="408"/>
      <c r="H3711" s="408"/>
      <c r="I3711" s="408"/>
      <c r="J3711" s="408"/>
      <c r="K3711" s="408"/>
      <c r="L3711" s="408"/>
      <c r="M3711" s="408"/>
      <c r="N3711" s="408" t="str">
        <f t="shared" si="484"/>
        <v/>
      </c>
      <c r="O3711" s="408"/>
      <c r="P3711" s="408"/>
      <c r="Q3711" s="408"/>
      <c r="R3711" s="408"/>
      <c r="S3711" s="408"/>
      <c r="T3711" s="408"/>
      <c r="U3711" s="408"/>
      <c r="V3711" s="421"/>
      <c r="W3711" s="421"/>
      <c r="X3711" s="421"/>
      <c r="Y3711" s="421"/>
      <c r="Z3711" s="421"/>
      <c r="AA3711" s="421"/>
      <c r="AB3711" s="421"/>
      <c r="AC3711" s="421"/>
      <c r="AD3711" s="421"/>
      <c r="AE3711" s="421"/>
      <c r="AF3711" s="421"/>
      <c r="AG3711" s="421"/>
      <c r="AH3711" s="421"/>
      <c r="AI3711" s="421"/>
      <c r="AJ3711" s="421"/>
      <c r="AK3711" s="421"/>
      <c r="AL3711" s="421"/>
    </row>
    <row r="3712" spans="1:38" hidden="1">
      <c r="A3712" s="408"/>
      <c r="B3712" s="83" t="e">
        <f t="array" ref="B3712">SUM(--(FREQUENCY(IF(C$2:C$3072=C3712, MATCH(D$2:D$3072, D$2:D$3072, 0)), ROW(D$2:D$3072)-ROW(D$2)+1) &gt; 0))</f>
        <v>#N/A</v>
      </c>
      <c r="C3712" s="408"/>
      <c r="D3712" s="408"/>
      <c r="E3712" s="408"/>
      <c r="F3712" s="408"/>
      <c r="G3712" s="408"/>
      <c r="H3712" s="408"/>
      <c r="I3712" s="408"/>
      <c r="J3712" s="408"/>
      <c r="K3712" s="408"/>
      <c r="L3712" s="408"/>
      <c r="M3712" s="408"/>
      <c r="N3712" s="408" t="str">
        <f t="shared" ref="N3712:N3775" si="485">IF(O3712&lt;&gt;"", "NG", "")</f>
        <v/>
      </c>
      <c r="O3712" s="408"/>
      <c r="P3712" s="408"/>
      <c r="Q3712" s="408"/>
      <c r="R3712" s="408"/>
      <c r="S3712" s="408"/>
      <c r="T3712" s="408"/>
      <c r="U3712" s="408"/>
      <c r="V3712" s="421"/>
      <c r="W3712" s="421"/>
      <c r="X3712" s="421"/>
      <c r="Y3712" s="421"/>
      <c r="Z3712" s="421"/>
      <c r="AA3712" s="421"/>
      <c r="AB3712" s="421"/>
      <c r="AC3712" s="421"/>
      <c r="AD3712" s="421"/>
      <c r="AE3712" s="421"/>
      <c r="AF3712" s="421"/>
      <c r="AG3712" s="421"/>
      <c r="AH3712" s="421"/>
      <c r="AI3712" s="421"/>
      <c r="AJ3712" s="421"/>
      <c r="AK3712" s="421"/>
      <c r="AL3712" s="421"/>
    </row>
    <row r="3713" spans="1:38" hidden="1">
      <c r="A3713" s="408"/>
      <c r="B3713" s="83" t="e">
        <f t="array" ref="B3713">SUM(--(FREQUENCY(IF(C$2:C$3072=C3713, MATCH(D$2:D$3072, D$2:D$3072, 0)), ROW(D$2:D$3072)-ROW(D$2)+1) &gt; 0))</f>
        <v>#N/A</v>
      </c>
      <c r="C3713" s="408"/>
      <c r="D3713" s="408"/>
      <c r="E3713" s="408"/>
      <c r="F3713" s="408"/>
      <c r="G3713" s="408"/>
      <c r="H3713" s="408"/>
      <c r="I3713" s="408"/>
      <c r="J3713" s="408"/>
      <c r="K3713" s="408"/>
      <c r="L3713" s="408"/>
      <c r="M3713" s="408"/>
      <c r="N3713" s="408" t="str">
        <f t="shared" si="485"/>
        <v/>
      </c>
      <c r="O3713" s="408"/>
      <c r="P3713" s="408"/>
      <c r="Q3713" s="408"/>
      <c r="R3713" s="408"/>
      <c r="S3713" s="408"/>
      <c r="T3713" s="408"/>
      <c r="U3713" s="408"/>
      <c r="V3713" s="421"/>
      <c r="W3713" s="421"/>
      <c r="X3713" s="421"/>
      <c r="Y3713" s="421"/>
      <c r="Z3713" s="421"/>
      <c r="AA3713" s="421"/>
      <c r="AB3713" s="421"/>
      <c r="AC3713" s="421"/>
      <c r="AD3713" s="421"/>
      <c r="AE3713" s="421"/>
      <c r="AF3713" s="421"/>
      <c r="AG3713" s="421"/>
      <c r="AH3713" s="421"/>
      <c r="AI3713" s="421"/>
      <c r="AJ3713" s="421"/>
      <c r="AK3713" s="421"/>
      <c r="AL3713" s="421"/>
    </row>
    <row r="3714" spans="1:38" hidden="1">
      <c r="A3714" s="408"/>
      <c r="B3714" s="83" t="e">
        <f t="array" ref="B3714">SUM(--(FREQUENCY(IF(C$2:C$3072=C3714, MATCH(D$2:D$3072, D$2:D$3072, 0)), ROW(D$2:D$3072)-ROW(D$2)+1) &gt; 0))</f>
        <v>#N/A</v>
      </c>
      <c r="C3714" s="408"/>
      <c r="D3714" s="408"/>
      <c r="E3714" s="408"/>
      <c r="F3714" s="408"/>
      <c r="G3714" s="408"/>
      <c r="H3714" s="408"/>
      <c r="I3714" s="408"/>
      <c r="J3714" s="408"/>
      <c r="K3714" s="408"/>
      <c r="L3714" s="408"/>
      <c r="M3714" s="408"/>
      <c r="N3714" s="408" t="str">
        <f t="shared" si="485"/>
        <v/>
      </c>
      <c r="O3714" s="408"/>
      <c r="P3714" s="408"/>
      <c r="Q3714" s="408"/>
      <c r="R3714" s="408"/>
      <c r="S3714" s="408"/>
      <c r="T3714" s="408"/>
      <c r="U3714" s="408"/>
      <c r="V3714" s="421"/>
      <c r="W3714" s="421"/>
      <c r="X3714" s="421"/>
      <c r="Y3714" s="421"/>
      <c r="Z3714" s="421"/>
      <c r="AA3714" s="421"/>
      <c r="AB3714" s="421"/>
      <c r="AC3714" s="421"/>
      <c r="AD3714" s="421"/>
      <c r="AE3714" s="421"/>
      <c r="AF3714" s="421"/>
      <c r="AG3714" s="421"/>
      <c r="AH3714" s="421"/>
      <c r="AI3714" s="421"/>
      <c r="AJ3714" s="421"/>
      <c r="AK3714" s="421"/>
      <c r="AL3714" s="421"/>
    </row>
    <row r="3715" spans="1:38" hidden="1">
      <c r="A3715" s="408"/>
      <c r="B3715" s="83" t="e">
        <f t="array" ref="B3715">SUM(--(FREQUENCY(IF(C$2:C$3072=C3715, MATCH(D$2:D$3072, D$2:D$3072, 0)), ROW(D$2:D$3072)-ROW(D$2)+1) &gt; 0))</f>
        <v>#N/A</v>
      </c>
      <c r="C3715" s="408"/>
      <c r="D3715" s="408"/>
      <c r="E3715" s="408"/>
      <c r="F3715" s="408"/>
      <c r="G3715" s="408"/>
      <c r="H3715" s="408"/>
      <c r="I3715" s="408"/>
      <c r="J3715" s="408"/>
      <c r="K3715" s="408"/>
      <c r="L3715" s="408"/>
      <c r="M3715" s="408"/>
      <c r="N3715" s="408" t="str">
        <f t="shared" si="485"/>
        <v/>
      </c>
      <c r="O3715" s="408"/>
      <c r="P3715" s="408"/>
      <c r="Q3715" s="408"/>
      <c r="R3715" s="408"/>
      <c r="S3715" s="408"/>
      <c r="T3715" s="408"/>
      <c r="U3715" s="408"/>
      <c r="V3715" s="421"/>
      <c r="W3715" s="421"/>
      <c r="X3715" s="421"/>
      <c r="Y3715" s="421"/>
      <c r="Z3715" s="421"/>
      <c r="AA3715" s="421"/>
      <c r="AB3715" s="421"/>
      <c r="AC3715" s="421"/>
      <c r="AD3715" s="421"/>
      <c r="AE3715" s="421"/>
      <c r="AF3715" s="421"/>
      <c r="AG3715" s="421"/>
      <c r="AH3715" s="421"/>
      <c r="AI3715" s="421"/>
      <c r="AJ3715" s="421"/>
      <c r="AK3715" s="421"/>
      <c r="AL3715" s="421"/>
    </row>
    <row r="3716" spans="1:38" hidden="1">
      <c r="A3716" s="408"/>
      <c r="B3716" s="83" t="e">
        <f t="array" ref="B3716">SUM(--(FREQUENCY(IF(C$2:C$3072=C3716, MATCH(D$2:D$3072, D$2:D$3072, 0)), ROW(D$2:D$3072)-ROW(D$2)+1) &gt; 0))</f>
        <v>#N/A</v>
      </c>
      <c r="C3716" s="408"/>
      <c r="D3716" s="408"/>
      <c r="E3716" s="408"/>
      <c r="F3716" s="408"/>
      <c r="G3716" s="408"/>
      <c r="H3716" s="408"/>
      <c r="I3716" s="408"/>
      <c r="J3716" s="408"/>
      <c r="K3716" s="408"/>
      <c r="L3716" s="408"/>
      <c r="M3716" s="408"/>
      <c r="N3716" s="408" t="str">
        <f t="shared" si="485"/>
        <v/>
      </c>
      <c r="O3716" s="408"/>
      <c r="P3716" s="408"/>
      <c r="Q3716" s="408"/>
      <c r="R3716" s="408"/>
      <c r="S3716" s="408"/>
      <c r="T3716" s="408"/>
      <c r="U3716" s="408"/>
      <c r="V3716" s="421"/>
      <c r="W3716" s="421"/>
      <c r="X3716" s="421"/>
      <c r="Y3716" s="421"/>
      <c r="Z3716" s="421"/>
      <c r="AA3716" s="421"/>
      <c r="AB3716" s="421"/>
      <c r="AC3716" s="421"/>
      <c r="AD3716" s="421"/>
      <c r="AE3716" s="421"/>
      <c r="AF3716" s="421"/>
      <c r="AG3716" s="421"/>
      <c r="AH3716" s="421"/>
      <c r="AI3716" s="421"/>
      <c r="AJ3716" s="421"/>
      <c r="AK3716" s="421"/>
      <c r="AL3716" s="421"/>
    </row>
    <row r="3717" spans="1:38" hidden="1">
      <c r="A3717" s="408"/>
      <c r="B3717" s="83" t="e">
        <f t="array" ref="B3717">SUM(--(FREQUENCY(IF(C$2:C$3072=C3717, MATCH(D$2:D$3072, D$2:D$3072, 0)), ROW(D$2:D$3072)-ROW(D$2)+1) &gt; 0))</f>
        <v>#N/A</v>
      </c>
      <c r="C3717" s="408"/>
      <c r="D3717" s="408"/>
      <c r="E3717" s="408"/>
      <c r="F3717" s="408"/>
      <c r="G3717" s="408"/>
      <c r="H3717" s="408"/>
      <c r="I3717" s="408"/>
      <c r="J3717" s="408"/>
      <c r="K3717" s="408"/>
      <c r="L3717" s="408"/>
      <c r="M3717" s="408"/>
      <c r="N3717" s="408" t="str">
        <f t="shared" si="485"/>
        <v/>
      </c>
      <c r="O3717" s="408"/>
      <c r="P3717" s="408"/>
      <c r="Q3717" s="408"/>
      <c r="R3717" s="408"/>
      <c r="S3717" s="408"/>
      <c r="T3717" s="408"/>
      <c r="U3717" s="408"/>
      <c r="V3717" s="421"/>
      <c r="W3717" s="421"/>
      <c r="X3717" s="421"/>
      <c r="Y3717" s="421"/>
      <c r="Z3717" s="421"/>
      <c r="AA3717" s="421"/>
      <c r="AB3717" s="421"/>
      <c r="AC3717" s="421"/>
      <c r="AD3717" s="421"/>
      <c r="AE3717" s="421"/>
      <c r="AF3717" s="421"/>
      <c r="AG3717" s="421"/>
      <c r="AH3717" s="421"/>
      <c r="AI3717" s="421"/>
      <c r="AJ3717" s="421"/>
      <c r="AK3717" s="421"/>
      <c r="AL3717" s="421"/>
    </row>
    <row r="3718" spans="1:38" hidden="1">
      <c r="A3718" s="408"/>
      <c r="B3718" s="83" t="e">
        <f t="array" ref="B3718">SUM(--(FREQUENCY(IF(C$2:C$3072=C3718, MATCH(D$2:D$3072, D$2:D$3072, 0)), ROW(D$2:D$3072)-ROW(D$2)+1) &gt; 0))</f>
        <v>#N/A</v>
      </c>
      <c r="C3718" s="408"/>
      <c r="D3718" s="408"/>
      <c r="E3718" s="408"/>
      <c r="F3718" s="408"/>
      <c r="G3718" s="408"/>
      <c r="H3718" s="408"/>
      <c r="I3718" s="408"/>
      <c r="J3718" s="408"/>
      <c r="K3718" s="408"/>
      <c r="L3718" s="408"/>
      <c r="M3718" s="408"/>
      <c r="N3718" s="408" t="str">
        <f t="shared" si="485"/>
        <v/>
      </c>
      <c r="O3718" s="408"/>
      <c r="P3718" s="408"/>
      <c r="Q3718" s="408"/>
      <c r="R3718" s="408"/>
      <c r="S3718" s="408"/>
      <c r="T3718" s="408"/>
      <c r="U3718" s="408"/>
      <c r="V3718" s="421"/>
      <c r="W3718" s="421"/>
      <c r="X3718" s="421"/>
      <c r="Y3718" s="421"/>
      <c r="Z3718" s="421"/>
      <c r="AA3718" s="421"/>
      <c r="AB3718" s="421"/>
      <c r="AC3718" s="421"/>
      <c r="AD3718" s="421"/>
      <c r="AE3718" s="421"/>
      <c r="AF3718" s="421"/>
      <c r="AG3718" s="421"/>
      <c r="AH3718" s="421"/>
      <c r="AI3718" s="421"/>
      <c r="AJ3718" s="421"/>
      <c r="AK3718" s="421"/>
      <c r="AL3718" s="421"/>
    </row>
    <row r="3719" spans="1:38" hidden="1">
      <c r="A3719" s="408"/>
      <c r="B3719" s="83" t="e">
        <f t="array" ref="B3719">SUM(--(FREQUENCY(IF(C$2:C$3072=C3719, MATCH(D$2:D$3072, D$2:D$3072, 0)), ROW(D$2:D$3072)-ROW(D$2)+1) &gt; 0))</f>
        <v>#N/A</v>
      </c>
      <c r="C3719" s="408"/>
      <c r="D3719" s="408"/>
      <c r="E3719" s="408"/>
      <c r="F3719" s="408"/>
      <c r="G3719" s="408"/>
      <c r="H3719" s="408"/>
      <c r="I3719" s="408"/>
      <c r="J3719" s="408"/>
      <c r="K3719" s="408"/>
      <c r="L3719" s="408"/>
      <c r="M3719" s="408"/>
      <c r="N3719" s="408" t="str">
        <f t="shared" si="485"/>
        <v/>
      </c>
      <c r="O3719" s="408"/>
      <c r="P3719" s="408"/>
      <c r="Q3719" s="408"/>
      <c r="R3719" s="408"/>
      <c r="S3719" s="408"/>
      <c r="T3719" s="408"/>
      <c r="U3719" s="408"/>
      <c r="V3719" s="421"/>
      <c r="W3719" s="421"/>
      <c r="X3719" s="421"/>
      <c r="Y3719" s="421"/>
      <c r="Z3719" s="421"/>
      <c r="AA3719" s="421"/>
      <c r="AB3719" s="421"/>
      <c r="AC3719" s="421"/>
      <c r="AD3719" s="421"/>
      <c r="AE3719" s="421"/>
      <c r="AF3719" s="421"/>
      <c r="AG3719" s="421"/>
      <c r="AH3719" s="421"/>
      <c r="AI3719" s="421"/>
      <c r="AJ3719" s="421"/>
      <c r="AK3719" s="421"/>
      <c r="AL3719" s="421"/>
    </row>
    <row r="3720" spans="1:38" hidden="1">
      <c r="A3720" s="408"/>
      <c r="B3720" s="83" t="e">
        <f t="array" ref="B3720">SUM(--(FREQUENCY(IF(C$2:C$3072=C3720, MATCH(D$2:D$3072, D$2:D$3072, 0)), ROW(D$2:D$3072)-ROW(D$2)+1) &gt; 0))</f>
        <v>#N/A</v>
      </c>
      <c r="C3720" s="408"/>
      <c r="D3720" s="408"/>
      <c r="E3720" s="408"/>
      <c r="F3720" s="408"/>
      <c r="G3720" s="408"/>
      <c r="H3720" s="408"/>
      <c r="I3720" s="408"/>
      <c r="J3720" s="408"/>
      <c r="K3720" s="408"/>
      <c r="L3720" s="408"/>
      <c r="M3720" s="408"/>
      <c r="N3720" s="408" t="str">
        <f t="shared" si="485"/>
        <v/>
      </c>
      <c r="O3720" s="408"/>
      <c r="P3720" s="408"/>
      <c r="Q3720" s="408"/>
      <c r="R3720" s="408"/>
      <c r="S3720" s="408"/>
      <c r="T3720" s="408"/>
      <c r="U3720" s="408"/>
      <c r="V3720" s="421"/>
      <c r="W3720" s="421"/>
      <c r="X3720" s="421"/>
      <c r="Y3720" s="421"/>
      <c r="Z3720" s="421"/>
      <c r="AA3720" s="421"/>
      <c r="AB3720" s="421"/>
      <c r="AC3720" s="421"/>
      <c r="AD3720" s="421"/>
      <c r="AE3720" s="421"/>
      <c r="AF3720" s="421"/>
      <c r="AG3720" s="421"/>
      <c r="AH3720" s="421"/>
      <c r="AI3720" s="421"/>
      <c r="AJ3720" s="421"/>
      <c r="AK3720" s="421"/>
      <c r="AL3720" s="421"/>
    </row>
    <row r="3721" spans="1:38" hidden="1">
      <c r="A3721" s="408"/>
      <c r="B3721" s="83" t="e">
        <f t="array" ref="B3721">SUM(--(FREQUENCY(IF(C$2:C$3072=C3721, MATCH(D$2:D$3072, D$2:D$3072, 0)), ROW(D$2:D$3072)-ROW(D$2)+1) &gt; 0))</f>
        <v>#N/A</v>
      </c>
      <c r="C3721" s="408"/>
      <c r="D3721" s="408"/>
      <c r="E3721" s="408"/>
      <c r="F3721" s="408"/>
      <c r="G3721" s="408"/>
      <c r="H3721" s="408"/>
      <c r="I3721" s="408"/>
      <c r="J3721" s="408"/>
      <c r="K3721" s="408"/>
      <c r="L3721" s="408"/>
      <c r="M3721" s="408"/>
      <c r="N3721" s="408" t="str">
        <f t="shared" si="485"/>
        <v/>
      </c>
      <c r="O3721" s="408"/>
      <c r="P3721" s="408"/>
      <c r="Q3721" s="408"/>
      <c r="R3721" s="408"/>
      <c r="S3721" s="408"/>
      <c r="T3721" s="408"/>
      <c r="U3721" s="408"/>
      <c r="V3721" s="421"/>
      <c r="W3721" s="421"/>
      <c r="X3721" s="421"/>
      <c r="Y3721" s="421"/>
      <c r="Z3721" s="421"/>
      <c r="AA3721" s="421"/>
      <c r="AB3721" s="421"/>
      <c r="AC3721" s="421"/>
      <c r="AD3721" s="421"/>
      <c r="AE3721" s="421"/>
      <c r="AF3721" s="421"/>
      <c r="AG3721" s="421"/>
      <c r="AH3721" s="421"/>
      <c r="AI3721" s="421"/>
      <c r="AJ3721" s="421"/>
      <c r="AK3721" s="421"/>
      <c r="AL3721" s="421"/>
    </row>
    <row r="3722" spans="1:38" hidden="1">
      <c r="A3722" s="408"/>
      <c r="B3722" s="83" t="e">
        <f t="array" ref="B3722">SUM(--(FREQUENCY(IF(C$2:C$3072=C3722, MATCH(D$2:D$3072, D$2:D$3072, 0)), ROW(D$2:D$3072)-ROW(D$2)+1) &gt; 0))</f>
        <v>#N/A</v>
      </c>
      <c r="C3722" s="408"/>
      <c r="D3722" s="408"/>
      <c r="E3722" s="408"/>
      <c r="F3722" s="408"/>
      <c r="G3722" s="408"/>
      <c r="H3722" s="408"/>
      <c r="I3722" s="408"/>
      <c r="J3722" s="408"/>
      <c r="K3722" s="408"/>
      <c r="L3722" s="408"/>
      <c r="M3722" s="408"/>
      <c r="N3722" s="408" t="str">
        <f t="shared" si="485"/>
        <v/>
      </c>
      <c r="O3722" s="408"/>
      <c r="P3722" s="408"/>
      <c r="Q3722" s="408"/>
      <c r="R3722" s="408"/>
      <c r="S3722" s="408"/>
      <c r="T3722" s="408"/>
      <c r="U3722" s="408"/>
      <c r="V3722" s="421"/>
      <c r="W3722" s="421"/>
      <c r="X3722" s="421"/>
      <c r="Y3722" s="421"/>
      <c r="Z3722" s="421"/>
      <c r="AA3722" s="421"/>
      <c r="AB3722" s="421"/>
      <c r="AC3722" s="421"/>
      <c r="AD3722" s="421"/>
      <c r="AE3722" s="421"/>
      <c r="AF3722" s="421"/>
      <c r="AG3722" s="421"/>
      <c r="AH3722" s="421"/>
      <c r="AI3722" s="421"/>
      <c r="AJ3722" s="421"/>
      <c r="AK3722" s="421"/>
      <c r="AL3722" s="421"/>
    </row>
    <row r="3723" spans="1:38" hidden="1">
      <c r="A3723" s="408"/>
      <c r="B3723" s="83" t="e">
        <f t="array" ref="B3723">SUM(--(FREQUENCY(IF(C$2:C$3072=C3723, MATCH(D$2:D$3072, D$2:D$3072, 0)), ROW(D$2:D$3072)-ROW(D$2)+1) &gt; 0))</f>
        <v>#N/A</v>
      </c>
      <c r="C3723" s="408"/>
      <c r="D3723" s="408"/>
      <c r="E3723" s="408"/>
      <c r="F3723" s="408"/>
      <c r="G3723" s="408"/>
      <c r="H3723" s="408"/>
      <c r="I3723" s="408"/>
      <c r="J3723" s="408"/>
      <c r="K3723" s="408"/>
      <c r="L3723" s="408"/>
      <c r="M3723" s="408"/>
      <c r="N3723" s="408" t="str">
        <f t="shared" si="485"/>
        <v/>
      </c>
      <c r="O3723" s="408"/>
      <c r="P3723" s="408"/>
      <c r="Q3723" s="408"/>
      <c r="R3723" s="408"/>
      <c r="S3723" s="408"/>
      <c r="T3723" s="408"/>
      <c r="U3723" s="408"/>
      <c r="V3723" s="421"/>
      <c r="W3723" s="421"/>
      <c r="X3723" s="421"/>
      <c r="Y3723" s="421"/>
      <c r="Z3723" s="421"/>
      <c r="AA3723" s="421"/>
      <c r="AB3723" s="421"/>
      <c r="AC3723" s="421"/>
      <c r="AD3723" s="421"/>
      <c r="AE3723" s="421"/>
      <c r="AF3723" s="421"/>
      <c r="AG3723" s="421"/>
      <c r="AH3723" s="421"/>
      <c r="AI3723" s="421"/>
      <c r="AJ3723" s="421"/>
      <c r="AK3723" s="421"/>
      <c r="AL3723" s="421"/>
    </row>
    <row r="3724" spans="1:38" hidden="1">
      <c r="A3724" s="408"/>
      <c r="B3724" s="83" t="e">
        <f t="array" ref="B3724">SUM(--(FREQUENCY(IF(C$2:C$3072=C3724, MATCH(D$2:D$3072, D$2:D$3072, 0)), ROW(D$2:D$3072)-ROW(D$2)+1) &gt; 0))</f>
        <v>#N/A</v>
      </c>
      <c r="C3724" s="408"/>
      <c r="D3724" s="408"/>
      <c r="E3724" s="408"/>
      <c r="F3724" s="408"/>
      <c r="G3724" s="408"/>
      <c r="H3724" s="408"/>
      <c r="I3724" s="408"/>
      <c r="J3724" s="408"/>
      <c r="K3724" s="408"/>
      <c r="L3724" s="408"/>
      <c r="M3724" s="408"/>
      <c r="N3724" s="408" t="str">
        <f t="shared" si="485"/>
        <v/>
      </c>
      <c r="O3724" s="408"/>
      <c r="P3724" s="408"/>
      <c r="Q3724" s="408"/>
      <c r="R3724" s="408"/>
      <c r="S3724" s="408"/>
      <c r="T3724" s="408"/>
      <c r="U3724" s="408"/>
      <c r="V3724" s="421"/>
      <c r="W3724" s="421"/>
      <c r="X3724" s="421"/>
      <c r="Y3724" s="421"/>
      <c r="Z3724" s="421"/>
      <c r="AA3724" s="421"/>
      <c r="AB3724" s="421"/>
      <c r="AC3724" s="421"/>
      <c r="AD3724" s="421"/>
      <c r="AE3724" s="421"/>
      <c r="AF3724" s="421"/>
      <c r="AG3724" s="421"/>
      <c r="AH3724" s="421"/>
      <c r="AI3724" s="421"/>
      <c r="AJ3724" s="421"/>
      <c r="AK3724" s="421"/>
      <c r="AL3724" s="421"/>
    </row>
    <row r="3725" spans="1:38" hidden="1">
      <c r="A3725" s="408"/>
      <c r="B3725" s="83" t="e">
        <f t="array" ref="B3725">SUM(--(FREQUENCY(IF(C$2:C$3072=C3725, MATCH(D$2:D$3072, D$2:D$3072, 0)), ROW(D$2:D$3072)-ROW(D$2)+1) &gt; 0))</f>
        <v>#N/A</v>
      </c>
      <c r="C3725" s="408"/>
      <c r="D3725" s="408"/>
      <c r="E3725" s="408"/>
      <c r="F3725" s="408"/>
      <c r="G3725" s="408"/>
      <c r="H3725" s="408"/>
      <c r="I3725" s="408"/>
      <c r="J3725" s="408"/>
      <c r="K3725" s="408"/>
      <c r="L3725" s="408"/>
      <c r="M3725" s="408"/>
      <c r="N3725" s="408" t="str">
        <f t="shared" si="485"/>
        <v/>
      </c>
      <c r="O3725" s="408"/>
      <c r="P3725" s="408"/>
      <c r="Q3725" s="408"/>
      <c r="R3725" s="408"/>
      <c r="S3725" s="408"/>
      <c r="T3725" s="408"/>
      <c r="U3725" s="408"/>
      <c r="V3725" s="421"/>
      <c r="W3725" s="421"/>
      <c r="X3725" s="421"/>
      <c r="Y3725" s="421"/>
      <c r="Z3725" s="421"/>
      <c r="AA3725" s="421"/>
      <c r="AB3725" s="421"/>
      <c r="AC3725" s="421"/>
      <c r="AD3725" s="421"/>
      <c r="AE3725" s="421"/>
      <c r="AF3725" s="421"/>
      <c r="AG3725" s="421"/>
      <c r="AH3725" s="421"/>
      <c r="AI3725" s="421"/>
      <c r="AJ3725" s="421"/>
      <c r="AK3725" s="421"/>
      <c r="AL3725" s="421"/>
    </row>
    <row r="3726" spans="1:38" hidden="1">
      <c r="A3726" s="408"/>
      <c r="B3726" s="83" t="e">
        <f t="array" ref="B3726">SUM(--(FREQUENCY(IF(C$2:C$3072=C3726, MATCH(D$2:D$3072, D$2:D$3072, 0)), ROW(D$2:D$3072)-ROW(D$2)+1) &gt; 0))</f>
        <v>#N/A</v>
      </c>
      <c r="C3726" s="408"/>
      <c r="D3726" s="408"/>
      <c r="E3726" s="408"/>
      <c r="F3726" s="408"/>
      <c r="G3726" s="408"/>
      <c r="H3726" s="408"/>
      <c r="I3726" s="408"/>
      <c r="J3726" s="408"/>
      <c r="K3726" s="408"/>
      <c r="L3726" s="408"/>
      <c r="M3726" s="408"/>
      <c r="N3726" s="408" t="str">
        <f t="shared" si="485"/>
        <v/>
      </c>
      <c r="O3726" s="408"/>
      <c r="P3726" s="408"/>
      <c r="Q3726" s="408"/>
      <c r="R3726" s="408"/>
      <c r="S3726" s="408"/>
      <c r="T3726" s="408"/>
      <c r="U3726" s="408"/>
      <c r="V3726" s="421"/>
      <c r="W3726" s="421"/>
      <c r="X3726" s="421"/>
      <c r="Y3726" s="421"/>
      <c r="Z3726" s="421"/>
      <c r="AA3726" s="421"/>
      <c r="AB3726" s="421"/>
      <c r="AC3726" s="421"/>
      <c r="AD3726" s="421"/>
      <c r="AE3726" s="421"/>
      <c r="AF3726" s="421"/>
      <c r="AG3726" s="421"/>
      <c r="AH3726" s="421"/>
      <c r="AI3726" s="421"/>
      <c r="AJ3726" s="421"/>
      <c r="AK3726" s="421"/>
      <c r="AL3726" s="421"/>
    </row>
    <row r="3727" spans="1:38" hidden="1">
      <c r="A3727" s="408"/>
      <c r="B3727" s="83" t="e">
        <f t="array" ref="B3727">SUM(--(FREQUENCY(IF(C$2:C$3072=C3727, MATCH(D$2:D$3072, D$2:D$3072, 0)), ROW(D$2:D$3072)-ROW(D$2)+1) &gt; 0))</f>
        <v>#N/A</v>
      </c>
      <c r="C3727" s="408"/>
      <c r="D3727" s="408"/>
      <c r="E3727" s="408"/>
      <c r="F3727" s="408"/>
      <c r="G3727" s="408"/>
      <c r="H3727" s="408"/>
      <c r="I3727" s="408"/>
      <c r="J3727" s="408"/>
      <c r="K3727" s="408"/>
      <c r="L3727" s="408"/>
      <c r="M3727" s="408"/>
      <c r="N3727" s="408" t="str">
        <f t="shared" si="485"/>
        <v/>
      </c>
      <c r="O3727" s="408"/>
      <c r="P3727" s="408"/>
      <c r="Q3727" s="408"/>
      <c r="R3727" s="408"/>
      <c r="S3727" s="408"/>
      <c r="T3727" s="408"/>
      <c r="U3727" s="408"/>
      <c r="V3727" s="421"/>
      <c r="W3727" s="421"/>
      <c r="X3727" s="421"/>
      <c r="Y3727" s="421"/>
      <c r="Z3727" s="421"/>
      <c r="AA3727" s="421"/>
      <c r="AB3727" s="421"/>
      <c r="AC3727" s="421"/>
      <c r="AD3727" s="421"/>
      <c r="AE3727" s="421"/>
      <c r="AF3727" s="421"/>
      <c r="AG3727" s="421"/>
      <c r="AH3727" s="421"/>
      <c r="AI3727" s="421"/>
      <c r="AJ3727" s="421"/>
      <c r="AK3727" s="421"/>
      <c r="AL3727" s="421"/>
    </row>
    <row r="3728" spans="1:38" hidden="1">
      <c r="A3728" s="408"/>
      <c r="B3728" s="83" t="e">
        <f t="array" ref="B3728">SUM(--(FREQUENCY(IF(C$2:C$3072=C3728, MATCH(D$2:D$3072, D$2:D$3072, 0)), ROW(D$2:D$3072)-ROW(D$2)+1) &gt; 0))</f>
        <v>#N/A</v>
      </c>
      <c r="C3728" s="408"/>
      <c r="D3728" s="408"/>
      <c r="E3728" s="408"/>
      <c r="F3728" s="408"/>
      <c r="G3728" s="408"/>
      <c r="H3728" s="408"/>
      <c r="I3728" s="408"/>
      <c r="J3728" s="408"/>
      <c r="K3728" s="408"/>
      <c r="L3728" s="408"/>
      <c r="M3728" s="408"/>
      <c r="N3728" s="408" t="str">
        <f t="shared" si="485"/>
        <v/>
      </c>
      <c r="O3728" s="408"/>
      <c r="P3728" s="408"/>
      <c r="Q3728" s="408"/>
      <c r="R3728" s="408"/>
      <c r="S3728" s="408"/>
      <c r="T3728" s="408"/>
      <c r="U3728" s="408"/>
      <c r="V3728" s="421"/>
      <c r="W3728" s="421"/>
      <c r="X3728" s="421"/>
      <c r="Y3728" s="421"/>
      <c r="Z3728" s="421"/>
      <c r="AA3728" s="421"/>
      <c r="AB3728" s="421"/>
      <c r="AC3728" s="421"/>
      <c r="AD3728" s="421"/>
      <c r="AE3728" s="421"/>
      <c r="AF3728" s="421"/>
      <c r="AG3728" s="421"/>
      <c r="AH3728" s="421"/>
      <c r="AI3728" s="421"/>
      <c r="AJ3728" s="421"/>
      <c r="AK3728" s="421"/>
      <c r="AL3728" s="421"/>
    </row>
    <row r="3729" spans="1:38" hidden="1">
      <c r="A3729" s="408"/>
      <c r="B3729" s="83" t="e">
        <f t="array" ref="B3729">SUM(--(FREQUENCY(IF(C$2:C$3072=C3729, MATCH(D$2:D$3072, D$2:D$3072, 0)), ROW(D$2:D$3072)-ROW(D$2)+1) &gt; 0))</f>
        <v>#N/A</v>
      </c>
      <c r="C3729" s="408"/>
      <c r="D3729" s="408"/>
      <c r="E3729" s="408"/>
      <c r="F3729" s="408"/>
      <c r="G3729" s="408"/>
      <c r="H3729" s="408"/>
      <c r="I3729" s="408"/>
      <c r="J3729" s="408"/>
      <c r="K3729" s="408"/>
      <c r="L3729" s="408"/>
      <c r="M3729" s="408"/>
      <c r="N3729" s="408" t="str">
        <f t="shared" si="485"/>
        <v/>
      </c>
      <c r="O3729" s="408"/>
      <c r="P3729" s="408"/>
      <c r="Q3729" s="408"/>
      <c r="R3729" s="408"/>
      <c r="S3729" s="408"/>
      <c r="T3729" s="408"/>
      <c r="U3729" s="408"/>
      <c r="V3729" s="421"/>
      <c r="W3729" s="421"/>
      <c r="X3729" s="421"/>
      <c r="Y3729" s="421"/>
      <c r="Z3729" s="421"/>
      <c r="AA3729" s="421"/>
      <c r="AB3729" s="421"/>
      <c r="AC3729" s="421"/>
      <c r="AD3729" s="421"/>
      <c r="AE3729" s="421"/>
      <c r="AF3729" s="421"/>
      <c r="AG3729" s="421"/>
      <c r="AH3729" s="421"/>
      <c r="AI3729" s="421"/>
      <c r="AJ3729" s="421"/>
      <c r="AK3729" s="421"/>
      <c r="AL3729" s="421"/>
    </row>
    <row r="3730" spans="1:38" hidden="1">
      <c r="A3730" s="408"/>
      <c r="B3730" s="83" t="e">
        <f t="array" ref="B3730">SUM(--(FREQUENCY(IF(C$2:C$3072=C3730, MATCH(D$2:D$3072, D$2:D$3072, 0)), ROW(D$2:D$3072)-ROW(D$2)+1) &gt; 0))</f>
        <v>#N/A</v>
      </c>
      <c r="C3730" s="408"/>
      <c r="D3730" s="408"/>
      <c r="E3730" s="408"/>
      <c r="F3730" s="408"/>
      <c r="G3730" s="408"/>
      <c r="H3730" s="408"/>
      <c r="I3730" s="408"/>
      <c r="J3730" s="408"/>
      <c r="K3730" s="408"/>
      <c r="L3730" s="408"/>
      <c r="M3730" s="408"/>
      <c r="N3730" s="408" t="str">
        <f t="shared" si="485"/>
        <v/>
      </c>
      <c r="O3730" s="408"/>
      <c r="P3730" s="408"/>
      <c r="Q3730" s="408"/>
      <c r="R3730" s="408"/>
      <c r="S3730" s="408"/>
      <c r="T3730" s="408"/>
      <c r="U3730" s="408"/>
      <c r="V3730" s="421"/>
      <c r="W3730" s="421"/>
      <c r="X3730" s="421"/>
      <c r="Y3730" s="421"/>
      <c r="Z3730" s="421"/>
      <c r="AA3730" s="421"/>
      <c r="AB3730" s="421"/>
      <c r="AC3730" s="421"/>
      <c r="AD3730" s="421"/>
      <c r="AE3730" s="421"/>
      <c r="AF3730" s="421"/>
      <c r="AG3730" s="421"/>
      <c r="AH3730" s="421"/>
      <c r="AI3730" s="421"/>
      <c r="AJ3730" s="421"/>
      <c r="AK3730" s="421"/>
      <c r="AL3730" s="421"/>
    </row>
    <row r="3731" spans="1:38" hidden="1">
      <c r="A3731" s="408"/>
      <c r="B3731" s="83" t="e">
        <f t="array" ref="B3731">SUM(--(FREQUENCY(IF(C$2:C$3072=C3731, MATCH(D$2:D$3072, D$2:D$3072, 0)), ROW(D$2:D$3072)-ROW(D$2)+1) &gt; 0))</f>
        <v>#N/A</v>
      </c>
      <c r="C3731" s="408"/>
      <c r="D3731" s="408"/>
      <c r="E3731" s="408"/>
      <c r="F3731" s="408"/>
      <c r="G3731" s="408"/>
      <c r="H3731" s="408"/>
      <c r="I3731" s="408"/>
      <c r="J3731" s="408"/>
      <c r="K3731" s="408"/>
      <c r="L3731" s="408"/>
      <c r="M3731" s="408"/>
      <c r="N3731" s="408" t="str">
        <f t="shared" si="485"/>
        <v/>
      </c>
      <c r="O3731" s="408"/>
      <c r="P3731" s="408"/>
      <c r="Q3731" s="408"/>
      <c r="R3731" s="408"/>
      <c r="S3731" s="408"/>
      <c r="T3731" s="408"/>
      <c r="U3731" s="408"/>
      <c r="V3731" s="421"/>
      <c r="W3731" s="421"/>
      <c r="X3731" s="421"/>
      <c r="Y3731" s="421"/>
      <c r="Z3731" s="421"/>
      <c r="AA3731" s="421"/>
      <c r="AB3731" s="421"/>
      <c r="AC3731" s="421"/>
      <c r="AD3731" s="421"/>
      <c r="AE3731" s="421"/>
      <c r="AF3731" s="421"/>
      <c r="AG3731" s="421"/>
      <c r="AH3731" s="421"/>
      <c r="AI3731" s="421"/>
      <c r="AJ3731" s="421"/>
      <c r="AK3731" s="421"/>
      <c r="AL3731" s="421"/>
    </row>
    <row r="3732" spans="1:38" hidden="1">
      <c r="A3732" s="408"/>
      <c r="B3732" s="83" t="e">
        <f t="array" ref="B3732">SUM(--(FREQUENCY(IF(C$2:C$3072=C3732, MATCH(D$2:D$3072, D$2:D$3072, 0)), ROW(D$2:D$3072)-ROW(D$2)+1) &gt; 0))</f>
        <v>#N/A</v>
      </c>
      <c r="C3732" s="408"/>
      <c r="D3732" s="408"/>
      <c r="E3732" s="408"/>
      <c r="F3732" s="408"/>
      <c r="G3732" s="408"/>
      <c r="H3732" s="408"/>
      <c r="I3732" s="408"/>
      <c r="J3732" s="408"/>
      <c r="K3732" s="408"/>
      <c r="L3732" s="408"/>
      <c r="M3732" s="408"/>
      <c r="N3732" s="408" t="str">
        <f t="shared" si="485"/>
        <v/>
      </c>
      <c r="O3732" s="408"/>
      <c r="P3732" s="408"/>
      <c r="Q3732" s="408"/>
      <c r="R3732" s="408"/>
      <c r="S3732" s="408"/>
      <c r="T3732" s="408"/>
      <c r="U3732" s="408"/>
      <c r="V3732" s="421"/>
      <c r="W3732" s="421"/>
      <c r="X3732" s="421"/>
      <c r="Y3732" s="421"/>
      <c r="Z3732" s="421"/>
      <c r="AA3732" s="421"/>
      <c r="AB3732" s="421"/>
      <c r="AC3732" s="421"/>
      <c r="AD3732" s="421"/>
      <c r="AE3732" s="421"/>
      <c r="AF3732" s="421"/>
      <c r="AG3732" s="421"/>
      <c r="AH3732" s="421"/>
      <c r="AI3732" s="421"/>
      <c r="AJ3732" s="421"/>
      <c r="AK3732" s="421"/>
      <c r="AL3732" s="421"/>
    </row>
    <row r="3733" spans="1:38" hidden="1">
      <c r="A3733" s="408"/>
      <c r="B3733" s="83" t="e">
        <f t="array" ref="B3733">SUM(--(FREQUENCY(IF(C$2:C$3072=C3733, MATCH(D$2:D$3072, D$2:D$3072, 0)), ROW(D$2:D$3072)-ROW(D$2)+1) &gt; 0))</f>
        <v>#N/A</v>
      </c>
      <c r="C3733" s="408"/>
      <c r="D3733" s="408"/>
      <c r="E3733" s="408"/>
      <c r="F3733" s="408"/>
      <c r="G3733" s="408"/>
      <c r="H3733" s="408"/>
      <c r="I3733" s="408"/>
      <c r="J3733" s="408"/>
      <c r="K3733" s="408"/>
      <c r="L3733" s="408"/>
      <c r="M3733" s="408"/>
      <c r="N3733" s="408" t="str">
        <f t="shared" si="485"/>
        <v/>
      </c>
      <c r="O3733" s="408"/>
      <c r="P3733" s="408"/>
      <c r="Q3733" s="408"/>
      <c r="R3733" s="408"/>
      <c r="S3733" s="408"/>
      <c r="T3733" s="408"/>
      <c r="U3733" s="408"/>
      <c r="V3733" s="421"/>
      <c r="W3733" s="421"/>
      <c r="X3733" s="421"/>
      <c r="Y3733" s="421"/>
      <c r="Z3733" s="421"/>
      <c r="AA3733" s="421"/>
      <c r="AB3733" s="421"/>
      <c r="AC3733" s="421"/>
      <c r="AD3733" s="421"/>
      <c r="AE3733" s="421"/>
      <c r="AF3733" s="421"/>
      <c r="AG3733" s="421"/>
      <c r="AH3733" s="421"/>
      <c r="AI3733" s="421"/>
      <c r="AJ3733" s="421"/>
      <c r="AK3733" s="421"/>
      <c r="AL3733" s="421"/>
    </row>
    <row r="3734" spans="1:38" hidden="1">
      <c r="A3734" s="408"/>
      <c r="B3734" s="83" t="e">
        <f t="array" ref="B3734">SUM(--(FREQUENCY(IF(C$2:C$3072=C3734, MATCH(D$2:D$3072, D$2:D$3072, 0)), ROW(D$2:D$3072)-ROW(D$2)+1) &gt; 0))</f>
        <v>#N/A</v>
      </c>
      <c r="C3734" s="408"/>
      <c r="D3734" s="408"/>
      <c r="E3734" s="408"/>
      <c r="F3734" s="408"/>
      <c r="G3734" s="408"/>
      <c r="H3734" s="408"/>
      <c r="I3734" s="408"/>
      <c r="J3734" s="408"/>
      <c r="K3734" s="408"/>
      <c r="L3734" s="408"/>
      <c r="M3734" s="408"/>
      <c r="N3734" s="408" t="str">
        <f t="shared" si="485"/>
        <v/>
      </c>
      <c r="O3734" s="408"/>
      <c r="P3734" s="408"/>
      <c r="Q3734" s="408"/>
      <c r="R3734" s="408"/>
      <c r="S3734" s="408"/>
      <c r="T3734" s="408"/>
      <c r="U3734" s="408"/>
      <c r="V3734" s="421"/>
      <c r="W3734" s="421"/>
      <c r="X3734" s="421"/>
      <c r="Y3734" s="421"/>
      <c r="Z3734" s="421"/>
      <c r="AA3734" s="421"/>
      <c r="AB3734" s="421"/>
      <c r="AC3734" s="421"/>
      <c r="AD3734" s="421"/>
      <c r="AE3734" s="421"/>
      <c r="AF3734" s="421"/>
      <c r="AG3734" s="421"/>
      <c r="AH3734" s="421"/>
      <c r="AI3734" s="421"/>
      <c r="AJ3734" s="421"/>
      <c r="AK3734" s="421"/>
      <c r="AL3734" s="421"/>
    </row>
    <row r="3735" spans="1:38" hidden="1">
      <c r="A3735" s="408"/>
      <c r="B3735" s="83" t="e">
        <f t="array" ref="B3735">SUM(--(FREQUENCY(IF(C$2:C$3072=C3735, MATCH(D$2:D$3072, D$2:D$3072, 0)), ROW(D$2:D$3072)-ROW(D$2)+1) &gt; 0))</f>
        <v>#N/A</v>
      </c>
      <c r="C3735" s="408"/>
      <c r="D3735" s="408"/>
      <c r="E3735" s="408"/>
      <c r="F3735" s="408"/>
      <c r="G3735" s="408"/>
      <c r="H3735" s="408"/>
      <c r="I3735" s="408"/>
      <c r="J3735" s="408"/>
      <c r="K3735" s="408"/>
      <c r="L3735" s="408"/>
      <c r="M3735" s="408"/>
      <c r="N3735" s="408" t="str">
        <f t="shared" si="485"/>
        <v/>
      </c>
      <c r="O3735" s="408"/>
      <c r="P3735" s="408"/>
      <c r="Q3735" s="408"/>
      <c r="R3735" s="408"/>
      <c r="S3735" s="408"/>
      <c r="T3735" s="408"/>
      <c r="U3735" s="408"/>
      <c r="V3735" s="421"/>
      <c r="W3735" s="421"/>
      <c r="X3735" s="421"/>
      <c r="Y3735" s="421"/>
      <c r="Z3735" s="421"/>
      <c r="AA3735" s="421"/>
      <c r="AB3735" s="421"/>
      <c r="AC3735" s="421"/>
      <c r="AD3735" s="421"/>
      <c r="AE3735" s="421"/>
      <c r="AF3735" s="421"/>
      <c r="AG3735" s="421"/>
      <c r="AH3735" s="421"/>
      <c r="AI3735" s="421"/>
      <c r="AJ3735" s="421"/>
      <c r="AK3735" s="421"/>
      <c r="AL3735" s="421"/>
    </row>
    <row r="3736" spans="1:38" hidden="1">
      <c r="A3736" s="408"/>
      <c r="B3736" s="83" t="e">
        <f t="array" ref="B3736">SUM(--(FREQUENCY(IF(C$2:C$3072=C3736, MATCH(D$2:D$3072, D$2:D$3072, 0)), ROW(D$2:D$3072)-ROW(D$2)+1) &gt; 0))</f>
        <v>#N/A</v>
      </c>
      <c r="C3736" s="408"/>
      <c r="D3736" s="408"/>
      <c r="E3736" s="408"/>
      <c r="F3736" s="408"/>
      <c r="G3736" s="408"/>
      <c r="H3736" s="408"/>
      <c r="I3736" s="408"/>
      <c r="J3736" s="408"/>
      <c r="K3736" s="408"/>
      <c r="L3736" s="408"/>
      <c r="M3736" s="408"/>
      <c r="N3736" s="408" t="str">
        <f t="shared" si="485"/>
        <v/>
      </c>
      <c r="O3736" s="408"/>
      <c r="P3736" s="408"/>
      <c r="Q3736" s="408"/>
      <c r="R3736" s="408"/>
      <c r="S3736" s="408"/>
      <c r="T3736" s="408"/>
      <c r="U3736" s="408"/>
      <c r="V3736" s="421"/>
      <c r="W3736" s="421"/>
      <c r="X3736" s="421"/>
      <c r="Y3736" s="421"/>
      <c r="Z3736" s="421"/>
      <c r="AA3736" s="421"/>
      <c r="AB3736" s="421"/>
      <c r="AC3736" s="421"/>
      <c r="AD3736" s="421"/>
      <c r="AE3736" s="421"/>
      <c r="AF3736" s="421"/>
      <c r="AG3736" s="421"/>
      <c r="AH3736" s="421"/>
      <c r="AI3736" s="421"/>
      <c r="AJ3736" s="421"/>
      <c r="AK3736" s="421"/>
      <c r="AL3736" s="421"/>
    </row>
    <row r="3737" spans="1:38" hidden="1">
      <c r="A3737" s="408"/>
      <c r="B3737" s="83" t="e">
        <f t="array" ref="B3737">SUM(--(FREQUENCY(IF(C$2:C$3072=C3737, MATCH(D$2:D$3072, D$2:D$3072, 0)), ROW(D$2:D$3072)-ROW(D$2)+1) &gt; 0))</f>
        <v>#N/A</v>
      </c>
      <c r="C3737" s="408"/>
      <c r="D3737" s="408"/>
      <c r="E3737" s="408"/>
      <c r="F3737" s="408"/>
      <c r="G3737" s="408"/>
      <c r="H3737" s="408"/>
      <c r="I3737" s="408"/>
      <c r="J3737" s="408"/>
      <c r="K3737" s="408"/>
      <c r="L3737" s="408"/>
      <c r="M3737" s="408"/>
      <c r="N3737" s="408" t="str">
        <f t="shared" si="485"/>
        <v/>
      </c>
      <c r="O3737" s="408"/>
      <c r="P3737" s="408"/>
      <c r="Q3737" s="408"/>
      <c r="R3737" s="408"/>
      <c r="S3737" s="408"/>
      <c r="T3737" s="408"/>
      <c r="U3737" s="408"/>
      <c r="V3737" s="421"/>
      <c r="W3737" s="421"/>
      <c r="X3737" s="421"/>
      <c r="Y3737" s="421"/>
      <c r="Z3737" s="421"/>
      <c r="AA3737" s="421"/>
      <c r="AB3737" s="421"/>
      <c r="AC3737" s="421"/>
      <c r="AD3737" s="421"/>
      <c r="AE3737" s="421"/>
      <c r="AF3737" s="421"/>
      <c r="AG3737" s="421"/>
      <c r="AH3737" s="421"/>
      <c r="AI3737" s="421"/>
      <c r="AJ3737" s="421"/>
      <c r="AK3737" s="421"/>
      <c r="AL3737" s="421"/>
    </row>
    <row r="3738" spans="1:38" hidden="1">
      <c r="A3738" s="408"/>
      <c r="B3738" s="83" t="e">
        <f t="array" ref="B3738">SUM(--(FREQUENCY(IF(C$2:C$3072=C3738, MATCH(D$2:D$3072, D$2:D$3072, 0)), ROW(D$2:D$3072)-ROW(D$2)+1) &gt; 0))</f>
        <v>#N/A</v>
      </c>
      <c r="C3738" s="408"/>
      <c r="D3738" s="408"/>
      <c r="E3738" s="408"/>
      <c r="F3738" s="408"/>
      <c r="G3738" s="408"/>
      <c r="H3738" s="408"/>
      <c r="I3738" s="408"/>
      <c r="J3738" s="408"/>
      <c r="K3738" s="408"/>
      <c r="L3738" s="408"/>
      <c r="M3738" s="408"/>
      <c r="N3738" s="408" t="str">
        <f t="shared" si="485"/>
        <v/>
      </c>
      <c r="O3738" s="408"/>
      <c r="P3738" s="408"/>
      <c r="Q3738" s="408"/>
      <c r="R3738" s="408"/>
      <c r="S3738" s="408"/>
      <c r="T3738" s="408"/>
      <c r="U3738" s="408"/>
      <c r="V3738" s="421"/>
      <c r="W3738" s="421"/>
      <c r="X3738" s="421"/>
      <c r="Y3738" s="421"/>
      <c r="Z3738" s="421"/>
      <c r="AA3738" s="421"/>
      <c r="AB3738" s="421"/>
      <c r="AC3738" s="421"/>
      <c r="AD3738" s="421"/>
      <c r="AE3738" s="421"/>
      <c r="AF3738" s="421"/>
      <c r="AG3738" s="421"/>
      <c r="AH3738" s="421"/>
      <c r="AI3738" s="421"/>
      <c r="AJ3738" s="421"/>
      <c r="AK3738" s="421"/>
      <c r="AL3738" s="421"/>
    </row>
    <row r="3739" spans="1:38" hidden="1">
      <c r="A3739" s="408"/>
      <c r="B3739" s="83" t="e">
        <f t="array" ref="B3739">SUM(--(FREQUENCY(IF(C$2:C$3072=C3739, MATCH(D$2:D$3072, D$2:D$3072, 0)), ROW(D$2:D$3072)-ROW(D$2)+1) &gt; 0))</f>
        <v>#N/A</v>
      </c>
      <c r="C3739" s="408"/>
      <c r="D3739" s="408"/>
      <c r="E3739" s="408"/>
      <c r="F3739" s="408"/>
      <c r="G3739" s="408"/>
      <c r="H3739" s="408"/>
      <c r="I3739" s="408"/>
      <c r="J3739" s="408"/>
      <c r="K3739" s="408"/>
      <c r="L3739" s="408"/>
      <c r="M3739" s="408"/>
      <c r="N3739" s="408" t="str">
        <f t="shared" si="485"/>
        <v/>
      </c>
      <c r="O3739" s="408"/>
      <c r="P3739" s="408"/>
      <c r="Q3739" s="408"/>
      <c r="R3739" s="408"/>
      <c r="S3739" s="408"/>
      <c r="T3739" s="408"/>
      <c r="U3739" s="408"/>
      <c r="V3739" s="421"/>
      <c r="W3739" s="421"/>
      <c r="X3739" s="421"/>
      <c r="Y3739" s="421"/>
      <c r="Z3739" s="421"/>
      <c r="AA3739" s="421"/>
      <c r="AB3739" s="421"/>
      <c r="AC3739" s="421"/>
      <c r="AD3739" s="421"/>
      <c r="AE3739" s="421"/>
      <c r="AF3739" s="421"/>
      <c r="AG3739" s="421"/>
      <c r="AH3739" s="421"/>
      <c r="AI3739" s="421"/>
      <c r="AJ3739" s="421"/>
      <c r="AK3739" s="421"/>
      <c r="AL3739" s="421"/>
    </row>
    <row r="3740" spans="1:38" hidden="1">
      <c r="A3740" s="408"/>
      <c r="B3740" s="83" t="e">
        <f t="array" ref="B3740">SUM(--(FREQUENCY(IF(C$2:C$3072=C3740, MATCH(D$2:D$3072, D$2:D$3072, 0)), ROW(D$2:D$3072)-ROW(D$2)+1) &gt; 0))</f>
        <v>#N/A</v>
      </c>
      <c r="C3740" s="408"/>
      <c r="D3740" s="408"/>
      <c r="E3740" s="408"/>
      <c r="F3740" s="408"/>
      <c r="G3740" s="408"/>
      <c r="H3740" s="408"/>
      <c r="I3740" s="408"/>
      <c r="J3740" s="408"/>
      <c r="K3740" s="408"/>
      <c r="L3740" s="408"/>
      <c r="M3740" s="408"/>
      <c r="N3740" s="408" t="str">
        <f t="shared" si="485"/>
        <v/>
      </c>
      <c r="O3740" s="408"/>
      <c r="P3740" s="408"/>
      <c r="Q3740" s="408"/>
      <c r="R3740" s="408"/>
      <c r="S3740" s="408"/>
      <c r="T3740" s="408"/>
      <c r="U3740" s="408"/>
      <c r="V3740" s="421"/>
      <c r="W3740" s="421"/>
      <c r="X3740" s="421"/>
      <c r="Y3740" s="421"/>
      <c r="Z3740" s="421"/>
      <c r="AA3740" s="421"/>
      <c r="AB3740" s="421"/>
      <c r="AC3740" s="421"/>
      <c r="AD3740" s="421"/>
      <c r="AE3740" s="421"/>
      <c r="AF3740" s="421"/>
      <c r="AG3740" s="421"/>
      <c r="AH3740" s="421"/>
      <c r="AI3740" s="421"/>
      <c r="AJ3740" s="421"/>
      <c r="AK3740" s="421"/>
      <c r="AL3740" s="421"/>
    </row>
    <row r="3741" spans="1:38" hidden="1">
      <c r="A3741" s="408"/>
      <c r="B3741" s="83" t="e">
        <f t="array" ref="B3741">SUM(--(FREQUENCY(IF(C$2:C$3072=C3741, MATCH(D$2:D$3072, D$2:D$3072, 0)), ROW(D$2:D$3072)-ROW(D$2)+1) &gt; 0))</f>
        <v>#N/A</v>
      </c>
      <c r="C3741" s="408"/>
      <c r="D3741" s="408"/>
      <c r="E3741" s="408"/>
      <c r="F3741" s="408"/>
      <c r="G3741" s="408"/>
      <c r="H3741" s="408"/>
      <c r="I3741" s="408"/>
      <c r="J3741" s="408"/>
      <c r="K3741" s="408"/>
      <c r="L3741" s="408"/>
      <c r="M3741" s="408"/>
      <c r="N3741" s="408" t="str">
        <f t="shared" si="485"/>
        <v/>
      </c>
      <c r="O3741" s="408"/>
      <c r="P3741" s="408"/>
      <c r="Q3741" s="408"/>
      <c r="R3741" s="408"/>
      <c r="S3741" s="408"/>
      <c r="T3741" s="408"/>
      <c r="U3741" s="408"/>
      <c r="V3741" s="421"/>
      <c r="W3741" s="421"/>
      <c r="X3741" s="421"/>
      <c r="Y3741" s="421"/>
      <c r="Z3741" s="421"/>
      <c r="AA3741" s="421"/>
      <c r="AB3741" s="421"/>
      <c r="AC3741" s="421"/>
      <c r="AD3741" s="421"/>
      <c r="AE3741" s="421"/>
      <c r="AF3741" s="421"/>
      <c r="AG3741" s="421"/>
      <c r="AH3741" s="421"/>
      <c r="AI3741" s="421"/>
      <c r="AJ3741" s="421"/>
      <c r="AK3741" s="421"/>
      <c r="AL3741" s="421"/>
    </row>
    <row r="3742" spans="1:38" hidden="1">
      <c r="A3742" s="408"/>
      <c r="B3742" s="83" t="e">
        <f t="array" ref="B3742">SUM(--(FREQUENCY(IF(C$2:C$3072=C3742, MATCH(D$2:D$3072, D$2:D$3072, 0)), ROW(D$2:D$3072)-ROW(D$2)+1) &gt; 0))</f>
        <v>#N/A</v>
      </c>
      <c r="C3742" s="408"/>
      <c r="D3742" s="408"/>
      <c r="E3742" s="408"/>
      <c r="F3742" s="408"/>
      <c r="G3742" s="408"/>
      <c r="H3742" s="408"/>
      <c r="I3742" s="408"/>
      <c r="J3742" s="408"/>
      <c r="K3742" s="408"/>
      <c r="L3742" s="408"/>
      <c r="M3742" s="408"/>
      <c r="N3742" s="408" t="str">
        <f t="shared" si="485"/>
        <v/>
      </c>
      <c r="O3742" s="408"/>
      <c r="P3742" s="408"/>
      <c r="Q3742" s="408"/>
      <c r="R3742" s="408"/>
      <c r="S3742" s="408"/>
      <c r="T3742" s="408"/>
      <c r="U3742" s="408"/>
      <c r="V3742" s="421"/>
      <c r="W3742" s="421"/>
      <c r="X3742" s="421"/>
      <c r="Y3742" s="421"/>
      <c r="Z3742" s="421"/>
      <c r="AA3742" s="421"/>
      <c r="AB3742" s="421"/>
      <c r="AC3742" s="421"/>
      <c r="AD3742" s="421"/>
      <c r="AE3742" s="421"/>
      <c r="AF3742" s="421"/>
      <c r="AG3742" s="421"/>
      <c r="AH3742" s="421"/>
      <c r="AI3742" s="421"/>
      <c r="AJ3742" s="421"/>
      <c r="AK3742" s="421"/>
      <c r="AL3742" s="421"/>
    </row>
    <row r="3743" spans="1:38" hidden="1">
      <c r="A3743" s="408"/>
      <c r="B3743" s="83" t="e">
        <f t="array" ref="B3743">SUM(--(FREQUENCY(IF(C$2:C$3072=C3743, MATCH(D$2:D$3072, D$2:D$3072, 0)), ROW(D$2:D$3072)-ROW(D$2)+1) &gt; 0))</f>
        <v>#N/A</v>
      </c>
      <c r="C3743" s="408"/>
      <c r="D3743" s="408"/>
      <c r="E3743" s="408"/>
      <c r="F3743" s="408"/>
      <c r="G3743" s="408"/>
      <c r="H3743" s="408"/>
      <c r="I3743" s="408"/>
      <c r="J3743" s="408"/>
      <c r="K3743" s="408"/>
      <c r="L3743" s="408"/>
      <c r="M3743" s="408"/>
      <c r="N3743" s="408" t="str">
        <f t="shared" si="485"/>
        <v/>
      </c>
      <c r="O3743" s="408"/>
      <c r="P3743" s="408"/>
      <c r="Q3743" s="408"/>
      <c r="R3743" s="408"/>
      <c r="S3743" s="408"/>
      <c r="T3743" s="408"/>
      <c r="U3743" s="408"/>
      <c r="V3743" s="421"/>
      <c r="W3743" s="421"/>
      <c r="X3743" s="421"/>
      <c r="Y3743" s="421"/>
      <c r="Z3743" s="421"/>
      <c r="AA3743" s="421"/>
      <c r="AB3743" s="421"/>
      <c r="AC3743" s="421"/>
      <c r="AD3743" s="421"/>
      <c r="AE3743" s="421"/>
      <c r="AF3743" s="421"/>
      <c r="AG3743" s="421"/>
      <c r="AH3743" s="421"/>
      <c r="AI3743" s="421"/>
      <c r="AJ3743" s="421"/>
      <c r="AK3743" s="421"/>
      <c r="AL3743" s="421"/>
    </row>
    <row r="3744" spans="1:38" hidden="1">
      <c r="A3744" s="408"/>
      <c r="B3744" s="83" t="e">
        <f t="array" ref="B3744">SUM(--(FREQUENCY(IF(C$2:C$3072=C3744, MATCH(D$2:D$3072, D$2:D$3072, 0)), ROW(D$2:D$3072)-ROW(D$2)+1) &gt; 0))</f>
        <v>#N/A</v>
      </c>
      <c r="C3744" s="408"/>
      <c r="D3744" s="408"/>
      <c r="E3744" s="408"/>
      <c r="F3744" s="408"/>
      <c r="G3744" s="408"/>
      <c r="H3744" s="408"/>
      <c r="I3744" s="408"/>
      <c r="J3744" s="408"/>
      <c r="K3744" s="408"/>
      <c r="L3744" s="408"/>
      <c r="M3744" s="408"/>
      <c r="N3744" s="408" t="str">
        <f t="shared" si="485"/>
        <v/>
      </c>
      <c r="O3744" s="408"/>
      <c r="P3744" s="408"/>
      <c r="Q3744" s="408"/>
      <c r="R3744" s="408"/>
      <c r="S3744" s="408"/>
      <c r="T3744" s="408"/>
      <c r="U3744" s="408"/>
      <c r="V3744" s="421"/>
      <c r="W3744" s="421"/>
      <c r="X3744" s="421"/>
      <c r="Y3744" s="421"/>
      <c r="Z3744" s="421"/>
      <c r="AA3744" s="421"/>
      <c r="AB3744" s="421"/>
      <c r="AC3744" s="421"/>
      <c r="AD3744" s="421"/>
      <c r="AE3744" s="421"/>
      <c r="AF3744" s="421"/>
      <c r="AG3744" s="421"/>
      <c r="AH3744" s="421"/>
      <c r="AI3744" s="421"/>
      <c r="AJ3744" s="421"/>
      <c r="AK3744" s="421"/>
      <c r="AL3744" s="421"/>
    </row>
    <row r="3745" spans="1:38" hidden="1">
      <c r="A3745" s="408"/>
      <c r="B3745" s="83" t="e">
        <f t="array" ref="B3745">SUM(--(FREQUENCY(IF(C$2:C$3072=C3745, MATCH(D$2:D$3072, D$2:D$3072, 0)), ROW(D$2:D$3072)-ROW(D$2)+1) &gt; 0))</f>
        <v>#N/A</v>
      </c>
      <c r="C3745" s="408"/>
      <c r="D3745" s="408"/>
      <c r="E3745" s="408"/>
      <c r="F3745" s="408"/>
      <c r="G3745" s="408"/>
      <c r="H3745" s="408"/>
      <c r="I3745" s="408"/>
      <c r="J3745" s="408"/>
      <c r="K3745" s="408"/>
      <c r="L3745" s="408"/>
      <c r="M3745" s="408"/>
      <c r="N3745" s="408" t="str">
        <f t="shared" si="485"/>
        <v/>
      </c>
      <c r="O3745" s="408"/>
      <c r="P3745" s="408"/>
      <c r="Q3745" s="408"/>
      <c r="R3745" s="408"/>
      <c r="S3745" s="408"/>
      <c r="T3745" s="408"/>
      <c r="U3745" s="408"/>
      <c r="V3745" s="421"/>
      <c r="W3745" s="421"/>
      <c r="X3745" s="421"/>
      <c r="Y3745" s="421"/>
      <c r="Z3745" s="421"/>
      <c r="AA3745" s="421"/>
      <c r="AB3745" s="421"/>
      <c r="AC3745" s="421"/>
      <c r="AD3745" s="421"/>
      <c r="AE3745" s="421"/>
      <c r="AF3745" s="421"/>
      <c r="AG3745" s="421"/>
      <c r="AH3745" s="421"/>
      <c r="AI3745" s="421"/>
      <c r="AJ3745" s="421"/>
      <c r="AK3745" s="421"/>
      <c r="AL3745" s="421"/>
    </row>
    <row r="3746" spans="1:38" hidden="1">
      <c r="A3746" s="408"/>
      <c r="B3746" s="83" t="e">
        <f t="array" ref="B3746">SUM(--(FREQUENCY(IF(C$2:C$3072=C3746, MATCH(D$2:D$3072, D$2:D$3072, 0)), ROW(D$2:D$3072)-ROW(D$2)+1) &gt; 0))</f>
        <v>#N/A</v>
      </c>
      <c r="C3746" s="408"/>
      <c r="D3746" s="408"/>
      <c r="E3746" s="408"/>
      <c r="F3746" s="408"/>
      <c r="G3746" s="408"/>
      <c r="H3746" s="408"/>
      <c r="I3746" s="408"/>
      <c r="J3746" s="408"/>
      <c r="K3746" s="408"/>
      <c r="L3746" s="408"/>
      <c r="M3746" s="408"/>
      <c r="N3746" s="408" t="str">
        <f t="shared" si="485"/>
        <v/>
      </c>
      <c r="O3746" s="408"/>
      <c r="P3746" s="408"/>
      <c r="Q3746" s="408"/>
      <c r="R3746" s="408"/>
      <c r="S3746" s="408"/>
      <c r="T3746" s="408"/>
      <c r="U3746" s="408"/>
      <c r="V3746" s="421"/>
      <c r="W3746" s="421"/>
      <c r="X3746" s="421"/>
      <c r="Y3746" s="421"/>
      <c r="Z3746" s="421"/>
      <c r="AA3746" s="421"/>
      <c r="AB3746" s="421"/>
      <c r="AC3746" s="421"/>
      <c r="AD3746" s="421"/>
      <c r="AE3746" s="421"/>
      <c r="AF3746" s="421"/>
      <c r="AG3746" s="421"/>
      <c r="AH3746" s="421"/>
      <c r="AI3746" s="421"/>
      <c r="AJ3746" s="421"/>
      <c r="AK3746" s="421"/>
      <c r="AL3746" s="421"/>
    </row>
    <row r="3747" spans="1:38" hidden="1">
      <c r="A3747" s="408"/>
      <c r="B3747" s="83" t="e">
        <f t="array" ref="B3747">SUM(--(FREQUENCY(IF(C$2:C$3072=C3747, MATCH(D$2:D$3072, D$2:D$3072, 0)), ROW(D$2:D$3072)-ROW(D$2)+1) &gt; 0))</f>
        <v>#N/A</v>
      </c>
      <c r="C3747" s="408"/>
      <c r="D3747" s="408"/>
      <c r="E3747" s="408"/>
      <c r="F3747" s="408"/>
      <c r="G3747" s="408"/>
      <c r="H3747" s="408"/>
      <c r="I3747" s="408"/>
      <c r="J3747" s="408"/>
      <c r="K3747" s="408"/>
      <c r="L3747" s="408"/>
      <c r="M3747" s="408"/>
      <c r="N3747" s="408" t="str">
        <f t="shared" si="485"/>
        <v/>
      </c>
      <c r="O3747" s="408"/>
      <c r="P3747" s="408"/>
      <c r="Q3747" s="408"/>
      <c r="R3747" s="408"/>
      <c r="S3747" s="408"/>
      <c r="T3747" s="408"/>
      <c r="U3747" s="408"/>
      <c r="V3747" s="421"/>
      <c r="W3747" s="421"/>
      <c r="X3747" s="421"/>
      <c r="Y3747" s="421"/>
      <c r="Z3747" s="421"/>
      <c r="AA3747" s="421"/>
      <c r="AB3747" s="421"/>
      <c r="AC3747" s="421"/>
      <c r="AD3747" s="421"/>
      <c r="AE3747" s="421"/>
      <c r="AF3747" s="421"/>
      <c r="AG3747" s="421"/>
      <c r="AH3747" s="421"/>
      <c r="AI3747" s="421"/>
      <c r="AJ3747" s="421"/>
      <c r="AK3747" s="421"/>
      <c r="AL3747" s="421"/>
    </row>
    <row r="3748" spans="1:38" hidden="1">
      <c r="A3748" s="408"/>
      <c r="B3748" s="83" t="e">
        <f t="array" ref="B3748">SUM(--(FREQUENCY(IF(C$2:C$3072=C3748, MATCH(D$2:D$3072, D$2:D$3072, 0)), ROW(D$2:D$3072)-ROW(D$2)+1) &gt; 0))</f>
        <v>#N/A</v>
      </c>
      <c r="C3748" s="408"/>
      <c r="D3748" s="408"/>
      <c r="E3748" s="408"/>
      <c r="F3748" s="408"/>
      <c r="G3748" s="408"/>
      <c r="H3748" s="408"/>
      <c r="I3748" s="408"/>
      <c r="J3748" s="408"/>
      <c r="K3748" s="408"/>
      <c r="L3748" s="408"/>
      <c r="M3748" s="408"/>
      <c r="N3748" s="408" t="str">
        <f t="shared" si="485"/>
        <v/>
      </c>
      <c r="O3748" s="408"/>
      <c r="P3748" s="408"/>
      <c r="Q3748" s="408"/>
      <c r="R3748" s="408"/>
      <c r="S3748" s="408"/>
      <c r="T3748" s="408"/>
      <c r="U3748" s="408"/>
      <c r="V3748" s="421"/>
      <c r="W3748" s="421"/>
      <c r="X3748" s="421"/>
      <c r="Y3748" s="421"/>
      <c r="Z3748" s="421"/>
      <c r="AA3748" s="421"/>
      <c r="AB3748" s="421"/>
      <c r="AC3748" s="421"/>
      <c r="AD3748" s="421"/>
      <c r="AE3748" s="421"/>
      <c r="AF3748" s="421"/>
      <c r="AG3748" s="421"/>
      <c r="AH3748" s="421"/>
      <c r="AI3748" s="421"/>
      <c r="AJ3748" s="421"/>
      <c r="AK3748" s="421"/>
      <c r="AL3748" s="421"/>
    </row>
    <row r="3749" spans="1:38" hidden="1">
      <c r="A3749" s="408"/>
      <c r="B3749" s="83" t="e">
        <f t="array" ref="B3749">SUM(--(FREQUENCY(IF(C$2:C$3072=C3749, MATCH(D$2:D$3072, D$2:D$3072, 0)), ROW(D$2:D$3072)-ROW(D$2)+1) &gt; 0))</f>
        <v>#N/A</v>
      </c>
      <c r="C3749" s="408"/>
      <c r="D3749" s="408"/>
      <c r="E3749" s="408"/>
      <c r="F3749" s="408"/>
      <c r="G3749" s="408"/>
      <c r="H3749" s="408"/>
      <c r="I3749" s="408"/>
      <c r="J3749" s="408"/>
      <c r="K3749" s="408"/>
      <c r="L3749" s="408"/>
      <c r="M3749" s="408"/>
      <c r="N3749" s="408" t="str">
        <f t="shared" si="485"/>
        <v/>
      </c>
      <c r="O3749" s="408"/>
      <c r="P3749" s="408"/>
      <c r="Q3749" s="408"/>
      <c r="R3749" s="408"/>
      <c r="S3749" s="408"/>
      <c r="T3749" s="408"/>
      <c r="U3749" s="408"/>
      <c r="V3749" s="421"/>
      <c r="W3749" s="421"/>
      <c r="X3749" s="421"/>
      <c r="Y3749" s="421"/>
      <c r="Z3749" s="421"/>
      <c r="AA3749" s="421"/>
      <c r="AB3749" s="421"/>
      <c r="AC3749" s="421"/>
      <c r="AD3749" s="421"/>
      <c r="AE3749" s="421"/>
      <c r="AF3749" s="421"/>
      <c r="AG3749" s="421"/>
      <c r="AH3749" s="421"/>
      <c r="AI3749" s="421"/>
      <c r="AJ3749" s="421"/>
      <c r="AK3749" s="421"/>
      <c r="AL3749" s="421"/>
    </row>
    <row r="3750" spans="1:38" hidden="1">
      <c r="A3750" s="408"/>
      <c r="B3750" s="83" t="e">
        <f t="array" ref="B3750">SUM(--(FREQUENCY(IF(C$2:C$3072=C3750, MATCH(D$2:D$3072, D$2:D$3072, 0)), ROW(D$2:D$3072)-ROW(D$2)+1) &gt; 0))</f>
        <v>#N/A</v>
      </c>
      <c r="C3750" s="408"/>
      <c r="D3750" s="408"/>
      <c r="E3750" s="408"/>
      <c r="F3750" s="408"/>
      <c r="G3750" s="408"/>
      <c r="H3750" s="408"/>
      <c r="I3750" s="408"/>
      <c r="J3750" s="408"/>
      <c r="K3750" s="408"/>
      <c r="L3750" s="408"/>
      <c r="M3750" s="408"/>
      <c r="N3750" s="408" t="str">
        <f t="shared" si="485"/>
        <v/>
      </c>
      <c r="O3750" s="408"/>
      <c r="P3750" s="408"/>
      <c r="Q3750" s="408"/>
      <c r="R3750" s="408"/>
      <c r="S3750" s="408"/>
      <c r="T3750" s="408"/>
      <c r="U3750" s="408"/>
      <c r="V3750" s="421"/>
      <c r="W3750" s="421"/>
      <c r="X3750" s="421"/>
      <c r="Y3750" s="421"/>
      <c r="Z3750" s="421"/>
      <c r="AA3750" s="421"/>
      <c r="AB3750" s="421"/>
      <c r="AC3750" s="421"/>
      <c r="AD3750" s="421"/>
      <c r="AE3750" s="421"/>
      <c r="AF3750" s="421"/>
      <c r="AG3750" s="421"/>
      <c r="AH3750" s="421"/>
      <c r="AI3750" s="421"/>
      <c r="AJ3750" s="421"/>
      <c r="AK3750" s="421"/>
      <c r="AL3750" s="421"/>
    </row>
    <row r="3751" spans="1:38" hidden="1">
      <c r="A3751" s="408"/>
      <c r="B3751" s="83" t="e">
        <f t="array" ref="B3751">SUM(--(FREQUENCY(IF(C$2:C$3072=C3751, MATCH(D$2:D$3072, D$2:D$3072, 0)), ROW(D$2:D$3072)-ROW(D$2)+1) &gt; 0))</f>
        <v>#N/A</v>
      </c>
      <c r="C3751" s="408"/>
      <c r="D3751" s="408"/>
      <c r="E3751" s="408"/>
      <c r="F3751" s="408"/>
      <c r="G3751" s="408"/>
      <c r="H3751" s="408"/>
      <c r="I3751" s="408"/>
      <c r="J3751" s="408"/>
      <c r="K3751" s="408"/>
      <c r="L3751" s="408"/>
      <c r="M3751" s="408"/>
      <c r="N3751" s="408" t="str">
        <f t="shared" si="485"/>
        <v/>
      </c>
      <c r="O3751" s="408"/>
      <c r="P3751" s="408"/>
      <c r="Q3751" s="408"/>
      <c r="R3751" s="408"/>
      <c r="S3751" s="408"/>
      <c r="T3751" s="408"/>
      <c r="U3751" s="408"/>
      <c r="V3751" s="421"/>
      <c r="W3751" s="421"/>
      <c r="X3751" s="421"/>
      <c r="Y3751" s="421"/>
      <c r="Z3751" s="421"/>
      <c r="AA3751" s="421"/>
      <c r="AB3751" s="421"/>
      <c r="AC3751" s="421"/>
      <c r="AD3751" s="421"/>
      <c r="AE3751" s="421"/>
      <c r="AF3751" s="421"/>
      <c r="AG3751" s="421"/>
      <c r="AH3751" s="421"/>
      <c r="AI3751" s="421"/>
      <c r="AJ3751" s="421"/>
      <c r="AK3751" s="421"/>
      <c r="AL3751" s="421"/>
    </row>
    <row r="3752" spans="1:38" hidden="1">
      <c r="A3752" s="408"/>
      <c r="B3752" s="83" t="e">
        <f t="array" ref="B3752">SUM(--(FREQUENCY(IF(C$2:C$3072=C3752, MATCH(D$2:D$3072, D$2:D$3072, 0)), ROW(D$2:D$3072)-ROW(D$2)+1) &gt; 0))</f>
        <v>#N/A</v>
      </c>
      <c r="C3752" s="408"/>
      <c r="D3752" s="408"/>
      <c r="E3752" s="408"/>
      <c r="F3752" s="408"/>
      <c r="G3752" s="408"/>
      <c r="H3752" s="408"/>
      <c r="I3752" s="408"/>
      <c r="J3752" s="408"/>
      <c r="K3752" s="408"/>
      <c r="L3752" s="408"/>
      <c r="M3752" s="408"/>
      <c r="N3752" s="408" t="str">
        <f t="shared" si="485"/>
        <v/>
      </c>
      <c r="O3752" s="408"/>
      <c r="P3752" s="408"/>
      <c r="Q3752" s="408"/>
      <c r="R3752" s="408"/>
      <c r="S3752" s="408"/>
      <c r="T3752" s="408"/>
      <c r="U3752" s="408"/>
      <c r="V3752" s="421"/>
      <c r="W3752" s="421"/>
      <c r="X3752" s="421"/>
      <c r="Y3752" s="421"/>
      <c r="Z3752" s="421"/>
      <c r="AA3752" s="421"/>
      <c r="AB3752" s="421"/>
      <c r="AC3752" s="421"/>
      <c r="AD3752" s="421"/>
      <c r="AE3752" s="421"/>
      <c r="AF3752" s="421"/>
      <c r="AG3752" s="421"/>
      <c r="AH3752" s="421"/>
      <c r="AI3752" s="421"/>
      <c r="AJ3752" s="421"/>
      <c r="AK3752" s="421"/>
      <c r="AL3752" s="421"/>
    </row>
    <row r="3753" spans="1:38" hidden="1">
      <c r="A3753" s="408"/>
      <c r="B3753" s="83" t="e">
        <f t="array" ref="B3753">SUM(--(FREQUENCY(IF(C$2:C$3072=C3753, MATCH(D$2:D$3072, D$2:D$3072, 0)), ROW(D$2:D$3072)-ROW(D$2)+1) &gt; 0))</f>
        <v>#N/A</v>
      </c>
      <c r="C3753" s="408"/>
      <c r="D3753" s="408"/>
      <c r="E3753" s="408"/>
      <c r="F3753" s="408"/>
      <c r="G3753" s="408"/>
      <c r="H3753" s="408"/>
      <c r="I3753" s="408"/>
      <c r="J3753" s="408"/>
      <c r="K3753" s="408"/>
      <c r="L3753" s="408"/>
      <c r="M3753" s="408"/>
      <c r="N3753" s="408" t="str">
        <f t="shared" si="485"/>
        <v/>
      </c>
      <c r="O3753" s="408"/>
      <c r="P3753" s="408"/>
      <c r="Q3753" s="408"/>
      <c r="R3753" s="408"/>
      <c r="S3753" s="408"/>
      <c r="T3753" s="408"/>
      <c r="U3753" s="408"/>
      <c r="V3753" s="421"/>
      <c r="W3753" s="421"/>
      <c r="X3753" s="421"/>
      <c r="Y3753" s="421"/>
      <c r="Z3753" s="421"/>
      <c r="AA3753" s="421"/>
      <c r="AB3753" s="421"/>
      <c r="AC3753" s="421"/>
      <c r="AD3753" s="421"/>
      <c r="AE3753" s="421"/>
      <c r="AF3753" s="421"/>
      <c r="AG3753" s="421"/>
      <c r="AH3753" s="421"/>
      <c r="AI3753" s="421"/>
      <c r="AJ3753" s="421"/>
      <c r="AK3753" s="421"/>
      <c r="AL3753" s="421"/>
    </row>
    <row r="3754" spans="1:38" hidden="1">
      <c r="A3754" s="408"/>
      <c r="B3754" s="83" t="e">
        <f t="array" ref="B3754">SUM(--(FREQUENCY(IF(C$2:C$3072=C3754, MATCH(D$2:D$3072, D$2:D$3072, 0)), ROW(D$2:D$3072)-ROW(D$2)+1) &gt; 0))</f>
        <v>#N/A</v>
      </c>
      <c r="C3754" s="408"/>
      <c r="D3754" s="408"/>
      <c r="E3754" s="408"/>
      <c r="F3754" s="408"/>
      <c r="G3754" s="408"/>
      <c r="H3754" s="408"/>
      <c r="I3754" s="408"/>
      <c r="J3754" s="408"/>
      <c r="K3754" s="408"/>
      <c r="L3754" s="408"/>
      <c r="M3754" s="408"/>
      <c r="N3754" s="408" t="str">
        <f t="shared" si="485"/>
        <v/>
      </c>
      <c r="O3754" s="408"/>
      <c r="P3754" s="408"/>
      <c r="Q3754" s="408"/>
      <c r="R3754" s="408"/>
      <c r="S3754" s="408"/>
      <c r="T3754" s="408"/>
      <c r="U3754" s="408"/>
      <c r="V3754" s="421"/>
      <c r="W3754" s="421"/>
      <c r="X3754" s="421"/>
      <c r="Y3754" s="421"/>
      <c r="Z3754" s="421"/>
      <c r="AA3754" s="421"/>
      <c r="AB3754" s="421"/>
      <c r="AC3754" s="421"/>
      <c r="AD3754" s="421"/>
      <c r="AE3754" s="421"/>
      <c r="AF3754" s="421"/>
      <c r="AG3754" s="421"/>
      <c r="AH3754" s="421"/>
      <c r="AI3754" s="421"/>
      <c r="AJ3754" s="421"/>
      <c r="AK3754" s="421"/>
      <c r="AL3754" s="421"/>
    </row>
    <row r="3755" spans="1:38" hidden="1">
      <c r="A3755" s="408"/>
      <c r="B3755" s="83" t="e">
        <f t="array" ref="B3755">SUM(--(FREQUENCY(IF(C$2:C$3072=C3755, MATCH(D$2:D$3072, D$2:D$3072, 0)), ROW(D$2:D$3072)-ROW(D$2)+1) &gt; 0))</f>
        <v>#N/A</v>
      </c>
      <c r="C3755" s="408"/>
      <c r="D3755" s="408"/>
      <c r="E3755" s="408"/>
      <c r="F3755" s="408"/>
      <c r="G3755" s="408"/>
      <c r="H3755" s="408"/>
      <c r="I3755" s="408"/>
      <c r="J3755" s="408"/>
      <c r="K3755" s="408"/>
      <c r="L3755" s="408"/>
      <c r="M3755" s="408"/>
      <c r="N3755" s="408" t="str">
        <f t="shared" si="485"/>
        <v/>
      </c>
      <c r="O3755" s="408"/>
      <c r="P3755" s="408"/>
      <c r="Q3755" s="408"/>
      <c r="R3755" s="408"/>
      <c r="S3755" s="408"/>
      <c r="T3755" s="408"/>
      <c r="U3755" s="408"/>
      <c r="V3755" s="421"/>
      <c r="W3755" s="421"/>
      <c r="X3755" s="421"/>
      <c r="Y3755" s="421"/>
      <c r="Z3755" s="421"/>
      <c r="AA3755" s="421"/>
      <c r="AB3755" s="421"/>
      <c r="AC3755" s="421"/>
      <c r="AD3755" s="421"/>
      <c r="AE3755" s="421"/>
      <c r="AF3755" s="421"/>
      <c r="AG3755" s="421"/>
      <c r="AH3755" s="421"/>
      <c r="AI3755" s="421"/>
      <c r="AJ3755" s="421"/>
      <c r="AK3755" s="421"/>
      <c r="AL3755" s="421"/>
    </row>
    <row r="3756" spans="1:38" hidden="1">
      <c r="A3756" s="408"/>
      <c r="B3756" s="83" t="e">
        <f t="array" ref="B3756">SUM(--(FREQUENCY(IF(C$2:C$3072=C3756, MATCH(D$2:D$3072, D$2:D$3072, 0)), ROW(D$2:D$3072)-ROW(D$2)+1) &gt; 0))</f>
        <v>#N/A</v>
      </c>
      <c r="C3756" s="408"/>
      <c r="D3756" s="408"/>
      <c r="E3756" s="408"/>
      <c r="F3756" s="408"/>
      <c r="G3756" s="408"/>
      <c r="H3756" s="408"/>
      <c r="I3756" s="408"/>
      <c r="J3756" s="408"/>
      <c r="K3756" s="408"/>
      <c r="L3756" s="408"/>
      <c r="M3756" s="408"/>
      <c r="N3756" s="408" t="str">
        <f t="shared" si="485"/>
        <v/>
      </c>
      <c r="O3756" s="408"/>
      <c r="P3756" s="408"/>
      <c r="Q3756" s="408"/>
      <c r="R3756" s="408"/>
      <c r="S3756" s="408"/>
      <c r="T3756" s="408"/>
      <c r="U3756" s="408"/>
      <c r="V3756" s="421"/>
      <c r="W3756" s="421"/>
      <c r="X3756" s="421"/>
      <c r="Y3756" s="421"/>
      <c r="Z3756" s="421"/>
      <c r="AA3756" s="421"/>
      <c r="AB3756" s="421"/>
      <c r="AC3756" s="421"/>
      <c r="AD3756" s="421"/>
      <c r="AE3756" s="421"/>
      <c r="AF3756" s="421"/>
      <c r="AG3756" s="421"/>
      <c r="AH3756" s="421"/>
      <c r="AI3756" s="421"/>
      <c r="AJ3756" s="421"/>
      <c r="AK3756" s="421"/>
      <c r="AL3756" s="421"/>
    </row>
    <row r="3757" spans="1:38" hidden="1">
      <c r="A3757" s="408"/>
      <c r="B3757" s="83" t="e">
        <f t="array" ref="B3757">SUM(--(FREQUENCY(IF(C$2:C$3072=C3757, MATCH(D$2:D$3072, D$2:D$3072, 0)), ROW(D$2:D$3072)-ROW(D$2)+1) &gt; 0))</f>
        <v>#N/A</v>
      </c>
      <c r="C3757" s="408"/>
      <c r="D3757" s="408"/>
      <c r="E3757" s="408"/>
      <c r="F3757" s="408"/>
      <c r="G3757" s="408"/>
      <c r="H3757" s="408"/>
      <c r="I3757" s="408"/>
      <c r="J3757" s="408"/>
      <c r="K3757" s="408"/>
      <c r="L3757" s="408"/>
      <c r="M3757" s="408"/>
      <c r="N3757" s="408" t="str">
        <f t="shared" si="485"/>
        <v/>
      </c>
      <c r="O3757" s="408"/>
      <c r="P3757" s="408"/>
      <c r="Q3757" s="408"/>
      <c r="R3757" s="408"/>
      <c r="S3757" s="408"/>
      <c r="T3757" s="408"/>
      <c r="U3757" s="408"/>
      <c r="V3757" s="421"/>
      <c r="W3757" s="421"/>
      <c r="X3757" s="421"/>
      <c r="Y3757" s="421"/>
      <c r="Z3757" s="421"/>
      <c r="AA3757" s="421"/>
      <c r="AB3757" s="421"/>
      <c r="AC3757" s="421"/>
      <c r="AD3757" s="421"/>
      <c r="AE3757" s="421"/>
      <c r="AF3757" s="421"/>
      <c r="AG3757" s="421"/>
      <c r="AH3757" s="421"/>
      <c r="AI3757" s="421"/>
      <c r="AJ3757" s="421"/>
      <c r="AK3757" s="421"/>
      <c r="AL3757" s="421"/>
    </row>
    <row r="3758" spans="1:38" hidden="1">
      <c r="A3758" s="408"/>
      <c r="B3758" s="83" t="e">
        <f t="array" ref="B3758">SUM(--(FREQUENCY(IF(C$2:C$3072=C3758, MATCH(D$2:D$3072, D$2:D$3072, 0)), ROW(D$2:D$3072)-ROW(D$2)+1) &gt; 0))</f>
        <v>#N/A</v>
      </c>
      <c r="C3758" s="408"/>
      <c r="D3758" s="408"/>
      <c r="E3758" s="408"/>
      <c r="F3758" s="408"/>
      <c r="G3758" s="408"/>
      <c r="H3758" s="408"/>
      <c r="I3758" s="408"/>
      <c r="J3758" s="408"/>
      <c r="K3758" s="408"/>
      <c r="L3758" s="408"/>
      <c r="M3758" s="408"/>
      <c r="N3758" s="408" t="str">
        <f t="shared" si="485"/>
        <v/>
      </c>
      <c r="O3758" s="408"/>
      <c r="P3758" s="408"/>
      <c r="Q3758" s="408"/>
      <c r="R3758" s="408"/>
      <c r="S3758" s="408"/>
      <c r="T3758" s="408"/>
      <c r="U3758" s="408"/>
      <c r="V3758" s="421"/>
      <c r="W3758" s="421"/>
      <c r="X3758" s="421"/>
      <c r="Y3758" s="421"/>
      <c r="Z3758" s="421"/>
      <c r="AA3758" s="421"/>
      <c r="AB3758" s="421"/>
      <c r="AC3758" s="421"/>
      <c r="AD3758" s="421"/>
      <c r="AE3758" s="421"/>
      <c r="AF3758" s="421"/>
      <c r="AG3758" s="421"/>
      <c r="AH3758" s="421"/>
      <c r="AI3758" s="421"/>
      <c r="AJ3758" s="421"/>
      <c r="AK3758" s="421"/>
      <c r="AL3758" s="421"/>
    </row>
    <row r="3759" spans="1:38" hidden="1">
      <c r="A3759" s="408"/>
      <c r="B3759" s="83" t="e">
        <f t="array" ref="B3759">SUM(--(FREQUENCY(IF(C$2:C$3072=C3759, MATCH(D$2:D$3072, D$2:D$3072, 0)), ROW(D$2:D$3072)-ROW(D$2)+1) &gt; 0))</f>
        <v>#N/A</v>
      </c>
      <c r="C3759" s="408"/>
      <c r="D3759" s="408"/>
      <c r="E3759" s="408"/>
      <c r="F3759" s="408"/>
      <c r="G3759" s="408"/>
      <c r="H3759" s="408"/>
      <c r="I3759" s="408"/>
      <c r="J3759" s="408"/>
      <c r="K3759" s="408"/>
      <c r="L3759" s="408"/>
      <c r="M3759" s="408"/>
      <c r="N3759" s="408" t="str">
        <f t="shared" si="485"/>
        <v/>
      </c>
      <c r="O3759" s="408"/>
      <c r="P3759" s="408"/>
      <c r="Q3759" s="408"/>
      <c r="R3759" s="408"/>
      <c r="S3759" s="408"/>
      <c r="T3759" s="408"/>
      <c r="U3759" s="408"/>
      <c r="V3759" s="421"/>
      <c r="W3759" s="421"/>
      <c r="X3759" s="421"/>
      <c r="Y3759" s="421"/>
      <c r="Z3759" s="421"/>
      <c r="AA3759" s="421"/>
      <c r="AB3759" s="421"/>
      <c r="AC3759" s="421"/>
      <c r="AD3759" s="421"/>
      <c r="AE3759" s="421"/>
      <c r="AF3759" s="421"/>
      <c r="AG3759" s="421"/>
      <c r="AH3759" s="421"/>
      <c r="AI3759" s="421"/>
      <c r="AJ3759" s="421"/>
      <c r="AK3759" s="421"/>
      <c r="AL3759" s="421"/>
    </row>
    <row r="3760" spans="1:38" hidden="1">
      <c r="A3760" s="408"/>
      <c r="B3760" s="83" t="e">
        <f t="array" ref="B3760">SUM(--(FREQUENCY(IF(C$2:C$3072=C3760, MATCH(D$2:D$3072, D$2:D$3072, 0)), ROW(D$2:D$3072)-ROW(D$2)+1) &gt; 0))</f>
        <v>#N/A</v>
      </c>
      <c r="C3760" s="408"/>
      <c r="D3760" s="408"/>
      <c r="E3760" s="408"/>
      <c r="F3760" s="408"/>
      <c r="G3760" s="408"/>
      <c r="H3760" s="408"/>
      <c r="I3760" s="408"/>
      <c r="J3760" s="408"/>
      <c r="K3760" s="408"/>
      <c r="L3760" s="408"/>
      <c r="M3760" s="408"/>
      <c r="N3760" s="408" t="str">
        <f t="shared" si="485"/>
        <v/>
      </c>
      <c r="O3760" s="408"/>
      <c r="P3760" s="408"/>
      <c r="Q3760" s="408"/>
      <c r="R3760" s="408"/>
      <c r="S3760" s="408"/>
      <c r="T3760" s="408"/>
      <c r="U3760" s="408"/>
      <c r="V3760" s="421"/>
      <c r="W3760" s="421"/>
      <c r="X3760" s="421"/>
      <c r="Y3760" s="421"/>
      <c r="Z3760" s="421"/>
      <c r="AA3760" s="421"/>
      <c r="AB3760" s="421"/>
      <c r="AC3760" s="421"/>
      <c r="AD3760" s="421"/>
      <c r="AE3760" s="421"/>
      <c r="AF3760" s="421"/>
      <c r="AG3760" s="421"/>
      <c r="AH3760" s="421"/>
      <c r="AI3760" s="421"/>
      <c r="AJ3760" s="421"/>
      <c r="AK3760" s="421"/>
      <c r="AL3760" s="421"/>
    </row>
    <row r="3761" spans="1:38" hidden="1">
      <c r="A3761" s="408"/>
      <c r="B3761" s="83" t="e">
        <f t="array" ref="B3761">SUM(--(FREQUENCY(IF(C$2:C$3072=C3761, MATCH(D$2:D$3072, D$2:D$3072, 0)), ROW(D$2:D$3072)-ROW(D$2)+1) &gt; 0))</f>
        <v>#N/A</v>
      </c>
      <c r="C3761" s="408"/>
      <c r="D3761" s="408"/>
      <c r="E3761" s="408"/>
      <c r="F3761" s="408"/>
      <c r="G3761" s="408"/>
      <c r="H3761" s="408"/>
      <c r="I3761" s="408"/>
      <c r="J3761" s="408"/>
      <c r="K3761" s="408"/>
      <c r="L3761" s="408"/>
      <c r="M3761" s="408"/>
      <c r="N3761" s="408" t="str">
        <f t="shared" si="485"/>
        <v/>
      </c>
      <c r="O3761" s="408"/>
      <c r="P3761" s="408"/>
      <c r="Q3761" s="408"/>
      <c r="R3761" s="408"/>
      <c r="S3761" s="408"/>
      <c r="T3761" s="408"/>
      <c r="U3761" s="408"/>
      <c r="V3761" s="421"/>
      <c r="W3761" s="421"/>
      <c r="X3761" s="421"/>
      <c r="Y3761" s="421"/>
      <c r="Z3761" s="421"/>
      <c r="AA3761" s="421"/>
      <c r="AB3761" s="421"/>
      <c r="AC3761" s="421"/>
      <c r="AD3761" s="421"/>
      <c r="AE3761" s="421"/>
      <c r="AF3761" s="421"/>
      <c r="AG3761" s="421"/>
      <c r="AH3761" s="421"/>
      <c r="AI3761" s="421"/>
      <c r="AJ3761" s="421"/>
      <c r="AK3761" s="421"/>
      <c r="AL3761" s="421"/>
    </row>
    <row r="3762" spans="1:38" hidden="1">
      <c r="A3762" s="408"/>
      <c r="B3762" s="83" t="e">
        <f t="array" ref="B3762">SUM(--(FREQUENCY(IF(C$2:C$3072=C3762, MATCH(D$2:D$3072, D$2:D$3072, 0)), ROW(D$2:D$3072)-ROW(D$2)+1) &gt; 0))</f>
        <v>#N/A</v>
      </c>
      <c r="C3762" s="408"/>
      <c r="D3762" s="408"/>
      <c r="E3762" s="408"/>
      <c r="F3762" s="408"/>
      <c r="G3762" s="408"/>
      <c r="H3762" s="408"/>
      <c r="I3762" s="408"/>
      <c r="J3762" s="408"/>
      <c r="K3762" s="408"/>
      <c r="L3762" s="408"/>
      <c r="M3762" s="408"/>
      <c r="N3762" s="408" t="str">
        <f t="shared" si="485"/>
        <v/>
      </c>
      <c r="O3762" s="408"/>
      <c r="P3762" s="408"/>
      <c r="Q3762" s="408"/>
      <c r="R3762" s="408"/>
      <c r="S3762" s="408"/>
      <c r="T3762" s="408"/>
      <c r="U3762" s="408"/>
      <c r="V3762" s="421"/>
      <c r="W3762" s="421"/>
      <c r="X3762" s="421"/>
      <c r="Y3762" s="421"/>
      <c r="Z3762" s="421"/>
      <c r="AA3762" s="421"/>
      <c r="AB3762" s="421"/>
      <c r="AC3762" s="421"/>
      <c r="AD3762" s="421"/>
      <c r="AE3762" s="421"/>
      <c r="AF3762" s="421"/>
      <c r="AG3762" s="421"/>
      <c r="AH3762" s="421"/>
      <c r="AI3762" s="421"/>
      <c r="AJ3762" s="421"/>
      <c r="AK3762" s="421"/>
      <c r="AL3762" s="421"/>
    </row>
    <row r="3763" spans="1:38" hidden="1">
      <c r="A3763" s="408"/>
      <c r="B3763" s="83" t="e">
        <f t="array" ref="B3763">SUM(--(FREQUENCY(IF(C$2:C$3072=C3763, MATCH(D$2:D$3072, D$2:D$3072, 0)), ROW(D$2:D$3072)-ROW(D$2)+1) &gt; 0))</f>
        <v>#N/A</v>
      </c>
      <c r="C3763" s="408"/>
      <c r="D3763" s="408"/>
      <c r="E3763" s="408"/>
      <c r="F3763" s="408"/>
      <c r="G3763" s="408"/>
      <c r="H3763" s="408"/>
      <c r="I3763" s="408"/>
      <c r="J3763" s="408"/>
      <c r="K3763" s="408"/>
      <c r="L3763" s="408"/>
      <c r="M3763" s="408"/>
      <c r="N3763" s="408" t="str">
        <f t="shared" si="485"/>
        <v/>
      </c>
      <c r="O3763" s="408"/>
      <c r="P3763" s="408"/>
      <c r="Q3763" s="408"/>
      <c r="R3763" s="408"/>
      <c r="S3763" s="408"/>
      <c r="T3763" s="408"/>
      <c r="U3763" s="408"/>
      <c r="V3763" s="421"/>
      <c r="W3763" s="421"/>
      <c r="X3763" s="421"/>
      <c r="Y3763" s="421"/>
      <c r="Z3763" s="421"/>
      <c r="AA3763" s="421"/>
      <c r="AB3763" s="421"/>
      <c r="AC3763" s="421"/>
      <c r="AD3763" s="421"/>
      <c r="AE3763" s="421"/>
      <c r="AF3763" s="421"/>
      <c r="AG3763" s="421"/>
      <c r="AH3763" s="421"/>
      <c r="AI3763" s="421"/>
      <c r="AJ3763" s="421"/>
      <c r="AK3763" s="421"/>
      <c r="AL3763" s="421"/>
    </row>
    <row r="3764" spans="1:38" hidden="1">
      <c r="A3764" s="408"/>
      <c r="B3764" s="83" t="e">
        <f t="array" ref="B3764">SUM(--(FREQUENCY(IF(C$2:C$3072=C3764, MATCH(D$2:D$3072, D$2:D$3072, 0)), ROW(D$2:D$3072)-ROW(D$2)+1) &gt; 0))</f>
        <v>#N/A</v>
      </c>
      <c r="C3764" s="408"/>
      <c r="D3764" s="408"/>
      <c r="E3764" s="408"/>
      <c r="F3764" s="408"/>
      <c r="G3764" s="408"/>
      <c r="H3764" s="408"/>
      <c r="I3764" s="408"/>
      <c r="J3764" s="408"/>
      <c r="K3764" s="408"/>
      <c r="L3764" s="408"/>
      <c r="M3764" s="408"/>
      <c r="N3764" s="408" t="str">
        <f t="shared" si="485"/>
        <v/>
      </c>
      <c r="O3764" s="408"/>
      <c r="P3764" s="408"/>
      <c r="Q3764" s="408"/>
      <c r="R3764" s="408"/>
      <c r="S3764" s="408"/>
      <c r="T3764" s="408"/>
      <c r="U3764" s="408"/>
      <c r="V3764" s="421"/>
      <c r="W3764" s="421"/>
      <c r="X3764" s="421"/>
      <c r="Y3764" s="421"/>
      <c r="Z3764" s="421"/>
      <c r="AA3764" s="421"/>
      <c r="AB3764" s="421"/>
      <c r="AC3764" s="421"/>
      <c r="AD3764" s="421"/>
      <c r="AE3764" s="421"/>
      <c r="AF3764" s="421"/>
      <c r="AG3764" s="421"/>
      <c r="AH3764" s="421"/>
      <c r="AI3764" s="421"/>
      <c r="AJ3764" s="421"/>
      <c r="AK3764" s="421"/>
      <c r="AL3764" s="421"/>
    </row>
    <row r="3765" spans="1:38" hidden="1">
      <c r="A3765" s="408"/>
      <c r="B3765" s="83" t="e">
        <f t="array" ref="B3765">SUM(--(FREQUENCY(IF(C$2:C$3072=C3765, MATCH(D$2:D$3072, D$2:D$3072, 0)), ROW(D$2:D$3072)-ROW(D$2)+1) &gt; 0))</f>
        <v>#N/A</v>
      </c>
      <c r="C3765" s="408"/>
      <c r="D3765" s="408"/>
      <c r="E3765" s="408"/>
      <c r="F3765" s="408"/>
      <c r="G3765" s="408"/>
      <c r="H3765" s="408"/>
      <c r="I3765" s="408"/>
      <c r="J3765" s="408"/>
      <c r="K3765" s="408"/>
      <c r="L3765" s="408"/>
      <c r="M3765" s="408"/>
      <c r="N3765" s="408" t="str">
        <f t="shared" si="485"/>
        <v/>
      </c>
      <c r="O3765" s="408"/>
      <c r="P3765" s="408"/>
      <c r="Q3765" s="408"/>
      <c r="R3765" s="408"/>
      <c r="S3765" s="408"/>
      <c r="T3765" s="408"/>
      <c r="U3765" s="408"/>
      <c r="V3765" s="421"/>
      <c r="W3765" s="421"/>
      <c r="X3765" s="421"/>
      <c r="Y3765" s="421"/>
      <c r="Z3765" s="421"/>
      <c r="AA3765" s="421"/>
      <c r="AB3765" s="421"/>
      <c r="AC3765" s="421"/>
      <c r="AD3765" s="421"/>
      <c r="AE3765" s="421"/>
      <c r="AF3765" s="421"/>
      <c r="AG3765" s="421"/>
      <c r="AH3765" s="421"/>
      <c r="AI3765" s="421"/>
      <c r="AJ3765" s="421"/>
      <c r="AK3765" s="421"/>
      <c r="AL3765" s="421"/>
    </row>
    <row r="3766" spans="1:38" hidden="1">
      <c r="A3766" s="408"/>
      <c r="B3766" s="83" t="e">
        <f t="array" ref="B3766">SUM(--(FREQUENCY(IF(C$2:C$3072=C3766, MATCH(D$2:D$3072, D$2:D$3072, 0)), ROW(D$2:D$3072)-ROW(D$2)+1) &gt; 0))</f>
        <v>#N/A</v>
      </c>
      <c r="C3766" s="408"/>
      <c r="D3766" s="408"/>
      <c r="E3766" s="408"/>
      <c r="F3766" s="408"/>
      <c r="G3766" s="408"/>
      <c r="H3766" s="408"/>
      <c r="I3766" s="408"/>
      <c r="J3766" s="408"/>
      <c r="K3766" s="408"/>
      <c r="L3766" s="408"/>
      <c r="M3766" s="408"/>
      <c r="N3766" s="408" t="str">
        <f t="shared" si="485"/>
        <v/>
      </c>
      <c r="O3766" s="408"/>
      <c r="P3766" s="408"/>
      <c r="Q3766" s="408"/>
      <c r="R3766" s="408"/>
      <c r="S3766" s="408"/>
      <c r="T3766" s="408"/>
      <c r="U3766" s="408"/>
      <c r="V3766" s="421"/>
      <c r="W3766" s="421"/>
      <c r="X3766" s="421"/>
      <c r="Y3766" s="421"/>
      <c r="Z3766" s="421"/>
      <c r="AA3766" s="421"/>
      <c r="AB3766" s="421"/>
      <c r="AC3766" s="421"/>
      <c r="AD3766" s="421"/>
      <c r="AE3766" s="421"/>
      <c r="AF3766" s="421"/>
      <c r="AG3766" s="421"/>
      <c r="AH3766" s="421"/>
      <c r="AI3766" s="421"/>
      <c r="AJ3766" s="421"/>
      <c r="AK3766" s="421"/>
      <c r="AL3766" s="421"/>
    </row>
    <row r="3767" spans="1:38" hidden="1">
      <c r="A3767" s="408"/>
      <c r="B3767" s="83" t="e">
        <f t="array" ref="B3767">SUM(--(FREQUENCY(IF(C$2:C$3072=C3767, MATCH(D$2:D$3072, D$2:D$3072, 0)), ROW(D$2:D$3072)-ROW(D$2)+1) &gt; 0))</f>
        <v>#N/A</v>
      </c>
      <c r="C3767" s="408"/>
      <c r="D3767" s="408"/>
      <c r="E3767" s="408"/>
      <c r="F3767" s="408"/>
      <c r="G3767" s="408"/>
      <c r="H3767" s="408"/>
      <c r="I3767" s="408"/>
      <c r="J3767" s="408"/>
      <c r="K3767" s="408"/>
      <c r="L3767" s="408"/>
      <c r="M3767" s="408"/>
      <c r="N3767" s="408" t="str">
        <f t="shared" si="485"/>
        <v/>
      </c>
      <c r="O3767" s="408"/>
      <c r="P3767" s="408"/>
      <c r="Q3767" s="408"/>
      <c r="R3767" s="408"/>
      <c r="S3767" s="408"/>
      <c r="T3767" s="408"/>
      <c r="U3767" s="408"/>
      <c r="V3767" s="421"/>
      <c r="W3767" s="421"/>
      <c r="X3767" s="421"/>
      <c r="Y3767" s="421"/>
      <c r="Z3767" s="421"/>
      <c r="AA3767" s="421"/>
      <c r="AB3767" s="421"/>
      <c r="AC3767" s="421"/>
      <c r="AD3767" s="421"/>
      <c r="AE3767" s="421"/>
      <c r="AF3767" s="421"/>
      <c r="AG3767" s="421"/>
      <c r="AH3767" s="421"/>
      <c r="AI3767" s="421"/>
      <c r="AJ3767" s="421"/>
      <c r="AK3767" s="421"/>
      <c r="AL3767" s="421"/>
    </row>
    <row r="3768" spans="1:38" hidden="1">
      <c r="A3768" s="408"/>
      <c r="B3768" s="83" t="e">
        <f t="array" ref="B3768">SUM(--(FREQUENCY(IF(C$2:C$3072=C3768, MATCH(D$2:D$3072, D$2:D$3072, 0)), ROW(D$2:D$3072)-ROW(D$2)+1) &gt; 0))</f>
        <v>#N/A</v>
      </c>
      <c r="C3768" s="408"/>
      <c r="D3768" s="408"/>
      <c r="E3768" s="408"/>
      <c r="F3768" s="408"/>
      <c r="G3768" s="408"/>
      <c r="H3768" s="408"/>
      <c r="I3768" s="408"/>
      <c r="J3768" s="408"/>
      <c r="K3768" s="408"/>
      <c r="L3768" s="408"/>
      <c r="M3768" s="408"/>
      <c r="N3768" s="408" t="str">
        <f t="shared" si="485"/>
        <v/>
      </c>
      <c r="O3768" s="408"/>
      <c r="P3768" s="408"/>
      <c r="Q3768" s="408"/>
      <c r="R3768" s="408"/>
      <c r="S3768" s="408"/>
      <c r="T3768" s="408"/>
      <c r="U3768" s="408"/>
      <c r="V3768" s="421"/>
      <c r="W3768" s="421"/>
      <c r="X3768" s="421"/>
      <c r="Y3768" s="421"/>
      <c r="Z3768" s="421"/>
      <c r="AA3768" s="421"/>
      <c r="AB3768" s="421"/>
      <c r="AC3768" s="421"/>
      <c r="AD3768" s="421"/>
      <c r="AE3768" s="421"/>
      <c r="AF3768" s="421"/>
      <c r="AG3768" s="421"/>
      <c r="AH3768" s="421"/>
      <c r="AI3768" s="421"/>
      <c r="AJ3768" s="421"/>
      <c r="AK3768" s="421"/>
      <c r="AL3768" s="421"/>
    </row>
    <row r="3769" spans="1:38" hidden="1">
      <c r="A3769" s="408"/>
      <c r="B3769" s="83" t="e">
        <f t="array" ref="B3769">SUM(--(FREQUENCY(IF(C$2:C$3072=C3769, MATCH(D$2:D$3072, D$2:D$3072, 0)), ROW(D$2:D$3072)-ROW(D$2)+1) &gt; 0))</f>
        <v>#N/A</v>
      </c>
      <c r="C3769" s="408"/>
      <c r="D3769" s="408"/>
      <c r="E3769" s="408"/>
      <c r="F3769" s="408"/>
      <c r="G3769" s="408"/>
      <c r="H3769" s="408"/>
      <c r="I3769" s="408"/>
      <c r="J3769" s="408"/>
      <c r="K3769" s="408"/>
      <c r="L3769" s="408"/>
      <c r="M3769" s="408"/>
      <c r="N3769" s="408" t="str">
        <f t="shared" si="485"/>
        <v/>
      </c>
      <c r="O3769" s="408"/>
      <c r="P3769" s="408"/>
      <c r="Q3769" s="408"/>
      <c r="R3769" s="408"/>
      <c r="S3769" s="408"/>
      <c r="T3769" s="408"/>
      <c r="U3769" s="408"/>
      <c r="V3769" s="421"/>
      <c r="W3769" s="421"/>
      <c r="X3769" s="421"/>
      <c r="Y3769" s="421"/>
      <c r="Z3769" s="421"/>
      <c r="AA3769" s="421"/>
      <c r="AB3769" s="421"/>
      <c r="AC3769" s="421"/>
      <c r="AD3769" s="421"/>
      <c r="AE3769" s="421"/>
      <c r="AF3769" s="421"/>
      <c r="AG3769" s="421"/>
      <c r="AH3769" s="421"/>
      <c r="AI3769" s="421"/>
      <c r="AJ3769" s="421"/>
      <c r="AK3769" s="421"/>
      <c r="AL3769" s="421"/>
    </row>
    <row r="3770" spans="1:38" hidden="1">
      <c r="A3770" s="408"/>
      <c r="B3770" s="83" t="e">
        <f t="array" ref="B3770">SUM(--(FREQUENCY(IF(C$2:C$3072=C3770, MATCH(D$2:D$3072, D$2:D$3072, 0)), ROW(D$2:D$3072)-ROW(D$2)+1) &gt; 0))</f>
        <v>#N/A</v>
      </c>
      <c r="C3770" s="408"/>
      <c r="D3770" s="408"/>
      <c r="E3770" s="408"/>
      <c r="F3770" s="408"/>
      <c r="G3770" s="408"/>
      <c r="H3770" s="408"/>
      <c r="I3770" s="408"/>
      <c r="J3770" s="408"/>
      <c r="K3770" s="408"/>
      <c r="L3770" s="408"/>
      <c r="M3770" s="408"/>
      <c r="N3770" s="408" t="str">
        <f t="shared" si="485"/>
        <v/>
      </c>
      <c r="O3770" s="408"/>
      <c r="P3770" s="408"/>
      <c r="Q3770" s="408"/>
      <c r="R3770" s="408"/>
      <c r="S3770" s="408"/>
      <c r="T3770" s="408"/>
      <c r="U3770" s="408"/>
      <c r="V3770" s="421"/>
      <c r="W3770" s="421"/>
      <c r="X3770" s="421"/>
      <c r="Y3770" s="421"/>
      <c r="Z3770" s="421"/>
      <c r="AA3770" s="421"/>
      <c r="AB3770" s="421"/>
      <c r="AC3770" s="421"/>
      <c r="AD3770" s="421"/>
      <c r="AE3770" s="421"/>
      <c r="AF3770" s="421"/>
      <c r="AG3770" s="421"/>
      <c r="AH3770" s="421"/>
      <c r="AI3770" s="421"/>
      <c r="AJ3770" s="421"/>
      <c r="AK3770" s="421"/>
      <c r="AL3770" s="421"/>
    </row>
    <row r="3771" spans="1:38" hidden="1">
      <c r="A3771" s="408"/>
      <c r="B3771" s="83" t="e">
        <f t="array" ref="B3771">SUM(--(FREQUENCY(IF(C$2:C$3072=C3771, MATCH(D$2:D$3072, D$2:D$3072, 0)), ROW(D$2:D$3072)-ROW(D$2)+1) &gt; 0))</f>
        <v>#N/A</v>
      </c>
      <c r="C3771" s="408"/>
      <c r="D3771" s="408"/>
      <c r="E3771" s="408"/>
      <c r="F3771" s="408"/>
      <c r="G3771" s="408"/>
      <c r="H3771" s="408"/>
      <c r="I3771" s="408"/>
      <c r="J3771" s="408"/>
      <c r="K3771" s="408"/>
      <c r="L3771" s="408"/>
      <c r="M3771" s="408"/>
      <c r="N3771" s="408" t="str">
        <f t="shared" si="485"/>
        <v/>
      </c>
      <c r="O3771" s="408"/>
      <c r="P3771" s="408"/>
      <c r="Q3771" s="408"/>
      <c r="R3771" s="408"/>
      <c r="S3771" s="408"/>
      <c r="T3771" s="408"/>
      <c r="U3771" s="408"/>
      <c r="V3771" s="421"/>
      <c r="W3771" s="421"/>
      <c r="X3771" s="421"/>
      <c r="Y3771" s="421"/>
      <c r="Z3771" s="421"/>
      <c r="AA3771" s="421"/>
      <c r="AB3771" s="421"/>
      <c r="AC3771" s="421"/>
      <c r="AD3771" s="421"/>
      <c r="AE3771" s="421"/>
      <c r="AF3771" s="421"/>
      <c r="AG3771" s="421"/>
      <c r="AH3771" s="421"/>
      <c r="AI3771" s="421"/>
      <c r="AJ3771" s="421"/>
      <c r="AK3771" s="421"/>
      <c r="AL3771" s="421"/>
    </row>
    <row r="3772" spans="1:38" hidden="1">
      <c r="A3772" s="408"/>
      <c r="B3772" s="83" t="e">
        <f t="array" ref="B3772">SUM(--(FREQUENCY(IF(C$2:C$3072=C3772, MATCH(D$2:D$3072, D$2:D$3072, 0)), ROW(D$2:D$3072)-ROW(D$2)+1) &gt; 0))</f>
        <v>#N/A</v>
      </c>
      <c r="C3772" s="408"/>
      <c r="D3772" s="408"/>
      <c r="E3772" s="408"/>
      <c r="F3772" s="408"/>
      <c r="G3772" s="408"/>
      <c r="H3772" s="408"/>
      <c r="I3772" s="408"/>
      <c r="J3772" s="408"/>
      <c r="K3772" s="408"/>
      <c r="L3772" s="408"/>
      <c r="M3772" s="408"/>
      <c r="N3772" s="408" t="str">
        <f t="shared" si="485"/>
        <v/>
      </c>
      <c r="O3772" s="408"/>
      <c r="P3772" s="408"/>
      <c r="Q3772" s="408"/>
      <c r="R3772" s="408"/>
      <c r="S3772" s="408"/>
      <c r="T3772" s="408"/>
      <c r="U3772" s="408"/>
      <c r="V3772" s="421"/>
      <c r="W3772" s="421"/>
      <c r="X3772" s="421"/>
      <c r="Y3772" s="421"/>
      <c r="Z3772" s="421"/>
      <c r="AA3772" s="421"/>
      <c r="AB3772" s="421"/>
      <c r="AC3772" s="421"/>
      <c r="AD3772" s="421"/>
      <c r="AE3772" s="421"/>
      <c r="AF3772" s="421"/>
      <c r="AG3772" s="421"/>
      <c r="AH3772" s="421"/>
      <c r="AI3772" s="421"/>
      <c r="AJ3772" s="421"/>
      <c r="AK3772" s="421"/>
      <c r="AL3772" s="421"/>
    </row>
    <row r="3773" spans="1:38" hidden="1">
      <c r="A3773" s="408"/>
      <c r="B3773" s="83" t="e">
        <f t="array" ref="B3773">SUM(--(FREQUENCY(IF(C$2:C$3072=C3773, MATCH(D$2:D$3072, D$2:D$3072, 0)), ROW(D$2:D$3072)-ROW(D$2)+1) &gt; 0))</f>
        <v>#N/A</v>
      </c>
      <c r="C3773" s="408"/>
      <c r="D3773" s="408"/>
      <c r="E3773" s="408"/>
      <c r="F3773" s="408"/>
      <c r="G3773" s="408"/>
      <c r="H3773" s="408"/>
      <c r="I3773" s="408"/>
      <c r="J3773" s="408"/>
      <c r="K3773" s="408"/>
      <c r="L3773" s="408"/>
      <c r="M3773" s="408"/>
      <c r="N3773" s="408" t="str">
        <f t="shared" si="485"/>
        <v/>
      </c>
      <c r="O3773" s="408"/>
      <c r="P3773" s="408"/>
      <c r="Q3773" s="408"/>
      <c r="R3773" s="408"/>
      <c r="S3773" s="408"/>
      <c r="T3773" s="408"/>
      <c r="U3773" s="408"/>
      <c r="V3773" s="421"/>
      <c r="W3773" s="421"/>
      <c r="X3773" s="421"/>
      <c r="Y3773" s="421"/>
      <c r="Z3773" s="421"/>
      <c r="AA3773" s="421"/>
      <c r="AB3773" s="421"/>
      <c r="AC3773" s="421"/>
      <c r="AD3773" s="421"/>
      <c r="AE3773" s="421"/>
      <c r="AF3773" s="421"/>
      <c r="AG3773" s="421"/>
      <c r="AH3773" s="421"/>
      <c r="AI3773" s="421"/>
      <c r="AJ3773" s="421"/>
      <c r="AK3773" s="421"/>
      <c r="AL3773" s="421"/>
    </row>
    <row r="3774" spans="1:38" hidden="1">
      <c r="A3774" s="408"/>
      <c r="B3774" s="83" t="e">
        <f t="array" ref="B3774">SUM(--(FREQUENCY(IF(C$2:C$3072=C3774, MATCH(D$2:D$3072, D$2:D$3072, 0)), ROW(D$2:D$3072)-ROW(D$2)+1) &gt; 0))</f>
        <v>#N/A</v>
      </c>
      <c r="C3774" s="408"/>
      <c r="D3774" s="408"/>
      <c r="E3774" s="408"/>
      <c r="F3774" s="408"/>
      <c r="G3774" s="408"/>
      <c r="H3774" s="408"/>
      <c r="I3774" s="408"/>
      <c r="J3774" s="408"/>
      <c r="K3774" s="408"/>
      <c r="L3774" s="408"/>
      <c r="M3774" s="408"/>
      <c r="N3774" s="408" t="str">
        <f t="shared" si="485"/>
        <v/>
      </c>
      <c r="O3774" s="408"/>
      <c r="P3774" s="408"/>
      <c r="Q3774" s="408"/>
      <c r="R3774" s="408"/>
      <c r="S3774" s="408"/>
      <c r="T3774" s="408"/>
      <c r="U3774" s="408"/>
      <c r="V3774" s="421"/>
      <c r="W3774" s="421"/>
      <c r="X3774" s="421"/>
      <c r="Y3774" s="421"/>
      <c r="Z3774" s="421"/>
      <c r="AA3774" s="421"/>
      <c r="AB3774" s="421"/>
      <c r="AC3774" s="421"/>
      <c r="AD3774" s="421"/>
      <c r="AE3774" s="421"/>
      <c r="AF3774" s="421"/>
      <c r="AG3774" s="421"/>
      <c r="AH3774" s="421"/>
      <c r="AI3774" s="421"/>
      <c r="AJ3774" s="421"/>
      <c r="AK3774" s="421"/>
      <c r="AL3774" s="421"/>
    </row>
    <row r="3775" spans="1:38" hidden="1">
      <c r="A3775" s="408"/>
      <c r="B3775" s="83" t="e">
        <f t="array" ref="B3775">SUM(--(FREQUENCY(IF(C$2:C$3072=C3775, MATCH(D$2:D$3072, D$2:D$3072, 0)), ROW(D$2:D$3072)-ROW(D$2)+1) &gt; 0))</f>
        <v>#N/A</v>
      </c>
      <c r="C3775" s="408"/>
      <c r="D3775" s="408"/>
      <c r="E3775" s="408"/>
      <c r="F3775" s="408"/>
      <c r="G3775" s="408"/>
      <c r="H3775" s="408"/>
      <c r="I3775" s="408"/>
      <c r="J3775" s="408"/>
      <c r="K3775" s="408"/>
      <c r="L3775" s="408"/>
      <c r="M3775" s="408"/>
      <c r="N3775" s="408" t="str">
        <f t="shared" si="485"/>
        <v/>
      </c>
      <c r="O3775" s="408"/>
      <c r="P3775" s="408"/>
      <c r="Q3775" s="408"/>
      <c r="R3775" s="408"/>
      <c r="S3775" s="408"/>
      <c r="T3775" s="408"/>
      <c r="U3775" s="408"/>
      <c r="V3775" s="421"/>
      <c r="W3775" s="421"/>
      <c r="X3775" s="421"/>
      <c r="Y3775" s="421"/>
      <c r="Z3775" s="421"/>
      <c r="AA3775" s="421"/>
      <c r="AB3775" s="421"/>
      <c r="AC3775" s="421"/>
      <c r="AD3775" s="421"/>
      <c r="AE3775" s="421"/>
      <c r="AF3775" s="421"/>
      <c r="AG3775" s="421"/>
      <c r="AH3775" s="421"/>
      <c r="AI3775" s="421"/>
      <c r="AJ3775" s="421"/>
      <c r="AK3775" s="421"/>
      <c r="AL3775" s="421"/>
    </row>
    <row r="3776" spans="1:38" hidden="1">
      <c r="A3776" s="408"/>
      <c r="B3776" s="83" t="e">
        <f t="array" ref="B3776">SUM(--(FREQUENCY(IF(C$2:C$3072=C3776, MATCH(D$2:D$3072, D$2:D$3072, 0)), ROW(D$2:D$3072)-ROW(D$2)+1) &gt; 0))</f>
        <v>#N/A</v>
      </c>
      <c r="C3776" s="408"/>
      <c r="D3776" s="408"/>
      <c r="E3776" s="408"/>
      <c r="F3776" s="408"/>
      <c r="G3776" s="408"/>
      <c r="H3776" s="408"/>
      <c r="I3776" s="408"/>
      <c r="J3776" s="408"/>
      <c r="K3776" s="408"/>
      <c r="L3776" s="408"/>
      <c r="M3776" s="408"/>
      <c r="N3776" s="408" t="str">
        <f t="shared" ref="N3776:N3839" si="486">IF(O3776&lt;&gt;"", "NG", "")</f>
        <v/>
      </c>
      <c r="O3776" s="408"/>
      <c r="P3776" s="408"/>
      <c r="Q3776" s="408"/>
      <c r="R3776" s="408"/>
      <c r="S3776" s="408"/>
      <c r="T3776" s="408"/>
      <c r="U3776" s="408"/>
      <c r="V3776" s="421"/>
      <c r="W3776" s="421"/>
      <c r="X3776" s="421"/>
      <c r="Y3776" s="421"/>
      <c r="Z3776" s="421"/>
      <c r="AA3776" s="421"/>
      <c r="AB3776" s="421"/>
      <c r="AC3776" s="421"/>
      <c r="AD3776" s="421"/>
      <c r="AE3776" s="421"/>
      <c r="AF3776" s="421"/>
      <c r="AG3776" s="421"/>
      <c r="AH3776" s="421"/>
      <c r="AI3776" s="421"/>
      <c r="AJ3776" s="421"/>
      <c r="AK3776" s="421"/>
      <c r="AL3776" s="421"/>
    </row>
    <row r="3777" spans="1:38" hidden="1">
      <c r="A3777" s="408"/>
      <c r="B3777" s="83" t="e">
        <f t="array" ref="B3777">SUM(--(FREQUENCY(IF(C$2:C$3072=C3777, MATCH(D$2:D$3072, D$2:D$3072, 0)), ROW(D$2:D$3072)-ROW(D$2)+1) &gt; 0))</f>
        <v>#N/A</v>
      </c>
      <c r="C3777" s="408"/>
      <c r="D3777" s="408"/>
      <c r="E3777" s="408"/>
      <c r="F3777" s="408"/>
      <c r="G3777" s="408"/>
      <c r="H3777" s="408"/>
      <c r="I3777" s="408"/>
      <c r="J3777" s="408"/>
      <c r="K3777" s="408"/>
      <c r="L3777" s="408"/>
      <c r="M3777" s="408"/>
      <c r="N3777" s="408" t="str">
        <f t="shared" si="486"/>
        <v/>
      </c>
      <c r="O3777" s="408"/>
      <c r="P3777" s="408"/>
      <c r="Q3777" s="408"/>
      <c r="R3777" s="408"/>
      <c r="S3777" s="408"/>
      <c r="T3777" s="408"/>
      <c r="U3777" s="408"/>
      <c r="V3777" s="421"/>
      <c r="W3777" s="421"/>
      <c r="X3777" s="421"/>
      <c r="Y3777" s="421"/>
      <c r="Z3777" s="421"/>
      <c r="AA3777" s="421"/>
      <c r="AB3777" s="421"/>
      <c r="AC3777" s="421"/>
      <c r="AD3777" s="421"/>
      <c r="AE3777" s="421"/>
      <c r="AF3777" s="421"/>
      <c r="AG3777" s="421"/>
      <c r="AH3777" s="421"/>
      <c r="AI3777" s="421"/>
      <c r="AJ3777" s="421"/>
      <c r="AK3777" s="421"/>
      <c r="AL3777" s="421"/>
    </row>
    <row r="3778" spans="1:38" hidden="1">
      <c r="A3778" s="408"/>
      <c r="B3778" s="83" t="e">
        <f t="array" ref="B3778">SUM(--(FREQUENCY(IF(C$2:C$3072=C3778, MATCH(D$2:D$3072, D$2:D$3072, 0)), ROW(D$2:D$3072)-ROW(D$2)+1) &gt; 0))</f>
        <v>#N/A</v>
      </c>
      <c r="C3778" s="408"/>
      <c r="D3778" s="408"/>
      <c r="E3778" s="408"/>
      <c r="F3778" s="408"/>
      <c r="G3778" s="408"/>
      <c r="H3778" s="408"/>
      <c r="I3778" s="408"/>
      <c r="J3778" s="408"/>
      <c r="K3778" s="408"/>
      <c r="L3778" s="408"/>
      <c r="M3778" s="408"/>
      <c r="N3778" s="408" t="str">
        <f t="shared" si="486"/>
        <v/>
      </c>
      <c r="O3778" s="408"/>
      <c r="P3778" s="408"/>
      <c r="Q3778" s="408"/>
      <c r="R3778" s="408"/>
      <c r="S3778" s="408"/>
      <c r="T3778" s="408"/>
      <c r="U3778" s="408"/>
      <c r="V3778" s="421"/>
      <c r="W3778" s="421"/>
      <c r="X3778" s="421"/>
      <c r="Y3778" s="421"/>
      <c r="Z3778" s="421"/>
      <c r="AA3778" s="421"/>
      <c r="AB3778" s="421"/>
      <c r="AC3778" s="421"/>
      <c r="AD3778" s="421"/>
      <c r="AE3778" s="421"/>
      <c r="AF3778" s="421"/>
      <c r="AG3778" s="421"/>
      <c r="AH3778" s="421"/>
      <c r="AI3778" s="421"/>
      <c r="AJ3778" s="421"/>
      <c r="AK3778" s="421"/>
      <c r="AL3778" s="421"/>
    </row>
    <row r="3779" spans="1:38" hidden="1">
      <c r="A3779" s="408"/>
      <c r="B3779" s="83" t="e">
        <f t="array" ref="B3779">SUM(--(FREQUENCY(IF(C$2:C$3072=C3779, MATCH(D$2:D$3072, D$2:D$3072, 0)), ROW(D$2:D$3072)-ROW(D$2)+1) &gt; 0))</f>
        <v>#N/A</v>
      </c>
      <c r="C3779" s="408"/>
      <c r="D3779" s="408"/>
      <c r="E3779" s="408"/>
      <c r="F3779" s="408"/>
      <c r="G3779" s="408"/>
      <c r="H3779" s="408"/>
      <c r="I3779" s="408"/>
      <c r="J3779" s="408"/>
      <c r="K3779" s="408"/>
      <c r="L3779" s="408"/>
      <c r="M3779" s="408"/>
      <c r="N3779" s="408" t="str">
        <f t="shared" si="486"/>
        <v/>
      </c>
      <c r="O3779" s="408"/>
      <c r="P3779" s="408"/>
      <c r="Q3779" s="408"/>
      <c r="R3779" s="408"/>
      <c r="S3779" s="408"/>
      <c r="T3779" s="408"/>
      <c r="U3779" s="408"/>
      <c r="V3779" s="421"/>
      <c r="W3779" s="421"/>
      <c r="X3779" s="421"/>
      <c r="Y3779" s="421"/>
      <c r="Z3779" s="421"/>
      <c r="AA3779" s="421"/>
      <c r="AB3779" s="421"/>
      <c r="AC3779" s="421"/>
      <c r="AD3779" s="421"/>
      <c r="AE3779" s="421"/>
      <c r="AF3779" s="421"/>
      <c r="AG3779" s="421"/>
      <c r="AH3779" s="421"/>
      <c r="AI3779" s="421"/>
      <c r="AJ3779" s="421"/>
      <c r="AK3779" s="421"/>
      <c r="AL3779" s="421"/>
    </row>
    <row r="3780" spans="1:38" hidden="1">
      <c r="A3780" s="408"/>
      <c r="B3780" s="83" t="e">
        <f t="array" ref="B3780">SUM(--(FREQUENCY(IF(C$2:C$3072=C3780, MATCH(D$2:D$3072, D$2:D$3072, 0)), ROW(D$2:D$3072)-ROW(D$2)+1) &gt; 0))</f>
        <v>#N/A</v>
      </c>
      <c r="C3780" s="408"/>
      <c r="D3780" s="408"/>
      <c r="E3780" s="408"/>
      <c r="F3780" s="408"/>
      <c r="G3780" s="408"/>
      <c r="H3780" s="408"/>
      <c r="I3780" s="408"/>
      <c r="J3780" s="408"/>
      <c r="K3780" s="408"/>
      <c r="L3780" s="408"/>
      <c r="M3780" s="408"/>
      <c r="N3780" s="408" t="str">
        <f t="shared" si="486"/>
        <v/>
      </c>
      <c r="O3780" s="408"/>
      <c r="P3780" s="408"/>
      <c r="Q3780" s="408"/>
      <c r="R3780" s="408"/>
      <c r="S3780" s="408"/>
      <c r="T3780" s="408"/>
      <c r="U3780" s="408"/>
      <c r="V3780" s="421"/>
      <c r="W3780" s="421"/>
      <c r="X3780" s="421"/>
      <c r="Y3780" s="421"/>
      <c r="Z3780" s="421"/>
      <c r="AA3780" s="421"/>
      <c r="AB3780" s="421"/>
      <c r="AC3780" s="421"/>
      <c r="AD3780" s="421"/>
      <c r="AE3780" s="421"/>
      <c r="AF3780" s="421"/>
      <c r="AG3780" s="421"/>
      <c r="AH3780" s="421"/>
      <c r="AI3780" s="421"/>
      <c r="AJ3780" s="421"/>
      <c r="AK3780" s="421"/>
      <c r="AL3780" s="421"/>
    </row>
    <row r="3781" spans="1:38" hidden="1">
      <c r="A3781" s="408"/>
      <c r="B3781" s="83" t="e">
        <f t="array" ref="B3781">SUM(--(FREQUENCY(IF(C$2:C$3072=C3781, MATCH(D$2:D$3072, D$2:D$3072, 0)), ROW(D$2:D$3072)-ROW(D$2)+1) &gt; 0))</f>
        <v>#N/A</v>
      </c>
      <c r="C3781" s="408"/>
      <c r="D3781" s="408"/>
      <c r="E3781" s="408"/>
      <c r="F3781" s="408"/>
      <c r="G3781" s="408"/>
      <c r="H3781" s="408"/>
      <c r="I3781" s="408"/>
      <c r="J3781" s="408"/>
      <c r="K3781" s="408"/>
      <c r="L3781" s="408"/>
      <c r="M3781" s="408"/>
      <c r="N3781" s="408" t="str">
        <f t="shared" si="486"/>
        <v/>
      </c>
      <c r="O3781" s="408"/>
      <c r="P3781" s="408"/>
      <c r="Q3781" s="408"/>
      <c r="R3781" s="408"/>
      <c r="S3781" s="408"/>
      <c r="T3781" s="408"/>
      <c r="U3781" s="408"/>
      <c r="V3781" s="421"/>
      <c r="W3781" s="421"/>
      <c r="X3781" s="421"/>
      <c r="Y3781" s="421"/>
      <c r="Z3781" s="421"/>
      <c r="AA3781" s="421"/>
      <c r="AB3781" s="421"/>
      <c r="AC3781" s="421"/>
      <c r="AD3781" s="421"/>
      <c r="AE3781" s="421"/>
      <c r="AF3781" s="421"/>
      <c r="AG3781" s="421"/>
      <c r="AH3781" s="421"/>
      <c r="AI3781" s="421"/>
      <c r="AJ3781" s="421"/>
      <c r="AK3781" s="421"/>
      <c r="AL3781" s="421"/>
    </row>
    <row r="3782" spans="1:38" hidden="1">
      <c r="A3782" s="408"/>
      <c r="B3782" s="83" t="e">
        <f t="array" ref="B3782">SUM(--(FREQUENCY(IF(C$2:C$3072=C3782, MATCH(D$2:D$3072, D$2:D$3072, 0)), ROW(D$2:D$3072)-ROW(D$2)+1) &gt; 0))</f>
        <v>#N/A</v>
      </c>
      <c r="C3782" s="408"/>
      <c r="D3782" s="408"/>
      <c r="E3782" s="408"/>
      <c r="F3782" s="408"/>
      <c r="G3782" s="408"/>
      <c r="H3782" s="408"/>
      <c r="I3782" s="408"/>
      <c r="J3782" s="408"/>
      <c r="K3782" s="408"/>
      <c r="L3782" s="408"/>
      <c r="M3782" s="408"/>
      <c r="N3782" s="408" t="str">
        <f t="shared" si="486"/>
        <v/>
      </c>
      <c r="O3782" s="408"/>
      <c r="P3782" s="408"/>
      <c r="Q3782" s="408"/>
      <c r="R3782" s="408"/>
      <c r="S3782" s="408"/>
      <c r="T3782" s="408"/>
      <c r="U3782" s="408"/>
      <c r="V3782" s="421"/>
      <c r="W3782" s="421"/>
      <c r="X3782" s="421"/>
      <c r="Y3782" s="421"/>
      <c r="Z3782" s="421"/>
      <c r="AA3782" s="421"/>
      <c r="AB3782" s="421"/>
      <c r="AC3782" s="421"/>
      <c r="AD3782" s="421"/>
      <c r="AE3782" s="421"/>
      <c r="AF3782" s="421"/>
      <c r="AG3782" s="421"/>
      <c r="AH3782" s="421"/>
      <c r="AI3782" s="421"/>
      <c r="AJ3782" s="421"/>
      <c r="AK3782" s="421"/>
      <c r="AL3782" s="421"/>
    </row>
    <row r="3783" spans="1:38" hidden="1">
      <c r="A3783" s="408"/>
      <c r="B3783" s="83" t="e">
        <f t="array" ref="B3783">SUM(--(FREQUENCY(IF(C$2:C$3072=C3783, MATCH(D$2:D$3072, D$2:D$3072, 0)), ROW(D$2:D$3072)-ROW(D$2)+1) &gt; 0))</f>
        <v>#N/A</v>
      </c>
      <c r="C3783" s="408"/>
      <c r="D3783" s="408"/>
      <c r="E3783" s="408"/>
      <c r="F3783" s="408"/>
      <c r="G3783" s="408"/>
      <c r="H3783" s="408"/>
      <c r="I3783" s="408"/>
      <c r="J3783" s="408"/>
      <c r="K3783" s="408"/>
      <c r="L3783" s="408"/>
      <c r="M3783" s="408"/>
      <c r="N3783" s="408" t="str">
        <f t="shared" si="486"/>
        <v/>
      </c>
      <c r="O3783" s="408"/>
      <c r="P3783" s="408"/>
      <c r="Q3783" s="408"/>
      <c r="R3783" s="408"/>
      <c r="S3783" s="408"/>
      <c r="T3783" s="408"/>
      <c r="U3783" s="408"/>
      <c r="V3783" s="421"/>
      <c r="W3783" s="421"/>
      <c r="X3783" s="421"/>
      <c r="Y3783" s="421"/>
      <c r="Z3783" s="421"/>
      <c r="AA3783" s="421"/>
      <c r="AB3783" s="421"/>
      <c r="AC3783" s="421"/>
      <c r="AD3783" s="421"/>
      <c r="AE3783" s="421"/>
      <c r="AF3783" s="421"/>
      <c r="AG3783" s="421"/>
      <c r="AH3783" s="421"/>
      <c r="AI3783" s="421"/>
      <c r="AJ3783" s="421"/>
      <c r="AK3783" s="421"/>
      <c r="AL3783" s="421"/>
    </row>
    <row r="3784" spans="1:38" hidden="1">
      <c r="A3784" s="408"/>
      <c r="B3784" s="83" t="e">
        <f t="array" ref="B3784">SUM(--(FREQUENCY(IF(C$2:C$3072=C3784, MATCH(D$2:D$3072, D$2:D$3072, 0)), ROW(D$2:D$3072)-ROW(D$2)+1) &gt; 0))</f>
        <v>#N/A</v>
      </c>
      <c r="C3784" s="408"/>
      <c r="D3784" s="408"/>
      <c r="E3784" s="408"/>
      <c r="F3784" s="408"/>
      <c r="G3784" s="408"/>
      <c r="H3784" s="408"/>
      <c r="I3784" s="408"/>
      <c r="J3784" s="408"/>
      <c r="K3784" s="408"/>
      <c r="L3784" s="408"/>
      <c r="M3784" s="408"/>
      <c r="N3784" s="408" t="str">
        <f t="shared" si="486"/>
        <v/>
      </c>
      <c r="O3784" s="408"/>
      <c r="P3784" s="408"/>
      <c r="Q3784" s="408"/>
      <c r="R3784" s="408"/>
      <c r="S3784" s="408"/>
      <c r="T3784" s="408"/>
      <c r="U3784" s="408"/>
      <c r="V3784" s="421"/>
      <c r="W3784" s="421"/>
      <c r="X3784" s="421"/>
      <c r="Y3784" s="421"/>
      <c r="Z3784" s="421"/>
      <c r="AA3784" s="421"/>
      <c r="AB3784" s="421"/>
      <c r="AC3784" s="421"/>
      <c r="AD3784" s="421"/>
      <c r="AE3784" s="421"/>
      <c r="AF3784" s="421"/>
      <c r="AG3784" s="421"/>
      <c r="AH3784" s="421"/>
      <c r="AI3784" s="421"/>
      <c r="AJ3784" s="421"/>
      <c r="AK3784" s="421"/>
      <c r="AL3784" s="421"/>
    </row>
    <row r="3785" spans="1:38" hidden="1">
      <c r="A3785" s="408"/>
      <c r="B3785" s="83" t="e">
        <f t="array" ref="B3785">SUM(--(FREQUENCY(IF(C$2:C$3072=C3785, MATCH(D$2:D$3072, D$2:D$3072, 0)), ROW(D$2:D$3072)-ROW(D$2)+1) &gt; 0))</f>
        <v>#N/A</v>
      </c>
      <c r="C3785" s="408"/>
      <c r="D3785" s="408"/>
      <c r="E3785" s="408"/>
      <c r="F3785" s="408"/>
      <c r="G3785" s="408"/>
      <c r="H3785" s="408"/>
      <c r="I3785" s="408"/>
      <c r="J3785" s="408"/>
      <c r="K3785" s="408"/>
      <c r="L3785" s="408"/>
      <c r="M3785" s="408"/>
      <c r="N3785" s="408" t="str">
        <f t="shared" si="486"/>
        <v/>
      </c>
      <c r="O3785" s="408"/>
      <c r="P3785" s="408"/>
      <c r="Q3785" s="408"/>
      <c r="R3785" s="408"/>
      <c r="S3785" s="408"/>
      <c r="T3785" s="408"/>
      <c r="U3785" s="408"/>
      <c r="V3785" s="421"/>
      <c r="W3785" s="421"/>
      <c r="X3785" s="421"/>
      <c r="Y3785" s="421"/>
      <c r="Z3785" s="421"/>
      <c r="AA3785" s="421"/>
      <c r="AB3785" s="421"/>
      <c r="AC3785" s="421"/>
      <c r="AD3785" s="421"/>
      <c r="AE3785" s="421"/>
      <c r="AF3785" s="421"/>
      <c r="AG3785" s="421"/>
      <c r="AH3785" s="421"/>
      <c r="AI3785" s="421"/>
      <c r="AJ3785" s="421"/>
      <c r="AK3785" s="421"/>
      <c r="AL3785" s="421"/>
    </row>
    <row r="3786" spans="1:38" hidden="1">
      <c r="A3786" s="408"/>
      <c r="B3786" s="83" t="e">
        <f t="array" ref="B3786">SUM(--(FREQUENCY(IF(C$2:C$3072=C3786, MATCH(D$2:D$3072, D$2:D$3072, 0)), ROW(D$2:D$3072)-ROW(D$2)+1) &gt; 0))</f>
        <v>#N/A</v>
      </c>
      <c r="C3786" s="408"/>
      <c r="D3786" s="408"/>
      <c r="E3786" s="408"/>
      <c r="F3786" s="408"/>
      <c r="G3786" s="408"/>
      <c r="H3786" s="408"/>
      <c r="I3786" s="408"/>
      <c r="J3786" s="408"/>
      <c r="K3786" s="408"/>
      <c r="L3786" s="408"/>
      <c r="M3786" s="408"/>
      <c r="N3786" s="408" t="str">
        <f t="shared" si="486"/>
        <v/>
      </c>
      <c r="O3786" s="408"/>
      <c r="P3786" s="408"/>
      <c r="Q3786" s="408"/>
      <c r="R3786" s="408"/>
      <c r="S3786" s="408"/>
      <c r="T3786" s="408"/>
      <c r="U3786" s="408"/>
      <c r="V3786" s="421"/>
      <c r="W3786" s="421"/>
      <c r="X3786" s="421"/>
      <c r="Y3786" s="421"/>
      <c r="Z3786" s="421"/>
      <c r="AA3786" s="421"/>
      <c r="AB3786" s="421"/>
      <c r="AC3786" s="421"/>
      <c r="AD3786" s="421"/>
      <c r="AE3786" s="421"/>
      <c r="AF3786" s="421"/>
      <c r="AG3786" s="421"/>
      <c r="AH3786" s="421"/>
      <c r="AI3786" s="421"/>
      <c r="AJ3786" s="421"/>
      <c r="AK3786" s="421"/>
      <c r="AL3786" s="421"/>
    </row>
    <row r="3787" spans="1:38" hidden="1">
      <c r="A3787" s="408"/>
      <c r="B3787" s="83" t="e">
        <f t="array" ref="B3787">SUM(--(FREQUENCY(IF(C$2:C$3072=C3787, MATCH(D$2:D$3072, D$2:D$3072, 0)), ROW(D$2:D$3072)-ROW(D$2)+1) &gt; 0))</f>
        <v>#N/A</v>
      </c>
      <c r="C3787" s="408"/>
      <c r="D3787" s="408"/>
      <c r="E3787" s="408"/>
      <c r="F3787" s="408"/>
      <c r="G3787" s="408"/>
      <c r="H3787" s="408"/>
      <c r="I3787" s="408"/>
      <c r="J3787" s="408"/>
      <c r="K3787" s="408"/>
      <c r="L3787" s="408"/>
      <c r="M3787" s="408"/>
      <c r="N3787" s="408" t="str">
        <f t="shared" si="486"/>
        <v/>
      </c>
      <c r="O3787" s="408"/>
      <c r="P3787" s="408"/>
      <c r="Q3787" s="408"/>
      <c r="R3787" s="408"/>
      <c r="S3787" s="408"/>
      <c r="T3787" s="408"/>
      <c r="U3787" s="408"/>
      <c r="V3787" s="421"/>
      <c r="W3787" s="421"/>
      <c r="X3787" s="421"/>
      <c r="Y3787" s="421"/>
      <c r="Z3787" s="421"/>
      <c r="AA3787" s="421"/>
      <c r="AB3787" s="421"/>
      <c r="AC3787" s="421"/>
      <c r="AD3787" s="421"/>
      <c r="AE3787" s="421"/>
      <c r="AF3787" s="421"/>
      <c r="AG3787" s="421"/>
      <c r="AH3787" s="421"/>
      <c r="AI3787" s="421"/>
      <c r="AJ3787" s="421"/>
      <c r="AK3787" s="421"/>
      <c r="AL3787" s="421"/>
    </row>
    <row r="3788" spans="1:38" hidden="1">
      <c r="A3788" s="408"/>
      <c r="B3788" s="83" t="e">
        <f t="array" ref="B3788">SUM(--(FREQUENCY(IF(C$2:C$3072=C3788, MATCH(D$2:D$3072, D$2:D$3072, 0)), ROW(D$2:D$3072)-ROW(D$2)+1) &gt; 0))</f>
        <v>#N/A</v>
      </c>
      <c r="C3788" s="408"/>
      <c r="D3788" s="408"/>
      <c r="E3788" s="408"/>
      <c r="F3788" s="408"/>
      <c r="G3788" s="408"/>
      <c r="H3788" s="408"/>
      <c r="I3788" s="408"/>
      <c r="J3788" s="408"/>
      <c r="K3788" s="408"/>
      <c r="L3788" s="408"/>
      <c r="M3788" s="408"/>
      <c r="N3788" s="408" t="str">
        <f t="shared" si="486"/>
        <v/>
      </c>
      <c r="O3788" s="408"/>
      <c r="P3788" s="408"/>
      <c r="Q3788" s="408"/>
      <c r="R3788" s="408"/>
      <c r="S3788" s="408"/>
      <c r="T3788" s="408"/>
      <c r="U3788" s="408"/>
      <c r="V3788" s="421"/>
      <c r="W3788" s="421"/>
      <c r="X3788" s="421"/>
      <c r="Y3788" s="421"/>
      <c r="Z3788" s="421"/>
      <c r="AA3788" s="421"/>
      <c r="AB3788" s="421"/>
      <c r="AC3788" s="421"/>
      <c r="AD3788" s="421"/>
      <c r="AE3788" s="421"/>
      <c r="AF3788" s="421"/>
      <c r="AG3788" s="421"/>
      <c r="AH3788" s="421"/>
      <c r="AI3788" s="421"/>
      <c r="AJ3788" s="421"/>
      <c r="AK3788" s="421"/>
      <c r="AL3788" s="421"/>
    </row>
    <row r="3789" spans="1:38" hidden="1">
      <c r="A3789" s="408"/>
      <c r="B3789" s="83" t="e">
        <f t="array" ref="B3789">SUM(--(FREQUENCY(IF(C$2:C$3072=C3789, MATCH(D$2:D$3072, D$2:D$3072, 0)), ROW(D$2:D$3072)-ROW(D$2)+1) &gt; 0))</f>
        <v>#N/A</v>
      </c>
      <c r="C3789" s="408"/>
      <c r="D3789" s="408"/>
      <c r="E3789" s="408"/>
      <c r="F3789" s="408"/>
      <c r="G3789" s="408"/>
      <c r="H3789" s="408"/>
      <c r="I3789" s="408"/>
      <c r="J3789" s="408"/>
      <c r="K3789" s="408"/>
      <c r="L3789" s="408"/>
      <c r="M3789" s="408"/>
      <c r="N3789" s="408" t="str">
        <f t="shared" si="486"/>
        <v/>
      </c>
      <c r="O3789" s="408"/>
      <c r="P3789" s="408"/>
      <c r="Q3789" s="408"/>
      <c r="R3789" s="408"/>
      <c r="S3789" s="408"/>
      <c r="T3789" s="408"/>
      <c r="U3789" s="408"/>
      <c r="V3789" s="421"/>
      <c r="W3789" s="421"/>
      <c r="X3789" s="421"/>
      <c r="Y3789" s="421"/>
      <c r="Z3789" s="421"/>
      <c r="AA3789" s="421"/>
      <c r="AB3789" s="421"/>
      <c r="AC3789" s="421"/>
      <c r="AD3789" s="421"/>
      <c r="AE3789" s="421"/>
      <c r="AF3789" s="421"/>
      <c r="AG3789" s="421"/>
      <c r="AH3789" s="421"/>
      <c r="AI3789" s="421"/>
      <c r="AJ3789" s="421"/>
      <c r="AK3789" s="421"/>
      <c r="AL3789" s="421"/>
    </row>
    <row r="3790" spans="1:38" hidden="1">
      <c r="A3790" s="408"/>
      <c r="B3790" s="83" t="e">
        <f t="array" ref="B3790">SUM(--(FREQUENCY(IF(C$2:C$3072=C3790, MATCH(D$2:D$3072, D$2:D$3072, 0)), ROW(D$2:D$3072)-ROW(D$2)+1) &gt; 0))</f>
        <v>#N/A</v>
      </c>
      <c r="C3790" s="408"/>
      <c r="D3790" s="408"/>
      <c r="E3790" s="408"/>
      <c r="F3790" s="408"/>
      <c r="G3790" s="408"/>
      <c r="H3790" s="408"/>
      <c r="I3790" s="408"/>
      <c r="J3790" s="408"/>
      <c r="K3790" s="408"/>
      <c r="L3790" s="408"/>
      <c r="M3790" s="408"/>
      <c r="N3790" s="408" t="str">
        <f t="shared" si="486"/>
        <v/>
      </c>
      <c r="O3790" s="408"/>
      <c r="P3790" s="408"/>
      <c r="Q3790" s="408"/>
      <c r="R3790" s="408"/>
      <c r="S3790" s="408"/>
      <c r="T3790" s="408"/>
      <c r="U3790" s="408"/>
      <c r="V3790" s="421"/>
      <c r="W3790" s="421"/>
      <c r="X3790" s="421"/>
      <c r="Y3790" s="421"/>
      <c r="Z3790" s="421"/>
      <c r="AA3790" s="421"/>
      <c r="AB3790" s="421"/>
      <c r="AC3790" s="421"/>
      <c r="AD3790" s="421"/>
      <c r="AE3790" s="421"/>
      <c r="AF3790" s="421"/>
      <c r="AG3790" s="421"/>
      <c r="AH3790" s="421"/>
      <c r="AI3790" s="421"/>
      <c r="AJ3790" s="421"/>
      <c r="AK3790" s="421"/>
      <c r="AL3790" s="421"/>
    </row>
    <row r="3791" spans="1:38" hidden="1">
      <c r="A3791" s="408"/>
      <c r="B3791" s="83" t="e">
        <f t="array" ref="B3791">SUM(--(FREQUENCY(IF(C$2:C$3072=C3791, MATCH(D$2:D$3072, D$2:D$3072, 0)), ROW(D$2:D$3072)-ROW(D$2)+1) &gt; 0))</f>
        <v>#N/A</v>
      </c>
      <c r="C3791" s="408"/>
      <c r="D3791" s="408"/>
      <c r="E3791" s="408"/>
      <c r="F3791" s="408"/>
      <c r="G3791" s="408"/>
      <c r="H3791" s="408"/>
      <c r="I3791" s="408"/>
      <c r="J3791" s="408"/>
      <c r="K3791" s="408"/>
      <c r="L3791" s="408"/>
      <c r="M3791" s="408"/>
      <c r="N3791" s="408" t="str">
        <f t="shared" si="486"/>
        <v/>
      </c>
      <c r="O3791" s="408"/>
      <c r="P3791" s="408"/>
      <c r="Q3791" s="408"/>
      <c r="R3791" s="408"/>
      <c r="S3791" s="408"/>
      <c r="T3791" s="408"/>
      <c r="U3791" s="408"/>
      <c r="V3791" s="421"/>
      <c r="W3791" s="421"/>
      <c r="X3791" s="421"/>
      <c r="Y3791" s="421"/>
      <c r="Z3791" s="421"/>
      <c r="AA3791" s="421"/>
      <c r="AB3791" s="421"/>
      <c r="AC3791" s="421"/>
      <c r="AD3791" s="421"/>
      <c r="AE3791" s="421"/>
      <c r="AF3791" s="421"/>
      <c r="AG3791" s="421"/>
      <c r="AH3791" s="421"/>
      <c r="AI3791" s="421"/>
      <c r="AJ3791" s="421"/>
      <c r="AK3791" s="421"/>
      <c r="AL3791" s="421"/>
    </row>
    <row r="3792" spans="1:38" hidden="1">
      <c r="A3792" s="408"/>
      <c r="B3792" s="83" t="e">
        <f t="array" ref="B3792">SUM(--(FREQUENCY(IF(C$2:C$3072=C3792, MATCH(D$2:D$3072, D$2:D$3072, 0)), ROW(D$2:D$3072)-ROW(D$2)+1) &gt; 0))</f>
        <v>#N/A</v>
      </c>
      <c r="C3792" s="408"/>
      <c r="D3792" s="408"/>
      <c r="E3792" s="408"/>
      <c r="F3792" s="408"/>
      <c r="G3792" s="408"/>
      <c r="H3792" s="408"/>
      <c r="I3792" s="408"/>
      <c r="J3792" s="408"/>
      <c r="K3792" s="408"/>
      <c r="L3792" s="408"/>
      <c r="M3792" s="408"/>
      <c r="N3792" s="408" t="str">
        <f t="shared" si="486"/>
        <v/>
      </c>
      <c r="O3792" s="408"/>
      <c r="P3792" s="408"/>
      <c r="Q3792" s="408"/>
      <c r="R3792" s="408"/>
      <c r="S3792" s="408"/>
      <c r="T3792" s="408"/>
      <c r="U3792" s="408"/>
      <c r="V3792" s="421"/>
      <c r="W3792" s="421"/>
      <c r="X3792" s="421"/>
      <c r="Y3792" s="421"/>
      <c r="Z3792" s="421"/>
      <c r="AA3792" s="421"/>
      <c r="AB3792" s="421"/>
      <c r="AC3792" s="421"/>
      <c r="AD3792" s="421"/>
      <c r="AE3792" s="421"/>
      <c r="AF3792" s="421"/>
      <c r="AG3792" s="421"/>
      <c r="AH3792" s="421"/>
      <c r="AI3792" s="421"/>
      <c r="AJ3792" s="421"/>
      <c r="AK3792" s="421"/>
      <c r="AL3792" s="421"/>
    </row>
    <row r="3793" spans="1:38" hidden="1">
      <c r="A3793" s="408"/>
      <c r="B3793" s="83" t="e">
        <f t="array" ref="B3793">SUM(--(FREQUENCY(IF(C$2:C$3072=C3793, MATCH(D$2:D$3072, D$2:D$3072, 0)), ROW(D$2:D$3072)-ROW(D$2)+1) &gt; 0))</f>
        <v>#N/A</v>
      </c>
      <c r="C3793" s="408"/>
      <c r="D3793" s="408"/>
      <c r="E3793" s="408"/>
      <c r="F3793" s="408"/>
      <c r="G3793" s="408"/>
      <c r="H3793" s="408"/>
      <c r="I3793" s="408"/>
      <c r="J3793" s="408"/>
      <c r="K3793" s="408"/>
      <c r="L3793" s="408"/>
      <c r="M3793" s="408"/>
      <c r="N3793" s="408" t="str">
        <f t="shared" si="486"/>
        <v/>
      </c>
      <c r="O3793" s="408"/>
      <c r="P3793" s="408"/>
      <c r="Q3793" s="408"/>
      <c r="R3793" s="408"/>
      <c r="S3793" s="408"/>
      <c r="T3793" s="408"/>
      <c r="U3793" s="408"/>
      <c r="V3793" s="421"/>
      <c r="W3793" s="421"/>
      <c r="X3793" s="421"/>
      <c r="Y3793" s="421"/>
      <c r="Z3793" s="421"/>
      <c r="AA3793" s="421"/>
      <c r="AB3793" s="421"/>
      <c r="AC3793" s="421"/>
      <c r="AD3793" s="421"/>
      <c r="AE3793" s="421"/>
      <c r="AF3793" s="421"/>
      <c r="AG3793" s="421"/>
      <c r="AH3793" s="421"/>
      <c r="AI3793" s="421"/>
      <c r="AJ3793" s="421"/>
      <c r="AK3793" s="421"/>
      <c r="AL3793" s="421"/>
    </row>
    <row r="3794" spans="1:38" hidden="1">
      <c r="A3794" s="408"/>
      <c r="B3794" s="83" t="e">
        <f t="array" ref="B3794">SUM(--(FREQUENCY(IF(C$2:C$3072=C3794, MATCH(D$2:D$3072, D$2:D$3072, 0)), ROW(D$2:D$3072)-ROW(D$2)+1) &gt; 0))</f>
        <v>#N/A</v>
      </c>
      <c r="C3794" s="408"/>
      <c r="D3794" s="408"/>
      <c r="E3794" s="408"/>
      <c r="F3794" s="408"/>
      <c r="G3794" s="408"/>
      <c r="H3794" s="408"/>
      <c r="I3794" s="408"/>
      <c r="J3794" s="408"/>
      <c r="K3794" s="408"/>
      <c r="L3794" s="408"/>
      <c r="M3794" s="408"/>
      <c r="N3794" s="408" t="str">
        <f t="shared" si="486"/>
        <v/>
      </c>
      <c r="O3794" s="408"/>
      <c r="P3794" s="408"/>
      <c r="Q3794" s="408"/>
      <c r="R3794" s="408"/>
      <c r="S3794" s="408"/>
      <c r="T3794" s="408"/>
      <c r="U3794" s="408"/>
      <c r="V3794" s="421"/>
      <c r="W3794" s="421"/>
      <c r="X3794" s="421"/>
      <c r="Y3794" s="421"/>
      <c r="Z3794" s="421"/>
      <c r="AA3794" s="421"/>
      <c r="AB3794" s="421"/>
      <c r="AC3794" s="421"/>
      <c r="AD3794" s="421"/>
      <c r="AE3794" s="421"/>
      <c r="AF3794" s="421"/>
      <c r="AG3794" s="421"/>
      <c r="AH3794" s="421"/>
      <c r="AI3794" s="421"/>
      <c r="AJ3794" s="421"/>
      <c r="AK3794" s="421"/>
      <c r="AL3794" s="421"/>
    </row>
    <row r="3795" spans="1:38" hidden="1">
      <c r="A3795" s="408"/>
      <c r="B3795" s="83" t="e">
        <f t="array" ref="B3795">SUM(--(FREQUENCY(IF(C$2:C$3072=C3795, MATCH(D$2:D$3072, D$2:D$3072, 0)), ROW(D$2:D$3072)-ROW(D$2)+1) &gt; 0))</f>
        <v>#N/A</v>
      </c>
      <c r="C3795" s="408"/>
      <c r="D3795" s="408"/>
      <c r="E3795" s="408"/>
      <c r="F3795" s="408"/>
      <c r="G3795" s="408"/>
      <c r="H3795" s="408"/>
      <c r="I3795" s="408"/>
      <c r="J3795" s="408"/>
      <c r="K3795" s="408"/>
      <c r="L3795" s="408"/>
      <c r="M3795" s="408"/>
      <c r="N3795" s="408" t="str">
        <f t="shared" si="486"/>
        <v/>
      </c>
      <c r="O3795" s="408"/>
      <c r="P3795" s="408"/>
      <c r="Q3795" s="408"/>
      <c r="R3795" s="408"/>
      <c r="S3795" s="408"/>
      <c r="T3795" s="408"/>
      <c r="U3795" s="408"/>
      <c r="V3795" s="421"/>
      <c r="W3795" s="421"/>
      <c r="X3795" s="421"/>
      <c r="Y3795" s="421"/>
      <c r="Z3795" s="421"/>
      <c r="AA3795" s="421"/>
      <c r="AB3795" s="421"/>
      <c r="AC3795" s="421"/>
      <c r="AD3795" s="421"/>
      <c r="AE3795" s="421"/>
      <c r="AF3795" s="421"/>
      <c r="AG3795" s="421"/>
      <c r="AH3795" s="421"/>
      <c r="AI3795" s="421"/>
      <c r="AJ3795" s="421"/>
      <c r="AK3795" s="421"/>
      <c r="AL3795" s="421"/>
    </row>
    <row r="3796" spans="1:38" hidden="1">
      <c r="A3796" s="408"/>
      <c r="B3796" s="83" t="e">
        <f t="array" ref="B3796">SUM(--(FREQUENCY(IF(C$2:C$3072=C3796, MATCH(D$2:D$3072, D$2:D$3072, 0)), ROW(D$2:D$3072)-ROW(D$2)+1) &gt; 0))</f>
        <v>#N/A</v>
      </c>
      <c r="C3796" s="408"/>
      <c r="D3796" s="408"/>
      <c r="E3796" s="408"/>
      <c r="F3796" s="408"/>
      <c r="G3796" s="408"/>
      <c r="H3796" s="408"/>
      <c r="I3796" s="408"/>
      <c r="J3796" s="408"/>
      <c r="K3796" s="408"/>
      <c r="L3796" s="408"/>
      <c r="M3796" s="408"/>
      <c r="N3796" s="408" t="str">
        <f t="shared" si="486"/>
        <v/>
      </c>
      <c r="O3796" s="408"/>
      <c r="P3796" s="408"/>
      <c r="Q3796" s="408"/>
      <c r="R3796" s="408"/>
      <c r="S3796" s="408"/>
      <c r="T3796" s="408"/>
      <c r="U3796" s="408"/>
      <c r="V3796" s="421"/>
      <c r="W3796" s="421"/>
      <c r="X3796" s="421"/>
      <c r="Y3796" s="421"/>
      <c r="Z3796" s="421"/>
      <c r="AA3796" s="421"/>
      <c r="AB3796" s="421"/>
      <c r="AC3796" s="421"/>
      <c r="AD3796" s="421"/>
      <c r="AE3796" s="421"/>
      <c r="AF3796" s="421"/>
      <c r="AG3796" s="421"/>
      <c r="AH3796" s="421"/>
      <c r="AI3796" s="421"/>
      <c r="AJ3796" s="421"/>
      <c r="AK3796" s="421"/>
      <c r="AL3796" s="421"/>
    </row>
    <row r="3797" spans="1:38" hidden="1">
      <c r="A3797" s="408"/>
      <c r="B3797" s="83" t="e">
        <f t="array" ref="B3797">SUM(--(FREQUENCY(IF(C$2:C$3072=C3797, MATCH(D$2:D$3072, D$2:D$3072, 0)), ROW(D$2:D$3072)-ROW(D$2)+1) &gt; 0))</f>
        <v>#N/A</v>
      </c>
      <c r="C3797" s="408"/>
      <c r="D3797" s="408"/>
      <c r="E3797" s="408"/>
      <c r="F3797" s="408"/>
      <c r="G3797" s="408"/>
      <c r="H3797" s="408"/>
      <c r="I3797" s="408"/>
      <c r="J3797" s="408"/>
      <c r="K3797" s="408"/>
      <c r="L3797" s="408"/>
      <c r="M3797" s="408"/>
      <c r="N3797" s="408" t="str">
        <f t="shared" si="486"/>
        <v/>
      </c>
      <c r="O3797" s="408"/>
      <c r="P3797" s="408"/>
      <c r="Q3797" s="408"/>
      <c r="R3797" s="408"/>
      <c r="S3797" s="408"/>
      <c r="T3797" s="408"/>
      <c r="U3797" s="408"/>
      <c r="V3797" s="421"/>
      <c r="W3797" s="421"/>
      <c r="X3797" s="421"/>
      <c r="Y3797" s="421"/>
      <c r="Z3797" s="421"/>
      <c r="AA3797" s="421"/>
      <c r="AB3797" s="421"/>
      <c r="AC3797" s="421"/>
      <c r="AD3797" s="421"/>
      <c r="AE3797" s="421"/>
      <c r="AF3797" s="421"/>
      <c r="AG3797" s="421"/>
      <c r="AH3797" s="421"/>
      <c r="AI3797" s="421"/>
      <c r="AJ3797" s="421"/>
      <c r="AK3797" s="421"/>
      <c r="AL3797" s="421"/>
    </row>
    <row r="3798" spans="1:38" hidden="1">
      <c r="A3798" s="408"/>
      <c r="B3798" s="83" t="e">
        <f t="array" ref="B3798">SUM(--(FREQUENCY(IF(C$2:C$3072=C3798, MATCH(D$2:D$3072, D$2:D$3072, 0)), ROW(D$2:D$3072)-ROW(D$2)+1) &gt; 0))</f>
        <v>#N/A</v>
      </c>
      <c r="C3798" s="408"/>
      <c r="D3798" s="408"/>
      <c r="E3798" s="408"/>
      <c r="F3798" s="408"/>
      <c r="G3798" s="408"/>
      <c r="H3798" s="408"/>
      <c r="I3798" s="408"/>
      <c r="J3798" s="408"/>
      <c r="K3798" s="408"/>
      <c r="L3798" s="408"/>
      <c r="M3798" s="408"/>
      <c r="N3798" s="408" t="str">
        <f t="shared" si="486"/>
        <v/>
      </c>
      <c r="O3798" s="408"/>
      <c r="P3798" s="408"/>
      <c r="Q3798" s="408"/>
      <c r="R3798" s="408"/>
      <c r="S3798" s="408"/>
      <c r="T3798" s="408"/>
      <c r="U3798" s="408"/>
      <c r="V3798" s="421"/>
      <c r="W3798" s="421"/>
      <c r="X3798" s="421"/>
      <c r="Y3798" s="421"/>
      <c r="Z3798" s="421"/>
      <c r="AA3798" s="421"/>
      <c r="AB3798" s="421"/>
      <c r="AC3798" s="421"/>
      <c r="AD3798" s="421"/>
      <c r="AE3798" s="421"/>
      <c r="AF3798" s="421"/>
      <c r="AG3798" s="421"/>
      <c r="AH3798" s="421"/>
      <c r="AI3798" s="421"/>
      <c r="AJ3798" s="421"/>
      <c r="AK3798" s="421"/>
      <c r="AL3798" s="421"/>
    </row>
    <row r="3799" spans="1:38" hidden="1">
      <c r="A3799" s="408"/>
      <c r="B3799" s="83" t="e">
        <f t="array" ref="B3799">SUM(--(FREQUENCY(IF(C$2:C$3072=C3799, MATCH(D$2:D$3072, D$2:D$3072, 0)), ROW(D$2:D$3072)-ROW(D$2)+1) &gt; 0))</f>
        <v>#N/A</v>
      </c>
      <c r="C3799" s="408"/>
      <c r="D3799" s="408"/>
      <c r="E3799" s="408"/>
      <c r="F3799" s="408"/>
      <c r="G3799" s="408"/>
      <c r="H3799" s="408"/>
      <c r="I3799" s="408"/>
      <c r="J3799" s="408"/>
      <c r="K3799" s="408"/>
      <c r="L3799" s="408"/>
      <c r="M3799" s="408"/>
      <c r="N3799" s="408" t="str">
        <f t="shared" si="486"/>
        <v/>
      </c>
      <c r="O3799" s="408"/>
      <c r="P3799" s="408"/>
      <c r="Q3799" s="408"/>
      <c r="R3799" s="408"/>
      <c r="S3799" s="408"/>
      <c r="T3799" s="408"/>
      <c r="U3799" s="408"/>
      <c r="V3799" s="421"/>
      <c r="W3799" s="421"/>
      <c r="X3799" s="421"/>
      <c r="Y3799" s="421"/>
      <c r="Z3799" s="421"/>
      <c r="AA3799" s="421"/>
      <c r="AB3799" s="421"/>
      <c r="AC3799" s="421"/>
      <c r="AD3799" s="421"/>
      <c r="AE3799" s="421"/>
      <c r="AF3799" s="421"/>
      <c r="AG3799" s="421"/>
      <c r="AH3799" s="421"/>
      <c r="AI3799" s="421"/>
      <c r="AJ3799" s="421"/>
      <c r="AK3799" s="421"/>
      <c r="AL3799" s="421"/>
    </row>
    <row r="3800" spans="1:38" hidden="1">
      <c r="A3800" s="408"/>
      <c r="B3800" s="83" t="e">
        <f t="array" ref="B3800">SUM(--(FREQUENCY(IF(C$2:C$3072=C3800, MATCH(D$2:D$3072, D$2:D$3072, 0)), ROW(D$2:D$3072)-ROW(D$2)+1) &gt; 0))</f>
        <v>#N/A</v>
      </c>
      <c r="C3800" s="408"/>
      <c r="D3800" s="408"/>
      <c r="E3800" s="408"/>
      <c r="F3800" s="408"/>
      <c r="G3800" s="408"/>
      <c r="H3800" s="408"/>
      <c r="I3800" s="408"/>
      <c r="J3800" s="408"/>
      <c r="K3800" s="408"/>
      <c r="L3800" s="408"/>
      <c r="M3800" s="408"/>
      <c r="N3800" s="408" t="str">
        <f t="shared" si="486"/>
        <v/>
      </c>
      <c r="O3800" s="408"/>
      <c r="P3800" s="408"/>
      <c r="Q3800" s="408"/>
      <c r="R3800" s="408"/>
      <c r="S3800" s="408"/>
      <c r="T3800" s="408"/>
      <c r="U3800" s="408"/>
      <c r="V3800" s="421"/>
      <c r="W3800" s="421"/>
      <c r="X3800" s="421"/>
      <c r="Y3800" s="421"/>
      <c r="Z3800" s="421"/>
      <c r="AA3800" s="421"/>
      <c r="AB3800" s="421"/>
      <c r="AC3800" s="421"/>
      <c r="AD3800" s="421"/>
      <c r="AE3800" s="421"/>
      <c r="AF3800" s="421"/>
      <c r="AG3800" s="421"/>
      <c r="AH3800" s="421"/>
      <c r="AI3800" s="421"/>
      <c r="AJ3800" s="421"/>
      <c r="AK3800" s="421"/>
      <c r="AL3800" s="421"/>
    </row>
    <row r="3801" spans="1:38" hidden="1">
      <c r="A3801" s="408"/>
      <c r="B3801" s="83" t="e">
        <f t="array" ref="B3801">SUM(--(FREQUENCY(IF(C$2:C$3072=C3801, MATCH(D$2:D$3072, D$2:D$3072, 0)), ROW(D$2:D$3072)-ROW(D$2)+1) &gt; 0))</f>
        <v>#N/A</v>
      </c>
      <c r="C3801" s="408"/>
      <c r="D3801" s="408"/>
      <c r="E3801" s="408"/>
      <c r="F3801" s="408"/>
      <c r="G3801" s="408"/>
      <c r="H3801" s="408"/>
      <c r="I3801" s="408"/>
      <c r="J3801" s="408"/>
      <c r="K3801" s="408"/>
      <c r="L3801" s="408"/>
      <c r="M3801" s="408"/>
      <c r="N3801" s="408" t="str">
        <f t="shared" si="486"/>
        <v/>
      </c>
      <c r="O3801" s="408"/>
      <c r="P3801" s="408"/>
      <c r="Q3801" s="408"/>
      <c r="R3801" s="408"/>
      <c r="S3801" s="408"/>
      <c r="T3801" s="408"/>
      <c r="U3801" s="408"/>
      <c r="V3801" s="421"/>
      <c r="W3801" s="421"/>
      <c r="X3801" s="421"/>
      <c r="Y3801" s="421"/>
      <c r="Z3801" s="421"/>
      <c r="AA3801" s="421"/>
      <c r="AB3801" s="421"/>
      <c r="AC3801" s="421"/>
      <c r="AD3801" s="421"/>
      <c r="AE3801" s="421"/>
      <c r="AF3801" s="421"/>
      <c r="AG3801" s="421"/>
      <c r="AH3801" s="421"/>
      <c r="AI3801" s="421"/>
      <c r="AJ3801" s="421"/>
      <c r="AK3801" s="421"/>
      <c r="AL3801" s="421"/>
    </row>
    <row r="3802" spans="1:38" hidden="1">
      <c r="A3802" s="408"/>
      <c r="B3802" s="83" t="e">
        <f t="array" ref="B3802">SUM(--(FREQUENCY(IF(C$2:C$3072=C3802, MATCH(D$2:D$3072, D$2:D$3072, 0)), ROW(D$2:D$3072)-ROW(D$2)+1) &gt; 0))</f>
        <v>#N/A</v>
      </c>
      <c r="C3802" s="408"/>
      <c r="D3802" s="408"/>
      <c r="E3802" s="408"/>
      <c r="F3802" s="408"/>
      <c r="G3802" s="408"/>
      <c r="H3802" s="408"/>
      <c r="I3802" s="408"/>
      <c r="J3802" s="408"/>
      <c r="K3802" s="408"/>
      <c r="L3802" s="408"/>
      <c r="M3802" s="408"/>
      <c r="N3802" s="408" t="str">
        <f t="shared" si="486"/>
        <v/>
      </c>
      <c r="O3802" s="408"/>
      <c r="P3802" s="408"/>
      <c r="Q3802" s="408"/>
      <c r="R3802" s="408"/>
      <c r="S3802" s="408"/>
      <c r="T3802" s="408"/>
      <c r="U3802" s="408"/>
      <c r="V3802" s="421"/>
      <c r="W3802" s="421"/>
      <c r="X3802" s="421"/>
      <c r="Y3802" s="421"/>
      <c r="Z3802" s="421"/>
      <c r="AA3802" s="421"/>
      <c r="AB3802" s="421"/>
      <c r="AC3802" s="421"/>
      <c r="AD3802" s="421"/>
      <c r="AE3802" s="421"/>
      <c r="AF3802" s="421"/>
      <c r="AG3802" s="421"/>
      <c r="AH3802" s="421"/>
      <c r="AI3802" s="421"/>
      <c r="AJ3802" s="421"/>
      <c r="AK3802" s="421"/>
      <c r="AL3802" s="421"/>
    </row>
    <row r="3803" spans="1:38" hidden="1">
      <c r="A3803" s="408"/>
      <c r="B3803" s="83" t="e">
        <f t="array" ref="B3803">SUM(--(FREQUENCY(IF(C$2:C$3072=C3803, MATCH(D$2:D$3072, D$2:D$3072, 0)), ROW(D$2:D$3072)-ROW(D$2)+1) &gt; 0))</f>
        <v>#N/A</v>
      </c>
      <c r="C3803" s="408"/>
      <c r="D3803" s="408"/>
      <c r="E3803" s="408"/>
      <c r="F3803" s="408"/>
      <c r="G3803" s="408"/>
      <c r="H3803" s="408"/>
      <c r="I3803" s="408"/>
      <c r="J3803" s="408"/>
      <c r="K3803" s="408"/>
      <c r="L3803" s="408"/>
      <c r="M3803" s="408"/>
      <c r="N3803" s="408" t="str">
        <f t="shared" si="486"/>
        <v/>
      </c>
      <c r="O3803" s="408"/>
      <c r="P3803" s="408"/>
      <c r="Q3803" s="408"/>
      <c r="R3803" s="408"/>
      <c r="S3803" s="408"/>
      <c r="T3803" s="408"/>
      <c r="U3803" s="408"/>
      <c r="V3803" s="421"/>
      <c r="W3803" s="421"/>
      <c r="X3803" s="421"/>
      <c r="Y3803" s="421"/>
      <c r="Z3803" s="421"/>
      <c r="AA3803" s="421"/>
      <c r="AB3803" s="421"/>
      <c r="AC3803" s="421"/>
      <c r="AD3803" s="421"/>
      <c r="AE3803" s="421"/>
      <c r="AF3803" s="421"/>
      <c r="AG3803" s="421"/>
      <c r="AH3803" s="421"/>
      <c r="AI3803" s="421"/>
      <c r="AJ3803" s="421"/>
      <c r="AK3803" s="421"/>
      <c r="AL3803" s="421"/>
    </row>
    <row r="3804" spans="1:38" hidden="1">
      <c r="A3804" s="408"/>
      <c r="B3804" s="83" t="e">
        <f t="array" ref="B3804">SUM(--(FREQUENCY(IF(C$2:C$3072=C3804, MATCH(D$2:D$3072, D$2:D$3072, 0)), ROW(D$2:D$3072)-ROW(D$2)+1) &gt; 0))</f>
        <v>#N/A</v>
      </c>
      <c r="C3804" s="408"/>
      <c r="D3804" s="408"/>
      <c r="E3804" s="408"/>
      <c r="F3804" s="408"/>
      <c r="G3804" s="408"/>
      <c r="H3804" s="408"/>
      <c r="I3804" s="408"/>
      <c r="J3804" s="408"/>
      <c r="K3804" s="408"/>
      <c r="L3804" s="408"/>
      <c r="M3804" s="408"/>
      <c r="N3804" s="408" t="str">
        <f t="shared" si="486"/>
        <v/>
      </c>
      <c r="O3804" s="408"/>
      <c r="P3804" s="408"/>
      <c r="Q3804" s="408"/>
      <c r="R3804" s="408"/>
      <c r="S3804" s="408"/>
      <c r="T3804" s="408"/>
      <c r="U3804" s="408"/>
      <c r="V3804" s="421"/>
      <c r="W3804" s="421"/>
      <c r="X3804" s="421"/>
      <c r="Y3804" s="421"/>
      <c r="Z3804" s="421"/>
      <c r="AA3804" s="421"/>
      <c r="AB3804" s="421"/>
      <c r="AC3804" s="421"/>
      <c r="AD3804" s="421"/>
      <c r="AE3804" s="421"/>
      <c r="AF3804" s="421"/>
      <c r="AG3804" s="421"/>
      <c r="AH3804" s="421"/>
      <c r="AI3804" s="421"/>
      <c r="AJ3804" s="421"/>
      <c r="AK3804" s="421"/>
      <c r="AL3804" s="421"/>
    </row>
    <row r="3805" spans="1:38" hidden="1">
      <c r="A3805" s="408"/>
      <c r="B3805" s="83" t="e">
        <f t="array" ref="B3805">SUM(--(FREQUENCY(IF(C$2:C$3072=C3805, MATCH(D$2:D$3072, D$2:D$3072, 0)), ROW(D$2:D$3072)-ROW(D$2)+1) &gt; 0))</f>
        <v>#N/A</v>
      </c>
      <c r="C3805" s="408"/>
      <c r="D3805" s="408"/>
      <c r="E3805" s="408"/>
      <c r="F3805" s="408"/>
      <c r="G3805" s="408"/>
      <c r="H3805" s="408"/>
      <c r="I3805" s="408"/>
      <c r="J3805" s="408"/>
      <c r="K3805" s="408"/>
      <c r="L3805" s="408"/>
      <c r="M3805" s="408"/>
      <c r="N3805" s="408" t="str">
        <f t="shared" si="486"/>
        <v/>
      </c>
      <c r="O3805" s="408"/>
      <c r="P3805" s="408"/>
      <c r="Q3805" s="408"/>
      <c r="R3805" s="408"/>
      <c r="S3805" s="408"/>
      <c r="T3805" s="408"/>
      <c r="U3805" s="408"/>
      <c r="V3805" s="421"/>
      <c r="W3805" s="421"/>
      <c r="X3805" s="421"/>
      <c r="Y3805" s="421"/>
      <c r="Z3805" s="421"/>
      <c r="AA3805" s="421"/>
      <c r="AB3805" s="421"/>
      <c r="AC3805" s="421"/>
      <c r="AD3805" s="421"/>
      <c r="AE3805" s="421"/>
      <c r="AF3805" s="421"/>
      <c r="AG3805" s="421"/>
      <c r="AH3805" s="421"/>
      <c r="AI3805" s="421"/>
      <c r="AJ3805" s="421"/>
      <c r="AK3805" s="421"/>
      <c r="AL3805" s="421"/>
    </row>
    <row r="3806" spans="1:38" hidden="1">
      <c r="A3806" s="408"/>
      <c r="B3806" s="83" t="e">
        <f t="array" ref="B3806">SUM(--(FREQUENCY(IF(C$2:C$3072=C3806, MATCH(D$2:D$3072, D$2:D$3072, 0)), ROW(D$2:D$3072)-ROW(D$2)+1) &gt; 0))</f>
        <v>#N/A</v>
      </c>
      <c r="C3806" s="408"/>
      <c r="D3806" s="408"/>
      <c r="E3806" s="408"/>
      <c r="F3806" s="408"/>
      <c r="G3806" s="408"/>
      <c r="H3806" s="408"/>
      <c r="I3806" s="408"/>
      <c r="J3806" s="408"/>
      <c r="K3806" s="408"/>
      <c r="L3806" s="408"/>
      <c r="M3806" s="408"/>
      <c r="N3806" s="408" t="str">
        <f t="shared" si="486"/>
        <v/>
      </c>
      <c r="O3806" s="408"/>
      <c r="P3806" s="408"/>
      <c r="Q3806" s="408"/>
      <c r="R3806" s="408"/>
      <c r="S3806" s="408"/>
      <c r="T3806" s="408"/>
      <c r="U3806" s="408"/>
      <c r="V3806" s="421"/>
      <c r="W3806" s="421"/>
      <c r="X3806" s="421"/>
      <c r="Y3806" s="421"/>
      <c r="Z3806" s="421"/>
      <c r="AA3806" s="421"/>
      <c r="AB3806" s="421"/>
      <c r="AC3806" s="421"/>
      <c r="AD3806" s="421"/>
      <c r="AE3806" s="421"/>
      <c r="AF3806" s="421"/>
      <c r="AG3806" s="421"/>
      <c r="AH3806" s="421"/>
      <c r="AI3806" s="421"/>
      <c r="AJ3806" s="421"/>
      <c r="AK3806" s="421"/>
      <c r="AL3806" s="421"/>
    </row>
    <row r="3807" spans="1:38" hidden="1">
      <c r="A3807" s="408"/>
      <c r="B3807" s="83" t="e">
        <f t="array" ref="B3807">SUM(--(FREQUENCY(IF(C$2:C$3072=C3807, MATCH(D$2:D$3072, D$2:D$3072, 0)), ROW(D$2:D$3072)-ROW(D$2)+1) &gt; 0))</f>
        <v>#N/A</v>
      </c>
      <c r="C3807" s="408"/>
      <c r="D3807" s="408"/>
      <c r="E3807" s="408"/>
      <c r="F3807" s="408"/>
      <c r="G3807" s="408"/>
      <c r="H3807" s="408"/>
      <c r="I3807" s="408"/>
      <c r="J3807" s="408"/>
      <c r="K3807" s="408"/>
      <c r="L3807" s="408"/>
      <c r="M3807" s="408"/>
      <c r="N3807" s="408" t="str">
        <f t="shared" si="486"/>
        <v/>
      </c>
      <c r="O3807" s="408"/>
      <c r="P3807" s="408"/>
      <c r="Q3807" s="408"/>
      <c r="R3807" s="408"/>
      <c r="S3807" s="408"/>
      <c r="T3807" s="408"/>
      <c r="U3807" s="408"/>
      <c r="V3807" s="421"/>
      <c r="W3807" s="421"/>
      <c r="X3807" s="421"/>
      <c r="Y3807" s="421"/>
      <c r="Z3807" s="421"/>
      <c r="AA3807" s="421"/>
      <c r="AB3807" s="421"/>
      <c r="AC3807" s="421"/>
      <c r="AD3807" s="421"/>
      <c r="AE3807" s="421"/>
      <c r="AF3807" s="421"/>
      <c r="AG3807" s="421"/>
      <c r="AH3807" s="421"/>
      <c r="AI3807" s="421"/>
      <c r="AJ3807" s="421"/>
      <c r="AK3807" s="421"/>
      <c r="AL3807" s="421"/>
    </row>
    <row r="3808" spans="1:38" hidden="1">
      <c r="A3808" s="408"/>
      <c r="B3808" s="83" t="e">
        <f t="array" ref="B3808">SUM(--(FREQUENCY(IF(C$2:C$3072=C3808, MATCH(D$2:D$3072, D$2:D$3072, 0)), ROW(D$2:D$3072)-ROW(D$2)+1) &gt; 0))</f>
        <v>#N/A</v>
      </c>
      <c r="C3808" s="408"/>
      <c r="D3808" s="408"/>
      <c r="E3808" s="408"/>
      <c r="F3808" s="408"/>
      <c r="G3808" s="408"/>
      <c r="H3808" s="408"/>
      <c r="I3808" s="408"/>
      <c r="J3808" s="408"/>
      <c r="K3808" s="408"/>
      <c r="L3808" s="408"/>
      <c r="M3808" s="408"/>
      <c r="N3808" s="408" t="str">
        <f t="shared" si="486"/>
        <v/>
      </c>
      <c r="O3808" s="408"/>
      <c r="P3808" s="408"/>
      <c r="Q3808" s="408"/>
      <c r="R3808" s="408"/>
      <c r="S3808" s="408"/>
      <c r="T3808" s="408"/>
      <c r="U3808" s="408"/>
      <c r="V3808" s="421"/>
      <c r="W3808" s="421"/>
      <c r="X3808" s="421"/>
      <c r="Y3808" s="421"/>
      <c r="Z3808" s="421"/>
      <c r="AA3808" s="421"/>
      <c r="AB3808" s="421"/>
      <c r="AC3808" s="421"/>
      <c r="AD3808" s="421"/>
      <c r="AE3808" s="421"/>
      <c r="AF3808" s="421"/>
      <c r="AG3808" s="421"/>
      <c r="AH3808" s="421"/>
      <c r="AI3808" s="421"/>
      <c r="AJ3808" s="421"/>
      <c r="AK3808" s="421"/>
      <c r="AL3808" s="421"/>
    </row>
    <row r="3809" spans="1:38" hidden="1">
      <c r="A3809" s="408"/>
      <c r="B3809" s="83" t="e">
        <f t="array" ref="B3809">SUM(--(FREQUENCY(IF(C$2:C$3072=C3809, MATCH(D$2:D$3072, D$2:D$3072, 0)), ROW(D$2:D$3072)-ROW(D$2)+1) &gt; 0))</f>
        <v>#N/A</v>
      </c>
      <c r="C3809" s="408"/>
      <c r="D3809" s="408"/>
      <c r="E3809" s="408"/>
      <c r="F3809" s="408"/>
      <c r="G3809" s="408"/>
      <c r="H3809" s="408"/>
      <c r="I3809" s="408"/>
      <c r="J3809" s="408"/>
      <c r="K3809" s="408"/>
      <c r="L3809" s="408"/>
      <c r="M3809" s="408"/>
      <c r="N3809" s="408" t="str">
        <f t="shared" si="486"/>
        <v/>
      </c>
      <c r="O3809" s="408"/>
      <c r="P3809" s="408"/>
      <c r="Q3809" s="408"/>
      <c r="R3809" s="408"/>
      <c r="S3809" s="408"/>
      <c r="T3809" s="408"/>
      <c r="U3809" s="408"/>
      <c r="V3809" s="421"/>
      <c r="W3809" s="421"/>
      <c r="X3809" s="421"/>
      <c r="Y3809" s="421"/>
      <c r="Z3809" s="421"/>
      <c r="AA3809" s="421"/>
      <c r="AB3809" s="421"/>
      <c r="AC3809" s="421"/>
      <c r="AD3809" s="421"/>
      <c r="AE3809" s="421"/>
      <c r="AF3809" s="421"/>
      <c r="AG3809" s="421"/>
      <c r="AH3809" s="421"/>
      <c r="AI3809" s="421"/>
      <c r="AJ3809" s="421"/>
      <c r="AK3809" s="421"/>
      <c r="AL3809" s="421"/>
    </row>
    <row r="3810" spans="1:38" hidden="1">
      <c r="A3810" s="408"/>
      <c r="B3810" s="83" t="e">
        <f t="array" ref="B3810">SUM(--(FREQUENCY(IF(C$2:C$3072=C3810, MATCH(D$2:D$3072, D$2:D$3072, 0)), ROW(D$2:D$3072)-ROW(D$2)+1) &gt; 0))</f>
        <v>#N/A</v>
      </c>
      <c r="C3810" s="408"/>
      <c r="D3810" s="408"/>
      <c r="E3810" s="408"/>
      <c r="F3810" s="408"/>
      <c r="G3810" s="408"/>
      <c r="H3810" s="408"/>
      <c r="I3810" s="408"/>
      <c r="J3810" s="408"/>
      <c r="K3810" s="408"/>
      <c r="L3810" s="408"/>
      <c r="M3810" s="408"/>
      <c r="N3810" s="408" t="str">
        <f t="shared" si="486"/>
        <v/>
      </c>
      <c r="O3810" s="408"/>
      <c r="P3810" s="408"/>
      <c r="Q3810" s="408"/>
      <c r="R3810" s="408"/>
      <c r="S3810" s="408"/>
      <c r="T3810" s="408"/>
      <c r="U3810" s="408"/>
      <c r="V3810" s="421"/>
      <c r="W3810" s="421"/>
      <c r="X3810" s="421"/>
      <c r="Y3810" s="421"/>
      <c r="Z3810" s="421"/>
      <c r="AA3810" s="421"/>
      <c r="AB3810" s="421"/>
      <c r="AC3810" s="421"/>
      <c r="AD3810" s="421"/>
      <c r="AE3810" s="421"/>
      <c r="AF3810" s="421"/>
      <c r="AG3810" s="421"/>
      <c r="AH3810" s="421"/>
      <c r="AI3810" s="421"/>
      <c r="AJ3810" s="421"/>
      <c r="AK3810" s="421"/>
      <c r="AL3810" s="421"/>
    </row>
    <row r="3811" spans="1:38" hidden="1">
      <c r="A3811" s="408"/>
      <c r="B3811" s="83" t="e">
        <f t="array" ref="B3811">SUM(--(FREQUENCY(IF(C$2:C$3072=C3811, MATCH(D$2:D$3072, D$2:D$3072, 0)), ROW(D$2:D$3072)-ROW(D$2)+1) &gt; 0))</f>
        <v>#N/A</v>
      </c>
      <c r="C3811" s="408"/>
      <c r="D3811" s="408"/>
      <c r="E3811" s="408"/>
      <c r="F3811" s="408"/>
      <c r="G3811" s="408"/>
      <c r="H3811" s="408"/>
      <c r="I3811" s="408"/>
      <c r="J3811" s="408"/>
      <c r="K3811" s="408"/>
      <c r="L3811" s="408"/>
      <c r="M3811" s="408"/>
      <c r="N3811" s="408" t="str">
        <f t="shared" si="486"/>
        <v/>
      </c>
      <c r="O3811" s="408"/>
      <c r="P3811" s="408"/>
      <c r="Q3811" s="408"/>
      <c r="R3811" s="408"/>
      <c r="S3811" s="408"/>
      <c r="T3811" s="408"/>
      <c r="U3811" s="408"/>
      <c r="V3811" s="421"/>
      <c r="W3811" s="421"/>
      <c r="X3811" s="421"/>
      <c r="Y3811" s="421"/>
      <c r="Z3811" s="421"/>
      <c r="AA3811" s="421"/>
      <c r="AB3811" s="421"/>
      <c r="AC3811" s="421"/>
      <c r="AD3811" s="421"/>
      <c r="AE3811" s="421"/>
      <c r="AF3811" s="421"/>
      <c r="AG3811" s="421"/>
      <c r="AH3811" s="421"/>
      <c r="AI3811" s="421"/>
      <c r="AJ3811" s="421"/>
      <c r="AK3811" s="421"/>
      <c r="AL3811" s="421"/>
    </row>
    <row r="3812" spans="1:38" hidden="1">
      <c r="A3812" s="408"/>
      <c r="B3812" s="83" t="e">
        <f t="array" ref="B3812">SUM(--(FREQUENCY(IF(C$2:C$3072=C3812, MATCH(D$2:D$3072, D$2:D$3072, 0)), ROW(D$2:D$3072)-ROW(D$2)+1) &gt; 0))</f>
        <v>#N/A</v>
      </c>
      <c r="C3812" s="408"/>
      <c r="D3812" s="408"/>
      <c r="E3812" s="408"/>
      <c r="F3812" s="408"/>
      <c r="G3812" s="408"/>
      <c r="H3812" s="408"/>
      <c r="I3812" s="408"/>
      <c r="J3812" s="408"/>
      <c r="K3812" s="408"/>
      <c r="L3812" s="408"/>
      <c r="M3812" s="408"/>
      <c r="N3812" s="408" t="str">
        <f t="shared" si="486"/>
        <v/>
      </c>
      <c r="O3812" s="408"/>
      <c r="P3812" s="408"/>
      <c r="Q3812" s="408"/>
      <c r="R3812" s="408"/>
      <c r="S3812" s="408"/>
      <c r="T3812" s="408"/>
      <c r="U3812" s="408"/>
      <c r="V3812" s="421"/>
      <c r="W3812" s="421"/>
      <c r="X3812" s="421"/>
      <c r="Y3812" s="421"/>
      <c r="Z3812" s="421"/>
      <c r="AA3812" s="421"/>
      <c r="AB3812" s="421"/>
      <c r="AC3812" s="421"/>
      <c r="AD3812" s="421"/>
      <c r="AE3812" s="421"/>
      <c r="AF3812" s="421"/>
      <c r="AG3812" s="421"/>
      <c r="AH3812" s="421"/>
      <c r="AI3812" s="421"/>
      <c r="AJ3812" s="421"/>
      <c r="AK3812" s="421"/>
      <c r="AL3812" s="421"/>
    </row>
    <row r="3813" spans="1:38" hidden="1">
      <c r="A3813" s="408"/>
      <c r="B3813" s="83" t="e">
        <f t="array" ref="B3813">SUM(--(FREQUENCY(IF(C$2:C$3072=C3813, MATCH(D$2:D$3072, D$2:D$3072, 0)), ROW(D$2:D$3072)-ROW(D$2)+1) &gt; 0))</f>
        <v>#N/A</v>
      </c>
      <c r="C3813" s="408"/>
      <c r="D3813" s="408"/>
      <c r="E3813" s="408"/>
      <c r="F3813" s="408"/>
      <c r="G3813" s="408"/>
      <c r="H3813" s="408"/>
      <c r="I3813" s="408"/>
      <c r="J3813" s="408"/>
      <c r="K3813" s="408"/>
      <c r="L3813" s="408"/>
      <c r="M3813" s="408"/>
      <c r="N3813" s="408" t="str">
        <f t="shared" si="486"/>
        <v/>
      </c>
      <c r="O3813" s="408"/>
      <c r="P3813" s="408"/>
      <c r="Q3813" s="408"/>
      <c r="R3813" s="408"/>
      <c r="S3813" s="408"/>
      <c r="T3813" s="408"/>
      <c r="U3813" s="408"/>
      <c r="V3813" s="421"/>
      <c r="W3813" s="421"/>
      <c r="X3813" s="421"/>
      <c r="Y3813" s="421"/>
      <c r="Z3813" s="421"/>
      <c r="AA3813" s="421"/>
      <c r="AB3813" s="421"/>
      <c r="AC3813" s="421"/>
      <c r="AD3813" s="421"/>
      <c r="AE3813" s="421"/>
      <c r="AF3813" s="421"/>
      <c r="AG3813" s="421"/>
      <c r="AH3813" s="421"/>
      <c r="AI3813" s="421"/>
      <c r="AJ3813" s="421"/>
      <c r="AK3813" s="421"/>
      <c r="AL3813" s="421"/>
    </row>
    <row r="3814" spans="1:38" hidden="1">
      <c r="A3814" s="408"/>
      <c r="B3814" s="83" t="e">
        <f t="array" ref="B3814">SUM(--(FREQUENCY(IF(C$2:C$3072=C3814, MATCH(D$2:D$3072, D$2:D$3072, 0)), ROW(D$2:D$3072)-ROW(D$2)+1) &gt; 0))</f>
        <v>#N/A</v>
      </c>
      <c r="C3814" s="408"/>
      <c r="D3814" s="408"/>
      <c r="E3814" s="408"/>
      <c r="F3814" s="408"/>
      <c r="G3814" s="408"/>
      <c r="H3814" s="408"/>
      <c r="I3814" s="408"/>
      <c r="J3814" s="408"/>
      <c r="K3814" s="408"/>
      <c r="L3814" s="408"/>
      <c r="M3814" s="408"/>
      <c r="N3814" s="408" t="str">
        <f t="shared" si="486"/>
        <v/>
      </c>
      <c r="O3814" s="408"/>
      <c r="P3814" s="408"/>
      <c r="Q3814" s="408"/>
      <c r="R3814" s="408"/>
      <c r="S3814" s="408"/>
      <c r="T3814" s="408"/>
      <c r="U3814" s="408"/>
      <c r="V3814" s="421"/>
      <c r="W3814" s="421"/>
      <c r="X3814" s="421"/>
      <c r="Y3814" s="421"/>
      <c r="Z3814" s="421"/>
      <c r="AA3814" s="421"/>
      <c r="AB3814" s="421"/>
      <c r="AC3814" s="421"/>
      <c r="AD3814" s="421"/>
      <c r="AE3814" s="421"/>
      <c r="AF3814" s="421"/>
      <c r="AG3814" s="421"/>
      <c r="AH3814" s="421"/>
      <c r="AI3814" s="421"/>
      <c r="AJ3814" s="421"/>
      <c r="AK3814" s="421"/>
      <c r="AL3814" s="421"/>
    </row>
    <row r="3815" spans="1:38" hidden="1">
      <c r="A3815" s="408"/>
      <c r="B3815" s="83" t="e">
        <f t="array" ref="B3815">SUM(--(FREQUENCY(IF(C$2:C$3072=C3815, MATCH(D$2:D$3072, D$2:D$3072, 0)), ROW(D$2:D$3072)-ROW(D$2)+1) &gt; 0))</f>
        <v>#N/A</v>
      </c>
      <c r="C3815" s="408"/>
      <c r="D3815" s="408"/>
      <c r="E3815" s="408"/>
      <c r="F3815" s="408"/>
      <c r="G3815" s="408"/>
      <c r="H3815" s="408"/>
      <c r="I3815" s="408"/>
      <c r="J3815" s="408"/>
      <c r="K3815" s="408"/>
      <c r="L3815" s="408"/>
      <c r="M3815" s="408"/>
      <c r="N3815" s="408" t="str">
        <f t="shared" si="486"/>
        <v/>
      </c>
      <c r="O3815" s="408"/>
      <c r="P3815" s="408"/>
      <c r="Q3815" s="408"/>
      <c r="R3815" s="408"/>
      <c r="S3815" s="408"/>
      <c r="T3815" s="408"/>
      <c r="U3815" s="408"/>
      <c r="V3815" s="421"/>
      <c r="W3815" s="421"/>
      <c r="X3815" s="421"/>
      <c r="Y3815" s="421"/>
      <c r="Z3815" s="421"/>
      <c r="AA3815" s="421"/>
      <c r="AB3815" s="421"/>
      <c r="AC3815" s="421"/>
      <c r="AD3815" s="421"/>
      <c r="AE3815" s="421"/>
      <c r="AF3815" s="421"/>
      <c r="AG3815" s="421"/>
      <c r="AH3815" s="421"/>
      <c r="AI3815" s="421"/>
      <c r="AJ3815" s="421"/>
      <c r="AK3815" s="421"/>
      <c r="AL3815" s="421"/>
    </row>
    <row r="3816" spans="1:38" hidden="1">
      <c r="A3816" s="408"/>
      <c r="B3816" s="83" t="e">
        <f t="array" ref="B3816">SUM(--(FREQUENCY(IF(C$2:C$3072=C3816, MATCH(D$2:D$3072, D$2:D$3072, 0)), ROW(D$2:D$3072)-ROW(D$2)+1) &gt; 0))</f>
        <v>#N/A</v>
      </c>
      <c r="C3816" s="408"/>
      <c r="D3816" s="408"/>
      <c r="E3816" s="408"/>
      <c r="F3816" s="408"/>
      <c r="G3816" s="408"/>
      <c r="H3816" s="408"/>
      <c r="I3816" s="408"/>
      <c r="J3816" s="408"/>
      <c r="K3816" s="408"/>
      <c r="L3816" s="408"/>
      <c r="M3816" s="408"/>
      <c r="N3816" s="408" t="str">
        <f t="shared" si="486"/>
        <v/>
      </c>
      <c r="O3816" s="408"/>
      <c r="P3816" s="408"/>
      <c r="Q3816" s="408"/>
      <c r="R3816" s="408"/>
      <c r="S3816" s="408"/>
      <c r="T3816" s="408"/>
      <c r="U3816" s="408"/>
      <c r="V3816" s="421"/>
      <c r="W3816" s="421"/>
      <c r="X3816" s="421"/>
      <c r="Y3816" s="421"/>
      <c r="Z3816" s="421"/>
      <c r="AA3816" s="421"/>
      <c r="AB3816" s="421"/>
      <c r="AC3816" s="421"/>
      <c r="AD3816" s="421"/>
      <c r="AE3816" s="421"/>
      <c r="AF3816" s="421"/>
      <c r="AG3816" s="421"/>
      <c r="AH3816" s="421"/>
      <c r="AI3816" s="421"/>
      <c r="AJ3816" s="421"/>
      <c r="AK3816" s="421"/>
      <c r="AL3816" s="421"/>
    </row>
    <row r="3817" spans="1:38" hidden="1">
      <c r="A3817" s="408"/>
      <c r="B3817" s="83" t="e">
        <f t="array" ref="B3817">SUM(--(FREQUENCY(IF(C$2:C$3072=C3817, MATCH(D$2:D$3072, D$2:D$3072, 0)), ROW(D$2:D$3072)-ROW(D$2)+1) &gt; 0))</f>
        <v>#N/A</v>
      </c>
      <c r="C3817" s="408"/>
      <c r="D3817" s="408"/>
      <c r="E3817" s="408"/>
      <c r="F3817" s="408"/>
      <c r="G3817" s="408"/>
      <c r="H3817" s="408"/>
      <c r="I3817" s="408"/>
      <c r="J3817" s="408"/>
      <c r="K3817" s="408"/>
      <c r="L3817" s="408"/>
      <c r="M3817" s="408"/>
      <c r="N3817" s="408" t="str">
        <f t="shared" si="486"/>
        <v/>
      </c>
      <c r="O3817" s="408"/>
      <c r="P3817" s="408"/>
      <c r="Q3817" s="408"/>
      <c r="R3817" s="408"/>
      <c r="S3817" s="408"/>
      <c r="T3817" s="408"/>
      <c r="U3817" s="408"/>
      <c r="V3817" s="421"/>
      <c r="W3817" s="421"/>
      <c r="X3817" s="421"/>
      <c r="Y3817" s="421"/>
      <c r="Z3817" s="421"/>
      <c r="AA3817" s="421"/>
      <c r="AB3817" s="421"/>
      <c r="AC3817" s="421"/>
      <c r="AD3817" s="421"/>
      <c r="AE3817" s="421"/>
      <c r="AF3817" s="421"/>
      <c r="AG3817" s="421"/>
      <c r="AH3817" s="421"/>
      <c r="AI3817" s="421"/>
      <c r="AJ3817" s="421"/>
      <c r="AK3817" s="421"/>
      <c r="AL3817" s="421"/>
    </row>
    <row r="3818" spans="1:38" hidden="1">
      <c r="A3818" s="408"/>
      <c r="B3818" s="83" t="e">
        <f t="array" ref="B3818">SUM(--(FREQUENCY(IF(C$2:C$3072=C3818, MATCH(D$2:D$3072, D$2:D$3072, 0)), ROW(D$2:D$3072)-ROW(D$2)+1) &gt; 0))</f>
        <v>#N/A</v>
      </c>
      <c r="C3818" s="408"/>
      <c r="D3818" s="408"/>
      <c r="E3818" s="408"/>
      <c r="F3818" s="408"/>
      <c r="G3818" s="408"/>
      <c r="H3818" s="408"/>
      <c r="I3818" s="408"/>
      <c r="J3818" s="408"/>
      <c r="K3818" s="408"/>
      <c r="L3818" s="408"/>
      <c r="M3818" s="408"/>
      <c r="N3818" s="408" t="str">
        <f t="shared" si="486"/>
        <v/>
      </c>
      <c r="O3818" s="408"/>
      <c r="P3818" s="408"/>
      <c r="Q3818" s="408"/>
      <c r="R3818" s="408"/>
      <c r="S3818" s="408"/>
      <c r="T3818" s="408"/>
      <c r="U3818" s="408"/>
      <c r="V3818" s="421"/>
      <c r="W3818" s="421"/>
      <c r="X3818" s="421"/>
      <c r="Y3818" s="421"/>
      <c r="Z3818" s="421"/>
      <c r="AA3818" s="421"/>
      <c r="AB3818" s="421"/>
      <c r="AC3818" s="421"/>
      <c r="AD3818" s="421"/>
      <c r="AE3818" s="421"/>
      <c r="AF3818" s="421"/>
      <c r="AG3818" s="421"/>
      <c r="AH3818" s="421"/>
      <c r="AI3818" s="421"/>
      <c r="AJ3818" s="421"/>
      <c r="AK3818" s="421"/>
      <c r="AL3818" s="421"/>
    </row>
    <row r="3819" spans="1:38" hidden="1">
      <c r="A3819" s="408"/>
      <c r="B3819" s="83" t="e">
        <f t="array" ref="B3819">SUM(--(FREQUENCY(IF(C$2:C$3072=C3819, MATCH(D$2:D$3072, D$2:D$3072, 0)), ROW(D$2:D$3072)-ROW(D$2)+1) &gt; 0))</f>
        <v>#N/A</v>
      </c>
      <c r="C3819" s="408"/>
      <c r="D3819" s="408"/>
      <c r="E3819" s="408"/>
      <c r="F3819" s="408"/>
      <c r="G3819" s="408"/>
      <c r="H3819" s="408"/>
      <c r="I3819" s="408"/>
      <c r="J3819" s="408"/>
      <c r="K3819" s="408"/>
      <c r="L3819" s="408"/>
      <c r="M3819" s="408"/>
      <c r="N3819" s="408" t="str">
        <f t="shared" si="486"/>
        <v/>
      </c>
      <c r="O3819" s="408"/>
      <c r="P3819" s="408"/>
      <c r="Q3819" s="408"/>
      <c r="R3819" s="408"/>
      <c r="S3819" s="408"/>
      <c r="T3819" s="408"/>
      <c r="U3819" s="408"/>
      <c r="V3819" s="421"/>
      <c r="W3819" s="421"/>
      <c r="X3819" s="421"/>
      <c r="Y3819" s="421"/>
      <c r="Z3819" s="421"/>
      <c r="AA3819" s="421"/>
      <c r="AB3819" s="421"/>
      <c r="AC3819" s="421"/>
      <c r="AD3819" s="421"/>
      <c r="AE3819" s="421"/>
      <c r="AF3819" s="421"/>
      <c r="AG3819" s="421"/>
      <c r="AH3819" s="421"/>
      <c r="AI3819" s="421"/>
      <c r="AJ3819" s="421"/>
      <c r="AK3819" s="421"/>
      <c r="AL3819" s="421"/>
    </row>
    <row r="3820" spans="1:38" hidden="1">
      <c r="A3820" s="408"/>
      <c r="B3820" s="83" t="e">
        <f t="array" ref="B3820">SUM(--(FREQUENCY(IF(C$2:C$3072=C3820, MATCH(D$2:D$3072, D$2:D$3072, 0)), ROW(D$2:D$3072)-ROW(D$2)+1) &gt; 0))</f>
        <v>#N/A</v>
      </c>
      <c r="C3820" s="408"/>
      <c r="D3820" s="408"/>
      <c r="E3820" s="408"/>
      <c r="F3820" s="408"/>
      <c r="G3820" s="408"/>
      <c r="H3820" s="408"/>
      <c r="I3820" s="408"/>
      <c r="J3820" s="408"/>
      <c r="K3820" s="408"/>
      <c r="L3820" s="408"/>
      <c r="M3820" s="408"/>
      <c r="N3820" s="408" t="str">
        <f t="shared" si="486"/>
        <v/>
      </c>
      <c r="O3820" s="408"/>
      <c r="P3820" s="408"/>
      <c r="Q3820" s="408"/>
      <c r="R3820" s="408"/>
      <c r="S3820" s="408"/>
      <c r="T3820" s="408"/>
      <c r="U3820" s="408"/>
      <c r="V3820" s="421"/>
      <c r="W3820" s="421"/>
      <c r="X3820" s="421"/>
      <c r="Y3820" s="421"/>
      <c r="Z3820" s="421"/>
      <c r="AA3820" s="421"/>
      <c r="AB3820" s="421"/>
      <c r="AC3820" s="421"/>
      <c r="AD3820" s="421"/>
      <c r="AE3820" s="421"/>
      <c r="AF3820" s="421"/>
      <c r="AG3820" s="421"/>
      <c r="AH3820" s="421"/>
      <c r="AI3820" s="421"/>
      <c r="AJ3820" s="421"/>
      <c r="AK3820" s="421"/>
      <c r="AL3820" s="421"/>
    </row>
    <row r="3821" spans="1:38" hidden="1">
      <c r="A3821" s="408"/>
      <c r="B3821" s="83" t="e">
        <f t="array" ref="B3821">SUM(--(FREQUENCY(IF(C$2:C$3072=C3821, MATCH(D$2:D$3072, D$2:D$3072, 0)), ROW(D$2:D$3072)-ROW(D$2)+1) &gt; 0))</f>
        <v>#N/A</v>
      </c>
      <c r="C3821" s="408"/>
      <c r="D3821" s="408"/>
      <c r="E3821" s="408"/>
      <c r="F3821" s="408"/>
      <c r="G3821" s="408"/>
      <c r="H3821" s="408"/>
      <c r="I3821" s="408"/>
      <c r="J3821" s="408"/>
      <c r="K3821" s="408"/>
      <c r="L3821" s="408"/>
      <c r="M3821" s="408"/>
      <c r="N3821" s="408" t="str">
        <f t="shared" si="486"/>
        <v/>
      </c>
      <c r="O3821" s="408"/>
      <c r="P3821" s="408"/>
      <c r="Q3821" s="408"/>
      <c r="R3821" s="408"/>
      <c r="S3821" s="408"/>
      <c r="T3821" s="408"/>
      <c r="U3821" s="408"/>
      <c r="V3821" s="421"/>
      <c r="W3821" s="421"/>
      <c r="X3821" s="421"/>
      <c r="Y3821" s="421"/>
      <c r="Z3821" s="421"/>
      <c r="AA3821" s="421"/>
      <c r="AB3821" s="421"/>
      <c r="AC3821" s="421"/>
      <c r="AD3821" s="421"/>
      <c r="AE3821" s="421"/>
      <c r="AF3821" s="421"/>
      <c r="AG3821" s="421"/>
      <c r="AH3821" s="421"/>
      <c r="AI3821" s="421"/>
      <c r="AJ3821" s="421"/>
      <c r="AK3821" s="421"/>
      <c r="AL3821" s="421"/>
    </row>
    <row r="3822" spans="1:38" hidden="1">
      <c r="A3822" s="408"/>
      <c r="B3822" s="83" t="e">
        <f t="array" ref="B3822">SUM(--(FREQUENCY(IF(C$2:C$3072=C3822, MATCH(D$2:D$3072, D$2:D$3072, 0)), ROW(D$2:D$3072)-ROW(D$2)+1) &gt; 0))</f>
        <v>#N/A</v>
      </c>
      <c r="C3822" s="408"/>
      <c r="D3822" s="408"/>
      <c r="E3822" s="408"/>
      <c r="F3822" s="408"/>
      <c r="G3822" s="408"/>
      <c r="H3822" s="408"/>
      <c r="I3822" s="408"/>
      <c r="J3822" s="408"/>
      <c r="K3822" s="408"/>
      <c r="L3822" s="408"/>
      <c r="M3822" s="408"/>
      <c r="N3822" s="408" t="str">
        <f t="shared" si="486"/>
        <v/>
      </c>
      <c r="O3822" s="408"/>
      <c r="P3822" s="408"/>
      <c r="Q3822" s="408"/>
      <c r="R3822" s="408"/>
      <c r="S3822" s="408"/>
      <c r="T3822" s="408"/>
      <c r="U3822" s="408"/>
      <c r="V3822" s="421"/>
      <c r="W3822" s="421"/>
      <c r="X3822" s="421"/>
      <c r="Y3822" s="421"/>
      <c r="Z3822" s="421"/>
      <c r="AA3822" s="421"/>
      <c r="AB3822" s="421"/>
      <c r="AC3822" s="421"/>
      <c r="AD3822" s="421"/>
      <c r="AE3822" s="421"/>
      <c r="AF3822" s="421"/>
      <c r="AG3822" s="421"/>
      <c r="AH3822" s="421"/>
      <c r="AI3822" s="421"/>
      <c r="AJ3822" s="421"/>
      <c r="AK3822" s="421"/>
      <c r="AL3822" s="421"/>
    </row>
    <row r="3823" spans="1:38" hidden="1">
      <c r="A3823" s="408"/>
      <c r="B3823" s="83" t="e">
        <f t="array" ref="B3823">SUM(--(FREQUENCY(IF(C$2:C$3072=C3823, MATCH(D$2:D$3072, D$2:D$3072, 0)), ROW(D$2:D$3072)-ROW(D$2)+1) &gt; 0))</f>
        <v>#N/A</v>
      </c>
      <c r="C3823" s="408"/>
      <c r="D3823" s="408"/>
      <c r="E3823" s="408"/>
      <c r="F3823" s="408"/>
      <c r="G3823" s="408"/>
      <c r="H3823" s="408"/>
      <c r="I3823" s="408"/>
      <c r="J3823" s="408"/>
      <c r="K3823" s="408"/>
      <c r="L3823" s="408"/>
      <c r="M3823" s="408"/>
      <c r="N3823" s="408" t="str">
        <f t="shared" si="486"/>
        <v/>
      </c>
      <c r="O3823" s="408"/>
      <c r="P3823" s="408"/>
      <c r="Q3823" s="408"/>
      <c r="R3823" s="408"/>
      <c r="S3823" s="408"/>
      <c r="T3823" s="408"/>
      <c r="U3823" s="408"/>
      <c r="V3823" s="421"/>
      <c r="W3823" s="421"/>
      <c r="X3823" s="421"/>
      <c r="Y3823" s="421"/>
      <c r="Z3823" s="421"/>
      <c r="AA3823" s="421"/>
      <c r="AB3823" s="421"/>
      <c r="AC3823" s="421"/>
      <c r="AD3823" s="421"/>
      <c r="AE3823" s="421"/>
      <c r="AF3823" s="421"/>
      <c r="AG3823" s="421"/>
      <c r="AH3823" s="421"/>
      <c r="AI3823" s="421"/>
      <c r="AJ3823" s="421"/>
      <c r="AK3823" s="421"/>
      <c r="AL3823" s="421"/>
    </row>
    <row r="3824" spans="1:38" hidden="1">
      <c r="A3824" s="408"/>
      <c r="B3824" s="83" t="e">
        <f t="array" ref="B3824">SUM(--(FREQUENCY(IF(C$2:C$3072=C3824, MATCH(D$2:D$3072, D$2:D$3072, 0)), ROW(D$2:D$3072)-ROW(D$2)+1) &gt; 0))</f>
        <v>#N/A</v>
      </c>
      <c r="C3824" s="408"/>
      <c r="D3824" s="408"/>
      <c r="E3824" s="408"/>
      <c r="F3824" s="408"/>
      <c r="G3824" s="408"/>
      <c r="H3824" s="408"/>
      <c r="I3824" s="408"/>
      <c r="J3824" s="408"/>
      <c r="K3824" s="408"/>
      <c r="L3824" s="408"/>
      <c r="M3824" s="408"/>
      <c r="N3824" s="408" t="str">
        <f t="shared" si="486"/>
        <v/>
      </c>
      <c r="O3824" s="408"/>
      <c r="P3824" s="408"/>
      <c r="Q3824" s="408"/>
      <c r="R3824" s="408"/>
      <c r="S3824" s="408"/>
      <c r="T3824" s="408"/>
      <c r="U3824" s="408"/>
      <c r="V3824" s="421"/>
      <c r="W3824" s="421"/>
      <c r="X3824" s="421"/>
      <c r="Y3824" s="421"/>
      <c r="Z3824" s="421"/>
      <c r="AA3824" s="421"/>
      <c r="AB3824" s="421"/>
      <c r="AC3824" s="421"/>
      <c r="AD3824" s="421"/>
      <c r="AE3824" s="421"/>
      <c r="AF3824" s="421"/>
      <c r="AG3824" s="421"/>
      <c r="AH3824" s="421"/>
      <c r="AI3824" s="421"/>
      <c r="AJ3824" s="421"/>
      <c r="AK3824" s="421"/>
      <c r="AL3824" s="421"/>
    </row>
    <row r="3825" spans="1:38" hidden="1">
      <c r="A3825" s="408"/>
      <c r="B3825" s="83" t="e">
        <f t="array" ref="B3825">SUM(--(FREQUENCY(IF(C$2:C$3072=C3825, MATCH(D$2:D$3072, D$2:D$3072, 0)), ROW(D$2:D$3072)-ROW(D$2)+1) &gt; 0))</f>
        <v>#N/A</v>
      </c>
      <c r="C3825" s="408"/>
      <c r="D3825" s="408"/>
      <c r="E3825" s="408"/>
      <c r="F3825" s="408"/>
      <c r="G3825" s="408"/>
      <c r="H3825" s="408"/>
      <c r="I3825" s="408"/>
      <c r="J3825" s="408"/>
      <c r="K3825" s="408"/>
      <c r="L3825" s="408"/>
      <c r="M3825" s="408"/>
      <c r="N3825" s="408" t="str">
        <f t="shared" si="486"/>
        <v/>
      </c>
      <c r="O3825" s="408"/>
      <c r="P3825" s="408"/>
      <c r="Q3825" s="408"/>
      <c r="R3825" s="408"/>
      <c r="S3825" s="408"/>
      <c r="T3825" s="408"/>
      <c r="U3825" s="408"/>
      <c r="V3825" s="421"/>
      <c r="W3825" s="421"/>
      <c r="X3825" s="421"/>
      <c r="Y3825" s="421"/>
      <c r="Z3825" s="421"/>
      <c r="AA3825" s="421"/>
      <c r="AB3825" s="421"/>
      <c r="AC3825" s="421"/>
      <c r="AD3825" s="421"/>
      <c r="AE3825" s="421"/>
      <c r="AF3825" s="421"/>
      <c r="AG3825" s="421"/>
      <c r="AH3825" s="421"/>
      <c r="AI3825" s="421"/>
      <c r="AJ3825" s="421"/>
      <c r="AK3825" s="421"/>
      <c r="AL3825" s="421"/>
    </row>
    <row r="3826" spans="1:38" hidden="1">
      <c r="A3826" s="408"/>
      <c r="B3826" s="83" t="e">
        <f t="array" ref="B3826">SUM(--(FREQUENCY(IF(C$2:C$3072=C3826, MATCH(D$2:D$3072, D$2:D$3072, 0)), ROW(D$2:D$3072)-ROW(D$2)+1) &gt; 0))</f>
        <v>#N/A</v>
      </c>
      <c r="C3826" s="408"/>
      <c r="D3826" s="408"/>
      <c r="E3826" s="408"/>
      <c r="F3826" s="408"/>
      <c r="G3826" s="408"/>
      <c r="H3826" s="408"/>
      <c r="I3826" s="408"/>
      <c r="J3826" s="408"/>
      <c r="K3826" s="408"/>
      <c r="L3826" s="408"/>
      <c r="M3826" s="408"/>
      <c r="N3826" s="408" t="str">
        <f t="shared" si="486"/>
        <v/>
      </c>
      <c r="O3826" s="408"/>
      <c r="P3826" s="408"/>
      <c r="Q3826" s="408"/>
      <c r="R3826" s="408"/>
      <c r="S3826" s="408"/>
      <c r="T3826" s="408"/>
      <c r="U3826" s="408"/>
      <c r="V3826" s="421"/>
      <c r="W3826" s="421"/>
      <c r="X3826" s="421"/>
      <c r="Y3826" s="421"/>
      <c r="Z3826" s="421"/>
      <c r="AA3826" s="421"/>
      <c r="AB3826" s="421"/>
      <c r="AC3826" s="421"/>
      <c r="AD3826" s="421"/>
      <c r="AE3826" s="421"/>
      <c r="AF3826" s="421"/>
      <c r="AG3826" s="421"/>
      <c r="AH3826" s="421"/>
      <c r="AI3826" s="421"/>
      <c r="AJ3826" s="421"/>
      <c r="AK3826" s="421"/>
      <c r="AL3826" s="421"/>
    </row>
    <row r="3827" spans="1:38" hidden="1">
      <c r="A3827" s="408"/>
      <c r="B3827" s="83" t="e">
        <f t="array" ref="B3827">SUM(--(FREQUENCY(IF(C$2:C$3072=C3827, MATCH(D$2:D$3072, D$2:D$3072, 0)), ROW(D$2:D$3072)-ROW(D$2)+1) &gt; 0))</f>
        <v>#N/A</v>
      </c>
      <c r="C3827" s="408"/>
      <c r="D3827" s="408"/>
      <c r="E3827" s="408"/>
      <c r="F3827" s="408"/>
      <c r="G3827" s="408"/>
      <c r="H3827" s="408"/>
      <c r="I3827" s="408"/>
      <c r="J3827" s="408"/>
      <c r="K3827" s="408"/>
      <c r="L3827" s="408"/>
      <c r="M3827" s="408"/>
      <c r="N3827" s="408" t="str">
        <f t="shared" si="486"/>
        <v/>
      </c>
      <c r="O3827" s="408"/>
      <c r="P3827" s="408"/>
      <c r="Q3827" s="408"/>
      <c r="R3827" s="408"/>
      <c r="S3827" s="408"/>
      <c r="T3827" s="408"/>
      <c r="U3827" s="408"/>
      <c r="V3827" s="421"/>
      <c r="W3827" s="421"/>
      <c r="X3827" s="421"/>
      <c r="Y3827" s="421"/>
      <c r="Z3827" s="421"/>
      <c r="AA3827" s="421"/>
      <c r="AB3827" s="421"/>
      <c r="AC3827" s="421"/>
      <c r="AD3827" s="421"/>
      <c r="AE3827" s="421"/>
      <c r="AF3827" s="421"/>
      <c r="AG3827" s="421"/>
      <c r="AH3827" s="421"/>
      <c r="AI3827" s="421"/>
      <c r="AJ3827" s="421"/>
      <c r="AK3827" s="421"/>
      <c r="AL3827" s="421"/>
    </row>
    <row r="3828" spans="1:38" hidden="1">
      <c r="A3828" s="408"/>
      <c r="B3828" s="83" t="e">
        <f t="array" ref="B3828">SUM(--(FREQUENCY(IF(C$2:C$3072=C3828, MATCH(D$2:D$3072, D$2:D$3072, 0)), ROW(D$2:D$3072)-ROW(D$2)+1) &gt; 0))</f>
        <v>#N/A</v>
      </c>
      <c r="C3828" s="408"/>
      <c r="D3828" s="408"/>
      <c r="E3828" s="408"/>
      <c r="F3828" s="408"/>
      <c r="G3828" s="408"/>
      <c r="H3828" s="408"/>
      <c r="I3828" s="408"/>
      <c r="J3828" s="408"/>
      <c r="K3828" s="408"/>
      <c r="L3828" s="408"/>
      <c r="M3828" s="408"/>
      <c r="N3828" s="408" t="str">
        <f t="shared" si="486"/>
        <v/>
      </c>
      <c r="O3828" s="408"/>
      <c r="P3828" s="408"/>
      <c r="Q3828" s="408"/>
      <c r="R3828" s="408"/>
      <c r="S3828" s="408"/>
      <c r="T3828" s="408"/>
      <c r="U3828" s="408"/>
      <c r="V3828" s="421"/>
      <c r="W3828" s="421"/>
      <c r="X3828" s="421"/>
      <c r="Y3828" s="421"/>
      <c r="Z3828" s="421"/>
      <c r="AA3828" s="421"/>
      <c r="AB3828" s="421"/>
      <c r="AC3828" s="421"/>
      <c r="AD3828" s="421"/>
      <c r="AE3828" s="421"/>
      <c r="AF3828" s="421"/>
      <c r="AG3828" s="421"/>
      <c r="AH3828" s="421"/>
      <c r="AI3828" s="421"/>
      <c r="AJ3828" s="421"/>
      <c r="AK3828" s="421"/>
      <c r="AL3828" s="421"/>
    </row>
    <row r="3829" spans="1:38" hidden="1">
      <c r="A3829" s="408"/>
      <c r="B3829" s="83" t="e">
        <f t="array" ref="B3829">SUM(--(FREQUENCY(IF(C$2:C$3072=C3829, MATCH(D$2:D$3072, D$2:D$3072, 0)), ROW(D$2:D$3072)-ROW(D$2)+1) &gt; 0))</f>
        <v>#N/A</v>
      </c>
      <c r="C3829" s="408"/>
      <c r="D3829" s="408"/>
      <c r="E3829" s="408"/>
      <c r="F3829" s="408"/>
      <c r="G3829" s="408"/>
      <c r="H3829" s="408"/>
      <c r="I3829" s="408"/>
      <c r="J3829" s="408"/>
      <c r="K3829" s="408"/>
      <c r="L3829" s="408"/>
      <c r="M3829" s="408"/>
      <c r="N3829" s="408" t="str">
        <f t="shared" si="486"/>
        <v/>
      </c>
      <c r="O3829" s="408"/>
      <c r="P3829" s="408"/>
      <c r="Q3829" s="408"/>
      <c r="R3829" s="408"/>
      <c r="S3829" s="408"/>
      <c r="T3829" s="408"/>
      <c r="U3829" s="408"/>
      <c r="V3829" s="421"/>
      <c r="W3829" s="421"/>
      <c r="X3829" s="421"/>
      <c r="Y3829" s="421"/>
      <c r="Z3829" s="421"/>
      <c r="AA3829" s="421"/>
      <c r="AB3829" s="421"/>
      <c r="AC3829" s="421"/>
      <c r="AD3829" s="421"/>
      <c r="AE3829" s="421"/>
      <c r="AF3829" s="421"/>
      <c r="AG3829" s="421"/>
      <c r="AH3829" s="421"/>
      <c r="AI3829" s="421"/>
      <c r="AJ3829" s="421"/>
      <c r="AK3829" s="421"/>
      <c r="AL3829" s="421"/>
    </row>
    <row r="3830" spans="1:38" hidden="1">
      <c r="A3830" s="408"/>
      <c r="B3830" s="83" t="e">
        <f t="array" ref="B3830">SUM(--(FREQUENCY(IF(C$2:C$3072=C3830, MATCH(D$2:D$3072, D$2:D$3072, 0)), ROW(D$2:D$3072)-ROW(D$2)+1) &gt; 0))</f>
        <v>#N/A</v>
      </c>
      <c r="C3830" s="408"/>
      <c r="D3830" s="408"/>
      <c r="E3830" s="408"/>
      <c r="F3830" s="408"/>
      <c r="G3830" s="408"/>
      <c r="H3830" s="408"/>
      <c r="I3830" s="408"/>
      <c r="J3830" s="408"/>
      <c r="K3830" s="408"/>
      <c r="L3830" s="408"/>
      <c r="M3830" s="408"/>
      <c r="N3830" s="408" t="str">
        <f t="shared" si="486"/>
        <v/>
      </c>
      <c r="O3830" s="408"/>
      <c r="P3830" s="408"/>
      <c r="Q3830" s="408"/>
      <c r="R3830" s="408"/>
      <c r="S3830" s="408"/>
      <c r="T3830" s="408"/>
      <c r="U3830" s="408"/>
      <c r="V3830" s="421"/>
      <c r="W3830" s="421"/>
      <c r="X3830" s="421"/>
      <c r="Y3830" s="421"/>
      <c r="Z3830" s="421"/>
      <c r="AA3830" s="421"/>
      <c r="AB3830" s="421"/>
      <c r="AC3830" s="421"/>
      <c r="AD3830" s="421"/>
      <c r="AE3830" s="421"/>
      <c r="AF3830" s="421"/>
      <c r="AG3830" s="421"/>
      <c r="AH3830" s="421"/>
      <c r="AI3830" s="421"/>
      <c r="AJ3830" s="421"/>
      <c r="AK3830" s="421"/>
      <c r="AL3830" s="421"/>
    </row>
    <row r="3831" spans="1:38" hidden="1">
      <c r="A3831" s="408"/>
      <c r="B3831" s="83" t="e">
        <f t="array" ref="B3831">SUM(--(FREQUENCY(IF(C$2:C$3072=C3831, MATCH(D$2:D$3072, D$2:D$3072, 0)), ROW(D$2:D$3072)-ROW(D$2)+1) &gt; 0))</f>
        <v>#N/A</v>
      </c>
      <c r="C3831" s="408"/>
      <c r="D3831" s="408"/>
      <c r="E3831" s="408"/>
      <c r="F3831" s="408"/>
      <c r="G3831" s="408"/>
      <c r="H3831" s="408"/>
      <c r="I3831" s="408"/>
      <c r="J3831" s="408"/>
      <c r="K3831" s="408"/>
      <c r="L3831" s="408"/>
      <c r="M3831" s="408"/>
      <c r="N3831" s="408" t="str">
        <f t="shared" si="486"/>
        <v/>
      </c>
      <c r="O3831" s="408"/>
      <c r="P3831" s="408"/>
      <c r="Q3831" s="408"/>
      <c r="R3831" s="408"/>
      <c r="S3831" s="408"/>
      <c r="T3831" s="408"/>
      <c r="U3831" s="408"/>
      <c r="V3831" s="421"/>
      <c r="W3831" s="421"/>
      <c r="X3831" s="421"/>
      <c r="Y3831" s="421"/>
      <c r="Z3831" s="421"/>
      <c r="AA3831" s="421"/>
      <c r="AB3831" s="421"/>
      <c r="AC3831" s="421"/>
      <c r="AD3831" s="421"/>
      <c r="AE3831" s="421"/>
      <c r="AF3831" s="421"/>
      <c r="AG3831" s="421"/>
      <c r="AH3831" s="421"/>
      <c r="AI3831" s="421"/>
      <c r="AJ3831" s="421"/>
      <c r="AK3831" s="421"/>
      <c r="AL3831" s="421"/>
    </row>
    <row r="3832" spans="1:38" hidden="1">
      <c r="A3832" s="408"/>
      <c r="B3832" s="83" t="e">
        <f t="array" ref="B3832">SUM(--(FREQUENCY(IF(C$2:C$3072=C3832, MATCH(D$2:D$3072, D$2:D$3072, 0)), ROW(D$2:D$3072)-ROW(D$2)+1) &gt; 0))</f>
        <v>#N/A</v>
      </c>
      <c r="C3832" s="408"/>
      <c r="D3832" s="408"/>
      <c r="E3832" s="408"/>
      <c r="F3832" s="408"/>
      <c r="G3832" s="408"/>
      <c r="H3832" s="408"/>
      <c r="I3832" s="408"/>
      <c r="J3832" s="408"/>
      <c r="K3832" s="408"/>
      <c r="L3832" s="408"/>
      <c r="M3832" s="408"/>
      <c r="N3832" s="408" t="str">
        <f t="shared" si="486"/>
        <v/>
      </c>
      <c r="O3832" s="408"/>
      <c r="P3832" s="408"/>
      <c r="Q3832" s="408"/>
      <c r="R3832" s="408"/>
      <c r="S3832" s="408"/>
      <c r="T3832" s="408"/>
      <c r="U3832" s="408"/>
      <c r="V3832" s="421"/>
      <c r="W3832" s="421"/>
      <c r="X3832" s="421"/>
      <c r="Y3832" s="421"/>
      <c r="Z3832" s="421"/>
      <c r="AA3832" s="421"/>
      <c r="AB3832" s="421"/>
      <c r="AC3832" s="421"/>
      <c r="AD3832" s="421"/>
      <c r="AE3832" s="421"/>
      <c r="AF3832" s="421"/>
      <c r="AG3832" s="421"/>
      <c r="AH3832" s="421"/>
      <c r="AI3832" s="421"/>
      <c r="AJ3832" s="421"/>
      <c r="AK3832" s="421"/>
      <c r="AL3832" s="421"/>
    </row>
    <row r="3833" spans="1:38" hidden="1">
      <c r="A3833" s="408"/>
      <c r="B3833" s="83" t="e">
        <f t="array" ref="B3833">SUM(--(FREQUENCY(IF(C$2:C$3072=C3833, MATCH(D$2:D$3072, D$2:D$3072, 0)), ROW(D$2:D$3072)-ROW(D$2)+1) &gt; 0))</f>
        <v>#N/A</v>
      </c>
      <c r="C3833" s="408"/>
      <c r="D3833" s="408"/>
      <c r="E3833" s="408"/>
      <c r="F3833" s="408"/>
      <c r="G3833" s="408"/>
      <c r="H3833" s="408"/>
      <c r="I3833" s="408"/>
      <c r="J3833" s="408"/>
      <c r="K3833" s="408"/>
      <c r="L3833" s="408"/>
      <c r="M3833" s="408"/>
      <c r="N3833" s="408" t="str">
        <f t="shared" si="486"/>
        <v/>
      </c>
      <c r="O3833" s="408"/>
      <c r="P3833" s="408"/>
      <c r="Q3833" s="408"/>
      <c r="R3833" s="408"/>
      <c r="S3833" s="408"/>
      <c r="T3833" s="408"/>
      <c r="U3833" s="408"/>
      <c r="V3833" s="421"/>
      <c r="W3833" s="421"/>
      <c r="X3833" s="421"/>
      <c r="Y3833" s="421"/>
      <c r="Z3833" s="421"/>
      <c r="AA3833" s="421"/>
      <c r="AB3833" s="421"/>
      <c r="AC3833" s="421"/>
      <c r="AD3833" s="421"/>
      <c r="AE3833" s="421"/>
      <c r="AF3833" s="421"/>
      <c r="AG3833" s="421"/>
      <c r="AH3833" s="421"/>
      <c r="AI3833" s="421"/>
      <c r="AJ3833" s="421"/>
      <c r="AK3833" s="421"/>
      <c r="AL3833" s="421"/>
    </row>
    <row r="3834" spans="1:38" hidden="1">
      <c r="A3834" s="408"/>
      <c r="B3834" s="83" t="e">
        <f t="array" ref="B3834">SUM(--(FREQUENCY(IF(C$2:C$3072=C3834, MATCH(D$2:D$3072, D$2:D$3072, 0)), ROW(D$2:D$3072)-ROW(D$2)+1) &gt; 0))</f>
        <v>#N/A</v>
      </c>
      <c r="C3834" s="408"/>
      <c r="D3834" s="408"/>
      <c r="E3834" s="408"/>
      <c r="F3834" s="408"/>
      <c r="G3834" s="408"/>
      <c r="H3834" s="408"/>
      <c r="I3834" s="408"/>
      <c r="J3834" s="408"/>
      <c r="K3834" s="408"/>
      <c r="L3834" s="408"/>
      <c r="M3834" s="408"/>
      <c r="N3834" s="408" t="str">
        <f t="shared" si="486"/>
        <v/>
      </c>
      <c r="O3834" s="408"/>
      <c r="P3834" s="408"/>
      <c r="Q3834" s="408"/>
      <c r="R3834" s="408"/>
      <c r="S3834" s="408"/>
      <c r="T3834" s="408"/>
      <c r="U3834" s="408"/>
      <c r="V3834" s="421"/>
      <c r="W3834" s="421"/>
      <c r="X3834" s="421"/>
      <c r="Y3834" s="421"/>
      <c r="Z3834" s="421"/>
      <c r="AA3834" s="421"/>
      <c r="AB3834" s="421"/>
      <c r="AC3834" s="421"/>
      <c r="AD3834" s="421"/>
      <c r="AE3834" s="421"/>
      <c r="AF3834" s="421"/>
      <c r="AG3834" s="421"/>
      <c r="AH3834" s="421"/>
      <c r="AI3834" s="421"/>
      <c r="AJ3834" s="421"/>
      <c r="AK3834" s="421"/>
      <c r="AL3834" s="421"/>
    </row>
    <row r="3835" spans="1:38" hidden="1">
      <c r="A3835" s="408"/>
      <c r="B3835" s="83" t="e">
        <f t="array" ref="B3835">SUM(--(FREQUENCY(IF(C$2:C$3072=C3835, MATCH(D$2:D$3072, D$2:D$3072, 0)), ROW(D$2:D$3072)-ROW(D$2)+1) &gt; 0))</f>
        <v>#N/A</v>
      </c>
      <c r="C3835" s="408"/>
      <c r="D3835" s="408"/>
      <c r="E3835" s="408"/>
      <c r="F3835" s="408"/>
      <c r="G3835" s="408"/>
      <c r="H3835" s="408"/>
      <c r="I3835" s="408"/>
      <c r="J3835" s="408"/>
      <c r="K3835" s="408"/>
      <c r="L3835" s="408"/>
      <c r="M3835" s="408"/>
      <c r="N3835" s="408" t="str">
        <f t="shared" si="486"/>
        <v/>
      </c>
      <c r="O3835" s="408"/>
      <c r="P3835" s="408"/>
      <c r="Q3835" s="408"/>
      <c r="R3835" s="408"/>
      <c r="S3835" s="408"/>
      <c r="T3835" s="408"/>
      <c r="U3835" s="408"/>
      <c r="V3835" s="421"/>
      <c r="W3835" s="421"/>
      <c r="X3835" s="421"/>
      <c r="Y3835" s="421"/>
      <c r="Z3835" s="421"/>
      <c r="AA3835" s="421"/>
      <c r="AB3835" s="421"/>
      <c r="AC3835" s="421"/>
      <c r="AD3835" s="421"/>
      <c r="AE3835" s="421"/>
      <c r="AF3835" s="421"/>
      <c r="AG3835" s="421"/>
      <c r="AH3835" s="421"/>
      <c r="AI3835" s="421"/>
      <c r="AJ3835" s="421"/>
      <c r="AK3835" s="421"/>
      <c r="AL3835" s="421"/>
    </row>
    <row r="3836" spans="1:38" hidden="1">
      <c r="A3836" s="408"/>
      <c r="B3836" s="83" t="e">
        <f t="array" ref="B3836">SUM(--(FREQUENCY(IF(C$2:C$3072=C3836, MATCH(D$2:D$3072, D$2:D$3072, 0)), ROW(D$2:D$3072)-ROW(D$2)+1) &gt; 0))</f>
        <v>#N/A</v>
      </c>
      <c r="C3836" s="408"/>
      <c r="D3836" s="408"/>
      <c r="E3836" s="408"/>
      <c r="F3836" s="408"/>
      <c r="G3836" s="408"/>
      <c r="H3836" s="408"/>
      <c r="I3836" s="408"/>
      <c r="J3836" s="408"/>
      <c r="K3836" s="408"/>
      <c r="L3836" s="408"/>
      <c r="M3836" s="408"/>
      <c r="N3836" s="408" t="str">
        <f t="shared" si="486"/>
        <v/>
      </c>
      <c r="O3836" s="408"/>
      <c r="P3836" s="408"/>
      <c r="Q3836" s="408"/>
      <c r="R3836" s="408"/>
      <c r="S3836" s="408"/>
      <c r="T3836" s="408"/>
      <c r="U3836" s="408"/>
      <c r="V3836" s="421"/>
      <c r="W3836" s="421"/>
      <c r="X3836" s="421"/>
      <c r="Y3836" s="421"/>
      <c r="Z3836" s="421"/>
      <c r="AA3836" s="421"/>
      <c r="AB3836" s="421"/>
      <c r="AC3836" s="421"/>
      <c r="AD3836" s="421"/>
      <c r="AE3836" s="421"/>
      <c r="AF3836" s="421"/>
      <c r="AG3836" s="421"/>
      <c r="AH3836" s="421"/>
      <c r="AI3836" s="421"/>
      <c r="AJ3836" s="421"/>
      <c r="AK3836" s="421"/>
      <c r="AL3836" s="421"/>
    </row>
    <row r="3837" spans="1:38" hidden="1">
      <c r="A3837" s="408"/>
      <c r="B3837" s="83" t="e">
        <f t="array" ref="B3837">SUM(--(FREQUENCY(IF(C$2:C$3072=C3837, MATCH(D$2:D$3072, D$2:D$3072, 0)), ROW(D$2:D$3072)-ROW(D$2)+1) &gt; 0))</f>
        <v>#N/A</v>
      </c>
      <c r="C3837" s="408"/>
      <c r="D3837" s="408"/>
      <c r="E3837" s="408"/>
      <c r="F3837" s="408"/>
      <c r="G3837" s="408"/>
      <c r="H3837" s="408"/>
      <c r="I3837" s="408"/>
      <c r="J3837" s="408"/>
      <c r="K3837" s="408"/>
      <c r="L3837" s="408"/>
      <c r="M3837" s="408"/>
      <c r="N3837" s="408" t="str">
        <f t="shared" si="486"/>
        <v/>
      </c>
      <c r="O3837" s="408"/>
      <c r="P3837" s="408"/>
      <c r="Q3837" s="408"/>
      <c r="R3837" s="408"/>
      <c r="S3837" s="408"/>
      <c r="T3837" s="408"/>
      <c r="U3837" s="408"/>
      <c r="V3837" s="421"/>
      <c r="W3837" s="421"/>
      <c r="X3837" s="421"/>
      <c r="Y3837" s="421"/>
      <c r="Z3837" s="421"/>
      <c r="AA3837" s="421"/>
      <c r="AB3837" s="421"/>
      <c r="AC3837" s="421"/>
      <c r="AD3837" s="421"/>
      <c r="AE3837" s="421"/>
      <c r="AF3837" s="421"/>
      <c r="AG3837" s="421"/>
      <c r="AH3837" s="421"/>
      <c r="AI3837" s="421"/>
      <c r="AJ3837" s="421"/>
      <c r="AK3837" s="421"/>
      <c r="AL3837" s="421"/>
    </row>
    <row r="3838" spans="1:38" hidden="1">
      <c r="A3838" s="408"/>
      <c r="B3838" s="83" t="e">
        <f t="array" ref="B3838">SUM(--(FREQUENCY(IF(C$2:C$3072=C3838, MATCH(D$2:D$3072, D$2:D$3072, 0)), ROW(D$2:D$3072)-ROW(D$2)+1) &gt; 0))</f>
        <v>#N/A</v>
      </c>
      <c r="C3838" s="408"/>
      <c r="D3838" s="408"/>
      <c r="E3838" s="408"/>
      <c r="F3838" s="408"/>
      <c r="G3838" s="408"/>
      <c r="H3838" s="408"/>
      <c r="I3838" s="408"/>
      <c r="J3838" s="408"/>
      <c r="K3838" s="408"/>
      <c r="L3838" s="408"/>
      <c r="M3838" s="408"/>
      <c r="N3838" s="408" t="str">
        <f t="shared" si="486"/>
        <v/>
      </c>
      <c r="O3838" s="408"/>
      <c r="P3838" s="408"/>
      <c r="Q3838" s="408"/>
      <c r="R3838" s="408"/>
      <c r="S3838" s="408"/>
      <c r="T3838" s="408"/>
      <c r="U3838" s="408"/>
      <c r="V3838" s="421"/>
      <c r="W3838" s="421"/>
      <c r="X3838" s="421"/>
      <c r="Y3838" s="421"/>
      <c r="Z3838" s="421"/>
      <c r="AA3838" s="421"/>
      <c r="AB3838" s="421"/>
      <c r="AC3838" s="421"/>
      <c r="AD3838" s="421"/>
      <c r="AE3838" s="421"/>
      <c r="AF3838" s="421"/>
      <c r="AG3838" s="421"/>
      <c r="AH3838" s="421"/>
      <c r="AI3838" s="421"/>
      <c r="AJ3838" s="421"/>
      <c r="AK3838" s="421"/>
      <c r="AL3838" s="421"/>
    </row>
    <row r="3839" spans="1:38" hidden="1">
      <c r="A3839" s="408"/>
      <c r="B3839" s="83" t="e">
        <f t="array" ref="B3839">SUM(--(FREQUENCY(IF(C$2:C$3072=C3839, MATCH(D$2:D$3072, D$2:D$3072, 0)), ROW(D$2:D$3072)-ROW(D$2)+1) &gt; 0))</f>
        <v>#N/A</v>
      </c>
      <c r="C3839" s="408"/>
      <c r="D3839" s="408"/>
      <c r="E3839" s="408"/>
      <c r="F3839" s="408"/>
      <c r="G3839" s="408"/>
      <c r="H3839" s="408"/>
      <c r="I3839" s="408"/>
      <c r="J3839" s="408"/>
      <c r="K3839" s="408"/>
      <c r="L3839" s="408"/>
      <c r="M3839" s="408"/>
      <c r="N3839" s="408" t="str">
        <f t="shared" si="486"/>
        <v/>
      </c>
      <c r="O3839" s="408"/>
      <c r="P3839" s="408"/>
      <c r="Q3839" s="408"/>
      <c r="R3839" s="408"/>
      <c r="S3839" s="408"/>
      <c r="T3839" s="408"/>
      <c r="U3839" s="408"/>
      <c r="V3839" s="421"/>
      <c r="W3839" s="421"/>
      <c r="X3839" s="421"/>
      <c r="Y3839" s="421"/>
      <c r="Z3839" s="421"/>
      <c r="AA3839" s="421"/>
      <c r="AB3839" s="421"/>
      <c r="AC3839" s="421"/>
      <c r="AD3839" s="421"/>
      <c r="AE3839" s="421"/>
      <c r="AF3839" s="421"/>
      <c r="AG3839" s="421"/>
      <c r="AH3839" s="421"/>
      <c r="AI3839" s="421"/>
      <c r="AJ3839" s="421"/>
      <c r="AK3839" s="421"/>
      <c r="AL3839" s="421"/>
    </row>
    <row r="3840" spans="1:38" hidden="1">
      <c r="A3840" s="408"/>
      <c r="B3840" s="83" t="e">
        <f t="array" ref="B3840">SUM(--(FREQUENCY(IF(C$2:C$3072=C3840, MATCH(D$2:D$3072, D$2:D$3072, 0)), ROW(D$2:D$3072)-ROW(D$2)+1) &gt; 0))</f>
        <v>#N/A</v>
      </c>
      <c r="C3840" s="408"/>
      <c r="D3840" s="408"/>
      <c r="E3840" s="408"/>
      <c r="F3840" s="408"/>
      <c r="G3840" s="408"/>
      <c r="H3840" s="408"/>
      <c r="I3840" s="408"/>
      <c r="J3840" s="408"/>
      <c r="K3840" s="408"/>
      <c r="L3840" s="408"/>
      <c r="M3840" s="408"/>
      <c r="N3840" s="408" t="str">
        <f t="shared" ref="N3840:N3903" si="487">IF(O3840&lt;&gt;"", "NG", "")</f>
        <v/>
      </c>
      <c r="O3840" s="408"/>
      <c r="P3840" s="408"/>
      <c r="Q3840" s="408"/>
      <c r="R3840" s="408"/>
      <c r="S3840" s="408"/>
      <c r="T3840" s="408"/>
      <c r="U3840" s="408"/>
      <c r="V3840" s="421"/>
      <c r="W3840" s="421"/>
      <c r="X3840" s="421"/>
      <c r="Y3840" s="421"/>
      <c r="Z3840" s="421"/>
      <c r="AA3840" s="421"/>
      <c r="AB3840" s="421"/>
      <c r="AC3840" s="421"/>
      <c r="AD3840" s="421"/>
      <c r="AE3840" s="421"/>
      <c r="AF3840" s="421"/>
      <c r="AG3840" s="421"/>
      <c r="AH3840" s="421"/>
      <c r="AI3840" s="421"/>
      <c r="AJ3840" s="421"/>
      <c r="AK3840" s="421"/>
      <c r="AL3840" s="421"/>
    </row>
    <row r="3841" spans="1:38" hidden="1">
      <c r="A3841" s="408"/>
      <c r="B3841" s="83" t="e">
        <f t="array" ref="B3841">SUM(--(FREQUENCY(IF(C$2:C$3072=C3841, MATCH(D$2:D$3072, D$2:D$3072, 0)), ROW(D$2:D$3072)-ROW(D$2)+1) &gt; 0))</f>
        <v>#N/A</v>
      </c>
      <c r="C3841" s="408"/>
      <c r="D3841" s="408"/>
      <c r="E3841" s="408"/>
      <c r="F3841" s="408"/>
      <c r="G3841" s="408"/>
      <c r="H3841" s="408"/>
      <c r="I3841" s="408"/>
      <c r="J3841" s="408"/>
      <c r="K3841" s="408"/>
      <c r="L3841" s="408"/>
      <c r="M3841" s="408"/>
      <c r="N3841" s="408" t="str">
        <f t="shared" si="487"/>
        <v/>
      </c>
      <c r="O3841" s="408"/>
      <c r="P3841" s="408"/>
      <c r="Q3841" s="408"/>
      <c r="R3841" s="408"/>
      <c r="S3841" s="408"/>
      <c r="T3841" s="408"/>
      <c r="U3841" s="408"/>
      <c r="V3841" s="421"/>
      <c r="W3841" s="421"/>
      <c r="X3841" s="421"/>
      <c r="Y3841" s="421"/>
      <c r="Z3841" s="421"/>
      <c r="AA3841" s="421"/>
      <c r="AB3841" s="421"/>
      <c r="AC3841" s="421"/>
      <c r="AD3841" s="421"/>
      <c r="AE3841" s="421"/>
      <c r="AF3841" s="421"/>
      <c r="AG3841" s="421"/>
      <c r="AH3841" s="421"/>
      <c r="AI3841" s="421"/>
      <c r="AJ3841" s="421"/>
      <c r="AK3841" s="421"/>
      <c r="AL3841" s="421"/>
    </row>
    <row r="3842" spans="1:38" hidden="1">
      <c r="A3842" s="408"/>
      <c r="B3842" s="83" t="e">
        <f t="array" ref="B3842">SUM(--(FREQUENCY(IF(C$2:C$3072=C3842, MATCH(D$2:D$3072, D$2:D$3072, 0)), ROW(D$2:D$3072)-ROW(D$2)+1) &gt; 0))</f>
        <v>#N/A</v>
      </c>
      <c r="C3842" s="408"/>
      <c r="D3842" s="408"/>
      <c r="E3842" s="408"/>
      <c r="F3842" s="408"/>
      <c r="G3842" s="408"/>
      <c r="H3842" s="408"/>
      <c r="I3842" s="408"/>
      <c r="J3842" s="408"/>
      <c r="K3842" s="408"/>
      <c r="L3842" s="408"/>
      <c r="M3842" s="408"/>
      <c r="N3842" s="408" t="str">
        <f t="shared" si="487"/>
        <v/>
      </c>
      <c r="O3842" s="408"/>
      <c r="P3842" s="408"/>
      <c r="Q3842" s="408"/>
      <c r="R3842" s="408"/>
      <c r="S3842" s="408"/>
      <c r="T3842" s="408"/>
      <c r="U3842" s="408"/>
      <c r="V3842" s="421"/>
      <c r="W3842" s="421"/>
      <c r="X3842" s="421"/>
      <c r="Y3842" s="421"/>
      <c r="Z3842" s="421"/>
      <c r="AA3842" s="421"/>
      <c r="AB3842" s="421"/>
      <c r="AC3842" s="421"/>
      <c r="AD3842" s="421"/>
      <c r="AE3842" s="421"/>
      <c r="AF3842" s="421"/>
      <c r="AG3842" s="421"/>
      <c r="AH3842" s="421"/>
      <c r="AI3842" s="421"/>
      <c r="AJ3842" s="421"/>
      <c r="AK3842" s="421"/>
      <c r="AL3842" s="421"/>
    </row>
    <row r="3843" spans="1:38" hidden="1">
      <c r="A3843" s="408"/>
      <c r="B3843" s="83" t="e">
        <f t="array" ref="B3843">SUM(--(FREQUENCY(IF(C$2:C$3072=C3843, MATCH(D$2:D$3072, D$2:D$3072, 0)), ROW(D$2:D$3072)-ROW(D$2)+1) &gt; 0))</f>
        <v>#N/A</v>
      </c>
      <c r="C3843" s="408"/>
      <c r="D3843" s="408"/>
      <c r="E3843" s="408"/>
      <c r="F3843" s="408"/>
      <c r="G3843" s="408"/>
      <c r="H3843" s="408"/>
      <c r="I3843" s="408"/>
      <c r="J3843" s="408"/>
      <c r="K3843" s="408"/>
      <c r="L3843" s="408"/>
      <c r="M3843" s="408"/>
      <c r="N3843" s="408" t="str">
        <f t="shared" si="487"/>
        <v/>
      </c>
      <c r="O3843" s="408"/>
      <c r="P3843" s="408"/>
      <c r="Q3843" s="408"/>
      <c r="R3843" s="408"/>
      <c r="S3843" s="408"/>
      <c r="T3843" s="408"/>
      <c r="U3843" s="408"/>
      <c r="V3843" s="421"/>
      <c r="W3843" s="421"/>
      <c r="X3843" s="421"/>
      <c r="Y3843" s="421"/>
      <c r="Z3843" s="421"/>
      <c r="AA3843" s="421"/>
      <c r="AB3843" s="421"/>
      <c r="AC3843" s="421"/>
      <c r="AD3843" s="421"/>
      <c r="AE3843" s="421"/>
      <c r="AF3843" s="421"/>
      <c r="AG3843" s="421"/>
      <c r="AH3843" s="421"/>
      <c r="AI3843" s="421"/>
      <c r="AJ3843" s="421"/>
      <c r="AK3843" s="421"/>
      <c r="AL3843" s="421"/>
    </row>
    <row r="3844" spans="1:38" hidden="1">
      <c r="A3844" s="408"/>
      <c r="B3844" s="83" t="e">
        <f t="array" ref="B3844">SUM(--(FREQUENCY(IF(C$2:C$3072=C3844, MATCH(D$2:D$3072, D$2:D$3072, 0)), ROW(D$2:D$3072)-ROW(D$2)+1) &gt; 0))</f>
        <v>#N/A</v>
      </c>
      <c r="C3844" s="408"/>
      <c r="D3844" s="408"/>
      <c r="E3844" s="408"/>
      <c r="F3844" s="408"/>
      <c r="G3844" s="408"/>
      <c r="H3844" s="408"/>
      <c r="I3844" s="408"/>
      <c r="J3844" s="408"/>
      <c r="K3844" s="408"/>
      <c r="L3844" s="408"/>
      <c r="M3844" s="408"/>
      <c r="N3844" s="408" t="str">
        <f t="shared" si="487"/>
        <v/>
      </c>
      <c r="O3844" s="408"/>
      <c r="P3844" s="408"/>
      <c r="Q3844" s="408"/>
      <c r="R3844" s="408"/>
      <c r="S3844" s="408"/>
      <c r="T3844" s="408"/>
      <c r="U3844" s="408"/>
      <c r="V3844" s="421"/>
      <c r="W3844" s="421"/>
      <c r="X3844" s="421"/>
      <c r="Y3844" s="421"/>
      <c r="Z3844" s="421"/>
      <c r="AA3844" s="421"/>
      <c r="AB3844" s="421"/>
      <c r="AC3844" s="421"/>
      <c r="AD3844" s="421"/>
      <c r="AE3844" s="421"/>
      <c r="AF3844" s="421"/>
      <c r="AG3844" s="421"/>
      <c r="AH3844" s="421"/>
      <c r="AI3844" s="421"/>
      <c r="AJ3844" s="421"/>
      <c r="AK3844" s="421"/>
      <c r="AL3844" s="421"/>
    </row>
    <row r="3845" spans="1:38" hidden="1">
      <c r="A3845" s="408"/>
      <c r="B3845" s="83" t="e">
        <f t="array" ref="B3845">SUM(--(FREQUENCY(IF(C$2:C$3072=C3845, MATCH(D$2:D$3072, D$2:D$3072, 0)), ROW(D$2:D$3072)-ROW(D$2)+1) &gt; 0))</f>
        <v>#N/A</v>
      </c>
      <c r="C3845" s="408"/>
      <c r="D3845" s="408"/>
      <c r="E3845" s="408"/>
      <c r="F3845" s="408"/>
      <c r="G3845" s="408"/>
      <c r="H3845" s="408"/>
      <c r="I3845" s="408"/>
      <c r="J3845" s="408"/>
      <c r="K3845" s="408"/>
      <c r="L3845" s="408"/>
      <c r="M3845" s="408"/>
      <c r="N3845" s="408" t="str">
        <f t="shared" si="487"/>
        <v/>
      </c>
      <c r="O3845" s="408"/>
      <c r="P3845" s="408"/>
      <c r="Q3845" s="408"/>
      <c r="R3845" s="408"/>
      <c r="S3845" s="408"/>
      <c r="T3845" s="408"/>
      <c r="U3845" s="408"/>
      <c r="V3845" s="421"/>
      <c r="W3845" s="421"/>
      <c r="X3845" s="421"/>
      <c r="Y3845" s="421"/>
      <c r="Z3845" s="421"/>
      <c r="AA3845" s="421"/>
      <c r="AB3845" s="421"/>
      <c r="AC3845" s="421"/>
      <c r="AD3845" s="421"/>
      <c r="AE3845" s="421"/>
      <c r="AF3845" s="421"/>
      <c r="AG3845" s="421"/>
      <c r="AH3845" s="421"/>
      <c r="AI3845" s="421"/>
      <c r="AJ3845" s="421"/>
      <c r="AK3845" s="421"/>
      <c r="AL3845" s="421"/>
    </row>
    <row r="3846" spans="1:38" hidden="1">
      <c r="A3846" s="408"/>
      <c r="B3846" s="83" t="e">
        <f t="array" ref="B3846">SUM(--(FREQUENCY(IF(C$2:C$3072=C3846, MATCH(D$2:D$3072, D$2:D$3072, 0)), ROW(D$2:D$3072)-ROW(D$2)+1) &gt; 0))</f>
        <v>#N/A</v>
      </c>
      <c r="C3846" s="408"/>
      <c r="D3846" s="408"/>
      <c r="E3846" s="408"/>
      <c r="F3846" s="408"/>
      <c r="G3846" s="408"/>
      <c r="H3846" s="408"/>
      <c r="I3846" s="408"/>
      <c r="J3846" s="408"/>
      <c r="K3846" s="408"/>
      <c r="L3846" s="408"/>
      <c r="M3846" s="408"/>
      <c r="N3846" s="408" t="str">
        <f t="shared" si="487"/>
        <v/>
      </c>
      <c r="O3846" s="408"/>
      <c r="P3846" s="408"/>
      <c r="Q3846" s="408"/>
      <c r="R3846" s="408"/>
      <c r="S3846" s="408"/>
      <c r="T3846" s="408"/>
      <c r="U3846" s="408"/>
      <c r="V3846" s="421"/>
      <c r="W3846" s="421"/>
      <c r="X3846" s="421"/>
      <c r="Y3846" s="421"/>
      <c r="Z3846" s="421"/>
      <c r="AA3846" s="421"/>
      <c r="AB3846" s="421"/>
      <c r="AC3846" s="421"/>
      <c r="AD3846" s="421"/>
      <c r="AE3846" s="421"/>
      <c r="AF3846" s="421"/>
      <c r="AG3846" s="421"/>
      <c r="AH3846" s="421"/>
      <c r="AI3846" s="421"/>
      <c r="AJ3846" s="421"/>
      <c r="AK3846" s="421"/>
      <c r="AL3846" s="421"/>
    </row>
    <row r="3847" spans="1:38" hidden="1">
      <c r="A3847" s="408"/>
      <c r="B3847" s="83" t="e">
        <f t="array" ref="B3847">SUM(--(FREQUENCY(IF(C$2:C$3072=C3847, MATCH(D$2:D$3072, D$2:D$3072, 0)), ROW(D$2:D$3072)-ROW(D$2)+1) &gt; 0))</f>
        <v>#N/A</v>
      </c>
      <c r="C3847" s="408"/>
      <c r="D3847" s="408"/>
      <c r="E3847" s="408"/>
      <c r="F3847" s="408"/>
      <c r="G3847" s="408"/>
      <c r="H3847" s="408"/>
      <c r="I3847" s="408"/>
      <c r="J3847" s="408"/>
      <c r="K3847" s="408"/>
      <c r="L3847" s="408"/>
      <c r="M3847" s="408"/>
      <c r="N3847" s="408" t="str">
        <f t="shared" si="487"/>
        <v/>
      </c>
      <c r="O3847" s="408"/>
      <c r="P3847" s="408"/>
      <c r="Q3847" s="408"/>
      <c r="R3847" s="408"/>
      <c r="S3847" s="408"/>
      <c r="T3847" s="408"/>
      <c r="U3847" s="408"/>
      <c r="V3847" s="421"/>
      <c r="W3847" s="421"/>
      <c r="X3847" s="421"/>
      <c r="Y3847" s="421"/>
      <c r="Z3847" s="421"/>
      <c r="AA3847" s="421"/>
      <c r="AB3847" s="421"/>
      <c r="AC3847" s="421"/>
      <c r="AD3847" s="421"/>
      <c r="AE3847" s="421"/>
      <c r="AF3847" s="421"/>
      <c r="AG3847" s="421"/>
      <c r="AH3847" s="421"/>
      <c r="AI3847" s="421"/>
      <c r="AJ3847" s="421"/>
      <c r="AK3847" s="421"/>
      <c r="AL3847" s="421"/>
    </row>
    <row r="3848" spans="1:38" hidden="1">
      <c r="A3848" s="408"/>
      <c r="B3848" s="83" t="e">
        <f t="array" ref="B3848">SUM(--(FREQUENCY(IF(C$2:C$3072=C3848, MATCH(D$2:D$3072, D$2:D$3072, 0)), ROW(D$2:D$3072)-ROW(D$2)+1) &gt; 0))</f>
        <v>#N/A</v>
      </c>
      <c r="C3848" s="408"/>
      <c r="D3848" s="408"/>
      <c r="E3848" s="408"/>
      <c r="F3848" s="408"/>
      <c r="G3848" s="408"/>
      <c r="H3848" s="408"/>
      <c r="I3848" s="408"/>
      <c r="J3848" s="408"/>
      <c r="K3848" s="408"/>
      <c r="L3848" s="408"/>
      <c r="M3848" s="408"/>
      <c r="N3848" s="408" t="str">
        <f t="shared" si="487"/>
        <v/>
      </c>
      <c r="O3848" s="408"/>
      <c r="P3848" s="408"/>
      <c r="Q3848" s="408"/>
      <c r="R3848" s="408"/>
      <c r="S3848" s="408"/>
      <c r="T3848" s="408"/>
      <c r="U3848" s="408"/>
      <c r="V3848" s="421"/>
      <c r="W3848" s="421"/>
      <c r="X3848" s="421"/>
      <c r="Y3848" s="421"/>
      <c r="Z3848" s="421"/>
      <c r="AA3848" s="421"/>
      <c r="AB3848" s="421"/>
      <c r="AC3848" s="421"/>
      <c r="AD3848" s="421"/>
      <c r="AE3848" s="421"/>
      <c r="AF3848" s="421"/>
      <c r="AG3848" s="421"/>
      <c r="AH3848" s="421"/>
      <c r="AI3848" s="421"/>
      <c r="AJ3848" s="421"/>
      <c r="AK3848" s="421"/>
      <c r="AL3848" s="421"/>
    </row>
    <row r="3849" spans="1:38" hidden="1">
      <c r="A3849" s="408"/>
      <c r="B3849" s="83" t="e">
        <f t="array" ref="B3849">SUM(--(FREQUENCY(IF(C$2:C$3072=C3849, MATCH(D$2:D$3072, D$2:D$3072, 0)), ROW(D$2:D$3072)-ROW(D$2)+1) &gt; 0))</f>
        <v>#N/A</v>
      </c>
      <c r="C3849" s="408"/>
      <c r="D3849" s="408"/>
      <c r="E3849" s="408"/>
      <c r="F3849" s="408"/>
      <c r="G3849" s="408"/>
      <c r="H3849" s="408"/>
      <c r="I3849" s="408"/>
      <c r="J3849" s="408"/>
      <c r="K3849" s="408"/>
      <c r="L3849" s="408"/>
      <c r="M3849" s="408"/>
      <c r="N3849" s="408" t="str">
        <f t="shared" si="487"/>
        <v/>
      </c>
      <c r="O3849" s="408"/>
      <c r="P3849" s="408"/>
      <c r="Q3849" s="408"/>
      <c r="R3849" s="408"/>
      <c r="S3849" s="408"/>
      <c r="T3849" s="408"/>
      <c r="U3849" s="408"/>
      <c r="V3849" s="421"/>
      <c r="W3849" s="421"/>
      <c r="X3849" s="421"/>
      <c r="Y3849" s="421"/>
      <c r="Z3849" s="421"/>
      <c r="AA3849" s="421"/>
      <c r="AB3849" s="421"/>
      <c r="AC3849" s="421"/>
      <c r="AD3849" s="421"/>
      <c r="AE3849" s="421"/>
      <c r="AF3849" s="421"/>
      <c r="AG3849" s="421"/>
      <c r="AH3849" s="421"/>
      <c r="AI3849" s="421"/>
      <c r="AJ3849" s="421"/>
      <c r="AK3849" s="421"/>
      <c r="AL3849" s="421"/>
    </row>
    <row r="3850" spans="1:38" hidden="1">
      <c r="A3850" s="408"/>
      <c r="B3850" s="83" t="e">
        <f t="array" ref="B3850">SUM(--(FREQUENCY(IF(C$2:C$3072=C3850, MATCH(D$2:D$3072, D$2:D$3072, 0)), ROW(D$2:D$3072)-ROW(D$2)+1) &gt; 0))</f>
        <v>#N/A</v>
      </c>
      <c r="C3850" s="408"/>
      <c r="D3850" s="408"/>
      <c r="E3850" s="408"/>
      <c r="F3850" s="408"/>
      <c r="G3850" s="408"/>
      <c r="H3850" s="408"/>
      <c r="I3850" s="408"/>
      <c r="J3850" s="408"/>
      <c r="K3850" s="408"/>
      <c r="L3850" s="408"/>
      <c r="M3850" s="408"/>
      <c r="N3850" s="408" t="str">
        <f t="shared" si="487"/>
        <v/>
      </c>
      <c r="O3850" s="408"/>
      <c r="P3850" s="408"/>
      <c r="Q3850" s="408"/>
      <c r="R3850" s="408"/>
      <c r="S3850" s="408"/>
      <c r="T3850" s="408"/>
      <c r="U3850" s="408"/>
      <c r="V3850" s="421"/>
      <c r="W3850" s="421"/>
      <c r="X3850" s="421"/>
      <c r="Y3850" s="421"/>
      <c r="Z3850" s="421"/>
      <c r="AA3850" s="421"/>
      <c r="AB3850" s="421"/>
      <c r="AC3850" s="421"/>
      <c r="AD3850" s="421"/>
      <c r="AE3850" s="421"/>
      <c r="AF3850" s="421"/>
      <c r="AG3850" s="421"/>
      <c r="AH3850" s="421"/>
      <c r="AI3850" s="421"/>
      <c r="AJ3850" s="421"/>
      <c r="AK3850" s="421"/>
      <c r="AL3850" s="421"/>
    </row>
    <row r="3851" spans="1:38" hidden="1">
      <c r="A3851" s="408"/>
      <c r="B3851" s="83" t="e">
        <f t="array" ref="B3851">SUM(--(FREQUENCY(IF(C$2:C$3072=C3851, MATCH(D$2:D$3072, D$2:D$3072, 0)), ROW(D$2:D$3072)-ROW(D$2)+1) &gt; 0))</f>
        <v>#N/A</v>
      </c>
      <c r="C3851" s="408"/>
      <c r="D3851" s="408"/>
      <c r="E3851" s="408"/>
      <c r="F3851" s="408"/>
      <c r="G3851" s="408"/>
      <c r="H3851" s="408"/>
      <c r="I3851" s="408"/>
      <c r="J3851" s="408"/>
      <c r="K3851" s="408"/>
      <c r="L3851" s="408"/>
      <c r="M3851" s="408"/>
      <c r="N3851" s="408" t="str">
        <f t="shared" si="487"/>
        <v/>
      </c>
      <c r="O3851" s="408"/>
      <c r="P3851" s="408"/>
      <c r="Q3851" s="408"/>
      <c r="R3851" s="408"/>
      <c r="S3851" s="408"/>
      <c r="T3851" s="408"/>
      <c r="U3851" s="408"/>
      <c r="V3851" s="421"/>
      <c r="W3851" s="421"/>
      <c r="X3851" s="421"/>
      <c r="Y3851" s="421"/>
      <c r="Z3851" s="421"/>
      <c r="AA3851" s="421"/>
      <c r="AB3851" s="421"/>
      <c r="AC3851" s="421"/>
      <c r="AD3851" s="421"/>
      <c r="AE3851" s="421"/>
      <c r="AF3851" s="421"/>
      <c r="AG3851" s="421"/>
      <c r="AH3851" s="421"/>
      <c r="AI3851" s="421"/>
      <c r="AJ3851" s="421"/>
      <c r="AK3851" s="421"/>
      <c r="AL3851" s="421"/>
    </row>
    <row r="3852" spans="1:38" hidden="1">
      <c r="A3852" s="408"/>
      <c r="B3852" s="83" t="e">
        <f t="array" ref="B3852">SUM(--(FREQUENCY(IF(C$2:C$3072=C3852, MATCH(D$2:D$3072, D$2:D$3072, 0)), ROW(D$2:D$3072)-ROW(D$2)+1) &gt; 0))</f>
        <v>#N/A</v>
      </c>
      <c r="C3852" s="408"/>
      <c r="D3852" s="408"/>
      <c r="E3852" s="408"/>
      <c r="F3852" s="408"/>
      <c r="G3852" s="408"/>
      <c r="H3852" s="408"/>
      <c r="I3852" s="408"/>
      <c r="J3852" s="408"/>
      <c r="K3852" s="408"/>
      <c r="L3852" s="408"/>
      <c r="M3852" s="408"/>
      <c r="N3852" s="408" t="str">
        <f t="shared" si="487"/>
        <v/>
      </c>
      <c r="O3852" s="408"/>
      <c r="P3852" s="408"/>
      <c r="Q3852" s="408"/>
      <c r="R3852" s="408"/>
      <c r="S3852" s="408"/>
      <c r="T3852" s="408"/>
      <c r="U3852" s="408"/>
      <c r="V3852" s="421"/>
      <c r="W3852" s="421"/>
      <c r="X3852" s="421"/>
      <c r="Y3852" s="421"/>
      <c r="Z3852" s="421"/>
      <c r="AA3852" s="421"/>
      <c r="AB3852" s="421"/>
      <c r="AC3852" s="421"/>
      <c r="AD3852" s="421"/>
      <c r="AE3852" s="421"/>
      <c r="AF3852" s="421"/>
      <c r="AG3852" s="421"/>
      <c r="AH3852" s="421"/>
      <c r="AI3852" s="421"/>
      <c r="AJ3852" s="421"/>
      <c r="AK3852" s="421"/>
      <c r="AL3852" s="421"/>
    </row>
    <row r="3853" spans="1:38" hidden="1">
      <c r="A3853" s="408"/>
      <c r="B3853" s="83" t="e">
        <f t="array" ref="B3853">SUM(--(FREQUENCY(IF(C$2:C$3072=C3853, MATCH(D$2:D$3072, D$2:D$3072, 0)), ROW(D$2:D$3072)-ROW(D$2)+1) &gt; 0))</f>
        <v>#N/A</v>
      </c>
      <c r="C3853" s="408"/>
      <c r="D3853" s="408"/>
      <c r="E3853" s="408"/>
      <c r="F3853" s="408"/>
      <c r="G3853" s="408"/>
      <c r="H3853" s="408"/>
      <c r="I3853" s="408"/>
      <c r="J3853" s="408"/>
      <c r="K3853" s="408"/>
      <c r="L3853" s="408"/>
      <c r="M3853" s="408"/>
      <c r="N3853" s="408" t="str">
        <f t="shared" si="487"/>
        <v/>
      </c>
      <c r="O3853" s="408"/>
      <c r="P3853" s="408"/>
      <c r="Q3853" s="408"/>
      <c r="R3853" s="408"/>
      <c r="S3853" s="408"/>
      <c r="T3853" s="408"/>
      <c r="U3853" s="408"/>
      <c r="V3853" s="421"/>
      <c r="W3853" s="421"/>
      <c r="X3853" s="421"/>
      <c r="Y3853" s="421"/>
      <c r="Z3853" s="421"/>
      <c r="AA3853" s="421"/>
      <c r="AB3853" s="421"/>
      <c r="AC3853" s="421"/>
      <c r="AD3853" s="421"/>
      <c r="AE3853" s="421"/>
      <c r="AF3853" s="421"/>
      <c r="AG3853" s="421"/>
      <c r="AH3853" s="421"/>
      <c r="AI3853" s="421"/>
      <c r="AJ3853" s="421"/>
      <c r="AK3853" s="421"/>
      <c r="AL3853" s="421"/>
    </row>
    <row r="3854" spans="1:38" hidden="1">
      <c r="A3854" s="408"/>
      <c r="B3854" s="83" t="e">
        <f t="array" ref="B3854">SUM(--(FREQUENCY(IF(C$2:C$3072=C3854, MATCH(D$2:D$3072, D$2:D$3072, 0)), ROW(D$2:D$3072)-ROW(D$2)+1) &gt; 0))</f>
        <v>#N/A</v>
      </c>
      <c r="C3854" s="408"/>
      <c r="D3854" s="408"/>
      <c r="E3854" s="408"/>
      <c r="F3854" s="408"/>
      <c r="G3854" s="408"/>
      <c r="H3854" s="408"/>
      <c r="I3854" s="408"/>
      <c r="J3854" s="408"/>
      <c r="K3854" s="408"/>
      <c r="L3854" s="408"/>
      <c r="M3854" s="408"/>
      <c r="N3854" s="408" t="str">
        <f t="shared" si="487"/>
        <v/>
      </c>
      <c r="O3854" s="408"/>
      <c r="P3854" s="408"/>
      <c r="Q3854" s="408"/>
      <c r="R3854" s="408"/>
      <c r="S3854" s="408"/>
      <c r="T3854" s="408"/>
      <c r="U3854" s="408"/>
      <c r="V3854" s="421"/>
      <c r="W3854" s="421"/>
      <c r="X3854" s="421"/>
      <c r="Y3854" s="421"/>
      <c r="Z3854" s="421"/>
      <c r="AA3854" s="421"/>
      <c r="AB3854" s="421"/>
      <c r="AC3854" s="421"/>
      <c r="AD3854" s="421"/>
      <c r="AE3854" s="421"/>
      <c r="AF3854" s="421"/>
      <c r="AG3854" s="421"/>
      <c r="AH3854" s="421"/>
      <c r="AI3854" s="421"/>
      <c r="AJ3854" s="421"/>
      <c r="AK3854" s="421"/>
      <c r="AL3854" s="421"/>
    </row>
    <row r="3855" spans="1:38" hidden="1">
      <c r="A3855" s="408"/>
      <c r="B3855" s="83" t="e">
        <f t="array" ref="B3855">SUM(--(FREQUENCY(IF(C$2:C$3072=C3855, MATCH(D$2:D$3072, D$2:D$3072, 0)), ROW(D$2:D$3072)-ROW(D$2)+1) &gt; 0))</f>
        <v>#N/A</v>
      </c>
      <c r="C3855" s="408"/>
      <c r="D3855" s="408"/>
      <c r="E3855" s="408"/>
      <c r="F3855" s="408"/>
      <c r="G3855" s="408"/>
      <c r="H3855" s="408"/>
      <c r="I3855" s="408"/>
      <c r="J3855" s="408"/>
      <c r="K3855" s="408"/>
      <c r="L3855" s="408"/>
      <c r="M3855" s="408"/>
      <c r="N3855" s="408" t="str">
        <f t="shared" si="487"/>
        <v/>
      </c>
      <c r="O3855" s="408"/>
      <c r="P3855" s="408"/>
      <c r="Q3855" s="408"/>
      <c r="R3855" s="408"/>
      <c r="S3855" s="408"/>
      <c r="T3855" s="408"/>
      <c r="U3855" s="408"/>
      <c r="V3855" s="421"/>
      <c r="W3855" s="421"/>
      <c r="X3855" s="421"/>
      <c r="Y3855" s="421"/>
      <c r="Z3855" s="421"/>
      <c r="AA3855" s="421"/>
      <c r="AB3855" s="421"/>
      <c r="AC3855" s="421"/>
      <c r="AD3855" s="421"/>
      <c r="AE3855" s="421"/>
      <c r="AF3855" s="421"/>
      <c r="AG3855" s="421"/>
      <c r="AH3855" s="421"/>
      <c r="AI3855" s="421"/>
      <c r="AJ3855" s="421"/>
      <c r="AK3855" s="421"/>
      <c r="AL3855" s="421"/>
    </row>
    <row r="3856" spans="1:38" hidden="1">
      <c r="A3856" s="408"/>
      <c r="B3856" s="83" t="e">
        <f t="array" ref="B3856">SUM(--(FREQUENCY(IF(C$2:C$3072=C3856, MATCH(D$2:D$3072, D$2:D$3072, 0)), ROW(D$2:D$3072)-ROW(D$2)+1) &gt; 0))</f>
        <v>#N/A</v>
      </c>
      <c r="C3856" s="408"/>
      <c r="D3856" s="408"/>
      <c r="E3856" s="408"/>
      <c r="F3856" s="408"/>
      <c r="G3856" s="408"/>
      <c r="H3856" s="408"/>
      <c r="I3856" s="408"/>
      <c r="J3856" s="408"/>
      <c r="K3856" s="408"/>
      <c r="L3856" s="408"/>
      <c r="M3856" s="408"/>
      <c r="N3856" s="408" t="str">
        <f t="shared" si="487"/>
        <v/>
      </c>
      <c r="O3856" s="408"/>
      <c r="P3856" s="408"/>
      <c r="Q3856" s="408"/>
      <c r="R3856" s="408"/>
      <c r="S3856" s="408"/>
      <c r="T3856" s="408"/>
      <c r="U3856" s="408"/>
      <c r="V3856" s="421"/>
      <c r="W3856" s="421"/>
      <c r="X3856" s="421"/>
      <c r="Y3856" s="421"/>
      <c r="Z3856" s="421"/>
      <c r="AA3856" s="421"/>
      <c r="AB3856" s="421"/>
      <c r="AC3856" s="421"/>
      <c r="AD3856" s="421"/>
      <c r="AE3856" s="421"/>
      <c r="AF3856" s="421"/>
      <c r="AG3856" s="421"/>
      <c r="AH3856" s="421"/>
      <c r="AI3856" s="421"/>
      <c r="AJ3856" s="421"/>
      <c r="AK3856" s="421"/>
      <c r="AL3856" s="421"/>
    </row>
    <row r="3857" spans="1:38" hidden="1">
      <c r="A3857" s="408"/>
      <c r="B3857" s="83" t="e">
        <f t="array" ref="B3857">SUM(--(FREQUENCY(IF(C$2:C$3072=C3857, MATCH(D$2:D$3072, D$2:D$3072, 0)), ROW(D$2:D$3072)-ROW(D$2)+1) &gt; 0))</f>
        <v>#N/A</v>
      </c>
      <c r="C3857" s="408"/>
      <c r="D3857" s="408"/>
      <c r="E3857" s="408"/>
      <c r="F3857" s="408"/>
      <c r="G3857" s="408"/>
      <c r="H3857" s="408"/>
      <c r="I3857" s="408"/>
      <c r="J3857" s="408"/>
      <c r="K3857" s="408"/>
      <c r="L3857" s="408"/>
      <c r="M3857" s="408"/>
      <c r="N3857" s="408" t="str">
        <f t="shared" si="487"/>
        <v/>
      </c>
      <c r="O3857" s="408"/>
      <c r="P3857" s="408"/>
      <c r="Q3857" s="408"/>
      <c r="R3857" s="408"/>
      <c r="S3857" s="408"/>
      <c r="T3857" s="408"/>
      <c r="U3857" s="408"/>
      <c r="V3857" s="421"/>
      <c r="W3857" s="421"/>
      <c r="X3857" s="421"/>
      <c r="Y3857" s="421"/>
      <c r="Z3857" s="421"/>
      <c r="AA3857" s="421"/>
      <c r="AB3857" s="421"/>
      <c r="AC3857" s="421"/>
      <c r="AD3857" s="421"/>
      <c r="AE3857" s="421"/>
      <c r="AF3857" s="421"/>
      <c r="AG3857" s="421"/>
      <c r="AH3857" s="421"/>
      <c r="AI3857" s="421"/>
      <c r="AJ3857" s="421"/>
      <c r="AK3857" s="421"/>
      <c r="AL3857" s="421"/>
    </row>
    <row r="3858" spans="1:38" hidden="1">
      <c r="A3858" s="408"/>
      <c r="B3858" s="83" t="e">
        <f t="array" ref="B3858">SUM(--(FREQUENCY(IF(C$2:C$3072=C3858, MATCH(D$2:D$3072, D$2:D$3072, 0)), ROW(D$2:D$3072)-ROW(D$2)+1) &gt; 0))</f>
        <v>#N/A</v>
      </c>
      <c r="C3858" s="408"/>
      <c r="D3858" s="408"/>
      <c r="E3858" s="408"/>
      <c r="F3858" s="408"/>
      <c r="G3858" s="408"/>
      <c r="H3858" s="408"/>
      <c r="I3858" s="408"/>
      <c r="J3858" s="408"/>
      <c r="K3858" s="408"/>
      <c r="L3858" s="408"/>
      <c r="M3858" s="408"/>
      <c r="N3858" s="408" t="str">
        <f t="shared" si="487"/>
        <v/>
      </c>
      <c r="O3858" s="408"/>
      <c r="P3858" s="408"/>
      <c r="Q3858" s="408"/>
      <c r="R3858" s="408"/>
      <c r="S3858" s="408"/>
      <c r="T3858" s="408"/>
      <c r="U3858" s="408"/>
      <c r="V3858" s="421"/>
      <c r="W3858" s="421"/>
      <c r="X3858" s="421"/>
      <c r="Y3858" s="421"/>
      <c r="Z3858" s="421"/>
      <c r="AA3858" s="421"/>
      <c r="AB3858" s="421"/>
      <c r="AC3858" s="421"/>
      <c r="AD3858" s="421"/>
      <c r="AE3858" s="421"/>
      <c r="AF3858" s="421"/>
      <c r="AG3858" s="421"/>
      <c r="AH3858" s="421"/>
      <c r="AI3858" s="421"/>
      <c r="AJ3858" s="421"/>
      <c r="AK3858" s="421"/>
      <c r="AL3858" s="421"/>
    </row>
    <row r="3859" spans="1:38" hidden="1">
      <c r="A3859" s="408"/>
      <c r="B3859" s="83" t="e">
        <f t="array" ref="B3859">SUM(--(FREQUENCY(IF(C$2:C$3072=C3859, MATCH(D$2:D$3072, D$2:D$3072, 0)), ROW(D$2:D$3072)-ROW(D$2)+1) &gt; 0))</f>
        <v>#N/A</v>
      </c>
      <c r="C3859" s="408"/>
      <c r="D3859" s="408"/>
      <c r="E3859" s="408"/>
      <c r="F3859" s="408"/>
      <c r="G3859" s="408"/>
      <c r="H3859" s="408"/>
      <c r="I3859" s="408"/>
      <c r="J3859" s="408"/>
      <c r="K3859" s="408"/>
      <c r="L3859" s="408"/>
      <c r="M3859" s="408"/>
      <c r="N3859" s="408" t="str">
        <f t="shared" si="487"/>
        <v/>
      </c>
      <c r="O3859" s="408"/>
      <c r="P3859" s="408"/>
      <c r="Q3859" s="408"/>
      <c r="R3859" s="408"/>
      <c r="S3859" s="408"/>
      <c r="T3859" s="408"/>
      <c r="U3859" s="408"/>
      <c r="V3859" s="421"/>
      <c r="W3859" s="421"/>
      <c r="X3859" s="421"/>
      <c r="Y3859" s="421"/>
      <c r="Z3859" s="421"/>
      <c r="AA3859" s="421"/>
      <c r="AB3859" s="421"/>
      <c r="AC3859" s="421"/>
      <c r="AD3859" s="421"/>
      <c r="AE3859" s="421"/>
      <c r="AF3859" s="421"/>
      <c r="AG3859" s="421"/>
      <c r="AH3859" s="421"/>
      <c r="AI3859" s="421"/>
      <c r="AJ3859" s="421"/>
      <c r="AK3859" s="421"/>
      <c r="AL3859" s="421"/>
    </row>
    <row r="3860" spans="1:38" hidden="1">
      <c r="A3860" s="408"/>
      <c r="B3860" s="83" t="e">
        <f t="array" ref="B3860">SUM(--(FREQUENCY(IF(C$2:C$3072=C3860, MATCH(D$2:D$3072, D$2:D$3072, 0)), ROW(D$2:D$3072)-ROW(D$2)+1) &gt; 0))</f>
        <v>#N/A</v>
      </c>
      <c r="C3860" s="408"/>
      <c r="D3860" s="408"/>
      <c r="E3860" s="408"/>
      <c r="F3860" s="408"/>
      <c r="G3860" s="408"/>
      <c r="H3860" s="408"/>
      <c r="I3860" s="408"/>
      <c r="J3860" s="408"/>
      <c r="K3860" s="408"/>
      <c r="L3860" s="408"/>
      <c r="M3860" s="408"/>
      <c r="N3860" s="408" t="str">
        <f t="shared" si="487"/>
        <v/>
      </c>
      <c r="O3860" s="408"/>
      <c r="P3860" s="408"/>
      <c r="Q3860" s="408"/>
      <c r="R3860" s="408"/>
      <c r="S3860" s="408"/>
      <c r="T3860" s="408"/>
      <c r="U3860" s="408"/>
      <c r="V3860" s="421"/>
      <c r="W3860" s="421"/>
      <c r="X3860" s="421"/>
      <c r="Y3860" s="421"/>
      <c r="Z3860" s="421"/>
      <c r="AA3860" s="421"/>
      <c r="AB3860" s="421"/>
      <c r="AC3860" s="421"/>
      <c r="AD3860" s="421"/>
      <c r="AE3860" s="421"/>
      <c r="AF3860" s="421"/>
      <c r="AG3860" s="421"/>
      <c r="AH3860" s="421"/>
      <c r="AI3860" s="421"/>
      <c r="AJ3860" s="421"/>
      <c r="AK3860" s="421"/>
      <c r="AL3860" s="421"/>
    </row>
    <row r="3861" spans="1:38" hidden="1">
      <c r="A3861" s="408"/>
      <c r="B3861" s="83" t="e">
        <f t="array" ref="B3861">SUM(--(FREQUENCY(IF(C$2:C$3072=C3861, MATCH(D$2:D$3072, D$2:D$3072, 0)), ROW(D$2:D$3072)-ROW(D$2)+1) &gt; 0))</f>
        <v>#N/A</v>
      </c>
      <c r="C3861" s="408"/>
      <c r="D3861" s="408"/>
      <c r="E3861" s="408"/>
      <c r="F3861" s="408"/>
      <c r="G3861" s="408"/>
      <c r="H3861" s="408"/>
      <c r="I3861" s="408"/>
      <c r="J3861" s="408"/>
      <c r="K3861" s="408"/>
      <c r="L3861" s="408"/>
      <c r="M3861" s="408"/>
      <c r="N3861" s="408" t="str">
        <f t="shared" si="487"/>
        <v/>
      </c>
      <c r="O3861" s="408"/>
      <c r="P3861" s="408"/>
      <c r="Q3861" s="408"/>
      <c r="R3861" s="408"/>
      <c r="S3861" s="408"/>
      <c r="T3861" s="408"/>
      <c r="U3861" s="408"/>
      <c r="V3861" s="421"/>
      <c r="W3861" s="421"/>
      <c r="X3861" s="421"/>
      <c r="Y3861" s="421"/>
      <c r="Z3861" s="421"/>
      <c r="AA3861" s="421"/>
      <c r="AB3861" s="421"/>
      <c r="AC3861" s="421"/>
      <c r="AD3861" s="421"/>
      <c r="AE3861" s="421"/>
      <c r="AF3861" s="421"/>
      <c r="AG3861" s="421"/>
      <c r="AH3861" s="421"/>
      <c r="AI3861" s="421"/>
      <c r="AJ3861" s="421"/>
      <c r="AK3861" s="421"/>
      <c r="AL3861" s="421"/>
    </row>
    <row r="3862" spans="1:38" hidden="1">
      <c r="A3862" s="408"/>
      <c r="B3862" s="83" t="e">
        <f t="array" ref="B3862">SUM(--(FREQUENCY(IF(C$2:C$3072=C3862, MATCH(D$2:D$3072, D$2:D$3072, 0)), ROW(D$2:D$3072)-ROW(D$2)+1) &gt; 0))</f>
        <v>#N/A</v>
      </c>
      <c r="C3862" s="408"/>
      <c r="D3862" s="408"/>
      <c r="E3862" s="408"/>
      <c r="F3862" s="408"/>
      <c r="G3862" s="408"/>
      <c r="H3862" s="408"/>
      <c r="I3862" s="408"/>
      <c r="J3862" s="408"/>
      <c r="K3862" s="408"/>
      <c r="L3862" s="408"/>
      <c r="M3862" s="408"/>
      <c r="N3862" s="408" t="str">
        <f t="shared" si="487"/>
        <v/>
      </c>
      <c r="O3862" s="408"/>
      <c r="P3862" s="408"/>
      <c r="Q3862" s="408"/>
      <c r="R3862" s="408"/>
      <c r="S3862" s="408"/>
      <c r="T3862" s="408"/>
      <c r="U3862" s="408"/>
      <c r="V3862" s="421"/>
      <c r="W3862" s="421"/>
      <c r="X3862" s="421"/>
      <c r="Y3862" s="421"/>
      <c r="Z3862" s="421"/>
      <c r="AA3862" s="421"/>
      <c r="AB3862" s="421"/>
      <c r="AC3862" s="421"/>
      <c r="AD3862" s="421"/>
      <c r="AE3862" s="421"/>
      <c r="AF3862" s="421"/>
      <c r="AG3862" s="421"/>
      <c r="AH3862" s="421"/>
      <c r="AI3862" s="421"/>
      <c r="AJ3862" s="421"/>
      <c r="AK3862" s="421"/>
      <c r="AL3862" s="421"/>
    </row>
    <row r="3863" spans="1:38" hidden="1">
      <c r="A3863" s="408"/>
      <c r="B3863" s="83" t="e">
        <f t="array" ref="B3863">SUM(--(FREQUENCY(IF(C$2:C$3072=C3863, MATCH(D$2:D$3072, D$2:D$3072, 0)), ROW(D$2:D$3072)-ROW(D$2)+1) &gt; 0))</f>
        <v>#N/A</v>
      </c>
      <c r="C3863" s="408"/>
      <c r="D3863" s="408"/>
      <c r="E3863" s="408"/>
      <c r="F3863" s="408"/>
      <c r="G3863" s="408"/>
      <c r="H3863" s="408"/>
      <c r="I3863" s="408"/>
      <c r="J3863" s="408"/>
      <c r="K3863" s="408"/>
      <c r="L3863" s="408"/>
      <c r="M3863" s="408"/>
      <c r="N3863" s="408" t="str">
        <f t="shared" si="487"/>
        <v/>
      </c>
      <c r="O3863" s="408"/>
      <c r="P3863" s="408"/>
      <c r="Q3863" s="408"/>
      <c r="R3863" s="408"/>
      <c r="S3863" s="408"/>
      <c r="T3863" s="408"/>
      <c r="U3863" s="408"/>
      <c r="V3863" s="421"/>
      <c r="W3863" s="421"/>
      <c r="X3863" s="421"/>
      <c r="Y3863" s="421"/>
      <c r="Z3863" s="421"/>
      <c r="AA3863" s="421"/>
      <c r="AB3863" s="421"/>
      <c r="AC3863" s="421"/>
      <c r="AD3863" s="421"/>
      <c r="AE3863" s="421"/>
      <c r="AF3863" s="421"/>
      <c r="AG3863" s="421"/>
      <c r="AH3863" s="421"/>
      <c r="AI3863" s="421"/>
      <c r="AJ3863" s="421"/>
      <c r="AK3863" s="421"/>
      <c r="AL3863" s="421"/>
    </row>
    <row r="3864" spans="1:38" hidden="1">
      <c r="A3864" s="408"/>
      <c r="B3864" s="83" t="e">
        <f t="array" ref="B3864">SUM(--(FREQUENCY(IF(C$2:C$3072=C3864, MATCH(D$2:D$3072, D$2:D$3072, 0)), ROW(D$2:D$3072)-ROW(D$2)+1) &gt; 0))</f>
        <v>#N/A</v>
      </c>
      <c r="C3864" s="408"/>
      <c r="D3864" s="408"/>
      <c r="E3864" s="408"/>
      <c r="F3864" s="408"/>
      <c r="G3864" s="408"/>
      <c r="H3864" s="408"/>
      <c r="I3864" s="408"/>
      <c r="J3864" s="408"/>
      <c r="K3864" s="408"/>
      <c r="L3864" s="408"/>
      <c r="M3864" s="408"/>
      <c r="N3864" s="408" t="str">
        <f t="shared" si="487"/>
        <v/>
      </c>
      <c r="O3864" s="408"/>
      <c r="P3864" s="408"/>
      <c r="Q3864" s="408"/>
      <c r="R3864" s="408"/>
      <c r="S3864" s="408"/>
      <c r="T3864" s="408"/>
      <c r="U3864" s="408"/>
      <c r="V3864" s="421"/>
      <c r="W3864" s="421"/>
      <c r="X3864" s="421"/>
      <c r="Y3864" s="421"/>
      <c r="Z3864" s="421"/>
      <c r="AA3864" s="421"/>
      <c r="AB3864" s="421"/>
      <c r="AC3864" s="421"/>
      <c r="AD3864" s="421"/>
      <c r="AE3864" s="421"/>
      <c r="AF3864" s="421"/>
      <c r="AG3864" s="421"/>
      <c r="AH3864" s="421"/>
      <c r="AI3864" s="421"/>
      <c r="AJ3864" s="421"/>
      <c r="AK3864" s="421"/>
      <c r="AL3864" s="421"/>
    </row>
    <row r="3865" spans="1:38" hidden="1">
      <c r="A3865" s="408"/>
      <c r="B3865" s="83" t="e">
        <f t="array" ref="B3865">SUM(--(FREQUENCY(IF(C$2:C$3072=C3865, MATCH(D$2:D$3072, D$2:D$3072, 0)), ROW(D$2:D$3072)-ROW(D$2)+1) &gt; 0))</f>
        <v>#N/A</v>
      </c>
      <c r="C3865" s="408"/>
      <c r="D3865" s="408"/>
      <c r="E3865" s="408"/>
      <c r="F3865" s="408"/>
      <c r="G3865" s="408"/>
      <c r="H3865" s="408"/>
      <c r="I3865" s="408"/>
      <c r="J3865" s="408"/>
      <c r="K3865" s="408"/>
      <c r="L3865" s="408"/>
      <c r="M3865" s="408"/>
      <c r="N3865" s="408" t="str">
        <f t="shared" si="487"/>
        <v/>
      </c>
      <c r="O3865" s="408"/>
      <c r="P3865" s="408"/>
      <c r="Q3865" s="408"/>
      <c r="R3865" s="408"/>
      <c r="S3865" s="408"/>
      <c r="T3865" s="408"/>
      <c r="U3865" s="408"/>
      <c r="V3865" s="421"/>
      <c r="W3865" s="421"/>
      <c r="X3865" s="421"/>
      <c r="Y3865" s="421"/>
      <c r="Z3865" s="421"/>
      <c r="AA3865" s="421"/>
      <c r="AB3865" s="421"/>
      <c r="AC3865" s="421"/>
      <c r="AD3865" s="421"/>
      <c r="AE3865" s="421"/>
      <c r="AF3865" s="421"/>
      <c r="AG3865" s="421"/>
      <c r="AH3865" s="421"/>
      <c r="AI3865" s="421"/>
      <c r="AJ3865" s="421"/>
      <c r="AK3865" s="421"/>
      <c r="AL3865" s="421"/>
    </row>
    <row r="3866" spans="1:38" hidden="1">
      <c r="A3866" s="408"/>
      <c r="B3866" s="83" t="e">
        <f t="array" ref="B3866">SUM(--(FREQUENCY(IF(C$2:C$3072=C3866, MATCH(D$2:D$3072, D$2:D$3072, 0)), ROW(D$2:D$3072)-ROW(D$2)+1) &gt; 0))</f>
        <v>#N/A</v>
      </c>
      <c r="C3866" s="408"/>
      <c r="D3866" s="408"/>
      <c r="E3866" s="408"/>
      <c r="F3866" s="408"/>
      <c r="G3866" s="408"/>
      <c r="H3866" s="408"/>
      <c r="I3866" s="408"/>
      <c r="J3866" s="408"/>
      <c r="K3866" s="408"/>
      <c r="L3866" s="408"/>
      <c r="M3866" s="408"/>
      <c r="N3866" s="408" t="str">
        <f t="shared" si="487"/>
        <v/>
      </c>
      <c r="O3866" s="408"/>
      <c r="P3866" s="408"/>
      <c r="Q3866" s="408"/>
      <c r="R3866" s="408"/>
      <c r="S3866" s="408"/>
      <c r="T3866" s="408"/>
      <c r="U3866" s="408"/>
      <c r="V3866" s="421"/>
      <c r="W3866" s="421"/>
      <c r="X3866" s="421"/>
      <c r="Y3866" s="421"/>
      <c r="Z3866" s="421"/>
      <c r="AA3866" s="421"/>
      <c r="AB3866" s="421"/>
      <c r="AC3866" s="421"/>
      <c r="AD3866" s="421"/>
      <c r="AE3866" s="421"/>
      <c r="AF3866" s="421"/>
      <c r="AG3866" s="421"/>
      <c r="AH3866" s="421"/>
      <c r="AI3866" s="421"/>
      <c r="AJ3866" s="421"/>
      <c r="AK3866" s="421"/>
      <c r="AL3866" s="421"/>
    </row>
    <row r="3867" spans="1:38" hidden="1">
      <c r="A3867" s="408"/>
      <c r="B3867" s="83" t="e">
        <f t="array" ref="B3867">SUM(--(FREQUENCY(IF(C$2:C$3072=C3867, MATCH(D$2:D$3072, D$2:D$3072, 0)), ROW(D$2:D$3072)-ROW(D$2)+1) &gt; 0))</f>
        <v>#N/A</v>
      </c>
      <c r="C3867" s="408"/>
      <c r="D3867" s="408"/>
      <c r="E3867" s="408"/>
      <c r="F3867" s="408"/>
      <c r="G3867" s="408"/>
      <c r="H3867" s="408"/>
      <c r="I3867" s="408"/>
      <c r="J3867" s="408"/>
      <c r="K3867" s="408"/>
      <c r="L3867" s="408"/>
      <c r="M3867" s="408"/>
      <c r="N3867" s="408" t="str">
        <f t="shared" si="487"/>
        <v/>
      </c>
      <c r="O3867" s="408"/>
      <c r="P3867" s="408"/>
      <c r="Q3867" s="408"/>
      <c r="R3867" s="408"/>
      <c r="S3867" s="408"/>
      <c r="T3867" s="408"/>
      <c r="U3867" s="408"/>
      <c r="V3867" s="421"/>
      <c r="W3867" s="421"/>
      <c r="X3867" s="421"/>
      <c r="Y3867" s="421"/>
      <c r="Z3867" s="421"/>
      <c r="AA3867" s="421"/>
      <c r="AB3867" s="421"/>
      <c r="AC3867" s="421"/>
      <c r="AD3867" s="421"/>
      <c r="AE3867" s="421"/>
      <c r="AF3867" s="421"/>
      <c r="AG3867" s="421"/>
      <c r="AH3867" s="421"/>
      <c r="AI3867" s="421"/>
      <c r="AJ3867" s="421"/>
      <c r="AK3867" s="421"/>
      <c r="AL3867" s="421"/>
    </row>
    <row r="3868" spans="1:38" hidden="1">
      <c r="A3868" s="408"/>
      <c r="B3868" s="83" t="e">
        <f t="array" ref="B3868">SUM(--(FREQUENCY(IF(C$2:C$3072=C3868, MATCH(D$2:D$3072, D$2:D$3072, 0)), ROW(D$2:D$3072)-ROW(D$2)+1) &gt; 0))</f>
        <v>#N/A</v>
      </c>
      <c r="C3868" s="408"/>
      <c r="D3868" s="408"/>
      <c r="E3868" s="408"/>
      <c r="F3868" s="408"/>
      <c r="G3868" s="408"/>
      <c r="H3868" s="408"/>
      <c r="I3868" s="408"/>
      <c r="J3868" s="408"/>
      <c r="K3868" s="408"/>
      <c r="L3868" s="408"/>
      <c r="M3868" s="408"/>
      <c r="N3868" s="408" t="str">
        <f t="shared" si="487"/>
        <v/>
      </c>
      <c r="O3868" s="408"/>
      <c r="P3868" s="408"/>
      <c r="Q3868" s="408"/>
      <c r="R3868" s="408"/>
      <c r="S3868" s="408"/>
      <c r="T3868" s="408"/>
      <c r="U3868" s="408"/>
      <c r="V3868" s="421"/>
      <c r="W3868" s="421"/>
      <c r="X3868" s="421"/>
      <c r="Y3868" s="421"/>
      <c r="Z3868" s="421"/>
      <c r="AA3868" s="421"/>
      <c r="AB3868" s="421"/>
      <c r="AC3868" s="421"/>
      <c r="AD3868" s="421"/>
      <c r="AE3868" s="421"/>
      <c r="AF3868" s="421"/>
      <c r="AG3868" s="421"/>
      <c r="AH3868" s="421"/>
      <c r="AI3868" s="421"/>
      <c r="AJ3868" s="421"/>
      <c r="AK3868" s="421"/>
      <c r="AL3868" s="421"/>
    </row>
    <row r="3869" spans="1:38" hidden="1">
      <c r="A3869" s="408"/>
      <c r="B3869" s="83" t="e">
        <f t="array" ref="B3869">SUM(--(FREQUENCY(IF(C$2:C$3072=C3869, MATCH(D$2:D$3072, D$2:D$3072, 0)), ROW(D$2:D$3072)-ROW(D$2)+1) &gt; 0))</f>
        <v>#N/A</v>
      </c>
      <c r="C3869" s="408"/>
      <c r="D3869" s="408"/>
      <c r="E3869" s="408"/>
      <c r="F3869" s="408"/>
      <c r="G3869" s="408"/>
      <c r="H3869" s="408"/>
      <c r="I3869" s="408"/>
      <c r="J3869" s="408"/>
      <c r="K3869" s="408"/>
      <c r="L3869" s="408"/>
      <c r="M3869" s="408"/>
      <c r="N3869" s="408" t="str">
        <f t="shared" si="487"/>
        <v/>
      </c>
      <c r="O3869" s="408"/>
      <c r="P3869" s="408"/>
      <c r="Q3869" s="408"/>
      <c r="R3869" s="408"/>
      <c r="S3869" s="408"/>
      <c r="T3869" s="408"/>
      <c r="U3869" s="408"/>
      <c r="V3869" s="421"/>
      <c r="W3869" s="421"/>
      <c r="X3869" s="421"/>
      <c r="Y3869" s="421"/>
      <c r="Z3869" s="421"/>
      <c r="AA3869" s="421"/>
      <c r="AB3869" s="421"/>
      <c r="AC3869" s="421"/>
      <c r="AD3869" s="421"/>
      <c r="AE3869" s="421"/>
      <c r="AF3869" s="421"/>
      <c r="AG3869" s="421"/>
      <c r="AH3869" s="421"/>
      <c r="AI3869" s="421"/>
      <c r="AJ3869" s="421"/>
      <c r="AK3869" s="421"/>
      <c r="AL3869" s="421"/>
    </row>
    <row r="3870" spans="1:38" hidden="1">
      <c r="A3870" s="408"/>
      <c r="B3870" s="83" t="e">
        <f t="array" ref="B3870">SUM(--(FREQUENCY(IF(C$2:C$3072=C3870, MATCH(D$2:D$3072, D$2:D$3072, 0)), ROW(D$2:D$3072)-ROW(D$2)+1) &gt; 0))</f>
        <v>#N/A</v>
      </c>
      <c r="C3870" s="408"/>
      <c r="D3870" s="408"/>
      <c r="E3870" s="408"/>
      <c r="F3870" s="408"/>
      <c r="G3870" s="408"/>
      <c r="H3870" s="408"/>
      <c r="I3870" s="408"/>
      <c r="J3870" s="408"/>
      <c r="K3870" s="408"/>
      <c r="L3870" s="408"/>
      <c r="M3870" s="408"/>
      <c r="N3870" s="408" t="str">
        <f t="shared" si="487"/>
        <v/>
      </c>
      <c r="O3870" s="408"/>
      <c r="P3870" s="408"/>
      <c r="Q3870" s="408"/>
      <c r="R3870" s="408"/>
      <c r="S3870" s="408"/>
      <c r="T3870" s="408"/>
      <c r="U3870" s="408"/>
      <c r="V3870" s="421"/>
      <c r="W3870" s="421"/>
      <c r="X3870" s="421"/>
      <c r="Y3870" s="421"/>
      <c r="Z3870" s="421"/>
      <c r="AA3870" s="421"/>
      <c r="AB3870" s="421"/>
      <c r="AC3870" s="421"/>
      <c r="AD3870" s="421"/>
      <c r="AE3870" s="421"/>
      <c r="AF3870" s="421"/>
      <c r="AG3870" s="421"/>
      <c r="AH3870" s="421"/>
      <c r="AI3870" s="421"/>
      <c r="AJ3870" s="421"/>
      <c r="AK3870" s="421"/>
      <c r="AL3870" s="421"/>
    </row>
    <row r="3871" spans="1:38" hidden="1">
      <c r="A3871" s="408"/>
      <c r="B3871" s="83" t="e">
        <f t="array" ref="B3871">SUM(--(FREQUENCY(IF(C$2:C$3072=C3871, MATCH(D$2:D$3072, D$2:D$3072, 0)), ROW(D$2:D$3072)-ROW(D$2)+1) &gt; 0))</f>
        <v>#N/A</v>
      </c>
      <c r="C3871" s="408"/>
      <c r="D3871" s="408"/>
      <c r="E3871" s="408"/>
      <c r="F3871" s="408"/>
      <c r="G3871" s="408"/>
      <c r="H3871" s="408"/>
      <c r="I3871" s="408"/>
      <c r="J3871" s="408"/>
      <c r="K3871" s="408"/>
      <c r="L3871" s="408"/>
      <c r="M3871" s="408"/>
      <c r="N3871" s="408" t="str">
        <f t="shared" si="487"/>
        <v/>
      </c>
      <c r="O3871" s="408"/>
      <c r="P3871" s="408"/>
      <c r="Q3871" s="408"/>
      <c r="R3871" s="408"/>
      <c r="S3871" s="408"/>
      <c r="T3871" s="408"/>
      <c r="U3871" s="408"/>
      <c r="V3871" s="421"/>
      <c r="W3871" s="421"/>
      <c r="X3871" s="421"/>
      <c r="Y3871" s="421"/>
      <c r="Z3871" s="421"/>
      <c r="AA3871" s="421"/>
      <c r="AB3871" s="421"/>
      <c r="AC3871" s="421"/>
      <c r="AD3871" s="421"/>
      <c r="AE3871" s="421"/>
      <c r="AF3871" s="421"/>
      <c r="AG3871" s="421"/>
      <c r="AH3871" s="421"/>
      <c r="AI3871" s="421"/>
      <c r="AJ3871" s="421"/>
      <c r="AK3871" s="421"/>
      <c r="AL3871" s="421"/>
    </row>
    <row r="3872" spans="1:38" hidden="1">
      <c r="A3872" s="408"/>
      <c r="B3872" s="83" t="e">
        <f t="array" ref="B3872">SUM(--(FREQUENCY(IF(C$2:C$3072=C3872, MATCH(D$2:D$3072, D$2:D$3072, 0)), ROW(D$2:D$3072)-ROW(D$2)+1) &gt; 0))</f>
        <v>#N/A</v>
      </c>
      <c r="C3872" s="408"/>
      <c r="D3872" s="408"/>
      <c r="E3872" s="408"/>
      <c r="F3872" s="408"/>
      <c r="G3872" s="408"/>
      <c r="H3872" s="408"/>
      <c r="I3872" s="408"/>
      <c r="J3872" s="408"/>
      <c r="K3872" s="408"/>
      <c r="L3872" s="408"/>
      <c r="M3872" s="408"/>
      <c r="N3872" s="408" t="str">
        <f t="shared" si="487"/>
        <v/>
      </c>
      <c r="O3872" s="408"/>
      <c r="P3872" s="408"/>
      <c r="Q3872" s="408"/>
      <c r="R3872" s="408"/>
      <c r="S3872" s="408"/>
      <c r="T3872" s="408"/>
      <c r="U3872" s="408"/>
      <c r="V3872" s="421"/>
      <c r="W3872" s="421"/>
      <c r="X3872" s="421"/>
      <c r="Y3872" s="421"/>
      <c r="Z3872" s="421"/>
      <c r="AA3872" s="421"/>
      <c r="AB3872" s="421"/>
      <c r="AC3872" s="421"/>
      <c r="AD3872" s="421"/>
      <c r="AE3872" s="421"/>
      <c r="AF3872" s="421"/>
      <c r="AG3872" s="421"/>
      <c r="AH3872" s="421"/>
      <c r="AI3872" s="421"/>
      <c r="AJ3872" s="421"/>
      <c r="AK3872" s="421"/>
      <c r="AL3872" s="421"/>
    </row>
    <row r="3873" spans="1:38" hidden="1">
      <c r="A3873" s="408"/>
      <c r="B3873" s="83" t="e">
        <f t="array" ref="B3873">SUM(--(FREQUENCY(IF(C$2:C$3072=C3873, MATCH(D$2:D$3072, D$2:D$3072, 0)), ROW(D$2:D$3072)-ROW(D$2)+1) &gt; 0))</f>
        <v>#N/A</v>
      </c>
      <c r="C3873" s="408"/>
      <c r="D3873" s="408"/>
      <c r="E3873" s="408"/>
      <c r="F3873" s="408"/>
      <c r="G3873" s="408"/>
      <c r="H3873" s="408"/>
      <c r="I3873" s="408"/>
      <c r="J3873" s="408"/>
      <c r="K3873" s="408"/>
      <c r="L3873" s="408"/>
      <c r="M3873" s="408"/>
      <c r="N3873" s="408" t="str">
        <f t="shared" si="487"/>
        <v/>
      </c>
      <c r="O3873" s="408"/>
      <c r="P3873" s="408"/>
      <c r="Q3873" s="408"/>
      <c r="R3873" s="408"/>
      <c r="S3873" s="408"/>
      <c r="T3873" s="408"/>
      <c r="U3873" s="408"/>
      <c r="V3873" s="421"/>
      <c r="W3873" s="421"/>
      <c r="X3873" s="421"/>
      <c r="Y3873" s="421"/>
      <c r="Z3873" s="421"/>
      <c r="AA3873" s="421"/>
      <c r="AB3873" s="421"/>
      <c r="AC3873" s="421"/>
      <c r="AD3873" s="421"/>
      <c r="AE3873" s="421"/>
      <c r="AF3873" s="421"/>
      <c r="AG3873" s="421"/>
      <c r="AH3873" s="421"/>
      <c r="AI3873" s="421"/>
      <c r="AJ3873" s="421"/>
      <c r="AK3873" s="421"/>
      <c r="AL3873" s="421"/>
    </row>
    <row r="3874" spans="1:38" hidden="1">
      <c r="A3874" s="408"/>
      <c r="B3874" s="83" t="e">
        <f t="array" ref="B3874">SUM(--(FREQUENCY(IF(C$2:C$3072=C3874, MATCH(D$2:D$3072, D$2:D$3072, 0)), ROW(D$2:D$3072)-ROW(D$2)+1) &gt; 0))</f>
        <v>#N/A</v>
      </c>
      <c r="C3874" s="408"/>
      <c r="D3874" s="408"/>
      <c r="E3874" s="408"/>
      <c r="F3874" s="408"/>
      <c r="G3874" s="408"/>
      <c r="H3874" s="408"/>
      <c r="I3874" s="408"/>
      <c r="J3874" s="408"/>
      <c r="K3874" s="408"/>
      <c r="L3874" s="408"/>
      <c r="M3874" s="408"/>
      <c r="N3874" s="408" t="str">
        <f t="shared" si="487"/>
        <v/>
      </c>
      <c r="O3874" s="408"/>
      <c r="P3874" s="408"/>
      <c r="Q3874" s="408"/>
      <c r="R3874" s="408"/>
      <c r="S3874" s="408"/>
      <c r="T3874" s="408"/>
      <c r="U3874" s="408"/>
      <c r="V3874" s="421"/>
      <c r="W3874" s="421"/>
      <c r="X3874" s="421"/>
      <c r="Y3874" s="421"/>
      <c r="Z3874" s="421"/>
      <c r="AA3874" s="421"/>
      <c r="AB3874" s="421"/>
      <c r="AC3874" s="421"/>
      <c r="AD3874" s="421"/>
      <c r="AE3874" s="421"/>
      <c r="AF3874" s="421"/>
      <c r="AG3874" s="421"/>
      <c r="AH3874" s="421"/>
      <c r="AI3874" s="421"/>
      <c r="AJ3874" s="421"/>
      <c r="AK3874" s="421"/>
      <c r="AL3874" s="421"/>
    </row>
    <row r="3875" spans="1:38" hidden="1">
      <c r="A3875" s="408"/>
      <c r="B3875" s="83" t="e">
        <f t="array" ref="B3875">SUM(--(FREQUENCY(IF(C$2:C$3072=C3875, MATCH(D$2:D$3072, D$2:D$3072, 0)), ROW(D$2:D$3072)-ROW(D$2)+1) &gt; 0))</f>
        <v>#N/A</v>
      </c>
      <c r="C3875" s="408"/>
      <c r="D3875" s="408"/>
      <c r="E3875" s="408"/>
      <c r="F3875" s="408"/>
      <c r="G3875" s="408"/>
      <c r="H3875" s="408"/>
      <c r="I3875" s="408"/>
      <c r="J3875" s="408"/>
      <c r="K3875" s="408"/>
      <c r="L3875" s="408"/>
      <c r="M3875" s="408"/>
      <c r="N3875" s="408" t="str">
        <f t="shared" si="487"/>
        <v/>
      </c>
      <c r="O3875" s="408"/>
      <c r="P3875" s="408"/>
      <c r="Q3875" s="408"/>
      <c r="R3875" s="408"/>
      <c r="S3875" s="408"/>
      <c r="T3875" s="408"/>
      <c r="U3875" s="408"/>
      <c r="V3875" s="421"/>
      <c r="W3875" s="421"/>
      <c r="X3875" s="421"/>
      <c r="Y3875" s="421"/>
      <c r="Z3875" s="421"/>
      <c r="AA3875" s="421"/>
      <c r="AB3875" s="421"/>
      <c r="AC3875" s="421"/>
      <c r="AD3875" s="421"/>
      <c r="AE3875" s="421"/>
      <c r="AF3875" s="421"/>
      <c r="AG3875" s="421"/>
      <c r="AH3875" s="421"/>
      <c r="AI3875" s="421"/>
      <c r="AJ3875" s="421"/>
      <c r="AK3875" s="421"/>
      <c r="AL3875" s="421"/>
    </row>
    <row r="3876" spans="1:38" hidden="1">
      <c r="A3876" s="408"/>
      <c r="B3876" s="83" t="e">
        <f t="array" ref="B3876">SUM(--(FREQUENCY(IF(C$2:C$3072=C3876, MATCH(D$2:D$3072, D$2:D$3072, 0)), ROW(D$2:D$3072)-ROW(D$2)+1) &gt; 0))</f>
        <v>#N/A</v>
      </c>
      <c r="C3876" s="408"/>
      <c r="D3876" s="408"/>
      <c r="E3876" s="408"/>
      <c r="F3876" s="408"/>
      <c r="G3876" s="408"/>
      <c r="H3876" s="408"/>
      <c r="I3876" s="408"/>
      <c r="J3876" s="408"/>
      <c r="K3876" s="408"/>
      <c r="L3876" s="408"/>
      <c r="M3876" s="408"/>
      <c r="N3876" s="408" t="str">
        <f t="shared" si="487"/>
        <v/>
      </c>
      <c r="O3876" s="408"/>
      <c r="P3876" s="408"/>
      <c r="Q3876" s="408"/>
      <c r="R3876" s="408"/>
      <c r="S3876" s="408"/>
      <c r="T3876" s="408"/>
      <c r="U3876" s="408"/>
      <c r="V3876" s="421"/>
      <c r="W3876" s="421"/>
      <c r="X3876" s="421"/>
      <c r="Y3876" s="421"/>
      <c r="Z3876" s="421"/>
      <c r="AA3876" s="421"/>
      <c r="AB3876" s="421"/>
      <c r="AC3876" s="421"/>
      <c r="AD3876" s="421"/>
      <c r="AE3876" s="421"/>
      <c r="AF3876" s="421"/>
      <c r="AG3876" s="421"/>
      <c r="AH3876" s="421"/>
      <c r="AI3876" s="421"/>
      <c r="AJ3876" s="421"/>
      <c r="AK3876" s="421"/>
      <c r="AL3876" s="421"/>
    </row>
    <row r="3877" spans="1:38" hidden="1">
      <c r="A3877" s="408"/>
      <c r="B3877" s="83" t="e">
        <f t="array" ref="B3877">SUM(--(FREQUENCY(IF(C$2:C$3072=C3877, MATCH(D$2:D$3072, D$2:D$3072, 0)), ROW(D$2:D$3072)-ROW(D$2)+1) &gt; 0))</f>
        <v>#N/A</v>
      </c>
      <c r="C3877" s="408"/>
      <c r="D3877" s="408"/>
      <c r="E3877" s="408"/>
      <c r="F3877" s="408"/>
      <c r="G3877" s="408"/>
      <c r="H3877" s="408"/>
      <c r="I3877" s="408"/>
      <c r="J3877" s="408"/>
      <c r="K3877" s="408"/>
      <c r="L3877" s="408"/>
      <c r="M3877" s="408"/>
      <c r="N3877" s="408" t="str">
        <f t="shared" si="487"/>
        <v/>
      </c>
      <c r="O3877" s="408"/>
      <c r="P3877" s="408"/>
      <c r="Q3877" s="408"/>
      <c r="R3877" s="408"/>
      <c r="S3877" s="408"/>
      <c r="T3877" s="408"/>
      <c r="U3877" s="408"/>
      <c r="V3877" s="421"/>
      <c r="W3877" s="421"/>
      <c r="X3877" s="421"/>
      <c r="Y3877" s="421"/>
      <c r="Z3877" s="421"/>
      <c r="AA3877" s="421"/>
      <c r="AB3877" s="421"/>
      <c r="AC3877" s="421"/>
      <c r="AD3877" s="421"/>
      <c r="AE3877" s="421"/>
      <c r="AF3877" s="421"/>
      <c r="AG3877" s="421"/>
      <c r="AH3877" s="421"/>
      <c r="AI3877" s="421"/>
      <c r="AJ3877" s="421"/>
      <c r="AK3877" s="421"/>
      <c r="AL3877" s="421"/>
    </row>
    <row r="3878" spans="1:38" hidden="1">
      <c r="A3878" s="408"/>
      <c r="B3878" s="83" t="e">
        <f t="array" ref="B3878">SUM(--(FREQUENCY(IF(C$2:C$3072=C3878, MATCH(D$2:D$3072, D$2:D$3072, 0)), ROW(D$2:D$3072)-ROW(D$2)+1) &gt; 0))</f>
        <v>#N/A</v>
      </c>
      <c r="C3878" s="408"/>
      <c r="D3878" s="408"/>
      <c r="E3878" s="408"/>
      <c r="F3878" s="408"/>
      <c r="G3878" s="408"/>
      <c r="H3878" s="408"/>
      <c r="I3878" s="408"/>
      <c r="J3878" s="408"/>
      <c r="K3878" s="408"/>
      <c r="L3878" s="408"/>
      <c r="M3878" s="408"/>
      <c r="N3878" s="408" t="str">
        <f t="shared" si="487"/>
        <v/>
      </c>
      <c r="O3878" s="408"/>
      <c r="P3878" s="408"/>
      <c r="Q3878" s="408"/>
      <c r="R3878" s="408"/>
      <c r="S3878" s="408"/>
      <c r="T3878" s="408"/>
      <c r="U3878" s="408"/>
      <c r="V3878" s="421"/>
      <c r="W3878" s="421"/>
      <c r="X3878" s="421"/>
      <c r="Y3878" s="421"/>
      <c r="Z3878" s="421"/>
      <c r="AA3878" s="421"/>
      <c r="AB3878" s="421"/>
      <c r="AC3878" s="421"/>
      <c r="AD3878" s="421"/>
      <c r="AE3878" s="421"/>
      <c r="AF3878" s="421"/>
      <c r="AG3878" s="421"/>
      <c r="AH3878" s="421"/>
      <c r="AI3878" s="421"/>
      <c r="AJ3878" s="421"/>
      <c r="AK3878" s="421"/>
      <c r="AL3878" s="421"/>
    </row>
    <row r="3879" spans="1:38" hidden="1">
      <c r="A3879" s="408"/>
      <c r="B3879" s="83" t="e">
        <f t="array" ref="B3879">SUM(--(FREQUENCY(IF(C$2:C$3072=C3879, MATCH(D$2:D$3072, D$2:D$3072, 0)), ROW(D$2:D$3072)-ROW(D$2)+1) &gt; 0))</f>
        <v>#N/A</v>
      </c>
      <c r="C3879" s="408"/>
      <c r="D3879" s="408"/>
      <c r="E3879" s="408"/>
      <c r="F3879" s="408"/>
      <c r="G3879" s="408"/>
      <c r="H3879" s="408"/>
      <c r="I3879" s="408"/>
      <c r="J3879" s="408"/>
      <c r="K3879" s="408"/>
      <c r="L3879" s="408"/>
      <c r="M3879" s="408"/>
      <c r="N3879" s="408" t="str">
        <f t="shared" si="487"/>
        <v/>
      </c>
      <c r="O3879" s="408"/>
      <c r="P3879" s="408"/>
      <c r="Q3879" s="408"/>
      <c r="R3879" s="408"/>
      <c r="S3879" s="408"/>
      <c r="T3879" s="408"/>
      <c r="U3879" s="408"/>
      <c r="V3879" s="421"/>
      <c r="W3879" s="421"/>
      <c r="X3879" s="421"/>
      <c r="Y3879" s="421"/>
      <c r="Z3879" s="421"/>
      <c r="AA3879" s="421"/>
      <c r="AB3879" s="421"/>
      <c r="AC3879" s="421"/>
      <c r="AD3879" s="421"/>
      <c r="AE3879" s="421"/>
      <c r="AF3879" s="421"/>
      <c r="AG3879" s="421"/>
      <c r="AH3879" s="421"/>
      <c r="AI3879" s="421"/>
      <c r="AJ3879" s="421"/>
      <c r="AK3879" s="421"/>
      <c r="AL3879" s="421"/>
    </row>
    <row r="3880" spans="1:38" hidden="1">
      <c r="A3880" s="408"/>
      <c r="B3880" s="83" t="e">
        <f t="array" ref="B3880">SUM(--(FREQUENCY(IF(C$2:C$3072=C3880, MATCH(D$2:D$3072, D$2:D$3072, 0)), ROW(D$2:D$3072)-ROW(D$2)+1) &gt; 0))</f>
        <v>#N/A</v>
      </c>
      <c r="C3880" s="408"/>
      <c r="D3880" s="408"/>
      <c r="E3880" s="408"/>
      <c r="F3880" s="408"/>
      <c r="G3880" s="408"/>
      <c r="H3880" s="408"/>
      <c r="I3880" s="408"/>
      <c r="J3880" s="408"/>
      <c r="K3880" s="408"/>
      <c r="L3880" s="408"/>
      <c r="M3880" s="408"/>
      <c r="N3880" s="408" t="str">
        <f t="shared" si="487"/>
        <v/>
      </c>
      <c r="O3880" s="408"/>
      <c r="P3880" s="408"/>
      <c r="Q3880" s="408"/>
      <c r="R3880" s="408"/>
      <c r="S3880" s="408"/>
      <c r="T3880" s="408"/>
      <c r="U3880" s="408"/>
      <c r="V3880" s="421"/>
      <c r="W3880" s="421"/>
      <c r="X3880" s="421"/>
      <c r="Y3880" s="421"/>
      <c r="Z3880" s="421"/>
      <c r="AA3880" s="421"/>
      <c r="AB3880" s="421"/>
      <c r="AC3880" s="421"/>
      <c r="AD3880" s="421"/>
      <c r="AE3880" s="421"/>
      <c r="AF3880" s="421"/>
      <c r="AG3880" s="421"/>
      <c r="AH3880" s="421"/>
      <c r="AI3880" s="421"/>
      <c r="AJ3880" s="421"/>
      <c r="AK3880" s="421"/>
      <c r="AL3880" s="421"/>
    </row>
    <row r="3881" spans="1:38" hidden="1">
      <c r="A3881" s="408"/>
      <c r="B3881" s="83" t="e">
        <f t="array" ref="B3881">SUM(--(FREQUENCY(IF(C$2:C$3072=C3881, MATCH(D$2:D$3072, D$2:D$3072, 0)), ROW(D$2:D$3072)-ROW(D$2)+1) &gt; 0))</f>
        <v>#N/A</v>
      </c>
      <c r="C3881" s="408"/>
      <c r="D3881" s="408"/>
      <c r="E3881" s="408"/>
      <c r="F3881" s="408"/>
      <c r="G3881" s="408"/>
      <c r="H3881" s="408"/>
      <c r="I3881" s="408"/>
      <c r="J3881" s="408"/>
      <c r="K3881" s="408"/>
      <c r="L3881" s="408"/>
      <c r="M3881" s="408"/>
      <c r="N3881" s="408" t="str">
        <f t="shared" si="487"/>
        <v/>
      </c>
      <c r="O3881" s="408"/>
      <c r="P3881" s="408"/>
      <c r="Q3881" s="408"/>
      <c r="R3881" s="408"/>
      <c r="S3881" s="408"/>
      <c r="T3881" s="408"/>
      <c r="U3881" s="408"/>
      <c r="V3881" s="421"/>
      <c r="W3881" s="421"/>
      <c r="X3881" s="421"/>
      <c r="Y3881" s="421"/>
      <c r="Z3881" s="421"/>
      <c r="AA3881" s="421"/>
      <c r="AB3881" s="421"/>
      <c r="AC3881" s="421"/>
      <c r="AD3881" s="421"/>
      <c r="AE3881" s="421"/>
      <c r="AF3881" s="421"/>
      <c r="AG3881" s="421"/>
      <c r="AH3881" s="421"/>
      <c r="AI3881" s="421"/>
      <c r="AJ3881" s="421"/>
      <c r="AK3881" s="421"/>
      <c r="AL3881" s="421"/>
    </row>
    <row r="3882" spans="1:38" hidden="1">
      <c r="A3882" s="408"/>
      <c r="B3882" s="83" t="e">
        <f t="array" ref="B3882">SUM(--(FREQUENCY(IF(C$2:C$3072=C3882, MATCH(D$2:D$3072, D$2:D$3072, 0)), ROW(D$2:D$3072)-ROW(D$2)+1) &gt; 0))</f>
        <v>#N/A</v>
      </c>
      <c r="C3882" s="408"/>
      <c r="D3882" s="408"/>
      <c r="E3882" s="408"/>
      <c r="F3882" s="408"/>
      <c r="G3882" s="408"/>
      <c r="H3882" s="408"/>
      <c r="I3882" s="408"/>
      <c r="J3882" s="408"/>
      <c r="K3882" s="408"/>
      <c r="L3882" s="408"/>
      <c r="M3882" s="408"/>
      <c r="N3882" s="408" t="str">
        <f t="shared" si="487"/>
        <v/>
      </c>
      <c r="O3882" s="408"/>
      <c r="P3882" s="408"/>
      <c r="Q3882" s="408"/>
      <c r="R3882" s="408"/>
      <c r="S3882" s="408"/>
      <c r="T3882" s="408"/>
      <c r="U3882" s="408"/>
      <c r="V3882" s="421"/>
      <c r="W3882" s="421"/>
      <c r="X3882" s="421"/>
      <c r="Y3882" s="421"/>
      <c r="Z3882" s="421"/>
      <c r="AA3882" s="421"/>
      <c r="AB3882" s="421"/>
      <c r="AC3882" s="421"/>
      <c r="AD3882" s="421"/>
      <c r="AE3882" s="421"/>
      <c r="AF3882" s="421"/>
      <c r="AG3882" s="421"/>
      <c r="AH3882" s="421"/>
      <c r="AI3882" s="421"/>
      <c r="AJ3882" s="421"/>
      <c r="AK3882" s="421"/>
      <c r="AL3882" s="421"/>
    </row>
    <row r="3883" spans="1:38" hidden="1">
      <c r="A3883" s="408"/>
      <c r="B3883" s="83" t="e">
        <f t="array" ref="B3883">SUM(--(FREQUENCY(IF(C$2:C$3072=C3883, MATCH(D$2:D$3072, D$2:D$3072, 0)), ROW(D$2:D$3072)-ROW(D$2)+1) &gt; 0))</f>
        <v>#N/A</v>
      </c>
      <c r="C3883" s="408"/>
      <c r="D3883" s="408"/>
      <c r="E3883" s="408"/>
      <c r="F3883" s="408"/>
      <c r="G3883" s="408"/>
      <c r="H3883" s="408"/>
      <c r="I3883" s="408"/>
      <c r="J3883" s="408"/>
      <c r="K3883" s="408"/>
      <c r="L3883" s="408"/>
      <c r="M3883" s="408"/>
      <c r="N3883" s="408" t="str">
        <f t="shared" si="487"/>
        <v/>
      </c>
      <c r="O3883" s="408"/>
      <c r="P3883" s="408"/>
      <c r="Q3883" s="408"/>
      <c r="R3883" s="408"/>
      <c r="S3883" s="408"/>
      <c r="T3883" s="408"/>
      <c r="U3883" s="408"/>
      <c r="V3883" s="421"/>
      <c r="W3883" s="421"/>
      <c r="X3883" s="421"/>
      <c r="Y3883" s="421"/>
      <c r="Z3883" s="421"/>
      <c r="AA3883" s="421"/>
      <c r="AB3883" s="421"/>
      <c r="AC3883" s="421"/>
      <c r="AD3883" s="421"/>
      <c r="AE3883" s="421"/>
      <c r="AF3883" s="421"/>
      <c r="AG3883" s="421"/>
      <c r="AH3883" s="421"/>
      <c r="AI3883" s="421"/>
      <c r="AJ3883" s="421"/>
      <c r="AK3883" s="421"/>
      <c r="AL3883" s="421"/>
    </row>
    <row r="3884" spans="1:38" hidden="1">
      <c r="A3884" s="408"/>
      <c r="B3884" s="83" t="e">
        <f t="array" ref="B3884">SUM(--(FREQUENCY(IF(C$2:C$3072=C3884, MATCH(D$2:D$3072, D$2:D$3072, 0)), ROW(D$2:D$3072)-ROW(D$2)+1) &gt; 0))</f>
        <v>#N/A</v>
      </c>
      <c r="C3884" s="408"/>
      <c r="D3884" s="408"/>
      <c r="E3884" s="408"/>
      <c r="F3884" s="408"/>
      <c r="G3884" s="408"/>
      <c r="H3884" s="408"/>
      <c r="I3884" s="408"/>
      <c r="J3884" s="408"/>
      <c r="K3884" s="408"/>
      <c r="L3884" s="408"/>
      <c r="M3884" s="408"/>
      <c r="N3884" s="408" t="str">
        <f t="shared" si="487"/>
        <v/>
      </c>
      <c r="O3884" s="408"/>
      <c r="P3884" s="408"/>
      <c r="Q3884" s="408"/>
      <c r="R3884" s="408"/>
      <c r="S3884" s="408"/>
      <c r="T3884" s="408"/>
      <c r="U3884" s="408"/>
      <c r="V3884" s="421"/>
      <c r="W3884" s="421"/>
      <c r="X3884" s="421"/>
      <c r="Y3884" s="421"/>
      <c r="Z3884" s="421"/>
      <c r="AA3884" s="421"/>
      <c r="AB3884" s="421"/>
      <c r="AC3884" s="421"/>
      <c r="AD3884" s="421"/>
      <c r="AE3884" s="421"/>
      <c r="AF3884" s="421"/>
      <c r="AG3884" s="421"/>
      <c r="AH3884" s="421"/>
      <c r="AI3884" s="421"/>
      <c r="AJ3884" s="421"/>
      <c r="AK3884" s="421"/>
      <c r="AL3884" s="421"/>
    </row>
    <row r="3885" spans="1:38" hidden="1">
      <c r="A3885" s="408"/>
      <c r="B3885" s="83" t="e">
        <f t="array" ref="B3885">SUM(--(FREQUENCY(IF(C$2:C$3072=C3885, MATCH(D$2:D$3072, D$2:D$3072, 0)), ROW(D$2:D$3072)-ROW(D$2)+1) &gt; 0))</f>
        <v>#N/A</v>
      </c>
      <c r="C3885" s="408"/>
      <c r="D3885" s="408"/>
      <c r="E3885" s="408"/>
      <c r="F3885" s="408"/>
      <c r="G3885" s="408"/>
      <c r="H3885" s="408"/>
      <c r="I3885" s="408"/>
      <c r="J3885" s="408"/>
      <c r="K3885" s="408"/>
      <c r="L3885" s="408"/>
      <c r="M3885" s="408"/>
      <c r="N3885" s="408" t="str">
        <f t="shared" si="487"/>
        <v/>
      </c>
      <c r="O3885" s="408"/>
      <c r="P3885" s="408"/>
      <c r="Q3885" s="408"/>
      <c r="R3885" s="408"/>
      <c r="S3885" s="408"/>
      <c r="T3885" s="408"/>
      <c r="U3885" s="408"/>
      <c r="V3885" s="421"/>
      <c r="W3885" s="421"/>
      <c r="X3885" s="421"/>
      <c r="Y3885" s="421"/>
      <c r="Z3885" s="421"/>
      <c r="AA3885" s="421"/>
      <c r="AB3885" s="421"/>
      <c r="AC3885" s="421"/>
      <c r="AD3885" s="421"/>
      <c r="AE3885" s="421"/>
      <c r="AF3885" s="421"/>
      <c r="AG3885" s="421"/>
      <c r="AH3885" s="421"/>
      <c r="AI3885" s="421"/>
      <c r="AJ3885" s="421"/>
      <c r="AK3885" s="421"/>
      <c r="AL3885" s="421"/>
    </row>
    <row r="3886" spans="1:38" hidden="1">
      <c r="A3886" s="408"/>
      <c r="B3886" s="83" t="e">
        <f t="array" ref="B3886">SUM(--(FREQUENCY(IF(C$2:C$3072=C3886, MATCH(D$2:D$3072, D$2:D$3072, 0)), ROW(D$2:D$3072)-ROW(D$2)+1) &gt; 0))</f>
        <v>#N/A</v>
      </c>
      <c r="C3886" s="408"/>
      <c r="D3886" s="408"/>
      <c r="E3886" s="408"/>
      <c r="F3886" s="408"/>
      <c r="G3886" s="408"/>
      <c r="H3886" s="408"/>
      <c r="I3886" s="408"/>
      <c r="J3886" s="408"/>
      <c r="K3886" s="408"/>
      <c r="L3886" s="408"/>
      <c r="M3886" s="408"/>
      <c r="N3886" s="408" t="str">
        <f t="shared" si="487"/>
        <v/>
      </c>
      <c r="O3886" s="408"/>
      <c r="P3886" s="408"/>
      <c r="Q3886" s="408"/>
      <c r="R3886" s="408"/>
      <c r="S3886" s="408"/>
      <c r="T3886" s="408"/>
      <c r="U3886" s="408"/>
      <c r="V3886" s="421"/>
      <c r="W3886" s="421"/>
      <c r="X3886" s="421"/>
      <c r="Y3886" s="421"/>
      <c r="Z3886" s="421"/>
      <c r="AA3886" s="421"/>
      <c r="AB3886" s="421"/>
      <c r="AC3886" s="421"/>
      <c r="AD3886" s="421"/>
      <c r="AE3886" s="421"/>
      <c r="AF3886" s="421"/>
      <c r="AG3886" s="421"/>
      <c r="AH3886" s="421"/>
      <c r="AI3886" s="421"/>
      <c r="AJ3886" s="421"/>
      <c r="AK3886" s="421"/>
      <c r="AL3886" s="421"/>
    </row>
    <row r="3887" spans="1:38" hidden="1">
      <c r="A3887" s="408"/>
      <c r="B3887" s="83" t="e">
        <f t="array" ref="B3887">SUM(--(FREQUENCY(IF(C$2:C$3072=C3887, MATCH(D$2:D$3072, D$2:D$3072, 0)), ROW(D$2:D$3072)-ROW(D$2)+1) &gt; 0))</f>
        <v>#N/A</v>
      </c>
      <c r="C3887" s="408"/>
      <c r="D3887" s="408"/>
      <c r="E3887" s="408"/>
      <c r="F3887" s="408"/>
      <c r="G3887" s="408"/>
      <c r="H3887" s="408"/>
      <c r="I3887" s="408"/>
      <c r="J3887" s="408"/>
      <c r="K3887" s="408"/>
      <c r="L3887" s="408"/>
      <c r="M3887" s="408"/>
      <c r="N3887" s="408" t="str">
        <f t="shared" si="487"/>
        <v/>
      </c>
      <c r="O3887" s="408"/>
      <c r="P3887" s="408"/>
      <c r="Q3887" s="408"/>
      <c r="R3887" s="408"/>
      <c r="S3887" s="408"/>
      <c r="T3887" s="408"/>
      <c r="U3887" s="408"/>
      <c r="V3887" s="421"/>
      <c r="W3887" s="421"/>
      <c r="X3887" s="421"/>
      <c r="Y3887" s="421"/>
      <c r="Z3887" s="421"/>
      <c r="AA3887" s="421"/>
      <c r="AB3887" s="421"/>
      <c r="AC3887" s="421"/>
      <c r="AD3887" s="421"/>
      <c r="AE3887" s="421"/>
      <c r="AF3887" s="421"/>
      <c r="AG3887" s="421"/>
      <c r="AH3887" s="421"/>
      <c r="AI3887" s="421"/>
      <c r="AJ3887" s="421"/>
      <c r="AK3887" s="421"/>
      <c r="AL3887" s="421"/>
    </row>
    <row r="3888" spans="1:38" hidden="1">
      <c r="A3888" s="408"/>
      <c r="B3888" s="83" t="e">
        <f t="array" ref="B3888">SUM(--(FREQUENCY(IF(C$2:C$3072=C3888, MATCH(D$2:D$3072, D$2:D$3072, 0)), ROW(D$2:D$3072)-ROW(D$2)+1) &gt; 0))</f>
        <v>#N/A</v>
      </c>
      <c r="C3888" s="408"/>
      <c r="D3888" s="408"/>
      <c r="E3888" s="408"/>
      <c r="F3888" s="408"/>
      <c r="G3888" s="408"/>
      <c r="H3888" s="408"/>
      <c r="I3888" s="408"/>
      <c r="J3888" s="408"/>
      <c r="K3888" s="408"/>
      <c r="L3888" s="408"/>
      <c r="M3888" s="408"/>
      <c r="N3888" s="408" t="str">
        <f t="shared" si="487"/>
        <v/>
      </c>
      <c r="O3888" s="408"/>
      <c r="P3888" s="408"/>
      <c r="Q3888" s="408"/>
      <c r="R3888" s="408"/>
      <c r="S3888" s="408"/>
      <c r="T3888" s="408"/>
      <c r="U3888" s="408"/>
      <c r="V3888" s="421"/>
      <c r="W3888" s="421"/>
      <c r="X3888" s="421"/>
      <c r="Y3888" s="421"/>
      <c r="Z3888" s="421"/>
      <c r="AA3888" s="421"/>
      <c r="AB3888" s="421"/>
      <c r="AC3888" s="421"/>
      <c r="AD3888" s="421"/>
      <c r="AE3888" s="421"/>
      <c r="AF3888" s="421"/>
      <c r="AG3888" s="421"/>
      <c r="AH3888" s="421"/>
      <c r="AI3888" s="421"/>
      <c r="AJ3888" s="421"/>
      <c r="AK3888" s="421"/>
      <c r="AL3888" s="421"/>
    </row>
    <row r="3889" spans="1:38" hidden="1">
      <c r="A3889" s="408"/>
      <c r="B3889" s="83" t="e">
        <f t="array" ref="B3889">SUM(--(FREQUENCY(IF(C$2:C$3072=C3889, MATCH(D$2:D$3072, D$2:D$3072, 0)), ROW(D$2:D$3072)-ROW(D$2)+1) &gt; 0))</f>
        <v>#N/A</v>
      </c>
      <c r="C3889" s="408"/>
      <c r="D3889" s="408"/>
      <c r="E3889" s="408"/>
      <c r="F3889" s="408"/>
      <c r="G3889" s="408"/>
      <c r="H3889" s="408"/>
      <c r="I3889" s="408"/>
      <c r="J3889" s="408"/>
      <c r="K3889" s="408"/>
      <c r="L3889" s="408"/>
      <c r="M3889" s="408"/>
      <c r="N3889" s="408" t="str">
        <f t="shared" si="487"/>
        <v/>
      </c>
      <c r="O3889" s="408"/>
      <c r="P3889" s="408"/>
      <c r="Q3889" s="408"/>
      <c r="R3889" s="408"/>
      <c r="S3889" s="408"/>
      <c r="T3889" s="408"/>
      <c r="U3889" s="408"/>
      <c r="V3889" s="421"/>
      <c r="W3889" s="421"/>
      <c r="X3889" s="421"/>
      <c r="Y3889" s="421"/>
      <c r="Z3889" s="421"/>
      <c r="AA3889" s="421"/>
      <c r="AB3889" s="421"/>
      <c r="AC3889" s="421"/>
      <c r="AD3889" s="421"/>
      <c r="AE3889" s="421"/>
      <c r="AF3889" s="421"/>
      <c r="AG3889" s="421"/>
      <c r="AH3889" s="421"/>
      <c r="AI3889" s="421"/>
      <c r="AJ3889" s="421"/>
      <c r="AK3889" s="421"/>
      <c r="AL3889" s="421"/>
    </row>
    <row r="3890" spans="1:38" hidden="1">
      <c r="A3890" s="408"/>
      <c r="B3890" s="83" t="e">
        <f t="array" ref="B3890">SUM(--(FREQUENCY(IF(C$2:C$3072=C3890, MATCH(D$2:D$3072, D$2:D$3072, 0)), ROW(D$2:D$3072)-ROW(D$2)+1) &gt; 0))</f>
        <v>#N/A</v>
      </c>
      <c r="C3890" s="408"/>
      <c r="D3890" s="408"/>
      <c r="E3890" s="408"/>
      <c r="F3890" s="408"/>
      <c r="G3890" s="408"/>
      <c r="H3890" s="408"/>
      <c r="I3890" s="408"/>
      <c r="J3890" s="408"/>
      <c r="K3890" s="408"/>
      <c r="L3890" s="408"/>
      <c r="M3890" s="408"/>
      <c r="N3890" s="408" t="str">
        <f t="shared" si="487"/>
        <v/>
      </c>
      <c r="O3890" s="408"/>
      <c r="P3890" s="408"/>
      <c r="Q3890" s="408"/>
      <c r="R3890" s="408"/>
      <c r="S3890" s="408"/>
      <c r="T3890" s="408"/>
      <c r="U3890" s="408"/>
      <c r="V3890" s="421"/>
      <c r="W3890" s="421"/>
      <c r="X3890" s="421"/>
      <c r="Y3890" s="421"/>
      <c r="Z3890" s="421"/>
      <c r="AA3890" s="421"/>
      <c r="AB3890" s="421"/>
      <c r="AC3890" s="421"/>
      <c r="AD3890" s="421"/>
      <c r="AE3890" s="421"/>
      <c r="AF3890" s="421"/>
      <c r="AG3890" s="421"/>
      <c r="AH3890" s="421"/>
      <c r="AI3890" s="421"/>
      <c r="AJ3890" s="421"/>
      <c r="AK3890" s="421"/>
      <c r="AL3890" s="421"/>
    </row>
    <row r="3891" spans="1:38" hidden="1">
      <c r="A3891" s="408"/>
      <c r="B3891" s="83" t="e">
        <f t="array" ref="B3891">SUM(--(FREQUENCY(IF(C$2:C$3072=C3891, MATCH(D$2:D$3072, D$2:D$3072, 0)), ROW(D$2:D$3072)-ROW(D$2)+1) &gt; 0))</f>
        <v>#N/A</v>
      </c>
      <c r="C3891" s="408"/>
      <c r="D3891" s="408"/>
      <c r="E3891" s="408"/>
      <c r="F3891" s="408"/>
      <c r="G3891" s="408"/>
      <c r="H3891" s="408"/>
      <c r="I3891" s="408"/>
      <c r="J3891" s="408"/>
      <c r="K3891" s="408"/>
      <c r="L3891" s="408"/>
      <c r="M3891" s="408"/>
      <c r="N3891" s="408" t="str">
        <f t="shared" si="487"/>
        <v/>
      </c>
      <c r="O3891" s="408"/>
      <c r="P3891" s="408"/>
      <c r="Q3891" s="408"/>
      <c r="R3891" s="408"/>
      <c r="S3891" s="408"/>
      <c r="T3891" s="408"/>
      <c r="U3891" s="408"/>
      <c r="V3891" s="421"/>
      <c r="W3891" s="421"/>
      <c r="X3891" s="421"/>
      <c r="Y3891" s="421"/>
      <c r="Z3891" s="421"/>
      <c r="AA3891" s="421"/>
      <c r="AB3891" s="421"/>
      <c r="AC3891" s="421"/>
      <c r="AD3891" s="421"/>
      <c r="AE3891" s="421"/>
      <c r="AF3891" s="421"/>
      <c r="AG3891" s="421"/>
      <c r="AH3891" s="421"/>
      <c r="AI3891" s="421"/>
      <c r="AJ3891" s="421"/>
      <c r="AK3891" s="421"/>
      <c r="AL3891" s="421"/>
    </row>
    <row r="3892" spans="1:38" hidden="1">
      <c r="A3892" s="408"/>
      <c r="B3892" s="83" t="e">
        <f t="array" ref="B3892">SUM(--(FREQUENCY(IF(C$2:C$3072=C3892, MATCH(D$2:D$3072, D$2:D$3072, 0)), ROW(D$2:D$3072)-ROW(D$2)+1) &gt; 0))</f>
        <v>#N/A</v>
      </c>
      <c r="C3892" s="408"/>
      <c r="D3892" s="408"/>
      <c r="E3892" s="408"/>
      <c r="F3892" s="408"/>
      <c r="G3892" s="408"/>
      <c r="H3892" s="408"/>
      <c r="I3892" s="408"/>
      <c r="J3892" s="408"/>
      <c r="K3892" s="408"/>
      <c r="L3892" s="408"/>
      <c r="M3892" s="408"/>
      <c r="N3892" s="408" t="str">
        <f t="shared" si="487"/>
        <v/>
      </c>
      <c r="O3892" s="408"/>
      <c r="P3892" s="408"/>
      <c r="Q3892" s="408"/>
      <c r="R3892" s="408"/>
      <c r="S3892" s="408"/>
      <c r="T3892" s="408"/>
      <c r="U3892" s="408"/>
      <c r="V3892" s="421"/>
      <c r="W3892" s="421"/>
      <c r="X3892" s="421"/>
      <c r="Y3892" s="421"/>
      <c r="Z3892" s="421"/>
      <c r="AA3892" s="421"/>
      <c r="AB3892" s="421"/>
      <c r="AC3892" s="421"/>
      <c r="AD3892" s="421"/>
      <c r="AE3892" s="421"/>
      <c r="AF3892" s="421"/>
      <c r="AG3892" s="421"/>
      <c r="AH3892" s="421"/>
      <c r="AI3892" s="421"/>
      <c r="AJ3892" s="421"/>
      <c r="AK3892" s="421"/>
      <c r="AL3892" s="421"/>
    </row>
    <row r="3893" spans="1:38" hidden="1">
      <c r="A3893" s="408"/>
      <c r="B3893" s="83" t="e">
        <f t="array" ref="B3893">SUM(--(FREQUENCY(IF(C$2:C$3072=C3893, MATCH(D$2:D$3072, D$2:D$3072, 0)), ROW(D$2:D$3072)-ROW(D$2)+1) &gt; 0))</f>
        <v>#N/A</v>
      </c>
      <c r="C3893" s="408"/>
      <c r="D3893" s="408"/>
      <c r="E3893" s="408"/>
      <c r="F3893" s="408"/>
      <c r="G3893" s="408"/>
      <c r="H3893" s="408"/>
      <c r="I3893" s="408"/>
      <c r="J3893" s="408"/>
      <c r="K3893" s="408"/>
      <c r="L3893" s="408"/>
      <c r="M3893" s="408"/>
      <c r="N3893" s="408" t="str">
        <f t="shared" si="487"/>
        <v/>
      </c>
      <c r="O3893" s="408"/>
      <c r="P3893" s="408"/>
      <c r="Q3893" s="408"/>
      <c r="R3893" s="408"/>
      <c r="S3893" s="408"/>
      <c r="T3893" s="408"/>
      <c r="U3893" s="408"/>
      <c r="V3893" s="421"/>
      <c r="W3893" s="421"/>
      <c r="X3893" s="421"/>
      <c r="Y3893" s="421"/>
      <c r="Z3893" s="421"/>
      <c r="AA3893" s="421"/>
      <c r="AB3893" s="421"/>
      <c r="AC3893" s="421"/>
      <c r="AD3893" s="421"/>
      <c r="AE3893" s="421"/>
      <c r="AF3893" s="421"/>
      <c r="AG3893" s="421"/>
      <c r="AH3893" s="421"/>
      <c r="AI3893" s="421"/>
      <c r="AJ3893" s="421"/>
      <c r="AK3893" s="421"/>
      <c r="AL3893" s="421"/>
    </row>
    <row r="3894" spans="1:38" hidden="1">
      <c r="A3894" s="408"/>
      <c r="B3894" s="83" t="e">
        <f t="array" ref="B3894">SUM(--(FREQUENCY(IF(C$2:C$3072=C3894, MATCH(D$2:D$3072, D$2:D$3072, 0)), ROW(D$2:D$3072)-ROW(D$2)+1) &gt; 0))</f>
        <v>#N/A</v>
      </c>
      <c r="C3894" s="408"/>
      <c r="D3894" s="408"/>
      <c r="E3894" s="408"/>
      <c r="F3894" s="408"/>
      <c r="G3894" s="408"/>
      <c r="H3894" s="408"/>
      <c r="I3894" s="408"/>
      <c r="J3894" s="408"/>
      <c r="K3894" s="408"/>
      <c r="L3894" s="408"/>
      <c r="M3894" s="408"/>
      <c r="N3894" s="408" t="str">
        <f t="shared" si="487"/>
        <v/>
      </c>
      <c r="O3894" s="408"/>
      <c r="P3894" s="408"/>
      <c r="Q3894" s="408"/>
      <c r="R3894" s="408"/>
      <c r="S3894" s="408"/>
      <c r="T3894" s="408"/>
      <c r="U3894" s="408"/>
      <c r="V3894" s="421"/>
      <c r="W3894" s="421"/>
      <c r="X3894" s="421"/>
      <c r="Y3894" s="421"/>
      <c r="Z3894" s="421"/>
      <c r="AA3894" s="421"/>
      <c r="AB3894" s="421"/>
      <c r="AC3894" s="421"/>
      <c r="AD3894" s="421"/>
      <c r="AE3894" s="421"/>
      <c r="AF3894" s="421"/>
      <c r="AG3894" s="421"/>
      <c r="AH3894" s="421"/>
      <c r="AI3894" s="421"/>
      <c r="AJ3894" s="421"/>
      <c r="AK3894" s="421"/>
      <c r="AL3894" s="421"/>
    </row>
    <row r="3895" spans="1:38" hidden="1">
      <c r="A3895" s="408"/>
      <c r="B3895" s="83" t="e">
        <f t="array" ref="B3895">SUM(--(FREQUENCY(IF(C$2:C$3072=C3895, MATCH(D$2:D$3072, D$2:D$3072, 0)), ROW(D$2:D$3072)-ROW(D$2)+1) &gt; 0))</f>
        <v>#N/A</v>
      </c>
      <c r="C3895" s="408"/>
      <c r="D3895" s="408"/>
      <c r="E3895" s="408"/>
      <c r="F3895" s="408"/>
      <c r="G3895" s="408"/>
      <c r="H3895" s="408"/>
      <c r="I3895" s="408"/>
      <c r="J3895" s="408"/>
      <c r="K3895" s="408"/>
      <c r="L3895" s="408"/>
      <c r="M3895" s="408"/>
      <c r="N3895" s="408" t="str">
        <f t="shared" si="487"/>
        <v/>
      </c>
      <c r="O3895" s="408"/>
      <c r="P3895" s="408"/>
      <c r="Q3895" s="408"/>
      <c r="R3895" s="408"/>
      <c r="S3895" s="408"/>
      <c r="T3895" s="408"/>
      <c r="U3895" s="408"/>
      <c r="V3895" s="421"/>
      <c r="W3895" s="421"/>
      <c r="X3895" s="421"/>
      <c r="Y3895" s="421"/>
      <c r="Z3895" s="421"/>
      <c r="AA3895" s="421"/>
      <c r="AB3895" s="421"/>
      <c r="AC3895" s="421"/>
      <c r="AD3895" s="421"/>
      <c r="AE3895" s="421"/>
      <c r="AF3895" s="421"/>
      <c r="AG3895" s="421"/>
      <c r="AH3895" s="421"/>
      <c r="AI3895" s="421"/>
      <c r="AJ3895" s="421"/>
      <c r="AK3895" s="421"/>
      <c r="AL3895" s="421"/>
    </row>
    <row r="3896" spans="1:38" hidden="1">
      <c r="A3896" s="408"/>
      <c r="B3896" s="83" t="e">
        <f t="array" ref="B3896">SUM(--(FREQUENCY(IF(C$2:C$3072=C3896, MATCH(D$2:D$3072, D$2:D$3072, 0)), ROW(D$2:D$3072)-ROW(D$2)+1) &gt; 0))</f>
        <v>#N/A</v>
      </c>
      <c r="C3896" s="408"/>
      <c r="D3896" s="408"/>
      <c r="E3896" s="408"/>
      <c r="F3896" s="408"/>
      <c r="G3896" s="408"/>
      <c r="H3896" s="408"/>
      <c r="I3896" s="408"/>
      <c r="J3896" s="408"/>
      <c r="K3896" s="408"/>
      <c r="L3896" s="408"/>
      <c r="M3896" s="408"/>
      <c r="N3896" s="408" t="str">
        <f t="shared" si="487"/>
        <v/>
      </c>
      <c r="O3896" s="408"/>
      <c r="P3896" s="408"/>
      <c r="Q3896" s="408"/>
      <c r="R3896" s="408"/>
      <c r="S3896" s="408"/>
      <c r="T3896" s="408"/>
      <c r="U3896" s="408"/>
      <c r="V3896" s="421"/>
      <c r="W3896" s="421"/>
      <c r="X3896" s="421"/>
      <c r="Y3896" s="421"/>
      <c r="Z3896" s="421"/>
      <c r="AA3896" s="421"/>
      <c r="AB3896" s="421"/>
      <c r="AC3896" s="421"/>
      <c r="AD3896" s="421"/>
      <c r="AE3896" s="421"/>
      <c r="AF3896" s="421"/>
      <c r="AG3896" s="421"/>
      <c r="AH3896" s="421"/>
      <c r="AI3896" s="421"/>
      <c r="AJ3896" s="421"/>
      <c r="AK3896" s="421"/>
      <c r="AL3896" s="421"/>
    </row>
    <row r="3897" spans="1:38" hidden="1">
      <c r="A3897" s="408"/>
      <c r="B3897" s="83" t="e">
        <f t="array" ref="B3897">SUM(--(FREQUENCY(IF(C$2:C$3072=C3897, MATCH(D$2:D$3072, D$2:D$3072, 0)), ROW(D$2:D$3072)-ROW(D$2)+1) &gt; 0))</f>
        <v>#N/A</v>
      </c>
      <c r="C3897" s="408"/>
      <c r="D3897" s="408"/>
      <c r="E3897" s="408"/>
      <c r="F3897" s="408"/>
      <c r="G3897" s="408"/>
      <c r="H3897" s="408"/>
      <c r="I3897" s="408"/>
      <c r="J3897" s="408"/>
      <c r="K3897" s="408"/>
      <c r="L3897" s="408"/>
      <c r="M3897" s="408"/>
      <c r="N3897" s="408" t="str">
        <f t="shared" si="487"/>
        <v/>
      </c>
      <c r="O3897" s="408"/>
      <c r="P3897" s="408"/>
      <c r="Q3897" s="408"/>
      <c r="R3897" s="408"/>
      <c r="S3897" s="408"/>
      <c r="T3897" s="408"/>
      <c r="U3897" s="408"/>
      <c r="V3897" s="421"/>
      <c r="W3897" s="421"/>
      <c r="X3897" s="421"/>
      <c r="Y3897" s="421"/>
      <c r="Z3897" s="421"/>
      <c r="AA3897" s="421"/>
      <c r="AB3897" s="421"/>
      <c r="AC3897" s="421"/>
      <c r="AD3897" s="421"/>
      <c r="AE3897" s="421"/>
      <c r="AF3897" s="421"/>
      <c r="AG3897" s="421"/>
      <c r="AH3897" s="421"/>
      <c r="AI3897" s="421"/>
      <c r="AJ3897" s="421"/>
      <c r="AK3897" s="421"/>
      <c r="AL3897" s="421"/>
    </row>
    <row r="3898" spans="1:38" hidden="1">
      <c r="A3898" s="408"/>
      <c r="B3898" s="83" t="e">
        <f t="array" ref="B3898">SUM(--(FREQUENCY(IF(C$2:C$3072=C3898, MATCH(D$2:D$3072, D$2:D$3072, 0)), ROW(D$2:D$3072)-ROW(D$2)+1) &gt; 0))</f>
        <v>#N/A</v>
      </c>
      <c r="C3898" s="408"/>
      <c r="D3898" s="408"/>
      <c r="E3898" s="408"/>
      <c r="F3898" s="408"/>
      <c r="G3898" s="408"/>
      <c r="H3898" s="408"/>
      <c r="I3898" s="408"/>
      <c r="J3898" s="408"/>
      <c r="K3898" s="408"/>
      <c r="L3898" s="408"/>
      <c r="M3898" s="408"/>
      <c r="N3898" s="408" t="str">
        <f t="shared" si="487"/>
        <v/>
      </c>
      <c r="O3898" s="408"/>
      <c r="P3898" s="408"/>
      <c r="Q3898" s="408"/>
      <c r="R3898" s="408"/>
      <c r="S3898" s="408"/>
      <c r="T3898" s="408"/>
      <c r="U3898" s="408"/>
      <c r="V3898" s="421"/>
      <c r="W3898" s="421"/>
      <c r="X3898" s="421"/>
      <c r="Y3898" s="421"/>
      <c r="Z3898" s="421"/>
      <c r="AA3898" s="421"/>
      <c r="AB3898" s="421"/>
      <c r="AC3898" s="421"/>
      <c r="AD3898" s="421"/>
      <c r="AE3898" s="421"/>
      <c r="AF3898" s="421"/>
      <c r="AG3898" s="421"/>
      <c r="AH3898" s="421"/>
      <c r="AI3898" s="421"/>
      <c r="AJ3898" s="421"/>
      <c r="AK3898" s="421"/>
      <c r="AL3898" s="421"/>
    </row>
    <row r="3899" spans="1:38" hidden="1">
      <c r="A3899" s="408"/>
      <c r="B3899" s="83" t="e">
        <f t="array" ref="B3899">SUM(--(FREQUENCY(IF(C$2:C$3072=C3899, MATCH(D$2:D$3072, D$2:D$3072, 0)), ROW(D$2:D$3072)-ROW(D$2)+1) &gt; 0))</f>
        <v>#N/A</v>
      </c>
      <c r="C3899" s="408"/>
      <c r="D3899" s="408"/>
      <c r="E3899" s="408"/>
      <c r="F3899" s="408"/>
      <c r="G3899" s="408"/>
      <c r="H3899" s="408"/>
      <c r="I3899" s="408"/>
      <c r="J3899" s="408"/>
      <c r="K3899" s="408"/>
      <c r="L3899" s="408"/>
      <c r="M3899" s="408"/>
      <c r="N3899" s="408" t="str">
        <f t="shared" si="487"/>
        <v/>
      </c>
      <c r="O3899" s="408"/>
      <c r="P3899" s="408"/>
      <c r="Q3899" s="408"/>
      <c r="R3899" s="408"/>
      <c r="S3899" s="408"/>
      <c r="T3899" s="408"/>
      <c r="U3899" s="408"/>
      <c r="V3899" s="421"/>
      <c r="W3899" s="421"/>
      <c r="X3899" s="421"/>
      <c r="Y3899" s="421"/>
      <c r="Z3899" s="421"/>
      <c r="AA3899" s="421"/>
      <c r="AB3899" s="421"/>
      <c r="AC3899" s="421"/>
      <c r="AD3899" s="421"/>
      <c r="AE3899" s="421"/>
      <c r="AF3899" s="421"/>
      <c r="AG3899" s="421"/>
      <c r="AH3899" s="421"/>
      <c r="AI3899" s="421"/>
      <c r="AJ3899" s="421"/>
      <c r="AK3899" s="421"/>
      <c r="AL3899" s="421"/>
    </row>
    <row r="3900" spans="1:38" hidden="1">
      <c r="A3900" s="408"/>
      <c r="B3900" s="83" t="e">
        <f t="array" ref="B3900">SUM(--(FREQUENCY(IF(C$2:C$3072=C3900, MATCH(D$2:D$3072, D$2:D$3072, 0)), ROW(D$2:D$3072)-ROW(D$2)+1) &gt; 0))</f>
        <v>#N/A</v>
      </c>
      <c r="C3900" s="408"/>
      <c r="D3900" s="408"/>
      <c r="E3900" s="408"/>
      <c r="F3900" s="408"/>
      <c r="G3900" s="408"/>
      <c r="H3900" s="408"/>
      <c r="I3900" s="408"/>
      <c r="J3900" s="408"/>
      <c r="K3900" s="408"/>
      <c r="L3900" s="408"/>
      <c r="M3900" s="408"/>
      <c r="N3900" s="408" t="str">
        <f t="shared" si="487"/>
        <v/>
      </c>
      <c r="O3900" s="408"/>
      <c r="P3900" s="408"/>
      <c r="Q3900" s="408"/>
      <c r="R3900" s="408"/>
      <c r="S3900" s="408"/>
      <c r="T3900" s="408"/>
      <c r="U3900" s="408"/>
      <c r="V3900" s="421"/>
      <c r="W3900" s="421"/>
      <c r="X3900" s="421"/>
      <c r="Y3900" s="421"/>
      <c r="Z3900" s="421"/>
      <c r="AA3900" s="421"/>
      <c r="AB3900" s="421"/>
      <c r="AC3900" s="421"/>
      <c r="AD3900" s="421"/>
      <c r="AE3900" s="421"/>
      <c r="AF3900" s="421"/>
      <c r="AG3900" s="421"/>
      <c r="AH3900" s="421"/>
      <c r="AI3900" s="421"/>
      <c r="AJ3900" s="421"/>
      <c r="AK3900" s="421"/>
      <c r="AL3900" s="421"/>
    </row>
    <row r="3901" spans="1:38" hidden="1">
      <c r="A3901" s="408"/>
      <c r="B3901" s="83" t="e">
        <f t="array" ref="B3901">SUM(--(FREQUENCY(IF(C$2:C$3072=C3901, MATCH(D$2:D$3072, D$2:D$3072, 0)), ROW(D$2:D$3072)-ROW(D$2)+1) &gt; 0))</f>
        <v>#N/A</v>
      </c>
      <c r="C3901" s="408"/>
      <c r="D3901" s="408"/>
      <c r="E3901" s="408"/>
      <c r="F3901" s="408"/>
      <c r="G3901" s="408"/>
      <c r="H3901" s="408"/>
      <c r="I3901" s="408"/>
      <c r="J3901" s="408"/>
      <c r="K3901" s="408"/>
      <c r="L3901" s="408"/>
      <c r="M3901" s="408"/>
      <c r="N3901" s="408" t="str">
        <f t="shared" si="487"/>
        <v/>
      </c>
      <c r="O3901" s="408"/>
      <c r="P3901" s="408"/>
      <c r="Q3901" s="408"/>
      <c r="R3901" s="408"/>
      <c r="S3901" s="408"/>
      <c r="T3901" s="408"/>
      <c r="U3901" s="408"/>
      <c r="V3901" s="421"/>
      <c r="W3901" s="421"/>
      <c r="X3901" s="421"/>
      <c r="Y3901" s="421"/>
      <c r="Z3901" s="421"/>
      <c r="AA3901" s="421"/>
      <c r="AB3901" s="421"/>
      <c r="AC3901" s="421"/>
      <c r="AD3901" s="421"/>
      <c r="AE3901" s="421"/>
      <c r="AF3901" s="421"/>
      <c r="AG3901" s="421"/>
      <c r="AH3901" s="421"/>
      <c r="AI3901" s="421"/>
      <c r="AJ3901" s="421"/>
      <c r="AK3901" s="421"/>
      <c r="AL3901" s="421"/>
    </row>
    <row r="3902" spans="1:38" hidden="1">
      <c r="A3902" s="408"/>
      <c r="B3902" s="83" t="e">
        <f t="array" ref="B3902">SUM(--(FREQUENCY(IF(C$2:C$3072=C3902, MATCH(D$2:D$3072, D$2:D$3072, 0)), ROW(D$2:D$3072)-ROW(D$2)+1) &gt; 0))</f>
        <v>#N/A</v>
      </c>
      <c r="C3902" s="408"/>
      <c r="D3902" s="408"/>
      <c r="E3902" s="408"/>
      <c r="F3902" s="408"/>
      <c r="G3902" s="408"/>
      <c r="H3902" s="408"/>
      <c r="I3902" s="408"/>
      <c r="J3902" s="408"/>
      <c r="K3902" s="408"/>
      <c r="L3902" s="408"/>
      <c r="M3902" s="408"/>
      <c r="N3902" s="408" t="str">
        <f t="shared" si="487"/>
        <v/>
      </c>
      <c r="O3902" s="408"/>
      <c r="P3902" s="408"/>
      <c r="Q3902" s="408"/>
      <c r="R3902" s="408"/>
      <c r="S3902" s="408"/>
      <c r="T3902" s="408"/>
      <c r="U3902" s="408"/>
      <c r="V3902" s="421"/>
      <c r="W3902" s="421"/>
      <c r="X3902" s="421"/>
      <c r="Y3902" s="421"/>
      <c r="Z3902" s="421"/>
      <c r="AA3902" s="421"/>
      <c r="AB3902" s="421"/>
      <c r="AC3902" s="421"/>
      <c r="AD3902" s="421"/>
      <c r="AE3902" s="421"/>
      <c r="AF3902" s="421"/>
      <c r="AG3902" s="421"/>
      <c r="AH3902" s="421"/>
      <c r="AI3902" s="421"/>
      <c r="AJ3902" s="421"/>
      <c r="AK3902" s="421"/>
      <c r="AL3902" s="421"/>
    </row>
    <row r="3903" spans="1:38" hidden="1">
      <c r="A3903" s="408"/>
      <c r="B3903" s="83" t="e">
        <f t="array" ref="B3903">SUM(--(FREQUENCY(IF(C$2:C$3072=C3903, MATCH(D$2:D$3072, D$2:D$3072, 0)), ROW(D$2:D$3072)-ROW(D$2)+1) &gt; 0))</f>
        <v>#N/A</v>
      </c>
      <c r="C3903" s="408"/>
      <c r="D3903" s="408"/>
      <c r="E3903" s="408"/>
      <c r="F3903" s="408"/>
      <c r="G3903" s="408"/>
      <c r="H3903" s="408"/>
      <c r="I3903" s="408"/>
      <c r="J3903" s="408"/>
      <c r="K3903" s="408"/>
      <c r="L3903" s="408"/>
      <c r="M3903" s="408"/>
      <c r="N3903" s="408" t="str">
        <f t="shared" si="487"/>
        <v/>
      </c>
      <c r="O3903" s="408"/>
      <c r="P3903" s="408"/>
      <c r="Q3903" s="408"/>
      <c r="R3903" s="408"/>
      <c r="S3903" s="408"/>
      <c r="T3903" s="408"/>
      <c r="U3903" s="408"/>
      <c r="V3903" s="421"/>
      <c r="W3903" s="421"/>
      <c r="X3903" s="421"/>
      <c r="Y3903" s="421"/>
      <c r="Z3903" s="421"/>
      <c r="AA3903" s="421"/>
      <c r="AB3903" s="421"/>
      <c r="AC3903" s="421"/>
      <c r="AD3903" s="421"/>
      <c r="AE3903" s="421"/>
      <c r="AF3903" s="421"/>
      <c r="AG3903" s="421"/>
      <c r="AH3903" s="421"/>
      <c r="AI3903" s="421"/>
      <c r="AJ3903" s="421"/>
      <c r="AK3903" s="421"/>
      <c r="AL3903" s="421"/>
    </row>
    <row r="3904" spans="1:38" hidden="1">
      <c r="A3904" s="408"/>
      <c r="B3904" s="83" t="e">
        <f t="array" ref="B3904">SUM(--(FREQUENCY(IF(C$2:C$3072=C3904, MATCH(D$2:D$3072, D$2:D$3072, 0)), ROW(D$2:D$3072)-ROW(D$2)+1) &gt; 0))</f>
        <v>#N/A</v>
      </c>
      <c r="C3904" s="408"/>
      <c r="D3904" s="408"/>
      <c r="E3904" s="408"/>
      <c r="F3904" s="408"/>
      <c r="G3904" s="408"/>
      <c r="H3904" s="408"/>
      <c r="I3904" s="408"/>
      <c r="J3904" s="408"/>
      <c r="K3904" s="408"/>
      <c r="L3904" s="408"/>
      <c r="M3904" s="408"/>
      <c r="N3904" s="408" t="str">
        <f t="shared" ref="N3904:N3967" si="488">IF(O3904&lt;&gt;"", "NG", "")</f>
        <v/>
      </c>
      <c r="O3904" s="408"/>
      <c r="P3904" s="408"/>
      <c r="Q3904" s="408"/>
      <c r="R3904" s="408"/>
      <c r="S3904" s="408"/>
      <c r="T3904" s="408"/>
      <c r="U3904" s="408"/>
      <c r="V3904" s="421"/>
      <c r="W3904" s="421"/>
      <c r="X3904" s="421"/>
      <c r="Y3904" s="421"/>
      <c r="Z3904" s="421"/>
      <c r="AA3904" s="421"/>
      <c r="AB3904" s="421"/>
      <c r="AC3904" s="421"/>
      <c r="AD3904" s="421"/>
      <c r="AE3904" s="421"/>
      <c r="AF3904" s="421"/>
      <c r="AG3904" s="421"/>
      <c r="AH3904" s="421"/>
      <c r="AI3904" s="421"/>
      <c r="AJ3904" s="421"/>
      <c r="AK3904" s="421"/>
      <c r="AL3904" s="421"/>
    </row>
    <row r="3905" spans="1:38" hidden="1">
      <c r="A3905" s="408"/>
      <c r="B3905" s="83" t="e">
        <f t="array" ref="B3905">SUM(--(FREQUENCY(IF(C$2:C$3072=C3905, MATCH(D$2:D$3072, D$2:D$3072, 0)), ROW(D$2:D$3072)-ROW(D$2)+1) &gt; 0))</f>
        <v>#N/A</v>
      </c>
      <c r="C3905" s="408"/>
      <c r="D3905" s="408"/>
      <c r="E3905" s="408"/>
      <c r="F3905" s="408"/>
      <c r="G3905" s="408"/>
      <c r="H3905" s="408"/>
      <c r="I3905" s="408"/>
      <c r="J3905" s="408"/>
      <c r="K3905" s="408"/>
      <c r="L3905" s="408"/>
      <c r="M3905" s="408"/>
      <c r="N3905" s="408" t="str">
        <f t="shared" si="488"/>
        <v/>
      </c>
      <c r="O3905" s="408"/>
      <c r="P3905" s="408"/>
      <c r="Q3905" s="408"/>
      <c r="R3905" s="408"/>
      <c r="S3905" s="408"/>
      <c r="T3905" s="408"/>
      <c r="U3905" s="408"/>
      <c r="V3905" s="421"/>
      <c r="W3905" s="421"/>
      <c r="X3905" s="421"/>
      <c r="Y3905" s="421"/>
      <c r="Z3905" s="421"/>
      <c r="AA3905" s="421"/>
      <c r="AB3905" s="421"/>
      <c r="AC3905" s="421"/>
      <c r="AD3905" s="421"/>
      <c r="AE3905" s="421"/>
      <c r="AF3905" s="421"/>
      <c r="AG3905" s="421"/>
      <c r="AH3905" s="421"/>
      <c r="AI3905" s="421"/>
      <c r="AJ3905" s="421"/>
      <c r="AK3905" s="421"/>
      <c r="AL3905" s="421"/>
    </row>
    <row r="3906" spans="1:38" hidden="1">
      <c r="A3906" s="408"/>
      <c r="B3906" s="83" t="e">
        <f t="array" ref="B3906">SUM(--(FREQUENCY(IF(C$2:C$3072=C3906, MATCH(D$2:D$3072, D$2:D$3072, 0)), ROW(D$2:D$3072)-ROW(D$2)+1) &gt; 0))</f>
        <v>#N/A</v>
      </c>
      <c r="C3906" s="408"/>
      <c r="D3906" s="408"/>
      <c r="E3906" s="408"/>
      <c r="F3906" s="408"/>
      <c r="G3906" s="408"/>
      <c r="H3906" s="408"/>
      <c r="I3906" s="408"/>
      <c r="J3906" s="408"/>
      <c r="K3906" s="408"/>
      <c r="L3906" s="408"/>
      <c r="M3906" s="408"/>
      <c r="N3906" s="408" t="str">
        <f t="shared" si="488"/>
        <v/>
      </c>
      <c r="O3906" s="408"/>
      <c r="P3906" s="408"/>
      <c r="Q3906" s="408"/>
      <c r="R3906" s="408"/>
      <c r="S3906" s="408"/>
      <c r="T3906" s="408"/>
      <c r="U3906" s="408"/>
      <c r="V3906" s="421"/>
      <c r="W3906" s="421"/>
      <c r="X3906" s="421"/>
      <c r="Y3906" s="421"/>
      <c r="Z3906" s="421"/>
      <c r="AA3906" s="421"/>
      <c r="AB3906" s="421"/>
      <c r="AC3906" s="421"/>
      <c r="AD3906" s="421"/>
      <c r="AE3906" s="421"/>
      <c r="AF3906" s="421"/>
      <c r="AG3906" s="421"/>
      <c r="AH3906" s="421"/>
      <c r="AI3906" s="421"/>
      <c r="AJ3906" s="421"/>
      <c r="AK3906" s="421"/>
      <c r="AL3906" s="421"/>
    </row>
    <row r="3907" spans="1:38" hidden="1">
      <c r="A3907" s="408"/>
      <c r="B3907" s="83" t="e">
        <f t="array" ref="B3907">SUM(--(FREQUENCY(IF(C$2:C$3072=C3907, MATCH(D$2:D$3072, D$2:D$3072, 0)), ROW(D$2:D$3072)-ROW(D$2)+1) &gt; 0))</f>
        <v>#N/A</v>
      </c>
      <c r="C3907" s="408"/>
      <c r="D3907" s="408"/>
      <c r="E3907" s="408"/>
      <c r="F3907" s="408"/>
      <c r="G3907" s="408"/>
      <c r="H3907" s="408"/>
      <c r="I3907" s="408"/>
      <c r="J3907" s="408"/>
      <c r="K3907" s="408"/>
      <c r="L3907" s="408"/>
      <c r="M3907" s="408"/>
      <c r="N3907" s="408" t="str">
        <f t="shared" si="488"/>
        <v/>
      </c>
      <c r="O3907" s="408"/>
      <c r="P3907" s="408"/>
      <c r="Q3907" s="408"/>
      <c r="R3907" s="408"/>
      <c r="S3907" s="408"/>
      <c r="T3907" s="408"/>
      <c r="U3907" s="408"/>
      <c r="V3907" s="421"/>
      <c r="W3907" s="421"/>
      <c r="X3907" s="421"/>
      <c r="Y3907" s="421"/>
      <c r="Z3907" s="421"/>
      <c r="AA3907" s="421"/>
      <c r="AB3907" s="421"/>
      <c r="AC3907" s="421"/>
      <c r="AD3907" s="421"/>
      <c r="AE3907" s="421"/>
      <c r="AF3907" s="421"/>
      <c r="AG3907" s="421"/>
      <c r="AH3907" s="421"/>
      <c r="AI3907" s="421"/>
      <c r="AJ3907" s="421"/>
      <c r="AK3907" s="421"/>
      <c r="AL3907" s="421"/>
    </row>
    <row r="3908" spans="1:38" hidden="1">
      <c r="A3908" s="408"/>
      <c r="B3908" s="83" t="e">
        <f t="array" ref="B3908">SUM(--(FREQUENCY(IF(C$2:C$3072=C3908, MATCH(D$2:D$3072, D$2:D$3072, 0)), ROW(D$2:D$3072)-ROW(D$2)+1) &gt; 0))</f>
        <v>#N/A</v>
      </c>
      <c r="C3908" s="408"/>
      <c r="D3908" s="408"/>
      <c r="E3908" s="408"/>
      <c r="F3908" s="408"/>
      <c r="G3908" s="408"/>
      <c r="H3908" s="408"/>
      <c r="I3908" s="408"/>
      <c r="J3908" s="408"/>
      <c r="K3908" s="408"/>
      <c r="L3908" s="408"/>
      <c r="M3908" s="408"/>
      <c r="N3908" s="408" t="str">
        <f t="shared" si="488"/>
        <v/>
      </c>
      <c r="O3908" s="408"/>
      <c r="P3908" s="408"/>
      <c r="Q3908" s="408"/>
      <c r="R3908" s="408"/>
      <c r="S3908" s="408"/>
      <c r="T3908" s="408"/>
      <c r="U3908" s="408"/>
      <c r="V3908" s="421"/>
      <c r="W3908" s="421"/>
      <c r="X3908" s="421"/>
      <c r="Y3908" s="421"/>
      <c r="Z3908" s="421"/>
      <c r="AA3908" s="421"/>
      <c r="AB3908" s="421"/>
      <c r="AC3908" s="421"/>
      <c r="AD3908" s="421"/>
      <c r="AE3908" s="421"/>
      <c r="AF3908" s="421"/>
      <c r="AG3908" s="421"/>
      <c r="AH3908" s="421"/>
      <c r="AI3908" s="421"/>
      <c r="AJ3908" s="421"/>
      <c r="AK3908" s="421"/>
      <c r="AL3908" s="421"/>
    </row>
    <row r="3909" spans="1:38" hidden="1">
      <c r="A3909" s="408"/>
      <c r="B3909" s="83" t="e">
        <f t="array" ref="B3909">SUM(--(FREQUENCY(IF(C$2:C$3072=C3909, MATCH(D$2:D$3072, D$2:D$3072, 0)), ROW(D$2:D$3072)-ROW(D$2)+1) &gt; 0))</f>
        <v>#N/A</v>
      </c>
      <c r="C3909" s="408"/>
      <c r="D3909" s="408"/>
      <c r="E3909" s="408"/>
      <c r="F3909" s="408"/>
      <c r="G3909" s="408"/>
      <c r="H3909" s="408"/>
      <c r="I3909" s="408"/>
      <c r="J3909" s="408"/>
      <c r="K3909" s="408"/>
      <c r="L3909" s="408"/>
      <c r="M3909" s="408"/>
      <c r="N3909" s="408" t="str">
        <f t="shared" si="488"/>
        <v/>
      </c>
      <c r="O3909" s="408"/>
      <c r="P3909" s="408"/>
      <c r="Q3909" s="408"/>
      <c r="R3909" s="408"/>
      <c r="S3909" s="408"/>
      <c r="T3909" s="408"/>
      <c r="U3909" s="408"/>
      <c r="V3909" s="421"/>
      <c r="W3909" s="421"/>
      <c r="X3909" s="421"/>
      <c r="Y3909" s="421"/>
      <c r="Z3909" s="421"/>
      <c r="AA3909" s="421"/>
      <c r="AB3909" s="421"/>
      <c r="AC3909" s="421"/>
      <c r="AD3909" s="421"/>
      <c r="AE3909" s="421"/>
      <c r="AF3909" s="421"/>
      <c r="AG3909" s="421"/>
      <c r="AH3909" s="421"/>
      <c r="AI3909" s="421"/>
      <c r="AJ3909" s="421"/>
      <c r="AK3909" s="421"/>
      <c r="AL3909" s="421"/>
    </row>
    <row r="3910" spans="1:38" hidden="1">
      <c r="A3910" s="408"/>
      <c r="B3910" s="83" t="e">
        <f t="array" ref="B3910">SUM(--(FREQUENCY(IF(C$2:C$3072=C3910, MATCH(D$2:D$3072, D$2:D$3072, 0)), ROW(D$2:D$3072)-ROW(D$2)+1) &gt; 0))</f>
        <v>#N/A</v>
      </c>
      <c r="C3910" s="408"/>
      <c r="D3910" s="408"/>
      <c r="E3910" s="408"/>
      <c r="F3910" s="408"/>
      <c r="G3910" s="408"/>
      <c r="H3910" s="408"/>
      <c r="I3910" s="408"/>
      <c r="J3910" s="408"/>
      <c r="K3910" s="408"/>
      <c r="L3910" s="408"/>
      <c r="M3910" s="408"/>
      <c r="N3910" s="408" t="str">
        <f t="shared" si="488"/>
        <v/>
      </c>
      <c r="O3910" s="408"/>
      <c r="P3910" s="408"/>
      <c r="Q3910" s="408"/>
      <c r="R3910" s="408"/>
      <c r="S3910" s="408"/>
      <c r="T3910" s="408"/>
      <c r="U3910" s="408"/>
      <c r="V3910" s="421"/>
      <c r="W3910" s="421"/>
      <c r="X3910" s="421"/>
      <c r="Y3910" s="421"/>
      <c r="Z3910" s="421"/>
      <c r="AA3910" s="421"/>
      <c r="AB3910" s="421"/>
      <c r="AC3910" s="421"/>
      <c r="AD3910" s="421"/>
      <c r="AE3910" s="421"/>
      <c r="AF3910" s="421"/>
      <c r="AG3910" s="421"/>
      <c r="AH3910" s="421"/>
      <c r="AI3910" s="421"/>
      <c r="AJ3910" s="421"/>
      <c r="AK3910" s="421"/>
      <c r="AL3910" s="421"/>
    </row>
    <row r="3911" spans="1:38" hidden="1">
      <c r="A3911" s="408"/>
      <c r="B3911" s="83" t="e">
        <f t="array" ref="B3911">SUM(--(FREQUENCY(IF(C$2:C$3072=C3911, MATCH(D$2:D$3072, D$2:D$3072, 0)), ROW(D$2:D$3072)-ROW(D$2)+1) &gt; 0))</f>
        <v>#N/A</v>
      </c>
      <c r="C3911" s="408"/>
      <c r="D3911" s="408"/>
      <c r="E3911" s="408"/>
      <c r="F3911" s="408"/>
      <c r="G3911" s="408"/>
      <c r="H3911" s="408"/>
      <c r="I3911" s="408"/>
      <c r="J3911" s="408"/>
      <c r="K3911" s="408"/>
      <c r="L3911" s="408"/>
      <c r="M3911" s="408"/>
      <c r="N3911" s="408" t="str">
        <f t="shared" si="488"/>
        <v/>
      </c>
      <c r="O3911" s="408"/>
      <c r="P3911" s="408"/>
      <c r="Q3911" s="408"/>
      <c r="R3911" s="408"/>
      <c r="S3911" s="408"/>
      <c r="T3911" s="408"/>
      <c r="U3911" s="408"/>
      <c r="V3911" s="421"/>
      <c r="W3911" s="421"/>
      <c r="X3911" s="421"/>
      <c r="Y3911" s="421"/>
      <c r="Z3911" s="421"/>
      <c r="AA3911" s="421"/>
      <c r="AB3911" s="421"/>
      <c r="AC3911" s="421"/>
      <c r="AD3911" s="421"/>
      <c r="AE3911" s="421"/>
      <c r="AF3911" s="421"/>
      <c r="AG3911" s="421"/>
      <c r="AH3911" s="421"/>
      <c r="AI3911" s="421"/>
      <c r="AJ3911" s="421"/>
      <c r="AK3911" s="421"/>
      <c r="AL3911" s="421"/>
    </row>
    <row r="3912" spans="1:38" hidden="1">
      <c r="A3912" s="408"/>
      <c r="B3912" s="83" t="e">
        <f t="array" ref="B3912">SUM(--(FREQUENCY(IF(C$2:C$3072=C3912, MATCH(D$2:D$3072, D$2:D$3072, 0)), ROW(D$2:D$3072)-ROW(D$2)+1) &gt; 0))</f>
        <v>#N/A</v>
      </c>
      <c r="C3912" s="408"/>
      <c r="D3912" s="408"/>
      <c r="E3912" s="408"/>
      <c r="F3912" s="408"/>
      <c r="G3912" s="408"/>
      <c r="H3912" s="408"/>
      <c r="I3912" s="408"/>
      <c r="J3912" s="408"/>
      <c r="K3912" s="408"/>
      <c r="L3912" s="408"/>
      <c r="M3912" s="408"/>
      <c r="N3912" s="408" t="str">
        <f t="shared" si="488"/>
        <v/>
      </c>
      <c r="O3912" s="408"/>
      <c r="P3912" s="408"/>
      <c r="Q3912" s="408"/>
      <c r="R3912" s="408"/>
      <c r="S3912" s="408"/>
      <c r="T3912" s="408"/>
      <c r="U3912" s="408"/>
      <c r="V3912" s="421"/>
      <c r="W3912" s="421"/>
      <c r="X3912" s="421"/>
      <c r="Y3912" s="421"/>
      <c r="Z3912" s="421"/>
      <c r="AA3912" s="421"/>
      <c r="AB3912" s="421"/>
      <c r="AC3912" s="421"/>
      <c r="AD3912" s="421"/>
      <c r="AE3912" s="421"/>
      <c r="AF3912" s="421"/>
      <c r="AG3912" s="421"/>
      <c r="AH3912" s="421"/>
      <c r="AI3912" s="421"/>
      <c r="AJ3912" s="421"/>
      <c r="AK3912" s="421"/>
      <c r="AL3912" s="421"/>
    </row>
    <row r="3913" spans="1:38" hidden="1">
      <c r="A3913" s="408"/>
      <c r="B3913" s="83" t="e">
        <f t="array" ref="B3913">SUM(--(FREQUENCY(IF(C$2:C$3072=C3913, MATCH(D$2:D$3072, D$2:D$3072, 0)), ROW(D$2:D$3072)-ROW(D$2)+1) &gt; 0))</f>
        <v>#N/A</v>
      </c>
      <c r="C3913" s="408"/>
      <c r="D3913" s="408"/>
      <c r="E3913" s="408"/>
      <c r="F3913" s="408"/>
      <c r="G3913" s="408"/>
      <c r="H3913" s="408"/>
      <c r="I3913" s="408"/>
      <c r="J3913" s="408"/>
      <c r="K3913" s="408"/>
      <c r="L3913" s="408"/>
      <c r="M3913" s="408"/>
      <c r="N3913" s="408" t="str">
        <f t="shared" si="488"/>
        <v/>
      </c>
      <c r="O3913" s="408"/>
      <c r="P3913" s="408"/>
      <c r="Q3913" s="408"/>
      <c r="R3913" s="408"/>
      <c r="S3913" s="408"/>
      <c r="T3913" s="408"/>
      <c r="U3913" s="408"/>
      <c r="V3913" s="421"/>
      <c r="W3913" s="421"/>
      <c r="X3913" s="421"/>
      <c r="Y3913" s="421"/>
      <c r="Z3913" s="421"/>
      <c r="AA3913" s="421"/>
      <c r="AB3913" s="421"/>
      <c r="AC3913" s="421"/>
      <c r="AD3913" s="421"/>
      <c r="AE3913" s="421"/>
      <c r="AF3913" s="421"/>
      <c r="AG3913" s="421"/>
      <c r="AH3913" s="421"/>
      <c r="AI3913" s="421"/>
      <c r="AJ3913" s="421"/>
      <c r="AK3913" s="421"/>
      <c r="AL3913" s="421"/>
    </row>
    <row r="3914" spans="1:38" hidden="1">
      <c r="A3914" s="408"/>
      <c r="B3914" s="83" t="e">
        <f t="array" ref="B3914">SUM(--(FREQUENCY(IF(C$2:C$3072=C3914, MATCH(D$2:D$3072, D$2:D$3072, 0)), ROW(D$2:D$3072)-ROW(D$2)+1) &gt; 0))</f>
        <v>#N/A</v>
      </c>
      <c r="C3914" s="408"/>
      <c r="D3914" s="408"/>
      <c r="E3914" s="408"/>
      <c r="F3914" s="408"/>
      <c r="G3914" s="408"/>
      <c r="H3914" s="408"/>
      <c r="I3914" s="408"/>
      <c r="J3914" s="408"/>
      <c r="K3914" s="408"/>
      <c r="L3914" s="408"/>
      <c r="M3914" s="408"/>
      <c r="N3914" s="408" t="str">
        <f t="shared" si="488"/>
        <v/>
      </c>
      <c r="O3914" s="408"/>
      <c r="P3914" s="408"/>
      <c r="Q3914" s="408"/>
      <c r="R3914" s="408"/>
      <c r="S3914" s="408"/>
      <c r="T3914" s="408"/>
      <c r="U3914" s="408"/>
      <c r="V3914" s="421"/>
      <c r="W3914" s="421"/>
      <c r="X3914" s="421"/>
      <c r="Y3914" s="421"/>
      <c r="Z3914" s="421"/>
      <c r="AA3914" s="421"/>
      <c r="AB3914" s="421"/>
      <c r="AC3914" s="421"/>
      <c r="AD3914" s="421"/>
      <c r="AE3914" s="421"/>
      <c r="AF3914" s="421"/>
      <c r="AG3914" s="421"/>
      <c r="AH3914" s="421"/>
      <c r="AI3914" s="421"/>
      <c r="AJ3914" s="421"/>
      <c r="AK3914" s="421"/>
      <c r="AL3914" s="421"/>
    </row>
    <row r="3915" spans="1:38" hidden="1">
      <c r="A3915" s="408"/>
      <c r="B3915" s="83" t="e">
        <f t="array" ref="B3915">SUM(--(FREQUENCY(IF(C$2:C$3072=C3915, MATCH(D$2:D$3072, D$2:D$3072, 0)), ROW(D$2:D$3072)-ROW(D$2)+1) &gt; 0))</f>
        <v>#N/A</v>
      </c>
      <c r="C3915" s="408"/>
      <c r="D3915" s="408"/>
      <c r="E3915" s="408"/>
      <c r="F3915" s="408"/>
      <c r="G3915" s="408"/>
      <c r="H3915" s="408"/>
      <c r="I3915" s="408"/>
      <c r="J3915" s="408"/>
      <c r="K3915" s="408"/>
      <c r="L3915" s="408"/>
      <c r="M3915" s="408"/>
      <c r="N3915" s="408" t="str">
        <f t="shared" si="488"/>
        <v/>
      </c>
      <c r="O3915" s="408"/>
      <c r="P3915" s="408"/>
      <c r="Q3915" s="408"/>
      <c r="R3915" s="408"/>
      <c r="S3915" s="408"/>
      <c r="T3915" s="408"/>
      <c r="U3915" s="408"/>
      <c r="V3915" s="421"/>
      <c r="W3915" s="421"/>
      <c r="X3915" s="421"/>
      <c r="Y3915" s="421"/>
      <c r="Z3915" s="421"/>
      <c r="AA3915" s="421"/>
      <c r="AB3915" s="421"/>
      <c r="AC3915" s="421"/>
      <c r="AD3915" s="421"/>
      <c r="AE3915" s="421"/>
      <c r="AF3915" s="421"/>
      <c r="AG3915" s="421"/>
      <c r="AH3915" s="421"/>
      <c r="AI3915" s="421"/>
      <c r="AJ3915" s="421"/>
      <c r="AK3915" s="421"/>
      <c r="AL3915" s="421"/>
    </row>
    <row r="3916" spans="1:38" hidden="1">
      <c r="A3916" s="408"/>
      <c r="B3916" s="83" t="e">
        <f t="array" ref="B3916">SUM(--(FREQUENCY(IF(C$2:C$3072=C3916, MATCH(D$2:D$3072, D$2:D$3072, 0)), ROW(D$2:D$3072)-ROW(D$2)+1) &gt; 0))</f>
        <v>#N/A</v>
      </c>
      <c r="C3916" s="408"/>
      <c r="D3916" s="408"/>
      <c r="E3916" s="408"/>
      <c r="F3916" s="408"/>
      <c r="G3916" s="408"/>
      <c r="H3916" s="408"/>
      <c r="I3916" s="408"/>
      <c r="J3916" s="408"/>
      <c r="K3916" s="408"/>
      <c r="L3916" s="408"/>
      <c r="M3916" s="408"/>
      <c r="N3916" s="408" t="str">
        <f t="shared" si="488"/>
        <v/>
      </c>
      <c r="O3916" s="408"/>
      <c r="P3916" s="408"/>
      <c r="Q3916" s="408"/>
      <c r="R3916" s="408"/>
      <c r="S3916" s="408"/>
      <c r="T3916" s="408"/>
      <c r="U3916" s="408"/>
      <c r="V3916" s="421"/>
      <c r="W3916" s="421"/>
      <c r="X3916" s="421"/>
      <c r="Y3916" s="421"/>
      <c r="Z3916" s="421"/>
      <c r="AA3916" s="421"/>
      <c r="AB3916" s="421"/>
      <c r="AC3916" s="421"/>
      <c r="AD3916" s="421"/>
      <c r="AE3916" s="421"/>
      <c r="AF3916" s="421"/>
      <c r="AG3916" s="421"/>
      <c r="AH3916" s="421"/>
      <c r="AI3916" s="421"/>
      <c r="AJ3916" s="421"/>
      <c r="AK3916" s="421"/>
      <c r="AL3916" s="421"/>
    </row>
    <row r="3917" spans="1:38" hidden="1">
      <c r="A3917" s="408"/>
      <c r="B3917" s="83" t="e">
        <f t="array" ref="B3917">SUM(--(FREQUENCY(IF(C$2:C$3072=C3917, MATCH(D$2:D$3072, D$2:D$3072, 0)), ROW(D$2:D$3072)-ROW(D$2)+1) &gt; 0))</f>
        <v>#N/A</v>
      </c>
      <c r="C3917" s="408"/>
      <c r="D3917" s="408"/>
      <c r="E3917" s="408"/>
      <c r="F3917" s="408"/>
      <c r="G3917" s="408"/>
      <c r="H3917" s="408"/>
      <c r="I3917" s="408"/>
      <c r="J3917" s="408"/>
      <c r="K3917" s="408"/>
      <c r="L3917" s="408"/>
      <c r="M3917" s="408"/>
      <c r="N3917" s="408" t="str">
        <f t="shared" si="488"/>
        <v/>
      </c>
      <c r="O3917" s="408"/>
      <c r="P3917" s="408"/>
      <c r="Q3917" s="408"/>
      <c r="R3917" s="408"/>
      <c r="S3917" s="408"/>
      <c r="T3917" s="408"/>
      <c r="U3917" s="408"/>
      <c r="V3917" s="421"/>
      <c r="W3917" s="421"/>
      <c r="X3917" s="421"/>
      <c r="Y3917" s="421"/>
      <c r="Z3917" s="421"/>
      <c r="AA3917" s="421"/>
      <c r="AB3917" s="421"/>
      <c r="AC3917" s="421"/>
      <c r="AD3917" s="421"/>
      <c r="AE3917" s="421"/>
      <c r="AF3917" s="421"/>
      <c r="AG3917" s="421"/>
      <c r="AH3917" s="421"/>
      <c r="AI3917" s="421"/>
      <c r="AJ3917" s="421"/>
      <c r="AK3917" s="421"/>
      <c r="AL3917" s="421"/>
    </row>
    <row r="3918" spans="1:38" hidden="1">
      <c r="A3918" s="408"/>
      <c r="B3918" s="83" t="e">
        <f t="array" ref="B3918">SUM(--(FREQUENCY(IF(C$2:C$3072=C3918, MATCH(D$2:D$3072, D$2:D$3072, 0)), ROW(D$2:D$3072)-ROW(D$2)+1) &gt; 0))</f>
        <v>#N/A</v>
      </c>
      <c r="C3918" s="408"/>
      <c r="D3918" s="408"/>
      <c r="E3918" s="408"/>
      <c r="F3918" s="408"/>
      <c r="G3918" s="408"/>
      <c r="H3918" s="408"/>
      <c r="I3918" s="408"/>
      <c r="J3918" s="408"/>
      <c r="K3918" s="408"/>
      <c r="L3918" s="408"/>
      <c r="M3918" s="408"/>
      <c r="N3918" s="408" t="str">
        <f t="shared" si="488"/>
        <v/>
      </c>
      <c r="O3918" s="408"/>
      <c r="P3918" s="408"/>
      <c r="Q3918" s="408"/>
      <c r="R3918" s="408"/>
      <c r="S3918" s="408"/>
      <c r="T3918" s="408"/>
      <c r="U3918" s="408"/>
      <c r="V3918" s="421"/>
      <c r="W3918" s="421"/>
      <c r="X3918" s="421"/>
      <c r="Y3918" s="421"/>
      <c r="Z3918" s="421"/>
      <c r="AA3918" s="421"/>
      <c r="AB3918" s="421"/>
      <c r="AC3918" s="421"/>
      <c r="AD3918" s="421"/>
      <c r="AE3918" s="421"/>
      <c r="AF3918" s="421"/>
      <c r="AG3918" s="421"/>
      <c r="AH3918" s="421"/>
      <c r="AI3918" s="421"/>
      <c r="AJ3918" s="421"/>
      <c r="AK3918" s="421"/>
      <c r="AL3918" s="421"/>
    </row>
    <row r="3919" spans="1:38" hidden="1">
      <c r="A3919" s="408"/>
      <c r="B3919" s="83" t="e">
        <f t="array" ref="B3919">SUM(--(FREQUENCY(IF(C$2:C$3072=C3919, MATCH(D$2:D$3072, D$2:D$3072, 0)), ROW(D$2:D$3072)-ROW(D$2)+1) &gt; 0))</f>
        <v>#N/A</v>
      </c>
      <c r="C3919" s="408"/>
      <c r="D3919" s="408"/>
      <c r="E3919" s="408"/>
      <c r="F3919" s="408"/>
      <c r="G3919" s="408"/>
      <c r="H3919" s="408"/>
      <c r="I3919" s="408"/>
      <c r="J3919" s="408"/>
      <c r="K3919" s="408"/>
      <c r="L3919" s="408"/>
      <c r="M3919" s="408"/>
      <c r="N3919" s="408" t="str">
        <f t="shared" si="488"/>
        <v/>
      </c>
      <c r="O3919" s="408"/>
      <c r="P3919" s="408"/>
      <c r="Q3919" s="408"/>
      <c r="R3919" s="408"/>
      <c r="S3919" s="408"/>
      <c r="T3919" s="408"/>
      <c r="U3919" s="408"/>
      <c r="V3919" s="421"/>
      <c r="W3919" s="421"/>
      <c r="X3919" s="421"/>
      <c r="Y3919" s="421"/>
      <c r="Z3919" s="421"/>
      <c r="AA3919" s="421"/>
      <c r="AB3919" s="421"/>
      <c r="AC3919" s="421"/>
      <c r="AD3919" s="421"/>
      <c r="AE3919" s="421"/>
      <c r="AF3919" s="421"/>
      <c r="AG3919" s="421"/>
      <c r="AH3919" s="421"/>
      <c r="AI3919" s="421"/>
      <c r="AJ3919" s="421"/>
      <c r="AK3919" s="421"/>
      <c r="AL3919" s="421"/>
    </row>
    <row r="3920" spans="1:38" hidden="1">
      <c r="A3920" s="408"/>
      <c r="B3920" s="83" t="e">
        <f t="array" ref="B3920">SUM(--(FREQUENCY(IF(C$2:C$3072=C3920, MATCH(D$2:D$3072, D$2:D$3072, 0)), ROW(D$2:D$3072)-ROW(D$2)+1) &gt; 0))</f>
        <v>#N/A</v>
      </c>
      <c r="C3920" s="408"/>
      <c r="D3920" s="408"/>
      <c r="E3920" s="408"/>
      <c r="F3920" s="408"/>
      <c r="G3920" s="408"/>
      <c r="H3920" s="408"/>
      <c r="I3920" s="408"/>
      <c r="J3920" s="408"/>
      <c r="K3920" s="408"/>
      <c r="L3920" s="408"/>
      <c r="M3920" s="408"/>
      <c r="N3920" s="408" t="str">
        <f t="shared" si="488"/>
        <v/>
      </c>
      <c r="O3920" s="408"/>
      <c r="P3920" s="408"/>
      <c r="Q3920" s="408"/>
      <c r="R3920" s="408"/>
      <c r="S3920" s="408"/>
      <c r="T3920" s="408"/>
      <c r="U3920" s="408"/>
      <c r="V3920" s="421"/>
      <c r="W3920" s="421"/>
      <c r="X3920" s="421"/>
      <c r="Y3920" s="421"/>
      <c r="Z3920" s="421"/>
      <c r="AA3920" s="421"/>
      <c r="AB3920" s="421"/>
      <c r="AC3920" s="421"/>
      <c r="AD3920" s="421"/>
      <c r="AE3920" s="421"/>
      <c r="AF3920" s="421"/>
      <c r="AG3920" s="421"/>
      <c r="AH3920" s="421"/>
      <c r="AI3920" s="421"/>
      <c r="AJ3920" s="421"/>
      <c r="AK3920" s="421"/>
      <c r="AL3920" s="421"/>
    </row>
    <row r="3921" spans="1:38" hidden="1">
      <c r="A3921" s="408"/>
      <c r="B3921" s="83" t="e">
        <f t="array" ref="B3921">SUM(--(FREQUENCY(IF(C$2:C$3072=C3921, MATCH(D$2:D$3072, D$2:D$3072, 0)), ROW(D$2:D$3072)-ROW(D$2)+1) &gt; 0))</f>
        <v>#N/A</v>
      </c>
      <c r="C3921" s="408"/>
      <c r="D3921" s="408"/>
      <c r="E3921" s="408"/>
      <c r="F3921" s="408"/>
      <c r="G3921" s="408"/>
      <c r="H3921" s="408"/>
      <c r="I3921" s="408"/>
      <c r="J3921" s="408"/>
      <c r="K3921" s="408"/>
      <c r="L3921" s="408"/>
      <c r="M3921" s="408"/>
      <c r="N3921" s="408" t="str">
        <f t="shared" si="488"/>
        <v/>
      </c>
      <c r="O3921" s="408"/>
      <c r="P3921" s="408"/>
      <c r="Q3921" s="408"/>
      <c r="R3921" s="408"/>
      <c r="S3921" s="408"/>
      <c r="T3921" s="408"/>
      <c r="U3921" s="408"/>
      <c r="V3921" s="421"/>
      <c r="W3921" s="421"/>
      <c r="X3921" s="421"/>
      <c r="Y3921" s="421"/>
      <c r="Z3921" s="421"/>
      <c r="AA3921" s="421"/>
      <c r="AB3921" s="421"/>
      <c r="AC3921" s="421"/>
      <c r="AD3921" s="421"/>
      <c r="AE3921" s="421"/>
      <c r="AF3921" s="421"/>
      <c r="AG3921" s="421"/>
      <c r="AH3921" s="421"/>
      <c r="AI3921" s="421"/>
      <c r="AJ3921" s="421"/>
      <c r="AK3921" s="421"/>
      <c r="AL3921" s="421"/>
    </row>
    <row r="3922" spans="1:38" hidden="1">
      <c r="A3922" s="408"/>
      <c r="B3922" s="83" t="e">
        <f t="array" ref="B3922">SUM(--(FREQUENCY(IF(C$2:C$3072=C3922, MATCH(D$2:D$3072, D$2:D$3072, 0)), ROW(D$2:D$3072)-ROW(D$2)+1) &gt; 0))</f>
        <v>#N/A</v>
      </c>
      <c r="C3922" s="408"/>
      <c r="D3922" s="408"/>
      <c r="E3922" s="408"/>
      <c r="F3922" s="408"/>
      <c r="G3922" s="408"/>
      <c r="H3922" s="408"/>
      <c r="I3922" s="408"/>
      <c r="J3922" s="408"/>
      <c r="K3922" s="408"/>
      <c r="L3922" s="408"/>
      <c r="M3922" s="408"/>
      <c r="N3922" s="408" t="str">
        <f t="shared" si="488"/>
        <v/>
      </c>
      <c r="O3922" s="408"/>
      <c r="P3922" s="408"/>
      <c r="Q3922" s="408"/>
      <c r="R3922" s="408"/>
      <c r="S3922" s="408"/>
      <c r="T3922" s="408"/>
      <c r="U3922" s="408"/>
      <c r="V3922" s="421"/>
      <c r="W3922" s="421"/>
      <c r="X3922" s="421"/>
      <c r="Y3922" s="421"/>
      <c r="Z3922" s="421"/>
      <c r="AA3922" s="421"/>
      <c r="AB3922" s="421"/>
      <c r="AC3922" s="421"/>
      <c r="AD3922" s="421"/>
      <c r="AE3922" s="421"/>
      <c r="AF3922" s="421"/>
      <c r="AG3922" s="421"/>
      <c r="AH3922" s="421"/>
      <c r="AI3922" s="421"/>
      <c r="AJ3922" s="421"/>
      <c r="AK3922" s="421"/>
      <c r="AL3922" s="421"/>
    </row>
    <row r="3923" spans="1:38" hidden="1">
      <c r="A3923" s="408"/>
      <c r="B3923" s="83" t="e">
        <f t="array" ref="B3923">SUM(--(FREQUENCY(IF(C$2:C$3072=C3923, MATCH(D$2:D$3072, D$2:D$3072, 0)), ROW(D$2:D$3072)-ROW(D$2)+1) &gt; 0))</f>
        <v>#N/A</v>
      </c>
      <c r="C3923" s="408"/>
      <c r="D3923" s="408"/>
      <c r="E3923" s="408"/>
      <c r="F3923" s="408"/>
      <c r="G3923" s="408"/>
      <c r="H3923" s="408"/>
      <c r="I3923" s="408"/>
      <c r="J3923" s="408"/>
      <c r="K3923" s="408"/>
      <c r="L3923" s="408"/>
      <c r="M3923" s="408"/>
      <c r="N3923" s="408" t="str">
        <f t="shared" si="488"/>
        <v/>
      </c>
      <c r="O3923" s="408"/>
      <c r="P3923" s="408"/>
      <c r="Q3923" s="408"/>
      <c r="R3923" s="408"/>
      <c r="S3923" s="408"/>
      <c r="T3923" s="408"/>
      <c r="U3923" s="408"/>
      <c r="V3923" s="421"/>
      <c r="W3923" s="421"/>
      <c r="X3923" s="421"/>
      <c r="Y3923" s="421"/>
      <c r="Z3923" s="421"/>
      <c r="AA3923" s="421"/>
      <c r="AB3923" s="421"/>
      <c r="AC3923" s="421"/>
      <c r="AD3923" s="421"/>
      <c r="AE3923" s="421"/>
      <c r="AF3923" s="421"/>
      <c r="AG3923" s="421"/>
      <c r="AH3923" s="421"/>
      <c r="AI3923" s="421"/>
      <c r="AJ3923" s="421"/>
      <c r="AK3923" s="421"/>
      <c r="AL3923" s="421"/>
    </row>
    <row r="3924" spans="1:38" hidden="1">
      <c r="A3924" s="408"/>
      <c r="B3924" s="83" t="e">
        <f t="array" ref="B3924">SUM(--(FREQUENCY(IF(C$2:C$3072=C3924, MATCH(D$2:D$3072, D$2:D$3072, 0)), ROW(D$2:D$3072)-ROW(D$2)+1) &gt; 0))</f>
        <v>#N/A</v>
      </c>
      <c r="C3924" s="408"/>
      <c r="D3924" s="408"/>
      <c r="E3924" s="408"/>
      <c r="F3924" s="408"/>
      <c r="G3924" s="408"/>
      <c r="H3924" s="408"/>
      <c r="I3924" s="408"/>
      <c r="J3924" s="408"/>
      <c r="K3924" s="408"/>
      <c r="L3924" s="408"/>
      <c r="M3924" s="408"/>
      <c r="N3924" s="408" t="str">
        <f t="shared" si="488"/>
        <v/>
      </c>
      <c r="O3924" s="408"/>
      <c r="P3924" s="408"/>
      <c r="Q3924" s="408"/>
      <c r="R3924" s="408"/>
      <c r="S3924" s="408"/>
      <c r="T3924" s="408"/>
      <c r="U3924" s="408"/>
      <c r="V3924" s="421"/>
      <c r="W3924" s="421"/>
      <c r="X3924" s="421"/>
      <c r="Y3924" s="421"/>
      <c r="Z3924" s="421"/>
      <c r="AA3924" s="421"/>
      <c r="AB3924" s="421"/>
      <c r="AC3924" s="421"/>
      <c r="AD3924" s="421"/>
      <c r="AE3924" s="421"/>
      <c r="AF3924" s="421"/>
      <c r="AG3924" s="421"/>
      <c r="AH3924" s="421"/>
      <c r="AI3924" s="421"/>
      <c r="AJ3924" s="421"/>
      <c r="AK3924" s="421"/>
      <c r="AL3924" s="421"/>
    </row>
    <row r="3925" spans="1:38" hidden="1">
      <c r="A3925" s="408"/>
      <c r="B3925" s="83" t="e">
        <f t="array" ref="B3925">SUM(--(FREQUENCY(IF(C$2:C$3072=C3925, MATCH(D$2:D$3072, D$2:D$3072, 0)), ROW(D$2:D$3072)-ROW(D$2)+1) &gt; 0))</f>
        <v>#N/A</v>
      </c>
      <c r="C3925" s="408"/>
      <c r="D3925" s="408"/>
      <c r="E3925" s="408"/>
      <c r="F3925" s="408"/>
      <c r="G3925" s="408"/>
      <c r="H3925" s="408"/>
      <c r="I3925" s="408"/>
      <c r="J3925" s="408"/>
      <c r="K3925" s="408"/>
      <c r="L3925" s="408"/>
      <c r="M3925" s="408"/>
      <c r="N3925" s="408" t="str">
        <f t="shared" si="488"/>
        <v/>
      </c>
      <c r="O3925" s="408"/>
      <c r="P3925" s="408"/>
      <c r="Q3925" s="408"/>
      <c r="R3925" s="408"/>
      <c r="S3925" s="408"/>
      <c r="T3925" s="408"/>
      <c r="U3925" s="408"/>
      <c r="V3925" s="421"/>
      <c r="W3925" s="421"/>
      <c r="X3925" s="421"/>
      <c r="Y3925" s="421"/>
      <c r="Z3925" s="421"/>
      <c r="AA3925" s="421"/>
      <c r="AB3925" s="421"/>
      <c r="AC3925" s="421"/>
      <c r="AD3925" s="421"/>
      <c r="AE3925" s="421"/>
      <c r="AF3925" s="421"/>
      <c r="AG3925" s="421"/>
      <c r="AH3925" s="421"/>
      <c r="AI3925" s="421"/>
      <c r="AJ3925" s="421"/>
      <c r="AK3925" s="421"/>
      <c r="AL3925" s="421"/>
    </row>
    <row r="3926" spans="1:38" hidden="1">
      <c r="A3926" s="408"/>
      <c r="B3926" s="83" t="e">
        <f t="array" ref="B3926">SUM(--(FREQUENCY(IF(C$2:C$3072=C3926, MATCH(D$2:D$3072, D$2:D$3072, 0)), ROW(D$2:D$3072)-ROW(D$2)+1) &gt; 0))</f>
        <v>#N/A</v>
      </c>
      <c r="C3926" s="408"/>
      <c r="D3926" s="408"/>
      <c r="E3926" s="408"/>
      <c r="F3926" s="408"/>
      <c r="G3926" s="408"/>
      <c r="H3926" s="408"/>
      <c r="I3926" s="408"/>
      <c r="J3926" s="408"/>
      <c r="K3926" s="408"/>
      <c r="L3926" s="408"/>
      <c r="M3926" s="408"/>
      <c r="N3926" s="408" t="str">
        <f t="shared" si="488"/>
        <v/>
      </c>
      <c r="O3926" s="408"/>
      <c r="P3926" s="408"/>
      <c r="Q3926" s="408"/>
      <c r="R3926" s="408"/>
      <c r="S3926" s="408"/>
      <c r="T3926" s="408"/>
      <c r="U3926" s="408"/>
      <c r="V3926" s="421"/>
      <c r="W3926" s="421"/>
      <c r="X3926" s="421"/>
      <c r="Y3926" s="421"/>
      <c r="Z3926" s="421"/>
      <c r="AA3926" s="421"/>
      <c r="AB3926" s="421"/>
      <c r="AC3926" s="421"/>
      <c r="AD3926" s="421"/>
      <c r="AE3926" s="421"/>
      <c r="AF3926" s="421"/>
      <c r="AG3926" s="421"/>
      <c r="AH3926" s="421"/>
      <c r="AI3926" s="421"/>
      <c r="AJ3926" s="421"/>
      <c r="AK3926" s="421"/>
      <c r="AL3926" s="421"/>
    </row>
    <row r="3927" spans="1:38" hidden="1">
      <c r="A3927" s="408"/>
      <c r="B3927" s="83" t="e">
        <f t="array" ref="B3927">SUM(--(FREQUENCY(IF(C$2:C$3072=C3927, MATCH(D$2:D$3072, D$2:D$3072, 0)), ROW(D$2:D$3072)-ROW(D$2)+1) &gt; 0))</f>
        <v>#N/A</v>
      </c>
      <c r="C3927" s="408"/>
      <c r="D3927" s="408"/>
      <c r="E3927" s="408"/>
      <c r="F3927" s="408"/>
      <c r="G3927" s="408"/>
      <c r="H3927" s="408"/>
      <c r="I3927" s="408"/>
      <c r="J3927" s="408"/>
      <c r="K3927" s="408"/>
      <c r="L3927" s="408"/>
      <c r="M3927" s="408"/>
      <c r="N3927" s="408" t="str">
        <f t="shared" si="488"/>
        <v/>
      </c>
      <c r="O3927" s="408"/>
      <c r="P3927" s="408"/>
      <c r="Q3927" s="408"/>
      <c r="R3927" s="408"/>
      <c r="S3927" s="408"/>
      <c r="T3927" s="408"/>
      <c r="U3927" s="408"/>
      <c r="V3927" s="421"/>
      <c r="W3927" s="421"/>
      <c r="X3927" s="421"/>
      <c r="Y3927" s="421"/>
      <c r="Z3927" s="421"/>
      <c r="AA3927" s="421"/>
      <c r="AB3927" s="421"/>
      <c r="AC3927" s="421"/>
      <c r="AD3927" s="421"/>
      <c r="AE3927" s="421"/>
      <c r="AF3927" s="421"/>
      <c r="AG3927" s="421"/>
      <c r="AH3927" s="421"/>
      <c r="AI3927" s="421"/>
      <c r="AJ3927" s="421"/>
      <c r="AK3927" s="421"/>
      <c r="AL3927" s="421"/>
    </row>
    <row r="3928" spans="1:38" hidden="1">
      <c r="A3928" s="408"/>
      <c r="B3928" s="83" t="e">
        <f t="array" ref="B3928">SUM(--(FREQUENCY(IF(C$2:C$3072=C3928, MATCH(D$2:D$3072, D$2:D$3072, 0)), ROW(D$2:D$3072)-ROW(D$2)+1) &gt; 0))</f>
        <v>#N/A</v>
      </c>
      <c r="C3928" s="408"/>
      <c r="D3928" s="408"/>
      <c r="E3928" s="408"/>
      <c r="F3928" s="408"/>
      <c r="G3928" s="408"/>
      <c r="H3928" s="408"/>
      <c r="I3928" s="408"/>
      <c r="J3928" s="408"/>
      <c r="K3928" s="408"/>
      <c r="L3928" s="408"/>
      <c r="M3928" s="408"/>
      <c r="N3928" s="408" t="str">
        <f t="shared" si="488"/>
        <v/>
      </c>
      <c r="O3928" s="408"/>
      <c r="P3928" s="408"/>
      <c r="Q3928" s="408"/>
      <c r="R3928" s="408"/>
      <c r="S3928" s="408"/>
      <c r="T3928" s="408"/>
      <c r="U3928" s="408"/>
      <c r="V3928" s="421"/>
      <c r="W3928" s="421"/>
      <c r="X3928" s="421"/>
      <c r="Y3928" s="421"/>
      <c r="Z3928" s="421"/>
      <c r="AA3928" s="421"/>
      <c r="AB3928" s="421"/>
      <c r="AC3928" s="421"/>
      <c r="AD3928" s="421"/>
      <c r="AE3928" s="421"/>
      <c r="AF3928" s="421"/>
      <c r="AG3928" s="421"/>
      <c r="AH3928" s="421"/>
      <c r="AI3928" s="421"/>
      <c r="AJ3928" s="421"/>
      <c r="AK3928" s="421"/>
      <c r="AL3928" s="421"/>
    </row>
    <row r="3929" spans="1:38" hidden="1">
      <c r="A3929" s="408"/>
      <c r="B3929" s="83" t="e">
        <f t="array" ref="B3929">SUM(--(FREQUENCY(IF(C$2:C$3072=C3929, MATCH(D$2:D$3072, D$2:D$3072, 0)), ROW(D$2:D$3072)-ROW(D$2)+1) &gt; 0))</f>
        <v>#N/A</v>
      </c>
      <c r="C3929" s="408"/>
      <c r="D3929" s="408"/>
      <c r="E3929" s="408"/>
      <c r="F3929" s="408"/>
      <c r="G3929" s="408"/>
      <c r="H3929" s="408"/>
      <c r="I3929" s="408"/>
      <c r="J3929" s="408"/>
      <c r="K3929" s="408"/>
      <c r="L3929" s="408"/>
      <c r="M3929" s="408"/>
      <c r="N3929" s="408" t="str">
        <f t="shared" si="488"/>
        <v/>
      </c>
      <c r="O3929" s="408"/>
      <c r="P3929" s="408"/>
      <c r="Q3929" s="408"/>
      <c r="R3929" s="408"/>
      <c r="S3929" s="408"/>
      <c r="T3929" s="408"/>
      <c r="U3929" s="408"/>
      <c r="V3929" s="421"/>
      <c r="W3929" s="421"/>
      <c r="X3929" s="421"/>
      <c r="Y3929" s="421"/>
      <c r="Z3929" s="421"/>
      <c r="AA3929" s="421"/>
      <c r="AB3929" s="421"/>
      <c r="AC3929" s="421"/>
      <c r="AD3929" s="421"/>
      <c r="AE3929" s="421"/>
      <c r="AF3929" s="421"/>
      <c r="AG3929" s="421"/>
      <c r="AH3929" s="421"/>
      <c r="AI3929" s="421"/>
      <c r="AJ3929" s="421"/>
      <c r="AK3929" s="421"/>
      <c r="AL3929" s="421"/>
    </row>
    <row r="3930" spans="1:38" hidden="1">
      <c r="A3930" s="408"/>
      <c r="B3930" s="83" t="e">
        <f t="array" ref="B3930">SUM(--(FREQUENCY(IF(C$2:C$3072=C3930, MATCH(D$2:D$3072, D$2:D$3072, 0)), ROW(D$2:D$3072)-ROW(D$2)+1) &gt; 0))</f>
        <v>#N/A</v>
      </c>
      <c r="C3930" s="408"/>
      <c r="D3930" s="408"/>
      <c r="E3930" s="408"/>
      <c r="F3930" s="408"/>
      <c r="G3930" s="408"/>
      <c r="H3930" s="408"/>
      <c r="I3930" s="408"/>
      <c r="J3930" s="408"/>
      <c r="K3930" s="408"/>
      <c r="L3930" s="408"/>
      <c r="M3930" s="408"/>
      <c r="N3930" s="408" t="str">
        <f t="shared" si="488"/>
        <v/>
      </c>
      <c r="O3930" s="408"/>
      <c r="P3930" s="408"/>
      <c r="Q3930" s="408"/>
      <c r="R3930" s="408"/>
      <c r="S3930" s="408"/>
      <c r="T3930" s="408"/>
      <c r="U3930" s="408"/>
      <c r="V3930" s="421"/>
      <c r="W3930" s="421"/>
      <c r="X3930" s="421"/>
      <c r="Y3930" s="421"/>
      <c r="Z3930" s="421"/>
      <c r="AA3930" s="421"/>
      <c r="AB3930" s="421"/>
      <c r="AC3930" s="421"/>
      <c r="AD3930" s="421"/>
      <c r="AE3930" s="421"/>
      <c r="AF3930" s="421"/>
      <c r="AG3930" s="421"/>
      <c r="AH3930" s="421"/>
      <c r="AI3930" s="421"/>
      <c r="AJ3930" s="421"/>
      <c r="AK3930" s="421"/>
      <c r="AL3930" s="421"/>
    </row>
    <row r="3931" spans="1:38" hidden="1">
      <c r="A3931" s="408"/>
      <c r="B3931" s="83" t="e">
        <f t="array" ref="B3931">SUM(--(FREQUENCY(IF(C$2:C$3072=C3931, MATCH(D$2:D$3072, D$2:D$3072, 0)), ROW(D$2:D$3072)-ROW(D$2)+1) &gt; 0))</f>
        <v>#N/A</v>
      </c>
      <c r="C3931" s="408"/>
      <c r="D3931" s="408"/>
      <c r="E3931" s="408"/>
      <c r="F3931" s="408"/>
      <c r="G3931" s="408"/>
      <c r="H3931" s="408"/>
      <c r="I3931" s="408"/>
      <c r="J3931" s="408"/>
      <c r="K3931" s="408"/>
      <c r="L3931" s="408"/>
      <c r="M3931" s="408"/>
      <c r="N3931" s="408" t="str">
        <f t="shared" si="488"/>
        <v/>
      </c>
      <c r="O3931" s="408"/>
      <c r="P3931" s="408"/>
      <c r="Q3931" s="408"/>
      <c r="R3931" s="408"/>
      <c r="S3931" s="408"/>
      <c r="T3931" s="408"/>
      <c r="U3931" s="408"/>
      <c r="V3931" s="421"/>
      <c r="W3931" s="421"/>
      <c r="X3931" s="421"/>
      <c r="Y3931" s="421"/>
      <c r="Z3931" s="421"/>
      <c r="AA3931" s="421"/>
      <c r="AB3931" s="421"/>
      <c r="AC3931" s="421"/>
      <c r="AD3931" s="421"/>
      <c r="AE3931" s="421"/>
      <c r="AF3931" s="421"/>
      <c r="AG3931" s="421"/>
      <c r="AH3931" s="421"/>
      <c r="AI3931" s="421"/>
      <c r="AJ3931" s="421"/>
      <c r="AK3931" s="421"/>
      <c r="AL3931" s="421"/>
    </row>
    <row r="3932" spans="1:38" hidden="1">
      <c r="A3932" s="408"/>
      <c r="B3932" s="83" t="e">
        <f t="array" ref="B3932">SUM(--(FREQUENCY(IF(C$2:C$3072=C3932, MATCH(D$2:D$3072, D$2:D$3072, 0)), ROW(D$2:D$3072)-ROW(D$2)+1) &gt; 0))</f>
        <v>#N/A</v>
      </c>
      <c r="C3932" s="408"/>
      <c r="D3932" s="408"/>
      <c r="E3932" s="408"/>
      <c r="F3932" s="408"/>
      <c r="G3932" s="408"/>
      <c r="H3932" s="408"/>
      <c r="I3932" s="408"/>
      <c r="J3932" s="408"/>
      <c r="K3932" s="408"/>
      <c r="L3932" s="408"/>
      <c r="M3932" s="408"/>
      <c r="N3932" s="408" t="str">
        <f t="shared" si="488"/>
        <v/>
      </c>
      <c r="O3932" s="408"/>
      <c r="P3932" s="408"/>
      <c r="Q3932" s="408"/>
      <c r="R3932" s="408"/>
      <c r="S3932" s="408"/>
      <c r="T3932" s="408"/>
      <c r="U3932" s="408"/>
      <c r="V3932" s="421"/>
      <c r="W3932" s="421"/>
      <c r="X3932" s="421"/>
      <c r="Y3932" s="421"/>
      <c r="Z3932" s="421"/>
      <c r="AA3932" s="421"/>
      <c r="AB3932" s="421"/>
      <c r="AC3932" s="421"/>
      <c r="AD3932" s="421"/>
      <c r="AE3932" s="421"/>
      <c r="AF3932" s="421"/>
      <c r="AG3932" s="421"/>
      <c r="AH3932" s="421"/>
      <c r="AI3932" s="421"/>
      <c r="AJ3932" s="421"/>
      <c r="AK3932" s="421"/>
      <c r="AL3932" s="421"/>
    </row>
    <row r="3933" spans="1:38" hidden="1">
      <c r="A3933" s="408"/>
      <c r="B3933" s="83" t="e">
        <f t="array" ref="B3933">SUM(--(FREQUENCY(IF(C$2:C$3072=C3933, MATCH(D$2:D$3072, D$2:D$3072, 0)), ROW(D$2:D$3072)-ROW(D$2)+1) &gt; 0))</f>
        <v>#N/A</v>
      </c>
      <c r="C3933" s="408"/>
      <c r="D3933" s="408"/>
      <c r="E3933" s="408"/>
      <c r="F3933" s="408"/>
      <c r="G3933" s="408"/>
      <c r="H3933" s="408"/>
      <c r="I3933" s="408"/>
      <c r="J3933" s="408"/>
      <c r="K3933" s="408"/>
      <c r="L3933" s="408"/>
      <c r="M3933" s="408"/>
      <c r="N3933" s="408" t="str">
        <f t="shared" si="488"/>
        <v/>
      </c>
      <c r="O3933" s="408"/>
      <c r="P3933" s="408"/>
      <c r="Q3933" s="408"/>
      <c r="R3933" s="408"/>
      <c r="S3933" s="408"/>
      <c r="T3933" s="408"/>
      <c r="U3933" s="408"/>
      <c r="V3933" s="421"/>
      <c r="W3933" s="421"/>
      <c r="X3933" s="421"/>
      <c r="Y3933" s="421"/>
      <c r="Z3933" s="421"/>
      <c r="AA3933" s="421"/>
      <c r="AB3933" s="421"/>
      <c r="AC3933" s="421"/>
      <c r="AD3933" s="421"/>
      <c r="AE3933" s="421"/>
      <c r="AF3933" s="421"/>
      <c r="AG3933" s="421"/>
      <c r="AH3933" s="421"/>
      <c r="AI3933" s="421"/>
      <c r="AJ3933" s="421"/>
      <c r="AK3933" s="421"/>
      <c r="AL3933" s="421"/>
    </row>
    <row r="3934" spans="1:38" hidden="1">
      <c r="A3934" s="408"/>
      <c r="B3934" s="83" t="e">
        <f t="array" ref="B3934">SUM(--(FREQUENCY(IF(C$2:C$3072=C3934, MATCH(D$2:D$3072, D$2:D$3072, 0)), ROW(D$2:D$3072)-ROW(D$2)+1) &gt; 0))</f>
        <v>#N/A</v>
      </c>
      <c r="C3934" s="408"/>
      <c r="D3934" s="408"/>
      <c r="E3934" s="408"/>
      <c r="F3934" s="408"/>
      <c r="G3934" s="408"/>
      <c r="H3934" s="408"/>
      <c r="I3934" s="408"/>
      <c r="J3934" s="408"/>
      <c r="K3934" s="408"/>
      <c r="L3934" s="408"/>
      <c r="M3934" s="408"/>
      <c r="N3934" s="408" t="str">
        <f t="shared" si="488"/>
        <v/>
      </c>
      <c r="O3934" s="408"/>
      <c r="P3934" s="408"/>
      <c r="Q3934" s="408"/>
      <c r="R3934" s="408"/>
      <c r="S3934" s="408"/>
      <c r="T3934" s="408"/>
      <c r="U3934" s="408"/>
      <c r="V3934" s="421"/>
      <c r="W3934" s="421"/>
      <c r="X3934" s="421"/>
      <c r="Y3934" s="421"/>
      <c r="Z3934" s="421"/>
      <c r="AA3934" s="421"/>
      <c r="AB3934" s="421"/>
      <c r="AC3934" s="421"/>
      <c r="AD3934" s="421"/>
      <c r="AE3934" s="421"/>
      <c r="AF3934" s="421"/>
      <c r="AG3934" s="421"/>
      <c r="AH3934" s="421"/>
      <c r="AI3934" s="421"/>
      <c r="AJ3934" s="421"/>
      <c r="AK3934" s="421"/>
      <c r="AL3934" s="421"/>
    </row>
    <row r="3935" spans="1:38" hidden="1">
      <c r="A3935" s="408"/>
      <c r="B3935" s="83" t="e">
        <f t="array" ref="B3935">SUM(--(FREQUENCY(IF(C$2:C$3072=C3935, MATCH(D$2:D$3072, D$2:D$3072, 0)), ROW(D$2:D$3072)-ROW(D$2)+1) &gt; 0))</f>
        <v>#N/A</v>
      </c>
      <c r="C3935" s="408"/>
      <c r="D3935" s="408"/>
      <c r="E3935" s="408"/>
      <c r="F3935" s="408"/>
      <c r="G3935" s="408"/>
      <c r="H3935" s="408"/>
      <c r="I3935" s="408"/>
      <c r="J3935" s="408"/>
      <c r="K3935" s="408"/>
      <c r="L3935" s="408"/>
      <c r="M3935" s="408"/>
      <c r="N3935" s="408" t="str">
        <f t="shared" si="488"/>
        <v/>
      </c>
      <c r="O3935" s="408"/>
      <c r="P3935" s="408"/>
      <c r="Q3935" s="408"/>
      <c r="R3935" s="408"/>
      <c r="S3935" s="408"/>
      <c r="T3935" s="408"/>
      <c r="U3935" s="408"/>
      <c r="V3935" s="421"/>
      <c r="W3935" s="421"/>
      <c r="X3935" s="421"/>
      <c r="Y3935" s="421"/>
      <c r="Z3935" s="421"/>
      <c r="AA3935" s="421"/>
      <c r="AB3935" s="421"/>
      <c r="AC3935" s="421"/>
      <c r="AD3935" s="421"/>
      <c r="AE3935" s="421"/>
      <c r="AF3935" s="421"/>
      <c r="AG3935" s="421"/>
      <c r="AH3935" s="421"/>
      <c r="AI3935" s="421"/>
      <c r="AJ3935" s="421"/>
      <c r="AK3935" s="421"/>
      <c r="AL3935" s="421"/>
    </row>
    <row r="3936" spans="1:38" hidden="1">
      <c r="A3936" s="408"/>
      <c r="B3936" s="83" t="e">
        <f t="array" ref="B3936">SUM(--(FREQUENCY(IF(C$2:C$3072=C3936, MATCH(D$2:D$3072, D$2:D$3072, 0)), ROW(D$2:D$3072)-ROW(D$2)+1) &gt; 0))</f>
        <v>#N/A</v>
      </c>
      <c r="C3936" s="408"/>
      <c r="D3936" s="408"/>
      <c r="E3936" s="408"/>
      <c r="F3936" s="408"/>
      <c r="G3936" s="408"/>
      <c r="H3936" s="408"/>
      <c r="I3936" s="408"/>
      <c r="J3936" s="408"/>
      <c r="K3936" s="408"/>
      <c r="L3936" s="408"/>
      <c r="M3936" s="408"/>
      <c r="N3936" s="408" t="str">
        <f t="shared" si="488"/>
        <v/>
      </c>
      <c r="O3936" s="408"/>
      <c r="P3936" s="408"/>
      <c r="Q3936" s="408"/>
      <c r="R3936" s="408"/>
      <c r="S3936" s="408"/>
      <c r="T3936" s="408"/>
      <c r="U3936" s="408"/>
      <c r="V3936" s="421"/>
      <c r="W3936" s="421"/>
      <c r="X3936" s="421"/>
      <c r="Y3936" s="421"/>
      <c r="Z3936" s="421"/>
      <c r="AA3936" s="421"/>
      <c r="AB3936" s="421"/>
      <c r="AC3936" s="421"/>
      <c r="AD3936" s="421"/>
      <c r="AE3936" s="421"/>
      <c r="AF3936" s="421"/>
      <c r="AG3936" s="421"/>
      <c r="AH3936" s="421"/>
      <c r="AI3936" s="421"/>
      <c r="AJ3936" s="421"/>
      <c r="AK3936" s="421"/>
      <c r="AL3936" s="421"/>
    </row>
    <row r="3937" spans="1:38" hidden="1">
      <c r="A3937" s="408"/>
      <c r="B3937" s="83" t="e">
        <f t="array" ref="B3937">SUM(--(FREQUENCY(IF(C$2:C$3072=C3937, MATCH(D$2:D$3072, D$2:D$3072, 0)), ROW(D$2:D$3072)-ROW(D$2)+1) &gt; 0))</f>
        <v>#N/A</v>
      </c>
      <c r="C3937" s="408"/>
      <c r="D3937" s="408"/>
      <c r="E3937" s="408"/>
      <c r="F3937" s="408"/>
      <c r="G3937" s="408"/>
      <c r="H3937" s="408"/>
      <c r="I3937" s="408"/>
      <c r="J3937" s="408"/>
      <c r="K3937" s="408"/>
      <c r="L3937" s="408"/>
      <c r="M3937" s="408"/>
      <c r="N3937" s="408" t="str">
        <f t="shared" si="488"/>
        <v/>
      </c>
      <c r="O3937" s="408"/>
      <c r="P3937" s="408"/>
      <c r="Q3937" s="408"/>
      <c r="R3937" s="408"/>
      <c r="S3937" s="408"/>
      <c r="T3937" s="408"/>
      <c r="U3937" s="408"/>
      <c r="V3937" s="421"/>
      <c r="W3937" s="421"/>
      <c r="X3937" s="421"/>
      <c r="Y3937" s="421"/>
      <c r="Z3937" s="421"/>
      <c r="AA3937" s="421"/>
      <c r="AB3937" s="421"/>
      <c r="AC3937" s="421"/>
      <c r="AD3937" s="421"/>
      <c r="AE3937" s="421"/>
      <c r="AF3937" s="421"/>
      <c r="AG3937" s="421"/>
      <c r="AH3937" s="421"/>
      <c r="AI3937" s="421"/>
      <c r="AJ3937" s="421"/>
      <c r="AK3937" s="421"/>
      <c r="AL3937" s="421"/>
    </row>
    <row r="3938" spans="1:38" hidden="1">
      <c r="A3938" s="408"/>
      <c r="B3938" s="83" t="e">
        <f t="array" ref="B3938">SUM(--(FREQUENCY(IF(C$2:C$3072=C3938, MATCH(D$2:D$3072, D$2:D$3072, 0)), ROW(D$2:D$3072)-ROW(D$2)+1) &gt; 0))</f>
        <v>#N/A</v>
      </c>
      <c r="C3938" s="408"/>
      <c r="D3938" s="408"/>
      <c r="E3938" s="408"/>
      <c r="F3938" s="408"/>
      <c r="G3938" s="408"/>
      <c r="H3938" s="408"/>
      <c r="I3938" s="408"/>
      <c r="J3938" s="408"/>
      <c r="K3938" s="408"/>
      <c r="L3938" s="408"/>
      <c r="M3938" s="408"/>
      <c r="N3938" s="408" t="str">
        <f t="shared" si="488"/>
        <v/>
      </c>
      <c r="O3938" s="408"/>
      <c r="P3938" s="408"/>
      <c r="Q3938" s="408"/>
      <c r="R3938" s="408"/>
      <c r="S3938" s="408"/>
      <c r="T3938" s="408"/>
      <c r="U3938" s="408"/>
      <c r="V3938" s="421"/>
      <c r="W3938" s="421"/>
      <c r="X3938" s="421"/>
      <c r="Y3938" s="421"/>
      <c r="Z3938" s="421"/>
      <c r="AA3938" s="421"/>
      <c r="AB3938" s="421"/>
      <c r="AC3938" s="421"/>
      <c r="AD3938" s="421"/>
      <c r="AE3938" s="421"/>
      <c r="AF3938" s="421"/>
      <c r="AG3938" s="421"/>
      <c r="AH3938" s="421"/>
      <c r="AI3938" s="421"/>
      <c r="AJ3938" s="421"/>
      <c r="AK3938" s="421"/>
      <c r="AL3938" s="421"/>
    </row>
    <row r="3939" spans="1:38" hidden="1">
      <c r="A3939" s="408"/>
      <c r="B3939" s="83" t="e">
        <f t="array" ref="B3939">SUM(--(FREQUENCY(IF(C$2:C$3072=C3939, MATCH(D$2:D$3072, D$2:D$3072, 0)), ROW(D$2:D$3072)-ROW(D$2)+1) &gt; 0))</f>
        <v>#N/A</v>
      </c>
      <c r="C3939" s="408"/>
      <c r="D3939" s="408"/>
      <c r="E3939" s="408"/>
      <c r="F3939" s="408"/>
      <c r="G3939" s="408"/>
      <c r="H3939" s="408"/>
      <c r="I3939" s="408"/>
      <c r="J3939" s="408"/>
      <c r="K3939" s="408"/>
      <c r="L3939" s="408"/>
      <c r="M3939" s="408"/>
      <c r="N3939" s="408" t="str">
        <f t="shared" si="488"/>
        <v/>
      </c>
      <c r="O3939" s="408"/>
      <c r="P3939" s="408"/>
      <c r="Q3939" s="408"/>
      <c r="R3939" s="408"/>
      <c r="S3939" s="408"/>
      <c r="T3939" s="408"/>
      <c r="U3939" s="408"/>
      <c r="V3939" s="421"/>
      <c r="W3939" s="421"/>
      <c r="X3939" s="421"/>
      <c r="Y3939" s="421"/>
      <c r="Z3939" s="421"/>
      <c r="AA3939" s="421"/>
      <c r="AB3939" s="421"/>
      <c r="AC3939" s="421"/>
      <c r="AD3939" s="421"/>
      <c r="AE3939" s="421"/>
      <c r="AF3939" s="421"/>
      <c r="AG3939" s="421"/>
      <c r="AH3939" s="421"/>
      <c r="AI3939" s="421"/>
      <c r="AJ3939" s="421"/>
      <c r="AK3939" s="421"/>
      <c r="AL3939" s="421"/>
    </row>
    <row r="3940" spans="1:38" hidden="1">
      <c r="A3940" s="408"/>
      <c r="B3940" s="83" t="e">
        <f t="array" ref="B3940">SUM(--(FREQUENCY(IF(C$2:C$3072=C3940, MATCH(D$2:D$3072, D$2:D$3072, 0)), ROW(D$2:D$3072)-ROW(D$2)+1) &gt; 0))</f>
        <v>#N/A</v>
      </c>
      <c r="C3940" s="408"/>
      <c r="D3940" s="408"/>
      <c r="E3940" s="408"/>
      <c r="F3940" s="408"/>
      <c r="G3940" s="408"/>
      <c r="H3940" s="408"/>
      <c r="I3940" s="408"/>
      <c r="J3940" s="408"/>
      <c r="K3940" s="408"/>
      <c r="L3940" s="408"/>
      <c r="M3940" s="408"/>
      <c r="N3940" s="408" t="str">
        <f t="shared" si="488"/>
        <v/>
      </c>
      <c r="O3940" s="408"/>
      <c r="P3940" s="408"/>
      <c r="Q3940" s="408"/>
      <c r="R3940" s="408"/>
      <c r="S3940" s="408"/>
      <c r="T3940" s="408"/>
      <c r="U3940" s="408"/>
      <c r="V3940" s="421"/>
      <c r="W3940" s="421"/>
      <c r="X3940" s="421"/>
      <c r="Y3940" s="421"/>
      <c r="Z3940" s="421"/>
      <c r="AA3940" s="421"/>
      <c r="AB3940" s="421"/>
      <c r="AC3940" s="421"/>
      <c r="AD3940" s="421"/>
      <c r="AE3940" s="421"/>
      <c r="AF3940" s="421"/>
      <c r="AG3940" s="421"/>
      <c r="AH3940" s="421"/>
      <c r="AI3940" s="421"/>
      <c r="AJ3940" s="421"/>
      <c r="AK3940" s="421"/>
      <c r="AL3940" s="421"/>
    </row>
    <row r="3941" spans="1:38" hidden="1">
      <c r="A3941" s="408"/>
      <c r="B3941" s="83" t="e">
        <f t="array" ref="B3941">SUM(--(FREQUENCY(IF(C$2:C$3072=C3941, MATCH(D$2:D$3072, D$2:D$3072, 0)), ROW(D$2:D$3072)-ROW(D$2)+1) &gt; 0))</f>
        <v>#N/A</v>
      </c>
      <c r="C3941" s="408"/>
      <c r="D3941" s="408"/>
      <c r="E3941" s="408"/>
      <c r="F3941" s="408"/>
      <c r="G3941" s="408"/>
      <c r="H3941" s="408"/>
      <c r="I3941" s="408"/>
      <c r="J3941" s="408"/>
      <c r="K3941" s="408"/>
      <c r="L3941" s="408"/>
      <c r="M3941" s="408"/>
      <c r="N3941" s="408" t="str">
        <f t="shared" si="488"/>
        <v/>
      </c>
      <c r="O3941" s="408"/>
      <c r="P3941" s="408"/>
      <c r="Q3941" s="408"/>
      <c r="R3941" s="408"/>
      <c r="S3941" s="408"/>
      <c r="T3941" s="408"/>
      <c r="U3941" s="408"/>
      <c r="V3941" s="421"/>
      <c r="W3941" s="421"/>
      <c r="X3941" s="421"/>
      <c r="Y3941" s="421"/>
      <c r="Z3941" s="421"/>
      <c r="AA3941" s="421"/>
      <c r="AB3941" s="421"/>
      <c r="AC3941" s="421"/>
      <c r="AD3941" s="421"/>
      <c r="AE3941" s="421"/>
      <c r="AF3941" s="421"/>
      <c r="AG3941" s="421"/>
      <c r="AH3941" s="421"/>
      <c r="AI3941" s="421"/>
      <c r="AJ3941" s="421"/>
      <c r="AK3941" s="421"/>
      <c r="AL3941" s="421"/>
    </row>
    <row r="3942" spans="1:38" hidden="1">
      <c r="A3942" s="408"/>
      <c r="B3942" s="83" t="e">
        <f t="array" ref="B3942">SUM(--(FREQUENCY(IF(C$2:C$3072=C3942, MATCH(D$2:D$3072, D$2:D$3072, 0)), ROW(D$2:D$3072)-ROW(D$2)+1) &gt; 0))</f>
        <v>#N/A</v>
      </c>
      <c r="C3942" s="408"/>
      <c r="D3942" s="408"/>
      <c r="E3942" s="408"/>
      <c r="F3942" s="408"/>
      <c r="G3942" s="408"/>
      <c r="H3942" s="408"/>
      <c r="I3942" s="408"/>
      <c r="J3942" s="408"/>
      <c r="K3942" s="408"/>
      <c r="L3942" s="408"/>
      <c r="M3942" s="408"/>
      <c r="N3942" s="408" t="str">
        <f t="shared" si="488"/>
        <v/>
      </c>
      <c r="O3942" s="408"/>
      <c r="P3942" s="408"/>
      <c r="Q3942" s="408"/>
      <c r="R3942" s="408"/>
      <c r="S3942" s="408"/>
      <c r="T3942" s="408"/>
      <c r="U3942" s="408"/>
      <c r="V3942" s="421"/>
      <c r="W3942" s="421"/>
      <c r="X3942" s="421"/>
      <c r="Y3942" s="421"/>
      <c r="Z3942" s="421"/>
      <c r="AA3942" s="421"/>
      <c r="AB3942" s="421"/>
      <c r="AC3942" s="421"/>
      <c r="AD3942" s="421"/>
      <c r="AE3942" s="421"/>
      <c r="AF3942" s="421"/>
      <c r="AG3942" s="421"/>
      <c r="AH3942" s="421"/>
      <c r="AI3942" s="421"/>
      <c r="AJ3942" s="421"/>
      <c r="AK3942" s="421"/>
      <c r="AL3942" s="421"/>
    </row>
    <row r="3943" spans="1:38" hidden="1">
      <c r="A3943" s="408"/>
      <c r="B3943" s="83" t="e">
        <f t="array" ref="B3943">SUM(--(FREQUENCY(IF(C$2:C$3072=C3943, MATCH(D$2:D$3072, D$2:D$3072, 0)), ROW(D$2:D$3072)-ROW(D$2)+1) &gt; 0))</f>
        <v>#N/A</v>
      </c>
      <c r="C3943" s="408"/>
      <c r="D3943" s="408"/>
      <c r="E3943" s="408"/>
      <c r="F3943" s="408"/>
      <c r="G3943" s="408"/>
      <c r="H3943" s="408"/>
      <c r="I3943" s="408"/>
      <c r="J3943" s="408"/>
      <c r="K3943" s="408"/>
      <c r="L3943" s="408"/>
      <c r="M3943" s="408"/>
      <c r="N3943" s="408" t="str">
        <f t="shared" si="488"/>
        <v/>
      </c>
      <c r="O3943" s="408"/>
      <c r="P3943" s="408"/>
      <c r="Q3943" s="408"/>
      <c r="R3943" s="408"/>
      <c r="S3943" s="408"/>
      <c r="T3943" s="408"/>
      <c r="U3943" s="408"/>
      <c r="V3943" s="421"/>
      <c r="W3943" s="421"/>
      <c r="X3943" s="421"/>
      <c r="Y3943" s="421"/>
      <c r="Z3943" s="421"/>
      <c r="AA3943" s="421"/>
      <c r="AB3943" s="421"/>
      <c r="AC3943" s="421"/>
      <c r="AD3943" s="421"/>
      <c r="AE3943" s="421"/>
      <c r="AF3943" s="421"/>
      <c r="AG3943" s="421"/>
      <c r="AH3943" s="421"/>
      <c r="AI3943" s="421"/>
      <c r="AJ3943" s="421"/>
      <c r="AK3943" s="421"/>
      <c r="AL3943" s="421"/>
    </row>
    <row r="3944" spans="1:38" hidden="1">
      <c r="A3944" s="408"/>
      <c r="B3944" s="83" t="e">
        <f t="array" ref="B3944">SUM(--(FREQUENCY(IF(C$2:C$3072=C3944, MATCH(D$2:D$3072, D$2:D$3072, 0)), ROW(D$2:D$3072)-ROW(D$2)+1) &gt; 0))</f>
        <v>#N/A</v>
      </c>
      <c r="C3944" s="408"/>
      <c r="D3944" s="408"/>
      <c r="E3944" s="408"/>
      <c r="F3944" s="408"/>
      <c r="G3944" s="408"/>
      <c r="H3944" s="408"/>
      <c r="I3944" s="408"/>
      <c r="J3944" s="408"/>
      <c r="K3944" s="408"/>
      <c r="L3944" s="408"/>
      <c r="M3944" s="408"/>
      <c r="N3944" s="408" t="str">
        <f t="shared" si="488"/>
        <v/>
      </c>
      <c r="O3944" s="408"/>
      <c r="P3944" s="408"/>
      <c r="Q3944" s="408"/>
      <c r="R3944" s="408"/>
      <c r="S3944" s="408"/>
      <c r="T3944" s="408"/>
      <c r="U3944" s="408"/>
      <c r="V3944" s="421"/>
      <c r="W3944" s="421"/>
      <c r="X3944" s="421"/>
      <c r="Y3944" s="421"/>
      <c r="Z3944" s="421"/>
      <c r="AA3944" s="421"/>
      <c r="AB3944" s="421"/>
      <c r="AC3944" s="421"/>
      <c r="AD3944" s="421"/>
      <c r="AE3944" s="421"/>
      <c r="AF3944" s="421"/>
      <c r="AG3944" s="421"/>
      <c r="AH3944" s="421"/>
      <c r="AI3944" s="421"/>
      <c r="AJ3944" s="421"/>
      <c r="AK3944" s="421"/>
      <c r="AL3944" s="421"/>
    </row>
    <row r="3945" spans="1:38" hidden="1">
      <c r="A3945" s="408"/>
      <c r="B3945" s="83" t="e">
        <f t="array" ref="B3945">SUM(--(FREQUENCY(IF(C$2:C$3072=C3945, MATCH(D$2:D$3072, D$2:D$3072, 0)), ROW(D$2:D$3072)-ROW(D$2)+1) &gt; 0))</f>
        <v>#N/A</v>
      </c>
      <c r="C3945" s="408"/>
      <c r="D3945" s="408"/>
      <c r="E3945" s="408"/>
      <c r="F3945" s="408"/>
      <c r="G3945" s="408"/>
      <c r="H3945" s="408"/>
      <c r="I3945" s="408"/>
      <c r="J3945" s="408"/>
      <c r="K3945" s="408"/>
      <c r="L3945" s="408"/>
      <c r="M3945" s="408"/>
      <c r="N3945" s="408" t="str">
        <f t="shared" si="488"/>
        <v/>
      </c>
      <c r="O3945" s="408"/>
      <c r="P3945" s="408"/>
      <c r="Q3945" s="408"/>
      <c r="R3945" s="408"/>
      <c r="S3945" s="408"/>
      <c r="T3945" s="408"/>
      <c r="U3945" s="408"/>
      <c r="V3945" s="421"/>
      <c r="W3945" s="421"/>
      <c r="X3945" s="421"/>
      <c r="Y3945" s="421"/>
      <c r="Z3945" s="421"/>
      <c r="AA3945" s="421"/>
      <c r="AB3945" s="421"/>
      <c r="AC3945" s="421"/>
      <c r="AD3945" s="421"/>
      <c r="AE3945" s="421"/>
      <c r="AF3945" s="421"/>
      <c r="AG3945" s="421"/>
      <c r="AH3945" s="421"/>
      <c r="AI3945" s="421"/>
      <c r="AJ3945" s="421"/>
      <c r="AK3945" s="421"/>
      <c r="AL3945" s="421"/>
    </row>
    <row r="3946" spans="1:38" hidden="1">
      <c r="A3946" s="408"/>
      <c r="B3946" s="83" t="e">
        <f t="array" ref="B3946">SUM(--(FREQUENCY(IF(C$2:C$3072=C3946, MATCH(D$2:D$3072, D$2:D$3072, 0)), ROW(D$2:D$3072)-ROW(D$2)+1) &gt; 0))</f>
        <v>#N/A</v>
      </c>
      <c r="C3946" s="408"/>
      <c r="D3946" s="408"/>
      <c r="E3946" s="408"/>
      <c r="F3946" s="408"/>
      <c r="G3946" s="408"/>
      <c r="H3946" s="408"/>
      <c r="I3946" s="408"/>
      <c r="J3946" s="408"/>
      <c r="K3946" s="408"/>
      <c r="L3946" s="408"/>
      <c r="M3946" s="408"/>
      <c r="N3946" s="408" t="str">
        <f t="shared" si="488"/>
        <v/>
      </c>
      <c r="O3946" s="408"/>
      <c r="P3946" s="408"/>
      <c r="Q3946" s="408"/>
      <c r="R3946" s="408"/>
      <c r="S3946" s="408"/>
      <c r="T3946" s="408"/>
      <c r="U3946" s="408"/>
      <c r="V3946" s="421"/>
      <c r="W3946" s="421"/>
      <c r="X3946" s="421"/>
      <c r="Y3946" s="421"/>
      <c r="Z3946" s="421"/>
      <c r="AA3946" s="421"/>
      <c r="AB3946" s="421"/>
      <c r="AC3946" s="421"/>
      <c r="AD3946" s="421"/>
      <c r="AE3946" s="421"/>
      <c r="AF3946" s="421"/>
      <c r="AG3946" s="421"/>
      <c r="AH3946" s="421"/>
      <c r="AI3946" s="421"/>
      <c r="AJ3946" s="421"/>
      <c r="AK3946" s="421"/>
      <c r="AL3946" s="421"/>
    </row>
    <row r="3947" spans="1:38" hidden="1">
      <c r="A3947" s="408"/>
      <c r="B3947" s="83" t="e">
        <f t="array" ref="B3947">SUM(--(FREQUENCY(IF(C$2:C$3072=C3947, MATCH(D$2:D$3072, D$2:D$3072, 0)), ROW(D$2:D$3072)-ROW(D$2)+1) &gt; 0))</f>
        <v>#N/A</v>
      </c>
      <c r="C3947" s="408"/>
      <c r="D3947" s="408"/>
      <c r="E3947" s="408"/>
      <c r="F3947" s="408"/>
      <c r="G3947" s="408"/>
      <c r="H3947" s="408"/>
      <c r="I3947" s="408"/>
      <c r="J3947" s="408"/>
      <c r="K3947" s="408"/>
      <c r="L3947" s="408"/>
      <c r="M3947" s="408"/>
      <c r="N3947" s="408" t="str">
        <f t="shared" si="488"/>
        <v/>
      </c>
      <c r="O3947" s="408"/>
      <c r="P3947" s="408"/>
      <c r="Q3947" s="408"/>
      <c r="R3947" s="408"/>
      <c r="S3947" s="408"/>
      <c r="T3947" s="408"/>
      <c r="U3947" s="408"/>
      <c r="V3947" s="421"/>
      <c r="W3947" s="421"/>
      <c r="X3947" s="421"/>
      <c r="Y3947" s="421"/>
      <c r="Z3947" s="421"/>
      <c r="AA3947" s="421"/>
      <c r="AB3947" s="421"/>
      <c r="AC3947" s="421"/>
      <c r="AD3947" s="421"/>
      <c r="AE3947" s="421"/>
      <c r="AF3947" s="421"/>
      <c r="AG3947" s="421"/>
      <c r="AH3947" s="421"/>
      <c r="AI3947" s="421"/>
      <c r="AJ3947" s="421"/>
      <c r="AK3947" s="421"/>
      <c r="AL3947" s="421"/>
    </row>
    <row r="3948" spans="1:38" hidden="1">
      <c r="A3948" s="408"/>
      <c r="B3948" s="83" t="e">
        <f t="array" ref="B3948">SUM(--(FREQUENCY(IF(C$2:C$3072=C3948, MATCH(D$2:D$3072, D$2:D$3072, 0)), ROW(D$2:D$3072)-ROW(D$2)+1) &gt; 0))</f>
        <v>#N/A</v>
      </c>
      <c r="C3948" s="408"/>
      <c r="D3948" s="408"/>
      <c r="E3948" s="408"/>
      <c r="F3948" s="408"/>
      <c r="G3948" s="408"/>
      <c r="H3948" s="408"/>
      <c r="I3948" s="408"/>
      <c r="J3948" s="408"/>
      <c r="K3948" s="408"/>
      <c r="L3948" s="408"/>
      <c r="M3948" s="408"/>
      <c r="N3948" s="408" t="str">
        <f t="shared" si="488"/>
        <v/>
      </c>
      <c r="O3948" s="408"/>
      <c r="P3948" s="408"/>
      <c r="Q3948" s="408"/>
      <c r="R3948" s="408"/>
      <c r="S3948" s="408"/>
      <c r="T3948" s="408"/>
      <c r="U3948" s="408"/>
      <c r="V3948" s="421"/>
      <c r="W3948" s="421"/>
      <c r="X3948" s="421"/>
      <c r="Y3948" s="421"/>
      <c r="Z3948" s="421"/>
      <c r="AA3948" s="421"/>
      <c r="AB3948" s="421"/>
      <c r="AC3948" s="421"/>
      <c r="AD3948" s="421"/>
      <c r="AE3948" s="421"/>
      <c r="AF3948" s="421"/>
      <c r="AG3948" s="421"/>
      <c r="AH3948" s="421"/>
      <c r="AI3948" s="421"/>
      <c r="AJ3948" s="421"/>
      <c r="AK3948" s="421"/>
      <c r="AL3948" s="421"/>
    </row>
    <row r="3949" spans="1:38" hidden="1">
      <c r="A3949" s="408"/>
      <c r="B3949" s="83" t="e">
        <f t="array" ref="B3949">SUM(--(FREQUENCY(IF(C$2:C$3072=C3949, MATCH(D$2:D$3072, D$2:D$3072, 0)), ROW(D$2:D$3072)-ROW(D$2)+1) &gt; 0))</f>
        <v>#N/A</v>
      </c>
      <c r="C3949" s="408"/>
      <c r="D3949" s="408"/>
      <c r="E3949" s="408"/>
      <c r="F3949" s="408"/>
      <c r="G3949" s="408"/>
      <c r="H3949" s="408"/>
      <c r="I3949" s="408"/>
      <c r="J3949" s="408"/>
      <c r="K3949" s="408"/>
      <c r="L3949" s="408"/>
      <c r="M3949" s="408"/>
      <c r="N3949" s="408" t="str">
        <f t="shared" si="488"/>
        <v/>
      </c>
      <c r="O3949" s="408"/>
      <c r="P3949" s="408"/>
      <c r="Q3949" s="408"/>
      <c r="R3949" s="408"/>
      <c r="S3949" s="408"/>
      <c r="T3949" s="408"/>
      <c r="U3949" s="408"/>
      <c r="V3949" s="421"/>
      <c r="W3949" s="421"/>
      <c r="X3949" s="421"/>
      <c r="Y3949" s="421"/>
      <c r="Z3949" s="421"/>
      <c r="AA3949" s="421"/>
      <c r="AB3949" s="421"/>
      <c r="AC3949" s="421"/>
      <c r="AD3949" s="421"/>
      <c r="AE3949" s="421"/>
      <c r="AF3949" s="421"/>
      <c r="AG3949" s="421"/>
      <c r="AH3949" s="421"/>
      <c r="AI3949" s="421"/>
      <c r="AJ3949" s="421"/>
      <c r="AK3949" s="421"/>
      <c r="AL3949" s="421"/>
    </row>
    <row r="3950" spans="1:38" hidden="1">
      <c r="A3950" s="408"/>
      <c r="B3950" s="83" t="e">
        <f t="array" ref="B3950">SUM(--(FREQUENCY(IF(C$2:C$3072=C3950, MATCH(D$2:D$3072, D$2:D$3072, 0)), ROW(D$2:D$3072)-ROW(D$2)+1) &gt; 0))</f>
        <v>#N/A</v>
      </c>
      <c r="C3950" s="408"/>
      <c r="D3950" s="408"/>
      <c r="E3950" s="408"/>
      <c r="F3950" s="408"/>
      <c r="G3950" s="408"/>
      <c r="H3950" s="408"/>
      <c r="I3950" s="408"/>
      <c r="J3950" s="408"/>
      <c r="K3950" s="408"/>
      <c r="L3950" s="408"/>
      <c r="M3950" s="408"/>
      <c r="N3950" s="408" t="str">
        <f t="shared" si="488"/>
        <v/>
      </c>
      <c r="O3950" s="408"/>
      <c r="P3950" s="408"/>
      <c r="Q3950" s="408"/>
      <c r="R3950" s="408"/>
      <c r="S3950" s="408"/>
      <c r="T3950" s="408"/>
      <c r="U3950" s="408"/>
      <c r="V3950" s="421"/>
      <c r="W3950" s="421"/>
      <c r="X3950" s="421"/>
      <c r="Y3950" s="421"/>
      <c r="Z3950" s="421"/>
      <c r="AA3950" s="421"/>
      <c r="AB3950" s="421"/>
      <c r="AC3950" s="421"/>
      <c r="AD3950" s="421"/>
      <c r="AE3950" s="421"/>
      <c r="AF3950" s="421"/>
      <c r="AG3950" s="421"/>
      <c r="AH3950" s="421"/>
      <c r="AI3950" s="421"/>
      <c r="AJ3950" s="421"/>
      <c r="AK3950" s="421"/>
      <c r="AL3950" s="421"/>
    </row>
    <row r="3951" spans="1:38" hidden="1">
      <c r="A3951" s="408"/>
      <c r="B3951" s="83" t="e">
        <f t="array" ref="B3951">SUM(--(FREQUENCY(IF(C$2:C$3072=C3951, MATCH(D$2:D$3072, D$2:D$3072, 0)), ROW(D$2:D$3072)-ROW(D$2)+1) &gt; 0))</f>
        <v>#N/A</v>
      </c>
      <c r="C3951" s="408"/>
      <c r="D3951" s="408"/>
      <c r="E3951" s="408"/>
      <c r="F3951" s="408"/>
      <c r="G3951" s="408"/>
      <c r="H3951" s="408"/>
      <c r="I3951" s="408"/>
      <c r="J3951" s="408"/>
      <c r="K3951" s="408"/>
      <c r="L3951" s="408"/>
      <c r="M3951" s="408"/>
      <c r="N3951" s="408" t="str">
        <f t="shared" si="488"/>
        <v/>
      </c>
      <c r="O3951" s="408"/>
      <c r="P3951" s="408"/>
      <c r="Q3951" s="408"/>
      <c r="R3951" s="408"/>
      <c r="S3951" s="408"/>
      <c r="T3951" s="408"/>
      <c r="U3951" s="408"/>
      <c r="V3951" s="421"/>
      <c r="W3951" s="421"/>
      <c r="X3951" s="421"/>
      <c r="Y3951" s="421"/>
      <c r="Z3951" s="421"/>
      <c r="AA3951" s="421"/>
      <c r="AB3951" s="421"/>
      <c r="AC3951" s="421"/>
      <c r="AD3951" s="421"/>
      <c r="AE3951" s="421"/>
      <c r="AF3951" s="421"/>
      <c r="AG3951" s="421"/>
      <c r="AH3951" s="421"/>
      <c r="AI3951" s="421"/>
      <c r="AJ3951" s="421"/>
      <c r="AK3951" s="421"/>
      <c r="AL3951" s="421"/>
    </row>
    <row r="3952" spans="1:38" hidden="1">
      <c r="A3952" s="408"/>
      <c r="B3952" s="83" t="e">
        <f t="array" ref="B3952">SUM(--(FREQUENCY(IF(C$2:C$3072=C3952, MATCH(D$2:D$3072, D$2:D$3072, 0)), ROW(D$2:D$3072)-ROW(D$2)+1) &gt; 0))</f>
        <v>#N/A</v>
      </c>
      <c r="C3952" s="408"/>
      <c r="D3952" s="408"/>
      <c r="E3952" s="408"/>
      <c r="F3952" s="408"/>
      <c r="G3952" s="408"/>
      <c r="H3952" s="408"/>
      <c r="I3952" s="408"/>
      <c r="J3952" s="408"/>
      <c r="K3952" s="408"/>
      <c r="L3952" s="408"/>
      <c r="M3952" s="408"/>
      <c r="N3952" s="408" t="str">
        <f t="shared" si="488"/>
        <v/>
      </c>
      <c r="O3952" s="408"/>
      <c r="P3952" s="408"/>
      <c r="Q3952" s="408"/>
      <c r="R3952" s="408"/>
      <c r="S3952" s="408"/>
      <c r="T3952" s="408"/>
      <c r="U3952" s="408"/>
      <c r="V3952" s="421"/>
      <c r="W3952" s="421"/>
      <c r="X3952" s="421"/>
      <c r="Y3952" s="421"/>
      <c r="Z3952" s="421"/>
      <c r="AA3952" s="421"/>
      <c r="AB3952" s="421"/>
      <c r="AC3952" s="421"/>
      <c r="AD3952" s="421"/>
      <c r="AE3952" s="421"/>
      <c r="AF3952" s="421"/>
      <c r="AG3952" s="421"/>
      <c r="AH3952" s="421"/>
      <c r="AI3952" s="421"/>
      <c r="AJ3952" s="421"/>
      <c r="AK3952" s="421"/>
      <c r="AL3952" s="421"/>
    </row>
    <row r="3953" spans="1:38" hidden="1">
      <c r="A3953" s="408"/>
      <c r="B3953" s="83" t="e">
        <f t="array" ref="B3953">SUM(--(FREQUENCY(IF(C$2:C$3072=C3953, MATCH(D$2:D$3072, D$2:D$3072, 0)), ROW(D$2:D$3072)-ROW(D$2)+1) &gt; 0))</f>
        <v>#N/A</v>
      </c>
      <c r="C3953" s="408"/>
      <c r="D3953" s="408"/>
      <c r="E3953" s="408"/>
      <c r="F3953" s="408"/>
      <c r="G3953" s="408"/>
      <c r="H3953" s="408"/>
      <c r="I3953" s="408"/>
      <c r="J3953" s="408"/>
      <c r="K3953" s="408"/>
      <c r="L3953" s="408"/>
      <c r="M3953" s="408"/>
      <c r="N3953" s="408" t="str">
        <f t="shared" si="488"/>
        <v/>
      </c>
      <c r="O3953" s="408"/>
      <c r="P3953" s="408"/>
      <c r="Q3953" s="408"/>
      <c r="R3953" s="408"/>
      <c r="S3953" s="408"/>
      <c r="T3953" s="408"/>
      <c r="U3953" s="408"/>
      <c r="V3953" s="421"/>
      <c r="W3953" s="421"/>
      <c r="X3953" s="421"/>
      <c r="Y3953" s="421"/>
      <c r="Z3953" s="421"/>
      <c r="AA3953" s="421"/>
      <c r="AB3953" s="421"/>
      <c r="AC3953" s="421"/>
      <c r="AD3953" s="421"/>
      <c r="AE3953" s="421"/>
      <c r="AF3953" s="421"/>
      <c r="AG3953" s="421"/>
      <c r="AH3953" s="421"/>
      <c r="AI3953" s="421"/>
      <c r="AJ3953" s="421"/>
      <c r="AK3953" s="421"/>
      <c r="AL3953" s="421"/>
    </row>
    <row r="3954" spans="1:38" hidden="1">
      <c r="A3954" s="408"/>
      <c r="B3954" s="83" t="e">
        <f t="array" ref="B3954">SUM(--(FREQUENCY(IF(C$2:C$3072=C3954, MATCH(D$2:D$3072, D$2:D$3072, 0)), ROW(D$2:D$3072)-ROW(D$2)+1) &gt; 0))</f>
        <v>#N/A</v>
      </c>
      <c r="C3954" s="408"/>
      <c r="D3954" s="408"/>
      <c r="E3954" s="408"/>
      <c r="F3954" s="408"/>
      <c r="G3954" s="408"/>
      <c r="H3954" s="408"/>
      <c r="I3954" s="408"/>
      <c r="J3954" s="408"/>
      <c r="K3954" s="408"/>
      <c r="L3954" s="408"/>
      <c r="M3954" s="408"/>
      <c r="N3954" s="408" t="str">
        <f t="shared" si="488"/>
        <v/>
      </c>
      <c r="O3954" s="408"/>
      <c r="P3954" s="408"/>
      <c r="Q3954" s="408"/>
      <c r="R3954" s="408"/>
      <c r="S3954" s="408"/>
      <c r="T3954" s="408"/>
      <c r="U3954" s="408"/>
      <c r="V3954" s="421"/>
      <c r="W3954" s="421"/>
      <c r="X3954" s="421"/>
      <c r="Y3954" s="421"/>
      <c r="Z3954" s="421"/>
      <c r="AA3954" s="421"/>
      <c r="AB3954" s="421"/>
      <c r="AC3954" s="421"/>
      <c r="AD3954" s="421"/>
      <c r="AE3954" s="421"/>
      <c r="AF3954" s="421"/>
      <c r="AG3954" s="421"/>
      <c r="AH3954" s="421"/>
      <c r="AI3954" s="421"/>
      <c r="AJ3954" s="421"/>
      <c r="AK3954" s="421"/>
      <c r="AL3954" s="421"/>
    </row>
    <row r="3955" spans="1:38" hidden="1">
      <c r="A3955" s="408"/>
      <c r="B3955" s="83" t="e">
        <f t="array" ref="B3955">SUM(--(FREQUENCY(IF(C$2:C$3072=C3955, MATCH(D$2:D$3072, D$2:D$3072, 0)), ROW(D$2:D$3072)-ROW(D$2)+1) &gt; 0))</f>
        <v>#N/A</v>
      </c>
      <c r="C3955" s="408"/>
      <c r="D3955" s="408"/>
      <c r="E3955" s="408"/>
      <c r="F3955" s="408"/>
      <c r="G3955" s="408"/>
      <c r="H3955" s="408"/>
      <c r="I3955" s="408"/>
      <c r="J3955" s="408"/>
      <c r="K3955" s="408"/>
      <c r="L3955" s="408"/>
      <c r="M3955" s="408"/>
      <c r="N3955" s="408" t="str">
        <f t="shared" si="488"/>
        <v/>
      </c>
      <c r="O3955" s="408"/>
      <c r="P3955" s="408"/>
      <c r="Q3955" s="408"/>
      <c r="R3955" s="408"/>
      <c r="S3955" s="408"/>
      <c r="T3955" s="408"/>
      <c r="U3955" s="408"/>
      <c r="V3955" s="421"/>
      <c r="W3955" s="421"/>
      <c r="X3955" s="421"/>
      <c r="Y3955" s="421"/>
      <c r="Z3955" s="421"/>
      <c r="AA3955" s="421"/>
      <c r="AB3955" s="421"/>
      <c r="AC3955" s="421"/>
      <c r="AD3955" s="421"/>
      <c r="AE3955" s="421"/>
      <c r="AF3955" s="421"/>
      <c r="AG3955" s="421"/>
      <c r="AH3955" s="421"/>
      <c r="AI3955" s="421"/>
      <c r="AJ3955" s="421"/>
      <c r="AK3955" s="421"/>
      <c r="AL3955" s="421"/>
    </row>
    <row r="3956" spans="1:38" hidden="1">
      <c r="A3956" s="408"/>
      <c r="B3956" s="83" t="e">
        <f t="array" ref="B3956">SUM(--(FREQUENCY(IF(C$2:C$3072=C3956, MATCH(D$2:D$3072, D$2:D$3072, 0)), ROW(D$2:D$3072)-ROW(D$2)+1) &gt; 0))</f>
        <v>#N/A</v>
      </c>
      <c r="C3956" s="408"/>
      <c r="D3956" s="408"/>
      <c r="E3956" s="408"/>
      <c r="F3956" s="408"/>
      <c r="G3956" s="408"/>
      <c r="H3956" s="408"/>
      <c r="I3956" s="408"/>
      <c r="J3956" s="408"/>
      <c r="K3956" s="408"/>
      <c r="L3956" s="408"/>
      <c r="M3956" s="408"/>
      <c r="N3956" s="408" t="str">
        <f t="shared" si="488"/>
        <v/>
      </c>
      <c r="O3956" s="408"/>
      <c r="P3956" s="408"/>
      <c r="Q3956" s="408"/>
      <c r="R3956" s="408"/>
      <c r="S3956" s="408"/>
      <c r="T3956" s="408"/>
      <c r="U3956" s="408"/>
      <c r="V3956" s="421"/>
      <c r="W3956" s="421"/>
      <c r="X3956" s="421"/>
      <c r="Y3956" s="421"/>
      <c r="Z3956" s="421"/>
      <c r="AA3956" s="421"/>
      <c r="AB3956" s="421"/>
      <c r="AC3956" s="421"/>
      <c r="AD3956" s="421"/>
      <c r="AE3956" s="421"/>
      <c r="AF3956" s="421"/>
      <c r="AG3956" s="421"/>
      <c r="AH3956" s="421"/>
      <c r="AI3956" s="421"/>
      <c r="AJ3956" s="421"/>
      <c r="AK3956" s="421"/>
      <c r="AL3956" s="421"/>
    </row>
    <row r="3957" spans="1:38" hidden="1">
      <c r="A3957" s="408"/>
      <c r="B3957" s="83" t="e">
        <f t="array" ref="B3957">SUM(--(FREQUENCY(IF(C$2:C$3072=C3957, MATCH(D$2:D$3072, D$2:D$3072, 0)), ROW(D$2:D$3072)-ROW(D$2)+1) &gt; 0))</f>
        <v>#N/A</v>
      </c>
      <c r="C3957" s="408"/>
      <c r="D3957" s="408"/>
      <c r="E3957" s="408"/>
      <c r="F3957" s="408"/>
      <c r="G3957" s="408"/>
      <c r="H3957" s="408"/>
      <c r="I3957" s="408"/>
      <c r="J3957" s="408"/>
      <c r="K3957" s="408"/>
      <c r="L3957" s="408"/>
      <c r="M3957" s="408"/>
      <c r="N3957" s="408" t="str">
        <f t="shared" si="488"/>
        <v/>
      </c>
      <c r="O3957" s="408"/>
      <c r="P3957" s="408"/>
      <c r="Q3957" s="408"/>
      <c r="R3957" s="408"/>
      <c r="S3957" s="408"/>
      <c r="T3957" s="408"/>
      <c r="U3957" s="408"/>
      <c r="V3957" s="421"/>
      <c r="W3957" s="421"/>
      <c r="X3957" s="421"/>
      <c r="Y3957" s="421"/>
      <c r="Z3957" s="421"/>
      <c r="AA3957" s="421"/>
      <c r="AB3957" s="421"/>
      <c r="AC3957" s="421"/>
      <c r="AD3957" s="421"/>
      <c r="AE3957" s="421"/>
      <c r="AF3957" s="421"/>
      <c r="AG3957" s="421"/>
      <c r="AH3957" s="421"/>
      <c r="AI3957" s="421"/>
      <c r="AJ3957" s="421"/>
      <c r="AK3957" s="421"/>
      <c r="AL3957" s="421"/>
    </row>
    <row r="3958" spans="1:38" hidden="1">
      <c r="A3958" s="408"/>
      <c r="B3958" s="83" t="e">
        <f t="array" ref="B3958">SUM(--(FREQUENCY(IF(C$2:C$3072=C3958, MATCH(D$2:D$3072, D$2:D$3072, 0)), ROW(D$2:D$3072)-ROW(D$2)+1) &gt; 0))</f>
        <v>#N/A</v>
      </c>
      <c r="C3958" s="408"/>
      <c r="D3958" s="408"/>
      <c r="E3958" s="408"/>
      <c r="F3958" s="408"/>
      <c r="G3958" s="408"/>
      <c r="H3958" s="408"/>
      <c r="I3958" s="408"/>
      <c r="J3958" s="408"/>
      <c r="K3958" s="408"/>
      <c r="L3958" s="408"/>
      <c r="M3958" s="408"/>
      <c r="N3958" s="408" t="str">
        <f t="shared" si="488"/>
        <v/>
      </c>
      <c r="O3958" s="408"/>
      <c r="P3958" s="408"/>
      <c r="Q3958" s="408"/>
      <c r="R3958" s="408"/>
      <c r="S3958" s="408"/>
      <c r="T3958" s="408"/>
      <c r="U3958" s="408"/>
      <c r="V3958" s="421"/>
      <c r="W3958" s="421"/>
      <c r="X3958" s="421"/>
      <c r="Y3958" s="421"/>
      <c r="Z3958" s="421"/>
      <c r="AA3958" s="421"/>
      <c r="AB3958" s="421"/>
      <c r="AC3958" s="421"/>
      <c r="AD3958" s="421"/>
      <c r="AE3958" s="421"/>
      <c r="AF3958" s="421"/>
      <c r="AG3958" s="421"/>
      <c r="AH3958" s="421"/>
      <c r="AI3958" s="421"/>
      <c r="AJ3958" s="421"/>
      <c r="AK3958" s="421"/>
      <c r="AL3958" s="421"/>
    </row>
    <row r="3959" spans="1:38" hidden="1">
      <c r="A3959" s="408"/>
      <c r="B3959" s="83" t="e">
        <f t="array" ref="B3959">SUM(--(FREQUENCY(IF(C$2:C$3072=C3959, MATCH(D$2:D$3072, D$2:D$3072, 0)), ROW(D$2:D$3072)-ROW(D$2)+1) &gt; 0))</f>
        <v>#N/A</v>
      </c>
      <c r="C3959" s="408"/>
      <c r="D3959" s="408"/>
      <c r="E3959" s="408"/>
      <c r="F3959" s="408"/>
      <c r="G3959" s="408"/>
      <c r="H3959" s="408"/>
      <c r="I3959" s="408"/>
      <c r="J3959" s="408"/>
      <c r="K3959" s="408"/>
      <c r="L3959" s="408"/>
      <c r="M3959" s="408"/>
      <c r="N3959" s="408" t="str">
        <f t="shared" si="488"/>
        <v/>
      </c>
      <c r="O3959" s="408"/>
      <c r="P3959" s="408"/>
      <c r="Q3959" s="408"/>
      <c r="R3959" s="408"/>
      <c r="S3959" s="408"/>
      <c r="T3959" s="408"/>
      <c r="U3959" s="408"/>
      <c r="V3959" s="421"/>
      <c r="W3959" s="421"/>
      <c r="X3959" s="421"/>
      <c r="Y3959" s="421"/>
      <c r="Z3959" s="421"/>
      <c r="AA3959" s="421"/>
      <c r="AB3959" s="421"/>
      <c r="AC3959" s="421"/>
      <c r="AD3959" s="421"/>
      <c r="AE3959" s="421"/>
      <c r="AF3959" s="421"/>
      <c r="AG3959" s="421"/>
      <c r="AH3959" s="421"/>
      <c r="AI3959" s="421"/>
      <c r="AJ3959" s="421"/>
      <c r="AK3959" s="421"/>
      <c r="AL3959" s="421"/>
    </row>
    <row r="3960" spans="1:38" hidden="1">
      <c r="A3960" s="408"/>
      <c r="B3960" s="83" t="e">
        <f t="array" ref="B3960">SUM(--(FREQUENCY(IF(C$2:C$3072=C3960, MATCH(D$2:D$3072, D$2:D$3072, 0)), ROW(D$2:D$3072)-ROW(D$2)+1) &gt; 0))</f>
        <v>#N/A</v>
      </c>
      <c r="C3960" s="408"/>
      <c r="D3960" s="408"/>
      <c r="E3960" s="408"/>
      <c r="F3960" s="408"/>
      <c r="G3960" s="408"/>
      <c r="H3960" s="408"/>
      <c r="I3960" s="408"/>
      <c r="J3960" s="408"/>
      <c r="K3960" s="408"/>
      <c r="L3960" s="408"/>
      <c r="M3960" s="408"/>
      <c r="N3960" s="408" t="str">
        <f t="shared" si="488"/>
        <v/>
      </c>
      <c r="O3960" s="408"/>
      <c r="P3960" s="408"/>
      <c r="Q3960" s="408"/>
      <c r="R3960" s="408"/>
      <c r="S3960" s="408"/>
      <c r="T3960" s="408"/>
      <c r="U3960" s="408"/>
      <c r="V3960" s="421"/>
      <c r="W3960" s="421"/>
      <c r="X3960" s="421"/>
      <c r="Y3960" s="421"/>
      <c r="Z3960" s="421"/>
      <c r="AA3960" s="421"/>
      <c r="AB3960" s="421"/>
      <c r="AC3960" s="421"/>
      <c r="AD3960" s="421"/>
      <c r="AE3960" s="421"/>
      <c r="AF3960" s="421"/>
      <c r="AG3960" s="421"/>
      <c r="AH3960" s="421"/>
      <c r="AI3960" s="421"/>
      <c r="AJ3960" s="421"/>
      <c r="AK3960" s="421"/>
      <c r="AL3960" s="421"/>
    </row>
    <row r="3961" spans="1:38" hidden="1">
      <c r="A3961" s="408"/>
      <c r="B3961" s="83" t="e">
        <f t="array" ref="B3961">SUM(--(FREQUENCY(IF(C$2:C$3072=C3961, MATCH(D$2:D$3072, D$2:D$3072, 0)), ROW(D$2:D$3072)-ROW(D$2)+1) &gt; 0))</f>
        <v>#N/A</v>
      </c>
      <c r="C3961" s="408"/>
      <c r="D3961" s="408"/>
      <c r="E3961" s="408"/>
      <c r="F3961" s="408"/>
      <c r="G3961" s="408"/>
      <c r="H3961" s="408"/>
      <c r="I3961" s="408"/>
      <c r="J3961" s="408"/>
      <c r="K3961" s="408"/>
      <c r="L3961" s="408"/>
      <c r="M3961" s="408"/>
      <c r="N3961" s="408" t="str">
        <f t="shared" si="488"/>
        <v/>
      </c>
      <c r="O3961" s="408"/>
      <c r="P3961" s="408"/>
      <c r="Q3961" s="408"/>
      <c r="R3961" s="408"/>
      <c r="S3961" s="408"/>
      <c r="T3961" s="408"/>
      <c r="U3961" s="408"/>
      <c r="V3961" s="421"/>
      <c r="W3961" s="421"/>
      <c r="X3961" s="421"/>
      <c r="Y3961" s="421"/>
      <c r="Z3961" s="421"/>
      <c r="AA3961" s="421"/>
      <c r="AB3961" s="421"/>
      <c r="AC3961" s="421"/>
      <c r="AD3961" s="421"/>
      <c r="AE3961" s="421"/>
      <c r="AF3961" s="421"/>
      <c r="AG3961" s="421"/>
      <c r="AH3961" s="421"/>
      <c r="AI3961" s="421"/>
      <c r="AJ3961" s="421"/>
      <c r="AK3961" s="421"/>
      <c r="AL3961" s="421"/>
    </row>
    <row r="3962" spans="1:38" hidden="1">
      <c r="A3962" s="408"/>
      <c r="B3962" s="83" t="e">
        <f t="array" ref="B3962">SUM(--(FREQUENCY(IF(C$2:C$3072=C3962, MATCH(D$2:D$3072, D$2:D$3072, 0)), ROW(D$2:D$3072)-ROW(D$2)+1) &gt; 0))</f>
        <v>#N/A</v>
      </c>
      <c r="C3962" s="408"/>
      <c r="D3962" s="408"/>
      <c r="E3962" s="408"/>
      <c r="F3962" s="408"/>
      <c r="G3962" s="408"/>
      <c r="H3962" s="408"/>
      <c r="I3962" s="408"/>
      <c r="J3962" s="408"/>
      <c r="K3962" s="408"/>
      <c r="L3962" s="408"/>
      <c r="M3962" s="408"/>
      <c r="N3962" s="408" t="str">
        <f t="shared" si="488"/>
        <v/>
      </c>
      <c r="O3962" s="408"/>
      <c r="P3962" s="408"/>
      <c r="Q3962" s="408"/>
      <c r="R3962" s="408"/>
      <c r="S3962" s="408"/>
      <c r="T3962" s="408"/>
      <c r="U3962" s="408"/>
      <c r="V3962" s="421"/>
      <c r="W3962" s="421"/>
      <c r="X3962" s="421"/>
      <c r="Y3962" s="421"/>
      <c r="Z3962" s="421"/>
      <c r="AA3962" s="421"/>
      <c r="AB3962" s="421"/>
      <c r="AC3962" s="421"/>
      <c r="AD3962" s="421"/>
      <c r="AE3962" s="421"/>
      <c r="AF3962" s="421"/>
      <c r="AG3962" s="421"/>
      <c r="AH3962" s="421"/>
      <c r="AI3962" s="421"/>
      <c r="AJ3962" s="421"/>
      <c r="AK3962" s="421"/>
      <c r="AL3962" s="421"/>
    </row>
    <row r="3963" spans="1:38" hidden="1">
      <c r="A3963" s="408"/>
      <c r="B3963" s="83" t="e">
        <f t="array" ref="B3963">SUM(--(FREQUENCY(IF(C$2:C$3072=C3963, MATCH(D$2:D$3072, D$2:D$3072, 0)), ROW(D$2:D$3072)-ROW(D$2)+1) &gt; 0))</f>
        <v>#N/A</v>
      </c>
      <c r="C3963" s="408"/>
      <c r="D3963" s="408"/>
      <c r="E3963" s="408"/>
      <c r="F3963" s="408"/>
      <c r="G3963" s="408"/>
      <c r="H3963" s="408"/>
      <c r="I3963" s="408"/>
      <c r="J3963" s="408"/>
      <c r="K3963" s="408"/>
      <c r="L3963" s="408"/>
      <c r="M3963" s="408"/>
      <c r="N3963" s="408" t="str">
        <f t="shared" si="488"/>
        <v/>
      </c>
      <c r="O3963" s="408"/>
      <c r="P3963" s="408"/>
      <c r="Q3963" s="408"/>
      <c r="R3963" s="408"/>
      <c r="S3963" s="408"/>
      <c r="T3963" s="408"/>
      <c r="U3963" s="408"/>
      <c r="V3963" s="421"/>
      <c r="W3963" s="421"/>
      <c r="X3963" s="421"/>
      <c r="Y3963" s="421"/>
      <c r="Z3963" s="421"/>
      <c r="AA3963" s="421"/>
      <c r="AB3963" s="421"/>
      <c r="AC3963" s="421"/>
      <c r="AD3963" s="421"/>
      <c r="AE3963" s="421"/>
      <c r="AF3963" s="421"/>
      <c r="AG3963" s="421"/>
      <c r="AH3963" s="421"/>
      <c r="AI3963" s="421"/>
      <c r="AJ3963" s="421"/>
      <c r="AK3963" s="421"/>
      <c r="AL3963" s="421"/>
    </row>
    <row r="3964" spans="1:38" hidden="1">
      <c r="A3964" s="408"/>
      <c r="B3964" s="83" t="e">
        <f t="array" ref="B3964">SUM(--(FREQUENCY(IF(C$2:C$3072=C3964, MATCH(D$2:D$3072, D$2:D$3072, 0)), ROW(D$2:D$3072)-ROW(D$2)+1) &gt; 0))</f>
        <v>#N/A</v>
      </c>
      <c r="C3964" s="408"/>
      <c r="D3964" s="408"/>
      <c r="E3964" s="408"/>
      <c r="F3964" s="408"/>
      <c r="G3964" s="408"/>
      <c r="H3964" s="408"/>
      <c r="I3964" s="408"/>
      <c r="J3964" s="408"/>
      <c r="K3964" s="408"/>
      <c r="L3964" s="408"/>
      <c r="M3964" s="408"/>
      <c r="N3964" s="408" t="str">
        <f t="shared" si="488"/>
        <v/>
      </c>
      <c r="O3964" s="408"/>
      <c r="P3964" s="408"/>
      <c r="Q3964" s="408"/>
      <c r="R3964" s="408"/>
      <c r="S3964" s="408"/>
      <c r="T3964" s="408"/>
      <c r="U3964" s="408"/>
      <c r="V3964" s="421"/>
      <c r="W3964" s="421"/>
      <c r="X3964" s="421"/>
      <c r="Y3964" s="421"/>
      <c r="Z3964" s="421"/>
      <c r="AA3964" s="421"/>
      <c r="AB3964" s="421"/>
      <c r="AC3964" s="421"/>
      <c r="AD3964" s="421"/>
      <c r="AE3964" s="421"/>
      <c r="AF3964" s="421"/>
      <c r="AG3964" s="421"/>
      <c r="AH3964" s="421"/>
      <c r="AI3964" s="421"/>
      <c r="AJ3964" s="421"/>
      <c r="AK3964" s="421"/>
      <c r="AL3964" s="421"/>
    </row>
    <row r="3965" spans="1:38" hidden="1">
      <c r="A3965" s="408"/>
      <c r="B3965" s="83" t="e">
        <f t="array" ref="B3965">SUM(--(FREQUENCY(IF(C$2:C$3072=C3965, MATCH(D$2:D$3072, D$2:D$3072, 0)), ROW(D$2:D$3072)-ROW(D$2)+1) &gt; 0))</f>
        <v>#N/A</v>
      </c>
      <c r="C3965" s="408"/>
      <c r="D3965" s="408"/>
      <c r="E3965" s="408"/>
      <c r="F3965" s="408"/>
      <c r="G3965" s="408"/>
      <c r="H3965" s="408"/>
      <c r="I3965" s="408"/>
      <c r="J3965" s="408"/>
      <c r="K3965" s="408"/>
      <c r="L3965" s="408"/>
      <c r="M3965" s="408"/>
      <c r="N3965" s="408" t="str">
        <f t="shared" si="488"/>
        <v/>
      </c>
      <c r="O3965" s="408"/>
      <c r="P3965" s="408"/>
      <c r="Q3965" s="408"/>
      <c r="R3965" s="408"/>
      <c r="S3965" s="408"/>
      <c r="T3965" s="408"/>
      <c r="U3965" s="408"/>
      <c r="V3965" s="421"/>
      <c r="W3965" s="421"/>
      <c r="X3965" s="421"/>
      <c r="Y3965" s="421"/>
      <c r="Z3965" s="421"/>
      <c r="AA3965" s="421"/>
      <c r="AB3965" s="421"/>
      <c r="AC3965" s="421"/>
      <c r="AD3965" s="421"/>
      <c r="AE3965" s="421"/>
      <c r="AF3965" s="421"/>
      <c r="AG3965" s="421"/>
      <c r="AH3965" s="421"/>
      <c r="AI3965" s="421"/>
      <c r="AJ3965" s="421"/>
      <c r="AK3965" s="421"/>
      <c r="AL3965" s="421"/>
    </row>
    <row r="3966" spans="1:38" hidden="1">
      <c r="A3966" s="408"/>
      <c r="B3966" s="83" t="e">
        <f t="array" ref="B3966">SUM(--(FREQUENCY(IF(C$2:C$3072=C3966, MATCH(D$2:D$3072, D$2:D$3072, 0)), ROW(D$2:D$3072)-ROW(D$2)+1) &gt; 0))</f>
        <v>#N/A</v>
      </c>
      <c r="C3966" s="408"/>
      <c r="D3966" s="408"/>
      <c r="E3966" s="408"/>
      <c r="F3966" s="408"/>
      <c r="G3966" s="408"/>
      <c r="H3966" s="408"/>
      <c r="I3966" s="408"/>
      <c r="J3966" s="408"/>
      <c r="K3966" s="408"/>
      <c r="L3966" s="408"/>
      <c r="M3966" s="408"/>
      <c r="N3966" s="408" t="str">
        <f t="shared" si="488"/>
        <v/>
      </c>
      <c r="O3966" s="408"/>
      <c r="P3966" s="408"/>
      <c r="Q3966" s="408"/>
      <c r="R3966" s="408"/>
      <c r="S3966" s="408"/>
      <c r="T3966" s="408"/>
      <c r="U3966" s="408"/>
      <c r="V3966" s="421"/>
      <c r="W3966" s="421"/>
      <c r="X3966" s="421"/>
      <c r="Y3966" s="421"/>
      <c r="Z3966" s="421"/>
      <c r="AA3966" s="421"/>
      <c r="AB3966" s="421"/>
      <c r="AC3966" s="421"/>
      <c r="AD3966" s="421"/>
      <c r="AE3966" s="421"/>
      <c r="AF3966" s="421"/>
      <c r="AG3966" s="421"/>
      <c r="AH3966" s="421"/>
      <c r="AI3966" s="421"/>
      <c r="AJ3966" s="421"/>
      <c r="AK3966" s="421"/>
      <c r="AL3966" s="421"/>
    </row>
    <row r="3967" spans="1:38" hidden="1">
      <c r="A3967" s="408"/>
      <c r="B3967" s="83" t="e">
        <f t="array" ref="B3967">SUM(--(FREQUENCY(IF(C$2:C$3072=C3967, MATCH(D$2:D$3072, D$2:D$3072, 0)), ROW(D$2:D$3072)-ROW(D$2)+1) &gt; 0))</f>
        <v>#N/A</v>
      </c>
      <c r="C3967" s="408"/>
      <c r="D3967" s="408"/>
      <c r="E3967" s="408"/>
      <c r="F3967" s="408"/>
      <c r="G3967" s="408"/>
      <c r="H3967" s="408"/>
      <c r="I3967" s="408"/>
      <c r="J3967" s="408"/>
      <c r="K3967" s="408"/>
      <c r="L3967" s="408"/>
      <c r="M3967" s="408"/>
      <c r="N3967" s="408" t="str">
        <f t="shared" si="488"/>
        <v/>
      </c>
      <c r="O3967" s="408"/>
      <c r="P3967" s="408"/>
      <c r="Q3967" s="408"/>
      <c r="R3967" s="408"/>
      <c r="S3967" s="408"/>
      <c r="T3967" s="408"/>
      <c r="U3967" s="408"/>
      <c r="V3967" s="421"/>
      <c r="W3967" s="421"/>
      <c r="X3967" s="421"/>
      <c r="Y3967" s="421"/>
      <c r="Z3967" s="421"/>
      <c r="AA3967" s="421"/>
      <c r="AB3967" s="421"/>
      <c r="AC3967" s="421"/>
      <c r="AD3967" s="421"/>
      <c r="AE3967" s="421"/>
      <c r="AF3967" s="421"/>
      <c r="AG3967" s="421"/>
      <c r="AH3967" s="421"/>
      <c r="AI3967" s="421"/>
      <c r="AJ3967" s="421"/>
      <c r="AK3967" s="421"/>
      <c r="AL3967" s="421"/>
    </row>
    <row r="3968" spans="1:38" hidden="1">
      <c r="A3968" s="408"/>
      <c r="B3968" s="83" t="e">
        <f t="array" ref="B3968">SUM(--(FREQUENCY(IF(C$2:C$3072=C3968, MATCH(D$2:D$3072, D$2:D$3072, 0)), ROW(D$2:D$3072)-ROW(D$2)+1) &gt; 0))</f>
        <v>#N/A</v>
      </c>
      <c r="C3968" s="408"/>
      <c r="D3968" s="408"/>
      <c r="E3968" s="408"/>
      <c r="F3968" s="408"/>
      <c r="G3968" s="408"/>
      <c r="H3968" s="408"/>
      <c r="I3968" s="408"/>
      <c r="J3968" s="408"/>
      <c r="K3968" s="408"/>
      <c r="L3968" s="408"/>
      <c r="M3968" s="408"/>
      <c r="N3968" s="408" t="str">
        <f t="shared" ref="N3968:N4031" si="489">IF(O3968&lt;&gt;"", "NG", "")</f>
        <v/>
      </c>
      <c r="O3968" s="408"/>
      <c r="P3968" s="408"/>
      <c r="Q3968" s="408"/>
      <c r="R3968" s="408"/>
      <c r="S3968" s="408"/>
      <c r="T3968" s="408"/>
      <c r="U3968" s="408"/>
      <c r="V3968" s="421"/>
      <c r="W3968" s="421"/>
      <c r="X3968" s="421"/>
      <c r="Y3968" s="421"/>
      <c r="Z3968" s="421"/>
      <c r="AA3968" s="421"/>
      <c r="AB3968" s="421"/>
      <c r="AC3968" s="421"/>
      <c r="AD3968" s="421"/>
      <c r="AE3968" s="421"/>
      <c r="AF3968" s="421"/>
      <c r="AG3968" s="421"/>
      <c r="AH3968" s="421"/>
      <c r="AI3968" s="421"/>
      <c r="AJ3968" s="421"/>
      <c r="AK3968" s="421"/>
      <c r="AL3968" s="421"/>
    </row>
    <row r="3969" spans="1:38" hidden="1">
      <c r="A3969" s="408"/>
      <c r="B3969" s="83" t="e">
        <f t="array" ref="B3969">SUM(--(FREQUENCY(IF(C$2:C$3072=C3969, MATCH(D$2:D$3072, D$2:D$3072, 0)), ROW(D$2:D$3072)-ROW(D$2)+1) &gt; 0))</f>
        <v>#N/A</v>
      </c>
      <c r="C3969" s="408"/>
      <c r="D3969" s="408"/>
      <c r="E3969" s="408"/>
      <c r="F3969" s="408"/>
      <c r="G3969" s="408"/>
      <c r="H3969" s="408"/>
      <c r="I3969" s="408"/>
      <c r="J3969" s="408"/>
      <c r="K3969" s="408"/>
      <c r="L3969" s="408"/>
      <c r="M3969" s="408"/>
      <c r="N3969" s="408" t="str">
        <f t="shared" si="489"/>
        <v/>
      </c>
      <c r="O3969" s="408"/>
      <c r="P3969" s="408"/>
      <c r="Q3969" s="408"/>
      <c r="R3969" s="408"/>
      <c r="S3969" s="408"/>
      <c r="T3969" s="408"/>
      <c r="U3969" s="408"/>
      <c r="V3969" s="421"/>
      <c r="W3969" s="421"/>
      <c r="X3969" s="421"/>
      <c r="Y3969" s="421"/>
      <c r="Z3969" s="421"/>
      <c r="AA3969" s="421"/>
      <c r="AB3969" s="421"/>
      <c r="AC3969" s="421"/>
      <c r="AD3969" s="421"/>
      <c r="AE3969" s="421"/>
      <c r="AF3969" s="421"/>
      <c r="AG3969" s="421"/>
      <c r="AH3969" s="421"/>
      <c r="AI3969" s="421"/>
      <c r="AJ3969" s="421"/>
      <c r="AK3969" s="421"/>
      <c r="AL3969" s="421"/>
    </row>
    <row r="3970" spans="1:38" hidden="1">
      <c r="A3970" s="408"/>
      <c r="B3970" s="83" t="e">
        <f t="array" ref="B3970">SUM(--(FREQUENCY(IF(C$2:C$3072=C3970, MATCH(D$2:D$3072, D$2:D$3072, 0)), ROW(D$2:D$3072)-ROW(D$2)+1) &gt; 0))</f>
        <v>#N/A</v>
      </c>
      <c r="C3970" s="408"/>
      <c r="D3970" s="408"/>
      <c r="E3970" s="408"/>
      <c r="F3970" s="408"/>
      <c r="G3970" s="408"/>
      <c r="H3970" s="408"/>
      <c r="I3970" s="408"/>
      <c r="J3970" s="408"/>
      <c r="K3970" s="408"/>
      <c r="L3970" s="408"/>
      <c r="M3970" s="408"/>
      <c r="N3970" s="408" t="str">
        <f t="shared" si="489"/>
        <v/>
      </c>
      <c r="O3970" s="408"/>
      <c r="P3970" s="408"/>
      <c r="Q3970" s="408"/>
      <c r="R3970" s="408"/>
      <c r="S3970" s="408"/>
      <c r="T3970" s="408"/>
      <c r="U3970" s="408"/>
      <c r="V3970" s="421"/>
      <c r="W3970" s="421"/>
      <c r="X3970" s="421"/>
      <c r="Y3970" s="421"/>
      <c r="Z3970" s="421"/>
      <c r="AA3970" s="421"/>
      <c r="AB3970" s="421"/>
      <c r="AC3970" s="421"/>
      <c r="AD3970" s="421"/>
      <c r="AE3970" s="421"/>
      <c r="AF3970" s="421"/>
      <c r="AG3970" s="421"/>
      <c r="AH3970" s="421"/>
      <c r="AI3970" s="421"/>
      <c r="AJ3970" s="421"/>
      <c r="AK3970" s="421"/>
      <c r="AL3970" s="421"/>
    </row>
    <row r="3971" spans="1:38" hidden="1">
      <c r="A3971" s="408"/>
      <c r="B3971" s="83" t="e">
        <f t="array" ref="B3971">SUM(--(FREQUENCY(IF(C$2:C$3072=C3971, MATCH(D$2:D$3072, D$2:D$3072, 0)), ROW(D$2:D$3072)-ROW(D$2)+1) &gt; 0))</f>
        <v>#N/A</v>
      </c>
      <c r="C3971" s="408"/>
      <c r="D3971" s="408"/>
      <c r="E3971" s="408"/>
      <c r="F3971" s="408"/>
      <c r="G3971" s="408"/>
      <c r="H3971" s="408"/>
      <c r="I3971" s="408"/>
      <c r="J3971" s="408"/>
      <c r="K3971" s="408"/>
      <c r="L3971" s="408"/>
      <c r="M3971" s="408"/>
      <c r="N3971" s="408" t="str">
        <f t="shared" si="489"/>
        <v/>
      </c>
      <c r="O3971" s="408"/>
      <c r="P3971" s="408"/>
      <c r="Q3971" s="408"/>
      <c r="R3971" s="408"/>
      <c r="S3971" s="408"/>
      <c r="T3971" s="408"/>
      <c r="U3971" s="408"/>
      <c r="V3971" s="421"/>
      <c r="W3971" s="421"/>
      <c r="X3971" s="421"/>
      <c r="Y3971" s="421"/>
      <c r="Z3971" s="421"/>
      <c r="AA3971" s="421"/>
      <c r="AB3971" s="421"/>
      <c r="AC3971" s="421"/>
      <c r="AD3971" s="421"/>
      <c r="AE3971" s="421"/>
      <c r="AF3971" s="421"/>
      <c r="AG3971" s="421"/>
      <c r="AH3971" s="421"/>
      <c r="AI3971" s="421"/>
      <c r="AJ3971" s="421"/>
      <c r="AK3971" s="421"/>
      <c r="AL3971" s="421"/>
    </row>
    <row r="3972" spans="1:38" hidden="1">
      <c r="A3972" s="408"/>
      <c r="B3972" s="83" t="e">
        <f t="array" ref="B3972">SUM(--(FREQUENCY(IF(C$2:C$3072=C3972, MATCH(D$2:D$3072, D$2:D$3072, 0)), ROW(D$2:D$3072)-ROW(D$2)+1) &gt; 0))</f>
        <v>#N/A</v>
      </c>
      <c r="C3972" s="408"/>
      <c r="D3972" s="408"/>
      <c r="E3972" s="408"/>
      <c r="F3972" s="408"/>
      <c r="G3972" s="408"/>
      <c r="H3972" s="408"/>
      <c r="I3972" s="408"/>
      <c r="J3972" s="408"/>
      <c r="K3972" s="408"/>
      <c r="L3972" s="408"/>
      <c r="M3972" s="408"/>
      <c r="N3972" s="408" t="str">
        <f t="shared" si="489"/>
        <v/>
      </c>
      <c r="O3972" s="408"/>
      <c r="P3972" s="408"/>
      <c r="Q3972" s="408"/>
      <c r="R3972" s="408"/>
      <c r="S3972" s="408"/>
      <c r="T3972" s="408"/>
      <c r="U3972" s="408"/>
      <c r="V3972" s="421"/>
      <c r="W3972" s="421"/>
      <c r="X3972" s="421"/>
      <c r="Y3972" s="421"/>
      <c r="Z3972" s="421"/>
      <c r="AA3972" s="421"/>
      <c r="AB3972" s="421"/>
      <c r="AC3972" s="421"/>
      <c r="AD3972" s="421"/>
      <c r="AE3972" s="421"/>
      <c r="AF3972" s="421"/>
      <c r="AG3972" s="421"/>
      <c r="AH3972" s="421"/>
      <c r="AI3972" s="421"/>
      <c r="AJ3972" s="421"/>
      <c r="AK3972" s="421"/>
      <c r="AL3972" s="421"/>
    </row>
    <row r="3973" spans="1:38" hidden="1">
      <c r="A3973" s="408"/>
      <c r="B3973" s="83" t="e">
        <f t="array" ref="B3973">SUM(--(FREQUENCY(IF(C$2:C$3072=C3973, MATCH(D$2:D$3072, D$2:D$3072, 0)), ROW(D$2:D$3072)-ROW(D$2)+1) &gt; 0))</f>
        <v>#N/A</v>
      </c>
      <c r="C3973" s="408"/>
      <c r="D3973" s="408"/>
      <c r="E3973" s="408"/>
      <c r="F3973" s="408"/>
      <c r="G3973" s="408"/>
      <c r="H3973" s="408"/>
      <c r="I3973" s="408"/>
      <c r="J3973" s="408"/>
      <c r="K3973" s="408"/>
      <c r="L3973" s="408"/>
      <c r="M3973" s="408"/>
      <c r="N3973" s="408" t="str">
        <f t="shared" si="489"/>
        <v/>
      </c>
      <c r="O3973" s="408"/>
      <c r="P3973" s="408"/>
      <c r="Q3973" s="408"/>
      <c r="R3973" s="408"/>
      <c r="S3973" s="408"/>
      <c r="T3973" s="408"/>
      <c r="U3973" s="408"/>
      <c r="V3973" s="421"/>
      <c r="W3973" s="421"/>
      <c r="X3973" s="421"/>
      <c r="Y3973" s="421"/>
      <c r="Z3973" s="421"/>
      <c r="AA3973" s="421"/>
      <c r="AB3973" s="421"/>
      <c r="AC3973" s="421"/>
      <c r="AD3973" s="421"/>
      <c r="AE3973" s="421"/>
      <c r="AF3973" s="421"/>
      <c r="AG3973" s="421"/>
      <c r="AH3973" s="421"/>
      <c r="AI3973" s="421"/>
      <c r="AJ3973" s="421"/>
      <c r="AK3973" s="421"/>
      <c r="AL3973" s="421"/>
    </row>
    <row r="3974" spans="1:38" hidden="1">
      <c r="A3974" s="408"/>
      <c r="B3974" s="83" t="e">
        <f t="array" ref="B3974">SUM(--(FREQUENCY(IF(C$2:C$3072=C3974, MATCH(D$2:D$3072, D$2:D$3072, 0)), ROW(D$2:D$3072)-ROW(D$2)+1) &gt; 0))</f>
        <v>#N/A</v>
      </c>
      <c r="C3974" s="408"/>
      <c r="D3974" s="408"/>
      <c r="E3974" s="408"/>
      <c r="F3974" s="408"/>
      <c r="G3974" s="408"/>
      <c r="H3974" s="408"/>
      <c r="I3974" s="408"/>
      <c r="J3974" s="408"/>
      <c r="K3974" s="408"/>
      <c r="L3974" s="408"/>
      <c r="M3974" s="408"/>
      <c r="N3974" s="408" t="str">
        <f t="shared" si="489"/>
        <v/>
      </c>
      <c r="O3974" s="408"/>
      <c r="P3974" s="408"/>
      <c r="Q3974" s="408"/>
      <c r="R3974" s="408"/>
      <c r="S3974" s="408"/>
      <c r="T3974" s="408"/>
      <c r="U3974" s="408"/>
      <c r="V3974" s="421"/>
      <c r="W3974" s="421"/>
      <c r="X3974" s="421"/>
      <c r="Y3974" s="421"/>
      <c r="Z3974" s="421"/>
      <c r="AA3974" s="421"/>
      <c r="AB3974" s="421"/>
      <c r="AC3974" s="421"/>
      <c r="AD3974" s="421"/>
      <c r="AE3974" s="421"/>
      <c r="AF3974" s="421"/>
      <c r="AG3974" s="421"/>
      <c r="AH3974" s="421"/>
      <c r="AI3974" s="421"/>
      <c r="AJ3974" s="421"/>
      <c r="AK3974" s="421"/>
      <c r="AL3974" s="421"/>
    </row>
    <row r="3975" spans="1:38" hidden="1">
      <c r="A3975" s="408"/>
      <c r="B3975" s="83" t="e">
        <f t="array" ref="B3975">SUM(--(FREQUENCY(IF(C$2:C$3072=C3975, MATCH(D$2:D$3072, D$2:D$3072, 0)), ROW(D$2:D$3072)-ROW(D$2)+1) &gt; 0))</f>
        <v>#N/A</v>
      </c>
      <c r="C3975" s="408"/>
      <c r="D3975" s="408"/>
      <c r="E3975" s="408"/>
      <c r="F3975" s="408"/>
      <c r="G3975" s="408"/>
      <c r="H3975" s="408"/>
      <c r="I3975" s="408"/>
      <c r="J3975" s="408"/>
      <c r="K3975" s="408"/>
      <c r="L3975" s="408"/>
      <c r="M3975" s="408"/>
      <c r="N3975" s="408" t="str">
        <f t="shared" si="489"/>
        <v/>
      </c>
      <c r="O3975" s="408"/>
      <c r="P3975" s="408"/>
      <c r="Q3975" s="408"/>
      <c r="R3975" s="408"/>
      <c r="S3975" s="408"/>
      <c r="T3975" s="408"/>
      <c r="U3975" s="408"/>
      <c r="V3975" s="421"/>
      <c r="W3975" s="421"/>
      <c r="X3975" s="421"/>
      <c r="Y3975" s="421"/>
      <c r="Z3975" s="421"/>
      <c r="AA3975" s="421"/>
      <c r="AB3975" s="421"/>
      <c r="AC3975" s="421"/>
      <c r="AD3975" s="421"/>
      <c r="AE3975" s="421"/>
      <c r="AF3975" s="421"/>
      <c r="AG3975" s="421"/>
      <c r="AH3975" s="421"/>
      <c r="AI3975" s="421"/>
      <c r="AJ3975" s="421"/>
      <c r="AK3975" s="421"/>
      <c r="AL3975" s="421"/>
    </row>
    <row r="3976" spans="1:38" hidden="1">
      <c r="A3976" s="408"/>
      <c r="B3976" s="83" t="e">
        <f t="array" ref="B3976">SUM(--(FREQUENCY(IF(C$2:C$3072=C3976, MATCH(D$2:D$3072, D$2:D$3072, 0)), ROW(D$2:D$3072)-ROW(D$2)+1) &gt; 0))</f>
        <v>#N/A</v>
      </c>
      <c r="C3976" s="408"/>
      <c r="D3976" s="408"/>
      <c r="E3976" s="408"/>
      <c r="F3976" s="408"/>
      <c r="G3976" s="408"/>
      <c r="H3976" s="408"/>
      <c r="I3976" s="408"/>
      <c r="J3976" s="408"/>
      <c r="K3976" s="408"/>
      <c r="L3976" s="408"/>
      <c r="M3976" s="408"/>
      <c r="N3976" s="408" t="str">
        <f t="shared" si="489"/>
        <v/>
      </c>
      <c r="O3976" s="408"/>
      <c r="P3976" s="408"/>
      <c r="Q3976" s="408"/>
      <c r="R3976" s="408"/>
      <c r="S3976" s="408"/>
      <c r="T3976" s="408"/>
      <c r="U3976" s="408"/>
      <c r="V3976" s="421"/>
      <c r="W3976" s="421"/>
      <c r="X3976" s="421"/>
      <c r="Y3976" s="421"/>
      <c r="Z3976" s="421"/>
      <c r="AA3976" s="421"/>
      <c r="AB3976" s="421"/>
      <c r="AC3976" s="421"/>
      <c r="AD3976" s="421"/>
      <c r="AE3976" s="421"/>
      <c r="AF3976" s="421"/>
      <c r="AG3976" s="421"/>
      <c r="AH3976" s="421"/>
      <c r="AI3976" s="421"/>
      <c r="AJ3976" s="421"/>
      <c r="AK3976" s="421"/>
      <c r="AL3976" s="421"/>
    </row>
    <row r="3977" spans="1:38" hidden="1">
      <c r="A3977" s="408"/>
      <c r="B3977" s="83" t="e">
        <f t="array" ref="B3977">SUM(--(FREQUENCY(IF(C$2:C$3072=C3977, MATCH(D$2:D$3072, D$2:D$3072, 0)), ROW(D$2:D$3072)-ROW(D$2)+1) &gt; 0))</f>
        <v>#N/A</v>
      </c>
      <c r="C3977" s="408"/>
      <c r="D3977" s="408"/>
      <c r="E3977" s="408"/>
      <c r="F3977" s="408"/>
      <c r="G3977" s="408"/>
      <c r="H3977" s="408"/>
      <c r="I3977" s="408"/>
      <c r="J3977" s="408"/>
      <c r="K3977" s="408"/>
      <c r="L3977" s="408"/>
      <c r="M3977" s="408"/>
      <c r="N3977" s="408" t="str">
        <f t="shared" si="489"/>
        <v/>
      </c>
      <c r="O3977" s="408"/>
      <c r="P3977" s="408"/>
      <c r="Q3977" s="408"/>
      <c r="R3977" s="408"/>
      <c r="S3977" s="408"/>
      <c r="T3977" s="408"/>
      <c r="U3977" s="408"/>
      <c r="V3977" s="421"/>
      <c r="W3977" s="421"/>
      <c r="X3977" s="421"/>
      <c r="Y3977" s="421"/>
      <c r="Z3977" s="421"/>
      <c r="AA3977" s="421"/>
      <c r="AB3977" s="421"/>
      <c r="AC3977" s="421"/>
      <c r="AD3977" s="421"/>
      <c r="AE3977" s="421"/>
      <c r="AF3977" s="421"/>
      <c r="AG3977" s="421"/>
      <c r="AH3977" s="421"/>
      <c r="AI3977" s="421"/>
      <c r="AJ3977" s="421"/>
      <c r="AK3977" s="421"/>
      <c r="AL3977" s="421"/>
    </row>
    <row r="3978" spans="1:38" hidden="1">
      <c r="A3978" s="408"/>
      <c r="B3978" s="83" t="e">
        <f t="array" ref="B3978">SUM(--(FREQUENCY(IF(C$2:C$3072=C3978, MATCH(D$2:D$3072, D$2:D$3072, 0)), ROW(D$2:D$3072)-ROW(D$2)+1) &gt; 0))</f>
        <v>#N/A</v>
      </c>
      <c r="C3978" s="408"/>
      <c r="D3978" s="408"/>
      <c r="E3978" s="408"/>
      <c r="F3978" s="408"/>
      <c r="G3978" s="408"/>
      <c r="H3978" s="408"/>
      <c r="I3978" s="408"/>
      <c r="J3978" s="408"/>
      <c r="K3978" s="408"/>
      <c r="L3978" s="408"/>
      <c r="M3978" s="408"/>
      <c r="N3978" s="408" t="str">
        <f t="shared" si="489"/>
        <v/>
      </c>
      <c r="O3978" s="408"/>
      <c r="P3978" s="408"/>
      <c r="Q3978" s="408"/>
      <c r="R3978" s="408"/>
      <c r="S3978" s="408"/>
      <c r="T3978" s="408"/>
      <c r="U3978" s="408"/>
      <c r="V3978" s="421"/>
      <c r="W3978" s="421"/>
      <c r="X3978" s="421"/>
      <c r="Y3978" s="421"/>
      <c r="Z3978" s="421"/>
      <c r="AA3978" s="421"/>
      <c r="AB3978" s="421"/>
      <c r="AC3978" s="421"/>
      <c r="AD3978" s="421"/>
      <c r="AE3978" s="421"/>
      <c r="AF3978" s="421"/>
      <c r="AG3978" s="421"/>
      <c r="AH3978" s="421"/>
      <c r="AI3978" s="421"/>
      <c r="AJ3978" s="421"/>
      <c r="AK3978" s="421"/>
      <c r="AL3978" s="421"/>
    </row>
    <row r="3979" spans="1:38" hidden="1">
      <c r="A3979" s="408"/>
      <c r="B3979" s="83" t="e">
        <f t="array" ref="B3979">SUM(--(FREQUENCY(IF(C$2:C$3072=C3979, MATCH(D$2:D$3072, D$2:D$3072, 0)), ROW(D$2:D$3072)-ROW(D$2)+1) &gt; 0))</f>
        <v>#N/A</v>
      </c>
      <c r="C3979" s="408"/>
      <c r="D3979" s="408"/>
      <c r="E3979" s="408"/>
      <c r="F3979" s="408"/>
      <c r="G3979" s="408"/>
      <c r="H3979" s="408"/>
      <c r="I3979" s="408"/>
      <c r="J3979" s="408"/>
      <c r="K3979" s="408"/>
      <c r="L3979" s="408"/>
      <c r="M3979" s="408"/>
      <c r="N3979" s="408" t="str">
        <f t="shared" si="489"/>
        <v/>
      </c>
      <c r="O3979" s="408"/>
      <c r="P3979" s="408"/>
      <c r="Q3979" s="408"/>
      <c r="R3979" s="408"/>
      <c r="S3979" s="408"/>
      <c r="T3979" s="408"/>
      <c r="U3979" s="408"/>
      <c r="V3979" s="421"/>
      <c r="W3979" s="421"/>
      <c r="X3979" s="421"/>
      <c r="Y3979" s="421"/>
      <c r="Z3979" s="421"/>
      <c r="AA3979" s="421"/>
      <c r="AB3979" s="421"/>
      <c r="AC3979" s="421"/>
      <c r="AD3979" s="421"/>
      <c r="AE3979" s="421"/>
      <c r="AF3979" s="421"/>
      <c r="AG3979" s="421"/>
      <c r="AH3979" s="421"/>
      <c r="AI3979" s="421"/>
      <c r="AJ3979" s="421"/>
      <c r="AK3979" s="421"/>
      <c r="AL3979" s="421"/>
    </row>
    <row r="3980" spans="1:38" hidden="1">
      <c r="A3980" s="408"/>
      <c r="B3980" s="83" t="e">
        <f t="array" ref="B3980">SUM(--(FREQUENCY(IF(C$2:C$3072=C3980, MATCH(D$2:D$3072, D$2:D$3072, 0)), ROW(D$2:D$3072)-ROW(D$2)+1) &gt; 0))</f>
        <v>#N/A</v>
      </c>
      <c r="C3980" s="408"/>
      <c r="D3980" s="408"/>
      <c r="E3980" s="408"/>
      <c r="F3980" s="408"/>
      <c r="G3980" s="408"/>
      <c r="H3980" s="408"/>
      <c r="I3980" s="408"/>
      <c r="J3980" s="408"/>
      <c r="K3980" s="408"/>
      <c r="L3980" s="408"/>
      <c r="M3980" s="408"/>
      <c r="N3980" s="408" t="str">
        <f t="shared" si="489"/>
        <v/>
      </c>
      <c r="O3980" s="408"/>
      <c r="P3980" s="408"/>
      <c r="Q3980" s="408"/>
      <c r="R3980" s="408"/>
      <c r="S3980" s="408"/>
      <c r="T3980" s="408"/>
      <c r="U3980" s="408"/>
      <c r="V3980" s="421"/>
      <c r="W3980" s="421"/>
      <c r="X3980" s="421"/>
      <c r="Y3980" s="421"/>
      <c r="Z3980" s="421"/>
      <c r="AA3980" s="421"/>
      <c r="AB3980" s="421"/>
      <c r="AC3980" s="421"/>
      <c r="AD3980" s="421"/>
      <c r="AE3980" s="421"/>
      <c r="AF3980" s="421"/>
      <c r="AG3980" s="421"/>
      <c r="AH3980" s="421"/>
      <c r="AI3980" s="421"/>
      <c r="AJ3980" s="421"/>
      <c r="AK3980" s="421"/>
      <c r="AL3980" s="421"/>
    </row>
    <row r="3981" spans="1:38" hidden="1">
      <c r="A3981" s="408"/>
      <c r="B3981" s="83" t="e">
        <f t="array" ref="B3981">SUM(--(FREQUENCY(IF(C$2:C$3072=C3981, MATCH(D$2:D$3072, D$2:D$3072, 0)), ROW(D$2:D$3072)-ROW(D$2)+1) &gt; 0))</f>
        <v>#N/A</v>
      </c>
      <c r="C3981" s="408"/>
      <c r="D3981" s="408"/>
      <c r="E3981" s="408"/>
      <c r="F3981" s="408"/>
      <c r="G3981" s="408"/>
      <c r="H3981" s="408"/>
      <c r="I3981" s="408"/>
      <c r="J3981" s="408"/>
      <c r="K3981" s="408"/>
      <c r="L3981" s="408"/>
      <c r="M3981" s="408"/>
      <c r="N3981" s="408" t="str">
        <f t="shared" si="489"/>
        <v/>
      </c>
      <c r="O3981" s="408"/>
      <c r="P3981" s="408"/>
      <c r="Q3981" s="408"/>
      <c r="R3981" s="408"/>
      <c r="S3981" s="408"/>
      <c r="T3981" s="408"/>
      <c r="U3981" s="408"/>
      <c r="V3981" s="421"/>
      <c r="W3981" s="421"/>
      <c r="X3981" s="421"/>
      <c r="Y3981" s="421"/>
      <c r="Z3981" s="421"/>
      <c r="AA3981" s="421"/>
      <c r="AB3981" s="421"/>
      <c r="AC3981" s="421"/>
      <c r="AD3981" s="421"/>
      <c r="AE3981" s="421"/>
      <c r="AF3981" s="421"/>
      <c r="AG3981" s="421"/>
      <c r="AH3981" s="421"/>
      <c r="AI3981" s="421"/>
      <c r="AJ3981" s="421"/>
      <c r="AK3981" s="421"/>
      <c r="AL3981" s="421"/>
    </row>
    <row r="3982" spans="1:38" hidden="1">
      <c r="A3982" s="408"/>
      <c r="B3982" s="83" t="e">
        <f t="array" ref="B3982">SUM(--(FREQUENCY(IF(C$2:C$3072=C3982, MATCH(D$2:D$3072, D$2:D$3072, 0)), ROW(D$2:D$3072)-ROW(D$2)+1) &gt; 0))</f>
        <v>#N/A</v>
      </c>
      <c r="C3982" s="408"/>
      <c r="D3982" s="408"/>
      <c r="E3982" s="408"/>
      <c r="F3982" s="408"/>
      <c r="G3982" s="408"/>
      <c r="H3982" s="408"/>
      <c r="I3982" s="408"/>
      <c r="J3982" s="408"/>
      <c r="K3982" s="408"/>
      <c r="L3982" s="408"/>
      <c r="M3982" s="408"/>
      <c r="N3982" s="408" t="str">
        <f t="shared" si="489"/>
        <v/>
      </c>
      <c r="O3982" s="408"/>
      <c r="P3982" s="408"/>
      <c r="Q3982" s="408"/>
      <c r="R3982" s="408"/>
      <c r="S3982" s="408"/>
      <c r="T3982" s="408"/>
      <c r="U3982" s="408"/>
      <c r="V3982" s="421"/>
      <c r="W3982" s="421"/>
      <c r="X3982" s="421"/>
      <c r="Y3982" s="421"/>
      <c r="Z3982" s="421"/>
      <c r="AA3982" s="421"/>
      <c r="AB3982" s="421"/>
      <c r="AC3982" s="421"/>
      <c r="AD3982" s="421"/>
      <c r="AE3982" s="421"/>
      <c r="AF3982" s="421"/>
      <c r="AG3982" s="421"/>
      <c r="AH3982" s="421"/>
      <c r="AI3982" s="421"/>
      <c r="AJ3982" s="421"/>
      <c r="AK3982" s="421"/>
      <c r="AL3982" s="421"/>
    </row>
    <row r="3983" spans="1:38" hidden="1">
      <c r="A3983" s="408"/>
      <c r="B3983" s="83" t="e">
        <f t="array" ref="B3983">SUM(--(FREQUENCY(IF(C$2:C$3072=C3983, MATCH(D$2:D$3072, D$2:D$3072, 0)), ROW(D$2:D$3072)-ROW(D$2)+1) &gt; 0))</f>
        <v>#N/A</v>
      </c>
      <c r="C3983" s="408"/>
      <c r="D3983" s="408"/>
      <c r="E3983" s="408"/>
      <c r="F3983" s="408"/>
      <c r="G3983" s="408"/>
      <c r="H3983" s="408"/>
      <c r="I3983" s="408"/>
      <c r="J3983" s="408"/>
      <c r="K3983" s="408"/>
      <c r="L3983" s="408"/>
      <c r="M3983" s="408"/>
      <c r="N3983" s="408" t="str">
        <f t="shared" si="489"/>
        <v/>
      </c>
      <c r="O3983" s="408"/>
      <c r="P3983" s="408"/>
      <c r="Q3983" s="408"/>
      <c r="R3983" s="408"/>
      <c r="S3983" s="408"/>
      <c r="T3983" s="408"/>
      <c r="U3983" s="408"/>
      <c r="V3983" s="421"/>
      <c r="W3983" s="421"/>
      <c r="X3983" s="421"/>
      <c r="Y3983" s="421"/>
      <c r="Z3983" s="421"/>
      <c r="AA3983" s="421"/>
      <c r="AB3983" s="421"/>
      <c r="AC3983" s="421"/>
      <c r="AD3983" s="421"/>
      <c r="AE3983" s="421"/>
      <c r="AF3983" s="421"/>
      <c r="AG3983" s="421"/>
      <c r="AH3983" s="421"/>
      <c r="AI3983" s="421"/>
      <c r="AJ3983" s="421"/>
      <c r="AK3983" s="421"/>
      <c r="AL3983" s="421"/>
    </row>
    <row r="3984" spans="1:38" hidden="1">
      <c r="A3984" s="408"/>
      <c r="B3984" s="83" t="e">
        <f t="array" ref="B3984">SUM(--(FREQUENCY(IF(C$2:C$3072=C3984, MATCH(D$2:D$3072, D$2:D$3072, 0)), ROW(D$2:D$3072)-ROW(D$2)+1) &gt; 0))</f>
        <v>#N/A</v>
      </c>
      <c r="C3984" s="408"/>
      <c r="D3984" s="408"/>
      <c r="E3984" s="408"/>
      <c r="F3984" s="408"/>
      <c r="G3984" s="408"/>
      <c r="H3984" s="408"/>
      <c r="I3984" s="408"/>
      <c r="J3984" s="408"/>
      <c r="K3984" s="408"/>
      <c r="L3984" s="408"/>
      <c r="M3984" s="408"/>
      <c r="N3984" s="408" t="str">
        <f t="shared" si="489"/>
        <v/>
      </c>
      <c r="O3984" s="408"/>
      <c r="P3984" s="408"/>
      <c r="Q3984" s="408"/>
      <c r="R3984" s="408"/>
      <c r="S3984" s="408"/>
      <c r="T3984" s="408"/>
      <c r="U3984" s="408"/>
      <c r="V3984" s="421"/>
      <c r="W3984" s="421"/>
      <c r="X3984" s="421"/>
      <c r="Y3984" s="421"/>
      <c r="Z3984" s="421"/>
      <c r="AA3984" s="421"/>
      <c r="AB3984" s="421"/>
      <c r="AC3984" s="421"/>
      <c r="AD3984" s="421"/>
      <c r="AE3984" s="421"/>
      <c r="AF3984" s="421"/>
      <c r="AG3984" s="421"/>
      <c r="AH3984" s="421"/>
      <c r="AI3984" s="421"/>
      <c r="AJ3984" s="421"/>
      <c r="AK3984" s="421"/>
      <c r="AL3984" s="421"/>
    </row>
    <row r="3985" spans="1:38" hidden="1">
      <c r="A3985" s="408"/>
      <c r="B3985" s="83" t="e">
        <f t="array" ref="B3985">SUM(--(FREQUENCY(IF(C$2:C$3072=C3985, MATCH(D$2:D$3072, D$2:D$3072, 0)), ROW(D$2:D$3072)-ROW(D$2)+1) &gt; 0))</f>
        <v>#N/A</v>
      </c>
      <c r="C3985" s="408"/>
      <c r="D3985" s="408"/>
      <c r="E3985" s="408"/>
      <c r="F3985" s="408"/>
      <c r="G3985" s="408"/>
      <c r="H3985" s="408"/>
      <c r="I3985" s="408"/>
      <c r="J3985" s="408"/>
      <c r="K3985" s="408"/>
      <c r="L3985" s="408"/>
      <c r="M3985" s="408"/>
      <c r="N3985" s="408" t="str">
        <f t="shared" si="489"/>
        <v/>
      </c>
      <c r="O3985" s="408"/>
      <c r="P3985" s="408"/>
      <c r="Q3985" s="408"/>
      <c r="R3985" s="408"/>
      <c r="S3985" s="408"/>
      <c r="T3985" s="408"/>
      <c r="U3985" s="408"/>
      <c r="V3985" s="421"/>
      <c r="W3985" s="421"/>
      <c r="X3985" s="421"/>
      <c r="Y3985" s="421"/>
      <c r="Z3985" s="421"/>
      <c r="AA3985" s="421"/>
      <c r="AB3985" s="421"/>
      <c r="AC3985" s="421"/>
      <c r="AD3985" s="421"/>
      <c r="AE3985" s="421"/>
      <c r="AF3985" s="421"/>
      <c r="AG3985" s="421"/>
      <c r="AH3985" s="421"/>
      <c r="AI3985" s="421"/>
      <c r="AJ3985" s="421"/>
      <c r="AK3985" s="421"/>
      <c r="AL3985" s="421"/>
    </row>
    <row r="3986" spans="1:38" hidden="1">
      <c r="A3986" s="408"/>
      <c r="B3986" s="83" t="e">
        <f t="array" ref="B3986">SUM(--(FREQUENCY(IF(C$2:C$3072=C3986, MATCH(D$2:D$3072, D$2:D$3072, 0)), ROW(D$2:D$3072)-ROW(D$2)+1) &gt; 0))</f>
        <v>#N/A</v>
      </c>
      <c r="C3986" s="408"/>
      <c r="D3986" s="408"/>
      <c r="E3986" s="408"/>
      <c r="F3986" s="408"/>
      <c r="G3986" s="408"/>
      <c r="H3986" s="408"/>
      <c r="I3986" s="408"/>
      <c r="J3986" s="408"/>
      <c r="K3986" s="408"/>
      <c r="L3986" s="408"/>
      <c r="M3986" s="408"/>
      <c r="N3986" s="408" t="str">
        <f t="shared" si="489"/>
        <v/>
      </c>
      <c r="O3986" s="408"/>
      <c r="P3986" s="408"/>
      <c r="Q3986" s="408"/>
      <c r="R3986" s="408"/>
      <c r="S3986" s="408"/>
      <c r="T3986" s="408"/>
      <c r="U3986" s="408"/>
      <c r="V3986" s="421"/>
      <c r="W3986" s="421"/>
      <c r="X3986" s="421"/>
      <c r="Y3986" s="421"/>
      <c r="Z3986" s="421"/>
      <c r="AA3986" s="421"/>
      <c r="AB3986" s="421"/>
      <c r="AC3986" s="421"/>
      <c r="AD3986" s="421"/>
      <c r="AE3986" s="421"/>
      <c r="AF3986" s="421"/>
      <c r="AG3986" s="421"/>
      <c r="AH3986" s="421"/>
      <c r="AI3986" s="421"/>
      <c r="AJ3986" s="421"/>
      <c r="AK3986" s="421"/>
      <c r="AL3986" s="421"/>
    </row>
    <row r="3987" spans="1:38" hidden="1">
      <c r="A3987" s="408"/>
      <c r="B3987" s="83" t="e">
        <f t="array" ref="B3987">SUM(--(FREQUENCY(IF(C$2:C$3072=C3987, MATCH(D$2:D$3072, D$2:D$3072, 0)), ROW(D$2:D$3072)-ROW(D$2)+1) &gt; 0))</f>
        <v>#N/A</v>
      </c>
      <c r="C3987" s="408"/>
      <c r="D3987" s="408"/>
      <c r="E3987" s="408"/>
      <c r="F3987" s="408"/>
      <c r="G3987" s="408"/>
      <c r="H3987" s="408"/>
      <c r="I3987" s="408"/>
      <c r="J3987" s="408"/>
      <c r="K3987" s="408"/>
      <c r="L3987" s="408"/>
      <c r="M3987" s="408"/>
      <c r="N3987" s="408" t="str">
        <f t="shared" si="489"/>
        <v/>
      </c>
      <c r="O3987" s="408"/>
      <c r="P3987" s="408"/>
      <c r="Q3987" s="408"/>
      <c r="R3987" s="408"/>
      <c r="S3987" s="408"/>
      <c r="T3987" s="408"/>
      <c r="U3987" s="408"/>
      <c r="V3987" s="421"/>
      <c r="W3987" s="421"/>
      <c r="X3987" s="421"/>
      <c r="Y3987" s="421"/>
      <c r="Z3987" s="421"/>
      <c r="AA3987" s="421"/>
      <c r="AB3987" s="421"/>
      <c r="AC3987" s="421"/>
      <c r="AD3987" s="421"/>
      <c r="AE3987" s="421"/>
      <c r="AF3987" s="421"/>
      <c r="AG3987" s="421"/>
      <c r="AH3987" s="421"/>
      <c r="AI3987" s="421"/>
      <c r="AJ3987" s="421"/>
      <c r="AK3987" s="421"/>
      <c r="AL3987" s="421"/>
    </row>
    <row r="3988" spans="1:38" hidden="1">
      <c r="A3988" s="408"/>
      <c r="B3988" s="83" t="e">
        <f t="array" ref="B3988">SUM(--(FREQUENCY(IF(C$2:C$3072=C3988, MATCH(D$2:D$3072, D$2:D$3072, 0)), ROW(D$2:D$3072)-ROW(D$2)+1) &gt; 0))</f>
        <v>#N/A</v>
      </c>
      <c r="C3988" s="408"/>
      <c r="D3988" s="408"/>
      <c r="E3988" s="408"/>
      <c r="F3988" s="408"/>
      <c r="G3988" s="408"/>
      <c r="H3988" s="408"/>
      <c r="I3988" s="408"/>
      <c r="J3988" s="408"/>
      <c r="K3988" s="408"/>
      <c r="L3988" s="408"/>
      <c r="M3988" s="408"/>
      <c r="N3988" s="408" t="str">
        <f t="shared" si="489"/>
        <v/>
      </c>
      <c r="O3988" s="408"/>
      <c r="P3988" s="408"/>
      <c r="Q3988" s="408"/>
      <c r="R3988" s="408"/>
      <c r="S3988" s="408"/>
      <c r="T3988" s="408"/>
      <c r="U3988" s="408"/>
      <c r="V3988" s="421"/>
      <c r="W3988" s="421"/>
      <c r="X3988" s="421"/>
      <c r="Y3988" s="421"/>
      <c r="Z3988" s="421"/>
      <c r="AA3988" s="421"/>
      <c r="AB3988" s="421"/>
      <c r="AC3988" s="421"/>
      <c r="AD3988" s="421"/>
      <c r="AE3988" s="421"/>
      <c r="AF3988" s="421"/>
      <c r="AG3988" s="421"/>
      <c r="AH3988" s="421"/>
      <c r="AI3988" s="421"/>
      <c r="AJ3988" s="421"/>
      <c r="AK3988" s="421"/>
      <c r="AL3988" s="421"/>
    </row>
    <row r="3989" spans="1:38" hidden="1">
      <c r="A3989" s="408"/>
      <c r="B3989" s="83" t="e">
        <f t="array" ref="B3989">SUM(--(FREQUENCY(IF(C$2:C$3072=C3989, MATCH(D$2:D$3072, D$2:D$3072, 0)), ROW(D$2:D$3072)-ROW(D$2)+1) &gt; 0))</f>
        <v>#N/A</v>
      </c>
      <c r="C3989" s="408"/>
      <c r="D3989" s="408"/>
      <c r="E3989" s="408"/>
      <c r="F3989" s="408"/>
      <c r="G3989" s="408"/>
      <c r="H3989" s="408"/>
      <c r="I3989" s="408"/>
      <c r="J3989" s="408"/>
      <c r="K3989" s="408"/>
      <c r="L3989" s="408"/>
      <c r="M3989" s="408"/>
      <c r="N3989" s="408" t="str">
        <f t="shared" si="489"/>
        <v/>
      </c>
      <c r="O3989" s="408"/>
      <c r="P3989" s="408"/>
      <c r="Q3989" s="408"/>
      <c r="R3989" s="408"/>
      <c r="S3989" s="408"/>
      <c r="T3989" s="408"/>
      <c r="U3989" s="408"/>
      <c r="V3989" s="421"/>
      <c r="W3989" s="421"/>
      <c r="X3989" s="421"/>
      <c r="Y3989" s="421"/>
      <c r="Z3989" s="421"/>
      <c r="AA3989" s="421"/>
      <c r="AB3989" s="421"/>
      <c r="AC3989" s="421"/>
      <c r="AD3989" s="421"/>
      <c r="AE3989" s="421"/>
      <c r="AF3989" s="421"/>
      <c r="AG3989" s="421"/>
      <c r="AH3989" s="421"/>
      <c r="AI3989" s="421"/>
      <c r="AJ3989" s="421"/>
      <c r="AK3989" s="421"/>
      <c r="AL3989" s="421"/>
    </row>
    <row r="3990" spans="1:38" hidden="1">
      <c r="A3990" s="408"/>
      <c r="B3990" s="83" t="e">
        <f t="array" ref="B3990">SUM(--(FREQUENCY(IF(C$2:C$3072=C3990, MATCH(D$2:D$3072, D$2:D$3072, 0)), ROW(D$2:D$3072)-ROW(D$2)+1) &gt; 0))</f>
        <v>#N/A</v>
      </c>
      <c r="C3990" s="408"/>
      <c r="D3990" s="408"/>
      <c r="E3990" s="408"/>
      <c r="F3990" s="408"/>
      <c r="G3990" s="408"/>
      <c r="H3990" s="408"/>
      <c r="I3990" s="408"/>
      <c r="J3990" s="408"/>
      <c r="K3990" s="408"/>
      <c r="L3990" s="408"/>
      <c r="M3990" s="408"/>
      <c r="N3990" s="408" t="str">
        <f t="shared" si="489"/>
        <v/>
      </c>
      <c r="O3990" s="408"/>
      <c r="P3990" s="408"/>
      <c r="Q3990" s="408"/>
      <c r="R3990" s="408"/>
      <c r="S3990" s="408"/>
      <c r="T3990" s="408"/>
      <c r="U3990" s="408"/>
      <c r="V3990" s="421"/>
      <c r="W3990" s="421"/>
      <c r="X3990" s="421"/>
      <c r="Y3990" s="421"/>
      <c r="Z3990" s="421"/>
      <c r="AA3990" s="421"/>
      <c r="AB3990" s="421"/>
      <c r="AC3990" s="421"/>
      <c r="AD3990" s="421"/>
      <c r="AE3990" s="421"/>
      <c r="AF3990" s="421"/>
      <c r="AG3990" s="421"/>
      <c r="AH3990" s="421"/>
      <c r="AI3990" s="421"/>
      <c r="AJ3990" s="421"/>
      <c r="AK3990" s="421"/>
      <c r="AL3990" s="421"/>
    </row>
    <row r="3991" spans="1:38" hidden="1">
      <c r="A3991" s="408"/>
      <c r="B3991" s="83" t="e">
        <f t="array" ref="B3991">SUM(--(FREQUENCY(IF(C$2:C$3072=C3991, MATCH(D$2:D$3072, D$2:D$3072, 0)), ROW(D$2:D$3072)-ROW(D$2)+1) &gt; 0))</f>
        <v>#N/A</v>
      </c>
      <c r="C3991" s="408"/>
      <c r="D3991" s="408"/>
      <c r="E3991" s="408"/>
      <c r="F3991" s="408"/>
      <c r="G3991" s="408"/>
      <c r="H3991" s="408"/>
      <c r="I3991" s="408"/>
      <c r="J3991" s="408"/>
      <c r="K3991" s="408"/>
      <c r="L3991" s="408"/>
      <c r="M3991" s="408"/>
      <c r="N3991" s="408" t="str">
        <f t="shared" si="489"/>
        <v/>
      </c>
      <c r="O3991" s="408"/>
      <c r="P3991" s="408"/>
      <c r="Q3991" s="408"/>
      <c r="R3991" s="408"/>
      <c r="S3991" s="408"/>
      <c r="T3991" s="408"/>
      <c r="U3991" s="408"/>
      <c r="V3991" s="421"/>
      <c r="W3991" s="421"/>
      <c r="X3991" s="421"/>
      <c r="Y3991" s="421"/>
      <c r="Z3991" s="421"/>
      <c r="AA3991" s="421"/>
      <c r="AB3991" s="421"/>
      <c r="AC3991" s="421"/>
      <c r="AD3991" s="421"/>
      <c r="AE3991" s="421"/>
      <c r="AF3991" s="421"/>
      <c r="AG3991" s="421"/>
      <c r="AH3991" s="421"/>
      <c r="AI3991" s="421"/>
      <c r="AJ3991" s="421"/>
      <c r="AK3991" s="421"/>
      <c r="AL3991" s="421"/>
    </row>
    <row r="3992" spans="1:38" hidden="1">
      <c r="A3992" s="408"/>
      <c r="B3992" s="83" t="e">
        <f t="array" ref="B3992">SUM(--(FREQUENCY(IF(C$2:C$3072=C3992, MATCH(D$2:D$3072, D$2:D$3072, 0)), ROW(D$2:D$3072)-ROW(D$2)+1) &gt; 0))</f>
        <v>#N/A</v>
      </c>
      <c r="C3992" s="408"/>
      <c r="D3992" s="408"/>
      <c r="E3992" s="408"/>
      <c r="F3992" s="408"/>
      <c r="G3992" s="408"/>
      <c r="H3992" s="408"/>
      <c r="I3992" s="408"/>
      <c r="J3992" s="408"/>
      <c r="K3992" s="408"/>
      <c r="L3992" s="408"/>
      <c r="M3992" s="408"/>
      <c r="N3992" s="408" t="str">
        <f t="shared" si="489"/>
        <v/>
      </c>
      <c r="O3992" s="408"/>
      <c r="P3992" s="408"/>
      <c r="Q3992" s="408"/>
      <c r="R3992" s="408"/>
      <c r="S3992" s="408"/>
      <c r="T3992" s="408"/>
      <c r="U3992" s="408"/>
      <c r="V3992" s="421"/>
      <c r="W3992" s="421"/>
      <c r="X3992" s="421"/>
      <c r="Y3992" s="421"/>
      <c r="Z3992" s="421"/>
      <c r="AA3992" s="421"/>
      <c r="AB3992" s="421"/>
      <c r="AC3992" s="421"/>
      <c r="AD3992" s="421"/>
      <c r="AE3992" s="421"/>
      <c r="AF3992" s="421"/>
      <c r="AG3992" s="421"/>
      <c r="AH3992" s="421"/>
      <c r="AI3992" s="421"/>
      <c r="AJ3992" s="421"/>
      <c r="AK3992" s="421"/>
      <c r="AL3992" s="421"/>
    </row>
    <row r="3993" spans="1:38" hidden="1">
      <c r="A3993" s="408"/>
      <c r="B3993" s="83" t="e">
        <f t="array" ref="B3993">SUM(--(FREQUENCY(IF(C$2:C$3072=C3993, MATCH(D$2:D$3072, D$2:D$3072, 0)), ROW(D$2:D$3072)-ROW(D$2)+1) &gt; 0))</f>
        <v>#N/A</v>
      </c>
      <c r="C3993" s="408"/>
      <c r="D3993" s="408"/>
      <c r="E3993" s="408"/>
      <c r="F3993" s="408"/>
      <c r="G3993" s="408"/>
      <c r="H3993" s="408"/>
      <c r="I3993" s="408"/>
      <c r="J3993" s="408"/>
      <c r="K3993" s="408"/>
      <c r="L3993" s="408"/>
      <c r="M3993" s="408"/>
      <c r="N3993" s="408" t="str">
        <f t="shared" si="489"/>
        <v/>
      </c>
      <c r="O3993" s="408"/>
      <c r="P3993" s="408"/>
      <c r="Q3993" s="408"/>
      <c r="R3993" s="408"/>
      <c r="S3993" s="408"/>
      <c r="T3993" s="408"/>
      <c r="U3993" s="408"/>
      <c r="V3993" s="421"/>
      <c r="W3993" s="421"/>
      <c r="X3993" s="421"/>
      <c r="Y3993" s="421"/>
      <c r="Z3993" s="421"/>
      <c r="AA3993" s="421"/>
      <c r="AB3993" s="421"/>
      <c r="AC3993" s="421"/>
      <c r="AD3993" s="421"/>
      <c r="AE3993" s="421"/>
      <c r="AF3993" s="421"/>
      <c r="AG3993" s="421"/>
      <c r="AH3993" s="421"/>
      <c r="AI3993" s="421"/>
      <c r="AJ3993" s="421"/>
      <c r="AK3993" s="421"/>
      <c r="AL3993" s="421"/>
    </row>
    <row r="3994" spans="1:38" hidden="1">
      <c r="A3994" s="408"/>
      <c r="B3994" s="83" t="e">
        <f t="array" ref="B3994">SUM(--(FREQUENCY(IF(C$2:C$3072=C3994, MATCH(D$2:D$3072, D$2:D$3072, 0)), ROW(D$2:D$3072)-ROW(D$2)+1) &gt; 0))</f>
        <v>#N/A</v>
      </c>
      <c r="C3994" s="408"/>
      <c r="D3994" s="408"/>
      <c r="E3994" s="408"/>
      <c r="F3994" s="408"/>
      <c r="G3994" s="408"/>
      <c r="H3994" s="408"/>
      <c r="I3994" s="408"/>
      <c r="J3994" s="408"/>
      <c r="K3994" s="408"/>
      <c r="L3994" s="408"/>
      <c r="M3994" s="408"/>
      <c r="N3994" s="408" t="str">
        <f t="shared" si="489"/>
        <v/>
      </c>
      <c r="O3994" s="408"/>
      <c r="P3994" s="408"/>
      <c r="Q3994" s="408"/>
      <c r="R3994" s="408"/>
      <c r="S3994" s="408"/>
      <c r="T3994" s="408"/>
      <c r="U3994" s="408"/>
      <c r="V3994" s="421"/>
      <c r="W3994" s="421"/>
      <c r="X3994" s="421"/>
      <c r="Y3994" s="421"/>
      <c r="Z3994" s="421"/>
      <c r="AA3994" s="421"/>
      <c r="AB3994" s="421"/>
      <c r="AC3994" s="421"/>
      <c r="AD3994" s="421"/>
      <c r="AE3994" s="421"/>
      <c r="AF3994" s="421"/>
      <c r="AG3994" s="421"/>
      <c r="AH3994" s="421"/>
      <c r="AI3994" s="421"/>
      <c r="AJ3994" s="421"/>
      <c r="AK3994" s="421"/>
      <c r="AL3994" s="421"/>
    </row>
    <row r="3995" spans="1:38" hidden="1">
      <c r="A3995" s="408"/>
      <c r="B3995" s="83" t="e">
        <f t="array" ref="B3995">SUM(--(FREQUENCY(IF(C$2:C$3072=C3995, MATCH(D$2:D$3072, D$2:D$3072, 0)), ROW(D$2:D$3072)-ROW(D$2)+1) &gt; 0))</f>
        <v>#N/A</v>
      </c>
      <c r="C3995" s="408"/>
      <c r="D3995" s="408"/>
      <c r="E3995" s="408"/>
      <c r="F3995" s="408"/>
      <c r="G3995" s="408"/>
      <c r="H3995" s="408"/>
      <c r="I3995" s="408"/>
      <c r="J3995" s="408"/>
      <c r="K3995" s="408"/>
      <c r="L3995" s="408"/>
      <c r="M3995" s="408"/>
      <c r="N3995" s="408" t="str">
        <f t="shared" si="489"/>
        <v/>
      </c>
      <c r="O3995" s="408"/>
      <c r="P3995" s="408"/>
      <c r="Q3995" s="408"/>
      <c r="R3995" s="408"/>
      <c r="S3995" s="408"/>
      <c r="T3995" s="408"/>
      <c r="U3995" s="408"/>
      <c r="V3995" s="421"/>
      <c r="W3995" s="421"/>
      <c r="X3995" s="421"/>
      <c r="Y3995" s="421"/>
      <c r="Z3995" s="421"/>
      <c r="AA3995" s="421"/>
      <c r="AB3995" s="421"/>
      <c r="AC3995" s="421"/>
      <c r="AD3995" s="421"/>
      <c r="AE3995" s="421"/>
      <c r="AF3995" s="421"/>
      <c r="AG3995" s="421"/>
      <c r="AH3995" s="421"/>
      <c r="AI3995" s="421"/>
      <c r="AJ3995" s="421"/>
      <c r="AK3995" s="421"/>
      <c r="AL3995" s="421"/>
    </row>
    <row r="3996" spans="1:38" hidden="1">
      <c r="A3996" s="408"/>
      <c r="B3996" s="83" t="e">
        <f t="array" ref="B3996">SUM(--(FREQUENCY(IF(C$2:C$3072=C3996, MATCH(D$2:D$3072, D$2:D$3072, 0)), ROW(D$2:D$3072)-ROW(D$2)+1) &gt; 0))</f>
        <v>#N/A</v>
      </c>
      <c r="C3996" s="408"/>
      <c r="D3996" s="408"/>
      <c r="E3996" s="408"/>
      <c r="F3996" s="408"/>
      <c r="G3996" s="408"/>
      <c r="H3996" s="408"/>
      <c r="I3996" s="408"/>
      <c r="J3996" s="408"/>
      <c r="K3996" s="408"/>
      <c r="L3996" s="408"/>
      <c r="M3996" s="408"/>
      <c r="N3996" s="408" t="str">
        <f t="shared" si="489"/>
        <v/>
      </c>
      <c r="O3996" s="408"/>
      <c r="P3996" s="408"/>
      <c r="Q3996" s="408"/>
      <c r="R3996" s="408"/>
      <c r="S3996" s="408"/>
      <c r="T3996" s="408"/>
      <c r="U3996" s="408"/>
      <c r="V3996" s="421"/>
      <c r="W3996" s="421"/>
      <c r="X3996" s="421"/>
      <c r="Y3996" s="421"/>
      <c r="Z3996" s="421"/>
      <c r="AA3996" s="421"/>
      <c r="AB3996" s="421"/>
      <c r="AC3996" s="421"/>
      <c r="AD3996" s="421"/>
      <c r="AE3996" s="421"/>
      <c r="AF3996" s="421"/>
      <c r="AG3996" s="421"/>
      <c r="AH3996" s="421"/>
      <c r="AI3996" s="421"/>
      <c r="AJ3996" s="421"/>
      <c r="AK3996" s="421"/>
      <c r="AL3996" s="421"/>
    </row>
    <row r="3997" spans="1:38" hidden="1">
      <c r="A3997" s="408"/>
      <c r="B3997" s="83" t="e">
        <f t="array" ref="B3997">SUM(--(FREQUENCY(IF(C$2:C$3072=C3997, MATCH(D$2:D$3072, D$2:D$3072, 0)), ROW(D$2:D$3072)-ROW(D$2)+1) &gt; 0))</f>
        <v>#N/A</v>
      </c>
      <c r="C3997" s="408"/>
      <c r="D3997" s="408"/>
      <c r="E3997" s="408"/>
      <c r="F3997" s="408"/>
      <c r="G3997" s="408"/>
      <c r="H3997" s="408"/>
      <c r="I3997" s="408"/>
      <c r="J3997" s="408"/>
      <c r="K3997" s="408"/>
      <c r="L3997" s="408"/>
      <c r="M3997" s="408"/>
      <c r="N3997" s="408" t="str">
        <f t="shared" si="489"/>
        <v/>
      </c>
      <c r="O3997" s="408"/>
      <c r="P3997" s="408"/>
      <c r="Q3997" s="408"/>
      <c r="R3997" s="408"/>
      <c r="S3997" s="408"/>
      <c r="T3997" s="408"/>
      <c r="U3997" s="408"/>
      <c r="V3997" s="421"/>
      <c r="W3997" s="421"/>
      <c r="X3997" s="421"/>
      <c r="Y3997" s="421"/>
      <c r="Z3997" s="421"/>
      <c r="AA3997" s="421"/>
      <c r="AB3997" s="421"/>
      <c r="AC3997" s="421"/>
      <c r="AD3997" s="421"/>
      <c r="AE3997" s="421"/>
      <c r="AF3997" s="421"/>
      <c r="AG3997" s="421"/>
      <c r="AH3997" s="421"/>
      <c r="AI3997" s="421"/>
      <c r="AJ3997" s="421"/>
      <c r="AK3997" s="421"/>
      <c r="AL3997" s="421"/>
    </row>
    <row r="3998" spans="1:38" hidden="1">
      <c r="A3998" s="408"/>
      <c r="B3998" s="83" t="e">
        <f t="array" ref="B3998">SUM(--(FREQUENCY(IF(C$2:C$3072=C3998, MATCH(D$2:D$3072, D$2:D$3072, 0)), ROW(D$2:D$3072)-ROW(D$2)+1) &gt; 0))</f>
        <v>#N/A</v>
      </c>
      <c r="C3998" s="408"/>
      <c r="D3998" s="408"/>
      <c r="E3998" s="408"/>
      <c r="F3998" s="408"/>
      <c r="G3998" s="408"/>
      <c r="H3998" s="408"/>
      <c r="I3998" s="408"/>
      <c r="J3998" s="408"/>
      <c r="K3998" s="408"/>
      <c r="L3998" s="408"/>
      <c r="M3998" s="408"/>
      <c r="N3998" s="408" t="str">
        <f t="shared" si="489"/>
        <v/>
      </c>
      <c r="O3998" s="408"/>
      <c r="P3998" s="408"/>
      <c r="Q3998" s="408"/>
      <c r="R3998" s="408"/>
      <c r="S3998" s="408"/>
      <c r="T3998" s="408"/>
      <c r="U3998" s="408"/>
      <c r="V3998" s="421"/>
      <c r="W3998" s="421"/>
      <c r="X3998" s="421"/>
      <c r="Y3998" s="421"/>
      <c r="Z3998" s="421"/>
      <c r="AA3998" s="421"/>
      <c r="AB3998" s="421"/>
      <c r="AC3998" s="421"/>
      <c r="AD3998" s="421"/>
      <c r="AE3998" s="421"/>
      <c r="AF3998" s="421"/>
      <c r="AG3998" s="421"/>
      <c r="AH3998" s="421"/>
      <c r="AI3998" s="421"/>
      <c r="AJ3998" s="421"/>
      <c r="AK3998" s="421"/>
      <c r="AL3998" s="421"/>
    </row>
    <row r="3999" spans="1:38" hidden="1">
      <c r="A3999" s="408"/>
      <c r="B3999" s="83" t="e">
        <f t="array" ref="B3999">SUM(--(FREQUENCY(IF(C$2:C$3072=C3999, MATCH(D$2:D$3072, D$2:D$3072, 0)), ROW(D$2:D$3072)-ROW(D$2)+1) &gt; 0))</f>
        <v>#N/A</v>
      </c>
      <c r="C3999" s="408"/>
      <c r="D3999" s="408"/>
      <c r="E3999" s="408"/>
      <c r="F3999" s="408"/>
      <c r="G3999" s="408"/>
      <c r="H3999" s="408"/>
      <c r="I3999" s="408"/>
      <c r="J3999" s="408"/>
      <c r="K3999" s="408"/>
      <c r="L3999" s="408"/>
      <c r="M3999" s="408"/>
      <c r="N3999" s="408" t="str">
        <f t="shared" si="489"/>
        <v/>
      </c>
      <c r="O3999" s="408"/>
      <c r="P3999" s="408"/>
      <c r="Q3999" s="408"/>
      <c r="R3999" s="408"/>
      <c r="S3999" s="408"/>
      <c r="T3999" s="408"/>
      <c r="U3999" s="408"/>
      <c r="V3999" s="421"/>
      <c r="W3999" s="421"/>
      <c r="X3999" s="421"/>
      <c r="Y3999" s="421"/>
      <c r="Z3999" s="421"/>
      <c r="AA3999" s="421"/>
      <c r="AB3999" s="421"/>
      <c r="AC3999" s="421"/>
      <c r="AD3999" s="421"/>
      <c r="AE3999" s="421"/>
      <c r="AF3999" s="421"/>
      <c r="AG3999" s="421"/>
      <c r="AH3999" s="421"/>
      <c r="AI3999" s="421"/>
      <c r="AJ3999" s="421"/>
      <c r="AK3999" s="421"/>
      <c r="AL3999" s="421"/>
    </row>
    <row r="4000" spans="1:38" hidden="1">
      <c r="A4000" s="408"/>
      <c r="B4000" s="83" t="e">
        <f t="array" ref="B4000">SUM(--(FREQUENCY(IF(C$2:C$3072=C4000, MATCH(D$2:D$3072, D$2:D$3072, 0)), ROW(D$2:D$3072)-ROW(D$2)+1) &gt; 0))</f>
        <v>#N/A</v>
      </c>
      <c r="C4000" s="408"/>
      <c r="D4000" s="408"/>
      <c r="E4000" s="408"/>
      <c r="F4000" s="408"/>
      <c r="G4000" s="408"/>
      <c r="H4000" s="408"/>
      <c r="I4000" s="408"/>
      <c r="J4000" s="408"/>
      <c r="K4000" s="408"/>
      <c r="L4000" s="408"/>
      <c r="M4000" s="408"/>
      <c r="N4000" s="408" t="str">
        <f t="shared" si="489"/>
        <v/>
      </c>
      <c r="O4000" s="408"/>
      <c r="P4000" s="408"/>
      <c r="Q4000" s="408"/>
      <c r="R4000" s="408"/>
      <c r="S4000" s="408"/>
      <c r="T4000" s="408"/>
      <c r="U4000" s="408"/>
      <c r="V4000" s="421"/>
      <c r="W4000" s="421"/>
      <c r="X4000" s="421"/>
      <c r="Y4000" s="421"/>
      <c r="Z4000" s="421"/>
      <c r="AA4000" s="421"/>
      <c r="AB4000" s="421"/>
      <c r="AC4000" s="421"/>
      <c r="AD4000" s="421"/>
      <c r="AE4000" s="421"/>
      <c r="AF4000" s="421"/>
      <c r="AG4000" s="421"/>
      <c r="AH4000" s="421"/>
      <c r="AI4000" s="421"/>
      <c r="AJ4000" s="421"/>
      <c r="AK4000" s="421"/>
      <c r="AL4000" s="421"/>
    </row>
    <row r="4001" spans="1:38" hidden="1">
      <c r="A4001" s="408"/>
      <c r="B4001" s="83" t="e">
        <f t="array" ref="B4001">SUM(--(FREQUENCY(IF(C$2:C$3072=C4001, MATCH(D$2:D$3072, D$2:D$3072, 0)), ROW(D$2:D$3072)-ROW(D$2)+1) &gt; 0))</f>
        <v>#N/A</v>
      </c>
      <c r="C4001" s="408"/>
      <c r="D4001" s="408"/>
      <c r="E4001" s="408"/>
      <c r="F4001" s="408"/>
      <c r="G4001" s="408"/>
      <c r="H4001" s="408"/>
      <c r="I4001" s="408"/>
      <c r="J4001" s="408"/>
      <c r="K4001" s="408"/>
      <c r="L4001" s="408"/>
      <c r="M4001" s="408"/>
      <c r="N4001" s="408" t="str">
        <f t="shared" si="489"/>
        <v/>
      </c>
      <c r="O4001" s="408"/>
      <c r="P4001" s="408"/>
      <c r="Q4001" s="408"/>
      <c r="R4001" s="408"/>
      <c r="S4001" s="408"/>
      <c r="T4001" s="408"/>
      <c r="U4001" s="408"/>
      <c r="V4001" s="421"/>
      <c r="W4001" s="421"/>
      <c r="X4001" s="421"/>
      <c r="Y4001" s="421"/>
      <c r="Z4001" s="421"/>
      <c r="AA4001" s="421"/>
      <c r="AB4001" s="421"/>
      <c r="AC4001" s="421"/>
      <c r="AD4001" s="421"/>
      <c r="AE4001" s="421"/>
      <c r="AF4001" s="421"/>
      <c r="AG4001" s="421"/>
      <c r="AH4001" s="421"/>
      <c r="AI4001" s="421"/>
      <c r="AJ4001" s="421"/>
      <c r="AK4001" s="421"/>
      <c r="AL4001" s="421"/>
    </row>
    <row r="4002" spans="1:38" hidden="1">
      <c r="A4002" s="408"/>
      <c r="B4002" s="83" t="e">
        <f t="array" ref="B4002">SUM(--(FREQUENCY(IF(C$2:C$3072=C4002, MATCH(D$2:D$3072, D$2:D$3072, 0)), ROW(D$2:D$3072)-ROW(D$2)+1) &gt; 0))</f>
        <v>#N/A</v>
      </c>
      <c r="C4002" s="408"/>
      <c r="D4002" s="408"/>
      <c r="E4002" s="408"/>
      <c r="F4002" s="408"/>
      <c r="G4002" s="408"/>
      <c r="H4002" s="408"/>
      <c r="I4002" s="408"/>
      <c r="J4002" s="408"/>
      <c r="K4002" s="408"/>
      <c r="L4002" s="408"/>
      <c r="M4002" s="408"/>
      <c r="N4002" s="408" t="str">
        <f t="shared" si="489"/>
        <v/>
      </c>
      <c r="O4002" s="408"/>
      <c r="P4002" s="408"/>
      <c r="Q4002" s="408"/>
      <c r="R4002" s="408"/>
      <c r="S4002" s="408"/>
      <c r="T4002" s="408"/>
      <c r="U4002" s="408"/>
      <c r="V4002" s="421"/>
      <c r="W4002" s="421"/>
      <c r="X4002" s="421"/>
      <c r="Y4002" s="421"/>
      <c r="Z4002" s="421"/>
      <c r="AA4002" s="421"/>
      <c r="AB4002" s="421"/>
      <c r="AC4002" s="421"/>
      <c r="AD4002" s="421"/>
      <c r="AE4002" s="421"/>
      <c r="AF4002" s="421"/>
      <c r="AG4002" s="421"/>
      <c r="AH4002" s="421"/>
      <c r="AI4002" s="421"/>
      <c r="AJ4002" s="421"/>
      <c r="AK4002" s="421"/>
      <c r="AL4002" s="421"/>
    </row>
    <row r="4003" spans="1:38" hidden="1">
      <c r="A4003" s="408"/>
      <c r="B4003" s="83" t="e">
        <f t="array" ref="B4003">SUM(--(FREQUENCY(IF(C$2:C$3072=C4003, MATCH(D$2:D$3072, D$2:D$3072, 0)), ROW(D$2:D$3072)-ROW(D$2)+1) &gt; 0))</f>
        <v>#N/A</v>
      </c>
      <c r="C4003" s="408"/>
      <c r="D4003" s="408"/>
      <c r="E4003" s="408"/>
      <c r="F4003" s="408"/>
      <c r="G4003" s="408"/>
      <c r="H4003" s="408"/>
      <c r="I4003" s="408"/>
      <c r="J4003" s="408"/>
      <c r="K4003" s="408"/>
      <c r="L4003" s="408"/>
      <c r="M4003" s="408"/>
      <c r="N4003" s="408" t="str">
        <f t="shared" si="489"/>
        <v/>
      </c>
      <c r="O4003" s="408"/>
      <c r="P4003" s="408"/>
      <c r="Q4003" s="408"/>
      <c r="R4003" s="408"/>
      <c r="S4003" s="408"/>
      <c r="T4003" s="408"/>
      <c r="U4003" s="408"/>
      <c r="V4003" s="421"/>
      <c r="W4003" s="421"/>
      <c r="X4003" s="421"/>
      <c r="Y4003" s="421"/>
      <c r="Z4003" s="421"/>
      <c r="AA4003" s="421"/>
      <c r="AB4003" s="421"/>
      <c r="AC4003" s="421"/>
      <c r="AD4003" s="421"/>
      <c r="AE4003" s="421"/>
      <c r="AF4003" s="421"/>
      <c r="AG4003" s="421"/>
      <c r="AH4003" s="421"/>
      <c r="AI4003" s="421"/>
      <c r="AJ4003" s="421"/>
      <c r="AK4003" s="421"/>
      <c r="AL4003" s="421"/>
    </row>
    <row r="4004" spans="1:38" hidden="1">
      <c r="A4004" s="408"/>
      <c r="B4004" s="83" t="e">
        <f t="array" ref="B4004">SUM(--(FREQUENCY(IF(C$2:C$3072=C4004, MATCH(D$2:D$3072, D$2:D$3072, 0)), ROW(D$2:D$3072)-ROW(D$2)+1) &gt; 0))</f>
        <v>#N/A</v>
      </c>
      <c r="C4004" s="408"/>
      <c r="D4004" s="408"/>
      <c r="E4004" s="408"/>
      <c r="F4004" s="408"/>
      <c r="G4004" s="408"/>
      <c r="H4004" s="408"/>
      <c r="I4004" s="408"/>
      <c r="J4004" s="408"/>
      <c r="K4004" s="408"/>
      <c r="L4004" s="408"/>
      <c r="M4004" s="408"/>
      <c r="N4004" s="408" t="str">
        <f t="shared" si="489"/>
        <v/>
      </c>
      <c r="O4004" s="408"/>
      <c r="P4004" s="408"/>
      <c r="Q4004" s="408"/>
      <c r="R4004" s="408"/>
      <c r="S4004" s="408"/>
      <c r="T4004" s="408"/>
      <c r="U4004" s="408"/>
      <c r="V4004" s="421"/>
      <c r="W4004" s="421"/>
      <c r="X4004" s="421"/>
      <c r="Y4004" s="421"/>
      <c r="Z4004" s="421"/>
      <c r="AA4004" s="421"/>
      <c r="AB4004" s="421"/>
      <c r="AC4004" s="421"/>
      <c r="AD4004" s="421"/>
      <c r="AE4004" s="421"/>
      <c r="AF4004" s="421"/>
      <c r="AG4004" s="421"/>
      <c r="AH4004" s="421"/>
      <c r="AI4004" s="421"/>
      <c r="AJ4004" s="421"/>
      <c r="AK4004" s="421"/>
      <c r="AL4004" s="421"/>
    </row>
    <row r="4005" spans="1:38" hidden="1">
      <c r="A4005" s="408"/>
      <c r="B4005" s="83" t="e">
        <f t="array" ref="B4005">SUM(--(FREQUENCY(IF(C$2:C$3072=C4005, MATCH(D$2:D$3072, D$2:D$3072, 0)), ROW(D$2:D$3072)-ROW(D$2)+1) &gt; 0))</f>
        <v>#N/A</v>
      </c>
      <c r="C4005" s="408"/>
      <c r="D4005" s="408"/>
      <c r="E4005" s="408"/>
      <c r="F4005" s="408"/>
      <c r="G4005" s="408"/>
      <c r="H4005" s="408"/>
      <c r="I4005" s="408"/>
      <c r="J4005" s="408"/>
      <c r="K4005" s="408"/>
      <c r="L4005" s="408"/>
      <c r="M4005" s="408"/>
      <c r="N4005" s="408" t="str">
        <f t="shared" si="489"/>
        <v/>
      </c>
      <c r="O4005" s="408"/>
      <c r="P4005" s="408"/>
      <c r="Q4005" s="408"/>
      <c r="R4005" s="408"/>
      <c r="S4005" s="408"/>
      <c r="T4005" s="408"/>
      <c r="U4005" s="408"/>
      <c r="V4005" s="421"/>
      <c r="W4005" s="421"/>
      <c r="X4005" s="421"/>
      <c r="Y4005" s="421"/>
      <c r="Z4005" s="421"/>
      <c r="AA4005" s="421"/>
      <c r="AB4005" s="421"/>
      <c r="AC4005" s="421"/>
      <c r="AD4005" s="421"/>
      <c r="AE4005" s="421"/>
      <c r="AF4005" s="421"/>
      <c r="AG4005" s="421"/>
      <c r="AH4005" s="421"/>
      <c r="AI4005" s="421"/>
      <c r="AJ4005" s="421"/>
      <c r="AK4005" s="421"/>
      <c r="AL4005" s="421"/>
    </row>
    <row r="4006" spans="1:38" hidden="1">
      <c r="A4006" s="408"/>
      <c r="B4006" s="83" t="e">
        <f t="array" ref="B4006">SUM(--(FREQUENCY(IF(C$2:C$3072=C4006, MATCH(D$2:D$3072, D$2:D$3072, 0)), ROW(D$2:D$3072)-ROW(D$2)+1) &gt; 0))</f>
        <v>#N/A</v>
      </c>
      <c r="C4006" s="408"/>
      <c r="D4006" s="408"/>
      <c r="E4006" s="408"/>
      <c r="F4006" s="408"/>
      <c r="G4006" s="408"/>
      <c r="H4006" s="408"/>
      <c r="I4006" s="408"/>
      <c r="J4006" s="408"/>
      <c r="K4006" s="408"/>
      <c r="L4006" s="408"/>
      <c r="M4006" s="408"/>
      <c r="N4006" s="408" t="str">
        <f t="shared" si="489"/>
        <v/>
      </c>
      <c r="O4006" s="408"/>
      <c r="P4006" s="408"/>
      <c r="Q4006" s="408"/>
      <c r="R4006" s="408"/>
      <c r="S4006" s="408"/>
      <c r="T4006" s="408"/>
      <c r="U4006" s="408"/>
      <c r="V4006" s="421"/>
      <c r="W4006" s="421"/>
      <c r="X4006" s="421"/>
      <c r="Y4006" s="421"/>
      <c r="Z4006" s="421"/>
      <c r="AA4006" s="421"/>
      <c r="AB4006" s="421"/>
      <c r="AC4006" s="421"/>
      <c r="AD4006" s="421"/>
      <c r="AE4006" s="421"/>
      <c r="AF4006" s="421"/>
      <c r="AG4006" s="421"/>
      <c r="AH4006" s="421"/>
      <c r="AI4006" s="421"/>
      <c r="AJ4006" s="421"/>
      <c r="AK4006" s="421"/>
      <c r="AL4006" s="421"/>
    </row>
    <row r="4007" spans="1:38" hidden="1">
      <c r="A4007" s="408"/>
      <c r="B4007" s="83" t="e">
        <f t="array" ref="B4007">SUM(--(FREQUENCY(IF(C$2:C$3072=C4007, MATCH(D$2:D$3072, D$2:D$3072, 0)), ROW(D$2:D$3072)-ROW(D$2)+1) &gt; 0))</f>
        <v>#N/A</v>
      </c>
      <c r="C4007" s="408"/>
      <c r="D4007" s="408"/>
      <c r="E4007" s="408"/>
      <c r="F4007" s="408"/>
      <c r="G4007" s="408"/>
      <c r="H4007" s="408"/>
      <c r="I4007" s="408"/>
      <c r="J4007" s="408"/>
      <c r="K4007" s="408"/>
      <c r="L4007" s="408"/>
      <c r="M4007" s="408"/>
      <c r="N4007" s="408" t="str">
        <f t="shared" si="489"/>
        <v/>
      </c>
      <c r="O4007" s="408"/>
      <c r="P4007" s="408"/>
      <c r="Q4007" s="408"/>
      <c r="R4007" s="408"/>
      <c r="S4007" s="408"/>
      <c r="T4007" s="408"/>
      <c r="U4007" s="408"/>
      <c r="V4007" s="421"/>
      <c r="W4007" s="421"/>
      <c r="X4007" s="421"/>
      <c r="Y4007" s="421"/>
      <c r="Z4007" s="421"/>
      <c r="AA4007" s="421"/>
      <c r="AB4007" s="421"/>
      <c r="AC4007" s="421"/>
      <c r="AD4007" s="421"/>
      <c r="AE4007" s="421"/>
      <c r="AF4007" s="421"/>
      <c r="AG4007" s="421"/>
      <c r="AH4007" s="421"/>
      <c r="AI4007" s="421"/>
      <c r="AJ4007" s="421"/>
      <c r="AK4007" s="421"/>
      <c r="AL4007" s="421"/>
    </row>
    <row r="4008" spans="1:38" hidden="1">
      <c r="A4008" s="408"/>
      <c r="B4008" s="83" t="e">
        <f t="array" ref="B4008">SUM(--(FREQUENCY(IF(C$2:C$3072=C4008, MATCH(D$2:D$3072, D$2:D$3072, 0)), ROW(D$2:D$3072)-ROW(D$2)+1) &gt; 0))</f>
        <v>#N/A</v>
      </c>
      <c r="C4008" s="408"/>
      <c r="D4008" s="408"/>
      <c r="E4008" s="408"/>
      <c r="F4008" s="408"/>
      <c r="G4008" s="408"/>
      <c r="H4008" s="408"/>
      <c r="I4008" s="408"/>
      <c r="J4008" s="408"/>
      <c r="K4008" s="408"/>
      <c r="L4008" s="408"/>
      <c r="M4008" s="408"/>
      <c r="N4008" s="408" t="str">
        <f t="shared" si="489"/>
        <v/>
      </c>
      <c r="O4008" s="408"/>
      <c r="P4008" s="408"/>
      <c r="Q4008" s="408"/>
      <c r="R4008" s="408"/>
      <c r="S4008" s="408"/>
      <c r="T4008" s="408"/>
      <c r="U4008" s="408"/>
      <c r="V4008" s="421"/>
      <c r="W4008" s="421"/>
      <c r="X4008" s="421"/>
      <c r="Y4008" s="421"/>
      <c r="Z4008" s="421"/>
      <c r="AA4008" s="421"/>
      <c r="AB4008" s="421"/>
      <c r="AC4008" s="421"/>
      <c r="AD4008" s="421"/>
      <c r="AE4008" s="421"/>
      <c r="AF4008" s="421"/>
      <c r="AG4008" s="421"/>
      <c r="AH4008" s="421"/>
      <c r="AI4008" s="421"/>
      <c r="AJ4008" s="421"/>
      <c r="AK4008" s="421"/>
      <c r="AL4008" s="421"/>
    </row>
    <row r="4009" spans="1:38" hidden="1">
      <c r="A4009" s="408"/>
      <c r="B4009" s="83" t="e">
        <f t="array" ref="B4009">SUM(--(FREQUENCY(IF(C$2:C$3072=C4009, MATCH(D$2:D$3072, D$2:D$3072, 0)), ROW(D$2:D$3072)-ROW(D$2)+1) &gt; 0))</f>
        <v>#N/A</v>
      </c>
      <c r="C4009" s="408"/>
      <c r="D4009" s="408"/>
      <c r="E4009" s="408"/>
      <c r="F4009" s="408"/>
      <c r="G4009" s="408"/>
      <c r="H4009" s="408"/>
      <c r="I4009" s="408"/>
      <c r="J4009" s="408"/>
      <c r="K4009" s="408"/>
      <c r="L4009" s="408"/>
      <c r="M4009" s="408"/>
      <c r="N4009" s="408" t="str">
        <f t="shared" si="489"/>
        <v/>
      </c>
      <c r="O4009" s="408"/>
      <c r="P4009" s="408"/>
      <c r="Q4009" s="408"/>
      <c r="R4009" s="408"/>
      <c r="S4009" s="408"/>
      <c r="T4009" s="408"/>
      <c r="U4009" s="408"/>
      <c r="V4009" s="421"/>
      <c r="W4009" s="421"/>
      <c r="X4009" s="421"/>
      <c r="Y4009" s="421"/>
      <c r="Z4009" s="421"/>
      <c r="AA4009" s="421"/>
      <c r="AB4009" s="421"/>
      <c r="AC4009" s="421"/>
      <c r="AD4009" s="421"/>
      <c r="AE4009" s="421"/>
      <c r="AF4009" s="421"/>
      <c r="AG4009" s="421"/>
      <c r="AH4009" s="421"/>
      <c r="AI4009" s="421"/>
      <c r="AJ4009" s="421"/>
      <c r="AK4009" s="421"/>
      <c r="AL4009" s="421"/>
    </row>
    <row r="4010" spans="1:38" hidden="1">
      <c r="A4010" s="408"/>
      <c r="B4010" s="83" t="e">
        <f t="array" ref="B4010">SUM(--(FREQUENCY(IF(C$2:C$3072=C4010, MATCH(D$2:D$3072, D$2:D$3072, 0)), ROW(D$2:D$3072)-ROW(D$2)+1) &gt; 0))</f>
        <v>#N/A</v>
      </c>
      <c r="C4010" s="408"/>
      <c r="D4010" s="408"/>
      <c r="E4010" s="408"/>
      <c r="F4010" s="408"/>
      <c r="G4010" s="408"/>
      <c r="H4010" s="408"/>
      <c r="I4010" s="408"/>
      <c r="J4010" s="408"/>
      <c r="K4010" s="408"/>
      <c r="L4010" s="408"/>
      <c r="M4010" s="408"/>
      <c r="N4010" s="408" t="str">
        <f t="shared" si="489"/>
        <v/>
      </c>
      <c r="O4010" s="408"/>
      <c r="P4010" s="408"/>
      <c r="Q4010" s="408"/>
      <c r="R4010" s="408"/>
      <c r="S4010" s="408"/>
      <c r="T4010" s="408"/>
      <c r="U4010" s="408"/>
      <c r="V4010" s="421"/>
      <c r="W4010" s="421"/>
      <c r="X4010" s="421"/>
      <c r="Y4010" s="421"/>
      <c r="Z4010" s="421"/>
      <c r="AA4010" s="421"/>
      <c r="AB4010" s="421"/>
      <c r="AC4010" s="421"/>
      <c r="AD4010" s="421"/>
      <c r="AE4010" s="421"/>
      <c r="AF4010" s="421"/>
      <c r="AG4010" s="421"/>
      <c r="AH4010" s="421"/>
      <c r="AI4010" s="421"/>
      <c r="AJ4010" s="421"/>
      <c r="AK4010" s="421"/>
      <c r="AL4010" s="421"/>
    </row>
    <row r="4011" spans="1:38" hidden="1">
      <c r="A4011" s="408"/>
      <c r="B4011" s="83" t="e">
        <f t="array" ref="B4011">SUM(--(FREQUENCY(IF(C$2:C$3072=C4011, MATCH(D$2:D$3072, D$2:D$3072, 0)), ROW(D$2:D$3072)-ROW(D$2)+1) &gt; 0))</f>
        <v>#N/A</v>
      </c>
      <c r="C4011" s="408"/>
      <c r="D4011" s="408"/>
      <c r="E4011" s="408"/>
      <c r="F4011" s="408"/>
      <c r="G4011" s="408"/>
      <c r="H4011" s="408"/>
      <c r="I4011" s="408"/>
      <c r="J4011" s="408"/>
      <c r="K4011" s="408"/>
      <c r="L4011" s="408"/>
      <c r="M4011" s="408"/>
      <c r="N4011" s="408" t="str">
        <f t="shared" si="489"/>
        <v/>
      </c>
      <c r="O4011" s="408"/>
      <c r="P4011" s="408"/>
      <c r="Q4011" s="408"/>
      <c r="R4011" s="408"/>
      <c r="S4011" s="408"/>
      <c r="T4011" s="408"/>
      <c r="U4011" s="408"/>
      <c r="V4011" s="421"/>
      <c r="W4011" s="421"/>
      <c r="X4011" s="421"/>
      <c r="Y4011" s="421"/>
      <c r="Z4011" s="421"/>
      <c r="AA4011" s="421"/>
      <c r="AB4011" s="421"/>
      <c r="AC4011" s="421"/>
      <c r="AD4011" s="421"/>
      <c r="AE4011" s="421"/>
      <c r="AF4011" s="421"/>
      <c r="AG4011" s="421"/>
      <c r="AH4011" s="421"/>
      <c r="AI4011" s="421"/>
      <c r="AJ4011" s="421"/>
      <c r="AK4011" s="421"/>
      <c r="AL4011" s="421"/>
    </row>
    <row r="4012" spans="1:38" hidden="1">
      <c r="A4012" s="408"/>
      <c r="B4012" s="83" t="e">
        <f t="array" ref="B4012">SUM(--(FREQUENCY(IF(C$2:C$3072=C4012, MATCH(D$2:D$3072, D$2:D$3072, 0)), ROW(D$2:D$3072)-ROW(D$2)+1) &gt; 0))</f>
        <v>#N/A</v>
      </c>
      <c r="C4012" s="408"/>
      <c r="D4012" s="408"/>
      <c r="E4012" s="408"/>
      <c r="F4012" s="408"/>
      <c r="G4012" s="408"/>
      <c r="H4012" s="408"/>
      <c r="I4012" s="408"/>
      <c r="J4012" s="408"/>
      <c r="K4012" s="408"/>
      <c r="L4012" s="408"/>
      <c r="M4012" s="408"/>
      <c r="N4012" s="408" t="str">
        <f t="shared" si="489"/>
        <v/>
      </c>
      <c r="O4012" s="408"/>
      <c r="P4012" s="408"/>
      <c r="Q4012" s="408"/>
      <c r="R4012" s="408"/>
      <c r="S4012" s="408"/>
      <c r="T4012" s="408"/>
      <c r="U4012" s="408"/>
      <c r="V4012" s="421"/>
      <c r="W4012" s="421"/>
      <c r="X4012" s="421"/>
      <c r="Y4012" s="421"/>
      <c r="Z4012" s="421"/>
      <c r="AA4012" s="421"/>
      <c r="AB4012" s="421"/>
      <c r="AC4012" s="421"/>
      <c r="AD4012" s="421"/>
      <c r="AE4012" s="421"/>
      <c r="AF4012" s="421"/>
      <c r="AG4012" s="421"/>
      <c r="AH4012" s="421"/>
      <c r="AI4012" s="421"/>
      <c r="AJ4012" s="421"/>
      <c r="AK4012" s="421"/>
      <c r="AL4012" s="421"/>
    </row>
    <row r="4013" spans="1:38" hidden="1">
      <c r="A4013" s="408"/>
      <c r="B4013" s="83" t="e">
        <f t="array" ref="B4013">SUM(--(FREQUENCY(IF(C$2:C$3072=C4013, MATCH(D$2:D$3072, D$2:D$3072, 0)), ROW(D$2:D$3072)-ROW(D$2)+1) &gt; 0))</f>
        <v>#N/A</v>
      </c>
      <c r="C4013" s="408"/>
      <c r="D4013" s="408"/>
      <c r="E4013" s="408"/>
      <c r="F4013" s="408"/>
      <c r="G4013" s="408"/>
      <c r="H4013" s="408"/>
      <c r="I4013" s="408"/>
      <c r="J4013" s="408"/>
      <c r="K4013" s="408"/>
      <c r="L4013" s="408"/>
      <c r="M4013" s="408"/>
      <c r="N4013" s="408" t="str">
        <f t="shared" si="489"/>
        <v/>
      </c>
      <c r="O4013" s="408"/>
      <c r="P4013" s="408"/>
      <c r="Q4013" s="408"/>
      <c r="R4013" s="408"/>
      <c r="S4013" s="408"/>
      <c r="T4013" s="408"/>
      <c r="U4013" s="408"/>
      <c r="V4013" s="421"/>
      <c r="W4013" s="421"/>
      <c r="X4013" s="421"/>
      <c r="Y4013" s="421"/>
      <c r="Z4013" s="421"/>
      <c r="AA4013" s="421"/>
      <c r="AB4013" s="421"/>
      <c r="AC4013" s="421"/>
      <c r="AD4013" s="421"/>
      <c r="AE4013" s="421"/>
      <c r="AF4013" s="421"/>
      <c r="AG4013" s="421"/>
      <c r="AH4013" s="421"/>
      <c r="AI4013" s="421"/>
      <c r="AJ4013" s="421"/>
      <c r="AK4013" s="421"/>
      <c r="AL4013" s="421"/>
    </row>
    <row r="4014" spans="1:38" hidden="1">
      <c r="A4014" s="408"/>
      <c r="B4014" s="83" t="e">
        <f t="array" ref="B4014">SUM(--(FREQUENCY(IF(C$2:C$3072=C4014, MATCH(D$2:D$3072, D$2:D$3072, 0)), ROW(D$2:D$3072)-ROW(D$2)+1) &gt; 0))</f>
        <v>#N/A</v>
      </c>
      <c r="C4014" s="408"/>
      <c r="D4014" s="408"/>
      <c r="E4014" s="408"/>
      <c r="F4014" s="408"/>
      <c r="G4014" s="408"/>
      <c r="H4014" s="408"/>
      <c r="I4014" s="408"/>
      <c r="J4014" s="408"/>
      <c r="K4014" s="408"/>
      <c r="L4014" s="408"/>
      <c r="M4014" s="408"/>
      <c r="N4014" s="408" t="str">
        <f t="shared" si="489"/>
        <v/>
      </c>
      <c r="O4014" s="408"/>
      <c r="P4014" s="408"/>
      <c r="Q4014" s="408"/>
      <c r="R4014" s="408"/>
      <c r="S4014" s="408"/>
      <c r="T4014" s="408"/>
      <c r="U4014" s="408"/>
      <c r="V4014" s="421"/>
      <c r="W4014" s="421"/>
      <c r="X4014" s="421"/>
      <c r="Y4014" s="421"/>
      <c r="Z4014" s="421"/>
      <c r="AA4014" s="421"/>
      <c r="AB4014" s="421"/>
      <c r="AC4014" s="421"/>
      <c r="AD4014" s="421"/>
      <c r="AE4014" s="421"/>
      <c r="AF4014" s="421"/>
      <c r="AG4014" s="421"/>
      <c r="AH4014" s="421"/>
      <c r="AI4014" s="421"/>
      <c r="AJ4014" s="421"/>
      <c r="AK4014" s="421"/>
      <c r="AL4014" s="421"/>
    </row>
    <row r="4015" spans="1:38" hidden="1">
      <c r="A4015" s="408"/>
      <c r="B4015" s="83" t="e">
        <f t="array" ref="B4015">SUM(--(FREQUENCY(IF(C$2:C$3072=C4015, MATCH(D$2:D$3072, D$2:D$3072, 0)), ROW(D$2:D$3072)-ROW(D$2)+1) &gt; 0))</f>
        <v>#N/A</v>
      </c>
      <c r="C4015" s="408"/>
      <c r="D4015" s="408"/>
      <c r="E4015" s="408"/>
      <c r="F4015" s="408"/>
      <c r="G4015" s="408"/>
      <c r="H4015" s="408"/>
      <c r="I4015" s="408"/>
      <c r="J4015" s="408"/>
      <c r="K4015" s="408"/>
      <c r="L4015" s="408"/>
      <c r="M4015" s="408"/>
      <c r="N4015" s="408" t="str">
        <f t="shared" si="489"/>
        <v/>
      </c>
      <c r="O4015" s="408"/>
      <c r="P4015" s="408"/>
      <c r="Q4015" s="408"/>
      <c r="R4015" s="408"/>
      <c r="S4015" s="408"/>
      <c r="T4015" s="408"/>
      <c r="U4015" s="408"/>
      <c r="V4015" s="421"/>
      <c r="W4015" s="421"/>
      <c r="X4015" s="421"/>
      <c r="Y4015" s="421"/>
      <c r="Z4015" s="421"/>
      <c r="AA4015" s="421"/>
      <c r="AB4015" s="421"/>
      <c r="AC4015" s="421"/>
      <c r="AD4015" s="421"/>
      <c r="AE4015" s="421"/>
      <c r="AF4015" s="421"/>
      <c r="AG4015" s="421"/>
      <c r="AH4015" s="421"/>
      <c r="AI4015" s="421"/>
      <c r="AJ4015" s="421"/>
      <c r="AK4015" s="421"/>
      <c r="AL4015" s="421"/>
    </row>
    <row r="4016" spans="1:38" hidden="1">
      <c r="A4016" s="408"/>
      <c r="B4016" s="83" t="e">
        <f t="array" ref="B4016">SUM(--(FREQUENCY(IF(C$2:C$3072=C4016, MATCH(D$2:D$3072, D$2:D$3072, 0)), ROW(D$2:D$3072)-ROW(D$2)+1) &gt; 0))</f>
        <v>#N/A</v>
      </c>
      <c r="C4016" s="408"/>
      <c r="D4016" s="408"/>
      <c r="E4016" s="408"/>
      <c r="F4016" s="408"/>
      <c r="G4016" s="408"/>
      <c r="H4016" s="408"/>
      <c r="I4016" s="408"/>
      <c r="J4016" s="408"/>
      <c r="K4016" s="408"/>
      <c r="L4016" s="408"/>
      <c r="M4016" s="408"/>
      <c r="N4016" s="408" t="str">
        <f t="shared" si="489"/>
        <v/>
      </c>
      <c r="O4016" s="408"/>
      <c r="P4016" s="408"/>
      <c r="Q4016" s="408"/>
      <c r="R4016" s="408"/>
      <c r="S4016" s="408"/>
      <c r="T4016" s="408"/>
      <c r="U4016" s="408"/>
      <c r="V4016" s="421"/>
      <c r="W4016" s="421"/>
      <c r="X4016" s="421"/>
      <c r="Y4016" s="421"/>
      <c r="Z4016" s="421"/>
      <c r="AA4016" s="421"/>
      <c r="AB4016" s="421"/>
      <c r="AC4016" s="421"/>
      <c r="AD4016" s="421"/>
      <c r="AE4016" s="421"/>
      <c r="AF4016" s="421"/>
      <c r="AG4016" s="421"/>
      <c r="AH4016" s="421"/>
      <c r="AI4016" s="421"/>
      <c r="AJ4016" s="421"/>
      <c r="AK4016" s="421"/>
      <c r="AL4016" s="421"/>
    </row>
    <row r="4017" spans="1:38" hidden="1">
      <c r="A4017" s="408"/>
      <c r="B4017" s="83" t="e">
        <f t="array" ref="B4017">SUM(--(FREQUENCY(IF(C$2:C$3072=C4017, MATCH(D$2:D$3072, D$2:D$3072, 0)), ROW(D$2:D$3072)-ROW(D$2)+1) &gt; 0))</f>
        <v>#N/A</v>
      </c>
      <c r="C4017" s="408"/>
      <c r="D4017" s="408"/>
      <c r="E4017" s="408"/>
      <c r="F4017" s="408"/>
      <c r="G4017" s="408"/>
      <c r="H4017" s="408"/>
      <c r="I4017" s="408"/>
      <c r="J4017" s="408"/>
      <c r="K4017" s="408"/>
      <c r="L4017" s="408"/>
      <c r="M4017" s="408"/>
      <c r="N4017" s="408" t="str">
        <f t="shared" si="489"/>
        <v/>
      </c>
      <c r="O4017" s="408"/>
      <c r="P4017" s="408"/>
      <c r="Q4017" s="408"/>
      <c r="R4017" s="408"/>
      <c r="S4017" s="408"/>
      <c r="T4017" s="408"/>
      <c r="U4017" s="408"/>
      <c r="V4017" s="421"/>
      <c r="W4017" s="421"/>
      <c r="X4017" s="421"/>
      <c r="Y4017" s="421"/>
      <c r="Z4017" s="421"/>
      <c r="AA4017" s="421"/>
      <c r="AB4017" s="421"/>
      <c r="AC4017" s="421"/>
      <c r="AD4017" s="421"/>
      <c r="AE4017" s="421"/>
      <c r="AF4017" s="421"/>
      <c r="AG4017" s="421"/>
      <c r="AH4017" s="421"/>
      <c r="AI4017" s="421"/>
      <c r="AJ4017" s="421"/>
      <c r="AK4017" s="421"/>
      <c r="AL4017" s="421"/>
    </row>
    <row r="4018" spans="1:38" hidden="1">
      <c r="A4018" s="408"/>
      <c r="B4018" s="83" t="e">
        <f t="array" ref="B4018">SUM(--(FREQUENCY(IF(C$2:C$3072=C4018, MATCH(D$2:D$3072, D$2:D$3072, 0)), ROW(D$2:D$3072)-ROW(D$2)+1) &gt; 0))</f>
        <v>#N/A</v>
      </c>
      <c r="C4018" s="408"/>
      <c r="D4018" s="408"/>
      <c r="E4018" s="408"/>
      <c r="F4018" s="408"/>
      <c r="G4018" s="408"/>
      <c r="H4018" s="408"/>
      <c r="I4018" s="408"/>
      <c r="J4018" s="408"/>
      <c r="K4018" s="408"/>
      <c r="L4018" s="408"/>
      <c r="M4018" s="408"/>
      <c r="N4018" s="408" t="str">
        <f t="shared" si="489"/>
        <v/>
      </c>
      <c r="O4018" s="408"/>
      <c r="P4018" s="408"/>
      <c r="Q4018" s="408"/>
      <c r="R4018" s="408"/>
      <c r="S4018" s="408"/>
      <c r="T4018" s="408"/>
      <c r="U4018" s="408"/>
      <c r="V4018" s="421"/>
      <c r="W4018" s="421"/>
      <c r="X4018" s="421"/>
      <c r="Y4018" s="421"/>
      <c r="Z4018" s="421"/>
      <c r="AA4018" s="421"/>
      <c r="AB4018" s="421"/>
      <c r="AC4018" s="421"/>
      <c r="AD4018" s="421"/>
      <c r="AE4018" s="421"/>
      <c r="AF4018" s="421"/>
      <c r="AG4018" s="421"/>
      <c r="AH4018" s="421"/>
      <c r="AI4018" s="421"/>
      <c r="AJ4018" s="421"/>
      <c r="AK4018" s="421"/>
      <c r="AL4018" s="421"/>
    </row>
    <row r="4019" spans="1:38" hidden="1">
      <c r="A4019" s="408"/>
      <c r="B4019" s="83" t="e">
        <f t="array" ref="B4019">SUM(--(FREQUENCY(IF(C$2:C$3072=C4019, MATCH(D$2:D$3072, D$2:D$3072, 0)), ROW(D$2:D$3072)-ROW(D$2)+1) &gt; 0))</f>
        <v>#N/A</v>
      </c>
      <c r="C4019" s="408"/>
      <c r="D4019" s="408"/>
      <c r="E4019" s="408"/>
      <c r="F4019" s="408"/>
      <c r="G4019" s="408"/>
      <c r="H4019" s="408"/>
      <c r="I4019" s="408"/>
      <c r="J4019" s="408"/>
      <c r="K4019" s="408"/>
      <c r="L4019" s="408"/>
      <c r="M4019" s="408"/>
      <c r="N4019" s="408" t="str">
        <f t="shared" si="489"/>
        <v/>
      </c>
      <c r="O4019" s="408"/>
      <c r="P4019" s="408"/>
      <c r="Q4019" s="408"/>
      <c r="R4019" s="408"/>
      <c r="S4019" s="408"/>
      <c r="T4019" s="408"/>
      <c r="U4019" s="408"/>
      <c r="V4019" s="421"/>
      <c r="W4019" s="421"/>
      <c r="X4019" s="421"/>
      <c r="Y4019" s="421"/>
      <c r="Z4019" s="421"/>
      <c r="AA4019" s="421"/>
      <c r="AB4019" s="421"/>
      <c r="AC4019" s="421"/>
      <c r="AD4019" s="421"/>
      <c r="AE4019" s="421"/>
      <c r="AF4019" s="421"/>
      <c r="AG4019" s="421"/>
      <c r="AH4019" s="421"/>
      <c r="AI4019" s="421"/>
      <c r="AJ4019" s="421"/>
      <c r="AK4019" s="421"/>
      <c r="AL4019" s="421"/>
    </row>
    <row r="4020" spans="1:38" hidden="1">
      <c r="A4020" s="408"/>
      <c r="B4020" s="83" t="e">
        <f t="array" ref="B4020">SUM(--(FREQUENCY(IF(C$2:C$3072=C4020, MATCH(D$2:D$3072, D$2:D$3072, 0)), ROW(D$2:D$3072)-ROW(D$2)+1) &gt; 0))</f>
        <v>#N/A</v>
      </c>
      <c r="C4020" s="408"/>
      <c r="D4020" s="408"/>
      <c r="E4020" s="408"/>
      <c r="F4020" s="408"/>
      <c r="G4020" s="408"/>
      <c r="H4020" s="408"/>
      <c r="I4020" s="408"/>
      <c r="J4020" s="408"/>
      <c r="K4020" s="408"/>
      <c r="L4020" s="408"/>
      <c r="M4020" s="408"/>
      <c r="N4020" s="408" t="str">
        <f t="shared" si="489"/>
        <v/>
      </c>
      <c r="O4020" s="408"/>
      <c r="P4020" s="408"/>
      <c r="Q4020" s="408"/>
      <c r="R4020" s="408"/>
      <c r="S4020" s="408"/>
      <c r="T4020" s="408"/>
      <c r="U4020" s="408"/>
      <c r="V4020" s="421"/>
      <c r="W4020" s="421"/>
      <c r="X4020" s="421"/>
      <c r="Y4020" s="421"/>
      <c r="Z4020" s="421"/>
      <c r="AA4020" s="421"/>
      <c r="AB4020" s="421"/>
      <c r="AC4020" s="421"/>
      <c r="AD4020" s="421"/>
      <c r="AE4020" s="421"/>
      <c r="AF4020" s="421"/>
      <c r="AG4020" s="421"/>
      <c r="AH4020" s="421"/>
      <c r="AI4020" s="421"/>
      <c r="AJ4020" s="421"/>
      <c r="AK4020" s="421"/>
      <c r="AL4020" s="421"/>
    </row>
    <row r="4021" spans="1:38" hidden="1">
      <c r="A4021" s="408"/>
      <c r="B4021" s="83" t="e">
        <f t="array" ref="B4021">SUM(--(FREQUENCY(IF(C$2:C$3072=C4021, MATCH(D$2:D$3072, D$2:D$3072, 0)), ROW(D$2:D$3072)-ROW(D$2)+1) &gt; 0))</f>
        <v>#N/A</v>
      </c>
      <c r="C4021" s="408"/>
      <c r="D4021" s="408"/>
      <c r="E4021" s="408"/>
      <c r="F4021" s="408"/>
      <c r="G4021" s="408"/>
      <c r="H4021" s="408"/>
      <c r="I4021" s="408"/>
      <c r="J4021" s="408"/>
      <c r="K4021" s="408"/>
      <c r="L4021" s="408"/>
      <c r="M4021" s="408"/>
      <c r="N4021" s="408" t="str">
        <f t="shared" si="489"/>
        <v/>
      </c>
      <c r="O4021" s="408"/>
      <c r="P4021" s="408"/>
      <c r="Q4021" s="408"/>
      <c r="R4021" s="408"/>
      <c r="S4021" s="408"/>
      <c r="T4021" s="408"/>
      <c r="U4021" s="408"/>
      <c r="V4021" s="421"/>
      <c r="W4021" s="421"/>
      <c r="X4021" s="421"/>
      <c r="Y4021" s="421"/>
      <c r="Z4021" s="421"/>
      <c r="AA4021" s="421"/>
      <c r="AB4021" s="421"/>
      <c r="AC4021" s="421"/>
      <c r="AD4021" s="421"/>
      <c r="AE4021" s="421"/>
      <c r="AF4021" s="421"/>
      <c r="AG4021" s="421"/>
      <c r="AH4021" s="421"/>
      <c r="AI4021" s="421"/>
      <c r="AJ4021" s="421"/>
      <c r="AK4021" s="421"/>
      <c r="AL4021" s="421"/>
    </row>
    <row r="4022" spans="1:38" hidden="1">
      <c r="A4022" s="408"/>
      <c r="B4022" s="83" t="e">
        <f t="array" ref="B4022">SUM(--(FREQUENCY(IF(C$2:C$3072=C4022, MATCH(D$2:D$3072, D$2:D$3072, 0)), ROW(D$2:D$3072)-ROW(D$2)+1) &gt; 0))</f>
        <v>#N/A</v>
      </c>
      <c r="C4022" s="408"/>
      <c r="D4022" s="408"/>
      <c r="E4022" s="408"/>
      <c r="F4022" s="408"/>
      <c r="G4022" s="408"/>
      <c r="H4022" s="408"/>
      <c r="I4022" s="408"/>
      <c r="J4022" s="408"/>
      <c r="K4022" s="408"/>
      <c r="L4022" s="408"/>
      <c r="M4022" s="408"/>
      <c r="N4022" s="408" t="str">
        <f t="shared" si="489"/>
        <v/>
      </c>
      <c r="O4022" s="408"/>
      <c r="P4022" s="408"/>
      <c r="Q4022" s="408"/>
      <c r="R4022" s="408"/>
      <c r="S4022" s="408"/>
      <c r="T4022" s="408"/>
      <c r="U4022" s="408"/>
      <c r="V4022" s="421"/>
      <c r="W4022" s="421"/>
      <c r="X4022" s="421"/>
      <c r="Y4022" s="421"/>
      <c r="Z4022" s="421"/>
      <c r="AA4022" s="421"/>
      <c r="AB4022" s="421"/>
      <c r="AC4022" s="421"/>
      <c r="AD4022" s="421"/>
      <c r="AE4022" s="421"/>
      <c r="AF4022" s="421"/>
      <c r="AG4022" s="421"/>
      <c r="AH4022" s="421"/>
      <c r="AI4022" s="421"/>
      <c r="AJ4022" s="421"/>
      <c r="AK4022" s="421"/>
      <c r="AL4022" s="421"/>
    </row>
    <row r="4023" spans="1:38" hidden="1">
      <c r="A4023" s="408"/>
      <c r="B4023" s="83" t="e">
        <f t="array" ref="B4023">SUM(--(FREQUENCY(IF(C$2:C$3072=C4023, MATCH(D$2:D$3072, D$2:D$3072, 0)), ROW(D$2:D$3072)-ROW(D$2)+1) &gt; 0))</f>
        <v>#N/A</v>
      </c>
      <c r="C4023" s="408"/>
      <c r="D4023" s="408"/>
      <c r="E4023" s="408"/>
      <c r="F4023" s="408"/>
      <c r="G4023" s="408"/>
      <c r="H4023" s="408"/>
      <c r="I4023" s="408"/>
      <c r="J4023" s="408"/>
      <c r="K4023" s="408"/>
      <c r="L4023" s="408"/>
      <c r="M4023" s="408"/>
      <c r="N4023" s="408" t="str">
        <f t="shared" si="489"/>
        <v/>
      </c>
      <c r="O4023" s="408"/>
      <c r="P4023" s="408"/>
      <c r="Q4023" s="408"/>
      <c r="R4023" s="408"/>
      <c r="S4023" s="408"/>
      <c r="T4023" s="408"/>
      <c r="U4023" s="408"/>
      <c r="V4023" s="421"/>
      <c r="W4023" s="421"/>
      <c r="X4023" s="421"/>
      <c r="Y4023" s="421"/>
      <c r="Z4023" s="421"/>
      <c r="AA4023" s="421"/>
      <c r="AB4023" s="421"/>
      <c r="AC4023" s="421"/>
      <c r="AD4023" s="421"/>
      <c r="AE4023" s="421"/>
      <c r="AF4023" s="421"/>
      <c r="AG4023" s="421"/>
      <c r="AH4023" s="421"/>
      <c r="AI4023" s="421"/>
      <c r="AJ4023" s="421"/>
      <c r="AK4023" s="421"/>
      <c r="AL4023" s="421"/>
    </row>
    <row r="4024" spans="1:38" hidden="1">
      <c r="A4024" s="408"/>
      <c r="B4024" s="83" t="e">
        <f t="array" ref="B4024">SUM(--(FREQUENCY(IF(C$2:C$3072=C4024, MATCH(D$2:D$3072, D$2:D$3072, 0)), ROW(D$2:D$3072)-ROW(D$2)+1) &gt; 0))</f>
        <v>#N/A</v>
      </c>
      <c r="C4024" s="408"/>
      <c r="D4024" s="408"/>
      <c r="E4024" s="408"/>
      <c r="F4024" s="408"/>
      <c r="G4024" s="408"/>
      <c r="H4024" s="408"/>
      <c r="I4024" s="408"/>
      <c r="J4024" s="408"/>
      <c r="K4024" s="408"/>
      <c r="L4024" s="408"/>
      <c r="M4024" s="408"/>
      <c r="N4024" s="408" t="str">
        <f t="shared" si="489"/>
        <v/>
      </c>
      <c r="O4024" s="408"/>
      <c r="P4024" s="408"/>
      <c r="Q4024" s="408"/>
      <c r="R4024" s="408"/>
      <c r="S4024" s="408"/>
      <c r="T4024" s="408"/>
      <c r="U4024" s="408"/>
      <c r="V4024" s="421"/>
      <c r="W4024" s="421"/>
      <c r="X4024" s="421"/>
      <c r="Y4024" s="421"/>
      <c r="Z4024" s="421"/>
      <c r="AA4024" s="421"/>
      <c r="AB4024" s="421"/>
      <c r="AC4024" s="421"/>
      <c r="AD4024" s="421"/>
      <c r="AE4024" s="421"/>
      <c r="AF4024" s="421"/>
      <c r="AG4024" s="421"/>
      <c r="AH4024" s="421"/>
      <c r="AI4024" s="421"/>
      <c r="AJ4024" s="421"/>
      <c r="AK4024" s="421"/>
      <c r="AL4024" s="421"/>
    </row>
    <row r="4025" spans="1:38" hidden="1">
      <c r="A4025" s="408"/>
      <c r="B4025" s="83" t="e">
        <f t="array" ref="B4025">SUM(--(FREQUENCY(IF(C$2:C$3072=C4025, MATCH(D$2:D$3072, D$2:D$3072, 0)), ROW(D$2:D$3072)-ROW(D$2)+1) &gt; 0))</f>
        <v>#N/A</v>
      </c>
      <c r="C4025" s="408"/>
      <c r="D4025" s="408"/>
      <c r="E4025" s="408"/>
      <c r="F4025" s="408"/>
      <c r="G4025" s="408"/>
      <c r="H4025" s="408"/>
      <c r="I4025" s="408"/>
      <c r="J4025" s="408"/>
      <c r="K4025" s="408"/>
      <c r="L4025" s="408"/>
      <c r="M4025" s="408"/>
      <c r="N4025" s="408" t="str">
        <f t="shared" si="489"/>
        <v/>
      </c>
      <c r="O4025" s="408"/>
      <c r="P4025" s="408"/>
      <c r="Q4025" s="408"/>
      <c r="R4025" s="408"/>
      <c r="S4025" s="408"/>
      <c r="T4025" s="408"/>
      <c r="U4025" s="408"/>
      <c r="V4025" s="421"/>
      <c r="W4025" s="421"/>
      <c r="X4025" s="421"/>
      <c r="Y4025" s="421"/>
      <c r="Z4025" s="421"/>
      <c r="AA4025" s="421"/>
      <c r="AB4025" s="421"/>
      <c r="AC4025" s="421"/>
      <c r="AD4025" s="421"/>
      <c r="AE4025" s="421"/>
      <c r="AF4025" s="421"/>
      <c r="AG4025" s="421"/>
      <c r="AH4025" s="421"/>
      <c r="AI4025" s="421"/>
      <c r="AJ4025" s="421"/>
      <c r="AK4025" s="421"/>
      <c r="AL4025" s="421"/>
    </row>
    <row r="4026" spans="1:38" hidden="1">
      <c r="A4026" s="408"/>
      <c r="B4026" s="83" t="e">
        <f t="array" ref="B4026">SUM(--(FREQUENCY(IF(C$2:C$3072=C4026, MATCH(D$2:D$3072, D$2:D$3072, 0)), ROW(D$2:D$3072)-ROW(D$2)+1) &gt; 0))</f>
        <v>#N/A</v>
      </c>
      <c r="C4026" s="408"/>
      <c r="D4026" s="408"/>
      <c r="E4026" s="408"/>
      <c r="F4026" s="408"/>
      <c r="G4026" s="408"/>
      <c r="H4026" s="408"/>
      <c r="I4026" s="408"/>
      <c r="J4026" s="408"/>
      <c r="K4026" s="408"/>
      <c r="L4026" s="408"/>
      <c r="M4026" s="408"/>
      <c r="N4026" s="408" t="str">
        <f t="shared" si="489"/>
        <v/>
      </c>
      <c r="O4026" s="408"/>
      <c r="P4026" s="408"/>
      <c r="Q4026" s="408"/>
      <c r="R4026" s="408"/>
      <c r="S4026" s="408"/>
      <c r="T4026" s="408"/>
      <c r="U4026" s="408"/>
      <c r="V4026" s="421"/>
      <c r="W4026" s="421"/>
      <c r="X4026" s="421"/>
      <c r="Y4026" s="421"/>
      <c r="Z4026" s="421"/>
      <c r="AA4026" s="421"/>
      <c r="AB4026" s="421"/>
      <c r="AC4026" s="421"/>
      <c r="AD4026" s="421"/>
      <c r="AE4026" s="421"/>
      <c r="AF4026" s="421"/>
      <c r="AG4026" s="421"/>
      <c r="AH4026" s="421"/>
      <c r="AI4026" s="421"/>
      <c r="AJ4026" s="421"/>
      <c r="AK4026" s="421"/>
      <c r="AL4026" s="421"/>
    </row>
    <row r="4027" spans="1:38" hidden="1">
      <c r="A4027" s="408"/>
      <c r="B4027" s="83" t="e">
        <f t="array" ref="B4027">SUM(--(FREQUENCY(IF(C$2:C$3072=C4027, MATCH(D$2:D$3072, D$2:D$3072, 0)), ROW(D$2:D$3072)-ROW(D$2)+1) &gt; 0))</f>
        <v>#N/A</v>
      </c>
      <c r="C4027" s="408"/>
      <c r="D4027" s="408"/>
      <c r="E4027" s="408"/>
      <c r="F4027" s="408"/>
      <c r="G4027" s="408"/>
      <c r="H4027" s="408"/>
      <c r="I4027" s="408"/>
      <c r="J4027" s="408"/>
      <c r="K4027" s="408"/>
      <c r="L4027" s="408"/>
      <c r="M4027" s="408"/>
      <c r="N4027" s="408" t="str">
        <f t="shared" si="489"/>
        <v/>
      </c>
      <c r="O4027" s="408"/>
      <c r="P4027" s="408"/>
      <c r="Q4027" s="408"/>
      <c r="R4027" s="408"/>
      <c r="S4027" s="408"/>
      <c r="T4027" s="408"/>
      <c r="U4027" s="408"/>
      <c r="V4027" s="421"/>
      <c r="W4027" s="421"/>
      <c r="X4027" s="421"/>
      <c r="Y4027" s="421"/>
      <c r="Z4027" s="421"/>
      <c r="AA4027" s="421"/>
      <c r="AB4027" s="421"/>
      <c r="AC4027" s="421"/>
      <c r="AD4027" s="421"/>
      <c r="AE4027" s="421"/>
      <c r="AF4027" s="421"/>
      <c r="AG4027" s="421"/>
      <c r="AH4027" s="421"/>
      <c r="AI4027" s="421"/>
      <c r="AJ4027" s="421"/>
      <c r="AK4027" s="421"/>
      <c r="AL4027" s="421"/>
    </row>
    <row r="4028" spans="1:38" hidden="1">
      <c r="A4028" s="408"/>
      <c r="B4028" s="83" t="e">
        <f t="array" ref="B4028">SUM(--(FREQUENCY(IF(C$2:C$3072=C4028, MATCH(D$2:D$3072, D$2:D$3072, 0)), ROW(D$2:D$3072)-ROW(D$2)+1) &gt; 0))</f>
        <v>#N/A</v>
      </c>
      <c r="C4028" s="408"/>
      <c r="D4028" s="408"/>
      <c r="E4028" s="408"/>
      <c r="F4028" s="408"/>
      <c r="G4028" s="408"/>
      <c r="H4028" s="408"/>
      <c r="I4028" s="408"/>
      <c r="J4028" s="408"/>
      <c r="K4028" s="408"/>
      <c r="L4028" s="408"/>
      <c r="M4028" s="408"/>
      <c r="N4028" s="408" t="str">
        <f t="shared" si="489"/>
        <v/>
      </c>
      <c r="O4028" s="408"/>
      <c r="P4028" s="408"/>
      <c r="Q4028" s="408"/>
      <c r="R4028" s="408"/>
      <c r="S4028" s="408"/>
      <c r="T4028" s="408"/>
      <c r="U4028" s="408"/>
      <c r="V4028" s="421"/>
      <c r="W4028" s="421"/>
      <c r="X4028" s="421"/>
      <c r="Y4028" s="421"/>
      <c r="Z4028" s="421"/>
      <c r="AA4028" s="421"/>
      <c r="AB4028" s="421"/>
      <c r="AC4028" s="421"/>
      <c r="AD4028" s="421"/>
      <c r="AE4028" s="421"/>
      <c r="AF4028" s="421"/>
      <c r="AG4028" s="421"/>
      <c r="AH4028" s="421"/>
      <c r="AI4028" s="421"/>
      <c r="AJ4028" s="421"/>
      <c r="AK4028" s="421"/>
      <c r="AL4028" s="421"/>
    </row>
    <row r="4029" spans="1:38" hidden="1">
      <c r="A4029" s="408"/>
      <c r="B4029" s="83" t="e">
        <f t="array" ref="B4029">SUM(--(FREQUENCY(IF(C$2:C$3072=C4029, MATCH(D$2:D$3072, D$2:D$3072, 0)), ROW(D$2:D$3072)-ROW(D$2)+1) &gt; 0))</f>
        <v>#N/A</v>
      </c>
      <c r="C4029" s="408"/>
      <c r="D4029" s="408"/>
      <c r="E4029" s="408"/>
      <c r="F4029" s="408"/>
      <c r="G4029" s="408"/>
      <c r="H4029" s="408"/>
      <c r="I4029" s="408"/>
      <c r="J4029" s="408"/>
      <c r="K4029" s="408"/>
      <c r="L4029" s="408"/>
      <c r="M4029" s="408"/>
      <c r="N4029" s="408" t="str">
        <f t="shared" si="489"/>
        <v/>
      </c>
      <c r="O4029" s="408"/>
      <c r="P4029" s="408"/>
      <c r="Q4029" s="408"/>
      <c r="R4029" s="408"/>
      <c r="S4029" s="408"/>
      <c r="T4029" s="408"/>
      <c r="U4029" s="408"/>
      <c r="V4029" s="421"/>
      <c r="W4029" s="421"/>
      <c r="X4029" s="421"/>
      <c r="Y4029" s="421"/>
      <c r="Z4029" s="421"/>
      <c r="AA4029" s="421"/>
      <c r="AB4029" s="421"/>
      <c r="AC4029" s="421"/>
      <c r="AD4029" s="421"/>
      <c r="AE4029" s="421"/>
      <c r="AF4029" s="421"/>
      <c r="AG4029" s="421"/>
      <c r="AH4029" s="421"/>
      <c r="AI4029" s="421"/>
      <c r="AJ4029" s="421"/>
      <c r="AK4029" s="421"/>
      <c r="AL4029" s="421"/>
    </row>
    <row r="4030" spans="1:38" hidden="1">
      <c r="A4030" s="408"/>
      <c r="B4030" s="83" t="e">
        <f t="array" ref="B4030">SUM(--(FREQUENCY(IF(C$2:C$3072=C4030, MATCH(D$2:D$3072, D$2:D$3072, 0)), ROW(D$2:D$3072)-ROW(D$2)+1) &gt; 0))</f>
        <v>#N/A</v>
      </c>
      <c r="C4030" s="408"/>
      <c r="D4030" s="408"/>
      <c r="E4030" s="408"/>
      <c r="F4030" s="408"/>
      <c r="G4030" s="408"/>
      <c r="H4030" s="408"/>
      <c r="I4030" s="408"/>
      <c r="J4030" s="408"/>
      <c r="K4030" s="408"/>
      <c r="L4030" s="408"/>
      <c r="M4030" s="408"/>
      <c r="N4030" s="408" t="str">
        <f t="shared" si="489"/>
        <v/>
      </c>
      <c r="O4030" s="408"/>
      <c r="P4030" s="408"/>
      <c r="Q4030" s="408"/>
      <c r="R4030" s="408"/>
      <c r="S4030" s="408"/>
      <c r="T4030" s="408"/>
      <c r="U4030" s="408"/>
      <c r="V4030" s="421"/>
      <c r="W4030" s="421"/>
      <c r="X4030" s="421"/>
      <c r="Y4030" s="421"/>
      <c r="Z4030" s="421"/>
      <c r="AA4030" s="421"/>
      <c r="AB4030" s="421"/>
      <c r="AC4030" s="421"/>
      <c r="AD4030" s="421"/>
      <c r="AE4030" s="421"/>
      <c r="AF4030" s="421"/>
      <c r="AG4030" s="421"/>
      <c r="AH4030" s="421"/>
      <c r="AI4030" s="421"/>
      <c r="AJ4030" s="421"/>
      <c r="AK4030" s="421"/>
      <c r="AL4030" s="421"/>
    </row>
    <row r="4031" spans="1:38" hidden="1">
      <c r="A4031" s="408"/>
      <c r="B4031" s="83" t="e">
        <f t="array" ref="B4031">SUM(--(FREQUENCY(IF(C$2:C$3072=C4031, MATCH(D$2:D$3072, D$2:D$3072, 0)), ROW(D$2:D$3072)-ROW(D$2)+1) &gt; 0))</f>
        <v>#N/A</v>
      </c>
      <c r="C4031" s="408"/>
      <c r="D4031" s="408"/>
      <c r="E4031" s="408"/>
      <c r="F4031" s="408"/>
      <c r="G4031" s="408"/>
      <c r="H4031" s="408"/>
      <c r="I4031" s="408"/>
      <c r="J4031" s="408"/>
      <c r="K4031" s="408"/>
      <c r="L4031" s="408"/>
      <c r="M4031" s="408"/>
      <c r="N4031" s="408" t="str">
        <f t="shared" si="489"/>
        <v/>
      </c>
      <c r="O4031" s="408"/>
      <c r="P4031" s="408"/>
      <c r="Q4031" s="408"/>
      <c r="R4031" s="408"/>
      <c r="S4031" s="408"/>
      <c r="T4031" s="408"/>
      <c r="U4031" s="408"/>
      <c r="V4031" s="421"/>
      <c r="W4031" s="421"/>
      <c r="X4031" s="421"/>
      <c r="Y4031" s="421"/>
      <c r="Z4031" s="421"/>
      <c r="AA4031" s="421"/>
      <c r="AB4031" s="421"/>
      <c r="AC4031" s="421"/>
      <c r="AD4031" s="421"/>
      <c r="AE4031" s="421"/>
      <c r="AF4031" s="421"/>
      <c r="AG4031" s="421"/>
      <c r="AH4031" s="421"/>
      <c r="AI4031" s="421"/>
      <c r="AJ4031" s="421"/>
      <c r="AK4031" s="421"/>
      <c r="AL4031" s="421"/>
    </row>
    <row r="4032" spans="1:38" hidden="1">
      <c r="A4032" s="408"/>
      <c r="B4032" s="83" t="e">
        <f t="array" ref="B4032">SUM(--(FREQUENCY(IF(C$2:C$3072=C4032, MATCH(D$2:D$3072, D$2:D$3072, 0)), ROW(D$2:D$3072)-ROW(D$2)+1) &gt; 0))</f>
        <v>#N/A</v>
      </c>
      <c r="C4032" s="408"/>
      <c r="D4032" s="408"/>
      <c r="E4032" s="408"/>
      <c r="F4032" s="408"/>
      <c r="G4032" s="408"/>
      <c r="H4032" s="408"/>
      <c r="I4032" s="408"/>
      <c r="J4032" s="408"/>
      <c r="K4032" s="408"/>
      <c r="L4032" s="408"/>
      <c r="M4032" s="408"/>
      <c r="N4032" s="408" t="str">
        <f t="shared" ref="N4032:N4084" si="490">IF(O4032&lt;&gt;"", "NG", "")</f>
        <v/>
      </c>
      <c r="O4032" s="408"/>
      <c r="P4032" s="408"/>
      <c r="Q4032" s="408"/>
      <c r="R4032" s="408"/>
      <c r="S4032" s="408"/>
      <c r="T4032" s="408"/>
      <c r="U4032" s="408"/>
      <c r="V4032" s="421"/>
      <c r="W4032" s="421"/>
      <c r="X4032" s="421"/>
      <c r="Y4032" s="421"/>
      <c r="Z4032" s="421"/>
      <c r="AA4032" s="421"/>
      <c r="AB4032" s="421"/>
      <c r="AC4032" s="421"/>
      <c r="AD4032" s="421"/>
      <c r="AE4032" s="421"/>
      <c r="AF4032" s="421"/>
      <c r="AG4032" s="421"/>
      <c r="AH4032" s="421"/>
      <c r="AI4032" s="421"/>
      <c r="AJ4032" s="421"/>
      <c r="AK4032" s="421"/>
      <c r="AL4032" s="421"/>
    </row>
    <row r="4033" spans="1:38" hidden="1">
      <c r="A4033" s="408"/>
      <c r="B4033" s="83" t="e">
        <f t="array" ref="B4033">SUM(--(FREQUENCY(IF(C$2:C$3072=C4033, MATCH(D$2:D$3072, D$2:D$3072, 0)), ROW(D$2:D$3072)-ROW(D$2)+1) &gt; 0))</f>
        <v>#N/A</v>
      </c>
      <c r="C4033" s="408"/>
      <c r="D4033" s="408"/>
      <c r="E4033" s="408"/>
      <c r="F4033" s="408"/>
      <c r="G4033" s="408"/>
      <c r="H4033" s="408"/>
      <c r="I4033" s="408"/>
      <c r="J4033" s="408"/>
      <c r="K4033" s="408"/>
      <c r="L4033" s="408"/>
      <c r="M4033" s="408"/>
      <c r="N4033" s="408" t="str">
        <f t="shared" si="490"/>
        <v/>
      </c>
      <c r="O4033" s="408"/>
      <c r="P4033" s="408"/>
      <c r="Q4033" s="408"/>
      <c r="R4033" s="408"/>
      <c r="S4033" s="408"/>
      <c r="T4033" s="408"/>
      <c r="U4033" s="408"/>
      <c r="V4033" s="421"/>
      <c r="W4033" s="421"/>
      <c r="X4033" s="421"/>
      <c r="Y4033" s="421"/>
      <c r="Z4033" s="421"/>
      <c r="AA4033" s="421"/>
      <c r="AB4033" s="421"/>
      <c r="AC4033" s="421"/>
      <c r="AD4033" s="421"/>
      <c r="AE4033" s="421"/>
      <c r="AF4033" s="421"/>
      <c r="AG4033" s="421"/>
      <c r="AH4033" s="421"/>
      <c r="AI4033" s="421"/>
      <c r="AJ4033" s="421"/>
      <c r="AK4033" s="421"/>
      <c r="AL4033" s="421"/>
    </row>
    <row r="4034" spans="1:38" hidden="1">
      <c r="A4034" s="408"/>
      <c r="B4034" s="83" t="e">
        <f t="array" ref="B4034">SUM(--(FREQUENCY(IF(C$2:C$3072=C4034, MATCH(D$2:D$3072, D$2:D$3072, 0)), ROW(D$2:D$3072)-ROW(D$2)+1) &gt; 0))</f>
        <v>#N/A</v>
      </c>
      <c r="C4034" s="408"/>
      <c r="D4034" s="408"/>
      <c r="E4034" s="408"/>
      <c r="F4034" s="408"/>
      <c r="G4034" s="408"/>
      <c r="H4034" s="408"/>
      <c r="I4034" s="408"/>
      <c r="J4034" s="408"/>
      <c r="K4034" s="408"/>
      <c r="L4034" s="408"/>
      <c r="M4034" s="408"/>
      <c r="N4034" s="408" t="str">
        <f t="shared" si="490"/>
        <v/>
      </c>
      <c r="O4034" s="408"/>
      <c r="P4034" s="408"/>
      <c r="Q4034" s="408"/>
      <c r="R4034" s="408"/>
      <c r="S4034" s="408"/>
      <c r="T4034" s="408"/>
      <c r="U4034" s="408"/>
      <c r="V4034" s="421"/>
      <c r="W4034" s="421"/>
      <c r="X4034" s="421"/>
      <c r="Y4034" s="421"/>
      <c r="Z4034" s="421"/>
      <c r="AA4034" s="421"/>
      <c r="AB4034" s="421"/>
      <c r="AC4034" s="421"/>
      <c r="AD4034" s="421"/>
      <c r="AE4034" s="421"/>
      <c r="AF4034" s="421"/>
      <c r="AG4034" s="421"/>
      <c r="AH4034" s="421"/>
      <c r="AI4034" s="421"/>
      <c r="AJ4034" s="421"/>
      <c r="AK4034" s="421"/>
      <c r="AL4034" s="421"/>
    </row>
    <row r="4035" spans="1:38" hidden="1">
      <c r="A4035" s="408"/>
      <c r="B4035" s="83" t="e">
        <f t="array" ref="B4035">SUM(--(FREQUENCY(IF(C$2:C$3072=C4035, MATCH(D$2:D$3072, D$2:D$3072, 0)), ROW(D$2:D$3072)-ROW(D$2)+1) &gt; 0))</f>
        <v>#N/A</v>
      </c>
      <c r="C4035" s="408"/>
      <c r="D4035" s="408"/>
      <c r="E4035" s="408"/>
      <c r="F4035" s="408"/>
      <c r="G4035" s="408"/>
      <c r="H4035" s="408"/>
      <c r="I4035" s="408"/>
      <c r="J4035" s="408"/>
      <c r="K4035" s="408"/>
      <c r="L4035" s="408"/>
      <c r="M4035" s="408"/>
      <c r="N4035" s="408" t="str">
        <f t="shared" si="490"/>
        <v/>
      </c>
      <c r="O4035" s="408"/>
      <c r="P4035" s="408"/>
      <c r="Q4035" s="408"/>
      <c r="R4035" s="408"/>
      <c r="S4035" s="408"/>
      <c r="T4035" s="408"/>
      <c r="U4035" s="408"/>
      <c r="V4035" s="421"/>
      <c r="W4035" s="421"/>
      <c r="X4035" s="421"/>
      <c r="Y4035" s="421"/>
      <c r="Z4035" s="421"/>
      <c r="AA4035" s="421"/>
      <c r="AB4035" s="421"/>
      <c r="AC4035" s="421"/>
      <c r="AD4035" s="421"/>
      <c r="AE4035" s="421"/>
      <c r="AF4035" s="421"/>
      <c r="AG4035" s="421"/>
      <c r="AH4035" s="421"/>
      <c r="AI4035" s="421"/>
      <c r="AJ4035" s="421"/>
      <c r="AK4035" s="421"/>
      <c r="AL4035" s="421"/>
    </row>
    <row r="4036" spans="1:38" hidden="1">
      <c r="A4036" s="408"/>
      <c r="B4036" s="83" t="e">
        <f t="array" ref="B4036">SUM(--(FREQUENCY(IF(C$2:C$3072=C4036, MATCH(D$2:D$3072, D$2:D$3072, 0)), ROW(D$2:D$3072)-ROW(D$2)+1) &gt; 0))</f>
        <v>#N/A</v>
      </c>
      <c r="C4036" s="408"/>
      <c r="D4036" s="408"/>
      <c r="E4036" s="408"/>
      <c r="F4036" s="408"/>
      <c r="G4036" s="408"/>
      <c r="H4036" s="408"/>
      <c r="I4036" s="408"/>
      <c r="J4036" s="408"/>
      <c r="K4036" s="408"/>
      <c r="L4036" s="408"/>
      <c r="M4036" s="408"/>
      <c r="N4036" s="408" t="str">
        <f t="shared" si="490"/>
        <v/>
      </c>
      <c r="O4036" s="408"/>
      <c r="P4036" s="408"/>
      <c r="Q4036" s="408"/>
      <c r="R4036" s="408"/>
      <c r="S4036" s="408"/>
      <c r="T4036" s="408"/>
      <c r="U4036" s="408"/>
      <c r="V4036" s="421"/>
      <c r="W4036" s="421"/>
      <c r="X4036" s="421"/>
      <c r="Y4036" s="421"/>
      <c r="Z4036" s="421"/>
      <c r="AA4036" s="421"/>
      <c r="AB4036" s="421"/>
      <c r="AC4036" s="421"/>
      <c r="AD4036" s="421"/>
      <c r="AE4036" s="421"/>
      <c r="AF4036" s="421"/>
      <c r="AG4036" s="421"/>
      <c r="AH4036" s="421"/>
      <c r="AI4036" s="421"/>
      <c r="AJ4036" s="421"/>
      <c r="AK4036" s="421"/>
      <c r="AL4036" s="421"/>
    </row>
    <row r="4037" spans="1:38" hidden="1">
      <c r="A4037" s="408"/>
      <c r="B4037" s="83" t="e">
        <f t="array" ref="B4037">SUM(--(FREQUENCY(IF(C$2:C$3072=C4037, MATCH(D$2:D$3072, D$2:D$3072, 0)), ROW(D$2:D$3072)-ROW(D$2)+1) &gt; 0))</f>
        <v>#N/A</v>
      </c>
      <c r="C4037" s="408"/>
      <c r="D4037" s="408"/>
      <c r="E4037" s="408"/>
      <c r="F4037" s="408"/>
      <c r="G4037" s="408"/>
      <c r="H4037" s="408"/>
      <c r="I4037" s="408"/>
      <c r="J4037" s="408"/>
      <c r="K4037" s="408"/>
      <c r="L4037" s="408"/>
      <c r="M4037" s="408"/>
      <c r="N4037" s="408" t="str">
        <f t="shared" si="490"/>
        <v/>
      </c>
      <c r="O4037" s="408"/>
      <c r="P4037" s="408"/>
      <c r="Q4037" s="408"/>
      <c r="R4037" s="408"/>
      <c r="S4037" s="408"/>
      <c r="T4037" s="408"/>
      <c r="U4037" s="408"/>
      <c r="V4037" s="421"/>
      <c r="W4037" s="421"/>
      <c r="X4037" s="421"/>
      <c r="Y4037" s="421"/>
      <c r="Z4037" s="421"/>
      <c r="AA4037" s="421"/>
      <c r="AB4037" s="421"/>
      <c r="AC4037" s="421"/>
      <c r="AD4037" s="421"/>
      <c r="AE4037" s="421"/>
      <c r="AF4037" s="421"/>
      <c r="AG4037" s="421"/>
      <c r="AH4037" s="421"/>
      <c r="AI4037" s="421"/>
      <c r="AJ4037" s="421"/>
      <c r="AK4037" s="421"/>
      <c r="AL4037" s="421"/>
    </row>
    <row r="4038" spans="1:38" hidden="1">
      <c r="A4038" s="408"/>
      <c r="B4038" s="83" t="e">
        <f t="array" ref="B4038">SUM(--(FREQUENCY(IF(C$2:C$3072=C4038, MATCH(D$2:D$3072, D$2:D$3072, 0)), ROW(D$2:D$3072)-ROW(D$2)+1) &gt; 0))</f>
        <v>#N/A</v>
      </c>
      <c r="C4038" s="408"/>
      <c r="D4038" s="408"/>
      <c r="E4038" s="408"/>
      <c r="F4038" s="408"/>
      <c r="G4038" s="408"/>
      <c r="H4038" s="408"/>
      <c r="I4038" s="408"/>
      <c r="J4038" s="408"/>
      <c r="K4038" s="408"/>
      <c r="L4038" s="408"/>
      <c r="M4038" s="408"/>
      <c r="N4038" s="408" t="str">
        <f t="shared" si="490"/>
        <v/>
      </c>
      <c r="O4038" s="408"/>
      <c r="P4038" s="408"/>
      <c r="Q4038" s="408"/>
      <c r="R4038" s="408"/>
      <c r="S4038" s="408"/>
      <c r="T4038" s="408"/>
      <c r="U4038" s="408"/>
      <c r="V4038" s="421"/>
      <c r="W4038" s="421"/>
      <c r="X4038" s="421"/>
      <c r="Y4038" s="421"/>
      <c r="Z4038" s="421"/>
      <c r="AA4038" s="421"/>
      <c r="AB4038" s="421"/>
      <c r="AC4038" s="421"/>
      <c r="AD4038" s="421"/>
      <c r="AE4038" s="421"/>
      <c r="AF4038" s="421"/>
      <c r="AG4038" s="421"/>
      <c r="AH4038" s="421"/>
      <c r="AI4038" s="421"/>
      <c r="AJ4038" s="421"/>
      <c r="AK4038" s="421"/>
      <c r="AL4038" s="421"/>
    </row>
    <row r="4039" spans="1:38" hidden="1">
      <c r="A4039" s="408"/>
      <c r="B4039" s="83" t="e">
        <f t="array" ref="B4039">SUM(--(FREQUENCY(IF(C$2:C$3072=C4039, MATCH(D$2:D$3072, D$2:D$3072, 0)), ROW(D$2:D$3072)-ROW(D$2)+1) &gt; 0))</f>
        <v>#N/A</v>
      </c>
      <c r="C4039" s="408"/>
      <c r="D4039" s="408"/>
      <c r="E4039" s="408"/>
      <c r="F4039" s="408"/>
      <c r="G4039" s="408"/>
      <c r="H4039" s="408"/>
      <c r="I4039" s="408"/>
      <c r="J4039" s="408"/>
      <c r="K4039" s="408"/>
      <c r="L4039" s="408"/>
      <c r="M4039" s="408"/>
      <c r="N4039" s="408" t="str">
        <f t="shared" si="490"/>
        <v/>
      </c>
      <c r="O4039" s="408"/>
      <c r="P4039" s="408"/>
      <c r="Q4039" s="408"/>
      <c r="R4039" s="408"/>
      <c r="S4039" s="408"/>
      <c r="T4039" s="408"/>
      <c r="U4039" s="408"/>
      <c r="V4039" s="421"/>
      <c r="W4039" s="421"/>
      <c r="X4039" s="421"/>
      <c r="Y4039" s="421"/>
      <c r="Z4039" s="421"/>
      <c r="AA4039" s="421"/>
      <c r="AB4039" s="421"/>
      <c r="AC4039" s="421"/>
      <c r="AD4039" s="421"/>
      <c r="AE4039" s="421"/>
      <c r="AF4039" s="421"/>
      <c r="AG4039" s="421"/>
      <c r="AH4039" s="421"/>
      <c r="AI4039" s="421"/>
      <c r="AJ4039" s="421"/>
      <c r="AK4039" s="421"/>
      <c r="AL4039" s="421"/>
    </row>
    <row r="4040" spans="1:38" hidden="1">
      <c r="A4040" s="408"/>
      <c r="B4040" s="83" t="e">
        <f t="array" ref="B4040">SUM(--(FREQUENCY(IF(C$2:C$3072=C4040, MATCH(D$2:D$3072, D$2:D$3072, 0)), ROW(D$2:D$3072)-ROW(D$2)+1) &gt; 0))</f>
        <v>#N/A</v>
      </c>
      <c r="C4040" s="408"/>
      <c r="D4040" s="408"/>
      <c r="E4040" s="408"/>
      <c r="F4040" s="408"/>
      <c r="G4040" s="408"/>
      <c r="H4040" s="408"/>
      <c r="I4040" s="408"/>
      <c r="J4040" s="408"/>
      <c r="K4040" s="408"/>
      <c r="L4040" s="408"/>
      <c r="M4040" s="408"/>
      <c r="N4040" s="408" t="str">
        <f t="shared" si="490"/>
        <v/>
      </c>
      <c r="O4040" s="408"/>
      <c r="P4040" s="408"/>
      <c r="Q4040" s="408"/>
      <c r="R4040" s="408"/>
      <c r="S4040" s="408"/>
      <c r="T4040" s="408"/>
      <c r="U4040" s="408"/>
      <c r="V4040" s="421"/>
      <c r="W4040" s="421"/>
      <c r="X4040" s="421"/>
      <c r="Y4040" s="421"/>
      <c r="Z4040" s="421"/>
      <c r="AA4040" s="421"/>
      <c r="AB4040" s="421"/>
      <c r="AC4040" s="421"/>
      <c r="AD4040" s="421"/>
      <c r="AE4040" s="421"/>
      <c r="AF4040" s="421"/>
      <c r="AG4040" s="421"/>
      <c r="AH4040" s="421"/>
      <c r="AI4040" s="421"/>
      <c r="AJ4040" s="421"/>
      <c r="AK4040" s="421"/>
      <c r="AL4040" s="421"/>
    </row>
    <row r="4041" spans="1:38" hidden="1">
      <c r="A4041" s="408"/>
      <c r="B4041" s="83" t="e">
        <f t="array" ref="B4041">SUM(--(FREQUENCY(IF(C$2:C$3072=C4041, MATCH(D$2:D$3072, D$2:D$3072, 0)), ROW(D$2:D$3072)-ROW(D$2)+1) &gt; 0))</f>
        <v>#N/A</v>
      </c>
      <c r="C4041" s="408"/>
      <c r="D4041" s="408"/>
      <c r="E4041" s="408"/>
      <c r="F4041" s="408"/>
      <c r="G4041" s="408"/>
      <c r="H4041" s="408"/>
      <c r="I4041" s="408"/>
      <c r="J4041" s="408"/>
      <c r="K4041" s="408"/>
      <c r="L4041" s="408"/>
      <c r="M4041" s="408"/>
      <c r="N4041" s="408" t="str">
        <f t="shared" si="490"/>
        <v/>
      </c>
      <c r="O4041" s="408"/>
      <c r="P4041" s="408"/>
      <c r="Q4041" s="408"/>
      <c r="R4041" s="408"/>
      <c r="S4041" s="408"/>
      <c r="T4041" s="408"/>
      <c r="U4041" s="408"/>
      <c r="V4041" s="421"/>
      <c r="W4041" s="421"/>
      <c r="X4041" s="421"/>
      <c r="Y4041" s="421"/>
      <c r="Z4041" s="421"/>
      <c r="AA4041" s="421"/>
      <c r="AB4041" s="421"/>
      <c r="AC4041" s="421"/>
      <c r="AD4041" s="421"/>
      <c r="AE4041" s="421"/>
      <c r="AF4041" s="421"/>
      <c r="AG4041" s="421"/>
      <c r="AH4041" s="421"/>
      <c r="AI4041" s="421"/>
      <c r="AJ4041" s="421"/>
      <c r="AK4041" s="421"/>
      <c r="AL4041" s="421"/>
    </row>
    <row r="4042" spans="1:38" hidden="1">
      <c r="A4042" s="408"/>
      <c r="B4042" s="83" t="e">
        <f t="array" ref="B4042">SUM(--(FREQUENCY(IF(C$2:C$3072=C4042, MATCH(D$2:D$3072, D$2:D$3072, 0)), ROW(D$2:D$3072)-ROW(D$2)+1) &gt; 0))</f>
        <v>#N/A</v>
      </c>
      <c r="C4042" s="408"/>
      <c r="D4042" s="408"/>
      <c r="E4042" s="408"/>
      <c r="F4042" s="408"/>
      <c r="G4042" s="408"/>
      <c r="H4042" s="408"/>
      <c r="I4042" s="408"/>
      <c r="J4042" s="408"/>
      <c r="K4042" s="408"/>
      <c r="L4042" s="408"/>
      <c r="M4042" s="408"/>
      <c r="N4042" s="408" t="str">
        <f t="shared" si="490"/>
        <v/>
      </c>
      <c r="O4042" s="408"/>
      <c r="P4042" s="408"/>
      <c r="Q4042" s="408"/>
      <c r="R4042" s="408"/>
      <c r="S4042" s="408"/>
      <c r="T4042" s="408"/>
      <c r="U4042" s="408"/>
      <c r="V4042" s="421"/>
      <c r="W4042" s="421"/>
      <c r="X4042" s="421"/>
      <c r="Y4042" s="421"/>
      <c r="Z4042" s="421"/>
      <c r="AA4042" s="421"/>
      <c r="AB4042" s="421"/>
      <c r="AC4042" s="421"/>
      <c r="AD4042" s="421"/>
      <c r="AE4042" s="421"/>
      <c r="AF4042" s="421"/>
      <c r="AG4042" s="421"/>
      <c r="AH4042" s="421"/>
      <c r="AI4042" s="421"/>
      <c r="AJ4042" s="421"/>
      <c r="AK4042" s="421"/>
      <c r="AL4042" s="421"/>
    </row>
    <row r="4043" spans="1:38" hidden="1">
      <c r="A4043" s="408"/>
      <c r="B4043" s="83" t="e">
        <f t="array" ref="B4043">SUM(--(FREQUENCY(IF(C$2:C$3072=C4043, MATCH(D$2:D$3072, D$2:D$3072, 0)), ROW(D$2:D$3072)-ROW(D$2)+1) &gt; 0))</f>
        <v>#N/A</v>
      </c>
      <c r="C4043" s="408"/>
      <c r="D4043" s="408"/>
      <c r="E4043" s="408"/>
      <c r="F4043" s="408"/>
      <c r="G4043" s="408"/>
      <c r="H4043" s="408"/>
      <c r="I4043" s="408"/>
      <c r="J4043" s="408"/>
      <c r="K4043" s="408"/>
      <c r="L4043" s="408"/>
      <c r="M4043" s="408"/>
      <c r="N4043" s="408" t="str">
        <f t="shared" si="490"/>
        <v/>
      </c>
      <c r="O4043" s="408"/>
      <c r="P4043" s="408"/>
      <c r="Q4043" s="408"/>
      <c r="R4043" s="408"/>
      <c r="S4043" s="408"/>
      <c r="T4043" s="408"/>
      <c r="U4043" s="408"/>
      <c r="V4043" s="421"/>
      <c r="W4043" s="421"/>
      <c r="X4043" s="421"/>
      <c r="Y4043" s="421"/>
      <c r="Z4043" s="421"/>
      <c r="AA4043" s="421"/>
      <c r="AB4043" s="421"/>
      <c r="AC4043" s="421"/>
      <c r="AD4043" s="421"/>
      <c r="AE4043" s="421"/>
      <c r="AF4043" s="421"/>
      <c r="AG4043" s="421"/>
      <c r="AH4043" s="421"/>
      <c r="AI4043" s="421"/>
      <c r="AJ4043" s="421"/>
      <c r="AK4043" s="421"/>
      <c r="AL4043" s="421"/>
    </row>
    <row r="4044" spans="1:38" hidden="1">
      <c r="A4044" s="408"/>
      <c r="B4044" s="83" t="e">
        <f t="array" ref="B4044">SUM(--(FREQUENCY(IF(C$2:C$3072=C4044, MATCH(D$2:D$3072, D$2:D$3072, 0)), ROW(D$2:D$3072)-ROW(D$2)+1) &gt; 0))</f>
        <v>#N/A</v>
      </c>
      <c r="C4044" s="408"/>
      <c r="D4044" s="408"/>
      <c r="E4044" s="408"/>
      <c r="F4044" s="408"/>
      <c r="G4044" s="408"/>
      <c r="H4044" s="408"/>
      <c r="I4044" s="408"/>
      <c r="J4044" s="408"/>
      <c r="K4044" s="408"/>
      <c r="L4044" s="408"/>
      <c r="M4044" s="408"/>
      <c r="N4044" s="408" t="str">
        <f t="shared" si="490"/>
        <v/>
      </c>
      <c r="O4044" s="408"/>
      <c r="P4044" s="408"/>
      <c r="Q4044" s="408"/>
      <c r="R4044" s="408"/>
      <c r="S4044" s="408"/>
      <c r="T4044" s="408"/>
      <c r="U4044" s="408"/>
      <c r="V4044" s="421"/>
      <c r="W4044" s="421"/>
      <c r="X4044" s="421"/>
      <c r="Y4044" s="421"/>
      <c r="Z4044" s="421"/>
      <c r="AA4044" s="421"/>
      <c r="AB4044" s="421"/>
      <c r="AC4044" s="421"/>
      <c r="AD4044" s="421"/>
      <c r="AE4044" s="421"/>
      <c r="AF4044" s="421"/>
      <c r="AG4044" s="421"/>
      <c r="AH4044" s="421"/>
      <c r="AI4044" s="421"/>
      <c r="AJ4044" s="421"/>
      <c r="AK4044" s="421"/>
      <c r="AL4044" s="421"/>
    </row>
    <row r="4045" spans="1:38" hidden="1">
      <c r="A4045" s="408"/>
      <c r="B4045" s="83" t="e">
        <f t="array" ref="B4045">SUM(--(FREQUENCY(IF(C$2:C$3072=C4045, MATCH(D$2:D$3072, D$2:D$3072, 0)), ROW(D$2:D$3072)-ROW(D$2)+1) &gt; 0))</f>
        <v>#N/A</v>
      </c>
      <c r="C4045" s="408"/>
      <c r="D4045" s="408"/>
      <c r="E4045" s="408"/>
      <c r="F4045" s="408"/>
      <c r="G4045" s="408"/>
      <c r="H4045" s="408"/>
      <c r="I4045" s="408"/>
      <c r="J4045" s="408"/>
      <c r="K4045" s="408"/>
      <c r="L4045" s="408"/>
      <c r="M4045" s="408"/>
      <c r="N4045" s="408" t="str">
        <f t="shared" si="490"/>
        <v/>
      </c>
      <c r="O4045" s="408"/>
      <c r="P4045" s="408"/>
      <c r="Q4045" s="408"/>
      <c r="R4045" s="408"/>
      <c r="S4045" s="408"/>
      <c r="T4045" s="408"/>
      <c r="U4045" s="408"/>
      <c r="V4045" s="421"/>
      <c r="W4045" s="421"/>
      <c r="X4045" s="421"/>
      <c r="Y4045" s="421"/>
      <c r="Z4045" s="421"/>
      <c r="AA4045" s="421"/>
      <c r="AB4045" s="421"/>
      <c r="AC4045" s="421"/>
      <c r="AD4045" s="421"/>
      <c r="AE4045" s="421"/>
      <c r="AF4045" s="421"/>
      <c r="AG4045" s="421"/>
      <c r="AH4045" s="421"/>
      <c r="AI4045" s="421"/>
      <c r="AJ4045" s="421"/>
      <c r="AK4045" s="421"/>
      <c r="AL4045" s="421"/>
    </row>
    <row r="4046" spans="1:38" hidden="1">
      <c r="A4046" s="408"/>
      <c r="B4046" s="83" t="e">
        <f t="array" ref="B4046">SUM(--(FREQUENCY(IF(C$2:C$3072=C4046, MATCH(D$2:D$3072, D$2:D$3072, 0)), ROW(D$2:D$3072)-ROW(D$2)+1) &gt; 0))</f>
        <v>#N/A</v>
      </c>
      <c r="C4046" s="408"/>
      <c r="D4046" s="408"/>
      <c r="E4046" s="408"/>
      <c r="F4046" s="408"/>
      <c r="G4046" s="408"/>
      <c r="H4046" s="408"/>
      <c r="I4046" s="408"/>
      <c r="J4046" s="408"/>
      <c r="K4046" s="408"/>
      <c r="L4046" s="408"/>
      <c r="M4046" s="408"/>
      <c r="N4046" s="408" t="str">
        <f t="shared" si="490"/>
        <v/>
      </c>
      <c r="O4046" s="408"/>
      <c r="P4046" s="408"/>
      <c r="Q4046" s="408"/>
      <c r="R4046" s="408"/>
      <c r="S4046" s="408"/>
      <c r="T4046" s="408"/>
      <c r="U4046" s="408"/>
      <c r="V4046" s="421"/>
      <c r="W4046" s="421"/>
      <c r="X4046" s="421"/>
      <c r="Y4046" s="421"/>
      <c r="Z4046" s="421"/>
      <c r="AA4046" s="421"/>
      <c r="AB4046" s="421"/>
      <c r="AC4046" s="421"/>
      <c r="AD4046" s="421"/>
      <c r="AE4046" s="421"/>
      <c r="AF4046" s="421"/>
      <c r="AG4046" s="421"/>
      <c r="AH4046" s="421"/>
      <c r="AI4046" s="421"/>
      <c r="AJ4046" s="421"/>
      <c r="AK4046" s="421"/>
      <c r="AL4046" s="421"/>
    </row>
    <row r="4047" spans="1:38" hidden="1">
      <c r="A4047" s="408"/>
      <c r="B4047" s="83" t="e">
        <f t="array" ref="B4047">SUM(--(FREQUENCY(IF(C$2:C$3072=C4047, MATCH(D$2:D$3072, D$2:D$3072, 0)), ROW(D$2:D$3072)-ROW(D$2)+1) &gt; 0))</f>
        <v>#N/A</v>
      </c>
      <c r="C4047" s="408"/>
      <c r="D4047" s="408"/>
      <c r="E4047" s="408"/>
      <c r="F4047" s="408"/>
      <c r="G4047" s="408"/>
      <c r="H4047" s="408"/>
      <c r="I4047" s="408"/>
      <c r="J4047" s="408"/>
      <c r="K4047" s="408"/>
      <c r="L4047" s="408"/>
      <c r="M4047" s="408"/>
      <c r="N4047" s="408" t="str">
        <f t="shared" si="490"/>
        <v/>
      </c>
      <c r="O4047" s="408"/>
      <c r="P4047" s="408"/>
      <c r="Q4047" s="408"/>
      <c r="R4047" s="408"/>
      <c r="S4047" s="408"/>
      <c r="T4047" s="408"/>
      <c r="U4047" s="408"/>
      <c r="V4047" s="421"/>
      <c r="W4047" s="421"/>
      <c r="X4047" s="421"/>
      <c r="Y4047" s="421"/>
      <c r="Z4047" s="421"/>
      <c r="AA4047" s="421"/>
      <c r="AB4047" s="421"/>
      <c r="AC4047" s="421"/>
      <c r="AD4047" s="421"/>
      <c r="AE4047" s="421"/>
      <c r="AF4047" s="421"/>
      <c r="AG4047" s="421"/>
      <c r="AH4047" s="421"/>
      <c r="AI4047" s="421"/>
      <c r="AJ4047" s="421"/>
      <c r="AK4047" s="421"/>
      <c r="AL4047" s="421"/>
    </row>
    <row r="4048" spans="1:38" hidden="1">
      <c r="A4048" s="408"/>
      <c r="B4048" s="83" t="e">
        <f t="array" ref="B4048">SUM(--(FREQUENCY(IF(C$2:C$3072=C4048, MATCH(D$2:D$3072, D$2:D$3072, 0)), ROW(D$2:D$3072)-ROW(D$2)+1) &gt; 0))</f>
        <v>#N/A</v>
      </c>
      <c r="C4048" s="408"/>
      <c r="D4048" s="408"/>
      <c r="E4048" s="408"/>
      <c r="F4048" s="408"/>
      <c r="G4048" s="408"/>
      <c r="H4048" s="408"/>
      <c r="I4048" s="408"/>
      <c r="J4048" s="408"/>
      <c r="K4048" s="408"/>
      <c r="L4048" s="408"/>
      <c r="M4048" s="408"/>
      <c r="N4048" s="408" t="str">
        <f t="shared" si="490"/>
        <v/>
      </c>
      <c r="O4048" s="408"/>
      <c r="P4048" s="408"/>
      <c r="Q4048" s="408"/>
      <c r="R4048" s="408"/>
      <c r="S4048" s="408"/>
      <c r="T4048" s="408"/>
      <c r="U4048" s="408"/>
      <c r="V4048" s="421"/>
      <c r="W4048" s="421"/>
      <c r="X4048" s="421"/>
      <c r="Y4048" s="421"/>
      <c r="Z4048" s="421"/>
      <c r="AA4048" s="421"/>
      <c r="AB4048" s="421"/>
      <c r="AC4048" s="421"/>
      <c r="AD4048" s="421"/>
      <c r="AE4048" s="421"/>
      <c r="AF4048" s="421"/>
      <c r="AG4048" s="421"/>
      <c r="AH4048" s="421"/>
      <c r="AI4048" s="421"/>
      <c r="AJ4048" s="421"/>
      <c r="AK4048" s="421"/>
      <c r="AL4048" s="421"/>
    </row>
    <row r="4049" spans="1:38" hidden="1">
      <c r="A4049" s="408"/>
      <c r="B4049" s="83" t="e">
        <f t="array" ref="B4049">SUM(--(FREQUENCY(IF(C$2:C$3072=C4049, MATCH(D$2:D$3072, D$2:D$3072, 0)), ROW(D$2:D$3072)-ROW(D$2)+1) &gt; 0))</f>
        <v>#N/A</v>
      </c>
      <c r="C4049" s="408"/>
      <c r="D4049" s="408"/>
      <c r="E4049" s="408"/>
      <c r="F4049" s="408"/>
      <c r="G4049" s="408"/>
      <c r="H4049" s="408"/>
      <c r="I4049" s="408"/>
      <c r="J4049" s="408"/>
      <c r="K4049" s="408"/>
      <c r="L4049" s="408"/>
      <c r="M4049" s="408"/>
      <c r="N4049" s="408" t="str">
        <f t="shared" si="490"/>
        <v/>
      </c>
      <c r="O4049" s="408"/>
      <c r="P4049" s="408"/>
      <c r="Q4049" s="408"/>
      <c r="R4049" s="408"/>
      <c r="S4049" s="408"/>
      <c r="T4049" s="408"/>
      <c r="U4049" s="408"/>
      <c r="V4049" s="421"/>
      <c r="W4049" s="421"/>
      <c r="X4049" s="421"/>
      <c r="Y4049" s="421"/>
      <c r="Z4049" s="421"/>
      <c r="AA4049" s="421"/>
      <c r="AB4049" s="421"/>
      <c r="AC4049" s="421"/>
      <c r="AD4049" s="421"/>
      <c r="AE4049" s="421"/>
      <c r="AF4049" s="421"/>
      <c r="AG4049" s="421"/>
      <c r="AH4049" s="421"/>
      <c r="AI4049" s="421"/>
      <c r="AJ4049" s="421"/>
      <c r="AK4049" s="421"/>
      <c r="AL4049" s="421"/>
    </row>
    <row r="4050" spans="1:38" hidden="1">
      <c r="A4050" s="408"/>
      <c r="B4050" s="83" t="e">
        <f t="array" ref="B4050">SUM(--(FREQUENCY(IF(C$2:C$3072=C4050, MATCH(D$2:D$3072, D$2:D$3072, 0)), ROW(D$2:D$3072)-ROW(D$2)+1) &gt; 0))</f>
        <v>#N/A</v>
      </c>
      <c r="C4050" s="408"/>
      <c r="D4050" s="408"/>
      <c r="E4050" s="408"/>
      <c r="F4050" s="408"/>
      <c r="G4050" s="408"/>
      <c r="H4050" s="408"/>
      <c r="I4050" s="408"/>
      <c r="J4050" s="408"/>
      <c r="K4050" s="408"/>
      <c r="L4050" s="408"/>
      <c r="M4050" s="408"/>
      <c r="N4050" s="408" t="str">
        <f t="shared" si="490"/>
        <v/>
      </c>
      <c r="O4050" s="408"/>
      <c r="P4050" s="408"/>
      <c r="Q4050" s="408"/>
      <c r="R4050" s="408"/>
      <c r="S4050" s="408"/>
      <c r="T4050" s="408"/>
      <c r="U4050" s="408"/>
      <c r="V4050" s="421"/>
      <c r="W4050" s="421"/>
      <c r="X4050" s="421"/>
      <c r="Y4050" s="421"/>
      <c r="Z4050" s="421"/>
      <c r="AA4050" s="421"/>
      <c r="AB4050" s="421"/>
      <c r="AC4050" s="421"/>
      <c r="AD4050" s="421"/>
      <c r="AE4050" s="421"/>
      <c r="AF4050" s="421"/>
      <c r="AG4050" s="421"/>
      <c r="AH4050" s="421"/>
      <c r="AI4050" s="421"/>
      <c r="AJ4050" s="421"/>
      <c r="AK4050" s="421"/>
      <c r="AL4050" s="421"/>
    </row>
    <row r="4051" spans="1:38" hidden="1">
      <c r="A4051" s="408"/>
      <c r="B4051" s="83" t="e">
        <f t="array" ref="B4051">SUM(--(FREQUENCY(IF(C$2:C$3072=C4051, MATCH(D$2:D$3072, D$2:D$3072, 0)), ROW(D$2:D$3072)-ROW(D$2)+1) &gt; 0))</f>
        <v>#N/A</v>
      </c>
      <c r="C4051" s="408"/>
      <c r="D4051" s="408"/>
      <c r="E4051" s="408"/>
      <c r="F4051" s="408"/>
      <c r="G4051" s="408"/>
      <c r="H4051" s="408"/>
      <c r="I4051" s="408"/>
      <c r="J4051" s="408"/>
      <c r="K4051" s="408"/>
      <c r="L4051" s="408"/>
      <c r="M4051" s="408"/>
      <c r="N4051" s="408" t="str">
        <f t="shared" si="490"/>
        <v/>
      </c>
      <c r="O4051" s="408"/>
      <c r="P4051" s="408"/>
      <c r="Q4051" s="408"/>
      <c r="R4051" s="408"/>
      <c r="S4051" s="408"/>
      <c r="T4051" s="408"/>
      <c r="U4051" s="408"/>
      <c r="V4051" s="421"/>
      <c r="W4051" s="421"/>
      <c r="X4051" s="421"/>
      <c r="Y4051" s="421"/>
      <c r="Z4051" s="421"/>
      <c r="AA4051" s="421"/>
      <c r="AB4051" s="421"/>
      <c r="AC4051" s="421"/>
      <c r="AD4051" s="421"/>
      <c r="AE4051" s="421"/>
      <c r="AF4051" s="421"/>
      <c r="AG4051" s="421"/>
      <c r="AH4051" s="421"/>
      <c r="AI4051" s="421"/>
      <c r="AJ4051" s="421"/>
      <c r="AK4051" s="421"/>
      <c r="AL4051" s="421"/>
    </row>
    <row r="4052" spans="1:38" hidden="1">
      <c r="A4052" s="408"/>
      <c r="B4052" s="83" t="e">
        <f t="array" ref="B4052">SUM(--(FREQUENCY(IF(C$2:C$3072=C4052, MATCH(D$2:D$3072, D$2:D$3072, 0)), ROW(D$2:D$3072)-ROW(D$2)+1) &gt; 0))</f>
        <v>#N/A</v>
      </c>
      <c r="C4052" s="408"/>
      <c r="D4052" s="408"/>
      <c r="E4052" s="408"/>
      <c r="F4052" s="408"/>
      <c r="G4052" s="408"/>
      <c r="H4052" s="408"/>
      <c r="I4052" s="408"/>
      <c r="J4052" s="408"/>
      <c r="K4052" s="408"/>
      <c r="L4052" s="408"/>
      <c r="M4052" s="408"/>
      <c r="N4052" s="408" t="str">
        <f t="shared" si="490"/>
        <v/>
      </c>
      <c r="O4052" s="408"/>
      <c r="P4052" s="408"/>
      <c r="Q4052" s="408"/>
      <c r="R4052" s="408"/>
      <c r="S4052" s="408"/>
      <c r="T4052" s="408"/>
      <c r="U4052" s="408"/>
      <c r="V4052" s="421"/>
      <c r="W4052" s="421"/>
      <c r="X4052" s="421"/>
      <c r="Y4052" s="421"/>
      <c r="Z4052" s="421"/>
      <c r="AA4052" s="421"/>
      <c r="AB4052" s="421"/>
      <c r="AC4052" s="421"/>
      <c r="AD4052" s="421"/>
      <c r="AE4052" s="421"/>
      <c r="AF4052" s="421"/>
      <c r="AG4052" s="421"/>
      <c r="AH4052" s="421"/>
      <c r="AI4052" s="421"/>
      <c r="AJ4052" s="421"/>
      <c r="AK4052" s="421"/>
      <c r="AL4052" s="421"/>
    </row>
    <row r="4053" spans="1:38" hidden="1">
      <c r="A4053" s="408"/>
      <c r="B4053" s="83" t="e">
        <f t="array" ref="B4053">SUM(--(FREQUENCY(IF(C$2:C$3072=C4053, MATCH(D$2:D$3072, D$2:D$3072, 0)), ROW(D$2:D$3072)-ROW(D$2)+1) &gt; 0))</f>
        <v>#N/A</v>
      </c>
      <c r="C4053" s="408"/>
      <c r="D4053" s="408"/>
      <c r="E4053" s="408"/>
      <c r="F4053" s="408"/>
      <c r="G4053" s="408"/>
      <c r="H4053" s="408"/>
      <c r="I4053" s="408"/>
      <c r="J4053" s="408"/>
      <c r="K4053" s="408"/>
      <c r="L4053" s="408"/>
      <c r="M4053" s="408"/>
      <c r="N4053" s="408" t="str">
        <f t="shared" si="490"/>
        <v/>
      </c>
      <c r="O4053" s="408"/>
      <c r="P4053" s="408"/>
      <c r="Q4053" s="408"/>
      <c r="R4053" s="408"/>
      <c r="S4053" s="408"/>
      <c r="T4053" s="408"/>
      <c r="U4053" s="408"/>
      <c r="V4053" s="421"/>
      <c r="W4053" s="421"/>
      <c r="X4053" s="421"/>
      <c r="Y4053" s="421"/>
      <c r="Z4053" s="421"/>
      <c r="AA4053" s="421"/>
      <c r="AB4053" s="421"/>
      <c r="AC4053" s="421"/>
      <c r="AD4053" s="421"/>
      <c r="AE4053" s="421"/>
      <c r="AF4053" s="421"/>
      <c r="AG4053" s="421"/>
      <c r="AH4053" s="421"/>
      <c r="AI4053" s="421"/>
      <c r="AJ4053" s="421"/>
      <c r="AK4053" s="421"/>
      <c r="AL4053" s="421"/>
    </row>
    <row r="4054" spans="1:38" hidden="1">
      <c r="A4054" s="408"/>
      <c r="B4054" s="83" t="e">
        <f t="array" ref="B4054">SUM(--(FREQUENCY(IF(C$2:C$3072=C4054, MATCH(D$2:D$3072, D$2:D$3072, 0)), ROW(D$2:D$3072)-ROW(D$2)+1) &gt; 0))</f>
        <v>#N/A</v>
      </c>
      <c r="C4054" s="408"/>
      <c r="D4054" s="408"/>
      <c r="E4054" s="408"/>
      <c r="F4054" s="408"/>
      <c r="G4054" s="408"/>
      <c r="H4054" s="408"/>
      <c r="I4054" s="408"/>
      <c r="J4054" s="408"/>
      <c r="K4054" s="408"/>
      <c r="L4054" s="408"/>
      <c r="M4054" s="408"/>
      <c r="N4054" s="408" t="str">
        <f t="shared" si="490"/>
        <v/>
      </c>
      <c r="O4054" s="408"/>
      <c r="P4054" s="408"/>
      <c r="Q4054" s="408"/>
      <c r="R4054" s="408"/>
      <c r="S4054" s="408"/>
      <c r="T4054" s="408"/>
      <c r="U4054" s="408"/>
      <c r="V4054" s="421"/>
      <c r="W4054" s="421"/>
      <c r="X4054" s="421"/>
      <c r="Y4054" s="421"/>
      <c r="Z4054" s="421"/>
      <c r="AA4054" s="421"/>
      <c r="AB4054" s="421"/>
      <c r="AC4054" s="421"/>
      <c r="AD4054" s="421"/>
      <c r="AE4054" s="421"/>
      <c r="AF4054" s="421"/>
      <c r="AG4054" s="421"/>
      <c r="AH4054" s="421"/>
      <c r="AI4054" s="421"/>
      <c r="AJ4054" s="421"/>
      <c r="AK4054" s="421"/>
      <c r="AL4054" s="421"/>
    </row>
    <row r="4055" spans="1:38" hidden="1">
      <c r="A4055" s="408"/>
      <c r="B4055" s="83" t="e">
        <f t="array" ref="B4055">SUM(--(FREQUENCY(IF(C$2:C$3072=C4055, MATCH(D$2:D$3072, D$2:D$3072, 0)), ROW(D$2:D$3072)-ROW(D$2)+1) &gt; 0))</f>
        <v>#N/A</v>
      </c>
      <c r="C4055" s="408"/>
      <c r="D4055" s="408"/>
      <c r="E4055" s="408"/>
      <c r="F4055" s="408"/>
      <c r="G4055" s="408"/>
      <c r="H4055" s="408"/>
      <c r="I4055" s="408"/>
      <c r="J4055" s="408"/>
      <c r="K4055" s="408"/>
      <c r="L4055" s="408"/>
      <c r="M4055" s="408"/>
      <c r="N4055" s="408" t="str">
        <f t="shared" si="490"/>
        <v/>
      </c>
      <c r="O4055" s="408"/>
      <c r="P4055" s="408"/>
      <c r="Q4055" s="408"/>
      <c r="R4055" s="408"/>
      <c r="S4055" s="408"/>
      <c r="T4055" s="408"/>
      <c r="U4055" s="408"/>
      <c r="V4055" s="421"/>
      <c r="W4055" s="421"/>
      <c r="X4055" s="421"/>
      <c r="Y4055" s="421"/>
      <c r="Z4055" s="421"/>
      <c r="AA4055" s="421"/>
      <c r="AB4055" s="421"/>
      <c r="AC4055" s="421"/>
      <c r="AD4055" s="421"/>
      <c r="AE4055" s="421"/>
      <c r="AF4055" s="421"/>
      <c r="AG4055" s="421"/>
      <c r="AH4055" s="421"/>
      <c r="AI4055" s="421"/>
      <c r="AJ4055" s="421"/>
      <c r="AK4055" s="421"/>
      <c r="AL4055" s="421"/>
    </row>
    <row r="4056" spans="1:38" hidden="1">
      <c r="A4056" s="408"/>
      <c r="B4056" s="83" t="e">
        <f t="array" ref="B4056">SUM(--(FREQUENCY(IF(C$2:C$3072=C4056, MATCH(D$2:D$3072, D$2:D$3072, 0)), ROW(D$2:D$3072)-ROW(D$2)+1) &gt; 0))</f>
        <v>#N/A</v>
      </c>
      <c r="C4056" s="408"/>
      <c r="D4056" s="408"/>
      <c r="E4056" s="408"/>
      <c r="F4056" s="408"/>
      <c r="G4056" s="408"/>
      <c r="H4056" s="408"/>
      <c r="I4056" s="408"/>
      <c r="J4056" s="408"/>
      <c r="K4056" s="408"/>
      <c r="L4056" s="408"/>
      <c r="M4056" s="408"/>
      <c r="N4056" s="408" t="str">
        <f t="shared" si="490"/>
        <v/>
      </c>
      <c r="O4056" s="408"/>
      <c r="P4056" s="408"/>
      <c r="Q4056" s="408"/>
      <c r="R4056" s="408"/>
      <c r="S4056" s="408"/>
      <c r="T4056" s="408"/>
      <c r="U4056" s="408"/>
      <c r="V4056" s="421"/>
      <c r="W4056" s="421"/>
      <c r="X4056" s="421"/>
      <c r="Y4056" s="421"/>
      <c r="Z4056" s="421"/>
      <c r="AA4056" s="421"/>
      <c r="AB4056" s="421"/>
      <c r="AC4056" s="421"/>
      <c r="AD4056" s="421"/>
      <c r="AE4056" s="421"/>
      <c r="AF4056" s="421"/>
      <c r="AG4056" s="421"/>
      <c r="AH4056" s="421"/>
      <c r="AI4056" s="421"/>
      <c r="AJ4056" s="421"/>
      <c r="AK4056" s="421"/>
      <c r="AL4056" s="421"/>
    </row>
    <row r="4057" spans="1:38" hidden="1">
      <c r="A4057" s="408"/>
      <c r="B4057" s="83" t="e">
        <f t="array" ref="B4057">SUM(--(FREQUENCY(IF(C$2:C$3072=C4057, MATCH(D$2:D$3072, D$2:D$3072, 0)), ROW(D$2:D$3072)-ROW(D$2)+1) &gt; 0))</f>
        <v>#N/A</v>
      </c>
      <c r="C4057" s="408"/>
      <c r="D4057" s="408"/>
      <c r="E4057" s="408"/>
      <c r="F4057" s="408"/>
      <c r="G4057" s="408"/>
      <c r="H4057" s="408"/>
      <c r="I4057" s="408"/>
      <c r="J4057" s="408"/>
      <c r="K4057" s="408"/>
      <c r="L4057" s="408"/>
      <c r="M4057" s="408"/>
      <c r="N4057" s="408" t="str">
        <f t="shared" si="490"/>
        <v/>
      </c>
      <c r="O4057" s="408"/>
      <c r="P4057" s="408"/>
      <c r="Q4057" s="408"/>
      <c r="R4057" s="408"/>
      <c r="S4057" s="408"/>
      <c r="T4057" s="408"/>
      <c r="U4057" s="408"/>
      <c r="V4057" s="421"/>
      <c r="W4057" s="421"/>
      <c r="X4057" s="421"/>
      <c r="Y4057" s="421"/>
      <c r="Z4057" s="421"/>
      <c r="AA4057" s="421"/>
      <c r="AB4057" s="421"/>
      <c r="AC4057" s="421"/>
      <c r="AD4057" s="421"/>
      <c r="AE4057" s="421"/>
      <c r="AF4057" s="421"/>
      <c r="AG4057" s="421"/>
      <c r="AH4057" s="421"/>
      <c r="AI4057" s="421"/>
      <c r="AJ4057" s="421"/>
      <c r="AK4057" s="421"/>
      <c r="AL4057" s="421"/>
    </row>
    <row r="4058" spans="1:38" hidden="1">
      <c r="A4058" s="408"/>
      <c r="B4058" s="83" t="e">
        <f t="array" ref="B4058">SUM(--(FREQUENCY(IF(C$2:C$3072=C4058, MATCH(D$2:D$3072, D$2:D$3072, 0)), ROW(D$2:D$3072)-ROW(D$2)+1) &gt; 0))</f>
        <v>#N/A</v>
      </c>
      <c r="C4058" s="408"/>
      <c r="D4058" s="408"/>
      <c r="E4058" s="408"/>
      <c r="F4058" s="408"/>
      <c r="G4058" s="408"/>
      <c r="H4058" s="408"/>
      <c r="I4058" s="408"/>
      <c r="J4058" s="408"/>
      <c r="K4058" s="408"/>
      <c r="L4058" s="408"/>
      <c r="M4058" s="408"/>
      <c r="N4058" s="408" t="str">
        <f t="shared" si="490"/>
        <v/>
      </c>
      <c r="O4058" s="408"/>
      <c r="P4058" s="408"/>
      <c r="Q4058" s="408"/>
      <c r="R4058" s="408"/>
      <c r="S4058" s="408"/>
      <c r="T4058" s="408"/>
      <c r="U4058" s="408"/>
      <c r="V4058" s="421"/>
      <c r="W4058" s="421"/>
      <c r="X4058" s="421"/>
      <c r="Y4058" s="421"/>
      <c r="Z4058" s="421"/>
      <c r="AA4058" s="421"/>
      <c r="AB4058" s="421"/>
      <c r="AC4058" s="421"/>
      <c r="AD4058" s="421"/>
      <c r="AE4058" s="421"/>
      <c r="AF4058" s="421"/>
      <c r="AG4058" s="421"/>
      <c r="AH4058" s="421"/>
      <c r="AI4058" s="421"/>
      <c r="AJ4058" s="421"/>
      <c r="AK4058" s="421"/>
      <c r="AL4058" s="421"/>
    </row>
    <row r="4059" spans="1:38" hidden="1">
      <c r="A4059" s="408"/>
      <c r="B4059" s="83" t="e">
        <f t="array" ref="B4059">SUM(--(FREQUENCY(IF(C$2:C$3072=C4059, MATCH(D$2:D$3072, D$2:D$3072, 0)), ROW(D$2:D$3072)-ROW(D$2)+1) &gt; 0))</f>
        <v>#N/A</v>
      </c>
      <c r="C4059" s="408"/>
      <c r="D4059" s="408"/>
      <c r="E4059" s="408"/>
      <c r="F4059" s="408"/>
      <c r="G4059" s="408"/>
      <c r="H4059" s="408"/>
      <c r="I4059" s="408"/>
      <c r="J4059" s="408"/>
      <c r="K4059" s="408"/>
      <c r="L4059" s="408"/>
      <c r="M4059" s="408"/>
      <c r="N4059" s="408" t="str">
        <f t="shared" si="490"/>
        <v/>
      </c>
      <c r="O4059" s="408"/>
      <c r="P4059" s="408"/>
      <c r="Q4059" s="408"/>
      <c r="R4059" s="408"/>
      <c r="S4059" s="408"/>
      <c r="T4059" s="408"/>
      <c r="U4059" s="408"/>
      <c r="V4059" s="421"/>
      <c r="W4059" s="421"/>
      <c r="X4059" s="421"/>
      <c r="Y4059" s="421"/>
      <c r="Z4059" s="421"/>
      <c r="AA4059" s="421"/>
      <c r="AB4059" s="421"/>
      <c r="AC4059" s="421"/>
      <c r="AD4059" s="421"/>
      <c r="AE4059" s="421"/>
      <c r="AF4059" s="421"/>
      <c r="AG4059" s="421"/>
      <c r="AH4059" s="421"/>
      <c r="AI4059" s="421"/>
      <c r="AJ4059" s="421"/>
      <c r="AK4059" s="421"/>
      <c r="AL4059" s="421"/>
    </row>
    <row r="4060" spans="1:38" hidden="1">
      <c r="A4060" s="408"/>
      <c r="B4060" s="83" t="e">
        <f t="array" ref="B4060">SUM(--(FREQUENCY(IF(C$2:C$3072=C4060, MATCH(D$2:D$3072, D$2:D$3072, 0)), ROW(D$2:D$3072)-ROW(D$2)+1) &gt; 0))</f>
        <v>#N/A</v>
      </c>
      <c r="C4060" s="408"/>
      <c r="D4060" s="408"/>
      <c r="E4060" s="408"/>
      <c r="F4060" s="408"/>
      <c r="G4060" s="408"/>
      <c r="H4060" s="408"/>
      <c r="I4060" s="408"/>
      <c r="J4060" s="408"/>
      <c r="K4060" s="408"/>
      <c r="L4060" s="408"/>
      <c r="M4060" s="408"/>
      <c r="N4060" s="408" t="str">
        <f t="shared" si="490"/>
        <v/>
      </c>
      <c r="O4060" s="408"/>
      <c r="P4060" s="408"/>
      <c r="Q4060" s="408"/>
      <c r="R4060" s="408"/>
      <c r="S4060" s="408"/>
      <c r="T4060" s="408"/>
      <c r="U4060" s="408"/>
      <c r="V4060" s="421"/>
      <c r="W4060" s="421"/>
      <c r="X4060" s="421"/>
      <c r="Y4060" s="421"/>
      <c r="Z4060" s="421"/>
      <c r="AA4060" s="421"/>
      <c r="AB4060" s="421"/>
      <c r="AC4060" s="421"/>
      <c r="AD4060" s="421"/>
      <c r="AE4060" s="421"/>
      <c r="AF4060" s="421"/>
      <c r="AG4060" s="421"/>
      <c r="AH4060" s="421"/>
      <c r="AI4060" s="421"/>
      <c r="AJ4060" s="421"/>
      <c r="AK4060" s="421"/>
      <c r="AL4060" s="421"/>
    </row>
    <row r="4061" spans="1:38" hidden="1">
      <c r="A4061" s="408"/>
      <c r="B4061" s="83" t="e">
        <f t="array" ref="B4061">SUM(--(FREQUENCY(IF(C$2:C$3072=C4061, MATCH(D$2:D$3072, D$2:D$3072, 0)), ROW(D$2:D$3072)-ROW(D$2)+1) &gt; 0))</f>
        <v>#N/A</v>
      </c>
      <c r="C4061" s="408"/>
      <c r="D4061" s="408"/>
      <c r="E4061" s="408"/>
      <c r="F4061" s="408"/>
      <c r="G4061" s="408"/>
      <c r="H4061" s="408"/>
      <c r="I4061" s="408"/>
      <c r="J4061" s="408"/>
      <c r="K4061" s="408"/>
      <c r="L4061" s="408"/>
      <c r="M4061" s="408"/>
      <c r="N4061" s="408" t="str">
        <f t="shared" si="490"/>
        <v/>
      </c>
      <c r="O4061" s="408"/>
      <c r="P4061" s="408"/>
      <c r="Q4061" s="408"/>
      <c r="R4061" s="408"/>
      <c r="S4061" s="408"/>
      <c r="T4061" s="408"/>
      <c r="U4061" s="408"/>
      <c r="V4061" s="421"/>
      <c r="W4061" s="421"/>
      <c r="X4061" s="421"/>
      <c r="Y4061" s="421"/>
      <c r="Z4061" s="421"/>
      <c r="AA4061" s="421"/>
      <c r="AB4061" s="421"/>
      <c r="AC4061" s="421"/>
      <c r="AD4061" s="421"/>
      <c r="AE4061" s="421"/>
      <c r="AF4061" s="421"/>
      <c r="AG4061" s="421"/>
      <c r="AH4061" s="421"/>
      <c r="AI4061" s="421"/>
      <c r="AJ4061" s="421"/>
      <c r="AK4061" s="421"/>
      <c r="AL4061" s="421"/>
    </row>
    <row r="4062" spans="1:38" hidden="1">
      <c r="A4062" s="408"/>
      <c r="B4062" s="83" t="e">
        <f t="array" ref="B4062">SUM(--(FREQUENCY(IF(C$2:C$3072=C4062, MATCH(D$2:D$3072, D$2:D$3072, 0)), ROW(D$2:D$3072)-ROW(D$2)+1) &gt; 0))</f>
        <v>#N/A</v>
      </c>
      <c r="C4062" s="408"/>
      <c r="D4062" s="408"/>
      <c r="E4062" s="408"/>
      <c r="F4062" s="408"/>
      <c r="G4062" s="408"/>
      <c r="H4062" s="408"/>
      <c r="I4062" s="408"/>
      <c r="J4062" s="408"/>
      <c r="K4062" s="408"/>
      <c r="L4062" s="408"/>
      <c r="M4062" s="408"/>
      <c r="N4062" s="408" t="str">
        <f t="shared" si="490"/>
        <v/>
      </c>
      <c r="O4062" s="408"/>
      <c r="P4062" s="408"/>
      <c r="Q4062" s="408"/>
      <c r="R4062" s="408"/>
      <c r="S4062" s="408"/>
      <c r="T4062" s="408"/>
      <c r="U4062" s="408"/>
      <c r="V4062" s="421"/>
      <c r="W4062" s="421"/>
      <c r="X4062" s="421"/>
      <c r="Y4062" s="421"/>
      <c r="Z4062" s="421"/>
      <c r="AA4062" s="421"/>
      <c r="AB4062" s="421"/>
      <c r="AC4062" s="421"/>
      <c r="AD4062" s="421"/>
      <c r="AE4062" s="421"/>
      <c r="AF4062" s="421"/>
      <c r="AG4062" s="421"/>
      <c r="AH4062" s="421"/>
      <c r="AI4062" s="421"/>
      <c r="AJ4062" s="421"/>
      <c r="AK4062" s="421"/>
      <c r="AL4062" s="421"/>
    </row>
    <row r="4063" spans="1:38" hidden="1">
      <c r="A4063" s="408"/>
      <c r="B4063" s="83" t="e">
        <f t="array" ref="B4063">SUM(--(FREQUENCY(IF(C$2:C$3072=C4063, MATCH(D$2:D$3072, D$2:D$3072, 0)), ROW(D$2:D$3072)-ROW(D$2)+1) &gt; 0))</f>
        <v>#N/A</v>
      </c>
      <c r="C4063" s="408"/>
      <c r="D4063" s="408"/>
      <c r="E4063" s="408"/>
      <c r="F4063" s="408"/>
      <c r="G4063" s="408"/>
      <c r="H4063" s="408"/>
      <c r="I4063" s="408"/>
      <c r="J4063" s="408"/>
      <c r="K4063" s="408"/>
      <c r="L4063" s="408"/>
      <c r="M4063" s="408"/>
      <c r="N4063" s="408" t="str">
        <f t="shared" si="490"/>
        <v/>
      </c>
      <c r="O4063" s="408"/>
      <c r="P4063" s="408"/>
      <c r="Q4063" s="408"/>
      <c r="R4063" s="408"/>
      <c r="S4063" s="408"/>
      <c r="T4063" s="408"/>
      <c r="U4063" s="408"/>
      <c r="V4063" s="421"/>
      <c r="W4063" s="421"/>
      <c r="X4063" s="421"/>
      <c r="Y4063" s="421"/>
      <c r="Z4063" s="421"/>
      <c r="AA4063" s="421"/>
      <c r="AB4063" s="421"/>
      <c r="AC4063" s="421"/>
      <c r="AD4063" s="421"/>
      <c r="AE4063" s="421"/>
      <c r="AF4063" s="421"/>
      <c r="AG4063" s="421"/>
      <c r="AH4063" s="421"/>
      <c r="AI4063" s="421"/>
      <c r="AJ4063" s="421"/>
      <c r="AK4063" s="421"/>
      <c r="AL4063" s="421"/>
    </row>
    <row r="4064" spans="1:38" hidden="1">
      <c r="A4064" s="408"/>
      <c r="B4064" s="83" t="e">
        <f t="array" ref="B4064">SUM(--(FREQUENCY(IF(C$2:C$3072=C4064, MATCH(D$2:D$3072, D$2:D$3072, 0)), ROW(D$2:D$3072)-ROW(D$2)+1) &gt; 0))</f>
        <v>#N/A</v>
      </c>
      <c r="C4064" s="408"/>
      <c r="D4064" s="408"/>
      <c r="E4064" s="408"/>
      <c r="F4064" s="408"/>
      <c r="G4064" s="408"/>
      <c r="H4064" s="408"/>
      <c r="I4064" s="408"/>
      <c r="J4064" s="408"/>
      <c r="K4064" s="408"/>
      <c r="L4064" s="408"/>
      <c r="M4064" s="408"/>
      <c r="N4064" s="408" t="str">
        <f t="shared" si="490"/>
        <v/>
      </c>
      <c r="O4064" s="408"/>
      <c r="P4064" s="408"/>
      <c r="Q4064" s="408"/>
      <c r="R4064" s="408"/>
      <c r="S4064" s="408"/>
      <c r="T4064" s="408"/>
      <c r="U4064" s="408"/>
      <c r="V4064" s="421"/>
      <c r="W4064" s="421"/>
      <c r="X4064" s="421"/>
      <c r="Y4064" s="421"/>
      <c r="Z4064" s="421"/>
      <c r="AA4064" s="421"/>
      <c r="AB4064" s="421"/>
      <c r="AC4064" s="421"/>
      <c r="AD4064" s="421"/>
      <c r="AE4064" s="421"/>
      <c r="AF4064" s="421"/>
      <c r="AG4064" s="421"/>
      <c r="AH4064" s="421"/>
      <c r="AI4064" s="421"/>
      <c r="AJ4064" s="421"/>
      <c r="AK4064" s="421"/>
      <c r="AL4064" s="421"/>
    </row>
    <row r="4065" spans="1:38" hidden="1">
      <c r="A4065" s="408"/>
      <c r="B4065" s="83" t="e">
        <f t="array" ref="B4065">SUM(--(FREQUENCY(IF(C$2:C$3072=C4065, MATCH(D$2:D$3072, D$2:D$3072, 0)), ROW(D$2:D$3072)-ROW(D$2)+1) &gt; 0))</f>
        <v>#N/A</v>
      </c>
      <c r="C4065" s="408"/>
      <c r="D4065" s="408"/>
      <c r="E4065" s="408"/>
      <c r="F4065" s="408"/>
      <c r="G4065" s="408"/>
      <c r="H4065" s="408"/>
      <c r="I4065" s="408"/>
      <c r="J4065" s="408"/>
      <c r="K4065" s="408"/>
      <c r="L4065" s="408"/>
      <c r="M4065" s="408"/>
      <c r="N4065" s="408" t="str">
        <f t="shared" si="490"/>
        <v/>
      </c>
      <c r="O4065" s="408"/>
      <c r="P4065" s="408"/>
      <c r="Q4065" s="408"/>
      <c r="R4065" s="408"/>
      <c r="S4065" s="408"/>
      <c r="T4065" s="408"/>
      <c r="U4065" s="408"/>
      <c r="V4065" s="421"/>
      <c r="W4065" s="421"/>
      <c r="X4065" s="421"/>
      <c r="Y4065" s="421"/>
      <c r="Z4065" s="421"/>
      <c r="AA4065" s="421"/>
      <c r="AB4065" s="421"/>
      <c r="AC4065" s="421"/>
      <c r="AD4065" s="421"/>
      <c r="AE4065" s="421"/>
      <c r="AF4065" s="421"/>
      <c r="AG4065" s="421"/>
      <c r="AH4065" s="421"/>
      <c r="AI4065" s="421"/>
      <c r="AJ4065" s="421"/>
      <c r="AK4065" s="421"/>
      <c r="AL4065" s="421"/>
    </row>
    <row r="4066" spans="1:38" hidden="1">
      <c r="A4066" s="408"/>
      <c r="B4066" s="83" t="e">
        <f t="array" ref="B4066">SUM(--(FREQUENCY(IF(C$2:C$3072=C4066, MATCH(D$2:D$3072, D$2:D$3072, 0)), ROW(D$2:D$3072)-ROW(D$2)+1) &gt; 0))</f>
        <v>#N/A</v>
      </c>
      <c r="C4066" s="408"/>
      <c r="D4066" s="408"/>
      <c r="E4066" s="408"/>
      <c r="F4066" s="408"/>
      <c r="G4066" s="408"/>
      <c r="H4066" s="408"/>
      <c r="I4066" s="408"/>
      <c r="J4066" s="408"/>
      <c r="K4066" s="408"/>
      <c r="L4066" s="408"/>
      <c r="M4066" s="408"/>
      <c r="N4066" s="408" t="str">
        <f t="shared" si="490"/>
        <v/>
      </c>
      <c r="O4066" s="408"/>
      <c r="P4066" s="408"/>
      <c r="Q4066" s="408"/>
      <c r="R4066" s="408"/>
      <c r="S4066" s="408"/>
      <c r="T4066" s="408"/>
      <c r="U4066" s="408"/>
      <c r="V4066" s="421"/>
      <c r="W4066" s="421"/>
      <c r="X4066" s="421"/>
      <c r="Y4066" s="421"/>
      <c r="Z4066" s="421"/>
      <c r="AA4066" s="421"/>
      <c r="AB4066" s="421"/>
      <c r="AC4066" s="421"/>
      <c r="AD4066" s="421"/>
      <c r="AE4066" s="421"/>
      <c r="AF4066" s="421"/>
      <c r="AG4066" s="421"/>
      <c r="AH4066" s="421"/>
      <c r="AI4066" s="421"/>
      <c r="AJ4066" s="421"/>
      <c r="AK4066" s="421"/>
      <c r="AL4066" s="421"/>
    </row>
    <row r="4067" spans="1:38" hidden="1">
      <c r="A4067" s="408"/>
      <c r="B4067" s="83" t="e">
        <f t="array" ref="B4067">SUM(--(FREQUENCY(IF(C$2:C$3072=C4067, MATCH(D$2:D$3072, D$2:D$3072, 0)), ROW(D$2:D$3072)-ROW(D$2)+1) &gt; 0))</f>
        <v>#N/A</v>
      </c>
      <c r="C4067" s="408"/>
      <c r="D4067" s="408"/>
      <c r="E4067" s="408"/>
      <c r="F4067" s="408"/>
      <c r="G4067" s="408"/>
      <c r="H4067" s="408"/>
      <c r="I4067" s="408"/>
      <c r="J4067" s="408"/>
      <c r="K4067" s="408"/>
      <c r="L4067" s="408"/>
      <c r="M4067" s="408"/>
      <c r="N4067" s="408" t="str">
        <f t="shared" si="490"/>
        <v/>
      </c>
      <c r="O4067" s="408"/>
      <c r="P4067" s="408"/>
      <c r="Q4067" s="408"/>
      <c r="R4067" s="408"/>
      <c r="S4067" s="408"/>
      <c r="T4067" s="408"/>
      <c r="U4067" s="408"/>
      <c r="V4067" s="421"/>
      <c r="W4067" s="421"/>
      <c r="X4067" s="421"/>
      <c r="Y4067" s="421"/>
      <c r="Z4067" s="421"/>
      <c r="AA4067" s="421"/>
      <c r="AB4067" s="421"/>
      <c r="AC4067" s="421"/>
      <c r="AD4067" s="421"/>
      <c r="AE4067" s="421"/>
      <c r="AF4067" s="421"/>
      <c r="AG4067" s="421"/>
      <c r="AH4067" s="421"/>
      <c r="AI4067" s="421"/>
      <c r="AJ4067" s="421"/>
      <c r="AK4067" s="421"/>
      <c r="AL4067" s="421"/>
    </row>
    <row r="4068" spans="1:38" hidden="1">
      <c r="A4068" s="408"/>
      <c r="B4068" s="83" t="e">
        <f t="array" ref="B4068">SUM(--(FREQUENCY(IF(C$2:C$3072=C4068, MATCH(D$2:D$3072, D$2:D$3072, 0)), ROW(D$2:D$3072)-ROW(D$2)+1) &gt; 0))</f>
        <v>#N/A</v>
      </c>
      <c r="C4068" s="408"/>
      <c r="D4068" s="408"/>
      <c r="E4068" s="408"/>
      <c r="F4068" s="408"/>
      <c r="G4068" s="408"/>
      <c r="H4068" s="408"/>
      <c r="I4068" s="408"/>
      <c r="J4068" s="408"/>
      <c r="K4068" s="408"/>
      <c r="L4068" s="408"/>
      <c r="M4068" s="408"/>
      <c r="N4068" s="408" t="str">
        <f t="shared" si="490"/>
        <v/>
      </c>
      <c r="O4068" s="408"/>
      <c r="P4068" s="408"/>
      <c r="Q4068" s="408"/>
      <c r="R4068" s="408"/>
      <c r="S4068" s="408"/>
      <c r="T4068" s="408"/>
      <c r="U4068" s="408"/>
      <c r="V4068" s="421"/>
      <c r="W4068" s="421"/>
      <c r="X4068" s="421"/>
      <c r="Y4068" s="421"/>
      <c r="Z4068" s="421"/>
      <c r="AA4068" s="421"/>
      <c r="AB4068" s="421"/>
      <c r="AC4068" s="421"/>
      <c r="AD4068" s="421"/>
      <c r="AE4068" s="421"/>
      <c r="AF4068" s="421"/>
      <c r="AG4068" s="421"/>
      <c r="AH4068" s="421"/>
      <c r="AI4068" s="421"/>
      <c r="AJ4068" s="421"/>
      <c r="AK4068" s="421"/>
      <c r="AL4068" s="421"/>
    </row>
    <row r="4069" spans="1:38" hidden="1">
      <c r="A4069" s="408"/>
      <c r="B4069" s="83" t="e">
        <f t="array" ref="B4069">SUM(--(FREQUENCY(IF(C$2:C$3072=C4069, MATCH(D$2:D$3072, D$2:D$3072, 0)), ROW(D$2:D$3072)-ROW(D$2)+1) &gt; 0))</f>
        <v>#N/A</v>
      </c>
      <c r="C4069" s="408"/>
      <c r="D4069" s="408"/>
      <c r="E4069" s="408"/>
      <c r="F4069" s="408"/>
      <c r="G4069" s="408"/>
      <c r="H4069" s="408"/>
      <c r="I4069" s="408"/>
      <c r="J4069" s="408"/>
      <c r="K4069" s="408"/>
      <c r="L4069" s="408"/>
      <c r="M4069" s="408"/>
      <c r="N4069" s="408" t="str">
        <f t="shared" si="490"/>
        <v/>
      </c>
      <c r="O4069" s="408"/>
      <c r="P4069" s="408"/>
      <c r="Q4069" s="408"/>
      <c r="R4069" s="408"/>
      <c r="S4069" s="408"/>
      <c r="T4069" s="408"/>
      <c r="U4069" s="408"/>
      <c r="V4069" s="421"/>
      <c r="W4069" s="421"/>
      <c r="X4069" s="421"/>
      <c r="Y4069" s="421"/>
      <c r="Z4069" s="421"/>
      <c r="AA4069" s="421"/>
      <c r="AB4069" s="421"/>
      <c r="AC4069" s="421"/>
      <c r="AD4069" s="421"/>
      <c r="AE4069" s="421"/>
      <c r="AF4069" s="421"/>
      <c r="AG4069" s="421"/>
      <c r="AH4069" s="421"/>
      <c r="AI4069" s="421"/>
      <c r="AJ4069" s="421"/>
      <c r="AK4069" s="421"/>
      <c r="AL4069" s="421"/>
    </row>
    <row r="4070" spans="1:38" hidden="1">
      <c r="A4070" s="408"/>
      <c r="B4070" s="83" t="e">
        <f t="array" ref="B4070">SUM(--(FREQUENCY(IF(C$2:C$3072=C4070, MATCH(D$2:D$3072, D$2:D$3072, 0)), ROW(D$2:D$3072)-ROW(D$2)+1) &gt; 0))</f>
        <v>#N/A</v>
      </c>
      <c r="C4070" s="408"/>
      <c r="D4070" s="408"/>
      <c r="E4070" s="408"/>
      <c r="F4070" s="408"/>
      <c r="G4070" s="408"/>
      <c r="H4070" s="408"/>
      <c r="I4070" s="408"/>
      <c r="J4070" s="408"/>
      <c r="K4070" s="408"/>
      <c r="L4070" s="408"/>
      <c r="M4070" s="408"/>
      <c r="N4070" s="408" t="str">
        <f t="shared" si="490"/>
        <v/>
      </c>
      <c r="O4070" s="408"/>
      <c r="P4070" s="408"/>
      <c r="Q4070" s="408"/>
      <c r="R4070" s="408"/>
      <c r="S4070" s="408"/>
      <c r="T4070" s="408"/>
      <c r="U4070" s="408"/>
      <c r="V4070" s="421"/>
      <c r="W4070" s="421"/>
      <c r="X4070" s="421"/>
      <c r="Y4070" s="421"/>
      <c r="Z4070" s="421"/>
      <c r="AA4070" s="421"/>
      <c r="AB4070" s="421"/>
      <c r="AC4070" s="421"/>
      <c r="AD4070" s="421"/>
      <c r="AE4070" s="421"/>
      <c r="AF4070" s="421"/>
      <c r="AG4070" s="421"/>
      <c r="AH4070" s="421"/>
      <c r="AI4070" s="421"/>
      <c r="AJ4070" s="421"/>
      <c r="AK4070" s="421"/>
      <c r="AL4070" s="421"/>
    </row>
    <row r="4071" spans="1:38" hidden="1">
      <c r="A4071" s="408"/>
      <c r="B4071" s="83" t="e">
        <f t="array" ref="B4071">SUM(--(FREQUENCY(IF(C$2:C$3072=C4071, MATCH(D$2:D$3072, D$2:D$3072, 0)), ROW(D$2:D$3072)-ROW(D$2)+1) &gt; 0))</f>
        <v>#N/A</v>
      </c>
      <c r="C4071" s="408"/>
      <c r="D4071" s="408"/>
      <c r="E4071" s="408"/>
      <c r="F4071" s="408"/>
      <c r="G4071" s="408"/>
      <c r="H4071" s="408"/>
      <c r="I4071" s="408"/>
      <c r="J4071" s="408"/>
      <c r="K4071" s="408"/>
      <c r="L4071" s="408"/>
      <c r="M4071" s="408"/>
      <c r="N4071" s="408" t="str">
        <f t="shared" si="490"/>
        <v/>
      </c>
      <c r="O4071" s="408"/>
      <c r="P4071" s="408"/>
      <c r="Q4071" s="408"/>
      <c r="R4071" s="408"/>
      <c r="S4071" s="408"/>
      <c r="T4071" s="408"/>
      <c r="U4071" s="408"/>
      <c r="V4071" s="421"/>
      <c r="W4071" s="421"/>
      <c r="X4071" s="421"/>
      <c r="Y4071" s="421"/>
      <c r="Z4071" s="421"/>
      <c r="AA4071" s="421"/>
      <c r="AB4071" s="421"/>
      <c r="AC4071" s="421"/>
      <c r="AD4071" s="421"/>
      <c r="AE4071" s="421"/>
      <c r="AF4071" s="421"/>
      <c r="AG4071" s="421"/>
      <c r="AH4071" s="421"/>
      <c r="AI4071" s="421"/>
      <c r="AJ4071" s="421"/>
      <c r="AK4071" s="421"/>
      <c r="AL4071" s="421"/>
    </row>
    <row r="4072" spans="1:38" hidden="1">
      <c r="A4072" s="408"/>
      <c r="B4072" s="83" t="e">
        <f t="array" ref="B4072">SUM(--(FREQUENCY(IF(C$2:C$3072=C4072, MATCH(D$2:D$3072, D$2:D$3072, 0)), ROW(D$2:D$3072)-ROW(D$2)+1) &gt; 0))</f>
        <v>#N/A</v>
      </c>
      <c r="C4072" s="408"/>
      <c r="D4072" s="408"/>
      <c r="E4072" s="408"/>
      <c r="F4072" s="408"/>
      <c r="G4072" s="408"/>
      <c r="H4072" s="408"/>
      <c r="I4072" s="408"/>
      <c r="J4072" s="408"/>
      <c r="K4072" s="408"/>
      <c r="L4072" s="408"/>
      <c r="M4072" s="408"/>
      <c r="N4072" s="408" t="str">
        <f t="shared" si="490"/>
        <v/>
      </c>
      <c r="O4072" s="408"/>
      <c r="P4072" s="408"/>
      <c r="Q4072" s="408"/>
      <c r="R4072" s="408"/>
      <c r="S4072" s="408"/>
      <c r="T4072" s="408"/>
      <c r="U4072" s="408"/>
      <c r="V4072" s="421"/>
      <c r="W4072" s="421"/>
      <c r="X4072" s="421"/>
      <c r="Y4072" s="421"/>
      <c r="Z4072" s="421"/>
      <c r="AA4072" s="421"/>
      <c r="AB4072" s="421"/>
      <c r="AC4072" s="421"/>
      <c r="AD4072" s="421"/>
      <c r="AE4072" s="421"/>
      <c r="AF4072" s="421"/>
      <c r="AG4072" s="421"/>
      <c r="AH4072" s="421"/>
      <c r="AI4072" s="421"/>
      <c r="AJ4072" s="421"/>
      <c r="AK4072" s="421"/>
      <c r="AL4072" s="421"/>
    </row>
    <row r="4073" spans="1:38" hidden="1">
      <c r="A4073" s="408"/>
      <c r="B4073" s="83" t="e">
        <f t="array" ref="B4073">SUM(--(FREQUENCY(IF(C$2:C$3072=C4073, MATCH(D$2:D$3072, D$2:D$3072, 0)), ROW(D$2:D$3072)-ROW(D$2)+1) &gt; 0))</f>
        <v>#N/A</v>
      </c>
      <c r="C4073" s="408"/>
      <c r="D4073" s="408"/>
      <c r="E4073" s="408"/>
      <c r="F4073" s="408"/>
      <c r="G4073" s="408"/>
      <c r="H4073" s="408"/>
      <c r="I4073" s="408"/>
      <c r="J4073" s="408"/>
      <c r="K4073" s="408"/>
      <c r="L4073" s="408"/>
      <c r="M4073" s="408"/>
      <c r="N4073" s="408" t="str">
        <f t="shared" si="490"/>
        <v/>
      </c>
      <c r="O4073" s="408"/>
      <c r="P4073" s="408"/>
      <c r="Q4073" s="408"/>
      <c r="R4073" s="408"/>
      <c r="S4073" s="408"/>
      <c r="T4073" s="408"/>
      <c r="U4073" s="408"/>
      <c r="V4073" s="421"/>
      <c r="W4073" s="421"/>
      <c r="X4073" s="421"/>
      <c r="Y4073" s="421"/>
      <c r="Z4073" s="421"/>
      <c r="AA4073" s="421"/>
      <c r="AB4073" s="421"/>
      <c r="AC4073" s="421"/>
      <c r="AD4073" s="421"/>
      <c r="AE4073" s="421"/>
      <c r="AF4073" s="421"/>
      <c r="AG4073" s="421"/>
      <c r="AH4073" s="421"/>
      <c r="AI4073" s="421"/>
      <c r="AJ4073" s="421"/>
      <c r="AK4073" s="421"/>
      <c r="AL4073" s="421"/>
    </row>
    <row r="4074" spans="1:38" hidden="1">
      <c r="A4074" s="408"/>
      <c r="B4074" s="83" t="e">
        <f t="array" ref="B4074">SUM(--(FREQUENCY(IF(C$2:C$3072=C4074, MATCH(D$2:D$3072, D$2:D$3072, 0)), ROW(D$2:D$3072)-ROW(D$2)+1) &gt; 0))</f>
        <v>#N/A</v>
      </c>
      <c r="C4074" s="408"/>
      <c r="D4074" s="408"/>
      <c r="E4074" s="408"/>
      <c r="F4074" s="408"/>
      <c r="G4074" s="408"/>
      <c r="H4074" s="408"/>
      <c r="I4074" s="408"/>
      <c r="J4074" s="408"/>
      <c r="K4074" s="408"/>
      <c r="L4074" s="408"/>
      <c r="M4074" s="408"/>
      <c r="N4074" s="408" t="str">
        <f t="shared" si="490"/>
        <v/>
      </c>
      <c r="O4074" s="408"/>
      <c r="P4074" s="408"/>
      <c r="Q4074" s="408"/>
      <c r="R4074" s="408"/>
      <c r="S4074" s="408"/>
      <c r="T4074" s="408"/>
      <c r="U4074" s="408"/>
      <c r="V4074" s="421"/>
      <c r="W4074" s="421"/>
      <c r="X4074" s="421"/>
      <c r="Y4074" s="421"/>
      <c r="Z4074" s="421"/>
      <c r="AA4074" s="421"/>
      <c r="AB4074" s="421"/>
      <c r="AC4074" s="421"/>
      <c r="AD4074" s="421"/>
      <c r="AE4074" s="421"/>
      <c r="AF4074" s="421"/>
      <c r="AG4074" s="421"/>
      <c r="AH4074" s="421"/>
      <c r="AI4074" s="421"/>
      <c r="AJ4074" s="421"/>
      <c r="AK4074" s="421"/>
      <c r="AL4074" s="421"/>
    </row>
    <row r="4075" spans="1:38" hidden="1">
      <c r="A4075" s="408"/>
      <c r="B4075" s="83" t="e">
        <f t="array" ref="B4075">SUM(--(FREQUENCY(IF(C$2:C$3072=C4075, MATCH(D$2:D$3072, D$2:D$3072, 0)), ROW(D$2:D$3072)-ROW(D$2)+1) &gt; 0))</f>
        <v>#N/A</v>
      </c>
      <c r="C4075" s="408"/>
      <c r="D4075" s="408"/>
      <c r="E4075" s="408"/>
      <c r="F4075" s="408"/>
      <c r="G4075" s="408"/>
      <c r="H4075" s="408"/>
      <c r="I4075" s="408"/>
      <c r="J4075" s="408"/>
      <c r="K4075" s="408"/>
      <c r="L4075" s="408"/>
      <c r="M4075" s="408"/>
      <c r="N4075" s="408" t="str">
        <f t="shared" si="490"/>
        <v/>
      </c>
      <c r="O4075" s="408"/>
      <c r="P4075" s="408"/>
      <c r="Q4075" s="408"/>
      <c r="R4075" s="408"/>
      <c r="S4075" s="408"/>
      <c r="T4075" s="408"/>
      <c r="U4075" s="408"/>
      <c r="V4075" s="421"/>
      <c r="W4075" s="421"/>
      <c r="X4075" s="421"/>
      <c r="Y4075" s="421"/>
      <c r="Z4075" s="421"/>
      <c r="AA4075" s="421"/>
      <c r="AB4075" s="421"/>
      <c r="AC4075" s="421"/>
      <c r="AD4075" s="421"/>
      <c r="AE4075" s="421"/>
      <c r="AF4075" s="421"/>
      <c r="AG4075" s="421"/>
      <c r="AH4075" s="421"/>
      <c r="AI4075" s="421"/>
      <c r="AJ4075" s="421"/>
      <c r="AK4075" s="421"/>
      <c r="AL4075" s="421"/>
    </row>
    <row r="4076" spans="1:38" ht="16.5" hidden="1" customHeight="1">
      <c r="A4076" s="408"/>
      <c r="B4076" s="83" t="e">
        <f t="array" ref="B4076">SUM(--(FREQUENCY(IF(C$2:C$3072=C4076, MATCH(D$2:D$3072, D$2:D$3072, 0)), ROW(D$2:D$3072)-ROW(D$2)+1) &gt; 0))</f>
        <v>#N/A</v>
      </c>
      <c r="C4076" s="408"/>
      <c r="D4076" s="408"/>
      <c r="E4076" s="408"/>
      <c r="F4076" s="408"/>
      <c r="G4076" s="408"/>
      <c r="H4076" s="408"/>
      <c r="I4076" s="408"/>
      <c r="J4076" s="408"/>
      <c r="K4076" s="408"/>
      <c r="L4076" s="408"/>
      <c r="M4076" s="408"/>
      <c r="N4076" s="408" t="str">
        <f t="shared" si="490"/>
        <v/>
      </c>
      <c r="O4076" s="408"/>
      <c r="P4076" s="408"/>
      <c r="Q4076" s="408"/>
      <c r="R4076" s="408"/>
      <c r="S4076" s="408"/>
      <c r="T4076" s="408"/>
      <c r="U4076" s="408"/>
      <c r="V4076" s="421"/>
      <c r="W4076" s="421"/>
      <c r="X4076" s="421"/>
      <c r="Y4076" s="421"/>
      <c r="Z4076" s="421"/>
      <c r="AA4076" s="421"/>
      <c r="AB4076" s="421"/>
      <c r="AC4076" s="421"/>
      <c r="AD4076" s="421"/>
      <c r="AE4076" s="421"/>
      <c r="AF4076" s="421"/>
      <c r="AG4076" s="421"/>
      <c r="AH4076" s="421"/>
      <c r="AI4076" s="421"/>
      <c r="AJ4076" s="421"/>
      <c r="AK4076" s="421"/>
      <c r="AL4076" s="421"/>
    </row>
    <row r="4077" spans="1:38" ht="16.5" hidden="1" customHeight="1">
      <c r="A4077" s="408"/>
      <c r="B4077" s="83" t="e">
        <f t="array" ref="B4077">SUM(--(FREQUENCY(IF(C$2:C$3072=C4077, MATCH(D$2:D$3072, D$2:D$3072, 0)), ROW(D$2:D$3072)-ROW(D$2)+1) &gt; 0))</f>
        <v>#N/A</v>
      </c>
      <c r="C4077" s="408"/>
      <c r="D4077" s="408"/>
      <c r="E4077" s="408"/>
      <c r="F4077" s="408"/>
      <c r="G4077" s="408"/>
      <c r="H4077" s="408"/>
      <c r="I4077" s="408"/>
      <c r="J4077" s="408"/>
      <c r="K4077" s="408"/>
      <c r="L4077" s="408"/>
      <c r="M4077" s="408"/>
      <c r="N4077" s="408" t="str">
        <f t="shared" si="490"/>
        <v/>
      </c>
      <c r="O4077" s="408"/>
      <c r="P4077" s="408"/>
      <c r="Q4077" s="408"/>
      <c r="R4077" s="408"/>
      <c r="S4077" s="408"/>
      <c r="T4077" s="408"/>
      <c r="U4077" s="408"/>
      <c r="V4077" s="421"/>
      <c r="W4077" s="421"/>
      <c r="X4077" s="421"/>
      <c r="Y4077" s="421"/>
      <c r="Z4077" s="421"/>
      <c r="AA4077" s="421"/>
      <c r="AB4077" s="421"/>
      <c r="AC4077" s="421"/>
      <c r="AD4077" s="421"/>
      <c r="AE4077" s="421"/>
      <c r="AF4077" s="421"/>
      <c r="AG4077" s="421"/>
      <c r="AH4077" s="421"/>
      <c r="AI4077" s="421"/>
      <c r="AJ4077" s="421"/>
      <c r="AK4077" s="421"/>
      <c r="AL4077" s="421"/>
    </row>
    <row r="4078" spans="1:38" ht="16.5" hidden="1" customHeight="1">
      <c r="A4078" s="408"/>
      <c r="B4078" s="83" t="e">
        <f t="array" ref="B4078">SUM(--(FREQUENCY(IF(C$2:C$3072=C4078, MATCH(D$2:D$3072, D$2:D$3072, 0)), ROW(D$2:D$3072)-ROW(D$2)+1) &gt; 0))</f>
        <v>#N/A</v>
      </c>
      <c r="C4078" s="408"/>
      <c r="D4078" s="408"/>
      <c r="E4078" s="408"/>
      <c r="F4078" s="408"/>
      <c r="G4078" s="408"/>
      <c r="H4078" s="408"/>
      <c r="I4078" s="408"/>
      <c r="J4078" s="408"/>
      <c r="K4078" s="408"/>
      <c r="L4078" s="408"/>
      <c r="M4078" s="408"/>
      <c r="N4078" s="408" t="str">
        <f t="shared" si="490"/>
        <v/>
      </c>
      <c r="O4078" s="408"/>
      <c r="P4078" s="408"/>
      <c r="Q4078" s="408"/>
      <c r="R4078" s="408"/>
      <c r="S4078" s="408"/>
      <c r="T4078" s="408"/>
      <c r="U4078" s="408"/>
      <c r="V4078" s="421"/>
      <c r="W4078" s="421"/>
      <c r="X4078" s="421"/>
      <c r="Y4078" s="421"/>
      <c r="Z4078" s="421"/>
      <c r="AA4078" s="421"/>
      <c r="AB4078" s="421"/>
      <c r="AC4078" s="421"/>
      <c r="AD4078" s="421"/>
      <c r="AE4078" s="421"/>
      <c r="AF4078" s="421"/>
      <c r="AG4078" s="421"/>
      <c r="AH4078" s="421"/>
      <c r="AI4078" s="421"/>
      <c r="AJ4078" s="421"/>
      <c r="AK4078" s="421"/>
      <c r="AL4078" s="421"/>
    </row>
    <row r="4079" spans="1:38" ht="16.5" hidden="1" customHeight="1">
      <c r="A4079" s="408"/>
      <c r="B4079" s="83" t="e">
        <f t="array" ref="B4079">SUM(--(FREQUENCY(IF(C$2:C$3072=C4079, MATCH(D$2:D$3072, D$2:D$3072, 0)), ROW(D$2:D$3072)-ROW(D$2)+1) &gt; 0))</f>
        <v>#N/A</v>
      </c>
      <c r="C4079" s="408"/>
      <c r="D4079" s="408"/>
      <c r="E4079" s="408"/>
      <c r="F4079" s="408"/>
      <c r="G4079" s="408"/>
      <c r="H4079" s="408"/>
      <c r="I4079" s="408"/>
      <c r="J4079" s="408"/>
      <c r="K4079" s="408"/>
      <c r="L4079" s="408"/>
      <c r="M4079" s="408"/>
      <c r="N4079" s="408" t="str">
        <f t="shared" si="490"/>
        <v/>
      </c>
      <c r="O4079" s="408"/>
      <c r="P4079" s="408"/>
      <c r="Q4079" s="408"/>
      <c r="R4079" s="408"/>
      <c r="S4079" s="408"/>
      <c r="T4079" s="408"/>
      <c r="U4079" s="408"/>
      <c r="V4079" s="421"/>
      <c r="W4079" s="421"/>
      <c r="X4079" s="421"/>
      <c r="Y4079" s="421"/>
      <c r="Z4079" s="421"/>
      <c r="AA4079" s="421"/>
      <c r="AB4079" s="421"/>
      <c r="AC4079" s="421"/>
      <c r="AD4079" s="421"/>
      <c r="AE4079" s="421"/>
      <c r="AF4079" s="421"/>
      <c r="AG4079" s="421"/>
      <c r="AH4079" s="421"/>
      <c r="AI4079" s="421"/>
      <c r="AJ4079" s="421"/>
      <c r="AK4079" s="421"/>
      <c r="AL4079" s="421"/>
    </row>
    <row r="4080" spans="1:38" ht="16.5" hidden="1" customHeight="1">
      <c r="A4080" s="408"/>
      <c r="B4080" s="83" t="e">
        <f t="array" ref="B4080">SUM(--(FREQUENCY(IF(C$2:C$3072=C4080, MATCH(D$2:D$3072, D$2:D$3072, 0)), ROW(D$2:D$3072)-ROW(D$2)+1) &gt; 0))</f>
        <v>#N/A</v>
      </c>
      <c r="C4080" s="408"/>
      <c r="D4080" s="408"/>
      <c r="E4080" s="408"/>
      <c r="F4080" s="408"/>
      <c r="G4080" s="408"/>
      <c r="H4080" s="408"/>
      <c r="I4080" s="408"/>
      <c r="J4080" s="408"/>
      <c r="K4080" s="408"/>
      <c r="L4080" s="408"/>
      <c r="M4080" s="408"/>
      <c r="N4080" s="408" t="str">
        <f t="shared" si="490"/>
        <v/>
      </c>
      <c r="O4080" s="408"/>
      <c r="P4080" s="408"/>
      <c r="Q4080" s="408"/>
      <c r="R4080" s="408"/>
      <c r="S4080" s="408"/>
      <c r="T4080" s="408"/>
      <c r="U4080" s="408"/>
      <c r="V4080" s="421"/>
      <c r="W4080" s="421"/>
      <c r="X4080" s="421"/>
      <c r="Y4080" s="421"/>
      <c r="Z4080" s="421"/>
      <c r="AA4080" s="421"/>
      <c r="AB4080" s="421"/>
      <c r="AC4080" s="421"/>
      <c r="AD4080" s="421"/>
      <c r="AE4080" s="421"/>
      <c r="AF4080" s="421"/>
      <c r="AG4080" s="421"/>
      <c r="AH4080" s="421"/>
      <c r="AI4080" s="421"/>
      <c r="AJ4080" s="421"/>
      <c r="AK4080" s="421"/>
      <c r="AL4080" s="421"/>
    </row>
    <row r="4081" spans="1:38" ht="16.5" hidden="1" customHeight="1">
      <c r="A4081" s="408"/>
      <c r="B4081" s="83" t="e">
        <f t="array" ref="B4081">SUM(--(FREQUENCY(IF(C$2:C$3072=C4081, MATCH(D$2:D$3072, D$2:D$3072, 0)), ROW(D$2:D$3072)-ROW(D$2)+1) &gt; 0))</f>
        <v>#N/A</v>
      </c>
      <c r="C4081" s="408"/>
      <c r="D4081" s="408"/>
      <c r="E4081" s="408"/>
      <c r="F4081" s="408"/>
      <c r="G4081" s="408"/>
      <c r="H4081" s="408"/>
      <c r="I4081" s="408"/>
      <c r="J4081" s="408"/>
      <c r="K4081" s="408"/>
      <c r="L4081" s="408"/>
      <c r="M4081" s="408"/>
      <c r="N4081" s="408" t="str">
        <f t="shared" si="490"/>
        <v/>
      </c>
      <c r="O4081" s="408"/>
      <c r="P4081" s="408"/>
      <c r="Q4081" s="408"/>
      <c r="R4081" s="408"/>
      <c r="S4081" s="408"/>
      <c r="T4081" s="408"/>
      <c r="U4081" s="408"/>
      <c r="V4081" s="421"/>
      <c r="W4081" s="421"/>
      <c r="X4081" s="421"/>
      <c r="Y4081" s="421"/>
      <c r="Z4081" s="421"/>
      <c r="AA4081" s="421"/>
      <c r="AB4081" s="421"/>
      <c r="AC4081" s="421"/>
      <c r="AD4081" s="421"/>
      <c r="AE4081" s="421"/>
      <c r="AF4081" s="421"/>
      <c r="AG4081" s="421"/>
      <c r="AH4081" s="421"/>
      <c r="AI4081" s="421"/>
      <c r="AJ4081" s="421"/>
      <c r="AK4081" s="421"/>
      <c r="AL4081" s="421"/>
    </row>
    <row r="4082" spans="1:38" ht="16.5" hidden="1" customHeight="1">
      <c r="A4082" s="408"/>
      <c r="B4082" s="83" t="e">
        <f t="array" ref="B4082">SUM(--(FREQUENCY(IF(C$2:C$3072=C4082, MATCH(D$2:D$3072, D$2:D$3072, 0)), ROW(D$2:D$3072)-ROW(D$2)+1) &gt; 0))</f>
        <v>#N/A</v>
      </c>
      <c r="C4082" s="408"/>
      <c r="D4082" s="408"/>
      <c r="E4082" s="408"/>
      <c r="F4082" s="408"/>
      <c r="G4082" s="408"/>
      <c r="H4082" s="408"/>
      <c r="I4082" s="408"/>
      <c r="J4082" s="408"/>
      <c r="K4082" s="408"/>
      <c r="L4082" s="408"/>
      <c r="M4082" s="408"/>
      <c r="N4082" s="408" t="str">
        <f t="shared" si="490"/>
        <v/>
      </c>
      <c r="O4082" s="408"/>
      <c r="P4082" s="408"/>
      <c r="Q4082" s="408"/>
      <c r="R4082" s="408"/>
      <c r="S4082" s="408"/>
      <c r="T4082" s="408"/>
      <c r="U4082" s="408"/>
      <c r="V4082" s="421"/>
      <c r="W4082" s="421"/>
      <c r="X4082" s="421"/>
      <c r="Y4082" s="421"/>
      <c r="Z4082" s="421"/>
      <c r="AA4082" s="421"/>
      <c r="AB4082" s="421"/>
      <c r="AC4082" s="421"/>
      <c r="AD4082" s="421"/>
      <c r="AE4082" s="421"/>
      <c r="AF4082" s="421"/>
      <c r="AG4082" s="421"/>
      <c r="AH4082" s="421"/>
      <c r="AI4082" s="421"/>
      <c r="AJ4082" s="421"/>
      <c r="AK4082" s="421"/>
      <c r="AL4082" s="421"/>
    </row>
    <row r="4083" spans="1:38" ht="16.5" hidden="1" customHeight="1">
      <c r="A4083" s="408"/>
      <c r="B4083" s="83" t="e">
        <f t="array" ref="B4083">SUM(--(FREQUENCY(IF(C$2:C$3072=C4083, MATCH(D$2:D$3072, D$2:D$3072, 0)), ROW(D$2:D$3072)-ROW(D$2)+1) &gt; 0))</f>
        <v>#N/A</v>
      </c>
      <c r="C4083" s="408"/>
      <c r="D4083" s="408"/>
      <c r="E4083" s="408"/>
      <c r="F4083" s="408"/>
      <c r="G4083" s="408"/>
      <c r="H4083" s="408"/>
      <c r="I4083" s="408"/>
      <c r="J4083" s="408"/>
      <c r="K4083" s="408"/>
      <c r="L4083" s="408"/>
      <c r="M4083" s="408"/>
      <c r="N4083" s="408" t="str">
        <f t="shared" si="490"/>
        <v/>
      </c>
      <c r="O4083" s="408"/>
      <c r="P4083" s="408"/>
      <c r="Q4083" s="408"/>
      <c r="R4083" s="408"/>
      <c r="S4083" s="408"/>
      <c r="T4083" s="408"/>
      <c r="U4083" s="408"/>
      <c r="V4083" s="421"/>
      <c r="W4083" s="421"/>
      <c r="X4083" s="421"/>
      <c r="Y4083" s="421"/>
      <c r="Z4083" s="421"/>
      <c r="AA4083" s="421"/>
      <c r="AB4083" s="421"/>
      <c r="AC4083" s="421"/>
      <c r="AD4083" s="421"/>
      <c r="AE4083" s="421"/>
      <c r="AF4083" s="421"/>
      <c r="AG4083" s="421"/>
      <c r="AH4083" s="421"/>
      <c r="AI4083" s="421"/>
      <c r="AJ4083" s="421"/>
      <c r="AK4083" s="421"/>
      <c r="AL4083" s="421"/>
    </row>
    <row r="4084" spans="1:38" ht="16.5" hidden="1" customHeight="1">
      <c r="A4084" s="408"/>
      <c r="B4084" s="83" t="e">
        <f t="array" ref="B4084">SUM(--(FREQUENCY(IF(C$2:C$3072=C4084, MATCH(D$2:D$3072, D$2:D$3072, 0)), ROW(D$2:D$3072)-ROW(D$2)+1) &gt; 0))</f>
        <v>#N/A</v>
      </c>
      <c r="C4084" s="408"/>
      <c r="D4084" s="408"/>
      <c r="E4084" s="408"/>
      <c r="F4084" s="408"/>
      <c r="G4084" s="408"/>
      <c r="H4084" s="408"/>
      <c r="I4084" s="408"/>
      <c r="J4084" s="408"/>
      <c r="K4084" s="408"/>
      <c r="L4084" s="408"/>
      <c r="M4084" s="408"/>
      <c r="N4084" s="408" t="str">
        <f t="shared" si="490"/>
        <v/>
      </c>
      <c r="O4084" s="408"/>
      <c r="P4084" s="408"/>
      <c r="Q4084" s="408"/>
      <c r="R4084" s="408"/>
      <c r="S4084" s="408"/>
      <c r="T4084" s="408"/>
      <c r="U4084" s="408"/>
      <c r="V4084" s="421"/>
      <c r="W4084" s="421"/>
      <c r="X4084" s="421"/>
      <c r="Y4084" s="421"/>
      <c r="Z4084" s="421"/>
      <c r="AA4084" s="421"/>
      <c r="AB4084" s="421"/>
      <c r="AC4084" s="421"/>
      <c r="AD4084" s="421"/>
      <c r="AE4084" s="421"/>
      <c r="AF4084" s="421"/>
      <c r="AG4084" s="421"/>
      <c r="AH4084" s="421"/>
      <c r="AI4084" s="421"/>
      <c r="AJ4084" s="421"/>
      <c r="AK4084" s="421"/>
      <c r="AL4084" s="421"/>
    </row>
    <row r="4085" spans="1:38" ht="16.5" hidden="1" customHeight="1">
      <c r="A4085" s="408"/>
      <c r="B4085" s="83" t="e">
        <f t="array" ref="B4085">SUM(--(FREQUENCY(IF(C$2:C$3072=C4085, MATCH(D$2:D$3072, D$2:D$3072, 0)), ROW(D$2:D$3072)-ROW(D$2)+1) &gt; 0))</f>
        <v>#N/A</v>
      </c>
      <c r="C4085" s="408"/>
      <c r="D4085" s="408"/>
      <c r="E4085" s="408"/>
      <c r="F4085" s="408"/>
      <c r="G4085" s="408"/>
      <c r="H4085" s="408"/>
      <c r="I4085" s="408"/>
      <c r="J4085" s="408"/>
      <c r="K4085" s="408"/>
      <c r="L4085" s="408"/>
      <c r="M4085" s="408"/>
      <c r="N4085" s="408"/>
      <c r="O4085" s="408"/>
      <c r="P4085" s="408"/>
      <c r="Q4085" s="408"/>
      <c r="R4085" s="408"/>
      <c r="S4085" s="408"/>
      <c r="T4085" s="408"/>
      <c r="U4085" s="408"/>
      <c r="V4085" s="421"/>
      <c r="W4085" s="421"/>
      <c r="X4085" s="421"/>
      <c r="Y4085" s="421"/>
      <c r="Z4085" s="421"/>
      <c r="AA4085" s="421"/>
      <c r="AB4085" s="421"/>
      <c r="AC4085" s="421"/>
      <c r="AD4085" s="421"/>
      <c r="AE4085" s="421"/>
      <c r="AF4085" s="421"/>
      <c r="AG4085" s="421"/>
      <c r="AH4085" s="421"/>
      <c r="AI4085" s="421"/>
      <c r="AJ4085" s="421"/>
      <c r="AK4085" s="421"/>
      <c r="AL4085" s="421"/>
    </row>
    <row r="4086" spans="1:38" ht="16.5" hidden="1" customHeight="1">
      <c r="A4086" s="408"/>
      <c r="B4086" s="83" t="e">
        <f t="array" ref="B4086">SUM(--(FREQUENCY(IF(C$2:C$3072=C4086, MATCH(D$2:D$3072, D$2:D$3072, 0)), ROW(D$2:D$3072)-ROW(D$2)+1) &gt; 0))</f>
        <v>#N/A</v>
      </c>
      <c r="C4086" s="408"/>
      <c r="D4086" s="408"/>
      <c r="E4086" s="408"/>
      <c r="F4086" s="408"/>
      <c r="G4086" s="408"/>
      <c r="H4086" s="408"/>
      <c r="I4086" s="408"/>
      <c r="J4086" s="408"/>
      <c r="K4086" s="408"/>
      <c r="L4086" s="408"/>
      <c r="M4086" s="408"/>
      <c r="N4086" s="408"/>
      <c r="O4086" s="408"/>
      <c r="P4086" s="408"/>
      <c r="Q4086" s="408"/>
      <c r="R4086" s="408"/>
      <c r="S4086" s="408"/>
      <c r="T4086" s="408"/>
      <c r="U4086" s="408"/>
      <c r="V4086" s="421"/>
      <c r="W4086" s="421"/>
      <c r="X4086" s="421"/>
      <c r="Y4086" s="421"/>
      <c r="Z4086" s="421"/>
      <c r="AA4086" s="421"/>
      <c r="AB4086" s="421"/>
      <c r="AC4086" s="421"/>
      <c r="AD4086" s="421"/>
      <c r="AE4086" s="421"/>
      <c r="AF4086" s="421"/>
      <c r="AG4086" s="421"/>
      <c r="AH4086" s="421"/>
      <c r="AI4086" s="421"/>
      <c r="AJ4086" s="421"/>
      <c r="AK4086" s="421"/>
      <c r="AL4086" s="421"/>
    </row>
    <row r="4087" spans="1:38" ht="16.5" hidden="1" customHeight="1">
      <c r="A4087" s="408"/>
      <c r="B4087" s="83" t="e">
        <f t="array" ref="B4087">SUM(--(FREQUENCY(IF(C$2:C$3072=C4087, MATCH(D$2:D$3072, D$2:D$3072, 0)), ROW(D$2:D$3072)-ROW(D$2)+1) &gt; 0))</f>
        <v>#N/A</v>
      </c>
      <c r="C4087" s="408"/>
      <c r="D4087" s="408"/>
      <c r="E4087" s="408"/>
      <c r="F4087" s="408"/>
      <c r="G4087" s="408"/>
      <c r="H4087" s="408"/>
      <c r="I4087" s="408"/>
      <c r="J4087" s="408"/>
      <c r="K4087" s="408"/>
      <c r="L4087" s="408"/>
      <c r="M4087" s="408"/>
      <c r="N4087" s="408"/>
      <c r="O4087" s="408"/>
      <c r="P4087" s="408"/>
      <c r="Q4087" s="408"/>
      <c r="R4087" s="408"/>
      <c r="S4087" s="408"/>
      <c r="T4087" s="408"/>
      <c r="U4087" s="408"/>
      <c r="V4087" s="421"/>
      <c r="W4087" s="421"/>
      <c r="X4087" s="421"/>
      <c r="Y4087" s="421"/>
      <c r="Z4087" s="421"/>
      <c r="AA4087" s="421"/>
      <c r="AB4087" s="421"/>
      <c r="AC4087" s="421"/>
      <c r="AD4087" s="421"/>
      <c r="AE4087" s="421"/>
      <c r="AF4087" s="421"/>
      <c r="AG4087" s="421"/>
      <c r="AH4087" s="421"/>
      <c r="AI4087" s="421"/>
      <c r="AJ4087" s="421"/>
      <c r="AK4087" s="421"/>
      <c r="AL4087" s="421"/>
    </row>
    <row r="4088" spans="1:38" ht="16.5" hidden="1" customHeight="1">
      <c r="A4088" s="408"/>
      <c r="B4088" s="83" t="e">
        <f t="array" ref="B4088">SUM(--(FREQUENCY(IF(C$2:C$3072=C4088, MATCH(D$2:D$3072, D$2:D$3072, 0)), ROW(D$2:D$3072)-ROW(D$2)+1) &gt; 0))</f>
        <v>#N/A</v>
      </c>
      <c r="C4088" s="408"/>
      <c r="D4088" s="408"/>
      <c r="E4088" s="408"/>
      <c r="F4088" s="408"/>
      <c r="G4088" s="408"/>
      <c r="H4088" s="408"/>
      <c r="I4088" s="408"/>
      <c r="J4088" s="408"/>
      <c r="K4088" s="408"/>
      <c r="L4088" s="408"/>
      <c r="M4088" s="408"/>
      <c r="N4088" s="408"/>
      <c r="O4088" s="408"/>
      <c r="P4088" s="408"/>
      <c r="Q4088" s="408"/>
      <c r="R4088" s="408"/>
      <c r="S4088" s="408"/>
      <c r="T4088" s="408"/>
      <c r="U4088" s="408"/>
      <c r="V4088" s="421"/>
      <c r="W4088" s="421"/>
      <c r="X4088" s="421"/>
      <c r="Y4088" s="421"/>
      <c r="Z4088" s="421"/>
      <c r="AA4088" s="421"/>
      <c r="AB4088" s="421"/>
      <c r="AC4088" s="421"/>
      <c r="AD4088" s="421"/>
      <c r="AE4088" s="421"/>
      <c r="AF4088" s="421"/>
      <c r="AG4088" s="421"/>
      <c r="AH4088" s="421"/>
      <c r="AI4088" s="421"/>
      <c r="AJ4088" s="421"/>
      <c r="AK4088" s="421"/>
      <c r="AL4088" s="421"/>
    </row>
    <row r="4089" spans="1:38" ht="16.5" hidden="1" customHeight="1">
      <c r="A4089" s="408"/>
      <c r="B4089" s="83" t="e">
        <f t="array" ref="B4089">SUM(--(FREQUENCY(IF(C$2:C$3072=C4089, MATCH(D$2:D$3072, D$2:D$3072, 0)), ROW(D$2:D$3072)-ROW(D$2)+1) &gt; 0))</f>
        <v>#N/A</v>
      </c>
      <c r="C4089" s="408"/>
      <c r="D4089" s="408"/>
      <c r="E4089" s="408"/>
      <c r="F4089" s="408"/>
      <c r="G4089" s="408"/>
      <c r="H4089" s="408"/>
      <c r="I4089" s="408"/>
      <c r="J4089" s="408"/>
      <c r="K4089" s="408"/>
      <c r="L4089" s="408"/>
      <c r="M4089" s="408"/>
      <c r="N4089" s="408"/>
      <c r="O4089" s="408"/>
      <c r="P4089" s="408"/>
      <c r="Q4089" s="408"/>
      <c r="R4089" s="408"/>
      <c r="S4089" s="408"/>
      <c r="T4089" s="408"/>
      <c r="U4089" s="408"/>
      <c r="V4089" s="421"/>
      <c r="W4089" s="421"/>
      <c r="X4089" s="421"/>
      <c r="Y4089" s="421"/>
      <c r="Z4089" s="421"/>
      <c r="AA4089" s="421"/>
      <c r="AB4089" s="421"/>
      <c r="AC4089" s="421"/>
      <c r="AD4089" s="421"/>
      <c r="AE4089" s="421"/>
      <c r="AF4089" s="421"/>
      <c r="AG4089" s="421"/>
      <c r="AH4089" s="421"/>
      <c r="AI4089" s="421"/>
      <c r="AJ4089" s="421"/>
      <c r="AK4089" s="421"/>
      <c r="AL4089" s="421"/>
    </row>
    <row r="4090" spans="1:38" ht="16.5" hidden="1" customHeight="1">
      <c r="A4090" s="408"/>
      <c r="B4090" s="407"/>
      <c r="C4090" s="408"/>
      <c r="D4090" s="408"/>
      <c r="E4090" s="408"/>
      <c r="F4090" s="408"/>
      <c r="G4090" s="408"/>
      <c r="H4090" s="408"/>
      <c r="I4090" s="408"/>
      <c r="J4090" s="408"/>
      <c r="K4090" s="408"/>
      <c r="L4090" s="408"/>
      <c r="M4090" s="408"/>
      <c r="N4090" s="408"/>
      <c r="O4090" s="408"/>
      <c r="P4090" s="408"/>
      <c r="Q4090" s="408"/>
      <c r="R4090" s="408"/>
      <c r="S4090" s="408"/>
      <c r="T4090" s="408"/>
      <c r="U4090" s="408"/>
      <c r="V4090" s="421"/>
      <c r="W4090" s="421"/>
      <c r="X4090" s="421"/>
      <c r="Y4090" s="421"/>
      <c r="Z4090" s="421"/>
      <c r="AA4090" s="421"/>
      <c r="AB4090" s="421"/>
      <c r="AC4090" s="421"/>
      <c r="AD4090" s="421"/>
      <c r="AE4090" s="421"/>
      <c r="AF4090" s="421"/>
      <c r="AG4090" s="421"/>
      <c r="AH4090" s="421"/>
      <c r="AI4090" s="421"/>
      <c r="AJ4090" s="421"/>
      <c r="AK4090" s="421"/>
      <c r="AL4090" s="421"/>
    </row>
    <row r="4091" spans="1:38" ht="16.5" hidden="1" customHeight="1">
      <c r="A4091" s="408"/>
      <c r="B4091" s="407"/>
      <c r="C4091" s="408"/>
      <c r="D4091" s="408"/>
      <c r="E4091" s="408"/>
      <c r="F4091" s="408"/>
      <c r="G4091" s="408"/>
      <c r="H4091" s="408"/>
      <c r="I4091" s="408"/>
      <c r="J4091" s="408"/>
      <c r="K4091" s="408"/>
      <c r="L4091" s="408"/>
      <c r="M4091" s="408"/>
      <c r="N4091" s="408"/>
      <c r="O4091" s="408"/>
      <c r="P4091" s="408"/>
      <c r="Q4091" s="408"/>
      <c r="R4091" s="408"/>
      <c r="S4091" s="408"/>
      <c r="T4091" s="408"/>
      <c r="U4091" s="408"/>
      <c r="V4091" s="421"/>
      <c r="W4091" s="421"/>
      <c r="X4091" s="421"/>
      <c r="Y4091" s="421"/>
      <c r="Z4091" s="421"/>
      <c r="AA4091" s="421"/>
      <c r="AB4091" s="421"/>
      <c r="AC4091" s="421"/>
      <c r="AD4091" s="421"/>
      <c r="AE4091" s="421"/>
      <c r="AF4091" s="421"/>
      <c r="AG4091" s="421"/>
      <c r="AH4091" s="421"/>
      <c r="AI4091" s="421"/>
      <c r="AJ4091" s="421"/>
      <c r="AK4091" s="421"/>
      <c r="AL4091" s="421"/>
    </row>
    <row r="4092" spans="1:38" ht="16.5" hidden="1" customHeight="1">
      <c r="A4092" s="408"/>
      <c r="B4092" s="407"/>
      <c r="C4092" s="408"/>
      <c r="D4092" s="408"/>
      <c r="E4092" s="408"/>
      <c r="F4092" s="408"/>
      <c r="G4092" s="408"/>
      <c r="H4092" s="408"/>
      <c r="I4092" s="408"/>
      <c r="J4092" s="408"/>
      <c r="K4092" s="408"/>
      <c r="L4092" s="408"/>
      <c r="M4092" s="408"/>
      <c r="N4092" s="408"/>
      <c r="O4092" s="408"/>
      <c r="P4092" s="408"/>
      <c r="Q4092" s="408"/>
      <c r="R4092" s="408"/>
      <c r="S4092" s="408"/>
      <c r="T4092" s="408"/>
      <c r="U4092" s="408"/>
      <c r="V4092" s="421"/>
      <c r="W4092" s="421"/>
      <c r="X4092" s="421"/>
      <c r="Y4092" s="421"/>
      <c r="Z4092" s="421"/>
      <c r="AA4092" s="421"/>
      <c r="AB4092" s="421"/>
      <c r="AC4092" s="421"/>
      <c r="AD4092" s="421"/>
      <c r="AE4092" s="421"/>
      <c r="AF4092" s="421"/>
      <c r="AG4092" s="421"/>
      <c r="AH4092" s="421"/>
      <c r="AI4092" s="421"/>
      <c r="AJ4092" s="421"/>
      <c r="AK4092" s="421"/>
      <c r="AL4092" s="421"/>
    </row>
    <row r="4093" spans="1:38" ht="16.5" hidden="1" customHeight="1">
      <c r="A4093" s="408"/>
      <c r="B4093" s="407"/>
      <c r="C4093" s="408"/>
      <c r="D4093" s="408"/>
      <c r="E4093" s="408"/>
      <c r="F4093" s="408"/>
      <c r="G4093" s="408"/>
      <c r="H4093" s="408"/>
      <c r="I4093" s="408"/>
      <c r="J4093" s="408"/>
      <c r="K4093" s="408"/>
      <c r="L4093" s="408"/>
      <c r="M4093" s="408"/>
      <c r="N4093" s="408"/>
      <c r="O4093" s="408"/>
      <c r="P4093" s="408"/>
      <c r="Q4093" s="408"/>
      <c r="R4093" s="408"/>
      <c r="S4093" s="408"/>
      <c r="T4093" s="408"/>
      <c r="U4093" s="408"/>
      <c r="V4093" s="421"/>
      <c r="W4093" s="421"/>
      <c r="X4093" s="421"/>
      <c r="Y4093" s="421"/>
      <c r="Z4093" s="421"/>
      <c r="AA4093" s="421"/>
      <c r="AB4093" s="421"/>
      <c r="AC4093" s="421"/>
      <c r="AD4093" s="421"/>
      <c r="AE4093" s="421"/>
      <c r="AF4093" s="421"/>
      <c r="AG4093" s="421"/>
      <c r="AH4093" s="421"/>
      <c r="AI4093" s="421"/>
      <c r="AJ4093" s="421"/>
      <c r="AK4093" s="421"/>
      <c r="AL4093" s="421"/>
    </row>
    <row r="4094" spans="1:38" ht="16.5" hidden="1" customHeight="1">
      <c r="A4094" s="408"/>
      <c r="B4094" s="407"/>
      <c r="C4094" s="408"/>
      <c r="D4094" s="408"/>
      <c r="E4094" s="408"/>
      <c r="F4094" s="408"/>
      <c r="G4094" s="408"/>
      <c r="H4094" s="408"/>
      <c r="I4094" s="408"/>
      <c r="J4094" s="408"/>
      <c r="K4094" s="408"/>
      <c r="L4094" s="408"/>
      <c r="M4094" s="408"/>
      <c r="N4094" s="408"/>
      <c r="O4094" s="408"/>
      <c r="P4094" s="408"/>
      <c r="Q4094" s="408"/>
      <c r="R4094" s="408"/>
      <c r="S4094" s="408"/>
      <c r="T4094" s="408"/>
      <c r="U4094" s="408"/>
      <c r="V4094" s="421"/>
      <c r="W4094" s="421"/>
      <c r="X4094" s="421"/>
      <c r="Y4094" s="421"/>
      <c r="Z4094" s="421"/>
      <c r="AA4094" s="421"/>
      <c r="AB4094" s="421"/>
      <c r="AC4094" s="421"/>
      <c r="AD4094" s="421"/>
      <c r="AE4094" s="421"/>
      <c r="AF4094" s="421"/>
      <c r="AG4094" s="421"/>
      <c r="AH4094" s="421"/>
      <c r="AI4094" s="421"/>
      <c r="AJ4094" s="421"/>
      <c r="AK4094" s="421"/>
      <c r="AL4094" s="421"/>
    </row>
    <row r="4095" spans="1:38" ht="16.5" hidden="1" customHeight="1">
      <c r="A4095" s="408"/>
      <c r="B4095" s="407"/>
      <c r="C4095" s="408"/>
      <c r="D4095" s="408"/>
      <c r="E4095" s="408"/>
      <c r="F4095" s="408"/>
      <c r="G4095" s="408"/>
      <c r="H4095" s="408"/>
      <c r="I4095" s="408"/>
      <c r="J4095" s="408"/>
      <c r="K4095" s="408"/>
      <c r="L4095" s="408"/>
      <c r="M4095" s="408"/>
      <c r="N4095" s="408"/>
      <c r="O4095" s="408"/>
      <c r="P4095" s="408"/>
      <c r="Q4095" s="408"/>
      <c r="R4095" s="408"/>
      <c r="S4095" s="408"/>
      <c r="T4095" s="408"/>
      <c r="U4095" s="408"/>
      <c r="V4095" s="421"/>
      <c r="W4095" s="421"/>
      <c r="X4095" s="421"/>
      <c r="Y4095" s="421"/>
      <c r="Z4095" s="421"/>
      <c r="AA4095" s="421"/>
      <c r="AB4095" s="421"/>
      <c r="AC4095" s="421"/>
      <c r="AD4095" s="421"/>
      <c r="AE4095" s="421"/>
      <c r="AF4095" s="421"/>
      <c r="AG4095" s="421"/>
      <c r="AH4095" s="421"/>
      <c r="AI4095" s="421"/>
      <c r="AJ4095" s="421"/>
      <c r="AK4095" s="421"/>
      <c r="AL4095" s="421"/>
    </row>
    <row r="4096" spans="1:38" ht="16.5" hidden="1" customHeight="1">
      <c r="A4096" s="408"/>
      <c r="B4096" s="407"/>
      <c r="C4096" s="408"/>
      <c r="D4096" s="408"/>
      <c r="E4096" s="408"/>
      <c r="F4096" s="408"/>
      <c r="G4096" s="408"/>
      <c r="H4096" s="408"/>
      <c r="I4096" s="408"/>
      <c r="J4096" s="408"/>
      <c r="K4096" s="408"/>
      <c r="L4096" s="408"/>
      <c r="M4096" s="408"/>
      <c r="N4096" s="408"/>
      <c r="O4096" s="408"/>
      <c r="P4096" s="408"/>
      <c r="Q4096" s="408"/>
      <c r="R4096" s="408"/>
      <c r="S4096" s="408"/>
      <c r="T4096" s="408"/>
      <c r="U4096" s="408"/>
      <c r="V4096" s="421"/>
      <c r="W4096" s="421"/>
      <c r="X4096" s="421"/>
      <c r="Y4096" s="421"/>
      <c r="Z4096" s="421"/>
      <c r="AA4096" s="421"/>
      <c r="AB4096" s="421"/>
      <c r="AC4096" s="421"/>
      <c r="AD4096" s="421"/>
      <c r="AE4096" s="421"/>
      <c r="AF4096" s="421"/>
      <c r="AG4096" s="421"/>
      <c r="AH4096" s="421"/>
      <c r="AI4096" s="421"/>
      <c r="AJ4096" s="421"/>
      <c r="AK4096" s="421"/>
      <c r="AL4096" s="421"/>
    </row>
    <row r="4097" spans="1:38" ht="16.5" hidden="1" customHeight="1">
      <c r="A4097" s="408"/>
      <c r="B4097" s="407"/>
      <c r="C4097" s="408"/>
      <c r="D4097" s="408"/>
      <c r="E4097" s="408"/>
      <c r="F4097" s="408"/>
      <c r="G4097" s="408"/>
      <c r="H4097" s="408"/>
      <c r="I4097" s="408"/>
      <c r="J4097" s="408"/>
      <c r="K4097" s="408"/>
      <c r="L4097" s="408"/>
      <c r="M4097" s="408"/>
      <c r="N4097" s="408"/>
      <c r="O4097" s="408"/>
      <c r="P4097" s="408"/>
      <c r="Q4097" s="408"/>
      <c r="R4097" s="408"/>
      <c r="S4097" s="408"/>
      <c r="T4097" s="408"/>
      <c r="U4097" s="408"/>
      <c r="V4097" s="421"/>
      <c r="W4097" s="421"/>
      <c r="X4097" s="421"/>
      <c r="Y4097" s="421"/>
      <c r="Z4097" s="421"/>
      <c r="AA4097" s="421"/>
      <c r="AB4097" s="421"/>
      <c r="AC4097" s="421"/>
      <c r="AD4097" s="421"/>
      <c r="AE4097" s="421"/>
      <c r="AF4097" s="421"/>
      <c r="AG4097" s="421"/>
      <c r="AH4097" s="421"/>
      <c r="AI4097" s="421"/>
      <c r="AJ4097" s="421"/>
      <c r="AK4097" s="421"/>
      <c r="AL4097" s="421"/>
    </row>
    <row r="4098" spans="1:38" ht="16.5" hidden="1" customHeight="1">
      <c r="A4098" s="408"/>
      <c r="B4098" s="407"/>
      <c r="C4098" s="408"/>
      <c r="D4098" s="408"/>
      <c r="E4098" s="408"/>
      <c r="F4098" s="408"/>
      <c r="G4098" s="408"/>
      <c r="H4098" s="408"/>
      <c r="I4098" s="408"/>
      <c r="J4098" s="408"/>
      <c r="K4098" s="408"/>
      <c r="L4098" s="408"/>
      <c r="M4098" s="408"/>
      <c r="N4098" s="408"/>
      <c r="O4098" s="408"/>
      <c r="P4098" s="408"/>
      <c r="Q4098" s="408"/>
      <c r="R4098" s="408"/>
      <c r="S4098" s="408"/>
      <c r="T4098" s="408"/>
      <c r="U4098" s="408"/>
      <c r="V4098" s="421"/>
      <c r="W4098" s="421"/>
      <c r="X4098" s="421"/>
      <c r="Y4098" s="421"/>
      <c r="Z4098" s="421"/>
      <c r="AA4098" s="421"/>
      <c r="AB4098" s="421"/>
      <c r="AC4098" s="421"/>
      <c r="AD4098" s="421"/>
      <c r="AE4098" s="421"/>
      <c r="AF4098" s="421"/>
      <c r="AG4098" s="421"/>
      <c r="AH4098" s="421"/>
      <c r="AI4098" s="421"/>
      <c r="AJ4098" s="421"/>
      <c r="AK4098" s="421"/>
      <c r="AL4098" s="421"/>
    </row>
    <row r="4099" spans="1:38" ht="16.5" hidden="1" customHeight="1">
      <c r="A4099" s="408"/>
      <c r="B4099" s="407"/>
      <c r="C4099" s="408"/>
      <c r="D4099" s="408"/>
      <c r="E4099" s="408"/>
      <c r="F4099" s="408"/>
      <c r="G4099" s="408"/>
      <c r="H4099" s="408"/>
      <c r="I4099" s="408"/>
      <c r="J4099" s="408"/>
      <c r="K4099" s="408"/>
      <c r="L4099" s="408"/>
      <c r="M4099" s="408"/>
      <c r="N4099" s="408"/>
      <c r="O4099" s="408"/>
      <c r="P4099" s="408"/>
      <c r="Q4099" s="408"/>
      <c r="R4099" s="408"/>
      <c r="S4099" s="408"/>
      <c r="T4099" s="408"/>
      <c r="U4099" s="408"/>
      <c r="V4099" s="421"/>
      <c r="W4099" s="421"/>
      <c r="X4099" s="421"/>
      <c r="Y4099" s="421"/>
      <c r="Z4099" s="421"/>
      <c r="AA4099" s="421"/>
      <c r="AB4099" s="421"/>
      <c r="AC4099" s="421"/>
      <c r="AD4099" s="421"/>
      <c r="AE4099" s="421"/>
      <c r="AF4099" s="421"/>
      <c r="AG4099" s="421"/>
      <c r="AH4099" s="421"/>
      <c r="AI4099" s="421"/>
      <c r="AJ4099" s="421"/>
      <c r="AK4099" s="421"/>
      <c r="AL4099" s="421"/>
    </row>
    <row r="4100" spans="1:38" ht="16.5" hidden="1" customHeight="1">
      <c r="A4100" s="408"/>
      <c r="B4100" s="407"/>
      <c r="C4100" s="408"/>
      <c r="D4100" s="408"/>
      <c r="E4100" s="408"/>
      <c r="F4100" s="408"/>
      <c r="G4100" s="408"/>
      <c r="H4100" s="408"/>
      <c r="I4100" s="408"/>
      <c r="J4100" s="408"/>
      <c r="K4100" s="408"/>
      <c r="L4100" s="408"/>
      <c r="M4100" s="408"/>
      <c r="N4100" s="408"/>
      <c r="O4100" s="408"/>
      <c r="P4100" s="408"/>
      <c r="Q4100" s="408"/>
      <c r="R4100" s="408"/>
      <c r="S4100" s="408"/>
      <c r="T4100" s="408"/>
      <c r="U4100" s="408"/>
      <c r="V4100" s="421"/>
      <c r="W4100" s="421"/>
      <c r="X4100" s="421"/>
      <c r="Y4100" s="421"/>
      <c r="Z4100" s="421"/>
      <c r="AA4100" s="421"/>
      <c r="AB4100" s="421"/>
      <c r="AC4100" s="421"/>
      <c r="AD4100" s="421"/>
      <c r="AE4100" s="421"/>
      <c r="AF4100" s="421"/>
      <c r="AG4100" s="421"/>
      <c r="AH4100" s="421"/>
      <c r="AI4100" s="421"/>
      <c r="AJ4100" s="421"/>
      <c r="AK4100" s="421"/>
      <c r="AL4100" s="421"/>
    </row>
    <row r="4101" spans="1:38" ht="16.5" hidden="1" customHeight="1">
      <c r="A4101" s="408"/>
      <c r="B4101" s="407"/>
      <c r="C4101" s="408"/>
      <c r="D4101" s="408"/>
      <c r="E4101" s="408"/>
      <c r="F4101" s="408"/>
      <c r="G4101" s="408"/>
      <c r="H4101" s="408"/>
      <c r="I4101" s="408"/>
      <c r="J4101" s="408"/>
      <c r="K4101" s="408"/>
      <c r="L4101" s="408"/>
      <c r="M4101" s="408"/>
      <c r="N4101" s="408"/>
      <c r="O4101" s="408"/>
      <c r="P4101" s="408"/>
      <c r="Q4101" s="408"/>
      <c r="R4101" s="408"/>
      <c r="S4101" s="408"/>
      <c r="T4101" s="408"/>
      <c r="U4101" s="408"/>
      <c r="V4101" s="421"/>
      <c r="W4101" s="421"/>
      <c r="X4101" s="421"/>
      <c r="Y4101" s="421"/>
      <c r="Z4101" s="421"/>
      <c r="AA4101" s="421"/>
      <c r="AB4101" s="421"/>
      <c r="AC4101" s="421"/>
      <c r="AD4101" s="421"/>
      <c r="AE4101" s="421"/>
      <c r="AF4101" s="421"/>
      <c r="AG4101" s="421"/>
      <c r="AH4101" s="421"/>
      <c r="AI4101" s="421"/>
      <c r="AJ4101" s="421"/>
      <c r="AK4101" s="421"/>
      <c r="AL4101" s="421"/>
    </row>
    <row r="4102" spans="1:38" ht="16.5" hidden="1" customHeight="1">
      <c r="A4102" s="408"/>
      <c r="B4102" s="407"/>
      <c r="C4102" s="408"/>
      <c r="D4102" s="408"/>
      <c r="E4102" s="408"/>
      <c r="F4102" s="408"/>
      <c r="G4102" s="408"/>
      <c r="H4102" s="408"/>
      <c r="I4102" s="408"/>
      <c r="J4102" s="408"/>
      <c r="K4102" s="408"/>
      <c r="L4102" s="408"/>
      <c r="M4102" s="408"/>
      <c r="N4102" s="408"/>
      <c r="O4102" s="408"/>
      <c r="P4102" s="408"/>
      <c r="Q4102" s="408"/>
      <c r="R4102" s="408"/>
      <c r="S4102" s="408"/>
      <c r="T4102" s="408"/>
      <c r="U4102" s="408"/>
      <c r="V4102" s="421"/>
      <c r="W4102" s="421"/>
      <c r="X4102" s="421"/>
      <c r="Y4102" s="421"/>
      <c r="Z4102" s="421"/>
      <c r="AA4102" s="421"/>
      <c r="AB4102" s="421"/>
      <c r="AC4102" s="421"/>
      <c r="AD4102" s="421"/>
      <c r="AE4102" s="421"/>
      <c r="AF4102" s="421"/>
      <c r="AG4102" s="421"/>
      <c r="AH4102" s="421"/>
      <c r="AI4102" s="421"/>
      <c r="AJ4102" s="421"/>
      <c r="AK4102" s="421"/>
      <c r="AL4102" s="421"/>
    </row>
    <row r="4103" spans="1:38" ht="16.5" hidden="1" customHeight="1">
      <c r="A4103" s="408"/>
      <c r="B4103" s="407"/>
      <c r="C4103" s="408"/>
      <c r="D4103" s="408"/>
      <c r="E4103" s="408"/>
      <c r="F4103" s="408"/>
      <c r="G4103" s="408"/>
      <c r="H4103" s="408"/>
      <c r="I4103" s="408"/>
      <c r="J4103" s="408"/>
      <c r="K4103" s="408"/>
      <c r="L4103" s="408"/>
      <c r="M4103" s="408"/>
      <c r="N4103" s="408"/>
      <c r="O4103" s="408"/>
      <c r="P4103" s="408"/>
      <c r="Q4103" s="408"/>
      <c r="R4103" s="408"/>
      <c r="S4103" s="408"/>
      <c r="T4103" s="408"/>
      <c r="U4103" s="408"/>
      <c r="V4103" s="421"/>
      <c r="W4103" s="421"/>
      <c r="X4103" s="421"/>
      <c r="Y4103" s="421"/>
      <c r="Z4103" s="421"/>
      <c r="AA4103" s="421"/>
      <c r="AB4103" s="421"/>
      <c r="AC4103" s="421"/>
      <c r="AD4103" s="421"/>
      <c r="AE4103" s="421"/>
      <c r="AF4103" s="421"/>
      <c r="AG4103" s="421"/>
      <c r="AH4103" s="421"/>
      <c r="AI4103" s="421"/>
      <c r="AJ4103" s="421"/>
      <c r="AK4103" s="421"/>
      <c r="AL4103" s="421"/>
    </row>
    <row r="4104" spans="1:38" ht="16.5" hidden="1" customHeight="1">
      <c r="A4104" s="408"/>
      <c r="B4104" s="407"/>
      <c r="C4104" s="408"/>
      <c r="D4104" s="408"/>
      <c r="E4104" s="408"/>
      <c r="F4104" s="408"/>
      <c r="G4104" s="408"/>
      <c r="H4104" s="408"/>
      <c r="I4104" s="408"/>
      <c r="J4104" s="408"/>
      <c r="K4104" s="408"/>
      <c r="L4104" s="408"/>
      <c r="M4104" s="408"/>
      <c r="N4104" s="408"/>
      <c r="O4104" s="408"/>
      <c r="P4104" s="408"/>
      <c r="Q4104" s="408"/>
      <c r="R4104" s="408"/>
      <c r="S4104" s="408"/>
      <c r="T4104" s="408"/>
      <c r="U4104" s="408"/>
      <c r="V4104" s="421"/>
      <c r="W4104" s="421"/>
      <c r="X4104" s="421"/>
      <c r="Y4104" s="421"/>
      <c r="Z4104" s="421"/>
      <c r="AA4104" s="421"/>
      <c r="AB4104" s="421"/>
      <c r="AC4104" s="421"/>
      <c r="AD4104" s="421"/>
      <c r="AE4104" s="421"/>
      <c r="AF4104" s="421"/>
      <c r="AG4104" s="421"/>
      <c r="AH4104" s="421"/>
      <c r="AI4104" s="421"/>
      <c r="AJ4104" s="421"/>
      <c r="AK4104" s="421"/>
      <c r="AL4104" s="421"/>
    </row>
    <row r="4105" spans="1:38" ht="16.5" hidden="1" customHeight="1">
      <c r="A4105" s="408"/>
      <c r="B4105" s="407"/>
      <c r="C4105" s="408"/>
      <c r="D4105" s="408"/>
      <c r="E4105" s="408"/>
      <c r="F4105" s="408"/>
      <c r="G4105" s="408"/>
      <c r="H4105" s="408"/>
      <c r="I4105" s="408"/>
      <c r="J4105" s="408"/>
      <c r="K4105" s="408"/>
      <c r="L4105" s="408"/>
      <c r="M4105" s="408"/>
      <c r="N4105" s="408"/>
      <c r="O4105" s="408"/>
      <c r="P4105" s="408"/>
      <c r="Q4105" s="408"/>
      <c r="R4105" s="408"/>
      <c r="S4105" s="408"/>
      <c r="T4105" s="408"/>
      <c r="U4105" s="408"/>
      <c r="V4105" s="421"/>
      <c r="W4105" s="421"/>
      <c r="X4105" s="421"/>
      <c r="Y4105" s="421"/>
      <c r="Z4105" s="421"/>
      <c r="AA4105" s="421"/>
      <c r="AB4105" s="421"/>
      <c r="AC4105" s="421"/>
      <c r="AD4105" s="421"/>
      <c r="AE4105" s="421"/>
      <c r="AF4105" s="421"/>
      <c r="AG4105" s="421"/>
      <c r="AH4105" s="421"/>
      <c r="AI4105" s="421"/>
      <c r="AJ4105" s="421"/>
      <c r="AK4105" s="421"/>
      <c r="AL4105" s="421"/>
    </row>
    <row r="4106" spans="1:38" ht="16.5" hidden="1" customHeight="1">
      <c r="A4106" s="408"/>
      <c r="B4106" s="407"/>
      <c r="C4106" s="408"/>
      <c r="D4106" s="408"/>
      <c r="E4106" s="408"/>
      <c r="F4106" s="408"/>
      <c r="G4106" s="408"/>
      <c r="H4106" s="408"/>
      <c r="I4106" s="408"/>
      <c r="J4106" s="408"/>
      <c r="K4106" s="408"/>
      <c r="L4106" s="408"/>
      <c r="M4106" s="408"/>
      <c r="N4106" s="408"/>
      <c r="O4106" s="408"/>
      <c r="P4106" s="408"/>
      <c r="Q4106" s="408"/>
      <c r="R4106" s="408"/>
      <c r="S4106" s="408"/>
      <c r="T4106" s="408"/>
      <c r="U4106" s="408"/>
      <c r="V4106" s="421"/>
      <c r="W4106" s="421"/>
      <c r="X4106" s="421"/>
      <c r="Y4106" s="421"/>
      <c r="Z4106" s="421"/>
      <c r="AA4106" s="421"/>
      <c r="AB4106" s="421"/>
      <c r="AC4106" s="421"/>
      <c r="AD4106" s="421"/>
      <c r="AE4106" s="421"/>
      <c r="AF4106" s="421"/>
      <c r="AG4106" s="421"/>
      <c r="AH4106" s="421"/>
      <c r="AI4106" s="421"/>
      <c r="AJ4106" s="421"/>
      <c r="AK4106" s="421"/>
      <c r="AL4106" s="421"/>
    </row>
    <row r="4107" spans="1:38" ht="16.5" hidden="1" customHeight="1">
      <c r="A4107" s="408"/>
      <c r="B4107" s="407"/>
      <c r="C4107" s="408"/>
      <c r="D4107" s="408"/>
      <c r="E4107" s="408"/>
      <c r="F4107" s="408"/>
      <c r="G4107" s="408"/>
      <c r="H4107" s="408"/>
      <c r="I4107" s="408"/>
      <c r="J4107" s="408"/>
      <c r="K4107" s="408"/>
      <c r="L4107" s="408"/>
      <c r="M4107" s="408"/>
      <c r="N4107" s="408"/>
      <c r="O4107" s="408"/>
      <c r="P4107" s="408"/>
      <c r="Q4107" s="408"/>
      <c r="R4107" s="408"/>
      <c r="S4107" s="408"/>
      <c r="T4107" s="408"/>
      <c r="U4107" s="408"/>
      <c r="V4107" s="421"/>
      <c r="W4107" s="421"/>
      <c r="X4107" s="421"/>
      <c r="Y4107" s="421"/>
      <c r="Z4107" s="421"/>
      <c r="AA4107" s="421"/>
      <c r="AB4107" s="421"/>
      <c r="AC4107" s="421"/>
      <c r="AD4107" s="421"/>
      <c r="AE4107" s="421"/>
      <c r="AF4107" s="421"/>
      <c r="AG4107" s="421"/>
      <c r="AH4107" s="421"/>
      <c r="AI4107" s="421"/>
      <c r="AJ4107" s="421"/>
      <c r="AK4107" s="421"/>
      <c r="AL4107" s="421"/>
    </row>
    <row r="4108" spans="1:38" ht="16.5" hidden="1" customHeight="1">
      <c r="A4108" s="408"/>
      <c r="B4108" s="407"/>
      <c r="C4108" s="408"/>
      <c r="D4108" s="408"/>
      <c r="E4108" s="408"/>
      <c r="F4108" s="408"/>
      <c r="G4108" s="408"/>
      <c r="H4108" s="408"/>
      <c r="I4108" s="408"/>
      <c r="J4108" s="408"/>
      <c r="K4108" s="408"/>
      <c r="L4108" s="408"/>
      <c r="M4108" s="408"/>
      <c r="N4108" s="408"/>
      <c r="O4108" s="408"/>
      <c r="P4108" s="408"/>
      <c r="Q4108" s="408"/>
      <c r="R4108" s="408"/>
      <c r="S4108" s="408"/>
      <c r="T4108" s="408"/>
      <c r="U4108" s="408"/>
      <c r="V4108" s="421"/>
      <c r="W4108" s="421"/>
      <c r="X4108" s="421"/>
      <c r="Y4108" s="421"/>
      <c r="Z4108" s="421"/>
      <c r="AA4108" s="421"/>
      <c r="AB4108" s="421"/>
      <c r="AC4108" s="421"/>
      <c r="AD4108" s="421"/>
      <c r="AE4108" s="421"/>
      <c r="AF4108" s="421"/>
      <c r="AG4108" s="421"/>
      <c r="AH4108" s="421"/>
      <c r="AI4108" s="421"/>
      <c r="AJ4108" s="421"/>
      <c r="AK4108" s="421"/>
      <c r="AL4108" s="421"/>
    </row>
    <row r="4109" spans="1:38" ht="16.5" hidden="1" customHeight="1">
      <c r="A4109" s="408"/>
      <c r="B4109" s="407"/>
      <c r="C4109" s="408"/>
      <c r="D4109" s="408"/>
      <c r="E4109" s="408"/>
      <c r="F4109" s="408"/>
      <c r="G4109" s="408"/>
      <c r="H4109" s="408"/>
      <c r="I4109" s="408"/>
      <c r="J4109" s="408"/>
      <c r="K4109" s="408"/>
      <c r="L4109" s="408"/>
      <c r="M4109" s="408"/>
      <c r="N4109" s="408"/>
      <c r="O4109" s="408"/>
      <c r="P4109" s="408"/>
      <c r="Q4109" s="408"/>
      <c r="R4109" s="408"/>
      <c r="S4109" s="408"/>
      <c r="T4109" s="408"/>
      <c r="U4109" s="408"/>
      <c r="V4109" s="421"/>
      <c r="W4109" s="421"/>
      <c r="X4109" s="421"/>
      <c r="Y4109" s="421"/>
      <c r="Z4109" s="421"/>
      <c r="AA4109" s="421"/>
      <c r="AB4109" s="421"/>
      <c r="AC4109" s="421"/>
      <c r="AD4109" s="421"/>
      <c r="AE4109" s="421"/>
      <c r="AF4109" s="421"/>
      <c r="AG4109" s="421"/>
      <c r="AH4109" s="421"/>
      <c r="AI4109" s="421"/>
      <c r="AJ4109" s="421"/>
      <c r="AK4109" s="421"/>
      <c r="AL4109" s="421"/>
    </row>
    <row r="4110" spans="1:38" ht="16.5" hidden="1" customHeight="1">
      <c r="A4110" s="408"/>
      <c r="B4110" s="407"/>
      <c r="C4110" s="408"/>
      <c r="D4110" s="408"/>
      <c r="E4110" s="408"/>
      <c r="F4110" s="408"/>
      <c r="G4110" s="408"/>
      <c r="H4110" s="408"/>
      <c r="I4110" s="408"/>
      <c r="J4110" s="408"/>
      <c r="K4110" s="408"/>
      <c r="L4110" s="408"/>
      <c r="M4110" s="408"/>
      <c r="N4110" s="408"/>
      <c r="O4110" s="408"/>
      <c r="P4110" s="408"/>
      <c r="Q4110" s="408"/>
      <c r="R4110" s="408"/>
      <c r="S4110" s="408"/>
      <c r="T4110" s="408"/>
      <c r="U4110" s="408"/>
      <c r="V4110" s="421"/>
      <c r="W4110" s="421"/>
      <c r="X4110" s="421"/>
      <c r="Y4110" s="421"/>
      <c r="Z4110" s="421"/>
      <c r="AA4110" s="421"/>
      <c r="AB4110" s="421"/>
      <c r="AC4110" s="421"/>
      <c r="AD4110" s="421"/>
      <c r="AE4110" s="421"/>
      <c r="AF4110" s="421"/>
      <c r="AG4110" s="421"/>
      <c r="AH4110" s="421"/>
      <c r="AI4110" s="421"/>
      <c r="AJ4110" s="421"/>
      <c r="AK4110" s="421"/>
      <c r="AL4110" s="421"/>
    </row>
    <row r="4111" spans="1:38" ht="16.5" hidden="1" customHeight="1">
      <c r="A4111" s="408"/>
      <c r="B4111" s="407"/>
      <c r="C4111" s="408"/>
      <c r="D4111" s="408"/>
      <c r="E4111" s="408"/>
      <c r="F4111" s="408"/>
      <c r="G4111" s="408"/>
      <c r="H4111" s="408"/>
      <c r="I4111" s="408"/>
      <c r="J4111" s="408"/>
      <c r="K4111" s="408"/>
      <c r="L4111" s="408"/>
      <c r="M4111" s="408"/>
      <c r="N4111" s="408"/>
      <c r="O4111" s="408"/>
      <c r="P4111" s="408"/>
      <c r="Q4111" s="408"/>
      <c r="R4111" s="408"/>
      <c r="S4111" s="408"/>
      <c r="T4111" s="408"/>
      <c r="U4111" s="408"/>
      <c r="V4111" s="421"/>
      <c r="W4111" s="421"/>
      <c r="X4111" s="421"/>
      <c r="Y4111" s="421"/>
      <c r="Z4111" s="421"/>
      <c r="AA4111" s="421"/>
      <c r="AB4111" s="421"/>
      <c r="AC4111" s="421"/>
      <c r="AD4111" s="421"/>
      <c r="AE4111" s="421"/>
      <c r="AF4111" s="421"/>
      <c r="AG4111" s="421"/>
      <c r="AH4111" s="421"/>
      <c r="AI4111" s="421"/>
      <c r="AJ4111" s="421"/>
      <c r="AK4111" s="421"/>
      <c r="AL4111" s="421"/>
    </row>
    <row r="4112" spans="1:38" ht="16.5" hidden="1" customHeight="1">
      <c r="A4112" s="408"/>
      <c r="B4112" s="407"/>
      <c r="C4112" s="408"/>
      <c r="D4112" s="408"/>
      <c r="E4112" s="408"/>
      <c r="F4112" s="408"/>
      <c r="G4112" s="408"/>
      <c r="H4112" s="408"/>
      <c r="I4112" s="408"/>
      <c r="J4112" s="408"/>
      <c r="K4112" s="408"/>
      <c r="L4112" s="408"/>
      <c r="M4112" s="408"/>
      <c r="N4112" s="408"/>
      <c r="O4112" s="408"/>
      <c r="P4112" s="408"/>
      <c r="Q4112" s="408"/>
      <c r="R4112" s="408"/>
      <c r="S4112" s="408"/>
      <c r="T4112" s="408"/>
      <c r="U4112" s="408"/>
      <c r="V4112" s="421"/>
      <c r="W4112" s="421"/>
      <c r="X4112" s="421"/>
      <c r="Y4112" s="421"/>
      <c r="Z4112" s="421"/>
      <c r="AA4112" s="421"/>
      <c r="AB4112" s="421"/>
      <c r="AC4112" s="421"/>
      <c r="AD4112" s="421"/>
      <c r="AE4112" s="421"/>
      <c r="AF4112" s="421"/>
      <c r="AG4112" s="421"/>
      <c r="AH4112" s="421"/>
      <c r="AI4112" s="421"/>
      <c r="AJ4112" s="421"/>
      <c r="AK4112" s="421"/>
      <c r="AL4112" s="421"/>
    </row>
  </sheetData>
  <autoFilter ref="A1:U4085" xr:uid="{00000000-0001-0000-0300-000000000000}"/>
  <phoneticPr fontId="7" type="noConversion"/>
  <conditionalFormatting sqref="D806:D814 D1 D816:D1476 E1536:E1545 D1478:D1555 E1548:E1555 E1557:E1560 D1557:D1627 E1621:E1627 E1643:E1656 E1652:F1656 D1640:D1675 E1670:E1675 D1683:D1691 E1713:E1727 D1713:D1749 E1742:E1749 E1753:E1769 D1753:D1788 E1781:E1788 E1790:E1791 D1790:D1048576 D1676:E1682 D1556:E1556 D1628:E1639 D1671:E1673 D1692:E1712 D1750:E1752 D1789:E1789">
    <cfRule type="expression" dxfId="26" priority="436">
      <formula>COUNTIF($D:$D, D1)&gt;1</formula>
    </cfRule>
  </conditionalFormatting>
  <conditionalFormatting sqref="B2:C795 I2:J795 S796:XFD869 A799 C815 C813:D814 A813:B818 C816:D818 B796:B797 B799:B805 A798:B798 P855:S855 A851:B852 N856:S861 N799:S847 O848:R849 O850:S854 F846:F858 L2:XFD795 A874:B874 N863:S865 G2:G864 N876:XFD880 L862:S862 L870:XFD875 L881:XFD890 A876:B880 L800:M880 E876:G880 K796:K890 O898:XFD898 N2:N900 M899:XFD900 T956:XFD956 T951:XFD951 I951:R951 I952:XFD955 I956:R956 I901:XFD950 I898:M900 I891:XFD897 I806:J890 I957:XFD962 H2:H962 R1021:XFD1022 O1018:P1018 R1018:XFD1018 O1021:P1022 O1019:XFD1020 O1013:XFD1017 N1013:N1046 O1023:XFD1046 I1018:L1019 I1017:M1017 M1047:XFD1048 I1020:M1047 S1086:XFD1086 O1086:Q1086 O1087:XFD1089 O1105:XFD1126 O1101:XFD1103 O1100:R1100 S1099:XFD1100 M1113:N1126 M1127:XFD1135 N1136:XFD1137 R1186:XFD1187 G1224:G1226 L1181:XFD1185 L1186:P1187 I1181:K1228 I1180:XFD1180 H1180:H1228 A1203:D1209 C1210:D1215 A1210:B1228 C1216:C1217 C1220:C1223 D1216:D1223 C1224:D1226 L1188:XFD1228 G1355:M1355 K1361:M1362 G1356:K1362 K1356:M1356 M1334:XFD1388 K1420:XFD1424 M1425:XFD1443 L1444:XFD1448 M1449:XFD1461 K1425:M1426 L1443:M1443 L1449:M1453 E1457:M1457 H1458:H1478 A1457:D1468 E1458:G1468 I1462:XFD1468 I1458:M1461 I1469:M1476 J1477:K1478 M1469:XFD1518 N1519:XFD1520 A1479:M1529 M1521:XFD1535 L1530:M1535 L1536:XFD1554 L1555:Q1555 R1555:XFD1556 M1572:XFD1576 I1557:XFD1562 I1556:Q1556 I1552:K1555 G1572:J1579 M1578:XFD1579 A1604:D1604 F1604:G1605 H1580:J1620 L1571:XFD1571 L1572:L1579 K1571:K1627 L1580:XFD1626 L1627:O1627 P1627:XFD1628 C1605:D1605 E1662:G1666 K1657:XFD1666 I1662:J1666 I1628:O1628 I1626:M1627 I1621:J1627 I1629:XFD1656 G1657:I1657 E1657:E1661 G1658:G1661 I1658:I1661 H1658:H1666 J1657:J1661 H1621:H1656 I1688:M1691 Q1692:S1692 I1692:L1696 C1657:D1666 L1720:M1727 L1728:L1730 I1720:K1730 I1718:M1719 E1742:M1749 E1753:M1769 S1775 A1605:B1780 E1790:M1791 A806:D812 E806:F818 A846:E850 D851:E852 A853:E858 A819:F845 D874:G874 A875:G875 A865:G873 A859:F864 D880:E880 C876:E879 A1:XFD1 A881:G962 A963:XFD1012 A1013:M1016 A1017:H1047 A1048:M1048 A1049:XFD1085 A1086:N1089 A1099:R1099 A1100:N1112 A1090:XFD1098 A1113:M1137 A1138:XFD1179 C1227:G1228 A1180:G1202 E1203:F1226 B1275:XFD1277 A1229:XFD1274 A1278:XFD1333 A1334:M1354 A1355:F1362 A1363:K1363 A1364:M1373 A1374:K1374 A1375:M1388 A1389:XFD1419 A1420:J1426 A1427:M1442 A1443:K1453 A1454:M1456 A1469:G1476 D1478:F1478 A1530:K1551 A1552:H1562 A1563:XFD1570 A1572:E1579 A1580:G1603 A1571:J1571 E1710:M1710 C1697:L1710 C1688:H1696 C1667:XFD1687 C1606:G1656 C1711:M1717 C1718:H1730 A1781:M1789 C1750:M1752 C1731:L1749 C1753:L1780 A1790:L1048576">
    <cfRule type="expression" dxfId="25" priority="435">
      <formula>COUNTIF($D:$D, $D1)&gt;1</formula>
    </cfRule>
  </conditionalFormatting>
  <conditionalFormatting sqref="A1277">
    <cfRule type="expression" dxfId="24" priority="432">
      <formula>COUNTIF($D:$D, $D1275)&gt;1</formula>
    </cfRule>
  </conditionalFormatting>
  <conditionalFormatting sqref="Q1186 M1018 O855 S848 C1218 D1478">
    <cfRule type="expression" dxfId="23" priority="433">
      <formula>COUNTIF($D:$D, $D849)&gt;1</formula>
    </cfRule>
  </conditionalFormatting>
  <conditionalFormatting sqref="N866:R869">
    <cfRule type="expression" dxfId="22" priority="434">
      <formula xml:space="preserve"> COUNTIF($D:$D,#REF!)&gt;1</formula>
    </cfRule>
  </conditionalFormatting>
  <conditionalFormatting sqref="S951 M1703:O1703 O1704 M1704:N1705 T1703:XFD1704 M1727:XFD1727 O1735 T1735:XFD1735 M1751:O1752 T1751:XFD1752 M1746:R1746 T1746:XFD1746 N1749:O1750 M1768:XFD1772 O1780 T1780:XFD1780 P1778:S1780 M1785:XFD1788 P1781">
    <cfRule type="expression" dxfId="21" priority="593">
      <formula>COUNTIF($D:$D, $D956)&gt;1</formula>
    </cfRule>
  </conditionalFormatting>
  <conditionalFormatting sqref="O1104:XFD1104">
    <cfRule type="expression" dxfId="20" priority="694">
      <formula>COUNTIF($D:$D, #REF!)&gt;1</formula>
    </cfRule>
  </conditionalFormatting>
  <conditionalFormatting sqref="E1605 M1577:XFD1577 Q1022 C852 C874 Q1018 K1357:M1360 K1363:M1363 K1374:M1374">
    <cfRule type="expression" dxfId="19" priority="869">
      <formula>COUNTIF($D:$D, $D851)&gt;1</formula>
    </cfRule>
  </conditionalFormatting>
  <conditionalFormatting sqref="A1477:C1477 I1477:M1477 E1477:G1477">
    <cfRule type="expression" dxfId="18" priority="96">
      <formula>COUNTIF($D:$D, $D1479)&gt;1</formula>
    </cfRule>
  </conditionalFormatting>
  <conditionalFormatting sqref="M1736:XFD1745 M1713:XFD1713 M1714:R1715 T1714:XFD1715 M1688:XFD1691 O1705:O1706 T1705:XFD1706 M1716:XFD1726 M1753:XFD1767 M1773:XFD1774 P1749:S1752 M1781:O1781 Q1781:XFD1781 M1782:XFD1784 M1790:XFD1048573">
    <cfRule type="expression" dxfId="17" priority="1259">
      <formula>COUNTIF($D:$D, $D1692)&gt;1</formula>
    </cfRule>
  </conditionalFormatting>
  <conditionalFormatting sqref="T1701:XFD1701 M1706:N1707 M1708:O1709 M1732:O1732 P1730 O1733 M1733:N1735 T1732:XFD1733">
    <cfRule type="expression" dxfId="16" priority="2098">
      <formula>COUNTIF($D:$D, $D1708)&gt;1</formula>
    </cfRule>
  </conditionalFormatting>
  <conditionalFormatting sqref="M1728:XFD1729 M1731:XFD1731 M1730:O1730 Q1730:XFD1730 T1700:XFD1700 P1732:S1735">
    <cfRule type="expression" dxfId="15" priority="2380">
      <formula>COUNTIF($D:$D, $D1708)&gt;1</formula>
    </cfRule>
  </conditionalFormatting>
  <conditionalFormatting sqref="O1699:XFD1699 O1700:S1701">
    <cfRule type="expression" dxfId="14" priority="2663">
      <formula>COUNTIF($D:$D, $D1708)&gt;1</formula>
    </cfRule>
  </conditionalFormatting>
  <conditionalFormatting sqref="M1699:N1700">
    <cfRule type="expression" dxfId="13" priority="2947">
      <formula>COUNTIF($D:$D, $D1709)&gt;1</formula>
    </cfRule>
  </conditionalFormatting>
  <conditionalFormatting sqref="M1692:P1692 T1692:XFD1692 T1698:XFD1698 P1705:S1707 O1702:S1702">
    <cfRule type="expression" dxfId="12" priority="3234">
      <formula>COUNTIF($D:$D, $D1703)&gt;1</formula>
    </cfRule>
  </conditionalFormatting>
  <conditionalFormatting sqref="M1693:XFD1696 T1697:XFD1697 M1697:S1698 P1703:S1704 P1708:S1709 M1701:N1702">
    <cfRule type="expression" dxfId="11" priority="3525">
      <formula>COUNTIF($D:$D, $D1705)&gt;1</formula>
    </cfRule>
  </conditionalFormatting>
  <conditionalFormatting sqref="M1776:XFD1777 M1775:R1775 T1775:XFD1775 M1747:XFD1747 M1748:R1748 O1734 O1707 T1707:XFD1709 T1702:XFD1702 M1710:XFD1712 T1734:XFD1734 M1749:M1750 T1748:XFD1750 O1779 M1779:N1780 M1778:O1778 T1778:XFD1779">
    <cfRule type="expression" dxfId="10" priority="4094">
      <formula>COUNTIF($D:$D, $D1708)&gt;1</formula>
    </cfRule>
  </conditionalFormatting>
  <conditionalFormatting sqref="M1048576:XFD1048576">
    <cfRule type="expression" dxfId="9" priority="5332">
      <formula>COUNTIF($D:$D, $D1)&gt;1</formula>
    </cfRule>
  </conditionalFormatting>
  <conditionalFormatting sqref="M1048574:XFD1048575 S1715">
    <cfRule type="expression" dxfId="8" priority="5689">
      <formula>COUNTIF($D:$D, $D1718)&gt;1</formula>
    </cfRule>
  </conditionalFormatting>
  <conditionalFormatting sqref="M1789:XFD1789">
    <cfRule type="expression" dxfId="7" priority="1">
      <formula>COUNTIF($D:$D, $D1793)&gt;1</formula>
    </cfRule>
  </conditionalFormatting>
  <pageMargins left="0.7" right="0.7" top="0.75" bottom="0.75" header="0.3" footer="0.3"/>
  <pageSetup paperSize="9" orientation="portrait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5" id="{E0D83877-B2A0-4E2E-9DC5-66171D4B4C14}">
            <xm:f>COUNTIF($D:$D, '가압 날짜별 실적'!#REF!)&gt;1</xm:f>
            <x14:dxf>
              <fill>
                <patternFill>
                  <bgColor theme="5" tint="0.39994506668294322"/>
                </patternFill>
              </fill>
            </x14:dxf>
          </x14:cfRule>
          <xm:sqref>A1478:C1478 G1478 I1478:M1478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D220-DB3C-4CA2-AD2F-39DB64169A06}">
  <sheetPr codeName="Sheet14">
    <tabColor theme="8" tint="0.59999389629810485"/>
    <outlinePr summaryBelow="0"/>
  </sheetPr>
  <dimension ref="A1:U403"/>
  <sheetViews>
    <sheetView topLeftCell="L1" zoomScale="85" zoomScaleNormal="85" workbookViewId="0">
      <pane ySplit="2" topLeftCell="H79" activePane="bottomLeft" state="frozen"/>
      <selection pane="bottomLeft" activeCell="M88" sqref="M88"/>
      <selection activeCell="Q1" sqref="Q1"/>
    </sheetView>
  </sheetViews>
  <sheetFormatPr defaultColWidth="0" defaultRowHeight="12"/>
  <cols>
    <col min="1" max="1" width="6.5703125" style="547" bestFit="1" customWidth="1"/>
    <col min="2" max="2" width="13.7109375" style="130" bestFit="1" customWidth="1"/>
    <col min="3" max="3" width="10.85546875" style="130" bestFit="1" customWidth="1"/>
    <col min="4" max="4" width="19.42578125" style="130" bestFit="1" customWidth="1"/>
    <col min="5" max="5" width="19" style="130" customWidth="1"/>
    <col min="6" max="6" width="16.140625" style="130" bestFit="1" customWidth="1"/>
    <col min="7" max="7" width="12.42578125" style="130" bestFit="1" customWidth="1"/>
    <col min="8" max="8" width="12.28515625" style="130" bestFit="1" customWidth="1"/>
    <col min="9" max="10" width="9.140625" style="130" customWidth="1"/>
    <col min="11" max="11" width="12.42578125" style="429" bestFit="1" customWidth="1"/>
    <col min="12" max="12" width="13.140625" style="130" bestFit="1" customWidth="1"/>
    <col min="13" max="13" width="44.140625" style="130" bestFit="1" customWidth="1"/>
    <col min="14" max="14" width="66.42578125" style="130" bestFit="1" customWidth="1"/>
    <col min="15" max="15" width="107.85546875" style="130" bestFit="1" customWidth="1"/>
    <col min="16" max="16" width="49.7109375" style="130" bestFit="1" customWidth="1"/>
    <col min="17" max="17" width="15.7109375" style="130" bestFit="1" customWidth="1"/>
    <col min="18" max="18" width="15.5703125" style="130" bestFit="1" customWidth="1"/>
    <col min="19" max="19" width="13.7109375" style="130" customWidth="1"/>
    <col min="20" max="20" width="9.140625" style="130" customWidth="1"/>
    <col min="21" max="16384" width="0" style="130" hidden="1"/>
  </cols>
  <sheetData>
    <row r="1" spans="1:19" s="542" customFormat="1" ht="14.25" customHeight="1">
      <c r="A1" s="830" t="s">
        <v>3575</v>
      </c>
      <c r="B1" s="830" t="s">
        <v>3576</v>
      </c>
      <c r="C1" s="830" t="s">
        <v>3577</v>
      </c>
      <c r="D1" s="830" t="s">
        <v>3578</v>
      </c>
      <c r="E1" s="830" t="s">
        <v>3579</v>
      </c>
      <c r="F1" s="830" t="s">
        <v>3580</v>
      </c>
      <c r="G1" s="830" t="s">
        <v>3581</v>
      </c>
      <c r="H1" s="830" t="s">
        <v>3582</v>
      </c>
      <c r="I1" s="830" t="s">
        <v>3583</v>
      </c>
      <c r="J1" s="830" t="s">
        <v>3584</v>
      </c>
      <c r="K1" s="831" t="s">
        <v>3585</v>
      </c>
      <c r="L1" s="830" t="s">
        <v>3586</v>
      </c>
      <c r="M1" s="830" t="s">
        <v>1486</v>
      </c>
      <c r="N1" s="830" t="s">
        <v>3587</v>
      </c>
      <c r="O1" s="830" t="s">
        <v>3588</v>
      </c>
      <c r="P1" s="830" t="s">
        <v>3589</v>
      </c>
      <c r="Q1" s="830" t="s">
        <v>3590</v>
      </c>
      <c r="R1" s="830" t="s">
        <v>3591</v>
      </c>
      <c r="S1" s="830" t="s">
        <v>3592</v>
      </c>
    </row>
    <row r="2" spans="1:19" s="542" customFormat="1" ht="16.5">
      <c r="A2" s="830"/>
      <c r="B2" s="830"/>
      <c r="C2" s="830"/>
      <c r="D2" s="830"/>
      <c r="E2" s="830"/>
      <c r="F2" s="830"/>
      <c r="G2" s="830"/>
      <c r="H2" s="830"/>
      <c r="I2" s="830"/>
      <c r="J2" s="830"/>
      <c r="K2" s="831"/>
      <c r="L2" s="830"/>
      <c r="M2" s="830"/>
      <c r="N2" s="830"/>
      <c r="O2" s="830"/>
      <c r="P2" s="830"/>
      <c r="Q2" s="830"/>
      <c r="R2" s="830"/>
      <c r="S2" s="830"/>
    </row>
    <row r="3" spans="1:19" ht="30" customHeight="1">
      <c r="A3" s="270">
        <v>1</v>
      </c>
      <c r="B3" s="154" t="s">
        <v>1593</v>
      </c>
      <c r="C3" s="154">
        <v>41200027</v>
      </c>
      <c r="D3" s="154" t="s">
        <v>1591</v>
      </c>
      <c r="E3" s="154" t="s">
        <v>3593</v>
      </c>
      <c r="F3" s="154" t="s">
        <v>3594</v>
      </c>
      <c r="G3" s="154" t="s">
        <v>1</v>
      </c>
      <c r="H3" s="154" t="s">
        <v>3595</v>
      </c>
      <c r="I3" s="154" t="s">
        <v>3596</v>
      </c>
      <c r="J3" s="154" t="s">
        <v>71</v>
      </c>
      <c r="K3" s="185">
        <v>45663</v>
      </c>
      <c r="L3" s="154">
        <v>1100196200</v>
      </c>
      <c r="M3" s="154" t="s">
        <v>3597</v>
      </c>
      <c r="N3" s="154" t="s">
        <v>3598</v>
      </c>
      <c r="O3" s="130" t="s">
        <v>3599</v>
      </c>
      <c r="P3" s="154" t="s">
        <v>3600</v>
      </c>
      <c r="Q3" s="154" t="s">
        <v>3601</v>
      </c>
      <c r="R3" s="154" t="s">
        <v>3602</v>
      </c>
      <c r="S3" s="422" t="s">
        <v>3602</v>
      </c>
    </row>
    <row r="4" spans="1:19" ht="30" customHeight="1">
      <c r="A4" s="270">
        <v>2</v>
      </c>
      <c r="B4" s="154" t="s">
        <v>1689</v>
      </c>
      <c r="C4" s="154">
        <v>41200007</v>
      </c>
      <c r="D4" s="154" t="s">
        <v>1591</v>
      </c>
      <c r="E4" s="154" t="s">
        <v>3603</v>
      </c>
      <c r="F4" s="154" t="s">
        <v>3604</v>
      </c>
      <c r="G4" s="154" t="s">
        <v>1</v>
      </c>
      <c r="H4" s="154" t="s">
        <v>3595</v>
      </c>
      <c r="I4" s="154" t="s">
        <v>3596</v>
      </c>
      <c r="J4" s="154" t="s">
        <v>71</v>
      </c>
      <c r="K4" s="185">
        <v>45692</v>
      </c>
      <c r="L4" s="154">
        <v>1100196200</v>
      </c>
      <c r="M4" s="154" t="s">
        <v>3597</v>
      </c>
      <c r="N4" s="154" t="s">
        <v>3598</v>
      </c>
      <c r="O4" s="130" t="s">
        <v>3605</v>
      </c>
      <c r="P4" s="154" t="s">
        <v>3600</v>
      </c>
      <c r="Q4" s="154" t="s">
        <v>3601</v>
      </c>
      <c r="R4" s="154" t="s">
        <v>3602</v>
      </c>
      <c r="S4" s="154" t="s">
        <v>3602</v>
      </c>
    </row>
    <row r="5" spans="1:19" ht="30" customHeight="1">
      <c r="A5" s="270">
        <v>3</v>
      </c>
      <c r="B5" s="154" t="s">
        <v>1688</v>
      </c>
      <c r="C5" s="154">
        <v>41200007</v>
      </c>
      <c r="D5" s="154" t="s">
        <v>1591</v>
      </c>
      <c r="E5" s="154" t="s">
        <v>3603</v>
      </c>
      <c r="F5" s="154" t="s">
        <v>3604</v>
      </c>
      <c r="G5" s="154" t="s">
        <v>1</v>
      </c>
      <c r="H5" s="154" t="s">
        <v>3595</v>
      </c>
      <c r="I5" s="154" t="s">
        <v>3596</v>
      </c>
      <c r="J5" s="154" t="s">
        <v>71</v>
      </c>
      <c r="K5" s="185">
        <v>45692</v>
      </c>
      <c r="L5" s="154">
        <v>1100201000</v>
      </c>
      <c r="M5" s="154" t="s">
        <v>1049</v>
      </c>
      <c r="N5" s="154" t="s">
        <v>3606</v>
      </c>
      <c r="O5" s="130" t="s">
        <v>3607</v>
      </c>
      <c r="P5" s="154" t="s">
        <v>26</v>
      </c>
      <c r="Q5" s="154" t="s">
        <v>3601</v>
      </c>
      <c r="R5" s="154" t="s">
        <v>3602</v>
      </c>
      <c r="S5" s="154" t="s">
        <v>3602</v>
      </c>
    </row>
    <row r="6" spans="1:19" ht="30" customHeight="1">
      <c r="A6" s="270">
        <v>4</v>
      </c>
      <c r="B6" s="154" t="s">
        <v>1700</v>
      </c>
      <c r="C6" s="154">
        <v>41100320</v>
      </c>
      <c r="D6" s="154" t="s">
        <v>1476</v>
      </c>
      <c r="E6" s="154" t="s">
        <v>3603</v>
      </c>
      <c r="F6" s="154" t="s">
        <v>3604</v>
      </c>
      <c r="G6" s="154" t="s">
        <v>1</v>
      </c>
      <c r="H6" s="154" t="s">
        <v>3608</v>
      </c>
      <c r="I6" s="154" t="s">
        <v>2952</v>
      </c>
      <c r="J6" s="154" t="s">
        <v>71</v>
      </c>
      <c r="K6" s="185">
        <v>45694</v>
      </c>
      <c r="L6" s="154">
        <v>1200019700</v>
      </c>
      <c r="M6" s="154" t="s">
        <v>3609</v>
      </c>
      <c r="N6" s="154" t="s">
        <v>3610</v>
      </c>
      <c r="O6" s="130" t="s">
        <v>3611</v>
      </c>
      <c r="P6" s="154" t="s">
        <v>36</v>
      </c>
      <c r="Q6" s="154" t="s">
        <v>49</v>
      </c>
      <c r="R6" s="154" t="s">
        <v>3612</v>
      </c>
      <c r="S6" s="154" t="s">
        <v>3612</v>
      </c>
    </row>
    <row r="7" spans="1:19" ht="30" customHeight="1">
      <c r="A7" s="270">
        <v>5</v>
      </c>
      <c r="B7" s="154" t="s">
        <v>1705</v>
      </c>
      <c r="C7" s="154">
        <v>41200007</v>
      </c>
      <c r="D7" s="154" t="s">
        <v>1591</v>
      </c>
      <c r="E7" s="154" t="s">
        <v>3603</v>
      </c>
      <c r="F7" s="154" t="s">
        <v>3604</v>
      </c>
      <c r="G7" s="154" t="s">
        <v>1</v>
      </c>
      <c r="H7" s="154" t="s">
        <v>3595</v>
      </c>
      <c r="I7" s="154" t="s">
        <v>3596</v>
      </c>
      <c r="J7" s="154" t="s">
        <v>71</v>
      </c>
      <c r="K7" s="185">
        <v>45695</v>
      </c>
      <c r="L7" s="154">
        <v>1100196200</v>
      </c>
      <c r="M7" s="154" t="s">
        <v>3597</v>
      </c>
      <c r="N7" s="154" t="s">
        <v>3598</v>
      </c>
      <c r="O7" s="130" t="s">
        <v>3605</v>
      </c>
      <c r="P7" s="154" t="s">
        <v>3600</v>
      </c>
      <c r="Q7" s="154" t="s">
        <v>3601</v>
      </c>
      <c r="R7" s="154" t="s">
        <v>3602</v>
      </c>
      <c r="S7" s="154" t="s">
        <v>3602</v>
      </c>
    </row>
    <row r="8" spans="1:19" ht="30" customHeight="1">
      <c r="A8" s="270">
        <v>6</v>
      </c>
      <c r="B8" s="154" t="s">
        <v>1716</v>
      </c>
      <c r="C8" s="154">
        <v>41200115</v>
      </c>
      <c r="D8" s="154" t="s">
        <v>3613</v>
      </c>
      <c r="E8" s="154" t="s">
        <v>3593</v>
      </c>
      <c r="F8" s="154" t="s">
        <v>3594</v>
      </c>
      <c r="G8" s="154" t="s">
        <v>1</v>
      </c>
      <c r="H8" s="154" t="s">
        <v>3614</v>
      </c>
      <c r="I8" s="154" t="s">
        <v>3615</v>
      </c>
      <c r="J8" s="154" t="s">
        <v>71</v>
      </c>
      <c r="K8" s="185">
        <v>45698</v>
      </c>
      <c r="L8" s="154">
        <v>1110268400</v>
      </c>
      <c r="M8" s="154" t="s">
        <v>3616</v>
      </c>
      <c r="N8" s="154" t="s">
        <v>3617</v>
      </c>
      <c r="O8" s="130" t="s">
        <v>3618</v>
      </c>
      <c r="P8" s="154" t="s">
        <v>45</v>
      </c>
      <c r="Q8" s="154" t="s">
        <v>61</v>
      </c>
      <c r="R8" s="154" t="s">
        <v>71</v>
      </c>
      <c r="S8" s="263"/>
    </row>
    <row r="9" spans="1:19" ht="30" customHeight="1">
      <c r="A9" s="270">
        <v>7</v>
      </c>
      <c r="B9" s="154" t="s">
        <v>1721</v>
      </c>
      <c r="C9" s="154">
        <v>41100317</v>
      </c>
      <c r="D9" s="154" t="s">
        <v>1476</v>
      </c>
      <c r="E9" s="154" t="s">
        <v>3603</v>
      </c>
      <c r="F9" s="154" t="s">
        <v>3619</v>
      </c>
      <c r="G9" s="154" t="s">
        <v>1</v>
      </c>
      <c r="H9" s="154" t="s">
        <v>3614</v>
      </c>
      <c r="I9" s="154" t="s">
        <v>3620</v>
      </c>
      <c r="J9" s="154" t="s">
        <v>2880</v>
      </c>
      <c r="K9" s="185">
        <v>45699</v>
      </c>
      <c r="L9" s="154">
        <v>1110070900</v>
      </c>
      <c r="M9" s="154" t="s">
        <v>2560</v>
      </c>
      <c r="N9" s="154" t="s">
        <v>3621</v>
      </c>
      <c r="O9" s="130" t="s">
        <v>3622</v>
      </c>
      <c r="P9" s="154" t="s">
        <v>45</v>
      </c>
      <c r="Q9" s="154" t="s">
        <v>61</v>
      </c>
      <c r="R9" s="154" t="s">
        <v>71</v>
      </c>
      <c r="S9" s="263"/>
    </row>
    <row r="10" spans="1:19" ht="30" customHeight="1">
      <c r="A10" s="270">
        <v>8</v>
      </c>
      <c r="B10" s="154" t="s">
        <v>1777</v>
      </c>
      <c r="C10" s="154">
        <v>41200075</v>
      </c>
      <c r="D10" s="154" t="s">
        <v>1476</v>
      </c>
      <c r="E10" s="154" t="s">
        <v>3603</v>
      </c>
      <c r="F10" s="154" t="s">
        <v>3594</v>
      </c>
      <c r="G10" s="154" t="s">
        <v>1</v>
      </c>
      <c r="H10" s="154" t="s">
        <v>3608</v>
      </c>
      <c r="I10" s="154" t="s">
        <v>3623</v>
      </c>
      <c r="J10" s="154" t="s">
        <v>71</v>
      </c>
      <c r="K10" s="185">
        <v>45708</v>
      </c>
      <c r="L10" s="154">
        <v>1200852000</v>
      </c>
      <c r="M10" s="154" t="s">
        <v>3624</v>
      </c>
      <c r="N10" s="154" t="s">
        <v>3625</v>
      </c>
      <c r="O10" s="130" t="s">
        <v>3626</v>
      </c>
      <c r="P10" s="154" t="s">
        <v>30</v>
      </c>
      <c r="Q10" s="154" t="s">
        <v>49</v>
      </c>
      <c r="R10" s="154" t="s">
        <v>3627</v>
      </c>
      <c r="S10" s="154" t="s">
        <v>3627</v>
      </c>
    </row>
    <row r="11" spans="1:19" ht="30" customHeight="1">
      <c r="A11" s="270">
        <v>9</v>
      </c>
      <c r="B11" s="154" t="s">
        <v>1821</v>
      </c>
      <c r="C11" s="154">
        <v>41200006</v>
      </c>
      <c r="D11" s="154" t="s">
        <v>1477</v>
      </c>
      <c r="E11" s="154" t="s">
        <v>3603</v>
      </c>
      <c r="F11" s="154" t="s">
        <v>3619</v>
      </c>
      <c r="G11" s="154" t="s">
        <v>1</v>
      </c>
      <c r="H11" s="154" t="s">
        <v>3614</v>
      </c>
      <c r="I11" s="154" t="s">
        <v>3628</v>
      </c>
      <c r="J11" s="154" t="s">
        <v>71</v>
      </c>
      <c r="K11" s="185">
        <v>45715</v>
      </c>
      <c r="L11" s="154">
        <v>1310588000</v>
      </c>
      <c r="M11" s="154" t="s">
        <v>2592</v>
      </c>
      <c r="N11" s="154" t="s">
        <v>3629</v>
      </c>
      <c r="O11" s="130" t="s">
        <v>3630</v>
      </c>
      <c r="P11" s="154" t="s">
        <v>45</v>
      </c>
      <c r="Q11" s="154" t="s">
        <v>61</v>
      </c>
      <c r="R11" s="154" t="s">
        <v>71</v>
      </c>
      <c r="S11" s="263"/>
    </row>
    <row r="12" spans="1:19" ht="30" customHeight="1">
      <c r="A12" s="270">
        <v>10</v>
      </c>
      <c r="B12" s="154" t="s">
        <v>1821</v>
      </c>
      <c r="C12" s="154">
        <v>41200006</v>
      </c>
      <c r="D12" s="154" t="s">
        <v>1477</v>
      </c>
      <c r="E12" s="154" t="s">
        <v>3603</v>
      </c>
      <c r="F12" s="154" t="s">
        <v>3619</v>
      </c>
      <c r="G12" s="154" t="s">
        <v>1</v>
      </c>
      <c r="H12" s="154" t="s">
        <v>3614</v>
      </c>
      <c r="I12" s="154" t="s">
        <v>3615</v>
      </c>
      <c r="J12" s="154" t="s">
        <v>71</v>
      </c>
      <c r="K12" s="185">
        <v>45715</v>
      </c>
      <c r="L12" s="154">
        <v>1100872700</v>
      </c>
      <c r="M12" s="154" t="s">
        <v>370</v>
      </c>
      <c r="N12" s="154" t="s">
        <v>3631</v>
      </c>
      <c r="O12" s="130" t="s">
        <v>3632</v>
      </c>
      <c r="P12" s="154" t="s">
        <v>45</v>
      </c>
      <c r="Q12" s="154" t="s">
        <v>61</v>
      </c>
      <c r="R12" s="154" t="s">
        <v>71</v>
      </c>
      <c r="S12" s="263"/>
    </row>
    <row r="13" spans="1:19" ht="30" customHeight="1">
      <c r="A13" s="270">
        <v>11</v>
      </c>
      <c r="B13" s="154" t="s">
        <v>1836</v>
      </c>
      <c r="C13" s="154">
        <v>41100668</v>
      </c>
      <c r="D13" s="154" t="s">
        <v>1581</v>
      </c>
      <c r="E13" s="154" t="s">
        <v>3603</v>
      </c>
      <c r="F13" s="154" t="s">
        <v>3594</v>
      </c>
      <c r="G13" s="154" t="s">
        <v>1</v>
      </c>
      <c r="H13" s="154" t="s">
        <v>3614</v>
      </c>
      <c r="I13" s="154" t="s">
        <v>3615</v>
      </c>
      <c r="J13" s="154" t="s">
        <v>71</v>
      </c>
      <c r="K13" s="185">
        <v>45716</v>
      </c>
      <c r="L13" s="154">
        <v>1200191900</v>
      </c>
      <c r="M13" s="154" t="s">
        <v>3633</v>
      </c>
      <c r="N13" s="154" t="s">
        <v>3634</v>
      </c>
      <c r="O13" s="130" t="s">
        <v>3635</v>
      </c>
      <c r="P13" s="154" t="s">
        <v>45</v>
      </c>
      <c r="Q13" s="154" t="s">
        <v>61</v>
      </c>
      <c r="R13" s="154" t="s">
        <v>71</v>
      </c>
      <c r="S13" s="263"/>
    </row>
    <row r="14" spans="1:19" ht="30" customHeight="1">
      <c r="A14" s="270">
        <v>12</v>
      </c>
      <c r="B14" s="154" t="s">
        <v>1843</v>
      </c>
      <c r="C14" s="154">
        <v>41200084</v>
      </c>
      <c r="D14" s="154" t="s">
        <v>1477</v>
      </c>
      <c r="E14" s="154" t="s">
        <v>3603</v>
      </c>
      <c r="F14" s="154" t="s">
        <v>3619</v>
      </c>
      <c r="G14" s="154" t="s">
        <v>1</v>
      </c>
      <c r="H14" s="154" t="s">
        <v>3614</v>
      </c>
      <c r="I14" s="154" t="s">
        <v>3620</v>
      </c>
      <c r="J14" s="154" t="s">
        <v>71</v>
      </c>
      <c r="K14" s="185">
        <v>45720</v>
      </c>
      <c r="L14" s="154">
        <v>1210042100</v>
      </c>
      <c r="M14" s="154" t="s">
        <v>3636</v>
      </c>
      <c r="N14" s="154" t="s">
        <v>3637</v>
      </c>
      <c r="O14" s="130" t="s">
        <v>3637</v>
      </c>
      <c r="P14" s="154" t="s">
        <v>45</v>
      </c>
      <c r="Q14" s="154" t="s">
        <v>61</v>
      </c>
      <c r="R14" s="154" t="s">
        <v>71</v>
      </c>
      <c r="S14" s="263"/>
    </row>
    <row r="15" spans="1:19" ht="30" customHeight="1">
      <c r="A15" s="270">
        <v>13</v>
      </c>
      <c r="B15" s="154" t="s">
        <v>1840</v>
      </c>
      <c r="C15" s="154">
        <v>41200118</v>
      </c>
      <c r="D15" s="154" t="s">
        <v>3638</v>
      </c>
      <c r="E15" s="154" t="s">
        <v>3593</v>
      </c>
      <c r="F15" s="154" t="s">
        <v>3619</v>
      </c>
      <c r="G15" s="154" t="s">
        <v>1</v>
      </c>
      <c r="H15" s="154" t="s">
        <v>3595</v>
      </c>
      <c r="I15" s="154" t="s">
        <v>2894</v>
      </c>
      <c r="J15" s="154" t="s">
        <v>71</v>
      </c>
      <c r="K15" s="185">
        <v>45720</v>
      </c>
      <c r="L15" s="154">
        <v>1100855900</v>
      </c>
      <c r="M15" s="154" t="s">
        <v>3639</v>
      </c>
      <c r="N15" s="154" t="s">
        <v>3640</v>
      </c>
      <c r="O15" s="130" t="s">
        <v>3641</v>
      </c>
      <c r="P15" s="154" t="s">
        <v>30</v>
      </c>
      <c r="Q15" s="154" t="s">
        <v>49</v>
      </c>
      <c r="R15" s="154" t="s">
        <v>3602</v>
      </c>
      <c r="S15" s="154" t="s">
        <v>3602</v>
      </c>
    </row>
    <row r="16" spans="1:19" ht="30" customHeight="1">
      <c r="A16" s="270">
        <v>14</v>
      </c>
      <c r="B16" s="154" t="s">
        <v>1857</v>
      </c>
      <c r="C16" s="154">
        <v>41000588</v>
      </c>
      <c r="D16" s="154" t="s">
        <v>1911</v>
      </c>
      <c r="E16" s="154" t="s">
        <v>3593</v>
      </c>
      <c r="F16" s="154" t="s">
        <v>3619</v>
      </c>
      <c r="G16" s="154" t="s">
        <v>1</v>
      </c>
      <c r="H16" s="154" t="s">
        <v>3614</v>
      </c>
      <c r="I16" s="154" t="s">
        <v>3620</v>
      </c>
      <c r="J16" s="154" t="s">
        <v>71</v>
      </c>
      <c r="K16" s="185">
        <v>45722</v>
      </c>
      <c r="L16" s="154">
        <v>1210042100</v>
      </c>
      <c r="M16" s="154" t="s">
        <v>3636</v>
      </c>
      <c r="N16" s="154" t="s">
        <v>3637</v>
      </c>
      <c r="O16" s="130" t="s">
        <v>3637</v>
      </c>
      <c r="P16" s="154" t="s">
        <v>45</v>
      </c>
      <c r="Q16" s="154" t="s">
        <v>61</v>
      </c>
      <c r="R16" s="154" t="s">
        <v>71</v>
      </c>
      <c r="S16" s="263"/>
    </row>
    <row r="17" spans="1:19" ht="30" customHeight="1">
      <c r="A17" s="270">
        <v>15</v>
      </c>
      <c r="B17" s="154" t="s">
        <v>1986</v>
      </c>
      <c r="C17" s="154">
        <v>41200121</v>
      </c>
      <c r="D17" s="154" t="s">
        <v>1479</v>
      </c>
      <c r="E17" s="154" t="s">
        <v>3593</v>
      </c>
      <c r="F17" s="154" t="s">
        <v>3594</v>
      </c>
      <c r="G17" s="154" t="s">
        <v>1</v>
      </c>
      <c r="H17" s="154" t="s">
        <v>3614</v>
      </c>
      <c r="I17" s="154" t="s">
        <v>3620</v>
      </c>
      <c r="J17" s="154" t="s">
        <v>71</v>
      </c>
      <c r="K17" s="185">
        <v>45747</v>
      </c>
      <c r="L17" s="154">
        <v>1210150400</v>
      </c>
      <c r="M17" s="154" t="s">
        <v>3642</v>
      </c>
      <c r="N17" s="154" t="s">
        <v>3643</v>
      </c>
      <c r="O17" s="130" t="s">
        <v>3643</v>
      </c>
      <c r="P17" s="154" t="s">
        <v>45</v>
      </c>
      <c r="Q17" s="154" t="s">
        <v>61</v>
      </c>
      <c r="R17" s="154" t="s">
        <v>71</v>
      </c>
      <c r="S17" s="263"/>
    </row>
    <row r="18" spans="1:19" ht="30" customHeight="1">
      <c r="A18" s="270">
        <v>16</v>
      </c>
      <c r="B18" s="154" t="s">
        <v>2071</v>
      </c>
      <c r="C18" s="154">
        <v>41200046</v>
      </c>
      <c r="D18" s="154" t="s">
        <v>1476</v>
      </c>
      <c r="E18" s="154" t="s">
        <v>3593</v>
      </c>
      <c r="F18" s="154" t="s">
        <v>3594</v>
      </c>
      <c r="G18" s="154" t="s">
        <v>1</v>
      </c>
      <c r="H18" s="154" t="s">
        <v>3614</v>
      </c>
      <c r="I18" s="154" t="s">
        <v>3596</v>
      </c>
      <c r="J18" s="154" t="s">
        <v>2679</v>
      </c>
      <c r="K18" s="185">
        <v>45764</v>
      </c>
      <c r="L18" s="154">
        <v>1100532000</v>
      </c>
      <c r="M18" s="154" t="s">
        <v>3644</v>
      </c>
      <c r="N18" s="154" t="s">
        <v>3645</v>
      </c>
      <c r="O18" s="130" t="s">
        <v>3646</v>
      </c>
      <c r="P18" s="154" t="s">
        <v>45</v>
      </c>
      <c r="Q18" s="154" t="s">
        <v>61</v>
      </c>
      <c r="R18" s="154" t="s">
        <v>71</v>
      </c>
      <c r="S18" s="263"/>
    </row>
    <row r="19" spans="1:19" ht="30" customHeight="1">
      <c r="A19" s="270">
        <v>17</v>
      </c>
      <c r="B19" s="154" t="s">
        <v>2115</v>
      </c>
      <c r="C19" s="154">
        <v>41200005</v>
      </c>
      <c r="D19" s="154" t="s">
        <v>1591</v>
      </c>
      <c r="E19" s="154" t="s">
        <v>3593</v>
      </c>
      <c r="F19" s="154" t="s">
        <v>3619</v>
      </c>
      <c r="G19" s="154" t="s">
        <v>1</v>
      </c>
      <c r="H19" s="154" t="s">
        <v>3614</v>
      </c>
      <c r="I19" s="154" t="s">
        <v>3620</v>
      </c>
      <c r="J19" s="154" t="s">
        <v>2880</v>
      </c>
      <c r="K19" s="185">
        <v>45775</v>
      </c>
      <c r="L19" s="154">
        <v>1210103700</v>
      </c>
      <c r="M19" s="154" t="s">
        <v>3513</v>
      </c>
      <c r="N19" s="154" t="s">
        <v>3647</v>
      </c>
      <c r="O19" s="130" t="s">
        <v>3648</v>
      </c>
      <c r="P19" s="154" t="s">
        <v>45</v>
      </c>
      <c r="Q19" s="154" t="s">
        <v>61</v>
      </c>
      <c r="R19" s="154" t="s">
        <v>71</v>
      </c>
      <c r="S19" s="263"/>
    </row>
    <row r="20" spans="1:19" ht="30" customHeight="1">
      <c r="A20" s="270">
        <v>18</v>
      </c>
      <c r="B20" s="154" t="s">
        <v>2150</v>
      </c>
      <c r="C20" s="154">
        <v>41200046</v>
      </c>
      <c r="D20" s="154" t="s">
        <v>1476</v>
      </c>
      <c r="E20" s="154" t="s">
        <v>3603</v>
      </c>
      <c r="F20" s="154" t="s">
        <v>3619</v>
      </c>
      <c r="G20" s="154" t="s">
        <v>1</v>
      </c>
      <c r="H20" s="154" t="s">
        <v>3614</v>
      </c>
      <c r="I20" s="154" t="s">
        <v>3596</v>
      </c>
      <c r="J20" s="154" t="s">
        <v>2880</v>
      </c>
      <c r="K20" s="185">
        <v>45786</v>
      </c>
      <c r="L20" s="154">
        <v>1310441000</v>
      </c>
      <c r="M20" s="154" t="s">
        <v>2592</v>
      </c>
      <c r="N20" s="154" t="s">
        <v>3649</v>
      </c>
      <c r="O20" s="130" t="s">
        <v>3650</v>
      </c>
      <c r="P20" s="154" t="s">
        <v>45</v>
      </c>
      <c r="Q20" s="154" t="s">
        <v>61</v>
      </c>
      <c r="R20" s="154" t="s">
        <v>71</v>
      </c>
      <c r="S20" s="263"/>
    </row>
    <row r="21" spans="1:19" ht="30" customHeight="1">
      <c r="A21" s="270">
        <v>19</v>
      </c>
      <c r="B21" s="154" t="s">
        <v>2162</v>
      </c>
      <c r="C21" s="154">
        <v>41100696</v>
      </c>
      <c r="D21" s="154" t="s">
        <v>1911</v>
      </c>
      <c r="E21" s="154" t="s">
        <v>3651</v>
      </c>
      <c r="F21" s="154" t="s">
        <v>3604</v>
      </c>
      <c r="G21" s="154" t="s">
        <v>1</v>
      </c>
      <c r="H21" s="154" t="s">
        <v>3595</v>
      </c>
      <c r="I21" s="154" t="s">
        <v>3596</v>
      </c>
      <c r="J21" s="154" t="s">
        <v>2880</v>
      </c>
      <c r="K21" s="185">
        <v>45789</v>
      </c>
      <c r="L21" s="154">
        <v>1100196400</v>
      </c>
      <c r="M21" s="154" t="s">
        <v>3597</v>
      </c>
      <c r="N21" s="154" t="s">
        <v>3652</v>
      </c>
      <c r="O21" s="130" t="s">
        <v>3653</v>
      </c>
      <c r="P21" s="154" t="s">
        <v>26</v>
      </c>
      <c r="Q21" s="154" t="s">
        <v>49</v>
      </c>
      <c r="R21" s="154" t="s">
        <v>3602</v>
      </c>
      <c r="S21" s="154" t="s">
        <v>3602</v>
      </c>
    </row>
    <row r="22" spans="1:19" ht="30" customHeight="1">
      <c r="A22" s="270">
        <v>20</v>
      </c>
      <c r="B22" s="154" t="s">
        <v>2163</v>
      </c>
      <c r="C22" s="154">
        <v>41200155</v>
      </c>
      <c r="D22" s="154" t="s">
        <v>1479</v>
      </c>
      <c r="E22" s="154" t="s">
        <v>3593</v>
      </c>
      <c r="F22" s="154" t="s">
        <v>3619</v>
      </c>
      <c r="G22" s="154" t="s">
        <v>1</v>
      </c>
      <c r="H22" s="154" t="s">
        <v>3595</v>
      </c>
      <c r="I22" s="154" t="s">
        <v>2894</v>
      </c>
      <c r="J22" s="154" t="s">
        <v>71</v>
      </c>
      <c r="K22" s="185">
        <v>45790</v>
      </c>
      <c r="L22" s="154">
        <v>1100244600</v>
      </c>
      <c r="M22" s="154" t="s">
        <v>2441</v>
      </c>
      <c r="N22" s="154" t="s">
        <v>3654</v>
      </c>
      <c r="O22" s="130" t="s">
        <v>3655</v>
      </c>
      <c r="P22" s="154" t="s">
        <v>30</v>
      </c>
      <c r="Q22" s="154" t="s">
        <v>49</v>
      </c>
      <c r="R22" s="154" t="s">
        <v>3656</v>
      </c>
      <c r="S22" s="263" t="s">
        <v>3656</v>
      </c>
    </row>
    <row r="23" spans="1:19" ht="30" customHeight="1">
      <c r="A23" s="270">
        <v>21</v>
      </c>
      <c r="B23" s="154" t="s">
        <v>2170</v>
      </c>
      <c r="C23" s="154">
        <v>41000598</v>
      </c>
      <c r="D23" s="154" t="s">
        <v>1480</v>
      </c>
      <c r="E23" s="154" t="s">
        <v>3593</v>
      </c>
      <c r="F23" s="154" t="s">
        <v>3619</v>
      </c>
      <c r="G23" s="154" t="s">
        <v>1</v>
      </c>
      <c r="H23" s="154" t="s">
        <v>3595</v>
      </c>
      <c r="I23" s="154" t="s">
        <v>3596</v>
      </c>
      <c r="J23" s="154" t="s">
        <v>2679</v>
      </c>
      <c r="K23" s="185">
        <v>45791</v>
      </c>
      <c r="L23" s="154">
        <v>1100196200</v>
      </c>
      <c r="M23" s="154" t="s">
        <v>3597</v>
      </c>
      <c r="N23" s="154" t="s">
        <v>3598</v>
      </c>
      <c r="O23" s="130" t="s">
        <v>3657</v>
      </c>
      <c r="P23" s="154" t="s">
        <v>3600</v>
      </c>
      <c r="Q23" s="154" t="s">
        <v>3601</v>
      </c>
      <c r="R23" s="154" t="s">
        <v>3602</v>
      </c>
      <c r="S23" s="154" t="s">
        <v>3602</v>
      </c>
    </row>
    <row r="24" spans="1:19" ht="30" customHeight="1">
      <c r="A24" s="270">
        <v>22</v>
      </c>
      <c r="B24" s="154" t="s">
        <v>2197</v>
      </c>
      <c r="C24" s="154">
        <v>41000584</v>
      </c>
      <c r="D24" s="154" t="s">
        <v>1911</v>
      </c>
      <c r="E24" s="154" t="s">
        <v>3651</v>
      </c>
      <c r="F24" s="154" t="s">
        <v>3619</v>
      </c>
      <c r="G24" s="154" t="s">
        <v>1</v>
      </c>
      <c r="H24" s="154" t="s">
        <v>3614</v>
      </c>
      <c r="I24" s="154" t="s">
        <v>3620</v>
      </c>
      <c r="J24" s="154" t="s">
        <v>2880</v>
      </c>
      <c r="K24" s="185">
        <v>45798</v>
      </c>
      <c r="L24" s="154">
        <v>1200001600</v>
      </c>
      <c r="M24" s="154" t="s">
        <v>3658</v>
      </c>
      <c r="N24" s="154" t="s">
        <v>3659</v>
      </c>
      <c r="O24" s="130" t="s">
        <v>3659</v>
      </c>
      <c r="P24" s="154" t="s">
        <v>45</v>
      </c>
      <c r="Q24" s="154" t="s">
        <v>61</v>
      </c>
      <c r="R24" s="154" t="s">
        <v>71</v>
      </c>
      <c r="S24" s="263"/>
    </row>
    <row r="25" spans="1:19" ht="30" customHeight="1">
      <c r="A25" s="270">
        <v>23</v>
      </c>
      <c r="B25" s="154" t="s">
        <v>2230</v>
      </c>
      <c r="C25" s="154">
        <v>41200034</v>
      </c>
      <c r="D25" s="154" t="s">
        <v>1476</v>
      </c>
      <c r="E25" s="154" t="s">
        <v>3603</v>
      </c>
      <c r="F25" s="154" t="s">
        <v>3604</v>
      </c>
      <c r="G25" s="154" t="s">
        <v>1</v>
      </c>
      <c r="H25" s="154" t="s">
        <v>3614</v>
      </c>
      <c r="I25" s="154" t="s">
        <v>3620</v>
      </c>
      <c r="J25" s="154" t="s">
        <v>2679</v>
      </c>
      <c r="K25" s="185">
        <v>45805</v>
      </c>
      <c r="L25" s="154">
        <v>1210103700</v>
      </c>
      <c r="M25" s="154" t="s">
        <v>3513</v>
      </c>
      <c r="N25" s="154" t="s">
        <v>3660</v>
      </c>
      <c r="O25" s="130" t="s">
        <v>3661</v>
      </c>
      <c r="P25" s="154" t="s">
        <v>45</v>
      </c>
      <c r="Q25" s="154" t="s">
        <v>61</v>
      </c>
      <c r="R25" s="154" t="s">
        <v>71</v>
      </c>
      <c r="S25" s="263"/>
    </row>
    <row r="26" spans="1:19" ht="30" customHeight="1">
      <c r="A26" s="270">
        <v>24</v>
      </c>
      <c r="B26" s="154" t="s">
        <v>2249</v>
      </c>
      <c r="C26" s="154">
        <v>41200076</v>
      </c>
      <c r="D26" s="154" t="s">
        <v>1476</v>
      </c>
      <c r="E26" s="154" t="s">
        <v>3593</v>
      </c>
      <c r="F26" s="154" t="s">
        <v>3594</v>
      </c>
      <c r="G26" s="154" t="s">
        <v>1</v>
      </c>
      <c r="H26" s="154" t="s">
        <v>3595</v>
      </c>
      <c r="I26" s="154" t="s">
        <v>3596</v>
      </c>
      <c r="J26" s="154" t="s">
        <v>2679</v>
      </c>
      <c r="K26" s="185">
        <v>45810</v>
      </c>
      <c r="L26" s="154">
        <v>1100196200</v>
      </c>
      <c r="M26" s="154" t="s">
        <v>3597</v>
      </c>
      <c r="N26" s="154" t="s">
        <v>3662</v>
      </c>
      <c r="O26" s="130" t="s">
        <v>3657</v>
      </c>
      <c r="P26" s="154" t="s">
        <v>26</v>
      </c>
      <c r="Q26" s="154" t="s">
        <v>3601</v>
      </c>
      <c r="R26" s="154" t="s">
        <v>3602</v>
      </c>
      <c r="S26" s="154" t="s">
        <v>3602</v>
      </c>
    </row>
    <row r="27" spans="1:19" ht="30" customHeight="1">
      <c r="A27" s="270">
        <v>25</v>
      </c>
      <c r="B27" s="154" t="s">
        <v>2292</v>
      </c>
      <c r="C27" s="154" t="e">
        <f ca="1">COUNTIFS('제조품질 불량내역'!$K:$K,"&gt;=2025-02-01",'제조품질 불량내역'!F61
          '제조품질 불량내역'!$K:$K,"&lt;=2025-02-28",
          '제조품질 불량내역'!$H:$H,"전장작업불량",
          '제조품질 불량내역'!$E:$E,"C&amp;A 전장",
          '제조품질 불량내역'!$Q:$Q,"제조")
+
COUNTIFS('제조품질 불량내역'!$K:$K,"&gt;=2025-02-01",
         '제조품질 불량내역'!$K:$K,"&lt;=2025-02-28",
         '제조품질 불량내역'!$H:$H,"전장작업불량",
         '제조품질 불량내역'!$E:$E,"C&amp;A 전장",
         '제조품질 불량내역'!$Q:$Q,"제조(재작업)")
+
COUNTIFS('제조품질 불량내역'!$K:$K,"&gt;=2025-02-01",
         '제조품질 불량내역'!$K:$K,"&lt;=2025-02-28",
         '제조품질 불량내역'!$H:$H,"전장작업불량",
         '제조품질 불량내역'!$E:$E,"C&amp;A 전장",
         '제조품질 불량내역'!$Q:$Q,"제조(Water Leak)")</f>
        <v>#NULL!</v>
      </c>
      <c r="D27" s="154" t="s">
        <v>1476</v>
      </c>
      <c r="E27" s="154" t="s">
        <v>3603</v>
      </c>
      <c r="F27" s="154" t="s">
        <v>3604</v>
      </c>
      <c r="G27" s="154" t="s">
        <v>1</v>
      </c>
      <c r="H27" s="154" t="s">
        <v>3614</v>
      </c>
      <c r="I27" s="154" t="s">
        <v>3596</v>
      </c>
      <c r="J27" s="154" t="s">
        <v>2880</v>
      </c>
      <c r="K27" s="185">
        <v>45819</v>
      </c>
      <c r="L27" s="154">
        <v>1100532000</v>
      </c>
      <c r="M27" s="154" t="s">
        <v>3644</v>
      </c>
      <c r="N27" s="154" t="s">
        <v>3645</v>
      </c>
      <c r="O27" s="130" t="s">
        <v>3663</v>
      </c>
      <c r="P27" s="154" t="s">
        <v>45</v>
      </c>
      <c r="Q27" s="154" t="s">
        <v>61</v>
      </c>
      <c r="R27" s="154" t="s">
        <v>71</v>
      </c>
      <c r="S27" s="263"/>
    </row>
    <row r="28" spans="1:19" ht="30" customHeight="1">
      <c r="A28" s="270">
        <v>26</v>
      </c>
      <c r="B28" s="154" t="s">
        <v>2330</v>
      </c>
      <c r="C28" s="154">
        <v>41200075</v>
      </c>
      <c r="D28" s="154" t="s">
        <v>1476</v>
      </c>
      <c r="E28" s="154" t="s">
        <v>3603</v>
      </c>
      <c r="F28" s="154" t="s">
        <v>3604</v>
      </c>
      <c r="G28" s="154" t="s">
        <v>1</v>
      </c>
      <c r="H28" s="154" t="s">
        <v>3595</v>
      </c>
      <c r="I28" s="154" t="s">
        <v>3596</v>
      </c>
      <c r="J28" s="154" t="s">
        <v>2880</v>
      </c>
      <c r="K28" s="185">
        <v>45826</v>
      </c>
      <c r="L28" s="154">
        <v>1100196200</v>
      </c>
      <c r="M28" s="154" t="s">
        <v>3597</v>
      </c>
      <c r="N28" s="154" t="s">
        <v>3662</v>
      </c>
      <c r="O28" s="130" t="s">
        <v>3657</v>
      </c>
      <c r="P28" s="154" t="s">
        <v>26</v>
      </c>
      <c r="Q28" s="154" t="s">
        <v>3601</v>
      </c>
      <c r="R28" s="154" t="s">
        <v>3602</v>
      </c>
      <c r="S28" s="154" t="s">
        <v>3602</v>
      </c>
    </row>
    <row r="29" spans="1:19" ht="30" customHeight="1">
      <c r="A29" s="270">
        <v>27</v>
      </c>
      <c r="B29" s="154" t="s">
        <v>2333</v>
      </c>
      <c r="C29" s="154">
        <v>41200007</v>
      </c>
      <c r="D29" s="154" t="s">
        <v>1591</v>
      </c>
      <c r="E29" s="154" t="s">
        <v>3603</v>
      </c>
      <c r="F29" s="154" t="s">
        <v>3619</v>
      </c>
      <c r="G29" s="154" t="s">
        <v>1</v>
      </c>
      <c r="H29" s="154" t="s">
        <v>3595</v>
      </c>
      <c r="I29" s="154" t="s">
        <v>2894</v>
      </c>
      <c r="J29" s="154" t="s">
        <v>71</v>
      </c>
      <c r="K29" s="185">
        <v>45831</v>
      </c>
      <c r="L29" s="154">
        <v>1210103700</v>
      </c>
      <c r="M29" s="154" t="s">
        <v>3513</v>
      </c>
      <c r="N29" s="154" t="s">
        <v>3664</v>
      </c>
      <c r="O29" s="154" t="s">
        <v>3665</v>
      </c>
      <c r="P29" s="154" t="s">
        <v>26</v>
      </c>
      <c r="Q29" s="154" t="s">
        <v>49</v>
      </c>
      <c r="R29" s="154" t="s">
        <v>3666</v>
      </c>
      <c r="S29" s="154" t="s">
        <v>3666</v>
      </c>
    </row>
    <row r="30" spans="1:19" ht="30" customHeight="1">
      <c r="A30" s="270">
        <v>28</v>
      </c>
      <c r="B30" s="154" t="s">
        <v>2332</v>
      </c>
      <c r="C30" s="154">
        <v>41200007</v>
      </c>
      <c r="D30" s="154" t="s">
        <v>1591</v>
      </c>
      <c r="E30" s="154" t="s">
        <v>3603</v>
      </c>
      <c r="F30" s="154" t="s">
        <v>3619</v>
      </c>
      <c r="G30" s="154" t="s">
        <v>1</v>
      </c>
      <c r="H30" s="154" t="s">
        <v>3595</v>
      </c>
      <c r="I30" s="154" t="s">
        <v>3596</v>
      </c>
      <c r="J30" s="154" t="s">
        <v>71</v>
      </c>
      <c r="K30" s="185">
        <v>45831</v>
      </c>
      <c r="L30" s="154">
        <v>1100196200</v>
      </c>
      <c r="M30" s="154" t="s">
        <v>3597</v>
      </c>
      <c r="N30" s="154" t="s">
        <v>3667</v>
      </c>
      <c r="O30" s="130" t="s">
        <v>3657</v>
      </c>
      <c r="P30" s="154" t="s">
        <v>26</v>
      </c>
      <c r="Q30" s="154" t="s">
        <v>3601</v>
      </c>
      <c r="R30" s="154" t="s">
        <v>3602</v>
      </c>
      <c r="S30" s="154" t="s">
        <v>3602</v>
      </c>
    </row>
    <row r="31" spans="1:19" ht="30" customHeight="1">
      <c r="A31" s="270">
        <v>29</v>
      </c>
      <c r="B31" s="154" t="s">
        <v>2352</v>
      </c>
      <c r="C31" s="154">
        <v>41200046</v>
      </c>
      <c r="D31" s="154" t="s">
        <v>1476</v>
      </c>
      <c r="E31" s="154" t="s">
        <v>3593</v>
      </c>
      <c r="F31" s="154" t="s">
        <v>3594</v>
      </c>
      <c r="G31" s="154" t="s">
        <v>1</v>
      </c>
      <c r="H31" s="154" t="s">
        <v>3614</v>
      </c>
      <c r="I31" s="154" t="s">
        <v>3620</v>
      </c>
      <c r="J31" s="154" t="s">
        <v>71</v>
      </c>
      <c r="K31" s="185">
        <v>45834</v>
      </c>
      <c r="L31" s="154">
        <v>1210103600</v>
      </c>
      <c r="M31" s="154" t="s">
        <v>3513</v>
      </c>
      <c r="N31" s="154" t="s">
        <v>3660</v>
      </c>
      <c r="O31" s="130" t="s">
        <v>3668</v>
      </c>
      <c r="P31" s="154" t="s">
        <v>45</v>
      </c>
      <c r="Q31" s="154" t="s">
        <v>61</v>
      </c>
      <c r="R31" s="154" t="s">
        <v>71</v>
      </c>
      <c r="S31" s="263"/>
    </row>
    <row r="32" spans="1:19" ht="30" customHeight="1">
      <c r="A32" s="270">
        <v>30</v>
      </c>
      <c r="B32" s="154" t="s">
        <v>2349</v>
      </c>
      <c r="C32" s="154">
        <v>41100264</v>
      </c>
      <c r="D32" s="154" t="s">
        <v>1591</v>
      </c>
      <c r="E32" s="154" t="s">
        <v>3603</v>
      </c>
      <c r="F32" s="154" t="s">
        <v>3619</v>
      </c>
      <c r="G32" s="154" t="s">
        <v>1</v>
      </c>
      <c r="H32" s="154" t="s">
        <v>3614</v>
      </c>
      <c r="I32" s="154" t="s">
        <v>3620</v>
      </c>
      <c r="J32" s="154" t="s">
        <v>71</v>
      </c>
      <c r="K32" s="185">
        <v>45834</v>
      </c>
      <c r="L32" s="154">
        <v>1200244300</v>
      </c>
      <c r="M32" s="154" t="s">
        <v>3669</v>
      </c>
      <c r="N32" s="154" t="s">
        <v>3670</v>
      </c>
      <c r="O32" s="154" t="s">
        <v>3670</v>
      </c>
      <c r="P32" s="154" t="s">
        <v>45</v>
      </c>
      <c r="Q32" s="154" t="s">
        <v>61</v>
      </c>
      <c r="R32" s="154" t="s">
        <v>71</v>
      </c>
      <c r="S32" s="263"/>
    </row>
    <row r="33" spans="1:19" ht="30" customHeight="1">
      <c r="A33" s="270">
        <v>31</v>
      </c>
      <c r="B33" s="154" t="s">
        <v>2357</v>
      </c>
      <c r="C33" s="154">
        <v>41200122</v>
      </c>
      <c r="D33" s="154" t="s">
        <v>1476</v>
      </c>
      <c r="E33" s="154" t="s">
        <v>3603</v>
      </c>
      <c r="F33" s="154" t="s">
        <v>3604</v>
      </c>
      <c r="G33" s="154" t="s">
        <v>1</v>
      </c>
      <c r="H33" s="154" t="s">
        <v>3614</v>
      </c>
      <c r="I33" s="154" t="s">
        <v>3620</v>
      </c>
      <c r="J33" s="154" t="s">
        <v>71</v>
      </c>
      <c r="K33" s="185">
        <v>45835</v>
      </c>
      <c r="L33" s="154">
        <v>1210103700</v>
      </c>
      <c r="M33" s="154" t="s">
        <v>3513</v>
      </c>
      <c r="N33" s="154" t="s">
        <v>3671</v>
      </c>
      <c r="O33" s="154" t="s">
        <v>3672</v>
      </c>
      <c r="P33" s="154" t="s">
        <v>45</v>
      </c>
      <c r="Q33" s="154" t="s">
        <v>61</v>
      </c>
      <c r="R33" s="154" t="s">
        <v>71</v>
      </c>
      <c r="S33" s="263"/>
    </row>
    <row r="34" spans="1:19" ht="30" customHeight="1">
      <c r="A34" s="270">
        <v>32</v>
      </c>
      <c r="B34" s="154" t="s">
        <v>2382</v>
      </c>
      <c r="C34" s="154">
        <v>41200127</v>
      </c>
      <c r="D34" s="154" t="s">
        <v>1591</v>
      </c>
      <c r="E34" s="154" t="s">
        <v>3593</v>
      </c>
      <c r="F34" s="154" t="s">
        <v>3594</v>
      </c>
      <c r="G34" s="154" t="s">
        <v>1</v>
      </c>
      <c r="H34" s="154" t="s">
        <v>3595</v>
      </c>
      <c r="I34" s="154" t="s">
        <v>2894</v>
      </c>
      <c r="J34" s="154" t="s">
        <v>2880</v>
      </c>
      <c r="K34" s="185">
        <v>45839</v>
      </c>
      <c r="L34" s="154">
        <v>1100207300</v>
      </c>
      <c r="M34" s="154" t="s">
        <v>284</v>
      </c>
      <c r="N34" s="154" t="s">
        <v>2784</v>
      </c>
      <c r="O34" s="154" t="s">
        <v>3673</v>
      </c>
      <c r="P34" s="154" t="s">
        <v>26</v>
      </c>
      <c r="Q34" s="154" t="s">
        <v>49</v>
      </c>
      <c r="R34" s="154" t="s">
        <v>3674</v>
      </c>
      <c r="S34" s="263" t="s">
        <v>3675</v>
      </c>
    </row>
    <row r="35" spans="1:19" ht="30" customHeight="1">
      <c r="A35" s="270">
        <v>33</v>
      </c>
      <c r="B35" s="154" t="s">
        <v>2382</v>
      </c>
      <c r="C35" s="154">
        <v>41200127</v>
      </c>
      <c r="D35" s="154" t="s">
        <v>1591</v>
      </c>
      <c r="E35" s="154" t="s">
        <v>3593</v>
      </c>
      <c r="F35" s="154" t="s">
        <v>3594</v>
      </c>
      <c r="G35" s="154" t="s">
        <v>1</v>
      </c>
      <c r="H35" s="154" t="s">
        <v>3595</v>
      </c>
      <c r="I35" s="154" t="s">
        <v>2894</v>
      </c>
      <c r="J35" s="154" t="s">
        <v>2880</v>
      </c>
      <c r="K35" s="185">
        <v>45839</v>
      </c>
      <c r="L35" s="154">
        <v>1210103700</v>
      </c>
      <c r="M35" s="154" t="s">
        <v>3676</v>
      </c>
      <c r="N35" s="154" t="s">
        <v>3677</v>
      </c>
      <c r="O35" s="130" t="s">
        <v>3678</v>
      </c>
      <c r="P35" s="154" t="s">
        <v>30</v>
      </c>
      <c r="Q35" s="154" t="s">
        <v>49</v>
      </c>
      <c r="R35" s="154" t="s">
        <v>3679</v>
      </c>
      <c r="S35" s="263" t="s">
        <v>3679</v>
      </c>
    </row>
    <row r="36" spans="1:19" ht="30" customHeight="1">
      <c r="A36" s="270">
        <v>34</v>
      </c>
      <c r="B36" s="154" t="s">
        <v>2373</v>
      </c>
      <c r="C36" s="154">
        <v>41200074</v>
      </c>
      <c r="D36" s="154" t="s">
        <v>1478</v>
      </c>
      <c r="E36" s="154" t="s">
        <v>3603</v>
      </c>
      <c r="F36" s="154" t="s">
        <v>3619</v>
      </c>
      <c r="G36" s="154" t="s">
        <v>1</v>
      </c>
      <c r="H36" s="154" t="s">
        <v>3595</v>
      </c>
      <c r="I36" s="154" t="s">
        <v>2894</v>
      </c>
      <c r="J36" s="154" t="s">
        <v>2880</v>
      </c>
      <c r="K36" s="185">
        <v>45839</v>
      </c>
      <c r="L36" s="154">
        <v>1311173500</v>
      </c>
      <c r="M36" s="154" t="s">
        <v>3680</v>
      </c>
      <c r="N36" s="154" t="s">
        <v>3681</v>
      </c>
      <c r="O36" s="154" t="s">
        <v>3682</v>
      </c>
      <c r="P36" s="154" t="s">
        <v>36</v>
      </c>
      <c r="Q36" s="154" t="s">
        <v>49</v>
      </c>
      <c r="R36" s="154" t="s">
        <v>3666</v>
      </c>
      <c r="S36" s="154" t="s">
        <v>3666</v>
      </c>
    </row>
    <row r="37" spans="1:19" ht="30" customHeight="1">
      <c r="A37" s="270">
        <v>35</v>
      </c>
      <c r="B37" s="154" t="s">
        <v>2373</v>
      </c>
      <c r="C37" s="154">
        <v>41200074</v>
      </c>
      <c r="D37" s="154" t="s">
        <v>1478</v>
      </c>
      <c r="E37" s="154" t="s">
        <v>3603</v>
      </c>
      <c r="F37" s="154" t="s">
        <v>3619</v>
      </c>
      <c r="G37" s="154" t="s">
        <v>1</v>
      </c>
      <c r="H37" s="154" t="s">
        <v>3595</v>
      </c>
      <c r="I37" s="154" t="s">
        <v>2894</v>
      </c>
      <c r="J37" s="154" t="s">
        <v>2880</v>
      </c>
      <c r="K37" s="185">
        <v>45839</v>
      </c>
      <c r="L37" s="154">
        <v>1100002800</v>
      </c>
      <c r="M37" s="154" t="s">
        <v>386</v>
      </c>
      <c r="N37" s="154" t="s">
        <v>3683</v>
      </c>
      <c r="O37" s="154" t="s">
        <v>3684</v>
      </c>
      <c r="P37" s="154" t="s">
        <v>36</v>
      </c>
      <c r="Q37" s="154" t="s">
        <v>49</v>
      </c>
      <c r="R37" s="154" t="s">
        <v>3666</v>
      </c>
      <c r="S37" s="154" t="s">
        <v>3666</v>
      </c>
    </row>
    <row r="38" spans="1:19" ht="30" customHeight="1">
      <c r="A38" s="270">
        <v>36</v>
      </c>
      <c r="B38" s="154" t="s">
        <v>3685</v>
      </c>
      <c r="C38" s="154">
        <v>41200074</v>
      </c>
      <c r="D38" s="154" t="s">
        <v>1478</v>
      </c>
      <c r="E38" s="154" t="s">
        <v>3603</v>
      </c>
      <c r="F38" s="154" t="s">
        <v>3619</v>
      </c>
      <c r="G38" s="154" t="s">
        <v>1</v>
      </c>
      <c r="H38" s="154" t="s">
        <v>3595</v>
      </c>
      <c r="I38" s="154" t="s">
        <v>2894</v>
      </c>
      <c r="J38" s="154" t="s">
        <v>2679</v>
      </c>
      <c r="K38" s="185">
        <v>45839</v>
      </c>
      <c r="L38" s="154">
        <v>1100872700</v>
      </c>
      <c r="M38" s="154" t="s">
        <v>370</v>
      </c>
      <c r="N38" s="154" t="s">
        <v>3686</v>
      </c>
      <c r="O38" s="130" t="s">
        <v>2370</v>
      </c>
      <c r="P38" s="154" t="s">
        <v>36</v>
      </c>
      <c r="Q38" s="154" t="s">
        <v>49</v>
      </c>
      <c r="R38" s="154" t="s">
        <v>3666</v>
      </c>
      <c r="S38" s="154" t="s">
        <v>3666</v>
      </c>
    </row>
    <row r="39" spans="1:19" ht="30" customHeight="1">
      <c r="A39" s="270">
        <v>37</v>
      </c>
      <c r="B39" s="154" t="s">
        <v>3685</v>
      </c>
      <c r="C39" s="154">
        <v>41200074</v>
      </c>
      <c r="D39" s="154" t="s">
        <v>1478</v>
      </c>
      <c r="E39" s="154" t="s">
        <v>3603</v>
      </c>
      <c r="F39" s="154" t="s">
        <v>3619</v>
      </c>
      <c r="G39" s="154" t="s">
        <v>1</v>
      </c>
      <c r="H39" s="154" t="s">
        <v>3595</v>
      </c>
      <c r="I39" s="154" t="s">
        <v>2894</v>
      </c>
      <c r="J39" s="154" t="s">
        <v>2679</v>
      </c>
      <c r="K39" s="185">
        <v>45839</v>
      </c>
      <c r="L39" s="154">
        <v>91000015</v>
      </c>
      <c r="M39" s="154" t="s">
        <v>3687</v>
      </c>
      <c r="N39" s="154" t="s">
        <v>3688</v>
      </c>
      <c r="O39" s="154" t="s">
        <v>3689</v>
      </c>
      <c r="P39" s="154" t="s">
        <v>30</v>
      </c>
      <c r="Q39" s="154" t="s">
        <v>49</v>
      </c>
      <c r="R39" s="154" t="s">
        <v>3602</v>
      </c>
      <c r="S39" s="154" t="s">
        <v>3602</v>
      </c>
    </row>
    <row r="40" spans="1:19" ht="30" customHeight="1">
      <c r="A40" s="270">
        <v>38</v>
      </c>
      <c r="B40" s="154" t="s">
        <v>2400</v>
      </c>
      <c r="C40" s="154">
        <v>41200119</v>
      </c>
      <c r="D40" s="154" t="s">
        <v>1476</v>
      </c>
      <c r="E40" s="154" t="s">
        <v>3603</v>
      </c>
      <c r="F40" s="154" t="s">
        <v>3604</v>
      </c>
      <c r="G40" s="154" t="s">
        <v>1</v>
      </c>
      <c r="H40" s="154" t="s">
        <v>3595</v>
      </c>
      <c r="I40" s="154" t="s">
        <v>3596</v>
      </c>
      <c r="J40" s="154" t="s">
        <v>2679</v>
      </c>
      <c r="K40" s="185">
        <v>45840</v>
      </c>
      <c r="L40" s="154">
        <v>1100196200</v>
      </c>
      <c r="M40" s="154" t="s">
        <v>3597</v>
      </c>
      <c r="N40" s="154" t="s">
        <v>3598</v>
      </c>
      <c r="O40" s="130" t="s">
        <v>3690</v>
      </c>
      <c r="P40" s="154" t="s">
        <v>3600</v>
      </c>
      <c r="Q40" s="154" t="s">
        <v>3601</v>
      </c>
      <c r="R40" s="154" t="s">
        <v>3602</v>
      </c>
      <c r="S40" s="154" t="s">
        <v>3602</v>
      </c>
    </row>
    <row r="41" spans="1:19" ht="30" customHeight="1">
      <c r="A41" s="270">
        <v>39</v>
      </c>
      <c r="B41" s="154" t="s">
        <v>2398</v>
      </c>
      <c r="C41" s="154">
        <v>41200119</v>
      </c>
      <c r="D41" s="154" t="s">
        <v>1476</v>
      </c>
      <c r="E41" s="154" t="s">
        <v>3603</v>
      </c>
      <c r="F41" s="154" t="s">
        <v>3604</v>
      </c>
      <c r="G41" s="154" t="s">
        <v>1</v>
      </c>
      <c r="H41" s="154" t="s">
        <v>3595</v>
      </c>
      <c r="I41" s="154" t="s">
        <v>3596</v>
      </c>
      <c r="J41" s="154" t="s">
        <v>2679</v>
      </c>
      <c r="K41" s="185">
        <v>45840</v>
      </c>
      <c r="L41" s="154">
        <v>1100196200</v>
      </c>
      <c r="M41" s="154" t="s">
        <v>3597</v>
      </c>
      <c r="N41" s="154" t="s">
        <v>3598</v>
      </c>
      <c r="O41" s="130" t="s">
        <v>3690</v>
      </c>
      <c r="P41" s="154" t="s">
        <v>3600</v>
      </c>
      <c r="Q41" s="154" t="s">
        <v>3601</v>
      </c>
      <c r="R41" s="154" t="s">
        <v>3602</v>
      </c>
      <c r="S41" s="154" t="s">
        <v>3602</v>
      </c>
    </row>
    <row r="42" spans="1:19" ht="30" customHeight="1">
      <c r="A42" s="270">
        <v>40</v>
      </c>
      <c r="B42" s="154" t="s">
        <v>2072</v>
      </c>
      <c r="C42" s="154">
        <v>41200121</v>
      </c>
      <c r="D42" s="154" t="s">
        <v>1479</v>
      </c>
      <c r="E42" s="154" t="s">
        <v>3593</v>
      </c>
      <c r="F42" s="154" t="s">
        <v>3604</v>
      </c>
      <c r="G42" s="154" t="s">
        <v>1</v>
      </c>
      <c r="H42" s="154" t="s">
        <v>3614</v>
      </c>
      <c r="I42" s="154" t="s">
        <v>3620</v>
      </c>
      <c r="J42" s="154" t="s">
        <v>2880</v>
      </c>
      <c r="K42" s="185">
        <v>45841</v>
      </c>
      <c r="L42" s="154">
        <v>1210150400</v>
      </c>
      <c r="M42" s="154" t="s">
        <v>3642</v>
      </c>
      <c r="N42" s="154" t="s">
        <v>3691</v>
      </c>
      <c r="O42" s="154" t="s">
        <v>3691</v>
      </c>
      <c r="P42" s="154" t="s">
        <v>45</v>
      </c>
      <c r="Q42" s="154" t="s">
        <v>61</v>
      </c>
      <c r="R42" s="154" t="s">
        <v>71</v>
      </c>
      <c r="S42" s="263"/>
    </row>
    <row r="43" spans="1:19" ht="30" customHeight="1">
      <c r="A43" s="270">
        <v>41</v>
      </c>
      <c r="B43" s="154" t="s">
        <v>2419</v>
      </c>
      <c r="C43" s="154">
        <v>41100696</v>
      </c>
      <c r="D43" s="154" t="s">
        <v>1911</v>
      </c>
      <c r="E43" s="154" t="s">
        <v>3651</v>
      </c>
      <c r="F43" s="154" t="s">
        <v>3619</v>
      </c>
      <c r="G43" s="154" t="s">
        <v>1</v>
      </c>
      <c r="H43" s="154" t="s">
        <v>3595</v>
      </c>
      <c r="I43" s="154" t="s">
        <v>3596</v>
      </c>
      <c r="J43" s="154" t="s">
        <v>2679</v>
      </c>
      <c r="K43" s="185">
        <v>45845</v>
      </c>
      <c r="L43" s="154">
        <v>1100196400</v>
      </c>
      <c r="M43" s="154" t="s">
        <v>3597</v>
      </c>
      <c r="N43" s="154" t="s">
        <v>3598</v>
      </c>
      <c r="O43" s="130" t="s">
        <v>3599</v>
      </c>
      <c r="P43" s="154" t="s">
        <v>3600</v>
      </c>
      <c r="Q43" s="154" t="s">
        <v>3601</v>
      </c>
      <c r="R43" s="154" t="s">
        <v>3602</v>
      </c>
      <c r="S43" s="154" t="s">
        <v>3602</v>
      </c>
    </row>
    <row r="44" spans="1:19" ht="30" customHeight="1">
      <c r="A44" s="270">
        <v>42</v>
      </c>
      <c r="B44" s="154" t="s">
        <v>2413</v>
      </c>
      <c r="C44" s="154">
        <v>41200007</v>
      </c>
      <c r="D44" s="154" t="s">
        <v>1591</v>
      </c>
      <c r="E44" s="154" t="s">
        <v>3603</v>
      </c>
      <c r="F44" s="154" t="s">
        <v>3619</v>
      </c>
      <c r="G44" s="154" t="s">
        <v>1</v>
      </c>
      <c r="H44" s="154" t="s">
        <v>3595</v>
      </c>
      <c r="I44" s="154" t="s">
        <v>2894</v>
      </c>
      <c r="J44" s="154" t="s">
        <v>71</v>
      </c>
      <c r="K44" s="185">
        <v>45845</v>
      </c>
      <c r="L44" s="154">
        <v>1110154400</v>
      </c>
      <c r="M44" s="154" t="s">
        <v>2415</v>
      </c>
      <c r="N44" s="154" t="s">
        <v>3692</v>
      </c>
      <c r="O44" s="154" t="s">
        <v>2416</v>
      </c>
      <c r="P44" s="154" t="s">
        <v>36</v>
      </c>
      <c r="Q44" s="154" t="s">
        <v>49</v>
      </c>
      <c r="R44" s="154" t="s">
        <v>3674</v>
      </c>
      <c r="S44" s="263" t="s">
        <v>3693</v>
      </c>
    </row>
    <row r="45" spans="1:19" ht="30" customHeight="1">
      <c r="A45" s="270">
        <v>43</v>
      </c>
      <c r="B45" s="154" t="s">
        <v>2413</v>
      </c>
      <c r="C45" s="154">
        <v>41200007</v>
      </c>
      <c r="D45" s="154" t="s">
        <v>1591</v>
      </c>
      <c r="E45" s="154" t="s">
        <v>3603</v>
      </c>
      <c r="F45" s="154" t="s">
        <v>3619</v>
      </c>
      <c r="G45" s="154" t="s">
        <v>1</v>
      </c>
      <c r="H45" s="154" t="s">
        <v>3595</v>
      </c>
      <c r="I45" s="154" t="s">
        <v>3694</v>
      </c>
      <c r="J45" s="154" t="s">
        <v>71</v>
      </c>
      <c r="K45" s="185">
        <v>45845</v>
      </c>
      <c r="L45" s="154">
        <v>1100002800</v>
      </c>
      <c r="M45" s="154" t="s">
        <v>386</v>
      </c>
      <c r="N45" s="154" t="s">
        <v>2417</v>
      </c>
      <c r="O45" s="130" t="s">
        <v>3695</v>
      </c>
      <c r="P45" s="154" t="s">
        <v>36</v>
      </c>
      <c r="Q45" s="154" t="s">
        <v>49</v>
      </c>
      <c r="R45" s="154" t="s">
        <v>3666</v>
      </c>
      <c r="S45" s="263" t="s">
        <v>3696</v>
      </c>
    </row>
    <row r="46" spans="1:19" ht="30" customHeight="1">
      <c r="A46" s="270">
        <v>44</v>
      </c>
      <c r="B46" s="154" t="s">
        <v>2409</v>
      </c>
      <c r="C46" s="154">
        <v>41100319</v>
      </c>
      <c r="D46" s="154" t="s">
        <v>1476</v>
      </c>
      <c r="E46" s="154" t="s">
        <v>3603</v>
      </c>
      <c r="F46" s="154" t="s">
        <v>3619</v>
      </c>
      <c r="G46" s="154" t="s">
        <v>1</v>
      </c>
      <c r="H46" s="154" t="s">
        <v>3608</v>
      </c>
      <c r="I46" s="154" t="s">
        <v>3697</v>
      </c>
      <c r="J46" s="154" t="s">
        <v>2679</v>
      </c>
      <c r="K46" s="185">
        <v>45845</v>
      </c>
      <c r="L46" s="154">
        <v>1200288500</v>
      </c>
      <c r="M46" s="154" t="s">
        <v>3509</v>
      </c>
      <c r="N46" s="154" t="s">
        <v>3698</v>
      </c>
      <c r="O46" s="154" t="s">
        <v>3699</v>
      </c>
      <c r="P46" s="154" t="s">
        <v>45</v>
      </c>
      <c r="Q46" s="154" t="s">
        <v>49</v>
      </c>
      <c r="R46" s="154" t="s">
        <v>3700</v>
      </c>
      <c r="S46" s="263" t="s">
        <v>3700</v>
      </c>
    </row>
    <row r="47" spans="1:19" ht="30" customHeight="1">
      <c r="A47" s="270">
        <v>45</v>
      </c>
      <c r="B47" s="154" t="s">
        <v>2427</v>
      </c>
      <c r="C47" s="154">
        <v>41200007</v>
      </c>
      <c r="D47" s="154" t="s">
        <v>1591</v>
      </c>
      <c r="E47" s="154" t="s">
        <v>3603</v>
      </c>
      <c r="F47" s="154" t="s">
        <v>3619</v>
      </c>
      <c r="G47" s="154" t="s">
        <v>1</v>
      </c>
      <c r="H47" s="154" t="s">
        <v>3595</v>
      </c>
      <c r="I47" s="154" t="s">
        <v>3596</v>
      </c>
      <c r="J47" s="154" t="s">
        <v>71</v>
      </c>
      <c r="K47" s="185">
        <v>45846</v>
      </c>
      <c r="L47" s="154">
        <v>1100196200</v>
      </c>
      <c r="M47" s="154" t="s">
        <v>3597</v>
      </c>
      <c r="N47" s="154" t="s">
        <v>3701</v>
      </c>
      <c r="O47" s="130" t="s">
        <v>3702</v>
      </c>
      <c r="P47" s="154" t="s">
        <v>26</v>
      </c>
      <c r="Q47" s="154" t="s">
        <v>3601</v>
      </c>
      <c r="R47" s="154" t="s">
        <v>3602</v>
      </c>
      <c r="S47" s="154" t="s">
        <v>3602</v>
      </c>
    </row>
    <row r="48" spans="1:19" ht="30" customHeight="1">
      <c r="A48" s="270">
        <v>46</v>
      </c>
      <c r="B48" s="154" t="s">
        <v>2426</v>
      </c>
      <c r="C48" s="154">
        <v>41200007</v>
      </c>
      <c r="D48" s="154" t="s">
        <v>1591</v>
      </c>
      <c r="E48" s="154" t="s">
        <v>3603</v>
      </c>
      <c r="F48" s="154" t="s">
        <v>3619</v>
      </c>
      <c r="G48" s="154" t="s">
        <v>1</v>
      </c>
      <c r="H48" s="154" t="s">
        <v>3595</v>
      </c>
      <c r="I48" s="154" t="s">
        <v>3596</v>
      </c>
      <c r="J48" s="154" t="s">
        <v>71</v>
      </c>
      <c r="K48" s="185">
        <v>45846</v>
      </c>
      <c r="L48" s="154">
        <v>1100196200</v>
      </c>
      <c r="M48" s="154" t="s">
        <v>3597</v>
      </c>
      <c r="N48" s="154" t="s">
        <v>3598</v>
      </c>
      <c r="O48" s="130" t="s">
        <v>3690</v>
      </c>
      <c r="P48" s="154" t="s">
        <v>3600</v>
      </c>
      <c r="Q48" s="154" t="s">
        <v>3601</v>
      </c>
      <c r="R48" s="154" t="s">
        <v>3602</v>
      </c>
      <c r="S48" s="154" t="s">
        <v>3602</v>
      </c>
    </row>
    <row r="49" spans="1:19" ht="30" customHeight="1">
      <c r="A49" s="270">
        <v>47</v>
      </c>
      <c r="B49" s="154" t="s">
        <v>2425</v>
      </c>
      <c r="C49" s="154">
        <v>41200105</v>
      </c>
      <c r="D49" s="154" t="s">
        <v>1476</v>
      </c>
      <c r="E49" s="154" t="s">
        <v>3593</v>
      </c>
      <c r="F49" s="154" t="s">
        <v>3619</v>
      </c>
      <c r="G49" s="154" t="s">
        <v>1</v>
      </c>
      <c r="H49" s="154" t="s">
        <v>3595</v>
      </c>
      <c r="I49" s="154" t="s">
        <v>3697</v>
      </c>
      <c r="J49" s="154" t="s">
        <v>71</v>
      </c>
      <c r="K49" s="185">
        <v>45846</v>
      </c>
      <c r="L49" s="154">
        <v>1310726400</v>
      </c>
      <c r="M49" s="154" t="s">
        <v>3703</v>
      </c>
      <c r="N49" s="154" t="s">
        <v>3704</v>
      </c>
      <c r="O49" s="154" t="s">
        <v>3704</v>
      </c>
      <c r="P49" s="154" t="s">
        <v>30</v>
      </c>
      <c r="Q49" s="154" t="s">
        <v>54</v>
      </c>
      <c r="R49" s="154" t="s">
        <v>3674</v>
      </c>
      <c r="S49" s="263" t="s">
        <v>3679</v>
      </c>
    </row>
    <row r="50" spans="1:19" ht="30" customHeight="1">
      <c r="A50" s="270">
        <v>48</v>
      </c>
      <c r="B50" s="154" t="s">
        <v>2425</v>
      </c>
      <c r="C50" s="154">
        <v>41200105</v>
      </c>
      <c r="D50" s="154" t="s">
        <v>1476</v>
      </c>
      <c r="E50" s="154" t="s">
        <v>3593</v>
      </c>
      <c r="F50" s="154" t="s">
        <v>3619</v>
      </c>
      <c r="G50" s="154" t="s">
        <v>1</v>
      </c>
      <c r="H50" s="154" t="s">
        <v>3595</v>
      </c>
      <c r="I50" s="154" t="s">
        <v>2894</v>
      </c>
      <c r="J50" s="154" t="s">
        <v>2679</v>
      </c>
      <c r="K50" s="185">
        <v>45846</v>
      </c>
      <c r="L50" s="154">
        <v>1100014800</v>
      </c>
      <c r="M50" s="154" t="s">
        <v>370</v>
      </c>
      <c r="N50" s="154" t="s">
        <v>3705</v>
      </c>
      <c r="O50" s="154" t="s">
        <v>3706</v>
      </c>
      <c r="P50" s="154" t="s">
        <v>36</v>
      </c>
      <c r="Q50" s="154" t="s">
        <v>49</v>
      </c>
      <c r="R50" s="154" t="s">
        <v>3707</v>
      </c>
      <c r="S50" s="263" t="s">
        <v>3707</v>
      </c>
    </row>
    <row r="51" spans="1:19" ht="30" customHeight="1">
      <c r="A51" s="270">
        <v>49</v>
      </c>
      <c r="B51" s="154" t="s">
        <v>2428</v>
      </c>
      <c r="C51" s="154">
        <v>41000598</v>
      </c>
      <c r="D51" s="154" t="s">
        <v>1480</v>
      </c>
      <c r="E51" s="154" t="s">
        <v>3593</v>
      </c>
      <c r="F51" s="154" t="s">
        <v>3594</v>
      </c>
      <c r="G51" s="154" t="s">
        <v>1</v>
      </c>
      <c r="H51" s="154" t="s">
        <v>3595</v>
      </c>
      <c r="I51" s="154" t="s">
        <v>3694</v>
      </c>
      <c r="J51" s="154" t="s">
        <v>71</v>
      </c>
      <c r="K51" s="185">
        <v>45846</v>
      </c>
      <c r="L51" s="154">
        <v>1100100700</v>
      </c>
      <c r="M51" s="154" t="s">
        <v>3708</v>
      </c>
      <c r="N51" s="154" t="s">
        <v>3709</v>
      </c>
      <c r="O51" s="130" t="s">
        <v>3710</v>
      </c>
      <c r="P51" s="154" t="s">
        <v>36</v>
      </c>
      <c r="Q51" s="154" t="s">
        <v>49</v>
      </c>
      <c r="R51" s="154" t="s">
        <v>3711</v>
      </c>
      <c r="S51" s="154" t="s">
        <v>3711</v>
      </c>
    </row>
    <row r="52" spans="1:19" ht="30" customHeight="1">
      <c r="A52" s="270">
        <v>50</v>
      </c>
      <c r="B52" s="154" t="s">
        <v>2445</v>
      </c>
      <c r="C52" s="154">
        <v>41200113</v>
      </c>
      <c r="D52" s="154" t="s">
        <v>1476</v>
      </c>
      <c r="E52" s="154" t="s">
        <v>3593</v>
      </c>
      <c r="F52" s="154" t="s">
        <v>3594</v>
      </c>
      <c r="G52" s="154" t="s">
        <v>1</v>
      </c>
      <c r="H52" s="154" t="s">
        <v>3595</v>
      </c>
      <c r="I52" s="154" t="s">
        <v>3697</v>
      </c>
      <c r="J52" s="154" t="s">
        <v>2679</v>
      </c>
      <c r="K52" s="185">
        <v>45848</v>
      </c>
      <c r="L52" s="154">
        <v>1100382200</v>
      </c>
      <c r="M52" s="154" t="s">
        <v>103</v>
      </c>
      <c r="N52" s="154" t="s">
        <v>3712</v>
      </c>
      <c r="O52" s="154" t="s">
        <v>2447</v>
      </c>
      <c r="P52" s="154" t="s">
        <v>36</v>
      </c>
      <c r="Q52" s="154" t="s">
        <v>49</v>
      </c>
      <c r="R52" s="154" t="s">
        <v>3602</v>
      </c>
      <c r="S52" s="263" t="s">
        <v>3707</v>
      </c>
    </row>
    <row r="53" spans="1:19" ht="30" customHeight="1">
      <c r="A53" s="270">
        <v>51</v>
      </c>
      <c r="B53" s="154" t="s">
        <v>2443</v>
      </c>
      <c r="C53" s="154">
        <v>41200046</v>
      </c>
      <c r="D53" s="154" t="s">
        <v>1476</v>
      </c>
      <c r="E53" s="154" t="s">
        <v>3603</v>
      </c>
      <c r="F53" s="154" t="s">
        <v>3619</v>
      </c>
      <c r="G53" s="154" t="s">
        <v>1</v>
      </c>
      <c r="H53" s="154" t="s">
        <v>3595</v>
      </c>
      <c r="I53" s="154" t="s">
        <v>3694</v>
      </c>
      <c r="J53" s="154" t="s">
        <v>71</v>
      </c>
      <c r="K53" s="185">
        <v>45848</v>
      </c>
      <c r="L53" s="154">
        <v>1100189500</v>
      </c>
      <c r="M53" s="154" t="s">
        <v>2441</v>
      </c>
      <c r="N53" s="154" t="s">
        <v>3713</v>
      </c>
      <c r="O53" s="154" t="s">
        <v>2442</v>
      </c>
      <c r="P53" s="154" t="s">
        <v>36</v>
      </c>
      <c r="Q53" s="154" t="s">
        <v>49</v>
      </c>
      <c r="R53" s="154" t="s">
        <v>3714</v>
      </c>
      <c r="S53" s="263" t="s">
        <v>3715</v>
      </c>
    </row>
    <row r="54" spans="1:19" ht="30" customHeight="1">
      <c r="A54" s="270">
        <v>52</v>
      </c>
      <c r="B54" s="154" t="s">
        <v>2440</v>
      </c>
      <c r="C54" s="154">
        <v>41200046</v>
      </c>
      <c r="D54" s="154" t="s">
        <v>1476</v>
      </c>
      <c r="E54" s="154" t="s">
        <v>3603</v>
      </c>
      <c r="F54" s="154" t="s">
        <v>3619</v>
      </c>
      <c r="G54" s="154" t="s">
        <v>1</v>
      </c>
      <c r="H54" s="154" t="s">
        <v>3595</v>
      </c>
      <c r="I54" s="154" t="s">
        <v>3694</v>
      </c>
      <c r="J54" s="154" t="s">
        <v>71</v>
      </c>
      <c r="K54" s="185">
        <v>45848</v>
      </c>
      <c r="L54" s="154">
        <v>1100189500</v>
      </c>
      <c r="M54" s="154" t="s">
        <v>2441</v>
      </c>
      <c r="N54" s="154" t="s">
        <v>3713</v>
      </c>
      <c r="O54" s="154" t="s">
        <v>2442</v>
      </c>
      <c r="P54" s="154" t="s">
        <v>36</v>
      </c>
      <c r="Q54" s="154" t="s">
        <v>49</v>
      </c>
      <c r="R54" s="154" t="s">
        <v>3714</v>
      </c>
      <c r="S54" s="263" t="s">
        <v>3715</v>
      </c>
    </row>
    <row r="55" spans="1:19" ht="30" customHeight="1">
      <c r="A55" s="270">
        <v>53</v>
      </c>
      <c r="B55" s="154" t="s">
        <v>2453</v>
      </c>
      <c r="C55" s="154">
        <v>41100502</v>
      </c>
      <c r="D55" s="154" t="s">
        <v>1591</v>
      </c>
      <c r="E55" s="154" t="s">
        <v>3593</v>
      </c>
      <c r="F55" s="154" t="s">
        <v>3594</v>
      </c>
      <c r="G55" s="154" t="s">
        <v>1</v>
      </c>
      <c r="H55" s="154" t="s">
        <v>3595</v>
      </c>
      <c r="I55" s="154" t="s">
        <v>3697</v>
      </c>
      <c r="J55" s="154" t="s">
        <v>2880</v>
      </c>
      <c r="K55" s="185">
        <v>45849</v>
      </c>
      <c r="L55" s="543" t="s">
        <v>3716</v>
      </c>
      <c r="M55" s="154" t="s">
        <v>2454</v>
      </c>
      <c r="N55" s="154" t="s">
        <v>2455</v>
      </c>
      <c r="O55" s="154" t="s">
        <v>2455</v>
      </c>
      <c r="P55" s="154" t="s">
        <v>36</v>
      </c>
      <c r="Q55" s="154" t="s">
        <v>49</v>
      </c>
      <c r="R55" s="154" t="s">
        <v>3674</v>
      </c>
      <c r="S55" s="263" t="s">
        <v>3679</v>
      </c>
    </row>
    <row r="56" spans="1:19" ht="30" customHeight="1">
      <c r="A56" s="270">
        <v>54</v>
      </c>
      <c r="B56" s="154" t="s">
        <v>2461</v>
      </c>
      <c r="C56" s="154">
        <v>41200007</v>
      </c>
      <c r="D56" s="154" t="s">
        <v>1591</v>
      </c>
      <c r="E56" s="154" t="s">
        <v>3603</v>
      </c>
      <c r="F56" s="154" t="s">
        <v>3604</v>
      </c>
      <c r="G56" s="154" t="s">
        <v>1</v>
      </c>
      <c r="H56" s="154" t="s">
        <v>3614</v>
      </c>
      <c r="I56" s="154" t="s">
        <v>3620</v>
      </c>
      <c r="J56" s="154"/>
      <c r="K56" s="185">
        <v>45852</v>
      </c>
      <c r="L56" s="543" t="s">
        <v>3717</v>
      </c>
      <c r="M56" s="154" t="s">
        <v>3624</v>
      </c>
      <c r="N56" s="154" t="s">
        <v>3718</v>
      </c>
      <c r="O56" s="154" t="s">
        <v>3719</v>
      </c>
      <c r="P56" s="154" t="s">
        <v>45</v>
      </c>
      <c r="Q56" s="154" t="s">
        <v>61</v>
      </c>
      <c r="R56" s="154" t="s">
        <v>3720</v>
      </c>
      <c r="S56" s="263" t="s">
        <v>2395</v>
      </c>
    </row>
    <row r="57" spans="1:19" ht="30" customHeight="1">
      <c r="A57" s="270">
        <v>55</v>
      </c>
      <c r="B57" s="154" t="s">
        <v>2462</v>
      </c>
      <c r="C57" s="154">
        <v>41200007</v>
      </c>
      <c r="D57" s="154" t="s">
        <v>1591</v>
      </c>
      <c r="E57" s="154" t="s">
        <v>3603</v>
      </c>
      <c r="F57" s="154" t="s">
        <v>3604</v>
      </c>
      <c r="G57" s="154" t="s">
        <v>1</v>
      </c>
      <c r="H57" s="154" t="s">
        <v>3595</v>
      </c>
      <c r="I57" s="154" t="s">
        <v>3596</v>
      </c>
      <c r="J57" s="154" t="s">
        <v>71</v>
      </c>
      <c r="K57" s="185">
        <v>45852</v>
      </c>
      <c r="L57" s="154">
        <v>1100196200</v>
      </c>
      <c r="M57" s="154" t="s">
        <v>3597</v>
      </c>
      <c r="N57" s="154" t="s">
        <v>3598</v>
      </c>
      <c r="O57" s="130" t="s">
        <v>3599</v>
      </c>
      <c r="P57" s="154" t="s">
        <v>3600</v>
      </c>
      <c r="Q57" s="154" t="s">
        <v>3601</v>
      </c>
      <c r="R57" s="154" t="s">
        <v>3602</v>
      </c>
      <c r="S57" s="154" t="s">
        <v>3602</v>
      </c>
    </row>
    <row r="58" spans="1:19" ht="30" customHeight="1">
      <c r="A58" s="270">
        <v>56</v>
      </c>
      <c r="B58" s="154" t="s">
        <v>2461</v>
      </c>
      <c r="C58" s="154">
        <v>41200007</v>
      </c>
      <c r="D58" s="154" t="s">
        <v>1591</v>
      </c>
      <c r="E58" s="154" t="s">
        <v>3603</v>
      </c>
      <c r="F58" s="154" t="s">
        <v>3604</v>
      </c>
      <c r="G58" s="154" t="s">
        <v>1</v>
      </c>
      <c r="H58" s="154" t="s">
        <v>3595</v>
      </c>
      <c r="I58" s="154" t="s">
        <v>3596</v>
      </c>
      <c r="J58" s="154" t="s">
        <v>71</v>
      </c>
      <c r="K58" s="185">
        <v>45852</v>
      </c>
      <c r="L58" s="154">
        <v>1100196200</v>
      </c>
      <c r="M58" s="154" t="s">
        <v>3597</v>
      </c>
      <c r="N58" s="154" t="s">
        <v>3598</v>
      </c>
      <c r="O58" s="130" t="s">
        <v>3599</v>
      </c>
      <c r="P58" s="154" t="s">
        <v>3600</v>
      </c>
      <c r="Q58" s="154" t="s">
        <v>3601</v>
      </c>
      <c r="R58" s="154" t="s">
        <v>3602</v>
      </c>
      <c r="S58" s="154" t="s">
        <v>3602</v>
      </c>
    </row>
    <row r="59" spans="1:19" ht="30" customHeight="1">
      <c r="A59" s="270">
        <v>57</v>
      </c>
      <c r="B59" s="154" t="s">
        <v>2461</v>
      </c>
      <c r="C59" s="154">
        <v>41200007</v>
      </c>
      <c r="D59" s="154" t="s">
        <v>1591</v>
      </c>
      <c r="E59" s="154" t="s">
        <v>3603</v>
      </c>
      <c r="F59" s="154" t="s">
        <v>3604</v>
      </c>
      <c r="G59" s="154" t="s">
        <v>1</v>
      </c>
      <c r="H59" s="154" t="s">
        <v>3595</v>
      </c>
      <c r="I59" s="154" t="s">
        <v>3596</v>
      </c>
      <c r="J59" s="154" t="s">
        <v>71</v>
      </c>
      <c r="K59" s="185">
        <v>45852</v>
      </c>
      <c r="L59" s="154">
        <v>1100196200</v>
      </c>
      <c r="M59" s="154" t="s">
        <v>3597</v>
      </c>
      <c r="N59" s="154" t="s">
        <v>3598</v>
      </c>
      <c r="O59" s="130" t="s">
        <v>3599</v>
      </c>
      <c r="P59" s="154" t="s">
        <v>3600</v>
      </c>
      <c r="Q59" s="154" t="s">
        <v>3601</v>
      </c>
      <c r="R59" s="154" t="s">
        <v>3602</v>
      </c>
      <c r="S59" s="154" t="s">
        <v>3602</v>
      </c>
    </row>
    <row r="60" spans="1:19" s="269" customFormat="1" ht="30" customHeight="1">
      <c r="A60" s="270">
        <v>58</v>
      </c>
      <c r="B60" s="183" t="s">
        <v>2448</v>
      </c>
      <c r="C60" s="183">
        <v>41200079</v>
      </c>
      <c r="D60" s="183" t="s">
        <v>1480</v>
      </c>
      <c r="E60" s="183" t="s">
        <v>3603</v>
      </c>
      <c r="F60" s="183" t="s">
        <v>3619</v>
      </c>
      <c r="G60" s="183" t="s">
        <v>1</v>
      </c>
      <c r="H60" s="183" t="s">
        <v>3595</v>
      </c>
      <c r="I60" s="183" t="s">
        <v>3694</v>
      </c>
      <c r="J60" s="183" t="s">
        <v>71</v>
      </c>
      <c r="K60" s="257">
        <v>45852</v>
      </c>
      <c r="L60" s="183">
        <v>1100009000</v>
      </c>
      <c r="M60" s="183" t="s">
        <v>143</v>
      </c>
      <c r="N60" s="183" t="s">
        <v>3721</v>
      </c>
      <c r="O60" s="183" t="s">
        <v>3721</v>
      </c>
      <c r="P60" s="183" t="s">
        <v>36</v>
      </c>
      <c r="Q60" s="183" t="s">
        <v>49</v>
      </c>
      <c r="R60" s="183" t="s">
        <v>3666</v>
      </c>
      <c r="S60" s="183" t="s">
        <v>3666</v>
      </c>
    </row>
    <row r="61" spans="1:19" ht="30" customHeight="1">
      <c r="A61" s="270">
        <v>59</v>
      </c>
      <c r="B61" s="154" t="s">
        <v>2463</v>
      </c>
      <c r="C61" s="154">
        <v>41200074</v>
      </c>
      <c r="D61" s="154" t="s">
        <v>1478</v>
      </c>
      <c r="E61" s="154" t="s">
        <v>3593</v>
      </c>
      <c r="F61" s="154" t="s">
        <v>3594</v>
      </c>
      <c r="G61" s="154" t="s">
        <v>1</v>
      </c>
      <c r="H61" s="154" t="s">
        <v>3595</v>
      </c>
      <c r="I61" s="154" t="s">
        <v>3596</v>
      </c>
      <c r="J61" s="154" t="s">
        <v>2880</v>
      </c>
      <c r="K61" s="185">
        <v>45853</v>
      </c>
      <c r="L61" s="154">
        <v>1100196800</v>
      </c>
      <c r="M61" s="154" t="s">
        <v>3722</v>
      </c>
      <c r="N61" s="154" t="s">
        <v>3723</v>
      </c>
      <c r="O61" s="263" t="s">
        <v>3599</v>
      </c>
      <c r="P61" s="154" t="s">
        <v>3600</v>
      </c>
      <c r="Q61" s="154" t="s">
        <v>3601</v>
      </c>
      <c r="R61" s="154" t="s">
        <v>3602</v>
      </c>
      <c r="S61" s="154" t="s">
        <v>3724</v>
      </c>
    </row>
    <row r="62" spans="1:19" ht="30" customHeight="1">
      <c r="A62" s="270">
        <v>60</v>
      </c>
      <c r="B62" s="154" t="s">
        <v>2463</v>
      </c>
      <c r="C62" s="154">
        <v>41200074</v>
      </c>
      <c r="D62" s="154" t="s">
        <v>1478</v>
      </c>
      <c r="E62" s="154" t="s">
        <v>3593</v>
      </c>
      <c r="F62" s="154" t="s">
        <v>3594</v>
      </c>
      <c r="G62" s="154" t="s">
        <v>1</v>
      </c>
      <c r="H62" s="154" t="s">
        <v>3595</v>
      </c>
      <c r="I62" s="154" t="s">
        <v>2894</v>
      </c>
      <c r="J62" s="154" t="s">
        <v>2880</v>
      </c>
      <c r="K62" s="185">
        <v>45853</v>
      </c>
      <c r="L62" s="154">
        <v>1311172000</v>
      </c>
      <c r="M62" s="154" t="s">
        <v>2467</v>
      </c>
      <c r="N62" s="154" t="s">
        <v>3725</v>
      </c>
      <c r="O62" s="263" t="s">
        <v>3726</v>
      </c>
      <c r="P62" s="154" t="s">
        <v>26</v>
      </c>
      <c r="Q62" s="154" t="s">
        <v>49</v>
      </c>
      <c r="R62" s="154" t="s">
        <v>3679</v>
      </c>
      <c r="S62" s="154" t="s">
        <v>3727</v>
      </c>
    </row>
    <row r="63" spans="1:19" ht="30" customHeight="1">
      <c r="A63" s="270">
        <v>61</v>
      </c>
      <c r="B63" s="154" t="s">
        <v>2463</v>
      </c>
      <c r="C63" s="154">
        <v>41200074</v>
      </c>
      <c r="D63" s="154" t="s">
        <v>1478</v>
      </c>
      <c r="E63" s="154" t="s">
        <v>3593</v>
      </c>
      <c r="F63" s="154" t="s">
        <v>3594</v>
      </c>
      <c r="G63" s="154" t="s">
        <v>1</v>
      </c>
      <c r="H63" s="154" t="s">
        <v>3608</v>
      </c>
      <c r="I63" s="154" t="s">
        <v>3697</v>
      </c>
      <c r="J63" s="154" t="s">
        <v>2880</v>
      </c>
      <c r="K63" s="185">
        <v>45853</v>
      </c>
      <c r="L63" s="154">
        <v>1200037900</v>
      </c>
      <c r="M63" s="154" t="s">
        <v>2471</v>
      </c>
      <c r="N63" s="154" t="s">
        <v>3728</v>
      </c>
      <c r="O63" s="263" t="s">
        <v>3729</v>
      </c>
      <c r="P63" s="154" t="s">
        <v>30</v>
      </c>
      <c r="Q63" s="154" t="s">
        <v>54</v>
      </c>
      <c r="R63" s="154" t="s">
        <v>3730</v>
      </c>
      <c r="S63" s="154" t="s">
        <v>3730</v>
      </c>
    </row>
    <row r="64" spans="1:19" ht="30" customHeight="1">
      <c r="A64" s="270">
        <v>62</v>
      </c>
      <c r="B64" s="154" t="s">
        <v>2463</v>
      </c>
      <c r="C64" s="154">
        <v>41200074</v>
      </c>
      <c r="D64" s="154" t="s">
        <v>1478</v>
      </c>
      <c r="E64" s="154" t="s">
        <v>3593</v>
      </c>
      <c r="F64" s="154" t="s">
        <v>3594</v>
      </c>
      <c r="G64" s="154" t="s">
        <v>1</v>
      </c>
      <c r="H64" s="154" t="s">
        <v>3595</v>
      </c>
      <c r="I64" s="154" t="s">
        <v>3694</v>
      </c>
      <c r="J64" s="154" t="s">
        <v>2679</v>
      </c>
      <c r="K64" s="185">
        <v>45853</v>
      </c>
      <c r="L64" s="154">
        <v>1100366500</v>
      </c>
      <c r="M64" s="154" t="s">
        <v>284</v>
      </c>
      <c r="N64" s="154" t="s">
        <v>2465</v>
      </c>
      <c r="O64" s="263" t="s">
        <v>3731</v>
      </c>
      <c r="P64" s="154" t="s">
        <v>36</v>
      </c>
      <c r="Q64" s="154" t="s">
        <v>49</v>
      </c>
      <c r="R64" s="154" t="s">
        <v>3602</v>
      </c>
      <c r="S64" s="154" t="s">
        <v>3675</v>
      </c>
    </row>
    <row r="65" spans="1:20" ht="30" customHeight="1">
      <c r="A65" s="270">
        <v>63</v>
      </c>
      <c r="B65" s="154" t="s">
        <v>2459</v>
      </c>
      <c r="C65" s="154">
        <v>41200074</v>
      </c>
      <c r="D65" s="154" t="s">
        <v>1478</v>
      </c>
      <c r="E65" s="154" t="s">
        <v>3593</v>
      </c>
      <c r="F65" s="154" t="s">
        <v>3594</v>
      </c>
      <c r="G65" s="154" t="s">
        <v>1</v>
      </c>
      <c r="H65" s="154" t="s">
        <v>3595</v>
      </c>
      <c r="I65" s="154" t="s">
        <v>3694</v>
      </c>
      <c r="J65" s="154" t="s">
        <v>71</v>
      </c>
      <c r="K65" s="185">
        <v>45853</v>
      </c>
      <c r="L65" s="154">
        <v>1100189500</v>
      </c>
      <c r="M65" s="154" t="s">
        <v>2441</v>
      </c>
      <c r="N65" s="154" t="s">
        <v>2460</v>
      </c>
      <c r="O65" s="263" t="s">
        <v>3732</v>
      </c>
      <c r="P65" s="154" t="s">
        <v>36</v>
      </c>
      <c r="Q65" s="154" t="s">
        <v>49</v>
      </c>
      <c r="R65" s="154" t="s">
        <v>3711</v>
      </c>
      <c r="S65" s="154" t="s">
        <v>3711</v>
      </c>
    </row>
    <row r="66" spans="1:20" s="269" customFormat="1" ht="30" customHeight="1">
      <c r="A66" s="270">
        <v>64</v>
      </c>
      <c r="B66" s="183" t="s">
        <v>2459</v>
      </c>
      <c r="C66" s="183">
        <v>41200074</v>
      </c>
      <c r="D66" s="183" t="s">
        <v>1478</v>
      </c>
      <c r="E66" s="183" t="s">
        <v>3593</v>
      </c>
      <c r="F66" s="183" t="s">
        <v>3594</v>
      </c>
      <c r="G66" s="183" t="s">
        <v>1</v>
      </c>
      <c r="H66" s="183" t="s">
        <v>3595</v>
      </c>
      <c r="I66" s="183" t="s">
        <v>3694</v>
      </c>
      <c r="J66" s="183" t="s">
        <v>71</v>
      </c>
      <c r="K66" s="257">
        <v>45853</v>
      </c>
      <c r="L66" s="183">
        <v>1100189500</v>
      </c>
      <c r="M66" s="183" t="s">
        <v>2441</v>
      </c>
      <c r="N66" s="183" t="s">
        <v>2460</v>
      </c>
      <c r="O66" s="423" t="s">
        <v>3732</v>
      </c>
      <c r="P66" s="183" t="s">
        <v>36</v>
      </c>
      <c r="Q66" s="183" t="s">
        <v>49</v>
      </c>
      <c r="R66" s="183" t="s">
        <v>3711</v>
      </c>
      <c r="S66" s="183" t="s">
        <v>3711</v>
      </c>
    </row>
    <row r="67" spans="1:20" ht="30" customHeight="1">
      <c r="A67" s="270">
        <v>65</v>
      </c>
      <c r="B67" s="183" t="s">
        <v>2481</v>
      </c>
      <c r="C67" s="183">
        <v>41200076</v>
      </c>
      <c r="D67" s="183" t="s">
        <v>1476</v>
      </c>
      <c r="E67" s="183" t="s">
        <v>3593</v>
      </c>
      <c r="F67" s="183" t="s">
        <v>3594</v>
      </c>
      <c r="G67" s="183" t="s">
        <v>1</v>
      </c>
      <c r="H67" s="183" t="s">
        <v>3595</v>
      </c>
      <c r="I67" s="183" t="s">
        <v>2894</v>
      </c>
      <c r="J67" s="183" t="s">
        <v>2880</v>
      </c>
      <c r="K67" s="257">
        <v>45854</v>
      </c>
      <c r="L67" s="183">
        <v>1100228300</v>
      </c>
      <c r="M67" s="183" t="s">
        <v>932</v>
      </c>
      <c r="N67" s="183" t="s">
        <v>3733</v>
      </c>
      <c r="O67" s="183" t="s">
        <v>3734</v>
      </c>
      <c r="P67" s="154" t="s">
        <v>30</v>
      </c>
      <c r="Q67" s="154" t="s">
        <v>49</v>
      </c>
      <c r="R67" s="183" t="s">
        <v>3674</v>
      </c>
      <c r="S67" s="423" t="s">
        <v>3656</v>
      </c>
    </row>
    <row r="68" spans="1:20" s="302" customFormat="1" ht="30" customHeight="1">
      <c r="A68" s="270">
        <v>66</v>
      </c>
      <c r="B68" s="154" t="s">
        <v>2495</v>
      </c>
      <c r="C68" s="154">
        <v>41200124</v>
      </c>
      <c r="D68" s="154" t="s">
        <v>1476</v>
      </c>
      <c r="E68" s="154" t="s">
        <v>3603</v>
      </c>
      <c r="F68" s="130" t="s">
        <v>3604</v>
      </c>
      <c r="G68" s="154" t="s">
        <v>1</v>
      </c>
      <c r="H68" s="154" t="s">
        <v>3614</v>
      </c>
      <c r="I68" s="154" t="s">
        <v>3615</v>
      </c>
      <c r="J68" s="154" t="s">
        <v>2679</v>
      </c>
      <c r="K68" s="185">
        <v>45855</v>
      </c>
      <c r="L68" s="154">
        <v>1110005900</v>
      </c>
      <c r="M68" s="154" t="s">
        <v>2497</v>
      </c>
      <c r="N68" s="154" t="s">
        <v>3735</v>
      </c>
      <c r="O68" s="130" t="s">
        <v>3736</v>
      </c>
      <c r="P68" s="424" t="s">
        <v>45</v>
      </c>
      <c r="Q68" s="425" t="s">
        <v>61</v>
      </c>
      <c r="R68" s="331" t="s">
        <v>71</v>
      </c>
      <c r="S68" s="331" t="s">
        <v>71</v>
      </c>
      <c r="T68" s="544"/>
    </row>
    <row r="69" spans="1:20" ht="30" customHeight="1">
      <c r="A69" s="270">
        <v>67</v>
      </c>
      <c r="B69" s="154" t="s">
        <v>2499</v>
      </c>
      <c r="C69" s="154">
        <v>41200005</v>
      </c>
      <c r="D69" s="154" t="s">
        <v>1591</v>
      </c>
      <c r="E69" s="154" t="s">
        <v>3603</v>
      </c>
      <c r="F69" s="130" t="s">
        <v>3604</v>
      </c>
      <c r="G69" s="154" t="s">
        <v>1</v>
      </c>
      <c r="H69" s="154" t="s">
        <v>3595</v>
      </c>
      <c r="I69" s="154" t="s">
        <v>3596</v>
      </c>
      <c r="J69" s="154" t="s">
        <v>71</v>
      </c>
      <c r="K69" s="185">
        <v>45855</v>
      </c>
      <c r="L69" s="154">
        <v>1100196200</v>
      </c>
      <c r="M69" s="154" t="s">
        <v>3597</v>
      </c>
      <c r="N69" s="154" t="s">
        <v>3598</v>
      </c>
      <c r="O69" s="154" t="s">
        <v>3690</v>
      </c>
      <c r="P69" s="154" t="s">
        <v>3600</v>
      </c>
      <c r="Q69" s="426" t="s">
        <v>3601</v>
      </c>
      <c r="R69" s="154" t="s">
        <v>3724</v>
      </c>
      <c r="S69" s="154" t="s">
        <v>3737</v>
      </c>
      <c r="T69" s="434"/>
    </row>
    <row r="70" spans="1:20" ht="30" customHeight="1">
      <c r="A70" s="270">
        <v>68</v>
      </c>
      <c r="B70" s="154" t="s">
        <v>2490</v>
      </c>
      <c r="C70" s="154">
        <v>41200124</v>
      </c>
      <c r="D70" s="154" t="s">
        <v>1476</v>
      </c>
      <c r="E70" s="154" t="s">
        <v>3593</v>
      </c>
      <c r="F70" s="130" t="s">
        <v>3594</v>
      </c>
      <c r="G70" s="154" t="s">
        <v>1</v>
      </c>
      <c r="H70" s="154" t="s">
        <v>3608</v>
      </c>
      <c r="I70" s="154" t="s">
        <v>2894</v>
      </c>
      <c r="J70" s="154" t="s">
        <v>2679</v>
      </c>
      <c r="K70" s="185">
        <v>45855</v>
      </c>
      <c r="L70" s="154">
        <v>1300823900</v>
      </c>
      <c r="M70" s="154" t="s">
        <v>3738</v>
      </c>
      <c r="N70" s="154" t="s">
        <v>3739</v>
      </c>
      <c r="O70" s="154" t="s">
        <v>3739</v>
      </c>
      <c r="P70" s="424" t="s">
        <v>45</v>
      </c>
      <c r="Q70" s="426" t="s">
        <v>49</v>
      </c>
      <c r="R70" s="154" t="s">
        <v>3627</v>
      </c>
      <c r="S70" s="154" t="s">
        <v>3627</v>
      </c>
      <c r="T70" s="434"/>
    </row>
    <row r="71" spans="1:20" ht="30" customHeight="1">
      <c r="A71" s="270">
        <v>69</v>
      </c>
      <c r="B71" s="183" t="s">
        <v>2489</v>
      </c>
      <c r="C71" s="183">
        <v>41200074</v>
      </c>
      <c r="D71" s="183" t="s">
        <v>1478</v>
      </c>
      <c r="E71" s="183" t="s">
        <v>3593</v>
      </c>
      <c r="F71" s="269" t="s">
        <v>3619</v>
      </c>
      <c r="G71" s="183" t="s">
        <v>1</v>
      </c>
      <c r="H71" s="183" t="s">
        <v>3595</v>
      </c>
      <c r="I71" s="183" t="s">
        <v>3596</v>
      </c>
      <c r="J71" s="183" t="s">
        <v>2679</v>
      </c>
      <c r="K71" s="257">
        <v>45855</v>
      </c>
      <c r="L71" s="183">
        <v>1100196800</v>
      </c>
      <c r="M71" s="154" t="s">
        <v>3722</v>
      </c>
      <c r="N71" s="183" t="s">
        <v>3740</v>
      </c>
      <c r="O71" s="423" t="s">
        <v>3599</v>
      </c>
      <c r="P71" s="183" t="s">
        <v>3600</v>
      </c>
      <c r="Q71" s="426" t="s">
        <v>3601</v>
      </c>
      <c r="R71" s="183" t="s">
        <v>3724</v>
      </c>
      <c r="S71" s="183" t="s">
        <v>3724</v>
      </c>
      <c r="T71" s="434"/>
    </row>
    <row r="72" spans="1:20" ht="30" customHeight="1">
      <c r="A72" s="270">
        <v>70</v>
      </c>
      <c r="B72" s="154" t="s">
        <v>2507</v>
      </c>
      <c r="C72" s="154">
        <v>41100338</v>
      </c>
      <c r="D72" s="154" t="s">
        <v>1591</v>
      </c>
      <c r="E72" s="154" t="s">
        <v>3593</v>
      </c>
      <c r="F72" s="154" t="s">
        <v>3594</v>
      </c>
      <c r="G72" s="154" t="s">
        <v>1</v>
      </c>
      <c r="H72" s="154" t="s">
        <v>3595</v>
      </c>
      <c r="I72" s="154" t="s">
        <v>3596</v>
      </c>
      <c r="J72" s="154" t="s">
        <v>71</v>
      </c>
      <c r="K72" s="185">
        <v>45859</v>
      </c>
      <c r="L72" s="154">
        <v>1120021700</v>
      </c>
      <c r="M72" s="154" t="s">
        <v>2509</v>
      </c>
      <c r="N72" s="154" t="s">
        <v>2510</v>
      </c>
      <c r="O72" s="263" t="s">
        <v>3741</v>
      </c>
      <c r="P72" s="154" t="s">
        <v>26</v>
      </c>
      <c r="Q72" s="154" t="s">
        <v>49</v>
      </c>
      <c r="R72" s="154" t="s">
        <v>3679</v>
      </c>
      <c r="S72" s="154" t="s">
        <v>3727</v>
      </c>
      <c r="T72" s="434"/>
    </row>
    <row r="73" spans="1:20" ht="30" customHeight="1">
      <c r="A73" s="270">
        <v>71</v>
      </c>
      <c r="B73" s="154" t="s">
        <v>2515</v>
      </c>
      <c r="C73" s="154">
        <v>41200007</v>
      </c>
      <c r="D73" s="154" t="s">
        <v>1591</v>
      </c>
      <c r="E73" s="154" t="s">
        <v>3603</v>
      </c>
      <c r="F73" s="154" t="s">
        <v>3604</v>
      </c>
      <c r="G73" s="154" t="s">
        <v>1</v>
      </c>
      <c r="H73" s="154" t="s">
        <v>3595</v>
      </c>
      <c r="I73" s="154" t="s">
        <v>3596</v>
      </c>
      <c r="J73" s="154" t="s">
        <v>71</v>
      </c>
      <c r="K73" s="185">
        <v>45859</v>
      </c>
      <c r="L73" s="154">
        <v>1100196200</v>
      </c>
      <c r="M73" s="154" t="s">
        <v>3597</v>
      </c>
      <c r="N73" s="154" t="s">
        <v>3742</v>
      </c>
      <c r="O73" s="263" t="s">
        <v>3743</v>
      </c>
      <c r="P73" s="154" t="s">
        <v>3600</v>
      </c>
      <c r="Q73" s="154" t="s">
        <v>3601</v>
      </c>
      <c r="R73" s="154" t="s">
        <v>3602</v>
      </c>
      <c r="S73" s="154" t="s">
        <v>3675</v>
      </c>
      <c r="T73" s="434"/>
    </row>
    <row r="74" spans="1:20" s="269" customFormat="1" ht="30" customHeight="1">
      <c r="A74" s="270">
        <v>72</v>
      </c>
      <c r="B74" s="183" t="s">
        <v>2515</v>
      </c>
      <c r="C74" s="183">
        <v>41200007</v>
      </c>
      <c r="D74" s="183" t="s">
        <v>1591</v>
      </c>
      <c r="E74" s="183" t="s">
        <v>3603</v>
      </c>
      <c r="F74" s="183" t="s">
        <v>3604</v>
      </c>
      <c r="G74" s="183" t="s">
        <v>1</v>
      </c>
      <c r="H74" s="183" t="s">
        <v>3595</v>
      </c>
      <c r="I74" s="183" t="s">
        <v>3596</v>
      </c>
      <c r="J74" s="183" t="s">
        <v>71</v>
      </c>
      <c r="K74" s="257">
        <v>45859</v>
      </c>
      <c r="L74" s="183">
        <v>1100196200</v>
      </c>
      <c r="M74" s="154" t="s">
        <v>3597</v>
      </c>
      <c r="N74" s="183" t="s">
        <v>3742</v>
      </c>
      <c r="O74" s="423" t="s">
        <v>3743</v>
      </c>
      <c r="P74" s="183" t="s">
        <v>3600</v>
      </c>
      <c r="Q74" s="183" t="s">
        <v>3601</v>
      </c>
      <c r="R74" s="183" t="s">
        <v>3602</v>
      </c>
      <c r="S74" s="183" t="s">
        <v>3675</v>
      </c>
      <c r="T74" s="438"/>
    </row>
    <row r="75" spans="1:20" ht="30" customHeight="1">
      <c r="A75" s="270">
        <v>73</v>
      </c>
      <c r="B75" s="154" t="s">
        <v>2519</v>
      </c>
      <c r="C75" s="154">
        <v>41100502</v>
      </c>
      <c r="D75" s="154" t="s">
        <v>1591</v>
      </c>
      <c r="E75" s="154" t="s">
        <v>3603</v>
      </c>
      <c r="F75" s="154" t="s">
        <v>3619</v>
      </c>
      <c r="G75" s="154" t="s">
        <v>1</v>
      </c>
      <c r="H75" s="154" t="s">
        <v>3595</v>
      </c>
      <c r="I75" s="154" t="s">
        <v>2682</v>
      </c>
      <c r="J75" s="154" t="s">
        <v>71</v>
      </c>
      <c r="K75" s="185">
        <v>45860</v>
      </c>
      <c r="L75" s="154">
        <v>1110208900</v>
      </c>
      <c r="M75" s="154" t="s">
        <v>3744</v>
      </c>
      <c r="N75" s="154" t="s">
        <v>3745</v>
      </c>
      <c r="O75" s="130" t="s">
        <v>3746</v>
      </c>
      <c r="P75" s="154" t="s">
        <v>36</v>
      </c>
      <c r="Q75" s="154" t="s">
        <v>49</v>
      </c>
      <c r="R75" s="154" t="s">
        <v>3666</v>
      </c>
      <c r="S75" s="154" t="s">
        <v>3747</v>
      </c>
    </row>
    <row r="76" spans="1:20" ht="30" customHeight="1">
      <c r="A76" s="270">
        <v>74</v>
      </c>
      <c r="B76" s="154" t="s">
        <v>2525</v>
      </c>
      <c r="C76" s="154">
        <v>41200122</v>
      </c>
      <c r="D76" s="154" t="s">
        <v>1476</v>
      </c>
      <c r="E76" s="154" t="s">
        <v>3593</v>
      </c>
      <c r="F76" s="154" t="s">
        <v>3594</v>
      </c>
      <c r="G76" s="154" t="s">
        <v>1</v>
      </c>
      <c r="H76" s="154" t="s">
        <v>3595</v>
      </c>
      <c r="I76" s="154" t="s">
        <v>2682</v>
      </c>
      <c r="J76" s="154" t="s">
        <v>71</v>
      </c>
      <c r="K76" s="185">
        <v>45860</v>
      </c>
      <c r="L76" s="154">
        <v>1100008800</v>
      </c>
      <c r="M76" s="154" t="s">
        <v>143</v>
      </c>
      <c r="N76" s="154" t="s">
        <v>3748</v>
      </c>
      <c r="O76" s="130" t="s">
        <v>3749</v>
      </c>
      <c r="P76" s="154" t="s">
        <v>36</v>
      </c>
      <c r="Q76" s="154" t="s">
        <v>49</v>
      </c>
      <c r="R76" s="154" t="s">
        <v>3711</v>
      </c>
      <c r="S76" s="154" t="s">
        <v>3711</v>
      </c>
    </row>
    <row r="77" spans="1:20" ht="30" customHeight="1">
      <c r="A77" s="270">
        <v>75</v>
      </c>
      <c r="B77" s="154" t="s">
        <v>2519</v>
      </c>
      <c r="C77" s="154">
        <v>41100502</v>
      </c>
      <c r="D77" s="154" t="s">
        <v>1591</v>
      </c>
      <c r="E77" s="154" t="s">
        <v>3603</v>
      </c>
      <c r="F77" s="154" t="s">
        <v>3619</v>
      </c>
      <c r="G77" s="154" t="s">
        <v>1</v>
      </c>
      <c r="H77" s="154" t="s">
        <v>3595</v>
      </c>
      <c r="I77" s="154" t="s">
        <v>2682</v>
      </c>
      <c r="J77" s="154" t="s">
        <v>71</v>
      </c>
      <c r="K77" s="185">
        <v>45860</v>
      </c>
      <c r="L77" s="154">
        <v>1110078600</v>
      </c>
      <c r="M77" s="154" t="s">
        <v>386</v>
      </c>
      <c r="N77" s="154" t="s">
        <v>3750</v>
      </c>
      <c r="O77" s="130" t="s">
        <v>3751</v>
      </c>
      <c r="P77" s="154" t="s">
        <v>36</v>
      </c>
      <c r="Q77" s="154" t="s">
        <v>49</v>
      </c>
      <c r="R77" s="154" t="s">
        <v>3666</v>
      </c>
      <c r="S77" s="154" t="s">
        <v>3715</v>
      </c>
    </row>
    <row r="78" spans="1:20" s="269" customFormat="1" ht="30" customHeight="1">
      <c r="A78" s="270">
        <v>76</v>
      </c>
      <c r="B78" s="183" t="s">
        <v>2516</v>
      </c>
      <c r="C78" s="183">
        <v>41100502</v>
      </c>
      <c r="D78" s="183" t="s">
        <v>1591</v>
      </c>
      <c r="E78" s="183" t="s">
        <v>3603</v>
      </c>
      <c r="F78" s="183" t="s">
        <v>3619</v>
      </c>
      <c r="G78" s="183" t="s">
        <v>1</v>
      </c>
      <c r="H78" s="183" t="s">
        <v>3595</v>
      </c>
      <c r="I78" s="183" t="s">
        <v>2682</v>
      </c>
      <c r="J78" s="183" t="s">
        <v>71</v>
      </c>
      <c r="K78" s="257">
        <v>45860</v>
      </c>
      <c r="L78" s="183">
        <v>1110078600</v>
      </c>
      <c r="M78" s="183" t="s">
        <v>386</v>
      </c>
      <c r="N78" s="183" t="s">
        <v>3750</v>
      </c>
      <c r="O78" s="269" t="s">
        <v>3751</v>
      </c>
      <c r="P78" s="183" t="s">
        <v>36</v>
      </c>
      <c r="Q78" s="183" t="s">
        <v>49</v>
      </c>
      <c r="R78" s="183" t="s">
        <v>3666</v>
      </c>
      <c r="S78" s="183" t="s">
        <v>3715</v>
      </c>
    </row>
    <row r="79" spans="1:20" s="269" customFormat="1" ht="30" customHeight="1">
      <c r="A79" s="270">
        <v>77</v>
      </c>
      <c r="B79" s="380" t="s">
        <v>2538</v>
      </c>
      <c r="C79" s="380">
        <v>41200007</v>
      </c>
      <c r="D79" s="380" t="s">
        <v>1591</v>
      </c>
      <c r="E79" s="380" t="s">
        <v>3593</v>
      </c>
      <c r="F79" s="380" t="s">
        <v>3594</v>
      </c>
      <c r="G79" s="380" t="s">
        <v>1</v>
      </c>
      <c r="H79" s="380" t="s">
        <v>3595</v>
      </c>
      <c r="I79" s="380" t="s">
        <v>3596</v>
      </c>
      <c r="J79" s="380" t="s">
        <v>71</v>
      </c>
      <c r="K79" s="545">
        <v>45861</v>
      </c>
      <c r="L79" s="380">
        <v>1100196200</v>
      </c>
      <c r="M79" s="154" t="s">
        <v>3597</v>
      </c>
      <c r="N79" s="380" t="s">
        <v>3598</v>
      </c>
      <c r="O79" s="427" t="s">
        <v>3743</v>
      </c>
      <c r="P79" s="380" t="s">
        <v>3600</v>
      </c>
      <c r="Q79" s="380" t="s">
        <v>3601</v>
      </c>
      <c r="R79" s="154" t="s">
        <v>3602</v>
      </c>
      <c r="S79" s="381" t="s">
        <v>3737</v>
      </c>
      <c r="T79" s="438"/>
    </row>
    <row r="80" spans="1:20" s="302" customFormat="1" ht="30" customHeight="1">
      <c r="A80" s="270">
        <v>78</v>
      </c>
      <c r="B80" s="332" t="s">
        <v>2535</v>
      </c>
      <c r="C80" s="332">
        <v>41200007</v>
      </c>
      <c r="D80" s="332" t="s">
        <v>1591</v>
      </c>
      <c r="E80" s="332" t="s">
        <v>3593</v>
      </c>
      <c r="F80" s="332" t="s">
        <v>3594</v>
      </c>
      <c r="G80" s="332" t="s">
        <v>1</v>
      </c>
      <c r="H80" s="332" t="s">
        <v>3595</v>
      </c>
      <c r="I80" s="332" t="s">
        <v>2894</v>
      </c>
      <c r="J80" s="332" t="s">
        <v>71</v>
      </c>
      <c r="K80" s="546">
        <v>45861</v>
      </c>
      <c r="L80" s="332">
        <v>1200011800</v>
      </c>
      <c r="M80" s="332" t="s">
        <v>2536</v>
      </c>
      <c r="N80" s="332" t="s">
        <v>2537</v>
      </c>
      <c r="O80" s="428" t="s">
        <v>2537</v>
      </c>
      <c r="P80" s="332" t="s">
        <v>30</v>
      </c>
      <c r="Q80" s="332" t="s">
        <v>49</v>
      </c>
      <c r="R80" s="332" t="s">
        <v>3656</v>
      </c>
      <c r="S80" s="332" t="s">
        <v>3752</v>
      </c>
    </row>
    <row r="81" spans="1:19" s="302" customFormat="1" ht="30" customHeight="1">
      <c r="A81" s="270">
        <v>79</v>
      </c>
      <c r="B81" s="302" t="s">
        <v>2540</v>
      </c>
      <c r="C81" s="302">
        <v>41000590</v>
      </c>
      <c r="D81" s="302" t="s">
        <v>1616</v>
      </c>
      <c r="E81" s="302" t="s">
        <v>3651</v>
      </c>
      <c r="F81" s="302" t="s">
        <v>3619</v>
      </c>
      <c r="G81" s="302" t="s">
        <v>1</v>
      </c>
      <c r="H81" s="302" t="s">
        <v>3595</v>
      </c>
      <c r="I81" s="302" t="s">
        <v>2682</v>
      </c>
      <c r="K81" s="439">
        <v>45862</v>
      </c>
      <c r="L81" s="302">
        <v>1200162000</v>
      </c>
      <c r="M81" s="302" t="s">
        <v>2542</v>
      </c>
      <c r="N81" s="302" t="s">
        <v>3753</v>
      </c>
      <c r="O81" s="428" t="s">
        <v>3754</v>
      </c>
      <c r="P81" s="428" t="s">
        <v>36</v>
      </c>
      <c r="Q81" s="428" t="s">
        <v>49</v>
      </c>
      <c r="R81" s="428" t="s">
        <v>3707</v>
      </c>
      <c r="S81" s="428" t="s">
        <v>3707</v>
      </c>
    </row>
    <row r="82" spans="1:19" ht="30" customHeight="1">
      <c r="A82" s="270">
        <v>80</v>
      </c>
      <c r="B82" s="130" t="s">
        <v>2545</v>
      </c>
      <c r="C82" s="130">
        <v>41200006</v>
      </c>
      <c r="D82" s="130" t="s">
        <v>1477</v>
      </c>
      <c r="E82" s="130" t="s">
        <v>3593</v>
      </c>
      <c r="F82" s="130" t="s">
        <v>3619</v>
      </c>
      <c r="G82" s="130" t="s">
        <v>1</v>
      </c>
      <c r="H82" s="130" t="s">
        <v>3595</v>
      </c>
      <c r="I82" s="130" t="s">
        <v>2894</v>
      </c>
      <c r="K82" s="429">
        <v>45862</v>
      </c>
      <c r="L82" s="130">
        <v>1100207300</v>
      </c>
      <c r="M82" s="130" t="s">
        <v>284</v>
      </c>
      <c r="N82" s="130" t="s">
        <v>2784</v>
      </c>
      <c r="O82" s="263" t="s">
        <v>3673</v>
      </c>
      <c r="P82" s="263" t="s">
        <v>26</v>
      </c>
      <c r="Q82" s="263" t="s">
        <v>49</v>
      </c>
      <c r="R82" s="263" t="s">
        <v>3674</v>
      </c>
      <c r="S82" s="263" t="s">
        <v>3675</v>
      </c>
    </row>
    <row r="83" spans="1:19" ht="30" customHeight="1">
      <c r="A83" s="270">
        <v>81</v>
      </c>
      <c r="B83" s="130" t="s">
        <v>2553</v>
      </c>
      <c r="C83" s="130">
        <v>41200076</v>
      </c>
      <c r="D83" s="130" t="s">
        <v>1476</v>
      </c>
      <c r="E83" s="130" t="s">
        <v>3593</v>
      </c>
      <c r="F83" s="130" t="s">
        <v>3594</v>
      </c>
      <c r="G83" s="130" t="s">
        <v>1</v>
      </c>
      <c r="H83" s="130" t="s">
        <v>3614</v>
      </c>
      <c r="I83" s="130" t="s">
        <v>3620</v>
      </c>
      <c r="J83" s="130" t="s">
        <v>2880</v>
      </c>
      <c r="K83" s="429">
        <v>45863</v>
      </c>
      <c r="N83" s="130" t="s">
        <v>3755</v>
      </c>
      <c r="O83" s="263" t="s">
        <v>3756</v>
      </c>
      <c r="P83" s="263" t="s">
        <v>45</v>
      </c>
      <c r="Q83" s="263" t="s">
        <v>61</v>
      </c>
      <c r="R83" s="263" t="s">
        <v>1468</v>
      </c>
      <c r="S83" s="263" t="s">
        <v>1468</v>
      </c>
    </row>
    <row r="84" spans="1:19" ht="30" customHeight="1">
      <c r="A84" s="270">
        <v>82</v>
      </c>
      <c r="B84" s="130" t="s">
        <v>2562</v>
      </c>
      <c r="C84" s="130">
        <v>41200134</v>
      </c>
      <c r="D84" s="130" t="s">
        <v>1476</v>
      </c>
      <c r="E84" s="130" t="s">
        <v>3603</v>
      </c>
      <c r="F84" s="130" t="s">
        <v>3619</v>
      </c>
      <c r="G84" s="130" t="s">
        <v>1</v>
      </c>
      <c r="H84" s="130" t="s">
        <v>3595</v>
      </c>
      <c r="I84" s="130" t="s">
        <v>2682</v>
      </c>
      <c r="J84" s="130" t="s">
        <v>2679</v>
      </c>
      <c r="K84" s="429">
        <v>45866</v>
      </c>
      <c r="L84" s="130">
        <v>1100008800</v>
      </c>
      <c r="M84" s="130" t="s">
        <v>143</v>
      </c>
      <c r="N84" s="130" t="s">
        <v>3757</v>
      </c>
      <c r="O84" s="263" t="s">
        <v>3758</v>
      </c>
      <c r="P84" s="263" t="s">
        <v>36</v>
      </c>
      <c r="Q84" s="263" t="s">
        <v>49</v>
      </c>
      <c r="R84" s="263" t="s">
        <v>3666</v>
      </c>
      <c r="S84" s="263" t="s">
        <v>3666</v>
      </c>
    </row>
    <row r="85" spans="1:19" ht="30" customHeight="1">
      <c r="A85" s="270">
        <v>83</v>
      </c>
      <c r="B85" s="130" t="s">
        <v>2562</v>
      </c>
      <c r="C85" s="130">
        <v>41200134</v>
      </c>
      <c r="D85" s="130" t="s">
        <v>1476</v>
      </c>
      <c r="E85" s="130" t="s">
        <v>3603</v>
      </c>
      <c r="F85" s="130" t="s">
        <v>3619</v>
      </c>
      <c r="G85" s="130" t="s">
        <v>1</v>
      </c>
      <c r="H85" s="130" t="s">
        <v>3595</v>
      </c>
      <c r="I85" s="130" t="s">
        <v>3596</v>
      </c>
      <c r="J85" s="130" t="s">
        <v>2880</v>
      </c>
      <c r="K85" s="429">
        <v>45866</v>
      </c>
      <c r="L85" s="130">
        <v>1100196400</v>
      </c>
      <c r="M85" s="154" t="s">
        <v>3597</v>
      </c>
      <c r="N85" s="130" t="s">
        <v>3742</v>
      </c>
      <c r="O85" s="263" t="s">
        <v>3759</v>
      </c>
      <c r="P85" s="263" t="s">
        <v>3600</v>
      </c>
      <c r="Q85" s="263" t="s">
        <v>3601</v>
      </c>
      <c r="R85" s="263" t="s">
        <v>3602</v>
      </c>
      <c r="S85" s="263" t="s">
        <v>3760</v>
      </c>
    </row>
    <row r="86" spans="1:19" ht="30" customHeight="1">
      <c r="A86" s="270">
        <v>84</v>
      </c>
      <c r="B86" s="130" t="s">
        <v>2562</v>
      </c>
      <c r="C86" s="130">
        <v>41200134</v>
      </c>
      <c r="D86" s="130" t="s">
        <v>1476</v>
      </c>
      <c r="E86" s="130" t="s">
        <v>3603</v>
      </c>
      <c r="F86" s="130" t="s">
        <v>3619</v>
      </c>
      <c r="G86" s="130" t="s">
        <v>1</v>
      </c>
      <c r="H86" s="130" t="s">
        <v>3595</v>
      </c>
      <c r="I86" s="130" t="s">
        <v>3596</v>
      </c>
      <c r="J86" s="130" t="s">
        <v>2679</v>
      </c>
      <c r="K86" s="429">
        <v>45866</v>
      </c>
      <c r="L86" s="130">
        <v>1100196400</v>
      </c>
      <c r="M86" s="154" t="s">
        <v>3597</v>
      </c>
      <c r="N86" s="130" t="s">
        <v>3742</v>
      </c>
      <c r="O86" s="263" t="s">
        <v>3759</v>
      </c>
      <c r="P86" s="263" t="s">
        <v>3600</v>
      </c>
      <c r="Q86" s="263" t="s">
        <v>3601</v>
      </c>
      <c r="R86" s="263" t="s">
        <v>3602</v>
      </c>
      <c r="S86" s="263" t="s">
        <v>3760</v>
      </c>
    </row>
    <row r="87" spans="1:19" ht="30" customHeight="1">
      <c r="A87" s="270">
        <v>85</v>
      </c>
      <c r="B87" s="130" t="s">
        <v>2562</v>
      </c>
      <c r="C87" s="130">
        <v>41200134</v>
      </c>
      <c r="D87" s="130" t="s">
        <v>1476</v>
      </c>
      <c r="E87" s="130" t="s">
        <v>3603</v>
      </c>
      <c r="F87" s="130" t="s">
        <v>3619</v>
      </c>
      <c r="G87" s="130" t="s">
        <v>1</v>
      </c>
      <c r="H87" s="130" t="s">
        <v>3595</v>
      </c>
      <c r="I87" s="130" t="s">
        <v>3596</v>
      </c>
      <c r="J87" s="130" t="s">
        <v>2880</v>
      </c>
      <c r="K87" s="429">
        <v>45866</v>
      </c>
      <c r="L87" s="130">
        <v>1100196400</v>
      </c>
      <c r="M87" s="154" t="s">
        <v>3597</v>
      </c>
      <c r="N87" s="130" t="s">
        <v>3742</v>
      </c>
      <c r="O87" s="263" t="s">
        <v>3759</v>
      </c>
      <c r="P87" s="263" t="s">
        <v>3600</v>
      </c>
      <c r="Q87" s="263" t="s">
        <v>3601</v>
      </c>
      <c r="R87" s="263" t="s">
        <v>3602</v>
      </c>
      <c r="S87" s="263" t="s">
        <v>3760</v>
      </c>
    </row>
    <row r="88" spans="1:19" ht="30" customHeight="1">
      <c r="A88" s="270">
        <v>86</v>
      </c>
      <c r="B88" s="130" t="s">
        <v>2559</v>
      </c>
      <c r="C88" s="130">
        <v>41200134</v>
      </c>
      <c r="D88" s="130" t="s">
        <v>1476</v>
      </c>
      <c r="E88" s="130" t="s">
        <v>3603</v>
      </c>
      <c r="F88" s="130" t="s">
        <v>3619</v>
      </c>
      <c r="G88" s="130" t="s">
        <v>1</v>
      </c>
      <c r="H88" s="130" t="s">
        <v>3595</v>
      </c>
      <c r="I88" s="130" t="s">
        <v>3596</v>
      </c>
      <c r="J88" s="130" t="s">
        <v>2880</v>
      </c>
      <c r="K88" s="429">
        <v>45866</v>
      </c>
      <c r="L88" s="130">
        <v>1100196400</v>
      </c>
      <c r="M88" s="154" t="s">
        <v>3597</v>
      </c>
      <c r="N88" s="130" t="s">
        <v>3742</v>
      </c>
      <c r="O88" s="263" t="s">
        <v>3761</v>
      </c>
      <c r="P88" s="263" t="s">
        <v>3600</v>
      </c>
      <c r="Q88" s="263" t="s">
        <v>3601</v>
      </c>
      <c r="R88" s="263" t="s">
        <v>3602</v>
      </c>
      <c r="S88" s="263" t="s">
        <v>3760</v>
      </c>
    </row>
    <row r="89" spans="1:19" ht="30" customHeight="1">
      <c r="A89" s="270">
        <v>87</v>
      </c>
      <c r="B89" s="130" t="s">
        <v>2567</v>
      </c>
      <c r="C89" s="130">
        <v>41200128</v>
      </c>
      <c r="D89" s="130" t="s">
        <v>1591</v>
      </c>
      <c r="E89" s="130" t="s">
        <v>3593</v>
      </c>
      <c r="F89" s="130" t="s">
        <v>3594</v>
      </c>
      <c r="G89" s="130" t="s">
        <v>1</v>
      </c>
      <c r="H89" s="130" t="s">
        <v>3595</v>
      </c>
      <c r="I89" s="130" t="s">
        <v>3762</v>
      </c>
      <c r="K89" s="429">
        <v>45866</v>
      </c>
      <c r="L89" s="130">
        <v>1110205500</v>
      </c>
      <c r="M89" s="130" t="s">
        <v>255</v>
      </c>
      <c r="N89" s="130" t="s">
        <v>3763</v>
      </c>
      <c r="O89" s="263" t="s">
        <v>3764</v>
      </c>
      <c r="P89" s="263" t="s">
        <v>26</v>
      </c>
      <c r="Q89" s="263" t="s">
        <v>49</v>
      </c>
      <c r="R89" s="263" t="s">
        <v>3674</v>
      </c>
      <c r="S89" s="263" t="s">
        <v>3675</v>
      </c>
    </row>
    <row r="90" spans="1:19" ht="30" customHeight="1">
      <c r="A90" s="270">
        <v>88</v>
      </c>
      <c r="B90" s="130" t="s">
        <v>2566</v>
      </c>
      <c r="C90" s="130">
        <v>41200076</v>
      </c>
      <c r="D90" s="130" t="s">
        <v>1476</v>
      </c>
      <c r="E90" s="130" t="s">
        <v>3593</v>
      </c>
      <c r="F90" s="130" t="s">
        <v>3594</v>
      </c>
      <c r="G90" s="130" t="s">
        <v>1</v>
      </c>
      <c r="H90" s="130" t="s">
        <v>3595</v>
      </c>
      <c r="I90" s="130" t="s">
        <v>2894</v>
      </c>
      <c r="K90" s="429">
        <v>45866</v>
      </c>
      <c r="L90" s="130">
        <v>1200011800</v>
      </c>
      <c r="M90" s="130" t="s">
        <v>2536</v>
      </c>
      <c r="N90" s="130" t="s">
        <v>2537</v>
      </c>
      <c r="O90" s="263" t="s">
        <v>2537</v>
      </c>
      <c r="P90" s="263" t="s">
        <v>30</v>
      </c>
      <c r="Q90" s="263" t="s">
        <v>49</v>
      </c>
      <c r="R90" s="263" t="s">
        <v>3656</v>
      </c>
      <c r="S90" s="263" t="s">
        <v>3752</v>
      </c>
    </row>
    <row r="91" spans="1:19" ht="30" customHeight="1">
      <c r="A91" s="270">
        <v>89</v>
      </c>
      <c r="B91" s="130" t="s">
        <v>2577</v>
      </c>
      <c r="C91" s="130">
        <v>41200127</v>
      </c>
      <c r="D91" s="130" t="s">
        <v>1591</v>
      </c>
      <c r="E91" s="130" t="s">
        <v>3603</v>
      </c>
      <c r="F91" s="130" t="s">
        <v>3604</v>
      </c>
      <c r="G91" s="130" t="s">
        <v>1</v>
      </c>
      <c r="H91" s="130" t="s">
        <v>3595</v>
      </c>
      <c r="I91" s="130" t="s">
        <v>2682</v>
      </c>
      <c r="K91" s="429">
        <v>45867</v>
      </c>
      <c r="L91" s="130">
        <v>1100207300</v>
      </c>
      <c r="M91" s="130" t="s">
        <v>284</v>
      </c>
      <c r="N91" s="130" t="s">
        <v>2465</v>
      </c>
      <c r="O91" s="263" t="s">
        <v>3765</v>
      </c>
      <c r="P91" s="263" t="s">
        <v>36</v>
      </c>
      <c r="Q91" s="263" t="s">
        <v>49</v>
      </c>
      <c r="R91" s="263" t="s">
        <v>3674</v>
      </c>
      <c r="S91" s="263" t="s">
        <v>3675</v>
      </c>
    </row>
    <row r="92" spans="1:19" ht="30" customHeight="1">
      <c r="A92" s="270">
        <v>90</v>
      </c>
      <c r="B92" s="130" t="s">
        <v>2577</v>
      </c>
      <c r="C92" s="130">
        <v>41200127</v>
      </c>
      <c r="D92" s="130" t="s">
        <v>1591</v>
      </c>
      <c r="E92" s="130" t="s">
        <v>3603</v>
      </c>
      <c r="F92" s="130" t="s">
        <v>3604</v>
      </c>
      <c r="G92" s="130" t="s">
        <v>1</v>
      </c>
      <c r="H92" s="130" t="s">
        <v>3595</v>
      </c>
      <c r="I92" s="130" t="s">
        <v>2682</v>
      </c>
      <c r="K92" s="429">
        <v>45867</v>
      </c>
      <c r="L92" s="130">
        <v>1100013600</v>
      </c>
      <c r="M92" s="130" t="s">
        <v>1049</v>
      </c>
      <c r="N92" s="130" t="s">
        <v>3766</v>
      </c>
      <c r="O92" s="263" t="s">
        <v>3767</v>
      </c>
      <c r="P92" s="263" t="s">
        <v>36</v>
      </c>
      <c r="Q92" s="263" t="s">
        <v>49</v>
      </c>
      <c r="R92" s="263" t="s">
        <v>3674</v>
      </c>
      <c r="S92" s="263" t="s">
        <v>3768</v>
      </c>
    </row>
    <row r="93" spans="1:19" ht="30" customHeight="1">
      <c r="A93" s="270">
        <v>91</v>
      </c>
      <c r="B93" s="130" t="s">
        <v>2594</v>
      </c>
      <c r="C93" s="130">
        <v>41200006</v>
      </c>
      <c r="D93" s="130" t="s">
        <v>1477</v>
      </c>
      <c r="E93" s="130" t="s">
        <v>3593</v>
      </c>
      <c r="F93" s="130" t="s">
        <v>3594</v>
      </c>
      <c r="G93" s="130" t="s">
        <v>1</v>
      </c>
      <c r="H93" s="130" t="s">
        <v>3595</v>
      </c>
      <c r="I93" s="130" t="s">
        <v>3596</v>
      </c>
      <c r="K93" s="429">
        <v>45868</v>
      </c>
      <c r="L93" s="130">
        <v>1100196800</v>
      </c>
      <c r="M93" s="154" t="s">
        <v>3722</v>
      </c>
      <c r="N93" s="130" t="s">
        <v>3769</v>
      </c>
      <c r="O93" s="263" t="s">
        <v>3770</v>
      </c>
      <c r="P93" s="263" t="s">
        <v>3600</v>
      </c>
      <c r="Q93" s="263" t="s">
        <v>3601</v>
      </c>
      <c r="R93" s="263" t="s">
        <v>3602</v>
      </c>
      <c r="S93" s="263" t="s">
        <v>3737</v>
      </c>
    </row>
    <row r="94" spans="1:19" ht="30" customHeight="1">
      <c r="A94" s="270">
        <v>92</v>
      </c>
      <c r="B94" s="130" t="s">
        <v>2588</v>
      </c>
      <c r="C94" s="130">
        <v>41200006</v>
      </c>
      <c r="D94" s="130" t="s">
        <v>1477</v>
      </c>
      <c r="E94" s="130" t="s">
        <v>3593</v>
      </c>
      <c r="F94" s="130" t="s">
        <v>3594</v>
      </c>
      <c r="G94" s="130" t="s">
        <v>1</v>
      </c>
      <c r="H94" s="130" t="s">
        <v>3595</v>
      </c>
      <c r="I94" s="130" t="s">
        <v>3762</v>
      </c>
      <c r="K94" s="429">
        <v>45868</v>
      </c>
      <c r="N94" s="130" t="s">
        <v>2590</v>
      </c>
      <c r="O94" s="263" t="s">
        <v>2590</v>
      </c>
      <c r="P94" s="263" t="s">
        <v>26</v>
      </c>
      <c r="Q94" s="263" t="s">
        <v>49</v>
      </c>
      <c r="R94" s="263" t="s">
        <v>3674</v>
      </c>
      <c r="S94" s="263" t="s">
        <v>3771</v>
      </c>
    </row>
    <row r="95" spans="1:19" ht="30" customHeight="1">
      <c r="A95" s="270">
        <v>93</v>
      </c>
      <c r="B95" s="130" t="s">
        <v>2588</v>
      </c>
      <c r="C95" s="130">
        <v>41200006</v>
      </c>
      <c r="D95" s="130" t="s">
        <v>1477</v>
      </c>
      <c r="E95" s="130" t="s">
        <v>3593</v>
      </c>
      <c r="F95" s="130" t="s">
        <v>3594</v>
      </c>
      <c r="G95" s="130" t="s">
        <v>1</v>
      </c>
      <c r="H95" s="130" t="s">
        <v>3595</v>
      </c>
      <c r="I95" s="130" t="s">
        <v>2894</v>
      </c>
      <c r="K95" s="429">
        <v>45868</v>
      </c>
      <c r="L95" s="130">
        <v>1310588000</v>
      </c>
      <c r="M95" s="130" t="s">
        <v>2592</v>
      </c>
      <c r="N95" s="130" t="s">
        <v>2584</v>
      </c>
      <c r="O95" s="263" t="s">
        <v>2593</v>
      </c>
      <c r="P95" s="263" t="s">
        <v>30</v>
      </c>
      <c r="Q95" s="263" t="s">
        <v>49</v>
      </c>
      <c r="R95" s="263" t="s">
        <v>3602</v>
      </c>
      <c r="S95" s="263" t="s">
        <v>3737</v>
      </c>
    </row>
    <row r="96" spans="1:19" ht="30" customHeight="1">
      <c r="A96" s="270">
        <v>94</v>
      </c>
      <c r="B96" s="130" t="s">
        <v>2601</v>
      </c>
      <c r="C96" s="130">
        <v>41200124</v>
      </c>
      <c r="D96" s="130" t="s">
        <v>1476</v>
      </c>
      <c r="E96" s="130" t="s">
        <v>3593</v>
      </c>
      <c r="F96" s="130" t="s">
        <v>3594</v>
      </c>
      <c r="G96" s="130" t="s">
        <v>1</v>
      </c>
      <c r="H96" s="130" t="s">
        <v>3595</v>
      </c>
      <c r="I96" s="130" t="s">
        <v>2682</v>
      </c>
      <c r="J96" s="130" t="s">
        <v>2679</v>
      </c>
      <c r="K96" s="429">
        <v>45869</v>
      </c>
      <c r="N96" s="130" t="s">
        <v>3772</v>
      </c>
      <c r="O96" s="263" t="s">
        <v>3773</v>
      </c>
      <c r="P96" s="263" t="s">
        <v>36</v>
      </c>
      <c r="Q96" s="263" t="s">
        <v>49</v>
      </c>
      <c r="R96" s="263" t="s">
        <v>3674</v>
      </c>
      <c r="S96" s="263" t="s">
        <v>3774</v>
      </c>
    </row>
    <row r="97" spans="1:19" ht="30" customHeight="1">
      <c r="A97" s="270">
        <v>95</v>
      </c>
      <c r="B97" s="130" t="s">
        <v>2601</v>
      </c>
      <c r="C97" s="130">
        <v>41200124</v>
      </c>
      <c r="D97" s="130" t="s">
        <v>1476</v>
      </c>
      <c r="E97" s="130" t="s">
        <v>3593</v>
      </c>
      <c r="F97" s="130" t="s">
        <v>3594</v>
      </c>
      <c r="G97" s="130" t="s">
        <v>1</v>
      </c>
      <c r="H97" s="130" t="s">
        <v>3595</v>
      </c>
      <c r="I97" s="130" t="s">
        <v>3596</v>
      </c>
      <c r="J97" s="130" t="s">
        <v>2880</v>
      </c>
      <c r="K97" s="429">
        <v>45869</v>
      </c>
      <c r="L97" s="130">
        <v>1100196200</v>
      </c>
      <c r="M97" s="154" t="s">
        <v>3597</v>
      </c>
      <c r="N97" s="130" t="s">
        <v>3742</v>
      </c>
      <c r="O97" s="263" t="s">
        <v>3775</v>
      </c>
      <c r="P97" s="263" t="s">
        <v>3600</v>
      </c>
      <c r="Q97" s="263" t="s">
        <v>3601</v>
      </c>
      <c r="R97" s="263" t="s">
        <v>3602</v>
      </c>
      <c r="S97" s="263" t="s">
        <v>3760</v>
      </c>
    </row>
    <row r="98" spans="1:19" ht="30" customHeight="1">
      <c r="A98" s="270">
        <v>96</v>
      </c>
      <c r="B98" s="130" t="s">
        <v>2608</v>
      </c>
      <c r="C98" s="130">
        <v>41200006</v>
      </c>
      <c r="D98" s="130" t="s">
        <v>1477</v>
      </c>
      <c r="E98" s="130" t="s">
        <v>3603</v>
      </c>
      <c r="F98" s="130" t="s">
        <v>3619</v>
      </c>
      <c r="G98" s="130" t="s">
        <v>1</v>
      </c>
      <c r="H98" s="130" t="s">
        <v>3595</v>
      </c>
      <c r="I98" s="130" t="s">
        <v>2682</v>
      </c>
      <c r="K98" s="429">
        <v>45870</v>
      </c>
      <c r="L98" s="130">
        <v>1310377500</v>
      </c>
      <c r="M98" s="130" t="s">
        <v>378</v>
      </c>
      <c r="N98" s="130" t="s">
        <v>3776</v>
      </c>
      <c r="O98" s="263" t="s">
        <v>3777</v>
      </c>
      <c r="P98" s="263" t="s">
        <v>36</v>
      </c>
      <c r="Q98" s="263" t="s">
        <v>49</v>
      </c>
      <c r="R98" s="263" t="s">
        <v>3674</v>
      </c>
      <c r="S98" s="263" t="s">
        <v>3778</v>
      </c>
    </row>
    <row r="99" spans="1:19" ht="30" customHeight="1">
      <c r="A99" s="270">
        <v>97</v>
      </c>
      <c r="B99" s="130" t="s">
        <v>2608</v>
      </c>
      <c r="C99" s="130">
        <v>41200006</v>
      </c>
      <c r="D99" s="130" t="s">
        <v>1477</v>
      </c>
      <c r="E99" s="130" t="s">
        <v>3603</v>
      </c>
      <c r="F99" s="130" t="s">
        <v>3619</v>
      </c>
      <c r="G99" s="130" t="s">
        <v>1</v>
      </c>
      <c r="H99" s="130" t="s">
        <v>3595</v>
      </c>
      <c r="I99" s="130" t="s">
        <v>2682</v>
      </c>
      <c r="K99" s="429">
        <v>45870</v>
      </c>
      <c r="L99" s="130">
        <v>1110070900</v>
      </c>
      <c r="M99" s="130" t="s">
        <v>2560</v>
      </c>
      <c r="N99" s="130" t="s">
        <v>3779</v>
      </c>
      <c r="O99" s="263" t="s">
        <v>3780</v>
      </c>
      <c r="P99" s="263" t="s">
        <v>36</v>
      </c>
      <c r="Q99" s="263" t="s">
        <v>49</v>
      </c>
      <c r="R99" s="263" t="s">
        <v>3602</v>
      </c>
      <c r="S99" s="263" t="s">
        <v>3707</v>
      </c>
    </row>
    <row r="100" spans="1:19" ht="30" customHeight="1">
      <c r="A100" s="270">
        <v>98</v>
      </c>
      <c r="B100" s="130" t="s">
        <v>2613</v>
      </c>
      <c r="C100" s="130">
        <v>41200074</v>
      </c>
      <c r="D100" s="130" t="s">
        <v>1478</v>
      </c>
      <c r="E100" s="130" t="s">
        <v>3603</v>
      </c>
      <c r="F100" s="130" t="s">
        <v>3604</v>
      </c>
      <c r="G100" s="130" t="s">
        <v>1</v>
      </c>
      <c r="H100" s="130" t="s">
        <v>3595</v>
      </c>
      <c r="I100" s="130" t="s">
        <v>3596</v>
      </c>
      <c r="K100" s="429">
        <v>45870</v>
      </c>
      <c r="L100" s="130">
        <v>1100196800</v>
      </c>
      <c r="M100" s="154" t="s">
        <v>3722</v>
      </c>
      <c r="N100" s="130" t="s">
        <v>3769</v>
      </c>
      <c r="O100" s="263" t="s">
        <v>3781</v>
      </c>
      <c r="P100" s="263" t="s">
        <v>3600</v>
      </c>
      <c r="Q100" s="263" t="s">
        <v>3601</v>
      </c>
      <c r="R100" s="263" t="s">
        <v>3602</v>
      </c>
      <c r="S100" s="263" t="s">
        <v>3724</v>
      </c>
    </row>
    <row r="101" spans="1:19" ht="30" customHeight="1">
      <c r="A101" s="270">
        <v>99</v>
      </c>
      <c r="B101" s="130" t="s">
        <v>2615</v>
      </c>
      <c r="C101" s="130">
        <v>41100317</v>
      </c>
      <c r="D101" s="130" t="s">
        <v>1476</v>
      </c>
      <c r="E101" s="130" t="s">
        <v>3593</v>
      </c>
      <c r="F101" s="130" t="s">
        <v>3619</v>
      </c>
      <c r="G101" s="130" t="s">
        <v>1</v>
      </c>
      <c r="H101" s="130" t="s">
        <v>3595</v>
      </c>
      <c r="I101" s="130" t="s">
        <v>3762</v>
      </c>
      <c r="K101" s="429">
        <v>45873</v>
      </c>
      <c r="N101" s="130" t="s">
        <v>3782</v>
      </c>
      <c r="O101" s="263" t="s">
        <v>2590</v>
      </c>
      <c r="P101" s="263" t="s">
        <v>26</v>
      </c>
      <c r="Q101" s="263" t="s">
        <v>49</v>
      </c>
      <c r="R101" s="263" t="s">
        <v>3674</v>
      </c>
      <c r="S101" s="263" t="s">
        <v>3783</v>
      </c>
    </row>
    <row r="102" spans="1:19" ht="30" customHeight="1">
      <c r="A102" s="270">
        <v>100</v>
      </c>
      <c r="B102" s="130" t="s">
        <v>2615</v>
      </c>
      <c r="C102" s="130">
        <v>41100317</v>
      </c>
      <c r="D102" s="130" t="s">
        <v>1476</v>
      </c>
      <c r="E102" s="130" t="s">
        <v>3593</v>
      </c>
      <c r="F102" s="130" t="s">
        <v>3619</v>
      </c>
      <c r="G102" s="130" t="s">
        <v>1</v>
      </c>
      <c r="H102" s="130" t="s">
        <v>3608</v>
      </c>
      <c r="I102" s="130" t="s">
        <v>3697</v>
      </c>
      <c r="K102" s="429">
        <v>45873</v>
      </c>
      <c r="L102" s="130">
        <v>1200022800</v>
      </c>
      <c r="M102" s="130" t="s">
        <v>3784</v>
      </c>
      <c r="N102" s="130" t="s">
        <v>3785</v>
      </c>
      <c r="O102" s="263" t="s">
        <v>3786</v>
      </c>
      <c r="P102" s="263" t="s">
        <v>36</v>
      </c>
      <c r="Q102" s="263" t="s">
        <v>49</v>
      </c>
      <c r="R102" s="263" t="s">
        <v>3700</v>
      </c>
      <c r="S102" s="263" t="s">
        <v>3787</v>
      </c>
    </row>
    <row r="103" spans="1:19" ht="30" customHeight="1">
      <c r="A103" s="270">
        <v>101</v>
      </c>
      <c r="B103" s="130" t="s">
        <v>2615</v>
      </c>
      <c r="C103" s="130">
        <v>41100317</v>
      </c>
      <c r="D103" s="130" t="s">
        <v>1476</v>
      </c>
      <c r="E103" s="130" t="s">
        <v>3593</v>
      </c>
      <c r="F103" s="130" t="s">
        <v>3619</v>
      </c>
      <c r="G103" s="130" t="s">
        <v>1</v>
      </c>
      <c r="H103" s="130" t="s">
        <v>3608</v>
      </c>
      <c r="I103" s="130" t="s">
        <v>3697</v>
      </c>
      <c r="K103" s="429">
        <v>45873</v>
      </c>
      <c r="L103" s="130">
        <v>1210040300</v>
      </c>
      <c r="M103" s="130" t="s">
        <v>2618</v>
      </c>
      <c r="N103" s="130" t="s">
        <v>3788</v>
      </c>
      <c r="O103" s="263" t="s">
        <v>3789</v>
      </c>
      <c r="P103" s="263" t="s">
        <v>36</v>
      </c>
      <c r="Q103" s="263" t="s">
        <v>49</v>
      </c>
      <c r="R103" s="263" t="s">
        <v>3700</v>
      </c>
      <c r="S103" s="263" t="s">
        <v>3787</v>
      </c>
    </row>
    <row r="104" spans="1:19" ht="30" customHeight="1">
      <c r="A104" s="270">
        <v>102</v>
      </c>
      <c r="B104" s="130" t="s">
        <v>2622</v>
      </c>
      <c r="C104" s="130">
        <v>41200006</v>
      </c>
      <c r="D104" s="130" t="s">
        <v>1477</v>
      </c>
      <c r="E104" s="130" t="s">
        <v>3603</v>
      </c>
      <c r="F104" s="130" t="s">
        <v>3619</v>
      </c>
      <c r="G104" s="130" t="s">
        <v>1</v>
      </c>
      <c r="H104" s="130" t="s">
        <v>3595</v>
      </c>
      <c r="I104" s="130" t="s">
        <v>3762</v>
      </c>
      <c r="K104" s="429">
        <v>45873</v>
      </c>
      <c r="L104" s="130">
        <v>1310377500</v>
      </c>
      <c r="M104" s="130" t="s">
        <v>378</v>
      </c>
      <c r="N104" s="130" t="s">
        <v>3776</v>
      </c>
      <c r="O104" s="263" t="s">
        <v>3790</v>
      </c>
      <c r="P104" s="263" t="s">
        <v>36</v>
      </c>
      <c r="Q104" s="263" t="s">
        <v>49</v>
      </c>
      <c r="R104" s="263" t="s">
        <v>3674</v>
      </c>
      <c r="S104" s="263" t="s">
        <v>3778</v>
      </c>
    </row>
    <row r="105" spans="1:19" ht="30" customHeight="1">
      <c r="A105" s="270">
        <v>103</v>
      </c>
      <c r="B105" s="130" t="s">
        <v>2627</v>
      </c>
      <c r="C105" s="130">
        <v>41200128</v>
      </c>
      <c r="D105" s="130" t="s">
        <v>1591</v>
      </c>
      <c r="E105" s="130" t="s">
        <v>3603</v>
      </c>
      <c r="F105" s="130" t="s">
        <v>3619</v>
      </c>
      <c r="G105" s="130" t="s">
        <v>1</v>
      </c>
      <c r="H105" s="130" t="s">
        <v>3614</v>
      </c>
      <c r="I105" s="130" t="s">
        <v>3620</v>
      </c>
      <c r="J105" s="130" t="s">
        <v>2880</v>
      </c>
      <c r="K105" s="429">
        <v>45873</v>
      </c>
      <c r="L105" s="130">
        <v>1210103600</v>
      </c>
      <c r="M105" s="130" t="s">
        <v>3513</v>
      </c>
      <c r="N105" s="130" t="s">
        <v>3791</v>
      </c>
      <c r="O105" s="263" t="s">
        <v>3792</v>
      </c>
      <c r="P105" s="263" t="s">
        <v>45</v>
      </c>
      <c r="Q105" s="263" t="s">
        <v>61</v>
      </c>
      <c r="R105" s="263" t="s">
        <v>3793</v>
      </c>
      <c r="S105" s="263" t="s">
        <v>2395</v>
      </c>
    </row>
    <row r="106" spans="1:19" ht="30" customHeight="1">
      <c r="A106" s="270">
        <v>104</v>
      </c>
      <c r="B106" s="130" t="s">
        <v>2624</v>
      </c>
      <c r="C106" s="130">
        <v>41200162</v>
      </c>
      <c r="D106" s="130" t="s">
        <v>1479</v>
      </c>
      <c r="E106" s="130" t="s">
        <v>3603</v>
      </c>
      <c r="F106" s="130" t="s">
        <v>3604</v>
      </c>
      <c r="G106" s="130" t="s">
        <v>1</v>
      </c>
      <c r="H106" s="130" t="s">
        <v>3614</v>
      </c>
      <c r="I106" s="130" t="s">
        <v>3620</v>
      </c>
      <c r="J106" s="130" t="s">
        <v>2880</v>
      </c>
      <c r="K106" s="429">
        <v>45874</v>
      </c>
      <c r="L106" s="130">
        <v>1311026700</v>
      </c>
      <c r="M106" s="130" t="s">
        <v>3794</v>
      </c>
      <c r="N106" s="130" t="s">
        <v>3795</v>
      </c>
      <c r="O106" s="263" t="s">
        <v>3796</v>
      </c>
      <c r="P106" s="263" t="s">
        <v>45</v>
      </c>
      <c r="Q106" s="263" t="s">
        <v>61</v>
      </c>
      <c r="R106" s="263" t="s">
        <v>3793</v>
      </c>
      <c r="S106" s="263" t="s">
        <v>2395</v>
      </c>
    </row>
    <row r="107" spans="1:19" ht="30" customHeight="1">
      <c r="A107" s="270">
        <v>105</v>
      </c>
      <c r="B107" s="130" t="s">
        <v>2629</v>
      </c>
      <c r="C107" s="130">
        <v>41200034</v>
      </c>
      <c r="D107" s="130" t="s">
        <v>1476</v>
      </c>
      <c r="E107" s="130" t="s">
        <v>3603</v>
      </c>
      <c r="F107" s="130" t="s">
        <v>3619</v>
      </c>
      <c r="G107" s="130" t="s">
        <v>1</v>
      </c>
      <c r="H107" s="130" t="s">
        <v>3595</v>
      </c>
      <c r="I107" s="130" t="s">
        <v>2682</v>
      </c>
      <c r="J107" s="130" t="s">
        <v>2679</v>
      </c>
      <c r="K107" s="429">
        <v>45874</v>
      </c>
      <c r="L107" s="130">
        <v>1100407300</v>
      </c>
      <c r="M107" s="130" t="s">
        <v>255</v>
      </c>
      <c r="N107" s="130" t="s">
        <v>2630</v>
      </c>
      <c r="O107" s="263" t="s">
        <v>3797</v>
      </c>
      <c r="P107" s="263" t="s">
        <v>36</v>
      </c>
      <c r="Q107" s="263" t="s">
        <v>49</v>
      </c>
      <c r="R107" s="263" t="s">
        <v>3674</v>
      </c>
      <c r="S107" s="263" t="s">
        <v>3798</v>
      </c>
    </row>
    <row r="108" spans="1:19" ht="30" customHeight="1">
      <c r="A108" s="270">
        <v>106</v>
      </c>
      <c r="B108" s="130" t="s">
        <v>2632</v>
      </c>
      <c r="C108" s="130">
        <v>41200128</v>
      </c>
      <c r="D108" s="130" t="s">
        <v>1591</v>
      </c>
      <c r="E108" s="130" t="s">
        <v>3603</v>
      </c>
      <c r="F108" s="130" t="s">
        <v>3604</v>
      </c>
      <c r="G108" s="130" t="s">
        <v>1</v>
      </c>
      <c r="H108" s="130" t="s">
        <v>3595</v>
      </c>
      <c r="I108" s="130" t="s">
        <v>2682</v>
      </c>
      <c r="K108" s="429">
        <v>45874</v>
      </c>
      <c r="N108" s="130" t="s">
        <v>3799</v>
      </c>
      <c r="O108" s="263" t="s">
        <v>3800</v>
      </c>
      <c r="P108" s="263" t="s">
        <v>36</v>
      </c>
      <c r="Q108" s="263" t="s">
        <v>49</v>
      </c>
      <c r="R108" s="263" t="s">
        <v>3707</v>
      </c>
      <c r="S108" s="263" t="s">
        <v>3707</v>
      </c>
    </row>
    <row r="109" spans="1:19" ht="30" customHeight="1">
      <c r="A109" s="270">
        <v>107</v>
      </c>
      <c r="B109" s="130" t="s">
        <v>2637</v>
      </c>
      <c r="C109" s="130">
        <v>41100435</v>
      </c>
      <c r="D109" s="130" t="s">
        <v>3801</v>
      </c>
      <c r="E109" s="130" t="s">
        <v>3802</v>
      </c>
      <c r="F109" s="130" t="s">
        <v>3803</v>
      </c>
      <c r="G109" s="130" t="s">
        <v>1</v>
      </c>
      <c r="H109" s="130" t="s">
        <v>3608</v>
      </c>
      <c r="I109" s="130" t="s">
        <v>2682</v>
      </c>
      <c r="K109" s="429">
        <v>45875</v>
      </c>
      <c r="N109" s="130" t="s">
        <v>3804</v>
      </c>
      <c r="O109" s="130" t="s">
        <v>3804</v>
      </c>
      <c r="P109" s="263" t="s">
        <v>36</v>
      </c>
      <c r="Q109" s="263" t="s">
        <v>49</v>
      </c>
      <c r="R109" s="263" t="s">
        <v>3674</v>
      </c>
      <c r="S109" s="263" t="s">
        <v>3627</v>
      </c>
    </row>
    <row r="110" spans="1:19" ht="30" customHeight="1">
      <c r="A110" s="270">
        <v>108</v>
      </c>
      <c r="B110" s="130" t="s">
        <v>2644</v>
      </c>
      <c r="C110" s="130">
        <v>41200006</v>
      </c>
      <c r="D110" s="130" t="s">
        <v>1477</v>
      </c>
      <c r="E110" s="130" t="s">
        <v>3603</v>
      </c>
      <c r="F110" s="130" t="s">
        <v>3604</v>
      </c>
      <c r="G110" s="130" t="s">
        <v>1</v>
      </c>
      <c r="H110" s="130" t="s">
        <v>3595</v>
      </c>
      <c r="I110" s="130" t="s">
        <v>3596</v>
      </c>
      <c r="K110" s="429">
        <v>45875</v>
      </c>
      <c r="L110" s="130">
        <v>1100196800</v>
      </c>
      <c r="M110" s="154" t="s">
        <v>3722</v>
      </c>
      <c r="N110" s="130" t="s">
        <v>3723</v>
      </c>
      <c r="O110" s="263" t="s">
        <v>3599</v>
      </c>
      <c r="P110" s="263" t="s">
        <v>3600</v>
      </c>
      <c r="Q110" s="263" t="s">
        <v>3601</v>
      </c>
      <c r="R110" s="263" t="s">
        <v>3602</v>
      </c>
      <c r="S110" s="263" t="s">
        <v>3737</v>
      </c>
    </row>
    <row r="111" spans="1:19" ht="30" customHeight="1">
      <c r="A111" s="270">
        <v>109</v>
      </c>
      <c r="B111" s="130" t="s">
        <v>2644</v>
      </c>
      <c r="C111" s="130">
        <v>41200006</v>
      </c>
      <c r="D111" s="130" t="s">
        <v>1477</v>
      </c>
      <c r="E111" s="130" t="s">
        <v>3603</v>
      </c>
      <c r="F111" s="130" t="s">
        <v>3604</v>
      </c>
      <c r="G111" s="130" t="s">
        <v>1</v>
      </c>
      <c r="H111" s="130" t="s">
        <v>3595</v>
      </c>
      <c r="I111" s="130" t="s">
        <v>3596</v>
      </c>
      <c r="K111" s="429">
        <v>45875</v>
      </c>
      <c r="L111" s="130">
        <v>1100196800</v>
      </c>
      <c r="M111" s="154" t="s">
        <v>3722</v>
      </c>
      <c r="N111" s="130" t="s">
        <v>3723</v>
      </c>
      <c r="O111" s="263" t="s">
        <v>3599</v>
      </c>
      <c r="P111" s="263" t="s">
        <v>3600</v>
      </c>
      <c r="Q111" s="263" t="s">
        <v>3601</v>
      </c>
      <c r="R111" s="263" t="s">
        <v>3602</v>
      </c>
      <c r="S111" s="263" t="s">
        <v>3737</v>
      </c>
    </row>
    <row r="112" spans="1:19" ht="30" customHeight="1">
      <c r="A112" s="270">
        <v>110</v>
      </c>
      <c r="B112" s="130" t="s">
        <v>2644</v>
      </c>
      <c r="C112" s="130">
        <v>41200006</v>
      </c>
      <c r="D112" s="130" t="s">
        <v>1477</v>
      </c>
      <c r="E112" s="130" t="s">
        <v>3603</v>
      </c>
      <c r="F112" s="130" t="s">
        <v>3604</v>
      </c>
      <c r="G112" s="130" t="s">
        <v>1</v>
      </c>
      <c r="H112" s="130" t="s">
        <v>3595</v>
      </c>
      <c r="I112" s="130" t="s">
        <v>3596</v>
      </c>
      <c r="K112" s="429">
        <v>45875</v>
      </c>
      <c r="L112" s="130">
        <v>1100196800</v>
      </c>
      <c r="M112" s="154" t="s">
        <v>3722</v>
      </c>
      <c r="N112" s="130" t="s">
        <v>3723</v>
      </c>
      <c r="O112" s="263" t="s">
        <v>3599</v>
      </c>
      <c r="P112" s="263" t="s">
        <v>3600</v>
      </c>
      <c r="Q112" s="263" t="s">
        <v>3601</v>
      </c>
      <c r="R112" s="263" t="s">
        <v>3602</v>
      </c>
      <c r="S112" s="263" t="s">
        <v>3737</v>
      </c>
    </row>
    <row r="113" spans="1:19" ht="30" customHeight="1">
      <c r="A113" s="270">
        <v>111</v>
      </c>
      <c r="B113" s="130" t="s">
        <v>2645</v>
      </c>
      <c r="C113" s="130">
        <v>41200006</v>
      </c>
      <c r="D113" s="130" t="s">
        <v>1477</v>
      </c>
      <c r="E113" s="130" t="s">
        <v>3603</v>
      </c>
      <c r="F113" s="130" t="s">
        <v>3604</v>
      </c>
      <c r="G113" s="130" t="s">
        <v>1</v>
      </c>
      <c r="H113" s="130" t="s">
        <v>3595</v>
      </c>
      <c r="I113" s="130" t="s">
        <v>3596</v>
      </c>
      <c r="K113" s="429">
        <v>45875</v>
      </c>
      <c r="L113" s="130">
        <v>1100196800</v>
      </c>
      <c r="M113" s="154" t="s">
        <v>3722</v>
      </c>
      <c r="N113" s="130" t="s">
        <v>3723</v>
      </c>
      <c r="O113" s="263" t="s">
        <v>3599</v>
      </c>
      <c r="P113" s="263" t="s">
        <v>3600</v>
      </c>
      <c r="Q113" s="263" t="s">
        <v>3601</v>
      </c>
      <c r="R113" s="263" t="s">
        <v>3602</v>
      </c>
      <c r="S113" s="263" t="s">
        <v>3737</v>
      </c>
    </row>
    <row r="114" spans="1:19" ht="30" customHeight="1">
      <c r="A114" s="270">
        <v>112</v>
      </c>
      <c r="B114" s="130" t="s">
        <v>2646</v>
      </c>
      <c r="C114" s="130">
        <v>41200006</v>
      </c>
      <c r="D114" s="130" t="s">
        <v>1477</v>
      </c>
      <c r="E114" s="130" t="s">
        <v>3603</v>
      </c>
      <c r="F114" s="130" t="s">
        <v>3604</v>
      </c>
      <c r="G114" s="130" t="s">
        <v>1</v>
      </c>
      <c r="H114" s="130" t="s">
        <v>3595</v>
      </c>
      <c r="I114" s="130" t="s">
        <v>3596</v>
      </c>
      <c r="K114" s="429">
        <v>45875</v>
      </c>
      <c r="L114" s="130">
        <v>1100196800</v>
      </c>
      <c r="M114" s="154" t="s">
        <v>3722</v>
      </c>
      <c r="N114" s="130" t="s">
        <v>3723</v>
      </c>
      <c r="O114" s="263" t="s">
        <v>3599</v>
      </c>
      <c r="P114" s="263" t="s">
        <v>3600</v>
      </c>
      <c r="Q114" s="263" t="s">
        <v>3601</v>
      </c>
      <c r="R114" s="263" t="s">
        <v>3602</v>
      </c>
      <c r="S114" s="263" t="s">
        <v>3737</v>
      </c>
    </row>
    <row r="115" spans="1:19" ht="30" customHeight="1">
      <c r="A115" s="270">
        <v>113</v>
      </c>
      <c r="B115" s="130" t="s">
        <v>2646</v>
      </c>
      <c r="C115" s="130">
        <v>41200006</v>
      </c>
      <c r="D115" s="130" t="s">
        <v>1477</v>
      </c>
      <c r="E115" s="130" t="s">
        <v>3603</v>
      </c>
      <c r="F115" s="130" t="s">
        <v>3604</v>
      </c>
      <c r="G115" s="130" t="s">
        <v>1</v>
      </c>
      <c r="H115" s="130" t="s">
        <v>3595</v>
      </c>
      <c r="I115" s="130" t="s">
        <v>3596</v>
      </c>
      <c r="K115" s="429">
        <v>45875</v>
      </c>
      <c r="L115" s="130">
        <v>1100196800</v>
      </c>
      <c r="M115" s="154" t="s">
        <v>3722</v>
      </c>
      <c r="N115" s="130" t="s">
        <v>3723</v>
      </c>
      <c r="O115" s="263" t="s">
        <v>3599</v>
      </c>
      <c r="P115" s="263" t="s">
        <v>3600</v>
      </c>
      <c r="Q115" s="263" t="s">
        <v>3601</v>
      </c>
      <c r="R115" s="263" t="s">
        <v>3602</v>
      </c>
      <c r="S115" s="263" t="s">
        <v>3737</v>
      </c>
    </row>
    <row r="116" spans="1:19" ht="30" customHeight="1">
      <c r="A116" s="270">
        <v>114</v>
      </c>
      <c r="B116" s="130" t="s">
        <v>2640</v>
      </c>
      <c r="C116" s="130">
        <v>41100550</v>
      </c>
      <c r="D116" s="130" t="s">
        <v>1477</v>
      </c>
      <c r="E116" s="130" t="s">
        <v>3593</v>
      </c>
      <c r="F116" s="130" t="s">
        <v>3594</v>
      </c>
      <c r="G116" s="130" t="s">
        <v>1</v>
      </c>
      <c r="H116" s="130" t="s">
        <v>3595</v>
      </c>
      <c r="I116" s="130" t="s">
        <v>2682</v>
      </c>
      <c r="K116" s="429">
        <v>45875</v>
      </c>
      <c r="L116" s="130">
        <v>1110180600</v>
      </c>
      <c r="M116" s="130" t="s">
        <v>2415</v>
      </c>
      <c r="N116" s="130" t="s">
        <v>3692</v>
      </c>
      <c r="O116" s="263" t="s">
        <v>2416</v>
      </c>
      <c r="P116" s="263" t="s">
        <v>36</v>
      </c>
      <c r="Q116" s="263" t="s">
        <v>49</v>
      </c>
      <c r="R116" s="263" t="s">
        <v>3674</v>
      </c>
      <c r="S116" s="263" t="s">
        <v>3752</v>
      </c>
    </row>
    <row r="117" spans="1:19" ht="30" customHeight="1">
      <c r="A117" s="270">
        <v>115</v>
      </c>
      <c r="B117" s="130" t="s">
        <v>2640</v>
      </c>
      <c r="C117" s="130">
        <v>41100550</v>
      </c>
      <c r="D117" s="130" t="s">
        <v>1477</v>
      </c>
      <c r="E117" s="130" t="s">
        <v>3593</v>
      </c>
      <c r="F117" s="130" t="s">
        <v>3594</v>
      </c>
      <c r="G117" s="130" t="s">
        <v>1</v>
      </c>
      <c r="H117" s="130" t="s">
        <v>3595</v>
      </c>
      <c r="I117" s="130" t="s">
        <v>3596</v>
      </c>
      <c r="K117" s="429">
        <v>45875</v>
      </c>
      <c r="L117" s="130">
        <v>1100196800</v>
      </c>
      <c r="M117" s="154" t="s">
        <v>3722</v>
      </c>
      <c r="N117" s="130" t="s">
        <v>3723</v>
      </c>
      <c r="O117" s="263" t="s">
        <v>3599</v>
      </c>
      <c r="P117" s="263" t="s">
        <v>3600</v>
      </c>
      <c r="Q117" s="263" t="s">
        <v>3601</v>
      </c>
      <c r="R117" s="263" t="s">
        <v>3602</v>
      </c>
      <c r="S117" s="263" t="s">
        <v>3737</v>
      </c>
    </row>
    <row r="118" spans="1:19" ht="30" customHeight="1">
      <c r="A118" s="270">
        <v>116</v>
      </c>
      <c r="B118" s="130" t="s">
        <v>2640</v>
      </c>
      <c r="C118" s="130">
        <v>41100550</v>
      </c>
      <c r="D118" s="130" t="s">
        <v>1477</v>
      </c>
      <c r="E118" s="130" t="s">
        <v>3593</v>
      </c>
      <c r="F118" s="130" t="s">
        <v>3594</v>
      </c>
      <c r="G118" s="130" t="s">
        <v>1</v>
      </c>
      <c r="H118" s="130" t="s">
        <v>3595</v>
      </c>
      <c r="I118" s="130" t="s">
        <v>3596</v>
      </c>
      <c r="K118" s="429">
        <v>45875</v>
      </c>
      <c r="L118" s="130">
        <v>1100196800</v>
      </c>
      <c r="M118" s="154" t="s">
        <v>3722</v>
      </c>
      <c r="N118" s="130" t="s">
        <v>3723</v>
      </c>
      <c r="O118" s="263" t="s">
        <v>3599</v>
      </c>
      <c r="P118" s="263" t="s">
        <v>3600</v>
      </c>
      <c r="Q118" s="263" t="s">
        <v>3601</v>
      </c>
      <c r="R118" s="263" t="s">
        <v>3602</v>
      </c>
      <c r="S118" s="263" t="s">
        <v>3737</v>
      </c>
    </row>
    <row r="119" spans="1:19" ht="30" customHeight="1">
      <c r="A119" s="270">
        <v>117</v>
      </c>
      <c r="B119" s="130" t="s">
        <v>2643</v>
      </c>
      <c r="C119" s="130">
        <v>41100550</v>
      </c>
      <c r="D119" s="130" t="s">
        <v>1477</v>
      </c>
      <c r="E119" s="130" t="s">
        <v>3593</v>
      </c>
      <c r="F119" s="130" t="s">
        <v>3594</v>
      </c>
      <c r="G119" s="130" t="s">
        <v>1</v>
      </c>
      <c r="H119" s="130" t="s">
        <v>3595</v>
      </c>
      <c r="I119" s="130" t="s">
        <v>3596</v>
      </c>
      <c r="K119" s="429">
        <v>45875</v>
      </c>
      <c r="L119" s="130">
        <v>1100196800</v>
      </c>
      <c r="M119" s="154" t="s">
        <v>3722</v>
      </c>
      <c r="N119" s="130" t="s">
        <v>3723</v>
      </c>
      <c r="O119" s="263" t="s">
        <v>3599</v>
      </c>
      <c r="P119" s="263" t="s">
        <v>3600</v>
      </c>
      <c r="Q119" s="263" t="s">
        <v>3601</v>
      </c>
      <c r="R119" s="263" t="s">
        <v>3602</v>
      </c>
      <c r="S119" s="263" t="s">
        <v>3737</v>
      </c>
    </row>
    <row r="120" spans="1:19" ht="30" customHeight="1">
      <c r="A120" s="270">
        <v>118</v>
      </c>
      <c r="B120" s="130" t="s">
        <v>2650</v>
      </c>
      <c r="C120" s="130">
        <v>41100550</v>
      </c>
      <c r="D120" s="130" t="s">
        <v>1477</v>
      </c>
      <c r="E120" s="130" t="s">
        <v>3593</v>
      </c>
      <c r="F120" s="130" t="s">
        <v>3619</v>
      </c>
      <c r="G120" s="130" t="s">
        <v>1</v>
      </c>
      <c r="H120" s="130" t="s">
        <v>3595</v>
      </c>
      <c r="I120" s="130" t="s">
        <v>3596</v>
      </c>
      <c r="K120" s="429">
        <v>45876</v>
      </c>
      <c r="L120" s="130">
        <v>1100196800</v>
      </c>
      <c r="M120" s="154" t="s">
        <v>3722</v>
      </c>
      <c r="N120" s="130" t="s">
        <v>3723</v>
      </c>
      <c r="O120" s="263" t="s">
        <v>3599</v>
      </c>
      <c r="P120" s="263" t="s">
        <v>3600</v>
      </c>
      <c r="Q120" s="263" t="s">
        <v>3601</v>
      </c>
      <c r="R120" s="263" t="s">
        <v>3602</v>
      </c>
      <c r="S120" s="263" t="s">
        <v>3737</v>
      </c>
    </row>
    <row r="121" spans="1:19" ht="30" customHeight="1">
      <c r="A121" s="270">
        <v>119</v>
      </c>
      <c r="B121" s="130" t="s">
        <v>2654</v>
      </c>
      <c r="C121" s="130">
        <v>41200047</v>
      </c>
      <c r="D121" s="130" t="s">
        <v>1476</v>
      </c>
      <c r="E121" s="130" t="s">
        <v>3593</v>
      </c>
      <c r="F121" s="130" t="s">
        <v>3619</v>
      </c>
      <c r="G121" s="130" t="s">
        <v>1</v>
      </c>
      <c r="H121" s="130" t="s">
        <v>3595</v>
      </c>
      <c r="I121" s="130" t="s">
        <v>3596</v>
      </c>
      <c r="J121" s="130" t="s">
        <v>2679</v>
      </c>
      <c r="K121" s="429">
        <v>45876</v>
      </c>
      <c r="L121" s="130">
        <v>1100196200</v>
      </c>
      <c r="M121" s="154" t="s">
        <v>3597</v>
      </c>
      <c r="N121" s="130" t="s">
        <v>3742</v>
      </c>
      <c r="O121" s="263" t="s">
        <v>3805</v>
      </c>
      <c r="P121" s="263" t="s">
        <v>3600</v>
      </c>
      <c r="Q121" s="263" t="s">
        <v>3601</v>
      </c>
      <c r="R121" s="263" t="s">
        <v>3602</v>
      </c>
      <c r="S121" s="263" t="s">
        <v>3806</v>
      </c>
    </row>
    <row r="122" spans="1:19" ht="30" customHeight="1">
      <c r="A122" s="270">
        <v>120</v>
      </c>
      <c r="B122" s="130" t="s">
        <v>2652</v>
      </c>
      <c r="C122" s="130">
        <v>41200047</v>
      </c>
      <c r="D122" s="130" t="s">
        <v>1476</v>
      </c>
      <c r="E122" s="130" t="s">
        <v>3593</v>
      </c>
      <c r="F122" s="130" t="s">
        <v>3619</v>
      </c>
      <c r="G122" s="130" t="s">
        <v>1</v>
      </c>
      <c r="H122" s="130" t="s">
        <v>3595</v>
      </c>
      <c r="I122" s="130" t="s">
        <v>3596</v>
      </c>
      <c r="J122" s="130" t="s">
        <v>2880</v>
      </c>
      <c r="K122" s="429">
        <v>45876</v>
      </c>
      <c r="L122" s="130">
        <v>1100196200</v>
      </c>
      <c r="M122" s="154" t="s">
        <v>3597</v>
      </c>
      <c r="N122" s="130" t="s">
        <v>3742</v>
      </c>
      <c r="O122" s="263" t="s">
        <v>3807</v>
      </c>
      <c r="P122" s="263" t="s">
        <v>3600</v>
      </c>
      <c r="Q122" s="263" t="s">
        <v>3601</v>
      </c>
      <c r="R122" s="263" t="s">
        <v>3602</v>
      </c>
      <c r="S122" s="263" t="s">
        <v>3806</v>
      </c>
    </row>
    <row r="123" spans="1:19" ht="30" customHeight="1">
      <c r="A123" s="270">
        <v>121</v>
      </c>
      <c r="B123" s="130" t="s">
        <v>2659</v>
      </c>
      <c r="C123" s="130">
        <v>41200167</v>
      </c>
      <c r="D123" s="130" t="s">
        <v>1591</v>
      </c>
      <c r="E123" s="130" t="s">
        <v>3593</v>
      </c>
      <c r="F123" s="130" t="s">
        <v>3619</v>
      </c>
      <c r="G123" s="130" t="s">
        <v>1</v>
      </c>
      <c r="H123" s="130" t="s">
        <v>3595</v>
      </c>
      <c r="I123" s="130" t="s">
        <v>3596</v>
      </c>
      <c r="K123" s="429">
        <v>45877</v>
      </c>
      <c r="L123" s="130">
        <v>1100196200</v>
      </c>
      <c r="M123" s="154" t="s">
        <v>3597</v>
      </c>
      <c r="N123" s="130" t="s">
        <v>3808</v>
      </c>
      <c r="O123" s="263" t="s">
        <v>3809</v>
      </c>
      <c r="P123" s="263" t="s">
        <v>3600</v>
      </c>
      <c r="Q123" s="263" t="s">
        <v>3601</v>
      </c>
      <c r="R123" s="263" t="s">
        <v>3602</v>
      </c>
      <c r="S123" s="263" t="s">
        <v>3737</v>
      </c>
    </row>
    <row r="124" spans="1:19" ht="30" customHeight="1">
      <c r="A124" s="270">
        <v>122</v>
      </c>
      <c r="B124" s="130" t="s">
        <v>2674</v>
      </c>
      <c r="C124" s="130">
        <v>41200076</v>
      </c>
      <c r="D124" s="130" t="s">
        <v>1476</v>
      </c>
      <c r="E124" s="130" t="s">
        <v>3593</v>
      </c>
      <c r="F124" s="130" t="s">
        <v>3619</v>
      </c>
      <c r="G124" s="130" t="s">
        <v>1</v>
      </c>
      <c r="H124" s="130" t="s">
        <v>3608</v>
      </c>
      <c r="I124" s="130" t="s">
        <v>3810</v>
      </c>
      <c r="J124" s="130" t="s">
        <v>2679</v>
      </c>
      <c r="K124" s="429">
        <v>45880</v>
      </c>
      <c r="M124" s="130" t="s">
        <v>3811</v>
      </c>
      <c r="N124" s="130" t="s">
        <v>3812</v>
      </c>
      <c r="O124" s="130" t="s">
        <v>3813</v>
      </c>
      <c r="P124" s="263" t="s">
        <v>36</v>
      </c>
      <c r="Q124" s="263" t="s">
        <v>49</v>
      </c>
      <c r="R124" s="263" t="s">
        <v>3700</v>
      </c>
      <c r="S124" s="263" t="s">
        <v>3787</v>
      </c>
    </row>
    <row r="125" spans="1:19" ht="30" customHeight="1">
      <c r="A125" s="270">
        <v>123</v>
      </c>
      <c r="B125" s="130" t="s">
        <v>2680</v>
      </c>
      <c r="C125" s="130">
        <v>41200053</v>
      </c>
      <c r="D125" s="130" t="s">
        <v>1616</v>
      </c>
      <c r="E125" s="130" t="s">
        <v>3651</v>
      </c>
      <c r="F125" s="130" t="s">
        <v>3619</v>
      </c>
      <c r="G125" s="130" t="s">
        <v>1</v>
      </c>
      <c r="H125" s="130" t="s">
        <v>3595</v>
      </c>
      <c r="I125" s="130" t="s">
        <v>2682</v>
      </c>
      <c r="K125" s="429">
        <v>45880</v>
      </c>
      <c r="L125" s="130">
        <v>1110156100</v>
      </c>
      <c r="M125" s="130" t="s">
        <v>2668</v>
      </c>
      <c r="N125" s="130" t="s">
        <v>3814</v>
      </c>
      <c r="O125" s="130" t="s">
        <v>3815</v>
      </c>
      <c r="P125" s="263" t="s">
        <v>36</v>
      </c>
      <c r="Q125" s="263" t="s">
        <v>49</v>
      </c>
      <c r="R125" s="263" t="s">
        <v>3674</v>
      </c>
      <c r="S125" s="263" t="s">
        <v>3724</v>
      </c>
    </row>
    <row r="126" spans="1:19" ht="30" customHeight="1">
      <c r="A126" s="270">
        <v>124</v>
      </c>
      <c r="B126" s="130" t="s">
        <v>2667</v>
      </c>
      <c r="C126" s="130">
        <v>41200053</v>
      </c>
      <c r="D126" s="130" t="s">
        <v>1616</v>
      </c>
      <c r="E126" s="130" t="s">
        <v>3651</v>
      </c>
      <c r="F126" s="130" t="s">
        <v>3619</v>
      </c>
      <c r="G126" s="130" t="s">
        <v>1</v>
      </c>
      <c r="H126" s="130" t="s">
        <v>3595</v>
      </c>
      <c r="I126" s="130" t="s">
        <v>2682</v>
      </c>
      <c r="K126" s="429">
        <v>45880</v>
      </c>
      <c r="L126" s="130">
        <v>1110156100</v>
      </c>
      <c r="M126" s="130" t="s">
        <v>2668</v>
      </c>
      <c r="N126" s="130" t="s">
        <v>3814</v>
      </c>
      <c r="O126" s="130" t="s">
        <v>3815</v>
      </c>
      <c r="P126" s="263" t="s">
        <v>36</v>
      </c>
      <c r="Q126" s="263" t="s">
        <v>49</v>
      </c>
      <c r="R126" s="263" t="s">
        <v>3674</v>
      </c>
      <c r="S126" s="263" t="s">
        <v>3724</v>
      </c>
    </row>
    <row r="127" spans="1:19" ht="30" customHeight="1">
      <c r="A127" s="270">
        <v>125</v>
      </c>
      <c r="B127" s="130" t="s">
        <v>2681</v>
      </c>
      <c r="C127" s="130">
        <v>41200033</v>
      </c>
      <c r="D127" s="130" t="s">
        <v>1476</v>
      </c>
      <c r="E127" s="130" t="s">
        <v>3603</v>
      </c>
      <c r="F127" s="130" t="s">
        <v>3604</v>
      </c>
      <c r="G127" s="130" t="s">
        <v>1</v>
      </c>
      <c r="H127" s="130" t="s">
        <v>3595</v>
      </c>
      <c r="I127" s="130" t="s">
        <v>2682</v>
      </c>
      <c r="J127" s="130" t="s">
        <v>2679</v>
      </c>
      <c r="K127" s="429">
        <v>45881</v>
      </c>
      <c r="L127" s="130">
        <v>1110163400</v>
      </c>
      <c r="M127" s="130" t="s">
        <v>2683</v>
      </c>
      <c r="N127" s="130" t="s">
        <v>2684</v>
      </c>
      <c r="O127" s="130" t="s">
        <v>3816</v>
      </c>
      <c r="P127" s="263" t="s">
        <v>36</v>
      </c>
      <c r="Q127" s="263" t="s">
        <v>49</v>
      </c>
      <c r="R127" s="263" t="s">
        <v>3674</v>
      </c>
      <c r="S127" s="263" t="s">
        <v>3817</v>
      </c>
    </row>
    <row r="128" spans="1:19" ht="30" customHeight="1">
      <c r="A128" s="270">
        <v>126</v>
      </c>
      <c r="B128" s="130" t="s">
        <v>2671</v>
      </c>
      <c r="C128" s="130">
        <v>41200136</v>
      </c>
      <c r="D128" s="130" t="s">
        <v>1482</v>
      </c>
      <c r="E128" s="130" t="s">
        <v>3603</v>
      </c>
      <c r="F128" s="130" t="s">
        <v>3594</v>
      </c>
      <c r="G128" s="130" t="s">
        <v>1</v>
      </c>
      <c r="H128" s="130" t="s">
        <v>3608</v>
      </c>
      <c r="I128" s="130" t="s">
        <v>3810</v>
      </c>
      <c r="K128" s="429">
        <v>45881</v>
      </c>
      <c r="L128" s="130">
        <v>1200037200</v>
      </c>
      <c r="M128" s="130" t="s">
        <v>3818</v>
      </c>
      <c r="N128" s="130" t="s">
        <v>3819</v>
      </c>
      <c r="O128" s="130" t="s">
        <v>3820</v>
      </c>
      <c r="P128" s="263" t="s">
        <v>30</v>
      </c>
      <c r="Q128" s="263" t="s">
        <v>49</v>
      </c>
      <c r="R128" s="263" t="s">
        <v>3730</v>
      </c>
      <c r="S128" s="263" t="s">
        <v>3821</v>
      </c>
    </row>
    <row r="129" spans="1:19" ht="30" customHeight="1">
      <c r="A129" s="270">
        <v>127</v>
      </c>
      <c r="B129" s="130" t="s">
        <v>2686</v>
      </c>
      <c r="C129" s="130">
        <v>41200053</v>
      </c>
      <c r="D129" s="130" t="s">
        <v>1616</v>
      </c>
      <c r="E129" s="130" t="s">
        <v>3651</v>
      </c>
      <c r="F129" s="130" t="s">
        <v>3619</v>
      </c>
      <c r="G129" s="130" t="s">
        <v>1</v>
      </c>
      <c r="H129" s="130" t="s">
        <v>3595</v>
      </c>
      <c r="I129" s="130" t="s">
        <v>2682</v>
      </c>
      <c r="K129" s="429">
        <v>45882</v>
      </c>
      <c r="M129" s="130" t="s">
        <v>3822</v>
      </c>
      <c r="N129" s="130" t="s">
        <v>3823</v>
      </c>
      <c r="O129" s="130" t="s">
        <v>3824</v>
      </c>
      <c r="P129" s="263" t="s">
        <v>36</v>
      </c>
      <c r="Q129" s="263" t="s">
        <v>49</v>
      </c>
      <c r="R129" s="263" t="s">
        <v>3602</v>
      </c>
      <c r="S129" s="263" t="s">
        <v>3707</v>
      </c>
    </row>
    <row r="130" spans="1:19" ht="30" customHeight="1">
      <c r="A130" s="270">
        <v>128</v>
      </c>
      <c r="B130" s="130" t="s">
        <v>2695</v>
      </c>
      <c r="C130" s="130">
        <v>41200007</v>
      </c>
      <c r="D130" s="130" t="s">
        <v>1591</v>
      </c>
      <c r="E130" s="130" t="s">
        <v>3593</v>
      </c>
      <c r="F130" s="130" t="s">
        <v>3619</v>
      </c>
      <c r="G130" s="130" t="s">
        <v>1</v>
      </c>
      <c r="H130" s="130" t="s">
        <v>3595</v>
      </c>
      <c r="I130" s="130" t="s">
        <v>3596</v>
      </c>
      <c r="K130" s="429">
        <v>45882</v>
      </c>
      <c r="L130" s="130">
        <v>1100196600</v>
      </c>
      <c r="M130" s="130" t="s">
        <v>1151</v>
      </c>
      <c r="N130" s="130" t="s">
        <v>3825</v>
      </c>
      <c r="O130" s="263" t="s">
        <v>3826</v>
      </c>
      <c r="P130" s="263" t="s">
        <v>26</v>
      </c>
      <c r="Q130" s="263" t="s">
        <v>3601</v>
      </c>
      <c r="R130" s="263" t="s">
        <v>3602</v>
      </c>
      <c r="S130" s="263" t="s">
        <v>3737</v>
      </c>
    </row>
    <row r="131" spans="1:19" ht="30" customHeight="1">
      <c r="A131" s="270">
        <v>129</v>
      </c>
      <c r="B131" s="130" t="s">
        <v>2695</v>
      </c>
      <c r="C131" s="130">
        <v>41200007</v>
      </c>
      <c r="D131" s="130" t="s">
        <v>1591</v>
      </c>
      <c r="E131" s="130" t="s">
        <v>3593</v>
      </c>
      <c r="F131" s="130" t="s">
        <v>3619</v>
      </c>
      <c r="G131" s="130" t="s">
        <v>1</v>
      </c>
      <c r="H131" s="130" t="s">
        <v>3595</v>
      </c>
      <c r="I131" s="130" t="s">
        <v>3596</v>
      </c>
      <c r="K131" s="429">
        <v>45882</v>
      </c>
      <c r="L131" s="130">
        <v>1100196200</v>
      </c>
      <c r="M131" s="154" t="s">
        <v>3597</v>
      </c>
      <c r="N131" s="130" t="s">
        <v>3742</v>
      </c>
      <c r="O131" s="263" t="s">
        <v>3599</v>
      </c>
      <c r="P131" s="263" t="s">
        <v>3600</v>
      </c>
      <c r="Q131" s="263" t="s">
        <v>3601</v>
      </c>
      <c r="R131" s="263" t="s">
        <v>3602</v>
      </c>
      <c r="S131" s="263" t="s">
        <v>3737</v>
      </c>
    </row>
    <row r="132" spans="1:19" ht="30" customHeight="1">
      <c r="A132" s="270">
        <v>130</v>
      </c>
      <c r="B132" s="130" t="s">
        <v>2701</v>
      </c>
      <c r="C132" s="130">
        <v>41200076</v>
      </c>
      <c r="D132" s="130" t="s">
        <v>1476</v>
      </c>
      <c r="E132" s="130" t="s">
        <v>3603</v>
      </c>
      <c r="F132" s="130" t="s">
        <v>3594</v>
      </c>
      <c r="G132" s="130" t="s">
        <v>1</v>
      </c>
      <c r="H132" s="130" t="s">
        <v>3595</v>
      </c>
      <c r="I132" s="130" t="s">
        <v>3596</v>
      </c>
      <c r="J132" s="130" t="s">
        <v>2679</v>
      </c>
      <c r="K132" s="429">
        <v>45882</v>
      </c>
      <c r="L132" s="130">
        <v>1100196200</v>
      </c>
      <c r="M132" s="154" t="s">
        <v>3597</v>
      </c>
      <c r="N132" s="130" t="s">
        <v>3701</v>
      </c>
      <c r="O132" s="263" t="s">
        <v>3827</v>
      </c>
      <c r="P132" s="263" t="s">
        <v>26</v>
      </c>
      <c r="Q132" s="263" t="s">
        <v>3601</v>
      </c>
      <c r="R132" s="263" t="s">
        <v>3602</v>
      </c>
      <c r="S132" s="263" t="s">
        <v>3760</v>
      </c>
    </row>
    <row r="133" spans="1:19" ht="30" customHeight="1">
      <c r="A133" s="270">
        <v>131</v>
      </c>
      <c r="B133" s="130" t="s">
        <v>2703</v>
      </c>
      <c r="C133" s="130">
        <v>41200076</v>
      </c>
      <c r="D133" s="130" t="s">
        <v>1476</v>
      </c>
      <c r="E133" s="130" t="s">
        <v>3603</v>
      </c>
      <c r="F133" s="130" t="s">
        <v>3594</v>
      </c>
      <c r="G133" s="130" t="s">
        <v>1</v>
      </c>
      <c r="H133" s="130" t="s">
        <v>3595</v>
      </c>
      <c r="I133" s="130" t="s">
        <v>2894</v>
      </c>
      <c r="J133" s="130" t="s">
        <v>2880</v>
      </c>
      <c r="K133" s="429">
        <v>45882</v>
      </c>
      <c r="L133" s="130">
        <v>1100376300</v>
      </c>
      <c r="M133" s="130" t="s">
        <v>103</v>
      </c>
      <c r="N133" s="130" t="s">
        <v>3828</v>
      </c>
      <c r="O133" s="263" t="s">
        <v>3829</v>
      </c>
      <c r="P133" s="263" t="s">
        <v>26</v>
      </c>
      <c r="Q133" s="263" t="s">
        <v>49</v>
      </c>
      <c r="R133" s="263" t="s">
        <v>3666</v>
      </c>
      <c r="S133" s="263" t="s">
        <v>3666</v>
      </c>
    </row>
    <row r="134" spans="1:19" ht="30" customHeight="1">
      <c r="A134" s="270">
        <v>132</v>
      </c>
      <c r="B134" s="130" t="s">
        <v>2712</v>
      </c>
      <c r="C134" s="130">
        <v>41000544</v>
      </c>
      <c r="D134" s="130" t="s">
        <v>1476</v>
      </c>
      <c r="E134" s="130" t="s">
        <v>3593</v>
      </c>
      <c r="F134" s="130" t="s">
        <v>3594</v>
      </c>
      <c r="G134" s="130" t="s">
        <v>1</v>
      </c>
      <c r="H134" s="130" t="s">
        <v>3595</v>
      </c>
      <c r="I134" s="130" t="s">
        <v>3596</v>
      </c>
      <c r="J134" s="130" t="s">
        <v>2880</v>
      </c>
      <c r="K134" s="429">
        <v>45883</v>
      </c>
      <c r="L134" s="130">
        <v>1100196800</v>
      </c>
      <c r="M134" s="154" t="s">
        <v>3722</v>
      </c>
      <c r="N134" s="130" t="s">
        <v>3723</v>
      </c>
      <c r="O134" s="263" t="s">
        <v>3599</v>
      </c>
      <c r="P134" s="263" t="s">
        <v>3600</v>
      </c>
      <c r="Q134" s="263" t="s">
        <v>3601</v>
      </c>
      <c r="R134" s="263" t="s">
        <v>3602</v>
      </c>
      <c r="S134" s="263" t="s">
        <v>3737</v>
      </c>
    </row>
    <row r="135" spans="1:19" ht="30" customHeight="1">
      <c r="A135" s="270">
        <v>133</v>
      </c>
      <c r="B135" s="130" t="s">
        <v>2714</v>
      </c>
      <c r="C135" s="130">
        <v>41200046</v>
      </c>
      <c r="D135" s="130" t="s">
        <v>1476</v>
      </c>
      <c r="E135" s="130" t="s">
        <v>3603</v>
      </c>
      <c r="F135" s="130" t="s">
        <v>3604</v>
      </c>
      <c r="G135" s="130" t="s">
        <v>1</v>
      </c>
      <c r="H135" s="130" t="s">
        <v>3608</v>
      </c>
      <c r="I135" s="130" t="s">
        <v>3810</v>
      </c>
      <c r="J135" s="130" t="s">
        <v>2679</v>
      </c>
      <c r="K135" s="429">
        <v>45883</v>
      </c>
      <c r="L135" s="130">
        <v>1310859100</v>
      </c>
      <c r="M135" s="130" t="s">
        <v>2717</v>
      </c>
      <c r="N135" s="130" t="s">
        <v>3830</v>
      </c>
      <c r="O135" s="263" t="s">
        <v>3831</v>
      </c>
      <c r="P135" s="263" t="s">
        <v>36</v>
      </c>
      <c r="Q135" s="263" t="s">
        <v>49</v>
      </c>
      <c r="R135" s="263" t="s">
        <v>3674</v>
      </c>
      <c r="S135" s="263" t="s">
        <v>3832</v>
      </c>
    </row>
    <row r="136" spans="1:19" ht="30" customHeight="1">
      <c r="A136" s="270">
        <v>134</v>
      </c>
      <c r="B136" s="130" t="s">
        <v>2714</v>
      </c>
      <c r="C136" s="130">
        <v>41200046</v>
      </c>
      <c r="D136" s="130" t="s">
        <v>1476</v>
      </c>
      <c r="E136" s="130" t="s">
        <v>3603</v>
      </c>
      <c r="F136" s="130" t="s">
        <v>3604</v>
      </c>
      <c r="G136" s="130" t="s">
        <v>1</v>
      </c>
      <c r="H136" s="130" t="s">
        <v>3595</v>
      </c>
      <c r="I136" s="130" t="s">
        <v>3596</v>
      </c>
      <c r="J136" s="130" t="s">
        <v>2880</v>
      </c>
      <c r="K136" s="429">
        <v>45883</v>
      </c>
      <c r="L136" s="130">
        <v>1100196600</v>
      </c>
      <c r="M136" s="130" t="s">
        <v>1151</v>
      </c>
      <c r="N136" s="130" t="s">
        <v>3833</v>
      </c>
      <c r="O136" s="263" t="s">
        <v>3834</v>
      </c>
      <c r="P136" s="263" t="s">
        <v>26</v>
      </c>
      <c r="Q136" s="263" t="s">
        <v>3601</v>
      </c>
      <c r="R136" s="263" t="s">
        <v>3602</v>
      </c>
      <c r="S136" s="263" t="s">
        <v>3737</v>
      </c>
    </row>
    <row r="137" spans="1:19" ht="30" customHeight="1">
      <c r="A137" s="270">
        <v>135</v>
      </c>
      <c r="B137" s="130" t="s">
        <v>2709</v>
      </c>
      <c r="C137" s="130">
        <v>41200076</v>
      </c>
      <c r="D137" s="130" t="s">
        <v>1476</v>
      </c>
      <c r="E137" s="130" t="s">
        <v>3603</v>
      </c>
      <c r="F137" s="130" t="s">
        <v>3619</v>
      </c>
      <c r="G137" s="130" t="s">
        <v>1</v>
      </c>
      <c r="H137" s="130" t="s">
        <v>3595</v>
      </c>
      <c r="I137" s="130" t="s">
        <v>2894</v>
      </c>
      <c r="J137" s="130" t="s">
        <v>2880</v>
      </c>
      <c r="K137" s="429">
        <v>45883</v>
      </c>
      <c r="L137" s="130">
        <v>1100376300</v>
      </c>
      <c r="M137" s="130" t="s">
        <v>103</v>
      </c>
      <c r="N137" s="130" t="s">
        <v>3828</v>
      </c>
      <c r="O137" s="263" t="s">
        <v>3829</v>
      </c>
      <c r="P137" s="263" t="s">
        <v>26</v>
      </c>
      <c r="Q137" s="263" t="s">
        <v>49</v>
      </c>
      <c r="R137" s="263" t="s">
        <v>3666</v>
      </c>
      <c r="S137" s="263" t="s">
        <v>3835</v>
      </c>
    </row>
    <row r="138" spans="1:19" ht="30" customHeight="1">
      <c r="A138" s="270">
        <v>136</v>
      </c>
      <c r="B138" s="130" t="s">
        <v>2719</v>
      </c>
      <c r="C138" s="130">
        <v>41100374</v>
      </c>
      <c r="D138" s="130" t="s">
        <v>1476</v>
      </c>
      <c r="E138" s="130" t="s">
        <v>3603</v>
      </c>
      <c r="F138" s="130" t="s">
        <v>3619</v>
      </c>
      <c r="G138" s="130" t="s">
        <v>1</v>
      </c>
      <c r="H138" s="130" t="s">
        <v>3595</v>
      </c>
      <c r="I138" s="130" t="s">
        <v>3596</v>
      </c>
      <c r="J138" s="130" t="s">
        <v>2880</v>
      </c>
      <c r="K138" s="429">
        <v>45887</v>
      </c>
      <c r="L138" s="130">
        <v>1100196200</v>
      </c>
      <c r="M138" s="154" t="s">
        <v>3597</v>
      </c>
      <c r="N138" s="130" t="s">
        <v>3742</v>
      </c>
      <c r="O138" s="263" t="s">
        <v>3836</v>
      </c>
      <c r="P138" s="263" t="s">
        <v>26</v>
      </c>
      <c r="Q138" s="263" t="s">
        <v>3601</v>
      </c>
      <c r="R138" s="263" t="s">
        <v>3602</v>
      </c>
      <c r="S138" s="263" t="s">
        <v>3806</v>
      </c>
    </row>
    <row r="139" spans="1:19" ht="30" customHeight="1">
      <c r="A139" s="270">
        <v>137</v>
      </c>
      <c r="B139" s="130" t="s">
        <v>2719</v>
      </c>
      <c r="C139" s="130">
        <v>41100374</v>
      </c>
      <c r="D139" s="130" t="s">
        <v>1476</v>
      </c>
      <c r="E139" s="130" t="s">
        <v>3603</v>
      </c>
      <c r="F139" s="130" t="s">
        <v>3619</v>
      </c>
      <c r="G139" s="130" t="s">
        <v>1</v>
      </c>
      <c r="H139" s="130" t="s">
        <v>3595</v>
      </c>
      <c r="I139" s="130" t="s">
        <v>3596</v>
      </c>
      <c r="J139" s="130" t="s">
        <v>2880</v>
      </c>
      <c r="K139" s="429">
        <v>45887</v>
      </c>
      <c r="L139" s="130">
        <v>1100196200</v>
      </c>
      <c r="M139" s="154" t="s">
        <v>3597</v>
      </c>
      <c r="N139" s="130" t="s">
        <v>3742</v>
      </c>
      <c r="O139" s="263" t="s">
        <v>3836</v>
      </c>
      <c r="P139" s="263" t="s">
        <v>26</v>
      </c>
      <c r="Q139" s="263" t="s">
        <v>3601</v>
      </c>
      <c r="R139" s="263" t="s">
        <v>3602</v>
      </c>
      <c r="S139" s="263" t="s">
        <v>3806</v>
      </c>
    </row>
    <row r="140" spans="1:19" ht="30" customHeight="1">
      <c r="A140" s="270">
        <v>138</v>
      </c>
      <c r="B140" s="130" t="s">
        <v>2726</v>
      </c>
      <c r="C140" s="130">
        <v>41200046</v>
      </c>
      <c r="D140" s="130" t="s">
        <v>1476</v>
      </c>
      <c r="E140" s="130" t="s">
        <v>3603</v>
      </c>
      <c r="F140" s="130" t="s">
        <v>3604</v>
      </c>
      <c r="G140" s="130" t="s">
        <v>1</v>
      </c>
      <c r="H140" s="130" t="s">
        <v>3595</v>
      </c>
      <c r="I140" s="130" t="s">
        <v>2682</v>
      </c>
      <c r="K140" s="429">
        <v>45887</v>
      </c>
      <c r="N140" s="130" t="s">
        <v>2725</v>
      </c>
      <c r="O140" s="263" t="s">
        <v>3837</v>
      </c>
      <c r="P140" s="263" t="s">
        <v>36</v>
      </c>
      <c r="Q140" s="263" t="s">
        <v>49</v>
      </c>
      <c r="R140" s="263" t="s">
        <v>3714</v>
      </c>
      <c r="S140" s="263" t="s">
        <v>3838</v>
      </c>
    </row>
    <row r="141" spans="1:19" ht="30" customHeight="1">
      <c r="A141" s="270">
        <v>139</v>
      </c>
      <c r="B141" s="130" t="s">
        <v>2726</v>
      </c>
      <c r="C141" s="130">
        <v>41200046</v>
      </c>
      <c r="D141" s="130" t="s">
        <v>1476</v>
      </c>
      <c r="E141" s="130" t="s">
        <v>3603</v>
      </c>
      <c r="F141" s="130" t="s">
        <v>3604</v>
      </c>
      <c r="G141" s="130" t="s">
        <v>1</v>
      </c>
      <c r="H141" s="130" t="s">
        <v>3595</v>
      </c>
      <c r="I141" s="130" t="s">
        <v>3596</v>
      </c>
      <c r="J141" s="130" t="s">
        <v>2880</v>
      </c>
      <c r="K141" s="429">
        <v>45887</v>
      </c>
      <c r="L141" s="130">
        <v>1100196600</v>
      </c>
      <c r="M141" s="130" t="s">
        <v>1151</v>
      </c>
      <c r="N141" s="130" t="s">
        <v>3839</v>
      </c>
      <c r="O141" s="263" t="s">
        <v>3834</v>
      </c>
      <c r="P141" s="263" t="s">
        <v>26</v>
      </c>
      <c r="Q141" s="263" t="s">
        <v>3601</v>
      </c>
      <c r="R141" s="263" t="s">
        <v>3602</v>
      </c>
      <c r="S141" s="263" t="s">
        <v>3724</v>
      </c>
    </row>
    <row r="142" spans="1:19" ht="30" customHeight="1">
      <c r="A142" s="270">
        <v>140</v>
      </c>
      <c r="B142" s="130" t="s">
        <v>2724</v>
      </c>
      <c r="C142" s="130">
        <v>41200046</v>
      </c>
      <c r="D142" s="130" t="s">
        <v>1476</v>
      </c>
      <c r="E142" s="130" t="s">
        <v>3603</v>
      </c>
      <c r="F142" s="130" t="s">
        <v>3604</v>
      </c>
      <c r="G142" s="130" t="s">
        <v>1</v>
      </c>
      <c r="H142" s="130" t="s">
        <v>3595</v>
      </c>
      <c r="I142" s="130" t="s">
        <v>2682</v>
      </c>
      <c r="K142" s="429">
        <v>45887</v>
      </c>
      <c r="N142" s="130" t="s">
        <v>2725</v>
      </c>
      <c r="O142" s="263" t="s">
        <v>3837</v>
      </c>
      <c r="P142" s="263" t="s">
        <v>36</v>
      </c>
      <c r="Q142" s="263" t="s">
        <v>49</v>
      </c>
      <c r="R142" s="263" t="s">
        <v>3714</v>
      </c>
      <c r="S142" s="263" t="s">
        <v>3838</v>
      </c>
    </row>
    <row r="143" spans="1:19" ht="30" customHeight="1">
      <c r="A143" s="270">
        <v>141</v>
      </c>
      <c r="B143" s="130" t="s">
        <v>2732</v>
      </c>
      <c r="C143" s="130">
        <v>41200150</v>
      </c>
      <c r="D143" s="130" t="s">
        <v>1476</v>
      </c>
      <c r="E143" s="130" t="s">
        <v>3603</v>
      </c>
      <c r="F143" s="130" t="s">
        <v>3594</v>
      </c>
      <c r="G143" s="130" t="s">
        <v>1</v>
      </c>
      <c r="H143" s="130" t="s">
        <v>3595</v>
      </c>
      <c r="I143" s="130" t="s">
        <v>2682</v>
      </c>
      <c r="J143" s="130" t="s">
        <v>2679</v>
      </c>
      <c r="K143" s="429">
        <v>45888</v>
      </c>
      <c r="L143" s="130">
        <v>1310621000</v>
      </c>
      <c r="M143" s="130" t="s">
        <v>3840</v>
      </c>
      <c r="N143" s="130" t="s">
        <v>3841</v>
      </c>
      <c r="O143" s="263" t="s">
        <v>3842</v>
      </c>
      <c r="P143" s="263" t="s">
        <v>36</v>
      </c>
      <c r="Q143" s="263" t="s">
        <v>49</v>
      </c>
      <c r="R143" s="263" t="s">
        <v>3674</v>
      </c>
      <c r="S143" s="263" t="s">
        <v>3714</v>
      </c>
    </row>
    <row r="144" spans="1:19" ht="30" customHeight="1">
      <c r="A144" s="270">
        <v>142</v>
      </c>
      <c r="B144" s="130" t="s">
        <v>2733</v>
      </c>
      <c r="C144" s="130">
        <v>41200124</v>
      </c>
      <c r="D144" s="130" t="s">
        <v>1476</v>
      </c>
      <c r="E144" s="130" t="s">
        <v>3603</v>
      </c>
      <c r="F144" s="130" t="s">
        <v>3604</v>
      </c>
      <c r="G144" s="130" t="s">
        <v>1</v>
      </c>
      <c r="H144" s="130" t="s">
        <v>3595</v>
      </c>
      <c r="I144" s="130" t="s">
        <v>3596</v>
      </c>
      <c r="J144" s="130" t="s">
        <v>2880</v>
      </c>
      <c r="K144" s="429">
        <v>45888</v>
      </c>
      <c r="L144" s="130">
        <v>1100196400</v>
      </c>
      <c r="M144" s="154" t="s">
        <v>3597</v>
      </c>
      <c r="N144" s="130" t="s">
        <v>3701</v>
      </c>
      <c r="O144" s="263" t="s">
        <v>3843</v>
      </c>
      <c r="P144" s="263" t="s">
        <v>26</v>
      </c>
      <c r="Q144" s="263" t="s">
        <v>3601</v>
      </c>
      <c r="R144" s="263" t="s">
        <v>3602</v>
      </c>
      <c r="S144" s="263" t="s">
        <v>3737</v>
      </c>
    </row>
    <row r="145" spans="1:19" ht="30" customHeight="1">
      <c r="A145" s="270">
        <v>143</v>
      </c>
      <c r="B145" s="130" t="s">
        <v>2729</v>
      </c>
      <c r="C145" s="130">
        <v>41200007</v>
      </c>
      <c r="D145" s="130" t="s">
        <v>1591</v>
      </c>
      <c r="E145" s="130" t="s">
        <v>3593</v>
      </c>
      <c r="F145" s="130" t="s">
        <v>3619</v>
      </c>
      <c r="G145" s="130" t="s">
        <v>1</v>
      </c>
      <c r="H145" s="130" t="s">
        <v>3595</v>
      </c>
      <c r="I145" s="130" t="s">
        <v>3596</v>
      </c>
      <c r="K145" s="429">
        <v>45888</v>
      </c>
      <c r="L145" s="130">
        <v>1100196200</v>
      </c>
      <c r="M145" s="154" t="s">
        <v>3597</v>
      </c>
      <c r="N145" s="130" t="s">
        <v>3742</v>
      </c>
      <c r="O145" s="263" t="s">
        <v>3844</v>
      </c>
      <c r="P145" s="263" t="s">
        <v>3600</v>
      </c>
      <c r="Q145" s="263" t="s">
        <v>3601</v>
      </c>
      <c r="R145" s="263" t="s">
        <v>3602</v>
      </c>
      <c r="S145" s="263" t="s">
        <v>3806</v>
      </c>
    </row>
    <row r="146" spans="1:19" ht="30" customHeight="1">
      <c r="A146" s="270">
        <v>144</v>
      </c>
      <c r="B146" s="130" t="s">
        <v>2732</v>
      </c>
      <c r="C146" s="130">
        <v>41200150</v>
      </c>
      <c r="D146" s="130" t="s">
        <v>1476</v>
      </c>
      <c r="E146" s="130" t="s">
        <v>3603</v>
      </c>
      <c r="F146" s="130" t="s">
        <v>3594</v>
      </c>
      <c r="G146" s="130" t="s">
        <v>1</v>
      </c>
      <c r="H146" s="130" t="s">
        <v>3595</v>
      </c>
      <c r="I146" s="130" t="s">
        <v>3596</v>
      </c>
      <c r="J146" s="130" t="s">
        <v>2880</v>
      </c>
      <c r="K146" s="429">
        <v>45888</v>
      </c>
      <c r="L146" s="130">
        <v>1100196200</v>
      </c>
      <c r="M146" s="154" t="s">
        <v>3597</v>
      </c>
      <c r="N146" s="130" t="s">
        <v>3701</v>
      </c>
      <c r="O146" s="263" t="s">
        <v>3845</v>
      </c>
      <c r="P146" s="263" t="s">
        <v>26</v>
      </c>
      <c r="Q146" s="263" t="s">
        <v>3601</v>
      </c>
      <c r="R146" s="263" t="s">
        <v>3674</v>
      </c>
      <c r="S146" s="263" t="s">
        <v>3737</v>
      </c>
    </row>
    <row r="147" spans="1:19" ht="30" customHeight="1">
      <c r="A147" s="270">
        <v>145</v>
      </c>
      <c r="B147" s="130" t="s">
        <v>2740</v>
      </c>
      <c r="C147" s="130">
        <v>41200039</v>
      </c>
      <c r="D147" s="130" t="s">
        <v>1476</v>
      </c>
      <c r="E147" s="130" t="s">
        <v>3603</v>
      </c>
      <c r="F147" s="130" t="s">
        <v>3619</v>
      </c>
      <c r="G147" s="130" t="s">
        <v>1</v>
      </c>
      <c r="H147" s="130" t="s">
        <v>3595</v>
      </c>
      <c r="I147" s="130" t="s">
        <v>3596</v>
      </c>
      <c r="J147" s="130" t="s">
        <v>2880</v>
      </c>
      <c r="K147" s="429">
        <v>45889</v>
      </c>
      <c r="L147" s="130">
        <v>1100196200</v>
      </c>
      <c r="M147" s="154" t="s">
        <v>3597</v>
      </c>
      <c r="N147" s="130" t="s">
        <v>3701</v>
      </c>
      <c r="O147" s="263" t="s">
        <v>3845</v>
      </c>
      <c r="P147" s="263" t="s">
        <v>26</v>
      </c>
      <c r="Q147" s="263" t="s">
        <v>3601</v>
      </c>
      <c r="R147" s="263" t="s">
        <v>3602</v>
      </c>
      <c r="S147" s="263" t="s">
        <v>3737</v>
      </c>
    </row>
    <row r="148" spans="1:19" ht="30" customHeight="1">
      <c r="A148" s="270">
        <v>146</v>
      </c>
      <c r="B148" s="130" t="s">
        <v>2742</v>
      </c>
      <c r="C148" s="130">
        <v>41000584</v>
      </c>
      <c r="D148" s="130" t="s">
        <v>1911</v>
      </c>
      <c r="E148" s="130" t="s">
        <v>3593</v>
      </c>
      <c r="F148" s="130" t="s">
        <v>3594</v>
      </c>
      <c r="G148" s="130" t="s">
        <v>1</v>
      </c>
      <c r="H148" s="130" t="s">
        <v>3595</v>
      </c>
      <c r="I148" s="130" t="s">
        <v>3697</v>
      </c>
      <c r="J148" s="130" t="s">
        <v>2880</v>
      </c>
      <c r="K148" s="429">
        <v>45889</v>
      </c>
      <c r="L148" s="130">
        <v>1110122500</v>
      </c>
      <c r="M148" s="130" t="s">
        <v>2743</v>
      </c>
      <c r="N148" s="130" t="s">
        <v>3846</v>
      </c>
      <c r="O148" s="263" t="s">
        <v>3847</v>
      </c>
      <c r="P148" s="263" t="s">
        <v>36</v>
      </c>
      <c r="Q148" s="263" t="s">
        <v>49</v>
      </c>
      <c r="R148" s="263" t="s">
        <v>3679</v>
      </c>
      <c r="S148" s="263" t="s">
        <v>3711</v>
      </c>
    </row>
    <row r="149" spans="1:19" ht="30" customHeight="1">
      <c r="A149" s="270">
        <v>147</v>
      </c>
      <c r="B149" s="130" t="s">
        <v>2751</v>
      </c>
      <c r="C149" s="130">
        <v>41200006</v>
      </c>
      <c r="D149" s="130" t="s">
        <v>1477</v>
      </c>
      <c r="E149" s="130" t="s">
        <v>3603</v>
      </c>
      <c r="F149" s="130" t="s">
        <v>3604</v>
      </c>
      <c r="G149" s="130" t="s">
        <v>1</v>
      </c>
      <c r="H149" s="130" t="s">
        <v>3595</v>
      </c>
      <c r="I149" s="130" t="s">
        <v>3596</v>
      </c>
      <c r="J149" s="130" t="s">
        <v>2880</v>
      </c>
      <c r="K149" s="429">
        <v>45890</v>
      </c>
      <c r="L149" s="130">
        <v>1100196500</v>
      </c>
      <c r="M149" s="130" t="s">
        <v>799</v>
      </c>
      <c r="N149" s="130" t="s">
        <v>3848</v>
      </c>
      <c r="O149" s="263" t="s">
        <v>3849</v>
      </c>
      <c r="P149" s="263" t="s">
        <v>26</v>
      </c>
      <c r="Q149" s="263" t="s">
        <v>3601</v>
      </c>
      <c r="R149" s="263" t="s">
        <v>3674</v>
      </c>
      <c r="S149" s="263" t="s">
        <v>3737</v>
      </c>
    </row>
    <row r="150" spans="1:19" ht="30" customHeight="1">
      <c r="A150" s="270">
        <v>148</v>
      </c>
      <c r="B150" s="130" t="s">
        <v>2749</v>
      </c>
      <c r="C150" s="130">
        <v>41200125</v>
      </c>
      <c r="D150" s="130" t="s">
        <v>1476</v>
      </c>
      <c r="E150" s="130" t="s">
        <v>3603</v>
      </c>
      <c r="F150" s="130" t="s">
        <v>3604</v>
      </c>
      <c r="G150" s="130" t="s">
        <v>1</v>
      </c>
      <c r="H150" s="130" t="s">
        <v>3595</v>
      </c>
      <c r="I150" s="130" t="s">
        <v>3596</v>
      </c>
      <c r="J150" s="130" t="s">
        <v>2880</v>
      </c>
      <c r="K150" s="429">
        <v>45890</v>
      </c>
      <c r="L150" s="130">
        <v>1100196800</v>
      </c>
      <c r="M150" s="154" t="s">
        <v>3722</v>
      </c>
      <c r="N150" s="130" t="s">
        <v>3723</v>
      </c>
      <c r="O150" s="263" t="s">
        <v>3599</v>
      </c>
      <c r="P150" s="263" t="s">
        <v>3600</v>
      </c>
      <c r="Q150" s="263" t="s">
        <v>3601</v>
      </c>
      <c r="R150" s="263" t="s">
        <v>3602</v>
      </c>
      <c r="S150" s="263" t="s">
        <v>3737</v>
      </c>
    </row>
    <row r="151" spans="1:19" ht="30" customHeight="1">
      <c r="A151" s="270">
        <v>149</v>
      </c>
      <c r="B151" s="130" t="s">
        <v>2768</v>
      </c>
      <c r="C151" s="130">
        <v>41200168</v>
      </c>
      <c r="D151" s="130" t="s">
        <v>1476</v>
      </c>
      <c r="E151" s="130" t="s">
        <v>3603</v>
      </c>
      <c r="F151" s="130" t="s">
        <v>3604</v>
      </c>
      <c r="G151" s="130" t="s">
        <v>1</v>
      </c>
      <c r="H151" s="130" t="s">
        <v>3595</v>
      </c>
      <c r="I151" s="130" t="s">
        <v>3596</v>
      </c>
      <c r="J151" s="130" t="s">
        <v>2880</v>
      </c>
      <c r="K151" s="429">
        <v>45894</v>
      </c>
      <c r="L151" s="130">
        <v>1100196800</v>
      </c>
      <c r="M151" s="154" t="s">
        <v>3722</v>
      </c>
      <c r="N151" s="130" t="s">
        <v>3723</v>
      </c>
      <c r="O151" s="263" t="s">
        <v>3850</v>
      </c>
      <c r="P151" s="263" t="s">
        <v>3600</v>
      </c>
      <c r="Q151" s="263" t="s">
        <v>3601</v>
      </c>
      <c r="R151" s="263" t="s">
        <v>3602</v>
      </c>
      <c r="S151" s="263" t="s">
        <v>3737</v>
      </c>
    </row>
    <row r="152" spans="1:19" ht="30" customHeight="1">
      <c r="A152" s="270">
        <v>150</v>
      </c>
      <c r="B152" s="130" t="s">
        <v>2768</v>
      </c>
      <c r="C152" s="130">
        <v>41200168</v>
      </c>
      <c r="D152" s="130" t="s">
        <v>1476</v>
      </c>
      <c r="E152" s="130" t="s">
        <v>3603</v>
      </c>
      <c r="F152" s="130" t="s">
        <v>3604</v>
      </c>
      <c r="G152" s="130" t="s">
        <v>1</v>
      </c>
      <c r="H152" s="130" t="s">
        <v>3595</v>
      </c>
      <c r="I152" s="130" t="s">
        <v>3596</v>
      </c>
      <c r="J152" s="130" t="s">
        <v>2679</v>
      </c>
      <c r="K152" s="429">
        <v>45894</v>
      </c>
      <c r="L152" s="130">
        <v>1100196400</v>
      </c>
      <c r="M152" s="154" t="s">
        <v>3597</v>
      </c>
      <c r="N152" s="130" t="s">
        <v>3701</v>
      </c>
      <c r="O152" s="263" t="s">
        <v>3851</v>
      </c>
      <c r="P152" s="263" t="s">
        <v>26</v>
      </c>
      <c r="Q152" s="263" t="s">
        <v>3601</v>
      </c>
      <c r="R152" s="263" t="s">
        <v>3602</v>
      </c>
      <c r="S152" s="263" t="s">
        <v>3737</v>
      </c>
    </row>
    <row r="153" spans="1:19" ht="30" customHeight="1">
      <c r="A153" s="270">
        <v>151</v>
      </c>
      <c r="B153" s="130" t="s">
        <v>2768</v>
      </c>
      <c r="C153" s="130">
        <v>41200168</v>
      </c>
      <c r="D153" s="130" t="s">
        <v>1476</v>
      </c>
      <c r="E153" s="130" t="s">
        <v>3603</v>
      </c>
      <c r="F153" s="130" t="s">
        <v>3604</v>
      </c>
      <c r="G153" s="130" t="s">
        <v>1</v>
      </c>
      <c r="H153" s="130" t="s">
        <v>3595</v>
      </c>
      <c r="I153" s="130" t="s">
        <v>3596</v>
      </c>
      <c r="J153" s="130" t="s">
        <v>2679</v>
      </c>
      <c r="K153" s="429">
        <v>45894</v>
      </c>
      <c r="L153" s="130">
        <v>1100196400</v>
      </c>
      <c r="M153" s="154" t="s">
        <v>3597</v>
      </c>
      <c r="N153" s="130" t="s">
        <v>3701</v>
      </c>
      <c r="O153" s="263" t="s">
        <v>3852</v>
      </c>
      <c r="P153" s="263" t="s">
        <v>26</v>
      </c>
      <c r="Q153" s="263" t="s">
        <v>3601</v>
      </c>
      <c r="R153" s="263" t="s">
        <v>3602</v>
      </c>
      <c r="S153" s="263" t="s">
        <v>3737</v>
      </c>
    </row>
    <row r="154" spans="1:19" ht="30" customHeight="1">
      <c r="A154" s="270">
        <v>152</v>
      </c>
      <c r="B154" s="130" t="s">
        <v>2763</v>
      </c>
      <c r="C154" s="130">
        <v>41200168</v>
      </c>
      <c r="D154" s="130" t="s">
        <v>1476</v>
      </c>
      <c r="E154" s="130" t="s">
        <v>3603</v>
      </c>
      <c r="F154" s="130" t="s">
        <v>3604</v>
      </c>
      <c r="G154" s="130" t="s">
        <v>1</v>
      </c>
      <c r="H154" s="130" t="s">
        <v>3608</v>
      </c>
      <c r="I154" s="130" t="s">
        <v>2952</v>
      </c>
      <c r="J154" s="130" t="s">
        <v>2880</v>
      </c>
      <c r="K154" s="429">
        <v>45894</v>
      </c>
      <c r="L154" s="130">
        <v>1200285900</v>
      </c>
      <c r="M154" s="130" t="s">
        <v>2765</v>
      </c>
      <c r="N154" s="130" t="s">
        <v>3853</v>
      </c>
      <c r="O154" s="263" t="s">
        <v>3854</v>
      </c>
      <c r="P154" s="263" t="s">
        <v>30</v>
      </c>
      <c r="Q154" s="263" t="s">
        <v>49</v>
      </c>
      <c r="R154" s="263" t="s">
        <v>3855</v>
      </c>
      <c r="S154" s="263" t="s">
        <v>3856</v>
      </c>
    </row>
    <row r="155" spans="1:19" ht="30" customHeight="1">
      <c r="A155" s="270">
        <v>153</v>
      </c>
      <c r="B155" s="130" t="s">
        <v>2781</v>
      </c>
      <c r="C155" s="130">
        <v>41200006</v>
      </c>
      <c r="D155" s="130" t="s">
        <v>1477</v>
      </c>
      <c r="E155" s="130" t="s">
        <v>3593</v>
      </c>
      <c r="F155" s="130" t="s">
        <v>3594</v>
      </c>
      <c r="G155" s="130" t="s">
        <v>1</v>
      </c>
      <c r="H155" s="130" t="s">
        <v>3595</v>
      </c>
      <c r="I155" s="130" t="s">
        <v>3596</v>
      </c>
      <c r="K155" s="429">
        <v>45895</v>
      </c>
      <c r="L155" s="130">
        <v>1100196800</v>
      </c>
      <c r="M155" s="154" t="s">
        <v>3722</v>
      </c>
      <c r="N155" s="130" t="s">
        <v>3723</v>
      </c>
      <c r="O155" s="263" t="s">
        <v>3857</v>
      </c>
      <c r="P155" s="263" t="s">
        <v>3600</v>
      </c>
      <c r="Q155" s="263" t="s">
        <v>3601</v>
      </c>
      <c r="R155" s="263" t="s">
        <v>3724</v>
      </c>
      <c r="S155" s="263" t="s">
        <v>3737</v>
      </c>
    </row>
    <row r="156" spans="1:19" ht="30" customHeight="1">
      <c r="A156" s="270">
        <v>154</v>
      </c>
      <c r="B156" s="130" t="s">
        <v>2783</v>
      </c>
      <c r="C156" s="130">
        <v>41200006</v>
      </c>
      <c r="D156" s="130" t="s">
        <v>1477</v>
      </c>
      <c r="E156" s="130" t="s">
        <v>3603</v>
      </c>
      <c r="F156" s="130" t="s">
        <v>3604</v>
      </c>
      <c r="G156" s="130" t="s">
        <v>1</v>
      </c>
      <c r="H156" s="130" t="s">
        <v>3595</v>
      </c>
      <c r="I156" s="130" t="s">
        <v>2894</v>
      </c>
      <c r="K156" s="429">
        <v>45895</v>
      </c>
      <c r="L156" s="130">
        <v>1100366500</v>
      </c>
      <c r="M156" s="130" t="s">
        <v>284</v>
      </c>
      <c r="N156" s="130" t="s">
        <v>2784</v>
      </c>
      <c r="O156" s="263" t="s">
        <v>3858</v>
      </c>
      <c r="P156" s="263" t="s">
        <v>26</v>
      </c>
      <c r="Q156" s="263" t="s">
        <v>49</v>
      </c>
      <c r="R156" s="263" t="s">
        <v>3724</v>
      </c>
      <c r="S156" s="263" t="s">
        <v>3724</v>
      </c>
    </row>
    <row r="157" spans="1:19" ht="30" customHeight="1">
      <c r="A157" s="270">
        <v>155</v>
      </c>
      <c r="B157" s="130" t="s">
        <v>2774</v>
      </c>
      <c r="C157" s="130">
        <v>41200109</v>
      </c>
      <c r="D157" s="130" t="s">
        <v>1591</v>
      </c>
      <c r="E157" s="130" t="s">
        <v>3603</v>
      </c>
      <c r="F157" s="130" t="s">
        <v>3619</v>
      </c>
      <c r="G157" s="130" t="s">
        <v>1</v>
      </c>
      <c r="H157" s="130" t="s">
        <v>3595</v>
      </c>
      <c r="I157" s="130" t="s">
        <v>3596</v>
      </c>
      <c r="K157" s="429">
        <v>45895</v>
      </c>
      <c r="L157" s="130">
        <v>1100196200</v>
      </c>
      <c r="M157" s="154" t="s">
        <v>3597</v>
      </c>
      <c r="N157" s="130" t="s">
        <v>3701</v>
      </c>
      <c r="O157" s="263" t="s">
        <v>3859</v>
      </c>
      <c r="P157" s="263" t="s">
        <v>26</v>
      </c>
      <c r="Q157" s="263" t="s">
        <v>3601</v>
      </c>
      <c r="R157" s="263" t="s">
        <v>3674</v>
      </c>
      <c r="S157" s="263" t="s">
        <v>3737</v>
      </c>
    </row>
    <row r="158" spans="1:19" ht="30" customHeight="1">
      <c r="A158" s="270">
        <v>156</v>
      </c>
      <c r="B158" s="130" t="s">
        <v>2779</v>
      </c>
      <c r="C158" s="130">
        <v>41100550</v>
      </c>
      <c r="D158" s="130" t="s">
        <v>1477</v>
      </c>
      <c r="E158" s="130" t="s">
        <v>3603</v>
      </c>
      <c r="F158" s="130" t="s">
        <v>3594</v>
      </c>
      <c r="G158" s="130" t="s">
        <v>1</v>
      </c>
      <c r="H158" s="130" t="s">
        <v>3595</v>
      </c>
      <c r="I158" s="130" t="s">
        <v>3596</v>
      </c>
      <c r="K158" s="429">
        <v>45895</v>
      </c>
      <c r="L158" s="130">
        <v>1100196800</v>
      </c>
      <c r="M158" s="154" t="s">
        <v>3722</v>
      </c>
      <c r="N158" s="130" t="s">
        <v>3723</v>
      </c>
      <c r="O158" s="263" t="s">
        <v>3857</v>
      </c>
      <c r="P158" s="263" t="s">
        <v>3600</v>
      </c>
      <c r="Q158" s="263" t="s">
        <v>3601</v>
      </c>
      <c r="R158" s="263" t="s">
        <v>3724</v>
      </c>
      <c r="S158" s="263" t="s">
        <v>3737</v>
      </c>
    </row>
    <row r="159" spans="1:19" ht="30" customHeight="1">
      <c r="A159" s="270">
        <v>157</v>
      </c>
      <c r="B159" s="130" t="s">
        <v>2779</v>
      </c>
      <c r="C159" s="130">
        <v>41100550</v>
      </c>
      <c r="D159" s="130" t="s">
        <v>1477</v>
      </c>
      <c r="E159" s="130" t="s">
        <v>3603</v>
      </c>
      <c r="F159" s="130" t="s">
        <v>3594</v>
      </c>
      <c r="G159" s="130" t="s">
        <v>1</v>
      </c>
      <c r="H159" s="130" t="s">
        <v>3595</v>
      </c>
      <c r="I159" s="130" t="s">
        <v>3596</v>
      </c>
      <c r="K159" s="429">
        <v>45895</v>
      </c>
      <c r="L159" s="130">
        <v>1100196800</v>
      </c>
      <c r="M159" s="154" t="s">
        <v>3722</v>
      </c>
      <c r="N159" s="130" t="s">
        <v>3723</v>
      </c>
      <c r="O159" s="263" t="s">
        <v>3857</v>
      </c>
      <c r="P159" s="263" t="s">
        <v>3600</v>
      </c>
      <c r="Q159" s="263" t="s">
        <v>3601</v>
      </c>
      <c r="R159" s="130" t="s">
        <v>3724</v>
      </c>
      <c r="S159" s="130" t="s">
        <v>3737</v>
      </c>
    </row>
    <row r="160" spans="1:19" ht="30" customHeight="1">
      <c r="A160" s="270">
        <v>158</v>
      </c>
      <c r="B160" s="130" t="s">
        <v>2777</v>
      </c>
      <c r="C160" s="130">
        <v>41100550</v>
      </c>
      <c r="D160" s="130" t="s">
        <v>1477</v>
      </c>
      <c r="E160" s="130" t="s">
        <v>3603</v>
      </c>
      <c r="F160" s="130" t="s">
        <v>3594</v>
      </c>
      <c r="G160" s="130" t="s">
        <v>1</v>
      </c>
      <c r="H160" s="130" t="s">
        <v>3595</v>
      </c>
      <c r="I160" s="130" t="s">
        <v>3596</v>
      </c>
      <c r="K160" s="429">
        <v>45895</v>
      </c>
      <c r="L160" s="130">
        <v>1100196400</v>
      </c>
      <c r="M160" s="154" t="s">
        <v>3597</v>
      </c>
      <c r="N160" s="130" t="s">
        <v>3742</v>
      </c>
      <c r="O160" s="263" t="s">
        <v>3860</v>
      </c>
      <c r="P160" s="263" t="s">
        <v>3600</v>
      </c>
      <c r="Q160" s="263" t="s">
        <v>3601</v>
      </c>
      <c r="R160" s="130" t="s">
        <v>3724</v>
      </c>
      <c r="S160" s="130" t="s">
        <v>3737</v>
      </c>
    </row>
    <row r="161" spans="1:19" ht="30" customHeight="1">
      <c r="A161" s="270">
        <v>159</v>
      </c>
      <c r="B161" s="130" t="s">
        <v>2777</v>
      </c>
      <c r="C161" s="130">
        <v>41100550</v>
      </c>
      <c r="D161" s="130" t="s">
        <v>1477</v>
      </c>
      <c r="E161" s="130" t="s">
        <v>3603</v>
      </c>
      <c r="F161" s="130" t="s">
        <v>3594</v>
      </c>
      <c r="G161" s="130" t="s">
        <v>1</v>
      </c>
      <c r="H161" s="130" t="s">
        <v>3595</v>
      </c>
      <c r="I161" s="130" t="s">
        <v>3596</v>
      </c>
      <c r="K161" s="429">
        <v>45895</v>
      </c>
      <c r="L161" s="130">
        <v>1100196400</v>
      </c>
      <c r="M161" s="154" t="s">
        <v>3597</v>
      </c>
      <c r="N161" s="130" t="s">
        <v>3742</v>
      </c>
      <c r="O161" s="263" t="s">
        <v>3860</v>
      </c>
      <c r="P161" s="263" t="s">
        <v>3600</v>
      </c>
      <c r="Q161" s="263" t="s">
        <v>3601</v>
      </c>
      <c r="R161" s="130" t="s">
        <v>3724</v>
      </c>
      <c r="S161" s="130" t="s">
        <v>3737</v>
      </c>
    </row>
    <row r="162" spans="1:19" ht="30" customHeight="1">
      <c r="A162" s="270">
        <v>160</v>
      </c>
      <c r="B162" s="130" t="s">
        <v>2774</v>
      </c>
      <c r="C162" s="130">
        <v>41200109</v>
      </c>
      <c r="D162" s="130" t="s">
        <v>1591</v>
      </c>
      <c r="E162" s="130" t="s">
        <v>3603</v>
      </c>
      <c r="F162" s="130" t="s">
        <v>3619</v>
      </c>
      <c r="G162" s="130" t="s">
        <v>1</v>
      </c>
      <c r="H162" s="130" t="s">
        <v>3595</v>
      </c>
      <c r="I162" s="130" t="s">
        <v>2682</v>
      </c>
      <c r="K162" s="429">
        <v>45895</v>
      </c>
      <c r="L162" s="130">
        <v>1100550600</v>
      </c>
      <c r="M162" s="130" t="s">
        <v>370</v>
      </c>
      <c r="N162" s="130" t="s">
        <v>3861</v>
      </c>
      <c r="O162" s="263" t="s">
        <v>3861</v>
      </c>
      <c r="P162" s="263" t="s">
        <v>36</v>
      </c>
      <c r="Q162" s="263" t="s">
        <v>49</v>
      </c>
      <c r="R162" s="130" t="s">
        <v>3707</v>
      </c>
      <c r="S162" s="130" t="s">
        <v>3707</v>
      </c>
    </row>
    <row r="163" spans="1:19" ht="30" customHeight="1">
      <c r="A163" s="270">
        <v>161</v>
      </c>
      <c r="B163" s="130" t="s">
        <v>2788</v>
      </c>
      <c r="C163" s="130">
        <v>41200074</v>
      </c>
      <c r="D163" s="130" t="s">
        <v>1478</v>
      </c>
      <c r="E163" s="130" t="s">
        <v>3603</v>
      </c>
      <c r="F163" s="130" t="s">
        <v>3619</v>
      </c>
      <c r="G163" s="130" t="s">
        <v>1</v>
      </c>
      <c r="H163" s="130" t="s">
        <v>3595</v>
      </c>
      <c r="I163" s="130" t="s">
        <v>2682</v>
      </c>
      <c r="J163" s="130" t="s">
        <v>2880</v>
      </c>
      <c r="K163" s="429">
        <v>45896</v>
      </c>
      <c r="L163" s="130">
        <v>1100002800</v>
      </c>
      <c r="M163" s="130" t="s">
        <v>386</v>
      </c>
      <c r="N163" s="130" t="s">
        <v>3862</v>
      </c>
      <c r="O163" s="263" t="s">
        <v>3863</v>
      </c>
      <c r="P163" s="263" t="s">
        <v>36</v>
      </c>
      <c r="Q163" s="263" t="s">
        <v>49</v>
      </c>
      <c r="R163" s="130" t="s">
        <v>3714</v>
      </c>
      <c r="S163" s="130" t="s">
        <v>3714</v>
      </c>
    </row>
    <row r="164" spans="1:19" ht="30" customHeight="1">
      <c r="A164" s="270">
        <v>162</v>
      </c>
      <c r="B164" s="130" t="s">
        <v>2802</v>
      </c>
      <c r="C164" s="130">
        <v>41200105</v>
      </c>
      <c r="D164" s="130" t="s">
        <v>1476</v>
      </c>
      <c r="E164" s="130" t="s">
        <v>3603</v>
      </c>
      <c r="F164" s="130" t="s">
        <v>3604</v>
      </c>
      <c r="G164" s="130" t="s">
        <v>1</v>
      </c>
      <c r="H164" s="130" t="s">
        <v>3608</v>
      </c>
      <c r="I164" s="130" t="s">
        <v>2682</v>
      </c>
      <c r="J164" s="130" t="s">
        <v>2880</v>
      </c>
      <c r="K164" s="429">
        <v>45897</v>
      </c>
      <c r="N164" s="130" t="s">
        <v>2803</v>
      </c>
      <c r="O164" s="263" t="s">
        <v>3864</v>
      </c>
      <c r="P164" s="263" t="s">
        <v>36</v>
      </c>
      <c r="Q164" s="263" t="s">
        <v>49</v>
      </c>
      <c r="R164" s="130" t="s">
        <v>3674</v>
      </c>
      <c r="S164" s="130" t="s">
        <v>3612</v>
      </c>
    </row>
    <row r="165" spans="1:19" ht="30" customHeight="1">
      <c r="A165" s="270">
        <v>163</v>
      </c>
      <c r="B165" s="130" t="s">
        <v>2809</v>
      </c>
      <c r="C165" s="130">
        <v>41200076</v>
      </c>
      <c r="D165" s="130" t="s">
        <v>1476</v>
      </c>
      <c r="E165" s="130" t="s">
        <v>3603</v>
      </c>
      <c r="F165" s="130" t="s">
        <v>3604</v>
      </c>
      <c r="G165" s="130" t="s">
        <v>1</v>
      </c>
      <c r="H165" s="130" t="s">
        <v>3608</v>
      </c>
      <c r="I165" s="130" t="s">
        <v>2952</v>
      </c>
      <c r="K165" s="429">
        <v>45898</v>
      </c>
      <c r="L165" s="130">
        <v>1210082000</v>
      </c>
      <c r="M165" s="130" t="s">
        <v>2811</v>
      </c>
      <c r="N165" s="130" t="s">
        <v>2812</v>
      </c>
      <c r="O165" s="263" t="s">
        <v>3865</v>
      </c>
      <c r="P165" s="263" t="s">
        <v>30</v>
      </c>
      <c r="Q165" s="263" t="s">
        <v>49</v>
      </c>
      <c r="R165" s="130" t="s">
        <v>3612</v>
      </c>
      <c r="S165" s="130" t="s">
        <v>3866</v>
      </c>
    </row>
    <row r="166" spans="1:19" ht="30" customHeight="1">
      <c r="A166" s="270">
        <v>164</v>
      </c>
      <c r="B166" s="130" t="s">
        <v>2815</v>
      </c>
      <c r="C166" s="130">
        <v>41200109</v>
      </c>
      <c r="D166" s="130" t="s">
        <v>1591</v>
      </c>
      <c r="E166" s="130" t="s">
        <v>3593</v>
      </c>
      <c r="F166" s="130" t="s">
        <v>3619</v>
      </c>
      <c r="G166" s="130" t="s">
        <v>1</v>
      </c>
      <c r="H166" s="130" t="s">
        <v>3595</v>
      </c>
      <c r="I166" s="130" t="s">
        <v>2682</v>
      </c>
      <c r="K166" s="429">
        <v>45901</v>
      </c>
      <c r="L166" s="130">
        <v>1100550600</v>
      </c>
      <c r="M166" s="130" t="s">
        <v>370</v>
      </c>
      <c r="N166" s="130" t="s">
        <v>3705</v>
      </c>
      <c r="O166" s="263" t="s">
        <v>3867</v>
      </c>
      <c r="P166" s="263" t="s">
        <v>36</v>
      </c>
      <c r="Q166" s="263" t="s">
        <v>49</v>
      </c>
      <c r="R166" s="130" t="s">
        <v>3707</v>
      </c>
      <c r="S166" s="130" t="s">
        <v>3707</v>
      </c>
    </row>
    <row r="167" spans="1:19" ht="30" customHeight="1">
      <c r="A167" s="270">
        <v>165</v>
      </c>
      <c r="B167" s="130" t="s">
        <v>2813</v>
      </c>
      <c r="C167" s="130">
        <v>41200109</v>
      </c>
      <c r="D167" s="130" t="s">
        <v>1591</v>
      </c>
      <c r="E167" s="130" t="s">
        <v>3593</v>
      </c>
      <c r="F167" s="130" t="s">
        <v>3619</v>
      </c>
      <c r="G167" s="130" t="s">
        <v>1</v>
      </c>
      <c r="H167" s="130" t="s">
        <v>3595</v>
      </c>
      <c r="I167" s="130" t="s">
        <v>2682</v>
      </c>
      <c r="K167" s="429">
        <v>45901</v>
      </c>
      <c r="L167" s="130">
        <v>1100550600</v>
      </c>
      <c r="M167" s="130" t="s">
        <v>370</v>
      </c>
      <c r="N167" s="130" t="s">
        <v>3705</v>
      </c>
      <c r="O167" s="263" t="s">
        <v>3867</v>
      </c>
      <c r="P167" s="263" t="s">
        <v>36</v>
      </c>
      <c r="Q167" s="263" t="s">
        <v>49</v>
      </c>
      <c r="R167" s="130" t="s">
        <v>3707</v>
      </c>
      <c r="S167" s="130" t="s">
        <v>3707</v>
      </c>
    </row>
    <row r="168" spans="1:19" ht="30" customHeight="1">
      <c r="A168" s="270">
        <v>166</v>
      </c>
      <c r="B168" s="130" t="s">
        <v>2825</v>
      </c>
      <c r="C168" s="130">
        <v>41200152</v>
      </c>
      <c r="D168" s="130" t="s">
        <v>1476</v>
      </c>
      <c r="E168" s="130" t="s">
        <v>3603</v>
      </c>
      <c r="F168" s="130" t="s">
        <v>3604</v>
      </c>
      <c r="G168" s="130" t="s">
        <v>1</v>
      </c>
      <c r="H168" s="130" t="s">
        <v>3595</v>
      </c>
      <c r="I168" s="130" t="s">
        <v>2682</v>
      </c>
      <c r="J168" s="130" t="s">
        <v>2679</v>
      </c>
      <c r="K168" s="429">
        <v>45901</v>
      </c>
      <c r="L168" s="130">
        <v>1100407300</v>
      </c>
      <c r="M168" s="130" t="s">
        <v>255</v>
      </c>
      <c r="N168" s="130" t="s">
        <v>2630</v>
      </c>
      <c r="O168" s="263" t="s">
        <v>3868</v>
      </c>
      <c r="P168" s="263" t="s">
        <v>36</v>
      </c>
      <c r="Q168" s="263" t="s">
        <v>49</v>
      </c>
      <c r="R168" s="130" t="s">
        <v>3674</v>
      </c>
      <c r="S168" s="130" t="s">
        <v>3798</v>
      </c>
    </row>
    <row r="169" spans="1:19" ht="30" customHeight="1">
      <c r="A169" s="270">
        <v>167</v>
      </c>
      <c r="B169" s="130" t="s">
        <v>2816</v>
      </c>
      <c r="C169" s="130">
        <v>41000514</v>
      </c>
      <c r="D169" s="130" t="s">
        <v>1581</v>
      </c>
      <c r="E169" s="130" t="s">
        <v>3651</v>
      </c>
      <c r="F169" s="130" t="s">
        <v>3619</v>
      </c>
      <c r="G169" s="130" t="s">
        <v>1</v>
      </c>
      <c r="H169" s="130" t="s">
        <v>3595</v>
      </c>
      <c r="I169" s="130" t="s">
        <v>2894</v>
      </c>
      <c r="J169" s="130" t="s">
        <v>2880</v>
      </c>
      <c r="K169" s="429">
        <v>45901</v>
      </c>
      <c r="L169" s="130">
        <v>1310329800</v>
      </c>
      <c r="M169" s="130" t="s">
        <v>2817</v>
      </c>
      <c r="N169" s="130" t="s">
        <v>3869</v>
      </c>
      <c r="O169" s="263" t="s">
        <v>3870</v>
      </c>
      <c r="P169" s="263" t="s">
        <v>26</v>
      </c>
      <c r="Q169" s="263" t="s">
        <v>49</v>
      </c>
      <c r="R169" s="130" t="s">
        <v>3674</v>
      </c>
      <c r="S169" s="130" t="s">
        <v>3602</v>
      </c>
    </row>
    <row r="170" spans="1:19" ht="30" customHeight="1">
      <c r="A170" s="270">
        <v>168</v>
      </c>
      <c r="B170" s="130" t="s">
        <v>2820</v>
      </c>
      <c r="C170" s="130">
        <v>41200006</v>
      </c>
      <c r="D170" s="130" t="s">
        <v>1477</v>
      </c>
      <c r="E170" s="130" t="s">
        <v>3603</v>
      </c>
      <c r="F170" s="130" t="s">
        <v>3594</v>
      </c>
      <c r="G170" s="130" t="s">
        <v>1</v>
      </c>
      <c r="H170" s="130" t="s">
        <v>3595</v>
      </c>
      <c r="I170" s="130" t="s">
        <v>3596</v>
      </c>
      <c r="K170" s="429">
        <v>45901</v>
      </c>
      <c r="L170" s="130">
        <v>1301323300</v>
      </c>
      <c r="M170" s="130" t="s">
        <v>651</v>
      </c>
      <c r="N170" s="130" t="s">
        <v>3871</v>
      </c>
      <c r="O170" s="263" t="s">
        <v>3872</v>
      </c>
      <c r="P170" s="263" t="s">
        <v>26</v>
      </c>
      <c r="Q170" s="263" t="s">
        <v>49</v>
      </c>
      <c r="R170" s="130" t="s">
        <v>3602</v>
      </c>
      <c r="S170" s="130" t="s">
        <v>3737</v>
      </c>
    </row>
    <row r="171" spans="1:19" ht="30" customHeight="1">
      <c r="A171" s="270">
        <v>169</v>
      </c>
      <c r="B171" s="130" t="s">
        <v>2822</v>
      </c>
      <c r="C171" s="130">
        <v>41200006</v>
      </c>
      <c r="D171" s="130" t="s">
        <v>1477</v>
      </c>
      <c r="E171" s="130" t="s">
        <v>3603</v>
      </c>
      <c r="F171" s="130" t="s">
        <v>3594</v>
      </c>
      <c r="G171" s="130" t="s">
        <v>1</v>
      </c>
      <c r="H171" s="130" t="s">
        <v>3608</v>
      </c>
      <c r="I171" s="130" t="s">
        <v>2682</v>
      </c>
      <c r="K171" s="429">
        <v>45901</v>
      </c>
      <c r="N171" s="130" t="s">
        <v>3873</v>
      </c>
      <c r="O171" s="263" t="s">
        <v>2823</v>
      </c>
      <c r="P171" s="263" t="s">
        <v>36</v>
      </c>
      <c r="Q171" s="263" t="s">
        <v>49</v>
      </c>
      <c r="R171" s="130" t="s">
        <v>3874</v>
      </c>
      <c r="S171" s="130" t="s">
        <v>3874</v>
      </c>
    </row>
    <row r="172" spans="1:19" ht="30" customHeight="1">
      <c r="A172" s="270">
        <v>170</v>
      </c>
      <c r="B172" s="130" t="s">
        <v>2822</v>
      </c>
      <c r="C172" s="130">
        <v>41200006</v>
      </c>
      <c r="D172" s="130" t="s">
        <v>1477</v>
      </c>
      <c r="E172" s="130" t="s">
        <v>3603</v>
      </c>
      <c r="F172" s="130" t="s">
        <v>3594</v>
      </c>
      <c r="G172" s="130" t="s">
        <v>1</v>
      </c>
      <c r="H172" s="130" t="s">
        <v>3608</v>
      </c>
      <c r="I172" s="130" t="s">
        <v>2682</v>
      </c>
      <c r="K172" s="429">
        <v>45901</v>
      </c>
      <c r="N172" s="130" t="s">
        <v>3873</v>
      </c>
      <c r="O172" s="263" t="s">
        <v>2823</v>
      </c>
      <c r="P172" s="263" t="s">
        <v>36</v>
      </c>
      <c r="Q172" s="263" t="s">
        <v>49</v>
      </c>
      <c r="R172" s="130" t="s">
        <v>3874</v>
      </c>
      <c r="S172" s="130" t="s">
        <v>3874</v>
      </c>
    </row>
    <row r="173" spans="1:19" ht="30" customHeight="1">
      <c r="A173" s="270">
        <v>171</v>
      </c>
      <c r="B173" s="130" t="s">
        <v>2830</v>
      </c>
      <c r="C173" s="130">
        <v>41200007</v>
      </c>
      <c r="D173" s="130" t="s">
        <v>1591</v>
      </c>
      <c r="E173" s="130" t="s">
        <v>3593</v>
      </c>
      <c r="F173" s="130" t="s">
        <v>3619</v>
      </c>
      <c r="G173" s="130" t="s">
        <v>1</v>
      </c>
      <c r="H173" s="130" t="s">
        <v>3595</v>
      </c>
      <c r="I173" s="130" t="s">
        <v>3596</v>
      </c>
      <c r="K173" s="429">
        <v>45902</v>
      </c>
      <c r="L173" s="130">
        <v>1100196200</v>
      </c>
      <c r="M173" s="154" t="s">
        <v>3597</v>
      </c>
      <c r="N173" s="130" t="s">
        <v>3875</v>
      </c>
      <c r="O173" s="263" t="s">
        <v>3876</v>
      </c>
      <c r="P173" s="263" t="s">
        <v>3600</v>
      </c>
      <c r="Q173" s="263" t="s">
        <v>3601</v>
      </c>
      <c r="R173" s="130" t="s">
        <v>3602</v>
      </c>
      <c r="S173" s="130" t="s">
        <v>3737</v>
      </c>
    </row>
    <row r="174" spans="1:19" ht="30" customHeight="1">
      <c r="A174" s="270">
        <v>172</v>
      </c>
      <c r="B174" s="130" t="s">
        <v>2830</v>
      </c>
      <c r="C174" s="130">
        <v>41200007</v>
      </c>
      <c r="D174" s="130" t="s">
        <v>1591</v>
      </c>
      <c r="E174" s="130" t="s">
        <v>3593</v>
      </c>
      <c r="F174" s="130" t="s">
        <v>3619</v>
      </c>
      <c r="G174" s="130" t="s">
        <v>1</v>
      </c>
      <c r="H174" s="130" t="s">
        <v>3595</v>
      </c>
      <c r="I174" s="130" t="s">
        <v>3596</v>
      </c>
      <c r="K174" s="429">
        <v>45902</v>
      </c>
      <c r="L174" s="130">
        <v>1100196200</v>
      </c>
      <c r="M174" s="154" t="s">
        <v>3597</v>
      </c>
      <c r="N174" s="130" t="s">
        <v>3877</v>
      </c>
      <c r="O174" s="263" t="s">
        <v>3878</v>
      </c>
      <c r="P174" s="263" t="s">
        <v>26</v>
      </c>
      <c r="Q174" s="263" t="s">
        <v>3601</v>
      </c>
      <c r="R174" s="130" t="s">
        <v>3602</v>
      </c>
      <c r="S174" s="130" t="s">
        <v>3737</v>
      </c>
    </row>
    <row r="175" spans="1:19" ht="30" customHeight="1">
      <c r="A175" s="270">
        <v>173</v>
      </c>
      <c r="B175" s="130" t="s">
        <v>2830</v>
      </c>
      <c r="C175" s="130">
        <v>41200007</v>
      </c>
      <c r="D175" s="130" t="s">
        <v>1591</v>
      </c>
      <c r="E175" s="130" t="s">
        <v>3593</v>
      </c>
      <c r="F175" s="130" t="s">
        <v>3619</v>
      </c>
      <c r="G175" s="130" t="s">
        <v>1</v>
      </c>
      <c r="H175" s="130" t="s">
        <v>3595</v>
      </c>
      <c r="I175" s="130" t="s">
        <v>3596</v>
      </c>
      <c r="K175" s="429">
        <v>45902</v>
      </c>
      <c r="L175" s="130">
        <v>1100196200</v>
      </c>
      <c r="M175" s="154" t="s">
        <v>3597</v>
      </c>
      <c r="N175" s="130" t="s">
        <v>3877</v>
      </c>
      <c r="O175" s="263" t="s">
        <v>3879</v>
      </c>
      <c r="P175" s="263" t="s">
        <v>26</v>
      </c>
      <c r="Q175" s="263" t="s">
        <v>3601</v>
      </c>
      <c r="R175" s="130" t="s">
        <v>3602</v>
      </c>
      <c r="S175" s="130" t="s">
        <v>3737</v>
      </c>
    </row>
    <row r="176" spans="1:19" ht="30" customHeight="1">
      <c r="A176" s="270">
        <v>174</v>
      </c>
      <c r="B176" s="130" t="s">
        <v>2838</v>
      </c>
      <c r="C176" s="130">
        <v>41200007</v>
      </c>
      <c r="D176" s="130" t="s">
        <v>1591</v>
      </c>
      <c r="E176" s="130" t="s">
        <v>3593</v>
      </c>
      <c r="F176" s="130" t="s">
        <v>3619</v>
      </c>
      <c r="G176" s="130" t="s">
        <v>1</v>
      </c>
      <c r="H176" s="130" t="s">
        <v>3595</v>
      </c>
      <c r="I176" s="130" t="s">
        <v>3596</v>
      </c>
      <c r="K176" s="429">
        <v>45903</v>
      </c>
      <c r="L176" s="130">
        <v>1100196200</v>
      </c>
      <c r="M176" s="154" t="s">
        <v>3597</v>
      </c>
      <c r="N176" s="130" t="s">
        <v>3877</v>
      </c>
      <c r="O176" s="263" t="s">
        <v>3878</v>
      </c>
      <c r="P176" s="263" t="s">
        <v>26</v>
      </c>
      <c r="Q176" s="263" t="s">
        <v>3601</v>
      </c>
      <c r="R176" s="130" t="s">
        <v>3602</v>
      </c>
      <c r="S176" s="130" t="s">
        <v>3737</v>
      </c>
    </row>
    <row r="177" spans="1:19" ht="30" customHeight="1">
      <c r="A177" s="270">
        <v>175</v>
      </c>
      <c r="B177" s="130" t="s">
        <v>2838</v>
      </c>
      <c r="C177" s="130">
        <v>41200007</v>
      </c>
      <c r="D177" s="130" t="s">
        <v>1591</v>
      </c>
      <c r="E177" s="130" t="s">
        <v>3593</v>
      </c>
      <c r="F177" s="130" t="s">
        <v>3619</v>
      </c>
      <c r="G177" s="130" t="s">
        <v>1</v>
      </c>
      <c r="H177" s="130" t="s">
        <v>3595</v>
      </c>
      <c r="I177" s="130" t="s">
        <v>3596</v>
      </c>
      <c r="K177" s="429">
        <v>45903</v>
      </c>
      <c r="L177" s="130">
        <v>1100196200</v>
      </c>
      <c r="M177" s="154" t="s">
        <v>3597</v>
      </c>
      <c r="N177" s="130" t="s">
        <v>3877</v>
      </c>
      <c r="O177" s="263" t="s">
        <v>3879</v>
      </c>
      <c r="P177" s="263" t="s">
        <v>26</v>
      </c>
      <c r="Q177" s="263" t="s">
        <v>3601</v>
      </c>
      <c r="R177" s="130" t="s">
        <v>3602</v>
      </c>
      <c r="S177" s="130" t="s">
        <v>3737</v>
      </c>
    </row>
    <row r="178" spans="1:19" ht="30" customHeight="1">
      <c r="A178" s="270">
        <v>176</v>
      </c>
      <c r="B178" s="130" t="s">
        <v>2854</v>
      </c>
      <c r="C178" s="130">
        <v>41200006</v>
      </c>
      <c r="D178" s="130" t="s">
        <v>1477</v>
      </c>
      <c r="E178" s="130" t="s">
        <v>3603</v>
      </c>
      <c r="F178" s="130" t="s">
        <v>3604</v>
      </c>
      <c r="G178" s="130" t="s">
        <v>1</v>
      </c>
      <c r="H178" s="130" t="s">
        <v>3595</v>
      </c>
      <c r="I178" s="130" t="s">
        <v>3596</v>
      </c>
      <c r="K178" s="429">
        <v>45904</v>
      </c>
      <c r="L178" s="130">
        <v>1100196800</v>
      </c>
      <c r="M178" s="154" t="s">
        <v>3722</v>
      </c>
      <c r="N178" s="130" t="s">
        <v>3723</v>
      </c>
      <c r="O178" s="263" t="s">
        <v>3850</v>
      </c>
      <c r="P178" s="263" t="s">
        <v>3600</v>
      </c>
      <c r="Q178" s="263" t="s">
        <v>3601</v>
      </c>
      <c r="R178" s="130" t="s">
        <v>3602</v>
      </c>
      <c r="S178" s="130" t="s">
        <v>3737</v>
      </c>
    </row>
    <row r="179" spans="1:19" ht="30" customHeight="1">
      <c r="A179" s="270">
        <v>177</v>
      </c>
      <c r="B179" s="130" t="s">
        <v>2846</v>
      </c>
      <c r="C179" s="130">
        <v>41200005</v>
      </c>
      <c r="D179" s="130" t="s">
        <v>1591</v>
      </c>
      <c r="E179" s="130" t="s">
        <v>3593</v>
      </c>
      <c r="F179" s="130" t="s">
        <v>3594</v>
      </c>
      <c r="G179" s="130" t="s">
        <v>1</v>
      </c>
      <c r="H179" s="130" t="s">
        <v>3595</v>
      </c>
      <c r="I179" s="130" t="s">
        <v>3596</v>
      </c>
      <c r="K179" s="429">
        <v>45904</v>
      </c>
      <c r="L179" s="130">
        <v>1100196200</v>
      </c>
      <c r="M179" s="154" t="s">
        <v>3597</v>
      </c>
      <c r="N179" s="130" t="s">
        <v>3875</v>
      </c>
      <c r="O179" s="263" t="s">
        <v>3880</v>
      </c>
      <c r="P179" s="263" t="s">
        <v>3600</v>
      </c>
      <c r="Q179" s="263" t="s">
        <v>3601</v>
      </c>
      <c r="R179" s="130" t="s">
        <v>3602</v>
      </c>
      <c r="S179" s="130" t="s">
        <v>3737</v>
      </c>
    </row>
    <row r="180" spans="1:19" ht="30" customHeight="1">
      <c r="A180" s="270">
        <v>178</v>
      </c>
      <c r="B180" s="130" t="s">
        <v>2844</v>
      </c>
      <c r="C180" s="130">
        <v>41200005</v>
      </c>
      <c r="D180" s="130" t="s">
        <v>1591</v>
      </c>
      <c r="E180" s="130" t="s">
        <v>3593</v>
      </c>
      <c r="F180" s="130" t="s">
        <v>3594</v>
      </c>
      <c r="G180" s="130" t="s">
        <v>1</v>
      </c>
      <c r="H180" s="130" t="s">
        <v>3595</v>
      </c>
      <c r="I180" s="130" t="s">
        <v>3596</v>
      </c>
      <c r="K180" s="429">
        <v>45904</v>
      </c>
      <c r="L180" s="130">
        <v>1100196200</v>
      </c>
      <c r="M180" s="154" t="s">
        <v>3597</v>
      </c>
      <c r="N180" s="130" t="s">
        <v>3875</v>
      </c>
      <c r="O180" s="263" t="s">
        <v>3881</v>
      </c>
      <c r="P180" s="263" t="s">
        <v>3600</v>
      </c>
      <c r="Q180" s="263" t="s">
        <v>3601</v>
      </c>
      <c r="R180" s="130" t="s">
        <v>3602</v>
      </c>
      <c r="S180" s="130" t="s">
        <v>3737</v>
      </c>
    </row>
    <row r="181" spans="1:19" ht="30" customHeight="1">
      <c r="A181" s="270">
        <v>179</v>
      </c>
      <c r="B181" s="130" t="s">
        <v>2855</v>
      </c>
      <c r="C181" s="130">
        <v>41200074</v>
      </c>
      <c r="D181" s="130" t="s">
        <v>1478</v>
      </c>
      <c r="E181" s="130" t="s">
        <v>3603</v>
      </c>
      <c r="F181" s="130" t="s">
        <v>3604</v>
      </c>
      <c r="G181" s="130" t="s">
        <v>1</v>
      </c>
      <c r="H181" s="130" t="s">
        <v>3595</v>
      </c>
      <c r="I181" s="130" t="s">
        <v>3596</v>
      </c>
      <c r="J181" s="130" t="s">
        <v>2679</v>
      </c>
      <c r="K181" s="429">
        <v>45904</v>
      </c>
      <c r="L181" s="130">
        <v>1100012500</v>
      </c>
      <c r="M181" s="130" t="s">
        <v>1049</v>
      </c>
      <c r="N181" s="130" t="s">
        <v>3882</v>
      </c>
      <c r="O181" s="263" t="s">
        <v>3883</v>
      </c>
      <c r="P181" s="263" t="s">
        <v>26</v>
      </c>
      <c r="Q181" s="263" t="s">
        <v>54</v>
      </c>
      <c r="R181" s="130" t="s">
        <v>3666</v>
      </c>
      <c r="S181" s="130" t="s">
        <v>3715</v>
      </c>
    </row>
    <row r="182" spans="1:19" ht="30" customHeight="1">
      <c r="A182" s="270">
        <v>180</v>
      </c>
      <c r="B182" s="130" t="s">
        <v>2848</v>
      </c>
      <c r="C182" s="130">
        <v>41200005</v>
      </c>
      <c r="D182" s="130" t="s">
        <v>1591</v>
      </c>
      <c r="E182" s="130" t="s">
        <v>3593</v>
      </c>
      <c r="F182" s="130" t="s">
        <v>3594</v>
      </c>
      <c r="G182" s="130" t="s">
        <v>1</v>
      </c>
      <c r="H182" s="130" t="s">
        <v>3595</v>
      </c>
      <c r="I182" s="130" t="s">
        <v>3596</v>
      </c>
      <c r="K182" s="429">
        <v>45904</v>
      </c>
      <c r="L182" s="130">
        <v>1100196200</v>
      </c>
      <c r="M182" s="154" t="s">
        <v>3597</v>
      </c>
      <c r="N182" s="130" t="s">
        <v>3875</v>
      </c>
      <c r="O182" s="263" t="s">
        <v>3876</v>
      </c>
      <c r="P182" s="263" t="s">
        <v>3600</v>
      </c>
      <c r="Q182" s="263" t="s">
        <v>3601</v>
      </c>
      <c r="R182" s="130" t="s">
        <v>3602</v>
      </c>
      <c r="S182" s="130" t="s">
        <v>3737</v>
      </c>
    </row>
    <row r="183" spans="1:19" ht="30" customHeight="1">
      <c r="A183" s="270">
        <v>181</v>
      </c>
      <c r="B183" s="130" t="s">
        <v>2861</v>
      </c>
      <c r="C183" s="130">
        <v>41200069</v>
      </c>
      <c r="D183" s="130" t="s">
        <v>3884</v>
      </c>
      <c r="E183" s="130" t="s">
        <v>3593</v>
      </c>
      <c r="F183" s="130" t="s">
        <v>3619</v>
      </c>
      <c r="G183" s="130" t="s">
        <v>1</v>
      </c>
      <c r="H183" s="130" t="s">
        <v>3595</v>
      </c>
      <c r="I183" s="130" t="s">
        <v>2682</v>
      </c>
      <c r="K183" s="429">
        <v>45905</v>
      </c>
      <c r="L183" s="130">
        <v>1100821000</v>
      </c>
      <c r="M183" s="130" t="s">
        <v>2862</v>
      </c>
      <c r="N183" s="130" t="s">
        <v>3885</v>
      </c>
      <c r="O183" s="263" t="s">
        <v>3886</v>
      </c>
      <c r="P183" s="263" t="s">
        <v>36</v>
      </c>
      <c r="Q183" s="263" t="s">
        <v>49</v>
      </c>
      <c r="R183" s="130" t="s">
        <v>3711</v>
      </c>
      <c r="S183" s="130" t="s">
        <v>3711</v>
      </c>
    </row>
    <row r="184" spans="1:19" ht="30" customHeight="1">
      <c r="A184" s="270">
        <v>182</v>
      </c>
      <c r="B184" s="130" t="s">
        <v>2865</v>
      </c>
      <c r="C184" s="130">
        <v>41200119</v>
      </c>
      <c r="D184" s="130" t="s">
        <v>1476</v>
      </c>
      <c r="E184" s="130" t="s">
        <v>3603</v>
      </c>
      <c r="F184" s="130" t="s">
        <v>3604</v>
      </c>
      <c r="G184" s="130" t="s">
        <v>1</v>
      </c>
      <c r="H184" s="130" t="s">
        <v>3595</v>
      </c>
      <c r="I184" s="130" t="s">
        <v>2682</v>
      </c>
      <c r="J184" s="130" t="s">
        <v>2679</v>
      </c>
      <c r="K184" s="429">
        <v>45905</v>
      </c>
      <c r="L184" s="130">
        <v>1310438400</v>
      </c>
      <c r="M184" s="130" t="s">
        <v>382</v>
      </c>
      <c r="N184" s="130" t="s">
        <v>3887</v>
      </c>
      <c r="O184" s="263" t="s">
        <v>3888</v>
      </c>
      <c r="P184" s="263" t="s">
        <v>36</v>
      </c>
      <c r="Q184" s="263" t="s">
        <v>49</v>
      </c>
      <c r="R184" s="130" t="s">
        <v>3666</v>
      </c>
      <c r="S184" s="130" t="s">
        <v>3666</v>
      </c>
    </row>
    <row r="185" spans="1:19" ht="30" customHeight="1">
      <c r="A185" s="270">
        <v>183</v>
      </c>
      <c r="B185" s="130" t="s">
        <v>2865</v>
      </c>
      <c r="C185" s="130">
        <v>41200119</v>
      </c>
      <c r="D185" s="130" t="s">
        <v>1476</v>
      </c>
      <c r="E185" s="130" t="s">
        <v>3603</v>
      </c>
      <c r="F185" s="130" t="s">
        <v>3604</v>
      </c>
      <c r="G185" s="130" t="s">
        <v>1</v>
      </c>
      <c r="H185" s="130" t="s">
        <v>3595</v>
      </c>
      <c r="I185" s="130" t="s">
        <v>2682</v>
      </c>
      <c r="J185" s="130" t="s">
        <v>2880</v>
      </c>
      <c r="K185" s="429">
        <v>45905</v>
      </c>
      <c r="L185" s="130">
        <v>1310438400</v>
      </c>
      <c r="M185" s="130" t="s">
        <v>382</v>
      </c>
      <c r="N185" s="130" t="s">
        <v>3887</v>
      </c>
      <c r="O185" s="263" t="s">
        <v>3889</v>
      </c>
      <c r="P185" s="263" t="s">
        <v>36</v>
      </c>
      <c r="Q185" s="263" t="s">
        <v>49</v>
      </c>
      <c r="R185" s="130" t="s">
        <v>3666</v>
      </c>
      <c r="S185" s="130" t="s">
        <v>3666</v>
      </c>
    </row>
    <row r="186" spans="1:19" ht="30" customHeight="1">
      <c r="A186" s="270">
        <v>184</v>
      </c>
      <c r="B186" s="130" t="s">
        <v>2860</v>
      </c>
      <c r="C186" s="130">
        <v>41200006</v>
      </c>
      <c r="D186" s="130" t="s">
        <v>1477</v>
      </c>
      <c r="E186" s="130" t="s">
        <v>3593</v>
      </c>
      <c r="F186" s="130" t="s">
        <v>3619</v>
      </c>
      <c r="G186" s="130" t="s">
        <v>1</v>
      </c>
      <c r="H186" s="130" t="s">
        <v>3595</v>
      </c>
      <c r="I186" s="130" t="s">
        <v>3596</v>
      </c>
      <c r="K186" s="429">
        <v>45905</v>
      </c>
      <c r="L186" s="130">
        <v>1100196800</v>
      </c>
      <c r="M186" s="154" t="s">
        <v>3722</v>
      </c>
      <c r="N186" s="130" t="s">
        <v>3723</v>
      </c>
      <c r="O186" s="263" t="s">
        <v>3890</v>
      </c>
      <c r="P186" s="263" t="s">
        <v>3600</v>
      </c>
      <c r="Q186" s="263" t="s">
        <v>3601</v>
      </c>
      <c r="R186" s="130" t="s">
        <v>3602</v>
      </c>
      <c r="S186" s="130" t="s">
        <v>3737</v>
      </c>
    </row>
    <row r="187" spans="1:19" ht="30" customHeight="1">
      <c r="A187" s="270">
        <v>185</v>
      </c>
      <c r="B187" s="130" t="s">
        <v>2857</v>
      </c>
      <c r="C187" s="130">
        <v>41200006</v>
      </c>
      <c r="D187" s="130" t="s">
        <v>1477</v>
      </c>
      <c r="E187" s="130" t="s">
        <v>3593</v>
      </c>
      <c r="F187" s="130" t="s">
        <v>3619</v>
      </c>
      <c r="G187" s="130" t="s">
        <v>1</v>
      </c>
      <c r="H187" s="130" t="s">
        <v>3595</v>
      </c>
      <c r="I187" s="130" t="s">
        <v>3596</v>
      </c>
      <c r="K187" s="429">
        <v>45905</v>
      </c>
      <c r="L187" s="130">
        <v>1100196800</v>
      </c>
      <c r="M187" s="154" t="s">
        <v>3722</v>
      </c>
      <c r="N187" s="130" t="s">
        <v>3723</v>
      </c>
      <c r="O187" s="263" t="s">
        <v>3850</v>
      </c>
      <c r="P187" s="263" t="s">
        <v>3600</v>
      </c>
      <c r="Q187" s="263" t="s">
        <v>3601</v>
      </c>
      <c r="R187" s="130" t="s">
        <v>3602</v>
      </c>
      <c r="S187" s="130" t="s">
        <v>3737</v>
      </c>
    </row>
    <row r="188" spans="1:19" ht="30" customHeight="1">
      <c r="A188" s="270">
        <v>186</v>
      </c>
      <c r="B188" s="130" t="s">
        <v>2857</v>
      </c>
      <c r="C188" s="130">
        <v>41200006</v>
      </c>
      <c r="D188" s="130" t="s">
        <v>1477</v>
      </c>
      <c r="E188" s="130" t="s">
        <v>3593</v>
      </c>
      <c r="F188" s="130" t="s">
        <v>3619</v>
      </c>
      <c r="G188" s="130" t="s">
        <v>1</v>
      </c>
      <c r="H188" s="130" t="s">
        <v>3595</v>
      </c>
      <c r="I188" s="130" t="s">
        <v>3596</v>
      </c>
      <c r="K188" s="429">
        <v>45905</v>
      </c>
      <c r="L188" s="130">
        <v>1100196800</v>
      </c>
      <c r="M188" s="154" t="s">
        <v>3722</v>
      </c>
      <c r="N188" s="130" t="s">
        <v>3723</v>
      </c>
      <c r="O188" s="263" t="s">
        <v>3890</v>
      </c>
      <c r="P188" s="263" t="s">
        <v>3600</v>
      </c>
      <c r="Q188" s="263" t="s">
        <v>3601</v>
      </c>
      <c r="R188" s="130" t="s">
        <v>3602</v>
      </c>
      <c r="S188" s="130" t="s">
        <v>3737</v>
      </c>
    </row>
    <row r="189" spans="1:19" ht="30" customHeight="1">
      <c r="A189" s="270">
        <v>187</v>
      </c>
      <c r="B189" s="130" t="s">
        <v>2868</v>
      </c>
      <c r="C189" s="130">
        <v>41200006</v>
      </c>
      <c r="D189" s="130" t="s">
        <v>1477</v>
      </c>
      <c r="E189" s="130" t="s">
        <v>3593</v>
      </c>
      <c r="F189" s="130" t="s">
        <v>3619</v>
      </c>
      <c r="G189" s="130" t="s">
        <v>1</v>
      </c>
      <c r="H189" s="130" t="s">
        <v>3595</v>
      </c>
      <c r="I189" s="130" t="s">
        <v>3596</v>
      </c>
      <c r="K189" s="429">
        <v>45908</v>
      </c>
      <c r="L189" s="130">
        <v>1100196800</v>
      </c>
      <c r="M189" s="154" t="s">
        <v>3722</v>
      </c>
      <c r="N189" s="130" t="s">
        <v>3723</v>
      </c>
      <c r="O189" s="263" t="s">
        <v>3890</v>
      </c>
      <c r="P189" s="263" t="s">
        <v>3600</v>
      </c>
      <c r="Q189" s="263" t="s">
        <v>3601</v>
      </c>
      <c r="R189" s="130" t="s">
        <v>3602</v>
      </c>
      <c r="S189" s="130" t="s">
        <v>3737</v>
      </c>
    </row>
    <row r="190" spans="1:19" ht="30" customHeight="1">
      <c r="A190" s="270">
        <v>188</v>
      </c>
      <c r="B190" s="130" t="s">
        <v>2869</v>
      </c>
      <c r="C190" s="130">
        <v>41200006</v>
      </c>
      <c r="D190" s="130" t="s">
        <v>1477</v>
      </c>
      <c r="E190" s="130" t="s">
        <v>3593</v>
      </c>
      <c r="F190" s="130" t="s">
        <v>3619</v>
      </c>
      <c r="G190" s="130" t="s">
        <v>1</v>
      </c>
      <c r="H190" s="130" t="s">
        <v>3595</v>
      </c>
      <c r="I190" s="130" t="s">
        <v>3596</v>
      </c>
      <c r="K190" s="429">
        <v>45908</v>
      </c>
      <c r="L190" s="130">
        <v>1100196800</v>
      </c>
      <c r="M190" s="154" t="s">
        <v>3722</v>
      </c>
      <c r="N190" s="130" t="s">
        <v>3723</v>
      </c>
      <c r="O190" s="263" t="s">
        <v>3850</v>
      </c>
      <c r="P190" s="263" t="s">
        <v>3600</v>
      </c>
      <c r="Q190" s="263" t="s">
        <v>3601</v>
      </c>
      <c r="R190" s="130" t="s">
        <v>3602</v>
      </c>
      <c r="S190" s="130" t="s">
        <v>3737</v>
      </c>
    </row>
    <row r="191" spans="1:19" ht="30" customHeight="1">
      <c r="A191" s="270">
        <v>189</v>
      </c>
      <c r="B191" s="130" t="s">
        <v>2870</v>
      </c>
      <c r="C191" s="130">
        <v>41200006</v>
      </c>
      <c r="D191" s="130" t="s">
        <v>1477</v>
      </c>
      <c r="E191" s="130" t="s">
        <v>3593</v>
      </c>
      <c r="F191" s="130" t="s">
        <v>3619</v>
      </c>
      <c r="G191" s="130" t="s">
        <v>1</v>
      </c>
      <c r="H191" s="130" t="s">
        <v>3595</v>
      </c>
      <c r="I191" s="130" t="s">
        <v>3596</v>
      </c>
      <c r="K191" s="429">
        <v>45908</v>
      </c>
      <c r="L191" s="130">
        <v>1100196800</v>
      </c>
      <c r="M191" s="154" t="s">
        <v>3722</v>
      </c>
      <c r="N191" s="130" t="s">
        <v>3723</v>
      </c>
      <c r="O191" s="263" t="s">
        <v>3850</v>
      </c>
      <c r="P191" s="263" t="s">
        <v>3600</v>
      </c>
      <c r="Q191" s="263" t="s">
        <v>3601</v>
      </c>
      <c r="R191" s="130" t="s">
        <v>3602</v>
      </c>
      <c r="S191" s="130" t="s">
        <v>3737</v>
      </c>
    </row>
    <row r="192" spans="1:19" ht="30" customHeight="1">
      <c r="A192" s="270">
        <v>190</v>
      </c>
      <c r="B192" s="130" t="s">
        <v>2870</v>
      </c>
      <c r="C192" s="130">
        <v>41200006</v>
      </c>
      <c r="D192" s="130" t="s">
        <v>1477</v>
      </c>
      <c r="E192" s="130" t="s">
        <v>3593</v>
      </c>
      <c r="F192" s="130" t="s">
        <v>3619</v>
      </c>
      <c r="G192" s="130" t="s">
        <v>1</v>
      </c>
      <c r="H192" s="130" t="s">
        <v>3595</v>
      </c>
      <c r="I192" s="130" t="s">
        <v>3596</v>
      </c>
      <c r="K192" s="429">
        <v>45908</v>
      </c>
      <c r="L192" s="130">
        <v>1100196800</v>
      </c>
      <c r="M192" s="154" t="s">
        <v>3722</v>
      </c>
      <c r="N192" s="130" t="s">
        <v>3723</v>
      </c>
      <c r="O192" s="263" t="s">
        <v>3891</v>
      </c>
      <c r="P192" s="263" t="s">
        <v>3600</v>
      </c>
      <c r="Q192" s="263" t="s">
        <v>3601</v>
      </c>
      <c r="R192" s="130" t="s">
        <v>3602</v>
      </c>
      <c r="S192" s="130" t="s">
        <v>3737</v>
      </c>
    </row>
    <row r="193" spans="1:19" ht="30" customHeight="1">
      <c r="A193" s="270">
        <v>191</v>
      </c>
      <c r="B193" s="130" t="s">
        <v>2870</v>
      </c>
      <c r="C193" s="130">
        <v>41200006</v>
      </c>
      <c r="D193" s="130" t="s">
        <v>1477</v>
      </c>
      <c r="E193" s="130" t="s">
        <v>3593</v>
      </c>
      <c r="F193" s="130" t="s">
        <v>3619</v>
      </c>
      <c r="G193" s="130" t="s">
        <v>1</v>
      </c>
      <c r="H193" s="130" t="s">
        <v>3595</v>
      </c>
      <c r="I193" s="130" t="s">
        <v>3596</v>
      </c>
      <c r="K193" s="429">
        <v>45908</v>
      </c>
      <c r="L193" s="130">
        <v>1100196800</v>
      </c>
      <c r="M193" s="154" t="s">
        <v>3722</v>
      </c>
      <c r="N193" s="130" t="s">
        <v>3723</v>
      </c>
      <c r="O193" s="263" t="s">
        <v>3890</v>
      </c>
      <c r="P193" s="263" t="s">
        <v>3600</v>
      </c>
      <c r="Q193" s="263" t="s">
        <v>3601</v>
      </c>
      <c r="R193" s="130" t="s">
        <v>3602</v>
      </c>
      <c r="S193" s="130" t="s">
        <v>3737</v>
      </c>
    </row>
    <row r="194" spans="1:19" ht="30" customHeight="1">
      <c r="A194" s="270">
        <v>192</v>
      </c>
      <c r="B194" s="130" t="s">
        <v>2871</v>
      </c>
      <c r="C194" s="130">
        <v>41200006</v>
      </c>
      <c r="D194" s="130" t="s">
        <v>1477</v>
      </c>
      <c r="E194" s="130" t="s">
        <v>3593</v>
      </c>
      <c r="F194" s="130" t="s">
        <v>3619</v>
      </c>
      <c r="G194" s="130" t="s">
        <v>1</v>
      </c>
      <c r="H194" s="130" t="s">
        <v>3595</v>
      </c>
      <c r="I194" s="130" t="s">
        <v>3596</v>
      </c>
      <c r="K194" s="429">
        <v>45908</v>
      </c>
      <c r="L194" s="130">
        <v>1100196800</v>
      </c>
      <c r="M194" s="154" t="s">
        <v>3722</v>
      </c>
      <c r="N194" s="130" t="s">
        <v>3723</v>
      </c>
      <c r="O194" s="263" t="s">
        <v>3891</v>
      </c>
      <c r="P194" s="263" t="s">
        <v>3600</v>
      </c>
      <c r="Q194" s="263" t="s">
        <v>3601</v>
      </c>
      <c r="R194" s="130" t="s">
        <v>3602</v>
      </c>
      <c r="S194" s="130" t="s">
        <v>3737</v>
      </c>
    </row>
    <row r="195" spans="1:19" ht="30" customHeight="1">
      <c r="A195" s="270">
        <v>193</v>
      </c>
      <c r="B195" s="130" t="s">
        <v>2872</v>
      </c>
      <c r="C195" s="130">
        <v>41200076</v>
      </c>
      <c r="D195" s="130" t="s">
        <v>1476</v>
      </c>
      <c r="E195" s="130" t="s">
        <v>3593</v>
      </c>
      <c r="F195" s="130" t="s">
        <v>3594</v>
      </c>
      <c r="G195" s="130" t="s">
        <v>1</v>
      </c>
      <c r="H195" s="130" t="s">
        <v>3595</v>
      </c>
      <c r="I195" s="130" t="s">
        <v>2894</v>
      </c>
      <c r="K195" s="429">
        <v>45908</v>
      </c>
      <c r="L195" s="130">
        <v>1100366500</v>
      </c>
      <c r="M195" s="130" t="s">
        <v>284</v>
      </c>
      <c r="N195" s="130" t="s">
        <v>2784</v>
      </c>
      <c r="O195" s="263" t="s">
        <v>3858</v>
      </c>
      <c r="P195" s="263" t="s">
        <v>26</v>
      </c>
      <c r="Q195" s="263" t="s">
        <v>49</v>
      </c>
      <c r="R195" s="130" t="s">
        <v>3679</v>
      </c>
      <c r="S195" s="130" t="s">
        <v>3727</v>
      </c>
    </row>
    <row r="196" spans="1:19" ht="30" customHeight="1">
      <c r="A196" s="270">
        <v>194</v>
      </c>
      <c r="B196" s="130" t="s">
        <v>2885</v>
      </c>
      <c r="C196" s="130">
        <v>41200074</v>
      </c>
      <c r="D196" s="130" t="s">
        <v>1478</v>
      </c>
      <c r="E196" s="130" t="s">
        <v>3593</v>
      </c>
      <c r="F196" s="130" t="s">
        <v>3594</v>
      </c>
      <c r="G196" s="130" t="s">
        <v>1</v>
      </c>
      <c r="H196" s="130" t="s">
        <v>3595</v>
      </c>
      <c r="I196" s="130" t="s">
        <v>2682</v>
      </c>
      <c r="J196" s="130" t="s">
        <v>2880</v>
      </c>
      <c r="K196" s="429">
        <v>45909</v>
      </c>
      <c r="N196" s="130" t="s">
        <v>2887</v>
      </c>
      <c r="O196" s="263" t="s">
        <v>2887</v>
      </c>
      <c r="P196" s="263" t="s">
        <v>36</v>
      </c>
      <c r="Q196" s="263" t="s">
        <v>49</v>
      </c>
      <c r="R196" s="130" t="s">
        <v>3707</v>
      </c>
      <c r="S196" s="130" t="s">
        <v>3707</v>
      </c>
    </row>
    <row r="197" spans="1:19" ht="30" customHeight="1">
      <c r="A197" s="270">
        <v>195</v>
      </c>
      <c r="B197" s="130" t="s">
        <v>2885</v>
      </c>
      <c r="C197" s="130">
        <v>41200074</v>
      </c>
      <c r="D197" s="130" t="s">
        <v>1478</v>
      </c>
      <c r="E197" s="130" t="s">
        <v>3593</v>
      </c>
      <c r="F197" s="130" t="s">
        <v>3594</v>
      </c>
      <c r="G197" s="130" t="s">
        <v>1</v>
      </c>
      <c r="H197" s="130" t="s">
        <v>3595</v>
      </c>
      <c r="I197" s="130" t="s">
        <v>3596</v>
      </c>
      <c r="J197" s="130" t="s">
        <v>2679</v>
      </c>
      <c r="K197" s="429">
        <v>45909</v>
      </c>
      <c r="L197" s="130">
        <v>1100196200</v>
      </c>
      <c r="M197" s="154" t="s">
        <v>3597</v>
      </c>
      <c r="N197" s="130" t="s">
        <v>3877</v>
      </c>
      <c r="O197" s="263" t="s">
        <v>3892</v>
      </c>
      <c r="P197" s="263" t="s">
        <v>26</v>
      </c>
      <c r="Q197" s="263" t="s">
        <v>3601</v>
      </c>
      <c r="R197" s="130" t="s">
        <v>3602</v>
      </c>
      <c r="S197" s="130" t="s">
        <v>3893</v>
      </c>
    </row>
    <row r="198" spans="1:19" ht="30" customHeight="1">
      <c r="A198" s="270">
        <v>196</v>
      </c>
      <c r="B198" s="130" t="s">
        <v>2885</v>
      </c>
      <c r="C198" s="130">
        <v>41200074</v>
      </c>
      <c r="D198" s="130" t="s">
        <v>1478</v>
      </c>
      <c r="E198" s="130" t="s">
        <v>3593</v>
      </c>
      <c r="F198" s="130" t="s">
        <v>3594</v>
      </c>
      <c r="G198" s="130" t="s">
        <v>1</v>
      </c>
      <c r="H198" s="130" t="s">
        <v>3595</v>
      </c>
      <c r="I198" s="130" t="s">
        <v>2682</v>
      </c>
      <c r="K198" s="429">
        <v>45909</v>
      </c>
      <c r="N198" s="130" t="s">
        <v>3894</v>
      </c>
      <c r="O198" s="263" t="s">
        <v>3894</v>
      </c>
      <c r="P198" s="263" t="s">
        <v>36</v>
      </c>
      <c r="Q198" s="263" t="s">
        <v>49</v>
      </c>
      <c r="R198" s="130" t="s">
        <v>3679</v>
      </c>
      <c r="S198" s="130" t="s">
        <v>3895</v>
      </c>
    </row>
    <row r="199" spans="1:19" ht="30" customHeight="1">
      <c r="A199" s="270">
        <v>197</v>
      </c>
      <c r="B199" s="130" t="s">
        <v>2885</v>
      </c>
      <c r="C199" s="130">
        <v>41200074</v>
      </c>
      <c r="D199" s="130" t="s">
        <v>1478</v>
      </c>
      <c r="E199" s="130" t="s">
        <v>3593</v>
      </c>
      <c r="F199" s="130" t="s">
        <v>3594</v>
      </c>
      <c r="G199" s="130" t="s">
        <v>1</v>
      </c>
      <c r="H199" s="130" t="s">
        <v>3595</v>
      </c>
      <c r="I199" s="130" t="s">
        <v>2682</v>
      </c>
      <c r="K199" s="429">
        <v>45909</v>
      </c>
      <c r="N199" s="130" t="s">
        <v>3896</v>
      </c>
      <c r="O199" s="263" t="s">
        <v>3897</v>
      </c>
      <c r="P199" s="263" t="s">
        <v>36</v>
      </c>
      <c r="Q199" s="263" t="s">
        <v>49</v>
      </c>
      <c r="R199" s="130" t="s">
        <v>3679</v>
      </c>
      <c r="S199" s="130" t="s">
        <v>3711</v>
      </c>
    </row>
    <row r="200" spans="1:19" ht="30" customHeight="1">
      <c r="A200" s="270">
        <v>198</v>
      </c>
      <c r="B200" s="130" t="s">
        <v>2883</v>
      </c>
      <c r="C200" s="130">
        <v>41200131</v>
      </c>
      <c r="D200" s="130" t="s">
        <v>1476</v>
      </c>
      <c r="E200" s="130" t="s">
        <v>3603</v>
      </c>
      <c r="F200" s="130" t="s">
        <v>3594</v>
      </c>
      <c r="G200" s="130" t="s">
        <v>1</v>
      </c>
      <c r="H200" s="130" t="s">
        <v>3595</v>
      </c>
      <c r="I200" s="130" t="s">
        <v>3596</v>
      </c>
      <c r="J200" s="130" t="s">
        <v>2679</v>
      </c>
      <c r="K200" s="429">
        <v>45909</v>
      </c>
      <c r="L200" s="130">
        <v>1100196200</v>
      </c>
      <c r="M200" s="154" t="s">
        <v>3597</v>
      </c>
      <c r="N200" s="130" t="s">
        <v>3701</v>
      </c>
      <c r="O200" s="263" t="s">
        <v>3898</v>
      </c>
      <c r="P200" s="263" t="s">
        <v>26</v>
      </c>
      <c r="Q200" s="263" t="s">
        <v>3601</v>
      </c>
      <c r="R200" s="130" t="s">
        <v>3674</v>
      </c>
      <c r="S200" s="130" t="s">
        <v>3737</v>
      </c>
    </row>
    <row r="201" spans="1:19" ht="30" customHeight="1">
      <c r="A201" s="270">
        <v>199</v>
      </c>
      <c r="B201" s="130" t="s">
        <v>2876</v>
      </c>
      <c r="C201" s="130">
        <v>41200029</v>
      </c>
      <c r="D201" s="130" t="s">
        <v>1476</v>
      </c>
      <c r="E201" s="130" t="s">
        <v>3603</v>
      </c>
      <c r="F201" s="130" t="s">
        <v>3619</v>
      </c>
      <c r="G201" s="130" t="s">
        <v>1</v>
      </c>
      <c r="H201" s="130" t="s">
        <v>3595</v>
      </c>
      <c r="I201" s="130" t="s">
        <v>3596</v>
      </c>
      <c r="J201" s="130" t="s">
        <v>2880</v>
      </c>
      <c r="K201" s="429">
        <v>45909</v>
      </c>
      <c r="L201" s="130">
        <v>1100196800</v>
      </c>
      <c r="M201" s="154" t="s">
        <v>3722</v>
      </c>
      <c r="N201" s="130" t="s">
        <v>3723</v>
      </c>
      <c r="O201" s="263" t="s">
        <v>3890</v>
      </c>
      <c r="P201" s="263" t="s">
        <v>3600</v>
      </c>
      <c r="Q201" s="263" t="s">
        <v>3601</v>
      </c>
      <c r="R201" s="130" t="s">
        <v>3602</v>
      </c>
      <c r="S201" s="130" t="s">
        <v>3737</v>
      </c>
    </row>
    <row r="202" spans="1:19" ht="30" customHeight="1">
      <c r="A202" s="270">
        <v>200</v>
      </c>
      <c r="B202" s="130" t="s">
        <v>2876</v>
      </c>
      <c r="C202" s="130">
        <v>41200029</v>
      </c>
      <c r="D202" s="130" t="s">
        <v>1476</v>
      </c>
      <c r="E202" s="130" t="s">
        <v>3603</v>
      </c>
      <c r="F202" s="130" t="s">
        <v>3619</v>
      </c>
      <c r="G202" s="130" t="s">
        <v>1</v>
      </c>
      <c r="H202" s="130" t="s">
        <v>3595</v>
      </c>
      <c r="I202" s="130" t="s">
        <v>3596</v>
      </c>
      <c r="J202" s="130" t="s">
        <v>2880</v>
      </c>
      <c r="K202" s="429">
        <v>45909</v>
      </c>
      <c r="L202" s="130">
        <v>1100196800</v>
      </c>
      <c r="M202" s="154" t="s">
        <v>3722</v>
      </c>
      <c r="N202" s="130" t="s">
        <v>3723</v>
      </c>
      <c r="O202" s="263" t="s">
        <v>3899</v>
      </c>
      <c r="P202" s="263" t="s">
        <v>3600</v>
      </c>
      <c r="Q202" s="263" t="s">
        <v>3601</v>
      </c>
      <c r="R202" s="130" t="s">
        <v>3602</v>
      </c>
      <c r="S202" s="130" t="s">
        <v>3737</v>
      </c>
    </row>
    <row r="203" spans="1:19" ht="30" customHeight="1">
      <c r="A203" s="270">
        <v>201</v>
      </c>
      <c r="B203" s="130" t="s">
        <v>2876</v>
      </c>
      <c r="C203" s="130">
        <v>41200029</v>
      </c>
      <c r="D203" s="130" t="s">
        <v>1476</v>
      </c>
      <c r="E203" s="130" t="s">
        <v>3603</v>
      </c>
      <c r="F203" s="130" t="s">
        <v>3619</v>
      </c>
      <c r="G203" s="130" t="s">
        <v>1</v>
      </c>
      <c r="H203" s="130" t="s">
        <v>3595</v>
      </c>
      <c r="I203" s="130" t="s">
        <v>3596</v>
      </c>
      <c r="J203" s="130" t="s">
        <v>2679</v>
      </c>
      <c r="K203" s="429">
        <v>45909</v>
      </c>
      <c r="L203" s="130">
        <v>1100196800</v>
      </c>
      <c r="M203" s="154" t="s">
        <v>3722</v>
      </c>
      <c r="N203" s="130" t="s">
        <v>3723</v>
      </c>
      <c r="O203" s="263" t="s">
        <v>3899</v>
      </c>
      <c r="P203" s="263" t="s">
        <v>3600</v>
      </c>
      <c r="Q203" s="263" t="s">
        <v>3601</v>
      </c>
      <c r="R203" s="130" t="s">
        <v>3602</v>
      </c>
      <c r="S203" s="130" t="s">
        <v>3737</v>
      </c>
    </row>
    <row r="204" spans="1:19" ht="30" customHeight="1">
      <c r="A204" s="270">
        <v>202</v>
      </c>
      <c r="B204" s="130" t="s">
        <v>2876</v>
      </c>
      <c r="C204" s="130">
        <v>41200029</v>
      </c>
      <c r="D204" s="130" t="s">
        <v>1476</v>
      </c>
      <c r="E204" s="130" t="s">
        <v>3603</v>
      </c>
      <c r="F204" s="130" t="s">
        <v>3619</v>
      </c>
      <c r="G204" s="130" t="s">
        <v>1</v>
      </c>
      <c r="H204" s="130" t="s">
        <v>3595</v>
      </c>
      <c r="I204" s="130" t="s">
        <v>2894</v>
      </c>
      <c r="K204" s="429">
        <v>45909</v>
      </c>
      <c r="N204" s="130" t="s">
        <v>3900</v>
      </c>
      <c r="O204" s="263" t="s">
        <v>3901</v>
      </c>
      <c r="P204" s="263" t="s">
        <v>26</v>
      </c>
      <c r="Q204" s="263" t="s">
        <v>49</v>
      </c>
      <c r="R204" s="130" t="s">
        <v>3714</v>
      </c>
      <c r="S204" s="130" t="s">
        <v>3714</v>
      </c>
    </row>
    <row r="205" spans="1:19" ht="30" customHeight="1">
      <c r="A205" s="270">
        <v>203</v>
      </c>
      <c r="B205" s="130" t="s">
        <v>2897</v>
      </c>
      <c r="C205" s="130">
        <v>41100264</v>
      </c>
      <c r="D205" s="130" t="s">
        <v>1591</v>
      </c>
      <c r="E205" s="130" t="s">
        <v>3603</v>
      </c>
      <c r="F205" s="130" t="s">
        <v>3619</v>
      </c>
      <c r="G205" s="130" t="s">
        <v>1</v>
      </c>
      <c r="H205" s="130" t="s">
        <v>3595</v>
      </c>
      <c r="I205" s="130" t="s">
        <v>2682</v>
      </c>
      <c r="K205" s="429">
        <v>45910</v>
      </c>
      <c r="N205" s="130" t="s">
        <v>3902</v>
      </c>
      <c r="O205" s="263" t="s">
        <v>2898</v>
      </c>
      <c r="P205" s="263" t="s">
        <v>36</v>
      </c>
      <c r="Q205" s="263" t="s">
        <v>49</v>
      </c>
      <c r="R205" s="130" t="s">
        <v>3674</v>
      </c>
      <c r="S205" s="130" t="s">
        <v>3798</v>
      </c>
    </row>
    <row r="206" spans="1:19" ht="30" customHeight="1">
      <c r="A206" s="270">
        <v>204</v>
      </c>
      <c r="B206" s="130" t="s">
        <v>2893</v>
      </c>
      <c r="C206" s="130">
        <v>41100264</v>
      </c>
      <c r="D206" s="130" t="s">
        <v>1591</v>
      </c>
      <c r="E206" s="130" t="s">
        <v>3603</v>
      </c>
      <c r="F206" s="130" t="s">
        <v>3619</v>
      </c>
      <c r="G206" s="130" t="s">
        <v>1</v>
      </c>
      <c r="H206" s="130" t="s">
        <v>3595</v>
      </c>
      <c r="I206" s="130" t="s">
        <v>2894</v>
      </c>
      <c r="K206" s="429">
        <v>45910</v>
      </c>
      <c r="N206" s="130" t="s">
        <v>3903</v>
      </c>
      <c r="O206" s="263" t="s">
        <v>3903</v>
      </c>
      <c r="P206" s="263" t="s">
        <v>26</v>
      </c>
      <c r="Q206" s="263" t="s">
        <v>49</v>
      </c>
      <c r="R206" s="130" t="s">
        <v>3674</v>
      </c>
      <c r="S206" s="130" t="s">
        <v>3904</v>
      </c>
    </row>
    <row r="207" spans="1:19" ht="30" customHeight="1">
      <c r="A207" s="270">
        <v>205</v>
      </c>
      <c r="B207" s="130" t="s">
        <v>2903</v>
      </c>
      <c r="C207" s="130">
        <v>41200007</v>
      </c>
      <c r="D207" s="130" t="s">
        <v>1591</v>
      </c>
      <c r="E207" s="130" t="s">
        <v>3603</v>
      </c>
      <c r="F207" s="130" t="s">
        <v>3594</v>
      </c>
      <c r="G207" s="130" t="s">
        <v>1</v>
      </c>
      <c r="H207" s="130" t="s">
        <v>3595</v>
      </c>
      <c r="I207" s="130" t="s">
        <v>3596</v>
      </c>
      <c r="K207" s="429">
        <v>45910</v>
      </c>
      <c r="L207" s="130">
        <v>1100196200</v>
      </c>
      <c r="M207" s="154" t="s">
        <v>3597</v>
      </c>
      <c r="N207" s="130" t="s">
        <v>3905</v>
      </c>
      <c r="O207" s="263" t="s">
        <v>3899</v>
      </c>
      <c r="P207" s="263" t="s">
        <v>26</v>
      </c>
      <c r="Q207" s="263" t="s">
        <v>3601</v>
      </c>
      <c r="R207" s="130" t="s">
        <v>3602</v>
      </c>
      <c r="S207" s="130" t="s">
        <v>3893</v>
      </c>
    </row>
    <row r="208" spans="1:19" ht="30" customHeight="1">
      <c r="A208" s="270">
        <v>206</v>
      </c>
      <c r="B208" s="130" t="s">
        <v>2923</v>
      </c>
      <c r="C208" s="130">
        <v>41200039</v>
      </c>
      <c r="D208" s="130" t="s">
        <v>1476</v>
      </c>
      <c r="E208" s="130" t="s">
        <v>3593</v>
      </c>
      <c r="F208" s="130" t="s">
        <v>3619</v>
      </c>
      <c r="G208" s="130" t="s">
        <v>1</v>
      </c>
      <c r="H208" s="130" t="s">
        <v>3595</v>
      </c>
      <c r="I208" s="130" t="s">
        <v>2682</v>
      </c>
      <c r="J208" s="130" t="s">
        <v>2679</v>
      </c>
      <c r="K208" s="429">
        <v>45915</v>
      </c>
      <c r="L208" s="130">
        <v>1100196200</v>
      </c>
      <c r="M208" s="154" t="s">
        <v>3597</v>
      </c>
      <c r="N208" s="130" t="s">
        <v>3906</v>
      </c>
      <c r="O208" s="263" t="s">
        <v>3907</v>
      </c>
      <c r="P208" s="263" t="s">
        <v>36</v>
      </c>
      <c r="Q208" s="263" t="s">
        <v>49</v>
      </c>
      <c r="R208" s="130" t="s">
        <v>3674</v>
      </c>
      <c r="S208" s="130" t="s">
        <v>3893</v>
      </c>
    </row>
    <row r="209" spans="1:19" ht="30" customHeight="1">
      <c r="A209" s="270">
        <v>207</v>
      </c>
      <c r="B209" s="130" t="s">
        <v>2921</v>
      </c>
      <c r="C209" s="130">
        <v>41200131</v>
      </c>
      <c r="D209" s="130" t="s">
        <v>1476</v>
      </c>
      <c r="E209" s="130" t="s">
        <v>3593</v>
      </c>
      <c r="F209" s="130" t="s">
        <v>3619</v>
      </c>
      <c r="G209" s="130" t="s">
        <v>1</v>
      </c>
      <c r="H209" s="130" t="s">
        <v>3595</v>
      </c>
      <c r="I209" s="130" t="s">
        <v>3596</v>
      </c>
      <c r="J209" s="130" t="s">
        <v>2679</v>
      </c>
      <c r="K209" s="429">
        <v>45915</v>
      </c>
      <c r="L209" s="130">
        <v>1100196200</v>
      </c>
      <c r="M209" s="154" t="s">
        <v>3597</v>
      </c>
      <c r="N209" s="130" t="s">
        <v>3908</v>
      </c>
      <c r="O209" s="263" t="s">
        <v>3909</v>
      </c>
      <c r="P209" s="263" t="s">
        <v>3600</v>
      </c>
      <c r="Q209" s="263" t="s">
        <v>3601</v>
      </c>
      <c r="R209" s="130" t="s">
        <v>3602</v>
      </c>
      <c r="S209" s="130" t="s">
        <v>3806</v>
      </c>
    </row>
    <row r="210" spans="1:19" ht="30" customHeight="1">
      <c r="A210" s="270">
        <v>208</v>
      </c>
      <c r="B210" s="130" t="s">
        <v>2926</v>
      </c>
      <c r="C210" s="130">
        <v>41200122</v>
      </c>
      <c r="D210" s="130" t="s">
        <v>1476</v>
      </c>
      <c r="E210" s="130" t="s">
        <v>3593</v>
      </c>
      <c r="F210" s="130" t="s">
        <v>3594</v>
      </c>
      <c r="G210" s="130" t="s">
        <v>1</v>
      </c>
      <c r="H210" s="130" t="s">
        <v>3608</v>
      </c>
      <c r="I210" s="130" t="s">
        <v>3910</v>
      </c>
      <c r="J210" s="130" t="s">
        <v>2679</v>
      </c>
      <c r="K210" s="429">
        <v>45915</v>
      </c>
      <c r="L210" s="130">
        <v>1200023400</v>
      </c>
      <c r="M210" s="130" t="s">
        <v>2620</v>
      </c>
      <c r="N210" s="130" t="s">
        <v>3911</v>
      </c>
      <c r="O210" s="263" t="s">
        <v>3912</v>
      </c>
      <c r="P210" s="263" t="s">
        <v>26</v>
      </c>
      <c r="Q210" s="263" t="s">
        <v>49</v>
      </c>
      <c r="R210" s="130" t="s">
        <v>3730</v>
      </c>
      <c r="S210" s="130" t="s">
        <v>3913</v>
      </c>
    </row>
    <row r="211" spans="1:19" ht="30" customHeight="1">
      <c r="A211" s="270">
        <v>209</v>
      </c>
      <c r="B211" s="130" t="s">
        <v>2937</v>
      </c>
      <c r="C211" s="130">
        <v>41200169</v>
      </c>
      <c r="D211" s="130" t="s">
        <v>1479</v>
      </c>
      <c r="E211" s="130" t="s">
        <v>3603</v>
      </c>
      <c r="F211" s="130" t="s">
        <v>3604</v>
      </c>
      <c r="G211" s="130" t="s">
        <v>1</v>
      </c>
      <c r="H211" s="130" t="s">
        <v>3595</v>
      </c>
      <c r="I211" s="130" t="s">
        <v>3596</v>
      </c>
      <c r="K211" s="429">
        <v>45916</v>
      </c>
      <c r="L211" s="130">
        <v>1100196200</v>
      </c>
      <c r="M211" s="154" t="s">
        <v>3597</v>
      </c>
      <c r="N211" s="130" t="s">
        <v>3908</v>
      </c>
      <c r="O211" s="263" t="s">
        <v>3914</v>
      </c>
      <c r="P211" s="263" t="s">
        <v>26</v>
      </c>
      <c r="Q211" s="263" t="s">
        <v>3601</v>
      </c>
      <c r="R211" s="130" t="s">
        <v>3602</v>
      </c>
      <c r="S211" s="130" t="s">
        <v>3893</v>
      </c>
    </row>
    <row r="212" spans="1:19" ht="30" customHeight="1">
      <c r="A212" s="270">
        <v>210</v>
      </c>
      <c r="B212" s="130" t="s">
        <v>2937</v>
      </c>
      <c r="C212" s="130">
        <v>41200169</v>
      </c>
      <c r="D212" s="130" t="s">
        <v>1479</v>
      </c>
      <c r="E212" s="130" t="s">
        <v>3603</v>
      </c>
      <c r="F212" s="130" t="s">
        <v>3604</v>
      </c>
      <c r="G212" s="130" t="s">
        <v>1</v>
      </c>
      <c r="H212" s="130" t="s">
        <v>3595</v>
      </c>
      <c r="I212" s="130" t="s">
        <v>2682</v>
      </c>
      <c r="K212" s="429">
        <v>45916</v>
      </c>
      <c r="L212" s="130">
        <v>1110078600</v>
      </c>
      <c r="M212" s="130" t="s">
        <v>386</v>
      </c>
      <c r="N212" s="130" t="s">
        <v>3750</v>
      </c>
      <c r="O212" s="263" t="s">
        <v>3751</v>
      </c>
      <c r="P212" s="130" t="s">
        <v>36</v>
      </c>
      <c r="Q212" s="263" t="s">
        <v>49</v>
      </c>
      <c r="R212" s="130" t="s">
        <v>3666</v>
      </c>
      <c r="S212" s="130" t="s">
        <v>3715</v>
      </c>
    </row>
    <row r="213" spans="1:19" ht="30" customHeight="1">
      <c r="A213" s="270">
        <v>211</v>
      </c>
      <c r="B213" s="130" t="s">
        <v>2938</v>
      </c>
      <c r="C213" s="130">
        <v>41200169</v>
      </c>
      <c r="D213" s="130" t="s">
        <v>1479</v>
      </c>
      <c r="E213" s="130" t="s">
        <v>3603</v>
      </c>
      <c r="F213" s="130" t="s">
        <v>3604</v>
      </c>
      <c r="G213" s="130" t="s">
        <v>1</v>
      </c>
      <c r="H213" s="130" t="s">
        <v>3595</v>
      </c>
      <c r="I213" s="130" t="s">
        <v>2682</v>
      </c>
      <c r="K213" s="429">
        <v>45916</v>
      </c>
      <c r="L213" s="130">
        <v>1110078600</v>
      </c>
      <c r="M213" s="130" t="s">
        <v>386</v>
      </c>
      <c r="N213" s="130" t="s">
        <v>3750</v>
      </c>
      <c r="O213" s="263" t="s">
        <v>3751</v>
      </c>
      <c r="P213" s="130" t="s">
        <v>36</v>
      </c>
      <c r="Q213" s="263" t="s">
        <v>49</v>
      </c>
      <c r="R213" s="130" t="s">
        <v>3666</v>
      </c>
      <c r="S213" s="130" t="s">
        <v>3715</v>
      </c>
    </row>
    <row r="214" spans="1:19" ht="30" customHeight="1">
      <c r="A214" s="270">
        <v>212</v>
      </c>
      <c r="B214" s="130" t="s">
        <v>2948</v>
      </c>
      <c r="C214" s="130">
        <v>41200127</v>
      </c>
      <c r="D214" s="130" t="s">
        <v>1591</v>
      </c>
      <c r="E214" s="130" t="s">
        <v>3603</v>
      </c>
      <c r="F214" s="130" t="s">
        <v>3604</v>
      </c>
      <c r="G214" s="130" t="s">
        <v>1</v>
      </c>
      <c r="H214" s="130" t="s">
        <v>3595</v>
      </c>
      <c r="I214" s="130" t="s">
        <v>2682</v>
      </c>
      <c r="K214" s="429">
        <v>45917</v>
      </c>
      <c r="L214" s="130">
        <v>1110078600</v>
      </c>
      <c r="M214" s="130" t="s">
        <v>386</v>
      </c>
      <c r="N214" s="130" t="s">
        <v>3750</v>
      </c>
      <c r="O214" s="263" t="s">
        <v>3751</v>
      </c>
      <c r="P214" s="130" t="s">
        <v>36</v>
      </c>
      <c r="Q214" s="263" t="s">
        <v>49</v>
      </c>
      <c r="R214" s="130" t="s">
        <v>3666</v>
      </c>
      <c r="S214" s="130" t="s">
        <v>3915</v>
      </c>
    </row>
    <row r="215" spans="1:19" ht="30" customHeight="1">
      <c r="A215" s="270">
        <v>213</v>
      </c>
      <c r="B215" s="130" t="s">
        <v>2943</v>
      </c>
      <c r="C215" s="130">
        <v>41200128</v>
      </c>
      <c r="D215" s="130" t="s">
        <v>1591</v>
      </c>
      <c r="E215" s="130" t="s">
        <v>3603</v>
      </c>
      <c r="F215" s="130" t="s">
        <v>3604</v>
      </c>
      <c r="G215" s="130" t="s">
        <v>1</v>
      </c>
      <c r="H215" s="130" t="s">
        <v>3595</v>
      </c>
      <c r="I215" s="130" t="s">
        <v>2682</v>
      </c>
      <c r="K215" s="429">
        <v>45917</v>
      </c>
      <c r="L215" s="130">
        <v>1100189500</v>
      </c>
      <c r="M215" s="130" t="s">
        <v>2441</v>
      </c>
      <c r="N215" s="130" t="s">
        <v>2946</v>
      </c>
      <c r="O215" s="263" t="s">
        <v>3916</v>
      </c>
      <c r="P215" s="130" t="s">
        <v>36</v>
      </c>
      <c r="Q215" s="263" t="s">
        <v>49</v>
      </c>
      <c r="R215" s="130" t="s">
        <v>3714</v>
      </c>
      <c r="S215" s="130" t="s">
        <v>3917</v>
      </c>
    </row>
    <row r="216" spans="1:19" ht="30" customHeight="1">
      <c r="A216" s="270">
        <v>214</v>
      </c>
      <c r="B216" s="130" t="s">
        <v>2943</v>
      </c>
      <c r="C216" s="130">
        <v>41200128</v>
      </c>
      <c r="D216" s="130" t="s">
        <v>1591</v>
      </c>
      <c r="E216" s="130" t="s">
        <v>3603</v>
      </c>
      <c r="F216" s="130" t="s">
        <v>3604</v>
      </c>
      <c r="G216" s="130" t="s">
        <v>1</v>
      </c>
      <c r="H216" s="130" t="s">
        <v>3595</v>
      </c>
      <c r="I216" s="130" t="s">
        <v>2682</v>
      </c>
      <c r="K216" s="429">
        <v>45917</v>
      </c>
      <c r="L216" s="130">
        <v>1110078600</v>
      </c>
      <c r="M216" s="130" t="s">
        <v>386</v>
      </c>
      <c r="N216" s="130" t="s">
        <v>3750</v>
      </c>
      <c r="O216" s="130" t="s">
        <v>3751</v>
      </c>
      <c r="P216" s="130" t="s">
        <v>36</v>
      </c>
      <c r="Q216" s="130" t="s">
        <v>49</v>
      </c>
      <c r="R216" s="130" t="s">
        <v>3666</v>
      </c>
      <c r="S216" s="130" t="s">
        <v>3915</v>
      </c>
    </row>
    <row r="217" spans="1:19" ht="30" customHeight="1">
      <c r="A217" s="270">
        <v>215</v>
      </c>
      <c r="B217" s="130" t="s">
        <v>2943</v>
      </c>
      <c r="C217" s="130">
        <v>41200128</v>
      </c>
      <c r="D217" s="130" t="s">
        <v>1591</v>
      </c>
      <c r="E217" s="130" t="s">
        <v>3603</v>
      </c>
      <c r="F217" s="130" t="s">
        <v>3604</v>
      </c>
      <c r="G217" s="130" t="s">
        <v>1</v>
      </c>
      <c r="H217" s="130" t="s">
        <v>3595</v>
      </c>
      <c r="I217" s="130" t="s">
        <v>3596</v>
      </c>
      <c r="K217" s="429">
        <v>45917</v>
      </c>
      <c r="L217" s="130">
        <v>1100196600</v>
      </c>
      <c r="M217" s="130" t="s">
        <v>1151</v>
      </c>
      <c r="N217" s="130" t="s">
        <v>3918</v>
      </c>
      <c r="O217" s="130" t="s">
        <v>3919</v>
      </c>
      <c r="P217" s="130" t="s">
        <v>26</v>
      </c>
      <c r="Q217" s="130" t="s">
        <v>3601</v>
      </c>
      <c r="R217" s="130" t="s">
        <v>3602</v>
      </c>
      <c r="S217" s="130" t="s">
        <v>3602</v>
      </c>
    </row>
    <row r="218" spans="1:19" ht="30" customHeight="1">
      <c r="A218" s="270">
        <v>216</v>
      </c>
      <c r="B218" s="130" t="s">
        <v>2949</v>
      </c>
      <c r="C218" s="130">
        <v>41100227</v>
      </c>
      <c r="D218" s="130" t="s">
        <v>1476</v>
      </c>
      <c r="E218" s="130" t="s">
        <v>3603</v>
      </c>
      <c r="F218" s="130" t="s">
        <v>3619</v>
      </c>
      <c r="G218" s="130" t="s">
        <v>1</v>
      </c>
      <c r="H218" s="130" t="s">
        <v>3608</v>
      </c>
      <c r="I218" s="130" t="s">
        <v>2952</v>
      </c>
      <c r="K218" s="429">
        <v>45918</v>
      </c>
      <c r="N218" s="130" t="s">
        <v>3920</v>
      </c>
      <c r="O218" s="130" t="s">
        <v>2953</v>
      </c>
      <c r="P218" s="130" t="s">
        <v>30</v>
      </c>
      <c r="Q218" s="130" t="s">
        <v>49</v>
      </c>
      <c r="R218" s="130" t="s">
        <v>3700</v>
      </c>
      <c r="S218" s="130" t="s">
        <v>3921</v>
      </c>
    </row>
    <row r="219" spans="1:19" ht="30" customHeight="1">
      <c r="A219" s="270">
        <v>217</v>
      </c>
      <c r="B219" s="130" t="s">
        <v>2949</v>
      </c>
      <c r="C219" s="130">
        <v>41100227</v>
      </c>
      <c r="D219" s="130" t="s">
        <v>1476</v>
      </c>
      <c r="E219" s="130" t="s">
        <v>3603</v>
      </c>
      <c r="F219" s="130" t="s">
        <v>3619</v>
      </c>
      <c r="G219" s="130" t="s">
        <v>1</v>
      </c>
      <c r="H219" s="130" t="s">
        <v>3595</v>
      </c>
      <c r="I219" s="130" t="s">
        <v>2682</v>
      </c>
      <c r="J219" s="130" t="s">
        <v>2679</v>
      </c>
      <c r="K219" s="429">
        <v>45918</v>
      </c>
      <c r="L219" s="130">
        <v>1310444000</v>
      </c>
      <c r="M219" s="130" t="s">
        <v>3922</v>
      </c>
      <c r="N219" s="130" t="s">
        <v>2899</v>
      </c>
      <c r="O219" s="130" t="s">
        <v>2899</v>
      </c>
      <c r="P219" s="130" t="s">
        <v>36</v>
      </c>
      <c r="Q219" s="130" t="s">
        <v>49</v>
      </c>
      <c r="R219" s="130" t="s">
        <v>3674</v>
      </c>
      <c r="S219" s="130" t="s">
        <v>3923</v>
      </c>
    </row>
    <row r="220" spans="1:19" ht="30" customHeight="1">
      <c r="A220" s="270">
        <v>218</v>
      </c>
      <c r="B220" s="130" t="s">
        <v>2949</v>
      </c>
      <c r="C220" s="130">
        <v>41100227</v>
      </c>
      <c r="D220" s="130" t="s">
        <v>1476</v>
      </c>
      <c r="E220" s="130" t="s">
        <v>3603</v>
      </c>
      <c r="F220" s="130" t="s">
        <v>3619</v>
      </c>
      <c r="G220" s="130" t="s">
        <v>1</v>
      </c>
      <c r="H220" s="130" t="s">
        <v>3608</v>
      </c>
      <c r="I220" s="130" t="s">
        <v>2682</v>
      </c>
      <c r="K220" s="429">
        <v>45918</v>
      </c>
      <c r="L220" s="130">
        <v>1200329400</v>
      </c>
      <c r="M220" s="130" t="s">
        <v>2955</v>
      </c>
      <c r="N220" s="130" t="s">
        <v>2956</v>
      </c>
      <c r="O220" s="130" t="s">
        <v>3924</v>
      </c>
      <c r="P220" s="130" t="s">
        <v>36</v>
      </c>
      <c r="Q220" s="130" t="s">
        <v>49</v>
      </c>
      <c r="R220" s="130" t="s">
        <v>3700</v>
      </c>
      <c r="S220" s="130" t="s">
        <v>3925</v>
      </c>
    </row>
    <row r="221" spans="1:19" ht="30" customHeight="1">
      <c r="A221" s="270">
        <v>219</v>
      </c>
      <c r="B221" s="130" t="s">
        <v>1871</v>
      </c>
      <c r="C221" s="130">
        <v>41200145</v>
      </c>
      <c r="D221" s="130" t="s">
        <v>1479</v>
      </c>
      <c r="E221" s="130" t="s">
        <v>3593</v>
      </c>
      <c r="F221" s="130" t="s">
        <v>3594</v>
      </c>
      <c r="G221" s="130" t="s">
        <v>1</v>
      </c>
      <c r="H221" s="130" t="s">
        <v>3595</v>
      </c>
      <c r="I221" s="130" t="s">
        <v>3596</v>
      </c>
      <c r="K221" s="429">
        <v>45919</v>
      </c>
      <c r="L221" s="130">
        <v>1100196800</v>
      </c>
      <c r="M221" s="154" t="s">
        <v>3722</v>
      </c>
      <c r="N221" s="130" t="s">
        <v>3723</v>
      </c>
      <c r="O221" s="130" t="s">
        <v>3926</v>
      </c>
      <c r="P221" s="130" t="s">
        <v>3600</v>
      </c>
      <c r="Q221" s="130" t="s">
        <v>3601</v>
      </c>
      <c r="R221" s="130" t="s">
        <v>3602</v>
      </c>
      <c r="S221" s="130" t="s">
        <v>3737</v>
      </c>
    </row>
    <row r="222" spans="1:19" ht="30" customHeight="1">
      <c r="A222" s="270">
        <v>220</v>
      </c>
      <c r="B222" s="130" t="s">
        <v>2969</v>
      </c>
      <c r="C222" s="130">
        <v>41200171</v>
      </c>
      <c r="D222" s="130" t="s">
        <v>1479</v>
      </c>
      <c r="E222" s="130" t="s">
        <v>3603</v>
      </c>
      <c r="F222" s="130" t="s">
        <v>3604</v>
      </c>
      <c r="G222" s="130" t="s">
        <v>1</v>
      </c>
      <c r="H222" s="130" t="s">
        <v>3595</v>
      </c>
      <c r="I222" s="130" t="s">
        <v>2682</v>
      </c>
      <c r="K222" s="429">
        <v>45919</v>
      </c>
      <c r="L222" s="130">
        <v>1100484000</v>
      </c>
      <c r="M222" s="130" t="s">
        <v>103</v>
      </c>
      <c r="N222" s="130" t="s">
        <v>3927</v>
      </c>
      <c r="O222" s="130" t="s">
        <v>2968</v>
      </c>
      <c r="P222" s="130" t="s">
        <v>36</v>
      </c>
      <c r="Q222" s="130" t="s">
        <v>49</v>
      </c>
      <c r="R222" s="130" t="s">
        <v>3666</v>
      </c>
      <c r="S222" s="130" t="s">
        <v>3696</v>
      </c>
    </row>
    <row r="223" spans="1:19" ht="30" customHeight="1">
      <c r="A223" s="270">
        <v>221</v>
      </c>
      <c r="B223" s="130" t="s">
        <v>2964</v>
      </c>
      <c r="C223" s="130">
        <v>41200006</v>
      </c>
      <c r="D223" s="130" t="s">
        <v>1477</v>
      </c>
      <c r="E223" s="130" t="s">
        <v>3593</v>
      </c>
      <c r="F223" s="130" t="s">
        <v>3619</v>
      </c>
      <c r="G223" s="130" t="s">
        <v>1</v>
      </c>
      <c r="H223" s="130" t="s">
        <v>3595</v>
      </c>
      <c r="I223" s="130" t="s">
        <v>3596</v>
      </c>
      <c r="K223" s="429">
        <v>45919</v>
      </c>
      <c r="L223" s="130">
        <v>1100196800</v>
      </c>
      <c r="M223" s="154" t="s">
        <v>3722</v>
      </c>
      <c r="N223" s="130" t="s">
        <v>3723</v>
      </c>
      <c r="O223" s="130" t="s">
        <v>3899</v>
      </c>
      <c r="P223" s="130" t="s">
        <v>3600</v>
      </c>
      <c r="Q223" s="130" t="s">
        <v>3601</v>
      </c>
      <c r="R223" s="130" t="s">
        <v>3602</v>
      </c>
      <c r="S223" s="130" t="s">
        <v>3737</v>
      </c>
    </row>
    <row r="224" spans="1:19" ht="30" customHeight="1">
      <c r="A224" s="270">
        <v>222</v>
      </c>
      <c r="B224" s="130" t="s">
        <v>2961</v>
      </c>
      <c r="C224" s="130">
        <v>41200006</v>
      </c>
      <c r="D224" s="130" t="s">
        <v>1477</v>
      </c>
      <c r="E224" s="130" t="s">
        <v>3593</v>
      </c>
      <c r="F224" s="130" t="s">
        <v>3619</v>
      </c>
      <c r="G224" s="130" t="s">
        <v>1</v>
      </c>
      <c r="H224" s="130" t="s">
        <v>3608</v>
      </c>
      <c r="I224" s="130" t="s">
        <v>2682</v>
      </c>
      <c r="K224" s="429">
        <v>45919</v>
      </c>
      <c r="L224" s="130">
        <v>1200006400</v>
      </c>
      <c r="M224" s="130" t="s">
        <v>2962</v>
      </c>
      <c r="N224" s="130" t="s">
        <v>3928</v>
      </c>
      <c r="O224" s="130" t="s">
        <v>2963</v>
      </c>
      <c r="P224" s="130" t="s">
        <v>36</v>
      </c>
      <c r="Q224" s="130" t="s">
        <v>49</v>
      </c>
      <c r="R224" s="130" t="s">
        <v>3674</v>
      </c>
      <c r="S224" s="130" t="s">
        <v>3925</v>
      </c>
    </row>
    <row r="225" spans="1:19" ht="30" customHeight="1">
      <c r="A225" s="270">
        <v>223</v>
      </c>
      <c r="B225" s="130" t="s">
        <v>2986</v>
      </c>
      <c r="C225" s="130">
        <v>41200109</v>
      </c>
      <c r="D225" s="130" t="s">
        <v>1591</v>
      </c>
      <c r="E225" s="130" t="s">
        <v>3603</v>
      </c>
      <c r="F225" s="130" t="s">
        <v>3604</v>
      </c>
      <c r="G225" s="130" t="s">
        <v>1</v>
      </c>
      <c r="H225" s="130" t="s">
        <v>3595</v>
      </c>
      <c r="I225" s="130" t="s">
        <v>3694</v>
      </c>
      <c r="K225" s="429">
        <v>45922</v>
      </c>
      <c r="L225" s="130">
        <v>1110179600</v>
      </c>
      <c r="M225" s="130" t="s">
        <v>696</v>
      </c>
      <c r="N225" s="130" t="s">
        <v>3929</v>
      </c>
      <c r="O225" s="130" t="s">
        <v>3930</v>
      </c>
      <c r="P225" s="130" t="s">
        <v>30</v>
      </c>
      <c r="Q225" s="130" t="s">
        <v>49</v>
      </c>
      <c r="R225" s="130" t="s">
        <v>3666</v>
      </c>
      <c r="S225" s="130" t="s">
        <v>3666</v>
      </c>
    </row>
    <row r="226" spans="1:19" ht="30" customHeight="1">
      <c r="A226" s="270">
        <v>224</v>
      </c>
      <c r="B226" s="130" t="s">
        <v>2984</v>
      </c>
      <c r="C226" s="130">
        <v>41200109</v>
      </c>
      <c r="D226" s="130" t="s">
        <v>1591</v>
      </c>
      <c r="E226" s="130" t="s">
        <v>3603</v>
      </c>
      <c r="F226" s="130" t="s">
        <v>3604</v>
      </c>
      <c r="G226" s="130" t="s">
        <v>1</v>
      </c>
      <c r="H226" s="130" t="s">
        <v>3595</v>
      </c>
      <c r="I226" s="130" t="s">
        <v>3694</v>
      </c>
      <c r="K226" s="429">
        <v>45922</v>
      </c>
      <c r="L226" s="130">
        <v>1110179600</v>
      </c>
      <c r="M226" s="130" t="s">
        <v>696</v>
      </c>
      <c r="N226" s="130" t="s">
        <v>3929</v>
      </c>
      <c r="O226" s="130" t="s">
        <v>3930</v>
      </c>
      <c r="P226" s="130" t="s">
        <v>30</v>
      </c>
      <c r="Q226" s="130" t="s">
        <v>49</v>
      </c>
      <c r="R226" s="130" t="s">
        <v>3666</v>
      </c>
      <c r="S226" s="130" t="s">
        <v>3666</v>
      </c>
    </row>
    <row r="227" spans="1:19" ht="30" customHeight="1">
      <c r="A227" s="270">
        <v>225</v>
      </c>
      <c r="B227" s="130" t="s">
        <v>2972</v>
      </c>
      <c r="C227" s="130">
        <v>41200027</v>
      </c>
      <c r="D227" s="130" t="s">
        <v>1591</v>
      </c>
      <c r="E227" s="130" t="s">
        <v>3593</v>
      </c>
      <c r="F227" s="130" t="s">
        <v>3619</v>
      </c>
      <c r="G227" s="130" t="s">
        <v>1</v>
      </c>
      <c r="H227" s="130" t="s">
        <v>3595</v>
      </c>
      <c r="I227" s="130" t="s">
        <v>3596</v>
      </c>
      <c r="K227" s="429">
        <v>45922</v>
      </c>
      <c r="L227" s="130">
        <v>1100196200</v>
      </c>
      <c r="M227" s="154" t="s">
        <v>3597</v>
      </c>
      <c r="N227" s="130" t="s">
        <v>3875</v>
      </c>
      <c r="O227" s="265" t="s">
        <v>3880</v>
      </c>
      <c r="P227" s="130" t="s">
        <v>3600</v>
      </c>
      <c r="Q227" s="130" t="s">
        <v>3601</v>
      </c>
      <c r="R227" s="130" t="s">
        <v>3602</v>
      </c>
      <c r="S227" s="130" t="s">
        <v>3737</v>
      </c>
    </row>
    <row r="228" spans="1:19" ht="30" customHeight="1">
      <c r="A228" s="270">
        <v>226</v>
      </c>
      <c r="B228" s="130" t="s">
        <v>2974</v>
      </c>
      <c r="C228" s="130">
        <v>41200061</v>
      </c>
      <c r="D228" s="130" t="s">
        <v>1480</v>
      </c>
      <c r="E228" s="130" t="s">
        <v>3603</v>
      </c>
      <c r="F228" s="130" t="s">
        <v>3604</v>
      </c>
      <c r="G228" s="130" t="s">
        <v>1</v>
      </c>
      <c r="H228" s="130" t="s">
        <v>3608</v>
      </c>
      <c r="I228" s="130" t="s">
        <v>2682</v>
      </c>
      <c r="J228" s="130" t="s">
        <v>2679</v>
      </c>
      <c r="K228" s="429">
        <v>45922</v>
      </c>
      <c r="N228" s="130" t="s">
        <v>2983</v>
      </c>
      <c r="O228" s="130" t="s">
        <v>2983</v>
      </c>
      <c r="P228" s="130" t="s">
        <v>36</v>
      </c>
      <c r="Q228" s="130" t="s">
        <v>49</v>
      </c>
      <c r="R228" s="130" t="s">
        <v>3612</v>
      </c>
      <c r="S228" s="130" t="s">
        <v>3931</v>
      </c>
    </row>
    <row r="229" spans="1:19" ht="30" customHeight="1">
      <c r="A229" s="270">
        <v>227</v>
      </c>
      <c r="B229" s="130" t="s">
        <v>2974</v>
      </c>
      <c r="C229" s="130">
        <v>41200061</v>
      </c>
      <c r="D229" s="130" t="s">
        <v>1480</v>
      </c>
      <c r="E229" s="130" t="s">
        <v>3603</v>
      </c>
      <c r="F229" s="130" t="s">
        <v>3604</v>
      </c>
      <c r="G229" s="130" t="s">
        <v>1</v>
      </c>
      <c r="H229" s="130" t="s">
        <v>3608</v>
      </c>
      <c r="I229" s="130" t="s">
        <v>2682</v>
      </c>
      <c r="K229" s="429">
        <v>45922</v>
      </c>
      <c r="L229" s="130">
        <v>1320009500</v>
      </c>
      <c r="M229" s="130" t="s">
        <v>2979</v>
      </c>
      <c r="N229" s="130" t="s">
        <v>2980</v>
      </c>
      <c r="O229" s="130" t="s">
        <v>2980</v>
      </c>
      <c r="P229" s="130" t="s">
        <v>36</v>
      </c>
      <c r="Q229" s="130" t="s">
        <v>49</v>
      </c>
      <c r="R229" s="130" t="s">
        <v>3612</v>
      </c>
      <c r="S229" s="130" t="s">
        <v>3931</v>
      </c>
    </row>
    <row r="230" spans="1:19" ht="30" customHeight="1">
      <c r="A230" s="270">
        <v>228</v>
      </c>
      <c r="B230" s="130" t="s">
        <v>2974</v>
      </c>
      <c r="C230" s="130">
        <v>41200061</v>
      </c>
      <c r="D230" s="130" t="s">
        <v>1480</v>
      </c>
      <c r="E230" s="130" t="s">
        <v>3603</v>
      </c>
      <c r="F230" s="130" t="s">
        <v>3604</v>
      </c>
      <c r="G230" s="130" t="s">
        <v>1</v>
      </c>
      <c r="H230" s="130" t="s">
        <v>3595</v>
      </c>
      <c r="I230" s="130" t="s">
        <v>2682</v>
      </c>
      <c r="K230" s="429">
        <v>45922</v>
      </c>
      <c r="L230" s="130">
        <v>1100189500</v>
      </c>
      <c r="M230" s="130" t="s">
        <v>2441</v>
      </c>
      <c r="N230" s="130" t="s">
        <v>3932</v>
      </c>
      <c r="O230" s="130" t="s">
        <v>3933</v>
      </c>
      <c r="P230" s="263" t="s">
        <v>36</v>
      </c>
      <c r="Q230" s="130" t="s">
        <v>49</v>
      </c>
      <c r="R230" s="130" t="s">
        <v>3666</v>
      </c>
      <c r="S230" s="130" t="s">
        <v>3666</v>
      </c>
    </row>
    <row r="231" spans="1:19" ht="30" customHeight="1">
      <c r="A231" s="270">
        <v>229</v>
      </c>
      <c r="B231" s="130" t="s">
        <v>2974</v>
      </c>
      <c r="C231" s="130">
        <v>41200061</v>
      </c>
      <c r="D231" s="130" t="s">
        <v>1480</v>
      </c>
      <c r="E231" s="130" t="s">
        <v>3603</v>
      </c>
      <c r="F231" s="130" t="s">
        <v>3604</v>
      </c>
      <c r="G231" s="130" t="s">
        <v>1</v>
      </c>
      <c r="H231" s="130" t="s">
        <v>3595</v>
      </c>
      <c r="I231" s="130" t="s">
        <v>3697</v>
      </c>
      <c r="K231" s="429">
        <v>45922</v>
      </c>
      <c r="L231" s="130">
        <v>1320004400</v>
      </c>
      <c r="M231" s="130" t="s">
        <v>3934</v>
      </c>
      <c r="N231" s="130" t="s">
        <v>3935</v>
      </c>
      <c r="O231" s="130" t="s">
        <v>2975</v>
      </c>
      <c r="P231" s="263" t="s">
        <v>26</v>
      </c>
      <c r="Q231" s="130" t="s">
        <v>49</v>
      </c>
      <c r="R231" s="130" t="s">
        <v>3714</v>
      </c>
      <c r="S231" s="130" t="s">
        <v>3747</v>
      </c>
    </row>
    <row r="232" spans="1:19" ht="30" customHeight="1">
      <c r="A232" s="270">
        <v>230</v>
      </c>
      <c r="B232" s="130" t="s">
        <v>2986</v>
      </c>
      <c r="C232" s="130">
        <v>41200109</v>
      </c>
      <c r="D232" s="130" t="s">
        <v>1591</v>
      </c>
      <c r="E232" s="130" t="s">
        <v>3603</v>
      </c>
      <c r="F232" s="130" t="s">
        <v>3604</v>
      </c>
      <c r="G232" s="130" t="s">
        <v>1</v>
      </c>
      <c r="H232" s="130" t="s">
        <v>3595</v>
      </c>
      <c r="I232" s="130" t="s">
        <v>3596</v>
      </c>
      <c r="K232" s="429">
        <v>45922</v>
      </c>
      <c r="L232" s="130">
        <v>1100142600</v>
      </c>
      <c r="M232" s="130" t="s">
        <v>407</v>
      </c>
      <c r="N232" s="130" t="s">
        <v>3936</v>
      </c>
      <c r="O232" s="130" t="s">
        <v>3937</v>
      </c>
      <c r="P232" s="263" t="s">
        <v>26</v>
      </c>
      <c r="Q232" s="130" t="s">
        <v>54</v>
      </c>
      <c r="R232" s="130" t="s">
        <v>3666</v>
      </c>
      <c r="S232" s="130" t="s">
        <v>3715</v>
      </c>
    </row>
    <row r="233" spans="1:19" ht="30" customHeight="1">
      <c r="A233" s="270">
        <v>231</v>
      </c>
      <c r="B233" s="130" t="s">
        <v>2994</v>
      </c>
      <c r="C233" s="130">
        <v>41200171</v>
      </c>
      <c r="D233" s="130" t="s">
        <v>1479</v>
      </c>
      <c r="E233" s="130" t="s">
        <v>3603</v>
      </c>
      <c r="F233" s="130" t="s">
        <v>3594</v>
      </c>
      <c r="G233" s="130" t="s">
        <v>1</v>
      </c>
      <c r="H233" s="130" t="s">
        <v>3595</v>
      </c>
      <c r="I233" s="130" t="s">
        <v>2894</v>
      </c>
      <c r="K233" s="429">
        <v>45923</v>
      </c>
      <c r="L233" s="130">
        <v>1200281600</v>
      </c>
      <c r="M233" s="130" t="s">
        <v>2992</v>
      </c>
      <c r="N233" s="130" t="s">
        <v>3938</v>
      </c>
      <c r="O233" s="130" t="s">
        <v>3939</v>
      </c>
      <c r="P233" s="263" t="s">
        <v>30</v>
      </c>
      <c r="Q233" s="130" t="s">
        <v>49</v>
      </c>
      <c r="R233" s="130" t="s">
        <v>3666</v>
      </c>
      <c r="S233" s="130" t="s">
        <v>3940</v>
      </c>
    </row>
    <row r="234" spans="1:19" ht="30" customHeight="1">
      <c r="A234" s="270">
        <v>232</v>
      </c>
      <c r="B234" s="130" t="s">
        <v>2991</v>
      </c>
      <c r="C234" s="130">
        <v>41200171</v>
      </c>
      <c r="D234" s="130" t="s">
        <v>1479</v>
      </c>
      <c r="E234" s="130" t="s">
        <v>3603</v>
      </c>
      <c r="F234" s="130" t="s">
        <v>3594</v>
      </c>
      <c r="G234" s="130" t="s">
        <v>1</v>
      </c>
      <c r="H234" s="130" t="s">
        <v>3595</v>
      </c>
      <c r="I234" s="130" t="s">
        <v>2894</v>
      </c>
      <c r="K234" s="429">
        <v>45923</v>
      </c>
      <c r="L234" s="130">
        <v>1200281600</v>
      </c>
      <c r="M234" s="130" t="s">
        <v>2992</v>
      </c>
      <c r="N234" s="130" t="s">
        <v>3938</v>
      </c>
      <c r="O234" s="130" t="s">
        <v>3939</v>
      </c>
      <c r="P234" s="263" t="s">
        <v>30</v>
      </c>
      <c r="Q234" s="130" t="s">
        <v>49</v>
      </c>
      <c r="R234" s="130" t="s">
        <v>3666</v>
      </c>
      <c r="S234" s="130" t="s">
        <v>3940</v>
      </c>
    </row>
    <row r="235" spans="1:19" ht="30" customHeight="1">
      <c r="A235" s="270">
        <v>233</v>
      </c>
      <c r="B235" s="130" t="s">
        <v>2996</v>
      </c>
      <c r="C235" s="130">
        <v>41200006</v>
      </c>
      <c r="D235" s="130" t="s">
        <v>1477</v>
      </c>
      <c r="E235" s="130" t="s">
        <v>3603</v>
      </c>
      <c r="F235" s="130" t="s">
        <v>3604</v>
      </c>
      <c r="G235" s="130" t="s">
        <v>1</v>
      </c>
      <c r="H235" s="130" t="s">
        <v>3595</v>
      </c>
      <c r="I235" s="130" t="s">
        <v>3596</v>
      </c>
      <c r="K235" s="429">
        <v>45923</v>
      </c>
      <c r="L235" s="130">
        <v>1100196800</v>
      </c>
      <c r="M235" s="154" t="s">
        <v>3722</v>
      </c>
      <c r="N235" s="130" t="s">
        <v>3723</v>
      </c>
      <c r="O235" s="130" t="s">
        <v>3890</v>
      </c>
      <c r="P235" s="130" t="s">
        <v>3600</v>
      </c>
      <c r="Q235" s="130" t="s">
        <v>3601</v>
      </c>
      <c r="R235" s="130" t="s">
        <v>3602</v>
      </c>
      <c r="S235" s="130" t="s">
        <v>3893</v>
      </c>
    </row>
    <row r="236" spans="1:19" ht="30" customHeight="1">
      <c r="A236" s="270">
        <v>234</v>
      </c>
      <c r="B236" s="130" t="s">
        <v>2996</v>
      </c>
      <c r="C236" s="130">
        <v>41200006</v>
      </c>
      <c r="D236" s="130" t="s">
        <v>1477</v>
      </c>
      <c r="E236" s="130" t="s">
        <v>3603</v>
      </c>
      <c r="F236" s="130" t="s">
        <v>3604</v>
      </c>
      <c r="G236" s="130" t="s">
        <v>1</v>
      </c>
      <c r="H236" s="130" t="s">
        <v>3595</v>
      </c>
      <c r="I236" s="130" t="s">
        <v>3596</v>
      </c>
      <c r="K236" s="429">
        <v>45923</v>
      </c>
      <c r="L236" s="130">
        <v>1100196800</v>
      </c>
      <c r="M236" s="154" t="s">
        <v>3722</v>
      </c>
      <c r="N236" s="130" t="s">
        <v>3723</v>
      </c>
      <c r="O236" s="130" t="s">
        <v>3899</v>
      </c>
      <c r="P236" s="130" t="s">
        <v>3600</v>
      </c>
      <c r="Q236" s="130" t="s">
        <v>3601</v>
      </c>
      <c r="R236" s="130" t="s">
        <v>3602</v>
      </c>
      <c r="S236" s="130" t="s">
        <v>3893</v>
      </c>
    </row>
    <row r="237" spans="1:19" ht="30" customHeight="1">
      <c r="A237" s="270">
        <v>235</v>
      </c>
      <c r="B237" s="130" t="s">
        <v>3010</v>
      </c>
      <c r="C237" s="130">
        <v>41200171</v>
      </c>
      <c r="D237" s="130" t="s">
        <v>1479</v>
      </c>
      <c r="E237" s="130" t="s">
        <v>3603</v>
      </c>
      <c r="F237" s="130" t="s">
        <v>3594</v>
      </c>
      <c r="G237" s="130" t="s">
        <v>1</v>
      </c>
      <c r="H237" s="130" t="s">
        <v>3595</v>
      </c>
      <c r="I237" s="130" t="s">
        <v>2894</v>
      </c>
      <c r="K237" s="429">
        <v>45925</v>
      </c>
      <c r="L237" s="130">
        <v>1100228300</v>
      </c>
      <c r="M237" s="130" t="s">
        <v>932</v>
      </c>
      <c r="N237" s="130" t="s">
        <v>3733</v>
      </c>
      <c r="O237" s="130" t="s">
        <v>3941</v>
      </c>
      <c r="P237" s="130" t="s">
        <v>26</v>
      </c>
      <c r="Q237" s="130" t="s">
        <v>49</v>
      </c>
      <c r="R237" s="130" t="s">
        <v>3666</v>
      </c>
      <c r="S237" s="130" t="s">
        <v>3666</v>
      </c>
    </row>
    <row r="238" spans="1:19" ht="30" customHeight="1">
      <c r="A238" s="270">
        <v>236</v>
      </c>
      <c r="B238" s="130" t="s">
        <v>3015</v>
      </c>
      <c r="C238" s="130">
        <v>41200033</v>
      </c>
      <c r="D238" s="130" t="s">
        <v>1476</v>
      </c>
      <c r="E238" s="130" t="s">
        <v>3593</v>
      </c>
      <c r="F238" s="130" t="s">
        <v>3604</v>
      </c>
      <c r="G238" s="130" t="s">
        <v>1</v>
      </c>
      <c r="H238" s="130" t="s">
        <v>3595</v>
      </c>
      <c r="I238" s="130" t="s">
        <v>3596</v>
      </c>
      <c r="J238" s="130" t="s">
        <v>2880</v>
      </c>
      <c r="K238" s="429">
        <v>45925</v>
      </c>
      <c r="L238" s="130">
        <v>1100196200</v>
      </c>
      <c r="M238" s="154" t="s">
        <v>3597</v>
      </c>
      <c r="N238" s="130" t="s">
        <v>3875</v>
      </c>
      <c r="O238" s="130" t="s">
        <v>3942</v>
      </c>
      <c r="P238" s="130" t="s">
        <v>3600</v>
      </c>
      <c r="Q238" s="130" t="s">
        <v>3601</v>
      </c>
      <c r="R238" s="130" t="s">
        <v>3602</v>
      </c>
      <c r="S238" s="130" t="s">
        <v>3737</v>
      </c>
    </row>
    <row r="239" spans="1:19" ht="30" customHeight="1">
      <c r="A239" s="270">
        <v>237</v>
      </c>
      <c r="B239" s="130" t="s">
        <v>3017</v>
      </c>
      <c r="C239" s="130">
        <v>41200007</v>
      </c>
      <c r="D239" s="130" t="s">
        <v>1591</v>
      </c>
      <c r="E239" s="130" t="s">
        <v>3593</v>
      </c>
      <c r="F239" s="130" t="s">
        <v>3619</v>
      </c>
      <c r="G239" s="130" t="s">
        <v>1</v>
      </c>
      <c r="H239" s="130" t="s">
        <v>3595</v>
      </c>
      <c r="I239" s="130" t="s">
        <v>3596</v>
      </c>
      <c r="K239" s="429">
        <v>45926</v>
      </c>
      <c r="L239" s="130">
        <v>1100196200</v>
      </c>
      <c r="M239" s="154" t="s">
        <v>3597</v>
      </c>
      <c r="N239" s="130" t="s">
        <v>3943</v>
      </c>
      <c r="O239" s="130" t="s">
        <v>3944</v>
      </c>
      <c r="P239" s="130" t="s">
        <v>3600</v>
      </c>
      <c r="Q239" s="130" t="s">
        <v>3601</v>
      </c>
      <c r="R239" s="130" t="s">
        <v>3602</v>
      </c>
      <c r="S239" s="130" t="s">
        <v>3737</v>
      </c>
    </row>
    <row r="240" spans="1:19" ht="30" customHeight="1">
      <c r="A240" s="270">
        <v>238</v>
      </c>
      <c r="B240" s="130" t="s">
        <v>3031</v>
      </c>
      <c r="C240" s="130">
        <v>41200074</v>
      </c>
      <c r="D240" s="130" t="s">
        <v>1478</v>
      </c>
      <c r="E240" s="130" t="s">
        <v>3603</v>
      </c>
      <c r="F240" s="130" t="s">
        <v>3604</v>
      </c>
      <c r="G240" s="130" t="s">
        <v>1</v>
      </c>
      <c r="H240" s="130" t="s">
        <v>3595</v>
      </c>
      <c r="I240" s="130" t="s">
        <v>3596</v>
      </c>
      <c r="K240" s="429">
        <v>45929</v>
      </c>
      <c r="L240" s="130">
        <v>1100196800</v>
      </c>
      <c r="M240" s="154" t="s">
        <v>3722</v>
      </c>
      <c r="N240" s="130" t="s">
        <v>3945</v>
      </c>
      <c r="O240" s="130" t="s">
        <v>3946</v>
      </c>
      <c r="P240" s="130" t="s">
        <v>26</v>
      </c>
      <c r="Q240" s="263" t="s">
        <v>3601</v>
      </c>
      <c r="R240" s="130" t="s">
        <v>3602</v>
      </c>
      <c r="S240" s="130" t="s">
        <v>3893</v>
      </c>
    </row>
    <row r="241" spans="1:20" ht="30" customHeight="1">
      <c r="A241" s="270">
        <v>239</v>
      </c>
      <c r="B241" s="130" t="s">
        <v>3035</v>
      </c>
      <c r="C241" s="263">
        <v>41200007</v>
      </c>
      <c r="D241" s="263" t="s">
        <v>1591</v>
      </c>
      <c r="E241" s="130" t="s">
        <v>3593</v>
      </c>
      <c r="F241" s="130" t="s">
        <v>3619</v>
      </c>
      <c r="G241" s="130" t="s">
        <v>1</v>
      </c>
      <c r="H241" s="130" t="s">
        <v>3595</v>
      </c>
      <c r="I241" s="130" t="s">
        <v>2682</v>
      </c>
      <c r="K241" s="430">
        <v>45929</v>
      </c>
      <c r="L241" s="263">
        <v>1100407300</v>
      </c>
      <c r="M241" s="263" t="s">
        <v>255</v>
      </c>
      <c r="N241" s="263" t="s">
        <v>2630</v>
      </c>
      <c r="O241" s="130" t="s">
        <v>3947</v>
      </c>
      <c r="P241" s="130" t="s">
        <v>36</v>
      </c>
      <c r="Q241" s="130" t="s">
        <v>49</v>
      </c>
      <c r="R241" s="130" t="s">
        <v>3674</v>
      </c>
      <c r="S241" s="130" t="s">
        <v>3783</v>
      </c>
    </row>
    <row r="242" spans="1:20" ht="30" customHeight="1">
      <c r="A242" s="270">
        <v>240</v>
      </c>
      <c r="B242" s="130" t="s">
        <v>3033</v>
      </c>
      <c r="C242" s="263">
        <v>41200007</v>
      </c>
      <c r="D242" s="263" t="s">
        <v>1591</v>
      </c>
      <c r="E242" s="130" t="s">
        <v>3593</v>
      </c>
      <c r="F242" s="130" t="s">
        <v>3619</v>
      </c>
      <c r="G242" s="263" t="s">
        <v>1</v>
      </c>
      <c r="H242" s="263" t="s">
        <v>3595</v>
      </c>
      <c r="I242" s="263" t="s">
        <v>3596</v>
      </c>
      <c r="J242" s="263"/>
      <c r="K242" s="430">
        <v>45929</v>
      </c>
      <c r="L242" s="263">
        <v>1100196200</v>
      </c>
      <c r="M242" s="154" t="s">
        <v>3597</v>
      </c>
      <c r="N242" s="263" t="s">
        <v>3875</v>
      </c>
      <c r="O242" s="130" t="s">
        <v>3948</v>
      </c>
      <c r="P242" s="263" t="s">
        <v>3600</v>
      </c>
      <c r="Q242" s="263" t="s">
        <v>3601</v>
      </c>
      <c r="R242" s="130" t="s">
        <v>3602</v>
      </c>
      <c r="S242" s="130" t="s">
        <v>3737</v>
      </c>
    </row>
    <row r="243" spans="1:20" ht="30" customHeight="1">
      <c r="A243" s="270">
        <v>241</v>
      </c>
      <c r="B243" s="130" t="s">
        <v>3036</v>
      </c>
      <c r="C243" s="263">
        <v>41200007</v>
      </c>
      <c r="D243" s="263" t="s">
        <v>1591</v>
      </c>
      <c r="E243" s="130" t="s">
        <v>3593</v>
      </c>
      <c r="F243" s="130" t="s">
        <v>3619</v>
      </c>
      <c r="G243" s="263" t="s">
        <v>1</v>
      </c>
      <c r="H243" s="263" t="s">
        <v>3595</v>
      </c>
      <c r="I243" s="263" t="s">
        <v>3596</v>
      </c>
      <c r="J243" s="263"/>
      <c r="K243" s="430">
        <v>45930</v>
      </c>
      <c r="L243" s="263">
        <v>1100196200</v>
      </c>
      <c r="M243" s="154" t="s">
        <v>3597</v>
      </c>
      <c r="N243" s="263" t="s">
        <v>3875</v>
      </c>
      <c r="O243" s="130" t="s">
        <v>3949</v>
      </c>
      <c r="P243" s="263" t="s">
        <v>3600</v>
      </c>
      <c r="Q243" s="263" t="s">
        <v>3601</v>
      </c>
      <c r="R243" s="130" t="s">
        <v>3602</v>
      </c>
      <c r="S243" s="130" t="s">
        <v>3737</v>
      </c>
    </row>
    <row r="244" spans="1:20" ht="30" customHeight="1">
      <c r="A244" s="270">
        <v>242</v>
      </c>
      <c r="B244" s="154" t="s">
        <v>3036</v>
      </c>
      <c r="C244" s="154">
        <v>41200007</v>
      </c>
      <c r="D244" s="154" t="s">
        <v>1591</v>
      </c>
      <c r="E244" s="130" t="s">
        <v>3593</v>
      </c>
      <c r="F244" s="130" t="s">
        <v>3619</v>
      </c>
      <c r="G244" s="154" t="s">
        <v>1</v>
      </c>
      <c r="H244" s="154" t="s">
        <v>3595</v>
      </c>
      <c r="I244" s="154" t="s">
        <v>3596</v>
      </c>
      <c r="J244" s="263"/>
      <c r="K244" s="429">
        <v>45930</v>
      </c>
      <c r="L244" s="154">
        <v>1100196200</v>
      </c>
      <c r="M244" s="154" t="s">
        <v>3597</v>
      </c>
      <c r="N244" s="154" t="s">
        <v>3875</v>
      </c>
      <c r="O244" s="154" t="s">
        <v>3944</v>
      </c>
      <c r="P244" s="263" t="s">
        <v>3600</v>
      </c>
      <c r="Q244" s="263" t="s">
        <v>3601</v>
      </c>
      <c r="R244" s="130" t="s">
        <v>3602</v>
      </c>
      <c r="S244" s="130" t="s">
        <v>3737</v>
      </c>
    </row>
    <row r="245" spans="1:20" ht="30" customHeight="1">
      <c r="A245" s="270">
        <v>243</v>
      </c>
      <c r="B245" s="130" t="s">
        <v>3036</v>
      </c>
      <c r="C245" s="130">
        <v>41200007</v>
      </c>
      <c r="D245" s="130" t="s">
        <v>1591</v>
      </c>
      <c r="E245" s="130" t="s">
        <v>3593</v>
      </c>
      <c r="F245" s="130" t="s">
        <v>3619</v>
      </c>
      <c r="G245" s="130" t="s">
        <v>1</v>
      </c>
      <c r="H245" s="130" t="s">
        <v>3595</v>
      </c>
      <c r="I245" s="130" t="s">
        <v>3596</v>
      </c>
      <c r="K245" s="429">
        <v>45930</v>
      </c>
      <c r="L245" s="130">
        <v>1100196200</v>
      </c>
      <c r="M245" s="154" t="s">
        <v>3597</v>
      </c>
      <c r="N245" s="130" t="s">
        <v>3875</v>
      </c>
      <c r="O245" s="130" t="s">
        <v>3948</v>
      </c>
      <c r="P245" s="130" t="s">
        <v>3600</v>
      </c>
      <c r="Q245" s="130" t="s">
        <v>3601</v>
      </c>
      <c r="R245" s="130" t="s">
        <v>3602</v>
      </c>
      <c r="S245" s="130" t="s">
        <v>3737</v>
      </c>
      <c r="T245" s="265"/>
    </row>
    <row r="246" spans="1:20" ht="30" customHeight="1">
      <c r="A246" s="270">
        <v>244</v>
      </c>
      <c r="B246" s="130" t="s">
        <v>3053</v>
      </c>
      <c r="C246" s="130">
        <v>41200047</v>
      </c>
      <c r="D246" s="130" t="s">
        <v>1476</v>
      </c>
      <c r="E246" s="130" t="s">
        <v>3603</v>
      </c>
      <c r="F246" s="130" t="s">
        <v>3594</v>
      </c>
      <c r="G246" s="130" t="s">
        <v>1</v>
      </c>
      <c r="H246" s="130" t="s">
        <v>3595</v>
      </c>
      <c r="I246" s="130" t="s">
        <v>2682</v>
      </c>
      <c r="J246" s="130" t="s">
        <v>2880</v>
      </c>
      <c r="K246" s="429">
        <v>45932</v>
      </c>
      <c r="L246" s="130">
        <v>1110217200</v>
      </c>
      <c r="M246" s="130" t="s">
        <v>370</v>
      </c>
      <c r="N246" s="130" t="s">
        <v>3950</v>
      </c>
      <c r="O246" s="130" t="s">
        <v>3951</v>
      </c>
      <c r="P246" s="130" t="s">
        <v>36</v>
      </c>
      <c r="Q246" s="130" t="s">
        <v>49</v>
      </c>
      <c r="R246" s="130" t="s">
        <v>3666</v>
      </c>
      <c r="S246" s="130" t="s">
        <v>3838</v>
      </c>
    </row>
    <row r="247" spans="1:20" ht="30" customHeight="1">
      <c r="A247" s="270">
        <v>245</v>
      </c>
      <c r="B247" s="130" t="s">
        <v>3053</v>
      </c>
      <c r="C247" s="130">
        <v>41200047</v>
      </c>
      <c r="D247" s="130" t="s">
        <v>1476</v>
      </c>
      <c r="E247" s="130" t="s">
        <v>3603</v>
      </c>
      <c r="F247" s="130" t="s">
        <v>3594</v>
      </c>
      <c r="G247" s="130" t="s">
        <v>1</v>
      </c>
      <c r="H247" s="130" t="s">
        <v>3595</v>
      </c>
      <c r="I247" s="130" t="s">
        <v>2682</v>
      </c>
      <c r="J247" s="130" t="s">
        <v>2679</v>
      </c>
      <c r="K247" s="429">
        <v>45932</v>
      </c>
      <c r="L247" s="130">
        <v>1100407300</v>
      </c>
      <c r="M247" s="130" t="s">
        <v>255</v>
      </c>
      <c r="N247" s="130" t="s">
        <v>2630</v>
      </c>
      <c r="O247" s="130" t="s">
        <v>3947</v>
      </c>
      <c r="P247" s="130" t="s">
        <v>36</v>
      </c>
      <c r="Q247" s="130" t="s">
        <v>49</v>
      </c>
      <c r="R247" s="130" t="s">
        <v>3666</v>
      </c>
      <c r="S247" s="130" t="s">
        <v>3952</v>
      </c>
    </row>
    <row r="248" spans="1:20" ht="30" customHeight="1">
      <c r="A248" s="270">
        <v>246</v>
      </c>
      <c r="B248" s="130" t="s">
        <v>3056</v>
      </c>
      <c r="C248" s="130">
        <v>41200007</v>
      </c>
      <c r="D248" s="130" t="s">
        <v>1591</v>
      </c>
      <c r="E248" s="130" t="s">
        <v>3603</v>
      </c>
      <c r="F248" s="130" t="s">
        <v>3604</v>
      </c>
      <c r="G248" s="130" t="s">
        <v>1</v>
      </c>
      <c r="H248" s="130" t="s">
        <v>3595</v>
      </c>
      <c r="I248" s="130" t="s">
        <v>3596</v>
      </c>
      <c r="K248" s="429">
        <v>45932</v>
      </c>
      <c r="L248" s="130">
        <v>1100196200</v>
      </c>
      <c r="M248" s="154" t="s">
        <v>3597</v>
      </c>
      <c r="N248" s="130" t="s">
        <v>3943</v>
      </c>
      <c r="O248" s="130" t="s">
        <v>3948</v>
      </c>
      <c r="P248" s="130" t="s">
        <v>3600</v>
      </c>
      <c r="Q248" s="130" t="s">
        <v>3601</v>
      </c>
      <c r="R248" s="130" t="s">
        <v>3602</v>
      </c>
      <c r="S248" s="130" t="s">
        <v>3737</v>
      </c>
    </row>
    <row r="249" spans="1:20" ht="30" customHeight="1">
      <c r="A249" s="270">
        <v>247</v>
      </c>
      <c r="B249" s="130" t="s">
        <v>3063</v>
      </c>
      <c r="C249" s="130">
        <v>41200122</v>
      </c>
      <c r="D249" s="130" t="s">
        <v>1476</v>
      </c>
      <c r="E249" s="130" t="s">
        <v>3593</v>
      </c>
      <c r="F249" s="130" t="s">
        <v>3594</v>
      </c>
      <c r="G249" s="130" t="s">
        <v>1</v>
      </c>
      <c r="H249" s="130" t="s">
        <v>3595</v>
      </c>
      <c r="I249" s="130" t="s">
        <v>3762</v>
      </c>
      <c r="K249" s="429">
        <v>45943</v>
      </c>
      <c r="L249" s="130">
        <v>1200011800</v>
      </c>
      <c r="M249" s="130" t="s">
        <v>2536</v>
      </c>
      <c r="N249" s="130" t="s">
        <v>3953</v>
      </c>
      <c r="O249" s="130" t="s">
        <v>3954</v>
      </c>
      <c r="P249" s="130" t="s">
        <v>30</v>
      </c>
      <c r="Q249" s="130" t="s">
        <v>49</v>
      </c>
      <c r="R249" s="130" t="s">
        <v>3656</v>
      </c>
      <c r="S249" s="130" t="s">
        <v>3656</v>
      </c>
    </row>
    <row r="250" spans="1:20" ht="30" customHeight="1">
      <c r="A250" s="270">
        <v>248</v>
      </c>
      <c r="B250" s="130" t="s">
        <v>3065</v>
      </c>
      <c r="C250" s="130">
        <v>41200105</v>
      </c>
      <c r="D250" s="130" t="s">
        <v>1476</v>
      </c>
      <c r="E250" s="130" t="s">
        <v>3593</v>
      </c>
      <c r="F250" s="130" t="s">
        <v>3594</v>
      </c>
      <c r="G250" s="130" t="s">
        <v>1</v>
      </c>
      <c r="H250" s="130" t="s">
        <v>3595</v>
      </c>
      <c r="I250" s="130" t="s">
        <v>2682</v>
      </c>
      <c r="J250" s="130" t="s">
        <v>2679</v>
      </c>
      <c r="K250" s="429">
        <v>45943</v>
      </c>
      <c r="L250" s="130">
        <v>1300677100</v>
      </c>
      <c r="M250" s="130" t="s">
        <v>3067</v>
      </c>
      <c r="N250" s="130" t="s">
        <v>3955</v>
      </c>
      <c r="O250" s="130" t="s">
        <v>3956</v>
      </c>
      <c r="P250" s="130" t="s">
        <v>36</v>
      </c>
      <c r="Q250" s="130" t="s">
        <v>49</v>
      </c>
      <c r="R250" s="130" t="s">
        <v>3674</v>
      </c>
      <c r="S250" s="130" t="s">
        <v>3737</v>
      </c>
    </row>
    <row r="251" spans="1:20" ht="30" customHeight="1">
      <c r="A251" s="270">
        <v>249</v>
      </c>
      <c r="B251" s="130" t="s">
        <v>3062</v>
      </c>
      <c r="C251" s="130">
        <v>41200173</v>
      </c>
      <c r="D251" s="130" t="s">
        <v>1591</v>
      </c>
      <c r="E251" s="130" t="s">
        <v>3603</v>
      </c>
      <c r="F251" s="130" t="s">
        <v>3594</v>
      </c>
      <c r="G251" s="130" t="s">
        <v>1</v>
      </c>
      <c r="H251" s="130" t="s">
        <v>3595</v>
      </c>
      <c r="I251" s="130" t="s">
        <v>3596</v>
      </c>
      <c r="K251" s="429">
        <v>45943</v>
      </c>
      <c r="L251" s="130">
        <v>1100196200</v>
      </c>
      <c r="M251" s="154" t="s">
        <v>3597</v>
      </c>
      <c r="N251" s="130" t="s">
        <v>3875</v>
      </c>
      <c r="O251" s="130" t="s">
        <v>3944</v>
      </c>
      <c r="P251" s="130" t="s">
        <v>3600</v>
      </c>
      <c r="Q251" s="130" t="s">
        <v>3601</v>
      </c>
      <c r="R251" s="130" t="s">
        <v>3602</v>
      </c>
      <c r="S251" s="130" t="s">
        <v>3737</v>
      </c>
    </row>
    <row r="252" spans="1:20" ht="30" customHeight="1">
      <c r="A252" s="270">
        <v>250</v>
      </c>
      <c r="B252" s="130" t="s">
        <v>3074</v>
      </c>
      <c r="C252" s="130">
        <v>41200076</v>
      </c>
      <c r="D252" s="130" t="s">
        <v>1476</v>
      </c>
      <c r="E252" s="130" t="s">
        <v>3603</v>
      </c>
      <c r="F252" s="130" t="s">
        <v>3604</v>
      </c>
      <c r="G252" s="130" t="s">
        <v>1</v>
      </c>
      <c r="H252" s="130" t="s">
        <v>3595</v>
      </c>
      <c r="I252" s="130" t="s">
        <v>3596</v>
      </c>
      <c r="J252" s="130" t="s">
        <v>2679</v>
      </c>
      <c r="K252" s="429">
        <v>45944</v>
      </c>
      <c r="L252" s="130">
        <v>1100196200</v>
      </c>
      <c r="M252" s="154" t="s">
        <v>3597</v>
      </c>
      <c r="N252" s="130" t="s">
        <v>3875</v>
      </c>
      <c r="O252" s="130" t="s">
        <v>3957</v>
      </c>
      <c r="P252" s="130" t="s">
        <v>3600</v>
      </c>
      <c r="Q252" s="130" t="s">
        <v>3601</v>
      </c>
      <c r="R252" s="130" t="s">
        <v>3602</v>
      </c>
      <c r="S252" s="130" t="s">
        <v>3737</v>
      </c>
    </row>
    <row r="253" spans="1:20" ht="30" customHeight="1">
      <c r="A253" s="270">
        <v>251</v>
      </c>
      <c r="B253" s="130" t="s">
        <v>3069</v>
      </c>
      <c r="C253" s="130">
        <v>41200101</v>
      </c>
      <c r="D253" s="130" t="s">
        <v>1476</v>
      </c>
      <c r="E253" s="130" t="s">
        <v>3603</v>
      </c>
      <c r="F253" s="130" t="s">
        <v>3594</v>
      </c>
      <c r="G253" s="130" t="s">
        <v>1</v>
      </c>
      <c r="H253" s="130" t="s">
        <v>3595</v>
      </c>
      <c r="I253" s="130" t="s">
        <v>2894</v>
      </c>
      <c r="J253" s="130" t="s">
        <v>2880</v>
      </c>
      <c r="K253" s="429">
        <v>45944</v>
      </c>
      <c r="N253" s="130" t="s">
        <v>3958</v>
      </c>
      <c r="O253" s="130" t="s">
        <v>3959</v>
      </c>
      <c r="P253" s="130" t="s">
        <v>26</v>
      </c>
      <c r="Q253" s="130" t="s">
        <v>49</v>
      </c>
      <c r="R253" s="130" t="s">
        <v>3674</v>
      </c>
      <c r="S253" s="130" t="s">
        <v>3923</v>
      </c>
    </row>
    <row r="254" spans="1:20" ht="30" customHeight="1">
      <c r="A254" s="270">
        <v>252</v>
      </c>
      <c r="B254" s="130" t="s">
        <v>3084</v>
      </c>
      <c r="C254" s="130">
        <v>41100435</v>
      </c>
      <c r="D254" s="130" t="s">
        <v>3801</v>
      </c>
      <c r="E254" s="130" t="s">
        <v>3603</v>
      </c>
      <c r="F254" s="130" t="s">
        <v>3604</v>
      </c>
      <c r="G254" s="130" t="s">
        <v>1</v>
      </c>
      <c r="H254" s="130" t="s">
        <v>3608</v>
      </c>
      <c r="I254" s="130" t="s">
        <v>2952</v>
      </c>
      <c r="K254" s="429">
        <v>45945</v>
      </c>
      <c r="N254" s="130" t="s">
        <v>3085</v>
      </c>
      <c r="O254" s="130" t="s">
        <v>3960</v>
      </c>
      <c r="P254" s="130" t="s">
        <v>30</v>
      </c>
      <c r="Q254" s="130" t="s">
        <v>49</v>
      </c>
      <c r="R254" s="130" t="s">
        <v>3674</v>
      </c>
      <c r="S254" s="130" t="s">
        <v>3856</v>
      </c>
    </row>
    <row r="255" spans="1:20" ht="30" customHeight="1">
      <c r="A255" s="270">
        <v>253</v>
      </c>
      <c r="B255" s="130" t="s">
        <v>3087</v>
      </c>
      <c r="C255" s="130">
        <v>41200033</v>
      </c>
      <c r="D255" s="130" t="s">
        <v>1476</v>
      </c>
      <c r="E255" s="130" t="s">
        <v>3593</v>
      </c>
      <c r="F255" s="130" t="s">
        <v>3594</v>
      </c>
      <c r="G255" s="130" t="s">
        <v>1</v>
      </c>
      <c r="H255" s="130" t="s">
        <v>3608</v>
      </c>
      <c r="I255" s="130" t="s">
        <v>2682</v>
      </c>
      <c r="K255" s="429">
        <v>45946</v>
      </c>
      <c r="N255" s="130" t="s">
        <v>3961</v>
      </c>
      <c r="O255" s="130" t="s">
        <v>3962</v>
      </c>
      <c r="P255" s="130" t="s">
        <v>36</v>
      </c>
      <c r="Q255" s="130" t="s">
        <v>49</v>
      </c>
      <c r="R255" s="130" t="s">
        <v>3963</v>
      </c>
      <c r="S255" s="130" t="s">
        <v>3874</v>
      </c>
    </row>
    <row r="256" spans="1:20" ht="30" customHeight="1">
      <c r="A256" s="270">
        <v>254</v>
      </c>
      <c r="B256" s="130" t="s">
        <v>3100</v>
      </c>
      <c r="C256" s="130">
        <v>41200006</v>
      </c>
      <c r="D256" s="130" t="s">
        <v>1477</v>
      </c>
      <c r="E256" s="130" t="s">
        <v>3603</v>
      </c>
      <c r="F256" s="130" t="s">
        <v>3604</v>
      </c>
      <c r="G256" s="130" t="s">
        <v>1</v>
      </c>
      <c r="H256" s="130" t="s">
        <v>3595</v>
      </c>
      <c r="I256" s="130" t="s">
        <v>3596</v>
      </c>
      <c r="K256" s="429">
        <v>45946</v>
      </c>
      <c r="L256" s="130">
        <v>1100196200</v>
      </c>
      <c r="M256" s="154" t="s">
        <v>3597</v>
      </c>
      <c r="N256" s="130" t="s">
        <v>3875</v>
      </c>
      <c r="O256" s="130" t="s">
        <v>3944</v>
      </c>
      <c r="P256" s="130" t="s">
        <v>3600</v>
      </c>
      <c r="Q256" s="130" t="s">
        <v>3601</v>
      </c>
      <c r="R256" s="130" t="s">
        <v>3602</v>
      </c>
      <c r="S256" s="130" t="s">
        <v>3737</v>
      </c>
    </row>
    <row r="257" spans="1:19" ht="30" customHeight="1">
      <c r="A257" s="270">
        <v>255</v>
      </c>
      <c r="B257" s="130" t="s">
        <v>3090</v>
      </c>
      <c r="C257" s="130">
        <v>41200006</v>
      </c>
      <c r="D257" s="130" t="s">
        <v>1477</v>
      </c>
      <c r="E257" s="130" t="s">
        <v>3603</v>
      </c>
      <c r="F257" s="130" t="s">
        <v>3604</v>
      </c>
      <c r="G257" s="130" t="s">
        <v>1</v>
      </c>
      <c r="H257" s="130" t="s">
        <v>3595</v>
      </c>
      <c r="I257" s="130" t="s">
        <v>3596</v>
      </c>
      <c r="K257" s="429">
        <v>45946</v>
      </c>
      <c r="L257" s="130">
        <v>1100196600</v>
      </c>
      <c r="M257" s="130" t="s">
        <v>1151</v>
      </c>
      <c r="N257" s="130" t="s">
        <v>3964</v>
      </c>
      <c r="O257" s="130" t="s">
        <v>3091</v>
      </c>
      <c r="P257" s="130" t="s">
        <v>26</v>
      </c>
      <c r="Q257" s="130" t="s">
        <v>3601</v>
      </c>
      <c r="R257" s="130" t="s">
        <v>3602</v>
      </c>
      <c r="S257" s="130" t="s">
        <v>3893</v>
      </c>
    </row>
    <row r="258" spans="1:19" ht="30" customHeight="1">
      <c r="A258" s="270">
        <v>256</v>
      </c>
      <c r="B258" s="130" t="s">
        <v>3092</v>
      </c>
      <c r="C258" s="130">
        <v>41200007</v>
      </c>
      <c r="D258" s="130" t="s">
        <v>1591</v>
      </c>
      <c r="E258" s="130" t="s">
        <v>3603</v>
      </c>
      <c r="F258" s="130" t="s">
        <v>3604</v>
      </c>
      <c r="G258" s="130" t="s">
        <v>1</v>
      </c>
      <c r="H258" s="130" t="s">
        <v>3595</v>
      </c>
      <c r="I258" s="130" t="s">
        <v>2682</v>
      </c>
      <c r="K258" s="429">
        <v>45946</v>
      </c>
      <c r="L258" s="130">
        <v>1110125100</v>
      </c>
      <c r="M258" s="130" t="s">
        <v>3965</v>
      </c>
      <c r="N258" s="130" t="s">
        <v>3966</v>
      </c>
      <c r="O258" s="130" t="s">
        <v>3967</v>
      </c>
      <c r="P258" s="130" t="s">
        <v>36</v>
      </c>
      <c r="Q258" s="130" t="s">
        <v>49</v>
      </c>
      <c r="R258" s="130" t="s">
        <v>3674</v>
      </c>
      <c r="S258" s="130" t="s">
        <v>3940</v>
      </c>
    </row>
    <row r="259" spans="1:19" ht="30" customHeight="1">
      <c r="A259" s="270">
        <v>257</v>
      </c>
      <c r="B259" s="130" t="s">
        <v>3095</v>
      </c>
      <c r="C259" s="130">
        <v>41200007</v>
      </c>
      <c r="D259" s="130" t="s">
        <v>1591</v>
      </c>
      <c r="E259" s="130" t="s">
        <v>3603</v>
      </c>
      <c r="F259" s="130" t="s">
        <v>3604</v>
      </c>
      <c r="G259" s="130" t="s">
        <v>1</v>
      </c>
      <c r="H259" s="130" t="s">
        <v>3595</v>
      </c>
      <c r="I259" s="130" t="s">
        <v>3596</v>
      </c>
      <c r="K259" s="429">
        <v>45946</v>
      </c>
      <c r="L259" s="130">
        <v>1100196200</v>
      </c>
      <c r="M259" s="154" t="s">
        <v>3597</v>
      </c>
      <c r="N259" s="130" t="s">
        <v>3968</v>
      </c>
      <c r="O259" s="130" t="s">
        <v>3969</v>
      </c>
      <c r="P259" s="130" t="s">
        <v>3600</v>
      </c>
      <c r="Q259" s="130" t="s">
        <v>3601</v>
      </c>
      <c r="R259" s="130" t="s">
        <v>3602</v>
      </c>
      <c r="S259" s="130" t="s">
        <v>3806</v>
      </c>
    </row>
    <row r="260" spans="1:19" ht="30" customHeight="1">
      <c r="A260" s="270">
        <v>258</v>
      </c>
      <c r="B260" s="130" t="s">
        <v>3105</v>
      </c>
      <c r="C260" s="130">
        <v>41000544</v>
      </c>
      <c r="D260" s="130" t="s">
        <v>1476</v>
      </c>
      <c r="E260" s="130" t="s">
        <v>3603</v>
      </c>
      <c r="F260" s="130" t="s">
        <v>3594</v>
      </c>
      <c r="G260" s="130" t="s">
        <v>1</v>
      </c>
      <c r="H260" s="130" t="s">
        <v>3595</v>
      </c>
      <c r="I260" s="130" t="s">
        <v>2682</v>
      </c>
      <c r="J260" s="130" t="s">
        <v>2679</v>
      </c>
      <c r="K260" s="429">
        <v>45947</v>
      </c>
      <c r="L260" s="130">
        <v>1100189500</v>
      </c>
      <c r="M260" s="130" t="s">
        <v>2441</v>
      </c>
      <c r="N260" s="130" t="s">
        <v>3970</v>
      </c>
      <c r="O260" s="130" t="s">
        <v>3971</v>
      </c>
      <c r="P260" s="130" t="s">
        <v>36</v>
      </c>
      <c r="Q260" s="130" t="s">
        <v>49</v>
      </c>
      <c r="R260" s="130" t="s">
        <v>3666</v>
      </c>
      <c r="S260" s="130" t="s">
        <v>3666</v>
      </c>
    </row>
    <row r="261" spans="1:19" ht="30" customHeight="1">
      <c r="A261" s="270">
        <v>259</v>
      </c>
      <c r="B261" s="130" t="s">
        <v>3105</v>
      </c>
      <c r="C261" s="130">
        <v>41000544</v>
      </c>
      <c r="D261" s="130" t="s">
        <v>1476</v>
      </c>
      <c r="E261" s="130" t="s">
        <v>3603</v>
      </c>
      <c r="F261" s="130" t="s">
        <v>3594</v>
      </c>
      <c r="G261" s="130" t="s">
        <v>1</v>
      </c>
      <c r="H261" s="130" t="s">
        <v>3595</v>
      </c>
      <c r="I261" s="130" t="s">
        <v>2682</v>
      </c>
      <c r="J261" s="130" t="s">
        <v>2880</v>
      </c>
      <c r="K261" s="429">
        <v>45947</v>
      </c>
      <c r="L261" s="130">
        <v>1110092700</v>
      </c>
      <c r="M261" s="130" t="s">
        <v>2862</v>
      </c>
      <c r="N261" s="130" t="s">
        <v>3972</v>
      </c>
      <c r="O261" s="130" t="s">
        <v>3973</v>
      </c>
      <c r="P261" s="130" t="s">
        <v>36</v>
      </c>
      <c r="Q261" s="130" t="s">
        <v>49</v>
      </c>
      <c r="R261" s="130" t="s">
        <v>3666</v>
      </c>
      <c r="S261" s="130" t="s">
        <v>3666</v>
      </c>
    </row>
    <row r="262" spans="1:19" ht="30" customHeight="1">
      <c r="A262" s="270">
        <v>260</v>
      </c>
      <c r="B262" s="130" t="s">
        <v>3105</v>
      </c>
      <c r="C262" s="130">
        <v>41000544</v>
      </c>
      <c r="D262" s="130" t="s">
        <v>1476</v>
      </c>
      <c r="E262" s="130" t="s">
        <v>3603</v>
      </c>
      <c r="F262" s="130" t="s">
        <v>3594</v>
      </c>
      <c r="G262" s="130" t="s">
        <v>1</v>
      </c>
      <c r="H262" s="130" t="s">
        <v>3595</v>
      </c>
      <c r="I262" s="130" t="s">
        <v>2894</v>
      </c>
      <c r="J262" s="130" t="s">
        <v>2679</v>
      </c>
      <c r="K262" s="429">
        <v>45947</v>
      </c>
      <c r="N262" s="130" t="s">
        <v>3974</v>
      </c>
      <c r="O262" s="130" t="s">
        <v>3975</v>
      </c>
      <c r="P262" s="130" t="s">
        <v>26</v>
      </c>
      <c r="Q262" s="130" t="s">
        <v>49</v>
      </c>
      <c r="R262" s="130" t="s">
        <v>3674</v>
      </c>
      <c r="S262" s="130" t="s">
        <v>3666</v>
      </c>
    </row>
    <row r="263" spans="1:19" ht="30" customHeight="1">
      <c r="A263" s="270">
        <v>261</v>
      </c>
      <c r="B263" s="130" t="s">
        <v>3115</v>
      </c>
      <c r="C263" s="130">
        <v>41200087</v>
      </c>
      <c r="D263" s="130" t="s">
        <v>1476</v>
      </c>
      <c r="E263" s="130" t="s">
        <v>3603</v>
      </c>
      <c r="F263" s="130" t="s">
        <v>3619</v>
      </c>
      <c r="G263" s="130" t="s">
        <v>1</v>
      </c>
      <c r="H263" s="130" t="s">
        <v>3595</v>
      </c>
      <c r="I263" s="130" t="s">
        <v>3596</v>
      </c>
      <c r="K263" s="429">
        <v>45951</v>
      </c>
      <c r="L263" s="130">
        <v>1100219500</v>
      </c>
      <c r="M263" s="130" t="s">
        <v>438</v>
      </c>
      <c r="N263" s="130" t="s">
        <v>3976</v>
      </c>
      <c r="O263" s="130" t="s">
        <v>3977</v>
      </c>
      <c r="P263" s="130" t="s">
        <v>26</v>
      </c>
      <c r="Q263" s="130" t="s">
        <v>49</v>
      </c>
      <c r="R263" s="130" t="s">
        <v>3666</v>
      </c>
      <c r="S263" s="130" t="s">
        <v>3714</v>
      </c>
    </row>
    <row r="264" spans="1:19" ht="30" customHeight="1">
      <c r="A264" s="270">
        <v>262</v>
      </c>
      <c r="B264" s="263" t="s">
        <v>3120</v>
      </c>
      <c r="C264" s="263">
        <v>41200101</v>
      </c>
      <c r="D264" s="263" t="s">
        <v>1476</v>
      </c>
      <c r="E264" s="130" t="s">
        <v>3603</v>
      </c>
      <c r="F264" s="130" t="s">
        <v>3619</v>
      </c>
      <c r="G264" s="130" t="s">
        <v>1</v>
      </c>
      <c r="H264" s="130" t="s">
        <v>3595</v>
      </c>
      <c r="I264" s="263" t="s">
        <v>2682</v>
      </c>
      <c r="J264" s="263"/>
      <c r="K264" s="430">
        <v>45951</v>
      </c>
      <c r="L264" s="263">
        <v>1100550600</v>
      </c>
      <c r="M264" s="263" t="s">
        <v>370</v>
      </c>
      <c r="N264" s="263" t="s">
        <v>3978</v>
      </c>
      <c r="O264" s="130" t="s">
        <v>3979</v>
      </c>
      <c r="P264" s="263" t="s">
        <v>36</v>
      </c>
      <c r="Q264" s="263" t="s">
        <v>49</v>
      </c>
      <c r="R264" s="130" t="s">
        <v>3666</v>
      </c>
      <c r="S264" s="130" t="s">
        <v>3838</v>
      </c>
    </row>
    <row r="265" spans="1:19" ht="30" customHeight="1">
      <c r="A265" s="270">
        <v>263</v>
      </c>
      <c r="B265" s="263" t="s">
        <v>3133</v>
      </c>
      <c r="C265" s="263">
        <v>41200152</v>
      </c>
      <c r="D265" s="263" t="s">
        <v>1476</v>
      </c>
      <c r="E265" s="130" t="s">
        <v>3603</v>
      </c>
      <c r="F265" s="130" t="s">
        <v>3604</v>
      </c>
      <c r="G265" s="130" t="s">
        <v>1</v>
      </c>
      <c r="H265" s="130" t="s">
        <v>3595</v>
      </c>
      <c r="I265" s="263" t="s">
        <v>3596</v>
      </c>
      <c r="J265" s="263" t="s">
        <v>2679</v>
      </c>
      <c r="K265" s="430">
        <v>45952</v>
      </c>
      <c r="L265" s="263">
        <v>1100196200</v>
      </c>
      <c r="M265" s="154" t="s">
        <v>3597</v>
      </c>
      <c r="N265" s="263" t="s">
        <v>3980</v>
      </c>
      <c r="O265" s="130" t="s">
        <v>3969</v>
      </c>
      <c r="P265" s="263" t="s">
        <v>3600</v>
      </c>
      <c r="Q265" s="263" t="s">
        <v>3601</v>
      </c>
      <c r="R265" s="130" t="s">
        <v>3602</v>
      </c>
      <c r="S265" s="130" t="s">
        <v>3981</v>
      </c>
    </row>
    <row r="266" spans="1:19" ht="30" customHeight="1">
      <c r="A266" s="270">
        <v>264</v>
      </c>
      <c r="B266" s="263" t="s">
        <v>3130</v>
      </c>
      <c r="C266" s="263">
        <v>41200101</v>
      </c>
      <c r="D266" s="263" t="s">
        <v>1476</v>
      </c>
      <c r="E266" s="130" t="s">
        <v>3603</v>
      </c>
      <c r="F266" s="130" t="s">
        <v>3594</v>
      </c>
      <c r="G266" s="263" t="s">
        <v>1</v>
      </c>
      <c r="H266" s="263" t="s">
        <v>3595</v>
      </c>
      <c r="I266" s="263" t="s">
        <v>3596</v>
      </c>
      <c r="J266" s="263" t="s">
        <v>2679</v>
      </c>
      <c r="K266" s="430">
        <v>45952</v>
      </c>
      <c r="L266" s="263">
        <v>1100196200</v>
      </c>
      <c r="M266" s="154" t="s">
        <v>3597</v>
      </c>
      <c r="N266" s="263" t="s">
        <v>3980</v>
      </c>
      <c r="O266" s="130" t="s">
        <v>3982</v>
      </c>
      <c r="P266" s="263" t="s">
        <v>3600</v>
      </c>
      <c r="Q266" s="263" t="s">
        <v>3601</v>
      </c>
      <c r="R266" s="130" t="s">
        <v>3602</v>
      </c>
      <c r="S266" s="130" t="s">
        <v>3737</v>
      </c>
    </row>
    <row r="267" spans="1:19" ht="30" customHeight="1">
      <c r="A267" s="270">
        <v>265</v>
      </c>
      <c r="B267" s="263" t="s">
        <v>3130</v>
      </c>
      <c r="C267" s="263">
        <v>41200101</v>
      </c>
      <c r="D267" s="263" t="s">
        <v>1476</v>
      </c>
      <c r="E267" s="130" t="s">
        <v>3603</v>
      </c>
      <c r="F267" s="130" t="s">
        <v>3594</v>
      </c>
      <c r="G267" s="263" t="s">
        <v>1</v>
      </c>
      <c r="H267" s="263" t="s">
        <v>3595</v>
      </c>
      <c r="I267" s="263" t="s">
        <v>3596</v>
      </c>
      <c r="J267" s="263" t="s">
        <v>2679</v>
      </c>
      <c r="K267" s="430">
        <v>45952</v>
      </c>
      <c r="L267" s="263">
        <v>1110017500</v>
      </c>
      <c r="M267" s="263" t="s">
        <v>1104</v>
      </c>
      <c r="N267" s="263" t="s">
        <v>3983</v>
      </c>
      <c r="O267" s="130" t="s">
        <v>3984</v>
      </c>
      <c r="P267" s="263" t="s">
        <v>30</v>
      </c>
      <c r="Q267" s="263" t="s">
        <v>49</v>
      </c>
      <c r="R267" s="130" t="s">
        <v>3666</v>
      </c>
      <c r="S267" s="130" t="s">
        <v>3798</v>
      </c>
    </row>
    <row r="268" spans="1:19" ht="30" customHeight="1">
      <c r="A268" s="270">
        <v>266</v>
      </c>
      <c r="B268" s="263" t="s">
        <v>3142</v>
      </c>
      <c r="C268" s="263">
        <v>41100435</v>
      </c>
      <c r="D268" s="263" t="s">
        <v>3801</v>
      </c>
      <c r="E268" s="130" t="s">
        <v>3593</v>
      </c>
      <c r="F268" s="130" t="s">
        <v>3594</v>
      </c>
      <c r="G268" s="263" t="s">
        <v>1</v>
      </c>
      <c r="H268" s="263" t="s">
        <v>3595</v>
      </c>
      <c r="I268" s="263" t="s">
        <v>2894</v>
      </c>
      <c r="J268" s="263"/>
      <c r="K268" s="430">
        <v>45954</v>
      </c>
      <c r="L268" s="263">
        <v>1100681400</v>
      </c>
      <c r="M268" s="263" t="s">
        <v>3965</v>
      </c>
      <c r="N268" s="263" t="s">
        <v>3985</v>
      </c>
      <c r="O268" s="130" t="s">
        <v>3986</v>
      </c>
      <c r="P268" s="263" t="s">
        <v>36</v>
      </c>
      <c r="Q268" s="263" t="s">
        <v>49</v>
      </c>
      <c r="R268" s="130" t="s">
        <v>3656</v>
      </c>
      <c r="S268" s="130" t="s">
        <v>3987</v>
      </c>
    </row>
    <row r="269" spans="1:19" ht="30" customHeight="1">
      <c r="A269" s="270">
        <v>267</v>
      </c>
      <c r="B269" s="130" t="s">
        <v>3171</v>
      </c>
      <c r="C269" s="263">
        <v>41000514</v>
      </c>
      <c r="D269" s="263" t="s">
        <v>1581</v>
      </c>
      <c r="E269" s="130" t="s">
        <v>3651</v>
      </c>
      <c r="F269" s="130" t="s">
        <v>3619</v>
      </c>
      <c r="G269" s="263" t="s">
        <v>1</v>
      </c>
      <c r="H269" s="263" t="s">
        <v>3595</v>
      </c>
      <c r="I269" s="263" t="s">
        <v>3596</v>
      </c>
      <c r="J269" s="263" t="s">
        <v>2679</v>
      </c>
      <c r="K269" s="430">
        <v>45958</v>
      </c>
      <c r="L269" s="263">
        <v>1100827300</v>
      </c>
      <c r="M269" s="263" t="s">
        <v>816</v>
      </c>
      <c r="N269" s="263" t="s">
        <v>3988</v>
      </c>
      <c r="O269" s="265" t="s">
        <v>3989</v>
      </c>
      <c r="P269" s="130" t="s">
        <v>26</v>
      </c>
      <c r="Q269" s="263" t="s">
        <v>54</v>
      </c>
      <c r="R269" s="130" t="s">
        <v>3602</v>
      </c>
      <c r="S269" s="130" t="s">
        <v>3602</v>
      </c>
    </row>
    <row r="270" spans="1:19" ht="30" customHeight="1">
      <c r="A270" s="270">
        <v>268</v>
      </c>
      <c r="B270" s="130" t="s">
        <v>3184</v>
      </c>
      <c r="C270" s="263">
        <v>41100317</v>
      </c>
      <c r="D270" s="263" t="s">
        <v>1476</v>
      </c>
      <c r="E270" s="130" t="s">
        <v>3593</v>
      </c>
      <c r="F270" s="130" t="s">
        <v>3619</v>
      </c>
      <c r="G270" s="263" t="s">
        <v>1</v>
      </c>
      <c r="H270" s="263" t="s">
        <v>3595</v>
      </c>
      <c r="I270" s="263" t="s">
        <v>3596</v>
      </c>
      <c r="J270" s="263" t="s">
        <v>2679</v>
      </c>
      <c r="K270" s="430">
        <v>45960</v>
      </c>
      <c r="L270" s="263">
        <v>1100196600</v>
      </c>
      <c r="M270" s="263" t="s">
        <v>1151</v>
      </c>
      <c r="N270" s="263" t="s">
        <v>3990</v>
      </c>
      <c r="O270" s="130" t="s">
        <v>3991</v>
      </c>
      <c r="P270" s="263" t="s">
        <v>26</v>
      </c>
      <c r="Q270" s="263" t="s">
        <v>3601</v>
      </c>
      <c r="R270" s="130" t="s">
        <v>3602</v>
      </c>
      <c r="S270" s="130" t="s">
        <v>3806</v>
      </c>
    </row>
    <row r="271" spans="1:19" ht="30" customHeight="1">
      <c r="A271" s="270">
        <v>269</v>
      </c>
      <c r="B271" s="130" t="s">
        <v>3191</v>
      </c>
      <c r="C271" s="263">
        <v>41200074</v>
      </c>
      <c r="D271" s="263" t="s">
        <v>1478</v>
      </c>
      <c r="E271" s="130" t="s">
        <v>3593</v>
      </c>
      <c r="F271" s="130" t="s">
        <v>3619</v>
      </c>
      <c r="G271" s="263" t="s">
        <v>1</v>
      </c>
      <c r="H271" s="263" t="s">
        <v>3595</v>
      </c>
      <c r="I271" s="263" t="s">
        <v>3762</v>
      </c>
      <c r="J271" s="263" t="s">
        <v>2679</v>
      </c>
      <c r="K271" s="430">
        <v>45960</v>
      </c>
      <c r="L271" s="263">
        <v>1311178500</v>
      </c>
      <c r="M271" s="263" t="s">
        <v>3192</v>
      </c>
      <c r="N271" s="263" t="s">
        <v>3992</v>
      </c>
      <c r="O271" s="130" t="s">
        <v>3992</v>
      </c>
      <c r="P271" s="263" t="s">
        <v>30</v>
      </c>
      <c r="Q271" s="263" t="s">
        <v>49</v>
      </c>
      <c r="R271" s="130" t="s">
        <v>3993</v>
      </c>
      <c r="S271" s="130" t="s">
        <v>3993</v>
      </c>
    </row>
    <row r="272" spans="1:19" ht="30" customHeight="1">
      <c r="A272" s="270">
        <v>270</v>
      </c>
      <c r="B272" s="154" t="s">
        <v>3198</v>
      </c>
      <c r="C272" s="154">
        <v>41200158</v>
      </c>
      <c r="D272" s="154" t="s">
        <v>1480</v>
      </c>
      <c r="E272" s="154" t="s">
        <v>3593</v>
      </c>
      <c r="F272" s="154" t="s">
        <v>3619</v>
      </c>
      <c r="G272" s="154" t="s">
        <v>1</v>
      </c>
      <c r="H272" s="154" t="s">
        <v>3595</v>
      </c>
      <c r="I272" s="154" t="s">
        <v>3596</v>
      </c>
      <c r="J272" s="154" t="s">
        <v>2679</v>
      </c>
      <c r="K272" s="185">
        <v>45961</v>
      </c>
      <c r="L272" s="154">
        <v>1100196200</v>
      </c>
      <c r="M272" s="154" t="s">
        <v>3597</v>
      </c>
      <c r="N272" s="154" t="s">
        <v>3980</v>
      </c>
      <c r="O272" s="154" t="s">
        <v>3982</v>
      </c>
      <c r="P272" s="154" t="s">
        <v>3600</v>
      </c>
      <c r="Q272" s="154" t="s">
        <v>3601</v>
      </c>
      <c r="R272" s="154" t="s">
        <v>3602</v>
      </c>
      <c r="S272" s="154" t="s">
        <v>3760</v>
      </c>
    </row>
    <row r="273" spans="1:20" ht="30" customHeight="1">
      <c r="A273" s="270">
        <v>271</v>
      </c>
      <c r="B273" s="154" t="s">
        <v>3195</v>
      </c>
      <c r="C273" s="154">
        <v>41200074</v>
      </c>
      <c r="D273" s="154" t="s">
        <v>1478</v>
      </c>
      <c r="E273" s="154" t="s">
        <v>3593</v>
      </c>
      <c r="F273" s="154" t="s">
        <v>3619</v>
      </c>
      <c r="G273" s="154" t="s">
        <v>1</v>
      </c>
      <c r="H273" s="154" t="s">
        <v>3595</v>
      </c>
      <c r="I273" s="154" t="s">
        <v>3596</v>
      </c>
      <c r="J273" s="154" t="s">
        <v>2679</v>
      </c>
      <c r="K273" s="185">
        <v>45961</v>
      </c>
      <c r="L273" s="154">
        <v>1100196600</v>
      </c>
      <c r="M273" s="154" t="s">
        <v>1151</v>
      </c>
      <c r="N273" s="154" t="s">
        <v>3990</v>
      </c>
      <c r="O273" s="154" t="s">
        <v>3991</v>
      </c>
      <c r="P273" s="154" t="s">
        <v>26</v>
      </c>
      <c r="Q273" s="154" t="s">
        <v>3601</v>
      </c>
      <c r="R273" s="154" t="s">
        <v>3602</v>
      </c>
      <c r="S273" s="154" t="s">
        <v>3760</v>
      </c>
    </row>
    <row r="274" spans="1:20" ht="30" customHeight="1">
      <c r="A274" s="270">
        <v>272</v>
      </c>
      <c r="B274" s="263" t="s">
        <v>3205</v>
      </c>
      <c r="C274" s="263">
        <v>41200158</v>
      </c>
      <c r="D274" s="263" t="s">
        <v>1480</v>
      </c>
      <c r="E274" s="130" t="s">
        <v>3593</v>
      </c>
      <c r="F274" s="130" t="s">
        <v>3619</v>
      </c>
      <c r="G274" s="263" t="s">
        <v>1</v>
      </c>
      <c r="H274" s="263" t="s">
        <v>3595</v>
      </c>
      <c r="I274" s="263" t="s">
        <v>3596</v>
      </c>
      <c r="J274" s="263" t="s">
        <v>2679</v>
      </c>
      <c r="K274" s="430">
        <v>45965</v>
      </c>
      <c r="L274" s="263">
        <v>1100196200</v>
      </c>
      <c r="M274" s="263" t="s">
        <v>3597</v>
      </c>
      <c r="N274" s="263" t="s">
        <v>3980</v>
      </c>
      <c r="O274" s="130" t="s">
        <v>3982</v>
      </c>
      <c r="P274" s="263" t="s">
        <v>3600</v>
      </c>
      <c r="Q274" s="263" t="s">
        <v>3601</v>
      </c>
      <c r="R274" s="130" t="s">
        <v>3602</v>
      </c>
      <c r="S274" s="130" t="s">
        <v>3602</v>
      </c>
    </row>
    <row r="275" spans="1:20" ht="30" customHeight="1">
      <c r="A275" s="270">
        <v>273</v>
      </c>
      <c r="B275" s="263" t="s">
        <v>3219</v>
      </c>
      <c r="C275" s="263">
        <v>41200048</v>
      </c>
      <c r="D275" s="263" t="s">
        <v>1476</v>
      </c>
      <c r="E275" s="130" t="s">
        <v>3603</v>
      </c>
      <c r="F275" s="130" t="s">
        <v>3604</v>
      </c>
      <c r="G275" s="263" t="s">
        <v>1</v>
      </c>
      <c r="H275" s="263" t="s">
        <v>3595</v>
      </c>
      <c r="I275" s="263" t="s">
        <v>3596</v>
      </c>
      <c r="J275" s="130" t="s">
        <v>2679</v>
      </c>
      <c r="K275" s="430">
        <v>45966</v>
      </c>
      <c r="L275" s="263">
        <v>1310984000</v>
      </c>
      <c r="M275" s="263" t="s">
        <v>3220</v>
      </c>
      <c r="N275" s="130" t="s">
        <v>3994</v>
      </c>
      <c r="O275" s="130" t="s">
        <v>3995</v>
      </c>
      <c r="P275" s="263" t="s">
        <v>26</v>
      </c>
      <c r="Q275" s="263" t="s">
        <v>49</v>
      </c>
      <c r="R275" s="130" t="s">
        <v>3602</v>
      </c>
      <c r="S275" s="130" t="s">
        <v>3760</v>
      </c>
    </row>
    <row r="276" spans="1:20" ht="30" customHeight="1">
      <c r="A276" s="270">
        <v>274</v>
      </c>
      <c r="B276" s="263" t="s">
        <v>3210</v>
      </c>
      <c r="C276" s="263">
        <v>41200007</v>
      </c>
      <c r="D276" s="263" t="s">
        <v>1591</v>
      </c>
      <c r="E276" s="130" t="s">
        <v>3603</v>
      </c>
      <c r="F276" s="130" t="s">
        <v>3604</v>
      </c>
      <c r="G276" s="263" t="s">
        <v>1</v>
      </c>
      <c r="H276" s="263" t="s">
        <v>3595</v>
      </c>
      <c r="I276" s="263" t="s">
        <v>2682</v>
      </c>
      <c r="K276" s="430">
        <v>45966</v>
      </c>
      <c r="L276" s="263">
        <v>1100189500</v>
      </c>
      <c r="M276" s="263" t="s">
        <v>2441</v>
      </c>
      <c r="N276" s="130" t="s">
        <v>3996</v>
      </c>
      <c r="O276" s="130" t="s">
        <v>3997</v>
      </c>
      <c r="P276" s="263" t="s">
        <v>36</v>
      </c>
      <c r="Q276" s="263" t="s">
        <v>49</v>
      </c>
      <c r="R276" s="130" t="s">
        <v>3696</v>
      </c>
      <c r="S276" s="130" t="s">
        <v>3696</v>
      </c>
    </row>
    <row r="277" spans="1:20" ht="30" customHeight="1">
      <c r="A277" s="270">
        <v>275</v>
      </c>
      <c r="B277" s="263" t="s">
        <v>3226</v>
      </c>
      <c r="C277" s="263">
        <v>41200184</v>
      </c>
      <c r="D277" s="263" t="s">
        <v>1479</v>
      </c>
      <c r="E277" s="130" t="s">
        <v>3603</v>
      </c>
      <c r="F277" s="130" t="s">
        <v>3604</v>
      </c>
      <c r="G277" s="263" t="s">
        <v>1</v>
      </c>
      <c r="H277" s="263" t="s">
        <v>3595</v>
      </c>
      <c r="I277" s="263" t="s">
        <v>2894</v>
      </c>
      <c r="J277" s="263"/>
      <c r="K277" s="430">
        <v>45967</v>
      </c>
      <c r="L277" s="263">
        <v>1100196300</v>
      </c>
      <c r="M277" s="263" t="s">
        <v>3597</v>
      </c>
      <c r="N277" s="263" t="s">
        <v>3998</v>
      </c>
      <c r="O277" s="130" t="s">
        <v>3999</v>
      </c>
      <c r="P277" s="263" t="s">
        <v>26</v>
      </c>
      <c r="Q277" s="263" t="s">
        <v>49</v>
      </c>
      <c r="R277" s="130" t="s">
        <v>3674</v>
      </c>
      <c r="S277" s="130" t="s">
        <v>3760</v>
      </c>
    </row>
    <row r="278" spans="1:20" ht="30" customHeight="1">
      <c r="A278" s="270">
        <v>276</v>
      </c>
      <c r="B278" s="263" t="s">
        <v>3255</v>
      </c>
      <c r="C278" s="263">
        <v>41200122</v>
      </c>
      <c r="D278" s="263" t="s">
        <v>1476</v>
      </c>
      <c r="E278" s="130" t="s">
        <v>3603</v>
      </c>
      <c r="F278" s="130" t="s">
        <v>3604</v>
      </c>
      <c r="G278" s="263" t="s">
        <v>1</v>
      </c>
      <c r="H278" s="263" t="s">
        <v>3595</v>
      </c>
      <c r="I278" s="263" t="s">
        <v>3596</v>
      </c>
      <c r="J278" s="263" t="s">
        <v>2880</v>
      </c>
      <c r="K278" s="430">
        <v>45972</v>
      </c>
      <c r="L278" s="263">
        <v>1100196300</v>
      </c>
      <c r="M278" s="263" t="s">
        <v>3597</v>
      </c>
      <c r="N278" s="263" t="s">
        <v>4000</v>
      </c>
      <c r="O278" s="130" t="s">
        <v>3999</v>
      </c>
      <c r="P278" s="263" t="s">
        <v>26</v>
      </c>
      <c r="Q278" s="263" t="s">
        <v>3601</v>
      </c>
      <c r="R278" s="130" t="s">
        <v>3602</v>
      </c>
      <c r="S278" s="130" t="s">
        <v>3602</v>
      </c>
    </row>
    <row r="279" spans="1:20" ht="30" customHeight="1">
      <c r="A279" s="270">
        <v>277</v>
      </c>
      <c r="B279" s="263" t="s">
        <v>3267</v>
      </c>
      <c r="C279" s="263">
        <v>41200061</v>
      </c>
      <c r="D279" s="263" t="s">
        <v>1480</v>
      </c>
      <c r="E279" s="130" t="s">
        <v>3593</v>
      </c>
      <c r="F279" s="130" t="s">
        <v>3619</v>
      </c>
      <c r="G279" s="263" t="s">
        <v>1</v>
      </c>
      <c r="H279" s="263" t="s">
        <v>3595</v>
      </c>
      <c r="I279" s="263" t="s">
        <v>3596</v>
      </c>
      <c r="J279" s="263" t="s">
        <v>2679</v>
      </c>
      <c r="K279" s="430">
        <v>45974</v>
      </c>
      <c r="L279" s="263">
        <v>1100196200</v>
      </c>
      <c r="M279" s="263" t="s">
        <v>3597</v>
      </c>
      <c r="N279" s="263" t="s">
        <v>4001</v>
      </c>
      <c r="O279" s="130" t="s">
        <v>4002</v>
      </c>
      <c r="P279" s="263" t="s">
        <v>26</v>
      </c>
      <c r="Q279" s="263" t="s">
        <v>3601</v>
      </c>
      <c r="R279" s="130" t="s">
        <v>3602</v>
      </c>
      <c r="S279" s="130" t="s">
        <v>3806</v>
      </c>
    </row>
    <row r="280" spans="1:20" ht="30" customHeight="1">
      <c r="A280" s="270">
        <v>278</v>
      </c>
      <c r="B280" s="263" t="s">
        <v>3274</v>
      </c>
      <c r="C280" s="263">
        <v>41200007</v>
      </c>
      <c r="D280" s="263" t="s">
        <v>1591</v>
      </c>
      <c r="E280" s="130" t="s">
        <v>3593</v>
      </c>
      <c r="F280" s="130" t="s">
        <v>3594</v>
      </c>
      <c r="G280" s="263" t="s">
        <v>1</v>
      </c>
      <c r="H280" s="263" t="s">
        <v>3595</v>
      </c>
      <c r="I280" s="263" t="s">
        <v>3596</v>
      </c>
      <c r="J280" s="263"/>
      <c r="K280" s="430">
        <v>45974</v>
      </c>
      <c r="L280" s="263">
        <v>1100196200</v>
      </c>
      <c r="M280" s="263" t="s">
        <v>3597</v>
      </c>
      <c r="N280" s="263" t="s">
        <v>4003</v>
      </c>
      <c r="O280" s="130" t="s">
        <v>4004</v>
      </c>
      <c r="P280" s="263" t="s">
        <v>3600</v>
      </c>
      <c r="Q280" s="263" t="s">
        <v>3601</v>
      </c>
      <c r="R280" s="130" t="s">
        <v>3602</v>
      </c>
      <c r="S280" s="130" t="s">
        <v>3806</v>
      </c>
    </row>
    <row r="281" spans="1:20" ht="30" customHeight="1">
      <c r="A281" s="548">
        <v>279</v>
      </c>
      <c r="B281" s="269" t="s">
        <v>3272</v>
      </c>
      <c r="C281" s="423">
        <v>41200007</v>
      </c>
      <c r="D281" s="423" t="s">
        <v>1591</v>
      </c>
      <c r="E281" s="269" t="s">
        <v>3593</v>
      </c>
      <c r="F281" s="269" t="s">
        <v>3594</v>
      </c>
      <c r="G281" s="423" t="s">
        <v>1</v>
      </c>
      <c r="H281" s="423" t="s">
        <v>3595</v>
      </c>
      <c r="I281" s="423" t="s">
        <v>3596</v>
      </c>
      <c r="J281" s="423"/>
      <c r="K281" s="549">
        <v>45974</v>
      </c>
      <c r="L281" s="423">
        <v>1100196200</v>
      </c>
      <c r="M281" s="423" t="s">
        <v>3597</v>
      </c>
      <c r="N281" s="423" t="s">
        <v>4003</v>
      </c>
      <c r="O281" s="269" t="s">
        <v>4005</v>
      </c>
      <c r="P281" s="423" t="s">
        <v>3600</v>
      </c>
      <c r="Q281" s="423" t="s">
        <v>3601</v>
      </c>
      <c r="R281" s="269" t="s">
        <v>3602</v>
      </c>
      <c r="S281" s="269" t="s">
        <v>3806</v>
      </c>
    </row>
    <row r="282" spans="1:20" ht="30" customHeight="1">
      <c r="A282" s="270">
        <v>280</v>
      </c>
      <c r="B282" s="126" t="s">
        <v>3258</v>
      </c>
      <c r="C282" s="126">
        <v>41200158</v>
      </c>
      <c r="D282" s="126" t="s">
        <v>1480</v>
      </c>
      <c r="E282" s="126" t="s">
        <v>3603</v>
      </c>
      <c r="F282" s="126" t="s">
        <v>3619</v>
      </c>
      <c r="G282" s="126" t="s">
        <v>4006</v>
      </c>
      <c r="H282" s="126" t="s">
        <v>3595</v>
      </c>
      <c r="I282" s="126" t="s">
        <v>3596</v>
      </c>
      <c r="J282" s="126" t="s">
        <v>2679</v>
      </c>
      <c r="K282" s="127">
        <v>45974</v>
      </c>
      <c r="L282" s="126" t="s">
        <v>71</v>
      </c>
      <c r="M282" s="126" t="s">
        <v>71</v>
      </c>
      <c r="N282" s="126" t="s">
        <v>4007</v>
      </c>
      <c r="O282" s="126" t="s">
        <v>4008</v>
      </c>
      <c r="P282" s="126" t="s">
        <v>30</v>
      </c>
      <c r="Q282" s="126" t="s">
        <v>61</v>
      </c>
      <c r="R282" s="132" t="s">
        <v>71</v>
      </c>
      <c r="S282" s="132" t="s">
        <v>71</v>
      </c>
      <c r="T282" s="434"/>
    </row>
    <row r="283" spans="1:20" ht="30" customHeight="1">
      <c r="A283" s="270">
        <v>281</v>
      </c>
      <c r="B283" s="126" t="s">
        <v>3262</v>
      </c>
      <c r="C283" s="126">
        <v>41200158</v>
      </c>
      <c r="D283" s="126" t="s">
        <v>1480</v>
      </c>
      <c r="E283" s="126" t="s">
        <v>3603</v>
      </c>
      <c r="F283" s="126" t="s">
        <v>3594</v>
      </c>
      <c r="G283" s="126" t="s">
        <v>4006</v>
      </c>
      <c r="H283" s="126" t="s">
        <v>3595</v>
      </c>
      <c r="I283" s="126" t="s">
        <v>2682</v>
      </c>
      <c r="J283" s="126" t="s">
        <v>2679</v>
      </c>
      <c r="K283" s="127">
        <v>45974</v>
      </c>
      <c r="L283" s="126"/>
      <c r="M283" s="126"/>
      <c r="N283" s="126" t="s">
        <v>4009</v>
      </c>
      <c r="O283" s="126" t="s">
        <v>4010</v>
      </c>
      <c r="P283" s="126" t="s">
        <v>36</v>
      </c>
      <c r="Q283" s="126" t="s">
        <v>61</v>
      </c>
      <c r="R283" s="132"/>
      <c r="S283" s="132"/>
      <c r="T283" s="434"/>
    </row>
    <row r="284" spans="1:20" ht="30" customHeight="1">
      <c r="A284" s="548">
        <v>282</v>
      </c>
      <c r="B284" s="132" t="s">
        <v>3271</v>
      </c>
      <c r="C284" s="132">
        <v>41200101</v>
      </c>
      <c r="D284" s="132" t="s">
        <v>1476</v>
      </c>
      <c r="E284" s="132" t="s">
        <v>2555</v>
      </c>
      <c r="F284" s="132" t="s">
        <v>2555</v>
      </c>
      <c r="G284" s="132" t="s">
        <v>4006</v>
      </c>
      <c r="H284" s="132" t="s">
        <v>3608</v>
      </c>
      <c r="I284" s="132" t="s">
        <v>3910</v>
      </c>
      <c r="J284" s="132" t="s">
        <v>2880</v>
      </c>
      <c r="K284" s="140">
        <v>45975</v>
      </c>
      <c r="L284" s="132" t="s">
        <v>71</v>
      </c>
      <c r="M284" s="132" t="s">
        <v>71</v>
      </c>
      <c r="N284" s="132" t="s">
        <v>4011</v>
      </c>
      <c r="O284" s="132" t="s">
        <v>4012</v>
      </c>
      <c r="P284" s="132" t="s">
        <v>30</v>
      </c>
      <c r="Q284" s="132" t="s">
        <v>61</v>
      </c>
      <c r="R284" s="132"/>
      <c r="S284" s="132"/>
      <c r="T284" s="434"/>
    </row>
    <row r="285" spans="1:20" ht="30" customHeight="1">
      <c r="A285" s="270">
        <v>283</v>
      </c>
      <c r="B285" s="132" t="s">
        <v>3271</v>
      </c>
      <c r="C285" s="132">
        <v>41200101</v>
      </c>
      <c r="D285" s="132" t="s">
        <v>1476</v>
      </c>
      <c r="E285" s="132" t="s">
        <v>2555</v>
      </c>
      <c r="F285" s="132" t="s">
        <v>2555</v>
      </c>
      <c r="G285" s="132" t="s">
        <v>4006</v>
      </c>
      <c r="H285" s="132" t="s">
        <v>3608</v>
      </c>
      <c r="I285" s="132" t="s">
        <v>2952</v>
      </c>
      <c r="J285" s="132" t="s">
        <v>2679</v>
      </c>
      <c r="K285" s="140">
        <v>45975</v>
      </c>
      <c r="L285" s="132" t="s">
        <v>71</v>
      </c>
      <c r="M285" s="132" t="s">
        <v>71</v>
      </c>
      <c r="N285" s="132" t="s">
        <v>4013</v>
      </c>
      <c r="O285" s="132" t="s">
        <v>4014</v>
      </c>
      <c r="P285" s="132" t="s">
        <v>30</v>
      </c>
      <c r="Q285" s="132" t="s">
        <v>61</v>
      </c>
      <c r="R285" s="132"/>
      <c r="S285" s="132"/>
      <c r="T285" s="434"/>
    </row>
    <row r="286" spans="1:20" ht="30" customHeight="1">
      <c r="A286" s="548">
        <v>285</v>
      </c>
      <c r="B286" s="428" t="s">
        <v>3276</v>
      </c>
      <c r="C286" s="428">
        <v>41200007</v>
      </c>
      <c r="D286" s="428" t="s">
        <v>1591</v>
      </c>
      <c r="E286" s="302" t="s">
        <v>3593</v>
      </c>
      <c r="F286" s="302" t="s">
        <v>3594</v>
      </c>
      <c r="G286" s="428" t="s">
        <v>1</v>
      </c>
      <c r="H286" s="428" t="s">
        <v>3595</v>
      </c>
      <c r="I286" s="428" t="s">
        <v>3596</v>
      </c>
      <c r="J286" s="428"/>
      <c r="K286" s="550">
        <v>45975</v>
      </c>
      <c r="L286" s="428">
        <v>1100196200</v>
      </c>
      <c r="M286" s="428" t="s">
        <v>3597</v>
      </c>
      <c r="N286" s="428" t="s">
        <v>3968</v>
      </c>
      <c r="O286" s="302" t="s">
        <v>4005</v>
      </c>
      <c r="P286" s="428" t="s">
        <v>3600</v>
      </c>
      <c r="Q286" s="428" t="s">
        <v>3601</v>
      </c>
      <c r="R286" s="302" t="s">
        <v>3602</v>
      </c>
      <c r="S286" s="302" t="s">
        <v>3760</v>
      </c>
    </row>
    <row r="287" spans="1:20" ht="30" customHeight="1">
      <c r="A287" s="270">
        <v>286</v>
      </c>
      <c r="B287" s="263" t="s">
        <v>3276</v>
      </c>
      <c r="C287" s="263">
        <v>41200007</v>
      </c>
      <c r="D287" s="263" t="s">
        <v>1591</v>
      </c>
      <c r="E287" s="130" t="s">
        <v>3593</v>
      </c>
      <c r="F287" s="130" t="s">
        <v>3594</v>
      </c>
      <c r="G287" s="263" t="s">
        <v>1</v>
      </c>
      <c r="H287" s="263" t="s">
        <v>3595</v>
      </c>
      <c r="I287" s="263" t="s">
        <v>3596</v>
      </c>
      <c r="J287" s="263"/>
      <c r="K287" s="430">
        <v>45975</v>
      </c>
      <c r="L287" s="263">
        <v>1100196200</v>
      </c>
      <c r="M287" s="263" t="s">
        <v>3597</v>
      </c>
      <c r="N287" s="263" t="s">
        <v>3968</v>
      </c>
      <c r="O287" s="130" t="s">
        <v>4015</v>
      </c>
      <c r="P287" s="263" t="s">
        <v>3600</v>
      </c>
      <c r="Q287" s="263" t="s">
        <v>3601</v>
      </c>
      <c r="R287" s="130" t="s">
        <v>3602</v>
      </c>
      <c r="S287" s="130" t="s">
        <v>3760</v>
      </c>
    </row>
    <row r="288" spans="1:20" ht="30" customHeight="1">
      <c r="A288" s="270">
        <v>287</v>
      </c>
      <c r="B288" s="263" t="s">
        <v>3276</v>
      </c>
      <c r="C288" s="263">
        <v>41200007</v>
      </c>
      <c r="D288" s="263" t="s">
        <v>1591</v>
      </c>
      <c r="E288" s="130" t="s">
        <v>3593</v>
      </c>
      <c r="F288" s="130" t="s">
        <v>3594</v>
      </c>
      <c r="G288" s="263" t="s">
        <v>1</v>
      </c>
      <c r="H288" s="263" t="s">
        <v>3595</v>
      </c>
      <c r="I288" s="263" t="s">
        <v>3596</v>
      </c>
      <c r="J288" s="263"/>
      <c r="K288" s="430">
        <v>45975</v>
      </c>
      <c r="L288" s="263">
        <v>1100196200</v>
      </c>
      <c r="M288" s="263" t="s">
        <v>3597</v>
      </c>
      <c r="N288" s="263" t="s">
        <v>3968</v>
      </c>
      <c r="O288" s="130" t="s">
        <v>4004</v>
      </c>
      <c r="P288" s="263" t="s">
        <v>3600</v>
      </c>
      <c r="Q288" s="263" t="s">
        <v>3601</v>
      </c>
      <c r="R288" s="130" t="s">
        <v>3602</v>
      </c>
      <c r="S288" s="130" t="s">
        <v>3760</v>
      </c>
    </row>
    <row r="289" spans="1:20" ht="30" customHeight="1">
      <c r="A289" s="548">
        <v>288</v>
      </c>
      <c r="B289" s="263" t="s">
        <v>3278</v>
      </c>
      <c r="C289" s="263">
        <v>41200076</v>
      </c>
      <c r="D289" s="263" t="s">
        <v>1476</v>
      </c>
      <c r="E289" s="130" t="s">
        <v>3593</v>
      </c>
      <c r="F289" s="130" t="s">
        <v>3619</v>
      </c>
      <c r="G289" s="263" t="s">
        <v>1</v>
      </c>
      <c r="H289" s="263" t="s">
        <v>3595</v>
      </c>
      <c r="I289" s="263" t="s">
        <v>3596</v>
      </c>
      <c r="J289" s="263" t="s">
        <v>2880</v>
      </c>
      <c r="K289" s="430">
        <v>45975</v>
      </c>
      <c r="L289" s="263">
        <v>1100196200</v>
      </c>
      <c r="M289" s="263" t="s">
        <v>3597</v>
      </c>
      <c r="N289" s="263" t="s">
        <v>4016</v>
      </c>
      <c r="O289" s="130" t="s">
        <v>4017</v>
      </c>
      <c r="P289" s="263" t="s">
        <v>26</v>
      </c>
      <c r="Q289" s="263" t="s">
        <v>3601</v>
      </c>
      <c r="R289" s="130" t="s">
        <v>3602</v>
      </c>
      <c r="S289" s="130" t="s">
        <v>3806</v>
      </c>
    </row>
    <row r="290" spans="1:20" ht="30" customHeight="1">
      <c r="A290" s="270">
        <v>289</v>
      </c>
      <c r="B290" s="130" t="s">
        <v>3304</v>
      </c>
      <c r="C290" s="130">
        <v>41100502</v>
      </c>
      <c r="D290" s="130" t="s">
        <v>1591</v>
      </c>
      <c r="E290" s="130" t="s">
        <v>3593</v>
      </c>
      <c r="F290" s="130" t="s">
        <v>3594</v>
      </c>
      <c r="G290" s="130" t="s">
        <v>4006</v>
      </c>
      <c r="H290" s="130" t="s">
        <v>3595</v>
      </c>
      <c r="I290" s="130" t="s">
        <v>3762</v>
      </c>
      <c r="K290" s="429">
        <v>45980</v>
      </c>
      <c r="N290" s="130" t="s">
        <v>4018</v>
      </c>
      <c r="O290" s="130" t="s">
        <v>4018</v>
      </c>
      <c r="P290" s="130" t="s">
        <v>30</v>
      </c>
      <c r="Q290" s="130" t="s">
        <v>61</v>
      </c>
    </row>
    <row r="291" spans="1:20" ht="30" customHeight="1">
      <c r="A291" s="270">
        <v>290</v>
      </c>
      <c r="B291" s="263" t="s">
        <v>3310</v>
      </c>
      <c r="C291" s="263">
        <v>41200005</v>
      </c>
      <c r="D291" s="263" t="s">
        <v>1591</v>
      </c>
      <c r="E291" s="130" t="s">
        <v>3593</v>
      </c>
      <c r="F291" s="130" t="s">
        <v>3594</v>
      </c>
      <c r="G291" s="263" t="s">
        <v>1</v>
      </c>
      <c r="H291" s="263" t="s">
        <v>3595</v>
      </c>
      <c r="I291" s="263" t="s">
        <v>3596</v>
      </c>
      <c r="J291" s="263"/>
      <c r="K291" s="430">
        <v>45980</v>
      </c>
      <c r="L291" s="263">
        <v>1100196200</v>
      </c>
      <c r="M291" s="263" t="s">
        <v>3597</v>
      </c>
      <c r="N291" s="263" t="s">
        <v>3968</v>
      </c>
      <c r="O291" s="130" t="s">
        <v>4015</v>
      </c>
      <c r="P291" s="263" t="s">
        <v>3600</v>
      </c>
      <c r="Q291" s="263" t="s">
        <v>3601</v>
      </c>
      <c r="R291" s="130" t="s">
        <v>3602</v>
      </c>
      <c r="S291" s="130" t="s">
        <v>3760</v>
      </c>
    </row>
    <row r="292" spans="1:20" ht="30" customHeight="1">
      <c r="A292" s="548">
        <v>291</v>
      </c>
      <c r="B292" s="263" t="s">
        <v>3310</v>
      </c>
      <c r="C292" s="263">
        <v>41200005</v>
      </c>
      <c r="D292" s="263" t="s">
        <v>1591</v>
      </c>
      <c r="E292" s="130" t="s">
        <v>3593</v>
      </c>
      <c r="F292" s="130" t="s">
        <v>3594</v>
      </c>
      <c r="G292" s="263" t="s">
        <v>1</v>
      </c>
      <c r="H292" s="263" t="s">
        <v>3595</v>
      </c>
      <c r="I292" s="263" t="s">
        <v>3596</v>
      </c>
      <c r="K292" s="430">
        <v>45980</v>
      </c>
      <c r="L292" s="263">
        <v>1100196200</v>
      </c>
      <c r="M292" s="263" t="s">
        <v>3597</v>
      </c>
      <c r="N292" s="263" t="s">
        <v>3968</v>
      </c>
      <c r="O292" s="130" t="s">
        <v>4005</v>
      </c>
      <c r="P292" s="263" t="s">
        <v>3600</v>
      </c>
      <c r="Q292" s="263" t="s">
        <v>3601</v>
      </c>
      <c r="R292" s="130" t="s">
        <v>3602</v>
      </c>
      <c r="S292" s="130" t="s">
        <v>3760</v>
      </c>
    </row>
    <row r="293" spans="1:20" ht="30" customHeight="1">
      <c r="A293" s="270">
        <v>292</v>
      </c>
      <c r="B293" s="130" t="s">
        <v>3312</v>
      </c>
      <c r="C293" s="130">
        <v>41200005</v>
      </c>
      <c r="D293" s="130" t="s">
        <v>1591</v>
      </c>
      <c r="E293" s="130" t="s">
        <v>3593</v>
      </c>
      <c r="F293" s="130" t="s">
        <v>3594</v>
      </c>
      <c r="G293" s="130" t="s">
        <v>4006</v>
      </c>
      <c r="H293" s="130" t="s">
        <v>3595</v>
      </c>
      <c r="I293" s="130" t="s">
        <v>2682</v>
      </c>
      <c r="K293" s="429">
        <v>45981</v>
      </c>
      <c r="N293" s="130" t="s">
        <v>4019</v>
      </c>
      <c r="O293" s="130" t="s">
        <v>4019</v>
      </c>
      <c r="P293" s="130" t="s">
        <v>36</v>
      </c>
      <c r="Q293" s="130" t="s">
        <v>61</v>
      </c>
    </row>
    <row r="294" spans="1:20" ht="30" customHeight="1">
      <c r="A294" s="270">
        <v>293</v>
      </c>
      <c r="B294" s="130" t="s">
        <v>3314</v>
      </c>
      <c r="C294" s="130">
        <v>41200158</v>
      </c>
      <c r="D294" s="130" t="s">
        <v>1480</v>
      </c>
      <c r="E294" s="130" t="s">
        <v>3603</v>
      </c>
      <c r="F294" s="130" t="s">
        <v>3604</v>
      </c>
      <c r="G294" s="130" t="s">
        <v>4006</v>
      </c>
      <c r="H294" s="130" t="s">
        <v>3595</v>
      </c>
      <c r="I294" s="130" t="s">
        <v>2894</v>
      </c>
      <c r="J294" s="130" t="s">
        <v>2880</v>
      </c>
      <c r="K294" s="429">
        <v>45981</v>
      </c>
      <c r="N294" s="130" t="s">
        <v>4020</v>
      </c>
      <c r="O294" s="130" t="s">
        <v>4020</v>
      </c>
      <c r="P294" s="130" t="s">
        <v>30</v>
      </c>
      <c r="Q294" s="130" t="s">
        <v>61</v>
      </c>
    </row>
    <row r="295" spans="1:20" ht="30" customHeight="1">
      <c r="A295" s="548">
        <v>294</v>
      </c>
      <c r="B295" s="263" t="s">
        <v>3319</v>
      </c>
      <c r="C295" s="263">
        <v>41200005</v>
      </c>
      <c r="D295" s="263" t="s">
        <v>1591</v>
      </c>
      <c r="E295" s="130" t="s">
        <v>3603</v>
      </c>
      <c r="F295" s="130" t="s">
        <v>3604</v>
      </c>
      <c r="G295" s="263" t="s">
        <v>1</v>
      </c>
      <c r="H295" s="263" t="s">
        <v>3595</v>
      </c>
      <c r="I295" s="263" t="s">
        <v>3596</v>
      </c>
      <c r="J295" s="263"/>
      <c r="K295" s="430">
        <v>45981</v>
      </c>
      <c r="L295" s="263">
        <v>1100196200</v>
      </c>
      <c r="M295" s="263" t="s">
        <v>3597</v>
      </c>
      <c r="N295" s="263" t="s">
        <v>3968</v>
      </c>
      <c r="O295" s="130" t="s">
        <v>4021</v>
      </c>
      <c r="P295" s="263" t="s">
        <v>3600</v>
      </c>
      <c r="Q295" s="263" t="s">
        <v>3601</v>
      </c>
      <c r="R295" s="130" t="s">
        <v>3602</v>
      </c>
      <c r="S295" s="130" t="s">
        <v>3760</v>
      </c>
    </row>
    <row r="296" spans="1:20" ht="30" customHeight="1">
      <c r="A296" s="270">
        <v>295</v>
      </c>
      <c r="B296" s="263" t="s">
        <v>3319</v>
      </c>
      <c r="C296" s="263">
        <v>41200005</v>
      </c>
      <c r="D296" s="263" t="s">
        <v>1591</v>
      </c>
      <c r="E296" s="130" t="s">
        <v>3603</v>
      </c>
      <c r="F296" s="130" t="s">
        <v>3604</v>
      </c>
      <c r="G296" s="263" t="s">
        <v>1</v>
      </c>
      <c r="H296" s="263" t="s">
        <v>3595</v>
      </c>
      <c r="I296" s="263" t="s">
        <v>3596</v>
      </c>
      <c r="J296" s="263"/>
      <c r="K296" s="430">
        <v>45981</v>
      </c>
      <c r="L296" s="263">
        <v>1100196200</v>
      </c>
      <c r="M296" s="263" t="s">
        <v>3597</v>
      </c>
      <c r="N296" s="263" t="s">
        <v>3968</v>
      </c>
      <c r="O296" s="263" t="s">
        <v>4022</v>
      </c>
      <c r="P296" s="263" t="s">
        <v>3600</v>
      </c>
      <c r="Q296" s="263" t="s">
        <v>3601</v>
      </c>
      <c r="R296" s="130" t="s">
        <v>3602</v>
      </c>
      <c r="S296" s="130" t="s">
        <v>3760</v>
      </c>
    </row>
    <row r="297" spans="1:20" ht="30" customHeight="1">
      <c r="A297" s="270">
        <v>296</v>
      </c>
      <c r="B297" s="263" t="s">
        <v>3319</v>
      </c>
      <c r="C297" s="263">
        <v>41200005</v>
      </c>
      <c r="D297" s="263" t="s">
        <v>1591</v>
      </c>
      <c r="E297" s="130" t="s">
        <v>3603</v>
      </c>
      <c r="F297" s="130" t="s">
        <v>3604</v>
      </c>
      <c r="G297" s="263" t="s">
        <v>1</v>
      </c>
      <c r="H297" s="263" t="s">
        <v>3595</v>
      </c>
      <c r="I297" s="263" t="s">
        <v>3596</v>
      </c>
      <c r="J297" s="263"/>
      <c r="K297" s="430">
        <v>45981</v>
      </c>
      <c r="L297" s="263">
        <v>1100196200</v>
      </c>
      <c r="M297" s="263" t="s">
        <v>3597</v>
      </c>
      <c r="N297" s="263" t="s">
        <v>3968</v>
      </c>
      <c r="O297" s="263" t="s">
        <v>4023</v>
      </c>
      <c r="P297" s="263" t="s">
        <v>3600</v>
      </c>
      <c r="Q297" s="263" t="s">
        <v>3601</v>
      </c>
      <c r="R297" s="130" t="s">
        <v>3602</v>
      </c>
      <c r="S297" s="130" t="s">
        <v>3760</v>
      </c>
    </row>
    <row r="298" spans="1:20" ht="30" customHeight="1">
      <c r="A298" s="548">
        <v>297</v>
      </c>
      <c r="B298" s="263" t="s">
        <v>3332</v>
      </c>
      <c r="C298" s="263">
        <v>41200076</v>
      </c>
      <c r="D298" s="263" t="s">
        <v>1476</v>
      </c>
      <c r="E298" s="130" t="s">
        <v>3603</v>
      </c>
      <c r="F298" s="130" t="s">
        <v>3604</v>
      </c>
      <c r="G298" s="263" t="s">
        <v>1</v>
      </c>
      <c r="H298" s="263" t="s">
        <v>3595</v>
      </c>
      <c r="I298" s="263" t="s">
        <v>3596</v>
      </c>
      <c r="J298" s="263" t="s">
        <v>2679</v>
      </c>
      <c r="K298" s="430">
        <v>45982</v>
      </c>
      <c r="L298" s="263">
        <v>1100196200</v>
      </c>
      <c r="M298" s="263" t="s">
        <v>3597</v>
      </c>
      <c r="N298" s="263" t="s">
        <v>4000</v>
      </c>
      <c r="O298" s="263" t="s">
        <v>4024</v>
      </c>
      <c r="P298" s="263" t="s">
        <v>26</v>
      </c>
      <c r="Q298" s="263" t="s">
        <v>3601</v>
      </c>
      <c r="R298" s="130" t="s">
        <v>3602</v>
      </c>
      <c r="S298" s="130" t="s">
        <v>3760</v>
      </c>
    </row>
    <row r="299" spans="1:20" ht="30" customHeight="1">
      <c r="A299" s="270">
        <v>298</v>
      </c>
      <c r="B299" s="263" t="s">
        <v>3321</v>
      </c>
      <c r="C299" s="263">
        <v>41200153</v>
      </c>
      <c r="D299" s="263" t="s">
        <v>1476</v>
      </c>
      <c r="E299" s="130" t="s">
        <v>3593</v>
      </c>
      <c r="F299" s="130" t="s">
        <v>3594</v>
      </c>
      <c r="G299" s="263" t="s">
        <v>1</v>
      </c>
      <c r="H299" s="263" t="s">
        <v>3595</v>
      </c>
      <c r="I299" s="263" t="s">
        <v>3596</v>
      </c>
      <c r="J299" s="263" t="s">
        <v>2679</v>
      </c>
      <c r="K299" s="430">
        <v>45982</v>
      </c>
      <c r="L299" s="263">
        <v>1100607700</v>
      </c>
      <c r="M299" s="263" t="s">
        <v>3722</v>
      </c>
      <c r="N299" s="263" t="s">
        <v>4025</v>
      </c>
      <c r="O299" s="263" t="s">
        <v>4026</v>
      </c>
      <c r="P299" s="263" t="s">
        <v>3600</v>
      </c>
      <c r="Q299" s="263" t="s">
        <v>3601</v>
      </c>
      <c r="R299" s="130" t="s">
        <v>3602</v>
      </c>
      <c r="S299" s="130" t="s">
        <v>3806</v>
      </c>
    </row>
    <row r="300" spans="1:20" ht="30" customHeight="1">
      <c r="A300" s="270">
        <v>299</v>
      </c>
      <c r="B300" s="154" t="s">
        <v>3322</v>
      </c>
      <c r="C300" s="154">
        <v>41200153</v>
      </c>
      <c r="D300" s="154" t="s">
        <v>1476</v>
      </c>
      <c r="E300" s="130" t="s">
        <v>3593</v>
      </c>
      <c r="F300" s="130" t="s">
        <v>3594</v>
      </c>
      <c r="G300" s="154" t="s">
        <v>1</v>
      </c>
      <c r="H300" s="154" t="s">
        <v>3595</v>
      </c>
      <c r="I300" s="154" t="s">
        <v>3596</v>
      </c>
      <c r="J300" s="154" t="s">
        <v>2679</v>
      </c>
      <c r="K300" s="185">
        <v>45982</v>
      </c>
      <c r="L300" s="154">
        <v>1100607700</v>
      </c>
      <c r="M300" s="154" t="s">
        <v>3722</v>
      </c>
      <c r="N300" s="130" t="s">
        <v>4025</v>
      </c>
      <c r="O300" s="154" t="s">
        <v>4026</v>
      </c>
      <c r="P300" s="154" t="s">
        <v>3600</v>
      </c>
      <c r="Q300" s="154" t="s">
        <v>3601</v>
      </c>
      <c r="R300" s="130" t="s">
        <v>3602</v>
      </c>
      <c r="S300" s="130" t="s">
        <v>3806</v>
      </c>
    </row>
    <row r="301" spans="1:20" ht="30" customHeight="1">
      <c r="A301" s="548">
        <v>300</v>
      </c>
      <c r="B301" s="183" t="s">
        <v>3322</v>
      </c>
      <c r="C301" s="183">
        <v>41200153</v>
      </c>
      <c r="D301" s="183" t="s">
        <v>1476</v>
      </c>
      <c r="E301" s="269" t="s">
        <v>3593</v>
      </c>
      <c r="F301" s="269" t="s">
        <v>3594</v>
      </c>
      <c r="G301" s="183" t="s">
        <v>1</v>
      </c>
      <c r="H301" s="183" t="s">
        <v>3595</v>
      </c>
      <c r="I301" s="183" t="s">
        <v>3596</v>
      </c>
      <c r="J301" s="183" t="s">
        <v>2880</v>
      </c>
      <c r="K301" s="257">
        <v>45982</v>
      </c>
      <c r="L301" s="183">
        <v>1100607700</v>
      </c>
      <c r="M301" s="183" t="s">
        <v>3722</v>
      </c>
      <c r="N301" s="269" t="s">
        <v>4025</v>
      </c>
      <c r="O301" s="183" t="s">
        <v>4027</v>
      </c>
      <c r="P301" s="183" t="s">
        <v>3600</v>
      </c>
      <c r="Q301" s="183" t="s">
        <v>3601</v>
      </c>
      <c r="R301" s="269" t="s">
        <v>3602</v>
      </c>
      <c r="S301" s="269" t="s">
        <v>3806</v>
      </c>
    </row>
    <row r="302" spans="1:20" ht="30" customHeight="1">
      <c r="A302" s="270">
        <v>301</v>
      </c>
      <c r="B302" s="132" t="s">
        <v>3334</v>
      </c>
      <c r="C302" s="132">
        <v>41200124</v>
      </c>
      <c r="D302" s="132" t="s">
        <v>1476</v>
      </c>
      <c r="E302" s="132" t="s">
        <v>2555</v>
      </c>
      <c r="F302" s="132" t="s">
        <v>2555</v>
      </c>
      <c r="G302" s="132" t="s">
        <v>4006</v>
      </c>
      <c r="H302" s="132" t="s">
        <v>3608</v>
      </c>
      <c r="I302" s="132" t="s">
        <v>2952</v>
      </c>
      <c r="J302" s="132" t="s">
        <v>2679</v>
      </c>
      <c r="K302" s="140">
        <v>45985</v>
      </c>
      <c r="L302" s="132" t="s">
        <v>71</v>
      </c>
      <c r="M302" s="132" t="s">
        <v>71</v>
      </c>
      <c r="N302" s="132" t="s">
        <v>4028</v>
      </c>
      <c r="O302" s="132" t="s">
        <v>4029</v>
      </c>
      <c r="P302" s="132" t="s">
        <v>30</v>
      </c>
      <c r="Q302" s="132" t="s">
        <v>61</v>
      </c>
      <c r="R302" s="132" t="s">
        <v>71</v>
      </c>
      <c r="S302" s="132" t="s">
        <v>71</v>
      </c>
      <c r="T302" s="434"/>
    </row>
    <row r="303" spans="1:20" ht="30" customHeight="1">
      <c r="A303" s="270">
        <v>302</v>
      </c>
      <c r="B303" s="132" t="s">
        <v>3334</v>
      </c>
      <c r="C303" s="132">
        <v>41200124</v>
      </c>
      <c r="D303" s="132" t="s">
        <v>1476</v>
      </c>
      <c r="E303" s="132" t="s">
        <v>2555</v>
      </c>
      <c r="F303" s="132" t="s">
        <v>2555</v>
      </c>
      <c r="G303" s="132" t="s">
        <v>4006</v>
      </c>
      <c r="H303" s="132" t="s">
        <v>3608</v>
      </c>
      <c r="I303" s="132" t="s">
        <v>2952</v>
      </c>
      <c r="J303" s="132" t="s">
        <v>2880</v>
      </c>
      <c r="K303" s="140">
        <v>45985</v>
      </c>
      <c r="L303" s="132" t="s">
        <v>71</v>
      </c>
      <c r="M303" s="132" t="s">
        <v>71</v>
      </c>
      <c r="N303" s="132" t="s">
        <v>4030</v>
      </c>
      <c r="O303" s="132" t="s">
        <v>4031</v>
      </c>
      <c r="P303" s="132" t="s">
        <v>30</v>
      </c>
      <c r="Q303" s="132" t="s">
        <v>61</v>
      </c>
      <c r="R303" s="132" t="s">
        <v>71</v>
      </c>
      <c r="S303" s="132" t="s">
        <v>71</v>
      </c>
      <c r="T303" s="434"/>
    </row>
    <row r="304" spans="1:20" ht="30" customHeight="1">
      <c r="A304" s="548">
        <v>303</v>
      </c>
      <c r="B304" s="332" t="s">
        <v>3342</v>
      </c>
      <c r="C304" s="332">
        <v>41100696</v>
      </c>
      <c r="D304" s="332" t="s">
        <v>1911</v>
      </c>
      <c r="E304" s="302" t="s">
        <v>3651</v>
      </c>
      <c r="F304" s="302" t="s">
        <v>3619</v>
      </c>
      <c r="G304" s="332" t="s">
        <v>1</v>
      </c>
      <c r="H304" s="332" t="s">
        <v>3595</v>
      </c>
      <c r="I304" s="332" t="s">
        <v>3596</v>
      </c>
      <c r="J304" s="332" t="s">
        <v>2880</v>
      </c>
      <c r="K304" s="546">
        <v>45985</v>
      </c>
      <c r="L304" s="332">
        <v>1100196400</v>
      </c>
      <c r="M304" s="332" t="s">
        <v>3597</v>
      </c>
      <c r="N304" s="302" t="s">
        <v>4032</v>
      </c>
      <c r="O304" s="332" t="s">
        <v>4033</v>
      </c>
      <c r="P304" s="332" t="s">
        <v>3600</v>
      </c>
      <c r="Q304" s="332" t="s">
        <v>3601</v>
      </c>
      <c r="R304" s="302" t="s">
        <v>3602</v>
      </c>
      <c r="S304" s="302" t="s">
        <v>3806</v>
      </c>
    </row>
    <row r="305" spans="1:21" ht="30" customHeight="1">
      <c r="A305" s="270">
        <v>304</v>
      </c>
      <c r="B305" s="154" t="s">
        <v>3340</v>
      </c>
      <c r="C305" s="154">
        <v>41100696</v>
      </c>
      <c r="D305" s="154" t="s">
        <v>1911</v>
      </c>
      <c r="E305" s="130" t="s">
        <v>3651</v>
      </c>
      <c r="F305" s="130" t="s">
        <v>3619</v>
      </c>
      <c r="G305" s="154" t="s">
        <v>1</v>
      </c>
      <c r="H305" s="154" t="s">
        <v>3595</v>
      </c>
      <c r="I305" s="154" t="s">
        <v>3596</v>
      </c>
      <c r="J305" s="130" t="s">
        <v>2880</v>
      </c>
      <c r="K305" s="185">
        <v>45985</v>
      </c>
      <c r="L305" s="154">
        <v>1100196400</v>
      </c>
      <c r="M305" s="154" t="s">
        <v>3597</v>
      </c>
      <c r="N305" s="154" t="s">
        <v>3968</v>
      </c>
      <c r="O305" s="130" t="s">
        <v>4033</v>
      </c>
      <c r="P305" s="130" t="s">
        <v>3600</v>
      </c>
      <c r="Q305" s="130" t="s">
        <v>3601</v>
      </c>
      <c r="R305" s="130" t="s">
        <v>3602</v>
      </c>
      <c r="S305" s="130" t="s">
        <v>3806</v>
      </c>
    </row>
    <row r="306" spans="1:21" ht="30" customHeight="1">
      <c r="A306" s="270">
        <v>305</v>
      </c>
      <c r="B306" s="154" t="s">
        <v>3340</v>
      </c>
      <c r="C306" s="154">
        <v>41100696</v>
      </c>
      <c r="D306" s="154" t="s">
        <v>1911</v>
      </c>
      <c r="E306" s="130" t="s">
        <v>3651</v>
      </c>
      <c r="F306" s="130" t="s">
        <v>3619</v>
      </c>
      <c r="G306" s="154" t="s">
        <v>1</v>
      </c>
      <c r="H306" s="154" t="s">
        <v>3595</v>
      </c>
      <c r="I306" s="154" t="s">
        <v>3596</v>
      </c>
      <c r="J306" s="130" t="s">
        <v>2679</v>
      </c>
      <c r="K306" s="429">
        <v>45985</v>
      </c>
      <c r="L306" s="154">
        <v>1100196400</v>
      </c>
      <c r="M306" s="154" t="s">
        <v>3597</v>
      </c>
      <c r="N306" s="154" t="s">
        <v>3968</v>
      </c>
      <c r="O306" s="130" t="s">
        <v>4033</v>
      </c>
      <c r="P306" s="130" t="s">
        <v>3600</v>
      </c>
      <c r="Q306" s="130" t="s">
        <v>3601</v>
      </c>
      <c r="R306" s="130" t="s">
        <v>3602</v>
      </c>
      <c r="S306" s="130" t="s">
        <v>3806</v>
      </c>
    </row>
    <row r="307" spans="1:21" ht="30" customHeight="1">
      <c r="A307" s="548">
        <v>306</v>
      </c>
      <c r="B307" s="154" t="s">
        <v>3353</v>
      </c>
      <c r="C307" s="154">
        <v>41200007</v>
      </c>
      <c r="D307" s="154" t="s">
        <v>1591</v>
      </c>
      <c r="E307" s="130" t="s">
        <v>3603</v>
      </c>
      <c r="F307" s="130" t="s">
        <v>3604</v>
      </c>
      <c r="G307" s="154" t="s">
        <v>1</v>
      </c>
      <c r="H307" s="154" t="s">
        <v>3595</v>
      </c>
      <c r="I307" s="154" t="s">
        <v>3596</v>
      </c>
      <c r="K307" s="429">
        <v>45986</v>
      </c>
      <c r="L307" s="154">
        <v>1100196400</v>
      </c>
      <c r="M307" s="154" t="s">
        <v>3597</v>
      </c>
      <c r="N307" s="154" t="s">
        <v>3968</v>
      </c>
      <c r="O307" s="130" t="s">
        <v>4034</v>
      </c>
      <c r="P307" s="130" t="s">
        <v>3600</v>
      </c>
      <c r="Q307" s="130" t="s">
        <v>3601</v>
      </c>
      <c r="R307" s="130" t="s">
        <v>3602</v>
      </c>
      <c r="S307" s="130" t="s">
        <v>3760</v>
      </c>
    </row>
    <row r="308" spans="1:21" ht="30" customHeight="1">
      <c r="A308" s="270">
        <v>307</v>
      </c>
      <c r="B308" s="154" t="s">
        <v>3353</v>
      </c>
      <c r="C308" s="154">
        <v>41200007</v>
      </c>
      <c r="D308" s="154" t="s">
        <v>1591</v>
      </c>
      <c r="E308" s="130" t="s">
        <v>3603</v>
      </c>
      <c r="F308" s="130" t="s">
        <v>3604</v>
      </c>
      <c r="G308" s="130" t="s">
        <v>1</v>
      </c>
      <c r="H308" s="154" t="s">
        <v>3595</v>
      </c>
      <c r="I308" s="154" t="s">
        <v>3596</v>
      </c>
      <c r="K308" s="429">
        <v>45986</v>
      </c>
      <c r="L308" s="154">
        <v>1100196400</v>
      </c>
      <c r="M308" s="154" t="s">
        <v>3597</v>
      </c>
      <c r="N308" s="130" t="s">
        <v>3968</v>
      </c>
      <c r="O308" s="130" t="s">
        <v>4022</v>
      </c>
      <c r="P308" s="130" t="s">
        <v>3600</v>
      </c>
      <c r="Q308" s="130" t="s">
        <v>3601</v>
      </c>
      <c r="R308" s="130" t="s">
        <v>3602</v>
      </c>
      <c r="S308" s="130" t="s">
        <v>3760</v>
      </c>
    </row>
    <row r="309" spans="1:21" ht="30" customHeight="1">
      <c r="A309" s="270">
        <v>308</v>
      </c>
      <c r="B309" s="154" t="s">
        <v>3352</v>
      </c>
      <c r="C309" s="154">
        <v>41200007</v>
      </c>
      <c r="D309" s="154" t="s">
        <v>1591</v>
      </c>
      <c r="E309" s="130" t="s">
        <v>3603</v>
      </c>
      <c r="F309" s="130" t="s">
        <v>3604</v>
      </c>
      <c r="G309" s="130" t="s">
        <v>1</v>
      </c>
      <c r="H309" s="154" t="s">
        <v>3595</v>
      </c>
      <c r="I309" s="154" t="s">
        <v>3596</v>
      </c>
      <c r="K309" s="429">
        <v>45986</v>
      </c>
      <c r="L309" s="154">
        <v>1100196400</v>
      </c>
      <c r="M309" s="154" t="s">
        <v>3597</v>
      </c>
      <c r="N309" s="130" t="s">
        <v>4035</v>
      </c>
      <c r="O309" s="130" t="s">
        <v>4004</v>
      </c>
      <c r="P309" s="130" t="s">
        <v>3600</v>
      </c>
      <c r="Q309" s="130" t="s">
        <v>3601</v>
      </c>
      <c r="R309" s="130" t="s">
        <v>3602</v>
      </c>
      <c r="S309" s="130" t="s">
        <v>3760</v>
      </c>
    </row>
    <row r="310" spans="1:21" ht="30" customHeight="1">
      <c r="A310" s="548">
        <v>309</v>
      </c>
      <c r="B310" s="154" t="s">
        <v>3352</v>
      </c>
      <c r="C310" s="154">
        <v>41200007</v>
      </c>
      <c r="D310" s="154" t="s">
        <v>1591</v>
      </c>
      <c r="E310" s="130" t="s">
        <v>3603</v>
      </c>
      <c r="F310" s="130" t="s">
        <v>3604</v>
      </c>
      <c r="G310" s="130" t="s">
        <v>1</v>
      </c>
      <c r="H310" s="154" t="s">
        <v>3595</v>
      </c>
      <c r="I310" s="154" t="s">
        <v>3596</v>
      </c>
      <c r="K310" s="429">
        <v>45986</v>
      </c>
      <c r="L310" s="154">
        <v>1100196400</v>
      </c>
      <c r="M310" s="154" t="s">
        <v>3597</v>
      </c>
      <c r="N310" s="154" t="s">
        <v>4035</v>
      </c>
      <c r="O310" s="130" t="s">
        <v>4022</v>
      </c>
      <c r="P310" s="130" t="s">
        <v>3600</v>
      </c>
      <c r="Q310" s="130" t="s">
        <v>3601</v>
      </c>
      <c r="R310" s="130" t="s">
        <v>3602</v>
      </c>
      <c r="S310" s="130" t="s">
        <v>3760</v>
      </c>
    </row>
    <row r="311" spans="1:21" ht="30" customHeight="1">
      <c r="A311" s="270">
        <v>310</v>
      </c>
      <c r="B311" s="183" t="s">
        <v>3359</v>
      </c>
      <c r="C311" s="183">
        <v>41200007</v>
      </c>
      <c r="D311" s="183" t="s">
        <v>1591</v>
      </c>
      <c r="E311" s="269" t="s">
        <v>3593</v>
      </c>
      <c r="F311" s="269" t="s">
        <v>3594</v>
      </c>
      <c r="G311" s="269" t="s">
        <v>1</v>
      </c>
      <c r="H311" s="183" t="s">
        <v>3595</v>
      </c>
      <c r="I311" s="269" t="s">
        <v>3596</v>
      </c>
      <c r="J311" s="269"/>
      <c r="K311" s="431">
        <v>45987</v>
      </c>
      <c r="L311" s="183">
        <v>1100196600</v>
      </c>
      <c r="M311" s="183" t="s">
        <v>4036</v>
      </c>
      <c r="N311" s="269" t="s">
        <v>4037</v>
      </c>
      <c r="O311" s="269" t="s">
        <v>4038</v>
      </c>
      <c r="P311" s="269" t="s">
        <v>26</v>
      </c>
      <c r="Q311" s="269" t="s">
        <v>3601</v>
      </c>
      <c r="R311" s="269" t="s">
        <v>3602</v>
      </c>
      <c r="S311" s="269" t="s">
        <v>3806</v>
      </c>
      <c r="T311" s="269"/>
    </row>
    <row r="312" spans="1:21" ht="30" customHeight="1">
      <c r="A312" s="270">
        <v>311</v>
      </c>
      <c r="B312" s="130" t="s">
        <v>3359</v>
      </c>
      <c r="C312" s="130">
        <v>41200007</v>
      </c>
      <c r="D312" s="130" t="s">
        <v>1591</v>
      </c>
      <c r="E312" s="130" t="s">
        <v>3593</v>
      </c>
      <c r="F312" s="130" t="s">
        <v>3594</v>
      </c>
      <c r="G312" s="130" t="s">
        <v>1</v>
      </c>
      <c r="H312" s="130" t="s">
        <v>3595</v>
      </c>
      <c r="I312" s="130" t="s">
        <v>3596</v>
      </c>
      <c r="K312" s="429">
        <v>45987</v>
      </c>
      <c r="L312" s="130">
        <v>1100196400</v>
      </c>
      <c r="M312" s="130" t="s">
        <v>3597</v>
      </c>
      <c r="N312" s="130" t="s">
        <v>4016</v>
      </c>
      <c r="O312" s="130" t="s">
        <v>4039</v>
      </c>
      <c r="P312" s="130" t="s">
        <v>26</v>
      </c>
      <c r="Q312" s="130" t="s">
        <v>3601</v>
      </c>
      <c r="R312" s="130" t="s">
        <v>3602</v>
      </c>
      <c r="S312" s="130" t="s">
        <v>3806</v>
      </c>
      <c r="U312" s="434"/>
    </row>
    <row r="313" spans="1:21" ht="30" customHeight="1">
      <c r="A313" s="548">
        <v>312</v>
      </c>
      <c r="B313" s="130" t="s">
        <v>3373</v>
      </c>
      <c r="C313" s="130">
        <v>41200006</v>
      </c>
      <c r="D313" s="130" t="s">
        <v>1477</v>
      </c>
      <c r="E313" s="130" t="s">
        <v>3603</v>
      </c>
      <c r="F313" s="130" t="s">
        <v>3604</v>
      </c>
      <c r="G313" s="130" t="s">
        <v>1</v>
      </c>
      <c r="H313" s="130" t="s">
        <v>3595</v>
      </c>
      <c r="I313" s="130" t="s">
        <v>3596</v>
      </c>
      <c r="K313" s="429">
        <v>45988</v>
      </c>
      <c r="L313" s="130">
        <v>1100196800</v>
      </c>
      <c r="M313" s="130" t="s">
        <v>3722</v>
      </c>
      <c r="N313" s="130" t="s">
        <v>4040</v>
      </c>
      <c r="O313" s="130" t="s">
        <v>4041</v>
      </c>
      <c r="P313" s="130" t="s">
        <v>26</v>
      </c>
      <c r="Q313" s="130" t="s">
        <v>3601</v>
      </c>
      <c r="R313" s="130" t="s">
        <v>3602</v>
      </c>
      <c r="S313" s="130" t="s">
        <v>4042</v>
      </c>
      <c r="U313" s="434"/>
    </row>
    <row r="314" spans="1:21" ht="30" customHeight="1">
      <c r="A314" s="270">
        <v>313</v>
      </c>
      <c r="B314" s="302" t="s">
        <v>3373</v>
      </c>
      <c r="C314" s="302">
        <v>41200006</v>
      </c>
      <c r="D314" s="302" t="s">
        <v>1477</v>
      </c>
      <c r="E314" s="302" t="s">
        <v>3603</v>
      </c>
      <c r="F314" s="302" t="s">
        <v>3604</v>
      </c>
      <c r="G314" s="302" t="s">
        <v>1</v>
      </c>
      <c r="H314" s="302" t="s">
        <v>3595</v>
      </c>
      <c r="I314" s="302" t="s">
        <v>3596</v>
      </c>
      <c r="J314" s="302"/>
      <c r="K314" s="439">
        <v>45988</v>
      </c>
      <c r="L314" s="302">
        <v>1100196600</v>
      </c>
      <c r="M314" s="302" t="s">
        <v>4036</v>
      </c>
      <c r="N314" s="302" t="s">
        <v>4037</v>
      </c>
      <c r="O314" s="302" t="s">
        <v>4043</v>
      </c>
      <c r="P314" s="302" t="s">
        <v>26</v>
      </c>
      <c r="Q314" s="302" t="s">
        <v>3601</v>
      </c>
      <c r="R314" s="302" t="s">
        <v>3602</v>
      </c>
      <c r="S314" s="302" t="s">
        <v>4042</v>
      </c>
      <c r="T314" s="302"/>
    </row>
    <row r="315" spans="1:21" ht="30" customHeight="1">
      <c r="A315" s="270">
        <v>314</v>
      </c>
      <c r="B315" s="130" t="s">
        <v>3370</v>
      </c>
      <c r="C315" s="130">
        <v>41200075</v>
      </c>
      <c r="D315" s="130" t="s">
        <v>1476</v>
      </c>
      <c r="E315" s="130" t="s">
        <v>3593</v>
      </c>
      <c r="F315" s="130" t="s">
        <v>3594</v>
      </c>
      <c r="G315" s="130" t="s">
        <v>1</v>
      </c>
      <c r="H315" s="130" t="s">
        <v>3595</v>
      </c>
      <c r="I315" s="130" t="s">
        <v>3596</v>
      </c>
      <c r="J315" s="130" t="s">
        <v>2679</v>
      </c>
      <c r="K315" s="429">
        <v>45988</v>
      </c>
      <c r="L315" s="130">
        <v>1100196600</v>
      </c>
      <c r="M315" s="130" t="s">
        <v>4036</v>
      </c>
      <c r="N315" s="130" t="s">
        <v>4044</v>
      </c>
      <c r="O315" s="130" t="s">
        <v>4045</v>
      </c>
      <c r="P315" s="130" t="s">
        <v>26</v>
      </c>
      <c r="Q315" s="130" t="s">
        <v>3601</v>
      </c>
      <c r="R315" s="130" t="s">
        <v>3602</v>
      </c>
      <c r="S315" s="130" t="s">
        <v>3806</v>
      </c>
    </row>
    <row r="316" spans="1:21" ht="30" customHeight="1">
      <c r="A316" s="548">
        <v>315</v>
      </c>
      <c r="B316" s="130" t="s">
        <v>3382</v>
      </c>
      <c r="C316" s="130">
        <v>41200007</v>
      </c>
      <c r="D316" s="130" t="s">
        <v>1591</v>
      </c>
      <c r="E316" s="130" t="s">
        <v>3603</v>
      </c>
      <c r="F316" s="130" t="s">
        <v>3604</v>
      </c>
      <c r="G316" s="130" t="s">
        <v>1</v>
      </c>
      <c r="H316" s="130" t="s">
        <v>3595</v>
      </c>
      <c r="I316" s="130" t="s">
        <v>3596</v>
      </c>
      <c r="K316" s="429">
        <v>45992</v>
      </c>
      <c r="L316" s="130">
        <v>1100196400</v>
      </c>
      <c r="M316" s="130" t="s">
        <v>3597</v>
      </c>
      <c r="N316" s="130" t="s">
        <v>3968</v>
      </c>
      <c r="O316" s="130" t="s">
        <v>4004</v>
      </c>
      <c r="P316" s="130" t="s">
        <v>3600</v>
      </c>
      <c r="Q316" s="130" t="s">
        <v>3601</v>
      </c>
      <c r="R316" s="130" t="s">
        <v>3602</v>
      </c>
      <c r="S316" s="130" t="s">
        <v>4046</v>
      </c>
    </row>
    <row r="317" spans="1:21" ht="30" customHeight="1">
      <c r="A317" s="270">
        <v>316</v>
      </c>
      <c r="B317" s="130" t="s">
        <v>3382</v>
      </c>
      <c r="C317" s="130">
        <v>41200007</v>
      </c>
      <c r="D317" s="130" t="s">
        <v>1591</v>
      </c>
      <c r="E317" s="130" t="s">
        <v>3603</v>
      </c>
      <c r="F317" s="130" t="s">
        <v>3604</v>
      </c>
      <c r="G317" s="130" t="s">
        <v>1</v>
      </c>
      <c r="H317" s="130" t="s">
        <v>3595</v>
      </c>
      <c r="I317" s="130" t="s">
        <v>3596</v>
      </c>
      <c r="K317" s="429">
        <v>45992</v>
      </c>
      <c r="L317" s="130">
        <v>1100196400</v>
      </c>
      <c r="M317" s="130" t="s">
        <v>3597</v>
      </c>
      <c r="N317" s="130" t="s">
        <v>3968</v>
      </c>
      <c r="O317" s="130" t="s">
        <v>4034</v>
      </c>
      <c r="P317" s="130" t="s">
        <v>3600</v>
      </c>
      <c r="Q317" s="130" t="s">
        <v>3601</v>
      </c>
      <c r="R317" s="130" t="s">
        <v>3602</v>
      </c>
      <c r="S317" s="130" t="s">
        <v>4046</v>
      </c>
    </row>
    <row r="318" spans="1:21" ht="30" customHeight="1">
      <c r="A318" s="270">
        <v>317</v>
      </c>
      <c r="B318" s="130" t="s">
        <v>3385</v>
      </c>
      <c r="C318" s="130">
        <v>41200175</v>
      </c>
      <c r="D318" s="130" t="s">
        <v>1476</v>
      </c>
      <c r="E318" s="130" t="s">
        <v>3603</v>
      </c>
      <c r="F318" s="130" t="s">
        <v>3604</v>
      </c>
      <c r="G318" s="130" t="s">
        <v>1</v>
      </c>
      <c r="H318" s="130" t="s">
        <v>3595</v>
      </c>
      <c r="I318" s="130" t="s">
        <v>3596</v>
      </c>
      <c r="J318" s="130" t="s">
        <v>2880</v>
      </c>
      <c r="K318" s="429">
        <v>45992</v>
      </c>
      <c r="L318" s="130">
        <v>1100607700</v>
      </c>
      <c r="M318" s="130" t="s">
        <v>3722</v>
      </c>
      <c r="N318" s="130" t="s">
        <v>4025</v>
      </c>
      <c r="O318" s="130" t="s">
        <v>4027</v>
      </c>
      <c r="P318" s="130" t="s">
        <v>3600</v>
      </c>
      <c r="Q318" s="130" t="s">
        <v>3601</v>
      </c>
      <c r="R318" s="130" t="s">
        <v>3602</v>
      </c>
      <c r="S318" s="130" t="s">
        <v>3806</v>
      </c>
    </row>
    <row r="319" spans="1:21" ht="30" customHeight="1">
      <c r="A319" s="548">
        <v>318</v>
      </c>
      <c r="B319" s="130" t="s">
        <v>3386</v>
      </c>
      <c r="C319" s="130">
        <v>41200122</v>
      </c>
      <c r="D319" s="130" t="s">
        <v>1476</v>
      </c>
      <c r="E319" s="130" t="s">
        <v>3593</v>
      </c>
      <c r="F319" s="130" t="s">
        <v>3619</v>
      </c>
      <c r="G319" s="130" t="s">
        <v>1</v>
      </c>
      <c r="H319" s="130" t="s">
        <v>3595</v>
      </c>
      <c r="I319" s="130" t="s">
        <v>3596</v>
      </c>
      <c r="J319" s="130" t="s">
        <v>2880</v>
      </c>
      <c r="K319" s="429">
        <v>45992</v>
      </c>
      <c r="L319" s="130">
        <v>1100196200</v>
      </c>
      <c r="M319" s="130" t="s">
        <v>3597</v>
      </c>
      <c r="N319" s="130" t="s">
        <v>3968</v>
      </c>
      <c r="O319" s="130" t="s">
        <v>4022</v>
      </c>
      <c r="P319" s="130" t="s">
        <v>3600</v>
      </c>
      <c r="Q319" s="130" t="s">
        <v>3601</v>
      </c>
      <c r="R319" s="130" t="s">
        <v>3602</v>
      </c>
      <c r="S319" s="130" t="s">
        <v>3806</v>
      </c>
    </row>
    <row r="320" spans="1:21" ht="30" customHeight="1">
      <c r="A320" s="270">
        <v>319</v>
      </c>
      <c r="B320" s="130" t="s">
        <v>3410</v>
      </c>
      <c r="C320" s="130">
        <v>41000598</v>
      </c>
      <c r="D320" s="130" t="s">
        <v>1480</v>
      </c>
      <c r="E320" s="130" t="s">
        <v>3593</v>
      </c>
      <c r="F320" s="130" t="s">
        <v>3619</v>
      </c>
      <c r="G320" s="130" t="s">
        <v>1</v>
      </c>
      <c r="H320" s="130" t="s">
        <v>3595</v>
      </c>
      <c r="I320" s="130" t="s">
        <v>2894</v>
      </c>
      <c r="J320" s="130" t="s">
        <v>2880</v>
      </c>
      <c r="K320" s="429">
        <v>45996</v>
      </c>
      <c r="L320" s="130">
        <v>1100233500</v>
      </c>
      <c r="M320" s="130" t="s">
        <v>69</v>
      </c>
      <c r="N320" s="130" t="s">
        <v>4047</v>
      </c>
      <c r="O320" s="130" t="s">
        <v>4048</v>
      </c>
      <c r="P320" s="130" t="s">
        <v>26</v>
      </c>
      <c r="Q320" s="130" t="s">
        <v>49</v>
      </c>
      <c r="R320" s="130" t="s">
        <v>3993</v>
      </c>
      <c r="S320" s="130" t="s">
        <v>3993</v>
      </c>
    </row>
    <row r="321" spans="1:19" ht="30" customHeight="1">
      <c r="A321" s="270">
        <v>320</v>
      </c>
      <c r="B321" s="130" t="s">
        <v>3403</v>
      </c>
      <c r="C321" s="130">
        <v>41100317</v>
      </c>
      <c r="D321" s="130" t="s">
        <v>1476</v>
      </c>
      <c r="E321" s="130" t="s">
        <v>3593</v>
      </c>
      <c r="F321" s="130" t="s">
        <v>3594</v>
      </c>
      <c r="G321" s="130" t="s">
        <v>1</v>
      </c>
      <c r="H321" s="130" t="s">
        <v>3595</v>
      </c>
      <c r="I321" s="130" t="s">
        <v>2894</v>
      </c>
      <c r="J321" s="130" t="s">
        <v>2679</v>
      </c>
      <c r="K321" s="429">
        <v>45996</v>
      </c>
      <c r="L321" s="130">
        <v>1100196300</v>
      </c>
      <c r="M321" s="130" t="s">
        <v>3597</v>
      </c>
      <c r="N321" s="130" t="s">
        <v>4049</v>
      </c>
      <c r="O321" s="130" t="s">
        <v>4050</v>
      </c>
      <c r="P321" s="130" t="s">
        <v>26</v>
      </c>
      <c r="Q321" s="130" t="s">
        <v>49</v>
      </c>
      <c r="R321" s="130" t="s">
        <v>3993</v>
      </c>
      <c r="S321" s="130" t="s">
        <v>3993</v>
      </c>
    </row>
    <row r="322" spans="1:19" ht="30" customHeight="1">
      <c r="A322" s="548">
        <v>321</v>
      </c>
      <c r="B322" s="130" t="s">
        <v>3423</v>
      </c>
      <c r="C322" s="130">
        <v>41200201</v>
      </c>
      <c r="D322" s="130" t="s">
        <v>1479</v>
      </c>
      <c r="E322" s="130" t="s">
        <v>3593</v>
      </c>
      <c r="F322" s="130" t="s">
        <v>3594</v>
      </c>
      <c r="G322" s="130" t="s">
        <v>1</v>
      </c>
      <c r="H322" s="130" t="s">
        <v>3595</v>
      </c>
      <c r="I322" s="130" t="s">
        <v>3596</v>
      </c>
      <c r="K322" s="429">
        <v>46000</v>
      </c>
      <c r="L322" s="130">
        <v>1100196400</v>
      </c>
      <c r="M322" s="130" t="s">
        <v>3597</v>
      </c>
      <c r="N322" s="130" t="s">
        <v>3968</v>
      </c>
      <c r="O322" s="130" t="s">
        <v>4051</v>
      </c>
      <c r="P322" s="130" t="s">
        <v>3600</v>
      </c>
      <c r="Q322" s="130" t="s">
        <v>3601</v>
      </c>
      <c r="R322" s="130" t="s">
        <v>3602</v>
      </c>
      <c r="S322" s="130" t="s">
        <v>3724</v>
      </c>
    </row>
    <row r="323" spans="1:19" ht="30" customHeight="1">
      <c r="A323" s="270">
        <v>322</v>
      </c>
      <c r="B323" s="130" t="s">
        <v>3423</v>
      </c>
      <c r="C323" s="130">
        <v>41200201</v>
      </c>
      <c r="D323" s="130" t="s">
        <v>1479</v>
      </c>
      <c r="E323" s="130" t="s">
        <v>3593</v>
      </c>
      <c r="F323" s="130" t="s">
        <v>3594</v>
      </c>
      <c r="G323" s="130" t="s">
        <v>1</v>
      </c>
      <c r="H323" s="130" t="s">
        <v>3595</v>
      </c>
      <c r="I323" s="130" t="s">
        <v>3596</v>
      </c>
      <c r="K323" s="429">
        <v>46000</v>
      </c>
      <c r="L323" s="130">
        <v>1100196400</v>
      </c>
      <c r="M323" s="130" t="s">
        <v>3597</v>
      </c>
      <c r="N323" s="130" t="s">
        <v>3968</v>
      </c>
      <c r="O323" s="130" t="s">
        <v>4052</v>
      </c>
      <c r="P323" s="130" t="s">
        <v>3600</v>
      </c>
      <c r="Q323" s="130" t="s">
        <v>3601</v>
      </c>
      <c r="R323" s="130" t="s">
        <v>3602</v>
      </c>
      <c r="S323" s="130" t="s">
        <v>3724</v>
      </c>
    </row>
    <row r="324" spans="1:19" ht="30" customHeight="1">
      <c r="A324" s="270">
        <v>323</v>
      </c>
      <c r="B324" s="130" t="s">
        <v>3426</v>
      </c>
      <c r="C324" s="130">
        <v>41200201</v>
      </c>
      <c r="D324" s="130" t="s">
        <v>1479</v>
      </c>
      <c r="E324" s="130" t="s">
        <v>3593</v>
      </c>
      <c r="F324" s="130" t="s">
        <v>3594</v>
      </c>
      <c r="G324" s="130" t="s">
        <v>1</v>
      </c>
      <c r="H324" s="130" t="s">
        <v>3595</v>
      </c>
      <c r="I324" s="130" t="s">
        <v>3596</v>
      </c>
      <c r="K324" s="429">
        <v>46000</v>
      </c>
      <c r="L324" s="130">
        <v>1100196400</v>
      </c>
      <c r="M324" s="130" t="s">
        <v>3597</v>
      </c>
      <c r="N324" s="130" t="s">
        <v>3968</v>
      </c>
      <c r="O324" s="130" t="s">
        <v>4053</v>
      </c>
      <c r="P324" s="130" t="s">
        <v>3600</v>
      </c>
      <c r="Q324" s="130" t="s">
        <v>3601</v>
      </c>
      <c r="R324" s="130" t="s">
        <v>3602</v>
      </c>
      <c r="S324" s="130" t="s">
        <v>3724</v>
      </c>
    </row>
    <row r="325" spans="1:19" ht="30" customHeight="1">
      <c r="A325" s="548">
        <v>324</v>
      </c>
      <c r="B325" s="130" t="s">
        <v>3426</v>
      </c>
      <c r="C325" s="130">
        <v>41200201</v>
      </c>
      <c r="D325" s="130" t="s">
        <v>1479</v>
      </c>
      <c r="E325" s="130" t="s">
        <v>3593</v>
      </c>
      <c r="F325" s="130" t="s">
        <v>3594</v>
      </c>
      <c r="G325" s="130" t="s">
        <v>1</v>
      </c>
      <c r="H325" s="130" t="s">
        <v>3595</v>
      </c>
      <c r="I325" s="130" t="s">
        <v>3596</v>
      </c>
      <c r="K325" s="429">
        <v>46000</v>
      </c>
      <c r="L325" s="130">
        <v>1100196400</v>
      </c>
      <c r="M325" s="130" t="s">
        <v>3597</v>
      </c>
      <c r="N325" s="130" t="s">
        <v>3968</v>
      </c>
      <c r="O325" s="130" t="s">
        <v>4054</v>
      </c>
      <c r="P325" s="130" t="s">
        <v>3600</v>
      </c>
      <c r="Q325" s="130" t="s">
        <v>3601</v>
      </c>
      <c r="R325" s="130" t="s">
        <v>3602</v>
      </c>
      <c r="S325" s="130" t="s">
        <v>3724</v>
      </c>
    </row>
    <row r="326" spans="1:19" ht="30" customHeight="1">
      <c r="A326" s="548">
        <v>325</v>
      </c>
      <c r="B326" s="130" t="s">
        <v>3432</v>
      </c>
      <c r="C326" s="130">
        <v>41200193</v>
      </c>
      <c r="D326" s="130" t="s">
        <v>1476</v>
      </c>
      <c r="E326" s="130" t="s">
        <v>3593</v>
      </c>
      <c r="F326" s="130" t="s">
        <v>3619</v>
      </c>
      <c r="G326" s="130" t="s">
        <v>1</v>
      </c>
      <c r="H326" s="130" t="s">
        <v>3595</v>
      </c>
      <c r="I326" s="130" t="s">
        <v>3596</v>
      </c>
      <c r="J326" s="130" t="s">
        <v>2679</v>
      </c>
      <c r="K326" s="429">
        <v>46001</v>
      </c>
      <c r="L326" s="130">
        <v>1100196400</v>
      </c>
      <c r="M326" s="130" t="s">
        <v>3597</v>
      </c>
      <c r="N326" s="130" t="s">
        <v>3968</v>
      </c>
      <c r="O326" s="130" t="s">
        <v>4055</v>
      </c>
      <c r="P326" s="130" t="s">
        <v>3600</v>
      </c>
      <c r="Q326" s="130" t="s">
        <v>3601</v>
      </c>
      <c r="R326" s="130" t="s">
        <v>3602</v>
      </c>
      <c r="S326" s="130" t="s">
        <v>3760</v>
      </c>
    </row>
    <row r="327" spans="1:19" ht="30" customHeight="1">
      <c r="A327" s="270">
        <v>326</v>
      </c>
      <c r="B327" s="130" t="s">
        <v>3433</v>
      </c>
      <c r="C327" s="130">
        <v>41200035</v>
      </c>
      <c r="D327" s="130" t="s">
        <v>1476</v>
      </c>
      <c r="E327" s="130" t="s">
        <v>3593</v>
      </c>
      <c r="F327" s="130" t="s">
        <v>3594</v>
      </c>
      <c r="G327" s="130" t="s">
        <v>1</v>
      </c>
      <c r="H327" s="130" t="s">
        <v>3595</v>
      </c>
      <c r="I327" s="130" t="s">
        <v>3596</v>
      </c>
      <c r="J327" s="130" t="s">
        <v>2679</v>
      </c>
      <c r="K327" s="429">
        <v>46001</v>
      </c>
      <c r="L327" s="130">
        <v>1100196200</v>
      </c>
      <c r="M327" s="130" t="s">
        <v>3597</v>
      </c>
      <c r="N327" s="130" t="s">
        <v>4049</v>
      </c>
      <c r="O327" s="130" t="s">
        <v>4056</v>
      </c>
      <c r="P327" s="130" t="s">
        <v>26</v>
      </c>
      <c r="Q327" s="130" t="s">
        <v>3601</v>
      </c>
      <c r="R327" s="130" t="s">
        <v>3602</v>
      </c>
      <c r="S327" s="130" t="s">
        <v>3760</v>
      </c>
    </row>
    <row r="328" spans="1:19" ht="30" customHeight="1">
      <c r="A328" s="270">
        <v>327</v>
      </c>
      <c r="B328" s="130" t="s">
        <v>3427</v>
      </c>
      <c r="C328" s="130">
        <v>41200198</v>
      </c>
      <c r="D328" s="130" t="s">
        <v>1476</v>
      </c>
      <c r="E328" s="130" t="s">
        <v>3593</v>
      </c>
      <c r="F328" s="130" t="s">
        <v>3619</v>
      </c>
      <c r="G328" s="130" t="s">
        <v>1</v>
      </c>
      <c r="H328" s="130" t="s">
        <v>3595</v>
      </c>
      <c r="I328" s="130" t="s">
        <v>3596</v>
      </c>
      <c r="J328" s="130" t="s">
        <v>2679</v>
      </c>
      <c r="K328" s="429">
        <v>46001</v>
      </c>
      <c r="L328" s="130">
        <v>1100196800</v>
      </c>
      <c r="M328" s="130" t="s">
        <v>3722</v>
      </c>
      <c r="N328" s="130" t="s">
        <v>4057</v>
      </c>
      <c r="O328" s="130" t="s">
        <v>4058</v>
      </c>
      <c r="P328" s="130" t="s">
        <v>3600</v>
      </c>
      <c r="Q328" s="130" t="s">
        <v>3601</v>
      </c>
      <c r="R328" s="130" t="s">
        <v>3602</v>
      </c>
      <c r="S328" s="130" t="s">
        <v>3760</v>
      </c>
    </row>
    <row r="329" spans="1:19" ht="30" customHeight="1">
      <c r="A329" s="548">
        <v>328</v>
      </c>
      <c r="B329" s="130" t="s">
        <v>3427</v>
      </c>
      <c r="C329" s="130">
        <v>41200198</v>
      </c>
      <c r="D329" s="130" t="s">
        <v>1476</v>
      </c>
      <c r="E329" s="130" t="s">
        <v>3593</v>
      </c>
      <c r="F329" s="130" t="s">
        <v>3619</v>
      </c>
      <c r="G329" s="130" t="s">
        <v>1</v>
      </c>
      <c r="H329" s="130" t="s">
        <v>3595</v>
      </c>
      <c r="I329" s="130" t="s">
        <v>3596</v>
      </c>
      <c r="J329" s="130" t="s">
        <v>2880</v>
      </c>
      <c r="K329" s="429">
        <v>46001</v>
      </c>
      <c r="L329" s="130">
        <v>1100196800</v>
      </c>
      <c r="M329" s="130" t="s">
        <v>3722</v>
      </c>
      <c r="N329" s="130" t="s">
        <v>4059</v>
      </c>
      <c r="O329" s="130" t="s">
        <v>4060</v>
      </c>
      <c r="P329" s="130" t="s">
        <v>26</v>
      </c>
      <c r="Q329" s="130" t="s">
        <v>3601</v>
      </c>
      <c r="R329" s="130" t="s">
        <v>3602</v>
      </c>
      <c r="S329" s="130" t="s">
        <v>3760</v>
      </c>
    </row>
    <row r="330" spans="1:19" ht="30" customHeight="1">
      <c r="A330" s="548">
        <v>329</v>
      </c>
      <c r="B330" s="130" t="s">
        <v>3427</v>
      </c>
      <c r="C330" s="130">
        <v>41200198</v>
      </c>
      <c r="D330" s="130" t="s">
        <v>1476</v>
      </c>
      <c r="E330" s="130" t="s">
        <v>3593</v>
      </c>
      <c r="F330" s="130" t="s">
        <v>3619</v>
      </c>
      <c r="G330" s="130" t="s">
        <v>1</v>
      </c>
      <c r="H330" s="130" t="s">
        <v>3595</v>
      </c>
      <c r="I330" s="130" t="s">
        <v>2682</v>
      </c>
      <c r="J330" s="130" t="s">
        <v>2880</v>
      </c>
      <c r="K330" s="429">
        <v>46002</v>
      </c>
      <c r="N330" s="130" t="s">
        <v>4061</v>
      </c>
      <c r="O330" s="130" t="s">
        <v>4062</v>
      </c>
      <c r="P330" s="130" t="s">
        <v>36</v>
      </c>
      <c r="Q330" s="130" t="s">
        <v>49</v>
      </c>
      <c r="R330" s="130" t="s">
        <v>3711</v>
      </c>
      <c r="S330" s="130" t="s">
        <v>3711</v>
      </c>
    </row>
    <row r="331" spans="1:19" ht="30" customHeight="1">
      <c r="A331" s="270">
        <v>330</v>
      </c>
      <c r="B331" s="130" t="s">
        <v>3427</v>
      </c>
      <c r="C331" s="130">
        <v>41200198</v>
      </c>
      <c r="D331" s="130" t="s">
        <v>1476</v>
      </c>
      <c r="E331" s="130" t="s">
        <v>3593</v>
      </c>
      <c r="F331" s="130" t="s">
        <v>3619</v>
      </c>
      <c r="G331" s="130" t="s">
        <v>1</v>
      </c>
      <c r="H331" s="130" t="s">
        <v>3595</v>
      </c>
      <c r="I331" s="130" t="s">
        <v>2682</v>
      </c>
      <c r="J331" s="130" t="s">
        <v>2679</v>
      </c>
      <c r="K331" s="429">
        <v>46002</v>
      </c>
      <c r="N331" s="130" t="s">
        <v>4063</v>
      </c>
      <c r="O331" s="130" t="s">
        <v>4064</v>
      </c>
      <c r="P331" s="130" t="s">
        <v>36</v>
      </c>
      <c r="Q331" s="130" t="s">
        <v>49</v>
      </c>
      <c r="R331" s="130" t="s">
        <v>3711</v>
      </c>
      <c r="S331" s="130" t="s">
        <v>3711</v>
      </c>
    </row>
    <row r="332" spans="1:19" ht="30" customHeight="1">
      <c r="A332" s="270">
        <v>331</v>
      </c>
      <c r="B332" s="130" t="s">
        <v>3449</v>
      </c>
      <c r="C332" s="130">
        <v>41200158</v>
      </c>
      <c r="D332" s="130" t="s">
        <v>1480</v>
      </c>
      <c r="E332" s="130" t="s">
        <v>3603</v>
      </c>
      <c r="F332" s="130" t="s">
        <v>3604</v>
      </c>
      <c r="G332" s="130" t="s">
        <v>1</v>
      </c>
      <c r="H332" s="130" t="s">
        <v>3595</v>
      </c>
      <c r="I332" s="130" t="s">
        <v>2682</v>
      </c>
      <c r="J332" s="130" t="s">
        <v>2679</v>
      </c>
      <c r="K332" s="429">
        <v>46003</v>
      </c>
      <c r="L332" s="130">
        <v>1100376300</v>
      </c>
      <c r="M332" s="130" t="s">
        <v>103</v>
      </c>
      <c r="N332" s="130" t="s">
        <v>4065</v>
      </c>
      <c r="O332" s="130" t="s">
        <v>4066</v>
      </c>
      <c r="P332" s="130" t="s">
        <v>36</v>
      </c>
      <c r="Q332" s="130" t="s">
        <v>49</v>
      </c>
      <c r="R332" s="130" t="s">
        <v>3696</v>
      </c>
      <c r="S332" s="130" t="s">
        <v>3696</v>
      </c>
    </row>
    <row r="333" spans="1:19" ht="30" customHeight="1">
      <c r="A333" s="548">
        <v>332</v>
      </c>
      <c r="B333" s="130" t="s">
        <v>3456</v>
      </c>
      <c r="C333" s="130">
        <v>41200158</v>
      </c>
      <c r="D333" s="130" t="s">
        <v>1480</v>
      </c>
      <c r="E333" s="130" t="s">
        <v>3603</v>
      </c>
      <c r="F333" s="130" t="s">
        <v>3594</v>
      </c>
      <c r="G333" s="130" t="s">
        <v>1</v>
      </c>
      <c r="H333" s="130" t="s">
        <v>3595</v>
      </c>
      <c r="I333" s="130" t="s">
        <v>2894</v>
      </c>
      <c r="J333" s="130" t="s">
        <v>2880</v>
      </c>
      <c r="K333" s="429">
        <v>46006</v>
      </c>
      <c r="L333" s="130">
        <v>1100196600</v>
      </c>
      <c r="M333" s="130" t="s">
        <v>4036</v>
      </c>
      <c r="N333" s="130" t="s">
        <v>4067</v>
      </c>
      <c r="O333" s="130" t="s">
        <v>4068</v>
      </c>
      <c r="P333" s="130" t="s">
        <v>30</v>
      </c>
      <c r="Q333" s="130" t="s">
        <v>49</v>
      </c>
      <c r="R333" s="130" t="s">
        <v>3602</v>
      </c>
      <c r="S333" s="130" t="s">
        <v>3760</v>
      </c>
    </row>
    <row r="334" spans="1:19" ht="30" customHeight="1">
      <c r="A334" s="548">
        <v>333</v>
      </c>
      <c r="B334" s="130" t="s">
        <v>3456</v>
      </c>
      <c r="C334" s="130">
        <v>41200158</v>
      </c>
      <c r="D334" s="130" t="s">
        <v>1480</v>
      </c>
      <c r="E334" s="130" t="s">
        <v>3603</v>
      </c>
      <c r="F334" s="130" t="s">
        <v>3594</v>
      </c>
      <c r="G334" s="130" t="s">
        <v>1</v>
      </c>
      <c r="H334" s="130" t="s">
        <v>3595</v>
      </c>
      <c r="I334" s="130" t="s">
        <v>2894</v>
      </c>
      <c r="J334" s="130" t="s">
        <v>2880</v>
      </c>
      <c r="K334" s="429">
        <v>46006</v>
      </c>
      <c r="L334" s="130">
        <v>1100196600</v>
      </c>
      <c r="M334" s="130" t="s">
        <v>4036</v>
      </c>
      <c r="N334" s="130" t="s">
        <v>4067</v>
      </c>
      <c r="O334" s="130" t="s">
        <v>4069</v>
      </c>
      <c r="P334" s="130" t="s">
        <v>30</v>
      </c>
      <c r="Q334" s="130" t="s">
        <v>49</v>
      </c>
      <c r="R334" s="130" t="s">
        <v>3602</v>
      </c>
      <c r="S334" s="130" t="s">
        <v>3760</v>
      </c>
    </row>
    <row r="335" spans="1:19" ht="30" customHeight="1">
      <c r="A335" s="270">
        <v>334</v>
      </c>
      <c r="B335" s="130" t="s">
        <v>3456</v>
      </c>
      <c r="C335" s="130">
        <v>41200158</v>
      </c>
      <c r="D335" s="130" t="s">
        <v>1480</v>
      </c>
      <c r="E335" s="130" t="s">
        <v>3603</v>
      </c>
      <c r="F335" s="130" t="s">
        <v>3594</v>
      </c>
      <c r="G335" s="130" t="s">
        <v>1</v>
      </c>
      <c r="H335" s="130" t="s">
        <v>3595</v>
      </c>
      <c r="I335" s="130" t="s">
        <v>3596</v>
      </c>
      <c r="J335" s="130" t="s">
        <v>2679</v>
      </c>
      <c r="K335" s="429">
        <v>46006</v>
      </c>
      <c r="L335" s="130">
        <v>1100196400</v>
      </c>
      <c r="M335" s="130" t="s">
        <v>3597</v>
      </c>
      <c r="N335" s="130" t="s">
        <v>3968</v>
      </c>
      <c r="O335" s="130" t="s">
        <v>4054</v>
      </c>
      <c r="P335" s="130" t="s">
        <v>3600</v>
      </c>
      <c r="Q335" s="130" t="s">
        <v>3601</v>
      </c>
      <c r="R335" s="130" t="s">
        <v>3602</v>
      </c>
      <c r="S335" s="130" t="s">
        <v>3760</v>
      </c>
    </row>
    <row r="336" spans="1:19" ht="30" customHeight="1">
      <c r="A336" s="270">
        <v>335</v>
      </c>
      <c r="B336" s="130" t="s">
        <v>3456</v>
      </c>
      <c r="C336" s="130">
        <v>41200158</v>
      </c>
      <c r="D336" s="130" t="s">
        <v>1480</v>
      </c>
      <c r="E336" s="130" t="s">
        <v>3603</v>
      </c>
      <c r="F336" s="130" t="s">
        <v>3594</v>
      </c>
      <c r="G336" s="130" t="s">
        <v>1</v>
      </c>
      <c r="H336" s="130" t="s">
        <v>3595</v>
      </c>
      <c r="I336" s="130" t="s">
        <v>3596</v>
      </c>
      <c r="J336" s="130" t="s">
        <v>2880</v>
      </c>
      <c r="K336" s="429">
        <v>46006</v>
      </c>
      <c r="L336" s="130">
        <v>1100196400</v>
      </c>
      <c r="M336" s="130" t="s">
        <v>3597</v>
      </c>
      <c r="N336" s="130" t="s">
        <v>3968</v>
      </c>
      <c r="O336" s="130" t="s">
        <v>4054</v>
      </c>
      <c r="P336" s="130" t="s">
        <v>3600</v>
      </c>
      <c r="Q336" s="130" t="s">
        <v>3601</v>
      </c>
      <c r="R336" s="130" t="s">
        <v>3602</v>
      </c>
      <c r="S336" s="130" t="s">
        <v>3760</v>
      </c>
    </row>
    <row r="337" spans="1:19" ht="30" customHeight="1">
      <c r="A337" s="548">
        <v>336</v>
      </c>
      <c r="B337" s="130" t="s">
        <v>3456</v>
      </c>
      <c r="C337" s="130">
        <v>41200158</v>
      </c>
      <c r="D337" s="130" t="s">
        <v>1480</v>
      </c>
      <c r="E337" s="130" t="s">
        <v>3603</v>
      </c>
      <c r="F337" s="130" t="s">
        <v>3594</v>
      </c>
      <c r="G337" s="130" t="s">
        <v>1</v>
      </c>
      <c r="H337" s="130" t="s">
        <v>3595</v>
      </c>
      <c r="I337" s="130" t="s">
        <v>3596</v>
      </c>
      <c r="J337" s="130" t="s">
        <v>2880</v>
      </c>
      <c r="K337" s="429">
        <v>46006</v>
      </c>
      <c r="L337" s="130">
        <v>1100196400</v>
      </c>
      <c r="M337" s="130" t="s">
        <v>3597</v>
      </c>
      <c r="N337" s="130" t="s">
        <v>3968</v>
      </c>
      <c r="O337" s="130" t="s">
        <v>4070</v>
      </c>
      <c r="P337" s="130" t="s">
        <v>3600</v>
      </c>
      <c r="Q337" s="130" t="s">
        <v>3601</v>
      </c>
      <c r="R337" s="130" t="s">
        <v>3602</v>
      </c>
      <c r="S337" s="130" t="s">
        <v>3760</v>
      </c>
    </row>
    <row r="338" spans="1:19" ht="30" customHeight="1">
      <c r="A338" s="548">
        <v>337</v>
      </c>
      <c r="B338" s="130" t="s">
        <v>3456</v>
      </c>
      <c r="C338" s="130">
        <v>41200158</v>
      </c>
      <c r="D338" s="130" t="s">
        <v>1480</v>
      </c>
      <c r="E338" s="130" t="s">
        <v>3603</v>
      </c>
      <c r="F338" s="130" t="s">
        <v>3594</v>
      </c>
      <c r="G338" s="130" t="s">
        <v>1</v>
      </c>
      <c r="H338" s="130" t="s">
        <v>3595</v>
      </c>
      <c r="I338" s="130" t="s">
        <v>2894</v>
      </c>
      <c r="J338" s="130" t="s">
        <v>2679</v>
      </c>
      <c r="K338" s="429">
        <v>46006</v>
      </c>
      <c r="L338" s="130">
        <v>1100196600</v>
      </c>
      <c r="M338" s="130" t="s">
        <v>4036</v>
      </c>
      <c r="N338" s="130" t="s">
        <v>4067</v>
      </c>
      <c r="O338" s="130" t="s">
        <v>4068</v>
      </c>
      <c r="P338" s="130" t="s">
        <v>30</v>
      </c>
      <c r="Q338" s="130" t="s">
        <v>49</v>
      </c>
      <c r="R338" s="130" t="s">
        <v>3602</v>
      </c>
      <c r="S338" s="130" t="s">
        <v>3760</v>
      </c>
    </row>
    <row r="339" spans="1:19" ht="30" customHeight="1">
      <c r="A339" s="270">
        <v>338</v>
      </c>
      <c r="B339" s="130" t="s">
        <v>3456</v>
      </c>
      <c r="C339" s="130">
        <v>41200158</v>
      </c>
      <c r="D339" s="130" t="s">
        <v>1480</v>
      </c>
      <c r="E339" s="130" t="s">
        <v>3603</v>
      </c>
      <c r="F339" s="130" t="s">
        <v>3594</v>
      </c>
      <c r="G339" s="130" t="s">
        <v>1</v>
      </c>
      <c r="H339" s="130" t="s">
        <v>3595</v>
      </c>
      <c r="I339" s="130" t="s">
        <v>2894</v>
      </c>
      <c r="J339" s="130" t="s">
        <v>2679</v>
      </c>
      <c r="K339" s="429">
        <v>46006</v>
      </c>
      <c r="L339" s="130">
        <v>1100196600</v>
      </c>
      <c r="M339" s="130" t="s">
        <v>4036</v>
      </c>
      <c r="N339" s="130" t="s">
        <v>4067</v>
      </c>
      <c r="O339" s="130" t="s">
        <v>4069</v>
      </c>
      <c r="P339" s="130" t="s">
        <v>30</v>
      </c>
      <c r="Q339" s="130" t="s">
        <v>49</v>
      </c>
      <c r="R339" s="130" t="s">
        <v>3602</v>
      </c>
      <c r="S339" s="130" t="s">
        <v>3760</v>
      </c>
    </row>
    <row r="340" spans="1:19" ht="30" customHeight="1">
      <c r="A340" s="270">
        <v>339</v>
      </c>
      <c r="B340" s="130" t="s">
        <v>3456</v>
      </c>
      <c r="C340" s="130">
        <v>41200158</v>
      </c>
      <c r="D340" s="130" t="s">
        <v>1480</v>
      </c>
      <c r="E340" s="130" t="s">
        <v>3603</v>
      </c>
      <c r="F340" s="130" t="s">
        <v>3594</v>
      </c>
      <c r="G340" s="130" t="s">
        <v>1</v>
      </c>
      <c r="H340" s="130" t="s">
        <v>3595</v>
      </c>
      <c r="I340" s="130" t="s">
        <v>3596</v>
      </c>
      <c r="J340" s="130" t="s">
        <v>2880</v>
      </c>
      <c r="K340" s="429">
        <v>46006</v>
      </c>
      <c r="L340" s="130">
        <v>1100196400</v>
      </c>
      <c r="M340" s="130" t="s">
        <v>3597</v>
      </c>
      <c r="N340" s="130" t="s">
        <v>3968</v>
      </c>
      <c r="O340" s="130" t="s">
        <v>4053</v>
      </c>
      <c r="P340" s="130" t="s">
        <v>3600</v>
      </c>
      <c r="Q340" s="130" t="s">
        <v>3601</v>
      </c>
      <c r="R340" s="130" t="s">
        <v>3602</v>
      </c>
      <c r="S340" s="130" t="s">
        <v>3760</v>
      </c>
    </row>
    <row r="341" spans="1:19" ht="30" customHeight="1">
      <c r="A341" s="548">
        <v>340</v>
      </c>
      <c r="B341" s="130" t="s">
        <v>3465</v>
      </c>
      <c r="C341" s="130">
        <v>41200158</v>
      </c>
      <c r="D341" s="130" t="s">
        <v>1480</v>
      </c>
      <c r="E341" s="130" t="s">
        <v>3603</v>
      </c>
      <c r="F341" s="130" t="s">
        <v>3594</v>
      </c>
      <c r="G341" s="130" t="s">
        <v>1</v>
      </c>
      <c r="H341" s="130" t="s">
        <v>3595</v>
      </c>
      <c r="I341" s="130" t="s">
        <v>2894</v>
      </c>
      <c r="J341" s="130" t="s">
        <v>2880</v>
      </c>
      <c r="K341" s="429">
        <v>46006</v>
      </c>
      <c r="L341" s="130">
        <v>1100196600</v>
      </c>
      <c r="M341" s="130" t="s">
        <v>4036</v>
      </c>
      <c r="N341" s="130" t="s">
        <v>4067</v>
      </c>
      <c r="O341" s="130" t="s">
        <v>4069</v>
      </c>
      <c r="P341" s="130" t="s">
        <v>30</v>
      </c>
      <c r="Q341" s="130" t="s">
        <v>49</v>
      </c>
      <c r="R341" s="130" t="s">
        <v>3602</v>
      </c>
      <c r="S341" s="130" t="s">
        <v>3760</v>
      </c>
    </row>
    <row r="342" spans="1:19" ht="30" customHeight="1">
      <c r="A342" s="548">
        <v>341</v>
      </c>
      <c r="B342" s="130" t="s">
        <v>3465</v>
      </c>
      <c r="C342" s="130">
        <v>41200158</v>
      </c>
      <c r="D342" s="130" t="s">
        <v>1480</v>
      </c>
      <c r="E342" s="130" t="s">
        <v>3603</v>
      </c>
      <c r="F342" s="130" t="s">
        <v>3594</v>
      </c>
      <c r="G342" s="130" t="s">
        <v>1</v>
      </c>
      <c r="H342" s="130" t="s">
        <v>3595</v>
      </c>
      <c r="I342" s="130" t="s">
        <v>2894</v>
      </c>
      <c r="J342" s="130" t="s">
        <v>2679</v>
      </c>
      <c r="K342" s="429">
        <v>46006</v>
      </c>
      <c r="L342" s="130">
        <v>1100196600</v>
      </c>
      <c r="M342" s="130" t="s">
        <v>4036</v>
      </c>
      <c r="N342" s="130" t="s">
        <v>4067</v>
      </c>
      <c r="O342" s="130" t="s">
        <v>4068</v>
      </c>
      <c r="P342" s="130" t="s">
        <v>30</v>
      </c>
      <c r="Q342" s="130" t="s">
        <v>49</v>
      </c>
      <c r="R342" s="130" t="s">
        <v>3602</v>
      </c>
      <c r="S342" s="130" t="s">
        <v>3760</v>
      </c>
    </row>
    <row r="343" spans="1:19" ht="30" customHeight="1">
      <c r="A343" s="270">
        <v>342</v>
      </c>
      <c r="B343" s="130" t="s">
        <v>3465</v>
      </c>
      <c r="C343" s="130">
        <v>41200158</v>
      </c>
      <c r="D343" s="130" t="s">
        <v>1480</v>
      </c>
      <c r="E343" s="130" t="s">
        <v>3603</v>
      </c>
      <c r="F343" s="130" t="s">
        <v>3594</v>
      </c>
      <c r="G343" s="130" t="s">
        <v>1</v>
      </c>
      <c r="H343" s="130" t="s">
        <v>3595</v>
      </c>
      <c r="I343" s="130" t="s">
        <v>3596</v>
      </c>
      <c r="J343" s="130" t="s">
        <v>2679</v>
      </c>
      <c r="K343" s="429">
        <v>46006</v>
      </c>
      <c r="L343" s="130">
        <v>1100196400</v>
      </c>
      <c r="M343" s="130" t="s">
        <v>3597</v>
      </c>
      <c r="N343" s="130" t="s">
        <v>3968</v>
      </c>
      <c r="O343" s="130" t="s">
        <v>4070</v>
      </c>
      <c r="P343" s="130" t="s">
        <v>3600</v>
      </c>
      <c r="Q343" s="130" t="s">
        <v>3601</v>
      </c>
      <c r="R343" s="130" t="s">
        <v>3602</v>
      </c>
      <c r="S343" s="130" t="s">
        <v>3760</v>
      </c>
    </row>
    <row r="344" spans="1:19" ht="30" customHeight="1">
      <c r="A344" s="270">
        <v>343</v>
      </c>
      <c r="B344" s="130" t="s">
        <v>3465</v>
      </c>
      <c r="C344" s="130">
        <v>41200158</v>
      </c>
      <c r="D344" s="130" t="s">
        <v>1480</v>
      </c>
      <c r="E344" s="130" t="s">
        <v>3603</v>
      </c>
      <c r="F344" s="130" t="s">
        <v>3594</v>
      </c>
      <c r="G344" s="130" t="s">
        <v>1</v>
      </c>
      <c r="H344" s="130" t="s">
        <v>3595</v>
      </c>
      <c r="I344" s="130" t="s">
        <v>2894</v>
      </c>
      <c r="J344" s="130" t="s">
        <v>2679</v>
      </c>
      <c r="K344" s="429">
        <v>46006</v>
      </c>
      <c r="L344" s="130">
        <v>1100196600</v>
      </c>
      <c r="M344" s="130" t="s">
        <v>4036</v>
      </c>
      <c r="N344" s="130" t="s">
        <v>4067</v>
      </c>
      <c r="O344" s="130" t="s">
        <v>4069</v>
      </c>
      <c r="P344" s="130" t="s">
        <v>30</v>
      </c>
      <c r="Q344" s="130" t="s">
        <v>49</v>
      </c>
      <c r="R344" s="130" t="s">
        <v>3602</v>
      </c>
      <c r="S344" s="130" t="s">
        <v>3760</v>
      </c>
    </row>
    <row r="345" spans="1:19" ht="30" customHeight="1">
      <c r="A345" s="548">
        <v>344</v>
      </c>
      <c r="B345" s="130" t="s">
        <v>3465</v>
      </c>
      <c r="C345" s="130">
        <v>41200158</v>
      </c>
      <c r="D345" s="130" t="s">
        <v>1480</v>
      </c>
      <c r="E345" s="130" t="s">
        <v>3603</v>
      </c>
      <c r="F345" s="130" t="s">
        <v>3594</v>
      </c>
      <c r="G345" s="130" t="s">
        <v>1</v>
      </c>
      <c r="H345" s="130" t="s">
        <v>3595</v>
      </c>
      <c r="I345" s="130" t="s">
        <v>2894</v>
      </c>
      <c r="J345" s="130" t="s">
        <v>2880</v>
      </c>
      <c r="K345" s="429">
        <v>46006</v>
      </c>
      <c r="L345" s="130">
        <v>1100196600</v>
      </c>
      <c r="M345" s="130" t="s">
        <v>4036</v>
      </c>
      <c r="N345" s="130" t="s">
        <v>4067</v>
      </c>
      <c r="O345" s="130" t="s">
        <v>4068</v>
      </c>
      <c r="P345" s="130" t="s">
        <v>30</v>
      </c>
      <c r="Q345" s="130" t="s">
        <v>49</v>
      </c>
      <c r="R345" s="130" t="s">
        <v>3602</v>
      </c>
      <c r="S345" s="130" t="s">
        <v>3760</v>
      </c>
    </row>
    <row r="346" spans="1:19" ht="30" customHeight="1">
      <c r="A346" s="548">
        <v>345</v>
      </c>
      <c r="B346" s="130" t="s">
        <v>3465</v>
      </c>
      <c r="C346" s="130">
        <v>41200158</v>
      </c>
      <c r="D346" s="130" t="s">
        <v>1480</v>
      </c>
      <c r="E346" s="130" t="s">
        <v>3603</v>
      </c>
      <c r="F346" s="130" t="s">
        <v>3594</v>
      </c>
      <c r="G346" s="130" t="s">
        <v>1</v>
      </c>
      <c r="H346" s="130" t="s">
        <v>3595</v>
      </c>
      <c r="I346" s="130" t="s">
        <v>3596</v>
      </c>
      <c r="J346" s="130" t="s">
        <v>2880</v>
      </c>
      <c r="K346" s="429">
        <v>46006</v>
      </c>
      <c r="L346" s="130">
        <v>1100196400</v>
      </c>
      <c r="M346" s="130" t="s">
        <v>3597</v>
      </c>
      <c r="N346" s="130" t="s">
        <v>3968</v>
      </c>
      <c r="O346" s="130" t="s">
        <v>4070</v>
      </c>
      <c r="P346" s="130" t="s">
        <v>3600</v>
      </c>
      <c r="Q346" s="130" t="s">
        <v>3601</v>
      </c>
      <c r="R346" s="130" t="s">
        <v>3602</v>
      </c>
      <c r="S346" s="130" t="s">
        <v>3760</v>
      </c>
    </row>
    <row r="347" spans="1:19" ht="30" customHeight="1">
      <c r="A347" s="270">
        <v>346</v>
      </c>
      <c r="B347" s="130" t="s">
        <v>3465</v>
      </c>
      <c r="C347" s="130">
        <v>41200158</v>
      </c>
      <c r="D347" s="130" t="s">
        <v>1480</v>
      </c>
      <c r="E347" s="130" t="s">
        <v>3603</v>
      </c>
      <c r="F347" s="130" t="s">
        <v>3594</v>
      </c>
      <c r="G347" s="130" t="s">
        <v>1</v>
      </c>
      <c r="H347" s="130" t="s">
        <v>3595</v>
      </c>
      <c r="I347" s="130" t="s">
        <v>3596</v>
      </c>
      <c r="J347" s="130" t="s">
        <v>2880</v>
      </c>
      <c r="K347" s="429">
        <v>46006</v>
      </c>
      <c r="L347" s="130">
        <v>1100196400</v>
      </c>
      <c r="M347" s="130" t="s">
        <v>3597</v>
      </c>
      <c r="N347" s="130" t="s">
        <v>4049</v>
      </c>
      <c r="O347" s="130" t="s">
        <v>4071</v>
      </c>
      <c r="P347" s="130" t="s">
        <v>26</v>
      </c>
      <c r="Q347" s="130" t="s">
        <v>3601</v>
      </c>
      <c r="R347" s="130" t="s">
        <v>3602</v>
      </c>
      <c r="S347" s="130" t="s">
        <v>3760</v>
      </c>
    </row>
    <row r="348" spans="1:19" ht="30" customHeight="1">
      <c r="A348" s="270">
        <v>347</v>
      </c>
      <c r="B348" s="130" t="s">
        <v>3478</v>
      </c>
      <c r="C348" s="130">
        <v>41100695</v>
      </c>
      <c r="D348" s="130" t="s">
        <v>2184</v>
      </c>
      <c r="E348" s="130" t="s">
        <v>3651</v>
      </c>
      <c r="F348" s="130" t="s">
        <v>3619</v>
      </c>
      <c r="G348" s="130" t="s">
        <v>1</v>
      </c>
      <c r="H348" s="130" t="s">
        <v>3595</v>
      </c>
      <c r="I348" s="130" t="s">
        <v>3596</v>
      </c>
      <c r="K348" s="429">
        <v>46007</v>
      </c>
      <c r="L348" s="130">
        <v>1100196400</v>
      </c>
      <c r="M348" s="130" t="s">
        <v>3597</v>
      </c>
      <c r="N348" s="130" t="s">
        <v>3968</v>
      </c>
      <c r="O348" s="130" t="s">
        <v>4023</v>
      </c>
      <c r="P348" s="130" t="s">
        <v>3600</v>
      </c>
      <c r="Q348" s="130" t="s">
        <v>3601</v>
      </c>
      <c r="R348" s="130" t="s">
        <v>3602</v>
      </c>
      <c r="S348" s="130" t="s">
        <v>3602</v>
      </c>
    </row>
    <row r="349" spans="1:19" ht="30" customHeight="1">
      <c r="A349" s="548">
        <v>348</v>
      </c>
      <c r="B349" s="130" t="s">
        <v>3468</v>
      </c>
      <c r="C349" s="130">
        <v>41200198</v>
      </c>
      <c r="D349" s="130" t="s">
        <v>1476</v>
      </c>
      <c r="E349" s="130" t="s">
        <v>3593</v>
      </c>
      <c r="F349" s="130" t="s">
        <v>3619</v>
      </c>
      <c r="G349" s="130" t="s">
        <v>1</v>
      </c>
      <c r="H349" s="130" t="s">
        <v>3595</v>
      </c>
      <c r="I349" s="130" t="s">
        <v>3596</v>
      </c>
      <c r="J349" s="130" t="s">
        <v>2679</v>
      </c>
      <c r="K349" s="429">
        <v>46007</v>
      </c>
      <c r="L349" s="130">
        <v>1100196400</v>
      </c>
      <c r="M349" s="130" t="s">
        <v>3597</v>
      </c>
      <c r="N349" s="130" t="s">
        <v>3968</v>
      </c>
      <c r="O349" s="130" t="s">
        <v>4072</v>
      </c>
      <c r="P349" s="130" t="s">
        <v>26</v>
      </c>
      <c r="Q349" s="130" t="s">
        <v>3601</v>
      </c>
      <c r="R349" s="130" t="s">
        <v>3602</v>
      </c>
      <c r="S349" s="130" t="s">
        <v>3760</v>
      </c>
    </row>
    <row r="350" spans="1:19" ht="30" customHeight="1">
      <c r="A350" s="548">
        <v>349</v>
      </c>
      <c r="B350" s="130" t="s">
        <v>3468</v>
      </c>
      <c r="C350" s="130">
        <v>41200198</v>
      </c>
      <c r="D350" s="130" t="s">
        <v>1476</v>
      </c>
      <c r="E350" s="130" t="s">
        <v>3593</v>
      </c>
      <c r="F350" s="130" t="s">
        <v>3619</v>
      </c>
      <c r="G350" s="130" t="s">
        <v>1</v>
      </c>
      <c r="H350" s="130" t="s">
        <v>3595</v>
      </c>
      <c r="I350" s="130" t="s">
        <v>2894</v>
      </c>
      <c r="J350" s="130" t="s">
        <v>2880</v>
      </c>
      <c r="K350" s="429">
        <v>46007</v>
      </c>
      <c r="L350" s="130">
        <v>1100196600</v>
      </c>
      <c r="M350" s="130" t="s">
        <v>4036</v>
      </c>
      <c r="N350" s="130" t="s">
        <v>4067</v>
      </c>
      <c r="O350" s="130" t="s">
        <v>4068</v>
      </c>
      <c r="P350" s="130" t="s">
        <v>30</v>
      </c>
      <c r="Q350" s="130" t="s">
        <v>49</v>
      </c>
      <c r="R350" s="130" t="s">
        <v>3602</v>
      </c>
      <c r="S350" s="130" t="s">
        <v>3760</v>
      </c>
    </row>
    <row r="351" spans="1:19" ht="30" customHeight="1">
      <c r="A351" s="548">
        <v>350</v>
      </c>
      <c r="B351" s="130" t="s">
        <v>3468</v>
      </c>
      <c r="C351" s="130">
        <v>41200198</v>
      </c>
      <c r="D351" s="130" t="s">
        <v>1476</v>
      </c>
      <c r="E351" s="130" t="s">
        <v>3593</v>
      </c>
      <c r="F351" s="130" t="s">
        <v>3619</v>
      </c>
      <c r="G351" s="130" t="s">
        <v>1</v>
      </c>
      <c r="H351" s="130" t="s">
        <v>3595</v>
      </c>
      <c r="I351" s="130" t="s">
        <v>2894</v>
      </c>
      <c r="J351" s="130" t="s">
        <v>2880</v>
      </c>
      <c r="K351" s="429">
        <v>46007</v>
      </c>
      <c r="L351" s="130">
        <v>1100196600</v>
      </c>
      <c r="M351" s="130" t="s">
        <v>4036</v>
      </c>
      <c r="N351" s="130" t="s">
        <v>4067</v>
      </c>
      <c r="O351" s="130" t="s">
        <v>4069</v>
      </c>
      <c r="P351" s="130" t="s">
        <v>30</v>
      </c>
      <c r="Q351" s="130" t="s">
        <v>49</v>
      </c>
      <c r="R351" s="130" t="s">
        <v>3602</v>
      </c>
      <c r="S351" s="130" t="s">
        <v>3760</v>
      </c>
    </row>
    <row r="352" spans="1:19" ht="30" customHeight="1">
      <c r="A352" s="548">
        <v>351</v>
      </c>
      <c r="B352" s="130" t="s">
        <v>3486</v>
      </c>
      <c r="C352" s="130">
        <v>41100502</v>
      </c>
      <c r="D352" s="130" t="s">
        <v>1591</v>
      </c>
      <c r="E352" s="130" t="s">
        <v>3603</v>
      </c>
      <c r="F352" s="130" t="s">
        <v>3604</v>
      </c>
      <c r="G352" s="130" t="s">
        <v>1</v>
      </c>
      <c r="H352" s="130" t="s">
        <v>3595</v>
      </c>
      <c r="I352" s="130" t="s">
        <v>3596</v>
      </c>
      <c r="K352" s="429">
        <v>46008</v>
      </c>
      <c r="L352" s="130">
        <v>1100196700</v>
      </c>
      <c r="M352" s="130" t="s">
        <v>4036</v>
      </c>
      <c r="N352" s="130" t="s">
        <v>4073</v>
      </c>
      <c r="O352" s="130" t="s">
        <v>4074</v>
      </c>
      <c r="P352" s="130" t="s">
        <v>26</v>
      </c>
      <c r="Q352" s="130" t="s">
        <v>3601</v>
      </c>
      <c r="R352" s="130" t="s">
        <v>3602</v>
      </c>
      <c r="S352" s="130" t="s">
        <v>4046</v>
      </c>
    </row>
    <row r="353" spans="1:19" ht="30" customHeight="1">
      <c r="A353" s="548">
        <v>352</v>
      </c>
      <c r="B353" s="130" t="s">
        <v>3499</v>
      </c>
      <c r="C353" s="130">
        <v>41200047</v>
      </c>
      <c r="D353" s="130" t="s">
        <v>1476</v>
      </c>
      <c r="E353" s="130" t="s">
        <v>3603</v>
      </c>
      <c r="F353" s="130" t="s">
        <v>3604</v>
      </c>
      <c r="G353" s="130" t="s">
        <v>1</v>
      </c>
      <c r="H353" s="130" t="s">
        <v>3595</v>
      </c>
      <c r="I353" s="130" t="s">
        <v>3596</v>
      </c>
      <c r="J353" s="130" t="s">
        <v>2679</v>
      </c>
      <c r="K353" s="429">
        <v>46009</v>
      </c>
      <c r="L353" s="130">
        <v>1100196200</v>
      </c>
      <c r="M353" s="130" t="s">
        <v>3597</v>
      </c>
      <c r="N353" s="130" t="s">
        <v>4049</v>
      </c>
      <c r="O353" s="130" t="s">
        <v>4075</v>
      </c>
      <c r="P353" s="130" t="s">
        <v>26</v>
      </c>
      <c r="Q353" s="130" t="s">
        <v>3601</v>
      </c>
      <c r="R353" s="130" t="s">
        <v>3602</v>
      </c>
      <c r="S353" s="130" t="s">
        <v>3806</v>
      </c>
    </row>
    <row r="354" spans="1:19" ht="30" customHeight="1">
      <c r="A354" s="548">
        <v>353</v>
      </c>
      <c r="B354" s="130" t="s">
        <v>3497</v>
      </c>
      <c r="C354" s="130">
        <v>41200047</v>
      </c>
      <c r="D354" s="130" t="s">
        <v>1476</v>
      </c>
      <c r="E354" s="130" t="s">
        <v>3603</v>
      </c>
      <c r="F354" s="130" t="s">
        <v>3604</v>
      </c>
      <c r="G354" s="130" t="s">
        <v>1</v>
      </c>
      <c r="H354" s="130" t="s">
        <v>3595</v>
      </c>
      <c r="I354" s="130" t="s">
        <v>3596</v>
      </c>
      <c r="J354" s="130" t="s">
        <v>2679</v>
      </c>
      <c r="K354" s="429">
        <v>46009</v>
      </c>
      <c r="L354" s="130">
        <v>1100196600</v>
      </c>
      <c r="M354" s="130" t="s">
        <v>4036</v>
      </c>
      <c r="N354" s="130" t="s">
        <v>4037</v>
      </c>
      <c r="O354" s="130" t="s">
        <v>4076</v>
      </c>
      <c r="P354" s="130" t="s">
        <v>26</v>
      </c>
      <c r="Q354" s="130" t="s">
        <v>3601</v>
      </c>
      <c r="R354" s="130" t="s">
        <v>3602</v>
      </c>
      <c r="S354" s="130" t="s">
        <v>3724</v>
      </c>
    </row>
    <row r="355" spans="1:19" ht="30" customHeight="1">
      <c r="A355" s="548">
        <v>354</v>
      </c>
      <c r="B355" s="130" t="s">
        <v>3492</v>
      </c>
      <c r="C355" s="130">
        <v>41200079</v>
      </c>
      <c r="D355" s="130" t="s">
        <v>1480</v>
      </c>
      <c r="E355" s="130" t="s">
        <v>3603</v>
      </c>
      <c r="F355" s="130" t="s">
        <v>3594</v>
      </c>
      <c r="G355" s="130" t="s">
        <v>1</v>
      </c>
      <c r="H355" s="130" t="s">
        <v>3595</v>
      </c>
      <c r="I355" s="130" t="s">
        <v>3596</v>
      </c>
      <c r="J355" s="130" t="s">
        <v>2679</v>
      </c>
      <c r="K355" s="429">
        <v>46009</v>
      </c>
      <c r="L355" s="130">
        <v>1100196400</v>
      </c>
      <c r="M355" s="130" t="s">
        <v>3597</v>
      </c>
      <c r="N355" s="130" t="s">
        <v>3968</v>
      </c>
      <c r="O355" s="130" t="s">
        <v>4070</v>
      </c>
      <c r="P355" s="130" t="s">
        <v>3600</v>
      </c>
      <c r="Q355" s="130" t="s">
        <v>3601</v>
      </c>
      <c r="R355" s="130" t="s">
        <v>3602</v>
      </c>
      <c r="S355" s="130" t="s">
        <v>3724</v>
      </c>
    </row>
    <row r="356" spans="1:19" ht="30" customHeight="1">
      <c r="A356" s="548">
        <v>355</v>
      </c>
      <c r="B356" s="130" t="s">
        <v>3492</v>
      </c>
      <c r="C356" s="130">
        <v>41200079</v>
      </c>
      <c r="D356" s="130" t="s">
        <v>1480</v>
      </c>
      <c r="E356" s="130" t="s">
        <v>3603</v>
      </c>
      <c r="F356" s="130" t="s">
        <v>3594</v>
      </c>
      <c r="G356" s="130" t="s">
        <v>1</v>
      </c>
      <c r="H356" s="130" t="s">
        <v>3595</v>
      </c>
      <c r="I356" s="130" t="s">
        <v>3596</v>
      </c>
      <c r="J356" s="130" t="s">
        <v>2679</v>
      </c>
      <c r="K356" s="429">
        <v>46009</v>
      </c>
      <c r="L356" s="130">
        <v>1100196400</v>
      </c>
      <c r="M356" s="130" t="s">
        <v>3597</v>
      </c>
      <c r="N356" s="130" t="s">
        <v>3968</v>
      </c>
      <c r="O356" s="130" t="s">
        <v>4053</v>
      </c>
      <c r="P356" s="130" t="s">
        <v>3600</v>
      </c>
      <c r="Q356" s="130" t="s">
        <v>3601</v>
      </c>
      <c r="R356" s="130" t="s">
        <v>3602</v>
      </c>
      <c r="S356" s="130" t="s">
        <v>3724</v>
      </c>
    </row>
    <row r="357" spans="1:19" ht="30" customHeight="1">
      <c r="A357" s="548">
        <v>356</v>
      </c>
      <c r="B357" s="130" t="s">
        <v>3489</v>
      </c>
      <c r="C357" s="130">
        <v>41200042</v>
      </c>
      <c r="D357" s="130" t="s">
        <v>1476</v>
      </c>
      <c r="E357" s="130" t="s">
        <v>3593</v>
      </c>
      <c r="F357" s="130" t="s">
        <v>3619</v>
      </c>
      <c r="G357" s="130" t="s">
        <v>1</v>
      </c>
      <c r="H357" s="130" t="s">
        <v>3595</v>
      </c>
      <c r="I357" s="130" t="s">
        <v>3596</v>
      </c>
      <c r="J357" s="130" t="s">
        <v>2880</v>
      </c>
      <c r="K357" s="429">
        <v>46009</v>
      </c>
      <c r="L357" s="130">
        <v>1100196400</v>
      </c>
      <c r="M357" s="130" t="s">
        <v>3597</v>
      </c>
      <c r="N357" s="130" t="s">
        <v>3968</v>
      </c>
      <c r="O357" s="130" t="s">
        <v>4054</v>
      </c>
      <c r="P357" s="130" t="s">
        <v>3600</v>
      </c>
      <c r="Q357" s="130" t="s">
        <v>3601</v>
      </c>
      <c r="R357" s="130" t="s">
        <v>3602</v>
      </c>
      <c r="S357" s="130" t="s">
        <v>3806</v>
      </c>
    </row>
    <row r="358" spans="1:19" ht="30" customHeight="1">
      <c r="A358" s="548">
        <v>357</v>
      </c>
      <c r="B358" s="130" t="s">
        <v>3503</v>
      </c>
      <c r="C358" s="130">
        <v>41200195</v>
      </c>
      <c r="D358" s="130" t="s">
        <v>1476</v>
      </c>
      <c r="E358" s="130" t="s">
        <v>3593</v>
      </c>
      <c r="F358" s="130" t="s">
        <v>3619</v>
      </c>
      <c r="G358" s="130" t="s">
        <v>1</v>
      </c>
      <c r="H358" s="130" t="s">
        <v>3595</v>
      </c>
      <c r="I358" s="130" t="s">
        <v>3596</v>
      </c>
      <c r="J358" s="130" t="s">
        <v>2679</v>
      </c>
      <c r="K358" s="429">
        <v>46009</v>
      </c>
      <c r="L358" s="130">
        <v>1100196800</v>
      </c>
      <c r="M358" s="130" t="s">
        <v>3722</v>
      </c>
      <c r="N358" s="130" t="s">
        <v>4057</v>
      </c>
      <c r="O358" s="130" t="s">
        <v>4077</v>
      </c>
      <c r="P358" s="130" t="s">
        <v>3600</v>
      </c>
      <c r="Q358" s="130" t="s">
        <v>3601</v>
      </c>
      <c r="R358" s="130" t="s">
        <v>3602</v>
      </c>
      <c r="S358" s="130" t="s">
        <v>3724</v>
      </c>
    </row>
    <row r="359" spans="1:19" ht="30" customHeight="1">
      <c r="A359" s="548">
        <v>358</v>
      </c>
      <c r="B359" s="130" t="s">
        <v>3503</v>
      </c>
      <c r="C359" s="130">
        <v>41200195</v>
      </c>
      <c r="D359" s="130" t="s">
        <v>1476</v>
      </c>
      <c r="E359" s="130" t="s">
        <v>3593</v>
      </c>
      <c r="F359" s="130" t="s">
        <v>3619</v>
      </c>
      <c r="G359" s="130" t="s">
        <v>1</v>
      </c>
      <c r="H359" s="130" t="s">
        <v>3595</v>
      </c>
      <c r="I359" s="130" t="s">
        <v>3596</v>
      </c>
      <c r="J359" s="130" t="s">
        <v>2679</v>
      </c>
      <c r="K359" s="429">
        <v>46009</v>
      </c>
      <c r="L359" s="130">
        <v>1100196800</v>
      </c>
      <c r="M359" s="130" t="s">
        <v>3722</v>
      </c>
      <c r="N359" s="130" t="s">
        <v>4057</v>
      </c>
      <c r="O359" s="130" t="s">
        <v>4078</v>
      </c>
      <c r="P359" s="130" t="s">
        <v>3600</v>
      </c>
      <c r="Q359" s="130" t="s">
        <v>3601</v>
      </c>
      <c r="R359" s="130" t="s">
        <v>3602</v>
      </c>
      <c r="S359" s="130" t="s">
        <v>3724</v>
      </c>
    </row>
    <row r="360" spans="1:19" ht="30" customHeight="1">
      <c r="A360" s="548">
        <v>359</v>
      </c>
      <c r="B360" s="130" t="s">
        <v>3495</v>
      </c>
      <c r="C360" s="130">
        <v>41200158</v>
      </c>
      <c r="D360" s="130" t="s">
        <v>1480</v>
      </c>
      <c r="E360" s="130" t="s">
        <v>3603</v>
      </c>
      <c r="F360" s="130" t="s">
        <v>3594</v>
      </c>
      <c r="G360" s="130" t="s">
        <v>1</v>
      </c>
      <c r="H360" s="130" t="s">
        <v>3595</v>
      </c>
      <c r="I360" s="130" t="s">
        <v>3596</v>
      </c>
      <c r="J360" s="130" t="s">
        <v>2880</v>
      </c>
      <c r="K360" s="429">
        <v>46009</v>
      </c>
      <c r="L360" s="130">
        <v>1100196400</v>
      </c>
      <c r="M360" s="130" t="s">
        <v>3597</v>
      </c>
      <c r="N360" s="130" t="s">
        <v>3968</v>
      </c>
      <c r="O360" s="130" t="s">
        <v>4054</v>
      </c>
      <c r="P360" s="130" t="s">
        <v>3600</v>
      </c>
      <c r="Q360" s="130" t="s">
        <v>3601</v>
      </c>
      <c r="R360" s="130" t="s">
        <v>3602</v>
      </c>
      <c r="S360" s="130" t="s">
        <v>3724</v>
      </c>
    </row>
    <row r="361" spans="1:19" ht="30" customHeight="1">
      <c r="A361" s="548">
        <v>360</v>
      </c>
      <c r="B361" s="130" t="s">
        <v>3495</v>
      </c>
      <c r="C361" s="130">
        <v>41200158</v>
      </c>
      <c r="D361" s="130" t="s">
        <v>1480</v>
      </c>
      <c r="E361" s="130" t="s">
        <v>3603</v>
      </c>
      <c r="F361" s="130" t="s">
        <v>3594</v>
      </c>
      <c r="G361" s="130" t="s">
        <v>1</v>
      </c>
      <c r="H361" s="130" t="s">
        <v>3595</v>
      </c>
      <c r="I361" s="130" t="s">
        <v>3596</v>
      </c>
      <c r="J361" s="130" t="s">
        <v>2679</v>
      </c>
      <c r="K361" s="429">
        <v>46009</v>
      </c>
      <c r="L361" s="130">
        <v>1100196400</v>
      </c>
      <c r="M361" s="130" t="s">
        <v>3597</v>
      </c>
      <c r="N361" s="130" t="s">
        <v>3968</v>
      </c>
      <c r="O361" s="130" t="s">
        <v>4054</v>
      </c>
      <c r="P361" s="130" t="s">
        <v>3600</v>
      </c>
      <c r="Q361" s="130" t="s">
        <v>3601</v>
      </c>
      <c r="R361" s="130" t="s">
        <v>3602</v>
      </c>
      <c r="S361" s="130" t="s">
        <v>3724</v>
      </c>
    </row>
    <row r="362" spans="1:19" ht="30" customHeight="1">
      <c r="A362" s="548">
        <v>361</v>
      </c>
      <c r="B362" s="130" t="s">
        <v>3495</v>
      </c>
      <c r="C362" s="130">
        <v>41200158</v>
      </c>
      <c r="D362" s="130" t="s">
        <v>1480</v>
      </c>
      <c r="E362" s="130" t="s">
        <v>3603</v>
      </c>
      <c r="F362" s="130" t="s">
        <v>3594</v>
      </c>
      <c r="G362" s="130" t="s">
        <v>1</v>
      </c>
      <c r="H362" s="130" t="s">
        <v>3595</v>
      </c>
      <c r="I362" s="130" t="s">
        <v>3596</v>
      </c>
      <c r="J362" s="130" t="s">
        <v>2679</v>
      </c>
      <c r="K362" s="429">
        <v>46009</v>
      </c>
      <c r="L362" s="130">
        <v>1100196400</v>
      </c>
      <c r="M362" s="130" t="s">
        <v>3597</v>
      </c>
      <c r="N362" s="130" t="s">
        <v>3968</v>
      </c>
      <c r="O362" s="130" t="s">
        <v>4070</v>
      </c>
      <c r="P362" s="130" t="s">
        <v>3600</v>
      </c>
      <c r="Q362" s="130" t="s">
        <v>3601</v>
      </c>
      <c r="R362" s="130" t="s">
        <v>3602</v>
      </c>
      <c r="S362" s="130" t="s">
        <v>3724</v>
      </c>
    </row>
    <row r="363" spans="1:19" ht="30" customHeight="1">
      <c r="A363" s="548">
        <v>362</v>
      </c>
      <c r="B363" s="130" t="s">
        <v>3495</v>
      </c>
      <c r="C363" s="130">
        <v>41200158</v>
      </c>
      <c r="D363" s="130" t="s">
        <v>1480</v>
      </c>
      <c r="E363" s="130" t="s">
        <v>3603</v>
      </c>
      <c r="F363" s="130" t="s">
        <v>3594</v>
      </c>
      <c r="G363" s="130" t="s">
        <v>1</v>
      </c>
      <c r="H363" s="130" t="s">
        <v>3595</v>
      </c>
      <c r="I363" s="130" t="s">
        <v>3596</v>
      </c>
      <c r="J363" s="130" t="s">
        <v>2679</v>
      </c>
      <c r="K363" s="429">
        <v>46009</v>
      </c>
      <c r="L363" s="130">
        <v>1100196400</v>
      </c>
      <c r="M363" s="130" t="s">
        <v>3597</v>
      </c>
      <c r="N363" s="130" t="s">
        <v>3968</v>
      </c>
      <c r="O363" s="130" t="s">
        <v>4053</v>
      </c>
      <c r="P363" s="130" t="s">
        <v>3600</v>
      </c>
      <c r="Q363" s="130" t="s">
        <v>3601</v>
      </c>
      <c r="R363" s="130" t="s">
        <v>3602</v>
      </c>
      <c r="S363" s="130" t="s">
        <v>3724</v>
      </c>
    </row>
    <row r="364" spans="1:19" ht="30" customHeight="1">
      <c r="A364" s="548">
        <v>363</v>
      </c>
      <c r="B364" s="130" t="s">
        <v>3507</v>
      </c>
      <c r="C364" s="130">
        <v>41200153</v>
      </c>
      <c r="D364" s="130" t="s">
        <v>1476</v>
      </c>
      <c r="E364" s="130" t="s">
        <v>3603</v>
      </c>
      <c r="F364" s="130" t="s">
        <v>3619</v>
      </c>
      <c r="G364" s="130" t="s">
        <v>1</v>
      </c>
      <c r="H364" s="130" t="s">
        <v>3595</v>
      </c>
      <c r="I364" s="130" t="s">
        <v>3762</v>
      </c>
      <c r="K364" s="429">
        <v>46010</v>
      </c>
      <c r="L364" s="130">
        <v>1200288500</v>
      </c>
      <c r="M364" s="130" t="s">
        <v>3509</v>
      </c>
      <c r="N364" s="130" t="s">
        <v>3510</v>
      </c>
      <c r="O364" s="130" t="s">
        <v>3510</v>
      </c>
      <c r="P364" s="130" t="s">
        <v>36</v>
      </c>
      <c r="Q364" s="130" t="s">
        <v>49</v>
      </c>
      <c r="R364" s="130" t="s">
        <v>3666</v>
      </c>
      <c r="S364" s="130" t="s">
        <v>3838</v>
      </c>
    </row>
    <row r="365" spans="1:19" ht="30" customHeight="1">
      <c r="A365" s="548">
        <v>364</v>
      </c>
      <c r="B365" s="130" t="s">
        <v>3512</v>
      </c>
      <c r="C365" s="130">
        <v>41200119</v>
      </c>
      <c r="D365" s="130" t="s">
        <v>1476</v>
      </c>
      <c r="E365" s="130" t="s">
        <v>3593</v>
      </c>
      <c r="F365" s="130" t="s">
        <v>3594</v>
      </c>
      <c r="G365" s="130" t="s">
        <v>1</v>
      </c>
      <c r="H365" s="130" t="s">
        <v>3595</v>
      </c>
      <c r="I365" s="130" t="s">
        <v>2894</v>
      </c>
      <c r="K365" s="429">
        <v>46010</v>
      </c>
      <c r="L365" s="130">
        <v>1210103600</v>
      </c>
      <c r="M365" s="130" t="s">
        <v>3513</v>
      </c>
      <c r="N365" s="130" t="s">
        <v>4079</v>
      </c>
      <c r="O365" s="130" t="s">
        <v>4079</v>
      </c>
      <c r="P365" s="130" t="s">
        <v>30</v>
      </c>
      <c r="Q365" s="130" t="s">
        <v>49</v>
      </c>
      <c r="R365" s="130" t="s">
        <v>3993</v>
      </c>
      <c r="S365" s="130" t="s">
        <v>4080</v>
      </c>
    </row>
    <row r="366" spans="1:19" ht="30" customHeight="1">
      <c r="A366" s="548">
        <v>365</v>
      </c>
      <c r="B366" s="130" t="s">
        <v>3518</v>
      </c>
      <c r="C366" s="130">
        <v>41200116</v>
      </c>
      <c r="D366" s="130" t="s">
        <v>1479</v>
      </c>
      <c r="E366" s="130" t="s">
        <v>3593</v>
      </c>
      <c r="F366" s="130" t="s">
        <v>3594</v>
      </c>
      <c r="G366" s="130" t="s">
        <v>1</v>
      </c>
      <c r="H366" s="130" t="s">
        <v>3595</v>
      </c>
      <c r="I366" s="130" t="s">
        <v>3596</v>
      </c>
      <c r="K366" s="429">
        <v>46012</v>
      </c>
      <c r="L366" s="130">
        <v>1100196400</v>
      </c>
      <c r="M366" s="130" t="s">
        <v>3597</v>
      </c>
      <c r="N366" s="130" t="s">
        <v>3968</v>
      </c>
      <c r="O366" s="130" t="s">
        <v>4053</v>
      </c>
      <c r="P366" s="130" t="s">
        <v>3600</v>
      </c>
      <c r="Q366" s="130" t="s">
        <v>3601</v>
      </c>
      <c r="R366" s="130" t="s">
        <v>3602</v>
      </c>
      <c r="S366" s="130" t="s">
        <v>3724</v>
      </c>
    </row>
    <row r="367" spans="1:19" ht="30" customHeight="1">
      <c r="A367" s="548">
        <v>366</v>
      </c>
      <c r="B367" s="130" t="s">
        <v>3515</v>
      </c>
      <c r="C367" s="130">
        <v>41200116</v>
      </c>
      <c r="D367" s="130" t="s">
        <v>1479</v>
      </c>
      <c r="E367" s="130" t="s">
        <v>3593</v>
      </c>
      <c r="F367" s="130" t="s">
        <v>3594</v>
      </c>
      <c r="G367" s="130" t="s">
        <v>1</v>
      </c>
      <c r="H367" s="130" t="s">
        <v>3595</v>
      </c>
      <c r="I367" s="130" t="s">
        <v>3596</v>
      </c>
      <c r="K367" s="429">
        <v>46010</v>
      </c>
      <c r="L367" s="130">
        <v>1100196400</v>
      </c>
      <c r="M367" s="130" t="s">
        <v>3597</v>
      </c>
      <c r="N367" s="130" t="s">
        <v>3968</v>
      </c>
      <c r="O367" s="130" t="s">
        <v>4054</v>
      </c>
      <c r="P367" s="130" t="s">
        <v>3600</v>
      </c>
      <c r="Q367" s="130" t="s">
        <v>3601</v>
      </c>
      <c r="R367" s="130" t="s">
        <v>3602</v>
      </c>
      <c r="S367" s="130" t="s">
        <v>3724</v>
      </c>
    </row>
    <row r="368" spans="1:19" ht="30" customHeight="1">
      <c r="A368" s="548">
        <v>367</v>
      </c>
      <c r="B368" s="130" t="s">
        <v>3525</v>
      </c>
      <c r="C368" s="130">
        <v>41200196</v>
      </c>
      <c r="D368" s="130" t="s">
        <v>1476</v>
      </c>
      <c r="E368" s="130" t="s">
        <v>3593</v>
      </c>
      <c r="F368" s="130" t="s">
        <v>3619</v>
      </c>
      <c r="G368" s="130" t="s">
        <v>1</v>
      </c>
      <c r="H368" s="130" t="s">
        <v>3595</v>
      </c>
      <c r="I368" s="130" t="s">
        <v>3596</v>
      </c>
      <c r="J368" s="130" t="s">
        <v>2880</v>
      </c>
      <c r="K368" s="429">
        <v>46013</v>
      </c>
      <c r="L368" s="130">
        <v>1100196800</v>
      </c>
      <c r="M368" s="130" t="s">
        <v>3722</v>
      </c>
      <c r="N368" s="130" t="s">
        <v>4057</v>
      </c>
      <c r="O368" s="130" t="s">
        <v>4077</v>
      </c>
      <c r="P368" s="130" t="s">
        <v>3600</v>
      </c>
      <c r="Q368" s="130" t="s">
        <v>3601</v>
      </c>
      <c r="R368" s="130" t="s">
        <v>3602</v>
      </c>
      <c r="S368" s="130" t="s">
        <v>3724</v>
      </c>
    </row>
    <row r="369" spans="1:19" ht="30" customHeight="1">
      <c r="A369" s="548">
        <v>368</v>
      </c>
      <c r="B369" s="130" t="s">
        <v>3527</v>
      </c>
      <c r="C369" s="130">
        <v>41200125</v>
      </c>
      <c r="D369" s="130" t="s">
        <v>1476</v>
      </c>
      <c r="E369" s="130" t="s">
        <v>3603</v>
      </c>
      <c r="F369" s="130" t="s">
        <v>3594</v>
      </c>
      <c r="G369" s="130" t="s">
        <v>1</v>
      </c>
      <c r="H369" s="130" t="s">
        <v>3595</v>
      </c>
      <c r="I369" s="130" t="s">
        <v>3762</v>
      </c>
      <c r="K369" s="429">
        <v>46013</v>
      </c>
      <c r="L369" s="130">
        <v>1200288500</v>
      </c>
      <c r="M369" s="130" t="s">
        <v>3509</v>
      </c>
      <c r="N369" s="130" t="s">
        <v>3510</v>
      </c>
      <c r="O369" s="130" t="s">
        <v>3510</v>
      </c>
      <c r="P369" s="130" t="s">
        <v>36</v>
      </c>
      <c r="Q369" s="130" t="s">
        <v>49</v>
      </c>
      <c r="R369" s="130" t="s">
        <v>3666</v>
      </c>
      <c r="S369" s="130" t="s">
        <v>3838</v>
      </c>
    </row>
    <row r="370" spans="1:19" ht="30" customHeight="1">
      <c r="A370" s="548">
        <v>369</v>
      </c>
      <c r="B370" s="130" t="s">
        <v>3523</v>
      </c>
      <c r="C370" s="130">
        <v>41200191</v>
      </c>
      <c r="D370" s="130" t="s">
        <v>1476</v>
      </c>
      <c r="E370" s="130" t="s">
        <v>3593</v>
      </c>
      <c r="F370" s="130" t="s">
        <v>3619</v>
      </c>
      <c r="G370" s="130" t="s">
        <v>1</v>
      </c>
      <c r="H370" s="130" t="s">
        <v>3595</v>
      </c>
      <c r="I370" s="130" t="s">
        <v>3596</v>
      </c>
      <c r="J370" s="130" t="s">
        <v>2880</v>
      </c>
      <c r="K370" s="429">
        <v>46013</v>
      </c>
      <c r="L370" s="130">
        <v>1100196800</v>
      </c>
      <c r="M370" s="130" t="s">
        <v>473</v>
      </c>
      <c r="N370" s="130" t="s">
        <v>4057</v>
      </c>
      <c r="O370" s="130" t="s">
        <v>4078</v>
      </c>
      <c r="P370" s="130" t="s">
        <v>3600</v>
      </c>
      <c r="Q370" s="130" t="s">
        <v>3601</v>
      </c>
      <c r="R370" s="130" t="s">
        <v>3602</v>
      </c>
      <c r="S370" s="130" t="s">
        <v>3724</v>
      </c>
    </row>
    <row r="371" spans="1:19" ht="30" customHeight="1">
      <c r="A371" s="548">
        <v>370</v>
      </c>
      <c r="B371" s="130" t="s">
        <v>3523</v>
      </c>
      <c r="C371" s="130">
        <v>41200191</v>
      </c>
      <c r="D371" s="130" t="s">
        <v>1476</v>
      </c>
      <c r="E371" s="130" t="s">
        <v>3593</v>
      </c>
      <c r="F371" s="130" t="s">
        <v>3619</v>
      </c>
      <c r="G371" s="130" t="s">
        <v>1</v>
      </c>
      <c r="H371" s="130" t="s">
        <v>3595</v>
      </c>
      <c r="I371" s="130" t="s">
        <v>3596</v>
      </c>
      <c r="J371" s="130" t="s">
        <v>2880</v>
      </c>
      <c r="K371" s="429">
        <v>46013</v>
      </c>
      <c r="L371" s="130">
        <v>1100196800</v>
      </c>
      <c r="M371" s="130" t="s">
        <v>473</v>
      </c>
      <c r="N371" s="130" t="s">
        <v>4057</v>
      </c>
      <c r="O371" s="130" t="s">
        <v>4081</v>
      </c>
      <c r="P371" s="130" t="s">
        <v>3600</v>
      </c>
      <c r="Q371" s="130" t="s">
        <v>3601</v>
      </c>
      <c r="R371" s="130" t="s">
        <v>3602</v>
      </c>
      <c r="S371" s="130" t="s">
        <v>3724</v>
      </c>
    </row>
    <row r="372" spans="1:19" ht="30" customHeight="1">
      <c r="A372" s="548">
        <v>371</v>
      </c>
      <c r="B372" s="130" t="s">
        <v>3520</v>
      </c>
      <c r="C372" s="130">
        <v>41200191</v>
      </c>
      <c r="D372" s="130" t="s">
        <v>1476</v>
      </c>
      <c r="E372" s="130" t="s">
        <v>3593</v>
      </c>
      <c r="F372" s="130" t="s">
        <v>3619</v>
      </c>
      <c r="G372" s="130" t="s">
        <v>1</v>
      </c>
      <c r="H372" s="130" t="s">
        <v>3595</v>
      </c>
      <c r="I372" s="130" t="s">
        <v>3596</v>
      </c>
      <c r="J372" s="130" t="s">
        <v>2880</v>
      </c>
      <c r="K372" s="429">
        <v>46013</v>
      </c>
      <c r="L372" s="130">
        <v>1100196800</v>
      </c>
      <c r="M372" s="130" t="s">
        <v>473</v>
      </c>
      <c r="N372" s="130" t="s">
        <v>4057</v>
      </c>
      <c r="O372" s="130" t="s">
        <v>4078</v>
      </c>
      <c r="P372" s="130" t="s">
        <v>3600</v>
      </c>
      <c r="Q372" s="130" t="s">
        <v>3601</v>
      </c>
      <c r="R372" s="130" t="s">
        <v>3602</v>
      </c>
      <c r="S372" s="130" t="s">
        <v>3724</v>
      </c>
    </row>
    <row r="373" spans="1:19" ht="30" customHeight="1">
      <c r="A373" s="548">
        <v>372</v>
      </c>
      <c r="B373" s="130" t="s">
        <v>3520</v>
      </c>
      <c r="C373" s="130">
        <v>41200191</v>
      </c>
      <c r="D373" s="130" t="s">
        <v>1476</v>
      </c>
      <c r="E373" s="130" t="s">
        <v>3593</v>
      </c>
      <c r="F373" s="130" t="s">
        <v>3619</v>
      </c>
      <c r="G373" s="130" t="s">
        <v>1</v>
      </c>
      <c r="H373" s="130" t="s">
        <v>3595</v>
      </c>
      <c r="I373" s="130" t="s">
        <v>3596</v>
      </c>
      <c r="J373" s="130" t="s">
        <v>2880</v>
      </c>
      <c r="K373" s="429">
        <v>46013</v>
      </c>
      <c r="L373" s="130">
        <v>1100196800</v>
      </c>
      <c r="M373" s="130" t="s">
        <v>473</v>
      </c>
      <c r="N373" s="130" t="s">
        <v>4057</v>
      </c>
      <c r="O373" s="130" t="s">
        <v>4077</v>
      </c>
      <c r="P373" s="130" t="s">
        <v>3600</v>
      </c>
      <c r="Q373" s="130" t="s">
        <v>3601</v>
      </c>
      <c r="R373" s="130" t="s">
        <v>3602</v>
      </c>
      <c r="S373" s="130" t="s">
        <v>3724</v>
      </c>
    </row>
    <row r="374" spans="1:19" ht="30" customHeight="1">
      <c r="A374" s="548">
        <v>373</v>
      </c>
      <c r="B374" s="130" t="s">
        <v>3544</v>
      </c>
      <c r="C374" s="130">
        <v>41000600</v>
      </c>
      <c r="D374" s="130" t="s">
        <v>1479</v>
      </c>
      <c r="E374" s="130" t="s">
        <v>3593</v>
      </c>
      <c r="F374" s="130" t="s">
        <v>3619</v>
      </c>
      <c r="G374" s="130" t="s">
        <v>1</v>
      </c>
      <c r="H374" s="130" t="s">
        <v>3595</v>
      </c>
      <c r="I374" s="130" t="s">
        <v>3762</v>
      </c>
      <c r="K374" s="429">
        <v>46015</v>
      </c>
      <c r="L374" s="130">
        <v>1311155400</v>
      </c>
      <c r="M374" s="130" t="s">
        <v>3542</v>
      </c>
      <c r="N374" s="130" t="s">
        <v>4082</v>
      </c>
      <c r="O374" s="130" t="s">
        <v>4082</v>
      </c>
      <c r="P374" s="130" t="s">
        <v>30</v>
      </c>
      <c r="Q374" s="130" t="s">
        <v>49</v>
      </c>
      <c r="R374" s="130" t="s">
        <v>3666</v>
      </c>
      <c r="S374" s="130" t="s">
        <v>3666</v>
      </c>
    </row>
    <row r="375" spans="1:19" ht="30" customHeight="1">
      <c r="A375" s="548">
        <v>374</v>
      </c>
      <c r="B375" s="130" t="s">
        <v>3536</v>
      </c>
      <c r="C375" s="130">
        <v>41200193</v>
      </c>
      <c r="D375" s="130" t="s">
        <v>1476</v>
      </c>
      <c r="E375" s="130" t="s">
        <v>3593</v>
      </c>
      <c r="F375" s="130" t="s">
        <v>3619</v>
      </c>
      <c r="G375" s="130" t="s">
        <v>1</v>
      </c>
      <c r="H375" s="130" t="s">
        <v>3595</v>
      </c>
      <c r="I375" s="130" t="s">
        <v>2894</v>
      </c>
      <c r="K375" s="429">
        <v>46015</v>
      </c>
      <c r="L375" s="130">
        <v>1210103700</v>
      </c>
      <c r="M375" s="130" t="s">
        <v>3513</v>
      </c>
      <c r="N375" s="130" t="s">
        <v>4079</v>
      </c>
      <c r="O375" s="130" t="s">
        <v>4079</v>
      </c>
      <c r="P375" s="130" t="s">
        <v>30</v>
      </c>
      <c r="Q375" s="130" t="s">
        <v>49</v>
      </c>
      <c r="R375" s="130" t="s">
        <v>3674</v>
      </c>
      <c r="S375" s="130" t="s">
        <v>3679</v>
      </c>
    </row>
    <row r="376" spans="1:19" ht="30" customHeight="1">
      <c r="A376" s="548">
        <v>375</v>
      </c>
      <c r="B376" s="130" t="s">
        <v>3552</v>
      </c>
      <c r="C376" s="130">
        <v>41200101</v>
      </c>
      <c r="D376" s="130" t="s">
        <v>1476</v>
      </c>
      <c r="E376" s="130" t="s">
        <v>3603</v>
      </c>
      <c r="F376" s="130" t="s">
        <v>3619</v>
      </c>
      <c r="G376" s="130" t="s">
        <v>1</v>
      </c>
      <c r="H376" s="130" t="s">
        <v>3608</v>
      </c>
      <c r="I376" s="130" t="s">
        <v>4083</v>
      </c>
      <c r="J376" s="130" t="s">
        <v>2880</v>
      </c>
      <c r="K376" s="429">
        <v>46017</v>
      </c>
      <c r="L376" s="130">
        <v>1100607700</v>
      </c>
      <c r="M376" s="130" t="s">
        <v>473</v>
      </c>
      <c r="N376" s="130" t="s">
        <v>4084</v>
      </c>
      <c r="O376" s="130" t="s">
        <v>4085</v>
      </c>
      <c r="P376" s="130" t="s">
        <v>26</v>
      </c>
      <c r="Q376" s="130" t="s">
        <v>49</v>
      </c>
      <c r="R376" s="130" t="s">
        <v>3674</v>
      </c>
      <c r="S376" s="130" t="s">
        <v>3925</v>
      </c>
    </row>
    <row r="377" spans="1:19" ht="30" customHeight="1">
      <c r="A377" s="548">
        <v>376</v>
      </c>
      <c r="B377" s="130" t="s">
        <v>3550</v>
      </c>
      <c r="C377" s="130">
        <v>41200101</v>
      </c>
      <c r="D377" s="130" t="s">
        <v>1476</v>
      </c>
      <c r="E377" s="130" t="s">
        <v>3603</v>
      </c>
      <c r="F377" s="130" t="s">
        <v>3619</v>
      </c>
      <c r="G377" s="130" t="s">
        <v>1</v>
      </c>
      <c r="H377" s="130" t="s">
        <v>3595</v>
      </c>
      <c r="I377" s="130" t="s">
        <v>2894</v>
      </c>
      <c r="J377" s="130" t="s">
        <v>2880</v>
      </c>
      <c r="K377" s="429">
        <v>46017</v>
      </c>
      <c r="N377" s="130" t="s">
        <v>4086</v>
      </c>
      <c r="O377" s="130" t="s">
        <v>4087</v>
      </c>
      <c r="P377" s="130" t="s">
        <v>26</v>
      </c>
      <c r="Q377" s="130" t="s">
        <v>49</v>
      </c>
      <c r="R377" s="130" t="s">
        <v>3714</v>
      </c>
      <c r="S377" s="130" t="s">
        <v>3798</v>
      </c>
    </row>
    <row r="378" spans="1:19" ht="30" customHeight="1">
      <c r="A378" s="548">
        <v>377</v>
      </c>
      <c r="B378" s="130" t="s">
        <v>3556</v>
      </c>
      <c r="C378" s="130">
        <v>41200200</v>
      </c>
      <c r="D378" s="130" t="s">
        <v>1478</v>
      </c>
      <c r="E378" s="130" t="s">
        <v>3603</v>
      </c>
      <c r="F378" s="130" t="s">
        <v>3604</v>
      </c>
      <c r="G378" s="130" t="s">
        <v>1</v>
      </c>
      <c r="H378" s="130" t="s">
        <v>3595</v>
      </c>
      <c r="I378" s="130" t="s">
        <v>3596</v>
      </c>
      <c r="J378" s="130" t="s">
        <v>2880</v>
      </c>
      <c r="K378" s="429">
        <v>46017</v>
      </c>
      <c r="L378" s="130">
        <v>1100196800</v>
      </c>
      <c r="M378" s="130" t="s">
        <v>473</v>
      </c>
      <c r="N378" s="130" t="s">
        <v>4057</v>
      </c>
      <c r="O378" s="130" t="s">
        <v>4077</v>
      </c>
      <c r="P378" s="130" t="s">
        <v>3600</v>
      </c>
      <c r="Q378" s="130" t="s">
        <v>3601</v>
      </c>
      <c r="R378" s="130" t="s">
        <v>3602</v>
      </c>
      <c r="S378" s="130" t="s">
        <v>3724</v>
      </c>
    </row>
    <row r="379" spans="1:19" ht="30" customHeight="1">
      <c r="A379" s="548">
        <v>378</v>
      </c>
      <c r="B379" s="130" t="s">
        <v>3556</v>
      </c>
      <c r="C379" s="130">
        <v>41200200</v>
      </c>
      <c r="D379" s="130" t="s">
        <v>1478</v>
      </c>
      <c r="E379" s="130" t="s">
        <v>3603</v>
      </c>
      <c r="F379" s="130" t="s">
        <v>3604</v>
      </c>
      <c r="G379" s="130" t="s">
        <v>1</v>
      </c>
      <c r="H379" s="130" t="s">
        <v>3595</v>
      </c>
      <c r="I379" s="130" t="s">
        <v>3596</v>
      </c>
      <c r="J379" s="130" t="s">
        <v>2880</v>
      </c>
      <c r="K379" s="429">
        <v>46017</v>
      </c>
      <c r="L379" s="130">
        <v>1100196800</v>
      </c>
      <c r="M379" s="130" t="s">
        <v>473</v>
      </c>
      <c r="N379" s="130" t="s">
        <v>4057</v>
      </c>
      <c r="O379" s="130" t="s">
        <v>4078</v>
      </c>
      <c r="P379" s="130" t="s">
        <v>3600</v>
      </c>
      <c r="Q379" s="130" t="s">
        <v>3601</v>
      </c>
      <c r="R379" s="130" t="s">
        <v>3602</v>
      </c>
      <c r="S379" s="130" t="s">
        <v>3724</v>
      </c>
    </row>
    <row r="380" spans="1:19" ht="30" customHeight="1">
      <c r="A380" s="548">
        <v>379</v>
      </c>
      <c r="B380" s="130" t="s">
        <v>3556</v>
      </c>
      <c r="C380" s="130">
        <v>41200200</v>
      </c>
      <c r="D380" s="130" t="s">
        <v>1478</v>
      </c>
      <c r="E380" s="130" t="s">
        <v>3603</v>
      </c>
      <c r="F380" s="130" t="s">
        <v>3604</v>
      </c>
      <c r="G380" s="130" t="s">
        <v>1</v>
      </c>
      <c r="H380" s="130" t="s">
        <v>3595</v>
      </c>
      <c r="I380" s="130" t="s">
        <v>3596</v>
      </c>
      <c r="J380" s="130" t="s">
        <v>2679</v>
      </c>
      <c r="K380" s="429">
        <v>46017</v>
      </c>
      <c r="L380" s="130">
        <v>1100196800</v>
      </c>
      <c r="M380" s="130" t="s">
        <v>473</v>
      </c>
      <c r="N380" s="130" t="s">
        <v>4057</v>
      </c>
      <c r="O380" s="130" t="s">
        <v>4081</v>
      </c>
      <c r="P380" s="130" t="s">
        <v>3600</v>
      </c>
      <c r="Q380" s="130" t="s">
        <v>3601</v>
      </c>
      <c r="R380" s="130" t="s">
        <v>3602</v>
      </c>
      <c r="S380" s="130" t="s">
        <v>3724</v>
      </c>
    </row>
    <row r="381" spans="1:19" ht="30" customHeight="1">
      <c r="A381" s="548">
        <v>380</v>
      </c>
      <c r="B381" s="130" t="s">
        <v>3546</v>
      </c>
      <c r="C381" s="130">
        <v>41200193</v>
      </c>
      <c r="D381" s="130" t="s">
        <v>1476</v>
      </c>
      <c r="E381" s="130" t="s">
        <v>3593</v>
      </c>
      <c r="F381" s="130" t="s">
        <v>3619</v>
      </c>
      <c r="G381" s="130" t="s">
        <v>1</v>
      </c>
      <c r="H381" s="130" t="s">
        <v>3595</v>
      </c>
      <c r="I381" s="130" t="s">
        <v>3596</v>
      </c>
      <c r="J381" s="130" t="s">
        <v>2679</v>
      </c>
      <c r="K381" s="429">
        <v>46017</v>
      </c>
      <c r="L381" s="130">
        <v>1100196800</v>
      </c>
      <c r="M381" s="130" t="s">
        <v>473</v>
      </c>
      <c r="N381" s="130" t="s">
        <v>4057</v>
      </c>
      <c r="O381" s="130" t="s">
        <v>4077</v>
      </c>
      <c r="P381" s="130" t="s">
        <v>3600</v>
      </c>
      <c r="Q381" s="130" t="s">
        <v>3601</v>
      </c>
      <c r="R381" s="130" t="s">
        <v>3602</v>
      </c>
      <c r="S381" s="130" t="s">
        <v>3724</v>
      </c>
    </row>
    <row r="382" spans="1:19" ht="30" customHeight="1">
      <c r="A382" s="548">
        <v>381</v>
      </c>
      <c r="B382" s="130" t="s">
        <v>3546</v>
      </c>
      <c r="C382" s="130">
        <v>41200193</v>
      </c>
      <c r="D382" s="130" t="s">
        <v>1476</v>
      </c>
      <c r="E382" s="130" t="s">
        <v>3593</v>
      </c>
      <c r="F382" s="130" t="s">
        <v>3619</v>
      </c>
      <c r="G382" s="130" t="s">
        <v>1</v>
      </c>
      <c r="H382" s="130" t="s">
        <v>3595</v>
      </c>
      <c r="I382" s="130" t="s">
        <v>3596</v>
      </c>
      <c r="J382" s="130" t="s">
        <v>2880</v>
      </c>
      <c r="K382" s="429">
        <v>46017</v>
      </c>
      <c r="L382" s="130">
        <v>1100196800</v>
      </c>
      <c r="M382" s="130" t="s">
        <v>473</v>
      </c>
      <c r="N382" s="130" t="s">
        <v>4057</v>
      </c>
      <c r="O382" s="130" t="s">
        <v>4081</v>
      </c>
      <c r="P382" s="130" t="s">
        <v>3600</v>
      </c>
      <c r="Q382" s="130" t="s">
        <v>3601</v>
      </c>
      <c r="R382" s="130" t="s">
        <v>3602</v>
      </c>
      <c r="S382" s="130" t="s">
        <v>3724</v>
      </c>
    </row>
    <row r="383" spans="1:19" ht="30" customHeight="1">
      <c r="A383" s="548">
        <v>382</v>
      </c>
      <c r="B383" s="130" t="s">
        <v>3560</v>
      </c>
      <c r="C383" s="130">
        <v>41200202</v>
      </c>
      <c r="D383" s="130" t="s">
        <v>1476</v>
      </c>
      <c r="E383" s="130" t="s">
        <v>3593</v>
      </c>
      <c r="F383" s="130" t="s">
        <v>3619</v>
      </c>
      <c r="G383" s="130" t="s">
        <v>1</v>
      </c>
      <c r="H383" s="130" t="s">
        <v>3595</v>
      </c>
      <c r="I383" s="130" t="s">
        <v>3596</v>
      </c>
      <c r="J383" s="130" t="s">
        <v>2880</v>
      </c>
      <c r="K383" s="429">
        <v>46020</v>
      </c>
      <c r="L383" s="130">
        <v>1100196400</v>
      </c>
      <c r="M383" s="130" t="s">
        <v>562</v>
      </c>
      <c r="N383" s="130" t="s">
        <v>576</v>
      </c>
      <c r="O383" s="130" t="s">
        <v>4078</v>
      </c>
      <c r="P383" s="130" t="s">
        <v>3600</v>
      </c>
      <c r="Q383" s="130" t="s">
        <v>3601</v>
      </c>
      <c r="R383" s="130" t="s">
        <v>3602</v>
      </c>
      <c r="S383" s="130">
        <v>98</v>
      </c>
    </row>
    <row r="384" spans="1:19" ht="30" customHeight="1">
      <c r="A384" s="548">
        <v>383</v>
      </c>
      <c r="B384" s="130" t="s">
        <v>3567</v>
      </c>
      <c r="C384" s="130">
        <v>41200039</v>
      </c>
      <c r="D384" s="130" t="s">
        <v>1476</v>
      </c>
      <c r="E384" s="130" t="s">
        <v>3593</v>
      </c>
      <c r="F384" s="130" t="s">
        <v>3619</v>
      </c>
      <c r="G384" s="130" t="s">
        <v>1</v>
      </c>
      <c r="H384" s="130" t="s">
        <v>3595</v>
      </c>
      <c r="I384" s="130" t="s">
        <v>3596</v>
      </c>
      <c r="J384" s="130" t="s">
        <v>2880</v>
      </c>
      <c r="K384" s="429">
        <v>46021</v>
      </c>
      <c r="L384" s="130">
        <v>1100607700</v>
      </c>
      <c r="M384" s="130" t="s">
        <v>473</v>
      </c>
      <c r="N384" s="130" t="s">
        <v>4025</v>
      </c>
      <c r="O384" s="130" t="s">
        <v>4027</v>
      </c>
      <c r="P384" s="130" t="s">
        <v>3600</v>
      </c>
      <c r="Q384" s="130" t="s">
        <v>3601</v>
      </c>
      <c r="R384" s="130" t="s">
        <v>3602</v>
      </c>
      <c r="S384" s="130" t="s">
        <v>3724</v>
      </c>
    </row>
    <row r="385" spans="1:19" ht="30" customHeight="1">
      <c r="A385" s="548">
        <v>384</v>
      </c>
      <c r="B385" s="130" t="s">
        <v>3574</v>
      </c>
      <c r="C385" s="130">
        <v>41200047</v>
      </c>
      <c r="D385" s="130" t="s">
        <v>1476</v>
      </c>
      <c r="E385" s="130" t="s">
        <v>3593</v>
      </c>
      <c r="F385" s="130" t="s">
        <v>3594</v>
      </c>
      <c r="G385" s="130" t="s">
        <v>1</v>
      </c>
      <c r="H385" s="130" t="s">
        <v>3595</v>
      </c>
      <c r="I385" s="130" t="s">
        <v>3596</v>
      </c>
      <c r="J385" s="130" t="s">
        <v>2880</v>
      </c>
      <c r="K385" s="429">
        <v>46021</v>
      </c>
      <c r="L385" s="130">
        <v>1100607700</v>
      </c>
      <c r="M385" s="130" t="s">
        <v>473</v>
      </c>
      <c r="N385" s="130" t="s">
        <v>4025</v>
      </c>
      <c r="O385" s="130" t="s">
        <v>4027</v>
      </c>
      <c r="P385" s="130" t="s">
        <v>3600</v>
      </c>
      <c r="Q385" s="130" t="s">
        <v>3601</v>
      </c>
      <c r="R385" s="130" t="s">
        <v>3602</v>
      </c>
      <c r="S385" s="130" t="s">
        <v>3724</v>
      </c>
    </row>
    <row r="386" spans="1:19" ht="30" customHeight="1">
      <c r="A386" s="548">
        <v>385</v>
      </c>
      <c r="B386" s="130" t="s">
        <v>3572</v>
      </c>
      <c r="C386" s="130">
        <v>41200047</v>
      </c>
      <c r="D386" s="130" t="s">
        <v>1476</v>
      </c>
      <c r="E386" s="130" t="s">
        <v>3593</v>
      </c>
      <c r="F386" s="130" t="s">
        <v>3594</v>
      </c>
      <c r="G386" s="130" t="s">
        <v>1</v>
      </c>
      <c r="H386" s="130" t="s">
        <v>3595</v>
      </c>
      <c r="I386" s="130" t="s">
        <v>3596</v>
      </c>
      <c r="J386" s="130" t="s">
        <v>2880</v>
      </c>
      <c r="K386" s="429">
        <v>46021</v>
      </c>
      <c r="L386" s="130">
        <v>1100607700</v>
      </c>
      <c r="M386" s="130" t="s">
        <v>473</v>
      </c>
      <c r="N386" s="130" t="s">
        <v>4025</v>
      </c>
      <c r="O386" s="130" t="s">
        <v>4027</v>
      </c>
      <c r="P386" s="130" t="s">
        <v>3600</v>
      </c>
      <c r="Q386" s="130" t="s">
        <v>3601</v>
      </c>
      <c r="R386" s="130" t="s">
        <v>3602</v>
      </c>
      <c r="S386" s="130" t="s">
        <v>3724</v>
      </c>
    </row>
    <row r="387" spans="1:19" ht="30" customHeight="1">
      <c r="A387" s="548">
        <v>386</v>
      </c>
      <c r="B387" s="130" t="s">
        <v>3572</v>
      </c>
      <c r="C387" s="130">
        <v>41200047</v>
      </c>
      <c r="D387" s="130" t="s">
        <v>1476</v>
      </c>
      <c r="E387" s="130" t="s">
        <v>3593</v>
      </c>
      <c r="F387" s="130" t="s">
        <v>3594</v>
      </c>
      <c r="G387" s="130" t="s">
        <v>1</v>
      </c>
      <c r="H387" s="130" t="s">
        <v>3595</v>
      </c>
      <c r="I387" s="130" t="s">
        <v>3596</v>
      </c>
      <c r="J387" s="130" t="s">
        <v>2679</v>
      </c>
      <c r="K387" s="429">
        <v>46021</v>
      </c>
      <c r="L387" s="130">
        <v>1100607700</v>
      </c>
      <c r="M387" s="130" t="s">
        <v>473</v>
      </c>
      <c r="N387" s="130" t="s">
        <v>4025</v>
      </c>
      <c r="O387" s="130" t="s">
        <v>4026</v>
      </c>
      <c r="P387" s="130" t="s">
        <v>3600</v>
      </c>
      <c r="Q387" s="130" t="s">
        <v>3601</v>
      </c>
      <c r="R387" s="130" t="s">
        <v>3602</v>
      </c>
      <c r="S387" s="130" t="s">
        <v>3724</v>
      </c>
    </row>
    <row r="388" spans="1:19" ht="30" customHeight="1">
      <c r="A388" s="548">
        <v>387</v>
      </c>
      <c r="B388" s="130" t="s">
        <v>3570</v>
      </c>
      <c r="C388" s="130">
        <v>41200101</v>
      </c>
      <c r="D388" s="130" t="s">
        <v>1476</v>
      </c>
      <c r="E388" s="130" t="s">
        <v>3593</v>
      </c>
      <c r="F388" s="130" t="s">
        <v>3594</v>
      </c>
      <c r="G388" s="130" t="s">
        <v>1</v>
      </c>
      <c r="H388" s="130" t="s">
        <v>3595</v>
      </c>
      <c r="I388" s="130" t="s">
        <v>3596</v>
      </c>
      <c r="J388" s="130" t="s">
        <v>2880</v>
      </c>
      <c r="K388" s="429">
        <v>46021</v>
      </c>
      <c r="L388" s="130">
        <v>1100607700</v>
      </c>
      <c r="M388" s="130" t="s">
        <v>473</v>
      </c>
      <c r="N388" s="130" t="s">
        <v>4025</v>
      </c>
      <c r="O388" s="130" t="s">
        <v>4027</v>
      </c>
      <c r="P388" s="130" t="s">
        <v>3600</v>
      </c>
      <c r="Q388" s="130" t="s">
        <v>3601</v>
      </c>
      <c r="R388" s="130" t="s">
        <v>3602</v>
      </c>
      <c r="S388" s="130" t="s">
        <v>3724</v>
      </c>
    </row>
    <row r="389" spans="1:19" ht="30" customHeight="1"/>
    <row r="390" spans="1:19" ht="30" customHeight="1"/>
    <row r="391" spans="1:19" ht="30" customHeight="1"/>
    <row r="392" spans="1:19" ht="30" customHeight="1"/>
    <row r="393" spans="1:19" ht="30" customHeight="1"/>
    <row r="394" spans="1:19" ht="30" customHeight="1"/>
    <row r="395" spans="1:19" ht="30" customHeight="1"/>
    <row r="396" spans="1:19" ht="30" customHeight="1"/>
    <row r="397" spans="1:19" ht="30" customHeight="1"/>
    <row r="398" spans="1:19" ht="30" customHeight="1"/>
    <row r="399" spans="1:19" ht="30" customHeight="1"/>
    <row r="400" spans="1:19" ht="30" customHeight="1"/>
    <row r="401" ht="30" customHeight="1"/>
    <row r="402" ht="30" customHeight="1"/>
    <row r="403" ht="30" customHeight="1"/>
  </sheetData>
  <autoFilter ref="A1:U388" xr:uid="{6BF8D220-DB3C-4CA2-AD2F-39DB64169A06}"/>
  <mergeCells count="19">
    <mergeCell ref="E1:E2"/>
    <mergeCell ref="F1:F2"/>
    <mergeCell ref="A1:A2"/>
    <mergeCell ref="B1:B2"/>
    <mergeCell ref="C1:C2"/>
    <mergeCell ref="D1:D2"/>
    <mergeCell ref="K1:K2"/>
    <mergeCell ref="L1:L2"/>
    <mergeCell ref="M1:M2"/>
    <mergeCell ref="G1:G2"/>
    <mergeCell ref="H1:H2"/>
    <mergeCell ref="I1:I2"/>
    <mergeCell ref="J1:J2"/>
    <mergeCell ref="S1:S2"/>
    <mergeCell ref="R1:R2"/>
    <mergeCell ref="Q1:Q2"/>
    <mergeCell ref="N1:N2"/>
    <mergeCell ref="O1:O2"/>
    <mergeCell ref="P1:P2"/>
  </mergeCells>
  <phoneticPr fontId="7" type="noConversion"/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rgb="FFC71212"/>
    <pageSetUpPr fitToPage="1"/>
  </sheetPr>
  <dimension ref="B1:R135"/>
  <sheetViews>
    <sheetView view="pageBreakPreview" zoomScale="85" zoomScaleNormal="85" zoomScaleSheetLayoutView="85" workbookViewId="0">
      <selection activeCell="P5" sqref="P5"/>
    </sheetView>
  </sheetViews>
  <sheetFormatPr defaultColWidth="0" defaultRowHeight="12"/>
  <cols>
    <col min="1" max="1" width="9.140625" style="71" customWidth="1"/>
    <col min="2" max="2" width="19.5703125" style="71" customWidth="1"/>
    <col min="3" max="3" width="12.42578125" style="71" customWidth="1"/>
    <col min="4" max="16" width="15.7109375" style="71" customWidth="1"/>
    <col min="17" max="17" width="9.140625" style="71" customWidth="1"/>
    <col min="18" max="18" width="9.140625" style="71" hidden="1" customWidth="1"/>
    <col min="19" max="19" width="0" style="71" hidden="1" customWidth="1"/>
    <col min="20" max="16384" width="0" style="71" hidden="1"/>
  </cols>
  <sheetData>
    <row r="1" spans="2:17" customFormat="1"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</row>
    <row r="2" spans="2:17" s="78" customFormat="1" ht="39.950000000000003" customHeight="1">
      <c r="B2" s="832" t="s">
        <v>4088</v>
      </c>
      <c r="C2" s="833"/>
      <c r="D2" s="732"/>
      <c r="E2" s="732"/>
      <c r="F2" s="732"/>
      <c r="G2" s="732"/>
      <c r="H2" s="732"/>
      <c r="I2" s="732"/>
      <c r="J2" s="732"/>
      <c r="K2" s="732"/>
      <c r="L2" s="732"/>
      <c r="M2" s="732"/>
      <c r="N2" s="732"/>
      <c r="O2" s="732"/>
      <c r="P2" s="733"/>
    </row>
    <row r="3" spans="2:17" customFormat="1" ht="26.1" customHeight="1">
      <c r="B3" s="837" t="s">
        <v>1438</v>
      </c>
      <c r="C3" s="838"/>
      <c r="D3" s="57" t="s">
        <v>1439</v>
      </c>
      <c r="E3" s="58" t="s">
        <v>1440</v>
      </c>
      <c r="F3" s="58" t="s">
        <v>1441</v>
      </c>
      <c r="G3" s="58" t="s">
        <v>1442</v>
      </c>
      <c r="H3" s="58" t="s">
        <v>1443</v>
      </c>
      <c r="I3" s="58" t="s">
        <v>1444</v>
      </c>
      <c r="J3" s="58" t="s">
        <v>1445</v>
      </c>
      <c r="K3" s="58" t="s">
        <v>1446</v>
      </c>
      <c r="L3" s="58" t="s">
        <v>1447</v>
      </c>
      <c r="M3" s="58" t="s">
        <v>1448</v>
      </c>
      <c r="N3" s="58" t="s">
        <v>1449</v>
      </c>
      <c r="O3" s="58" t="s">
        <v>1450</v>
      </c>
      <c r="P3" s="188" t="s">
        <v>1451</v>
      </c>
    </row>
    <row r="4" spans="2:17" customFormat="1" ht="21.95" customHeight="1">
      <c r="B4" s="839" t="s">
        <v>1452</v>
      </c>
      <c r="C4" s="840"/>
      <c r="D4" s="90">
        <f>SUM(D5,(D6*2))</f>
        <v>151</v>
      </c>
      <c r="E4" s="91">
        <f t="shared" ref="E4:O4" si="0">SUM(E5,(E6*2))</f>
        <v>242</v>
      </c>
      <c r="F4" s="91">
        <f t="shared" si="0"/>
        <v>224</v>
      </c>
      <c r="G4" s="91">
        <f t="shared" si="0"/>
        <v>260</v>
      </c>
      <c r="H4" s="91">
        <f t="shared" si="0"/>
        <v>204</v>
      </c>
      <c r="I4" s="91">
        <f t="shared" si="0"/>
        <v>177</v>
      </c>
      <c r="J4" s="91">
        <f t="shared" si="0"/>
        <v>223</v>
      </c>
      <c r="K4" s="91">
        <f t="shared" si="0"/>
        <v>250</v>
      </c>
      <c r="L4" s="91">
        <f t="shared" si="0"/>
        <v>266</v>
      </c>
      <c r="M4" s="91">
        <f t="shared" si="0"/>
        <v>246</v>
      </c>
      <c r="N4" s="91">
        <f t="shared" si="0"/>
        <v>270</v>
      </c>
      <c r="O4" s="91">
        <f t="shared" si="0"/>
        <v>237</v>
      </c>
      <c r="P4" s="189">
        <f>SUM(D4:O4)</f>
        <v>2750</v>
      </c>
    </row>
    <row r="5" spans="2:17" customFormat="1" ht="21.95" customHeight="1">
      <c r="B5" s="742" t="s">
        <v>1453</v>
      </c>
      <c r="C5" s="743"/>
      <c r="D5" s="568" cm="1">
        <f t="array" ref="D5">COUNTA(_xlfn.UNIQUE(_xlfn._xlws.FILTER('가압 날짜별 실적'!D2:D10071, ('가압 날짜별 실적'!I2:I10071=1)*('가압 날짜별 실적'!G2:G10071="SINGLE"))))</f>
        <v>39</v>
      </c>
      <c r="E5" s="92" cm="1">
        <f t="array" ref="E5">COUNTA(_xlfn.UNIQUE(_xlfn._xlws.FILTER('가압 날짜별 실적'!D2:D10071, ('가압 날짜별 실적'!I2:I10071=2)*('가압 날짜별 실적'!G2:G10071="SINGLE"))))</f>
        <v>106</v>
      </c>
      <c r="F5" s="92" cm="1">
        <f t="array" ref="F5">COUNTA(_xlfn.UNIQUE(_xlfn._xlws.FILTER('가압 날짜별 실적'!D2:D10071, ('가압 날짜별 실적'!I2:I10071=3)*('가압 날짜별 실적'!G2:G10071="SINGLE"))))</f>
        <v>70</v>
      </c>
      <c r="G5" s="92" cm="1">
        <f t="array" ref="G5">COUNTA(_xlfn.UNIQUE(_xlfn._xlws.FILTER('가압 날짜별 실적'!D2:D10071, ('가압 날짜별 실적'!I2:I10071=4)*('가압 날짜별 실적'!G2:G10071="SINGLE"))))</f>
        <v>56</v>
      </c>
      <c r="H5" s="92" cm="1">
        <f t="array" ref="H5">COUNTA(_xlfn.UNIQUE(_xlfn._xlws.FILTER('가압 날짜별 실적'!D2:D10071, ('가압 날짜별 실적'!I2:I10071=5)*('가압 날짜별 실적'!G2:G10071="SINGLE"))))</f>
        <v>28</v>
      </c>
      <c r="I5" s="92" cm="1">
        <f t="array" ref="I5">COUNTA(_xlfn.UNIQUE(_xlfn._xlws.FILTER('가압 날짜별 실적'!D2:D10071, ('가압 날짜별 실적'!I2:I10071=6)*('가압 날짜별 실적'!G2:G10071="SINGLE"))))</f>
        <v>61</v>
      </c>
      <c r="J5" s="215" cm="1">
        <f t="array" ref="J5">COUNTA(_xlfn.UNIQUE(_xlfn._xlws.FILTER('가압 날짜별 실적'!D2:D10071, ('가압 날짜별 실적'!I2:I10071=7)*('가압 날짜별 실적'!G2:G10071="SINGLE"))))</f>
        <v>91</v>
      </c>
      <c r="K5" s="92" cm="1">
        <f t="array" ref="K5">COUNTA(_xlfn.UNIQUE(_xlfn._xlws.FILTER('가압 날짜별 실적'!D2:D10071, ('가압 날짜별 실적'!I2:I10071=8)*('가압 날짜별 실적'!G2:G10071="SINGLE"))))</f>
        <v>92</v>
      </c>
      <c r="L5" s="92" cm="1">
        <f t="array" ref="L5">COUNTA(_xlfn.UNIQUE(_xlfn._xlws.FILTER('가압 날짜별 실적'!D2:D10071, ('가압 날짜별 실적'!I2:I10071=9)*('가압 날짜별 실적'!G2:G10071="SINGLE"))))</f>
        <v>144</v>
      </c>
      <c r="M5" s="92" cm="1">
        <f t="array" ref="M5">COUNTA(_xlfn.UNIQUE(_xlfn._xlws.FILTER('가압 날짜별 실적'!D2:D10071, ('가압 날짜별 실적'!I2:I10071=10)*('가압 날짜별 실적'!G2:G10071="SINGLE"))))</f>
        <v>102</v>
      </c>
      <c r="N5" s="92" cm="1">
        <f t="array" ref="N5">COUNTA(_xlfn.UNIQUE(_xlfn._xlws.FILTER('가압 날짜별 실적'!D2:D10071, ('가압 날짜별 실적'!I2:I10071=11)*('가압 날짜별 실적'!G2:G10071="SINGLE"))))</f>
        <v>88</v>
      </c>
      <c r="O5" s="92" cm="1">
        <f t="array" ref="O5">COUNTA(_xlfn.UNIQUE(_xlfn._xlws.FILTER('가압 날짜별 실적'!D2:D10071, ('가압 날짜별 실적'!I2:I10071=12)*('가압 날짜별 실적'!G2:G10071="SINGLE"))))</f>
        <v>45</v>
      </c>
      <c r="P5" s="189">
        <f t="shared" ref="P4:P12" si="1">SUM(D5:O5)</f>
        <v>922</v>
      </c>
    </row>
    <row r="6" spans="2:17" customFormat="1" ht="21.95" customHeight="1">
      <c r="B6" s="742" t="s">
        <v>1454</v>
      </c>
      <c r="C6" s="743"/>
      <c r="D6" s="93" cm="1">
        <f t="array" ref="D6">COUNTA(_xlfn.UNIQUE(_xlfn._xlws.FILTER('가압 날짜별 실적'!D2:D10071, ('가압 날짜별 실적'!I2:I10071=1)*('가압 날짜별 실적'!G2:G10071="DUAL"))))</f>
        <v>56</v>
      </c>
      <c r="E6" s="94" cm="1">
        <f t="array" ref="E6">COUNTA(_xlfn.UNIQUE(_xlfn._xlws.FILTER('가압 날짜별 실적'!D2:D10071, ('가압 날짜별 실적'!I2:I10071=2)*('가압 날짜별 실적'!G2:G10071="DUAL"))))</f>
        <v>68</v>
      </c>
      <c r="F6" s="94" cm="1">
        <f t="array" ref="F6">COUNTA(_xlfn.UNIQUE(_xlfn._xlws.FILTER('가압 날짜별 실적'!D2:D10071, ('가압 날짜별 실적'!I2:I10071=3)*('가압 날짜별 실적'!G2:G10071="DUAL"))))</f>
        <v>77</v>
      </c>
      <c r="G6" s="94" cm="1">
        <f t="array" ref="G6">COUNTA(_xlfn.UNIQUE(_xlfn._xlws.FILTER('가압 날짜별 실적'!D2:D10071, ('가압 날짜별 실적'!I2:I10071=4)*('가압 날짜별 실적'!G2:G10071="DUAL"))))</f>
        <v>102</v>
      </c>
      <c r="H6" s="94" cm="1">
        <f t="array" ref="H6">COUNTA(_xlfn.UNIQUE(_xlfn._xlws.FILTER('가압 날짜별 실적'!D2:D10071, ('가압 날짜별 실적'!I2:I10071=5)*('가압 날짜별 실적'!G2:G10071="DUAL"))))</f>
        <v>88</v>
      </c>
      <c r="I6" s="163" cm="1">
        <f t="array" ref="I6">COUNTA(_xlfn.UNIQUE(_xlfn._xlws.FILTER('가압 날짜별 실적'!D2:D10071, ('가압 날짜별 실적'!I2:I10071=6)*('가압 날짜별 실적'!G2:G10071="DUAL"))))</f>
        <v>58</v>
      </c>
      <c r="J6" s="92" cm="1">
        <f t="array" ref="J6">COUNTA(_xlfn.UNIQUE(_xlfn._xlws.FILTER('가압 날짜별 실적'!D2:D10071, ('가압 날짜별 실적'!I2:I10071=7)*('가압 날짜별 실적'!G2:G10071="DUAL"))))</f>
        <v>66</v>
      </c>
      <c r="K6" s="92" cm="1">
        <f t="array" ref="K6">COUNTA(_xlfn.UNIQUE(_xlfn._xlws.FILTER('가압 날짜별 실적'!D2:D10071, ('가압 날짜별 실적'!I2:I10071=8)*('가압 날짜별 실적'!G2:G10071="DUAL"))))</f>
        <v>79</v>
      </c>
      <c r="L6" s="92" cm="1">
        <f t="array" ref="L6">COUNTA(_xlfn.UNIQUE(_xlfn._xlws.FILTER('가압 날짜별 실적'!D2:D10071, ('가압 날짜별 실적'!I2:I10071=9)*('가압 날짜별 실적'!G2:G10071="DUAL"))))</f>
        <v>61</v>
      </c>
      <c r="M6" s="92" cm="1">
        <f t="array" ref="M6">COUNTA(_xlfn.UNIQUE(_xlfn._xlws.FILTER('가압 날짜별 실적'!D2:D10071, ('가압 날짜별 실적'!I2:I10071=10)*('가압 날짜별 실적'!G2:G10071="DUAL"))))</f>
        <v>72</v>
      </c>
      <c r="N6" s="92" cm="1">
        <f t="array" ref="N6">COUNTA(_xlfn.UNIQUE(_xlfn._xlws.FILTER('가압 날짜별 실적'!D2:D10071, ('가압 날짜별 실적'!I2:I10071=11)*('가압 날짜별 실적'!G2:G10071="DUAL"))))</f>
        <v>91</v>
      </c>
      <c r="O6" s="92" cm="1">
        <f t="array" ref="O6">COUNTA(_xlfn.UNIQUE(_xlfn._xlws.FILTER('가압 날짜별 실적'!D2:D10071, ('가압 날짜별 실적'!I2:I10071=12)*('가압 날짜별 실적'!G2:G10071="DUAL"))))</f>
        <v>96</v>
      </c>
      <c r="P6" s="189">
        <f t="shared" si="1"/>
        <v>914</v>
      </c>
    </row>
    <row r="7" spans="2:17" customFormat="1" ht="21.95" customHeight="1">
      <c r="B7" s="742" t="s">
        <v>1455</v>
      </c>
      <c r="C7" s="743"/>
      <c r="D7" s="95">
        <f t="shared" ref="D7:O7" si="2">SUM(D5:D6)</f>
        <v>95</v>
      </c>
      <c r="E7" s="96">
        <f t="shared" si="2"/>
        <v>174</v>
      </c>
      <c r="F7" s="96">
        <f t="shared" si="2"/>
        <v>147</v>
      </c>
      <c r="G7" s="96">
        <f t="shared" si="2"/>
        <v>158</v>
      </c>
      <c r="H7" s="96">
        <f t="shared" si="2"/>
        <v>116</v>
      </c>
      <c r="I7" s="96">
        <f t="shared" si="2"/>
        <v>119</v>
      </c>
      <c r="J7" s="96">
        <f>SUM(J5:J6)</f>
        <v>157</v>
      </c>
      <c r="K7" s="96">
        <f t="shared" si="2"/>
        <v>171</v>
      </c>
      <c r="L7" s="96">
        <f t="shared" si="2"/>
        <v>205</v>
      </c>
      <c r="M7" s="96">
        <f t="shared" si="2"/>
        <v>174</v>
      </c>
      <c r="N7" s="96">
        <f t="shared" si="2"/>
        <v>179</v>
      </c>
      <c r="O7" s="96">
        <f t="shared" si="2"/>
        <v>141</v>
      </c>
      <c r="P7" s="190">
        <f t="shared" si="1"/>
        <v>1836</v>
      </c>
    </row>
    <row r="8" spans="2:17" customFormat="1" ht="21.95" customHeight="1">
      <c r="B8" s="841" t="s">
        <v>4089</v>
      </c>
      <c r="C8" s="842"/>
      <c r="D8" s="97">
        <f t="shared" ref="D8:I8" si="3">D13-D12</f>
        <v>32</v>
      </c>
      <c r="E8" s="97">
        <f t="shared" si="3"/>
        <v>32</v>
      </c>
      <c r="F8" s="97">
        <f t="shared" si="3"/>
        <v>28</v>
      </c>
      <c r="G8" s="97">
        <f t="shared" si="3"/>
        <v>33</v>
      </c>
      <c r="H8" s="97">
        <f t="shared" si="3"/>
        <v>37</v>
      </c>
      <c r="I8" s="97">
        <f t="shared" si="3"/>
        <v>11</v>
      </c>
      <c r="J8" s="98">
        <f t="shared" ref="J8:O8" si="4">J13-J12</f>
        <v>22</v>
      </c>
      <c r="K8" s="98">
        <f>K13-K12</f>
        <v>33</v>
      </c>
      <c r="L8" s="98">
        <f t="shared" si="4"/>
        <v>32</v>
      </c>
      <c r="M8" s="98">
        <f t="shared" si="4"/>
        <v>37</v>
      </c>
      <c r="N8" s="98">
        <f t="shared" si="4"/>
        <v>31</v>
      </c>
      <c r="O8" s="98">
        <f t="shared" si="4"/>
        <v>18</v>
      </c>
      <c r="P8" s="216">
        <f>SUM(D8:O8)</f>
        <v>346</v>
      </c>
    </row>
    <row r="9" spans="2:17" customFormat="1" ht="21.95" customHeight="1">
      <c r="B9" s="812" t="s">
        <v>1456</v>
      </c>
      <c r="C9" s="813"/>
      <c r="D9" s="99">
        <f>COUNTIFS('가압 불량내역'!$K:$K,"&gt;=2025-01-01",'가압 불량내역'!$K:$K,"&lt;=2025-01-31",'가압 불량내역'!$H:$H,"기구작업불량",'가압 불량내역'!$Q:$Q,"제조") + COUNTIFS('가압 불량내역'!$K:$K,"&gt;=2025-01-01",'가압 불량내역'!$K:$K,"&lt;=2025-01-31",'가압 불량내역'!$H:$H,"기구작업불량",'가압 불량내역'!$Q:$Q,"제조(재작업)")</f>
        <v>30</v>
      </c>
      <c r="E9" s="99">
        <f>COUNTIFS('가압 불량내역'!$K:$K,"&gt;=2025-02-01",'가압 불량내역'!$K:$K,"&lt;=2025-02-28",'가압 불량내역'!$H:$H,"기구작업불량",'가압 불량내역'!$Q:$Q,"제조") + COUNTIFS('가압 불량내역'!$K:$K,"&gt;=2025-02-01",'가압 불량내역'!$K:$K,"&lt;=2025-02-28",'가압 불량내역'!$H:$H,"기구작업불량",'가압 불량내역'!$Q:$Q,"제조(재작업)")</f>
        <v>31</v>
      </c>
      <c r="F9" s="99">
        <f>COUNTIFS('가압 불량내역'!$K:$K,"&gt;=2025-03-01",'가압 불량내역'!$K:$K,"&lt;=2025-03-31",'가압 불량내역'!$H:$H,"기구작업불량",'가압 불량내역'!$Q:$Q,"제조") + COUNTIFS('가압 불량내역'!$K:$K,"&gt;=2025-03-01",'가압 불량내역'!$K:$K,"&lt;=2025-03-31",'가압 불량내역'!$H:$H,"기구작업불량",'가압 불량내역'!$Q:$Q,"제조(재작업)")</f>
        <v>26</v>
      </c>
      <c r="G9" s="99">
        <f>COUNTIFS('가압 불량내역'!$K:$K,"&gt;=2025-04-01",'가압 불량내역'!$K:$K,"&lt;=2025-04-30",'가압 불량내역'!$H:$H,"기구작업불량",'가압 불량내역'!$Q:$Q,"제조") + COUNTIFS('가압 불량내역'!$K:$K,"&gt;=2025-04-01",'가압 불량내역'!$K:$K,"&lt;=2025-04-30",'가압 불량내역'!$H:$H,"기구작업불량",'가압 불량내역'!$Q:$Q,"제조(재작업)")</f>
        <v>29</v>
      </c>
      <c r="H9" s="99">
        <f>COUNTIFS('가압 불량내역'!$K:$K,"&gt;=2025-05-01",'가압 불량내역'!$K:$K,"&lt;=2025-05-31",'가압 불량내역'!$H:$H,"기구작업불량",'가압 불량내역'!$Q:$Q,"제조") + COUNTIFS('가압 불량내역'!$K:$K,"&gt;=2025-05-01",'가압 불량내역'!$K:$K,"&lt;=2025-05-31",'가압 불량내역'!$H:$H,"기구작업불량",'가압 불량내역'!$Q:$Q,"제조(재작업)")</f>
        <v>31</v>
      </c>
      <c r="I9" s="99">
        <f>COUNTIFS('가압 불량내역'!$K:$K,"&gt;=2025-06-01",'가압 불량내역'!$K:$K,"&lt;=2025-06-30",'가압 불량내역'!$H:$H,"기구작업불량",'가압 불량내역'!$Q:$Q,"제조") + COUNTIFS('가압 불량내역'!$K:$K,"&gt;=2025-06-01",'가압 불량내역'!$K:$K,"&lt;=2025-06-30",'가압 불량내역'!$H:$H,"기구작업불량",'가압 불량내역'!$Q:$Q,"제조(재작업)")</f>
        <v>10</v>
      </c>
      <c r="J9" s="99">
        <f>COUNTIFS('가압 불량내역'!$K:$K,"&gt;=2025-07-01",'가압 불량내역'!$K:$K,"&lt;=2025-07-31",'가압 불량내역'!$H:$H,"기구작업불량",'가압 불량내역'!$Q:$Q,"제조") + COUNTIFS('가압 불량내역'!$K:$K,"&gt;=2025-07-01",'가압 불량내역'!$K:$K,"&lt;=2025-07-31",'가압 불량내역'!$H:$H,"기구작업불량",'가압 불량내역'!$Q:$Q,"제조(재작업)")</f>
        <v>18</v>
      </c>
      <c r="K9" s="99">
        <f>COUNTIFS('가압 불량내역'!$K:$K,"&gt;=2025-08-01",'가압 불량내역'!$K:$K,"&lt;=2025-08-31",'가압 불량내역'!$H:$H,"기구작업불량")</f>
        <v>25</v>
      </c>
      <c r="L9" s="99">
        <f>COUNTIFS('가압 불량내역'!$K:$K,"&gt;=2025-09-01",'가압 불량내역'!$K:$K,"&lt;=2025-09-30",'가압 불량내역'!$H:$H,"기구작업불량")</f>
        <v>26</v>
      </c>
      <c r="M9" s="99">
        <f>COUNTIFS('가압 불량내역'!$K:$K,"&gt;=2025-10-01",'가압 불량내역'!$K:$K,"&lt;=2025-10-31",'가압 불량내역'!$H:$H,"기구작업불량")</f>
        <v>33</v>
      </c>
      <c r="N9" s="99">
        <f>COUNTIFS('가압 불량내역'!$K:$K,"&gt;=2025-11-01",'가압 불량내역'!$K:$K,"&lt;=2025-11-30",'가압 불량내역'!$H:$H,"기구작업불량")</f>
        <v>29</v>
      </c>
      <c r="O9" s="99">
        <f>COUNTIFS('가압 불량내역'!$K:$K,"&gt;=2025-12-01",'가압 불량내역'!$K:$K,"&lt;=2025-12-31",'가압 불량내역'!$H:$H,"기구작업불량")</f>
        <v>18</v>
      </c>
      <c r="P9" s="191">
        <f t="shared" si="1"/>
        <v>306</v>
      </c>
    </row>
    <row r="10" spans="2:17" customFormat="1" ht="21.95" customHeight="1">
      <c r="B10" s="812" t="s">
        <v>1457</v>
      </c>
      <c r="C10" s="813"/>
      <c r="D10" s="99">
        <f>COUNTIFS('가압 불량내역'!$K:$K,"&gt;=2025-01-01",'가압 불량내역'!$K:$K,"&lt;=2025-01-31",'가압 불량내역'!$H:$H,"전장작업불량",'가압 불량내역'!$Q:$Q,"제조") + COUNTIFS('가압 불량내역'!$K:$K,"&gt;=2025-01-01",'가압 불량내역'!$K:$K,"&lt;=2025-01-31",'가압 불량내역'!$H:$H,"전장작업불량",'가압 불량내역'!$Q:$Q,"제조(재작업)")</f>
        <v>1</v>
      </c>
      <c r="E10" s="99">
        <f>COUNTIFS('가압 불량내역'!$K:$K,"&gt;=2025-02-01",'가압 불량내역'!$K:$K,"&lt;=2025-02-28",'가압 불량내역'!$H:$H,"전장작업불량",'가압 불량내역'!$Q:$Q,"제조") + COUNTIFS('가압 불량내역'!$K:$K,"&gt;=2025-02-01",'가압 불량내역'!$K:$K,"&lt;=2025-02-28",'가압 불량내역'!$H:$H,"전장작업불량",'가압 불량내역'!$Q:$Q,"제조(재작업)")</f>
        <v>1</v>
      </c>
      <c r="F10" s="99">
        <f>COUNTIFS('가압 불량내역'!$K:$K,"&gt;=2025-03-01",'가압 불량내역'!$K:$K,"&lt;=2025-03-31",'가압 불량내역'!$H:$H,"전장작업불량",'가압 불량내역'!$Q:$Q,"제조") + COUNTIFS('가압 불량내역'!$K:$K,"&gt;=2025-03-01",'가압 불량내역'!$K:$K,"&lt;=2025-03-31",'가압 불량내역'!$H:$H,"전장작업불량",'가압 불량내역'!$Q:$Q,"제조(재작업)")</f>
        <v>0</v>
      </c>
      <c r="G10" s="99">
        <f>COUNTIFS('가압 불량내역'!$K:$K,"&gt;=2025-04-01",'가압 불량내역'!$K:$K,"&lt;=2025-04-30",'가압 불량내역'!$H:$H,"전장작업불량",'가압 불량내역'!$Q:$Q,"제조") + COUNTIFS('가압 불량내역'!$K:$K,"&gt;=2025-04-01",'가압 불량내역'!$K:$K,"&lt;=2025-04-30",'가압 불량내역'!$H:$H,"전장작업불량",'가압 불량내역'!$Q:$Q,"제조(재작업)")</f>
        <v>2</v>
      </c>
      <c r="H10" s="99">
        <f>COUNTIFS('가압 불량내역'!$K:$K,"&gt;=2025-05-01",'가압 불량내역'!$K:$K,"&lt;=2025-05-31",'가압 불량내역'!$H:$H,"전장작업불량",'가압 불량내역'!$Q:$Q,"제조") + COUNTIFS('가압 불량내역'!$K:$K,"&gt;=2025-05-01",'가압 불량내역'!$K:$K,"&lt;=2025-05-31",'가압 불량내역'!$H:$H,"전장작업불량",'가압 불량내역'!$Q:$Q,"제조(재작업)")</f>
        <v>5</v>
      </c>
      <c r="I10" s="99">
        <f>COUNTIFS('가압 불량내역'!$K:$K,"&gt;=2025-06-01",'가압 불량내역'!$K:$K,"&lt;=2025-06-30",'가압 불량내역'!$H:$H,"전장작업불량",'가압 불량내역'!$Q:$Q,"제조") + COUNTIFS('가압 불량내역'!$K:$K,"&gt;=2025-06-01",'가압 불량내역'!$K:$K,"&lt;=2025-06-30",'가압 불량내역'!$H:$H,"전장작업불량",'가압 불량내역'!$Q:$Q,"제조(재작업)")</f>
        <v>0</v>
      </c>
      <c r="J10" s="99">
        <f>COUNTIFS('가압 불량내역'!$K:$K,"&gt;=2025-07-01",'가압 불량내역'!$K:$K,"&lt;=2025-07-31",'가압 불량내역'!$H:$H,"전장작업불량")</f>
        <v>4</v>
      </c>
      <c r="K10" s="99">
        <f>COUNTIFS('가압 불량내역'!$K:$K,"&gt;=2025-08-01",'가압 불량내역'!$K:$K,"&lt;=2025-08-31",'가압 불량내역'!$H:$H,"전장작업불량")</f>
        <v>5</v>
      </c>
      <c r="L10" s="99">
        <f>COUNTIFS('가압 불량내역'!$K:$K,"&gt;=2025-09-01",'가압 불량내역'!$K:$K,"&lt;=2025-09-30",'가압 불량내역'!$H:$H,"전장작업불량")</f>
        <v>2</v>
      </c>
      <c r="M10" s="99">
        <f>COUNTIFS('가압 불량내역'!$K:$K,"&gt;=2025-10-01",'가압 불량내역'!$K:$K,"&lt;=2025-10-31",'가압 불량내역'!$H:$H,"전장작업불량")</f>
        <v>0</v>
      </c>
      <c r="N10" s="99">
        <f>COUNTIFS('가압 불량내역'!$K:$K,"&gt;=2025-11-01",'가압 불량내역'!$K:$K,"&lt;=2025-11-30",'가압 불량내역'!$H:$H,"전장작업불량")</f>
        <v>0</v>
      </c>
      <c r="O10" s="99">
        <f>COUNTIFS('가압 불량내역'!$K:$K,"&gt;=2025-12-01",'가압 불량내역'!$K:$K,"&lt;=2025-12-31",'가압 불량내역'!$H:$H,"전장작업불량")</f>
        <v>0</v>
      </c>
      <c r="P10" s="191">
        <f t="shared" si="1"/>
        <v>20</v>
      </c>
    </row>
    <row r="11" spans="2:17" customFormat="1" ht="21.95" customHeight="1">
      <c r="B11" s="812" t="s">
        <v>1458</v>
      </c>
      <c r="C11" s="813"/>
      <c r="D11" s="99">
        <f>COUNTIFS('가압 불량내역'!$K:$K,"&gt;=2025-01-01",'가압 불량내역'!$K:$K,"&lt;=2025-01-31",'가압 불량내역'!$H:$H,"부품불량",'가압 불량내역'!$Q:$Q,"&lt;&gt;제조(He미보증)")</f>
        <v>1</v>
      </c>
      <c r="E11" s="99">
        <f>COUNTIFS('가압 불량내역'!$K:$K,"&gt;=2025-02-01",'가압 불량내역'!$K:$K,"&lt;=2025-02-28",'가압 불량내역'!$H:$H,"부품불량",'가압 불량내역'!$Q:$Q,"&lt;&gt;제조(He미보증)")</f>
        <v>0</v>
      </c>
      <c r="F11" s="99">
        <f>COUNTIFS('가압 불량내역'!$K:$K,"&gt;=2025-03-01",'가압 불량내역'!$K:$K,"&lt;=2025-03-31",'가압 불량내역'!$H:$H,"부품불량",'가압 불량내역'!$Q:$Q,"&lt;&gt;제조(He미보증)")</f>
        <v>2</v>
      </c>
      <c r="G11" s="99">
        <f>COUNTIFS('가압 불량내역'!$K:$K,"&gt;=2025-04-01",'가압 불량내역'!$K:$K,"&lt;=2025-04-30",'가압 불량내역'!$H:$H,"부품불량",'가압 불량내역'!$Q:$Q,"&lt;&gt;제조(He미보증)")</f>
        <v>2</v>
      </c>
      <c r="H11" s="99">
        <f>COUNTIFS('가압 불량내역'!$K:$K,"&gt;=2025-05-01",'가압 불량내역'!$K:$K,"&lt;=2025-05-31",'가압 불량내역'!$H:$H,"부품불량",'가압 불량내역'!$Q:$Q,"&lt;&gt;제조(He미보증)")</f>
        <v>1</v>
      </c>
      <c r="I11" s="99">
        <f>COUNTIFS('가압 불량내역'!$K:$K,"&gt;=2025-06-01",'가압 불량내역'!$K:$K,"&lt;=2025-06-30",'가압 불량내역'!$H:$H,"부품불량",'가압 불량내역'!$Q:$Q,"&lt;&gt;제조(He미보증)")</f>
        <v>1</v>
      </c>
      <c r="J11" s="99">
        <f>COUNTIFS('가압 불량내역'!$K:$K,"&gt;=2025-07-01",'가압 불량내역'!$K:$K,"&lt;=2025-07-31",'가압 불량내역'!$H:$H,"부품불량",'가압 불량내역'!$Q:$Q,"&lt;&gt;제조(He미보증)")</f>
        <v>0</v>
      </c>
      <c r="K11" s="99">
        <f>COUNTIFS('가압 불량내역'!$K:$K,"&gt;=2025-08-01",'가압 불량내역'!$K:$K,"&lt;=2025-08-31",'가압 불량내역'!$H:$H,"부품불량",'가압 불량내역'!$Q:$Q,"&lt;&gt;제조(He미보증)")</f>
        <v>3</v>
      </c>
      <c r="L11" s="99">
        <f>COUNTIFS('가압 불량내역'!$K:$K,"&gt;=2025-09-01",'가압 불량내역'!$K:$K,"&lt;=2025-09-30",'가압 불량내역'!$H:$H,"부품불량",'가압 불량내역'!$Q:$Q,"&lt;&gt;제조(He미보증)")</f>
        <v>5</v>
      </c>
      <c r="M11" s="99">
        <f>COUNTIFS('가압 불량내역'!$K:$K,"&gt;=2025-10-01",'가압 불량내역'!$K:$K,"&lt;=2025-10-31",'가압 불량내역'!$H:$H,"부품불량",'가압 불량내역'!$Q:$Q,"&lt;&gt;제조(He미보증)")</f>
        <v>4</v>
      </c>
      <c r="N11" s="99">
        <f>COUNTIFS('가압 불량내역'!$K:$K,"&gt;=2025-11-01",'가압 불량내역'!$K:$K,"&lt;=2025-11-30",'가압 불량내역'!$H:$H,"부품불량",'가압 불량내역'!$Q:$Q,"&lt;&gt;제조(He미보증)")</f>
        <v>2</v>
      </c>
      <c r="O11" s="99">
        <f>COUNTIFS('가압 불량내역'!$K:$K,"&gt;=2025-12-01",'가압 불량내역'!$K:$K,"&lt;=2025-12-31",'가압 불량내역'!$H:$H,"부품불량",'가압 불량내역'!$Q:$Q,"&lt;&gt;제조(He미보증)")</f>
        <v>0</v>
      </c>
      <c r="P11" s="191">
        <f t="shared" si="1"/>
        <v>21</v>
      </c>
    </row>
    <row r="12" spans="2:17" customFormat="1" ht="21.95" customHeight="1">
      <c r="B12" s="820" t="s">
        <v>4090</v>
      </c>
      <c r="C12" s="821"/>
      <c r="D12" s="97">
        <f>COUNTIFS('가압 불량내역'!K:K, "&gt;=2025-01-01",'가압 불량내역'!K:K, "&lt;=2025-01-31",'가압 불량내역'!Q:Q, "제조(He미보증)")</f>
        <v>16</v>
      </c>
      <c r="E12" s="98">
        <f>COUNTIFS('가압 불량내역'!K:K,"&gt;=2025-02-01",'가압 불량내역'!K:K,"&lt;=2025-02-28",'가압 불량내역'!Q:Q,"제조(He미보증)")</f>
        <v>21</v>
      </c>
      <c r="F12" s="98">
        <f>COUNTIFS('가압 불량내역'!K:K,"&gt;=2025-03-01",'가압 불량내역'!K:K,"&lt;=2025-03-31",'가압 불량내역'!Q:Q,"제조(He미보증)")</f>
        <v>23</v>
      </c>
      <c r="G12" s="98">
        <f>COUNTIFS('가압 불량내역'!K:K,"&gt;=2025-04-01",'가압 불량내역'!K:K,"&lt;=2025-04-30",'가압 불량내역'!Q:Q,"제조(He미보증)")</f>
        <v>26</v>
      </c>
      <c r="H12" s="98">
        <f>COUNTIFS('가압 불량내역'!K:K,"&gt;=2025-05-01",'가압 불량내역'!K:K,"&lt;=2025-05-31",'가압 불량내역'!Q:Q,"제조(He미보증)")</f>
        <v>12</v>
      </c>
      <c r="I12" s="98">
        <f>COUNTIFS('가압 불량내역'!K:K,"&gt;=2025-06-01",'가압 불량내역'!K:K,"&lt;=2025-06-30",'가압 불량내역'!Q:Q,"제조(He미보증)")</f>
        <v>13</v>
      </c>
      <c r="J12" s="98">
        <f>COUNTIFS('가압 불량내역'!K:K,"&gt;=2025-07-01",'가압 불량내역'!K:K,"&lt;=2025-07-31",'가압 불량내역'!Q:Q,"제조(He미보증)")</f>
        <v>15</v>
      </c>
      <c r="K12" s="98">
        <f>COUNTIFS('가압 불량내역'!K:K,"&gt;=2025-08-01",'가압 불량내역'!K:K,"&lt;=2025-08-31",'가압 불량내역'!Q:Q,"제조(He미보증)")</f>
        <v>12</v>
      </c>
      <c r="L12" s="98">
        <f>COUNTIFS('가압 불량내역'!K:K,"&gt;=2025-09-01",'가압 불량내역'!K:K,"&lt;=2025-09-30",'가압 불량내역'!Q:Q,"제조(He미보증)")</f>
        <v>22</v>
      </c>
      <c r="M12" s="98">
        <f>COUNTIFS('가압 불량내역'!K:K,"&gt;=2025-10-01",'가압 불량내역'!K:K,"&lt;=2025-10-31",'가압 불량내역'!Q:Q,"제조(He미보증)")</f>
        <v>12</v>
      </c>
      <c r="N12" s="98">
        <f>COUNTIFS('가압 불량내역'!K:K,"&gt;=2025-11-01",'가압 불량내역'!K:K,"&lt;=2025-11-30",'가압 불량내역'!Q:Q,"제조(He미보증)")</f>
        <v>17</v>
      </c>
      <c r="O12" s="98">
        <f>COUNTIFS('가압 불량내역'!K:K,"&gt;=2025-12-01",'가압 불량내역'!K:K,"&lt;=2025-12-31",'가압 불량내역'!Q:Q,"제조(He미보증)")</f>
        <v>11</v>
      </c>
      <c r="P12" s="216">
        <f t="shared" si="1"/>
        <v>200</v>
      </c>
    </row>
    <row r="13" spans="2:17" customFormat="1" ht="21.95" customHeight="1">
      <c r="B13" s="814" t="s">
        <v>1460</v>
      </c>
      <c r="C13" s="815"/>
      <c r="D13" s="79">
        <f>COUNTIFS('가압 불량내역'!K:K, "&gt;=2025-01-01", '가압 불량내역'!K:K, "&lt;=2025-01-31")</f>
        <v>48</v>
      </c>
      <c r="E13" s="80">
        <f>COUNTIFS('가압 불량내역'!K:K, "&gt;=2025-02-01", '가압 불량내역'!K:K, "&lt;=2025-02-28")</f>
        <v>53</v>
      </c>
      <c r="F13" s="80">
        <f>COUNTIFS('가압 불량내역'!K:K, "&gt;=2025-03-01", '가압 불량내역'!K:K, "&lt;=2025-03-31")</f>
        <v>51</v>
      </c>
      <c r="G13" s="80">
        <f>COUNTIFS('가압 불량내역'!K:K, "&gt;=2025-04-01", '가압 불량내역'!K:K, "&lt;=2025-04-30")</f>
        <v>59</v>
      </c>
      <c r="H13" s="80">
        <f>COUNTIFS('가압 불량내역'!K:K, "&gt;=2025-05-01", '가압 불량내역'!K:K, "&lt;=2025-05-31")</f>
        <v>49</v>
      </c>
      <c r="I13" s="80">
        <f>COUNTIFS('가압 불량내역'!K:K, "&gt;=2025-06-01", '가압 불량내역'!K:K, "&lt;=2025-06-30")</f>
        <v>24</v>
      </c>
      <c r="J13" s="80">
        <f>COUNTIFS('가압 불량내역'!K:K, "&gt;=2025-07-01", '가압 불량내역'!K:K, "&lt;=2025-07-31")</f>
        <v>37</v>
      </c>
      <c r="K13" s="80">
        <f>COUNTIFS('가압 불량내역'!K:K, "&gt;=2025-08-01", '가압 불량내역'!K:K, "&lt;=2025-08-31")</f>
        <v>45</v>
      </c>
      <c r="L13" s="80">
        <f>COUNTIFS('가압 불량내역'!K:K, "&gt;=2025-09-01", '가압 불량내역'!K:K, "&lt;=2025-09-30")</f>
        <v>54</v>
      </c>
      <c r="M13" s="80">
        <f>COUNTIFS('가압 불량내역'!K:K, "&gt;=2025-10-01", '가압 불량내역'!K:K, "&lt;=2025-10-31")</f>
        <v>49</v>
      </c>
      <c r="N13" s="80">
        <f>COUNTIFS('가압 불량내역'!K:K, "&gt;=2025-11-01", '가압 불량내역'!K:K, "&lt;=2025-11-30")</f>
        <v>48</v>
      </c>
      <c r="O13" s="80">
        <f>COUNTIFS('가압 불량내역'!K:K, "&gt;=2025-12-01", '가압 불량내역'!K:K, "&lt;=2025-12-31")</f>
        <v>29</v>
      </c>
      <c r="P13" s="193">
        <f>SUM(D13:O13)</f>
        <v>546</v>
      </c>
      <c r="Q13" s="306"/>
    </row>
    <row r="14" spans="2:17" customFormat="1" ht="26.1" customHeight="1">
      <c r="B14" s="816" t="s">
        <v>1461</v>
      </c>
      <c r="C14" s="817"/>
      <c r="D14" s="194">
        <f>D13/D4</f>
        <v>0.31788079470198677</v>
      </c>
      <c r="E14" s="194">
        <f t="shared" ref="E14:I14" si="5">E13/E4</f>
        <v>0.21900826446280991</v>
      </c>
      <c r="F14" s="194">
        <f t="shared" si="5"/>
        <v>0.22767857142857142</v>
      </c>
      <c r="G14" s="194">
        <f t="shared" si="5"/>
        <v>0.22692307692307692</v>
      </c>
      <c r="H14" s="194">
        <f t="shared" si="5"/>
        <v>0.24019607843137256</v>
      </c>
      <c r="I14" s="194">
        <f t="shared" si="5"/>
        <v>0.13559322033898305</v>
      </c>
      <c r="J14" s="194">
        <f>J13/J4</f>
        <v>0.16591928251121077</v>
      </c>
      <c r="K14" s="194">
        <f>K13/K4</f>
        <v>0.18</v>
      </c>
      <c r="L14" s="194">
        <f>L13/L4</f>
        <v>0.20300751879699247</v>
      </c>
      <c r="M14" s="194">
        <f>M13/M4</f>
        <v>0.1991869918699187</v>
      </c>
      <c r="N14" s="194">
        <f>N13/N4</f>
        <v>0.17777777777777778</v>
      </c>
      <c r="O14" s="194">
        <f>O13/O4</f>
        <v>0.12236286919831224</v>
      </c>
      <c r="P14" s="195">
        <f>P13/P4</f>
        <v>0.19854545454545455</v>
      </c>
      <c r="Q14" s="307"/>
    </row>
    <row r="15" spans="2:17" s="56" customFormat="1" ht="24.95" customHeight="1">
      <c r="B15" s="734" t="s">
        <v>1462</v>
      </c>
      <c r="C15" s="735"/>
      <c r="D15" s="719"/>
      <c r="E15" s="719"/>
      <c r="F15" s="719"/>
      <c r="G15" s="719"/>
      <c r="H15" s="719"/>
      <c r="I15" s="719"/>
      <c r="J15" s="719"/>
      <c r="K15" s="719"/>
      <c r="L15" s="719"/>
      <c r="M15" s="719"/>
      <c r="N15" s="719"/>
      <c r="O15" s="719"/>
      <c r="P15" s="720"/>
    </row>
    <row r="16" spans="2:17" customFormat="1" ht="21.95" customHeight="1">
      <c r="B16" s="818" t="s">
        <v>24</v>
      </c>
      <c r="C16" s="819"/>
      <c r="D16" s="100">
        <f>COUNTIFS('가압 불량내역'!$K:$K,"&gt;=2025-01-01",'가압 불량내역'!$K:$K,"&lt;=2025-01-31",'가압 불량내역'!$P:$P,"재체결")</f>
        <v>16</v>
      </c>
      <c r="E16" s="101">
        <f>COUNTIFS('가압 불량내역'!$K:$K,"&gt;=2025-02-01",'가압 불량내역'!$K:$K,"&lt;=2025-02-28",'가압 불량내역'!$P:$P,"재체결")</f>
        <v>12</v>
      </c>
      <c r="F16" s="101">
        <f>COUNTIFS('가압 불량내역'!$K:$K,"&gt;=2025-03-01",'가압 불량내역'!$K:$K,"&lt;=2025-03-31",'가압 불량내역'!$P:$P,"재체결")</f>
        <v>14</v>
      </c>
      <c r="G16" s="101">
        <f>COUNTIFS('가압 불량내역'!$K:$K,"&gt;=2025-04-01",'가압 불량내역'!$K:$K,"&lt;=2025-04-30",'가압 불량내역'!$P:$P,"재체결")</f>
        <v>11</v>
      </c>
      <c r="H16" s="101">
        <f>COUNTIFS('가압 불량내역'!$K:$K,"&gt;=2025-05-01",'가압 불량내역'!$K:$K,"&lt;=2025-05-31",'가압 불량내역'!$P:$P,"재체결")</f>
        <v>25</v>
      </c>
      <c r="I16" s="101">
        <f>COUNTIFS('가압 불량내역'!$K:$K,"&gt;=2025-06-01",'가압 불량내역'!$K:$K,"&lt;=2025-06-30",'가압 불량내역'!$P:$P,"재체결")</f>
        <v>5</v>
      </c>
      <c r="J16" s="101">
        <f>COUNTIFS('가압 불량내역'!$K:$K,"&gt;=2025-07-01",'가압 불량내역'!$K:$K,"&lt;=2025-07-31",'가압 불량내역'!$P:$P,"재체결")</f>
        <v>11</v>
      </c>
      <c r="K16" s="101">
        <f>COUNTIFS('가압 불량내역'!$K:$K,"&gt;=2025-08-01",'가압 불량내역'!$K:$K,"&lt;=2025-08-31",'가압 불량내역'!$P:$P,"재체결")</f>
        <v>20</v>
      </c>
      <c r="L16" s="101">
        <f>COUNTIFS('가압 불량내역'!$K:$K,"&gt;=2025-09-01",'가압 불량내역'!$K:$K,"&lt;=2025-09-30",'가압 불량내역'!$P:$P,"재체결")</f>
        <v>23</v>
      </c>
      <c r="M16" s="101">
        <f>COUNTIFS('가압 불량내역'!$K:$K,"&gt;=2025-10-01",'가압 불량내역'!$K:$K,"&lt;=2025-10-31",'가압 불량내역'!$P:$P,"재체결")</f>
        <v>23</v>
      </c>
      <c r="N16" s="101">
        <f>COUNTIFS('가압 불량내역'!$K:$K,"&gt;=2025-11-01",'가압 불량내역'!$K:$K,"&lt;=2025-11-30",'가압 불량내역'!$P:$P,"재체결")</f>
        <v>22</v>
      </c>
      <c r="O16" s="101">
        <f>COUNTIFS('가압 불량내역'!$K:$K,"&gt;=2025-12-01",'가압 불량내역'!$K:$K,"&lt;=2025-12-31",'가압 불량내역'!$P:$P,"재체결")</f>
        <v>13</v>
      </c>
      <c r="P16" s="77">
        <f>SUM(D16:O16)</f>
        <v>195</v>
      </c>
    </row>
    <row r="17" spans="2:16" customFormat="1" ht="21.95" customHeight="1">
      <c r="B17" s="820" t="s">
        <v>4091</v>
      </c>
      <c r="C17" s="821"/>
      <c r="D17" s="102">
        <f>COUNTIFS('가압 불량내역'!$K:$K,"&gt;=2025-01-01",'가압 불량내역'!$K:$K,"&lt;=2025-01-31",'가압 불량내역'!$P:$P,"재체결(클램프)")</f>
        <v>2</v>
      </c>
      <c r="E17" s="103">
        <f>COUNTIFS('가압 불량내역'!$K:$K,"&gt;=2025-02-01",'가압 불량내역'!$K:$K,"&lt;=2025-02-28",'가압 불량내역'!$P:$P,"재체결(클램프)")</f>
        <v>5</v>
      </c>
      <c r="F17" s="103">
        <f>COUNTIFS('가압 불량내역'!$K:$K,"&gt;=2025-03-01",'가압 불량내역'!$K:$K,"&lt;=2025-03-31",'가압 불량내역'!$P:$P,"재체결(클램프)")</f>
        <v>0</v>
      </c>
      <c r="G17" s="103">
        <f>COUNTIFS('가압 불량내역'!$K:$K,"&gt;=2025-04-01",'가압 불량내역'!$K:$K,"&lt;=2025-04-30",'가압 불량내역'!$P:$P,"재체결(클램프)")</f>
        <v>4</v>
      </c>
      <c r="H17" s="103">
        <f>COUNTIFS('가압 불량내역'!$K:$K,"&gt;=2025-05-01",'가압 불량내역'!$K:$K,"&lt;=2025-05-31",'가압 불량내역'!$P:$P,"재체결(클램프)")</f>
        <v>0</v>
      </c>
      <c r="I17" s="103">
        <f>COUNTIFS('가압 불량내역'!$K:$K,"&gt;=2025-06-01",'가압 불량내역'!$K:$K,"&lt;=2025-06-30",'가압 불량내역'!$P:$P,"재체결(클램프)")</f>
        <v>0</v>
      </c>
      <c r="J17" s="103">
        <f>COUNTIFS('가압 불량내역'!$K:$K,"&gt;=2025-07-01",'가압 불량내역'!$K:$K,"&lt;=2025-07-31",'가압 불량내역'!$P:$P,"재체결(클램프)")</f>
        <v>0</v>
      </c>
      <c r="K17" s="103">
        <f>COUNTIFS('가압 불량내역'!$K:$K,"&gt;=2025-08-01",'가압 불량내역'!$K:$K,"&lt;=2025-08-31",'가압 불량내역'!$P:$P,"재체결(클램프)")</f>
        <v>0</v>
      </c>
      <c r="L17" s="103">
        <f>COUNTIFS('가압 불량내역'!$K:$K,"&gt;=2025-09-01",'가압 불량내역'!$K:$K,"&lt;=2025-09-30",'가압 불량내역'!$P:$P,"재체결(클램프)")</f>
        <v>0</v>
      </c>
      <c r="M17" s="103">
        <f>COUNTIFS('가압 불량내역'!$K:$K,"&gt;=2025-10-01",'가압 불량내역'!$K:$K,"&lt;=2025-10-31",'가압 불량내역'!$P:$P,"재체결(클램프)")</f>
        <v>0</v>
      </c>
      <c r="N17" s="103">
        <f>COUNTIFS('가압 불량내역'!$K:$K,"&gt;=2025-11-01",'가압 불량내역'!$K:$K,"&lt;=2025-11-30",'가압 불량내역'!$P:$P,"재체결(클램프)")</f>
        <v>0</v>
      </c>
      <c r="O17" s="103">
        <f>COUNTIFS('가압 불량내역'!$K:$K,"&gt;=2025-12-01",'가압 불량내역'!$K:$K,"&lt;=2025-12-31",'가압 불량내역'!$P:$P,"재체결(클램프)")</f>
        <v>0</v>
      </c>
      <c r="P17" s="77">
        <f t="shared" ref="P17:P21" si="6">SUM(D17:O17)</f>
        <v>11</v>
      </c>
    </row>
    <row r="18" spans="2:16" customFormat="1" ht="21.95" customHeight="1">
      <c r="B18" s="820" t="s">
        <v>1463</v>
      </c>
      <c r="C18" s="821"/>
      <c r="D18" s="102">
        <f>COUNTIFS('가압 불량내역'!$K:$K,"&gt;=2025-01-01",'가압 불량내역'!$K:$K,"&lt;=2025-01-31",'가압 불량내역'!$P:$P,"재작업")</f>
        <v>3</v>
      </c>
      <c r="E18" s="103">
        <f>COUNTIFS('가압 불량내역'!$K:$K,"&gt;=2025-02-01",'가압 불량내역'!$K:$K,"&lt;=2025-02-28",'가압 불량내역'!$P:$P,"재작업")</f>
        <v>9</v>
      </c>
      <c r="F18" s="103">
        <f>COUNTIFS('가압 불량내역'!$K:$K,"&gt;=2025-03-01",'가압 불량내역'!$K:$K,"&lt;=2025-03-31",'가압 불량내역'!$P:$P,"재작업")</f>
        <v>6</v>
      </c>
      <c r="G18" s="103">
        <f>COUNTIFS('가압 불량내역'!$K:$K,"&gt;=2025-04-01",'가압 불량내역'!$K:$K,"&lt;=2025-04-30",'가압 불량내역'!$P:$P,"재작업")</f>
        <v>11</v>
      </c>
      <c r="H18" s="103">
        <f>COUNTIFS('가압 불량내역'!$K:$K,"&gt;=2025-05-01",'가압 불량내역'!$K:$K,"&lt;=2025-05-31",'가압 불량내역'!$P:$P,"재작업")</f>
        <v>0</v>
      </c>
      <c r="I18" s="103">
        <f>COUNTIFS('가압 불량내역'!$K:$K,"&gt;=2025-06-01",'가압 불량내역'!$K:$K,"&lt;=2025-06-30",'가압 불량내역'!$P:$P,"재작업")</f>
        <v>3</v>
      </c>
      <c r="J18" s="103">
        <f>COUNTIFS('가압 불량내역'!$K:$K,"&gt;=2025-07-01",'가압 불량내역'!$K:$K,"&lt;=2025-07-31",'가압 불량내역'!$P:$P,"재작업")</f>
        <v>6</v>
      </c>
      <c r="K18" s="103">
        <f>COUNTIFS('가압 불량내역'!$K:$K,"&gt;=2025-08-01",'가압 불량내역'!$K:$K,"&lt;=2025-08-31",'가압 불량내역'!$P:$P,"재작업")</f>
        <v>5</v>
      </c>
      <c r="L18" s="103">
        <f>COUNTIFS('가압 불량내역'!$K:$K,"&gt;=2025-09-01",'가압 불량내역'!$K:$K,"&lt;=2025-09-30",'가압 불량내역'!$P:$P,"재작업")</f>
        <v>2</v>
      </c>
      <c r="M18" s="103">
        <f>COUNTIFS('가압 불량내역'!$K:$K,"&gt;=2025-10-01",'가압 불량내역'!$K:$K,"&lt;=2025-10-31",'가압 불량내역'!$P:$P,"재작업")</f>
        <v>3</v>
      </c>
      <c r="N18" s="103">
        <f>COUNTIFS('가압 불량내역'!$K:$K,"&gt;=2025-11-01",'가압 불량내역'!$K:$K,"&lt;=2025-11-30",'가압 불량내역'!$P:$P,"재작업")</f>
        <v>4</v>
      </c>
      <c r="O18" s="103">
        <f>COUNTIFS('가압 불량내역'!$K:$K,"&gt;=2025-12-01",'가압 불량내역'!$K:$K,"&lt;=2025-12-31",'가압 불량내역'!$P:$P,"재작업")</f>
        <v>2</v>
      </c>
      <c r="P18" s="77">
        <f t="shared" si="6"/>
        <v>54</v>
      </c>
    </row>
    <row r="19" spans="2:16" customFormat="1" ht="21.95" customHeight="1">
      <c r="B19" s="820" t="s">
        <v>34</v>
      </c>
      <c r="C19" s="821"/>
      <c r="D19" s="102">
        <f>COUNTIFS('가압 불량내역'!$K:$K,"&gt;=2025-01-01",'가압 불량내역'!$K:$K,"&lt;=2025-01-31",'가압 불량내역'!$P:$P,"재조립")</f>
        <v>0</v>
      </c>
      <c r="E19" s="103">
        <f>COUNTIFS('가압 불량내역'!$K:$K,"&gt;=2025-02-01",'가압 불량내역'!$K:$K,"&lt;=2025-02-28",'가압 불량내역'!$P:$P,"재조립")</f>
        <v>1</v>
      </c>
      <c r="F19" s="103">
        <f>COUNTIFS('가압 불량내역'!$K:$K,"&gt;=2025-03-01",'가압 불량내역'!$K:$K,"&lt;=2025-03-31",'가압 불량내역'!$P:$P,"재조립")</f>
        <v>0</v>
      </c>
      <c r="G19" s="103">
        <f>COUNTIFS('가압 불량내역'!$K:$K,"&gt;=2025-04-01",'가압 불량내역'!$K:$K,"&lt;=2025-04-30",'가압 불량내역'!$P:$P,"재조립")</f>
        <v>2</v>
      </c>
      <c r="H19" s="103">
        <f>COUNTIFS('가압 불량내역'!$K:$K,"&gt;=2025-05-01",'가압 불량내역'!$K:$K,"&lt;=2025-05-31",'가압 불량내역'!$P:$P,"재조립")</f>
        <v>7</v>
      </c>
      <c r="I19" s="103">
        <f>COUNTIFS('가압 불량내역'!$K:$K,"&gt;=2025-06-01",'가압 불량내역'!$K:$K,"&lt;=2025-06-30",'가압 불량내역'!$P:$P,"재조립")</f>
        <v>1</v>
      </c>
      <c r="J19" s="103">
        <v>9</v>
      </c>
      <c r="K19" s="103">
        <f>COUNTIFS('가압 불량내역'!$K:$K,"&gt;=2025-08-01",'가압 불량내역'!$K:$K,"&lt;=2025-08-31",'가압 불량내역'!$P:$P,"재조립")</f>
        <v>4</v>
      </c>
      <c r="L19" s="103">
        <f>COUNTIFS('가압 불량내역'!$K:$K,"&gt;=2025-09-01",'가압 불량내역'!$K:$K,"&lt;=2025-09-30",'가압 불량내역'!$P:$P,"재조립")</f>
        <v>4</v>
      </c>
      <c r="M19" s="103">
        <f>COUNTIFS('가압 불량내역'!$K:$K,"&gt;=2025-10-01",'가압 불량내역'!$K:$K,"&lt;=2025-10-31",'가압 불량내역'!$P:$P,"재조립")</f>
        <v>7</v>
      </c>
      <c r="N19" s="103">
        <f>COUNTIFS('가압 불량내역'!$K:$K,"&gt;=2025-11-01",'가압 불량내역'!$K:$K,"&lt;=2025-11-30",'가압 불량내역'!$P:$P,"재조립")</f>
        <v>1</v>
      </c>
      <c r="O19" s="103">
        <f>COUNTIFS('가압 불량내역'!$K:$K,"&gt;=2025-12-01",'가압 불량내역'!$K:$K,"&lt;=2025-12-31",'가압 불량내역'!$P:$P,"재조립")</f>
        <v>2</v>
      </c>
      <c r="P19" s="77">
        <f t="shared" si="6"/>
        <v>38</v>
      </c>
    </row>
    <row r="20" spans="2:16" customFormat="1" ht="21.95" customHeight="1">
      <c r="B20" s="820" t="s">
        <v>39</v>
      </c>
      <c r="C20" s="821"/>
      <c r="D20" s="102">
        <f>COUNTIFS('가압 불량내역'!$K:$K,"&gt;=2025-01-01",'가압 불량내역'!$K:$K,"&lt;=2025-01-31",'가압 불량내역'!$P:$P,"Teflon 작업")</f>
        <v>7</v>
      </c>
      <c r="E20" s="103">
        <f>COUNTIFS('가압 불량내역'!$K:$K,"&gt;=2025-02-01",'가압 불량내역'!$K:$K,"&lt;=2025-02-28",'가압 불량내역'!$P:$P,"Teflon 작업")</f>
        <v>5</v>
      </c>
      <c r="F20" s="103">
        <f>COUNTIFS('가압 불량내역'!$K:$K,"&gt;=2025-03-01",'가압 불량내역'!$K:$K,"&lt;=2025-03-31",'가압 불량내역'!$P:$P,"Teflon 작업")</f>
        <v>5</v>
      </c>
      <c r="G20" s="103">
        <f>COUNTIFS('가압 불량내역'!$K:$K,"&gt;=2025-04-01",'가압 불량내역'!$K:$K,"&lt;=2025-04-30",'가압 불량내역'!$P:$P,"Teflon 작업")</f>
        <v>2</v>
      </c>
      <c r="H20" s="103">
        <f>COUNTIFS('가압 불량내역'!$K:$K,"&gt;=2025-05-01",'가압 불량내역'!$K:$K,"&lt;=2025-05-31",'가압 불량내역'!$P:$P,"Teflon 작업")</f>
        <v>3</v>
      </c>
      <c r="I20" s="103">
        <f>COUNTIFS('가압 불량내역'!$K:$K,"&gt;=2025-06-01",'가압 불량내역'!$K:$K,"&lt;=2025-06-30",'가압 불량내역'!$P:$P,"Teflon 작업")</f>
        <v>1</v>
      </c>
      <c r="J20" s="103">
        <f>COUNTIFS('가압 불량내역'!$K:$K,"&gt;=2025-07-01",'가압 불량내역'!$K:$K,"&lt;=2025-07-31",'가압 불량내역'!$P:$P,"Teflon 작업")</f>
        <v>0</v>
      </c>
      <c r="K20" s="103">
        <f>COUNTIFS('가압 불량내역'!$K:$K,"&gt;=2025-08-01",'가압 불량내역'!$K:$K,"&lt;=2025-08-31",'가압 불량내역'!$P:$P,"Teflon 작업")</f>
        <v>0</v>
      </c>
      <c r="L20" s="103">
        <f>COUNTIFS('가압 불량내역'!$K:$K,"&gt;=2025-09-01",'가압 불량내역'!$K:$K,"&lt;=2025-09-30",'가압 불량내역'!$P:$P,"Teflon 작업")</f>
        <v>0</v>
      </c>
      <c r="M20" s="103">
        <f>COUNTIFS('가압 불량내역'!$K:$K,"&gt;=2025-10-01",'가압 불량내역'!$K:$K,"&lt;=2025-10-31",'가압 불량내역'!$P:$P,"Teflon 작업")</f>
        <v>3</v>
      </c>
      <c r="N20" s="103">
        <f>COUNTIFS('가압 불량내역'!$K:$K,"&gt;=2025-11-01",'가압 불량내역'!$K:$K,"&lt;=2025-11-30",'가압 불량내역'!$P:$P,"Teflon 작업")</f>
        <v>2</v>
      </c>
      <c r="O20" s="103">
        <f>COUNTIFS('가압 불량내역'!$K:$K,"&gt;=2025-12-01",'가압 불량내역'!$K:$K,"&lt;=2025-12-31",'가압 불량내역'!$P:$P,"Teflon 작업")</f>
        <v>1</v>
      </c>
      <c r="P20" s="77">
        <f t="shared" si="6"/>
        <v>29</v>
      </c>
    </row>
    <row r="21" spans="2:16" customFormat="1" ht="21.95" customHeight="1">
      <c r="B21" s="822" t="s">
        <v>42</v>
      </c>
      <c r="C21" s="823"/>
      <c r="D21" s="104">
        <f>COUNTIFS('가압 불량내역'!$K:$K,"&gt;=2025-01-01",'가압 불량내역'!$K:$K,"&lt;=2025-01-31",'가압 불량내역'!$P:$P,"파트교체")</f>
        <v>20</v>
      </c>
      <c r="E21" s="105">
        <f>COUNTIFS('가압 불량내역'!$K:$K,"&gt;=2025-02-01",'가압 불량내역'!$K:$K,"&lt;=2025-02-28",'가압 불량내역'!$P:$P,"파트교체")</f>
        <v>21</v>
      </c>
      <c r="F21" s="105">
        <f>COUNTIFS('가압 불량내역'!$K:$K,"&gt;=2025-03-01",'가압 불량내역'!$K:$K,"&lt;=2025-03-31",'가압 불량내역'!$P:$P,"파트교체")</f>
        <v>26</v>
      </c>
      <c r="G21" s="105">
        <f>COUNTIFS('가압 불량내역'!$K:$K,"&gt;=2025-04-01",'가압 불량내역'!$K:$K,"&lt;=2025-04-30",'가압 불량내역'!$P:$P,"파트교체")</f>
        <v>29</v>
      </c>
      <c r="H21" s="105">
        <f>COUNTIFS('가압 불량내역'!$K:$K,"&gt;=2025-05-01",'가압 불량내역'!$K:$K,"&lt;=2025-05-31",'가압 불량내역'!$P:$P,"파트교체")</f>
        <v>14</v>
      </c>
      <c r="I21" s="105">
        <f>COUNTIFS('가압 불량내역'!$K:$K,"&gt;=2025-06-01",'가압 불량내역'!$K:$K,"&lt;=2025-06-30",'가압 불량내역'!$P:$P,"파트교체")</f>
        <v>14</v>
      </c>
      <c r="J21" s="105">
        <f>COUNTIFS('가압 불량내역'!$K:$K,"&gt;=2025-07-01",'가압 불량내역'!$K:$K,"&lt;=2025-07-31",'가압 불량내역'!$P:$P,"파트교체")</f>
        <v>17</v>
      </c>
      <c r="K21" s="105">
        <f>COUNTIFS('가압 불량내역'!$K:$K,"&gt;=2025-08-01",'가압 불량내역'!$K:$K,"&lt;=2025-08-31",'가압 불량내역'!$P:$P,"파트교체")</f>
        <v>16</v>
      </c>
      <c r="L21" s="105">
        <f>COUNTIFS('가압 불량내역'!$K:$K,"&gt;=2025-09-01",'가압 불량내역'!$K:$K,"&lt;=2025-09-30",'가압 불량내역'!$P:$P,"파트교체")</f>
        <v>24</v>
      </c>
      <c r="M21" s="105">
        <f>COUNTIFS('가압 불량내역'!$K:$K,"&gt;=2025-10-01",'가압 불량내역'!$K:$K,"&lt;=2025-10-31",'가압 불량내역'!$P:$P,"파트교체")</f>
        <v>13</v>
      </c>
      <c r="N21" s="105">
        <f>COUNTIFS('가압 불량내역'!$K:$K,"&gt;=2025-11-01",'가압 불량내역'!$K:$K,"&lt;=2025-11-30",'가압 불량내역'!$P:$P,"파트교체")</f>
        <v>19</v>
      </c>
      <c r="O21" s="105">
        <f>COUNTIFS('가압 불량내역'!$K:$K,"&gt;=2025-12-01",'가압 불량내역'!$K:$K,"&lt;=2025-12-31",'가압 불량내역'!$P:$P,"파트교체")</f>
        <v>11</v>
      </c>
      <c r="P21" s="106">
        <f t="shared" si="6"/>
        <v>224</v>
      </c>
    </row>
    <row r="22" spans="2:16" customFormat="1" ht="24.95" customHeight="1">
      <c r="B22" s="734" t="s">
        <v>4092</v>
      </c>
      <c r="C22" s="735"/>
      <c r="D22" s="736"/>
      <c r="E22" s="736"/>
      <c r="F22" s="736"/>
      <c r="G22" s="736"/>
      <c r="H22" s="736"/>
      <c r="I22" s="736"/>
      <c r="J22" s="736"/>
      <c r="K22" s="736"/>
      <c r="L22" s="736"/>
      <c r="M22" s="736"/>
      <c r="N22" s="736"/>
      <c r="O22" s="736"/>
      <c r="P22" s="737"/>
    </row>
    <row r="23" spans="2:16" s="59" customFormat="1" ht="20.100000000000001" customHeight="1">
      <c r="B23" s="744" t="s">
        <v>1465</v>
      </c>
      <c r="C23" s="745"/>
      <c r="D23" s="566">
        <f>COUNTIFS(
  '가압 불량내역'!$K:$K,"&gt;=2025-01-01",
  '가압 불량내역'!$K:$K,"&lt;=2025-01-31",
  '가압 불량내역'!$H:$H,"기구작업불량",
  '가압 불량내역'!$S:$S,"*BAT",
  '가압 불량내역'!$Q:$Q,"제조"
) +
COUNTIFS(
  '가압 불량내역'!$K:$K,"&gt;=2025-01-01",
  '가압 불량내역'!$K:$K,"&lt;=2025-01-31",
  '가압 불량내역'!$H:$H,"기구작업불량",
  '가압 불량내역'!$S:$S,"*BAT",
  '가압 불량내역'!$Q:$Q,"제조(재작업)"
)</f>
        <v>22</v>
      </c>
      <c r="E23" s="239">
        <f>COUNTIFS('가압 불량내역'!$K:$K,"&gt;=2025-02-01",'가압 불량내역'!$K:$K,"&lt;=2025-02-28",'가압 불량내역'!$H:$H,"기구작업불량",'가압 불량내역'!$S:$S,"*BAT",'가압 불량내역'!$Q:$Q,"제조")+COUNTIFS('가압 불량내역'!$K:$K,"&gt;=2025-02-01",'가압 불량내역'!$K:$K,"&lt;=2025-02-28",'가압 불량내역'!$H:$H,"기구작업불량",'가압 불량내역'!$S:$S,"*BAT",'가압 불량내역'!$Q:$Q,"제조(재작업)")</f>
        <v>19</v>
      </c>
      <c r="F23" s="239">
        <f>COUNTIFS('가압 불량내역'!$K:$K,"&gt;=2025-03-01",'가압 불량내역'!$K:$K,"&lt;=2025-03-31",'가압 불량내역'!$H:$H,"기구작업불량",'가압 불량내역'!$S:$S,"*BAT",'가압 불량내역'!$Q:$Q,"제조")+COUNTIFS('가압 불량내역'!$K:$K,"&gt;=2025-03-01",'가압 불량내역'!$K:$K,"&lt;=2025-03-31",'가압 불량내역'!$H:$H,"기구작업불량",'가압 불량내역'!$S:$S,"*BAT",'가압 불량내역'!$Q:$Q,"제조(재작업)")</f>
        <v>3</v>
      </c>
      <c r="G23" s="239">
        <f>COUNTIFS('가압 불량내역'!$K:$K,"&gt;=2025-04-01",'가압 불량내역'!$K:$K,"&lt;=2025-04-30",'가압 불량내역'!$H:$H,"기구작업불량",'가압 불량내역'!$S:$S,"*BAT",'가압 불량내역'!$Q:$Q,"제조")+COUNTIFS('가압 불량내역'!$K:$K,"&gt;=2025-04-01",'가압 불량내역'!$K:$K,"&lt;=2025-04-30",'가압 불량내역'!$H:$H,"기구작업불량",'가압 불량내역'!$S:$S,"*BAT",'가압 불량내역'!$Q:$Q,"제조(재작업)")</f>
        <v>13</v>
      </c>
      <c r="H23" s="239">
        <f>COUNTIFS('가압 불량내역'!$K:$K,"&gt;=2025-05-01",'가압 불량내역'!$K:$K,"&lt;=2025-05-31",'가압 불량내역'!$H:$H,"기구작업불량",'가압 불량내역'!$S:$S,"*BAT",'가압 불량내역'!$Q:$Q,"제조")+COUNTIFS('가압 불량내역'!$K:$K,"&gt;=2025-05-01",'가압 불량내역'!$K:$K,"&lt;=2025-05-31",'가압 불량내역'!$H:$H,"기구작업불량",'가압 불량내역'!$S:$S,"*BAT",'가압 불량내역'!$Q:$Q,"제조(재작업)")</f>
        <v>11</v>
      </c>
      <c r="I23" s="239">
        <f>COUNTIFS('가압 불량내역'!$K:$K,"&gt;=2025-06-01",'가압 불량내역'!$K:$K,"&lt;=2025-06-30",'가압 불량내역'!$H:$H,"기구작업불량",'가압 불량내역'!$S:$S,"*BAT",'가압 불량내역'!$Q:$Q,"제조")+COUNTIFS('가압 불량내역'!$K:$K,"&gt;=2025-06-01",'가압 불량내역'!$K:$K,"&lt;=2025-06-30",'가압 불량내역'!$H:$H,"기구작업불량",'가압 불량내역'!$S:$S,"*BAT",'가압 불량내역'!$Q:$Q,"제조(재작업)")</f>
        <v>5</v>
      </c>
      <c r="J23" s="239">
        <f>COUNTIFS('가압 불량내역'!$K:$K,"&gt;=2025-07-01",'가압 불량내역'!$K:$K,"&lt;=2025-07-31",'가압 불량내역'!$H:$H,"기구작업불량",'가압 불량내역'!$S:$S,"*BAT",'가압 불량내역'!$Q:$Q,"제조")+COUNTIFS('가압 불량내역'!$K:$K,"&gt;=2025-07-01",'가압 불량내역'!$K:$K,"&lt;=2025-07-31",'가압 불량내역'!$H:$H,"기구작업불량",'가압 불량내역'!$S:$S,"*BAT",'가압 불량내역'!$Q:$Q,"제조(재작업)")</f>
        <v>4</v>
      </c>
      <c r="K23" s="239">
        <f>COUNTIFS('가압 불량내역'!$K:$K,"&gt;=2025-08-01",'가압 불량내역'!$K:$K,"&lt;=2025-08-31",'가압 불량내역'!$H:$H,"기구작업불량",'가압 불량내역'!$S:$S,"*BAT",'가압 불량내역'!$Q:$Q,"제조")+COUNTIFS('가압 불량내역'!$K:$K,"&gt;=2025-08-01",'가압 불량내역'!$K:$K,"&lt;=2025-08-31",'가압 불량내역'!$H:$H,"기구작업불량",'가압 불량내역'!$S:$S,"*BAT",'가압 불량내역'!$Q:$Q,"제조(재작업)")</f>
        <v>6</v>
      </c>
      <c r="L23" s="239">
        <f>COUNTIFS('가압 불량내역'!$K:$K,"&gt;=2025-09-01",'가압 불량내역'!$K:$K,"&lt;=2025-09-30",'가압 불량내역'!$H:$H,"기구작업불량",'가압 불량내역'!$S:$S,"*BAT",'가압 불량내역'!$Q:$Q,"제조")+COUNTIFS('가압 불량내역'!$K:$K,"&gt;=2025-09-01",'가압 불량내역'!$K:$K,"&lt;=2025-09-30",'가압 불량내역'!$H:$H,"기구작업불량",'가압 불량내역'!$S:$S,"*BAT",'가압 불량내역'!$Q:$Q,"제조(재작업)")</f>
        <v>15</v>
      </c>
      <c r="M23" s="239">
        <f>COUNTIFS('가압 불량내역'!$K:$K,"&gt;=2025-10-01",'가압 불량내역'!$K:$K,"&lt;=2025-10-31",'가압 불량내역'!$H:$H,"기구작업불량",'가압 불량내역'!$S:$S,"*BAT",'가압 불량내역'!$Q:$Q,"제조")+COUNTIFS('가압 불량내역'!$K:$K,"&gt;=2025-10-01",'가압 불량내역'!$K:$K,"&lt;=2025-10-31",'가압 불량내역'!$H:$H,"기구작업불량",'가압 불량내역'!$S:$S,"*BAT",'가압 불량내역'!$Q:$Q,"제조(재작업)")</f>
        <v>23</v>
      </c>
      <c r="N23" s="239">
        <f>COUNTIFS('가압 불량내역'!$K:$K,"&gt;=2025-11-01",'가압 불량내역'!$K:$K,"&lt;=2025-11-30",'가압 불량내역'!$H:$H,"기구작업불량",'가압 불량내역'!$S:$S,"*BAT",'가압 불량내역'!$Q:$Q,"제조")+COUNTIFS('가압 불량내역'!$K:$K,"&gt;=2025-11-01",'가압 불량내역'!$K:$K,"&lt;=2025-11-30",'가압 불량내역'!$H:$H,"기구작업불량",'가압 불량내역'!$S:$S,"*BAT",'가압 불량내역'!$Q:$Q,"제조(재작업)")</f>
        <v>16</v>
      </c>
      <c r="O23" s="239">
        <f>COUNTIFS('가압 불량내역'!$K:$K,"&gt;=2025-12-01",'가압 불량내역'!$K:$K,"&lt;=2025-12-31",'가압 불량내역'!$H:$H,"기구작업불량",'가압 불량내역'!$S:$S,"*BAT",'가압 불량내역'!$Q:$Q,"제조")+COUNTIFS('가압 불량내역'!$K:$K,"&gt;=2025-12-01",'가압 불량내역'!$K:$K,"&lt;=2025-12-31",'가압 불량내역'!$H:$H,"기구작업불량",'가압 불량내역'!$S:$S,"*BAT",'가압 불량내역'!$Q:$Q,"제조(재작업)")</f>
        <v>10</v>
      </c>
      <c r="P23" s="240">
        <f>SUM(D23:O23)</f>
        <v>147</v>
      </c>
    </row>
    <row r="24" spans="2:16" s="59" customFormat="1" ht="20.100000000000001" customHeight="1">
      <c r="B24" s="746"/>
      <c r="C24" s="747"/>
      <c r="D24" s="110">
        <f>D23/D9</f>
        <v>0.73333333333333328</v>
      </c>
      <c r="E24" s="110">
        <f t="shared" ref="E24:O24" si="7">E23/E9</f>
        <v>0.61290322580645162</v>
      </c>
      <c r="F24" s="110">
        <f t="shared" si="7"/>
        <v>0.11538461538461539</v>
      </c>
      <c r="G24" s="110">
        <f t="shared" si="7"/>
        <v>0.44827586206896552</v>
      </c>
      <c r="H24" s="110">
        <f t="shared" si="7"/>
        <v>0.35483870967741937</v>
      </c>
      <c r="I24" s="110">
        <f t="shared" si="7"/>
        <v>0.5</v>
      </c>
      <c r="J24" s="110">
        <f t="shared" si="7"/>
        <v>0.22222222222222221</v>
      </c>
      <c r="K24" s="110">
        <f t="shared" si="7"/>
        <v>0.24</v>
      </c>
      <c r="L24" s="110">
        <f t="shared" si="7"/>
        <v>0.57692307692307687</v>
      </c>
      <c r="M24" s="110">
        <f t="shared" si="7"/>
        <v>0.69696969696969702</v>
      </c>
      <c r="N24" s="110">
        <f t="shared" si="7"/>
        <v>0.55172413793103448</v>
      </c>
      <c r="O24" s="110">
        <f t="shared" si="7"/>
        <v>0.55555555555555558</v>
      </c>
      <c r="P24" s="241">
        <f>P23/P9</f>
        <v>0.48039215686274511</v>
      </c>
    </row>
    <row r="25" spans="2:16" s="59" customFormat="1" ht="20.100000000000001" customHeight="1">
      <c r="B25" s="748" t="s">
        <v>1466</v>
      </c>
      <c r="C25" s="749"/>
      <c r="D25" s="112">
        <f>COUNTIFS(
  '가압 불량내역'!$K:$K,"&gt;=2025-01-01",
  '가압 불량내역'!$K:$K,"&lt;=2025-01-31",
  '가압 불량내역'!$H:$H,"기구작업불량",
  '가압 불량내역'!$S:$S,"*FNI",
  '가압 불량내역'!$Q:$Q,"제조"
) +
COUNTIFS(
  '가압 불량내역'!$K:$K,"&gt;=2025-01-01",
  '가압 불량내역'!$K:$K,"&lt;=2025-01-31",
  '가압 불량내역'!$H:$H,"기구작업불량",
  '가압 불량내역'!$S:$S,"*FNI",
  '가압 불량내역'!$Q:$Q,"제조(재작업)"
)</f>
        <v>6</v>
      </c>
      <c r="E25" s="113">
        <f>COUNTIFS('가압 불량내역'!$K:$K,"&gt;=2025-02-01",'가압 불량내역'!$K:$K,"&lt;=2025-02-28",'가압 불량내역'!$H:$H,"기구작업불량",'가압 불량내역'!$S:$S,"*FNI",'가압 불량내역'!$Q:$Q,"제조")+COUNTIFS('가압 불량내역'!$K:$K,"&gt;=2025-02-01",'가압 불량내역'!$K:$K,"&lt;=2025-02-28",'가압 불량내역'!$H:$H,"기구작업불량",'가압 불량내역'!$S:$S,"*FNI",'가압 불량내역'!$Q:$Q,"제조(재작업)")</f>
        <v>12</v>
      </c>
      <c r="F25" s="113">
        <f>COUNTIFS('가압 불량내역'!$K:$K,"&gt;=2025-03-01",'가압 불량내역'!$K:$K,"&lt;=2025-03-31",'가압 불량내역'!$H:$H,"기구작업불량",'가압 불량내역'!$S:$S,"*FNI",'가압 불량내역'!$Q:$Q,"제조")+COUNTIFS('가압 불량내역'!$K:$K,"&gt;=2025-03-01",'가압 불량내역'!$K:$K,"&lt;=2025-03-31",'가압 불량내역'!$H:$H,"기구작업불량",'가압 불량내역'!$S:$S,"*FNI",'가압 불량내역'!$Q:$Q,"제조(재작업)")</f>
        <v>14</v>
      </c>
      <c r="G25" s="113">
        <f>COUNTIFS('가압 불량내역'!$K:$K,"&gt;=2025-04-01",'가압 불량내역'!$K:$K,"&lt;=2025-04-30",'가압 불량내역'!$H:$H,"기구작업불량",'가압 불량내역'!$S:$S,"*FNI",'가압 불량내역'!$Q:$Q,"제조")+COUNTIFS('가압 불량내역'!$K:$K,"&gt;=2025-04-01",'가압 불량내역'!$K:$K,"&lt;=2025-04-30",'가압 불량내역'!$H:$H,"기구작업불량",'가압 불량내역'!$S:$S,"*FNI",'가압 불량내역'!$Q:$Q,"제조(재작업)")</f>
        <v>8</v>
      </c>
      <c r="H25" s="113">
        <f>COUNTIFS('가압 불량내역'!$K:$K,"&gt;=2025-05-01",'가압 불량내역'!$K:$K,"&lt;=2025-05-31",'가압 불량내역'!$H:$H,"기구작업불량",'가압 불량내역'!$S:$S,"*FNI",'가압 불량내역'!$Q:$Q,"제조")+COUNTIFS('가압 불량내역'!$K:$K,"&gt;=2025-05-01",'가압 불량내역'!$K:$K,"&lt;=2025-05-31",'가압 불량내역'!$H:$H,"기구작업불량",'가압 불량내역'!$S:$S,"*FNI",'가압 불량내역'!$Q:$Q,"제조(재작업)")</f>
        <v>4</v>
      </c>
      <c r="I25" s="113">
        <f>COUNTIFS('가압 불량내역'!$K:$K,"&gt;=2025-06-01",'가압 불량내역'!$K:$K,"&lt;=2025-06-30",'가압 불량내역'!$H:$H,"기구작업불량",'가압 불량내역'!$S:$S,"*FNI",'가압 불량내역'!$Q:$Q,"제조")+COUNTIFS('가압 불량내역'!$K:$K,"&gt;=2025-06-01",'가압 불량내역'!$K:$K,"&lt;=2025-06-30",'가압 불량내역'!$H:$H,"기구작업불량",'가압 불량내역'!$S:$S,"*FNI",'가압 불량내역'!$Q:$Q,"제조(재작업)")</f>
        <v>4</v>
      </c>
      <c r="J25" s="113">
        <f>COUNTIFS('가압 불량내역'!$K:$K,"&gt;=2025-07-01",'가압 불량내역'!$K:$K,"&lt;=2025-07-31",'가압 불량내역'!$H:$H,"기구작업불량",'가압 불량내역'!$S:$S,"*FNI",'가압 불량내역'!$Q:$Q,"제조")+COUNTIFS('가압 불량내역'!$K:$K,"&gt;=2025-07-01",'가압 불량내역'!$K:$K,"&lt;=2025-07-31",'가압 불량내역'!$H:$H,"기구작업불량",'가압 불량내역'!$S:$S,"*FNI",'가압 불량내역'!$Q:$Q,"제조(재작업)")</f>
        <v>11</v>
      </c>
      <c r="K25" s="113">
        <f>COUNTIFS('가압 불량내역'!$K:$K,"&gt;=2025-08-01",'가압 불량내역'!$K:$K,"&lt;=2025-08-31",'가압 불량내역'!$H:$H,"기구작업불량",'가압 불량내역'!$S:$S,"*FNI",'가압 불량내역'!$Q:$Q,"제조")+COUNTIFS('가압 불량내역'!$K:$K,"&gt;=2025-08-01",'가압 불량내역'!$K:$K,"&lt;=2025-08-31",'가압 불량내역'!$H:$H,"기구작업불량",'가압 불량내역'!$S:$S,"*FNI",'가압 불량내역'!$Q:$Q,"제조(재작업)")</f>
        <v>13</v>
      </c>
      <c r="L25" s="113">
        <f>COUNTIFS('가압 불량내역'!$K:$K,"&gt;=2025-09-01",'가압 불량내역'!$K:$K,"&lt;=2025-09-30",'가압 불량내역'!$H:$H,"기구작업불량",'가압 불량내역'!$S:$S,"*FNI",'가압 불량내역'!$Q:$Q,"제조")+COUNTIFS('가압 불량내역'!$K:$K,"&gt;=2025-09-01",'가압 불량내역'!$K:$K,"&lt;=2025-09-30",'가압 불량내역'!$H:$H,"기구작업불량",'가압 불량내역'!$S:$S,"*FNI",'가압 불량내역'!$Q:$Q,"제조(재작업)")</f>
        <v>6</v>
      </c>
      <c r="M25" s="113">
        <f>COUNTIFS('가압 불량내역'!$K:$K,"&gt;=2025-10-01",'가압 불량내역'!$K:$K,"&lt;=2025-10-31",'가압 불량내역'!$H:$H,"기구작업불량",'가압 불량내역'!$S:$S,"*FNI",'가압 불량내역'!$Q:$Q,"제조")+COUNTIFS('가압 불량내역'!$K:$K,"&gt;=2025-10-01",'가압 불량내역'!$K:$K,"&lt;=2025-10-31",'가압 불량내역'!$H:$H,"기구작업불량",'가압 불량내역'!$S:$S,"*FNI",'가압 불량내역'!$Q:$Q,"제조(재작업)")</f>
        <v>6</v>
      </c>
      <c r="N25" s="113">
        <f>COUNTIFS('가압 불량내역'!$K:$K,"&gt;=2025-11-01",'가압 불량내역'!$K:$K,"&lt;=2025-11-30",'가압 불량내역'!$H:$H,"기구작업불량",'가압 불량내역'!$S:$S,"*FNI",'가압 불량내역'!$Q:$Q,"제조")+COUNTIFS('가압 불량내역'!$K:$K,"&gt;=2025-11-01",'가압 불량내역'!$K:$K,"&lt;=2025-11-30",'가압 불량내역'!$H:$H,"기구작업불량",'가압 불량내역'!$S:$S,"*FNI",'가압 불량내역'!$Q:$Q,"제조(재작업)")</f>
        <v>9</v>
      </c>
      <c r="O25" s="238">
        <f>COUNTIFS('가압 불량내역'!$K:$K,"&gt;=2025-12-01",'가압 불량내역'!$K:$K,"&lt;=2025-12-31",'가압 불량내역'!$H:$H,"기구작업불량",'가압 불량내역'!$S:$S,"*FNI",'가압 불량내역'!$Q:$Q,"제조")+COUNTIFS('가압 불량내역'!$K:$K,"&gt;=2025-12-01",'가압 불량내역'!$K:$K,"&lt;=2025-12-31",'가압 불량내역'!$H:$H,"기구작업불량",'가압 불량내역'!$S:$S,"*FNI",'가압 불량내역'!$Q:$Q,"제조(재작업)")</f>
        <v>5</v>
      </c>
      <c r="P25" s="243">
        <f>SUM(D25:O25)</f>
        <v>98</v>
      </c>
    </row>
    <row r="26" spans="2:16" s="59" customFormat="1" ht="20.100000000000001" customHeight="1">
      <c r="B26" s="746"/>
      <c r="C26" s="747"/>
      <c r="D26" s="110">
        <f t="shared" ref="D26:O26" si="8">D25/D9</f>
        <v>0.2</v>
      </c>
      <c r="E26" s="110">
        <f t="shared" si="8"/>
        <v>0.38709677419354838</v>
      </c>
      <c r="F26" s="110">
        <f t="shared" si="8"/>
        <v>0.53846153846153844</v>
      </c>
      <c r="G26" s="110">
        <f t="shared" si="8"/>
        <v>0.27586206896551724</v>
      </c>
      <c r="H26" s="110">
        <f t="shared" si="8"/>
        <v>0.12903225806451613</v>
      </c>
      <c r="I26" s="110">
        <f t="shared" si="8"/>
        <v>0.4</v>
      </c>
      <c r="J26" s="110">
        <f t="shared" si="8"/>
        <v>0.61111111111111116</v>
      </c>
      <c r="K26" s="110">
        <f t="shared" si="8"/>
        <v>0.52</v>
      </c>
      <c r="L26" s="110">
        <f t="shared" si="8"/>
        <v>0.23076923076923078</v>
      </c>
      <c r="M26" s="110">
        <f t="shared" si="8"/>
        <v>0.18181818181818182</v>
      </c>
      <c r="N26" s="110">
        <f t="shared" si="8"/>
        <v>0.31034482758620691</v>
      </c>
      <c r="O26" s="226">
        <f t="shared" si="8"/>
        <v>0.27777777777777779</v>
      </c>
      <c r="P26" s="244">
        <f>P25/P9</f>
        <v>0.3202614379084967</v>
      </c>
    </row>
    <row r="27" spans="2:16" s="59" customFormat="1" ht="20.100000000000001" customHeight="1">
      <c r="B27" s="748" t="s">
        <v>4093</v>
      </c>
      <c r="C27" s="749"/>
      <c r="D27" s="112">
        <f>COUNTIFS(
  '가압 불량내역'!$K:$K,"&gt;=2025-01-01",
  '가압 불량내역'!$K:$K,"&lt;=2025-01-31",
  '가압 불량내역'!$H:$H,"기구작업불량",
  '가압 불량내역'!$S:$S,"*TMS",
  '가압 불량내역'!$Q:$Q,"제조"
) +
COUNTIFS(
  '가압 불량내역'!$K:$K,"&gt;=2025-01-01",
  '가압 불량내역'!$K:$K,"&lt;=2025-01-31",
  '가압 불량내역'!$H:$H,"기구작업불량",
  '가압 불량내역'!$S:$S,"*TMS",
  '가압 불량내역'!$Q:$Q,"제조(재작업)"
)</f>
        <v>2</v>
      </c>
      <c r="E27" s="113">
        <f>COUNTIFS('가압 불량내역'!$K:$K,"&gt;=2025-02-01",'가압 불량내역'!$K:$K,"&lt;=2025-02-28",'가압 불량내역'!$H:$H,"기구작업불량",'가압 불량내역'!$S:$S,"*TMS",'가압 불량내역'!$Q:$Q,"제조")+COUNTIFS('가압 불량내역'!$K:$K,"&gt;=2025-02-01",'가압 불량내역'!$K:$K,"&lt;=2025-02-28",'가압 불량내역'!$H:$H,"기구작업불량",'가압 불량내역'!$S:$S,"*TMS",'가압 불량내역'!$Q:$Q,"제조(재작업)")</f>
        <v>0</v>
      </c>
      <c r="F27" s="113">
        <f>COUNTIFS('가압 불량내역'!$K:$K,"&gt;=2025-03-01",'가압 불량내역'!$K:$K,"&lt;=2025-03-31",'가압 불량내역'!$H:$H,"기구작업불량",'가압 불량내역'!$S:$S,"*TMS",'가압 불량내역'!$Q:$Q,"제조")+COUNTIFS('가압 불량내역'!$K:$K,"&gt;=2025-03-01",'가압 불량내역'!$K:$K,"&lt;=2025-03-31",'가압 불량내역'!$H:$H,"기구작업불량",'가압 불량내역'!$S:$S,"*TMS",'가압 불량내역'!$Q:$Q,"제조(재작업)")</f>
        <v>9</v>
      </c>
      <c r="G27" s="113">
        <f>COUNTIFS('가압 불량내역'!$K:$K,"&gt;=2025-04-01",'가압 불량내역'!$K:$K,"&lt;=2025-04-30",'가압 불량내역'!$H:$H,"기구작업불량",'가압 불량내역'!$S:$S,"*TMS",'가압 불량내역'!$Q:$Q,"제조")+COUNTIFS('가압 불량내역'!$K:$K,"&gt;=2025-04-01",'가압 불량내역'!$K:$K,"&lt;=2025-04-30",'가압 불량내역'!$H:$H,"기구작업불량",'가압 불량내역'!$S:$S,"*TMS",'가압 불량내역'!$Q:$Q,"제조(재작업)")</f>
        <v>8</v>
      </c>
      <c r="H27" s="113">
        <f>COUNTIFS('가압 불량내역'!$K:$K,"&gt;=2025-05-01",'가압 불량내역'!$K:$K,"&lt;=2025-05-31",'가압 불량내역'!$H:$H,"기구작업불량",'가압 불량내역'!$S:$S,"*TMS",'가압 불량내역'!$Q:$Q,"제조")+COUNTIFS('가압 불량내역'!$K:$K,"&gt;=2025-05-01",'가압 불량내역'!$K:$K,"&lt;=2025-05-31",'가압 불량내역'!$H:$H,"기구작업불량",'가압 불량내역'!$S:$S,"*TMS",'가압 불량내역'!$Q:$Q,"제조(재작업)")</f>
        <v>16</v>
      </c>
      <c r="I27" s="113">
        <f>COUNTIFS('가압 불량내역'!$K:$K,"&gt;=2025-06-01",'가압 불량내역'!$K:$K,"&lt;=2025-06-30",'가압 불량내역'!$H:$H,"기구작업불량",'가압 불량내역'!$S:$S,"*TMS",'가압 불량내역'!$Q:$Q,"제조")+COUNTIFS('가압 불량내역'!$K:$K,"&gt;=2025-06-01",'가압 불량내역'!$K:$K,"&lt;=2025-06-30",'가압 불량내역'!$H:$H,"기구작업불량",'가압 불량내역'!$S:$S,"*TMS",'가압 불량내역'!$Q:$Q,"제조(재작업)")</f>
        <v>1</v>
      </c>
      <c r="J27" s="113">
        <f>COUNTIFS('가압 불량내역'!$K:$K,"&gt;=2025-07-01",'가압 불량내역'!$K:$K,"&lt;=2025-07-31",'가압 불량내역'!$H:$H,"기구작업불량",'가압 불량내역'!$S:$S,"*TMS",'가압 불량내역'!$Q:$Q,"제조")+COUNTIFS('가압 불량내역'!$K:$K,"&gt;=2025-07-01",'가압 불량내역'!$K:$K,"&lt;=2025-07-31",'가압 불량내역'!$H:$H,"기구작업불량",'가압 불량내역'!$S:$S,"*TMS",'가압 불량내역'!$Q:$Q,"제조(재작업)")</f>
        <v>3</v>
      </c>
      <c r="K27" s="113">
        <f>COUNTIFS('가압 불량내역'!$K:$K,"&gt;=2025-08-01",'가압 불량내역'!$K:$K,"&lt;=2025-08-31",'가압 불량내역'!$H:$H,"기구작업불량",'가압 불량내역'!$E:$E,"TMS 기구",'가압 불량내역'!$Q:$Q,"제조") + COUNTIFS('가압 불량내역'!$K:$K,"&gt;=2025-08-01",'가압 불량내역'!$K:$K,"&lt;=2025-08-31",'가압 불량내역'!$H:$H,"기구작업불량",'가압 불량내역'!$E:$E,"TMS 기구",'가압 불량내역'!$Q:$Q,"제조(재작업)")</f>
        <v>2</v>
      </c>
      <c r="L27" s="113">
        <f>COUNTIFS('가압 불량내역'!$K:$K,"&gt;=2025-09-01",'가압 불량내역'!$K:$K,"&lt;=2025-09-30",'가압 불량내역'!$H:$H,"기구작업불량",'가압 불량내역'!$S:$S,"*TMS",'가압 불량내역'!$Q:$Q,"제조")+COUNTIFS('가압 불량내역'!$K:$K,"&gt;=2025-09-01",'가압 불량내역'!$K:$K,"&lt;=2025-09-30",'가압 불량내역'!$H:$H,"기구작업불량",'가압 불량내역'!$S:$S,"*TMS",'가압 불량내역'!$Q:$Q,"제조(재작업)")</f>
        <v>4</v>
      </c>
      <c r="M27" s="113">
        <f>COUNTIFS('가압 불량내역'!$K:$K,"&gt;=2025-10-01",'가압 불량내역'!$K:$K,"&lt;=2025-10-31",'가압 불량내역'!$H:$H,"기구작업불량",'가압 불량내역'!$S:$S,"*TMS",'가압 불량내역'!$Q:$Q,"제조")+COUNTIFS('가압 불량내역'!$K:$K,"&gt;=2025-10-01",'가압 불량내역'!$K:$K,"&lt;=2025-10-31",'가압 불량내역'!$H:$H,"기구작업불량",'가압 불량내역'!$S:$S,"*TMS",'가압 불량내역'!$Q:$Q,"제조(재작업)")</f>
        <v>4</v>
      </c>
      <c r="N27" s="113">
        <f>COUNTIFS('가압 불량내역'!$K:$K,"&gt;=2025-11-01",'가압 불량내역'!$K:$K,"&lt;=2025-11-30",'가압 불량내역'!$H:$H,"기구작업불량",'가압 불량내역'!$S:$S,"*TMS",'가압 불량내역'!$Q:$Q,"제조")+COUNTIFS('가압 불량내역'!$K:$K,"&gt;=2025-11-01",'가압 불량내역'!$K:$K,"&lt;=2025-11-30",'가압 불량내역'!$H:$H,"기구작업불량",'가압 불량내역'!$S:$S,"*TMS",'가압 불량내역'!$Q:$Q,"제조(재작업)")</f>
        <v>4</v>
      </c>
      <c r="O27" s="238">
        <f>COUNTIFS('가압 불량내역'!$K:$K,"&gt;=2025-12-01",'가압 불량내역'!$K:$K,"&lt;=2025-12-31",'가압 불량내역'!$H:$H,"기구작업불량",'가압 불량내역'!$S:$S,"*TMS",'가압 불량내역'!$Q:$Q,"제조")+COUNTIFS('가압 불량내역'!$K:$K,"&gt;=2025-12-01",'가압 불량내역'!$K:$K,"&lt;=2025-12-31",'가압 불량내역'!$H:$H,"기구작업불량",'가압 불량내역'!$S:$S,"*TMS",'가압 불량내역'!$Q:$Q,"제조(재작업)")</f>
        <v>3</v>
      </c>
      <c r="P27" s="243">
        <f>SUM(D27:O27)</f>
        <v>56</v>
      </c>
    </row>
    <row r="28" spans="2:16" s="59" customFormat="1" ht="20.100000000000001" customHeight="1">
      <c r="B28" s="750"/>
      <c r="C28" s="751"/>
      <c r="D28" s="222">
        <f t="shared" ref="D28:P28" si="9">D27/D9</f>
        <v>6.6666666666666666E-2</v>
      </c>
      <c r="E28" s="222">
        <f t="shared" si="9"/>
        <v>0</v>
      </c>
      <c r="F28" s="222">
        <f t="shared" si="9"/>
        <v>0.34615384615384615</v>
      </c>
      <c r="G28" s="222">
        <f t="shared" si="9"/>
        <v>0.27586206896551724</v>
      </c>
      <c r="H28" s="222">
        <f t="shared" si="9"/>
        <v>0.5161290322580645</v>
      </c>
      <c r="I28" s="222">
        <f t="shared" si="9"/>
        <v>0.1</v>
      </c>
      <c r="J28" s="222">
        <f t="shared" si="9"/>
        <v>0.16666666666666666</v>
      </c>
      <c r="K28" s="222">
        <f t="shared" si="9"/>
        <v>0.08</v>
      </c>
      <c r="L28" s="222">
        <f t="shared" si="9"/>
        <v>0.15384615384615385</v>
      </c>
      <c r="M28" s="222">
        <f t="shared" si="9"/>
        <v>0.12121212121212122</v>
      </c>
      <c r="N28" s="222">
        <f t="shared" si="9"/>
        <v>0.13793103448275862</v>
      </c>
      <c r="O28" s="228">
        <f t="shared" si="9"/>
        <v>0.16666666666666666</v>
      </c>
      <c r="P28" s="220">
        <f t="shared" si="9"/>
        <v>0.18300653594771241</v>
      </c>
    </row>
    <row r="29" spans="2:16" s="59" customFormat="1" ht="20.100000000000001" customHeight="1">
      <c r="B29" s="824"/>
      <c r="C29" s="825"/>
      <c r="D29" s="825"/>
      <c r="E29" s="825"/>
      <c r="F29" s="825"/>
      <c r="G29" s="825"/>
      <c r="H29" s="825"/>
      <c r="I29" s="825"/>
      <c r="J29" s="825"/>
      <c r="K29" s="825"/>
      <c r="L29" s="825"/>
      <c r="M29" s="825"/>
      <c r="N29" s="825"/>
      <c r="O29" s="825"/>
      <c r="P29" s="826"/>
    </row>
    <row r="30" spans="2:16" s="59" customFormat="1" ht="20.100000000000001" customHeight="1">
      <c r="B30" s="824"/>
      <c r="C30" s="825"/>
      <c r="D30" s="825"/>
      <c r="E30" s="825"/>
      <c r="F30" s="825"/>
      <c r="G30" s="825"/>
      <c r="H30" s="825"/>
      <c r="I30" s="825"/>
      <c r="J30" s="825"/>
      <c r="K30" s="825"/>
      <c r="L30" s="825"/>
      <c r="M30" s="825"/>
      <c r="N30" s="825"/>
      <c r="O30" s="825"/>
      <c r="P30" s="826"/>
    </row>
    <row r="31" spans="2:16" s="59" customFormat="1" ht="20.100000000000001" customHeight="1">
      <c r="B31" s="824"/>
      <c r="C31" s="825"/>
      <c r="D31" s="825"/>
      <c r="E31" s="825"/>
      <c r="F31" s="825"/>
      <c r="G31" s="825"/>
      <c r="H31" s="825"/>
      <c r="I31" s="825"/>
      <c r="J31" s="825"/>
      <c r="K31" s="825"/>
      <c r="L31" s="825"/>
      <c r="M31" s="825"/>
      <c r="N31" s="825"/>
      <c r="O31" s="825"/>
      <c r="P31" s="826"/>
    </row>
    <row r="32" spans="2:16" s="59" customFormat="1" ht="20.100000000000001" customHeight="1">
      <c r="B32" s="824"/>
      <c r="C32" s="825"/>
      <c r="D32" s="825"/>
      <c r="E32" s="825"/>
      <c r="F32" s="825"/>
      <c r="G32" s="825"/>
      <c r="H32" s="825"/>
      <c r="I32" s="825"/>
      <c r="J32" s="825"/>
      <c r="K32" s="825"/>
      <c r="L32" s="825"/>
      <c r="M32" s="825"/>
      <c r="N32" s="825"/>
      <c r="O32" s="825"/>
      <c r="P32" s="826"/>
    </row>
    <row r="33" spans="2:16" s="59" customFormat="1" ht="20.100000000000001" customHeight="1">
      <c r="B33" s="824"/>
      <c r="C33" s="825"/>
      <c r="D33" s="825"/>
      <c r="E33" s="825"/>
      <c r="F33" s="825"/>
      <c r="G33" s="825"/>
      <c r="H33" s="825"/>
      <c r="I33" s="825"/>
      <c r="J33" s="825"/>
      <c r="K33" s="825"/>
      <c r="L33" s="825"/>
      <c r="M33" s="825"/>
      <c r="N33" s="825"/>
      <c r="O33" s="825"/>
      <c r="P33" s="826"/>
    </row>
    <row r="34" spans="2:16" s="59" customFormat="1" ht="20.100000000000001" customHeight="1">
      <c r="B34" s="824"/>
      <c r="C34" s="825"/>
      <c r="D34" s="825"/>
      <c r="E34" s="825"/>
      <c r="F34" s="825"/>
      <c r="G34" s="825"/>
      <c r="H34" s="825"/>
      <c r="I34" s="825"/>
      <c r="J34" s="825"/>
      <c r="K34" s="825"/>
      <c r="L34" s="825"/>
      <c r="M34" s="825"/>
      <c r="N34" s="825"/>
      <c r="O34" s="825"/>
      <c r="P34" s="826"/>
    </row>
    <row r="35" spans="2:16" s="59" customFormat="1" ht="20.100000000000001" customHeight="1">
      <c r="B35" s="824"/>
      <c r="C35" s="825"/>
      <c r="D35" s="825"/>
      <c r="E35" s="825"/>
      <c r="F35" s="825"/>
      <c r="G35" s="825"/>
      <c r="H35" s="825"/>
      <c r="I35" s="825"/>
      <c r="J35" s="825"/>
      <c r="K35" s="825"/>
      <c r="L35" s="825"/>
      <c r="M35" s="825"/>
      <c r="N35" s="825"/>
      <c r="O35" s="825"/>
      <c r="P35" s="826"/>
    </row>
    <row r="36" spans="2:16" s="59" customFormat="1" ht="20.100000000000001" customHeight="1">
      <c r="B36" s="824"/>
      <c r="C36" s="825"/>
      <c r="D36" s="825"/>
      <c r="E36" s="825"/>
      <c r="F36" s="825"/>
      <c r="G36" s="825"/>
      <c r="H36" s="825"/>
      <c r="I36" s="825"/>
      <c r="J36" s="825"/>
      <c r="K36" s="825"/>
      <c r="L36" s="825"/>
      <c r="M36" s="825"/>
      <c r="N36" s="825"/>
      <c r="O36" s="825"/>
      <c r="P36" s="826"/>
    </row>
    <row r="37" spans="2:16" s="59" customFormat="1" ht="20.100000000000001" customHeight="1">
      <c r="B37" s="824"/>
      <c r="C37" s="825"/>
      <c r="D37" s="825"/>
      <c r="E37" s="825"/>
      <c r="F37" s="825"/>
      <c r="G37" s="825"/>
      <c r="H37" s="825"/>
      <c r="I37" s="825"/>
      <c r="J37" s="825"/>
      <c r="K37" s="825"/>
      <c r="L37" s="825"/>
      <c r="M37" s="825"/>
      <c r="N37" s="825"/>
      <c r="O37" s="825"/>
      <c r="P37" s="826"/>
    </row>
    <row r="38" spans="2:16" s="59" customFormat="1" ht="20.100000000000001" customHeight="1">
      <c r="B38" s="824"/>
      <c r="C38" s="825"/>
      <c r="D38" s="825"/>
      <c r="E38" s="825"/>
      <c r="F38" s="825"/>
      <c r="G38" s="825"/>
      <c r="H38" s="825"/>
      <c r="I38" s="825"/>
      <c r="J38" s="825"/>
      <c r="K38" s="825"/>
      <c r="L38" s="825"/>
      <c r="M38" s="825"/>
      <c r="N38" s="825"/>
      <c r="O38" s="825"/>
      <c r="P38" s="826"/>
    </row>
    <row r="39" spans="2:16" s="59" customFormat="1" ht="20.100000000000001" customHeight="1">
      <c r="B39" s="824"/>
      <c r="C39" s="825"/>
      <c r="D39" s="825"/>
      <c r="E39" s="825"/>
      <c r="F39" s="825"/>
      <c r="G39" s="825"/>
      <c r="H39" s="825"/>
      <c r="I39" s="825"/>
      <c r="J39" s="825"/>
      <c r="K39" s="825"/>
      <c r="L39" s="825"/>
      <c r="M39" s="825"/>
      <c r="N39" s="825"/>
      <c r="O39" s="825"/>
      <c r="P39" s="826"/>
    </row>
    <row r="40" spans="2:16" s="59" customFormat="1" ht="20.100000000000001" customHeight="1">
      <c r="B40" s="824"/>
      <c r="C40" s="825"/>
      <c r="D40" s="825"/>
      <c r="E40" s="825"/>
      <c r="F40" s="825"/>
      <c r="G40" s="825"/>
      <c r="H40" s="825"/>
      <c r="I40" s="825"/>
      <c r="J40" s="825"/>
      <c r="K40" s="825"/>
      <c r="L40" s="825"/>
      <c r="M40" s="825"/>
      <c r="N40" s="825"/>
      <c r="O40" s="825"/>
      <c r="P40" s="826"/>
    </row>
    <row r="41" spans="2:16" s="59" customFormat="1" ht="20.100000000000001" customHeight="1">
      <c r="B41" s="834"/>
      <c r="C41" s="835"/>
      <c r="D41" s="835"/>
      <c r="E41" s="835"/>
      <c r="F41" s="835"/>
      <c r="G41" s="835"/>
      <c r="H41" s="835"/>
      <c r="I41" s="835"/>
      <c r="J41" s="835"/>
      <c r="K41" s="835"/>
      <c r="L41" s="835"/>
      <c r="M41" s="835"/>
      <c r="N41" s="835"/>
      <c r="O41" s="835"/>
      <c r="P41" s="836"/>
    </row>
    <row r="42" spans="2:16" customFormat="1" ht="24.95" customHeight="1">
      <c r="B42" s="756" t="s">
        <v>1471</v>
      </c>
      <c r="C42" s="736"/>
      <c r="D42" s="736"/>
      <c r="E42" s="736"/>
      <c r="F42" s="736"/>
      <c r="G42" s="736"/>
      <c r="H42" s="736"/>
      <c r="I42" s="736"/>
      <c r="J42" s="736"/>
      <c r="K42" s="736"/>
      <c r="L42" s="736"/>
      <c r="M42" s="736"/>
      <c r="N42" s="736"/>
      <c r="O42" s="736"/>
      <c r="P42" s="737"/>
    </row>
    <row r="43" spans="2:16" s="59" customFormat="1" ht="20.100000000000001" customHeight="1">
      <c r="B43" s="827" t="s">
        <v>1472</v>
      </c>
      <c r="C43" s="569" t="s">
        <v>1473</v>
      </c>
      <c r="D43" s="574" cm="1">
        <f t="array" ref="D43">SUMPRODUCT(
 IF(
  ('가압 날짜별 실적'!$F$2:$F$2500="GAIA-I")*('가압 날짜별 실적'!$I$2:$I$2500=1),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29</v>
      </c>
      <c r="E43" s="575" cm="1">
        <f t="array" ref="E43">SUMPRODUCT(
 IF(
  ('가압 날짜별 실적'!$F$2:$F$2500="GAIA-I")*('가압 날짜별 실적'!$I$2:$I$2500=2),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49</v>
      </c>
      <c r="F43" s="575" cm="1">
        <f t="array" ref="F43">SUMPRODUCT(
 IF(
  ('가압 날짜별 실적'!$F$2:$F$2500="GAIA-I")*('가압 날짜별 실적'!$I$2:$I$2500=3),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10</v>
      </c>
      <c r="G43" s="575" cm="1">
        <f t="array" ref="G43">SUMPRODUCT(
 IF(
  ('가압 날짜별 실적'!$F$2:$F$2500="GAIA-I")*('가압 날짜별 실적'!$I$2:$I$2500=4),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10</v>
      </c>
      <c r="H43" s="575" cm="1">
        <f t="array" ref="H43">SUMPRODUCT(
 IF(
  ('가압 날짜별 실적'!$F$2:$F$2500="GAIA-I")*('가압 날짜별 실적'!$I$2:$I$2500=5),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10</v>
      </c>
      <c r="I43" s="575" cm="1">
        <f t="array" ref="I43">SUMPRODUCT(
 IF(
  ('가압 날짜별 실적'!$F$2:$F$2500="GAIA-I")*('가압 날짜별 실적'!$I$2:$I$2500=6),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40</v>
      </c>
      <c r="J43" s="575" cm="1">
        <f t="array" ref="J43">SUMPRODUCT(
 IF(
  ('가압 날짜별 실적'!$F$2:$F$2500="GAIA-I")*('가압 날짜별 실적'!$I$2:$I$2500=7),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61</v>
      </c>
      <c r="K43" s="575" cm="1">
        <f t="array" ref="K43">SUMPRODUCT(
 IF(
  ('가압 날짜별 실적'!$F$2:$F$2500="GAIA-I")*('가압 날짜별 실적'!$I$2:$I$2500=8),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36</v>
      </c>
      <c r="L43" s="575" cm="1">
        <f t="array" ref="L43">SUMPRODUCT(
 IF(
  ('가압 날짜별 실적'!$F$2:$F$2500="GAIA-I")*('가압 날짜별 실적'!$I$2:$I$2500=9),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53</v>
      </c>
      <c r="M43" s="575" cm="1">
        <f t="array" ref="M43">SUMPRODUCT(
 IF(
  ('가압 날짜별 실적'!$F$2:$F$2500="GAIA-I")*('가압 날짜별 실적'!$I$2:$I$2500=10),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42</v>
      </c>
      <c r="N43" s="575" cm="1">
        <f t="array" ref="N43">SUMPRODUCT(
 IF(
  ('가압 날짜별 실적'!$F$2:$F$2500="GAIA-I")*('가압 날짜별 실적'!$I$2:$I$2500=11),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49</v>
      </c>
      <c r="O43" s="575" cm="1">
        <f t="array" ref="O43">SUMPRODUCT(
 IF(
  ('가압 날짜별 실적'!$F$2:$F$2500="GAIA-I")*('가압 날짜별 실적'!$I$2:$I$2500=12),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16</v>
      </c>
      <c r="P43" s="576">
        <f>SUM(D43:O43)</f>
        <v>405</v>
      </c>
    </row>
    <row r="44" spans="2:16" s="59" customFormat="1" ht="20.100000000000001" customHeight="1">
      <c r="B44" s="828"/>
      <c r="C44" s="570" t="s">
        <v>1474</v>
      </c>
      <c r="D44" s="242">
        <f>COUNTIFS(
 '가압 불량내역'!$D:$D,"GAIA-I",
 '가압 불량내역'!$K:$K,"&gt;="&amp;DATE(2025,1,1),
 '가압 불량내역'!$K:$K,"&lt;"&amp;DATE(2025,2,1)
)</f>
        <v>15</v>
      </c>
      <c r="E44" s="112">
        <f>COUNTIFS(
 '가압 불량내역'!$D:$D,"GAIA-I",
 '가압 불량내역'!$K:$K,"&gt;="&amp;DATE(2025,2,1),
 '가압 불량내역'!$K:$K,"&lt;"&amp;DATE(2025,3,1)
)</f>
        <v>6</v>
      </c>
      <c r="F44" s="112">
        <f>COUNTIFS(
 '가압 불량내역'!$D:$D,"GAIA-I",
 '가압 불량내역'!$K:$K,"&gt;="&amp;DATE(2025,3,1),
 '가압 불량내역'!$K:$K,"&lt;"&amp;DATE(2025,4,1)
)</f>
        <v>2</v>
      </c>
      <c r="G44" s="112">
        <f>COUNTIFS(
 '가압 불량내역'!$D:$D,"GAIA-I",
 '가압 불량내역'!$K:$K,"&gt;="&amp;DATE(2025,4,1),
 '가압 불량내역'!$K:$K,"&lt;"&amp;DATE(2025,5,1)
)</f>
        <v>0</v>
      </c>
      <c r="H44" s="112">
        <f>COUNTIFS(
 '가압 불량내역'!$D:$D,"GAIA-I",
 '가압 불량내역'!$K:$K,"&gt;="&amp;DATE(2025,5,1),
 '가압 불량내역'!$K:$K,"&lt;"&amp;DATE(2025,6,1)
)</f>
        <v>1</v>
      </c>
      <c r="I44" s="112">
        <f>COUNTIFS(
 '가압 불량내역'!$D:$D,"GAIA-I",
 '가압 불량내역'!$K:$K,"&gt;="&amp;DATE(2025,6,1),
 '가압 불량내역'!$K:$K,"&lt;"&amp;DATE(2025,7,1)
)</f>
        <v>2</v>
      </c>
      <c r="J44" s="112">
        <f>COUNTIFS(
 '가압 불량내역'!$D:$D,"GAIA-I",
 '가압 불량내역'!$K:$K,"&gt;="&amp;DATE(2025,7,1),
 '가압 불량내역'!$K:$K,"&lt;"&amp;DATE(2025,8,1)
)</f>
        <v>5</v>
      </c>
      <c r="K44" s="112">
        <f>COUNTIFS(
 '가압 불량내역'!$D:$D,"GAIA-I",
 '가압 불량내역'!$K:$K,"&gt;="&amp;DATE(2025,8,1),
 '가압 불량내역'!$K:$K,"&lt;"&amp;DATE(2025,9,1)
)</f>
        <v>8</v>
      </c>
      <c r="L44" s="112">
        <f>COUNTIFS(
 '가압 불량내역'!$D:$D,"GAIA-I",
 '가압 불량내역'!$K:$K,"&gt;="&amp;DATE(2025,9,1),
 '가압 불량내역'!$K:$K,"&lt;"&amp;DATE(2025,10,1)
)</f>
        <v>12</v>
      </c>
      <c r="M44" s="112">
        <f>COUNTIFS(
 '가압 불량내역'!$D:$D,"GAIA-I",
 '가압 불량내역'!$K:$K,"&gt;="&amp;DATE(2025,10,1),
 '가압 불량내역'!$K:$K,"&lt;"&amp;DATE(2025,11,1)
)</f>
        <v>7</v>
      </c>
      <c r="N44" s="112">
        <f>COUNTIFS(
 '가압 불량내역'!$D:$D,"GAIA-I",
 '가압 불량내역'!$K:$K,"&gt;="&amp;DATE(2025,11,1),
 '가압 불량내역'!$K:$K,"&lt;"&amp;DATE(2025,12,1)
)</f>
        <v>9</v>
      </c>
      <c r="O44" s="112">
        <f>COUNTIFS(
 '가압 불량내역'!$D:$D,"GAIA-I",
 '가압 불량내역'!$K:$K,"&gt;="&amp;DATE(2025,12,1),
 '가압 불량내역'!$K:$K,"&lt;"&amp;DATE(2026,1,1)
)</f>
        <v>1</v>
      </c>
      <c r="P44" s="585">
        <f>SUM(D44:O44)</f>
        <v>68</v>
      </c>
    </row>
    <row r="45" spans="2:16" s="59" customFormat="1" ht="20.100000000000001" customHeight="1">
      <c r="B45" s="828"/>
      <c r="C45" s="571" t="s">
        <v>1475</v>
      </c>
      <c r="D45" s="589">
        <f>D44/D43</f>
        <v>0.51724137931034486</v>
      </c>
      <c r="E45" s="590">
        <f>E44/E43</f>
        <v>0.12244897959183673</v>
      </c>
      <c r="F45" s="590">
        <f t="shared" ref="F45:O45" si="10">F44/F43</f>
        <v>0.2</v>
      </c>
      <c r="G45" s="590">
        <f t="shared" si="10"/>
        <v>0</v>
      </c>
      <c r="H45" s="590">
        <f t="shared" si="10"/>
        <v>0.1</v>
      </c>
      <c r="I45" s="590">
        <f t="shared" si="10"/>
        <v>0.05</v>
      </c>
      <c r="J45" s="590">
        <f t="shared" si="10"/>
        <v>8.1967213114754092E-2</v>
      </c>
      <c r="K45" s="590">
        <f t="shared" si="10"/>
        <v>0.22222222222222221</v>
      </c>
      <c r="L45" s="590">
        <f t="shared" si="10"/>
        <v>0.22641509433962265</v>
      </c>
      <c r="M45" s="590">
        <f t="shared" si="10"/>
        <v>0.16666666666666666</v>
      </c>
      <c r="N45" s="590">
        <f t="shared" si="10"/>
        <v>0.18367346938775511</v>
      </c>
      <c r="O45" s="590">
        <f t="shared" si="10"/>
        <v>6.25E-2</v>
      </c>
      <c r="P45" s="244">
        <f>P44/P43</f>
        <v>0.16790123456790124</v>
      </c>
    </row>
    <row r="46" spans="2:16" s="59" customFormat="1" ht="20.100000000000001" customHeight="1">
      <c r="B46" s="827" t="s">
        <v>1476</v>
      </c>
      <c r="C46" s="569" t="s">
        <v>1473</v>
      </c>
      <c r="D46" s="574" cm="1">
        <f t="array" ref="D46">SUMPRODUCT(
 IF(
  ('가압 날짜별 실적'!$F$2:$F$2500="GAIA-I DUAL")*('가압 날짜별 실적'!$I$2:$I$2500=1),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37</v>
      </c>
      <c r="E46" s="577" cm="1">
        <f t="array" ref="E46">SUMPRODUCT(
 IF(
  ('가압 날짜별 실적'!$F$2:$F$2500="GAIA-I DUAL")*('가압 날짜별 실적'!$I$2:$I$2500=2),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57</v>
      </c>
      <c r="F46" s="577" cm="1">
        <f t="array" ref="F46">SUMPRODUCT(
 IF(
  ('가압 날짜별 실적'!$F$2:$F$2500="GAIA-I DUAL")*('가압 날짜별 실적'!$I$2:$I$2500=3),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55</v>
      </c>
      <c r="G46" s="577" cm="1">
        <f t="array" ref="G46">SUMPRODUCT(
 IF(
  ('가압 날짜별 실적'!$F$2:$F$2500="GAIA-I DUAL")*('가압 날짜별 실적'!$I$2:$I$2500=4),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77.999999999999986</v>
      </c>
      <c r="H46" s="577" cm="1">
        <f t="array" ref="H46">SUMPRODUCT(
 IF(
  ('가압 날짜별 실적'!$F$2:$F$2500="GAIA-I DUAL")*('가압 날짜별 실적'!$I$2:$I$2500=5),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64.999999999999986</v>
      </c>
      <c r="I46" s="577" cm="1">
        <f t="array" ref="I46">SUMPRODUCT(
 IF(
  ('가압 날짜별 실적'!$F$2:$F$2500="GAIA-I DUAL")*('가압 날짜별 실적'!$I$2:$I$2500=6),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43</v>
      </c>
      <c r="J46" s="577" cm="1">
        <f t="array" ref="J46">SUMPRODUCT(
 IF(
  ('가압 날짜별 실적'!$F$2:$F$2500="GAIA-I DUAL")*('가압 날짜별 실적'!$I$2:$I$2500=7),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56.000000000000028</v>
      </c>
      <c r="K46" s="577" cm="1">
        <f t="array" ref="K46">SUMPRODUCT(
 IF(
  ('가압 날짜별 실적'!$F$2:$F$2500="GAIA-I DUAL")*('가압 날짜별 실적'!$I$2:$I$2500=8),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63.000000000000014</v>
      </c>
      <c r="L46" s="577" cm="1">
        <f t="array" ref="L46">SUMPRODUCT(
 IF(
  ('가압 날짜별 실적'!$F$2:$F$2500="GAIA-I DUAL")*('가압 날짜별 실적'!$I$2:$I$2500=9),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48</v>
      </c>
      <c r="M46" s="577" cm="1">
        <f t="array" ref="M46">SUMPRODUCT(
 IF(
  ('가압 날짜별 실적'!$F$2:$F$2500="GAIA-I DUAL")*('가압 날짜별 실적'!$I$2:$I$2500=10),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61.000000000000007</v>
      </c>
      <c r="N46" s="577" cm="1">
        <f t="array" ref="N46">SUMPRODUCT(
 IF(
  ('가압 날짜별 실적'!$F$2:$F$2500="GAIA-I DUAL")*('가압 날짜별 실적'!$I$2:$I$2500=11),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67</v>
      </c>
      <c r="O46" s="578" cm="1">
        <f t="array" ref="O46">SUMPRODUCT(
 IF(
  ('가압 날짜별 실적'!$F$2:$F$2500="GAIA-I DUAL")*('가압 날짜별 실적'!$I$2:$I$2500=12),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71</v>
      </c>
      <c r="P46" s="576">
        <f>SUM(D46:O46)</f>
        <v>701</v>
      </c>
    </row>
    <row r="47" spans="2:16" s="59" customFormat="1" ht="20.100000000000001" customHeight="1">
      <c r="B47" s="828"/>
      <c r="C47" s="571" t="s">
        <v>1474</v>
      </c>
      <c r="D47" s="563">
        <f>COUNTIFS(
 '가압 불량내역'!$D:$D,"GAIA-I DUAL",
 '가압 불량내역'!$K:$K,"&gt;="&amp;DATE(2025,1,1),
 '가압 불량내역'!$K:$K,"&lt;"&amp;DATE(2025,2,1)
)</f>
        <v>14</v>
      </c>
      <c r="E47" s="564">
        <f>COUNTIFS(
 '가압 불량내역'!$D:$D,"GAIA-I DUAL",
 '가압 불량내역'!$K:$K,"&gt;="&amp;DATE(2025,2,1),
 '가압 불량내역'!$K:$K,"&lt;"&amp;DATE(2025,3,1)
)</f>
        <v>22</v>
      </c>
      <c r="F47" s="564">
        <f>COUNTIFS(
 '가압 불량내역'!$D:$D,"GAIA-I DUAL",
 '가압 불량내역'!$K:$K,"&gt;="&amp;DATE(2025,3,1),
 '가압 불량내역'!$K:$K,"&lt;"&amp;DATE(2025,4,1)
)</f>
        <v>21</v>
      </c>
      <c r="G47" s="564">
        <f>COUNTIFS(
 '가압 불량내역'!$D:$D,"GAIA-I DUAL",
 '가압 불량내역'!$K:$K,"&gt;="&amp;DATE(2025,4,1),
 '가압 불량내역'!$K:$K,"&lt;"&amp;DATE(2025,5,1)
)</f>
        <v>33</v>
      </c>
      <c r="H47" s="564">
        <f>COUNTIFS(
 '가압 불량내역'!$D:$D,"GAIA-I DUAL",
 '가압 불량내역'!$K:$K,"&gt;="&amp;DATE(2025,5,1),
 '가압 불량내역'!$K:$K,"&lt;"&amp;DATE(2025,6,1)
)</f>
        <v>24</v>
      </c>
      <c r="I47" s="564">
        <f>COUNTIFS(
 '가압 불량내역'!$D:$D,"GAIA-I DUAL",
 '가압 불량내역'!$K:$K,"&gt;="&amp;DATE(2025,6,1),
 '가압 불량내역'!$K:$K,"&lt;"&amp;DATE(2025,7,1)
)</f>
        <v>11</v>
      </c>
      <c r="J47" s="564">
        <f>COUNTIFS(
 '가압 불량내역'!$D:$D,"GAIA-I DUAL",
 '가압 불량내역'!$K:$K,"&gt;="&amp;DATE(2025,7,1),
 '가압 불량내역'!$K:$K,"&lt;"&amp;DATE(2025,8,1)
)</f>
        <v>17</v>
      </c>
      <c r="K47" s="564">
        <f>COUNTIFS(
 '가압 불량내역'!$D:$D,"GAIA-I DUAL",
 '가압 불량내역'!$K:$K,"&gt;="&amp;DATE(2025,8,1),
 '가압 불량내역'!$K:$K,"&lt;"&amp;DATE(2025,9,1)
)</f>
        <v>22</v>
      </c>
      <c r="L47" s="564">
        <f>COUNTIFS(
 '가압 불량내역'!$D:$D,"GAIA-I DUAL",
 '가압 불량내역'!$K:$K,"&gt;="&amp;DATE(2025,9,1),
 '가압 불량내역'!$K:$K,"&lt;"&amp;DATE(2025,10,1)
)</f>
        <v>18</v>
      </c>
      <c r="M47" s="564">
        <f>COUNTIFS(
 '가압 불량내역'!$D:$D,"GAIA-I DUAL",
 '가압 불량내역'!$K:$K,"&gt;="&amp;DATE(2025,10,1),
 '가압 불량내역'!$K:$K,"&lt;"&amp;DATE(2025,11,1)
)</f>
        <v>35</v>
      </c>
      <c r="N47" s="564">
        <f>COUNTIFS(
 '가압 불량내역'!$D:$D,"GAIA-I DUAL",
 '가압 불량내역'!$K:$K,"&gt;="&amp;DATE(2025,11,1),
 '가압 불량내역'!$K:$K,"&lt;"&amp;DATE(2025,12,1)
)</f>
        <v>25</v>
      </c>
      <c r="O47" s="565">
        <f>COUNTIFS(
 '가압 불량내역'!$D:$D,"GAIA-I DUAL",
 '가압 불량내역'!$K:$K,"&gt;="&amp;DATE(2025,12,1),
 '가압 불량내역'!$K:$K,"&lt;"&amp;DATE(2026,1,1)
)</f>
        <v>10</v>
      </c>
      <c r="P47" s="592">
        <f>SUM(D47:O47)</f>
        <v>252</v>
      </c>
    </row>
    <row r="48" spans="2:16" s="59" customFormat="1" ht="20.100000000000001" customHeight="1">
      <c r="B48" s="828"/>
      <c r="C48" s="584" t="s">
        <v>1475</v>
      </c>
      <c r="D48" s="589">
        <f>D47/D46</f>
        <v>0.3783783783783784</v>
      </c>
      <c r="E48" s="590">
        <f>E47/E46</f>
        <v>0.38596491228070173</v>
      </c>
      <c r="F48" s="590">
        <f t="shared" ref="F48:O48" si="11">F47/F46</f>
        <v>0.38181818181818183</v>
      </c>
      <c r="G48" s="590">
        <f t="shared" si="11"/>
        <v>0.42307692307692313</v>
      </c>
      <c r="H48" s="590">
        <f t="shared" si="11"/>
        <v>0.36923076923076931</v>
      </c>
      <c r="I48" s="590">
        <f t="shared" si="11"/>
        <v>0.2558139534883721</v>
      </c>
      <c r="J48" s="590">
        <f t="shared" si="11"/>
        <v>0.30357142857142844</v>
      </c>
      <c r="K48" s="590">
        <f t="shared" si="11"/>
        <v>0.34920634920634913</v>
      </c>
      <c r="L48" s="590">
        <f t="shared" si="11"/>
        <v>0.375</v>
      </c>
      <c r="M48" s="590">
        <f t="shared" si="11"/>
        <v>0.57377049180327866</v>
      </c>
      <c r="N48" s="590">
        <f t="shared" si="11"/>
        <v>0.37313432835820898</v>
      </c>
      <c r="O48" s="590">
        <f t="shared" si="11"/>
        <v>0.14084507042253522</v>
      </c>
      <c r="P48" s="244">
        <f>P47/P46</f>
        <v>0.3594864479315264</v>
      </c>
    </row>
    <row r="49" spans="2:16" s="59" customFormat="1" ht="20.100000000000001" customHeight="1">
      <c r="B49" s="827" t="s">
        <v>1477</v>
      </c>
      <c r="C49" s="580" t="s">
        <v>1473</v>
      </c>
      <c r="D49" s="591" cm="1">
        <f t="array" ref="D49">SUMPRODUCT(
 IF(
  ('가압 날짜별 실적'!$F$2:$F$2500="GAIA-II")*('가압 날짜별 실적'!$I$2:$I$2500=1),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2</v>
      </c>
      <c r="E49" s="582" cm="1">
        <f t="array" ref="E49">SUMPRODUCT(
 IF(
  ('가압 날짜별 실적'!$F$2:$F$2500="GAIA-II")*('가압 날짜별 실적'!$I$2:$I$2500=2),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32</v>
      </c>
      <c r="F49" s="582" cm="1">
        <f t="array" ref="F49">SUMPRODUCT(
 IF(
  ('가압 날짜별 실적'!$F$2:$F$2500="GAIA-II")*('가압 날짜별 실적'!$I$2:$I$2500=3),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0</v>
      </c>
      <c r="G49" s="582" cm="1">
        <f t="array" ref="G49">SUMPRODUCT(
 IF(
  ('가압 날짜별 실적'!$F$2:$F$2500="GAIA-II")*('가압 날짜별 실적'!$I$2:$I$2500=4),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8</v>
      </c>
      <c r="H49" s="582" cm="1">
        <f t="array" ref="H49">SUMPRODUCT(
 IF(
  ('가압 날짜별 실적'!$F$2:$F$2500="GAIA-II")*('가압 날짜별 실적'!$I$2:$I$2500=5),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5</v>
      </c>
      <c r="I49" s="582" cm="1">
        <f t="array" ref="I49">SUMPRODUCT(
 IF(
  ('가압 날짜별 실적'!$F$2:$F$2500="GAIA-II")*('가압 날짜별 실적'!$I$2:$I$2500=6),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6</v>
      </c>
      <c r="J49" s="582" cm="1">
        <f t="array" ref="J49">SUMPRODUCT(
 IF(
  ('가압 날짜별 실적'!$F$2:$F$2500="GAIA-II")*('가압 날짜별 실적'!$I$2:$I$2500=7),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16</v>
      </c>
      <c r="K49" s="582" cm="1">
        <f t="array" ref="K49">SUMPRODUCT(
 IF(
  ('가압 날짜별 실적'!$F$2:$F$2500="GAIA-II")*('가압 날짜별 실적'!$I$2:$I$2500=8),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23</v>
      </c>
      <c r="L49" s="582" cm="1">
        <f t="array" ref="L49">SUMPRODUCT(
 IF(
  ('가압 날짜별 실적'!$F$2:$F$2500="GAIA-II")*('가압 날짜별 실적'!$I$2:$I$2500=9),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15</v>
      </c>
      <c r="M49" s="582" cm="1">
        <f t="array" ref="M49">SUMPRODUCT(
 IF(
  ('가압 날짜별 실적'!$F$2:$F$2500="GAIA-II")*('가압 날짜별 실적'!$I$2:$I$2500=10),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4</v>
      </c>
      <c r="N49" s="582" cm="1">
        <f t="array" ref="N49">SUMPRODUCT(
 IF(
  ('가압 날짜별 실적'!$F$2:$F$2500="GAIA-II")*('가압 날짜별 실적'!$I$2:$I$2500=11),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9</v>
      </c>
      <c r="O49" s="582" cm="1">
        <f t="array" ref="O49">SUMPRODUCT(
 IF(
  ('가압 날짜별 실적'!$F$2:$F$2500="GAIA-II")*('가압 날짜별 실적'!$I$2:$I$2500=12),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5</v>
      </c>
      <c r="P49" s="579">
        <f>SUM(D49:O49)</f>
        <v>125</v>
      </c>
    </row>
    <row r="50" spans="2:16" s="59" customFormat="1" ht="20.100000000000001" customHeight="1">
      <c r="B50" s="828"/>
      <c r="C50" s="572" t="s">
        <v>1474</v>
      </c>
      <c r="D50" s="586">
        <f>COUNTIFS(
 '가압 불량내역'!$D:$D,"GAIA-II",
 '가압 불량내역'!$K:$K,"&gt;="&amp;DATE(2025,1,1),
 '가압 불량내역'!$K:$K,"&lt;"&amp;DATE(2025,2,1)
)</f>
        <v>1</v>
      </c>
      <c r="E50" s="587">
        <f>COUNTIFS(
 '가압 불량내역'!$D:$D,"GAIA-II",
 '가압 불량내역'!$K:$K,"&gt;="&amp;DATE(2025,2,1),
 '가압 불량내역'!$K:$K,"&lt;"&amp;DATE(2025,3,1)
)</f>
        <v>5</v>
      </c>
      <c r="F50" s="587">
        <f>COUNTIFS(
 '가압 불량내역'!$D:$D,"GAIA-II",
 '가압 불량내역'!$K:$K,"&gt;="&amp;DATE(2025,3,1),
 '가압 불량내역'!$K:$K,"&lt;"&amp;DATE(2025,4,1)
)</f>
        <v>0</v>
      </c>
      <c r="G50" s="587">
        <f>COUNTIFS(
 '가압 불량내역'!$D:$D,"GAIA-II",
 '가압 불량내역'!$K:$K,"&gt;="&amp;DATE(2025,4,1),
 '가압 불량내역'!$K:$K,"&lt;"&amp;DATE(2025,5,1)
)</f>
        <v>0</v>
      </c>
      <c r="H50" s="587">
        <f>COUNTIFS(
 '가압 불량내역'!$D:$D,"GAIA-II",
 '가압 불량내역'!$K:$K,"&gt;="&amp;DATE(2025,5,1),
 '가압 불량내역'!$K:$K,"&lt;"&amp;DATE(2025,6,1)
)</f>
        <v>0</v>
      </c>
      <c r="I50" s="587">
        <f>COUNTIFS(
 '가압 불량내역'!$D:$D,"GAIA-II",
 '가압 불량내역'!$K:$K,"&gt;="&amp;DATE(2025,6,1),
 '가압 불량내역'!$K:$K,"&lt;"&amp;DATE(2025,7,1)
)</f>
        <v>0</v>
      </c>
      <c r="J50" s="587">
        <f>COUNTIFS(
 '가압 불량내역'!$D:$D,"GAIA-II",
 '가압 불량내역'!$K:$K,"&gt;="&amp;DATE(2025,7,1),
 '가압 불량내역'!$K:$K,"&lt;"&amp;DATE(2025,8,1)
)</f>
        <v>6</v>
      </c>
      <c r="K50" s="587">
        <f>COUNTIFS(
 '가압 불량내역'!$D:$D,"GAIA-II",
 '가압 불량내역'!$K:$K,"&gt;="&amp;DATE(2025,8,1),
 '가압 불량내역'!$K:$K,"&lt;"&amp;DATE(2025,9,1)
)</f>
        <v>3</v>
      </c>
      <c r="L50" s="587">
        <f>COUNTIFS(
 '가압 불량내역'!$D:$D,"GAIA-II",
 '가압 불량내역'!$K:$K,"&gt;="&amp;DATE(2025,9,1),
 '가압 불량내역'!$K:$K,"&lt;"&amp;DATE(2025,10,1)
)</f>
        <v>3</v>
      </c>
      <c r="M50" s="587">
        <f>COUNTIFS(
 '가압 불량내역'!$D:$D,"GAIA-II",
 '가압 불량내역'!$K:$K,"&gt;="&amp;DATE(2025,10,1),
 '가압 불량내역'!$K:$K,"&lt;"&amp;DATE(2025,11,1)
)</f>
        <v>0</v>
      </c>
      <c r="N50" s="587">
        <f>COUNTIFS(
 '가압 불량내역'!$D:$D,"GAIA-II",
 '가압 불량내역'!$K:$K,"&gt;="&amp;DATE(2025,11,1),
 '가압 불량내역'!$K:$K,"&lt;"&amp;DATE(2025,12,1)
)</f>
        <v>2</v>
      </c>
      <c r="O50" s="587">
        <f>COUNTIFS(
 '가압 불량내역'!$D:$D,"GAIA-II",
 '가압 불량내역'!$K:$K,"&gt;="&amp;DATE(2025,12,1),
 '가압 불량내역'!$K:$K,"&lt;"&amp;DATE(2026,1,1)
)</f>
        <v>0</v>
      </c>
      <c r="P50" s="585">
        <f>SUM(D50:O50)</f>
        <v>20</v>
      </c>
    </row>
    <row r="51" spans="2:16" s="59" customFormat="1" ht="20.100000000000001" customHeight="1">
      <c r="B51" s="828"/>
      <c r="C51" s="571" t="s">
        <v>1475</v>
      </c>
      <c r="D51" s="589">
        <f>D50/D49</f>
        <v>0.5</v>
      </c>
      <c r="E51" s="590">
        <f>E50/E49</f>
        <v>0.15625</v>
      </c>
      <c r="F51" s="590">
        <v>0</v>
      </c>
      <c r="G51" s="590">
        <f t="shared" ref="F51:O51" si="12">G50/G49</f>
        <v>0</v>
      </c>
      <c r="H51" s="590">
        <f t="shared" si="12"/>
        <v>0</v>
      </c>
      <c r="I51" s="590">
        <f t="shared" si="12"/>
        <v>0</v>
      </c>
      <c r="J51" s="590">
        <f t="shared" si="12"/>
        <v>0.375</v>
      </c>
      <c r="K51" s="590">
        <f t="shared" si="12"/>
        <v>0.13043478260869565</v>
      </c>
      <c r="L51" s="590">
        <f t="shared" si="12"/>
        <v>0.2</v>
      </c>
      <c r="M51" s="590">
        <f t="shared" si="12"/>
        <v>0</v>
      </c>
      <c r="N51" s="590">
        <f t="shared" si="12"/>
        <v>0.22222222222222221</v>
      </c>
      <c r="O51" s="590">
        <f t="shared" si="12"/>
        <v>0</v>
      </c>
      <c r="P51" s="244">
        <f>P50/P49</f>
        <v>0.16</v>
      </c>
    </row>
    <row r="52" spans="2:16" s="59" customFormat="1" ht="20.100000000000001" customHeight="1">
      <c r="B52" s="827" t="s">
        <v>1478</v>
      </c>
      <c r="C52" s="569" t="s">
        <v>1473</v>
      </c>
      <c r="D52" s="574" cm="1">
        <f t="array" ref="D52">SUMPRODUCT(
 IF(
  ('가압 날짜별 실적'!$F$2:$F$2500="GAIA-II DUAL")*('가압 날짜별 실적'!$I$2:$I$2500=1),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0</v>
      </c>
      <c r="E52" s="577" cm="1">
        <f t="array" ref="E52">SUMPRODUCT(
 IF(
  ('가압 날짜별 실적'!$F$2:$F$2500="GAIA-II DUAL")*('가압 날짜별 실적'!$I$2:$I$2500=2),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0</v>
      </c>
      <c r="F52" s="577" cm="1">
        <f t="array" ref="F52">SUMPRODUCT(
 IF(
  ('가압 날짜별 실적'!$F$2:$F$2500="GAIA-II DUAL")*('가압 날짜별 실적'!$I$2:$I$2500=3),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3.0000000000000009</v>
      </c>
      <c r="G52" s="577" cm="1">
        <f t="array" ref="G52">SUMPRODUCT(
 IF(
  ('가압 날짜별 실적'!$F$2:$F$2500="GAIA-II DUAL")*('가압 날짜별 실적'!$I$2:$I$2500=4),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0</v>
      </c>
      <c r="H52" s="577" cm="1">
        <f t="array" ref="H52">SUMPRODUCT(
 IF(
  ('가압 날짜별 실적'!$F$2:$F$2500="GAIA-II DUAL")*('가압 날짜별 실적'!$I$2:$I$2500=5),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0</v>
      </c>
      <c r="I52" s="577" cm="1">
        <f t="array" ref="I52">SUMPRODUCT(
 IF(
  ('가압 날짜별 실적'!$F$2:$F$2500="GAIA-II DUAL")*('가압 날짜별 실적'!$I$2:$I$2500=6),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5</v>
      </c>
      <c r="J52" s="577" cm="1">
        <f t="array" ref="J52">SUMPRODUCT(
 IF(
  ('가압 날짜별 실적'!$F$2:$F$2500="GAIA-II DUAL")*('가압 날짜별 실적'!$I$2:$I$2500=7),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5.9999999999999991</v>
      </c>
      <c r="K52" s="577" cm="1">
        <f t="array" ref="K52">SUMPRODUCT(
 IF(
  ('가압 날짜별 실적'!$F$2:$F$2500="GAIA-II DUAL")*('가압 날짜별 실적'!$I$2:$I$2500=8),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2</v>
      </c>
      <c r="L52" s="577" cm="1">
        <f t="array" ref="L52">SUMPRODUCT(
 IF(
  ('가압 날짜별 실적'!$F$2:$F$2500="GAIA-II DUAL")*('가압 날짜별 실적'!$I$2:$I$2500=9),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8</v>
      </c>
      <c r="M52" s="577" cm="1">
        <f t="array" ref="M52">SUMPRODUCT(
 IF(
  ('가압 날짜별 실적'!$F$2:$F$2500="GAIA-II DUAL")*('가압 날짜별 실적'!$I$2:$I$2500=10),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3</v>
      </c>
      <c r="N52" s="577" cm="1">
        <f t="array" ref="N52">SUMPRODUCT(
 IF(
  ('가압 날짜별 실적'!$F$2:$F$2500="GAIA-II DUAL")*('가압 날짜별 실적'!$I$2:$I$2500=11),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0</v>
      </c>
      <c r="O52" s="577" cm="1">
        <f t="array" ref="O52">SUMPRODUCT(
 IF(
  ('가압 날짜별 실적'!$F$2:$F$2500="GAIA-II DUAL")*('가압 날짜별 실적'!$I$2:$I$2500=12),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4.9999999999999991</v>
      </c>
      <c r="P52" s="576">
        <f>SUM(D52:O52)</f>
        <v>32</v>
      </c>
    </row>
    <row r="53" spans="2:16" s="59" customFormat="1" ht="20.100000000000001" customHeight="1">
      <c r="B53" s="828"/>
      <c r="C53" s="571" t="s">
        <v>1474</v>
      </c>
      <c r="D53" s="586">
        <f>COUNTIFS(
 '가압 불량내역'!$D:$D,"GAIA-II DUAL",
 '가압 불량내역'!$K:$K,"&gt;="&amp;DATE(2025,1,1),
 '가압 불량내역'!$K:$K,"&lt;"&amp;DATE(2025,2,1)
)</f>
        <v>0</v>
      </c>
      <c r="E53" s="587">
        <f>COUNTIFS(
 '가압 불량내역'!$D:$D,"GAIA-II DUAL",
 '가압 불량내역'!$K:$K,"&gt;="&amp;DATE(2025,2,1),
 '가압 불량내역'!$K:$K,"&lt;"&amp;DATE(2025,3,1)
)</f>
        <v>0</v>
      </c>
      <c r="F53" s="587">
        <f>COUNTIFS(
 '가압 불량내역'!$D:$D,"GAIA-II DUAL",
 '가압 불량내역'!$K:$K,"&gt;="&amp;DATE(2025,3,1),
 '가압 불량내역'!$K:$K,"&lt;"&amp;DATE(2025,4,1)
)</f>
        <v>7</v>
      </c>
      <c r="G53" s="587">
        <f>COUNTIFS(
 '가압 불량내역'!$D:$D,"GAIA-II DUAL",
 '가압 불량내역'!$K:$K,"&gt;="&amp;DATE(2025,4,1),
 '가압 불량내역'!$K:$K,"&lt;"&amp;DATE(2025,5,1)
)</f>
        <v>0</v>
      </c>
      <c r="H53" s="587">
        <f>COUNTIFS(
 '가압 불량내역'!$D:$D,"GAIA-II DUAL",
 '가압 불량내역'!$K:$K,"&gt;="&amp;DATE(2025,5,1),
 '가압 불량내역'!$K:$K,"&lt;"&amp;DATE(2025,6,1)
)</f>
        <v>0</v>
      </c>
      <c r="I53" s="587">
        <f>COUNTIFS(
 '가압 불량내역'!$D:$D,"GAIA-II DUAL",
 '가압 불량내역'!$K:$K,"&gt;="&amp;DATE(2025,6,1),
 '가압 불량내역'!$K:$K,"&lt;"&amp;DATE(2025,7,1)
)</f>
        <v>5</v>
      </c>
      <c r="J53" s="587">
        <f>COUNTIFS(
 '가압 불량내역'!$D:$D,"GAIA-II DUAL",
 '가압 불량내역'!$K:$K,"&gt;="&amp;DATE(2025,7,1),
 '가압 불량내역'!$K:$K,"&lt;"&amp;DATE(2025,8,1)
)</f>
        <v>5</v>
      </c>
      <c r="K53" s="587">
        <f>COUNTIFS(
 '가압 불량내역'!$D:$D,"GAIA-II DUAL",
 '가압 불량내역'!$K:$K,"&gt;="&amp;DATE(2025,8,1),
 '가압 불량내역'!$K:$K,"&lt;"&amp;DATE(2025,9,1)
)</f>
        <v>3</v>
      </c>
      <c r="L53" s="587">
        <f>COUNTIFS(
 '가압 불량내역'!$D:$D,"GAIA-II DUAL",
 '가압 불량내역'!$K:$K,"&gt;="&amp;DATE(2025,9,1),
 '가압 불량내역'!$K:$K,"&lt;"&amp;DATE(2025,10,1)
)</f>
        <v>8</v>
      </c>
      <c r="M53" s="587">
        <f>COUNTIFS(
 '가압 불량내역'!$D:$D,"GAIA-II DUAL",
 '가압 불량내역'!$K:$K,"&gt;="&amp;DATE(2025,10,1),
 '가압 불량내역'!$K:$K,"&lt;"&amp;DATE(2025,11,1)
)</f>
        <v>2</v>
      </c>
      <c r="N53" s="587">
        <f>COUNTIFS(
 '가압 불량내역'!$D:$D,"GAIA-II DUAL",
 '가압 불량내역'!$K:$K,"&gt;="&amp;DATE(2025,11,1),
 '가압 불량내역'!$K:$K,"&lt;"&amp;DATE(2025,12,1)
)</f>
        <v>0</v>
      </c>
      <c r="O53" s="593">
        <f>COUNTIFS(
 '가압 불량내역'!$D:$D,"GAIA-II DUAL",
 '가압 불량내역'!$K:$K,"&gt;="&amp;DATE(2025,12,1),
 '가압 불량내역'!$K:$K,"&lt;"&amp;DATE(2026,1,1)
)</f>
        <v>6</v>
      </c>
      <c r="P53" s="585">
        <f>SUM(D53:O53)</f>
        <v>36</v>
      </c>
    </row>
    <row r="54" spans="2:16" s="59" customFormat="1" ht="20.100000000000001" customHeight="1">
      <c r="B54" s="828"/>
      <c r="C54" s="584" t="s">
        <v>1475</v>
      </c>
      <c r="D54" s="589">
        <v>0</v>
      </c>
      <c r="E54" s="590">
        <v>0</v>
      </c>
      <c r="F54" s="590">
        <f t="shared" ref="F54:O54" si="13">F53/F52</f>
        <v>2.3333333333333326</v>
      </c>
      <c r="G54" s="590">
        <v>0</v>
      </c>
      <c r="H54" s="590">
        <v>0</v>
      </c>
      <c r="I54" s="590">
        <f t="shared" si="13"/>
        <v>1</v>
      </c>
      <c r="J54" s="590">
        <f t="shared" si="13"/>
        <v>0.83333333333333348</v>
      </c>
      <c r="K54" s="590">
        <f>K53/K52</f>
        <v>1.5</v>
      </c>
      <c r="L54" s="590">
        <f t="shared" si="13"/>
        <v>1</v>
      </c>
      <c r="M54" s="590">
        <f t="shared" si="13"/>
        <v>0.66666666666666663</v>
      </c>
      <c r="N54" s="590">
        <v>0</v>
      </c>
      <c r="O54" s="590">
        <f t="shared" si="13"/>
        <v>1.2000000000000002</v>
      </c>
      <c r="P54" s="244">
        <f>P53/P52</f>
        <v>1.125</v>
      </c>
    </row>
    <row r="55" spans="2:16" s="59" customFormat="1" ht="20.100000000000001" customHeight="1">
      <c r="B55" s="827" t="s">
        <v>1479</v>
      </c>
      <c r="C55" s="580" t="s">
        <v>1473</v>
      </c>
      <c r="D55" s="581" cm="1">
        <f t="array" ref="D55">SUMPRODUCT(
 IF(
  ('가압 날짜별 실적'!$F$2:$F$2500="GAIA-P")*('가압 날짜별 실적'!$I$2:$I$2500=1),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</v>
      </c>
      <c r="E55" s="582" cm="1">
        <f t="array" ref="E55">SUMPRODUCT(
 IF(
  ('가압 날짜별 실적'!$F$2:$F$2500="GAIA-P")*('가압 날짜별 실적'!$I$2:$I$2500=2),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15</v>
      </c>
      <c r="F55" s="582" cm="1">
        <f t="array" ref="F55">SUMPRODUCT(
 IF(
  ('가압 날짜별 실적'!$F$2:$F$2500="GAIA-P")*('가압 날짜별 실적'!$I$2:$I$2500=3),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45</v>
      </c>
      <c r="G55" s="582" cm="1">
        <f t="array" ref="G55">SUMPRODUCT(
 IF(
  ('가압 날짜별 실적'!$F$2:$F$2500="GAIA-P")*('가압 날짜별 실적'!$I$2:$I$2500=4),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25</v>
      </c>
      <c r="H55" s="582" cm="1">
        <f t="array" ref="H55">SUMPRODUCT(
 IF(
  ('가압 날짜별 실적'!$F$2:$F$2500="GAIA-P")*('가압 날짜별 실적'!$I$2:$I$2500=5),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6</v>
      </c>
      <c r="I55" s="582" cm="1">
        <f t="array" ref="I55">SUMPRODUCT(
 IF(
  ('가압 날짜별 실적'!$F$2:$F$2500="GAIA-P")*('가압 날짜별 실적'!$I$2:$I$2500=6),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0</v>
      </c>
      <c r="J55" s="582" cm="1">
        <f t="array" ref="J55">SUMPRODUCT(
 IF(
  ('가압 날짜별 실적'!$F$2:$F$2500="GAIA-P")*('가압 날짜별 실적'!$I$2:$I$2500=7),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</v>
      </c>
      <c r="K55" s="582" cm="1">
        <f t="array" ref="K55">SUMPRODUCT(
 IF(
  ('가압 날짜별 실적'!$F$2:$F$2500="GAIA-P")*('가압 날짜별 실적'!$I$2:$I$2500=8),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3</v>
      </c>
      <c r="L55" s="582" cm="1">
        <f t="array" ref="L55">SUMPRODUCT(
 IF(
  ('가압 날짜별 실적'!$F$2:$F$2500="GAIA-P")*('가압 날짜별 실적'!$I$2:$I$2500=9),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26</v>
      </c>
      <c r="M55" s="582" cm="1">
        <f t="array" ref="M55">SUMPRODUCT(
 IF(
  ('가압 날짜별 실적'!$F$2:$F$2500="GAIA-P")*('가압 날짜별 실적'!$I$2:$I$2500=10),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4</v>
      </c>
      <c r="N55" s="582" cm="1">
        <f t="array" ref="N55">SUMPRODUCT(
 IF(
  ('가압 날짜별 실적'!$F$2:$F$2500="GAIA-P")*('가압 날짜별 실적'!$I$2:$I$2500=11),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7</v>
      </c>
      <c r="O55" s="582" cm="1">
        <f t="array" ref="O55">SUMPRODUCT(
 IF(
  ('가압 날짜별 실적'!$F$2:$F$2500="GAIA-P")*('가압 날짜별 실적'!$I$2:$I$2500=12),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13</v>
      </c>
      <c r="P55" s="576">
        <f>SUM(D55:O55)</f>
        <v>146</v>
      </c>
    </row>
    <row r="56" spans="2:16" s="59" customFormat="1" ht="20.100000000000001" customHeight="1">
      <c r="B56" s="828"/>
      <c r="C56" s="572" t="s">
        <v>1474</v>
      </c>
      <c r="D56" s="586">
        <f>COUNTIFS(
 '가압 불량내역'!$D:$D,"GAIA-P",
 '가압 불량내역'!$K:$K,"&gt;="&amp;DATE(2025,1,1),
 '가압 불량내역'!$K:$K,"&lt;"&amp;DATE(2025,2,1)
)</f>
        <v>1</v>
      </c>
      <c r="E56" s="587">
        <f>COUNTIFS(
 '가압 불량내역'!$D:$D,"GAIA-P",
 '가압 불량내역'!$K:$K,"&gt;="&amp;DATE(2025,2,1),
 '가압 불량내역'!$K:$K,"&lt;"&amp;DATE(2025,3,1)
)</f>
        <v>3</v>
      </c>
      <c r="F56" s="587">
        <f>COUNTIFS(
 '가압 불량내역'!$D:$D,"GAIA-P",
 '가압 불량내역'!$K:$K,"&gt;="&amp;DATE(2025,3,1),
 '가압 불량내역'!$K:$K,"&lt;"&amp;DATE(2025,4,1)
)</f>
        <v>12</v>
      </c>
      <c r="G56" s="587">
        <f>COUNTIFS(
 '가압 불량내역'!$D:$D,"GAIA-P",
 '가압 불량내역'!$K:$K,"&gt;="&amp;DATE(2025,4,1),
 '가압 불량내역'!$K:$K,"&lt;"&amp;DATE(2025,,1)
)</f>
        <v>0</v>
      </c>
      <c r="H56" s="587">
        <f>COUNTIFS(
 '가압 불량내역'!$D:$D,"GAIA-P",
 '가압 불량내역'!$K:$K,"&gt;="&amp;DATE(2025,5,1),
 '가압 불량내역'!$K:$K,"&lt;"&amp;DATE(2025,6,1)
)</f>
        <v>0</v>
      </c>
      <c r="I56" s="587">
        <f>COUNTIFS(
 '가압 불량내역'!$D:$D,"GAIA-P",
 '가압 불량내역'!$K:$K,"&gt;="&amp;DATE(2025,6,1),
 '가압 불량내역'!$K:$K,"&lt;"&amp;DATE(2025,7,1)
)</f>
        <v>0</v>
      </c>
      <c r="J56" s="587">
        <f>COUNTIFS(
 '가압 불량내역'!$D:$D,"GAIA-P",
 '가압 불량내역'!$K:$K,"&gt;="&amp;DATE(2025,7,1),
 '가압 불량내역'!$K:$K,"&lt;"&amp;DATE(2025,8,1)
)</f>
        <v>0</v>
      </c>
      <c r="K56" s="587">
        <f>COUNTIFS(
 '가압 불량내역'!$D:$D,"GAIA-P",
 '가압 불량내역'!$K:$K,"&gt;="&amp;DATE(2025,8,1),
 '가압 불량내역'!$K:$K,"&lt;"&amp;DATE(2025,9,1)
)</f>
        <v>0</v>
      </c>
      <c r="L56" s="587">
        <f>COUNTIFS(
 '가압 불량내역'!$D:$D,"GAIA-P",
 '가압 불량내역'!$K:$K,"&gt;="&amp;DATE(2025,9,1),
 '가압 불량내역'!$K:$K,"&lt;"&amp;DATE(2025,10,1)
)</f>
        <v>6</v>
      </c>
      <c r="M56" s="587">
        <f>COUNTIFS(
 '가압 불량내역'!$D:$D,"GAIA-P",
 '가압 불량내역'!$K:$K,"&gt;="&amp;DATE(2025,10,1),
 '가압 불량내역'!$K:$K,"&lt;"&amp;DATE(2025,11,1)
)</f>
        <v>2</v>
      </c>
      <c r="N56" s="587">
        <f>COUNTIFS(
 '가압 불량내역'!$D:$D,"GAIA-P",
 '가압 불량내역'!$K:$K,"&gt;="&amp;DATE(2025,11,1),
 '가압 불량내역'!$K:$K,"&lt;"&amp;DATE(2025,12,1)
)</f>
        <v>0</v>
      </c>
      <c r="O56" s="587">
        <f>COUNTIFS(
 '가압 불량내역'!$D:$D,"GAIA-P",
 '가압 불량내역'!$K:$K,"&gt;="&amp;DATE(2025,12,1),
 '가압 불량내역'!$K:$K,"&lt;"&amp;DATE(2026,1,1)
)</f>
        <v>1</v>
      </c>
      <c r="P56" s="585">
        <f>SUM(D56:O56)</f>
        <v>25</v>
      </c>
    </row>
    <row r="57" spans="2:16" s="59" customFormat="1" ht="20.100000000000001" customHeight="1">
      <c r="B57" s="828"/>
      <c r="C57" s="571" t="s">
        <v>1475</v>
      </c>
      <c r="D57" s="599">
        <f>D56/D55</f>
        <v>1</v>
      </c>
      <c r="E57" s="600">
        <f>E56/E55</f>
        <v>0.2</v>
      </c>
      <c r="F57" s="600">
        <v>0</v>
      </c>
      <c r="G57" s="600">
        <f t="shared" ref="G57:O57" si="14">G56/G55</f>
        <v>0</v>
      </c>
      <c r="H57" s="600">
        <f t="shared" si="14"/>
        <v>0</v>
      </c>
      <c r="I57" s="600" t="e">
        <f t="shared" si="14"/>
        <v>#DIV/0!</v>
      </c>
      <c r="J57" s="600">
        <f t="shared" si="14"/>
        <v>0</v>
      </c>
      <c r="K57" s="600">
        <f t="shared" si="14"/>
        <v>0</v>
      </c>
      <c r="L57" s="600">
        <f t="shared" si="14"/>
        <v>0.23076923076923078</v>
      </c>
      <c r="M57" s="600">
        <f t="shared" si="14"/>
        <v>0.5</v>
      </c>
      <c r="N57" s="600">
        <f t="shared" si="14"/>
        <v>0</v>
      </c>
      <c r="O57" s="600">
        <f t="shared" si="14"/>
        <v>7.6923076923076927E-2</v>
      </c>
      <c r="P57" s="220">
        <f>P56/P55</f>
        <v>0.17123287671232876</v>
      </c>
    </row>
    <row r="58" spans="2:16" s="59" customFormat="1" ht="20.100000000000001" customHeight="1">
      <c r="B58" s="827" t="s">
        <v>1480</v>
      </c>
      <c r="C58" s="569" t="s">
        <v>1473</v>
      </c>
      <c r="D58" s="594" cm="1">
        <f t="array" ref="D58">SUMPRODUCT(
 IF(
  ('가압 날짜별 실적'!$F$2:$F$2500="GAIA-P DUAL")*('가압 날짜별 실적'!$I$2:$I$2500=1),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4</v>
      </c>
      <c r="E58" s="595" cm="1">
        <f t="array" ref="E58">SUMPRODUCT(
 IF(
  ('가압 날짜별 실적'!$F$2:$F$2500="GAIA-P DUAL")*('가압 날짜별 실적'!$I$2:$I$2500=2),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4</v>
      </c>
      <c r="F58" s="595" cm="1">
        <f t="array" ref="F58">SUMPRODUCT(
 IF(
  ('가압 날짜별 실적'!$F$2:$F$2500="GAIA-P DUAL")*('가압 날짜별 실적'!$I$2:$I$2500=3),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8</v>
      </c>
      <c r="G58" s="595" cm="1">
        <f t="array" ref="G58">SUMPRODUCT(
 IF(
  ('가압 날짜별 실적'!$F$2:$F$2500="GAIA-P DUAL")*('가압 날짜별 실적'!$I$2:$I$2500=4),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3</v>
      </c>
      <c r="H58" s="595" cm="1">
        <f t="array" ref="H58">SUMPRODUCT(
 IF(
  ('가압 날짜별 실적'!$F$2:$F$2500="GAIA-P DUAL")*('가압 날짜별 실적'!$I$2:$I$2500=5),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3</v>
      </c>
      <c r="I58" s="595" cm="1">
        <f t="array" ref="I58">SUMPRODUCT(
 IF(
  ('가압 날짜별 실적'!$F$2:$F$2500="GAIA-P DUAL")*('가압 날짜별 실적'!$I$2:$I$2500=6),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5</v>
      </c>
      <c r="J58" s="595" cm="1">
        <f t="array" ref="J58">SUMPRODUCT(
 IF(
  ('가압 날짜별 실적'!$F$2:$F$2500="GAIA-P DUAL")*('가압 날짜별 실적'!$I$2:$I$2500=7),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2</v>
      </c>
      <c r="K58" s="595" cm="1">
        <f t="array" ref="K58">SUMPRODUCT(
 IF(
  ('가압 날짜별 실적'!$F$2:$F$2500="GAIA-P DUAL")*('가압 날짜별 실적'!$I$2:$I$2500=8),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</v>
      </c>
      <c r="L58" s="595" cm="1">
        <f t="array" ref="L58">SUMPRODUCT(
 IF(
  ('가압 날짜별 실적'!$F$2:$F$2500="GAIA-P DUAL")*('가압 날짜별 실적'!$I$2:$I$2500=9),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</v>
      </c>
      <c r="M58" s="595" cm="1">
        <f t="array" ref="M58">SUMPRODUCT(
 IF(
  ('가압 날짜별 실적'!$F$2:$F$2500="GAIA-P DUAL")*('가압 날짜별 실적'!$I$2:$I$2500=10),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5</v>
      </c>
      <c r="N58" s="595" cm="1">
        <f t="array" ref="N58">SUMPRODUCT(
 IF(
  ('가압 날짜별 실적'!$F$2:$F$2500="GAIA-P DUAL")*('가압 날짜별 실적'!$I$2:$I$2500=11),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16</v>
      </c>
      <c r="O58" s="596" cm="1">
        <f t="array" ref="O58">SUMPRODUCT(
 IF(
  ('가압 날짜별 실적'!$F$2:$F$2500="GAIA-P DUAL")*('가압 날짜별 실적'!$I$2:$I$2500=12),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15</v>
      </c>
      <c r="P58" s="601">
        <f>SUM(D58:O58)</f>
        <v>67</v>
      </c>
    </row>
    <row r="59" spans="2:16" s="59" customFormat="1" ht="20.100000000000001" customHeight="1">
      <c r="B59" s="828"/>
      <c r="C59" s="570" t="s">
        <v>1474</v>
      </c>
      <c r="D59" s="586">
        <f>COUNTIFS(
 '가압 불량내역'!$D:$D,"GAIA-P DUAL",
 '가압 불량내역'!$K:$K,"&gt;="&amp;DATE(2025,1,1),
 '가압 불량내역'!$K:$K,"&lt;"&amp;DATE(2025,2,1)
)</f>
        <v>0</v>
      </c>
      <c r="E59" s="587">
        <f>COUNTIFS(
 '가압 불량내역'!$D:$D,"GAIA-P DUAL",
 '가압 불량내역'!$K:$K,"&gt;="&amp;DATE(2025,2,1),
 '가압 불량내역'!$K:$K,"&lt;"&amp;DATE(2025,3,1)
)</f>
        <v>1</v>
      </c>
      <c r="F59" s="587">
        <f>COUNTIFS(
 '가압 불량내역'!$D:$D,"GAIA-P DUAL",
 '가압 불량내역'!$K:$K,"&gt;="&amp;DATE(2025,3,1),
 '가압 불량내역'!$K:$K,"&lt;"&amp;DATE(2025,4,1)
)</f>
        <v>0</v>
      </c>
      <c r="G59" s="587">
        <f>COUNTIFS(
 '가압 불량내역'!$D:$D,"GAIA-P DUAL",
 '가압 불량내역'!$K:$K,"&gt;="&amp;DATE(2025,4,1),
 '가압 불량내역'!$K:$K,"&lt;"&amp;DATE(2025,5,1)
)</f>
        <v>1</v>
      </c>
      <c r="H59" s="587">
        <f>COUNTIFS(
 '가압 불량내역'!$D:$D,"GAIA-P DUAL",
 '가압 불량내역'!$K:$K,"&gt;="&amp;DATE(2025,5,1),
 '가압 불량내역'!$K:$K,"&lt;"&amp;DATE(2025,6,1)
)</f>
        <v>0</v>
      </c>
      <c r="I59" s="587">
        <f>COUNTIFS(
 '가압 불량내역'!$D:$D,"GAIA-P DUAL",
 '가압 불량내역'!$K:$K,"&gt;="&amp;DATE(2025,6,1),
 '가압 불량내역'!$K:$K,"&lt;"&amp;DATE(2025,7,1)
)</f>
        <v>0</v>
      </c>
      <c r="J59" s="587">
        <f>COUNTIFS(
 '가압 불량내역'!$D:$D,"GAIA-P DUAL",
 '가압 불량내역'!$K:$K,"&gt;="&amp;DATE(2025,7,1),
 '가압 불량내역'!$K:$K,"&lt;"&amp;DATE(2025,8,1)
)</f>
        <v>1</v>
      </c>
      <c r="K59" s="587">
        <f>COUNTIFS(
 '가압 불량내역'!$D:$D,"GAIA-P DUAL",
 '가압 불량내역'!$K:$K,"&gt;="&amp;DATE(2025,8,1),
 '가압 불량내역'!$K:$K,"&lt;"&amp;DATE(2025,9,1)
)</f>
        <v>2</v>
      </c>
      <c r="L59" s="587">
        <f>COUNTIFS(
 '가압 불량내역'!$D:$D,"GAIA-P DUAL",
 '가압 불량내역'!$K:$K,"&gt;="&amp;DATE(2025,9,1),
 '가압 불량내역'!$K:$K,"&lt;"&amp;DATE(2025,10,1)
)</f>
        <v>1</v>
      </c>
      <c r="M59" s="587">
        <f>COUNTIFS(
 '가압 불량내역'!$D:$D,"GAIA-P DUAL",
 '가압 불량내역'!$K:$K,"&gt;="&amp;DATE(2025,10,1),
 '가압 불량내역'!$K:$K,"&lt;"&amp;DATE(2025,11,1)
)</f>
        <v>0</v>
      </c>
      <c r="N59" s="587">
        <f>COUNTIFS(
 '가압 불량내역'!$D:$D,"GAIA-P DUAL",
 '가압 불량내역'!$K:$K,"&gt;="&amp;DATE(2025,11,1),
 '가압 불량내역'!$K:$K,"&lt;"&amp;DATE(2025,12,1)
)</f>
        <v>5</v>
      </c>
      <c r="O59" s="588">
        <f>COUNTIFS(
 '가압 불량내역'!$D:$D,"GAIA-P DUAL",
 '가압 불량내역'!$K:$K,"&gt;="&amp;DATE(2025,12,1),
 '가압 불량내역'!$K:$K,"&lt;"&amp;DATE(2026,1,1)
)</f>
        <v>10</v>
      </c>
      <c r="P59" s="230">
        <f>SUM(D59:O59)</f>
        <v>21</v>
      </c>
    </row>
    <row r="60" spans="2:16" s="59" customFormat="1" ht="20.100000000000001" customHeight="1">
      <c r="B60" s="828"/>
      <c r="C60" s="571" t="s">
        <v>1475</v>
      </c>
      <c r="D60" s="597">
        <f>D59/D58</f>
        <v>0</v>
      </c>
      <c r="E60" s="598">
        <f t="shared" ref="E60:O60" si="15">E59/E58</f>
        <v>0.25</v>
      </c>
      <c r="F60" s="598">
        <f t="shared" si="15"/>
        <v>0</v>
      </c>
      <c r="G60" s="598">
        <f t="shared" si="15"/>
        <v>0.33333333333333331</v>
      </c>
      <c r="H60" s="598">
        <f t="shared" si="15"/>
        <v>0</v>
      </c>
      <c r="I60" s="598">
        <f t="shared" si="15"/>
        <v>0</v>
      </c>
      <c r="J60" s="598">
        <f t="shared" si="15"/>
        <v>0.5</v>
      </c>
      <c r="K60" s="598">
        <f t="shared" si="15"/>
        <v>2</v>
      </c>
      <c r="L60" s="598">
        <f t="shared" si="15"/>
        <v>1</v>
      </c>
      <c r="M60" s="598">
        <f t="shared" si="15"/>
        <v>0</v>
      </c>
      <c r="N60" s="598">
        <f t="shared" si="15"/>
        <v>0.3125</v>
      </c>
      <c r="O60" s="598">
        <f t="shared" si="15"/>
        <v>0.66666666666666663</v>
      </c>
      <c r="P60" s="220">
        <f>P59/P58</f>
        <v>0.31343283582089554</v>
      </c>
    </row>
    <row r="61" spans="2:16" s="59" customFormat="1" ht="20.100000000000001" customHeight="1">
      <c r="B61" s="827" t="s">
        <v>1397</v>
      </c>
      <c r="C61" s="569" t="s">
        <v>1473</v>
      </c>
      <c r="D61" s="574" cm="1">
        <f t="array" ref="D61">SUMPRODUCT(IF(('가압 날짜별 실적'!$F$2:$F$2500="DRAGON LE")*('가압 날짜별 실적'!$I$2:$I$2500=1),1/COUNTIFS('가압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AB")*('가압 날짜별 실적'!$I$2:$I$2500=1),1/COUNTIFS('가압 날짜별 실적'!$D$2:$D$2500,'가압 날짜별 실적'!$D$2:$D$2500,'가압 날짜별 실적'!$F$2:$F$2500,'가압 날짜별 실적'!$F$2:$F$2500,'가압 날짜별 실적'!$I$2:$I$2500,'가압 날짜별 실적'!$I$2:$I$2500),0))</f>
        <v>5.9999999999999964</v>
      </c>
      <c r="E61" s="577" cm="1">
        <f t="array" ref="E61">SUMPRODUCT(IF(('가압 날짜별 실적'!$F$2:$F$2500="DRAGON LE")*('가압 날짜별 실적'!$I$2:$I$2500=2),1/COUNTIFS('가압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AB")*('가압 날짜별 실적'!$I$2:$I$2500=2),1/COUNTIFS('가압 날짜별 실적'!$D$2:$D$2500,'가압 날짜별 실적'!$D$2:$D$2500,'가압 날짜별 실적'!$F$2:$F$2500,'가압 날짜별 실적'!$F$2:$F$2500,'가압 날짜별 실적'!$I$2:$I$2500,'가압 날짜별 실적'!$I$2:$I$2500),0))</f>
        <v>1.9999999999999998</v>
      </c>
      <c r="F61" s="577" cm="1">
        <f t="array" ref="F61">SUMPRODUCT(IF(('가압 날짜별 실적'!$F$2:$F$2500="DRAGON LE")*('가압 날짜별 실적'!$I$2:$I$2500=3),1/COUNTIFS('가압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AB")*('가압 날짜별 실적'!$I$2:$I$2500=3),1/COUNTIFS('가압 날짜별 실적'!$D$2:$D$2500,'가압 날짜별 실적'!$D$2:$D$2500,'가압 날짜별 실적'!$F$2:$F$2500,'가압 날짜별 실적'!$F$2:$F$2500,'가압 날짜별 실적'!$I$2:$I$2500,'가압 날짜별 실적'!$I$2:$I$2500),0))</f>
        <v>8</v>
      </c>
      <c r="G61" s="577" cm="1">
        <f t="array" ref="G61">SUMPRODUCT(IF(('가압 날짜별 실적'!$F$2:$F$2500="DRAGON LE")*('가압 날짜별 실적'!$I$2:$I$2500=4),1/COUNTIFS('가압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AB")*('가압 날짜별 실적'!$I$2:$I$2500=4),1/COUNTIFS('가압 날짜별 실적'!$D$2:$D$2500,'가압 날짜별 실적'!$D$2:$D$2500,'가압 날짜별 실적'!$F$2:$F$2500,'가압 날짜별 실적'!$F$2:$F$2500,'가압 날짜별 실적'!$I$2:$I$2500,'가압 날짜별 실적'!$I$2:$I$2500),0))</f>
        <v>10</v>
      </c>
      <c r="H61" s="577" cm="1">
        <f t="array" ref="H61">SUMPRODUCT(IF(('가압 날짜별 실적'!$F$2:$F$2500="DRAGON LE")*('가압 날짜별 실적'!$I$2:$I$2500=5),1/COUNTIFS('가압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AB")*('가압 날짜별 실적'!$I$2:$I$2500=5),1/COUNTIFS('가압 날짜별 실적'!$D$2:$D$2500,'가압 날짜별 실적'!$D$2:$D$2500,'가압 날짜별 실적'!$F$2:$F$2500,'가압 날짜별 실적'!$F$2:$F$2500,'가압 날짜별 실적'!$I$2:$I$2500,'가압 날짜별 실적'!$I$2:$I$2500),0))</f>
        <v>3</v>
      </c>
      <c r="I61" s="577" cm="1">
        <f t="array" ref="I61">SUMPRODUCT(IF(('가압 날짜별 실적'!$F$2:$F$2500="DRAGON LE")*('가압 날짜별 실적'!$I$2:$I$2500=6),1/COUNTIFS('가압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AB")*('가압 날짜별 실적'!$I$2:$I$2500=6),1/COUNTIFS('가압 날짜별 실적'!$D$2:$D$2500,'가압 날짜별 실적'!$D$2:$D$2500,'가압 날짜별 실적'!$F$2:$F$2500,'가압 날짜별 실적'!$F$2:$F$2500,'가압 날짜별 실적'!$I$2:$I$2500,'가압 날짜별 실적'!$I$2:$I$2500),0))</f>
        <v>6</v>
      </c>
      <c r="J61" s="577" cm="1">
        <f t="array" ref="J61">SUMPRODUCT(IF(('가압 날짜별 실적'!$F$2:$F$2500="DRAGON LE")*('가압 날짜별 실적'!$I$2:$I$2500=7),1/COUNTIFS('가압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AB")*('가압 날짜별 실적'!$I$2:$I$2500=7),1/COUNTIFS('가압 날짜별 실적'!$D$2:$D$2500,'가압 날짜별 실적'!$D$2:$D$2500,'가압 날짜별 실적'!$F$2:$F$2500,'가압 날짜별 실적'!$F$2:$F$2500,'가압 날짜별 실적'!$I$2:$I$2500,'가압 날짜별 실적'!$I$2:$I$2500),0))</f>
        <v>4</v>
      </c>
      <c r="K61" s="577" cm="1">
        <f t="array" ref="K61">SUMPRODUCT(IF(('가압 날짜별 실적'!$F$2:$F$2500="DRAGON LE")*('가압 날짜별 실적'!$I$2:$I$2500=8),1/COUNTIFS('가압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AB")*('가압 날짜별 실적'!$I$2:$I$2500=8),1/COUNTIFS('가압 날짜별 실적'!$D$2:$D$2500,'가압 날짜별 실적'!$D$2:$D$2500,'가압 날짜별 실적'!$F$2:$F$2500,'가압 날짜별 실적'!$F$2:$F$2500,'가압 날짜별 실적'!$I$2:$I$2500,'가압 날짜별 실적'!$I$2:$I$2500),0))</f>
        <v>8</v>
      </c>
      <c r="L61" s="577" cm="1">
        <f t="array" ref="L61">SUMPRODUCT(IF(('가압 날짜별 실적'!$F$2:$F$2500="DRAGON LE")*('가압 날짜별 실적'!$I$2:$I$2500=9),1/COUNTIFS('가압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AB")*('가압 날짜별 실적'!$I$2:$I$2500=9),1/COUNTIFS('가압 날짜별 실적'!$D$2:$D$2500,'가압 날짜별 실적'!$D$2:$D$2500,'가압 날짜별 실적'!$F$2:$F$2500,'가압 날짜별 실적'!$F$2:$F$2500,'가압 날짜별 실적'!$I$2:$I$2500,'가압 날짜별 실적'!$I$2:$I$2500),0))</f>
        <v>6</v>
      </c>
      <c r="M61" s="577" cm="1">
        <f t="array" ref="M61">SUMPRODUCT(IF(('가압 날짜별 실적'!$F$2:$F$2500="DRAGON LE")*('가압 날짜별 실적'!$I$2:$I$2500=10),1/COUNTIFS('가압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AB")*('가압 날짜별 실적'!$I$2:$I$2500=10),1/COUNTIFS('가압 날짜별 실적'!$D$2:$D$2500,'가압 날짜별 실적'!$D$2:$D$2500,'가압 날짜별 실적'!$F$2:$F$2500,'가압 날짜별 실적'!$F$2:$F$2500,'가압 날짜별 실적'!$I$2:$I$2500,'가압 날짜별 실적'!$I$2:$I$2500),0))</f>
        <v>2</v>
      </c>
      <c r="N61" s="577" cm="1">
        <f t="array" ref="N61">SUMPRODUCT(IF(('가압 날짜별 실적'!$F$2:$F$2500="DRAGON LE")*('가압 날짜별 실적'!$I$2:$I$2500=11),1/COUNTIFS('가압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AB")*('가압 날짜별 실적'!$I$2:$I$2500=11),1/COUNTIFS('가압 날짜별 실적'!$D$2:$D$2500,'가압 날짜별 실적'!$D$2:$D$2500,'가압 날짜별 실적'!$F$2:$F$2500,'가압 날짜별 실적'!$F$2:$F$2500,'가압 날짜별 실적'!$I$2:$I$2500,'가압 날짜별 실적'!$I$2:$I$2500),0))</f>
        <v>6</v>
      </c>
      <c r="O61" s="578" cm="1">
        <f t="array" ref="O61">SUMPRODUCT(IF(('가압 날짜별 실적'!$F$2:$F$2500="DRAGON LE")*('가압 날짜별 실적'!$I$2:$I$2500=12),1/COUNTIFS('가압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AB")*('가압 날짜별 실적'!$I$2:$I$2500=12),1/COUNTIFS('가압 날짜별 실적'!$D$2:$D$2500,'가압 날짜별 실적'!$D$2:$D$2500,'가압 날짜별 실적'!$F$2:$F$2500,'가압 날짜별 실적'!$F$2:$F$2500,'가압 날짜별 실적'!$I$2:$I$2500,'가압 날짜별 실적'!$I$2:$I$2500),0))</f>
        <v>2</v>
      </c>
      <c r="P61" s="583">
        <f>SUM(D61:O61)</f>
        <v>63</v>
      </c>
    </row>
    <row r="62" spans="2:16" s="59" customFormat="1" ht="20.100000000000001" customHeight="1">
      <c r="B62" s="828"/>
      <c r="C62" s="571" t="s">
        <v>1474</v>
      </c>
      <c r="D62" s="586">
        <f>COUNTIFS('가압 불량내역'!$D:$D,"DRAGON AB",'가압 불량내역'!$K:$K,"&gt;="&amp;DATE(2025,1,1),'가압 불량내역'!$K:$K,"&lt;"&amp;DATE(2025,2,1))+COUNTIFS('가압 불량내역'!$D:$D,"DRAGON LE",'가압 불량내역'!$K:$K,"&gt;="&amp;DATE(2025,1,1),'가압 불량내역'!$K:$K,"&lt;"&amp;DATE(2025,2,1))</f>
        <v>8</v>
      </c>
      <c r="E62" s="587">
        <f>COUNTIFS('가압 불량내역'!$D:$D,"DRAGON AB",'가압 불량내역'!$K:$K,"&gt;="&amp;DATE(2025,2,1),'가압 불량내역'!$K:$K,"&lt;"&amp;DATE(2025,3,1))+COUNTIFS('가압 불량내역'!$D:$D,"DRAGON LE",'가압 불량내역'!$K:$K,"&gt;="&amp;DATE(2025,2,1),'가압 불량내역'!$K:$K,"&lt;"&amp;DATE(2025,3,1))</f>
        <v>0</v>
      </c>
      <c r="F62" s="587">
        <f>COUNTIFS('가압 불량내역'!$D:$D,"DRAGON AB",'가압 불량내역'!$K:$K,"&gt;="&amp;DATE(2025,3,1),'가압 불량내역'!$K:$K,"&lt;"&amp;DATE(2025,4,1))+COUNTIFS('가압 불량내역'!$D:$D,"DRAGON LE",'가압 불량내역'!$K:$K,"&gt;="&amp;DATE(2025,3,1),'가압 불량내역'!$K:$K,"&lt;"&amp;DATE(2025,4,1))</f>
        <v>1</v>
      </c>
      <c r="G62" s="587">
        <f>COUNTIFS('가압 불량내역'!$D:$D,"DRAGON AB",'가압 불량내역'!$K:$K,"&gt;="&amp;DATE(2025,4,1),'가압 불량내역'!$K:$K,"&lt;"&amp;DATE(2025,5,1))+COUNTIFS('가압 불량내역'!$D:$D,"DRAGON LE",'가압 불량내역'!$K:$K,"&gt;="&amp;DATE(2025,4,1),'가압 불량내역'!$K:$K,"&lt;"&amp;DATE(2025,5,1))</f>
        <v>2</v>
      </c>
      <c r="H62" s="587">
        <f>COUNTIFS('가압 불량내역'!$D:$D,"DRAGON AB",'가압 불량내역'!$K:$K,"&gt;="&amp;DATE(2025,5,1),'가압 불량내역'!$K:$K,"&lt;"&amp;DATE(2025,6,1))+COUNTIFS('가압 불량내역'!$D:$D,"DRAGON LE",'가압 불량내역'!$K:$K,"&gt;="&amp;DATE(2025,5,1),'가압 불량내역'!$K:$K,"&lt;"&amp;DATE(2025,6,1))</f>
        <v>2</v>
      </c>
      <c r="I62" s="587">
        <f>COUNTIFS('가압 불량내역'!$D:$D,"DRAGON AB",'가압 불량내역'!$K:$K,"&gt;="&amp;DATE(2025,6,1),'가압 불량내역'!$K:$K,"&lt;"&amp;DATE(2025,7,1))+COUNTIFS('가압 불량내역'!$D:$D,"DRAGON LE",'가압 불량내역'!$K:$K,"&gt;="&amp;DATE(2025,6,1),'가압 불량내역'!$K:$K,"&lt;"&amp;DATE(2025,7,1))</f>
        <v>0</v>
      </c>
      <c r="J62" s="587">
        <f>COUNTIFS('가압 불량내역'!$D:$D,"DRAGON AB",'가압 불량내역'!$K:$K,"&gt;="&amp;DATE(2025,7,1),'가압 불량내역'!$K:$K,"&lt;"&amp;DATE(2025,8,1))+COUNTIFS('가압 불량내역'!$D:$D,"DRAGON LE",'가압 불량내역'!$K:$K,"&gt;="&amp;DATE(2025,7,1),'가압 불량내역'!$K:$K,"&lt;"&amp;DATE(2025,8,1))</f>
        <v>0</v>
      </c>
      <c r="K62" s="587">
        <f>COUNTIFS('가압 불량내역'!$D:$D,"DRAGON AB",'가압 불량내역'!$K:$K,"&gt;="&amp;DATE(2025,8,1),'가압 불량내역'!$K:$K,"&lt;"&amp;DATE(2025,9,1))+COUNTIFS('가압 불량내역'!$D:$D,"DRAGON LE",'가압 불량내역'!$K:$K,"&gt;="&amp;DATE(2025,8,1),'가압 불량내역'!$K:$K,"&lt;"&amp;DATE(2025,9,1))</f>
        <v>1</v>
      </c>
      <c r="L62" s="587">
        <f>COUNTIFS('가압 불량내역'!$D:$D,"DRAGON AB",'가압 불량내역'!$K:$K,"&gt;="&amp;DATE(2025,9,1),'가압 불량내역'!$K:$K,"&lt;"&amp;DATE(2025,10,1))+COUNTIFS('가압 불량내역'!$D:$D,"DRAGON LE",'가압 불량내역'!$K:$K,"&gt;="&amp;DATE(2025,9,1),'가압 불량내역'!$K:$K,"&lt;"&amp;DATE(2025,10,1))</f>
        <v>1</v>
      </c>
      <c r="M62" s="587">
        <f>COUNTIFS('가압 불량내역'!$D:$D,"DRAGON AB",'가압 불량내역'!$K:$K,"&gt;="&amp;DATE(2025,10,1),'가압 불량내역'!$K:$K,"&lt;"&amp;DATE(2025,11,1))+COUNTIFS('가압 불량내역'!$D:$D,"DRAGON LE",'가압 불량내역'!$K:$K,"&gt;="&amp;DATE(2025,10,1),'가압 불량내역'!$K:$K,"&lt;"&amp;DATE(2025,11,1))</f>
        <v>1</v>
      </c>
      <c r="N62" s="587">
        <f>COUNTIFS('가압 불량내역'!$D:$D,"DRAGON AB",'가압 불량내역'!$K:$K,"&gt;="&amp;DATE(2025,11,1),'가압 불량내역'!$K:$K,"&lt;"&amp;DATE(2025,12,1))+COUNTIFS('가압 불량내역'!$D:$D,"DRAGON LE",'가압 불량내역'!$K:$K,"&gt;="&amp;DATE(2025,11,1),'가압 불량내역'!$K:$K,"&lt;"&amp;DATE(2025,12,1))</f>
        <v>0</v>
      </c>
      <c r="O62" s="588">
        <f>COUNTIFS('가압 불량내역'!$D:$D,"DRAGON AB",'가압 불량내역'!$K:$K,"&gt;="&amp;DATE(2025,12,1),'가압 불량내역'!$K:$K,"&lt;"&amp;DATE(2026,1,1))+COUNTIFS('가압 불량내역'!$D:$D,"DRAGON LE",'가압 불량내역'!$K:$K,"&gt;="&amp;DATE(2025,12,1),'가압 불량내역'!$K:$K,"&lt;"&amp;DATE(2026,1,1))</f>
        <v>0</v>
      </c>
      <c r="P62" s="230">
        <f>SUM(D62:O62)</f>
        <v>16</v>
      </c>
    </row>
    <row r="63" spans="2:16" s="59" customFormat="1" ht="20.100000000000001" customHeight="1">
      <c r="B63" s="828"/>
      <c r="C63" s="584" t="s">
        <v>1475</v>
      </c>
      <c r="D63" s="597">
        <f>D62/D61</f>
        <v>1.3333333333333341</v>
      </c>
      <c r="E63" s="598">
        <f t="shared" ref="E63:O63" si="16">E62/E61</f>
        <v>0</v>
      </c>
      <c r="F63" s="598">
        <f t="shared" si="16"/>
        <v>0.125</v>
      </c>
      <c r="G63" s="598">
        <f t="shared" si="16"/>
        <v>0.2</v>
      </c>
      <c r="H63" s="598">
        <f t="shared" si="16"/>
        <v>0.66666666666666663</v>
      </c>
      <c r="I63" s="598">
        <f t="shared" si="16"/>
        <v>0</v>
      </c>
      <c r="J63" s="598">
        <f t="shared" si="16"/>
        <v>0</v>
      </c>
      <c r="K63" s="598">
        <f t="shared" si="16"/>
        <v>0.125</v>
      </c>
      <c r="L63" s="598">
        <f t="shared" si="16"/>
        <v>0.16666666666666666</v>
      </c>
      <c r="M63" s="598">
        <f t="shared" si="16"/>
        <v>0.5</v>
      </c>
      <c r="N63" s="598">
        <f t="shared" si="16"/>
        <v>0</v>
      </c>
      <c r="O63" s="598">
        <f t="shared" si="16"/>
        <v>0</v>
      </c>
      <c r="P63" s="220">
        <f>P62/P61</f>
        <v>0.25396825396825395</v>
      </c>
    </row>
    <row r="64" spans="2:16" s="59" customFormat="1" ht="20.100000000000001" customHeight="1">
      <c r="B64" s="827" t="s">
        <v>1481</v>
      </c>
      <c r="C64" s="580" t="s">
        <v>1473</v>
      </c>
      <c r="D64" s="581" cm="1">
        <f t="array" ref="D64">SUMPRODUCT(IF(('가압 날짜별 실적'!$F$2:$F$2500="DRAGON LE DUAL")*('가압 날짜별 실적'!$I$2:$I$2500=1),1/COUNTIFS('가압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 DUAL")*('가압 날짜별 실적'!$I$2:$I$2500=1),1/COUNTIFS('가압 날짜별 실적'!$D$2:$D$2500,'가압 날짜별 실적'!$D$2:$D$2500,'가압 날짜별 실적'!$F$2:$F$2500,'가압 날짜별 실적'!$F$2:$F$2500,'가압 날짜별 실적'!$I$2:$I$2500,'가압 날짜별 실적'!$I$2:$I$2500),0))</f>
        <v>13</v>
      </c>
      <c r="E64" s="582" cm="1">
        <f t="array" ref="E64">SUMPRODUCT(IF(('가압 날짜별 실적'!$F$2:$F$2500="DRAGON LE DUAL")*('가압 날짜별 실적'!$I$2:$I$2500=2),1/COUNTIFS('가압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 DUAL")*('가압 날짜별 실적'!$I$2:$I$2500=2),1/COUNTIFS('가압 날짜별 실적'!$D$2:$D$2500,'가압 날짜별 실적'!$D$2:$D$2500,'가압 날짜별 실적'!$F$2:$F$2500,'가압 날짜별 실적'!$F$2:$F$2500,'가압 날짜별 실적'!$I$2:$I$2500,'가압 날짜별 실적'!$I$2:$I$2500),0))</f>
        <v>6</v>
      </c>
      <c r="F64" s="582" cm="1">
        <f t="array" ref="F64">SUMPRODUCT(IF(('가압 날짜별 실적'!$F$2:$F$2500="DRAGON LE DUAL")*('가압 날짜별 실적'!$I$2:$I$2500=3),1/COUNTIFS('가압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 DUAL")*('가압 날짜별 실적'!$I$2:$I$2500=3),1/COUNTIFS('가압 날짜별 실적'!$D$2:$D$2500,'가압 날짜별 실적'!$D$2:$D$2500,'가압 날짜별 실적'!$F$2:$F$2500,'가압 날짜별 실적'!$F$2:$F$2500,'가압 날짜별 실적'!$I$2:$I$2500,'가압 날짜별 실적'!$I$2:$I$2500),0))</f>
        <v>6</v>
      </c>
      <c r="G64" s="582" cm="1">
        <f t="array" ref="G64">SUMPRODUCT(IF(('가압 날짜별 실적'!$F$2:$F$2500="DRAGON LE DUAL")*('가압 날짜별 실적'!$I$2:$I$2500=4),1/COUNTIFS('가압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 DUAL")*('가압 날짜별 실적'!$I$2:$I$2500=4),1/COUNTIFS('가압 날짜별 실적'!$D$2:$D$2500,'가압 날짜별 실적'!$D$2:$D$2500,'가압 날짜별 실적'!$F$2:$F$2500,'가압 날짜별 실적'!$F$2:$F$2500,'가압 날짜별 실적'!$I$2:$I$2500,'가압 날짜별 실적'!$I$2:$I$2500),0))</f>
        <v>10</v>
      </c>
      <c r="H64" s="582" cm="1">
        <f t="array" ref="H64">SUMPRODUCT(IF(('가압 날짜별 실적'!$F$2:$F$2500="DRAGON LE DUAL")*('가압 날짜별 실적'!$I$2:$I$2500=5),1/COUNTIFS('가압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 DUAL")*('가압 날짜별 실적'!$I$2:$I$2500=5),1/COUNTIFS('가압 날짜별 실적'!$D$2:$D$2500,'가압 날짜별 실적'!$D$2:$D$2500,'가압 날짜별 실적'!$F$2:$F$2500,'가압 날짜별 실적'!$F$2:$F$2500,'가압 날짜별 실적'!$I$2:$I$2500,'가압 날짜별 실적'!$I$2:$I$2500),0))</f>
        <v>15</v>
      </c>
      <c r="I64" s="582" cm="1">
        <f t="array" ref="I64">SUMPRODUCT(IF(('가압 날짜별 실적'!$F$2:$F$2500="DRAGON LE DUAL")*('가압 날짜별 실적'!$I$2:$I$2500=6),1/COUNTIFS('가압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 DUAL")*('가압 날짜별 실적'!$I$2:$I$2500=6),1/COUNTIFS('가압 날짜별 실적'!$D$2:$D$2500,'가압 날짜별 실적'!$D$2:$D$2500,'가압 날짜별 실적'!$F$2:$F$2500,'가압 날짜별 실적'!$F$2:$F$2500,'가압 날짜별 실적'!$I$2:$I$2500,'가압 날짜별 실적'!$I$2:$I$2500),0))</f>
        <v>2</v>
      </c>
      <c r="J64" s="582" cm="1">
        <f t="array" ref="J64">SUMPRODUCT(IF(('가압 날짜별 실적'!$F$2:$F$2500="DRAGON LE DUAL")*('가압 날짜별 실적'!$I$2:$I$2500=7),1/COUNTIFS('가압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 DUAL")*('가압 날짜별 실적'!$I$2:$I$2500=7),1/COUNTIFS('가압 날짜별 실적'!$D$2:$D$2500,'가압 날짜별 실적'!$D$2:$D$2500,'가압 날짜별 실적'!$F$2:$F$2500,'가압 날짜별 실적'!$F$2:$F$2500,'가압 날짜별 실적'!$I$2:$I$2500,'가압 날짜별 실적'!$I$2:$I$2500),0))</f>
        <v>2</v>
      </c>
      <c r="K64" s="582" cm="1">
        <f t="array" ref="K64">SUMPRODUCT(IF(('가압 날짜별 실적'!$F$2:$F$2500="DRAGON LE DUAL")*('가압 날짜별 실적'!$I$2:$I$2500=8),1/COUNTIFS('가압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 DUAL")*('가압 날짜별 실적'!$I$2:$I$2500=8),1/COUNTIFS('가압 날짜별 실적'!$D$2:$D$2500,'가압 날짜별 실적'!$D$2:$D$2500,'가압 날짜별 실적'!$F$2:$F$2500,'가압 날짜별 실적'!$F$2:$F$2500,'가압 날짜별 실적'!$I$2:$I$2500,'가압 날짜별 실적'!$I$2:$I$2500),0))</f>
        <v>6</v>
      </c>
      <c r="L64" s="582" cm="1">
        <f t="array" ref="L64">SUMPRODUCT(IF(('가압 날짜별 실적'!$F$2:$F$2500="DRAGON LE DUAL")*('가압 날짜별 실적'!$I$2:$I$2500=9),1/COUNTIFS('가압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 DUAL")*('가압 날짜별 실적'!$I$2:$I$2500=9),1/COUNTIFS('가압 날짜별 실적'!$D$2:$D$2500,'가압 날짜별 실적'!$D$2:$D$2500,'가압 날짜별 실적'!$F$2:$F$2500,'가압 날짜별 실적'!$F$2:$F$2500,'가압 날짜별 실적'!$I$2:$I$2500,'가압 날짜별 실적'!$I$2:$I$2500),0))</f>
        <v>1</v>
      </c>
      <c r="M64" s="582" cm="1">
        <f t="array" ref="M64">SUMPRODUCT(IF(('가압 날짜별 실적'!$F$2:$F$2500="DRAGON LE DUAL")*('가압 날짜별 실적'!$I$2:$I$2500=10),1/COUNTIFS('가압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 DUAL")*('가압 날짜별 실적'!$I$2:$I$2500=10),1/COUNTIFS('가압 날짜별 실적'!$D$2:$D$2500,'가압 날짜별 실적'!$D$2:$D$2500,'가압 날짜별 실적'!$F$2:$F$2500,'가압 날짜별 실적'!$F$2:$F$2500,'가압 날짜별 실적'!$I$2:$I$2500,'가압 날짜별 실적'!$I$2:$I$2500),0))</f>
        <v>3</v>
      </c>
      <c r="N64" s="582" cm="1">
        <f t="array" ref="N64">SUMPRODUCT(IF(('가압 날짜별 실적'!$F$2:$F$2500="DRAGON LE DUAL")*('가압 날짜별 실적'!$I$2:$I$2500=11),1/COUNTIFS('가압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 DUAL")*('가압 날짜별 실적'!$I$2:$I$2500=11),1/COUNTIFS('가압 날짜별 실적'!$D$2:$D$2500,'가압 날짜별 실적'!$D$2:$D$2500,'가압 날짜별 실적'!$F$2:$F$2500,'가압 날짜별 실적'!$F$2:$F$2500,'가압 날짜별 실적'!$I$2:$I$2500,'가압 날짜별 실적'!$I$2:$I$2500),0))</f>
        <v>6</v>
      </c>
      <c r="O64" s="582" cm="1">
        <f t="array" ref="O64">SUMPRODUCT(IF(('가압 날짜별 실적'!$F$2:$F$2500="DRAGON LE DUAL")*('가압 날짜별 실적'!$I$2:$I$2500=12),1/COUNTIFS('가압 날짜별 실적'!$D$2:$D$2500,'가압 날짜별 실적'!$D$2:$D$2500,'가압 날짜별 실적'!$F$2:$F$2500,'가압 날짜별 실적'!$F$2:$F$2500,'가압 날짜별 실적'!$I$2:$I$2500,'가압 날짜별 실적'!$I$2:$I$2500),0))+SUMPRODUCT(IF(('가압 날짜별 실적'!$F$2:$F$2500="DRAGON AB DUAL")*('가압 날짜별 실적'!$I$2:$I$2500=12),1/COUNTIFS('가압 날짜별 실적'!$D$2:$D$2500,'가압 날짜별 실적'!$D$2:$D$2500,'가압 날짜별 실적'!$F$2:$F$2500,'가압 날짜별 실적'!$F$2:$F$2500,'가압 날짜별 실적'!$I$2:$I$2500,'가압 날짜별 실적'!$I$2:$I$2500),0))</f>
        <v>2</v>
      </c>
      <c r="P64" s="583">
        <f>SUM(D64:O64)</f>
        <v>72</v>
      </c>
    </row>
    <row r="65" spans="2:16" s="59" customFormat="1" ht="20.100000000000001" customHeight="1">
      <c r="B65" s="828"/>
      <c r="C65" s="572" t="s">
        <v>1474</v>
      </c>
      <c r="D65" s="586">
        <f>COUNTIFS( '가압 불량내역'!$D:$D,"DRAGON AB DUAL",'가압 불량내역'!$K:$K,"&gt;="&amp;DATE(2025,1,1),'가압 불량내역'!$K:$K,"&lt;"&amp;DATE(2025,2,1))+COUNTIFS( '가압 불량내역'!$D:$D,"DRAGON LE DUAL",'가압 불량내역'!$K:$K,"&gt;="&amp;DATE(2025,1,1),'가압 불량내역'!$K:$K,"&lt;"&amp;DATE(2025,2,1))</f>
        <v>8</v>
      </c>
      <c r="E65" s="587">
        <f>COUNTIFS( '가압 불량내역'!$D:$D,"DRAGON AB DUAL",'가압 불량내역'!$K:$K,"&gt;="&amp;DATE(2025,2,1),'가압 불량내역'!$K:$K,"&lt;"&amp;DATE(2025,3,1))+COUNTIFS( '가압 불량내역'!$D:$D,"DRAGON LE DUAL",'가압 불량내역'!$K:$K,"&gt;="&amp;DATE(2025,2,1),'가압 불량내역'!$K:$K,"&lt;"&amp;DATE(2025,3,1))</f>
        <v>7</v>
      </c>
      <c r="F65" s="587">
        <f>COUNTIFS( '가압 불량내역'!$D:$D,"DRAGON AB DUAL",'가압 불량내역'!$K:$K,"&gt;="&amp;DATE(2025,3,1),'가압 불량내역'!$K:$K,"&lt;"&amp;DATE(2025,4,1))+COUNTIFS( '가압 불량내역'!$D:$D,"DRAGON LE DUAL",'가압 불량내역'!$K:$K,"&gt;="&amp;DATE(2025,3,1),'가압 불량내역'!$K:$K,"&lt;"&amp;DATE(2025,4,1))</f>
        <v>5</v>
      </c>
      <c r="G65" s="587">
        <f>COUNTIFS( '가압 불량내역'!$D:$D,"DRAGON AB DUAL",'가압 불량내역'!$K:$K,"&gt;="&amp;DATE(2025,4,1),'가압 불량내역'!$K:$K,"&lt;"&amp;DATE(2025,5,1))+COUNTIFS( '가압 불량내역'!$D:$D,"DRAGON LE DUAL",'가압 불량내역'!$K:$K,"&gt;="&amp;DATE(2025,4,1),'가압 불량내역'!$K:$K,"&lt;"&amp;DATE(2025,5,1))</f>
        <v>16</v>
      </c>
      <c r="H65" s="587">
        <f>COUNTIFS( '가압 불량내역'!$D:$D,"DRAGON AB DUAL",'가압 불량내역'!$K:$K,"&gt;="&amp;DATE(2025,5,1),'가압 불량내역'!$K:$K,"&lt;"&amp;DATE(2025,6,1))+COUNTIFS( '가압 불량내역'!$D:$D,"DRAGON LE DUAL",'가압 불량내역'!$K:$K,"&gt;="&amp;DATE(2025,5,1),'가압 불량내역'!$K:$K,"&lt;"&amp;DATE(2025,6,1))</f>
        <v>20</v>
      </c>
      <c r="I65" s="587">
        <f>COUNTIFS( '가압 불량내역'!$D:$D,"DRAGON AB DUAL",'가압 불량내역'!$K:$K,"&gt;="&amp;DATE(2025,6,1),'가압 불량내역'!$K:$K,"&lt;"&amp;DATE(2025,7,1))+COUNTIFS( '가압 불량내역'!$D:$D,"DRAGON LE DUAL",'가압 불량내역'!$K:$K,"&gt;="&amp;DATE(2025,6,1),'가압 불량내역'!$K:$K,"&lt;"&amp;DATE(2025,7,1))</f>
        <v>0</v>
      </c>
      <c r="J65" s="587">
        <f>COUNTIFS( '가압 불량내역'!$D:$D,"DRAGON AB DUAL",'가압 불량내역'!$K:$K,"&gt;="&amp;DATE(2025,7,1),'가압 불량내역'!$K:$K,"&lt;"&amp;DATE(2025,8,1))+COUNTIFS( '가압 불량내역'!$D:$D,"DRAGON LE DUAL",'가압 불량내역'!$K:$K,"&gt;="&amp;DATE(2025,7,1),'가압 불량내역'!$K:$K,"&lt;"&amp;DATE(2025,8,1))</f>
        <v>0</v>
      </c>
      <c r="K65" s="587">
        <f>COUNTIFS( '가압 불량내역'!$D:$D,"DRAGON AB DUAL",'가압 불량내역'!$K:$K,"&gt;="&amp;DATE(2025,8,1),'가압 불량내역'!$K:$K,"&lt;"&amp;DATE(2025,9,1))+COUNTIFS( '가압 불량내역'!$D:$D,"DRAGON LE DUAL",'가압 불량내역'!$K:$K,"&gt;="&amp;DATE(2025,8,1),'가압 불량내역'!$K:$K,"&lt;"&amp;DATE(2025,9,1))</f>
        <v>3</v>
      </c>
      <c r="L65" s="587">
        <f>COUNTIFS( '가압 불량내역'!$D:$D,"DRAGON AB DUAL",'가압 불량내역'!$K:$K,"&gt;="&amp;DATE(2025,9,1),'가압 불량내역'!$K:$K,"&lt;"&amp;DATE(2025,10,1))+COUNTIFS( '가압 불량내역'!$D:$D,"DRAGON LE DUAL",'가압 불량내역'!$K:$K,"&gt;="&amp;DATE(2025,9,1),'가압 불량내역'!$K:$K,"&lt;"&amp;DATE(2025,10,1))</f>
        <v>2</v>
      </c>
      <c r="M65" s="587">
        <f>COUNTIFS( '가압 불량내역'!$D:$D,"DRAGON AB DUAL",'가압 불량내역'!$K:$K,"&gt;="&amp;DATE(2025,10,1),'가압 불량내역'!$K:$K,"&lt;"&amp;DATE(2025,11,1))+COUNTIFS( '가압 불량내역'!$D:$D,"DRAGON LE DUAL",'가압 불량내역'!$K:$K,"&gt;="&amp;DATE(2025,10,1),'가압 불량내역'!$K:$K,"&lt;"&amp;DATE(2025,11,1))</f>
        <v>0</v>
      </c>
      <c r="N65" s="587">
        <f>COUNTIFS( '가압 불량내역'!$D:$D,"DRAGON AB DUAL",'가압 불량내역'!$K:$K,"&gt;="&amp;DATE(2025,11,1),'가압 불량내역'!$K:$K,"&lt;"&amp;DATE(2025,12,1))+COUNTIFS( '가압 불량내역'!$D:$D,"DRAGON LE DUAL",'가압 불량내역'!$K:$K,"&gt;="&amp;DATE(2025,11,1),'가압 불량내역'!$K:$K,"&lt;"&amp;DATE(2025,12,1))</f>
        <v>1</v>
      </c>
      <c r="O65" s="587">
        <f>COUNTIFS( '가압 불량내역'!$D:$D,"DRAGON AB DUAL",'가압 불량내역'!$K:$K,"&gt;="&amp;DATE(2025,12,1),'가압 불량내역'!$K:$K,"&lt;"&amp;DATE(2026,1,1))+COUNTIFS( '가압 불량내역'!$D:$D,"DRAGON LE DUAL",'가압 불량내역'!$K:$K,"&gt;="&amp;DATE(2025,12,1),'가압 불량내역'!$K:$K,"&lt;"&amp;DATE(2026,1,1))</f>
        <v>0</v>
      </c>
      <c r="P65" s="230">
        <f>SUM(D65:O65)</f>
        <v>62</v>
      </c>
    </row>
    <row r="66" spans="2:16" s="59" customFormat="1" ht="20.100000000000001" customHeight="1">
      <c r="B66" s="828"/>
      <c r="C66" s="571" t="s">
        <v>1475</v>
      </c>
      <c r="D66" s="597">
        <f>D65/D64</f>
        <v>0.61538461538461542</v>
      </c>
      <c r="E66" s="598">
        <f t="shared" ref="E66:O66" si="17">E65/E64</f>
        <v>1.1666666666666667</v>
      </c>
      <c r="F66" s="598">
        <f t="shared" si="17"/>
        <v>0.83333333333333337</v>
      </c>
      <c r="G66" s="598">
        <f t="shared" si="17"/>
        <v>1.6</v>
      </c>
      <c r="H66" s="598">
        <f t="shared" si="17"/>
        <v>1.3333333333333333</v>
      </c>
      <c r="I66" s="598">
        <f t="shared" si="17"/>
        <v>0</v>
      </c>
      <c r="J66" s="598">
        <f t="shared" si="17"/>
        <v>0</v>
      </c>
      <c r="K66" s="598">
        <f t="shared" si="17"/>
        <v>0.5</v>
      </c>
      <c r="L66" s="598">
        <f t="shared" si="17"/>
        <v>2</v>
      </c>
      <c r="M66" s="598">
        <f t="shared" si="17"/>
        <v>0</v>
      </c>
      <c r="N66" s="598">
        <f t="shared" si="17"/>
        <v>0.16666666666666666</v>
      </c>
      <c r="O66" s="598">
        <f t="shared" si="17"/>
        <v>0</v>
      </c>
      <c r="P66" s="220">
        <f>P65/P64</f>
        <v>0.86111111111111116</v>
      </c>
    </row>
    <row r="67" spans="2:16" s="59" customFormat="1" ht="20.100000000000001" customHeight="1">
      <c r="B67" s="827" t="s">
        <v>1482</v>
      </c>
      <c r="C67" s="569" t="s">
        <v>1473</v>
      </c>
      <c r="D67" s="574" cm="1">
        <f t="array" ref="D67">SUMPRODUCT(
 IF(
  ('가압 날짜별 실적'!$F$2:$F$2500="SWS-I")*('가압 날짜별 실적'!$I$2:$I$2500=1),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</v>
      </c>
      <c r="E67" s="577" cm="1">
        <f t="array" ref="E67">SUMPRODUCT(
 IF(
  ('가압 날짜별 실적'!$F$2:$F$2500="SWS-I")*('가압 날짜별 실적'!$I$2:$I$2500=2),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2</v>
      </c>
      <c r="F67" s="577" cm="1">
        <f t="array" ref="F67">SUMPRODUCT(
 IF(
  ('가압 날짜별 실적'!$F$2:$F$2500="SWS-I")*('가압 날짜별 실적'!$I$2:$I$2500=3),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4</v>
      </c>
      <c r="G67" s="577" cm="1">
        <f t="array" ref="G67">SUMPRODUCT(
 IF(
  ('가압 날짜별 실적'!$F$2:$F$2500="SWS-I")*('가압 날짜별 실적'!$I$2:$I$2500=4),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</v>
      </c>
      <c r="H67" s="577" cm="1">
        <f t="array" ref="H67">SUMPRODUCT(
 IF(
  ('가압 날짜별 실적'!$F$2:$F$2500="SWS-I")*('가압 날짜별 실적'!$I$2:$I$2500=5),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1</v>
      </c>
      <c r="I67" s="577" cm="1">
        <f t="array" ref="I67">SUMPRODUCT(
 IF(
  ('가압 날짜별 실적'!$F$2:$F$2500="SWS-I")*('가압 날짜별 실적'!$I$2:$I$2500=6),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6</v>
      </c>
      <c r="J67" s="577" cm="1">
        <f t="array" ref="J67">SUMPRODUCT(
 IF(
  ('가압 날짜별 실적'!$F$2:$F$2500="SWS-I")*('가압 날짜별 실적'!$I$2:$I$2500=7),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3</v>
      </c>
      <c r="K67" s="577" cm="1">
        <f t="array" ref="K67">SUMPRODUCT(
 IF(
  ('가압 날짜별 실적'!$F$2:$F$2500="SWS-I")*('가압 날짜별 실적'!$I$2:$I$2500=8),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6</v>
      </c>
      <c r="L67" s="577" cm="1">
        <f t="array" ref="L67">SUMPRODUCT(
 IF(
  ('가압 날짜별 실적'!$F$2:$F$2500="SWS-I")*('가압 날짜별 실적'!$I$2:$I$2500=9),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4</v>
      </c>
      <c r="M67" s="577" cm="1">
        <f t="array" ref="M67">SUMPRODUCT(
 IF(
  ('가압 날짜별 실적'!$F$2:$F$2500="SWS-I")*('가압 날짜별 실적'!$I$2:$I$2500=10),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3</v>
      </c>
      <c r="N67" s="577" cm="1">
        <f t="array" ref="N67">SUMPRODUCT(
 IF(
  ('가압 날짜별 실적'!$F$2:$F$2500="SWS-I")*('가압 날짜별 실적'!$I$2:$I$2500=11),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7</v>
      </c>
      <c r="O67" s="578" cm="1">
        <f t="array" ref="O67">SUMPRODUCT(
 IF(
  ('가압 날짜별 실적'!$F$2:$F$2500="SWS-I")*('가압 날짜별 실적'!$I$2:$I$2500=12),
  1/COUNTIFS(
    '가압 날짜별 실적'!$D$2:$D$2500,'가압 날짜별 실적'!$D$2:$D$2500,
    '가압 날짜별 실적'!$F$2:$F$2500,'가압 날짜별 실적'!$F$2:$F$2500,
    '가압 날짜별 실적'!$I$2:$I$2500,'가압 날짜별 실적'!$I$2:$I$2500
  ),
  0
 )
)</f>
        <v>0</v>
      </c>
      <c r="P67" s="583">
        <f>SUM(D67:O67)</f>
        <v>38</v>
      </c>
    </row>
    <row r="68" spans="2:16" s="59" customFormat="1" ht="20.100000000000001" customHeight="1">
      <c r="B68" s="828"/>
      <c r="C68" s="570" t="s">
        <v>1474</v>
      </c>
      <c r="D68" s="586">
        <f>COUNTIFS(
 '가압 불량내역'!$D:$D,"SWS-I",
 '가압 불량내역'!$K:$K,"&gt;="&amp;DATE(2025,1,1),
 '가압 불량내역'!$K:$K,"&lt;"&amp;DATE(2025,2,1)
)</f>
        <v>0</v>
      </c>
      <c r="E68" s="587">
        <f>COUNTIFS(
 '가압 불량내역'!$D:$D,"SWS-I",
 '가압 불량내역'!$K:$K,"&gt;="&amp;DATE(2025,2,1),
 '가압 불량내역'!$K:$K,"&lt;"&amp;DATE(2025,3,1)
)</f>
        <v>0</v>
      </c>
      <c r="F68" s="587">
        <f>COUNTIFS(
 '가압 불량내역'!$D:$D,"SWS-I",
 '가압 불량내역'!$K:$K,"&gt;="&amp;DATE(2025,3,1),
 '가압 불량내역'!$K:$K,"&lt;"&amp;DATE(2025,4,1)
)</f>
        <v>0</v>
      </c>
      <c r="G68" s="587">
        <f>COUNTIFS(
 '가압 불량내역'!$D:$D,"SWS-I",
 '가압 불량내역'!$K:$K,"&gt;="&amp;DATE(2025,4,1),
 '가압 불량내역'!$K:$K,"&lt;"&amp;DATE(2025,5,1)
)</f>
        <v>0</v>
      </c>
      <c r="H68" s="587">
        <f>COUNTIFS(
 '가압 불량내역'!$D:$D,"SWS-I",
 '가압 불량내역'!$K:$K,"&gt;="&amp;DATE(2025,5,1),
 '가압 불량내역'!$K:$K,"&lt;"&amp;DATE(2025,6,1)
)</f>
        <v>0</v>
      </c>
      <c r="I68" s="587">
        <f>COUNTIFS(
 '가압 불량내역'!$D:$D,"SWS-I",
 '가압 불량내역'!$K:$K,"&gt;="&amp;DATE(2025,6,1),
 '가압 불량내역'!$K:$K,"&lt;"&amp;DATE(2025,7,1)
)</f>
        <v>1</v>
      </c>
      <c r="J68" s="587">
        <f>COUNTIFS(
 '가압 불량내역'!$D:$D,"SWS-I",
 '가압 불량내역'!$K:$K,"&gt;="&amp;DATE(2025,7,1),
 '가압 불량내역'!$K:$K,"&lt;"&amp;DATE(2025,8,1)
)</f>
        <v>0</v>
      </c>
      <c r="K68" s="587">
        <f>COUNTIFS(
 '가압 불량내역'!$D:$D,"SWS-I",
 '가압 불량내역'!$K:$K,"&gt;="&amp;DATE(2025,8,1),
 '가압 불량내역'!$K:$K,"&lt;"&amp;DATE(2025,9,1)
)</f>
        <v>2</v>
      </c>
      <c r="L68" s="587">
        <f>COUNTIFS(
 '가압 불량내역'!$D:$D,"SWS-I",
 '가압 불량내역'!$K:$K,"&gt;="&amp;DATE(2025,9,1),
 '가압 불량내역'!$K:$K,"&lt;"&amp;DATE(2025,10,1)
)</f>
        <v>2</v>
      </c>
      <c r="M68" s="587">
        <f>COUNTIFS(
 '가압 불량내역'!$D:$D,"SWS-I",
 '가압 불량내역'!$K:$K,"&gt;="&amp;DATE(2025,10,1),
 '가압 불량내역'!$K:$K,"&lt;"&amp;DATE(2025,11,1)
)</f>
        <v>0</v>
      </c>
      <c r="N68" s="587">
        <f>COUNTIFS(
 '가압 불량내역'!$D:$D,"SWS-I",
 '가압 불량내역'!$K:$K,"&gt;="&amp;DATE(2025,11,1),
 '가압 불량내역'!$K:$K,"&lt;"&amp;DATE(2025,12,1)
)</f>
        <v>2</v>
      </c>
      <c r="O68" s="588">
        <f>COUNTIFS(
 '가압 불량내역'!$D:$D,"SWS-I",
 '가압 불량내역'!$K:$K,"&gt;="&amp;DATE(2025,12,1),
 '가압 불량내역'!$K:$K,"&lt;"&amp;DATE(2026,1,1)
)</f>
        <v>0</v>
      </c>
      <c r="P68" s="230">
        <f>SUM(D68:O68)</f>
        <v>7</v>
      </c>
    </row>
    <row r="69" spans="2:16" s="59" customFormat="1" ht="20.100000000000001" customHeight="1">
      <c r="B69" s="829"/>
      <c r="C69" s="573" t="s">
        <v>1475</v>
      </c>
      <c r="D69" s="597">
        <f>D68/D67</f>
        <v>0</v>
      </c>
      <c r="E69" s="598">
        <f t="shared" ref="E69:O69" si="18">E68/E67</f>
        <v>0</v>
      </c>
      <c r="F69" s="598">
        <f t="shared" si="18"/>
        <v>0</v>
      </c>
      <c r="G69" s="598">
        <f t="shared" si="18"/>
        <v>0</v>
      </c>
      <c r="H69" s="598">
        <f t="shared" si="18"/>
        <v>0</v>
      </c>
      <c r="I69" s="598">
        <f t="shared" si="18"/>
        <v>0.16666666666666666</v>
      </c>
      <c r="J69" s="598">
        <f t="shared" si="18"/>
        <v>0</v>
      </c>
      <c r="K69" s="598">
        <f t="shared" si="18"/>
        <v>0.33333333333333331</v>
      </c>
      <c r="L69" s="598">
        <f t="shared" si="18"/>
        <v>0.5</v>
      </c>
      <c r="M69" s="598">
        <f t="shared" si="18"/>
        <v>0</v>
      </c>
      <c r="N69" s="598">
        <f t="shared" si="18"/>
        <v>0.2857142857142857</v>
      </c>
      <c r="O69" s="598" t="e">
        <f t="shared" si="18"/>
        <v>#DIV/0!</v>
      </c>
      <c r="P69" s="220">
        <f>P68/P67</f>
        <v>0.18421052631578946</v>
      </c>
    </row>
    <row r="70" spans="2:16" s="59" customFormat="1" ht="24.95" customHeight="1">
      <c r="B70" s="718" t="s">
        <v>1483</v>
      </c>
      <c r="C70" s="719"/>
      <c r="D70" s="719"/>
      <c r="E70" s="719"/>
      <c r="F70" s="719"/>
      <c r="G70" s="719"/>
      <c r="H70" s="719"/>
      <c r="I70" s="719"/>
      <c r="J70" s="719"/>
      <c r="K70" s="719"/>
      <c r="L70" s="719"/>
      <c r="M70" s="719"/>
      <c r="N70" s="719"/>
      <c r="O70" s="719"/>
      <c r="P70" s="720"/>
    </row>
    <row r="71" spans="2:16" s="59" customFormat="1" ht="15" customHeight="1">
      <c r="B71" s="721" t="s">
        <v>1484</v>
      </c>
      <c r="C71" s="722"/>
      <c r="D71" s="723"/>
      <c r="E71" s="723"/>
      <c r="F71" s="723"/>
      <c r="G71" s="723"/>
      <c r="H71" s="723"/>
      <c r="I71" s="724"/>
      <c r="J71" s="725" t="s">
        <v>1485</v>
      </c>
      <c r="K71" s="726"/>
      <c r="L71" s="726"/>
      <c r="M71" s="726"/>
      <c r="N71" s="726"/>
      <c r="O71" s="726"/>
      <c r="P71" s="727"/>
    </row>
    <row r="72" spans="2:16" s="59" customFormat="1" ht="15" customHeight="1">
      <c r="B72" s="856" t="s">
        <v>1438</v>
      </c>
      <c r="C72" s="857"/>
      <c r="D72" s="728" t="s">
        <v>1486</v>
      </c>
      <c r="E72" s="729"/>
      <c r="F72" s="61" t="s">
        <v>1487</v>
      </c>
      <c r="G72" s="61" t="s">
        <v>1488</v>
      </c>
      <c r="H72" s="728" t="s">
        <v>1489</v>
      </c>
      <c r="I72" s="730"/>
      <c r="J72" s="76" t="s">
        <v>1438</v>
      </c>
      <c r="K72" s="728" t="s">
        <v>1486</v>
      </c>
      <c r="L72" s="729"/>
      <c r="M72" s="61" t="s">
        <v>1487</v>
      </c>
      <c r="N72" s="61" t="s">
        <v>1488</v>
      </c>
      <c r="O72" s="728" t="s">
        <v>1489</v>
      </c>
      <c r="P72" s="730"/>
    </row>
    <row r="73" spans="2:16" s="59" customFormat="1" ht="20.100000000000001" customHeight="1">
      <c r="B73" s="853" t="s">
        <v>1490</v>
      </c>
      <c r="C73" s="766"/>
      <c r="D73" s="757" t="s">
        <v>1491</v>
      </c>
      <c r="E73" s="758"/>
      <c r="F73" s="114">
        <f>COUNTIFS('가압 불량내역'!$K:$K,"&gt;=2025-01-01",'가압 불량내역'!$K:$K,"&lt;=2025-03-31",'가압 불량내역'!$M:$M,"CLAMP")</f>
        <v>7</v>
      </c>
      <c r="G73" s="117">
        <f>F73/SUM(D16:F17)</f>
        <v>0.14285714285714285</v>
      </c>
      <c r="H73" s="757" t="s">
        <v>1492</v>
      </c>
      <c r="I73" s="759"/>
      <c r="J73" s="766" t="s">
        <v>1490</v>
      </c>
      <c r="K73" s="757" t="s">
        <v>816</v>
      </c>
      <c r="L73" s="758"/>
      <c r="M73" s="114">
        <f>COUNTIFS('가압 불량내역'!$K:$K,"&gt;=2025-04-01",'가압 불량내역'!$K:$K,"&lt;=2025-06-30",'가압 불량내역'!$M:$M,"REDUCING UNION TEE",'가압 불량내역'!$P:$P,"재체결")</f>
        <v>6</v>
      </c>
      <c r="N73" s="117">
        <f>M73/SUM(G16:I17)</f>
        <v>0.13333333333333333</v>
      </c>
      <c r="O73" s="757" t="s">
        <v>4094</v>
      </c>
      <c r="P73" s="759"/>
    </row>
    <row r="74" spans="2:16" s="59" customFormat="1" ht="20.100000000000001" customHeight="1">
      <c r="B74" s="854"/>
      <c r="C74" s="767"/>
      <c r="D74" s="757" t="s">
        <v>1493</v>
      </c>
      <c r="E74" s="758"/>
      <c r="F74" s="114">
        <f>COUNTIFS('가압 불량내역'!$K:$K,"&gt;=2025-01-01",'가압 불량내역'!$K:$K,"&lt;=2025-03-31",'가압 불량내역'!$M:$M,"MALE ELBOW (PP)",'가압 불량내역'!$P:$P,"재체결")+COUNTIFS('가압 불량내역'!$K:$K,"&gt;=2025-01-01",'가압 불량내역'!$K:$K,"&lt;=2025-03-31",'가압 불량내역'!$M:$M,"MALE ELBOW (SUS)",'가압 불량내역'!$P:$P,"재체결")</f>
        <v>6</v>
      </c>
      <c r="G74" s="117">
        <f>F74/SUM(D16:F17)</f>
        <v>0.12244897959183673</v>
      </c>
      <c r="H74" s="757" t="s">
        <v>1495</v>
      </c>
      <c r="I74" s="759"/>
      <c r="J74" s="767"/>
      <c r="K74" s="757" t="s">
        <v>1493</v>
      </c>
      <c r="L74" s="758"/>
      <c r="M74" s="114">
        <f>COUNTIFS('가압 불량내역'!$K:$K,"&gt;=2025-04-01",'가압 불량내역'!$K:$K,"&lt;=2025-06-30",'가압 불량내역'!$M:$M,"MALE ELBOW (PP)",'가압 불량내역'!$P:$P,"재체결")+COUNTIFS('가압 불량내역'!$K:$K,"&gt;=2025-04-01",'가압 불량내역'!$K:$K,"&lt;=2025-06-30",'가압 불량내역'!$M:$M,"MALE ELBOW (SUS)",'가압 불량내역'!$P:$P,"재체결")</f>
        <v>5</v>
      </c>
      <c r="N74" s="117">
        <f>M74/SUM(G16:I17)</f>
        <v>0.1111111111111111</v>
      </c>
      <c r="O74" s="757" t="s">
        <v>1494</v>
      </c>
      <c r="P74" s="759"/>
    </row>
    <row r="75" spans="2:16" s="59" customFormat="1" ht="20.100000000000001" customHeight="1">
      <c r="B75" s="855"/>
      <c r="C75" s="768"/>
      <c r="D75" s="757" t="s">
        <v>1498</v>
      </c>
      <c r="E75" s="758"/>
      <c r="F75" s="114">
        <f>COUNTIFS('가압 불량내역'!$K:$K,"&gt;=2025-01-01",'가압 불량내역'!$K:$K,"&lt;=2025-03-31",'가압 불량내역'!$M:$M,"BULKHEAD UNION",'가압 불량내역'!$P:$P,"재체결")</f>
        <v>3</v>
      </c>
      <c r="G75" s="117">
        <f>F75/SUM(D16:F17)</f>
        <v>6.1224489795918366E-2</v>
      </c>
      <c r="H75" s="757" t="s">
        <v>1499</v>
      </c>
      <c r="I75" s="759"/>
      <c r="J75" s="768"/>
      <c r="K75" s="757" t="s">
        <v>1500</v>
      </c>
      <c r="L75" s="758"/>
      <c r="M75" s="114">
        <f>COUNTIFS('가압 불량내역'!$K:$K,"&gt;=2025-04-01",'가압 불량내역'!$K:$K,"&lt;=2025-06-30",'가압 불량내역'!$M:$M,"UNION ELBOW",'가압 불량내역'!$P:$P,"재체결")</f>
        <v>4</v>
      </c>
      <c r="N75" s="117">
        <f>M75/SUM(G16:I17)</f>
        <v>8.8888888888888892E-2</v>
      </c>
      <c r="O75" s="757" t="s">
        <v>1501</v>
      </c>
      <c r="P75" s="759"/>
    </row>
    <row r="76" spans="2:16" s="59" customFormat="1" ht="3" customHeight="1">
      <c r="B76" s="760"/>
      <c r="C76" s="761"/>
      <c r="D76" s="761"/>
      <c r="E76" s="761"/>
      <c r="F76" s="761"/>
      <c r="G76" s="761"/>
      <c r="H76" s="761"/>
      <c r="I76" s="762"/>
      <c r="J76" s="760"/>
      <c r="K76" s="761"/>
      <c r="L76" s="761"/>
      <c r="M76" s="761"/>
      <c r="N76" s="761"/>
      <c r="O76" s="761"/>
      <c r="P76" s="762"/>
    </row>
    <row r="77" spans="2:16" s="59" customFormat="1" ht="20.100000000000001" customHeight="1">
      <c r="B77" s="858" t="s">
        <v>1463</v>
      </c>
      <c r="C77" s="859"/>
      <c r="D77" s="757" t="s">
        <v>1502</v>
      </c>
      <c r="E77" s="758"/>
      <c r="F77" s="114">
        <f>COUNTIFS('가압 불량내역'!$K:$K,"&gt;=2025-01-01",'가압 불량내역'!$K:$K,"&lt;=2025-03-31",'가압 불량내역'!$M:$M,"MALE CONNECTOR (SUS)",'가압 불량내역'!$P:$P,"재작업")+COUNTIFS('가압 불량내역'!$K:$K,"&gt;=2025-01-01",'가압 불량내역'!$K:$K,"&lt;=2025-03-31",'가압 불량내역'!$M:$M,"MALE CONNECTOR (PP)",'가압 불량내역'!$P:$P,"재작업")</f>
        <v>5</v>
      </c>
      <c r="G77" s="117">
        <f>F77/SUM(D18:F18)</f>
        <v>0.27777777777777779</v>
      </c>
      <c r="H77" s="757" t="s">
        <v>1503</v>
      </c>
      <c r="I77" s="759"/>
      <c r="J77" s="770" t="s">
        <v>1463</v>
      </c>
      <c r="K77" s="757" t="s">
        <v>1493</v>
      </c>
      <c r="L77" s="758"/>
      <c r="M77" s="114">
        <f>COUNTIFS('가압 불량내역'!$K:$K,"&gt;=2025-04-01",'가압 불량내역'!$K:$K,"&lt;=2025-06-30",'가압 불량내역'!$M:$M,"MALE ELBOW (PP)",'가압 불량내역'!$P:$P,"재작업")+COUNTIFS('가압 불량내역'!$K:$K,"&gt;=2025-04-01",'가압 불량내역'!$K:$K,"&lt;=2025-06-30",'가압 불량내역'!$M:$M,"MALE ELBOW (SUS)",'가압 불량내역'!$P:$P,"재작업")</f>
        <v>3</v>
      </c>
      <c r="N77" s="117">
        <f>M77/SUM(G18:I18)</f>
        <v>0.21428571428571427</v>
      </c>
      <c r="O77" s="771" t="s">
        <v>1504</v>
      </c>
      <c r="P77" s="772"/>
    </row>
    <row r="78" spans="2:16" s="59" customFormat="1" ht="20.100000000000001" customHeight="1">
      <c r="B78" s="860"/>
      <c r="C78" s="861"/>
      <c r="D78" s="757" t="s">
        <v>1505</v>
      </c>
      <c r="E78" s="758"/>
      <c r="F78" s="114">
        <f>COUNTIFS('가압 불량내역'!$K:$K,"&gt;=2025-01-01",'가압 불량내역'!$K:$K,"&lt;=2025-03-31",'가압 불량내역'!$M:$M,"PNEUMATIC VALVE",'가압 불량내역'!$P:$P,"재작업")</f>
        <v>3</v>
      </c>
      <c r="G78" s="117">
        <f>F78/SUM(D18:F18)</f>
        <v>0.16666666666666666</v>
      </c>
      <c r="H78" s="757" t="s">
        <v>1506</v>
      </c>
      <c r="I78" s="759"/>
      <c r="J78" s="770"/>
      <c r="K78" s="757" t="s">
        <v>1507</v>
      </c>
      <c r="L78" s="758"/>
      <c r="M78" s="114">
        <f>COUNTIFS('가압 불량내역'!$K:$K,"&gt;=2025-04-01",'가압 불량내역'!$K:$K,"&lt;=2025-06-30",'가압 불량내역'!$M:$M,"O-RING",'가압 불량내역'!$P:$P,"재작업")</f>
        <v>2</v>
      </c>
      <c r="N78" s="117">
        <f>M78/SUM(G18:I18)</f>
        <v>0.14285714285714285</v>
      </c>
      <c r="O78" s="757" t="s">
        <v>1508</v>
      </c>
      <c r="P78" s="759"/>
    </row>
    <row r="79" spans="2:16" s="59" customFormat="1" ht="20.100000000000001" customHeight="1">
      <c r="B79" s="862"/>
      <c r="C79" s="863"/>
      <c r="D79" s="757" t="s">
        <v>1509</v>
      </c>
      <c r="E79" s="758"/>
      <c r="F79" s="114">
        <f>COUNTIFS('가압 불량내역'!$K:$K,"&gt;=2025-01-01",'가압 불량내역'!$K:$K,"&lt;=2025-03-31",'가압 불량내역'!$M:$M,"MALE ADAPTER",'가압 불량내역'!$P:$P,"재작업")</f>
        <v>2</v>
      </c>
      <c r="G79" s="117">
        <f>F79/SUM(D18:F18)</f>
        <v>0.1111111111111111</v>
      </c>
      <c r="H79" s="757" t="s">
        <v>1510</v>
      </c>
      <c r="I79" s="759"/>
      <c r="J79" s="770"/>
      <c r="K79" s="757" t="s">
        <v>4095</v>
      </c>
      <c r="L79" s="758"/>
      <c r="M79" s="114">
        <f>COUNTIFS('가압 불량내역'!$K:$K,"&gt;=2025-04-01",'가압 불량내역'!$K:$K,"&lt;=2025-06-30",'가압 불량내역'!$M:$M,"MALE STRAIGHT",'가압 불량내역'!$P:$P,"재작업")</f>
        <v>1</v>
      </c>
      <c r="N79" s="117">
        <f>M79/SUM(F18:H18)</f>
        <v>5.8823529411764705E-2</v>
      </c>
      <c r="O79" s="757" t="s">
        <v>1512</v>
      </c>
      <c r="P79" s="759"/>
    </row>
    <row r="80" spans="2:16" s="59" customFormat="1" ht="3" customHeight="1">
      <c r="B80" s="760"/>
      <c r="C80" s="761"/>
      <c r="D80" s="761"/>
      <c r="E80" s="761"/>
      <c r="F80" s="761"/>
      <c r="G80" s="761"/>
      <c r="H80" s="761"/>
      <c r="I80" s="762"/>
      <c r="J80" s="760"/>
      <c r="K80" s="761"/>
      <c r="L80" s="761"/>
      <c r="M80" s="761"/>
      <c r="N80" s="761"/>
      <c r="O80" s="761"/>
      <c r="P80" s="762"/>
    </row>
    <row r="81" spans="2:16" s="59" customFormat="1" ht="20.100000000000001" customHeight="1">
      <c r="B81" s="858" t="s">
        <v>34</v>
      </c>
      <c r="C81" s="859"/>
      <c r="D81" s="757" t="s">
        <v>1493</v>
      </c>
      <c r="E81" s="758"/>
      <c r="F81" s="114">
        <f>COUNTIFS('가압 불량내역'!$K:$K,"&gt;=2025-04-01",'가압 불량내역'!$K:$K,"&lt;=2025-06-30",'가압 불량내역'!$M:$M,"MALE ELBOW (PP)",'가압 불량내역'!$P:$P,"재조립")+COUNTIFS('가압 불량내역'!$K:$K,"&gt;=2025-04-01",'가압 불량내역'!$K:$K,"&lt;=2025-06-30",'가압 불량내역'!$M:$M,"MALE ELBOW (SUS)",'가압 불량내역'!$P:$P,"재조립")</f>
        <v>1</v>
      </c>
      <c r="G81" s="117">
        <f>F81/SUM(D19:F19)</f>
        <v>1</v>
      </c>
      <c r="H81" s="757" t="s">
        <v>1513</v>
      </c>
      <c r="I81" s="759"/>
      <c r="J81" s="770" t="s">
        <v>34</v>
      </c>
      <c r="K81" s="757" t="s">
        <v>1507</v>
      </c>
      <c r="L81" s="758"/>
      <c r="M81" s="114">
        <f>COUNTIFS('가압 불량내역'!$K:$K,"&gt;=2025-04-01",'가압 불량내역'!$K:$K,"&lt;=2025-06-30",'가압 불량내역'!$M:$M,"O-RING",'가압 불량내역'!$P:$P,"재조립")</f>
        <v>8</v>
      </c>
      <c r="N81" s="117">
        <f>M81/SUM(G19:I19)</f>
        <v>0.8</v>
      </c>
      <c r="O81" s="757" t="s">
        <v>1514</v>
      </c>
      <c r="P81" s="759"/>
    </row>
    <row r="82" spans="2:16" s="59" customFormat="1" ht="20.100000000000001" customHeight="1">
      <c r="B82" s="860"/>
      <c r="C82" s="861"/>
      <c r="D82" s="773"/>
      <c r="E82" s="774"/>
      <c r="F82" s="774"/>
      <c r="G82" s="774"/>
      <c r="H82" s="774"/>
      <c r="I82" s="775"/>
      <c r="J82" s="770"/>
      <c r="K82" s="757" t="s">
        <v>1515</v>
      </c>
      <c r="L82" s="758"/>
      <c r="M82" s="114">
        <f>COUNTIFS('가압 불량내역'!$K:$K,"&gt;=2025-04-01",'가압 불량내역'!$K:$K,"&lt;=2025-06-30",'가압 불량내역'!$M:$M,"TEE PIPE WELD ASSY",'가압 불량내역'!$P:$P,"재조립")</f>
        <v>1</v>
      </c>
      <c r="N82" s="117">
        <f>M82/SUM(G19:I19)</f>
        <v>0.1</v>
      </c>
      <c r="O82" s="757" t="s">
        <v>1516</v>
      </c>
      <c r="P82" s="759"/>
    </row>
    <row r="83" spans="2:16" s="59" customFormat="1" ht="20.100000000000001" customHeight="1">
      <c r="B83" s="862"/>
      <c r="C83" s="863"/>
      <c r="D83" s="776"/>
      <c r="E83" s="777"/>
      <c r="F83" s="777"/>
      <c r="G83" s="777"/>
      <c r="H83" s="777"/>
      <c r="I83" s="778"/>
      <c r="J83" s="770"/>
      <c r="K83" s="757" t="s">
        <v>1493</v>
      </c>
      <c r="L83" s="758"/>
      <c r="M83" s="114">
        <f>COUNTIFS('가압 불량내역'!$K:$K,"&gt;=2025-04-01",'가압 불량내역'!$K:$K,"&lt;=2025-06-30",'가압 불량내역'!$M:$M,"MALE ELBOW (PP)",'가압 불량내역'!$P:$P,"재조립")+COUNTIFS('가압 불량내역'!$K:$K,"&gt;=2025-04-01",'가압 불량내역'!$K:$K,"&lt;=2025-06-30",'가압 불량내역'!$M:$M,"MALE ELBOW (SUS)",'가압 불량내역'!$P:$P,"재조립")</f>
        <v>1</v>
      </c>
      <c r="N83" s="117">
        <f>M83/SUM(G19:I19)</f>
        <v>0.1</v>
      </c>
      <c r="O83" s="757" t="s">
        <v>1513</v>
      </c>
      <c r="P83" s="759"/>
    </row>
    <row r="84" spans="2:16" s="59" customFormat="1" ht="3" customHeight="1">
      <c r="B84" s="62"/>
      <c r="C84" s="63"/>
      <c r="D84" s="63"/>
      <c r="E84" s="63"/>
      <c r="F84" s="63"/>
      <c r="G84" s="63"/>
      <c r="H84" s="63"/>
      <c r="I84" s="64"/>
      <c r="J84" s="63"/>
      <c r="K84" s="63"/>
      <c r="L84" s="63"/>
      <c r="M84" s="63"/>
      <c r="N84" s="63"/>
      <c r="O84" s="63"/>
      <c r="P84" s="64"/>
    </row>
    <row r="85" spans="2:16" s="59" customFormat="1" ht="20.100000000000001" customHeight="1">
      <c r="B85" s="858" t="s">
        <v>39</v>
      </c>
      <c r="C85" s="859"/>
      <c r="D85" s="757" t="s">
        <v>1502</v>
      </c>
      <c r="E85" s="758"/>
      <c r="F85" s="114">
        <f>COUNTIFS('가압 불량내역'!$K:$K,"&gt;=2025-01-01",'가압 불량내역'!$K:$K,"&lt;=2025-03-31",'가압 불량내역'!$M:$M,"MALE CONNECTOR (PP)",'가압 불량내역'!$P:$P,"Teflon 작업")+COUNTIFS('가압 불량내역'!$K:$K,"&gt;=2025-01-01",'가압 불량내역'!$K:$K,"&lt;=2025-03-31",'가압 불량내역'!$M:$M,"MALE CONNECTOR (SUS)",'가압 불량내역'!$P:$P,"Teflon 작업")</f>
        <v>9</v>
      </c>
      <c r="G85" s="117">
        <f>F85/SUM(D20:F20)</f>
        <v>0.52941176470588236</v>
      </c>
      <c r="H85" s="771" t="s">
        <v>1517</v>
      </c>
      <c r="I85" s="772"/>
      <c r="J85" s="770" t="s">
        <v>39</v>
      </c>
      <c r="K85" s="757" t="s">
        <v>1493</v>
      </c>
      <c r="L85" s="758"/>
      <c r="M85" s="114">
        <f>COUNTIFS('가압 불량내역'!$K:$K,"&gt;=2025-04-01",'가압 불량내역'!$K:$K,"&lt;=2025-06-30",'가압 불량내역'!$M:$M,"MALE ELBOW (PP)",'가압 불량내역'!$P:$P,"Teflon 작업")+COUNTIFS('가압 불량내역'!$K:$K,"&gt;=2025-04-01",'가압 불량내역'!$K:$K,"&lt;=2025-06-30",'가압 불량내역'!$M:$M,"MALE ELBOW (SUS)",'가압 불량내역'!$P:$P,"Teflon 작업")</f>
        <v>2</v>
      </c>
      <c r="N85" s="117">
        <f>M85/SUM(G20:I20)</f>
        <v>0.33333333333333331</v>
      </c>
      <c r="O85" s="757" t="s">
        <v>1518</v>
      </c>
      <c r="P85" s="759"/>
    </row>
    <row r="86" spans="2:16" ht="20.100000000000001" customHeight="1">
      <c r="B86" s="860"/>
      <c r="C86" s="861"/>
      <c r="D86" s="757" t="s">
        <v>1519</v>
      </c>
      <c r="E86" s="758"/>
      <c r="F86" s="114">
        <f>COUNTIFS('가압 불량내역'!$K:$K,"&gt;=2025-01-01",'가압 불량내역'!$K:$K,"&lt;=2025-03-31",'가압 불량내역'!$M:$M,"SPRINKLER",'가압 불량내역'!$P:$P,"Teflon 작업")</f>
        <v>5</v>
      </c>
      <c r="G86" s="117">
        <f>F86/SUM(D20:F20)</f>
        <v>0.29411764705882354</v>
      </c>
      <c r="H86" s="757" t="s">
        <v>1518</v>
      </c>
      <c r="I86" s="759"/>
      <c r="J86" s="770"/>
      <c r="K86" s="757" t="s">
        <v>1502</v>
      </c>
      <c r="L86" s="758"/>
      <c r="M86" s="114">
        <f>COUNTIFS('가압 불량내역'!$K:$K,"&gt;=2025-04-01",'가압 불량내역'!$K:$K,"&lt;=2025-06-30",'가압 불량내역'!$M:$M,"MALE CONNECTOR (PP)",'가압 불량내역'!$P:$P,"Teflon 작업")+COUNTIFS('가압 불량내역'!$K:$K,"&gt;=2025-04-01",'가압 불량내역'!$K:$K,"&lt;=2025-06-30",'가압 불량내역'!$M:$M,"MALE CONNECTOR (SUS)",'가압 불량내역'!$P:$P,"Teflon 작업")</f>
        <v>1</v>
      </c>
      <c r="N86" s="117">
        <f>M86/SUM(G20:I20)</f>
        <v>0.16666666666666666</v>
      </c>
      <c r="O86" s="757" t="s">
        <v>1518</v>
      </c>
      <c r="P86" s="759"/>
    </row>
    <row r="87" spans="2:16" ht="20.100000000000001" customHeight="1">
      <c r="B87" s="862"/>
      <c r="C87" s="863"/>
      <c r="D87" s="757" t="s">
        <v>1520</v>
      </c>
      <c r="E87" s="758"/>
      <c r="F87" s="114">
        <f>COUNTIFS('가압 불량내역'!$K:$K,"&gt;=2025-01-01",'가압 불량내역'!$K:$K,"&lt;=2025-03-31",'가압 불량내역'!$M:$M,"MALE BANJO",'가압 불량내역'!$P:$P,"Teflon 작업")</f>
        <v>1</v>
      </c>
      <c r="G87" s="117">
        <f>F87/SUM(D20:F20)</f>
        <v>5.8823529411764705E-2</v>
      </c>
      <c r="H87" s="757" t="s">
        <v>1518</v>
      </c>
      <c r="I87" s="759"/>
      <c r="J87" s="770"/>
      <c r="K87" s="757" t="s">
        <v>1520</v>
      </c>
      <c r="L87" s="758"/>
      <c r="M87" s="114">
        <f>COUNTIFS('가압 불량내역'!$K:$K,"&gt;=2025-04-01",'가압 불량내역'!$K:$K,"&lt;=2025-06-30",'가압 불량내역'!$M:$M,"MALE BANJO",'가압 불량내역'!$P:$P,"Teflon 작업")</f>
        <v>1</v>
      </c>
      <c r="N87" s="117">
        <f>M87/SUM(G20:I20)</f>
        <v>0.16666666666666666</v>
      </c>
      <c r="O87" s="757" t="s">
        <v>1518</v>
      </c>
      <c r="P87" s="759"/>
    </row>
    <row r="88" spans="2:16" ht="3" customHeight="1">
      <c r="B88" s="62"/>
      <c r="C88" s="63"/>
      <c r="D88" s="115"/>
      <c r="E88" s="115"/>
      <c r="F88" s="115"/>
      <c r="G88" s="63"/>
      <c r="H88" s="63"/>
      <c r="I88" s="64"/>
      <c r="J88" s="63"/>
      <c r="K88" s="115"/>
      <c r="L88" s="115"/>
      <c r="M88" s="115"/>
      <c r="N88" s="63"/>
      <c r="O88" s="63"/>
      <c r="P88" s="64"/>
    </row>
    <row r="89" spans="2:16" ht="20.100000000000001" customHeight="1">
      <c r="B89" s="858" t="s">
        <v>42</v>
      </c>
      <c r="C89" s="859"/>
      <c r="D89" s="757" t="s">
        <v>1521</v>
      </c>
      <c r="E89" s="758"/>
      <c r="F89" s="114">
        <f>COUNTIFS('가압 불량내역'!$K:$K,"&gt;=2025-01-01",'가압 불량내역'!$K:$K,"&lt;=2025-03-31",'가압 불량내역'!$M:$M,"SPEED CONTROLLER",'가압 불량내역'!$P:$P,"파트교체")</f>
        <v>38</v>
      </c>
      <c r="G89" s="117">
        <f>F89/SUM(D21:F21)</f>
        <v>0.56716417910447758</v>
      </c>
      <c r="H89" s="757" t="s">
        <v>1522</v>
      </c>
      <c r="I89" s="759"/>
      <c r="J89" s="770" t="s">
        <v>42</v>
      </c>
      <c r="K89" s="757" t="s">
        <v>1521</v>
      </c>
      <c r="L89" s="758"/>
      <c r="M89" s="114">
        <f>COUNTIFS('가압 불량내역'!$K:$K,"&gt;=2025-04-01",'가압 불량내역'!$K:$K,"&lt;=2025-06-30",'가압 불량내역'!$M:$M,"SPEED CONTROLLER",'가압 불량내역'!$P:$P,"파트교체")</f>
        <v>38</v>
      </c>
      <c r="N89" s="117">
        <f>M89/SUM(G21:I21)</f>
        <v>0.66666666666666663</v>
      </c>
      <c r="O89" s="757" t="s">
        <v>4096</v>
      </c>
      <c r="P89" s="759"/>
    </row>
    <row r="90" spans="2:16" ht="20.100000000000001" customHeight="1">
      <c r="B90" s="860"/>
      <c r="C90" s="861"/>
      <c r="D90" s="757" t="s">
        <v>1524</v>
      </c>
      <c r="E90" s="758"/>
      <c r="F90" s="114">
        <f>COUNTIFS('가압 불량내역'!$K:$K,"&gt;=2025-01-01",'가압 불량내역'!$K:$K,"&lt;=2025-03-31",'가압 불량내역'!$M:$M,"REDUCER DOUBLE Y UNION",'가압 불량내역'!$P:$P,"파트교체")</f>
        <v>9</v>
      </c>
      <c r="G90" s="117">
        <f>F90/SUM(D21:F21)</f>
        <v>0.13432835820895522</v>
      </c>
      <c r="H90" s="757" t="s">
        <v>1525</v>
      </c>
      <c r="I90" s="759"/>
      <c r="J90" s="770"/>
      <c r="K90" s="757" t="s">
        <v>1524</v>
      </c>
      <c r="L90" s="758"/>
      <c r="M90" s="114">
        <f>COUNTIFS('가압 불량내역'!$K:$K,"&gt;=2025-04-01",'가압 불량내역'!$K:$K,"&lt;=2025-06-30",'가압 불량내역'!$M:$M,"REDUCER DOUBLE Y UNION",'가압 불량내역'!$P:$P,"파트교체")</f>
        <v>11</v>
      </c>
      <c r="N90" s="117">
        <f>M90/SUM(G21:I21)</f>
        <v>0.19298245614035087</v>
      </c>
      <c r="O90" s="757" t="s">
        <v>4097</v>
      </c>
      <c r="P90" s="759"/>
    </row>
    <row r="91" spans="2:16" ht="20.100000000000001" customHeight="1">
      <c r="B91" s="864"/>
      <c r="C91" s="865"/>
      <c r="D91" s="781" t="s">
        <v>1527</v>
      </c>
      <c r="E91" s="782"/>
      <c r="F91" s="116">
        <f>COUNTIFS('가압 불량내역'!$K:$K,"&gt;=2025-01-01",'가압 불량내역'!$K:$K,"&lt;=2025-03-31",'가압 불량내역'!$M:$M,"UNEQUAL UNION Y",'가압 불량내역'!$P:$P,"파트교체")</f>
        <v>7</v>
      </c>
      <c r="G91" s="118">
        <f>F91/SUM(D21:F21)</f>
        <v>0.1044776119402985</v>
      </c>
      <c r="H91" s="781" t="s">
        <v>4098</v>
      </c>
      <c r="I91" s="783"/>
      <c r="J91" s="780"/>
      <c r="K91" s="781" t="s">
        <v>1529</v>
      </c>
      <c r="L91" s="782"/>
      <c r="M91" s="116">
        <f>COUNTIFS('가압 불량내역'!$K:$K,"&gt;=2025-04-01",'가압 불량내역'!$K:$K,"&lt;=2025-06-30",'가압 불량내역'!$M:$M,"REDUCER Y",'가압 불량내역'!$P:$P,"파트교체")</f>
        <v>2</v>
      </c>
      <c r="N91" s="118">
        <f>M91/SUM(G21:I21)</f>
        <v>3.5087719298245612E-2</v>
      </c>
      <c r="O91" s="781" t="s">
        <v>1530</v>
      </c>
      <c r="P91" s="783"/>
    </row>
    <row r="92" spans="2:16" ht="24.95" customHeight="1">
      <c r="B92" s="793" t="s">
        <v>1531</v>
      </c>
      <c r="C92" s="794"/>
      <c r="D92" s="794"/>
      <c r="E92" s="794"/>
      <c r="F92" s="794"/>
      <c r="G92" s="794"/>
      <c r="H92" s="794"/>
      <c r="I92" s="794"/>
      <c r="J92" s="794"/>
      <c r="K92" s="794"/>
      <c r="L92" s="794"/>
      <c r="M92" s="794"/>
      <c r="N92" s="794"/>
      <c r="O92" s="794"/>
      <c r="P92" s="795"/>
    </row>
    <row r="93" spans="2:16" ht="20.100000000000001" customHeight="1">
      <c r="B93" s="721" t="s">
        <v>1484</v>
      </c>
      <c r="C93" s="722"/>
      <c r="D93" s="723"/>
      <c r="E93" s="723"/>
      <c r="F93" s="723"/>
      <c r="G93" s="723"/>
      <c r="H93" s="723"/>
      <c r="I93" s="724"/>
      <c r="J93" s="725" t="s">
        <v>1485</v>
      </c>
      <c r="K93" s="726"/>
      <c r="L93" s="726"/>
      <c r="M93" s="726"/>
      <c r="N93" s="726"/>
      <c r="O93" s="726"/>
      <c r="P93" s="727"/>
    </row>
    <row r="94" spans="2:16" ht="20.100000000000001" customHeight="1">
      <c r="B94" s="851" t="s">
        <v>1486</v>
      </c>
      <c r="C94" s="852"/>
      <c r="D94" s="73" t="s">
        <v>1487</v>
      </c>
      <c r="E94" s="73" t="s">
        <v>1488</v>
      </c>
      <c r="F94" s="796" t="s">
        <v>1532</v>
      </c>
      <c r="G94" s="797"/>
      <c r="H94" s="797"/>
      <c r="I94" s="798"/>
      <c r="J94" s="72" t="s">
        <v>1486</v>
      </c>
      <c r="K94" s="73" t="s">
        <v>1487</v>
      </c>
      <c r="L94" s="73" t="s">
        <v>1488</v>
      </c>
      <c r="M94" s="796" t="s">
        <v>1532</v>
      </c>
      <c r="N94" s="797"/>
      <c r="O94" s="797"/>
      <c r="P94" s="798"/>
    </row>
    <row r="95" spans="2:16" ht="20.100000000000001" customHeight="1">
      <c r="B95" s="843" t="s">
        <v>1533</v>
      </c>
      <c r="C95" s="844"/>
      <c r="D95" s="784">
        <f>COUNTIFS('가압 불량내역'!$K:$K,"&gt;=2025-01-01",'가압 불량내역'!$K:$K,"&lt;=2025-03-31",'가압 불량내역'!$M:$M,"MALE CONNECTOR (PP)")+COUNTIFS('가압 불량내역'!$K:$K,"&gt;=2025-01-01",'가압 불량내역'!$K:$K,"&lt;=2025-03-31",'가압 불량내역'!$M:$M,"MALE CONNECTOR (SUS)")</f>
        <v>15</v>
      </c>
      <c r="E95" s="787">
        <f>D95/SUM(D8:F8)</f>
        <v>0.16304347826086957</v>
      </c>
      <c r="F95" s="73" t="s">
        <v>1534</v>
      </c>
      <c r="G95" s="790" t="s">
        <v>1535</v>
      </c>
      <c r="H95" s="791"/>
      <c r="I95" s="792"/>
      <c r="J95" s="802" t="s">
        <v>1507</v>
      </c>
      <c r="K95" s="784">
        <f>COUNTIFS('가압 불량내역'!$K:$K,"&gt;=2025-04-01",'가압 불량내역'!$K:$K,"&lt;=2025-06-30",'가압 불량내역'!$M:$M,"O-RING")</f>
        <v>14</v>
      </c>
      <c r="L95" s="787">
        <f>K95/SUM(G8:I8)</f>
        <v>0.1728395061728395</v>
      </c>
      <c r="M95" s="73" t="s">
        <v>1534</v>
      </c>
      <c r="N95" s="790" t="s">
        <v>1536</v>
      </c>
      <c r="O95" s="791"/>
      <c r="P95" s="792"/>
    </row>
    <row r="96" spans="2:16" ht="20.100000000000001" customHeight="1">
      <c r="B96" s="845"/>
      <c r="C96" s="846"/>
      <c r="D96" s="785"/>
      <c r="E96" s="788"/>
      <c r="F96" s="73" t="s">
        <v>1537</v>
      </c>
      <c r="G96" s="790" t="s">
        <v>1538</v>
      </c>
      <c r="H96" s="791"/>
      <c r="I96" s="792"/>
      <c r="J96" s="800"/>
      <c r="K96" s="785"/>
      <c r="L96" s="788"/>
      <c r="M96" s="73" t="s">
        <v>1537</v>
      </c>
      <c r="N96" s="790" t="s">
        <v>1539</v>
      </c>
      <c r="O96" s="791"/>
      <c r="P96" s="792"/>
    </row>
    <row r="97" spans="2:16" ht="20.100000000000001" customHeight="1">
      <c r="B97" s="847"/>
      <c r="C97" s="848"/>
      <c r="D97" s="786"/>
      <c r="E97" s="789"/>
      <c r="F97" s="73" t="s">
        <v>1540</v>
      </c>
      <c r="G97" s="790" t="s">
        <v>1541</v>
      </c>
      <c r="H97" s="791"/>
      <c r="I97" s="792"/>
      <c r="J97" s="801"/>
      <c r="K97" s="786"/>
      <c r="L97" s="789"/>
      <c r="M97" s="73" t="s">
        <v>1540</v>
      </c>
      <c r="N97" s="790" t="s">
        <v>1542</v>
      </c>
      <c r="O97" s="791"/>
      <c r="P97" s="792"/>
    </row>
    <row r="98" spans="2:16" ht="3" customHeight="1">
      <c r="B98" s="84"/>
      <c r="C98" s="567"/>
      <c r="D98" s="85"/>
      <c r="E98" s="75"/>
      <c r="F98" s="73"/>
      <c r="G98" s="86"/>
      <c r="H98" s="87"/>
      <c r="I98" s="88"/>
      <c r="J98" s="84"/>
      <c r="K98" s="85"/>
      <c r="L98" s="75"/>
      <c r="M98" s="73"/>
      <c r="N98" s="86"/>
      <c r="O98" s="87"/>
      <c r="P98" s="88"/>
    </row>
    <row r="99" spans="2:16" ht="20.100000000000001" customHeight="1">
      <c r="B99" s="843" t="s">
        <v>1543</v>
      </c>
      <c r="C99" s="844"/>
      <c r="D99" s="803">
        <f>COUNTIFS('가압 불량내역'!$K:$K,"&gt;=2025-01-01",'가압 불량내역'!$K:$K,"&lt;=2025-03-31",'가압 불량내역'!$M:$M,"CLAMP")+COUNTIFS('가압 불량내역'!$K:$K,"&gt;=2025-01-01",'가압 불량내역'!$K:$K,"&lt;=2025-03-31",'가압 불량내역'!$M:$M,"CHAIN CLAMP")</f>
        <v>9</v>
      </c>
      <c r="E99" s="787">
        <f>D99/SUM(D8:F8)</f>
        <v>9.7826086956521743E-2</v>
      </c>
      <c r="F99" s="73" t="s">
        <v>1534</v>
      </c>
      <c r="G99" s="790" t="s">
        <v>1544</v>
      </c>
      <c r="H99" s="791"/>
      <c r="I99" s="792"/>
      <c r="J99" s="802" t="s">
        <v>1493</v>
      </c>
      <c r="K99" s="803">
        <f>COUNTIFS('가압 불량내역'!$K:$K,"&gt;=2025-04-01",'가압 불량내역'!$K:$K,"&lt;=2025-06-30",'가압 불량내역'!$M:$M,"MALE ELBOW (PP)")+COUNTIFS('가압 불량내역'!$K:$K,"&gt;=2025-04-01",'가압 불량내역'!$K:$K,"&lt;=2025-06-30",'가압 불량내역'!$M:$M,"MALE ELBOW (SUS)")</f>
        <v>11</v>
      </c>
      <c r="L99" s="787">
        <f>K99/SUM(G8:I8)</f>
        <v>0.13580246913580246</v>
      </c>
      <c r="M99" s="73" t="s">
        <v>1534</v>
      </c>
      <c r="N99" s="790" t="s">
        <v>1545</v>
      </c>
      <c r="O99" s="791"/>
      <c r="P99" s="792"/>
    </row>
    <row r="100" spans="2:16" ht="20.100000000000001" customHeight="1">
      <c r="B100" s="845"/>
      <c r="C100" s="846"/>
      <c r="D100" s="804"/>
      <c r="E100" s="788"/>
      <c r="F100" s="73" t="s">
        <v>1537</v>
      </c>
      <c r="G100" s="790" t="s">
        <v>1546</v>
      </c>
      <c r="H100" s="791"/>
      <c r="I100" s="792"/>
      <c r="J100" s="800"/>
      <c r="K100" s="804"/>
      <c r="L100" s="788"/>
      <c r="M100" s="73" t="s">
        <v>1537</v>
      </c>
      <c r="N100" s="790" t="s">
        <v>1547</v>
      </c>
      <c r="O100" s="791"/>
      <c r="P100" s="792"/>
    </row>
    <row r="101" spans="2:16" ht="20.100000000000001" customHeight="1">
      <c r="B101" s="847"/>
      <c r="C101" s="848"/>
      <c r="D101" s="805"/>
      <c r="E101" s="789"/>
      <c r="F101" s="73" t="s">
        <v>1540</v>
      </c>
      <c r="G101" s="790" t="s">
        <v>1548</v>
      </c>
      <c r="H101" s="791"/>
      <c r="I101" s="792"/>
      <c r="J101" s="801"/>
      <c r="K101" s="805"/>
      <c r="L101" s="789"/>
      <c r="M101" s="73" t="s">
        <v>1540</v>
      </c>
      <c r="N101" s="790" t="s">
        <v>1549</v>
      </c>
      <c r="O101" s="791"/>
      <c r="P101" s="792"/>
    </row>
    <row r="102" spans="2:16" ht="3" customHeight="1">
      <c r="B102" s="84"/>
      <c r="C102" s="567"/>
      <c r="D102" s="89"/>
      <c r="E102" s="75"/>
      <c r="F102" s="73"/>
      <c r="G102" s="86"/>
      <c r="H102" s="87"/>
      <c r="I102" s="88"/>
      <c r="J102" s="84"/>
      <c r="K102" s="89"/>
      <c r="L102" s="75"/>
      <c r="M102" s="73"/>
      <c r="N102" s="86"/>
      <c r="O102" s="87"/>
      <c r="P102" s="88"/>
    </row>
    <row r="103" spans="2:16" ht="20.100000000000001" customHeight="1">
      <c r="B103" s="843" t="s">
        <v>1493</v>
      </c>
      <c r="C103" s="844"/>
      <c r="D103" s="803">
        <f>COUNTIFS('가압 불량내역'!$K:$K,"&gt;=2025-01-01",'가압 불량내역'!$K:$K,"&lt;=2025-03-31",'가압 불량내역'!$M:$M,"MALE ELBOW (PP)")+COUNTIFS('가압 불량내역'!$K:$K,"&gt;=2025-01-01",'가압 불량내역'!$K:$K,"&lt;=2025-03-31",'가압 불량내역'!$M:$M,"MALE ELBOW (SUS)")</f>
        <v>7</v>
      </c>
      <c r="E103" s="787">
        <f>D103/SUM(D8:F8)</f>
        <v>7.6086956521739135E-2</v>
      </c>
      <c r="F103" s="73" t="s">
        <v>1534</v>
      </c>
      <c r="G103" s="790" t="s">
        <v>1545</v>
      </c>
      <c r="H103" s="791"/>
      <c r="I103" s="792"/>
      <c r="J103" s="799" t="s">
        <v>1550</v>
      </c>
      <c r="K103" s="803">
        <f>COUNTIFS('가압 불량내역'!$K:$K,"&gt;=2025-04-01",'가압 불량내역'!$K:$K,"&lt;=2025-06-30",'가압 불량내역'!$M:$M,"REDUCING UNION TEE")</f>
        <v>6</v>
      </c>
      <c r="L103" s="787">
        <f>K103/SUM(G8:I8)</f>
        <v>7.407407407407407E-2</v>
      </c>
      <c r="M103" s="73" t="s">
        <v>1534</v>
      </c>
      <c r="N103" s="790" t="s">
        <v>1551</v>
      </c>
      <c r="O103" s="791"/>
      <c r="P103" s="792"/>
    </row>
    <row r="104" spans="2:16" ht="20.100000000000001" customHeight="1">
      <c r="B104" s="845"/>
      <c r="C104" s="846"/>
      <c r="D104" s="804"/>
      <c r="E104" s="788"/>
      <c r="F104" s="73" t="s">
        <v>1537</v>
      </c>
      <c r="G104" s="790" t="s">
        <v>1552</v>
      </c>
      <c r="H104" s="791"/>
      <c r="I104" s="792"/>
      <c r="J104" s="800"/>
      <c r="K104" s="804"/>
      <c r="L104" s="788"/>
      <c r="M104" s="73" t="s">
        <v>1537</v>
      </c>
      <c r="N104" s="790" t="s">
        <v>1553</v>
      </c>
      <c r="O104" s="791"/>
      <c r="P104" s="792"/>
    </row>
    <row r="105" spans="2:16" ht="20.100000000000001" customHeight="1">
      <c r="B105" s="849"/>
      <c r="C105" s="850"/>
      <c r="D105" s="811"/>
      <c r="E105" s="806"/>
      <c r="F105" s="74" t="s">
        <v>1554</v>
      </c>
      <c r="G105" s="807" t="s">
        <v>1555</v>
      </c>
      <c r="H105" s="808"/>
      <c r="I105" s="809"/>
      <c r="J105" s="810"/>
      <c r="K105" s="811"/>
      <c r="L105" s="806"/>
      <c r="M105" s="74" t="s">
        <v>1554</v>
      </c>
      <c r="N105" s="807" t="s">
        <v>1556</v>
      </c>
      <c r="O105" s="808"/>
      <c r="P105" s="809"/>
    </row>
    <row r="135" spans="2:2">
      <c r="B135" s="71" t="s">
        <v>1557</v>
      </c>
    </row>
  </sheetData>
  <mergeCells count="156">
    <mergeCell ref="B43:B45"/>
    <mergeCell ref="B46:B48"/>
    <mergeCell ref="B49:B51"/>
    <mergeCell ref="B81:C83"/>
    <mergeCell ref="B85:C87"/>
    <mergeCell ref="B89:C91"/>
    <mergeCell ref="B95:C97"/>
    <mergeCell ref="H73:I73"/>
    <mergeCell ref="B80:I80"/>
    <mergeCell ref="D85:E85"/>
    <mergeCell ref="H85:I85"/>
    <mergeCell ref="D81:E81"/>
    <mergeCell ref="H81:I81"/>
    <mergeCell ref="D86:E86"/>
    <mergeCell ref="H86:I86"/>
    <mergeCell ref="D89:E89"/>
    <mergeCell ref="H89:I89"/>
    <mergeCell ref="B58:B60"/>
    <mergeCell ref="B61:B63"/>
    <mergeCell ref="B64:B66"/>
    <mergeCell ref="B67:B69"/>
    <mergeCell ref="B99:C101"/>
    <mergeCell ref="B103:C105"/>
    <mergeCell ref="B94:C94"/>
    <mergeCell ref="B52:B54"/>
    <mergeCell ref="B55:B57"/>
    <mergeCell ref="B73:C75"/>
    <mergeCell ref="B72:C72"/>
    <mergeCell ref="B77:C79"/>
    <mergeCell ref="B92:P92"/>
    <mergeCell ref="B93:I93"/>
    <mergeCell ref="J93:P93"/>
    <mergeCell ref="F94:I94"/>
    <mergeCell ref="M94:P94"/>
    <mergeCell ref="D75:E75"/>
    <mergeCell ref="H75:I75"/>
    <mergeCell ref="K75:L75"/>
    <mergeCell ref="O75:P75"/>
    <mergeCell ref="B76:I76"/>
    <mergeCell ref="J76:P76"/>
    <mergeCell ref="D73:E73"/>
    <mergeCell ref="D95:D97"/>
    <mergeCell ref="E95:E97"/>
    <mergeCell ref="G95:I95"/>
    <mergeCell ref="J73:J75"/>
    <mergeCell ref="B16:C16"/>
    <mergeCell ref="B17:C17"/>
    <mergeCell ref="B18:C18"/>
    <mergeCell ref="B19:C19"/>
    <mergeCell ref="B20:C20"/>
    <mergeCell ref="B21:C21"/>
    <mergeCell ref="B25:C26"/>
    <mergeCell ref="B23:C24"/>
    <mergeCell ref="B27:C28"/>
    <mergeCell ref="B2:P2"/>
    <mergeCell ref="B15:P15"/>
    <mergeCell ref="B70:P70"/>
    <mergeCell ref="B71:I71"/>
    <mergeCell ref="J71:P71"/>
    <mergeCell ref="D72:E72"/>
    <mergeCell ref="H72:I72"/>
    <mergeCell ref="K72:L72"/>
    <mergeCell ref="O72:P72"/>
    <mergeCell ref="B22:P22"/>
    <mergeCell ref="B29:P41"/>
    <mergeCell ref="B42:P42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K73:L73"/>
    <mergeCell ref="O73:P73"/>
    <mergeCell ref="D74:E74"/>
    <mergeCell ref="H74:I74"/>
    <mergeCell ref="K74:L74"/>
    <mergeCell ref="O74:P74"/>
    <mergeCell ref="D79:E79"/>
    <mergeCell ref="H79:I79"/>
    <mergeCell ref="K79:L79"/>
    <mergeCell ref="O79:P79"/>
    <mergeCell ref="D77:E77"/>
    <mergeCell ref="H77:I77"/>
    <mergeCell ref="J77:J79"/>
    <mergeCell ref="K77:L77"/>
    <mergeCell ref="O77:P77"/>
    <mergeCell ref="D78:E78"/>
    <mergeCell ref="H78:I78"/>
    <mergeCell ref="K78:L78"/>
    <mergeCell ref="O78:P78"/>
    <mergeCell ref="K86:L86"/>
    <mergeCell ref="O86:P86"/>
    <mergeCell ref="D87:E87"/>
    <mergeCell ref="H87:I87"/>
    <mergeCell ref="K87:L87"/>
    <mergeCell ref="O87:P87"/>
    <mergeCell ref="J80:P80"/>
    <mergeCell ref="J81:J83"/>
    <mergeCell ref="K81:L81"/>
    <mergeCell ref="O81:P81"/>
    <mergeCell ref="D82:I83"/>
    <mergeCell ref="K82:L82"/>
    <mergeCell ref="O82:P82"/>
    <mergeCell ref="K83:L83"/>
    <mergeCell ref="O83:P83"/>
    <mergeCell ref="J85:J87"/>
    <mergeCell ref="K85:L85"/>
    <mergeCell ref="O85:P85"/>
    <mergeCell ref="J89:J91"/>
    <mergeCell ref="K89:L89"/>
    <mergeCell ref="O89:P89"/>
    <mergeCell ref="D90:E90"/>
    <mergeCell ref="H90:I90"/>
    <mergeCell ref="K90:L90"/>
    <mergeCell ref="O90:P90"/>
    <mergeCell ref="D91:E91"/>
    <mergeCell ref="H91:I91"/>
    <mergeCell ref="K91:L91"/>
    <mergeCell ref="O91:P91"/>
    <mergeCell ref="J95:J97"/>
    <mergeCell ref="K95:K97"/>
    <mergeCell ref="L95:L97"/>
    <mergeCell ref="N95:P95"/>
    <mergeCell ref="G96:I96"/>
    <mergeCell ref="N96:P96"/>
    <mergeCell ref="G97:I97"/>
    <mergeCell ref="N97:P97"/>
    <mergeCell ref="L99:L101"/>
    <mergeCell ref="N99:P99"/>
    <mergeCell ref="G100:I100"/>
    <mergeCell ref="N100:P100"/>
    <mergeCell ref="G101:I101"/>
    <mergeCell ref="N101:P101"/>
    <mergeCell ref="D99:D101"/>
    <mergeCell ref="E99:E101"/>
    <mergeCell ref="G99:I99"/>
    <mergeCell ref="J99:J101"/>
    <mergeCell ref="K99:K101"/>
    <mergeCell ref="L103:L105"/>
    <mergeCell ref="N103:P103"/>
    <mergeCell ref="G104:I104"/>
    <mergeCell ref="N104:P104"/>
    <mergeCell ref="G105:I105"/>
    <mergeCell ref="N105:P105"/>
    <mergeCell ref="D103:D105"/>
    <mergeCell ref="E103:E105"/>
    <mergeCell ref="G103:I103"/>
    <mergeCell ref="J103:J105"/>
    <mergeCell ref="K103:K105"/>
  </mergeCells>
  <phoneticPr fontId="7" type="noConversion"/>
  <conditionalFormatting sqref="D24:P24 D26:P26 D28:P28">
    <cfRule type="dataBar" priority="37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{A7028025-E033-4B2B-A91F-BBAB6624DCD0}</x14:id>
        </ext>
      </extLst>
    </cfRule>
  </conditionalFormatting>
  <conditionalFormatting sqref="G73:G75 G77:G79 G81 G85:G87 G89:G91 N77:N79 N81:N83 N85:N87 N89:N91 L95:L105 E95:E105 N73:N75">
    <cfRule type="dataBar" priority="36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{68ACA9A7-64DC-44CB-BE20-69AA308E0664}</x14:id>
        </ext>
      </extLst>
    </cfRule>
  </conditionalFormatting>
  <conditionalFormatting sqref="D45:P45 D48:P48 D51:P51 D54:P54 D57:P57 D60:P60 D63:P63 D66:P66 D69:P69">
    <cfRule type="dataBar" priority="1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{C95EB49C-7D0C-4197-A27F-BC65AAC12F70}</x14:id>
        </ext>
      </extLst>
    </cfRule>
  </conditionalFormatting>
  <pageMargins left="0.7" right="0.7" top="0.75" bottom="0.75" header="0.3" footer="0.3"/>
  <pageSetup paperSize="9" scale="39" orientation="portrait" r:id="rId1"/>
  <colBreaks count="1" manualBreakCount="1">
    <brk id="17" max="78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028025-E033-4B2B-A91F-BBAB6624DCD0}">
            <x14:dataBar minLength="0" maxLength="100" gradient="0" direction="leftToRight" axisPosition="none">
              <x14:cfvo type="num">
                <xm:f>0</xm:f>
              </x14:cfvo>
              <x14:cfvo type="num">
                <xm:f>1</xm:f>
              </x14:cfvo>
              <x14:negativeFillColor rgb="FFFF0000"/>
            </x14:dataBar>
          </x14:cfRule>
          <xm:sqref>D24:P24 D26:P26 D28:P28</xm:sqref>
        </x14:conditionalFormatting>
        <x14:conditionalFormatting xmlns:xm="http://schemas.microsoft.com/office/excel/2006/main">
          <x14:cfRule type="dataBar" id="{68ACA9A7-64DC-44CB-BE20-69AA308E06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G73:G75 G77:G79 G81 G85:G87 G89:G91 N77:N79 N81:N83 N85:N87 N89:N91 L95:L105 E95:E105 N73:N75</xm:sqref>
        </x14:conditionalFormatting>
        <x14:conditionalFormatting xmlns:xm="http://schemas.microsoft.com/office/excel/2006/main">
          <x14:cfRule type="dataBar" id="{C95EB49C-7D0C-4197-A27F-BC65AAC12F70}">
            <x14:dataBar minLength="0" maxLength="100" gradient="0" direction="leftToRight" axisPosition="none">
              <x14:cfvo type="num">
                <xm:f>0</xm:f>
              </x14:cfvo>
              <x14:cfvo type="num">
                <xm:f>1</xm:f>
              </x14:cfvo>
              <x14:negativeFillColor rgb="FFFF0000"/>
            </x14:dataBar>
          </x14:cfRule>
          <xm:sqref>D45:P45 D48:P48 D51:P51 D54:P54 D57:P57 D60:P60 D63:P63 D66:P66 D69:P69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C71212"/>
  </sheetPr>
  <dimension ref="A1:AJ4084"/>
  <sheetViews>
    <sheetView tabSelected="1" zoomScale="70" zoomScaleNormal="70" workbookViewId="0">
      <pane ySplit="1" topLeftCell="A872" activePane="bottomLeft" state="frozen"/>
      <selection pane="bottomLeft" activeCell="C873" sqref="C873"/>
    </sheetView>
  </sheetViews>
  <sheetFormatPr defaultColWidth="0" defaultRowHeight="16.5" customHeight="1" zeroHeight="1"/>
  <cols>
    <col min="1" max="1" width="15.7109375" style="3" bestFit="1" customWidth="1"/>
    <col min="2" max="2" width="23.85546875" style="82" bestFit="1" customWidth="1"/>
    <col min="3" max="3" width="25.5703125" style="3" bestFit="1" customWidth="1"/>
    <col min="4" max="4" width="19.140625" style="6" bestFit="1" customWidth="1"/>
    <col min="5" max="5" width="17.42578125" style="3" bestFit="1" customWidth="1"/>
    <col min="6" max="6" width="25.140625" style="3" bestFit="1" customWidth="1"/>
    <col min="7" max="7" width="12.140625" style="3" bestFit="1" customWidth="1"/>
    <col min="8" max="8" width="9.7109375" style="197" bestFit="1" customWidth="1"/>
    <col min="9" max="10" width="8.85546875" style="197" bestFit="1" customWidth="1"/>
    <col min="11" max="11" width="13.5703125" style="3" bestFit="1" customWidth="1"/>
    <col min="12" max="12" width="11.5703125" style="3" customWidth="1"/>
    <col min="13" max="13" width="8.7109375" style="3" customWidth="1"/>
    <col min="14" max="14" width="14.42578125" style="3" customWidth="1"/>
    <col min="15" max="16" width="17.5703125" style="3" customWidth="1"/>
    <col min="17" max="17" width="20.28515625" style="3" bestFit="1" customWidth="1"/>
    <col min="18" max="18" width="33.140625" style="3" bestFit="1" customWidth="1"/>
    <col min="19" max="19" width="82.85546875" style="3" bestFit="1" customWidth="1"/>
    <col min="20" max="21" width="33.140625" style="3" customWidth="1"/>
    <col min="22" max="36" width="0" style="4" hidden="1" customWidth="1"/>
    <col min="37" max="16384" width="10.28515625" style="4" hidden="1"/>
  </cols>
  <sheetData>
    <row r="1" spans="1:21" ht="26.25" customHeight="1">
      <c r="A1" s="1" t="s">
        <v>1558</v>
      </c>
      <c r="B1" s="81" t="s">
        <v>1559</v>
      </c>
      <c r="C1" s="1" t="s">
        <v>1560</v>
      </c>
      <c r="D1" s="1" t="s">
        <v>1561</v>
      </c>
      <c r="E1" s="1" t="s">
        <v>1562</v>
      </c>
      <c r="F1" s="1" t="s">
        <v>1563</v>
      </c>
      <c r="G1" s="1" t="s">
        <v>1438</v>
      </c>
      <c r="H1" s="196" t="s">
        <v>1564</v>
      </c>
      <c r="I1" s="196" t="s">
        <v>1565</v>
      </c>
      <c r="J1" s="196" t="s">
        <v>1566</v>
      </c>
      <c r="K1" s="1" t="s">
        <v>1567</v>
      </c>
      <c r="L1" s="1" t="s">
        <v>1568</v>
      </c>
      <c r="M1" s="1" t="s">
        <v>4099</v>
      </c>
      <c r="N1" s="1" t="s">
        <v>4100</v>
      </c>
      <c r="O1" s="1" t="s">
        <v>1571</v>
      </c>
      <c r="P1" s="1" t="s">
        <v>1572</v>
      </c>
      <c r="Q1" s="1" t="s">
        <v>1573</v>
      </c>
      <c r="R1" s="1" t="s">
        <v>1574</v>
      </c>
      <c r="S1" s="1" t="s">
        <v>1575</v>
      </c>
      <c r="T1" s="1" t="s">
        <v>1576</v>
      </c>
      <c r="U1" s="1" t="s">
        <v>1577</v>
      </c>
    </row>
    <row r="2" spans="1:21" ht="16.5" customHeight="1">
      <c r="A2" s="3">
        <v>5283</v>
      </c>
      <c r="B2" s="82">
        <f t="array" ref="B2">SUM(--(FREQUENCY(IF(C$2:C$3071=C2, MATCH(D$2:D$3071, D$2:D$3071, 0)), ROW(D$2:D$3071)-ROW(D$2)+1) &gt; 0))</f>
        <v>33</v>
      </c>
      <c r="C2" s="3">
        <f>VLOOKUP(D2, [1]Sheet1!K:X, 14, FALSE)</f>
        <v>41100435</v>
      </c>
      <c r="D2" s="6" t="s">
        <v>4101</v>
      </c>
      <c r="E2" s="3" t="s">
        <v>4102</v>
      </c>
      <c r="F2" s="3" t="s">
        <v>4103</v>
      </c>
      <c r="G2" s="3" t="str">
        <f t="shared" ref="G2:G65" si="0">IF(OR(ISNUMBER(SEARCH("DUAL",F2)), ISNUMBER(SEARCH("IVAS",F2))), "DUAL", "SINGLE")</f>
        <v>SINGLE</v>
      </c>
      <c r="H2" s="197">
        <f t="shared" ref="H2:H64" si="1">WEEKNUM(K2)</f>
        <v>1</v>
      </c>
      <c r="I2" s="197">
        <v>1</v>
      </c>
      <c r="J2" s="197">
        <v>2</v>
      </c>
      <c r="K2" s="186">
        <f t="shared" ref="K2:K65" si="2">DATE(2025, I2, J2)</f>
        <v>45659</v>
      </c>
      <c r="L2" s="3" t="s">
        <v>4104</v>
      </c>
      <c r="N2" s="3" t="str">
        <f t="shared" ref="N2:N65" si="3">IF(O2&lt;&gt;"", "NG", "")</f>
        <v>NG</v>
      </c>
      <c r="O2" s="3" t="s">
        <v>1568</v>
      </c>
      <c r="Q2" s="3">
        <v>1100228300</v>
      </c>
      <c r="R2" s="3" t="s">
        <v>4105</v>
      </c>
      <c r="S2" s="3" t="s">
        <v>4106</v>
      </c>
      <c r="T2" s="3" t="s">
        <v>4107</v>
      </c>
    </row>
    <row r="3" spans="1:21" ht="16.5" customHeight="1">
      <c r="A3" s="3">
        <v>4300</v>
      </c>
      <c r="B3" s="82">
        <f t="array" ref="B3">SUM(--(FREQUENCY(IF(C$2:C$3071=C3, MATCH(D$2:D$3071, D$2:D$3071, 0)), ROW(D$2:D$3071)-ROW(D$2)+1) &gt; 0))</f>
        <v>1</v>
      </c>
      <c r="C3" s="3">
        <f>VLOOKUP(D3, [1]Sheet1!K:X, 14, FALSE)</f>
        <v>41000539</v>
      </c>
      <c r="D3" s="6" t="s">
        <v>4108</v>
      </c>
      <c r="E3" s="3" t="s">
        <v>4109</v>
      </c>
      <c r="F3" s="3" t="s">
        <v>4110</v>
      </c>
      <c r="G3" s="3" t="str">
        <f t="shared" si="0"/>
        <v>DUAL</v>
      </c>
      <c r="H3" s="197">
        <f t="shared" si="1"/>
        <v>1</v>
      </c>
      <c r="I3" s="197">
        <v>1</v>
      </c>
      <c r="J3" s="197">
        <v>2</v>
      </c>
      <c r="K3" s="186">
        <f t="shared" si="2"/>
        <v>45659</v>
      </c>
      <c r="N3" s="3" t="str">
        <f t="shared" si="3"/>
        <v/>
      </c>
    </row>
    <row r="4" spans="1:21" ht="16.5" customHeight="1">
      <c r="A4" s="3">
        <v>5364</v>
      </c>
      <c r="B4" s="82">
        <f t="array" ref="B4">SUM(--(FREQUENCY(IF(C$2:C$3071=C4, MATCH(D$2:D$3071, D$2:D$3071, 0)), ROW(D$2:D$3071)-ROW(D$2)+1) &gt; 0))</f>
        <v>6</v>
      </c>
      <c r="C4" s="3">
        <f>VLOOKUP(D4, [1]Sheet1!K:X, 14, FALSE)</f>
        <v>41000556</v>
      </c>
      <c r="D4" s="6" t="s">
        <v>4111</v>
      </c>
      <c r="E4" s="3" t="s">
        <v>4102</v>
      </c>
      <c r="F4" s="3" t="s">
        <v>4112</v>
      </c>
      <c r="G4" s="3" t="str">
        <f t="shared" si="0"/>
        <v>DUAL</v>
      </c>
      <c r="H4" s="197">
        <f t="shared" si="1"/>
        <v>1</v>
      </c>
      <c r="I4" s="197">
        <v>1</v>
      </c>
      <c r="J4" s="197">
        <v>2</v>
      </c>
      <c r="K4" s="186">
        <f t="shared" si="2"/>
        <v>45659</v>
      </c>
      <c r="N4" s="3" t="str">
        <f t="shared" si="3"/>
        <v/>
      </c>
    </row>
    <row r="5" spans="1:21" ht="16.5" customHeight="1">
      <c r="A5" s="3">
        <v>5416</v>
      </c>
      <c r="B5" s="82">
        <f t="array" ref="B5">SUM(--(FREQUENCY(IF(C$2:C$3071=C5, MATCH(D$2:D$3071, D$2:D$3071, 0)), ROW(D$2:D$3071)-ROW(D$2)+1) &gt; 0))</f>
        <v>22</v>
      </c>
      <c r="C5" s="3">
        <v>41200075</v>
      </c>
      <c r="D5" s="6" t="s">
        <v>4113</v>
      </c>
      <c r="E5" s="3" t="s">
        <v>4102</v>
      </c>
      <c r="F5" s="3" t="s">
        <v>4112</v>
      </c>
      <c r="G5" s="3" t="str">
        <f t="shared" si="0"/>
        <v>DUAL</v>
      </c>
      <c r="H5" s="197">
        <f t="shared" si="1"/>
        <v>1</v>
      </c>
      <c r="I5" s="197">
        <v>1</v>
      </c>
      <c r="J5" s="197">
        <v>2</v>
      </c>
      <c r="K5" s="186">
        <f t="shared" si="2"/>
        <v>45659</v>
      </c>
      <c r="N5" s="3" t="str">
        <f t="shared" si="3"/>
        <v/>
      </c>
    </row>
    <row r="6" spans="1:21" ht="16.5" customHeight="1">
      <c r="A6" s="3">
        <v>5282</v>
      </c>
      <c r="B6" s="82">
        <f t="array" ref="B6">SUM(--(FREQUENCY(IF(C$2:C$3071=C6, MATCH(D$2:D$3071, D$2:D$3071, 0)), ROW(D$2:D$3071)-ROW(D$2)+1) &gt; 0))</f>
        <v>11</v>
      </c>
      <c r="C6" s="3">
        <f>VLOOKUP(D6, [1]Sheet1!K:X, 14, FALSE)</f>
        <v>41100374</v>
      </c>
      <c r="D6" s="6" t="s">
        <v>4114</v>
      </c>
      <c r="E6" s="3" t="s">
        <v>4102</v>
      </c>
      <c r="F6" s="3" t="s">
        <v>4112</v>
      </c>
      <c r="G6" s="3" t="str">
        <f t="shared" si="0"/>
        <v>DUAL</v>
      </c>
      <c r="H6" s="197">
        <f t="shared" si="1"/>
        <v>1</v>
      </c>
      <c r="I6" s="197">
        <v>1</v>
      </c>
      <c r="J6" s="197">
        <v>2</v>
      </c>
      <c r="K6" s="186">
        <f t="shared" si="2"/>
        <v>45659</v>
      </c>
      <c r="N6" s="3" t="str">
        <f t="shared" si="3"/>
        <v/>
      </c>
    </row>
    <row r="7" spans="1:21" ht="16.5" customHeight="1">
      <c r="A7" s="3">
        <v>5018</v>
      </c>
      <c r="B7" s="82">
        <f t="array" ref="B7">SUM(--(FREQUENCY(IF(C$2:C$3071=C7, MATCH(D$2:D$3071, D$2:D$3071, 0)), ROW(D$2:D$3071)-ROW(D$2)+1) &gt; 0))</f>
        <v>4</v>
      </c>
      <c r="C7" s="3">
        <f>VLOOKUP(D7, [1]Sheet1!K:X, 14, FALSE)</f>
        <v>41100227</v>
      </c>
      <c r="D7" s="6" t="s">
        <v>4115</v>
      </c>
      <c r="E7" s="3" t="s">
        <v>4116</v>
      </c>
      <c r="F7" s="3" t="s">
        <v>4112</v>
      </c>
      <c r="G7" s="3" t="str">
        <f t="shared" si="0"/>
        <v>DUAL</v>
      </c>
      <c r="H7" s="197">
        <f t="shared" si="1"/>
        <v>1</v>
      </c>
      <c r="I7" s="197">
        <v>1</v>
      </c>
      <c r="J7" s="197">
        <v>2</v>
      </c>
      <c r="K7" s="186">
        <f t="shared" si="2"/>
        <v>45659</v>
      </c>
      <c r="N7" s="3" t="str">
        <f t="shared" si="3"/>
        <v/>
      </c>
    </row>
    <row r="8" spans="1:21" ht="16.5" customHeight="1">
      <c r="A8" s="3">
        <v>5258</v>
      </c>
      <c r="B8" s="82">
        <f t="array" ref="B8">SUM(--(FREQUENCY(IF(C$2:C$3071=C8, MATCH(D$2:D$3071, D$2:D$3071, 0)), ROW(D$2:D$3071)-ROW(D$2)+1) &gt; 0))</f>
        <v>1</v>
      </c>
      <c r="C8" s="3">
        <f>VLOOKUP(D8, [1]Sheet1!K:X, 14, FALSE)</f>
        <v>41200085</v>
      </c>
      <c r="D8" s="6" t="s">
        <v>4117</v>
      </c>
      <c r="E8" s="3" t="s">
        <v>4118</v>
      </c>
      <c r="F8" s="3" t="s">
        <v>4119</v>
      </c>
      <c r="G8" s="3" t="str">
        <f t="shared" si="0"/>
        <v>SINGLE</v>
      </c>
      <c r="H8" s="197">
        <f t="shared" si="1"/>
        <v>1</v>
      </c>
      <c r="I8" s="197">
        <v>1</v>
      </c>
      <c r="J8" s="197">
        <v>3</v>
      </c>
      <c r="K8" s="186">
        <f t="shared" si="2"/>
        <v>45660</v>
      </c>
      <c r="L8" s="3" t="s">
        <v>2367</v>
      </c>
      <c r="N8" s="3" t="str">
        <f t="shared" si="3"/>
        <v>NG</v>
      </c>
      <c r="O8" s="3" t="s">
        <v>1568</v>
      </c>
      <c r="Q8" s="3">
        <v>1100201000</v>
      </c>
      <c r="R8" s="3" t="s">
        <v>4120</v>
      </c>
      <c r="S8" s="3" t="s">
        <v>4121</v>
      </c>
    </row>
    <row r="9" spans="1:21" ht="16.5" customHeight="1">
      <c r="A9" s="3">
        <v>5326</v>
      </c>
      <c r="B9" s="82">
        <f t="array" ref="B9">SUM(--(FREQUENCY(IF(C$2:C$3071=C9, MATCH(D$2:D$3071, D$2:D$3071, 0)), ROW(D$2:D$3071)-ROW(D$2)+1) &gt; 0))</f>
        <v>12</v>
      </c>
      <c r="C9" s="3">
        <f>VLOOKUP(D9, [1]Sheet1!K:X, 14, FALSE)</f>
        <v>41200027</v>
      </c>
      <c r="D9" s="6" t="s">
        <v>4122</v>
      </c>
      <c r="E9" s="3" t="s">
        <v>2365</v>
      </c>
      <c r="F9" s="3" t="s">
        <v>2380</v>
      </c>
      <c r="G9" s="3" t="str">
        <f t="shared" si="0"/>
        <v>SINGLE</v>
      </c>
      <c r="H9" s="197">
        <f t="shared" si="1"/>
        <v>1</v>
      </c>
      <c r="I9" s="197">
        <v>1</v>
      </c>
      <c r="J9" s="197">
        <v>3</v>
      </c>
      <c r="K9" s="186">
        <f t="shared" si="2"/>
        <v>45660</v>
      </c>
      <c r="N9" s="3" t="str">
        <f t="shared" si="3"/>
        <v/>
      </c>
    </row>
    <row r="10" spans="1:21" s="2" customFormat="1" ht="16.5" customHeight="1">
      <c r="A10" s="3">
        <v>5326</v>
      </c>
      <c r="B10" s="82">
        <f t="array" ref="B10">SUM(--(FREQUENCY(IF(C$2:C$3071=C10, MATCH(D$2:D$3071, D$2:D$3071, 0)), ROW(D$2:D$3071)-ROW(D$2)+1) &gt; 0))</f>
        <v>12</v>
      </c>
      <c r="C10" s="3">
        <f>VLOOKUP(D10, [1]Sheet1!K:X, 14, FALSE)</f>
        <v>41200027</v>
      </c>
      <c r="D10" s="6" t="s">
        <v>4123</v>
      </c>
      <c r="E10" s="3" t="s">
        <v>2365</v>
      </c>
      <c r="F10" s="3" t="s">
        <v>2380</v>
      </c>
      <c r="G10" s="3" t="str">
        <f t="shared" si="0"/>
        <v>SINGLE</v>
      </c>
      <c r="H10" s="197">
        <f t="shared" si="1"/>
        <v>1</v>
      </c>
      <c r="I10" s="197">
        <v>1</v>
      </c>
      <c r="J10" s="197">
        <v>3</v>
      </c>
      <c r="K10" s="186">
        <f t="shared" si="2"/>
        <v>45660</v>
      </c>
      <c r="L10" s="3"/>
      <c r="M10" s="3"/>
      <c r="N10" s="3" t="str">
        <f t="shared" si="3"/>
        <v/>
      </c>
      <c r="O10" s="3"/>
      <c r="P10" s="3"/>
      <c r="Q10" s="3"/>
      <c r="R10" s="3"/>
      <c r="S10" s="3"/>
      <c r="T10" s="3"/>
      <c r="U10" s="3"/>
    </row>
    <row r="11" spans="1:21" ht="16.5" customHeight="1">
      <c r="A11" s="3">
        <v>5326</v>
      </c>
      <c r="B11" s="82">
        <f t="array" ref="B11">SUM(--(FREQUENCY(IF(C$2:C$3071=C11, MATCH(D$2:D$3071, D$2:D$3071, 0)), ROW(D$2:D$3071)-ROW(D$2)+1) &gt; 0))</f>
        <v>12</v>
      </c>
      <c r="C11" s="3">
        <f>VLOOKUP(D11, [1]Sheet1!K:X, 14, FALSE)</f>
        <v>41200027</v>
      </c>
      <c r="D11" s="6" t="s">
        <v>4124</v>
      </c>
      <c r="E11" s="3" t="s">
        <v>2365</v>
      </c>
      <c r="F11" s="3" t="s">
        <v>2380</v>
      </c>
      <c r="G11" s="3" t="str">
        <f t="shared" si="0"/>
        <v>SINGLE</v>
      </c>
      <c r="H11" s="197">
        <f t="shared" si="1"/>
        <v>1</v>
      </c>
      <c r="I11" s="197">
        <v>1</v>
      </c>
      <c r="J11" s="197">
        <v>3</v>
      </c>
      <c r="K11" s="186">
        <f t="shared" si="2"/>
        <v>45660</v>
      </c>
      <c r="N11" s="3" t="str">
        <f t="shared" si="3"/>
        <v/>
      </c>
    </row>
    <row r="12" spans="1:21" ht="16.5" customHeight="1">
      <c r="A12" s="3">
        <v>5326</v>
      </c>
      <c r="B12" s="82">
        <f t="array" ref="B12">SUM(--(FREQUENCY(IF(C$2:C$3071=C12, MATCH(D$2:D$3071, D$2:D$3071, 0)), ROW(D$2:D$3071)-ROW(D$2)+1) &gt; 0))</f>
        <v>12</v>
      </c>
      <c r="C12" s="3">
        <f>VLOOKUP(D12, [1]Sheet1!K:X, 14, FALSE)</f>
        <v>41200027</v>
      </c>
      <c r="D12" s="6" t="s">
        <v>4125</v>
      </c>
      <c r="E12" s="3" t="s">
        <v>2365</v>
      </c>
      <c r="F12" s="3" t="s">
        <v>2380</v>
      </c>
      <c r="G12" s="3" t="str">
        <f t="shared" si="0"/>
        <v>SINGLE</v>
      </c>
      <c r="H12" s="197">
        <f t="shared" si="1"/>
        <v>1</v>
      </c>
      <c r="I12" s="197">
        <v>1</v>
      </c>
      <c r="J12" s="197">
        <v>3</v>
      </c>
      <c r="K12" s="186">
        <f t="shared" si="2"/>
        <v>45660</v>
      </c>
      <c r="N12" s="3" t="str">
        <f t="shared" si="3"/>
        <v/>
      </c>
    </row>
    <row r="13" spans="1:21" ht="16.5" customHeight="1">
      <c r="A13" s="3">
        <v>5280</v>
      </c>
      <c r="B13" s="82">
        <f t="array" ref="B13">SUM(--(FREQUENCY(IF(C$2:C$3071=C13, MATCH(D$2:D$3071, D$2:D$3071, 0)), ROW(D$2:D$3071)-ROW(D$2)+1) &gt; 0))</f>
        <v>77</v>
      </c>
      <c r="C13" s="3">
        <f>VLOOKUP(D13, [1]Sheet1!K:X, 14, FALSE)</f>
        <v>41200076</v>
      </c>
      <c r="D13" s="6" t="s">
        <v>4126</v>
      </c>
      <c r="E13" s="3" t="s">
        <v>4102</v>
      </c>
      <c r="F13" s="3" t="s">
        <v>4112</v>
      </c>
      <c r="G13" s="3" t="str">
        <f t="shared" si="0"/>
        <v>DUAL</v>
      </c>
      <c r="H13" s="197">
        <f t="shared" si="1"/>
        <v>2</v>
      </c>
      <c r="I13" s="197">
        <v>1</v>
      </c>
      <c r="J13" s="197">
        <v>6</v>
      </c>
      <c r="K13" s="186">
        <f t="shared" si="2"/>
        <v>45663</v>
      </c>
      <c r="N13" s="3" t="str">
        <f t="shared" si="3"/>
        <v/>
      </c>
    </row>
    <row r="14" spans="1:21" ht="16.5" customHeight="1">
      <c r="A14" s="3">
        <v>5280</v>
      </c>
      <c r="B14" s="82">
        <f t="array" ref="B14">SUM(--(FREQUENCY(IF(C$2:C$3071=C14, MATCH(D$2:D$3071, D$2:D$3071, 0)), ROW(D$2:D$3071)-ROW(D$2)+1) &gt; 0))</f>
        <v>77</v>
      </c>
      <c r="C14" s="3">
        <f>VLOOKUP(D14, [1]Sheet1!K:X, 14, FALSE)</f>
        <v>41200076</v>
      </c>
      <c r="D14" s="6" t="s">
        <v>4127</v>
      </c>
      <c r="E14" s="3" t="s">
        <v>4102</v>
      </c>
      <c r="F14" s="3" t="s">
        <v>4112</v>
      </c>
      <c r="G14" s="3" t="str">
        <f t="shared" si="0"/>
        <v>DUAL</v>
      </c>
      <c r="H14" s="197">
        <f t="shared" si="1"/>
        <v>2</v>
      </c>
      <c r="I14" s="197">
        <v>1</v>
      </c>
      <c r="J14" s="197">
        <v>6</v>
      </c>
      <c r="K14" s="186">
        <f t="shared" si="2"/>
        <v>45663</v>
      </c>
      <c r="N14" s="3" t="str">
        <f t="shared" si="3"/>
        <v/>
      </c>
    </row>
    <row r="15" spans="1:21" ht="16.5" customHeight="1">
      <c r="A15" s="3">
        <v>5279</v>
      </c>
      <c r="B15" s="82">
        <f t="array" ref="B15">SUM(--(FREQUENCY(IF(C$2:C$3071=C15, MATCH(D$2:D$3071, D$2:D$3071, 0)), ROW(D$2:D$3071)-ROW(D$2)+1) &gt; 0))</f>
        <v>6</v>
      </c>
      <c r="C15" s="3">
        <f>VLOOKUP(D15, [1]Sheet1!K:X, 14, FALSE)</f>
        <v>41100334</v>
      </c>
      <c r="D15" s="6" t="s">
        <v>4128</v>
      </c>
      <c r="E15" s="3" t="s">
        <v>4102</v>
      </c>
      <c r="F15" s="3" t="s">
        <v>4112</v>
      </c>
      <c r="G15" s="3" t="str">
        <f t="shared" si="0"/>
        <v>DUAL</v>
      </c>
      <c r="H15" s="197">
        <f t="shared" si="1"/>
        <v>2</v>
      </c>
      <c r="I15" s="197">
        <v>1</v>
      </c>
      <c r="J15" s="197">
        <v>6</v>
      </c>
      <c r="K15" s="186">
        <f t="shared" si="2"/>
        <v>45663</v>
      </c>
      <c r="N15" s="3" t="str">
        <f t="shared" si="3"/>
        <v/>
      </c>
    </row>
    <row r="16" spans="1:21" ht="16.5" customHeight="1">
      <c r="A16" s="3">
        <v>5317</v>
      </c>
      <c r="B16" s="82">
        <f t="array" ref="B16">SUM(--(FREQUENCY(IF(C$2:C$3071=C16, MATCH(D$2:D$3071, D$2:D$3071, 0)), ROW(D$2:D$3071)-ROW(D$2)+1) &gt; 0))</f>
        <v>14</v>
      </c>
      <c r="C16" s="3">
        <f>VLOOKUP(D16, [1]Sheet1!K:X, 14, FALSE)</f>
        <v>41000514</v>
      </c>
      <c r="D16" s="6" t="s">
        <v>4129</v>
      </c>
      <c r="E16" s="3" t="s">
        <v>2365</v>
      </c>
      <c r="F16" s="3" t="s">
        <v>4130</v>
      </c>
      <c r="G16" s="3" t="str">
        <f t="shared" si="0"/>
        <v>DUAL</v>
      </c>
      <c r="H16" s="197">
        <f t="shared" si="1"/>
        <v>2</v>
      </c>
      <c r="I16" s="197">
        <v>1</v>
      </c>
      <c r="J16" s="197">
        <v>6</v>
      </c>
      <c r="K16" s="186">
        <f t="shared" si="2"/>
        <v>45663</v>
      </c>
      <c r="L16" s="3" t="s">
        <v>4104</v>
      </c>
      <c r="N16" s="3" t="str">
        <f t="shared" si="3"/>
        <v>NG</v>
      </c>
      <c r="O16" s="3" t="s">
        <v>1568</v>
      </c>
      <c r="Q16" s="3">
        <v>1100273700</v>
      </c>
      <c r="R16" s="3" t="s">
        <v>4131</v>
      </c>
      <c r="S16" s="3" t="s">
        <v>4132</v>
      </c>
      <c r="T16" s="3" t="s">
        <v>4133</v>
      </c>
    </row>
    <row r="17" spans="1:21" ht="16.5" customHeight="1">
      <c r="A17" s="3">
        <v>5344</v>
      </c>
      <c r="B17" s="82">
        <f t="array" ref="B17">SUM(--(FREQUENCY(IF(C$2:C$3071=C17, MATCH(D$2:D$3071, D$2:D$3071, 0)), ROW(D$2:D$3071)-ROW(D$2)+1) &gt; 0))</f>
        <v>51</v>
      </c>
      <c r="C17" s="3">
        <f>VLOOKUP(D17, [1]Sheet1!K:X, 14, FALSE)</f>
        <v>41200034</v>
      </c>
      <c r="D17" s="6" t="s">
        <v>4134</v>
      </c>
      <c r="E17" s="3" t="s">
        <v>4135</v>
      </c>
      <c r="F17" s="3" t="s">
        <v>4112</v>
      </c>
      <c r="G17" s="3" t="str">
        <f t="shared" si="0"/>
        <v>DUAL</v>
      </c>
      <c r="H17" s="197">
        <f t="shared" si="1"/>
        <v>2</v>
      </c>
      <c r="I17" s="197">
        <v>1</v>
      </c>
      <c r="J17" s="197">
        <v>7</v>
      </c>
      <c r="K17" s="186">
        <f t="shared" si="2"/>
        <v>45664</v>
      </c>
      <c r="L17" s="3" t="s">
        <v>4104</v>
      </c>
      <c r="N17" s="3" t="str">
        <f t="shared" si="3"/>
        <v>NG</v>
      </c>
      <c r="O17" s="3" t="s">
        <v>1568</v>
      </c>
      <c r="S17" s="3" t="s">
        <v>4136</v>
      </c>
      <c r="T17" s="3" t="s">
        <v>4137</v>
      </c>
    </row>
    <row r="18" spans="1:21" ht="16.5" customHeight="1">
      <c r="A18" s="5">
        <v>5344</v>
      </c>
      <c r="B18" s="82">
        <f t="array" ref="B18">SUM(--(FREQUENCY(IF(C$2:C$3071=C18, MATCH(D$2:D$3071, D$2:D$3071, 0)), ROW(D$2:D$3071)-ROW(D$2)+1) &gt; 0))</f>
        <v>51</v>
      </c>
      <c r="C18" s="5">
        <f>VLOOKUP(D18, [1]Sheet1!K:X, 14, FALSE)</f>
        <v>41200034</v>
      </c>
      <c r="D18" s="6" t="s">
        <v>4138</v>
      </c>
      <c r="E18" s="5" t="s">
        <v>4135</v>
      </c>
      <c r="F18" s="5" t="s">
        <v>4112</v>
      </c>
      <c r="G18" s="3" t="str">
        <f t="shared" si="0"/>
        <v>DUAL</v>
      </c>
      <c r="H18" s="197">
        <f t="shared" si="1"/>
        <v>2</v>
      </c>
      <c r="I18" s="198">
        <v>1</v>
      </c>
      <c r="J18" s="198">
        <v>7</v>
      </c>
      <c r="K18" s="186">
        <f t="shared" si="2"/>
        <v>45664</v>
      </c>
      <c r="L18" s="5" t="s">
        <v>4104</v>
      </c>
      <c r="M18" s="5"/>
      <c r="N18" s="3" t="str">
        <f t="shared" si="3"/>
        <v>NG</v>
      </c>
      <c r="O18" s="5" t="s">
        <v>1568</v>
      </c>
      <c r="P18" s="5"/>
      <c r="Q18" s="5">
        <v>1100273700</v>
      </c>
      <c r="R18" s="5" t="s">
        <v>4131</v>
      </c>
      <c r="S18" s="5" t="s">
        <v>4132</v>
      </c>
      <c r="T18" s="5" t="s">
        <v>4139</v>
      </c>
      <c r="U18" s="5"/>
    </row>
    <row r="19" spans="1:21" ht="16.5" customHeight="1">
      <c r="A19" s="5">
        <v>5344</v>
      </c>
      <c r="B19" s="82">
        <f t="array" ref="B19">SUM(--(FREQUENCY(IF(C$2:C$3071=C19, MATCH(D$2:D$3071, D$2:D$3071, 0)), ROW(D$2:D$3071)-ROW(D$2)+1) &gt; 0))</f>
        <v>51</v>
      </c>
      <c r="C19" s="5">
        <f>VLOOKUP(D19, [1]Sheet1!K:X, 14, FALSE)</f>
        <v>41200034</v>
      </c>
      <c r="D19" s="6" t="s">
        <v>4138</v>
      </c>
      <c r="E19" s="5" t="s">
        <v>4135</v>
      </c>
      <c r="F19" s="5" t="s">
        <v>4112</v>
      </c>
      <c r="G19" s="3" t="str">
        <f t="shared" si="0"/>
        <v>DUAL</v>
      </c>
      <c r="H19" s="197">
        <f t="shared" si="1"/>
        <v>2</v>
      </c>
      <c r="I19" s="198">
        <v>1</v>
      </c>
      <c r="J19" s="198">
        <v>7</v>
      </c>
      <c r="K19" s="186">
        <f t="shared" si="2"/>
        <v>45664</v>
      </c>
      <c r="L19" s="5" t="s">
        <v>4104</v>
      </c>
      <c r="M19" s="5"/>
      <c r="N19" s="3" t="str">
        <f t="shared" si="3"/>
        <v>NG</v>
      </c>
      <c r="O19" s="5" t="s">
        <v>1568</v>
      </c>
      <c r="P19" s="5"/>
      <c r="Q19" s="5">
        <v>1100668900</v>
      </c>
      <c r="R19" s="5" t="s">
        <v>4140</v>
      </c>
      <c r="S19" s="5" t="s">
        <v>4141</v>
      </c>
      <c r="T19" s="5" t="s">
        <v>4142</v>
      </c>
      <c r="U19" s="5"/>
    </row>
    <row r="20" spans="1:21" ht="16.5" customHeight="1">
      <c r="A20" s="3">
        <v>5344</v>
      </c>
      <c r="B20" s="82">
        <f t="array" ref="B20">SUM(--(FREQUENCY(IF(C$2:C$3071=C20, MATCH(D$2:D$3071, D$2:D$3071, 0)), ROW(D$2:D$3071)-ROW(D$2)+1) &gt; 0))</f>
        <v>51</v>
      </c>
      <c r="C20" s="3">
        <f>VLOOKUP(D20, [1]Sheet1!K:X, 14, FALSE)</f>
        <v>41200034</v>
      </c>
      <c r="D20" s="6" t="s">
        <v>4143</v>
      </c>
      <c r="E20" s="3" t="s">
        <v>4135</v>
      </c>
      <c r="F20" s="3" t="s">
        <v>4112</v>
      </c>
      <c r="G20" s="3" t="str">
        <f t="shared" si="0"/>
        <v>DUAL</v>
      </c>
      <c r="H20" s="197">
        <f t="shared" si="1"/>
        <v>2</v>
      </c>
      <c r="I20" s="197">
        <v>1</v>
      </c>
      <c r="J20" s="197">
        <v>7</v>
      </c>
      <c r="K20" s="186">
        <f t="shared" si="2"/>
        <v>45664</v>
      </c>
      <c r="N20" s="3" t="str">
        <f t="shared" si="3"/>
        <v/>
      </c>
    </row>
    <row r="21" spans="1:21" ht="16.5" customHeight="1">
      <c r="A21" s="3">
        <v>5278</v>
      </c>
      <c r="B21" s="82">
        <f t="array" ref="B21">SUM(--(FREQUENCY(IF(C$2:C$3071=C21, MATCH(D$2:D$3071, D$2:D$3071, 0)), ROW(D$2:D$3071)-ROW(D$2)+1) &gt; 0))</f>
        <v>19</v>
      </c>
      <c r="C21" s="3">
        <f>VLOOKUP(D21, [1]Sheet1!K:X, 14, FALSE)</f>
        <v>41100320</v>
      </c>
      <c r="D21" s="6" t="s">
        <v>4144</v>
      </c>
      <c r="E21" s="3" t="s">
        <v>4102</v>
      </c>
      <c r="F21" s="3" t="s">
        <v>4112</v>
      </c>
      <c r="G21" s="3" t="str">
        <f t="shared" si="0"/>
        <v>DUAL</v>
      </c>
      <c r="H21" s="197">
        <f t="shared" si="1"/>
        <v>2</v>
      </c>
      <c r="I21" s="197">
        <v>1</v>
      </c>
      <c r="J21" s="197">
        <v>7</v>
      </c>
      <c r="K21" s="186">
        <f t="shared" si="2"/>
        <v>45664</v>
      </c>
      <c r="N21" s="3" t="str">
        <f t="shared" si="3"/>
        <v/>
      </c>
    </row>
    <row r="22" spans="1:21" ht="16.5" customHeight="1">
      <c r="A22" s="3">
        <v>5278</v>
      </c>
      <c r="B22" s="82">
        <f t="array" ref="B22">SUM(--(FREQUENCY(IF(C$2:C$3071=C22, MATCH(D$2:D$3071, D$2:D$3071, 0)), ROW(D$2:D$3071)-ROW(D$2)+1) &gt; 0))</f>
        <v>19</v>
      </c>
      <c r="C22" s="3">
        <f>VLOOKUP(D22, [1]Sheet1!K:X, 14, FALSE)</f>
        <v>41100320</v>
      </c>
      <c r="D22" s="6" t="s">
        <v>4145</v>
      </c>
      <c r="E22" s="3" t="s">
        <v>4102</v>
      </c>
      <c r="F22" s="3" t="s">
        <v>4112</v>
      </c>
      <c r="G22" s="3" t="str">
        <f t="shared" si="0"/>
        <v>DUAL</v>
      </c>
      <c r="H22" s="197">
        <f t="shared" si="1"/>
        <v>2</v>
      </c>
      <c r="I22" s="197">
        <v>1</v>
      </c>
      <c r="J22" s="197">
        <v>7</v>
      </c>
      <c r="K22" s="186">
        <f t="shared" si="2"/>
        <v>45664</v>
      </c>
      <c r="N22" s="3" t="str">
        <f t="shared" si="3"/>
        <v/>
      </c>
    </row>
    <row r="23" spans="1:21" ht="16.5" customHeight="1">
      <c r="A23" s="3">
        <v>5281</v>
      </c>
      <c r="B23" s="82">
        <f t="array" ref="B23">SUM(--(FREQUENCY(IF(C$2:C$3071=C23, MATCH(D$2:D$3071, D$2:D$3071, 0)), ROW(D$2:D$3071)-ROW(D$2)+1) &gt; 0))</f>
        <v>20</v>
      </c>
      <c r="C23" s="3">
        <v>41200125</v>
      </c>
      <c r="D23" s="6" t="s">
        <v>4146</v>
      </c>
      <c r="E23" s="3" t="s">
        <v>4102</v>
      </c>
      <c r="F23" s="3" t="s">
        <v>4112</v>
      </c>
      <c r="G23" s="3" t="str">
        <f t="shared" si="0"/>
        <v>DUAL</v>
      </c>
      <c r="H23" s="197">
        <f t="shared" si="1"/>
        <v>2</v>
      </c>
      <c r="I23" s="197">
        <v>1</v>
      </c>
      <c r="J23" s="197">
        <v>7</v>
      </c>
      <c r="K23" s="186">
        <f t="shared" si="2"/>
        <v>45664</v>
      </c>
      <c r="L23" s="3" t="s">
        <v>4104</v>
      </c>
      <c r="N23" s="3" t="str">
        <f t="shared" si="3"/>
        <v>NG</v>
      </c>
      <c r="O23" s="3" t="s">
        <v>1568</v>
      </c>
      <c r="Q23" s="3">
        <v>1100228300</v>
      </c>
      <c r="R23" s="3" t="s">
        <v>4105</v>
      </c>
      <c r="S23" s="3" t="s">
        <v>4106</v>
      </c>
      <c r="T23" s="3" t="s">
        <v>4147</v>
      </c>
    </row>
    <row r="24" spans="1:21" ht="16.5" customHeight="1">
      <c r="A24" s="3">
        <v>5386</v>
      </c>
      <c r="B24" s="82">
        <f t="array" ref="B24">SUM(--(FREQUENCY(IF(C$2:C$3071=C24, MATCH(D$2:D$3071, D$2:D$3071, 0)), ROW(D$2:D$3071)-ROW(D$2)+1) &gt; 0))</f>
        <v>144</v>
      </c>
      <c r="C24" s="3">
        <f>VLOOKUP(D24, [1]Sheet1!K:X, 14, FALSE)</f>
        <v>41200007</v>
      </c>
      <c r="D24" s="6" t="s">
        <v>4148</v>
      </c>
      <c r="E24" s="3" t="s">
        <v>2365</v>
      </c>
      <c r="F24" s="3" t="s">
        <v>2380</v>
      </c>
      <c r="G24" s="3" t="str">
        <f t="shared" si="0"/>
        <v>SINGLE</v>
      </c>
      <c r="H24" s="197">
        <f t="shared" si="1"/>
        <v>2</v>
      </c>
      <c r="I24" s="197">
        <v>1</v>
      </c>
      <c r="J24" s="197">
        <v>8</v>
      </c>
      <c r="K24" s="186">
        <f t="shared" si="2"/>
        <v>45665</v>
      </c>
      <c r="L24" s="3" t="s">
        <v>2381</v>
      </c>
      <c r="N24" s="3" t="str">
        <f t="shared" si="3"/>
        <v>NG</v>
      </c>
      <c r="O24" s="3" t="s">
        <v>1568</v>
      </c>
      <c r="Q24" s="3">
        <v>1100228300</v>
      </c>
      <c r="R24" s="3" t="s">
        <v>4105</v>
      </c>
      <c r="S24" s="3" t="s">
        <v>4149</v>
      </c>
      <c r="T24" s="3" t="s">
        <v>4150</v>
      </c>
    </row>
    <row r="25" spans="1:21" ht="16.5" customHeight="1">
      <c r="A25" s="3">
        <v>5386</v>
      </c>
      <c r="B25" s="82">
        <f t="array" ref="B25">SUM(--(FREQUENCY(IF(C$2:C$3071=C25, MATCH(D$2:D$3071, D$2:D$3071, 0)), ROW(D$2:D$3071)-ROW(D$2)+1) &gt; 0))</f>
        <v>144</v>
      </c>
      <c r="C25" s="3">
        <f>VLOOKUP(D25, [1]Sheet1!K:X, 14, FALSE)</f>
        <v>41200007</v>
      </c>
      <c r="D25" s="6" t="s">
        <v>4151</v>
      </c>
      <c r="E25" s="3" t="s">
        <v>2365</v>
      </c>
      <c r="F25" s="3" t="s">
        <v>2380</v>
      </c>
      <c r="G25" s="3" t="str">
        <f t="shared" si="0"/>
        <v>SINGLE</v>
      </c>
      <c r="H25" s="197">
        <f t="shared" si="1"/>
        <v>2</v>
      </c>
      <c r="I25" s="197">
        <v>1</v>
      </c>
      <c r="J25" s="197">
        <v>8</v>
      </c>
      <c r="K25" s="186">
        <f t="shared" si="2"/>
        <v>45665</v>
      </c>
      <c r="N25" s="3" t="str">
        <f t="shared" si="3"/>
        <v/>
      </c>
    </row>
    <row r="26" spans="1:21" ht="16.5" customHeight="1">
      <c r="A26" s="6">
        <v>5164</v>
      </c>
      <c r="B26" s="82">
        <f t="array" ref="B26">SUM(--(FREQUENCY(IF(C$2:C$3071=C26, MATCH(D$2:D$3071, D$2:D$3071, 0)), ROW(D$2:D$3071)-ROW(D$2)+1) &gt; 0))</f>
        <v>1</v>
      </c>
      <c r="C26" s="6">
        <f>VLOOKUP(D26, [1]Sheet1!K:X, 14, FALSE)</f>
        <v>41200054</v>
      </c>
      <c r="D26" s="6" t="s">
        <v>4152</v>
      </c>
      <c r="E26" s="6" t="s">
        <v>4116</v>
      </c>
      <c r="F26" s="6" t="s">
        <v>2380</v>
      </c>
      <c r="G26" s="6" t="str">
        <f t="shared" si="0"/>
        <v>SINGLE</v>
      </c>
      <c r="H26" s="197">
        <f t="shared" si="1"/>
        <v>2</v>
      </c>
      <c r="I26" s="199">
        <v>1</v>
      </c>
      <c r="J26" s="199">
        <v>8</v>
      </c>
      <c r="K26" s="186">
        <f t="shared" si="2"/>
        <v>45665</v>
      </c>
      <c r="L26" s="6"/>
      <c r="M26" s="6"/>
      <c r="N26" s="3" t="str">
        <f t="shared" si="3"/>
        <v/>
      </c>
      <c r="O26" s="6"/>
      <c r="P26" s="6"/>
      <c r="Q26" s="6"/>
      <c r="R26" s="6"/>
      <c r="S26" s="6"/>
      <c r="T26" s="6"/>
      <c r="U26" s="6"/>
    </row>
    <row r="27" spans="1:21" ht="16.5" customHeight="1">
      <c r="A27" s="3">
        <v>5124</v>
      </c>
      <c r="B27" s="82">
        <f t="array" ref="B27">SUM(--(FREQUENCY(IF(C$2:C$3071=C27, MATCH(D$2:D$3071, D$2:D$3071, 0)), ROW(D$2:D$3071)-ROW(D$2)+1) &gt; 0))</f>
        <v>1</v>
      </c>
      <c r="C27" s="3">
        <f>VLOOKUP(D27, [1]Sheet1!K:X, 14, FALSE)</f>
        <v>41200060</v>
      </c>
      <c r="D27" s="6" t="s">
        <v>4153</v>
      </c>
      <c r="E27" s="3" t="s">
        <v>4116</v>
      </c>
      <c r="F27" s="3" t="s">
        <v>4112</v>
      </c>
      <c r="G27" s="3" t="str">
        <f t="shared" si="0"/>
        <v>DUAL</v>
      </c>
      <c r="H27" s="197">
        <f t="shared" si="1"/>
        <v>2</v>
      </c>
      <c r="I27" s="197">
        <v>1</v>
      </c>
      <c r="J27" s="197">
        <v>9</v>
      </c>
      <c r="K27" s="186">
        <f t="shared" si="2"/>
        <v>45666</v>
      </c>
      <c r="L27" s="3" t="s">
        <v>2381</v>
      </c>
      <c r="N27" s="3" t="str">
        <f t="shared" si="3"/>
        <v>NG</v>
      </c>
      <c r="O27" s="3" t="s">
        <v>1568</v>
      </c>
      <c r="Q27" s="3">
        <v>1100228300</v>
      </c>
      <c r="R27" s="3" t="s">
        <v>4105</v>
      </c>
      <c r="S27" s="3" t="s">
        <v>4106</v>
      </c>
      <c r="T27" s="3" t="s">
        <v>4154</v>
      </c>
    </row>
    <row r="28" spans="1:21" ht="16.5" customHeight="1">
      <c r="A28" s="3">
        <v>5254</v>
      </c>
      <c r="B28" s="82">
        <f t="array" ref="B28">SUM(--(FREQUENCY(IF(C$2:C$3071=C28, MATCH(D$2:D$3071, D$2:D$3071, 0)), ROW(D$2:D$3071)-ROW(D$2)+1) &gt; 0))</f>
        <v>14</v>
      </c>
      <c r="C28" s="3">
        <f>VLOOKUP(D28, [1]Sheet1!K:X, 14, FALSE)</f>
        <v>41000514</v>
      </c>
      <c r="D28" s="6" t="s">
        <v>4155</v>
      </c>
      <c r="E28" s="3" t="s">
        <v>2365</v>
      </c>
      <c r="F28" s="3" t="s">
        <v>4130</v>
      </c>
      <c r="G28" s="3" t="str">
        <f t="shared" si="0"/>
        <v>DUAL</v>
      </c>
      <c r="H28" s="197">
        <f t="shared" si="1"/>
        <v>2</v>
      </c>
      <c r="I28" s="197">
        <v>1</v>
      </c>
      <c r="J28" s="197">
        <v>9</v>
      </c>
      <c r="K28" s="186">
        <f t="shared" si="2"/>
        <v>45666</v>
      </c>
      <c r="L28" s="3" t="s">
        <v>4104</v>
      </c>
      <c r="N28" s="3" t="str">
        <f t="shared" si="3"/>
        <v>NG</v>
      </c>
      <c r="O28" s="3" t="s">
        <v>1568</v>
      </c>
      <c r="Q28" s="3">
        <v>1110126700</v>
      </c>
      <c r="R28" s="3" t="s">
        <v>4156</v>
      </c>
      <c r="S28" s="3" t="s">
        <v>4157</v>
      </c>
      <c r="T28" s="3" t="s">
        <v>4137</v>
      </c>
    </row>
    <row r="29" spans="1:21" ht="16.5" customHeight="1">
      <c r="A29" s="5">
        <v>5317</v>
      </c>
      <c r="B29" s="82">
        <f t="array" ref="B29">SUM(--(FREQUENCY(IF(C$2:C$3071=C29, MATCH(D$2:D$3071, D$2:D$3071, 0)), ROW(D$2:D$3071)-ROW(D$2)+1) &gt; 0))</f>
        <v>14</v>
      </c>
      <c r="C29" s="5">
        <f>VLOOKUP(D29, [1]Sheet1!K:X, 14, FALSE)</f>
        <v>41000514</v>
      </c>
      <c r="D29" s="6" t="s">
        <v>4158</v>
      </c>
      <c r="E29" s="5" t="s">
        <v>2365</v>
      </c>
      <c r="F29" s="5" t="s">
        <v>4130</v>
      </c>
      <c r="G29" s="3" t="str">
        <f t="shared" si="0"/>
        <v>DUAL</v>
      </c>
      <c r="H29" s="197">
        <f t="shared" si="1"/>
        <v>2</v>
      </c>
      <c r="I29" s="198">
        <v>1</v>
      </c>
      <c r="J29" s="198">
        <v>9</v>
      </c>
      <c r="K29" s="186">
        <f t="shared" si="2"/>
        <v>45666</v>
      </c>
      <c r="L29" s="5" t="s">
        <v>4104</v>
      </c>
      <c r="M29" s="5"/>
      <c r="N29" s="3" t="str">
        <f t="shared" si="3"/>
        <v>NG</v>
      </c>
      <c r="O29" s="5" t="s">
        <v>1568</v>
      </c>
      <c r="P29" s="5"/>
      <c r="Q29" s="5">
        <v>1100668900</v>
      </c>
      <c r="R29" s="5" t="s">
        <v>4140</v>
      </c>
      <c r="S29" s="5" t="s">
        <v>4159</v>
      </c>
      <c r="T29" s="5" t="s">
        <v>4160</v>
      </c>
      <c r="U29" s="5"/>
    </row>
    <row r="30" spans="1:21" ht="16.5" customHeight="1">
      <c r="A30" s="5">
        <v>5317</v>
      </c>
      <c r="B30" s="82">
        <f t="array" ref="B30">SUM(--(FREQUENCY(IF(C$2:C$3071=C30, MATCH(D$2:D$3071, D$2:D$3071, 0)), ROW(D$2:D$3071)-ROW(D$2)+1) &gt; 0))</f>
        <v>14</v>
      </c>
      <c r="C30" s="5">
        <f>VLOOKUP(D30, [1]Sheet1!K:X, 14, FALSE)</f>
        <v>41000514</v>
      </c>
      <c r="D30" s="6" t="s">
        <v>4158</v>
      </c>
      <c r="E30" s="5" t="s">
        <v>2365</v>
      </c>
      <c r="F30" s="5" t="s">
        <v>4130</v>
      </c>
      <c r="G30" s="3" t="str">
        <f t="shared" si="0"/>
        <v>DUAL</v>
      </c>
      <c r="H30" s="197">
        <f t="shared" si="1"/>
        <v>2</v>
      </c>
      <c r="I30" s="198">
        <v>1</v>
      </c>
      <c r="J30" s="198">
        <v>9</v>
      </c>
      <c r="K30" s="186">
        <f t="shared" si="2"/>
        <v>45666</v>
      </c>
      <c r="L30" s="5" t="s">
        <v>4104</v>
      </c>
      <c r="M30" s="5"/>
      <c r="N30" s="3" t="str">
        <f t="shared" si="3"/>
        <v>NG</v>
      </c>
      <c r="O30" s="5" t="s">
        <v>1568</v>
      </c>
      <c r="P30" s="5"/>
      <c r="Q30" s="5">
        <v>1100668900</v>
      </c>
      <c r="R30" s="5" t="s">
        <v>4140</v>
      </c>
      <c r="S30" s="5" t="s">
        <v>4141</v>
      </c>
      <c r="T30" s="5" t="s">
        <v>4133</v>
      </c>
      <c r="U30" s="5"/>
    </row>
    <row r="31" spans="1:21" ht="16.5" customHeight="1">
      <c r="A31" s="5">
        <v>5317</v>
      </c>
      <c r="B31" s="82">
        <f t="array" ref="B31">SUM(--(FREQUENCY(IF(C$2:C$3071=C31, MATCH(D$2:D$3071, D$2:D$3071, 0)), ROW(D$2:D$3071)-ROW(D$2)+1) &gt; 0))</f>
        <v>14</v>
      </c>
      <c r="C31" s="5">
        <f>VLOOKUP(D31, [1]Sheet1!K:X, 14, FALSE)</f>
        <v>41000514</v>
      </c>
      <c r="D31" s="6" t="s">
        <v>4158</v>
      </c>
      <c r="E31" s="5" t="s">
        <v>2365</v>
      </c>
      <c r="F31" s="5" t="s">
        <v>4130</v>
      </c>
      <c r="G31" s="3" t="str">
        <f t="shared" si="0"/>
        <v>DUAL</v>
      </c>
      <c r="H31" s="197">
        <f t="shared" si="1"/>
        <v>2</v>
      </c>
      <c r="I31" s="198">
        <v>1</v>
      </c>
      <c r="J31" s="198">
        <v>9</v>
      </c>
      <c r="K31" s="186">
        <f t="shared" si="2"/>
        <v>45666</v>
      </c>
      <c r="L31" s="5" t="s">
        <v>4104</v>
      </c>
      <c r="M31" s="5"/>
      <c r="N31" s="3" t="str">
        <f t="shared" si="3"/>
        <v>NG</v>
      </c>
      <c r="O31" s="5" t="s">
        <v>1568</v>
      </c>
      <c r="P31" s="5"/>
      <c r="Q31" s="5"/>
      <c r="R31" s="5"/>
      <c r="S31" s="5" t="s">
        <v>4161</v>
      </c>
      <c r="T31" s="5" t="s">
        <v>4162</v>
      </c>
      <c r="U31" s="5"/>
    </row>
    <row r="32" spans="1:21" ht="16.5" customHeight="1">
      <c r="A32" s="3">
        <v>5317</v>
      </c>
      <c r="B32" s="82">
        <f t="array" ref="B32">SUM(--(FREQUENCY(IF(C$2:C$3071=C32, MATCH(D$2:D$3071, D$2:D$3071, 0)), ROW(D$2:D$3071)-ROW(D$2)+1) &gt; 0))</f>
        <v>14</v>
      </c>
      <c r="C32" s="3">
        <f>VLOOKUP(D32, [1]Sheet1!K:X, 14, FALSE)</f>
        <v>41000514</v>
      </c>
      <c r="D32" s="6" t="s">
        <v>4163</v>
      </c>
      <c r="E32" s="3" t="s">
        <v>2365</v>
      </c>
      <c r="F32" s="3" t="s">
        <v>4130</v>
      </c>
      <c r="G32" s="3" t="str">
        <f t="shared" si="0"/>
        <v>DUAL</v>
      </c>
      <c r="H32" s="197">
        <f t="shared" si="1"/>
        <v>2</v>
      </c>
      <c r="I32" s="197">
        <v>1</v>
      </c>
      <c r="J32" s="197">
        <v>9</v>
      </c>
      <c r="K32" s="186">
        <f t="shared" si="2"/>
        <v>45666</v>
      </c>
      <c r="N32" s="3" t="str">
        <f t="shared" si="3"/>
        <v/>
      </c>
    </row>
    <row r="33" spans="1:21" ht="16.5" customHeight="1">
      <c r="A33" s="3">
        <v>5394</v>
      </c>
      <c r="B33" s="82">
        <f t="array" ref="B33">SUM(--(FREQUENCY(IF(C$2:C$3071=C33, MATCH(D$2:D$3071, D$2:D$3071, 0)), ROW(D$2:D$3071)-ROW(D$2)+1) &gt; 0))</f>
        <v>26</v>
      </c>
      <c r="C33" s="3">
        <f>VLOOKUP(D33, [1]Sheet1!K:X, 14, FALSE)</f>
        <v>41000590</v>
      </c>
      <c r="D33" s="6" t="s">
        <v>4164</v>
      </c>
      <c r="E33" s="3" t="s">
        <v>2365</v>
      </c>
      <c r="F33" s="3" t="s">
        <v>4165</v>
      </c>
      <c r="G33" s="3" t="str">
        <f t="shared" si="0"/>
        <v>SINGLE</v>
      </c>
      <c r="H33" s="197">
        <f t="shared" si="1"/>
        <v>2</v>
      </c>
      <c r="I33" s="197">
        <v>1</v>
      </c>
      <c r="J33" s="197">
        <v>10</v>
      </c>
      <c r="K33" s="186">
        <f t="shared" si="2"/>
        <v>45667</v>
      </c>
      <c r="N33" s="3" t="str">
        <f t="shared" si="3"/>
        <v/>
      </c>
    </row>
    <row r="34" spans="1:21" ht="16.5" customHeight="1">
      <c r="A34" s="5">
        <v>5394</v>
      </c>
      <c r="B34" s="82">
        <f t="array" ref="B34">SUM(--(FREQUENCY(IF(C$2:C$3071=C34, MATCH(D$2:D$3071, D$2:D$3071, 0)), ROW(D$2:D$3071)-ROW(D$2)+1) &gt; 0))</f>
        <v>26</v>
      </c>
      <c r="C34" s="5">
        <f>VLOOKUP(D34, [1]Sheet1!K:X, 14, FALSE)</f>
        <v>41000590</v>
      </c>
      <c r="D34" s="6" t="s">
        <v>4166</v>
      </c>
      <c r="E34" s="5" t="s">
        <v>2365</v>
      </c>
      <c r="F34" s="5" t="s">
        <v>4165</v>
      </c>
      <c r="G34" s="3" t="str">
        <f t="shared" si="0"/>
        <v>SINGLE</v>
      </c>
      <c r="H34" s="197">
        <f t="shared" si="1"/>
        <v>2</v>
      </c>
      <c r="I34" s="198">
        <v>1</v>
      </c>
      <c r="J34" s="198">
        <v>10</v>
      </c>
      <c r="K34" s="186">
        <f t="shared" si="2"/>
        <v>45667</v>
      </c>
      <c r="L34" s="5" t="s">
        <v>2381</v>
      </c>
      <c r="M34" s="5"/>
      <c r="N34" s="3" t="str">
        <f t="shared" si="3"/>
        <v>NG</v>
      </c>
      <c r="O34" s="5" t="s">
        <v>1568</v>
      </c>
      <c r="P34" s="5"/>
      <c r="Q34" s="5"/>
      <c r="R34" s="5"/>
      <c r="S34" s="5" t="s">
        <v>4167</v>
      </c>
      <c r="T34" s="5" t="s">
        <v>4168</v>
      </c>
      <c r="U34" s="5"/>
    </row>
    <row r="35" spans="1:21" ht="16.5" customHeight="1">
      <c r="A35" s="5">
        <v>5394</v>
      </c>
      <c r="B35" s="82">
        <f t="array" ref="B35">SUM(--(FREQUENCY(IF(C$2:C$3071=C35, MATCH(D$2:D$3071, D$2:D$3071, 0)), ROW(D$2:D$3071)-ROW(D$2)+1) &gt; 0))</f>
        <v>26</v>
      </c>
      <c r="C35" s="5">
        <f>VLOOKUP(D35, [1]Sheet1!K:X, 14, FALSE)</f>
        <v>41000590</v>
      </c>
      <c r="D35" s="6" t="s">
        <v>4166</v>
      </c>
      <c r="E35" s="5" t="s">
        <v>2365</v>
      </c>
      <c r="F35" s="5" t="s">
        <v>4165</v>
      </c>
      <c r="G35" s="3" t="str">
        <f t="shared" si="0"/>
        <v>SINGLE</v>
      </c>
      <c r="H35" s="197">
        <f t="shared" si="1"/>
        <v>2</v>
      </c>
      <c r="I35" s="198">
        <v>1</v>
      </c>
      <c r="J35" s="198">
        <v>10</v>
      </c>
      <c r="K35" s="186">
        <f t="shared" si="2"/>
        <v>45667</v>
      </c>
      <c r="L35" s="5" t="s">
        <v>2381</v>
      </c>
      <c r="M35" s="5"/>
      <c r="N35" s="3" t="str">
        <f t="shared" si="3"/>
        <v>NG</v>
      </c>
      <c r="O35" s="5" t="s">
        <v>1568</v>
      </c>
      <c r="P35" s="5"/>
      <c r="Q35" s="5">
        <v>1100228300</v>
      </c>
      <c r="R35" s="5" t="s">
        <v>4105</v>
      </c>
      <c r="S35" s="5" t="s">
        <v>4106</v>
      </c>
      <c r="T35" s="5" t="s">
        <v>4169</v>
      </c>
      <c r="U35" s="5"/>
    </row>
    <row r="36" spans="1:21" ht="16.5" customHeight="1">
      <c r="A36" s="3">
        <v>5388</v>
      </c>
      <c r="B36" s="82">
        <f t="array" ref="B36">SUM(--(FREQUENCY(IF(C$2:C$3071=C36, MATCH(D$2:D$3071, D$2:D$3071, 0)), ROW(D$2:D$3071)-ROW(D$2)+1) &gt; 0))</f>
        <v>26</v>
      </c>
      <c r="C36" s="3">
        <f>VLOOKUP(D36, [1]Sheet1!K:X, 14, FALSE)</f>
        <v>41000590</v>
      </c>
      <c r="D36" s="6" t="s">
        <v>4170</v>
      </c>
      <c r="E36" s="3" t="s">
        <v>2365</v>
      </c>
      <c r="F36" s="3" t="s">
        <v>1616</v>
      </c>
      <c r="G36" s="3" t="str">
        <f t="shared" si="0"/>
        <v>SINGLE</v>
      </c>
      <c r="H36" s="197">
        <f t="shared" si="1"/>
        <v>2</v>
      </c>
      <c r="I36" s="197">
        <v>1</v>
      </c>
      <c r="J36" s="197">
        <v>10</v>
      </c>
      <c r="K36" s="186">
        <f t="shared" si="2"/>
        <v>45667</v>
      </c>
      <c r="N36" s="3" t="str">
        <f t="shared" si="3"/>
        <v/>
      </c>
    </row>
    <row r="37" spans="1:21" ht="16.5" customHeight="1">
      <c r="A37" s="3">
        <v>5388</v>
      </c>
      <c r="B37" s="82">
        <f t="array" ref="B37">SUM(--(FREQUENCY(IF(C$2:C$3071=C37, MATCH(D$2:D$3071, D$2:D$3071, 0)), ROW(D$2:D$3071)-ROW(D$2)+1) &gt; 0))</f>
        <v>26</v>
      </c>
      <c r="C37" s="3">
        <f>VLOOKUP(D37, [1]Sheet1!K:X, 14, FALSE)</f>
        <v>41000590</v>
      </c>
      <c r="D37" s="6" t="s">
        <v>4171</v>
      </c>
      <c r="E37" s="3" t="s">
        <v>2365</v>
      </c>
      <c r="F37" s="3" t="s">
        <v>4165</v>
      </c>
      <c r="G37" s="3" t="str">
        <f t="shared" si="0"/>
        <v>SINGLE</v>
      </c>
      <c r="H37" s="197">
        <f t="shared" si="1"/>
        <v>2</v>
      </c>
      <c r="I37" s="197">
        <v>1</v>
      </c>
      <c r="J37" s="197">
        <v>10</v>
      </c>
      <c r="K37" s="186">
        <f t="shared" si="2"/>
        <v>45667</v>
      </c>
      <c r="L37" s="3" t="s">
        <v>4104</v>
      </c>
      <c r="N37" s="3" t="str">
        <f t="shared" si="3"/>
        <v>NG</v>
      </c>
      <c r="O37" s="3" t="s">
        <v>1568</v>
      </c>
      <c r="Q37" s="3">
        <v>1100228300</v>
      </c>
      <c r="R37" s="3" t="s">
        <v>4105</v>
      </c>
      <c r="S37" s="3" t="s">
        <v>4106</v>
      </c>
      <c r="T37" s="3" t="s">
        <v>4172</v>
      </c>
    </row>
    <row r="38" spans="1:21" ht="16.5" customHeight="1">
      <c r="A38" s="3">
        <v>5274</v>
      </c>
      <c r="B38" s="82">
        <f t="array" ref="B38">SUM(--(FREQUENCY(IF(C$2:C$3071=C38, MATCH(D$2:D$3071, D$2:D$3071, 0)), ROW(D$2:D$3071)-ROW(D$2)+1) &gt; 0))</f>
        <v>77</v>
      </c>
      <c r="C38" s="3">
        <f>VLOOKUP(D38, [1]Sheet1!K:X, 14, FALSE)</f>
        <v>41200076</v>
      </c>
      <c r="D38" s="6" t="s">
        <v>4173</v>
      </c>
      <c r="E38" s="3" t="s">
        <v>4102</v>
      </c>
      <c r="F38" s="3" t="s">
        <v>4112</v>
      </c>
      <c r="G38" s="3" t="str">
        <f t="shared" si="0"/>
        <v>DUAL</v>
      </c>
      <c r="H38" s="197">
        <f t="shared" si="1"/>
        <v>2</v>
      </c>
      <c r="I38" s="197">
        <v>1</v>
      </c>
      <c r="J38" s="197">
        <v>10</v>
      </c>
      <c r="K38" s="186">
        <f t="shared" si="2"/>
        <v>45667</v>
      </c>
      <c r="N38" s="3" t="str">
        <f t="shared" si="3"/>
        <v/>
      </c>
    </row>
    <row r="39" spans="1:21" ht="16.5" customHeight="1">
      <c r="A39" s="3">
        <v>5386</v>
      </c>
      <c r="B39" s="82">
        <f t="array" ref="B39">SUM(--(FREQUENCY(IF(C$2:C$3071=C39, MATCH(D$2:D$3071, D$2:D$3071, 0)), ROW(D$2:D$3071)-ROW(D$2)+1) &gt; 0))</f>
        <v>144</v>
      </c>
      <c r="C39" s="3">
        <f>VLOOKUP(D39, [1]Sheet1!K:X, 14, FALSE)</f>
        <v>41200007</v>
      </c>
      <c r="D39" s="6" t="s">
        <v>1626</v>
      </c>
      <c r="E39" s="3" t="s">
        <v>2365</v>
      </c>
      <c r="F39" s="3" t="s">
        <v>2380</v>
      </c>
      <c r="G39" s="3" t="str">
        <f t="shared" si="0"/>
        <v>SINGLE</v>
      </c>
      <c r="H39" s="197">
        <f t="shared" si="1"/>
        <v>3</v>
      </c>
      <c r="I39" s="197">
        <v>1</v>
      </c>
      <c r="J39" s="197">
        <v>13</v>
      </c>
      <c r="K39" s="186">
        <f t="shared" si="2"/>
        <v>45670</v>
      </c>
      <c r="L39" s="3" t="s">
        <v>4104</v>
      </c>
      <c r="N39" s="3" t="str">
        <f t="shared" si="3"/>
        <v>NG</v>
      </c>
      <c r="O39" s="3" t="s">
        <v>1568</v>
      </c>
      <c r="Q39" s="3">
        <v>1100228300</v>
      </c>
      <c r="R39" s="3" t="s">
        <v>4105</v>
      </c>
      <c r="S39" s="3" t="s">
        <v>4106</v>
      </c>
      <c r="T39" s="3" t="s">
        <v>4174</v>
      </c>
    </row>
    <row r="40" spans="1:21" ht="16.5" customHeight="1">
      <c r="A40" s="3">
        <v>5386</v>
      </c>
      <c r="B40" s="82">
        <f t="array" ref="B40">SUM(--(FREQUENCY(IF(C$2:C$3071=C40, MATCH(D$2:D$3071, D$2:D$3071, 0)), ROW(D$2:D$3071)-ROW(D$2)+1) &gt; 0))</f>
        <v>144</v>
      </c>
      <c r="C40" s="3">
        <f>VLOOKUP(D40, [1]Sheet1!K:X, 14, FALSE)</f>
        <v>41200007</v>
      </c>
      <c r="D40" s="6" t="s">
        <v>1625</v>
      </c>
      <c r="E40" s="3" t="s">
        <v>2365</v>
      </c>
      <c r="F40" s="3" t="s">
        <v>2380</v>
      </c>
      <c r="G40" s="3" t="str">
        <f t="shared" si="0"/>
        <v>SINGLE</v>
      </c>
      <c r="H40" s="197">
        <f t="shared" si="1"/>
        <v>3</v>
      </c>
      <c r="I40" s="197">
        <v>1</v>
      </c>
      <c r="J40" s="197">
        <v>13</v>
      </c>
      <c r="K40" s="186">
        <f t="shared" si="2"/>
        <v>45670</v>
      </c>
      <c r="L40" s="3" t="s">
        <v>4104</v>
      </c>
      <c r="N40" s="3" t="str">
        <f t="shared" si="3"/>
        <v>NG</v>
      </c>
      <c r="O40" s="3" t="s">
        <v>1568</v>
      </c>
      <c r="S40" s="3" t="s">
        <v>4175</v>
      </c>
    </row>
    <row r="41" spans="1:21" ht="16.5" customHeight="1">
      <c r="A41" s="5">
        <v>5386</v>
      </c>
      <c r="B41" s="82">
        <f t="array" ref="B41">SUM(--(FREQUENCY(IF(C$2:C$3071=C41, MATCH(D$2:D$3071, D$2:D$3071, 0)), ROW(D$2:D$3071)-ROW(D$2)+1) &gt; 0))</f>
        <v>144</v>
      </c>
      <c r="C41" s="5">
        <f>VLOOKUP(D41, [1]Sheet1!K:X, 14, FALSE)</f>
        <v>41200007</v>
      </c>
      <c r="D41" s="6" t="s">
        <v>1624</v>
      </c>
      <c r="E41" s="5" t="s">
        <v>2365</v>
      </c>
      <c r="F41" s="5" t="s">
        <v>2380</v>
      </c>
      <c r="G41" s="3" t="str">
        <f t="shared" si="0"/>
        <v>SINGLE</v>
      </c>
      <c r="H41" s="197">
        <f t="shared" si="1"/>
        <v>3</v>
      </c>
      <c r="I41" s="198">
        <v>1</v>
      </c>
      <c r="J41" s="198">
        <v>13</v>
      </c>
      <c r="K41" s="186">
        <f t="shared" si="2"/>
        <v>45670</v>
      </c>
      <c r="L41" s="5" t="s">
        <v>4104</v>
      </c>
      <c r="M41" s="5"/>
      <c r="N41" s="3" t="str">
        <f t="shared" si="3"/>
        <v>NG</v>
      </c>
      <c r="O41" s="5" t="s">
        <v>1568</v>
      </c>
      <c r="P41" s="5"/>
      <c r="Q41" s="5">
        <v>1100228300</v>
      </c>
      <c r="R41" s="5" t="s">
        <v>4105</v>
      </c>
      <c r="S41" s="5" t="s">
        <v>4106</v>
      </c>
      <c r="T41" s="5" t="s">
        <v>4176</v>
      </c>
      <c r="U41" s="5"/>
    </row>
    <row r="42" spans="1:21" ht="16.5" customHeight="1">
      <c r="A42" s="5">
        <v>5386</v>
      </c>
      <c r="B42" s="82">
        <f t="array" ref="B42">SUM(--(FREQUENCY(IF(C$2:C$3071=C42, MATCH(D$2:D$3071, D$2:D$3071, 0)), ROW(D$2:D$3071)-ROW(D$2)+1) &gt; 0))</f>
        <v>144</v>
      </c>
      <c r="C42" s="5">
        <f>VLOOKUP(D42, [1]Sheet1!K:X, 14, FALSE)</f>
        <v>41200007</v>
      </c>
      <c r="D42" s="6" t="s">
        <v>1624</v>
      </c>
      <c r="E42" s="5" t="s">
        <v>2365</v>
      </c>
      <c r="F42" s="5" t="s">
        <v>2380</v>
      </c>
      <c r="G42" s="3" t="str">
        <f t="shared" si="0"/>
        <v>SINGLE</v>
      </c>
      <c r="H42" s="197">
        <f t="shared" si="1"/>
        <v>3</v>
      </c>
      <c r="I42" s="198">
        <v>1</v>
      </c>
      <c r="J42" s="198">
        <v>13</v>
      </c>
      <c r="K42" s="186">
        <f t="shared" si="2"/>
        <v>45670</v>
      </c>
      <c r="L42" s="5" t="s">
        <v>4104</v>
      </c>
      <c r="M42" s="5"/>
      <c r="N42" s="3" t="str">
        <f t="shared" si="3"/>
        <v>NG</v>
      </c>
      <c r="O42" s="5" t="s">
        <v>1568</v>
      </c>
      <c r="P42" s="5"/>
      <c r="Q42" s="5">
        <v>1100228300</v>
      </c>
      <c r="R42" s="5" t="s">
        <v>4105</v>
      </c>
      <c r="S42" s="5" t="s">
        <v>4106</v>
      </c>
      <c r="T42" s="5" t="s">
        <v>4177</v>
      </c>
      <c r="U42" s="5"/>
    </row>
    <row r="43" spans="1:21" ht="16.5" customHeight="1">
      <c r="A43" s="5">
        <v>5386</v>
      </c>
      <c r="B43" s="82">
        <f t="array" ref="B43">SUM(--(FREQUENCY(IF(C$2:C$3071=C43, MATCH(D$2:D$3071, D$2:D$3071, 0)), ROW(D$2:D$3071)-ROW(D$2)+1) &gt; 0))</f>
        <v>144</v>
      </c>
      <c r="C43" s="5">
        <f>VLOOKUP(D43, [1]Sheet1!K:X, 14, FALSE)</f>
        <v>41200007</v>
      </c>
      <c r="D43" s="6" t="s">
        <v>1624</v>
      </c>
      <c r="E43" s="5" t="s">
        <v>2365</v>
      </c>
      <c r="F43" s="5" t="s">
        <v>2380</v>
      </c>
      <c r="G43" s="3" t="str">
        <f t="shared" si="0"/>
        <v>SINGLE</v>
      </c>
      <c r="H43" s="197">
        <f t="shared" si="1"/>
        <v>3</v>
      </c>
      <c r="I43" s="198">
        <v>1</v>
      </c>
      <c r="J43" s="198">
        <v>13</v>
      </c>
      <c r="K43" s="186">
        <f t="shared" si="2"/>
        <v>45670</v>
      </c>
      <c r="L43" s="5" t="s">
        <v>4104</v>
      </c>
      <c r="M43" s="5"/>
      <c r="N43" s="3" t="str">
        <f t="shared" si="3"/>
        <v>NG</v>
      </c>
      <c r="O43" s="5" t="s">
        <v>1568</v>
      </c>
      <c r="P43" s="5"/>
      <c r="Q43" s="5">
        <v>1100228300</v>
      </c>
      <c r="R43" s="5" t="s">
        <v>4105</v>
      </c>
      <c r="S43" s="5" t="s">
        <v>4106</v>
      </c>
      <c r="T43" s="5" t="s">
        <v>4150</v>
      </c>
      <c r="U43" s="5"/>
    </row>
    <row r="44" spans="1:21" ht="16.5" customHeight="1">
      <c r="A44" s="3">
        <v>5386</v>
      </c>
      <c r="B44" s="82">
        <f t="array" ref="B44">SUM(--(FREQUENCY(IF(C$2:C$3071=C44, MATCH(D$2:D$3071, D$2:D$3071, 0)), ROW(D$2:D$3071)-ROW(D$2)+1) &gt; 0))</f>
        <v>144</v>
      </c>
      <c r="C44" s="3">
        <f>VLOOKUP(D44, [1]Sheet1!K:X, 14, FALSE)</f>
        <v>41200007</v>
      </c>
      <c r="D44" s="6" t="s">
        <v>1623</v>
      </c>
      <c r="E44" s="3" t="s">
        <v>2365</v>
      </c>
      <c r="F44" s="3" t="s">
        <v>2380</v>
      </c>
      <c r="G44" s="3" t="str">
        <f t="shared" si="0"/>
        <v>SINGLE</v>
      </c>
      <c r="H44" s="197">
        <f t="shared" si="1"/>
        <v>3</v>
      </c>
      <c r="I44" s="197">
        <v>1</v>
      </c>
      <c r="J44" s="197">
        <v>13</v>
      </c>
      <c r="K44" s="186">
        <f t="shared" si="2"/>
        <v>45670</v>
      </c>
      <c r="L44" s="3" t="s">
        <v>4104</v>
      </c>
      <c r="N44" s="3" t="str">
        <f t="shared" si="3"/>
        <v>NG</v>
      </c>
      <c r="O44" s="3" t="s">
        <v>1568</v>
      </c>
      <c r="S44" s="3" t="s">
        <v>4178</v>
      </c>
    </row>
    <row r="45" spans="1:21" ht="16.5" customHeight="1">
      <c r="A45" s="3">
        <v>5386</v>
      </c>
      <c r="B45" s="82">
        <f t="array" ref="B45">SUM(--(FREQUENCY(IF(C$2:C$3071=C45, MATCH(D$2:D$3071, D$2:D$3071, 0)), ROW(D$2:D$3071)-ROW(D$2)+1) &gt; 0))</f>
        <v>144</v>
      </c>
      <c r="C45" s="3">
        <f>VLOOKUP(D45, [1]Sheet1!K:X, 14, FALSE)</f>
        <v>41200007</v>
      </c>
      <c r="D45" s="6" t="s">
        <v>1622</v>
      </c>
      <c r="E45" s="3" t="s">
        <v>2365</v>
      </c>
      <c r="F45" s="3" t="s">
        <v>2380</v>
      </c>
      <c r="G45" s="3" t="str">
        <f t="shared" si="0"/>
        <v>SINGLE</v>
      </c>
      <c r="H45" s="197">
        <f t="shared" si="1"/>
        <v>3</v>
      </c>
      <c r="I45" s="197">
        <v>1</v>
      </c>
      <c r="J45" s="197">
        <v>13</v>
      </c>
      <c r="K45" s="186">
        <f t="shared" si="2"/>
        <v>45670</v>
      </c>
      <c r="N45" s="3" t="str">
        <f t="shared" si="3"/>
        <v/>
      </c>
    </row>
    <row r="46" spans="1:21" ht="16.5" customHeight="1">
      <c r="A46" s="3">
        <v>5386</v>
      </c>
      <c r="B46" s="82">
        <f t="array" ref="B46">SUM(--(FREQUENCY(IF(C$2:C$3071=C46, MATCH(D$2:D$3071, D$2:D$3071, 0)), ROW(D$2:D$3071)-ROW(D$2)+1) &gt; 0))</f>
        <v>144</v>
      </c>
      <c r="C46" s="3">
        <f>VLOOKUP(D46, [1]Sheet1!K:X, 14, FALSE)</f>
        <v>41200007</v>
      </c>
      <c r="D46" s="6" t="s">
        <v>4179</v>
      </c>
      <c r="E46" s="3" t="s">
        <v>2365</v>
      </c>
      <c r="F46" s="3" t="s">
        <v>2380</v>
      </c>
      <c r="G46" s="3" t="str">
        <f t="shared" si="0"/>
        <v>SINGLE</v>
      </c>
      <c r="H46" s="197">
        <f t="shared" si="1"/>
        <v>3</v>
      </c>
      <c r="I46" s="197">
        <v>1</v>
      </c>
      <c r="J46" s="197">
        <v>13</v>
      </c>
      <c r="K46" s="186">
        <f t="shared" si="2"/>
        <v>45670</v>
      </c>
      <c r="N46" s="3" t="str">
        <f t="shared" si="3"/>
        <v/>
      </c>
    </row>
    <row r="47" spans="1:21" ht="16.5" customHeight="1">
      <c r="A47" s="3">
        <v>5363</v>
      </c>
      <c r="B47" s="82">
        <f t="array" ref="B47">SUM(--(FREQUENCY(IF(C$2:C$3071=C47, MATCH(D$2:D$3071, D$2:D$3071, 0)), ROW(D$2:D$3071)-ROW(D$2)+1) &gt; 0))</f>
        <v>1</v>
      </c>
      <c r="C47" s="3">
        <f>VLOOKUP(D47, [1]Sheet1!K:X, 14, FALSE)</f>
        <v>41200100</v>
      </c>
      <c r="D47" s="6" t="s">
        <v>4180</v>
      </c>
      <c r="E47" s="3" t="s">
        <v>2365</v>
      </c>
      <c r="F47" s="3" t="s">
        <v>4181</v>
      </c>
      <c r="G47" s="3" t="str">
        <f t="shared" si="0"/>
        <v>DUAL</v>
      </c>
      <c r="H47" s="197">
        <f t="shared" si="1"/>
        <v>3</v>
      </c>
      <c r="I47" s="197">
        <v>1</v>
      </c>
      <c r="J47" s="197">
        <v>13</v>
      </c>
      <c r="K47" s="186">
        <f t="shared" si="2"/>
        <v>45670</v>
      </c>
      <c r="N47" s="3" t="str">
        <f t="shared" si="3"/>
        <v/>
      </c>
    </row>
    <row r="48" spans="1:21" ht="16.5" customHeight="1">
      <c r="A48" s="3">
        <v>5322</v>
      </c>
      <c r="B48" s="82">
        <f t="array" ref="B48">SUM(--(FREQUENCY(IF(C$2:C$3071=C48, MATCH(D$2:D$3071, D$2:D$3071, 0)), ROW(D$2:D$3071)-ROW(D$2)+1) &gt; 0))</f>
        <v>8</v>
      </c>
      <c r="C48" s="3">
        <f>VLOOKUP(D48, [1]Sheet1!K:X, 14, FALSE)</f>
        <v>41200088</v>
      </c>
      <c r="D48" s="6" t="s">
        <v>4182</v>
      </c>
      <c r="E48" s="3" t="s">
        <v>4183</v>
      </c>
      <c r="F48" s="3" t="s">
        <v>4112</v>
      </c>
      <c r="G48" s="3" t="str">
        <f t="shared" si="0"/>
        <v>DUAL</v>
      </c>
      <c r="H48" s="197">
        <f t="shared" si="1"/>
        <v>3</v>
      </c>
      <c r="I48" s="197">
        <v>1</v>
      </c>
      <c r="J48" s="197">
        <v>13</v>
      </c>
      <c r="K48" s="186">
        <f t="shared" si="2"/>
        <v>45670</v>
      </c>
      <c r="N48" s="3" t="str">
        <f t="shared" si="3"/>
        <v/>
      </c>
    </row>
    <row r="49" spans="1:21" ht="16.5" customHeight="1">
      <c r="A49" s="3">
        <v>5281</v>
      </c>
      <c r="B49" s="82">
        <f t="array" ref="B49">SUM(--(FREQUENCY(IF(C$2:C$3071=C49, MATCH(D$2:D$3071, D$2:D$3071, 0)), ROW(D$2:D$3071)-ROW(D$2)+1) &gt; 0))</f>
        <v>20</v>
      </c>
      <c r="C49" s="3">
        <v>41200125</v>
      </c>
      <c r="D49" s="6" t="s">
        <v>4184</v>
      </c>
      <c r="E49" s="3" t="s">
        <v>4102</v>
      </c>
      <c r="F49" s="3" t="s">
        <v>4112</v>
      </c>
      <c r="G49" s="3" t="str">
        <f t="shared" si="0"/>
        <v>DUAL</v>
      </c>
      <c r="H49" s="197">
        <f t="shared" si="1"/>
        <v>3</v>
      </c>
      <c r="I49" s="197">
        <v>1</v>
      </c>
      <c r="J49" s="197">
        <v>14</v>
      </c>
      <c r="K49" s="186">
        <f t="shared" si="2"/>
        <v>45671</v>
      </c>
      <c r="N49" s="3" t="str">
        <f t="shared" si="3"/>
        <v/>
      </c>
    </row>
    <row r="50" spans="1:21" ht="16.5" customHeight="1">
      <c r="A50" s="3">
        <v>5348</v>
      </c>
      <c r="B50" s="82">
        <f t="array" ref="B50">SUM(--(FREQUENCY(IF(C$2:C$3071=C50, MATCH(D$2:D$3071, D$2:D$3071, 0)), ROW(D$2:D$3071)-ROW(D$2)+1) &gt; 0))</f>
        <v>22</v>
      </c>
      <c r="C50" s="3">
        <f>VLOOKUP(D50, [1]Sheet1!K:X, 14, FALSE)</f>
        <v>41200075</v>
      </c>
      <c r="D50" s="6" t="s">
        <v>4185</v>
      </c>
      <c r="E50" s="3" t="s">
        <v>4102</v>
      </c>
      <c r="F50" s="3" t="s">
        <v>4112</v>
      </c>
      <c r="G50" s="3" t="str">
        <f t="shared" si="0"/>
        <v>DUAL</v>
      </c>
      <c r="H50" s="197">
        <f t="shared" si="1"/>
        <v>3</v>
      </c>
      <c r="I50" s="197">
        <v>1</v>
      </c>
      <c r="J50" s="197">
        <v>15</v>
      </c>
      <c r="K50" s="186">
        <f t="shared" si="2"/>
        <v>45672</v>
      </c>
      <c r="L50" s="3" t="s">
        <v>4104</v>
      </c>
      <c r="N50" s="3" t="str">
        <f t="shared" si="3"/>
        <v>NG</v>
      </c>
      <c r="O50" s="3" t="s">
        <v>1568</v>
      </c>
      <c r="S50" s="3" t="s">
        <v>4186</v>
      </c>
      <c r="T50" s="3" t="s">
        <v>4137</v>
      </c>
    </row>
    <row r="51" spans="1:21" ht="16.5" customHeight="1">
      <c r="A51" s="3">
        <v>5348</v>
      </c>
      <c r="B51" s="82">
        <f t="array" ref="B51">SUM(--(FREQUENCY(IF(C$2:C$3071=C51, MATCH(D$2:D$3071, D$2:D$3071, 0)), ROW(D$2:D$3071)-ROW(D$2)+1) &gt; 0))</f>
        <v>22</v>
      </c>
      <c r="C51" s="3">
        <f>VLOOKUP(D51, [1]Sheet1!K:X, 14, FALSE)</f>
        <v>41200075</v>
      </c>
      <c r="D51" s="6" t="s">
        <v>4187</v>
      </c>
      <c r="E51" s="3" t="s">
        <v>4102</v>
      </c>
      <c r="F51" s="3" t="s">
        <v>4112</v>
      </c>
      <c r="G51" s="3" t="str">
        <f t="shared" si="0"/>
        <v>DUAL</v>
      </c>
      <c r="H51" s="197">
        <f t="shared" si="1"/>
        <v>3</v>
      </c>
      <c r="I51" s="197">
        <v>1</v>
      </c>
      <c r="J51" s="197">
        <v>15</v>
      </c>
      <c r="K51" s="186">
        <f t="shared" si="2"/>
        <v>45672</v>
      </c>
      <c r="L51" s="3" t="s">
        <v>4104</v>
      </c>
      <c r="N51" s="3" t="str">
        <f t="shared" si="3"/>
        <v>NG</v>
      </c>
      <c r="O51" s="3" t="s">
        <v>1568</v>
      </c>
      <c r="S51" s="3" t="s">
        <v>4188</v>
      </c>
      <c r="T51" s="3" t="s">
        <v>4137</v>
      </c>
    </row>
    <row r="52" spans="1:21" ht="16.5" customHeight="1">
      <c r="A52" s="3">
        <v>5348</v>
      </c>
      <c r="B52" s="82">
        <f t="array" ref="B52">SUM(--(FREQUENCY(IF(C$2:C$3071=C52, MATCH(D$2:D$3071, D$2:D$3071, 0)), ROW(D$2:D$3071)-ROW(D$2)+1) &gt; 0))</f>
        <v>22</v>
      </c>
      <c r="C52" s="3">
        <f>VLOOKUP(D52, [1]Sheet1!K:X, 14, FALSE)</f>
        <v>41200075</v>
      </c>
      <c r="D52" s="6" t="s">
        <v>4189</v>
      </c>
      <c r="E52" s="3" t="s">
        <v>4102</v>
      </c>
      <c r="F52" s="3" t="s">
        <v>4112</v>
      </c>
      <c r="G52" s="3" t="str">
        <f t="shared" si="0"/>
        <v>DUAL</v>
      </c>
      <c r="H52" s="197">
        <f t="shared" si="1"/>
        <v>3</v>
      </c>
      <c r="I52" s="197">
        <v>1</v>
      </c>
      <c r="J52" s="197">
        <v>15</v>
      </c>
      <c r="K52" s="186">
        <f t="shared" si="2"/>
        <v>45672</v>
      </c>
      <c r="L52" s="3" t="s">
        <v>4104</v>
      </c>
      <c r="N52" s="3" t="str">
        <f t="shared" si="3"/>
        <v>NG</v>
      </c>
      <c r="O52" s="3" t="s">
        <v>1568</v>
      </c>
      <c r="S52" s="3" t="s">
        <v>4190</v>
      </c>
    </row>
    <row r="53" spans="1:21" ht="16.5" customHeight="1">
      <c r="A53" s="3">
        <v>5280</v>
      </c>
      <c r="B53" s="82">
        <f t="array" ref="B53">SUM(--(FREQUENCY(IF(C$2:C$3071=C53, MATCH(D$2:D$3071, D$2:D$3071, 0)), ROW(D$2:D$3071)-ROW(D$2)+1) &gt; 0))</f>
        <v>77</v>
      </c>
      <c r="C53" s="3">
        <f>VLOOKUP(D53, [1]Sheet1!K:X, 14, FALSE)</f>
        <v>41200076</v>
      </c>
      <c r="D53" s="6" t="s">
        <v>4191</v>
      </c>
      <c r="E53" s="3" t="s">
        <v>4102</v>
      </c>
      <c r="F53" s="3" t="s">
        <v>4112</v>
      </c>
      <c r="G53" s="3" t="str">
        <f t="shared" si="0"/>
        <v>DUAL</v>
      </c>
      <c r="H53" s="197">
        <f t="shared" si="1"/>
        <v>3</v>
      </c>
      <c r="I53" s="197">
        <v>1</v>
      </c>
      <c r="J53" s="197">
        <v>15</v>
      </c>
      <c r="K53" s="186">
        <f t="shared" si="2"/>
        <v>45672</v>
      </c>
      <c r="L53" s="3" t="s">
        <v>4104</v>
      </c>
      <c r="N53" s="3" t="str">
        <f t="shared" si="3"/>
        <v>NG</v>
      </c>
      <c r="O53" s="3" t="s">
        <v>1568</v>
      </c>
      <c r="S53" s="3" t="s">
        <v>4192</v>
      </c>
      <c r="T53" s="3" t="s">
        <v>4193</v>
      </c>
    </row>
    <row r="54" spans="1:21" ht="16.5" customHeight="1">
      <c r="A54" s="3">
        <v>5277</v>
      </c>
      <c r="B54" s="82">
        <f t="array" ref="B54">SUM(--(FREQUENCY(IF(C$2:C$3071=C54, MATCH(D$2:D$3071, D$2:D$3071, 0)), ROW(D$2:D$3071)-ROW(D$2)+1) &gt; 0))</f>
        <v>22</v>
      </c>
      <c r="C54" s="3">
        <f>VLOOKUP(D54, [1]Sheet1!K:X, 14, FALSE)</f>
        <v>41200075</v>
      </c>
      <c r="D54" s="6" t="s">
        <v>4194</v>
      </c>
      <c r="E54" s="3" t="s">
        <v>4102</v>
      </c>
      <c r="F54" s="3" t="s">
        <v>4112</v>
      </c>
      <c r="G54" s="3" t="str">
        <f t="shared" si="0"/>
        <v>DUAL</v>
      </c>
      <c r="H54" s="197">
        <f t="shared" si="1"/>
        <v>3</v>
      </c>
      <c r="I54" s="197">
        <v>1</v>
      </c>
      <c r="J54" s="197">
        <v>15</v>
      </c>
      <c r="K54" s="186">
        <f t="shared" si="2"/>
        <v>45672</v>
      </c>
      <c r="L54" s="3" t="s">
        <v>4104</v>
      </c>
      <c r="N54" s="3" t="str">
        <f t="shared" si="3"/>
        <v>NG</v>
      </c>
      <c r="O54" s="3" t="s">
        <v>1568</v>
      </c>
      <c r="S54" s="3" t="s">
        <v>4195</v>
      </c>
      <c r="T54" s="3" t="s">
        <v>4137</v>
      </c>
    </row>
    <row r="55" spans="1:21" ht="16.5" customHeight="1">
      <c r="A55" s="3">
        <v>5323</v>
      </c>
      <c r="B55" s="82">
        <f t="array" ref="B55">SUM(--(FREQUENCY(IF(C$2:C$3071=C55, MATCH(D$2:D$3071, D$2:D$3071, 0)), ROW(D$2:D$3071)-ROW(D$2)+1) &gt; 0))</f>
        <v>2</v>
      </c>
      <c r="C55" s="3">
        <f>VLOOKUP(D55, [1]Sheet1!K:X, 14, FALSE)</f>
        <v>41200095</v>
      </c>
      <c r="D55" s="6" t="s">
        <v>4196</v>
      </c>
      <c r="E55" s="3" t="s">
        <v>2365</v>
      </c>
      <c r="F55" s="3" t="s">
        <v>2380</v>
      </c>
      <c r="G55" s="3" t="str">
        <f t="shared" si="0"/>
        <v>SINGLE</v>
      </c>
      <c r="H55" s="197">
        <f t="shared" si="1"/>
        <v>3</v>
      </c>
      <c r="I55" s="197">
        <v>1</v>
      </c>
      <c r="J55" s="197">
        <v>16</v>
      </c>
      <c r="K55" s="186">
        <f t="shared" si="2"/>
        <v>45673</v>
      </c>
      <c r="N55" s="3" t="str">
        <f t="shared" si="3"/>
        <v/>
      </c>
    </row>
    <row r="56" spans="1:21" ht="16.5" customHeight="1">
      <c r="A56" s="3">
        <v>5323</v>
      </c>
      <c r="B56" s="82">
        <f t="array" ref="B56">SUM(--(FREQUENCY(IF(C$2:C$3071=C56, MATCH(D$2:D$3071, D$2:D$3071, 0)), ROW(D$2:D$3071)-ROW(D$2)+1) &gt; 0))</f>
        <v>2</v>
      </c>
      <c r="C56" s="3">
        <f>VLOOKUP(D56, [1]Sheet1!K:X, 14, FALSE)</f>
        <v>41200095</v>
      </c>
      <c r="D56" s="6" t="s">
        <v>4197</v>
      </c>
      <c r="E56" s="3" t="s">
        <v>2365</v>
      </c>
      <c r="F56" s="3" t="s">
        <v>2380</v>
      </c>
      <c r="G56" s="3" t="str">
        <f t="shared" si="0"/>
        <v>SINGLE</v>
      </c>
      <c r="H56" s="197">
        <f t="shared" si="1"/>
        <v>3</v>
      </c>
      <c r="I56" s="197">
        <v>1</v>
      </c>
      <c r="J56" s="197">
        <v>16</v>
      </c>
      <c r="K56" s="186">
        <f t="shared" si="2"/>
        <v>45673</v>
      </c>
      <c r="L56" s="3" t="s">
        <v>2367</v>
      </c>
      <c r="N56" s="3" t="str">
        <f t="shared" si="3"/>
        <v>NG</v>
      </c>
      <c r="O56" s="3" t="s">
        <v>1568</v>
      </c>
      <c r="S56" s="3" t="s">
        <v>4198</v>
      </c>
      <c r="T56" s="3" t="s">
        <v>4137</v>
      </c>
    </row>
    <row r="57" spans="1:21" ht="16.5" customHeight="1">
      <c r="A57" s="3">
        <v>5278</v>
      </c>
      <c r="B57" s="82">
        <f t="array" ref="B57">SUM(--(FREQUENCY(IF(C$2:C$3071=C57, MATCH(D$2:D$3071, D$2:D$3071, 0)), ROW(D$2:D$3071)-ROW(D$2)+1) &gt; 0))</f>
        <v>19</v>
      </c>
      <c r="C57" s="3">
        <f>VLOOKUP(D57, [1]Sheet1!K:X, 14, FALSE)</f>
        <v>41100320</v>
      </c>
      <c r="D57" s="6" t="s">
        <v>4199</v>
      </c>
      <c r="E57" s="3" t="s">
        <v>4102</v>
      </c>
      <c r="F57" s="3" t="s">
        <v>4112</v>
      </c>
      <c r="G57" s="3" t="str">
        <f t="shared" si="0"/>
        <v>DUAL</v>
      </c>
      <c r="H57" s="197">
        <f t="shared" si="1"/>
        <v>3</v>
      </c>
      <c r="I57" s="197">
        <v>1</v>
      </c>
      <c r="J57" s="197">
        <v>16</v>
      </c>
      <c r="K57" s="186">
        <f t="shared" si="2"/>
        <v>45673</v>
      </c>
      <c r="L57" s="3" t="s">
        <v>4104</v>
      </c>
      <c r="N57" s="3" t="str">
        <f t="shared" si="3"/>
        <v>NG</v>
      </c>
      <c r="O57" s="3" t="s">
        <v>1568</v>
      </c>
      <c r="S57" s="3" t="s">
        <v>4200</v>
      </c>
      <c r="T57" s="3" t="s">
        <v>4201</v>
      </c>
    </row>
    <row r="58" spans="1:21" ht="16.5" customHeight="1">
      <c r="A58" s="3">
        <v>5254</v>
      </c>
      <c r="B58" s="82">
        <f t="array" ref="B58">SUM(--(FREQUENCY(IF(C$2:C$3071=C58, MATCH(D$2:D$3071, D$2:D$3071, 0)), ROW(D$2:D$3071)-ROW(D$2)+1) &gt; 0))</f>
        <v>14</v>
      </c>
      <c r="C58" s="3">
        <f>VLOOKUP(D58, [1]Sheet1!K:X, 14, FALSE)</f>
        <v>41000514</v>
      </c>
      <c r="D58" s="6" t="s">
        <v>4202</v>
      </c>
      <c r="E58" s="3" t="s">
        <v>2365</v>
      </c>
      <c r="F58" s="3" t="s">
        <v>4130</v>
      </c>
      <c r="G58" s="3" t="str">
        <f t="shared" si="0"/>
        <v>DUAL</v>
      </c>
      <c r="H58" s="197">
        <f t="shared" si="1"/>
        <v>3</v>
      </c>
      <c r="I58" s="197">
        <v>1</v>
      </c>
      <c r="J58" s="197">
        <v>16</v>
      </c>
      <c r="K58" s="186">
        <f t="shared" si="2"/>
        <v>45673</v>
      </c>
      <c r="L58" s="3" t="s">
        <v>2381</v>
      </c>
      <c r="N58" s="3" t="str">
        <f t="shared" si="3"/>
        <v>NG</v>
      </c>
      <c r="O58" s="3" t="s">
        <v>1568</v>
      </c>
      <c r="S58" s="3" t="s">
        <v>4203</v>
      </c>
      <c r="T58" s="3" t="s">
        <v>4204</v>
      </c>
    </row>
    <row r="59" spans="1:21" ht="17.25" customHeight="1">
      <c r="A59" s="6">
        <v>5254</v>
      </c>
      <c r="B59" s="82">
        <f t="array" ref="B59">SUM(--(FREQUENCY(IF(C$2:C$3071=C59, MATCH(D$2:D$3071, D$2:D$3071, 0)), ROW(D$2:D$3071)-ROW(D$2)+1) &gt; 0))</f>
        <v>14</v>
      </c>
      <c r="C59" s="3">
        <f>VLOOKUP(D59, [1]Sheet1!K:X, 14, FALSE)</f>
        <v>41000514</v>
      </c>
      <c r="D59" s="6" t="s">
        <v>4202</v>
      </c>
      <c r="E59" s="6" t="s">
        <v>2365</v>
      </c>
      <c r="F59" s="3" t="s">
        <v>4130</v>
      </c>
      <c r="G59" s="3" t="str">
        <f t="shared" si="0"/>
        <v>DUAL</v>
      </c>
      <c r="H59" s="197">
        <f t="shared" si="1"/>
        <v>3</v>
      </c>
      <c r="I59" s="199">
        <v>1</v>
      </c>
      <c r="J59" s="199">
        <v>16</v>
      </c>
      <c r="K59" s="186">
        <f t="shared" si="2"/>
        <v>45673</v>
      </c>
      <c r="L59" s="6" t="s">
        <v>2381</v>
      </c>
      <c r="M59" s="6"/>
      <c r="N59" s="3" t="str">
        <f t="shared" si="3"/>
        <v>NG</v>
      </c>
      <c r="O59" s="6" t="s">
        <v>1568</v>
      </c>
      <c r="P59" s="6"/>
      <c r="Q59" s="6">
        <v>1100668900</v>
      </c>
      <c r="R59" s="6" t="s">
        <v>4140</v>
      </c>
      <c r="S59" s="6" t="s">
        <v>4141</v>
      </c>
      <c r="T59" s="6" t="s">
        <v>4204</v>
      </c>
      <c r="U59" s="6"/>
    </row>
    <row r="60" spans="1:21" s="2" customFormat="1" ht="16.5" customHeight="1">
      <c r="A60" s="3">
        <v>5254</v>
      </c>
      <c r="B60" s="82">
        <f t="array" ref="B60">SUM(--(FREQUENCY(IF(C$2:C$3071=C60, MATCH(D$2:D$3071, D$2:D$3071, 0)), ROW(D$2:D$3071)-ROW(D$2)+1) &gt; 0))</f>
        <v>14</v>
      </c>
      <c r="C60" s="3">
        <f>VLOOKUP(D60, [1]Sheet1!K:X, 14, FALSE)</f>
        <v>41000514</v>
      </c>
      <c r="D60" s="6" t="s">
        <v>4205</v>
      </c>
      <c r="E60" s="3" t="s">
        <v>2365</v>
      </c>
      <c r="F60" s="3" t="s">
        <v>4130</v>
      </c>
      <c r="G60" s="3" t="str">
        <f t="shared" si="0"/>
        <v>DUAL</v>
      </c>
      <c r="H60" s="197">
        <f t="shared" si="1"/>
        <v>3</v>
      </c>
      <c r="I60" s="197">
        <v>1</v>
      </c>
      <c r="J60" s="197">
        <v>16</v>
      </c>
      <c r="K60" s="186">
        <f t="shared" si="2"/>
        <v>45673</v>
      </c>
      <c r="L60" s="3"/>
      <c r="M60" s="3"/>
      <c r="N60" s="3" t="str">
        <f t="shared" si="3"/>
        <v/>
      </c>
      <c r="O60" s="3"/>
      <c r="P60" s="3"/>
      <c r="Q60" s="3"/>
      <c r="R60" s="3"/>
      <c r="S60" s="3"/>
      <c r="T60" s="3"/>
      <c r="U60" s="3"/>
    </row>
    <row r="61" spans="1:21" s="2" customFormat="1" ht="16.5" customHeight="1">
      <c r="A61" s="3">
        <v>5411</v>
      </c>
      <c r="B61" s="82">
        <f t="array" ref="B61">SUM(--(FREQUENCY(IF(C$2:C$3071=C61, MATCH(D$2:D$3071, D$2:D$3071, 0)), ROW(D$2:D$3071)-ROW(D$2)+1) &gt; 0))</f>
        <v>49</v>
      </c>
      <c r="C61" s="3">
        <f>VLOOKUP(D61, [1]Sheet1!K:X, 14, FALSE)</f>
        <v>41200005</v>
      </c>
      <c r="D61" s="6" t="s">
        <v>4206</v>
      </c>
      <c r="E61" s="3" t="s">
        <v>2365</v>
      </c>
      <c r="F61" s="3" t="s">
        <v>2380</v>
      </c>
      <c r="G61" s="3" t="str">
        <f t="shared" si="0"/>
        <v>SINGLE</v>
      </c>
      <c r="H61" s="197">
        <f t="shared" si="1"/>
        <v>3</v>
      </c>
      <c r="I61" s="197">
        <v>1</v>
      </c>
      <c r="J61" s="197">
        <v>17</v>
      </c>
      <c r="K61" s="186">
        <f t="shared" si="2"/>
        <v>45674</v>
      </c>
      <c r="L61" s="3" t="s">
        <v>4104</v>
      </c>
      <c r="M61" s="3"/>
      <c r="N61" s="3" t="str">
        <f t="shared" si="3"/>
        <v>NG</v>
      </c>
      <c r="O61" s="3" t="s">
        <v>1568</v>
      </c>
      <c r="P61" s="3"/>
      <c r="Q61" s="3"/>
      <c r="R61" s="3"/>
      <c r="S61" s="3" t="s">
        <v>4207</v>
      </c>
      <c r="T61" s="3"/>
      <c r="U61" s="3"/>
    </row>
    <row r="62" spans="1:21" s="2" customFormat="1" ht="16.5" customHeight="1">
      <c r="A62" s="6">
        <v>5411</v>
      </c>
      <c r="B62" s="82">
        <f t="array" ref="B62">SUM(--(FREQUENCY(IF(C$2:C$3071=C62, MATCH(D$2:D$3071, D$2:D$3071, 0)), ROW(D$2:D$3071)-ROW(D$2)+1) &gt; 0))</f>
        <v>49</v>
      </c>
      <c r="C62" s="3">
        <f>VLOOKUP(D62, [1]Sheet1!K:X, 14, FALSE)</f>
        <v>41200005</v>
      </c>
      <c r="D62" s="6" t="s">
        <v>4208</v>
      </c>
      <c r="E62" s="6" t="s">
        <v>2365</v>
      </c>
      <c r="F62" s="6" t="s">
        <v>2380</v>
      </c>
      <c r="G62" s="3" t="str">
        <f t="shared" si="0"/>
        <v>SINGLE</v>
      </c>
      <c r="H62" s="197">
        <f t="shared" si="1"/>
        <v>3</v>
      </c>
      <c r="I62" s="199">
        <v>1</v>
      </c>
      <c r="J62" s="199">
        <v>17</v>
      </c>
      <c r="K62" s="186">
        <f t="shared" si="2"/>
        <v>45674</v>
      </c>
      <c r="L62" s="6" t="s">
        <v>4104</v>
      </c>
      <c r="M62" s="6"/>
      <c r="N62" s="3" t="str">
        <f t="shared" si="3"/>
        <v>NG</v>
      </c>
      <c r="O62" s="6" t="s">
        <v>1568</v>
      </c>
      <c r="P62" s="6"/>
      <c r="Q62" s="3">
        <v>1100228300</v>
      </c>
      <c r="R62" s="3" t="s">
        <v>4105</v>
      </c>
      <c r="S62" s="6" t="s">
        <v>4106</v>
      </c>
      <c r="T62" s="6" t="s">
        <v>4209</v>
      </c>
      <c r="U62" s="6"/>
    </row>
    <row r="63" spans="1:21" s="2" customFormat="1" ht="40.5" customHeight="1">
      <c r="A63" s="3">
        <v>5411</v>
      </c>
      <c r="B63" s="82">
        <f t="array" ref="B63">SUM(--(FREQUENCY(IF(C$2:C$3071=C63, MATCH(D$2:D$3071, D$2:D$3071, 0)), ROW(D$2:D$3071)-ROW(D$2)+1) &gt; 0))</f>
        <v>49</v>
      </c>
      <c r="C63" s="3">
        <f>VLOOKUP(D63, [1]Sheet1!K:X, 14, FALSE)</f>
        <v>41200005</v>
      </c>
      <c r="D63" s="6" t="s">
        <v>4210</v>
      </c>
      <c r="E63" s="3" t="s">
        <v>2365</v>
      </c>
      <c r="F63" s="3" t="s">
        <v>2380</v>
      </c>
      <c r="G63" s="3" t="str">
        <f t="shared" si="0"/>
        <v>SINGLE</v>
      </c>
      <c r="H63" s="197">
        <f t="shared" si="1"/>
        <v>3</v>
      </c>
      <c r="I63" s="197">
        <v>1</v>
      </c>
      <c r="J63" s="197">
        <v>17</v>
      </c>
      <c r="K63" s="186">
        <f t="shared" si="2"/>
        <v>45674</v>
      </c>
      <c r="L63" s="3"/>
      <c r="M63" s="3"/>
      <c r="N63" s="3" t="str">
        <f t="shared" si="3"/>
        <v/>
      </c>
      <c r="O63" s="3"/>
      <c r="P63" s="3"/>
      <c r="Q63" s="3"/>
      <c r="R63" s="3"/>
      <c r="S63" s="3"/>
      <c r="T63" s="3"/>
      <c r="U63" s="3"/>
    </row>
    <row r="64" spans="1:21" s="2" customFormat="1" ht="16.5" customHeight="1">
      <c r="A64" s="3">
        <v>5411</v>
      </c>
      <c r="B64" s="82">
        <f t="array" ref="B64">SUM(--(FREQUENCY(IF(C$2:C$3071=C64, MATCH(D$2:D$3071, D$2:D$3071, 0)), ROW(D$2:D$3071)-ROW(D$2)+1) &gt; 0))</f>
        <v>49</v>
      </c>
      <c r="C64" s="3">
        <f>VLOOKUP(D64, [1]Sheet1!K:X, 14, FALSE)</f>
        <v>41200005</v>
      </c>
      <c r="D64" s="6" t="s">
        <v>4211</v>
      </c>
      <c r="E64" s="3" t="s">
        <v>2365</v>
      </c>
      <c r="F64" s="3" t="s">
        <v>2380</v>
      </c>
      <c r="G64" s="3" t="str">
        <f t="shared" si="0"/>
        <v>SINGLE</v>
      </c>
      <c r="H64" s="197">
        <f t="shared" si="1"/>
        <v>3</v>
      </c>
      <c r="I64" s="197">
        <v>1</v>
      </c>
      <c r="J64" s="197">
        <v>17</v>
      </c>
      <c r="K64" s="186">
        <f t="shared" si="2"/>
        <v>45674</v>
      </c>
      <c r="L64" s="3" t="s">
        <v>4104</v>
      </c>
      <c r="M64" s="3"/>
      <c r="N64" s="3" t="str">
        <f t="shared" si="3"/>
        <v>NG</v>
      </c>
      <c r="O64" s="3" t="s">
        <v>1568</v>
      </c>
      <c r="P64" s="3"/>
      <c r="Q64" s="3"/>
      <c r="R64" s="3"/>
      <c r="S64" s="3" t="s">
        <v>4212</v>
      </c>
      <c r="T64" s="3" t="s">
        <v>4213</v>
      </c>
      <c r="U64" s="3"/>
    </row>
    <row r="65" spans="1:21" s="2" customFormat="1" ht="16.5" customHeight="1">
      <c r="A65" s="3">
        <v>5345</v>
      </c>
      <c r="B65" s="82">
        <f t="array" ref="B65">SUM(--(FREQUENCY(IF(C$2:C$3071=C65, MATCH(D$2:D$3071, D$2:D$3071, 0)), ROW(D$2:D$3071)-ROW(D$2)+1) &gt; 0))</f>
        <v>14</v>
      </c>
      <c r="C65" s="3">
        <f>VLOOKUP(D65, [1]Sheet1!K:X, 14, FALSE)</f>
        <v>41200038</v>
      </c>
      <c r="D65" s="6" t="s">
        <v>4214</v>
      </c>
      <c r="E65" s="3" t="s">
        <v>4135</v>
      </c>
      <c r="F65" s="3" t="s">
        <v>4112</v>
      </c>
      <c r="G65" s="3" t="str">
        <f t="shared" si="0"/>
        <v>DUAL</v>
      </c>
      <c r="H65" s="197">
        <f t="shared" ref="H65:H128" si="4">WEEKNUM(K65)</f>
        <v>3</v>
      </c>
      <c r="I65" s="197">
        <v>1</v>
      </c>
      <c r="J65" s="197">
        <v>17</v>
      </c>
      <c r="K65" s="186">
        <f t="shared" si="2"/>
        <v>45674</v>
      </c>
      <c r="L65" s="3" t="s">
        <v>2381</v>
      </c>
      <c r="M65" s="3"/>
      <c r="N65" s="3" t="str">
        <f t="shared" si="3"/>
        <v>NG</v>
      </c>
      <c r="O65" s="3" t="s">
        <v>1568</v>
      </c>
      <c r="P65" s="3"/>
      <c r="Q65" s="3">
        <v>1100228300</v>
      </c>
      <c r="R65" s="3" t="s">
        <v>4105</v>
      </c>
      <c r="S65" s="3" t="s">
        <v>4106</v>
      </c>
      <c r="T65" s="3" t="s">
        <v>4215</v>
      </c>
      <c r="U65" s="3"/>
    </row>
    <row r="66" spans="1:21" s="2" customFormat="1" ht="16.5" customHeight="1">
      <c r="A66" s="3">
        <v>5280</v>
      </c>
      <c r="B66" s="82">
        <f t="array" ref="B66">SUM(--(FREQUENCY(IF(C$2:C$3071=C66, MATCH(D$2:D$3071, D$2:D$3071, 0)), ROW(D$2:D$3071)-ROW(D$2)+1) &gt; 0))</f>
        <v>77</v>
      </c>
      <c r="C66" s="3">
        <f>VLOOKUP(D66, [1]Sheet1!K:X, 14, FALSE)</f>
        <v>41200076</v>
      </c>
      <c r="D66" s="6" t="s">
        <v>4216</v>
      </c>
      <c r="E66" s="3" t="s">
        <v>4102</v>
      </c>
      <c r="F66" s="3" t="s">
        <v>4112</v>
      </c>
      <c r="G66" s="3" t="str">
        <f t="shared" ref="G66:G129" si="5">IF(OR(ISNUMBER(SEARCH("DUAL",F66)), ISNUMBER(SEARCH("IVAS",F66))), "DUAL", "SINGLE")</f>
        <v>DUAL</v>
      </c>
      <c r="H66" s="197">
        <f t="shared" si="4"/>
        <v>3</v>
      </c>
      <c r="I66" s="197">
        <v>1</v>
      </c>
      <c r="J66" s="197">
        <v>17</v>
      </c>
      <c r="K66" s="186">
        <f t="shared" ref="K66:K129" si="6">DATE(2025, I66, J66)</f>
        <v>45674</v>
      </c>
      <c r="L66" s="3" t="s">
        <v>2381</v>
      </c>
      <c r="M66" s="3"/>
      <c r="N66" s="3" t="str">
        <f t="shared" ref="N66:N129" si="7">IF(O66&lt;&gt;"", "NG", "")</f>
        <v>NG</v>
      </c>
      <c r="O66" s="3" t="s">
        <v>1568</v>
      </c>
      <c r="P66" s="3"/>
      <c r="Q66" s="3"/>
      <c r="R66" s="3"/>
      <c r="S66" s="3" t="s">
        <v>4217</v>
      </c>
      <c r="T66" s="3" t="s">
        <v>4218</v>
      </c>
      <c r="U66" s="3"/>
    </row>
    <row r="67" spans="1:21" s="2" customFormat="1" ht="16.5" customHeight="1">
      <c r="A67" s="3">
        <v>5280</v>
      </c>
      <c r="B67" s="82">
        <f t="array" ref="B67">SUM(--(FREQUENCY(IF(C$2:C$3071=C67, MATCH(D$2:D$3071, D$2:D$3071, 0)), ROW(D$2:D$3071)-ROW(D$2)+1) &gt; 0))</f>
        <v>77</v>
      </c>
      <c r="C67" s="3">
        <f>VLOOKUP(D67, [1]Sheet1!K:X, 14, FALSE)</f>
        <v>41200076</v>
      </c>
      <c r="D67" s="6" t="s">
        <v>4219</v>
      </c>
      <c r="E67" s="3" t="s">
        <v>4102</v>
      </c>
      <c r="F67" s="3" t="s">
        <v>4112</v>
      </c>
      <c r="G67" s="3" t="str">
        <f t="shared" si="5"/>
        <v>DUAL</v>
      </c>
      <c r="H67" s="197">
        <f t="shared" si="4"/>
        <v>3</v>
      </c>
      <c r="I67" s="197">
        <v>1</v>
      </c>
      <c r="J67" s="197">
        <v>17</v>
      </c>
      <c r="K67" s="186">
        <f t="shared" si="6"/>
        <v>45674</v>
      </c>
      <c r="L67" s="3" t="s">
        <v>4104</v>
      </c>
      <c r="M67" s="3"/>
      <c r="N67" s="3" t="str">
        <f t="shared" si="7"/>
        <v>NG</v>
      </c>
      <c r="O67" s="3" t="s">
        <v>1568</v>
      </c>
      <c r="P67" s="3"/>
      <c r="Q67" s="3"/>
      <c r="R67" s="3"/>
      <c r="S67" s="7" t="s">
        <v>4220</v>
      </c>
      <c r="T67" s="3" t="s">
        <v>4221</v>
      </c>
      <c r="U67" s="3"/>
    </row>
    <row r="68" spans="1:21" s="2" customFormat="1" ht="16.5" customHeight="1">
      <c r="A68" s="3">
        <v>5279</v>
      </c>
      <c r="B68" s="82">
        <f t="array" ref="B68">SUM(--(FREQUENCY(IF(C$2:C$3071=C68, MATCH(D$2:D$3071, D$2:D$3071, 0)), ROW(D$2:D$3071)-ROW(D$2)+1) &gt; 0))</f>
        <v>6</v>
      </c>
      <c r="C68" s="3">
        <f>VLOOKUP(D68, [1]Sheet1!K:X, 14, FALSE)</f>
        <v>41100334</v>
      </c>
      <c r="D68" s="6" t="s">
        <v>4222</v>
      </c>
      <c r="E68" s="3" t="s">
        <v>4102</v>
      </c>
      <c r="F68" s="3" t="s">
        <v>4112</v>
      </c>
      <c r="G68" s="3" t="str">
        <f t="shared" si="5"/>
        <v>DUAL</v>
      </c>
      <c r="H68" s="197">
        <f t="shared" si="4"/>
        <v>3</v>
      </c>
      <c r="I68" s="197">
        <v>1</v>
      </c>
      <c r="J68" s="197">
        <v>17</v>
      </c>
      <c r="K68" s="186">
        <f t="shared" si="6"/>
        <v>45674</v>
      </c>
      <c r="L68" s="3"/>
      <c r="M68" s="3"/>
      <c r="N68" s="3" t="str">
        <f t="shared" si="7"/>
        <v/>
      </c>
      <c r="O68" s="3"/>
      <c r="P68" s="3"/>
      <c r="Q68" s="3"/>
      <c r="R68" s="3"/>
      <c r="S68" s="3"/>
      <c r="T68" s="3"/>
      <c r="U68" s="3"/>
    </row>
    <row r="69" spans="1:21" s="2" customFormat="1" ht="16.5" customHeight="1">
      <c r="A69" s="6">
        <v>5402</v>
      </c>
      <c r="B69" s="82">
        <f t="array" ref="B69">SUM(--(FREQUENCY(IF(C$2:C$3071=C69, MATCH(D$2:D$3071, D$2:D$3071, 0)), ROW(D$2:D$3071)-ROW(D$2)+1) &gt; 0))</f>
        <v>102</v>
      </c>
      <c r="C69" s="3">
        <f>VLOOKUP(D69, [1]Sheet1!K:X, 14, FALSE)</f>
        <v>41200006</v>
      </c>
      <c r="D69" s="6" t="s">
        <v>1651</v>
      </c>
      <c r="E69" s="6" t="s">
        <v>2365</v>
      </c>
      <c r="F69" s="6" t="s">
        <v>4223</v>
      </c>
      <c r="G69" s="3" t="str">
        <f t="shared" si="5"/>
        <v>SINGLE</v>
      </c>
      <c r="H69" s="197">
        <f t="shared" si="4"/>
        <v>4</v>
      </c>
      <c r="I69" s="199">
        <v>1</v>
      </c>
      <c r="J69" s="199">
        <v>20</v>
      </c>
      <c r="K69" s="186">
        <f t="shared" si="6"/>
        <v>45677</v>
      </c>
      <c r="L69" s="6"/>
      <c r="M69" s="6"/>
      <c r="N69" s="3" t="str">
        <f t="shared" si="7"/>
        <v/>
      </c>
      <c r="O69" s="6"/>
      <c r="P69" s="6"/>
      <c r="Q69" s="6"/>
      <c r="R69" s="6"/>
      <c r="S69" s="6"/>
      <c r="T69" s="6"/>
      <c r="U69" s="6"/>
    </row>
    <row r="70" spans="1:21" s="2" customFormat="1" ht="16.5" customHeight="1">
      <c r="A70" s="5">
        <v>5402</v>
      </c>
      <c r="B70" s="82">
        <f t="array" ref="B70">SUM(--(FREQUENCY(IF(C$2:C$3071=C70, MATCH(D$2:D$3071, D$2:D$3071, 0)), ROW(D$2:D$3071)-ROW(D$2)+1) &gt; 0))</f>
        <v>102</v>
      </c>
      <c r="C70" s="5">
        <f>VLOOKUP(D70, [1]Sheet1!K:X, 14, FALSE)</f>
        <v>41200006</v>
      </c>
      <c r="D70" s="6" t="s">
        <v>4224</v>
      </c>
      <c r="E70" s="5" t="s">
        <v>2365</v>
      </c>
      <c r="F70" s="5" t="s">
        <v>4223</v>
      </c>
      <c r="G70" s="3" t="str">
        <f t="shared" si="5"/>
        <v>SINGLE</v>
      </c>
      <c r="H70" s="197">
        <f t="shared" si="4"/>
        <v>4</v>
      </c>
      <c r="I70" s="198">
        <v>1</v>
      </c>
      <c r="J70" s="198">
        <v>20</v>
      </c>
      <c r="K70" s="186">
        <f t="shared" si="6"/>
        <v>45677</v>
      </c>
      <c r="L70" s="5" t="s">
        <v>4104</v>
      </c>
      <c r="M70" s="5"/>
      <c r="N70" s="3" t="str">
        <f t="shared" si="7"/>
        <v>NG</v>
      </c>
      <c r="O70" s="5" t="s">
        <v>1568</v>
      </c>
      <c r="P70" s="5"/>
      <c r="Q70" s="5">
        <v>1100228300</v>
      </c>
      <c r="R70" s="5" t="s">
        <v>4105</v>
      </c>
      <c r="S70" s="5" t="s">
        <v>4106</v>
      </c>
      <c r="T70" s="5" t="s">
        <v>4225</v>
      </c>
      <c r="U70" s="5"/>
    </row>
    <row r="71" spans="1:21" s="2" customFormat="1" ht="16.5" customHeight="1">
      <c r="A71" s="5">
        <v>5402</v>
      </c>
      <c r="B71" s="82">
        <f t="array" ref="B71">SUM(--(FREQUENCY(IF(C$2:C$3071=C71, MATCH(D$2:D$3071, D$2:D$3071, 0)), ROW(D$2:D$3071)-ROW(D$2)+1) &gt; 0))</f>
        <v>102</v>
      </c>
      <c r="C71" s="5">
        <f>VLOOKUP(D71, [1]Sheet1!K:X, 14, FALSE)</f>
        <v>41200006</v>
      </c>
      <c r="D71" s="6" t="s">
        <v>4224</v>
      </c>
      <c r="E71" s="5" t="s">
        <v>2365</v>
      </c>
      <c r="F71" s="5" t="s">
        <v>4223</v>
      </c>
      <c r="G71" s="3" t="str">
        <f t="shared" si="5"/>
        <v>SINGLE</v>
      </c>
      <c r="H71" s="197">
        <f t="shared" si="4"/>
        <v>4</v>
      </c>
      <c r="I71" s="198">
        <v>1</v>
      </c>
      <c r="J71" s="198">
        <v>20</v>
      </c>
      <c r="K71" s="186">
        <f t="shared" si="6"/>
        <v>45677</v>
      </c>
      <c r="L71" s="5" t="s">
        <v>4104</v>
      </c>
      <c r="M71" s="5"/>
      <c r="N71" s="3" t="str">
        <f t="shared" si="7"/>
        <v>NG</v>
      </c>
      <c r="O71" s="5" t="s">
        <v>1568</v>
      </c>
      <c r="P71" s="5"/>
      <c r="Q71" s="5"/>
      <c r="R71" s="5"/>
      <c r="S71" s="11" t="s">
        <v>4226</v>
      </c>
      <c r="T71" s="5"/>
      <c r="U71" s="5"/>
    </row>
    <row r="72" spans="1:21" s="2" customFormat="1" ht="16.5" customHeight="1">
      <c r="A72" s="3">
        <v>5400</v>
      </c>
      <c r="B72" s="82">
        <f t="array" ref="B72">SUM(--(FREQUENCY(IF(C$2:C$3071=C72, MATCH(D$2:D$3071, D$2:D$3071, 0)), ROW(D$2:D$3071)-ROW(D$2)+1) &gt; 0))</f>
        <v>144</v>
      </c>
      <c r="C72" s="3">
        <f>VLOOKUP(D72, [1]Sheet1!K:X, 14, FALSE)</f>
        <v>41200007</v>
      </c>
      <c r="D72" s="6" t="s">
        <v>1649</v>
      </c>
      <c r="E72" s="3" t="s">
        <v>2365</v>
      </c>
      <c r="F72" s="3" t="s">
        <v>2380</v>
      </c>
      <c r="G72" s="3" t="str">
        <f t="shared" si="5"/>
        <v>SINGLE</v>
      </c>
      <c r="H72" s="197">
        <f t="shared" si="4"/>
        <v>4</v>
      </c>
      <c r="I72" s="197">
        <v>1</v>
      </c>
      <c r="J72" s="197">
        <v>20</v>
      </c>
      <c r="K72" s="186">
        <f t="shared" si="6"/>
        <v>45677</v>
      </c>
      <c r="L72" s="3" t="s">
        <v>4104</v>
      </c>
      <c r="M72" s="3"/>
      <c r="N72" s="3" t="str">
        <f t="shared" si="7"/>
        <v>NG</v>
      </c>
      <c r="O72" s="3" t="s">
        <v>1568</v>
      </c>
      <c r="P72" s="3"/>
      <c r="Q72" s="3"/>
      <c r="R72" s="3"/>
      <c r="S72" s="408" t="s">
        <v>4227</v>
      </c>
      <c r="T72" s="3"/>
      <c r="U72" s="3"/>
    </row>
    <row r="73" spans="1:21" s="2" customFormat="1" ht="16.5" customHeight="1">
      <c r="A73" s="3">
        <v>5400</v>
      </c>
      <c r="B73" s="82">
        <f t="array" ref="B73">SUM(--(FREQUENCY(IF(C$2:C$3071=C73, MATCH(D$2:D$3071, D$2:D$3071, 0)), ROW(D$2:D$3071)-ROW(D$2)+1) &gt; 0))</f>
        <v>144</v>
      </c>
      <c r="C73" s="3">
        <f>VLOOKUP(D73, [1]Sheet1!K:X, 14, FALSE)</f>
        <v>41200007</v>
      </c>
      <c r="D73" s="6" t="s">
        <v>1648</v>
      </c>
      <c r="E73" s="3" t="s">
        <v>2365</v>
      </c>
      <c r="F73" s="3" t="s">
        <v>2380</v>
      </c>
      <c r="G73" s="3" t="str">
        <f t="shared" si="5"/>
        <v>SINGLE</v>
      </c>
      <c r="H73" s="197">
        <f t="shared" si="4"/>
        <v>4</v>
      </c>
      <c r="I73" s="197">
        <v>1</v>
      </c>
      <c r="J73" s="197">
        <v>20</v>
      </c>
      <c r="K73" s="186">
        <f t="shared" si="6"/>
        <v>45677</v>
      </c>
      <c r="L73" s="3" t="s">
        <v>4104</v>
      </c>
      <c r="M73" s="3"/>
      <c r="N73" s="3" t="str">
        <f t="shared" si="7"/>
        <v>NG</v>
      </c>
      <c r="O73" s="3" t="s">
        <v>1568</v>
      </c>
      <c r="P73" s="3"/>
      <c r="Q73" s="3"/>
      <c r="R73" s="3"/>
      <c r="S73" s="3" t="s">
        <v>4178</v>
      </c>
      <c r="T73" s="3"/>
      <c r="U73" s="3"/>
    </row>
    <row r="74" spans="1:21" s="2" customFormat="1" ht="16.5" customHeight="1">
      <c r="A74" s="3">
        <v>5400</v>
      </c>
      <c r="B74" s="82">
        <f t="array" ref="B74">SUM(--(FREQUENCY(IF(C$2:C$3071=C74, MATCH(D$2:D$3071, D$2:D$3071, 0)), ROW(D$2:D$3071)-ROW(D$2)+1) &gt; 0))</f>
        <v>144</v>
      </c>
      <c r="C74" s="3">
        <f>VLOOKUP(D74, [1]Sheet1!K:X, 14, FALSE)</f>
        <v>41200007</v>
      </c>
      <c r="D74" s="6" t="s">
        <v>1647</v>
      </c>
      <c r="E74" s="3" t="s">
        <v>2365</v>
      </c>
      <c r="F74" s="3" t="s">
        <v>2380</v>
      </c>
      <c r="G74" s="3" t="str">
        <f t="shared" si="5"/>
        <v>SINGLE</v>
      </c>
      <c r="H74" s="197">
        <f t="shared" si="4"/>
        <v>4</v>
      </c>
      <c r="I74" s="197">
        <v>1</v>
      </c>
      <c r="J74" s="197">
        <v>20</v>
      </c>
      <c r="K74" s="186">
        <f t="shared" si="6"/>
        <v>45677</v>
      </c>
      <c r="L74" s="3" t="s">
        <v>4104</v>
      </c>
      <c r="M74" s="3"/>
      <c r="N74" s="3" t="str">
        <f t="shared" si="7"/>
        <v>NG</v>
      </c>
      <c r="O74" s="3" t="s">
        <v>1568</v>
      </c>
      <c r="P74" s="3"/>
      <c r="Q74" s="3"/>
      <c r="R74" s="3"/>
      <c r="S74" s="3" t="s">
        <v>4228</v>
      </c>
      <c r="T74" s="3"/>
      <c r="U74" s="3"/>
    </row>
    <row r="75" spans="1:21" s="2" customFormat="1" ht="16.5" customHeight="1">
      <c r="A75" s="3">
        <v>5400</v>
      </c>
      <c r="B75" s="82">
        <f t="array" ref="B75">SUM(--(FREQUENCY(IF(C$2:C$3071=C75, MATCH(D$2:D$3071, D$2:D$3071, 0)), ROW(D$2:D$3071)-ROW(D$2)+1) &gt; 0))</f>
        <v>144</v>
      </c>
      <c r="C75" s="3">
        <f>VLOOKUP(D75, [1]Sheet1!K:X, 14, FALSE)</f>
        <v>41200007</v>
      </c>
      <c r="D75" s="6" t="s">
        <v>4229</v>
      </c>
      <c r="E75" s="3" t="s">
        <v>2365</v>
      </c>
      <c r="F75" s="3" t="s">
        <v>2380</v>
      </c>
      <c r="G75" s="3" t="str">
        <f t="shared" si="5"/>
        <v>SINGLE</v>
      </c>
      <c r="H75" s="197">
        <f t="shared" si="4"/>
        <v>4</v>
      </c>
      <c r="I75" s="197">
        <v>1</v>
      </c>
      <c r="J75" s="197">
        <v>20</v>
      </c>
      <c r="K75" s="186">
        <f t="shared" si="6"/>
        <v>45677</v>
      </c>
      <c r="L75" s="3" t="s">
        <v>4104</v>
      </c>
      <c r="M75" s="3"/>
      <c r="N75" s="3" t="str">
        <f t="shared" si="7"/>
        <v>NG</v>
      </c>
      <c r="O75" s="3" t="s">
        <v>1568</v>
      </c>
      <c r="P75" s="3"/>
      <c r="Q75" s="3"/>
      <c r="R75" s="3"/>
      <c r="S75" s="3" t="s">
        <v>4178</v>
      </c>
      <c r="T75" s="3"/>
      <c r="U75" s="3"/>
    </row>
    <row r="76" spans="1:21" s="2" customFormat="1">
      <c r="A76" s="3">
        <v>5410</v>
      </c>
      <c r="B76" s="82">
        <f t="array" ref="B76">SUM(--(FREQUENCY(IF(C$2:C$3071=C76, MATCH(D$2:D$3071, D$2:D$3071, 0)), ROW(D$2:D$3071)-ROW(D$2)+1) &gt; 0))</f>
        <v>4</v>
      </c>
      <c r="C76" s="3">
        <f>VLOOKUP(D76, [1]Sheet1!K:X, 14, FALSE)</f>
        <v>41100448</v>
      </c>
      <c r="D76" s="6" t="s">
        <v>1653</v>
      </c>
      <c r="E76" s="3" t="s">
        <v>4102</v>
      </c>
      <c r="F76" s="3" t="s">
        <v>2380</v>
      </c>
      <c r="G76" s="3" t="str">
        <f t="shared" si="5"/>
        <v>SINGLE</v>
      </c>
      <c r="H76" s="197">
        <f t="shared" si="4"/>
        <v>4</v>
      </c>
      <c r="I76" s="197">
        <v>1</v>
      </c>
      <c r="J76" s="197">
        <v>20</v>
      </c>
      <c r="K76" s="186">
        <f t="shared" si="6"/>
        <v>45677</v>
      </c>
      <c r="L76" s="3"/>
      <c r="M76" s="3"/>
      <c r="N76" s="3" t="str">
        <f t="shared" si="7"/>
        <v/>
      </c>
      <c r="O76" s="3"/>
      <c r="P76" s="3"/>
      <c r="Q76" s="3"/>
      <c r="R76" s="3"/>
      <c r="S76" s="3"/>
      <c r="T76" s="3"/>
      <c r="U76" s="3"/>
    </row>
    <row r="77" spans="1:21" s="2" customFormat="1">
      <c r="A77" s="5">
        <v>5410</v>
      </c>
      <c r="B77" s="82">
        <f t="array" ref="B77">SUM(--(FREQUENCY(IF(C$2:C$3071=C77, MATCH(D$2:D$3071, D$2:D$3071, 0)), ROW(D$2:D$3071)-ROW(D$2)+1) &gt; 0))</f>
        <v>4</v>
      </c>
      <c r="C77" s="5">
        <f>VLOOKUP(D77, [1]Sheet1!K:X, 14, FALSE)</f>
        <v>41100448</v>
      </c>
      <c r="D77" s="6" t="s">
        <v>4230</v>
      </c>
      <c r="E77" s="5" t="s">
        <v>4102</v>
      </c>
      <c r="F77" s="5" t="s">
        <v>2380</v>
      </c>
      <c r="G77" s="3" t="str">
        <f t="shared" si="5"/>
        <v>SINGLE</v>
      </c>
      <c r="H77" s="197">
        <f t="shared" si="4"/>
        <v>4</v>
      </c>
      <c r="I77" s="198">
        <v>1</v>
      </c>
      <c r="J77" s="198">
        <v>20</v>
      </c>
      <c r="K77" s="186">
        <f t="shared" si="6"/>
        <v>45677</v>
      </c>
      <c r="L77" s="5" t="s">
        <v>2381</v>
      </c>
      <c r="M77" s="5"/>
      <c r="N77" s="3" t="str">
        <f t="shared" si="7"/>
        <v>NG</v>
      </c>
      <c r="O77" s="5" t="s">
        <v>1568</v>
      </c>
      <c r="P77" s="5"/>
      <c r="Q77" s="5">
        <v>1100228300</v>
      </c>
      <c r="R77" s="5" t="s">
        <v>4105</v>
      </c>
      <c r="S77" s="5" t="s">
        <v>4106</v>
      </c>
      <c r="T77" s="5" t="s">
        <v>4231</v>
      </c>
      <c r="U77" s="5"/>
    </row>
    <row r="78" spans="1:21" s="2" customFormat="1">
      <c r="A78" s="5">
        <v>5410</v>
      </c>
      <c r="B78" s="82">
        <f t="array" ref="B78">SUM(--(FREQUENCY(IF(C$2:C$3071=C78, MATCH(D$2:D$3071, D$2:D$3071, 0)), ROW(D$2:D$3071)-ROW(D$2)+1) &gt; 0))</f>
        <v>4</v>
      </c>
      <c r="C78" s="5">
        <f>VLOOKUP(D78, [1]Sheet1!K:X, 14, FALSE)</f>
        <v>41100448</v>
      </c>
      <c r="D78" s="6" t="s">
        <v>4230</v>
      </c>
      <c r="E78" s="5" t="s">
        <v>4102</v>
      </c>
      <c r="F78" s="5" t="s">
        <v>2380</v>
      </c>
      <c r="G78" s="3" t="str">
        <f t="shared" si="5"/>
        <v>SINGLE</v>
      </c>
      <c r="H78" s="197">
        <f t="shared" si="4"/>
        <v>4</v>
      </c>
      <c r="I78" s="198">
        <v>1</v>
      </c>
      <c r="J78" s="198">
        <v>20</v>
      </c>
      <c r="K78" s="186">
        <f t="shared" si="6"/>
        <v>45677</v>
      </c>
      <c r="L78" s="5" t="s">
        <v>2381</v>
      </c>
      <c r="M78" s="5"/>
      <c r="N78" s="3" t="str">
        <f t="shared" si="7"/>
        <v>NG</v>
      </c>
      <c r="O78" s="5" t="s">
        <v>1568</v>
      </c>
      <c r="P78" s="5"/>
      <c r="Q78" s="5">
        <v>1100228300</v>
      </c>
      <c r="R78" s="5" t="s">
        <v>4105</v>
      </c>
      <c r="S78" s="5" t="s">
        <v>4106</v>
      </c>
      <c r="T78" s="5" t="s">
        <v>4232</v>
      </c>
      <c r="U78" s="5"/>
    </row>
    <row r="79" spans="1:21" s="10" customFormat="1" ht="33">
      <c r="A79" s="5">
        <v>5424</v>
      </c>
      <c r="B79" s="82">
        <f t="array" ref="B79">SUM(--(FREQUENCY(IF(C$2:C$3071=C79, MATCH(D$2:D$3071, D$2:D$3071, 0)), ROW(D$2:D$3071)-ROW(D$2)+1) &gt; 0))</f>
        <v>1</v>
      </c>
      <c r="C79" s="5">
        <f>VLOOKUP(D79, [1]Sheet1!K:X, 14, FALSE)</f>
        <v>41200102</v>
      </c>
      <c r="D79" s="6" t="s">
        <v>4233</v>
      </c>
      <c r="E79" s="5" t="s">
        <v>2365</v>
      </c>
      <c r="F79" s="5" t="s">
        <v>4234</v>
      </c>
      <c r="G79" s="3" t="str">
        <f t="shared" si="5"/>
        <v>DUAL</v>
      </c>
      <c r="H79" s="197">
        <f t="shared" si="4"/>
        <v>4</v>
      </c>
      <c r="I79" s="200">
        <v>1</v>
      </c>
      <c r="J79" s="200">
        <v>20</v>
      </c>
      <c r="K79" s="186">
        <f t="shared" si="6"/>
        <v>45677</v>
      </c>
      <c r="L79" s="8" t="s">
        <v>2381</v>
      </c>
      <c r="M79" s="8"/>
      <c r="N79" s="3" t="str">
        <f t="shared" si="7"/>
        <v>NG</v>
      </c>
      <c r="O79" s="8" t="s">
        <v>1568</v>
      </c>
      <c r="P79" s="8"/>
      <c r="Q79" s="8"/>
      <c r="R79" s="8"/>
      <c r="S79" s="9" t="s">
        <v>4235</v>
      </c>
      <c r="T79" s="8" t="s">
        <v>4204</v>
      </c>
      <c r="U79" s="8"/>
    </row>
    <row r="80" spans="1:21" s="10" customFormat="1">
      <c r="A80" s="5">
        <v>5424</v>
      </c>
      <c r="B80" s="82">
        <f t="array" ref="B80">SUM(--(FREQUENCY(IF(C$2:C$3071=C80, MATCH(D$2:D$3071, D$2:D$3071, 0)), ROW(D$2:D$3071)-ROW(D$2)+1) &gt; 0))</f>
        <v>1</v>
      </c>
      <c r="C80" s="5">
        <f>VLOOKUP(D80, [1]Sheet1!K:X, 14, FALSE)</f>
        <v>41200102</v>
      </c>
      <c r="D80" s="6" t="s">
        <v>4233</v>
      </c>
      <c r="E80" s="5" t="s">
        <v>2365</v>
      </c>
      <c r="F80" s="5" t="s">
        <v>4234</v>
      </c>
      <c r="G80" s="3" t="str">
        <f t="shared" si="5"/>
        <v>DUAL</v>
      </c>
      <c r="H80" s="197">
        <f t="shared" si="4"/>
        <v>4</v>
      </c>
      <c r="I80" s="200">
        <v>1</v>
      </c>
      <c r="J80" s="200">
        <v>20</v>
      </c>
      <c r="K80" s="186">
        <f t="shared" si="6"/>
        <v>45677</v>
      </c>
      <c r="L80" s="8" t="s">
        <v>2381</v>
      </c>
      <c r="M80" s="8"/>
      <c r="N80" s="3" t="str">
        <f t="shared" si="7"/>
        <v>NG</v>
      </c>
      <c r="O80" s="8" t="s">
        <v>1568</v>
      </c>
      <c r="P80" s="8"/>
      <c r="Q80" s="8"/>
      <c r="R80" s="8"/>
      <c r="S80" s="9" t="s">
        <v>4236</v>
      </c>
      <c r="T80" s="8" t="s">
        <v>4237</v>
      </c>
      <c r="U80" s="8"/>
    </row>
    <row r="81" spans="1:21" s="2" customFormat="1">
      <c r="A81" s="3">
        <v>5282</v>
      </c>
      <c r="B81" s="82">
        <f t="array" ref="B81">SUM(--(FREQUENCY(IF(C$2:C$3071=C81, MATCH(D$2:D$3071, D$2:D$3071, 0)), ROW(D$2:D$3071)-ROW(D$2)+1) &gt; 0))</f>
        <v>11</v>
      </c>
      <c r="C81" s="3">
        <f>VLOOKUP(D81, [1]Sheet1!K:X, 14, FALSE)</f>
        <v>41100374</v>
      </c>
      <c r="D81" s="6" t="s">
        <v>4238</v>
      </c>
      <c r="E81" s="3" t="s">
        <v>4102</v>
      </c>
      <c r="F81" s="3" t="s">
        <v>4112</v>
      </c>
      <c r="G81" s="3" t="str">
        <f t="shared" si="5"/>
        <v>DUAL</v>
      </c>
      <c r="H81" s="197">
        <f t="shared" si="4"/>
        <v>4</v>
      </c>
      <c r="I81" s="197">
        <v>1</v>
      </c>
      <c r="J81" s="197">
        <v>20</v>
      </c>
      <c r="K81" s="186">
        <f t="shared" si="6"/>
        <v>45677</v>
      </c>
      <c r="L81" s="3"/>
      <c r="M81" s="3"/>
      <c r="N81" s="3" t="str">
        <f t="shared" si="7"/>
        <v/>
      </c>
      <c r="O81" s="3"/>
      <c r="P81" s="3"/>
      <c r="Q81" s="3"/>
      <c r="R81" s="3"/>
      <c r="S81" s="3"/>
      <c r="T81" s="3"/>
      <c r="U81" s="3"/>
    </row>
    <row r="82" spans="1:21" s="2" customFormat="1">
      <c r="A82" s="3">
        <v>5413</v>
      </c>
      <c r="B82" s="82">
        <f t="array" ref="B82">SUM(--(FREQUENCY(IF(C$2:C$3071=C82, MATCH(D$2:D$3071, D$2:D$3071, 0)), ROW(D$2:D$3071)-ROW(D$2)+1) &gt; 0))</f>
        <v>18</v>
      </c>
      <c r="C82" s="3">
        <f>VLOOKUP(D82, [1]Sheet1!K:X, 14, FALSE)</f>
        <v>41000584</v>
      </c>
      <c r="D82" s="6" t="s">
        <v>4239</v>
      </c>
      <c r="E82" s="3" t="s">
        <v>2365</v>
      </c>
      <c r="F82" s="3" t="s">
        <v>4130</v>
      </c>
      <c r="G82" s="3" t="str">
        <f t="shared" si="5"/>
        <v>DUAL</v>
      </c>
      <c r="H82" s="197">
        <f t="shared" si="4"/>
        <v>4</v>
      </c>
      <c r="I82" s="197">
        <v>1</v>
      </c>
      <c r="J82" s="197">
        <v>20</v>
      </c>
      <c r="K82" s="186">
        <f t="shared" si="6"/>
        <v>45677</v>
      </c>
      <c r="L82" s="3"/>
      <c r="M82" s="3"/>
      <c r="N82" s="3" t="str">
        <f t="shared" si="7"/>
        <v/>
      </c>
      <c r="O82" s="3"/>
      <c r="P82" s="3"/>
      <c r="Q82" s="3"/>
      <c r="R82" s="3"/>
      <c r="S82" s="3"/>
      <c r="T82" s="3"/>
      <c r="U82" s="3"/>
    </row>
    <row r="83" spans="1:21" s="2" customFormat="1">
      <c r="A83" s="3">
        <v>5398</v>
      </c>
      <c r="B83" s="82">
        <f t="array" ref="B83">SUM(--(FREQUENCY(IF(C$2:C$3071=C83, MATCH(D$2:D$3071, D$2:D$3071, 0)), ROW(D$2:D$3071)-ROW(D$2)+1) &gt; 0))</f>
        <v>2</v>
      </c>
      <c r="C83" s="3">
        <f>VLOOKUP(D83, [1]Sheet1!K:X, 14, FALSE)</f>
        <v>41200103</v>
      </c>
      <c r="D83" s="6" t="s">
        <v>1661</v>
      </c>
      <c r="E83" s="3" t="s">
        <v>2365</v>
      </c>
      <c r="F83" s="3" t="s">
        <v>4165</v>
      </c>
      <c r="G83" s="3" t="str">
        <f t="shared" si="5"/>
        <v>SINGLE</v>
      </c>
      <c r="H83" s="197">
        <f t="shared" si="4"/>
        <v>4</v>
      </c>
      <c r="I83" s="197">
        <v>1</v>
      </c>
      <c r="J83" s="197">
        <v>21</v>
      </c>
      <c r="K83" s="186">
        <f t="shared" si="6"/>
        <v>45678</v>
      </c>
      <c r="L83" s="3"/>
      <c r="M83" s="3"/>
      <c r="N83" s="3" t="str">
        <f t="shared" si="7"/>
        <v/>
      </c>
      <c r="O83" s="3"/>
      <c r="P83" s="3"/>
      <c r="Q83" s="3"/>
      <c r="R83" s="3"/>
      <c r="S83" s="3"/>
      <c r="T83" s="3"/>
      <c r="U83" s="3"/>
    </row>
    <row r="84" spans="1:21" s="2" customFormat="1">
      <c r="A84" s="5">
        <v>5398</v>
      </c>
      <c r="B84" s="82">
        <f t="array" ref="B84">SUM(--(FREQUENCY(IF(C$2:C$3071=C84, MATCH(D$2:D$3071, D$2:D$3071, 0)), ROW(D$2:D$3071)-ROW(D$2)+1) &gt; 0))</f>
        <v>2</v>
      </c>
      <c r="C84" s="5">
        <f>VLOOKUP(D84, [1]Sheet1!K:X, 14, FALSE)</f>
        <v>41200103</v>
      </c>
      <c r="D84" s="6" t="s">
        <v>4240</v>
      </c>
      <c r="E84" s="5" t="s">
        <v>2365</v>
      </c>
      <c r="F84" s="5" t="s">
        <v>4165</v>
      </c>
      <c r="G84" s="3" t="str">
        <f t="shared" si="5"/>
        <v>SINGLE</v>
      </c>
      <c r="H84" s="197">
        <f t="shared" si="4"/>
        <v>4</v>
      </c>
      <c r="I84" s="198">
        <v>1</v>
      </c>
      <c r="J84" s="198">
        <v>21</v>
      </c>
      <c r="K84" s="186">
        <f t="shared" si="6"/>
        <v>45678</v>
      </c>
      <c r="L84" s="5" t="s">
        <v>2381</v>
      </c>
      <c r="M84" s="5"/>
      <c r="N84" s="3" t="str">
        <f t="shared" si="7"/>
        <v>NG</v>
      </c>
      <c r="O84" s="5" t="s">
        <v>1568</v>
      </c>
      <c r="P84" s="5"/>
      <c r="Q84" s="5"/>
      <c r="R84" s="5"/>
      <c r="S84" s="5" t="s">
        <v>4241</v>
      </c>
      <c r="T84" s="5"/>
      <c r="U84" s="5"/>
    </row>
    <row r="85" spans="1:21" s="12" customFormat="1">
      <c r="A85" s="5">
        <v>5398</v>
      </c>
      <c r="B85" s="82">
        <f t="array" ref="B85">SUM(--(FREQUENCY(IF(C$2:C$3071=C85, MATCH(D$2:D$3071, D$2:D$3071, 0)), ROW(D$2:D$3071)-ROW(D$2)+1) &gt; 0))</f>
        <v>2</v>
      </c>
      <c r="C85" s="5">
        <f>VLOOKUP(D85, [1]Sheet1!K:X, 14, FALSE)</f>
        <v>41200103</v>
      </c>
      <c r="D85" s="6" t="s">
        <v>4240</v>
      </c>
      <c r="E85" s="5" t="s">
        <v>2365</v>
      </c>
      <c r="F85" s="5" t="s">
        <v>4165</v>
      </c>
      <c r="G85" s="3" t="str">
        <f t="shared" si="5"/>
        <v>SINGLE</v>
      </c>
      <c r="H85" s="197">
        <f t="shared" si="4"/>
        <v>4</v>
      </c>
      <c r="I85" s="198">
        <v>1</v>
      </c>
      <c r="J85" s="198">
        <v>21</v>
      </c>
      <c r="K85" s="186">
        <f t="shared" si="6"/>
        <v>45678</v>
      </c>
      <c r="L85" s="5" t="s">
        <v>2381</v>
      </c>
      <c r="M85" s="5"/>
      <c r="N85" s="3" t="str">
        <f t="shared" si="7"/>
        <v>NG</v>
      </c>
      <c r="O85" s="5" t="s">
        <v>1568</v>
      </c>
      <c r="P85" s="5"/>
      <c r="Q85" s="5">
        <v>1100228300</v>
      </c>
      <c r="R85" s="5" t="s">
        <v>4105</v>
      </c>
      <c r="S85" s="5" t="s">
        <v>4242</v>
      </c>
      <c r="T85" s="5" t="s">
        <v>4243</v>
      </c>
      <c r="U85" s="5"/>
    </row>
    <row r="86" spans="1:21" s="12" customFormat="1">
      <c r="A86" s="5">
        <v>5398</v>
      </c>
      <c r="B86" s="82">
        <f t="array" ref="B86">SUM(--(FREQUENCY(IF(C$2:C$3071=C86, MATCH(D$2:D$3071, D$2:D$3071, 0)), ROW(D$2:D$3071)-ROW(D$2)+1) &gt; 0))</f>
        <v>2</v>
      </c>
      <c r="C86" s="5">
        <f>VLOOKUP(D86, [1]Sheet1!K:X, 14, FALSE)</f>
        <v>41200103</v>
      </c>
      <c r="D86" s="6" t="s">
        <v>4240</v>
      </c>
      <c r="E86" s="5" t="s">
        <v>2365</v>
      </c>
      <c r="F86" s="5" t="s">
        <v>4165</v>
      </c>
      <c r="G86" s="3" t="str">
        <f t="shared" si="5"/>
        <v>SINGLE</v>
      </c>
      <c r="H86" s="197">
        <f t="shared" si="4"/>
        <v>4</v>
      </c>
      <c r="I86" s="198">
        <v>1</v>
      </c>
      <c r="J86" s="198">
        <v>21</v>
      </c>
      <c r="K86" s="186">
        <f t="shared" si="6"/>
        <v>45678</v>
      </c>
      <c r="L86" s="5" t="s">
        <v>2381</v>
      </c>
      <c r="M86" s="5"/>
      <c r="N86" s="3" t="str">
        <f t="shared" si="7"/>
        <v>NG</v>
      </c>
      <c r="O86" s="5" t="s">
        <v>1568</v>
      </c>
      <c r="P86" s="5"/>
      <c r="Q86" s="5">
        <v>1100228300</v>
      </c>
      <c r="R86" s="5" t="s">
        <v>4105</v>
      </c>
      <c r="S86" s="5" t="s">
        <v>4242</v>
      </c>
      <c r="T86" s="5" t="s">
        <v>4244</v>
      </c>
      <c r="U86" s="5"/>
    </row>
    <row r="87" spans="1:21" s="12" customFormat="1">
      <c r="A87" s="5">
        <v>5398</v>
      </c>
      <c r="B87" s="82">
        <f t="array" ref="B87">SUM(--(FREQUENCY(IF(C$2:C$3071=C87, MATCH(D$2:D$3071, D$2:D$3071, 0)), ROW(D$2:D$3071)-ROW(D$2)+1) &gt; 0))</f>
        <v>2</v>
      </c>
      <c r="C87" s="5">
        <f>VLOOKUP(D87, [1]Sheet1!K:X, 14, FALSE)</f>
        <v>41200103</v>
      </c>
      <c r="D87" s="6" t="s">
        <v>4240</v>
      </c>
      <c r="E87" s="5" t="s">
        <v>2365</v>
      </c>
      <c r="F87" s="5" t="s">
        <v>4165</v>
      </c>
      <c r="G87" s="3" t="str">
        <f t="shared" si="5"/>
        <v>SINGLE</v>
      </c>
      <c r="H87" s="197">
        <f t="shared" si="4"/>
        <v>4</v>
      </c>
      <c r="I87" s="198">
        <v>1</v>
      </c>
      <c r="J87" s="198">
        <v>21</v>
      </c>
      <c r="K87" s="186">
        <f t="shared" si="6"/>
        <v>45678</v>
      </c>
      <c r="L87" s="5" t="s">
        <v>2381</v>
      </c>
      <c r="M87" s="5"/>
      <c r="N87" s="3" t="str">
        <f t="shared" si="7"/>
        <v>NG</v>
      </c>
      <c r="O87" s="5" t="s">
        <v>1568</v>
      </c>
      <c r="P87" s="5"/>
      <c r="Q87" s="5">
        <v>1100273700</v>
      </c>
      <c r="R87" s="5" t="s">
        <v>4131</v>
      </c>
      <c r="S87" s="5" t="s">
        <v>4245</v>
      </c>
      <c r="T87" s="5"/>
      <c r="U87" s="5"/>
    </row>
    <row r="88" spans="1:21" s="12" customFormat="1">
      <c r="A88" s="5">
        <v>5398</v>
      </c>
      <c r="B88" s="82">
        <f t="array" ref="B88">SUM(--(FREQUENCY(IF(C$2:C$3071=C88, MATCH(D$2:D$3071, D$2:D$3071, 0)), ROW(D$2:D$3071)-ROW(D$2)+1) &gt; 0))</f>
        <v>2</v>
      </c>
      <c r="C88" s="5">
        <f>VLOOKUP(D88, [1]Sheet1!K:X, 14, FALSE)</f>
        <v>41200103</v>
      </c>
      <c r="D88" s="6" t="s">
        <v>4240</v>
      </c>
      <c r="E88" s="5" t="s">
        <v>2365</v>
      </c>
      <c r="F88" s="5" t="s">
        <v>4165</v>
      </c>
      <c r="G88" s="3" t="str">
        <f t="shared" si="5"/>
        <v>SINGLE</v>
      </c>
      <c r="H88" s="197">
        <f t="shared" si="4"/>
        <v>4</v>
      </c>
      <c r="I88" s="198">
        <v>1</v>
      </c>
      <c r="J88" s="198">
        <v>21</v>
      </c>
      <c r="K88" s="186">
        <f t="shared" si="6"/>
        <v>45678</v>
      </c>
      <c r="L88" s="5" t="s">
        <v>2367</v>
      </c>
      <c r="M88" s="5"/>
      <c r="N88" s="3" t="str">
        <f t="shared" si="7"/>
        <v>NG</v>
      </c>
      <c r="O88" s="5" t="s">
        <v>4099</v>
      </c>
      <c r="P88" s="5"/>
      <c r="Q88" s="5"/>
      <c r="R88" s="5"/>
      <c r="S88" s="5" t="s">
        <v>4246</v>
      </c>
      <c r="T88" s="5"/>
      <c r="U88" s="5"/>
    </row>
    <row r="89" spans="1:21" s="12" customFormat="1">
      <c r="A89" s="5">
        <v>5398</v>
      </c>
      <c r="B89" s="82">
        <f t="array" ref="B89">SUM(--(FREQUENCY(IF(C$2:C$3071=C89, MATCH(D$2:D$3071, D$2:D$3071, 0)), ROW(D$2:D$3071)-ROW(D$2)+1) &gt; 0))</f>
        <v>2</v>
      </c>
      <c r="C89" s="5">
        <f>VLOOKUP(D89, [1]Sheet1!K:X, 14, FALSE)</f>
        <v>41200103</v>
      </c>
      <c r="D89" s="6" t="s">
        <v>4240</v>
      </c>
      <c r="E89" s="5" t="s">
        <v>2365</v>
      </c>
      <c r="F89" s="5" t="s">
        <v>4165</v>
      </c>
      <c r="G89" s="3" t="str">
        <f t="shared" si="5"/>
        <v>SINGLE</v>
      </c>
      <c r="H89" s="197">
        <f t="shared" si="4"/>
        <v>4</v>
      </c>
      <c r="I89" s="198">
        <v>1</v>
      </c>
      <c r="J89" s="198">
        <v>21</v>
      </c>
      <c r="K89" s="186">
        <f t="shared" si="6"/>
        <v>45678</v>
      </c>
      <c r="L89" s="5" t="s">
        <v>2381</v>
      </c>
      <c r="M89" s="5"/>
      <c r="N89" s="3" t="str">
        <f t="shared" si="7"/>
        <v>NG</v>
      </c>
      <c r="O89" s="5" t="s">
        <v>1568</v>
      </c>
      <c r="P89" s="5"/>
      <c r="Q89" s="5"/>
      <c r="R89" s="5"/>
      <c r="S89" s="5" t="s">
        <v>4247</v>
      </c>
      <c r="T89" s="5"/>
      <c r="U89" s="5"/>
    </row>
    <row r="90" spans="1:21" s="12" customFormat="1">
      <c r="A90" s="5">
        <v>5398</v>
      </c>
      <c r="B90" s="82">
        <f t="array" ref="B90">SUM(--(FREQUENCY(IF(C$2:C$3071=C90, MATCH(D$2:D$3071, D$2:D$3071, 0)), ROW(D$2:D$3071)-ROW(D$2)+1) &gt; 0))</f>
        <v>2</v>
      </c>
      <c r="C90" s="5">
        <f>VLOOKUP(D90, [1]Sheet1!K:X, 14, FALSE)</f>
        <v>41200103</v>
      </c>
      <c r="D90" s="6" t="s">
        <v>4240</v>
      </c>
      <c r="E90" s="5" t="s">
        <v>2365</v>
      </c>
      <c r="F90" s="5" t="s">
        <v>4165</v>
      </c>
      <c r="G90" s="3" t="str">
        <f t="shared" si="5"/>
        <v>SINGLE</v>
      </c>
      <c r="H90" s="197">
        <f t="shared" si="4"/>
        <v>4</v>
      </c>
      <c r="I90" s="198">
        <v>1</v>
      </c>
      <c r="J90" s="198">
        <v>21</v>
      </c>
      <c r="K90" s="186">
        <f t="shared" si="6"/>
        <v>45678</v>
      </c>
      <c r="L90" s="5" t="s">
        <v>2381</v>
      </c>
      <c r="M90" s="5"/>
      <c r="N90" s="3" t="str">
        <f t="shared" si="7"/>
        <v>NG</v>
      </c>
      <c r="O90" s="5" t="s">
        <v>1568</v>
      </c>
      <c r="P90" s="5"/>
      <c r="Q90" s="5"/>
      <c r="R90" s="5"/>
      <c r="S90" s="5" t="s">
        <v>4248</v>
      </c>
      <c r="T90" s="5"/>
      <c r="U90" s="5"/>
    </row>
    <row r="91" spans="1:21" s="12" customFormat="1">
      <c r="A91" s="5">
        <v>5398</v>
      </c>
      <c r="B91" s="82">
        <f t="array" ref="B91">SUM(--(FREQUENCY(IF(C$2:C$3071=C91, MATCH(D$2:D$3071, D$2:D$3071, 0)), ROW(D$2:D$3071)-ROW(D$2)+1) &gt; 0))</f>
        <v>2</v>
      </c>
      <c r="C91" s="5">
        <f>VLOOKUP(D91, [1]Sheet1!K:X, 14, FALSE)</f>
        <v>41200103</v>
      </c>
      <c r="D91" s="6" t="s">
        <v>4240</v>
      </c>
      <c r="E91" s="5" t="s">
        <v>2365</v>
      </c>
      <c r="F91" s="5" t="s">
        <v>4165</v>
      </c>
      <c r="G91" s="3" t="str">
        <f t="shared" si="5"/>
        <v>SINGLE</v>
      </c>
      <c r="H91" s="197">
        <f t="shared" si="4"/>
        <v>4</v>
      </c>
      <c r="I91" s="198">
        <v>1</v>
      </c>
      <c r="J91" s="198">
        <v>21</v>
      </c>
      <c r="K91" s="186">
        <f t="shared" si="6"/>
        <v>45678</v>
      </c>
      <c r="L91" s="5" t="s">
        <v>2381</v>
      </c>
      <c r="M91" s="5"/>
      <c r="N91" s="3" t="str">
        <f t="shared" si="7"/>
        <v>NG</v>
      </c>
      <c r="O91" s="5" t="s">
        <v>1568</v>
      </c>
      <c r="P91" s="5"/>
      <c r="Q91" s="5">
        <v>1100273700</v>
      </c>
      <c r="R91" s="5" t="s">
        <v>4131</v>
      </c>
      <c r="S91" s="5" t="s">
        <v>4245</v>
      </c>
      <c r="T91" s="5"/>
      <c r="U91" s="5"/>
    </row>
    <row r="92" spans="1:21" s="12" customFormat="1">
      <c r="A92" s="5">
        <v>5398</v>
      </c>
      <c r="B92" s="82">
        <f t="array" ref="B92">SUM(--(FREQUENCY(IF(C$2:C$3071=C92, MATCH(D$2:D$3071, D$2:D$3071, 0)), ROW(D$2:D$3071)-ROW(D$2)+1) &gt; 0))</f>
        <v>2</v>
      </c>
      <c r="C92" s="5">
        <f>VLOOKUP(D92, [1]Sheet1!K:X, 14, FALSE)</f>
        <v>41200103</v>
      </c>
      <c r="D92" s="6" t="s">
        <v>4240</v>
      </c>
      <c r="E92" s="5" t="s">
        <v>2365</v>
      </c>
      <c r="F92" s="5" t="s">
        <v>4165</v>
      </c>
      <c r="G92" s="3" t="str">
        <f t="shared" si="5"/>
        <v>SINGLE</v>
      </c>
      <c r="H92" s="197">
        <f t="shared" si="4"/>
        <v>4</v>
      </c>
      <c r="I92" s="198">
        <v>1</v>
      </c>
      <c r="J92" s="198">
        <v>21</v>
      </c>
      <c r="K92" s="186">
        <f t="shared" si="6"/>
        <v>45678</v>
      </c>
      <c r="L92" s="5" t="s">
        <v>2381</v>
      </c>
      <c r="M92" s="5"/>
      <c r="N92" s="3" t="str">
        <f t="shared" si="7"/>
        <v>NG</v>
      </c>
      <c r="O92" s="5" t="s">
        <v>1568</v>
      </c>
      <c r="P92" s="5"/>
      <c r="Q92" s="5">
        <v>1100228300</v>
      </c>
      <c r="R92" s="5" t="s">
        <v>4105</v>
      </c>
      <c r="S92" s="5" t="s">
        <v>4242</v>
      </c>
      <c r="T92" s="5" t="s">
        <v>4249</v>
      </c>
      <c r="U92" s="5"/>
    </row>
    <row r="93" spans="1:21" s="12" customFormat="1">
      <c r="A93" s="3">
        <v>5280</v>
      </c>
      <c r="B93" s="82">
        <f t="array" ref="B93">SUM(--(FREQUENCY(IF(C$2:C$3071=C93, MATCH(D$2:D$3071, D$2:D$3071, 0)), ROW(D$2:D$3071)-ROW(D$2)+1) &gt; 0))</f>
        <v>77</v>
      </c>
      <c r="C93" s="3">
        <f>VLOOKUP(D93, [1]Sheet1!K:X, 14, FALSE)</f>
        <v>41200076</v>
      </c>
      <c r="D93" s="6" t="s">
        <v>1657</v>
      </c>
      <c r="E93" s="3" t="s">
        <v>4102</v>
      </c>
      <c r="F93" s="3" t="s">
        <v>4112</v>
      </c>
      <c r="G93" s="3" t="str">
        <f t="shared" si="5"/>
        <v>DUAL</v>
      </c>
      <c r="H93" s="197">
        <f t="shared" si="4"/>
        <v>4</v>
      </c>
      <c r="I93" s="197">
        <v>1</v>
      </c>
      <c r="J93" s="197">
        <v>21</v>
      </c>
      <c r="K93" s="186">
        <f t="shared" si="6"/>
        <v>45678</v>
      </c>
      <c r="L93" s="3"/>
      <c r="M93" s="3"/>
      <c r="N93" s="3" t="str">
        <f t="shared" si="7"/>
        <v/>
      </c>
      <c r="O93" s="3"/>
      <c r="P93" s="3"/>
      <c r="Q93" s="3"/>
      <c r="R93" s="3"/>
      <c r="S93" s="3"/>
      <c r="T93" s="3"/>
      <c r="U93" s="3"/>
    </row>
    <row r="94" spans="1:21" s="2" customFormat="1">
      <c r="A94" s="3">
        <v>5280</v>
      </c>
      <c r="B94" s="82">
        <f t="array" ref="B94">SUM(--(FREQUENCY(IF(C$2:C$3071=C94, MATCH(D$2:D$3071, D$2:D$3071, 0)), ROW(D$2:D$3071)-ROW(D$2)+1) &gt; 0))</f>
        <v>77</v>
      </c>
      <c r="C94" s="3">
        <f>VLOOKUP(D94, [1]Sheet1!K:X, 14, FALSE)</f>
        <v>41200076</v>
      </c>
      <c r="D94" s="6" t="s">
        <v>4250</v>
      </c>
      <c r="E94" s="3" t="s">
        <v>4102</v>
      </c>
      <c r="F94" s="3" t="s">
        <v>4112</v>
      </c>
      <c r="G94" s="3" t="str">
        <f t="shared" si="5"/>
        <v>DUAL</v>
      </c>
      <c r="H94" s="197">
        <f t="shared" si="4"/>
        <v>4</v>
      </c>
      <c r="I94" s="197">
        <v>1</v>
      </c>
      <c r="J94" s="197">
        <v>21</v>
      </c>
      <c r="K94" s="186">
        <f t="shared" si="6"/>
        <v>45678</v>
      </c>
      <c r="L94" s="3"/>
      <c r="M94" s="3"/>
      <c r="N94" s="3" t="str">
        <f t="shared" si="7"/>
        <v/>
      </c>
      <c r="O94" s="3"/>
      <c r="P94" s="3"/>
      <c r="Q94" s="3"/>
      <c r="R94" s="3"/>
      <c r="S94" s="3"/>
      <c r="T94" s="3"/>
      <c r="U94" s="3"/>
    </row>
    <row r="95" spans="1:21">
      <c r="A95" s="3">
        <v>5412</v>
      </c>
      <c r="B95" s="82">
        <f t="array" ref="B95">SUM(--(FREQUENCY(IF(C$2:C$3071=C95, MATCH(D$2:D$3071, D$2:D$3071, 0)), ROW(D$2:D$3071)-ROW(D$2)+1) &gt; 0))</f>
        <v>11</v>
      </c>
      <c r="C95" s="3">
        <f>VLOOKUP(D95, [1]Sheet1!K:X, 14, FALSE)</f>
        <v>41000588</v>
      </c>
      <c r="D95" s="6" t="s">
        <v>4251</v>
      </c>
      <c r="E95" s="3" t="s">
        <v>2365</v>
      </c>
      <c r="F95" s="3" t="s">
        <v>4130</v>
      </c>
      <c r="G95" s="3" t="str">
        <f t="shared" si="5"/>
        <v>DUAL</v>
      </c>
      <c r="H95" s="197">
        <f t="shared" si="4"/>
        <v>4</v>
      </c>
      <c r="I95" s="197">
        <v>1</v>
      </c>
      <c r="J95" s="197">
        <v>21</v>
      </c>
      <c r="K95" s="186">
        <f t="shared" si="6"/>
        <v>45678</v>
      </c>
      <c r="L95" s="3" t="s">
        <v>4104</v>
      </c>
      <c r="N95" s="3" t="str">
        <f t="shared" si="7"/>
        <v>NG</v>
      </c>
      <c r="O95" s="6" t="s">
        <v>1568</v>
      </c>
      <c r="P95" s="6"/>
      <c r="S95" s="6" t="s">
        <v>4248</v>
      </c>
    </row>
    <row r="96" spans="1:21">
      <c r="A96" s="3">
        <v>5254</v>
      </c>
      <c r="B96" s="82">
        <f t="array" ref="B96">SUM(--(FREQUENCY(IF(C$2:C$3071=C96, MATCH(D$2:D$3071, D$2:D$3071, 0)), ROW(D$2:D$3071)-ROW(D$2)+1) &gt; 0))</f>
        <v>14</v>
      </c>
      <c r="C96" s="3">
        <f>VLOOKUP(D96, [1]Sheet1!K:X, 14, FALSE)</f>
        <v>41000514</v>
      </c>
      <c r="D96" s="6" t="s">
        <v>4252</v>
      </c>
      <c r="E96" s="3" t="s">
        <v>2365</v>
      </c>
      <c r="F96" s="3" t="s">
        <v>4130</v>
      </c>
      <c r="G96" s="3" t="str">
        <f t="shared" si="5"/>
        <v>DUAL</v>
      </c>
      <c r="H96" s="197">
        <f t="shared" si="4"/>
        <v>4</v>
      </c>
      <c r="I96" s="197">
        <v>1</v>
      </c>
      <c r="J96" s="197">
        <v>21</v>
      </c>
      <c r="K96" s="186">
        <f t="shared" si="6"/>
        <v>45678</v>
      </c>
      <c r="L96" s="6" t="s">
        <v>2381</v>
      </c>
      <c r="M96" s="6"/>
      <c r="N96" s="3" t="str">
        <f t="shared" si="7"/>
        <v>NG</v>
      </c>
      <c r="O96" s="6" t="s">
        <v>1568</v>
      </c>
      <c r="P96" s="6"/>
      <c r="Q96" s="6"/>
      <c r="R96" s="6"/>
      <c r="S96" s="3" t="s">
        <v>4253</v>
      </c>
    </row>
    <row r="97" spans="1:21">
      <c r="A97" s="5">
        <v>5400</v>
      </c>
      <c r="B97" s="82">
        <f t="array" ref="B97">SUM(--(FREQUENCY(IF(C$2:C$3071=C97, MATCH(D$2:D$3071, D$2:D$3071, 0)), ROW(D$2:D$3071)-ROW(D$2)+1) &gt; 0))</f>
        <v>144</v>
      </c>
      <c r="C97" s="5">
        <f>VLOOKUP(D97, [1]Sheet1!K:X, 14, FALSE)</f>
        <v>41200007</v>
      </c>
      <c r="D97" s="6" t="s">
        <v>1665</v>
      </c>
      <c r="E97" s="5" t="s">
        <v>2365</v>
      </c>
      <c r="F97" s="5" t="s">
        <v>2380</v>
      </c>
      <c r="G97" s="3" t="str">
        <f t="shared" si="5"/>
        <v>SINGLE</v>
      </c>
      <c r="H97" s="197">
        <f t="shared" si="4"/>
        <v>4</v>
      </c>
      <c r="I97" s="198">
        <v>1</v>
      </c>
      <c r="J97" s="198">
        <v>22</v>
      </c>
      <c r="K97" s="186">
        <f t="shared" si="6"/>
        <v>45679</v>
      </c>
      <c r="L97" s="5" t="s">
        <v>4104</v>
      </c>
      <c r="M97" s="5"/>
      <c r="N97" s="3" t="str">
        <f t="shared" si="7"/>
        <v>NG</v>
      </c>
      <c r="O97" s="5" t="s">
        <v>1568</v>
      </c>
      <c r="P97" s="5"/>
      <c r="Q97" s="5"/>
      <c r="R97" s="5"/>
      <c r="S97" s="5" t="s">
        <v>4178</v>
      </c>
      <c r="T97" s="5"/>
      <c r="U97" s="5"/>
    </row>
    <row r="98" spans="1:21">
      <c r="A98" s="5">
        <v>5400</v>
      </c>
      <c r="B98" s="82">
        <f t="array" ref="B98">SUM(--(FREQUENCY(IF(C$2:C$3071=C98, MATCH(D$2:D$3071, D$2:D$3071, 0)), ROW(D$2:D$3071)-ROW(D$2)+1) &gt; 0))</f>
        <v>144</v>
      </c>
      <c r="C98" s="5">
        <f>VLOOKUP(D98, [1]Sheet1!K:X, 14, FALSE)</f>
        <v>41200007</v>
      </c>
      <c r="D98" s="6" t="s">
        <v>1665</v>
      </c>
      <c r="E98" s="5" t="s">
        <v>2365</v>
      </c>
      <c r="F98" s="5" t="s">
        <v>2380</v>
      </c>
      <c r="G98" s="3" t="str">
        <f t="shared" si="5"/>
        <v>SINGLE</v>
      </c>
      <c r="H98" s="197">
        <f t="shared" si="4"/>
        <v>4</v>
      </c>
      <c r="I98" s="198">
        <v>1</v>
      </c>
      <c r="J98" s="198">
        <v>22</v>
      </c>
      <c r="K98" s="186">
        <f t="shared" si="6"/>
        <v>45679</v>
      </c>
      <c r="L98" s="5" t="s">
        <v>4104</v>
      </c>
      <c r="M98" s="5"/>
      <c r="N98" s="3" t="str">
        <f t="shared" si="7"/>
        <v>NG</v>
      </c>
      <c r="O98" s="5" t="s">
        <v>1568</v>
      </c>
      <c r="P98" s="5"/>
      <c r="Q98" s="5"/>
      <c r="R98" s="5"/>
      <c r="S98" s="5" t="s">
        <v>4254</v>
      </c>
      <c r="T98" s="5" t="s">
        <v>4255</v>
      </c>
      <c r="U98" s="5"/>
    </row>
    <row r="99" spans="1:21">
      <c r="A99" s="3">
        <v>5400</v>
      </c>
      <c r="B99" s="82">
        <f t="array" ref="B99">SUM(--(FREQUENCY(IF(C$2:C$3071=C99, MATCH(D$2:D$3071, D$2:D$3071, 0)), ROW(D$2:D$3071)-ROW(D$2)+1) &gt; 0))</f>
        <v>144</v>
      </c>
      <c r="C99" s="3">
        <f>VLOOKUP(D99, [1]Sheet1!K:X, 14, FALSE)</f>
        <v>41200007</v>
      </c>
      <c r="D99" s="6" t="s">
        <v>1664</v>
      </c>
      <c r="E99" s="3" t="s">
        <v>2365</v>
      </c>
      <c r="F99" s="3" t="s">
        <v>2380</v>
      </c>
      <c r="G99" s="3" t="str">
        <f t="shared" si="5"/>
        <v>SINGLE</v>
      </c>
      <c r="H99" s="197">
        <f t="shared" si="4"/>
        <v>4</v>
      </c>
      <c r="I99" s="197">
        <v>1</v>
      </c>
      <c r="J99" s="197">
        <v>22</v>
      </c>
      <c r="K99" s="186">
        <f t="shared" si="6"/>
        <v>45679</v>
      </c>
      <c r="N99" s="3" t="str">
        <f t="shared" si="7"/>
        <v/>
      </c>
    </row>
    <row r="100" spans="1:21" s="12" customFormat="1">
      <c r="A100" s="3">
        <v>5400</v>
      </c>
      <c r="B100" s="82">
        <f t="array" ref="B100">SUM(--(FREQUENCY(IF(C$2:C$3071=C100, MATCH(D$2:D$3071, D$2:D$3071, 0)), ROW(D$2:D$3071)-ROW(D$2)+1) &gt; 0))</f>
        <v>144</v>
      </c>
      <c r="C100" s="3">
        <f>VLOOKUP(D100, [1]Sheet1!K:X, 14, FALSE)</f>
        <v>41200007</v>
      </c>
      <c r="D100" s="6" t="s">
        <v>1663</v>
      </c>
      <c r="E100" s="3" t="s">
        <v>2365</v>
      </c>
      <c r="F100" s="3" t="s">
        <v>2380</v>
      </c>
      <c r="G100" s="3" t="str">
        <f t="shared" si="5"/>
        <v>SINGLE</v>
      </c>
      <c r="H100" s="197">
        <f t="shared" si="4"/>
        <v>4</v>
      </c>
      <c r="I100" s="197">
        <v>1</v>
      </c>
      <c r="J100" s="197">
        <v>22</v>
      </c>
      <c r="K100" s="186">
        <f t="shared" si="6"/>
        <v>45679</v>
      </c>
      <c r="L100" s="3"/>
      <c r="M100" s="3"/>
      <c r="N100" s="3" t="str">
        <f t="shared" si="7"/>
        <v/>
      </c>
      <c r="O100" s="3"/>
      <c r="P100" s="3"/>
      <c r="Q100" s="3"/>
      <c r="R100" s="3"/>
      <c r="S100" s="3"/>
      <c r="T100" s="3"/>
      <c r="U100" s="3"/>
    </row>
    <row r="101" spans="1:21" s="12" customFormat="1">
      <c r="A101" s="3">
        <v>5400</v>
      </c>
      <c r="B101" s="82">
        <f t="array" ref="B101">SUM(--(FREQUENCY(IF(C$2:C$3071=C101, MATCH(D$2:D$3071, D$2:D$3071, 0)), ROW(D$2:D$3071)-ROW(D$2)+1) &gt; 0))</f>
        <v>144</v>
      </c>
      <c r="C101" s="3">
        <f>VLOOKUP(D101, [1]Sheet1!K:X, 14, FALSE)</f>
        <v>41200007</v>
      </c>
      <c r="D101" s="6" t="s">
        <v>4256</v>
      </c>
      <c r="E101" s="3" t="s">
        <v>2365</v>
      </c>
      <c r="F101" s="3" t="s">
        <v>2380</v>
      </c>
      <c r="G101" s="3" t="str">
        <f t="shared" si="5"/>
        <v>SINGLE</v>
      </c>
      <c r="H101" s="197">
        <f t="shared" si="4"/>
        <v>4</v>
      </c>
      <c r="I101" s="197">
        <v>1</v>
      </c>
      <c r="J101" s="197">
        <v>22</v>
      </c>
      <c r="K101" s="186">
        <f t="shared" si="6"/>
        <v>45679</v>
      </c>
      <c r="L101" s="3"/>
      <c r="M101" s="3"/>
      <c r="N101" s="3" t="str">
        <f t="shared" si="7"/>
        <v/>
      </c>
      <c r="O101" s="3"/>
      <c r="P101" s="3"/>
      <c r="Q101" s="3"/>
      <c r="R101" s="3"/>
      <c r="S101" s="3"/>
      <c r="T101" s="3"/>
      <c r="U101" s="3"/>
    </row>
    <row r="102" spans="1:21">
      <c r="A102" s="3">
        <v>5350</v>
      </c>
      <c r="B102" s="82">
        <f t="array" ref="B102">SUM(--(FREQUENCY(IF(C$2:C$3071=C102, MATCH(D$2:D$3071, D$2:D$3071, 0)), ROW(D$2:D$3071)-ROW(D$2)+1) &gt; 0))</f>
        <v>19</v>
      </c>
      <c r="C102" s="3">
        <f>VLOOKUP(D102, [1]Sheet1!K:X, 14, FALSE)</f>
        <v>41100320</v>
      </c>
      <c r="D102" s="6" t="s">
        <v>1667</v>
      </c>
      <c r="E102" s="3" t="s">
        <v>4102</v>
      </c>
      <c r="F102" s="3" t="s">
        <v>4112</v>
      </c>
      <c r="G102" s="3" t="str">
        <f t="shared" si="5"/>
        <v>DUAL</v>
      </c>
      <c r="H102" s="197">
        <f t="shared" si="4"/>
        <v>4</v>
      </c>
      <c r="I102" s="197">
        <v>1</v>
      </c>
      <c r="J102" s="197">
        <v>22</v>
      </c>
      <c r="K102" s="186">
        <f t="shared" si="6"/>
        <v>45679</v>
      </c>
      <c r="N102" s="3" t="str">
        <f t="shared" si="7"/>
        <v/>
      </c>
    </row>
    <row r="103" spans="1:21">
      <c r="A103" s="3">
        <v>5350</v>
      </c>
      <c r="B103" s="82">
        <f t="array" ref="B103">SUM(--(FREQUENCY(IF(C$2:C$3071=C103, MATCH(D$2:D$3071, D$2:D$3071, 0)), ROW(D$2:D$3071)-ROW(D$2)+1) &gt; 0))</f>
        <v>19</v>
      </c>
      <c r="C103" s="3">
        <f>VLOOKUP(D103, [1]Sheet1!K:X, 14, FALSE)</f>
        <v>41100320</v>
      </c>
      <c r="D103" s="6" t="s">
        <v>4257</v>
      </c>
      <c r="E103" s="3" t="s">
        <v>4102</v>
      </c>
      <c r="F103" s="3" t="s">
        <v>4112</v>
      </c>
      <c r="G103" s="3" t="str">
        <f t="shared" si="5"/>
        <v>DUAL</v>
      </c>
      <c r="H103" s="197">
        <f t="shared" si="4"/>
        <v>4</v>
      </c>
      <c r="I103" s="197">
        <v>1</v>
      </c>
      <c r="J103" s="197">
        <v>22</v>
      </c>
      <c r="K103" s="186">
        <f t="shared" si="6"/>
        <v>45679</v>
      </c>
      <c r="N103" s="3" t="str">
        <f t="shared" si="7"/>
        <v/>
      </c>
    </row>
    <row r="104" spans="1:21">
      <c r="A104" s="3">
        <v>5404</v>
      </c>
      <c r="B104" s="82">
        <f t="array" ref="B104">SUM(--(FREQUENCY(IF(C$2:C$3071=C104, MATCH(D$2:D$3071, D$2:D$3071, 0)), ROW(D$2:D$3071)-ROW(D$2)+1) &gt; 0))</f>
        <v>22</v>
      </c>
      <c r="C104" s="3">
        <f>VLOOKUP(D104, [1]Sheet1!K:X, 14, FALSE)</f>
        <v>41000598</v>
      </c>
      <c r="D104" s="6" t="s">
        <v>1669</v>
      </c>
      <c r="E104" s="3" t="s">
        <v>2365</v>
      </c>
      <c r="F104" s="3" t="s">
        <v>4181</v>
      </c>
      <c r="G104" s="3" t="str">
        <f t="shared" si="5"/>
        <v>DUAL</v>
      </c>
      <c r="H104" s="197">
        <f t="shared" si="4"/>
        <v>4</v>
      </c>
      <c r="I104" s="197">
        <v>1</v>
      </c>
      <c r="J104" s="197">
        <v>23</v>
      </c>
      <c r="K104" s="186">
        <f t="shared" si="6"/>
        <v>45680</v>
      </c>
      <c r="N104" s="3" t="str">
        <f t="shared" si="7"/>
        <v/>
      </c>
    </row>
    <row r="105" spans="1:21">
      <c r="A105" s="3">
        <v>5404</v>
      </c>
      <c r="B105" s="82">
        <f t="array" ref="B105">SUM(--(FREQUENCY(IF(C$2:C$3071=C105, MATCH(D$2:D$3071, D$2:D$3071, 0)), ROW(D$2:D$3071)-ROW(D$2)+1) &gt; 0))</f>
        <v>22</v>
      </c>
      <c r="C105" s="3">
        <f>VLOOKUP(D105, [1]Sheet1!K:X, 14, FALSE)</f>
        <v>41000598</v>
      </c>
      <c r="D105" s="6" t="s">
        <v>4258</v>
      </c>
      <c r="E105" s="3" t="s">
        <v>2365</v>
      </c>
      <c r="F105" s="3" t="s">
        <v>4181</v>
      </c>
      <c r="G105" s="3" t="str">
        <f t="shared" si="5"/>
        <v>DUAL</v>
      </c>
      <c r="H105" s="197">
        <f t="shared" si="4"/>
        <v>4</v>
      </c>
      <c r="I105" s="197">
        <v>1</v>
      </c>
      <c r="J105" s="197">
        <v>23</v>
      </c>
      <c r="K105" s="186">
        <f t="shared" si="6"/>
        <v>45680</v>
      </c>
      <c r="N105" s="3" t="str">
        <f t="shared" si="7"/>
        <v/>
      </c>
    </row>
    <row r="106" spans="1:21">
      <c r="A106" s="3">
        <v>5351</v>
      </c>
      <c r="B106" s="82">
        <f t="array" ref="B106">SUM(--(FREQUENCY(IF(C$2:C$3071=C106, MATCH(D$2:D$3071, D$2:D$3071, 0)), ROW(D$2:D$3071)-ROW(D$2)+1) &gt; 0))</f>
        <v>77</v>
      </c>
      <c r="C106" s="3">
        <f>VLOOKUP(D106, [1]Sheet1!K:X, 14, FALSE)</f>
        <v>41200076</v>
      </c>
      <c r="D106" s="6" t="s">
        <v>4259</v>
      </c>
      <c r="E106" s="3" t="s">
        <v>4102</v>
      </c>
      <c r="F106" s="3" t="s">
        <v>4112</v>
      </c>
      <c r="G106" s="3" t="str">
        <f t="shared" si="5"/>
        <v>DUAL</v>
      </c>
      <c r="H106" s="197">
        <f t="shared" si="4"/>
        <v>4</v>
      </c>
      <c r="I106" s="197">
        <v>1</v>
      </c>
      <c r="J106" s="197">
        <v>23</v>
      </c>
      <c r="K106" s="186">
        <f t="shared" si="6"/>
        <v>45680</v>
      </c>
      <c r="N106" s="3" t="str">
        <f t="shared" si="7"/>
        <v/>
      </c>
    </row>
    <row r="107" spans="1:21">
      <c r="A107" s="3">
        <v>5381</v>
      </c>
      <c r="B107" s="82">
        <f t="array" ref="B107">SUM(--(FREQUENCY(IF(C$2:C$3071=C107, MATCH(D$2:D$3071, D$2:D$3071, 0)), ROW(D$2:D$3071)-ROW(D$2)+1) &gt; 0))</f>
        <v>3</v>
      </c>
      <c r="C107" s="3">
        <v>41200104</v>
      </c>
      <c r="D107" s="6" t="s">
        <v>4260</v>
      </c>
      <c r="E107" s="3" t="s">
        <v>2365</v>
      </c>
      <c r="F107" s="3" t="s">
        <v>4112</v>
      </c>
      <c r="G107" s="3" t="str">
        <f t="shared" si="5"/>
        <v>DUAL</v>
      </c>
      <c r="H107" s="197">
        <f t="shared" si="4"/>
        <v>4</v>
      </c>
      <c r="I107" s="197">
        <v>1</v>
      </c>
      <c r="J107" s="197">
        <v>23</v>
      </c>
      <c r="K107" s="186">
        <f t="shared" si="6"/>
        <v>45680</v>
      </c>
      <c r="N107" s="3" t="str">
        <f t="shared" si="7"/>
        <v/>
      </c>
    </row>
    <row r="108" spans="1:21">
      <c r="A108" s="3">
        <v>5348</v>
      </c>
      <c r="B108" s="82">
        <f t="array" ref="B108">SUM(--(FREQUENCY(IF(C$2:C$3071=C108, MATCH(D$2:D$3071, D$2:D$3071, 0)), ROW(D$2:D$3071)-ROW(D$2)+1) &gt; 0))</f>
        <v>22</v>
      </c>
      <c r="C108" s="3">
        <f>VLOOKUP(D108, [1]Sheet1!K:X, 14, FALSE)</f>
        <v>41200075</v>
      </c>
      <c r="D108" s="6" t="s">
        <v>4261</v>
      </c>
      <c r="E108" s="3" t="s">
        <v>4102</v>
      </c>
      <c r="F108" s="3" t="s">
        <v>4112</v>
      </c>
      <c r="G108" s="3" t="str">
        <f t="shared" si="5"/>
        <v>DUAL</v>
      </c>
      <c r="H108" s="197">
        <f t="shared" si="4"/>
        <v>4</v>
      </c>
      <c r="I108" s="197">
        <v>1</v>
      </c>
      <c r="J108" s="197">
        <v>23</v>
      </c>
      <c r="K108" s="186">
        <f t="shared" si="6"/>
        <v>45680</v>
      </c>
      <c r="N108" s="3" t="str">
        <f t="shared" si="7"/>
        <v/>
      </c>
    </row>
    <row r="109" spans="1:21">
      <c r="A109" s="3">
        <v>5404</v>
      </c>
      <c r="B109" s="82">
        <f t="array" ref="B109">SUM(--(FREQUENCY(IF(C$2:C$3071=C109, MATCH(D$2:D$3071, D$2:D$3071, 0)), ROW(D$2:D$3071)-ROW(D$2)+1) &gt; 0))</f>
        <v>22</v>
      </c>
      <c r="C109" s="3">
        <f>VLOOKUP(D109, [1]Sheet1!K:X, 14, FALSE)</f>
        <v>41000598</v>
      </c>
      <c r="D109" s="6" t="s">
        <v>4262</v>
      </c>
      <c r="E109" s="3" t="s">
        <v>2365</v>
      </c>
      <c r="F109" s="3" t="s">
        <v>4181</v>
      </c>
      <c r="G109" s="3" t="str">
        <f t="shared" si="5"/>
        <v>DUAL</v>
      </c>
      <c r="H109" s="197">
        <f t="shared" si="4"/>
        <v>4</v>
      </c>
      <c r="I109" s="197">
        <v>1</v>
      </c>
      <c r="J109" s="197">
        <v>24</v>
      </c>
      <c r="K109" s="186">
        <f t="shared" si="6"/>
        <v>45681</v>
      </c>
      <c r="N109" s="3" t="str">
        <f t="shared" si="7"/>
        <v/>
      </c>
    </row>
    <row r="110" spans="1:21">
      <c r="A110" s="3">
        <v>5419</v>
      </c>
      <c r="B110" s="82">
        <f t="array" ref="B110">SUM(--(FREQUENCY(IF(C$2:C$3071=C110, MATCH(D$2:D$3071, D$2:D$3071, 0)), ROW(D$2:D$3071)-ROW(D$2)+1) &gt; 0))</f>
        <v>15</v>
      </c>
      <c r="C110" s="3">
        <f>VLOOKUP(D110, [1]Sheet1!K:X, 14, FALSE)</f>
        <v>41200087</v>
      </c>
      <c r="D110" s="6" t="s">
        <v>4263</v>
      </c>
      <c r="E110" s="3" t="s">
        <v>4264</v>
      </c>
      <c r="F110" s="3" t="s">
        <v>4112</v>
      </c>
      <c r="G110" s="3" t="str">
        <f t="shared" si="5"/>
        <v>DUAL</v>
      </c>
      <c r="H110" s="197">
        <f t="shared" si="4"/>
        <v>4</v>
      </c>
      <c r="I110" s="197">
        <v>1</v>
      </c>
      <c r="J110" s="197">
        <v>24</v>
      </c>
      <c r="K110" s="186">
        <f t="shared" si="6"/>
        <v>45681</v>
      </c>
      <c r="L110" s="3" t="s">
        <v>2381</v>
      </c>
      <c r="N110" s="3" t="str">
        <f t="shared" si="7"/>
        <v>NG</v>
      </c>
      <c r="O110" s="3" t="s">
        <v>1568</v>
      </c>
      <c r="S110" s="3" t="s">
        <v>4265</v>
      </c>
    </row>
    <row r="111" spans="1:21">
      <c r="A111" s="14">
        <v>5328</v>
      </c>
      <c r="B111" s="82">
        <f t="array" ref="B111">SUM(--(FREQUENCY(IF(C$2:C$3071=C111, MATCH(D$2:D$3071, D$2:D$3071, 0)), ROW(D$2:D$3071)-ROW(D$2)+1) &gt; 0))</f>
        <v>6</v>
      </c>
      <c r="C111" s="14">
        <f>VLOOKUP(D111, [1]Sheet1!K:X, 14, FALSE)</f>
        <v>41000556</v>
      </c>
      <c r="D111" s="6" t="s">
        <v>4266</v>
      </c>
      <c r="E111" s="14" t="s">
        <v>4102</v>
      </c>
      <c r="F111" s="14" t="s">
        <v>4112</v>
      </c>
      <c r="G111" s="3" t="str">
        <f t="shared" si="5"/>
        <v>DUAL</v>
      </c>
      <c r="H111" s="197">
        <f t="shared" si="4"/>
        <v>4</v>
      </c>
      <c r="I111" s="201">
        <v>1</v>
      </c>
      <c r="J111" s="201">
        <v>24</v>
      </c>
      <c r="K111" s="186">
        <f t="shared" si="6"/>
        <v>45681</v>
      </c>
      <c r="L111" s="14" t="s">
        <v>4104</v>
      </c>
      <c r="M111" s="14"/>
      <c r="N111" s="3" t="str">
        <f t="shared" si="7"/>
        <v>NG</v>
      </c>
      <c r="O111" s="14" t="s">
        <v>1568</v>
      </c>
      <c r="P111" s="14"/>
      <c r="Q111" s="14"/>
      <c r="R111" s="14"/>
      <c r="S111" s="14" t="s">
        <v>4242</v>
      </c>
      <c r="T111" s="14" t="s">
        <v>4267</v>
      </c>
      <c r="U111" s="14"/>
    </row>
    <row r="112" spans="1:21">
      <c r="A112" s="14">
        <v>5328</v>
      </c>
      <c r="B112" s="82">
        <f t="array" ref="B112">SUM(--(FREQUENCY(IF(C$2:C$3071=C112, MATCH(D$2:D$3071, D$2:D$3071, 0)), ROW(D$2:D$3071)-ROW(D$2)+1) &gt; 0))</f>
        <v>6</v>
      </c>
      <c r="C112" s="14">
        <f>VLOOKUP(D112, [1]Sheet1!K:X, 14, FALSE)</f>
        <v>41000556</v>
      </c>
      <c r="D112" s="6" t="s">
        <v>4266</v>
      </c>
      <c r="E112" s="14" t="s">
        <v>4102</v>
      </c>
      <c r="F112" s="14" t="s">
        <v>4112</v>
      </c>
      <c r="G112" s="3" t="str">
        <f t="shared" si="5"/>
        <v>DUAL</v>
      </c>
      <c r="H112" s="197">
        <f t="shared" si="4"/>
        <v>4</v>
      </c>
      <c r="I112" s="201">
        <v>1</v>
      </c>
      <c r="J112" s="201">
        <v>24</v>
      </c>
      <c r="K112" s="186">
        <f t="shared" si="6"/>
        <v>45681</v>
      </c>
      <c r="L112" s="14" t="s">
        <v>4104</v>
      </c>
      <c r="M112" s="14"/>
      <c r="N112" s="3" t="str">
        <f t="shared" si="7"/>
        <v>NG</v>
      </c>
      <c r="O112" s="14" t="s">
        <v>1568</v>
      </c>
      <c r="P112" s="14"/>
      <c r="Q112" s="14"/>
      <c r="R112" s="14"/>
      <c r="S112" s="14" t="s">
        <v>4268</v>
      </c>
      <c r="T112" s="14"/>
      <c r="U112" s="14"/>
    </row>
    <row r="113" spans="1:21">
      <c r="A113" s="3">
        <v>5415</v>
      </c>
      <c r="B113" s="82">
        <f t="array" ref="B113">SUM(--(FREQUENCY(IF(C$2:C$3071=C113, MATCH(D$2:D$3071, D$2:D$3071, 0)), ROW(D$2:D$3071)-ROW(D$2)+1) &gt; 0))</f>
        <v>4</v>
      </c>
      <c r="C113" s="3">
        <f>VLOOKUP(D113, [1]Sheet1!K:X, 14, FALSE)</f>
        <v>41200008</v>
      </c>
      <c r="D113" s="6" t="s">
        <v>1679</v>
      </c>
      <c r="E113" s="3" t="s">
        <v>2365</v>
      </c>
      <c r="F113" s="3" t="s">
        <v>4130</v>
      </c>
      <c r="G113" s="3" t="str">
        <f t="shared" si="5"/>
        <v>DUAL</v>
      </c>
      <c r="H113" s="197">
        <f t="shared" si="4"/>
        <v>4</v>
      </c>
      <c r="I113" s="197">
        <v>1</v>
      </c>
      <c r="J113" s="197">
        <v>24</v>
      </c>
      <c r="K113" s="186">
        <f t="shared" si="6"/>
        <v>45681</v>
      </c>
      <c r="L113" s="6" t="s">
        <v>4104</v>
      </c>
      <c r="M113" s="6"/>
      <c r="N113" s="3" t="str">
        <f t="shared" si="7"/>
        <v>NG</v>
      </c>
      <c r="O113" s="6" t="s">
        <v>1568</v>
      </c>
      <c r="P113" s="6"/>
      <c r="Q113" s="3">
        <v>1100228300</v>
      </c>
      <c r="R113" s="3" t="s">
        <v>4105</v>
      </c>
      <c r="S113" s="6" t="s">
        <v>4269</v>
      </c>
      <c r="T113" s="3" t="s">
        <v>4244</v>
      </c>
    </row>
    <row r="114" spans="1:21">
      <c r="A114" s="3">
        <v>5415</v>
      </c>
      <c r="B114" s="82">
        <f t="array" ref="B114">SUM(--(FREQUENCY(IF(C$2:C$3071=C114, MATCH(D$2:D$3071, D$2:D$3071, 0)), ROW(D$2:D$3071)-ROW(D$2)+1) &gt; 0))</f>
        <v>4</v>
      </c>
      <c r="C114" s="3">
        <f>VLOOKUP(D114, [1]Sheet1!K:X, 14, FALSE)</f>
        <v>41200008</v>
      </c>
      <c r="D114" s="6" t="s">
        <v>4270</v>
      </c>
      <c r="E114" s="3" t="s">
        <v>2365</v>
      </c>
      <c r="F114" s="3" t="s">
        <v>4130</v>
      </c>
      <c r="G114" s="3" t="str">
        <f t="shared" si="5"/>
        <v>DUAL</v>
      </c>
      <c r="H114" s="197">
        <f t="shared" si="4"/>
        <v>4</v>
      </c>
      <c r="I114" s="197">
        <v>1</v>
      </c>
      <c r="J114" s="197">
        <v>24</v>
      </c>
      <c r="K114" s="186">
        <f t="shared" si="6"/>
        <v>45681</v>
      </c>
      <c r="L114" s="6" t="s">
        <v>4104</v>
      </c>
      <c r="M114" s="6"/>
      <c r="N114" s="3" t="str">
        <f t="shared" si="7"/>
        <v>NG</v>
      </c>
      <c r="O114" s="3" t="s">
        <v>1568</v>
      </c>
      <c r="Q114" s="6"/>
      <c r="R114" s="6"/>
      <c r="S114" s="3" t="s">
        <v>4271</v>
      </c>
    </row>
    <row r="115" spans="1:21" s="15" customFormat="1">
      <c r="A115" s="3">
        <v>5403</v>
      </c>
      <c r="B115" s="82">
        <f t="array" ref="B115">SUM(--(FREQUENCY(IF(C$2:C$3071=C115, MATCH(D$2:D$3071, D$2:D$3071, 0)), ROW(D$2:D$3071)-ROW(D$2)+1) &gt; 0))</f>
        <v>4</v>
      </c>
      <c r="C115" s="3">
        <f>VLOOKUP(D115, [1]Sheet1!K:X, 14, FALSE)</f>
        <v>41200008</v>
      </c>
      <c r="D115" s="6" t="s">
        <v>1674</v>
      </c>
      <c r="E115" s="3" t="s">
        <v>2365</v>
      </c>
      <c r="F115" s="3" t="s">
        <v>4130</v>
      </c>
      <c r="G115" s="3" t="str">
        <f t="shared" si="5"/>
        <v>DUAL</v>
      </c>
      <c r="H115" s="197">
        <f t="shared" si="4"/>
        <v>4</v>
      </c>
      <c r="I115" s="197">
        <v>1</v>
      </c>
      <c r="J115" s="197">
        <v>24</v>
      </c>
      <c r="K115" s="186">
        <f t="shared" si="6"/>
        <v>45681</v>
      </c>
      <c r="L115" s="3"/>
      <c r="M115" s="3"/>
      <c r="N115" s="3" t="str">
        <f t="shared" si="7"/>
        <v/>
      </c>
      <c r="O115" s="3"/>
      <c r="P115" s="3"/>
      <c r="Q115" s="3"/>
      <c r="R115" s="3"/>
      <c r="S115" s="3"/>
      <c r="T115" s="3"/>
      <c r="U115" s="3"/>
    </row>
    <row r="116" spans="1:21" s="15" customFormat="1">
      <c r="A116" s="3">
        <v>5403</v>
      </c>
      <c r="B116" s="82">
        <f t="array" ref="B116">SUM(--(FREQUENCY(IF(C$2:C$3071=C116, MATCH(D$2:D$3071, D$2:D$3071, 0)), ROW(D$2:D$3071)-ROW(D$2)+1) &gt; 0))</f>
        <v>4</v>
      </c>
      <c r="C116" s="3">
        <f>VLOOKUP(D116, [1]Sheet1!K:X, 14, FALSE)</f>
        <v>41200008</v>
      </c>
      <c r="D116" s="6" t="s">
        <v>4272</v>
      </c>
      <c r="E116" s="3" t="s">
        <v>2365</v>
      </c>
      <c r="F116" s="3" t="s">
        <v>4130</v>
      </c>
      <c r="G116" s="3" t="str">
        <f t="shared" si="5"/>
        <v>DUAL</v>
      </c>
      <c r="H116" s="197">
        <f t="shared" si="4"/>
        <v>4</v>
      </c>
      <c r="I116" s="197">
        <v>1</v>
      </c>
      <c r="J116" s="197">
        <v>24</v>
      </c>
      <c r="K116" s="186">
        <f t="shared" si="6"/>
        <v>45681</v>
      </c>
      <c r="L116" s="3"/>
      <c r="M116" s="3"/>
      <c r="N116" s="3" t="str">
        <f t="shared" si="7"/>
        <v/>
      </c>
      <c r="O116" s="3"/>
      <c r="P116" s="3"/>
      <c r="Q116" s="3"/>
      <c r="R116" s="3"/>
      <c r="S116" s="3"/>
      <c r="T116" s="3"/>
      <c r="U116" s="3"/>
    </row>
    <row r="117" spans="1:21">
      <c r="A117" s="3">
        <v>5400</v>
      </c>
      <c r="B117" s="82">
        <f t="array" ref="B117">SUM(--(FREQUENCY(IF(C$2:C$3071=C117, MATCH(D$2:D$3071, D$2:D$3071, 0)), ROW(D$2:D$3071)-ROW(D$2)+1) &gt; 0))</f>
        <v>144</v>
      </c>
      <c r="C117" s="3">
        <f>VLOOKUP(D117, [1]Sheet1!K:X, 14, FALSE)</f>
        <v>41200007</v>
      </c>
      <c r="D117" s="6" t="s">
        <v>1689</v>
      </c>
      <c r="E117" s="3" t="s">
        <v>2365</v>
      </c>
      <c r="F117" s="3" t="s">
        <v>2380</v>
      </c>
      <c r="G117" s="3" t="str">
        <f t="shared" si="5"/>
        <v>SINGLE</v>
      </c>
      <c r="H117" s="197">
        <f t="shared" si="4"/>
        <v>6</v>
      </c>
      <c r="I117" s="197">
        <v>2</v>
      </c>
      <c r="J117" s="197">
        <v>3</v>
      </c>
      <c r="K117" s="186">
        <f t="shared" si="6"/>
        <v>45691</v>
      </c>
      <c r="N117" s="3" t="str">
        <f t="shared" si="7"/>
        <v/>
      </c>
    </row>
    <row r="118" spans="1:21">
      <c r="A118" s="3">
        <v>5400</v>
      </c>
      <c r="B118" s="82">
        <f t="array" ref="B118">SUM(--(FREQUENCY(IF(C$2:C$3071=C118, MATCH(D$2:D$3071, D$2:D$3071, 0)), ROW(D$2:D$3071)-ROW(D$2)+1) &gt; 0))</f>
        <v>144</v>
      </c>
      <c r="C118" s="3">
        <f>VLOOKUP(D118, [1]Sheet1!K:X, 14, FALSE)</f>
        <v>41200007</v>
      </c>
      <c r="D118" s="6" t="s">
        <v>4273</v>
      </c>
      <c r="E118" s="3" t="s">
        <v>2365</v>
      </c>
      <c r="F118" s="3" t="s">
        <v>2380</v>
      </c>
      <c r="G118" s="3" t="str">
        <f t="shared" si="5"/>
        <v>SINGLE</v>
      </c>
      <c r="H118" s="197">
        <f t="shared" si="4"/>
        <v>6</v>
      </c>
      <c r="I118" s="197">
        <v>2</v>
      </c>
      <c r="J118" s="197">
        <v>3</v>
      </c>
      <c r="K118" s="186">
        <f t="shared" si="6"/>
        <v>45691</v>
      </c>
      <c r="N118" s="3" t="str">
        <f t="shared" si="7"/>
        <v/>
      </c>
    </row>
    <row r="119" spans="1:21">
      <c r="A119" s="3">
        <v>5353</v>
      </c>
      <c r="B119" s="82">
        <f t="array" ref="B119">SUM(--(FREQUENCY(IF(C$2:C$3071=C119, MATCH(D$2:D$3071, D$2:D$3071, 0)), ROW(D$2:D$3071)-ROW(D$2)+1) &gt; 0))</f>
        <v>11</v>
      </c>
      <c r="C119" s="3">
        <f>VLOOKUP(D119, [1]Sheet1!K:X, 14, FALSE)</f>
        <v>41100374</v>
      </c>
      <c r="D119" s="6" t="s">
        <v>4274</v>
      </c>
      <c r="E119" s="3" t="s">
        <v>4102</v>
      </c>
      <c r="F119" s="3" t="s">
        <v>4112</v>
      </c>
      <c r="G119" s="3" t="str">
        <f t="shared" si="5"/>
        <v>DUAL</v>
      </c>
      <c r="H119" s="197">
        <f t="shared" si="4"/>
        <v>6</v>
      </c>
      <c r="I119" s="197">
        <v>2</v>
      </c>
      <c r="J119" s="197">
        <v>3</v>
      </c>
      <c r="K119" s="186">
        <f t="shared" si="6"/>
        <v>45691</v>
      </c>
      <c r="N119" s="3" t="str">
        <f t="shared" si="7"/>
        <v/>
      </c>
    </row>
    <row r="120" spans="1:21">
      <c r="A120" s="3">
        <v>5351</v>
      </c>
      <c r="B120" s="82">
        <f t="array" ref="B120">SUM(--(FREQUENCY(IF(C$2:C$3071=C120, MATCH(D$2:D$3071, D$2:D$3071, 0)), ROW(D$2:D$3071)-ROW(D$2)+1) &gt; 0))</f>
        <v>77</v>
      </c>
      <c r="C120" s="3">
        <f>VLOOKUP(D120, [1]Sheet1!K:X, 14, FALSE)</f>
        <v>41200076</v>
      </c>
      <c r="D120" s="6" t="s">
        <v>1687</v>
      </c>
      <c r="E120" s="3" t="s">
        <v>4102</v>
      </c>
      <c r="F120" s="3" t="s">
        <v>4112</v>
      </c>
      <c r="G120" s="3" t="str">
        <f t="shared" si="5"/>
        <v>DUAL</v>
      </c>
      <c r="H120" s="197">
        <f t="shared" si="4"/>
        <v>6</v>
      </c>
      <c r="I120" s="197">
        <v>2</v>
      </c>
      <c r="J120" s="197">
        <v>3</v>
      </c>
      <c r="K120" s="186">
        <f t="shared" si="6"/>
        <v>45691</v>
      </c>
      <c r="N120" s="3" t="str">
        <f t="shared" si="7"/>
        <v/>
      </c>
    </row>
    <row r="121" spans="1:21">
      <c r="A121" s="3">
        <v>5351</v>
      </c>
      <c r="B121" s="82">
        <f t="array" ref="B121">SUM(--(FREQUENCY(IF(C$2:C$3071=C121, MATCH(D$2:D$3071, D$2:D$3071, 0)), ROW(D$2:D$3071)-ROW(D$2)+1) &gt; 0))</f>
        <v>77</v>
      </c>
      <c r="C121" s="3">
        <f>VLOOKUP(D121, [1]Sheet1!K:X, 14, FALSE)</f>
        <v>41200076</v>
      </c>
      <c r="D121" s="6" t="s">
        <v>1686</v>
      </c>
      <c r="E121" s="3" t="s">
        <v>4102</v>
      </c>
      <c r="F121" s="3" t="s">
        <v>4112</v>
      </c>
      <c r="G121" s="3" t="str">
        <f t="shared" si="5"/>
        <v>DUAL</v>
      </c>
      <c r="H121" s="197">
        <f t="shared" si="4"/>
        <v>6</v>
      </c>
      <c r="I121" s="197">
        <v>2</v>
      </c>
      <c r="J121" s="197">
        <v>3</v>
      </c>
      <c r="K121" s="186">
        <f t="shared" si="6"/>
        <v>45691</v>
      </c>
      <c r="N121" s="3" t="str">
        <f t="shared" si="7"/>
        <v/>
      </c>
    </row>
    <row r="122" spans="1:21">
      <c r="A122" s="3">
        <v>5351</v>
      </c>
      <c r="B122" s="82">
        <f t="array" ref="B122">SUM(--(FREQUENCY(IF(C$2:C$3071=C122, MATCH(D$2:D$3071, D$2:D$3071, 0)), ROW(D$2:D$3071)-ROW(D$2)+1) &gt; 0))</f>
        <v>77</v>
      </c>
      <c r="C122" s="3">
        <f>VLOOKUP(D122, [1]Sheet1!K:X, 14, FALSE)</f>
        <v>41200076</v>
      </c>
      <c r="D122" s="6" t="s">
        <v>4275</v>
      </c>
      <c r="E122" s="3" t="s">
        <v>4102</v>
      </c>
      <c r="F122" s="3" t="s">
        <v>4112</v>
      </c>
      <c r="G122" s="3" t="str">
        <f t="shared" si="5"/>
        <v>DUAL</v>
      </c>
      <c r="H122" s="197">
        <f t="shared" si="4"/>
        <v>6</v>
      </c>
      <c r="I122" s="197">
        <v>2</v>
      </c>
      <c r="J122" s="197">
        <v>3</v>
      </c>
      <c r="K122" s="186">
        <f t="shared" si="6"/>
        <v>45691</v>
      </c>
      <c r="N122" s="3" t="str">
        <f t="shared" si="7"/>
        <v/>
      </c>
    </row>
    <row r="123" spans="1:21">
      <c r="A123" s="3">
        <v>5349</v>
      </c>
      <c r="B123" s="82">
        <f t="array" ref="B123">SUM(--(FREQUENCY(IF(C$2:C$3071=C123, MATCH(D$2:D$3071, D$2:D$3071, 0)), ROW(D$2:D$3071)-ROW(D$2)+1) &gt; 0))</f>
        <v>6</v>
      </c>
      <c r="C123" s="3">
        <f>VLOOKUP(D123, [1]Sheet1!K:X, 14, FALSE)</f>
        <v>41100334</v>
      </c>
      <c r="D123" s="6" t="s">
        <v>4276</v>
      </c>
      <c r="E123" s="3" t="s">
        <v>4102</v>
      </c>
      <c r="F123" s="3" t="s">
        <v>4112</v>
      </c>
      <c r="G123" s="3" t="str">
        <f t="shared" si="5"/>
        <v>DUAL</v>
      </c>
      <c r="H123" s="197">
        <f t="shared" si="4"/>
        <v>6</v>
      </c>
      <c r="I123" s="197">
        <v>2</v>
      </c>
      <c r="J123" s="197">
        <v>3</v>
      </c>
      <c r="K123" s="186">
        <f t="shared" si="6"/>
        <v>45691</v>
      </c>
      <c r="N123" s="3" t="str">
        <f t="shared" si="7"/>
        <v/>
      </c>
    </row>
    <row r="124" spans="1:21">
      <c r="A124" s="3">
        <v>5344</v>
      </c>
      <c r="B124" s="82">
        <f t="array" ref="B124">SUM(--(FREQUENCY(IF(C$2:C$3071=C124, MATCH(D$2:D$3071, D$2:D$3071, 0)), ROW(D$2:D$3071)-ROW(D$2)+1) &gt; 0))</f>
        <v>51</v>
      </c>
      <c r="C124" s="3">
        <f>VLOOKUP(D124, [1]Sheet1!K:X, 14, FALSE)</f>
        <v>41200034</v>
      </c>
      <c r="D124" s="6" t="s">
        <v>1684</v>
      </c>
      <c r="E124" s="3" t="s">
        <v>4135</v>
      </c>
      <c r="F124" s="3" t="s">
        <v>4112</v>
      </c>
      <c r="G124" s="3" t="str">
        <f t="shared" si="5"/>
        <v>DUAL</v>
      </c>
      <c r="H124" s="197">
        <f t="shared" si="4"/>
        <v>6</v>
      </c>
      <c r="I124" s="197">
        <v>2</v>
      </c>
      <c r="J124" s="197">
        <v>3</v>
      </c>
      <c r="K124" s="186">
        <f t="shared" si="6"/>
        <v>45691</v>
      </c>
      <c r="N124" s="3" t="str">
        <f t="shared" si="7"/>
        <v/>
      </c>
    </row>
    <row r="125" spans="1:21">
      <c r="A125" s="3">
        <v>5344</v>
      </c>
      <c r="B125" s="82">
        <f t="array" ref="B125">SUM(--(FREQUENCY(IF(C$2:C$3071=C125, MATCH(D$2:D$3071, D$2:D$3071, 0)), ROW(D$2:D$3071)-ROW(D$2)+1) &gt; 0))</f>
        <v>51</v>
      </c>
      <c r="C125" s="3">
        <f>VLOOKUP(D125, [1]Sheet1!K:X, 14, FALSE)</f>
        <v>41200034</v>
      </c>
      <c r="D125" s="6" t="s">
        <v>4277</v>
      </c>
      <c r="E125" s="3" t="s">
        <v>4135</v>
      </c>
      <c r="F125" s="3" t="s">
        <v>4112</v>
      </c>
      <c r="G125" s="3" t="str">
        <f t="shared" si="5"/>
        <v>DUAL</v>
      </c>
      <c r="H125" s="197">
        <f t="shared" si="4"/>
        <v>6</v>
      </c>
      <c r="I125" s="197">
        <v>2</v>
      </c>
      <c r="J125" s="197">
        <v>3</v>
      </c>
      <c r="K125" s="186">
        <f t="shared" si="6"/>
        <v>45691</v>
      </c>
      <c r="N125" s="3" t="str">
        <f t="shared" si="7"/>
        <v/>
      </c>
    </row>
    <row r="126" spans="1:21">
      <c r="A126" s="3">
        <v>5401</v>
      </c>
      <c r="B126" s="82">
        <f t="array" ref="B126">SUM(--(FREQUENCY(IF(C$2:C$3071=C126, MATCH(D$2:D$3071, D$2:D$3071, 0)), ROW(D$2:D$3071)-ROW(D$2)+1) &gt; 0))</f>
        <v>17</v>
      </c>
      <c r="C126" s="3">
        <f>VLOOKUP(D126, [1]Sheet1!K:X, 14, FALSE)</f>
        <v>41000558</v>
      </c>
      <c r="D126" s="6" t="s">
        <v>4278</v>
      </c>
      <c r="E126" s="3" t="s">
        <v>2365</v>
      </c>
      <c r="F126" s="3" t="s">
        <v>4279</v>
      </c>
      <c r="G126" s="3" t="str">
        <f t="shared" si="5"/>
        <v>SINGLE</v>
      </c>
      <c r="H126" s="197">
        <f t="shared" si="4"/>
        <v>6</v>
      </c>
      <c r="I126" s="197">
        <v>2</v>
      </c>
      <c r="J126" s="197">
        <v>4</v>
      </c>
      <c r="K126" s="186">
        <f t="shared" si="6"/>
        <v>45692</v>
      </c>
      <c r="N126" s="3" t="str">
        <f t="shared" si="7"/>
        <v/>
      </c>
    </row>
    <row r="127" spans="1:21">
      <c r="A127" s="3">
        <v>5401</v>
      </c>
      <c r="B127" s="82">
        <f t="array" ref="B127">SUM(--(FREQUENCY(IF(C$2:C$3071=C127, MATCH(D$2:D$3071, D$2:D$3071, 0)), ROW(D$2:D$3071)-ROW(D$2)+1) &gt; 0))</f>
        <v>17</v>
      </c>
      <c r="C127" s="3">
        <f>VLOOKUP(D127, [1]Sheet1!K:X, 14, FALSE)</f>
        <v>41000558</v>
      </c>
      <c r="D127" s="6" t="s">
        <v>4280</v>
      </c>
      <c r="E127" s="3" t="s">
        <v>2365</v>
      </c>
      <c r="F127" s="3" t="s">
        <v>4279</v>
      </c>
      <c r="G127" s="3" t="str">
        <f t="shared" si="5"/>
        <v>SINGLE</v>
      </c>
      <c r="H127" s="197">
        <f t="shared" si="4"/>
        <v>6</v>
      </c>
      <c r="I127" s="197">
        <v>2</v>
      </c>
      <c r="J127" s="197">
        <v>4</v>
      </c>
      <c r="K127" s="186">
        <f t="shared" si="6"/>
        <v>45692</v>
      </c>
      <c r="N127" s="3" t="str">
        <f t="shared" si="7"/>
        <v/>
      </c>
    </row>
    <row r="128" spans="1:21">
      <c r="A128" s="3">
        <v>5431</v>
      </c>
      <c r="B128" s="82">
        <f t="array" ref="B128">SUM(--(FREQUENCY(IF(C$2:C$3071=C128, MATCH(D$2:D$3071, D$2:D$3071, 0)), ROW(D$2:D$3071)-ROW(D$2)+1) &gt; 0))</f>
        <v>49</v>
      </c>
      <c r="C128" s="3">
        <f>VLOOKUP(D128, [1]Sheet1!K:X, 14, FALSE)</f>
        <v>41200005</v>
      </c>
      <c r="D128" s="6" t="s">
        <v>1690</v>
      </c>
      <c r="E128" s="3" t="s">
        <v>2365</v>
      </c>
      <c r="F128" s="3" t="s">
        <v>2380</v>
      </c>
      <c r="G128" s="3" t="str">
        <f t="shared" si="5"/>
        <v>SINGLE</v>
      </c>
      <c r="H128" s="197">
        <f t="shared" si="4"/>
        <v>6</v>
      </c>
      <c r="I128" s="197">
        <v>2</v>
      </c>
      <c r="J128" s="197">
        <v>4</v>
      </c>
      <c r="K128" s="186">
        <f t="shared" si="6"/>
        <v>45692</v>
      </c>
      <c r="N128" s="3" t="str">
        <f t="shared" si="7"/>
        <v/>
      </c>
    </row>
    <row r="129" spans="1:21">
      <c r="A129" s="3">
        <v>5431</v>
      </c>
      <c r="B129" s="82">
        <f t="array" ref="B129">SUM(--(FREQUENCY(IF(C$2:C$3071=C129, MATCH(D$2:D$3071, D$2:D$3071, 0)), ROW(D$2:D$3071)-ROW(D$2)+1) &gt; 0))</f>
        <v>49</v>
      </c>
      <c r="C129" s="3">
        <f>VLOOKUP(D129, [1]Sheet1!K:X, 14, FALSE)</f>
        <v>41200005</v>
      </c>
      <c r="D129" s="6" t="s">
        <v>4281</v>
      </c>
      <c r="E129" s="3" t="s">
        <v>2365</v>
      </c>
      <c r="F129" s="3" t="s">
        <v>2380</v>
      </c>
      <c r="G129" s="3" t="str">
        <f t="shared" si="5"/>
        <v>SINGLE</v>
      </c>
      <c r="H129" s="197">
        <f t="shared" ref="H129:H192" si="8">WEEKNUM(K129)</f>
        <v>6</v>
      </c>
      <c r="I129" s="197">
        <v>2</v>
      </c>
      <c r="J129" s="197">
        <v>4</v>
      </c>
      <c r="K129" s="186">
        <f t="shared" si="6"/>
        <v>45692</v>
      </c>
      <c r="L129" s="6" t="s">
        <v>4104</v>
      </c>
      <c r="M129" s="6"/>
      <c r="N129" s="3" t="str">
        <f t="shared" si="7"/>
        <v>NG</v>
      </c>
      <c r="O129" s="3" t="s">
        <v>1568</v>
      </c>
      <c r="Q129" s="6"/>
      <c r="R129" s="6"/>
      <c r="S129" s="3" t="s">
        <v>4282</v>
      </c>
    </row>
    <row r="130" spans="1:21">
      <c r="A130" s="3">
        <v>5400</v>
      </c>
      <c r="B130" s="82">
        <f t="array" ref="B130">SUM(--(FREQUENCY(IF(C$2:C$3071=C130, MATCH(D$2:D$3071, D$2:D$3071, 0)), ROW(D$2:D$3071)-ROW(D$2)+1) &gt; 0))</f>
        <v>144</v>
      </c>
      <c r="C130" s="3">
        <f>VLOOKUP(D130, [1]Sheet1!K:X, 14, FALSE)</f>
        <v>41200007</v>
      </c>
      <c r="D130" s="6" t="s">
        <v>1696</v>
      </c>
      <c r="E130" s="3" t="s">
        <v>2365</v>
      </c>
      <c r="F130" s="3" t="s">
        <v>2380</v>
      </c>
      <c r="G130" s="3" t="str">
        <f t="shared" ref="G130:G193" si="9">IF(OR(ISNUMBER(SEARCH("DUAL",F130)), ISNUMBER(SEARCH("IVAS",F130))), "DUAL", "SINGLE")</f>
        <v>SINGLE</v>
      </c>
      <c r="H130" s="197">
        <f t="shared" si="8"/>
        <v>6</v>
      </c>
      <c r="I130" s="197">
        <v>2</v>
      </c>
      <c r="J130" s="197">
        <v>4</v>
      </c>
      <c r="K130" s="186">
        <f t="shared" ref="K130:K193" si="10">DATE(2025, I130, J130)</f>
        <v>45692</v>
      </c>
      <c r="L130" s="6" t="s">
        <v>4104</v>
      </c>
      <c r="M130" s="6"/>
      <c r="N130" s="3" t="str">
        <f t="shared" ref="N130:N193" si="11">IF(O130&lt;&gt;"", "NG", "")</f>
        <v>NG</v>
      </c>
      <c r="O130" s="3" t="s">
        <v>1568</v>
      </c>
      <c r="Q130" s="6"/>
      <c r="R130" s="6"/>
      <c r="S130" s="3" t="s">
        <v>4283</v>
      </c>
    </row>
    <row r="131" spans="1:21">
      <c r="A131" s="3">
        <v>5400</v>
      </c>
      <c r="B131" s="82">
        <f t="array" ref="B131">SUM(--(FREQUENCY(IF(C$2:C$3071=C131, MATCH(D$2:D$3071, D$2:D$3071, 0)), ROW(D$2:D$3071)-ROW(D$2)+1) &gt; 0))</f>
        <v>144</v>
      </c>
      <c r="C131" s="3">
        <f>VLOOKUP(D131, [1]Sheet1!K:X, 14, FALSE)</f>
        <v>41200007</v>
      </c>
      <c r="D131" s="6" t="s">
        <v>4284</v>
      </c>
      <c r="E131" s="3" t="s">
        <v>2365</v>
      </c>
      <c r="F131" s="3" t="s">
        <v>2380</v>
      </c>
      <c r="G131" s="3" t="str">
        <f t="shared" si="9"/>
        <v>SINGLE</v>
      </c>
      <c r="H131" s="197">
        <f t="shared" si="8"/>
        <v>6</v>
      </c>
      <c r="I131" s="197">
        <v>2</v>
      </c>
      <c r="J131" s="197">
        <v>4</v>
      </c>
      <c r="K131" s="186">
        <f t="shared" si="10"/>
        <v>45692</v>
      </c>
      <c r="N131" s="3" t="str">
        <f t="shared" si="11"/>
        <v/>
      </c>
    </row>
    <row r="132" spans="1:21">
      <c r="A132" s="3">
        <v>5328</v>
      </c>
      <c r="B132" s="82">
        <f t="array" ref="B132">SUM(--(FREQUENCY(IF(C$2:C$3071=C132, MATCH(D$2:D$3071, D$2:D$3071, 0)), ROW(D$2:D$3071)-ROW(D$2)+1) &gt; 0))</f>
        <v>6</v>
      </c>
      <c r="C132" s="3">
        <f>VLOOKUP(D132, [1]Sheet1!K:X, 14, FALSE)</f>
        <v>41000556</v>
      </c>
      <c r="D132" s="6" t="s">
        <v>4285</v>
      </c>
      <c r="E132" s="3" t="s">
        <v>4102</v>
      </c>
      <c r="F132" s="3" t="s">
        <v>4112</v>
      </c>
      <c r="G132" s="3" t="str">
        <f t="shared" si="9"/>
        <v>DUAL</v>
      </c>
      <c r="H132" s="197">
        <f t="shared" si="8"/>
        <v>6</v>
      </c>
      <c r="I132" s="197">
        <v>2</v>
      </c>
      <c r="J132" s="197">
        <v>4</v>
      </c>
      <c r="K132" s="186">
        <f t="shared" si="10"/>
        <v>45692</v>
      </c>
      <c r="L132" s="3" t="s">
        <v>2381</v>
      </c>
      <c r="N132" s="3" t="str">
        <f t="shared" si="11"/>
        <v>NG</v>
      </c>
      <c r="O132" s="3" t="s">
        <v>1568</v>
      </c>
      <c r="S132" s="3" t="s">
        <v>4286</v>
      </c>
    </row>
    <row r="133" spans="1:21">
      <c r="A133" s="3">
        <v>5351</v>
      </c>
      <c r="B133" s="82">
        <f t="array" ref="B133">SUM(--(FREQUENCY(IF(C$2:C$3071=C133, MATCH(D$2:D$3071, D$2:D$3071, 0)), ROW(D$2:D$3071)-ROW(D$2)+1) &gt; 0))</f>
        <v>77</v>
      </c>
      <c r="C133" s="3">
        <f>VLOOKUP(D133, [1]Sheet1!K:X, 14, FALSE)</f>
        <v>41200076</v>
      </c>
      <c r="D133" s="6" t="s">
        <v>1694</v>
      </c>
      <c r="E133" s="3" t="s">
        <v>4102</v>
      </c>
      <c r="F133" s="3" t="s">
        <v>4112</v>
      </c>
      <c r="G133" s="3" t="str">
        <f t="shared" si="9"/>
        <v>DUAL</v>
      </c>
      <c r="H133" s="197">
        <f t="shared" si="8"/>
        <v>6</v>
      </c>
      <c r="I133" s="197">
        <v>2</v>
      </c>
      <c r="J133" s="197">
        <v>4</v>
      </c>
      <c r="K133" s="186">
        <f t="shared" si="10"/>
        <v>45692</v>
      </c>
      <c r="N133" s="3" t="str">
        <f t="shared" si="11"/>
        <v/>
      </c>
    </row>
    <row r="134" spans="1:21">
      <c r="A134" s="3">
        <v>5351</v>
      </c>
      <c r="B134" s="82">
        <f t="array" ref="B134">SUM(--(FREQUENCY(IF(C$2:C$3071=C134, MATCH(D$2:D$3071, D$2:D$3071, 0)), ROW(D$2:D$3071)-ROW(D$2)+1) &gt; 0))</f>
        <v>77</v>
      </c>
      <c r="C134" s="3">
        <f>VLOOKUP(D134, [1]Sheet1!K:X, 14, FALSE)</f>
        <v>41200076</v>
      </c>
      <c r="D134" s="6" t="s">
        <v>1693</v>
      </c>
      <c r="E134" s="3" t="s">
        <v>4102</v>
      </c>
      <c r="F134" s="3" t="s">
        <v>4112</v>
      </c>
      <c r="G134" s="3" t="str">
        <f t="shared" si="9"/>
        <v>DUAL</v>
      </c>
      <c r="H134" s="197">
        <f t="shared" si="8"/>
        <v>6</v>
      </c>
      <c r="I134" s="197">
        <v>2</v>
      </c>
      <c r="J134" s="197">
        <v>4</v>
      </c>
      <c r="K134" s="186">
        <f t="shared" si="10"/>
        <v>45692</v>
      </c>
      <c r="L134" s="6" t="s">
        <v>4104</v>
      </c>
      <c r="M134" s="6"/>
      <c r="N134" s="3" t="str">
        <f t="shared" si="11"/>
        <v>NG</v>
      </c>
      <c r="O134" s="3" t="s">
        <v>1568</v>
      </c>
      <c r="Q134" s="3">
        <v>1100228300</v>
      </c>
      <c r="R134" s="3" t="s">
        <v>4105</v>
      </c>
      <c r="S134" s="6" t="s">
        <v>4269</v>
      </c>
      <c r="T134" s="3" t="s">
        <v>4232</v>
      </c>
    </row>
    <row r="135" spans="1:21">
      <c r="A135" s="3">
        <v>5351</v>
      </c>
      <c r="B135" s="82">
        <f t="array" ref="B135">SUM(--(FREQUENCY(IF(C$2:C$3071=C135, MATCH(D$2:D$3071, D$2:D$3071, 0)), ROW(D$2:D$3071)-ROW(D$2)+1) &gt; 0))</f>
        <v>77</v>
      </c>
      <c r="C135" s="3">
        <f>VLOOKUP(D135, [1]Sheet1!K:X, 14, FALSE)</f>
        <v>41200076</v>
      </c>
      <c r="D135" s="6" t="s">
        <v>4287</v>
      </c>
      <c r="E135" s="3" t="s">
        <v>4102</v>
      </c>
      <c r="F135" s="3" t="s">
        <v>4112</v>
      </c>
      <c r="G135" s="3" t="str">
        <f t="shared" si="9"/>
        <v>DUAL</v>
      </c>
      <c r="H135" s="197">
        <f t="shared" si="8"/>
        <v>6</v>
      </c>
      <c r="I135" s="197">
        <v>2</v>
      </c>
      <c r="J135" s="197">
        <v>4</v>
      </c>
      <c r="K135" s="186">
        <f t="shared" si="10"/>
        <v>45692</v>
      </c>
      <c r="N135" s="3" t="str">
        <f t="shared" si="11"/>
        <v/>
      </c>
    </row>
    <row r="136" spans="1:21">
      <c r="A136" s="14">
        <v>5391</v>
      </c>
      <c r="B136" s="82">
        <f t="array" ref="B136">SUM(--(FREQUENCY(IF(C$2:C$3071=C136, MATCH(D$2:D$3071, D$2:D$3071, 0)), ROW(D$2:D$3071)-ROW(D$2)+1) &gt; 0))</f>
        <v>26</v>
      </c>
      <c r="C136" s="14">
        <f>VLOOKUP(D136, [1]Sheet1!K:X, 14, FALSE)</f>
        <v>41000590</v>
      </c>
      <c r="D136" s="6" t="s">
        <v>1699</v>
      </c>
      <c r="E136" s="14" t="s">
        <v>2365</v>
      </c>
      <c r="F136" s="14" t="s">
        <v>4165</v>
      </c>
      <c r="G136" s="3" t="str">
        <f t="shared" si="9"/>
        <v>SINGLE</v>
      </c>
      <c r="H136" s="197">
        <f t="shared" si="8"/>
        <v>6</v>
      </c>
      <c r="I136" s="201">
        <v>2</v>
      </c>
      <c r="J136" s="201">
        <v>5</v>
      </c>
      <c r="K136" s="186">
        <f t="shared" si="10"/>
        <v>45693</v>
      </c>
      <c r="L136" s="14" t="s">
        <v>2381</v>
      </c>
      <c r="M136" s="14"/>
      <c r="N136" s="3" t="str">
        <f t="shared" si="11"/>
        <v>NG</v>
      </c>
      <c r="O136" s="14" t="s">
        <v>1568</v>
      </c>
      <c r="P136" s="14"/>
      <c r="Q136" s="16">
        <v>1100668900</v>
      </c>
      <c r="R136" s="14" t="s">
        <v>4288</v>
      </c>
      <c r="S136" s="14" t="s">
        <v>4289</v>
      </c>
      <c r="T136" s="14"/>
      <c r="U136" s="14"/>
    </row>
    <row r="137" spans="1:21" s="15" customFormat="1">
      <c r="A137" s="14">
        <v>5391</v>
      </c>
      <c r="B137" s="82">
        <f t="array" ref="B137">SUM(--(FREQUENCY(IF(C$2:C$3071=C137, MATCH(D$2:D$3071, D$2:D$3071, 0)), ROW(D$2:D$3071)-ROW(D$2)+1) &gt; 0))</f>
        <v>26</v>
      </c>
      <c r="C137" s="14">
        <f>VLOOKUP(D137, [1]Sheet1!K:X, 14, FALSE)</f>
        <v>41000590</v>
      </c>
      <c r="D137" s="6" t="s">
        <v>1699</v>
      </c>
      <c r="E137" s="14" t="s">
        <v>2365</v>
      </c>
      <c r="F137" s="14" t="s">
        <v>4165</v>
      </c>
      <c r="G137" s="3" t="str">
        <f t="shared" si="9"/>
        <v>SINGLE</v>
      </c>
      <c r="H137" s="197">
        <f t="shared" si="8"/>
        <v>6</v>
      </c>
      <c r="I137" s="201">
        <v>2</v>
      </c>
      <c r="J137" s="201">
        <v>5</v>
      </c>
      <c r="K137" s="186">
        <f t="shared" si="10"/>
        <v>45693</v>
      </c>
      <c r="L137" s="14" t="s">
        <v>2381</v>
      </c>
      <c r="M137" s="14"/>
      <c r="N137" s="3" t="str">
        <f t="shared" si="11"/>
        <v>NG</v>
      </c>
      <c r="O137" s="14" t="s">
        <v>1568</v>
      </c>
      <c r="P137" s="14"/>
      <c r="Q137" s="14"/>
      <c r="R137" s="14"/>
      <c r="S137" s="14" t="s">
        <v>4290</v>
      </c>
      <c r="T137" s="14"/>
      <c r="U137" s="14"/>
    </row>
    <row r="138" spans="1:21" s="15" customFormat="1">
      <c r="A138" s="14">
        <v>5391</v>
      </c>
      <c r="B138" s="82">
        <f t="array" ref="B138">SUM(--(FREQUENCY(IF(C$2:C$3071=C138, MATCH(D$2:D$3071, D$2:D$3071, 0)), ROW(D$2:D$3071)-ROW(D$2)+1) &gt; 0))</f>
        <v>26</v>
      </c>
      <c r="C138" s="14">
        <f>VLOOKUP(D138, [1]Sheet1!K:X, 14, FALSE)</f>
        <v>41000590</v>
      </c>
      <c r="D138" s="6" t="s">
        <v>1699</v>
      </c>
      <c r="E138" s="14" t="s">
        <v>2365</v>
      </c>
      <c r="F138" s="14" t="s">
        <v>4165</v>
      </c>
      <c r="G138" s="3" t="str">
        <f t="shared" si="9"/>
        <v>SINGLE</v>
      </c>
      <c r="H138" s="197">
        <f t="shared" si="8"/>
        <v>6</v>
      </c>
      <c r="I138" s="201">
        <v>2</v>
      </c>
      <c r="J138" s="201">
        <v>5</v>
      </c>
      <c r="K138" s="186">
        <f t="shared" si="10"/>
        <v>45693</v>
      </c>
      <c r="L138" s="14" t="s">
        <v>2381</v>
      </c>
      <c r="M138" s="14"/>
      <c r="N138" s="3" t="str">
        <f t="shared" si="11"/>
        <v>NG</v>
      </c>
      <c r="O138" s="14" t="s">
        <v>1568</v>
      </c>
      <c r="P138" s="14"/>
      <c r="Q138" s="14"/>
      <c r="R138" s="14"/>
      <c r="S138" s="14" t="s">
        <v>4290</v>
      </c>
      <c r="T138" s="14"/>
      <c r="U138" s="14"/>
    </row>
    <row r="139" spans="1:21" s="15" customFormat="1">
      <c r="A139" s="14">
        <v>5391</v>
      </c>
      <c r="B139" s="82">
        <f t="array" ref="B139">SUM(--(FREQUENCY(IF(C$2:C$3071=C139, MATCH(D$2:D$3071, D$2:D$3071, 0)), ROW(D$2:D$3071)-ROW(D$2)+1) &gt; 0))</f>
        <v>26</v>
      </c>
      <c r="C139" s="14">
        <f>VLOOKUP(D139, [1]Sheet1!K:X, 14, FALSE)</f>
        <v>41000590</v>
      </c>
      <c r="D139" s="6" t="s">
        <v>4291</v>
      </c>
      <c r="E139" s="14" t="s">
        <v>2365</v>
      </c>
      <c r="F139" s="14" t="s">
        <v>4165</v>
      </c>
      <c r="G139" s="3" t="str">
        <f t="shared" si="9"/>
        <v>SINGLE</v>
      </c>
      <c r="H139" s="197">
        <f t="shared" si="8"/>
        <v>6</v>
      </c>
      <c r="I139" s="201">
        <v>2</v>
      </c>
      <c r="J139" s="201">
        <v>5</v>
      </c>
      <c r="K139" s="186">
        <f t="shared" si="10"/>
        <v>45693</v>
      </c>
      <c r="L139" s="14" t="s">
        <v>2381</v>
      </c>
      <c r="M139" s="14"/>
      <c r="N139" s="3" t="str">
        <f t="shared" si="11"/>
        <v>NG</v>
      </c>
      <c r="O139" s="14" t="s">
        <v>1568</v>
      </c>
      <c r="P139" s="14"/>
      <c r="Q139" s="16">
        <v>1100668900</v>
      </c>
      <c r="R139" s="14" t="s">
        <v>4288</v>
      </c>
      <c r="S139" s="14" t="s">
        <v>4289</v>
      </c>
      <c r="T139" s="14"/>
      <c r="U139" s="14"/>
    </row>
    <row r="140" spans="1:21" s="15" customFormat="1">
      <c r="A140" s="14">
        <v>5391</v>
      </c>
      <c r="B140" s="82">
        <f t="array" ref="B140">SUM(--(FREQUENCY(IF(C$2:C$3071=C140, MATCH(D$2:D$3071, D$2:D$3071, 0)), ROW(D$2:D$3071)-ROW(D$2)+1) &gt; 0))</f>
        <v>26</v>
      </c>
      <c r="C140" s="14">
        <f>VLOOKUP(D140, [1]Sheet1!K:X, 14, FALSE)</f>
        <v>41000590</v>
      </c>
      <c r="D140" s="6" t="s">
        <v>4291</v>
      </c>
      <c r="E140" s="14" t="s">
        <v>2365</v>
      </c>
      <c r="F140" s="14" t="s">
        <v>4165</v>
      </c>
      <c r="G140" s="3" t="str">
        <f t="shared" si="9"/>
        <v>SINGLE</v>
      </c>
      <c r="H140" s="197">
        <f t="shared" si="8"/>
        <v>6</v>
      </c>
      <c r="I140" s="201">
        <v>2</v>
      </c>
      <c r="J140" s="201">
        <v>5</v>
      </c>
      <c r="K140" s="186">
        <f t="shared" si="10"/>
        <v>45693</v>
      </c>
      <c r="L140" s="14" t="s">
        <v>2381</v>
      </c>
      <c r="M140" s="14"/>
      <c r="N140" s="3" t="str">
        <f t="shared" si="11"/>
        <v>NG</v>
      </c>
      <c r="O140" s="14" t="s">
        <v>1568</v>
      </c>
      <c r="P140" s="14"/>
      <c r="Q140" s="14"/>
      <c r="R140" s="14"/>
      <c r="S140" s="14" t="s">
        <v>4290</v>
      </c>
      <c r="T140" s="14"/>
      <c r="U140" s="14"/>
    </row>
    <row r="141" spans="1:21" s="15" customFormat="1">
      <c r="A141" s="14">
        <v>5391</v>
      </c>
      <c r="B141" s="82">
        <f t="array" ref="B141">SUM(--(FREQUENCY(IF(C$2:C$3071=C141, MATCH(D$2:D$3071, D$2:D$3071, 0)), ROW(D$2:D$3071)-ROW(D$2)+1) &gt; 0))</f>
        <v>26</v>
      </c>
      <c r="C141" s="14">
        <f>VLOOKUP(D141, [1]Sheet1!K:X, 14, FALSE)</f>
        <v>41000590</v>
      </c>
      <c r="D141" s="6" t="s">
        <v>4291</v>
      </c>
      <c r="E141" s="14" t="s">
        <v>2365</v>
      </c>
      <c r="F141" s="14" t="s">
        <v>4165</v>
      </c>
      <c r="G141" s="3" t="str">
        <f t="shared" si="9"/>
        <v>SINGLE</v>
      </c>
      <c r="H141" s="197">
        <f t="shared" si="8"/>
        <v>6</v>
      </c>
      <c r="I141" s="201">
        <v>2</v>
      </c>
      <c r="J141" s="201">
        <v>5</v>
      </c>
      <c r="K141" s="186">
        <f t="shared" si="10"/>
        <v>45693</v>
      </c>
      <c r="L141" s="14" t="s">
        <v>2381</v>
      </c>
      <c r="M141" s="14"/>
      <c r="N141" s="3" t="str">
        <f t="shared" si="11"/>
        <v>NG</v>
      </c>
      <c r="O141" s="14" t="s">
        <v>1568</v>
      </c>
      <c r="P141" s="14"/>
      <c r="Q141" s="14"/>
      <c r="R141" s="14"/>
      <c r="S141" s="14" t="s">
        <v>4290</v>
      </c>
      <c r="T141" s="14"/>
      <c r="U141" s="14"/>
    </row>
    <row r="142" spans="1:21" s="15" customFormat="1">
      <c r="A142" s="3">
        <v>5417</v>
      </c>
      <c r="B142" s="82">
        <f t="array" ref="B142">SUM(--(FREQUENCY(IF(C$2:C$3071=C142, MATCH(D$2:D$3071, D$2:D$3071, 0)), ROW(D$2:D$3071)-ROW(D$2)+1) &gt; 0))</f>
        <v>19</v>
      </c>
      <c r="C142" s="3">
        <f>VLOOKUP(D142, [1]Sheet1!K:X, 14, FALSE)</f>
        <v>41100320</v>
      </c>
      <c r="D142" s="6" t="s">
        <v>4292</v>
      </c>
      <c r="E142" s="3" t="s">
        <v>4102</v>
      </c>
      <c r="F142" s="3" t="s">
        <v>4112</v>
      </c>
      <c r="G142" s="3" t="str">
        <f t="shared" si="9"/>
        <v>DUAL</v>
      </c>
      <c r="H142" s="197">
        <f t="shared" si="8"/>
        <v>6</v>
      </c>
      <c r="I142" s="197">
        <v>2</v>
      </c>
      <c r="J142" s="197">
        <v>5</v>
      </c>
      <c r="K142" s="186">
        <f t="shared" si="10"/>
        <v>45693</v>
      </c>
      <c r="L142" s="3"/>
      <c r="M142" s="3"/>
      <c r="N142" s="3" t="str">
        <f t="shared" si="11"/>
        <v/>
      </c>
      <c r="O142" s="3"/>
      <c r="P142" s="3"/>
      <c r="Q142" s="3"/>
      <c r="R142" s="3"/>
      <c r="S142" s="3"/>
      <c r="T142" s="3"/>
      <c r="U142" s="3"/>
    </row>
    <row r="143" spans="1:21">
      <c r="A143" s="3">
        <v>5278</v>
      </c>
      <c r="B143" s="82">
        <f t="array" ref="B143">SUM(--(FREQUENCY(IF(C$2:C$3071=C143, MATCH(D$2:D$3071, D$2:D$3071, 0)), ROW(D$2:D$3071)-ROW(D$2)+1) &gt; 0))</f>
        <v>19</v>
      </c>
      <c r="C143" s="3">
        <f>VLOOKUP(D143, [1]Sheet1!K:X, 14, FALSE)</f>
        <v>41100320</v>
      </c>
      <c r="D143" s="6" t="s">
        <v>4293</v>
      </c>
      <c r="E143" s="3" t="s">
        <v>4102</v>
      </c>
      <c r="F143" s="3" t="s">
        <v>4112</v>
      </c>
      <c r="G143" s="3" t="str">
        <f t="shared" si="9"/>
        <v>DUAL</v>
      </c>
      <c r="H143" s="197">
        <f t="shared" si="8"/>
        <v>6</v>
      </c>
      <c r="I143" s="197">
        <v>2</v>
      </c>
      <c r="J143" s="197">
        <v>5</v>
      </c>
      <c r="K143" s="186">
        <f t="shared" si="10"/>
        <v>45693</v>
      </c>
      <c r="N143" s="3" t="str">
        <f t="shared" si="11"/>
        <v>NG</v>
      </c>
      <c r="O143" s="3" t="s">
        <v>1568</v>
      </c>
      <c r="Q143" s="3">
        <v>1100228300</v>
      </c>
      <c r="R143" s="3" t="s">
        <v>4105</v>
      </c>
      <c r="S143" s="6" t="s">
        <v>4269</v>
      </c>
      <c r="T143" s="3" t="s">
        <v>4294</v>
      </c>
    </row>
    <row r="144" spans="1:21">
      <c r="A144" s="3">
        <v>5322</v>
      </c>
      <c r="B144" s="82">
        <f t="array" ref="B144">SUM(--(FREQUENCY(IF(C$2:C$3071=C144, MATCH(D$2:D$3071, D$2:D$3071, 0)), ROW(D$2:D$3071)-ROW(D$2)+1) &gt; 0))</f>
        <v>8</v>
      </c>
      <c r="C144" s="3">
        <f>VLOOKUP(D144, [1]Sheet1!K:X, 14, FALSE)</f>
        <v>41200088</v>
      </c>
      <c r="D144" s="6" t="s">
        <v>4295</v>
      </c>
      <c r="E144" s="3" t="s">
        <v>4183</v>
      </c>
      <c r="F144" s="3" t="s">
        <v>4112</v>
      </c>
      <c r="G144" s="3" t="str">
        <f t="shared" si="9"/>
        <v>DUAL</v>
      </c>
      <c r="H144" s="197">
        <f t="shared" si="8"/>
        <v>6</v>
      </c>
      <c r="I144" s="197">
        <v>2</v>
      </c>
      <c r="J144" s="197">
        <v>5</v>
      </c>
      <c r="K144" s="186">
        <f t="shared" si="10"/>
        <v>45693</v>
      </c>
      <c r="L144" s="3" t="s">
        <v>2381</v>
      </c>
      <c r="N144" s="3" t="str">
        <f t="shared" si="11"/>
        <v>NG</v>
      </c>
      <c r="O144" s="3" t="s">
        <v>1568</v>
      </c>
      <c r="Q144" s="3">
        <v>1100228300</v>
      </c>
      <c r="R144" s="3" t="s">
        <v>4105</v>
      </c>
      <c r="S144" s="6" t="s">
        <v>4269</v>
      </c>
      <c r="T144" s="3" t="s">
        <v>4296</v>
      </c>
    </row>
    <row r="145" spans="1:20">
      <c r="A145" s="3">
        <v>5400</v>
      </c>
      <c r="B145" s="82">
        <f t="array" ref="B145">SUM(--(FREQUENCY(IF(C$2:C$3071=C145, MATCH(D$2:D$3071, D$2:D$3071, 0)), ROW(D$2:D$3071)-ROW(D$2)+1) &gt; 0))</f>
        <v>144</v>
      </c>
      <c r="C145" s="3">
        <f>VLOOKUP(D145, [1]Sheet1!K:X, 14, FALSE)</f>
        <v>41200007</v>
      </c>
      <c r="D145" s="6" t="s">
        <v>1708</v>
      </c>
      <c r="E145" s="3" t="s">
        <v>2365</v>
      </c>
      <c r="F145" s="3" t="s">
        <v>2380</v>
      </c>
      <c r="G145" s="3" t="str">
        <f t="shared" si="9"/>
        <v>SINGLE</v>
      </c>
      <c r="H145" s="197">
        <f t="shared" si="8"/>
        <v>6</v>
      </c>
      <c r="I145" s="197">
        <v>2</v>
      </c>
      <c r="J145" s="197">
        <v>6</v>
      </c>
      <c r="K145" s="186">
        <f t="shared" si="10"/>
        <v>45694</v>
      </c>
      <c r="N145" s="3" t="str">
        <f t="shared" si="11"/>
        <v/>
      </c>
    </row>
    <row r="146" spans="1:20">
      <c r="A146" s="3">
        <v>5400</v>
      </c>
      <c r="B146" s="82">
        <f t="array" ref="B146">SUM(--(FREQUENCY(IF(C$2:C$3071=C146, MATCH(D$2:D$3071, D$2:D$3071, 0)), ROW(D$2:D$3071)-ROW(D$2)+1) &gt; 0))</f>
        <v>144</v>
      </c>
      <c r="C146" s="3">
        <f>VLOOKUP(D146, [1]Sheet1!K:X, 14, FALSE)</f>
        <v>41200007</v>
      </c>
      <c r="D146" s="6" t="s">
        <v>1707</v>
      </c>
      <c r="E146" s="3" t="s">
        <v>2365</v>
      </c>
      <c r="F146" s="3" t="s">
        <v>2380</v>
      </c>
      <c r="G146" s="3" t="str">
        <f t="shared" si="9"/>
        <v>SINGLE</v>
      </c>
      <c r="H146" s="197">
        <f t="shared" si="8"/>
        <v>6</v>
      </c>
      <c r="I146" s="197">
        <v>2</v>
      </c>
      <c r="J146" s="197">
        <v>6</v>
      </c>
      <c r="K146" s="186">
        <f t="shared" si="10"/>
        <v>45694</v>
      </c>
      <c r="N146" s="3" t="str">
        <f t="shared" si="11"/>
        <v/>
      </c>
    </row>
    <row r="147" spans="1:20">
      <c r="A147" s="3">
        <v>5400</v>
      </c>
      <c r="B147" s="82">
        <f t="array" ref="B147">SUM(--(FREQUENCY(IF(C$2:C$3071=C147, MATCH(D$2:D$3071, D$2:D$3071, 0)), ROW(D$2:D$3071)-ROW(D$2)+1) &gt; 0))</f>
        <v>144</v>
      </c>
      <c r="C147" s="3">
        <f>VLOOKUP(D147, [1]Sheet1!K:X, 14, FALSE)</f>
        <v>41200007</v>
      </c>
      <c r="D147" s="6" t="s">
        <v>1706</v>
      </c>
      <c r="E147" s="3" t="s">
        <v>2365</v>
      </c>
      <c r="F147" s="3" t="s">
        <v>2380</v>
      </c>
      <c r="G147" s="3" t="str">
        <f t="shared" si="9"/>
        <v>SINGLE</v>
      </c>
      <c r="H147" s="197">
        <f t="shared" si="8"/>
        <v>6</v>
      </c>
      <c r="I147" s="197">
        <v>2</v>
      </c>
      <c r="J147" s="197">
        <v>6</v>
      </c>
      <c r="K147" s="186">
        <f t="shared" si="10"/>
        <v>45694</v>
      </c>
      <c r="N147" s="3" t="str">
        <f t="shared" si="11"/>
        <v/>
      </c>
    </row>
    <row r="148" spans="1:20">
      <c r="A148" s="3">
        <v>5400</v>
      </c>
      <c r="B148" s="82">
        <f t="array" ref="B148">SUM(--(FREQUENCY(IF(C$2:C$3071=C148, MATCH(D$2:D$3071, D$2:D$3071, 0)), ROW(D$2:D$3071)-ROW(D$2)+1) &gt; 0))</f>
        <v>144</v>
      </c>
      <c r="C148" s="3">
        <f>VLOOKUP(D148, [1]Sheet1!K:X, 14, FALSE)</f>
        <v>41200007</v>
      </c>
      <c r="D148" s="6" t="s">
        <v>4297</v>
      </c>
      <c r="E148" s="3" t="s">
        <v>2365</v>
      </c>
      <c r="F148" s="3" t="s">
        <v>2380</v>
      </c>
      <c r="G148" s="3" t="str">
        <f t="shared" si="9"/>
        <v>SINGLE</v>
      </c>
      <c r="H148" s="197">
        <f t="shared" si="8"/>
        <v>6</v>
      </c>
      <c r="I148" s="197">
        <v>2</v>
      </c>
      <c r="J148" s="197">
        <v>6</v>
      </c>
      <c r="K148" s="186">
        <f t="shared" si="10"/>
        <v>45694</v>
      </c>
      <c r="N148" s="3" t="str">
        <f t="shared" si="11"/>
        <v/>
      </c>
    </row>
    <row r="149" spans="1:20">
      <c r="A149" s="3">
        <v>5352</v>
      </c>
      <c r="B149" s="82">
        <f t="array" ref="B149">SUM(--(FREQUENCY(IF(C$2:C$3071=C149, MATCH(D$2:D$3071, D$2:D$3071, 0)), ROW(D$2:D$3071)-ROW(D$2)+1) &gt; 0))</f>
        <v>3</v>
      </c>
      <c r="C149" s="3">
        <f>VLOOKUP(D149, [1]Sheet1!K:X, 14, FALSE)</f>
        <v>41100372</v>
      </c>
      <c r="D149" s="6" t="s">
        <v>4298</v>
      </c>
      <c r="E149" s="3" t="s">
        <v>4102</v>
      </c>
      <c r="F149" s="3" t="s">
        <v>4112</v>
      </c>
      <c r="G149" s="3" t="str">
        <f t="shared" si="9"/>
        <v>DUAL</v>
      </c>
      <c r="H149" s="197">
        <f t="shared" si="8"/>
        <v>6</v>
      </c>
      <c r="I149" s="197">
        <v>2</v>
      </c>
      <c r="J149" s="197">
        <v>6</v>
      </c>
      <c r="K149" s="186">
        <f t="shared" si="10"/>
        <v>45694</v>
      </c>
      <c r="N149" s="3" t="str">
        <f t="shared" si="11"/>
        <v/>
      </c>
    </row>
    <row r="150" spans="1:20">
      <c r="A150" s="3">
        <v>5351</v>
      </c>
      <c r="B150" s="82">
        <f t="array" ref="B150">SUM(--(FREQUENCY(IF(C$2:C$3071=C150, MATCH(D$2:D$3071, D$2:D$3071, 0)), ROW(D$2:D$3071)-ROW(D$2)+1) &gt; 0))</f>
        <v>77</v>
      </c>
      <c r="C150" s="3">
        <f>VLOOKUP(D150, [1]Sheet1!K:X, 14, FALSE)</f>
        <v>41200076</v>
      </c>
      <c r="D150" s="6" t="s">
        <v>1702</v>
      </c>
      <c r="E150" s="3" t="s">
        <v>4102</v>
      </c>
      <c r="F150" s="3" t="s">
        <v>4112</v>
      </c>
      <c r="G150" s="3" t="str">
        <f t="shared" si="9"/>
        <v>DUAL</v>
      </c>
      <c r="H150" s="197">
        <f t="shared" si="8"/>
        <v>6</v>
      </c>
      <c r="I150" s="197">
        <v>2</v>
      </c>
      <c r="J150" s="197">
        <v>6</v>
      </c>
      <c r="K150" s="186">
        <f t="shared" si="10"/>
        <v>45694</v>
      </c>
      <c r="N150" s="3" t="str">
        <f t="shared" si="11"/>
        <v/>
      </c>
    </row>
    <row r="151" spans="1:20">
      <c r="A151" s="3">
        <v>5351</v>
      </c>
      <c r="B151" s="82">
        <f t="array" ref="B151">SUM(--(FREQUENCY(IF(C$2:C$3071=C151, MATCH(D$2:D$3071, D$2:D$3071, 0)), ROW(D$2:D$3071)-ROW(D$2)+1) &gt; 0))</f>
        <v>77</v>
      </c>
      <c r="C151" s="3">
        <f>VLOOKUP(D151, [1]Sheet1!K:X, 14, FALSE)</f>
        <v>41200076</v>
      </c>
      <c r="D151" s="6" t="s">
        <v>4299</v>
      </c>
      <c r="E151" s="3" t="s">
        <v>4102</v>
      </c>
      <c r="F151" s="3" t="s">
        <v>4112</v>
      </c>
      <c r="G151" s="3" t="str">
        <f t="shared" si="9"/>
        <v>DUAL</v>
      </c>
      <c r="H151" s="197">
        <f t="shared" si="8"/>
        <v>6</v>
      </c>
      <c r="I151" s="197">
        <v>2</v>
      </c>
      <c r="J151" s="197">
        <v>6</v>
      </c>
      <c r="K151" s="186">
        <f t="shared" si="10"/>
        <v>45694</v>
      </c>
      <c r="N151" s="3" t="str">
        <f t="shared" si="11"/>
        <v/>
      </c>
    </row>
    <row r="152" spans="1:20">
      <c r="A152" s="3">
        <v>5298</v>
      </c>
      <c r="B152" s="82">
        <f t="array" ref="B152">SUM(--(FREQUENCY(IF(C$2:C$3071=C152, MATCH(D$2:D$3071, D$2:D$3071, 0)), ROW(D$2:D$3071)-ROW(D$2)+1) &gt; 0))</f>
        <v>3</v>
      </c>
      <c r="C152" s="3">
        <v>41200115</v>
      </c>
      <c r="D152" s="6" t="s">
        <v>1717</v>
      </c>
      <c r="E152" s="3" t="s">
        <v>4300</v>
      </c>
      <c r="F152" s="3" t="s">
        <v>4119</v>
      </c>
      <c r="G152" s="3" t="str">
        <f t="shared" si="9"/>
        <v>SINGLE</v>
      </c>
      <c r="H152" s="197">
        <f t="shared" si="8"/>
        <v>6</v>
      </c>
      <c r="I152" s="197">
        <v>2</v>
      </c>
      <c r="J152" s="197">
        <v>7</v>
      </c>
      <c r="K152" s="186">
        <f t="shared" si="10"/>
        <v>45695</v>
      </c>
      <c r="N152" s="3" t="str">
        <f t="shared" si="11"/>
        <v/>
      </c>
    </row>
    <row r="153" spans="1:20">
      <c r="A153" s="3">
        <v>5298</v>
      </c>
      <c r="B153" s="82">
        <f t="array" ref="B153">SUM(--(FREQUENCY(IF(C$2:C$3071=C153, MATCH(D$2:D$3071, D$2:D$3071, 0)), ROW(D$2:D$3071)-ROW(D$2)+1) &gt; 0))</f>
        <v>3</v>
      </c>
      <c r="C153" s="3">
        <v>41200115</v>
      </c>
      <c r="D153" s="6" t="s">
        <v>1716</v>
      </c>
      <c r="E153" s="3" t="s">
        <v>4300</v>
      </c>
      <c r="F153" s="3" t="s">
        <v>4119</v>
      </c>
      <c r="G153" s="3" t="str">
        <f t="shared" si="9"/>
        <v>SINGLE</v>
      </c>
      <c r="H153" s="197">
        <f t="shared" si="8"/>
        <v>6</v>
      </c>
      <c r="I153" s="197">
        <v>2</v>
      </c>
      <c r="J153" s="197">
        <v>7</v>
      </c>
      <c r="K153" s="186">
        <f t="shared" si="10"/>
        <v>45695</v>
      </c>
      <c r="N153" s="3" t="str">
        <f t="shared" si="11"/>
        <v/>
      </c>
    </row>
    <row r="154" spans="1:20">
      <c r="A154" s="3">
        <v>5298</v>
      </c>
      <c r="B154" s="82">
        <f t="array" ref="B154">SUM(--(FREQUENCY(IF(C$2:C$3071=C154, MATCH(D$2:D$3071, D$2:D$3071, 0)), ROW(D$2:D$3071)-ROW(D$2)+1) &gt; 0))</f>
        <v>3</v>
      </c>
      <c r="C154" s="3">
        <v>41200115</v>
      </c>
      <c r="D154" s="6" t="s">
        <v>4301</v>
      </c>
      <c r="E154" s="3" t="s">
        <v>4300</v>
      </c>
      <c r="F154" s="3" t="s">
        <v>4119</v>
      </c>
      <c r="G154" s="3" t="str">
        <f t="shared" si="9"/>
        <v>SINGLE</v>
      </c>
      <c r="H154" s="197">
        <f t="shared" si="8"/>
        <v>6</v>
      </c>
      <c r="I154" s="197">
        <v>2</v>
      </c>
      <c r="J154" s="197">
        <v>7</v>
      </c>
      <c r="K154" s="186">
        <f t="shared" si="10"/>
        <v>45695</v>
      </c>
      <c r="N154" s="3" t="str">
        <f t="shared" si="11"/>
        <v/>
      </c>
    </row>
    <row r="155" spans="1:20">
      <c r="A155" s="3">
        <v>5380</v>
      </c>
      <c r="B155" s="82">
        <f t="array" ref="B155">SUM(--(FREQUENCY(IF(C$2:C$3071=C155, MATCH(D$2:D$3071, D$2:D$3071, 0)), ROW(D$2:D$3071)-ROW(D$2)+1) &gt; 0))</f>
        <v>10</v>
      </c>
      <c r="C155" s="3">
        <f>VLOOKUP(D155, [1]Sheet1!K:X, 14, FALSE)</f>
        <v>41200061</v>
      </c>
      <c r="D155" s="6" t="s">
        <v>1712</v>
      </c>
      <c r="E155" s="3" t="s">
        <v>2365</v>
      </c>
      <c r="F155" s="3" t="s">
        <v>4181</v>
      </c>
      <c r="G155" s="3" t="str">
        <f t="shared" si="9"/>
        <v>DUAL</v>
      </c>
      <c r="H155" s="197">
        <f t="shared" si="8"/>
        <v>6</v>
      </c>
      <c r="I155" s="197">
        <v>2</v>
      </c>
      <c r="J155" s="197">
        <v>7</v>
      </c>
      <c r="K155" s="186">
        <f t="shared" si="10"/>
        <v>45695</v>
      </c>
      <c r="L155" s="3" t="s">
        <v>4104</v>
      </c>
      <c r="N155" s="3" t="str">
        <f t="shared" si="11"/>
        <v>NG</v>
      </c>
      <c r="O155" s="3" t="s">
        <v>1568</v>
      </c>
      <c r="S155" s="3" t="s">
        <v>4302</v>
      </c>
    </row>
    <row r="156" spans="1:20">
      <c r="A156" s="3">
        <v>5380</v>
      </c>
      <c r="B156" s="82">
        <f t="array" ref="B156">SUM(--(FREQUENCY(IF(C$2:C$3071=C156, MATCH(D$2:D$3071, D$2:D$3071, 0)), ROW(D$2:D$3071)-ROW(D$2)+1) &gt; 0))</f>
        <v>10</v>
      </c>
      <c r="C156" s="3">
        <f>VLOOKUP(D156, [1]Sheet1!K:X, 14, FALSE)</f>
        <v>41200061</v>
      </c>
      <c r="D156" s="6" t="s">
        <v>4303</v>
      </c>
      <c r="E156" s="3" t="s">
        <v>2365</v>
      </c>
      <c r="F156" s="3" t="s">
        <v>4181</v>
      </c>
      <c r="G156" s="3" t="str">
        <f t="shared" si="9"/>
        <v>DUAL</v>
      </c>
      <c r="H156" s="197">
        <f t="shared" si="8"/>
        <v>6</v>
      </c>
      <c r="I156" s="197">
        <v>2</v>
      </c>
      <c r="J156" s="197">
        <v>7</v>
      </c>
      <c r="K156" s="186">
        <f t="shared" si="10"/>
        <v>45695</v>
      </c>
      <c r="N156" s="3" t="str">
        <f t="shared" si="11"/>
        <v/>
      </c>
    </row>
    <row r="157" spans="1:20">
      <c r="A157" s="3">
        <v>5382</v>
      </c>
      <c r="B157" s="82">
        <f t="array" ref="B157">SUM(--(FREQUENCY(IF(C$2:C$3071=C157, MATCH(D$2:D$3071, D$2:D$3071, 0)), ROW(D$2:D$3071)-ROW(D$2)+1) &gt; 0))</f>
        <v>3</v>
      </c>
      <c r="C157" s="3">
        <v>41200104</v>
      </c>
      <c r="D157" s="6" t="s">
        <v>4304</v>
      </c>
      <c r="E157" s="3" t="s">
        <v>2365</v>
      </c>
      <c r="F157" s="3" t="s">
        <v>4112</v>
      </c>
      <c r="G157" s="3" t="str">
        <f t="shared" si="9"/>
        <v>DUAL</v>
      </c>
      <c r="H157" s="197">
        <f t="shared" si="8"/>
        <v>6</v>
      </c>
      <c r="I157" s="197">
        <v>2</v>
      </c>
      <c r="J157" s="197">
        <v>7</v>
      </c>
      <c r="K157" s="186">
        <f t="shared" si="10"/>
        <v>45695</v>
      </c>
      <c r="L157" s="3" t="s">
        <v>4104</v>
      </c>
      <c r="N157" s="3" t="str">
        <f t="shared" si="11"/>
        <v>NG</v>
      </c>
      <c r="O157" s="3" t="s">
        <v>1568</v>
      </c>
      <c r="S157" s="6" t="s">
        <v>4305</v>
      </c>
    </row>
    <row r="158" spans="1:20">
      <c r="A158" s="3">
        <v>5382</v>
      </c>
      <c r="B158" s="82">
        <f t="array" ref="B158">SUM(--(FREQUENCY(IF(C$2:C$3071=C158, MATCH(D$2:D$3071, D$2:D$3071, 0)), ROW(D$2:D$3071)-ROW(D$2)+1) &gt; 0))</f>
        <v>3</v>
      </c>
      <c r="C158" s="3">
        <v>41200104</v>
      </c>
      <c r="D158" s="6" t="s">
        <v>4304</v>
      </c>
      <c r="E158" s="3" t="s">
        <v>4102</v>
      </c>
      <c r="F158" s="3" t="s">
        <v>4112</v>
      </c>
      <c r="G158" s="3" t="str">
        <f t="shared" si="9"/>
        <v>DUAL</v>
      </c>
      <c r="H158" s="197">
        <f t="shared" si="8"/>
        <v>6</v>
      </c>
      <c r="I158" s="197">
        <v>2</v>
      </c>
      <c r="J158" s="197">
        <v>7</v>
      </c>
      <c r="K158" s="186">
        <f t="shared" si="10"/>
        <v>45695</v>
      </c>
      <c r="L158" s="3" t="s">
        <v>4104</v>
      </c>
      <c r="N158" s="3" t="str">
        <f t="shared" si="11"/>
        <v>NG</v>
      </c>
      <c r="O158" s="3" t="s">
        <v>1568</v>
      </c>
      <c r="Q158" s="3">
        <v>1100228300</v>
      </c>
      <c r="R158" s="3" t="s">
        <v>4105</v>
      </c>
      <c r="S158" s="6" t="s">
        <v>4269</v>
      </c>
      <c r="T158" s="3" t="s">
        <v>4306</v>
      </c>
    </row>
    <row r="159" spans="1:20">
      <c r="A159" s="3">
        <v>5435</v>
      </c>
      <c r="B159" s="82">
        <f t="array" ref="B159">SUM(--(FREQUENCY(IF(C$2:C$3071=C159, MATCH(D$2:D$3071, D$2:D$3071, 0)), ROW(D$2:D$3071)-ROW(D$2)+1) &gt; 0))</f>
        <v>4</v>
      </c>
      <c r="C159" s="3">
        <f>VLOOKUP(D159, [1]Sheet1!K:X, 14, FALSE)</f>
        <v>41100375</v>
      </c>
      <c r="D159" s="6" t="s">
        <v>1719</v>
      </c>
      <c r="E159" s="3" t="s">
        <v>4102</v>
      </c>
      <c r="F159" s="3" t="s">
        <v>2380</v>
      </c>
      <c r="G159" s="3" t="str">
        <f t="shared" si="9"/>
        <v>SINGLE</v>
      </c>
      <c r="H159" s="197">
        <f t="shared" si="8"/>
        <v>7</v>
      </c>
      <c r="I159" s="197">
        <v>2</v>
      </c>
      <c r="J159" s="197">
        <v>10</v>
      </c>
      <c r="K159" s="186">
        <f t="shared" si="10"/>
        <v>45698</v>
      </c>
      <c r="L159" s="3" t="s">
        <v>4104</v>
      </c>
      <c r="N159" s="3" t="str">
        <f t="shared" si="11"/>
        <v>NG</v>
      </c>
      <c r="O159" s="3" t="s">
        <v>1568</v>
      </c>
      <c r="S159" s="3" t="s">
        <v>4307</v>
      </c>
    </row>
    <row r="160" spans="1:20">
      <c r="A160" s="3">
        <v>5435</v>
      </c>
      <c r="B160" s="82">
        <f t="array" ref="B160">SUM(--(FREQUENCY(IF(C$2:C$3071=C160, MATCH(D$2:D$3071, D$2:D$3071, 0)), ROW(D$2:D$3071)-ROW(D$2)+1) &gt; 0))</f>
        <v>4</v>
      </c>
      <c r="C160" s="3">
        <f>VLOOKUP(D160, [1]Sheet1!K:X, 14, FALSE)</f>
        <v>41100375</v>
      </c>
      <c r="D160" s="6" t="s">
        <v>4308</v>
      </c>
      <c r="E160" s="3" t="s">
        <v>4102</v>
      </c>
      <c r="F160" s="3" t="s">
        <v>2380</v>
      </c>
      <c r="G160" s="3" t="str">
        <f t="shared" si="9"/>
        <v>SINGLE</v>
      </c>
      <c r="H160" s="197">
        <f t="shared" si="8"/>
        <v>7</v>
      </c>
      <c r="I160" s="197">
        <v>2</v>
      </c>
      <c r="J160" s="197">
        <v>10</v>
      </c>
      <c r="K160" s="186">
        <f t="shared" si="10"/>
        <v>45698</v>
      </c>
      <c r="N160" s="3" t="str">
        <f t="shared" si="11"/>
        <v/>
      </c>
    </row>
    <row r="161" spans="1:21" s="15" customFormat="1">
      <c r="A161" s="3">
        <v>5329</v>
      </c>
      <c r="B161" s="82">
        <f t="array" ref="B161">SUM(--(FREQUENCY(IF(C$2:C$3071=C161, MATCH(D$2:D$3071, D$2:D$3071, 0)), ROW(D$2:D$3071)-ROW(D$2)+1) &gt; 0))</f>
        <v>20</v>
      </c>
      <c r="C161" s="3">
        <v>41200125</v>
      </c>
      <c r="D161" s="6" t="s">
        <v>4309</v>
      </c>
      <c r="E161" s="3" t="s">
        <v>4102</v>
      </c>
      <c r="F161" s="3" t="s">
        <v>4112</v>
      </c>
      <c r="G161" s="3" t="str">
        <f t="shared" si="9"/>
        <v>DUAL</v>
      </c>
      <c r="H161" s="197">
        <f t="shared" si="8"/>
        <v>7</v>
      </c>
      <c r="I161" s="197">
        <v>2</v>
      </c>
      <c r="J161" s="197">
        <v>10</v>
      </c>
      <c r="K161" s="186">
        <f t="shared" si="10"/>
        <v>45698</v>
      </c>
      <c r="L161" s="3"/>
      <c r="M161" s="3"/>
      <c r="N161" s="3" t="str">
        <f t="shared" si="11"/>
        <v/>
      </c>
      <c r="O161" s="3"/>
      <c r="P161" s="3"/>
      <c r="Q161" s="3"/>
      <c r="R161" s="3"/>
      <c r="S161" s="3"/>
      <c r="T161" s="3"/>
      <c r="U161" s="3"/>
    </row>
    <row r="162" spans="1:21" s="15" customFormat="1">
      <c r="A162" s="3">
        <v>5348</v>
      </c>
      <c r="B162" s="82">
        <f t="array" ref="B162">SUM(--(FREQUENCY(IF(C$2:C$3071=C162, MATCH(D$2:D$3071, D$2:D$3071, 0)), ROW(D$2:D$3071)-ROW(D$2)+1) &gt; 0))</f>
        <v>22</v>
      </c>
      <c r="C162" s="3">
        <f>VLOOKUP(D162, [1]Sheet1!K:X, 14, FALSE)</f>
        <v>41200075</v>
      </c>
      <c r="D162" s="6" t="s">
        <v>4310</v>
      </c>
      <c r="E162" s="3" t="s">
        <v>4102</v>
      </c>
      <c r="F162" s="3" t="s">
        <v>4112</v>
      </c>
      <c r="G162" s="3" t="str">
        <f t="shared" si="9"/>
        <v>DUAL</v>
      </c>
      <c r="H162" s="197">
        <f t="shared" si="8"/>
        <v>7</v>
      </c>
      <c r="I162" s="197">
        <v>2</v>
      </c>
      <c r="J162" s="197">
        <v>10</v>
      </c>
      <c r="K162" s="186">
        <f t="shared" si="10"/>
        <v>45698</v>
      </c>
      <c r="L162" s="3"/>
      <c r="M162" s="3"/>
      <c r="N162" s="3" t="str">
        <f t="shared" si="11"/>
        <v/>
      </c>
      <c r="O162" s="3"/>
      <c r="P162" s="3"/>
      <c r="Q162" s="3"/>
      <c r="R162" s="3"/>
      <c r="S162" s="3"/>
      <c r="T162" s="3"/>
      <c r="U162" s="3"/>
    </row>
    <row r="163" spans="1:21" s="15" customFormat="1">
      <c r="A163" s="14">
        <v>5350</v>
      </c>
      <c r="B163" s="82">
        <f t="array" ref="B163">SUM(--(FREQUENCY(IF(C$2:C$3071=C163, MATCH(D$2:D$3071, D$2:D$3071, 0)), ROW(D$2:D$3071)-ROW(D$2)+1) &gt; 0))</f>
        <v>19</v>
      </c>
      <c r="C163" s="14">
        <f>VLOOKUP(D163, [1]Sheet1!K:X, 14, FALSE)</f>
        <v>41100320</v>
      </c>
      <c r="D163" s="6" t="s">
        <v>1724</v>
      </c>
      <c r="E163" s="14" t="s">
        <v>4102</v>
      </c>
      <c r="F163" s="14" t="s">
        <v>4112</v>
      </c>
      <c r="G163" s="3" t="str">
        <f t="shared" si="9"/>
        <v>DUAL</v>
      </c>
      <c r="H163" s="197">
        <f t="shared" si="8"/>
        <v>7</v>
      </c>
      <c r="I163" s="201">
        <v>2</v>
      </c>
      <c r="J163" s="201">
        <v>10</v>
      </c>
      <c r="K163" s="186">
        <f t="shared" si="10"/>
        <v>45698</v>
      </c>
      <c r="L163" s="14" t="s">
        <v>2381</v>
      </c>
      <c r="M163" s="14"/>
      <c r="N163" s="3" t="str">
        <f t="shared" si="11"/>
        <v>NG</v>
      </c>
      <c r="O163" s="14" t="s">
        <v>1568</v>
      </c>
      <c r="P163" s="14"/>
      <c r="Q163" s="14">
        <v>1100228300</v>
      </c>
      <c r="R163" s="14" t="s">
        <v>4105</v>
      </c>
      <c r="S163" s="14" t="s">
        <v>4269</v>
      </c>
      <c r="T163" s="14" t="s">
        <v>4311</v>
      </c>
      <c r="U163" s="14"/>
    </row>
    <row r="164" spans="1:21" s="15" customFormat="1">
      <c r="A164" s="14">
        <v>5350</v>
      </c>
      <c r="B164" s="82">
        <f t="array" ref="B164">SUM(--(FREQUENCY(IF(C$2:C$3071=C164, MATCH(D$2:D$3071, D$2:D$3071, 0)), ROW(D$2:D$3071)-ROW(D$2)+1) &gt; 0))</f>
        <v>19</v>
      </c>
      <c r="C164" s="14">
        <f>VLOOKUP(D164, [1]Sheet1!K:X, 14, FALSE)</f>
        <v>41100320</v>
      </c>
      <c r="D164" s="6" t="s">
        <v>1724</v>
      </c>
      <c r="E164" s="14" t="s">
        <v>4102</v>
      </c>
      <c r="F164" s="14" t="s">
        <v>4112</v>
      </c>
      <c r="G164" s="3" t="str">
        <f t="shared" si="9"/>
        <v>DUAL</v>
      </c>
      <c r="H164" s="197">
        <f t="shared" si="8"/>
        <v>7</v>
      </c>
      <c r="I164" s="201">
        <v>2</v>
      </c>
      <c r="J164" s="201">
        <v>10</v>
      </c>
      <c r="K164" s="186">
        <f t="shared" si="10"/>
        <v>45698</v>
      </c>
      <c r="L164" s="14" t="s">
        <v>2381</v>
      </c>
      <c r="M164" s="14"/>
      <c r="N164" s="3" t="str">
        <f t="shared" si="11"/>
        <v>NG</v>
      </c>
      <c r="O164" s="14" t="s">
        <v>1568</v>
      </c>
      <c r="P164" s="14"/>
      <c r="Q164" s="14">
        <v>1100228300</v>
      </c>
      <c r="R164" s="14" t="s">
        <v>4105</v>
      </c>
      <c r="S164" s="14" t="s">
        <v>4269</v>
      </c>
      <c r="T164" s="14" t="s">
        <v>4312</v>
      </c>
      <c r="U164" s="14"/>
    </row>
    <row r="165" spans="1:21" s="15" customFormat="1">
      <c r="A165" s="3">
        <v>5350</v>
      </c>
      <c r="B165" s="82">
        <f t="array" ref="B165">SUM(--(FREQUENCY(IF(C$2:C$3071=C165, MATCH(D$2:D$3071, D$2:D$3071, 0)), ROW(D$2:D$3071)-ROW(D$2)+1) &gt; 0))</f>
        <v>19</v>
      </c>
      <c r="C165" s="3">
        <f>VLOOKUP(D165, [1]Sheet1!K:X, 14, FALSE)</f>
        <v>41100320</v>
      </c>
      <c r="D165" s="6" t="s">
        <v>1723</v>
      </c>
      <c r="E165" s="3" t="s">
        <v>4102</v>
      </c>
      <c r="F165" s="3" t="s">
        <v>4112</v>
      </c>
      <c r="G165" s="3" t="str">
        <f t="shared" si="9"/>
        <v>DUAL</v>
      </c>
      <c r="H165" s="197">
        <f t="shared" si="8"/>
        <v>7</v>
      </c>
      <c r="I165" s="197">
        <v>2</v>
      </c>
      <c r="J165" s="197">
        <v>10</v>
      </c>
      <c r="K165" s="186">
        <f t="shared" si="10"/>
        <v>45698</v>
      </c>
      <c r="L165" s="3"/>
      <c r="M165" s="3"/>
      <c r="N165" s="3" t="str">
        <f t="shared" si="11"/>
        <v/>
      </c>
      <c r="O165" s="3"/>
      <c r="P165" s="3"/>
      <c r="Q165" s="3"/>
      <c r="R165" s="3"/>
      <c r="S165" s="3"/>
      <c r="T165" s="3"/>
      <c r="U165" s="3"/>
    </row>
    <row r="166" spans="1:21">
      <c r="A166" s="3">
        <v>5350</v>
      </c>
      <c r="B166" s="82">
        <f t="array" ref="B166">SUM(--(FREQUENCY(IF(C$2:C$3071=C166, MATCH(D$2:D$3071, D$2:D$3071, 0)), ROW(D$2:D$3071)-ROW(D$2)+1) &gt; 0))</f>
        <v>19</v>
      </c>
      <c r="C166" s="3">
        <f>VLOOKUP(D166, [1]Sheet1!K:X, 14, FALSE)</f>
        <v>41100320</v>
      </c>
      <c r="D166" s="6" t="s">
        <v>4313</v>
      </c>
      <c r="E166" s="3" t="s">
        <v>4102</v>
      </c>
      <c r="F166" s="3" t="s">
        <v>4112</v>
      </c>
      <c r="G166" s="3" t="str">
        <f t="shared" si="9"/>
        <v>DUAL</v>
      </c>
      <c r="H166" s="197">
        <f t="shared" si="8"/>
        <v>7</v>
      </c>
      <c r="I166" s="197">
        <v>2</v>
      </c>
      <c r="J166" s="197">
        <v>10</v>
      </c>
      <c r="K166" s="186">
        <f t="shared" si="10"/>
        <v>45698</v>
      </c>
      <c r="N166" s="3" t="str">
        <f t="shared" si="11"/>
        <v/>
      </c>
    </row>
    <row r="167" spans="1:21">
      <c r="A167" s="14">
        <v>5439</v>
      </c>
      <c r="B167" s="82">
        <f t="array" ref="B167">SUM(--(FREQUENCY(IF(C$2:C$3071=C167, MATCH(D$2:D$3071, D$2:D$3071, 0)), ROW(D$2:D$3071)-ROW(D$2)+1) &gt; 0))</f>
        <v>18</v>
      </c>
      <c r="C167" s="14">
        <f>VLOOKUP(D167, [1]Sheet1!K:X, 14, FALSE)</f>
        <v>41000584</v>
      </c>
      <c r="D167" s="6" t="s">
        <v>4314</v>
      </c>
      <c r="E167" s="14" t="s">
        <v>2365</v>
      </c>
      <c r="F167" s="14" t="s">
        <v>4130</v>
      </c>
      <c r="G167" s="3" t="str">
        <f t="shared" si="9"/>
        <v>DUAL</v>
      </c>
      <c r="H167" s="197">
        <f t="shared" si="8"/>
        <v>7</v>
      </c>
      <c r="I167" s="201">
        <v>2</v>
      </c>
      <c r="J167" s="201">
        <v>10</v>
      </c>
      <c r="K167" s="186">
        <f t="shared" si="10"/>
        <v>45698</v>
      </c>
      <c r="L167" s="14" t="s">
        <v>2381</v>
      </c>
      <c r="M167" s="14"/>
      <c r="N167" s="3" t="str">
        <f t="shared" si="11"/>
        <v>NG</v>
      </c>
      <c r="O167" s="14" t="s">
        <v>1568</v>
      </c>
      <c r="P167" s="14"/>
      <c r="Q167" s="14">
        <v>1100228300</v>
      </c>
      <c r="R167" s="14" t="s">
        <v>4105</v>
      </c>
      <c r="S167" s="14" t="s">
        <v>4269</v>
      </c>
      <c r="T167" s="14" t="s">
        <v>4311</v>
      </c>
      <c r="U167" s="14"/>
    </row>
    <row r="168" spans="1:21">
      <c r="A168" s="14">
        <v>5439</v>
      </c>
      <c r="B168" s="82">
        <f t="array" ref="B168">SUM(--(FREQUENCY(IF(C$2:C$3071=C168, MATCH(D$2:D$3071, D$2:D$3071, 0)), ROW(D$2:D$3071)-ROW(D$2)+1) &gt; 0))</f>
        <v>18</v>
      </c>
      <c r="C168" s="14">
        <f>VLOOKUP(D168, [1]Sheet1!K:X, 14, FALSE)</f>
        <v>41000584</v>
      </c>
      <c r="D168" s="6" t="s">
        <v>4314</v>
      </c>
      <c r="E168" s="14" t="s">
        <v>2365</v>
      </c>
      <c r="F168" s="14" t="s">
        <v>4130</v>
      </c>
      <c r="G168" s="3" t="str">
        <f t="shared" si="9"/>
        <v>DUAL</v>
      </c>
      <c r="H168" s="197">
        <f t="shared" si="8"/>
        <v>7</v>
      </c>
      <c r="I168" s="201">
        <v>2</v>
      </c>
      <c r="J168" s="201">
        <v>10</v>
      </c>
      <c r="K168" s="186">
        <f t="shared" si="10"/>
        <v>45698</v>
      </c>
      <c r="L168" s="14" t="s">
        <v>2381</v>
      </c>
      <c r="M168" s="14"/>
      <c r="N168" s="3" t="str">
        <f t="shared" si="11"/>
        <v>NG</v>
      </c>
      <c r="O168" s="14" t="s">
        <v>1568</v>
      </c>
      <c r="P168" s="14"/>
      <c r="Q168" s="14">
        <v>1100668900</v>
      </c>
      <c r="R168" s="14" t="s">
        <v>981</v>
      </c>
      <c r="S168" s="14" t="s">
        <v>4315</v>
      </c>
      <c r="T168" s="14"/>
      <c r="U168" s="14"/>
    </row>
    <row r="169" spans="1:21" s="15" customFormat="1">
      <c r="A169" s="14">
        <v>5439</v>
      </c>
      <c r="B169" s="82">
        <f t="array" ref="B169">SUM(--(FREQUENCY(IF(C$2:C$3071=C169, MATCH(D$2:D$3071, D$2:D$3071, 0)), ROW(D$2:D$3071)-ROW(D$2)+1) &gt; 0))</f>
        <v>18</v>
      </c>
      <c r="C169" s="14">
        <f>VLOOKUP(D169, [1]Sheet1!K:X, 14, FALSE)</f>
        <v>41000584</v>
      </c>
      <c r="D169" s="6" t="s">
        <v>4314</v>
      </c>
      <c r="E169" s="14" t="s">
        <v>2365</v>
      </c>
      <c r="F169" s="14" t="s">
        <v>4130</v>
      </c>
      <c r="G169" s="3" t="str">
        <f t="shared" si="9"/>
        <v>DUAL</v>
      </c>
      <c r="H169" s="197">
        <f t="shared" si="8"/>
        <v>7</v>
      </c>
      <c r="I169" s="201">
        <v>2</v>
      </c>
      <c r="J169" s="201">
        <v>10</v>
      </c>
      <c r="K169" s="186">
        <f t="shared" si="10"/>
        <v>45698</v>
      </c>
      <c r="L169" s="14" t="s">
        <v>2367</v>
      </c>
      <c r="M169" s="14"/>
      <c r="N169" s="3" t="str">
        <f t="shared" si="11"/>
        <v>NG</v>
      </c>
      <c r="O169" s="14" t="s">
        <v>4099</v>
      </c>
      <c r="P169" s="14"/>
      <c r="Q169" s="14"/>
      <c r="R169" s="14"/>
      <c r="S169" s="14" t="s">
        <v>4316</v>
      </c>
      <c r="T169" s="14"/>
      <c r="U169" s="14"/>
    </row>
    <row r="170" spans="1:21" s="15" customFormat="1">
      <c r="A170" s="14">
        <v>5439</v>
      </c>
      <c r="B170" s="82">
        <f t="array" ref="B170">SUM(--(FREQUENCY(IF(C$2:C$3071=C170, MATCH(D$2:D$3071, D$2:D$3071, 0)), ROW(D$2:D$3071)-ROW(D$2)+1) &gt; 0))</f>
        <v>18</v>
      </c>
      <c r="C170" s="14">
        <f>VLOOKUP(D170, [1]Sheet1!K:X, 14, FALSE)</f>
        <v>41000584</v>
      </c>
      <c r="D170" s="6" t="s">
        <v>4314</v>
      </c>
      <c r="E170" s="14" t="s">
        <v>2365</v>
      </c>
      <c r="F170" s="14" t="s">
        <v>4130</v>
      </c>
      <c r="G170" s="3" t="str">
        <f t="shared" si="9"/>
        <v>DUAL</v>
      </c>
      <c r="H170" s="197">
        <f t="shared" si="8"/>
        <v>7</v>
      </c>
      <c r="I170" s="201">
        <v>2</v>
      </c>
      <c r="J170" s="201">
        <v>10</v>
      </c>
      <c r="K170" s="186">
        <f t="shared" si="10"/>
        <v>45698</v>
      </c>
      <c r="L170" s="14" t="s">
        <v>2381</v>
      </c>
      <c r="M170" s="14"/>
      <c r="N170" s="3" t="str">
        <f t="shared" si="11"/>
        <v>NG</v>
      </c>
      <c r="O170" s="14" t="s">
        <v>1568</v>
      </c>
      <c r="P170" s="14"/>
      <c r="Q170" s="14"/>
      <c r="R170" s="14"/>
      <c r="S170" s="14" t="s">
        <v>4317</v>
      </c>
      <c r="T170" s="14"/>
      <c r="U170" s="14"/>
    </row>
    <row r="171" spans="1:21">
      <c r="A171" s="14">
        <v>5439</v>
      </c>
      <c r="B171" s="82">
        <f t="array" ref="B171">SUM(--(FREQUENCY(IF(C$2:C$3071=C171, MATCH(D$2:D$3071, D$2:D$3071, 0)), ROW(D$2:D$3071)-ROW(D$2)+1) &gt; 0))</f>
        <v>18</v>
      </c>
      <c r="C171" s="14">
        <f>VLOOKUP(D171, [1]Sheet1!K:X, 14, FALSE)</f>
        <v>41000584</v>
      </c>
      <c r="D171" s="6" t="s">
        <v>4314</v>
      </c>
      <c r="E171" s="14" t="s">
        <v>2365</v>
      </c>
      <c r="F171" s="14" t="s">
        <v>4130</v>
      </c>
      <c r="G171" s="3" t="str">
        <f t="shared" si="9"/>
        <v>DUAL</v>
      </c>
      <c r="H171" s="197">
        <f t="shared" si="8"/>
        <v>7</v>
      </c>
      <c r="I171" s="201">
        <v>2</v>
      </c>
      <c r="J171" s="201">
        <v>10</v>
      </c>
      <c r="K171" s="186">
        <f t="shared" si="10"/>
        <v>45698</v>
      </c>
      <c r="L171" s="14" t="s">
        <v>2381</v>
      </c>
      <c r="M171" s="14"/>
      <c r="N171" s="3" t="str">
        <f t="shared" si="11"/>
        <v>NG</v>
      </c>
      <c r="O171" s="14" t="s">
        <v>1568</v>
      </c>
      <c r="P171" s="14"/>
      <c r="Q171" s="14"/>
      <c r="R171" s="14"/>
      <c r="S171" s="14" t="s">
        <v>4318</v>
      </c>
      <c r="T171" s="14"/>
      <c r="U171" s="14"/>
    </row>
    <row r="172" spans="1:21">
      <c r="A172" s="3">
        <v>5447</v>
      </c>
      <c r="B172" s="82">
        <f t="array" ref="B172">SUM(--(FREQUENCY(IF(C$2:C$3071=C172, MATCH(D$2:D$3071, D$2:D$3071, 0)), ROW(D$2:D$3071)-ROW(D$2)+1) &gt; 0))</f>
        <v>102</v>
      </c>
      <c r="C172" s="3">
        <f>VLOOKUP(D172, [1]Sheet1!K:X, 14, FALSE)</f>
        <v>41200006</v>
      </c>
      <c r="D172" s="6" t="s">
        <v>1729</v>
      </c>
      <c r="E172" s="3" t="s">
        <v>2365</v>
      </c>
      <c r="F172" s="3" t="s">
        <v>4223</v>
      </c>
      <c r="G172" s="3" t="str">
        <f t="shared" si="9"/>
        <v>SINGLE</v>
      </c>
      <c r="H172" s="197">
        <f t="shared" si="8"/>
        <v>7</v>
      </c>
      <c r="I172" s="197">
        <v>2</v>
      </c>
      <c r="J172" s="197">
        <v>11</v>
      </c>
      <c r="K172" s="186">
        <f t="shared" si="10"/>
        <v>45699</v>
      </c>
      <c r="N172" s="3" t="str">
        <f t="shared" si="11"/>
        <v/>
      </c>
    </row>
    <row r="173" spans="1:21">
      <c r="A173" s="3">
        <v>5447</v>
      </c>
      <c r="B173" s="82">
        <f t="array" ref="B173">SUM(--(FREQUENCY(IF(C$2:C$3071=C173, MATCH(D$2:D$3071, D$2:D$3071, 0)), ROW(D$2:D$3071)-ROW(D$2)+1) &gt; 0))</f>
        <v>102</v>
      </c>
      <c r="C173" s="3">
        <f>VLOOKUP(D173, [1]Sheet1!K:X, 14, FALSE)</f>
        <v>41200006</v>
      </c>
      <c r="D173" s="6" t="s">
        <v>1728</v>
      </c>
      <c r="E173" s="3" t="s">
        <v>2365</v>
      </c>
      <c r="F173" s="3" t="s">
        <v>4223</v>
      </c>
      <c r="G173" s="3" t="str">
        <f t="shared" si="9"/>
        <v>SINGLE</v>
      </c>
      <c r="H173" s="197">
        <f t="shared" si="8"/>
        <v>7</v>
      </c>
      <c r="I173" s="197">
        <v>2</v>
      </c>
      <c r="J173" s="197">
        <v>11</v>
      </c>
      <c r="K173" s="186">
        <f t="shared" si="10"/>
        <v>45699</v>
      </c>
      <c r="N173" s="3" t="str">
        <f t="shared" si="11"/>
        <v/>
      </c>
    </row>
    <row r="174" spans="1:21">
      <c r="A174" s="3">
        <v>5447</v>
      </c>
      <c r="B174" s="82">
        <f t="array" ref="B174">SUM(--(FREQUENCY(IF(C$2:C$3071=C174, MATCH(D$2:D$3071, D$2:D$3071, 0)), ROW(D$2:D$3071)-ROW(D$2)+1) &gt; 0))</f>
        <v>102</v>
      </c>
      <c r="C174" s="3">
        <f>VLOOKUP(D174, [1]Sheet1!K:X, 14, FALSE)</f>
        <v>41200006</v>
      </c>
      <c r="D174" s="6" t="s">
        <v>1727</v>
      </c>
      <c r="E174" s="3" t="s">
        <v>2365</v>
      </c>
      <c r="F174" s="3" t="s">
        <v>4223</v>
      </c>
      <c r="G174" s="3" t="str">
        <f t="shared" si="9"/>
        <v>SINGLE</v>
      </c>
      <c r="H174" s="197">
        <f t="shared" si="8"/>
        <v>7</v>
      </c>
      <c r="I174" s="197">
        <v>2</v>
      </c>
      <c r="J174" s="197">
        <v>11</v>
      </c>
      <c r="K174" s="186">
        <f t="shared" si="10"/>
        <v>45699</v>
      </c>
      <c r="N174" s="3" t="str">
        <f t="shared" si="11"/>
        <v/>
      </c>
    </row>
    <row r="175" spans="1:21">
      <c r="A175" s="3">
        <v>5447</v>
      </c>
      <c r="B175" s="82">
        <f t="array" ref="B175">SUM(--(FREQUENCY(IF(C$2:C$3071=C175, MATCH(D$2:D$3071, D$2:D$3071, 0)), ROW(D$2:D$3071)-ROW(D$2)+1) &gt; 0))</f>
        <v>102</v>
      </c>
      <c r="C175" s="3">
        <f>VLOOKUP(D175, [1]Sheet1!K:X, 14, FALSE)</f>
        <v>41200006</v>
      </c>
      <c r="D175" s="6" t="s">
        <v>4319</v>
      </c>
      <c r="E175" s="3" t="s">
        <v>2365</v>
      </c>
      <c r="F175" s="3" t="s">
        <v>4223</v>
      </c>
      <c r="G175" s="3" t="str">
        <f t="shared" si="9"/>
        <v>SINGLE</v>
      </c>
      <c r="H175" s="197">
        <f t="shared" si="8"/>
        <v>7</v>
      </c>
      <c r="I175" s="197">
        <v>2</v>
      </c>
      <c r="J175" s="197">
        <v>11</v>
      </c>
      <c r="K175" s="186">
        <f t="shared" si="10"/>
        <v>45699</v>
      </c>
      <c r="L175" s="3" t="s">
        <v>4104</v>
      </c>
      <c r="N175" s="3" t="str">
        <f t="shared" si="11"/>
        <v>NG</v>
      </c>
      <c r="O175" s="3" t="s">
        <v>1568</v>
      </c>
      <c r="Q175" s="3">
        <v>1100228300</v>
      </c>
      <c r="R175" s="3" t="s">
        <v>4105</v>
      </c>
      <c r="S175" s="6" t="s">
        <v>4269</v>
      </c>
      <c r="T175" s="3" t="s">
        <v>4209</v>
      </c>
    </row>
    <row r="176" spans="1:21">
      <c r="A176" s="3">
        <v>5328</v>
      </c>
      <c r="B176" s="82">
        <f t="array" ref="B176">SUM(--(FREQUENCY(IF(C$2:C$3071=C176, MATCH(D$2:D$3071, D$2:D$3071, 0)), ROW(D$2:D$3071)-ROW(D$2)+1) &gt; 0))</f>
        <v>6</v>
      </c>
      <c r="C176" s="3">
        <f>VLOOKUP(D176, [1]Sheet1!K:X, 14, FALSE)</f>
        <v>41000556</v>
      </c>
      <c r="D176" s="6" t="s">
        <v>4320</v>
      </c>
      <c r="E176" s="3" t="s">
        <v>4102</v>
      </c>
      <c r="F176" s="3" t="s">
        <v>4112</v>
      </c>
      <c r="G176" s="3" t="str">
        <f t="shared" si="9"/>
        <v>DUAL</v>
      </c>
      <c r="H176" s="197">
        <f t="shared" si="8"/>
        <v>7</v>
      </c>
      <c r="I176" s="197">
        <v>2</v>
      </c>
      <c r="J176" s="197">
        <v>11</v>
      </c>
      <c r="K176" s="186">
        <f t="shared" si="10"/>
        <v>45699</v>
      </c>
      <c r="N176" s="3" t="str">
        <f t="shared" si="11"/>
        <v/>
      </c>
    </row>
    <row r="177" spans="1:20">
      <c r="A177" s="3">
        <v>5350</v>
      </c>
      <c r="B177" s="82">
        <f t="array" ref="B177">SUM(--(FREQUENCY(IF(C$2:C$3071=C177, MATCH(D$2:D$3071, D$2:D$3071, 0)), ROW(D$2:D$3071)-ROW(D$2)+1) &gt; 0))</f>
        <v>19</v>
      </c>
      <c r="C177" s="3">
        <f>VLOOKUP(D177, [1]Sheet1!K:X, 14, FALSE)</f>
        <v>41100320</v>
      </c>
      <c r="D177" s="6" t="s">
        <v>4321</v>
      </c>
      <c r="E177" s="3" t="s">
        <v>4102</v>
      </c>
      <c r="F177" s="3" t="s">
        <v>4112</v>
      </c>
      <c r="G177" s="3" t="str">
        <f t="shared" si="9"/>
        <v>DUAL</v>
      </c>
      <c r="H177" s="197">
        <f t="shared" si="8"/>
        <v>7</v>
      </c>
      <c r="I177" s="197">
        <v>2</v>
      </c>
      <c r="J177" s="197">
        <v>11</v>
      </c>
      <c r="K177" s="186">
        <f t="shared" si="10"/>
        <v>45699</v>
      </c>
      <c r="L177" s="3" t="s">
        <v>2381</v>
      </c>
      <c r="N177" s="3" t="str">
        <f t="shared" si="11"/>
        <v>NG</v>
      </c>
      <c r="O177" s="3" t="s">
        <v>1568</v>
      </c>
      <c r="S177" s="6" t="s">
        <v>4322</v>
      </c>
    </row>
    <row r="178" spans="1:20">
      <c r="A178" s="3">
        <v>5382</v>
      </c>
      <c r="B178" s="82">
        <f t="array" ref="B178">SUM(--(FREQUENCY(IF(C$2:C$3071=C178, MATCH(D$2:D$3071, D$2:D$3071, 0)), ROW(D$2:D$3071)-ROW(D$2)+1) &gt; 0))</f>
        <v>3</v>
      </c>
      <c r="C178" s="3">
        <v>41200104</v>
      </c>
      <c r="D178" s="6" t="s">
        <v>4323</v>
      </c>
      <c r="E178" s="3" t="s">
        <v>2365</v>
      </c>
      <c r="F178" s="3" t="s">
        <v>4112</v>
      </c>
      <c r="G178" s="3" t="str">
        <f t="shared" si="9"/>
        <v>DUAL</v>
      </c>
      <c r="H178" s="197">
        <f t="shared" si="8"/>
        <v>7</v>
      </c>
      <c r="I178" s="197">
        <v>2</v>
      </c>
      <c r="J178" s="197">
        <v>11</v>
      </c>
      <c r="K178" s="186">
        <f t="shared" si="10"/>
        <v>45699</v>
      </c>
      <c r="L178" s="3" t="s">
        <v>4104</v>
      </c>
      <c r="N178" s="3" t="str">
        <f t="shared" si="11"/>
        <v>NG</v>
      </c>
      <c r="O178" s="3" t="s">
        <v>1568</v>
      </c>
      <c r="Q178" s="3">
        <v>1100009000</v>
      </c>
      <c r="R178" s="3" t="s">
        <v>143</v>
      </c>
      <c r="S178" s="3" t="s">
        <v>4324</v>
      </c>
    </row>
    <row r="179" spans="1:20">
      <c r="A179" s="3">
        <v>5429</v>
      </c>
      <c r="B179" s="82">
        <f t="array" ref="B179">SUM(--(FREQUENCY(IF(C$2:C$3071=C179, MATCH(D$2:D$3071, D$2:D$3071, 0)), ROW(D$2:D$3071)-ROW(D$2)+1) &gt; 0))</f>
        <v>44</v>
      </c>
      <c r="C179" s="3">
        <f>VLOOKUP(D179, [1]Sheet1!K:X, 14, FALSE)</f>
        <v>41200108</v>
      </c>
      <c r="D179" s="6" t="s">
        <v>4325</v>
      </c>
      <c r="E179" s="3" t="s">
        <v>4326</v>
      </c>
      <c r="F179" s="3" t="s">
        <v>4119</v>
      </c>
      <c r="G179" s="3" t="str">
        <f t="shared" si="9"/>
        <v>SINGLE</v>
      </c>
      <c r="H179" s="197">
        <f t="shared" si="8"/>
        <v>7</v>
      </c>
      <c r="I179" s="197">
        <v>2</v>
      </c>
      <c r="J179" s="197">
        <v>12</v>
      </c>
      <c r="K179" s="186">
        <f t="shared" si="10"/>
        <v>45700</v>
      </c>
      <c r="N179" s="3" t="str">
        <f t="shared" si="11"/>
        <v/>
      </c>
    </row>
    <row r="180" spans="1:20">
      <c r="A180" s="3">
        <v>5429</v>
      </c>
      <c r="B180" s="82">
        <f t="array" ref="B180">SUM(--(FREQUENCY(IF(C$2:C$3071=C180, MATCH(D$2:D$3071, D$2:D$3071, 0)), ROW(D$2:D$3071)-ROW(D$2)+1) &gt; 0))</f>
        <v>44</v>
      </c>
      <c r="C180" s="3">
        <f>VLOOKUP(D180, [1]Sheet1!K:X, 14, FALSE)</f>
        <v>41200108</v>
      </c>
      <c r="D180" s="6" t="s">
        <v>4327</v>
      </c>
      <c r="E180" s="3" t="s">
        <v>4326</v>
      </c>
      <c r="F180" s="3" t="s">
        <v>4119</v>
      </c>
      <c r="G180" s="3" t="str">
        <f t="shared" si="9"/>
        <v>SINGLE</v>
      </c>
      <c r="H180" s="197">
        <f t="shared" si="8"/>
        <v>7</v>
      </c>
      <c r="I180" s="197">
        <v>2</v>
      </c>
      <c r="J180" s="197">
        <v>12</v>
      </c>
      <c r="K180" s="186">
        <f t="shared" si="10"/>
        <v>45700</v>
      </c>
      <c r="N180" s="3" t="str">
        <f t="shared" si="11"/>
        <v/>
      </c>
    </row>
    <row r="181" spans="1:20">
      <c r="A181" s="3">
        <v>5429</v>
      </c>
      <c r="B181" s="82">
        <f t="array" ref="B181">SUM(--(FREQUENCY(IF(C$2:C$3071=C181, MATCH(D$2:D$3071, D$2:D$3071, 0)), ROW(D$2:D$3071)-ROW(D$2)+1) &gt; 0))</f>
        <v>44</v>
      </c>
      <c r="C181" s="3">
        <f>VLOOKUP(D181, [1]Sheet1!K:X, 14, FALSE)</f>
        <v>41200108</v>
      </c>
      <c r="D181" s="6" t="s">
        <v>4328</v>
      </c>
      <c r="E181" s="3" t="s">
        <v>4326</v>
      </c>
      <c r="F181" s="3" t="s">
        <v>4119</v>
      </c>
      <c r="G181" s="3" t="str">
        <f t="shared" si="9"/>
        <v>SINGLE</v>
      </c>
      <c r="H181" s="197">
        <f t="shared" si="8"/>
        <v>7</v>
      </c>
      <c r="I181" s="197">
        <v>2</v>
      </c>
      <c r="J181" s="197">
        <v>12</v>
      </c>
      <c r="K181" s="186">
        <f t="shared" si="10"/>
        <v>45700</v>
      </c>
      <c r="N181" s="3" t="str">
        <f t="shared" si="11"/>
        <v/>
      </c>
    </row>
    <row r="182" spans="1:20">
      <c r="A182" s="3">
        <v>5434</v>
      </c>
      <c r="B182" s="82">
        <f t="array" ref="B182">SUM(--(FREQUENCY(IF(C$2:C$3071=C182, MATCH(D$2:D$3071, D$2:D$3071, 0)), ROW(D$2:D$3071)-ROW(D$2)+1) &gt; 0))</f>
        <v>77</v>
      </c>
      <c r="C182" s="3">
        <f>VLOOKUP(D182, [1]Sheet1!K:X, 14, FALSE)</f>
        <v>41200076</v>
      </c>
      <c r="D182" s="6" t="s">
        <v>4329</v>
      </c>
      <c r="E182" s="3" t="s">
        <v>4102</v>
      </c>
      <c r="F182" s="3" t="s">
        <v>4112</v>
      </c>
      <c r="G182" s="3" t="str">
        <f t="shared" si="9"/>
        <v>DUAL</v>
      </c>
      <c r="H182" s="197">
        <f t="shared" si="8"/>
        <v>7</v>
      </c>
      <c r="I182" s="197">
        <v>2</v>
      </c>
      <c r="J182" s="197">
        <v>12</v>
      </c>
      <c r="K182" s="186">
        <f t="shared" si="10"/>
        <v>45700</v>
      </c>
      <c r="N182" s="3" t="str">
        <f t="shared" si="11"/>
        <v/>
      </c>
    </row>
    <row r="183" spans="1:20">
      <c r="A183" s="3">
        <v>5444</v>
      </c>
      <c r="B183" s="82">
        <f t="array" ref="B183">SUM(--(FREQUENCY(IF(C$2:C$3071=C183, MATCH(D$2:D$3071, D$2:D$3071, 0)), ROW(D$2:D$3071)-ROW(D$2)+1) &gt; 0))</f>
        <v>20</v>
      </c>
      <c r="C183" s="3">
        <v>41200125</v>
      </c>
      <c r="D183" s="6" t="s">
        <v>4309</v>
      </c>
      <c r="E183" s="3" t="s">
        <v>4102</v>
      </c>
      <c r="F183" s="3" t="s">
        <v>4112</v>
      </c>
      <c r="G183" s="3" t="str">
        <f t="shared" si="9"/>
        <v>DUAL</v>
      </c>
      <c r="H183" s="197">
        <f t="shared" si="8"/>
        <v>7</v>
      </c>
      <c r="I183" s="197">
        <v>2</v>
      </c>
      <c r="J183" s="197">
        <v>12</v>
      </c>
      <c r="K183" s="186">
        <f t="shared" si="10"/>
        <v>45700</v>
      </c>
      <c r="N183" s="3" t="str">
        <f t="shared" si="11"/>
        <v/>
      </c>
    </row>
    <row r="184" spans="1:20">
      <c r="A184" s="3">
        <v>5444</v>
      </c>
      <c r="B184" s="82">
        <f t="array" ref="B184">SUM(--(FREQUENCY(IF(C$2:C$3071=C184, MATCH(D$2:D$3071, D$2:D$3071, 0)), ROW(D$2:D$3071)-ROW(D$2)+1) &gt; 0))</f>
        <v>20</v>
      </c>
      <c r="C184" s="3">
        <v>41200125</v>
      </c>
      <c r="D184" s="6" t="s">
        <v>4330</v>
      </c>
      <c r="E184" s="3" t="s">
        <v>4102</v>
      </c>
      <c r="F184" s="3" t="s">
        <v>4112</v>
      </c>
      <c r="G184" s="3" t="str">
        <f t="shared" si="9"/>
        <v>DUAL</v>
      </c>
      <c r="H184" s="197">
        <f t="shared" si="8"/>
        <v>7</v>
      </c>
      <c r="I184" s="197">
        <v>2</v>
      </c>
      <c r="J184" s="197">
        <v>12</v>
      </c>
      <c r="K184" s="186">
        <f t="shared" si="10"/>
        <v>45700</v>
      </c>
      <c r="L184" s="3" t="s">
        <v>4104</v>
      </c>
      <c r="N184" s="3" t="str">
        <f t="shared" si="11"/>
        <v>NG</v>
      </c>
      <c r="O184" s="3" t="s">
        <v>1568</v>
      </c>
      <c r="Q184" s="3">
        <v>1110078300</v>
      </c>
      <c r="R184" s="3" t="s">
        <v>386</v>
      </c>
      <c r="S184" s="3" t="s">
        <v>4331</v>
      </c>
      <c r="T184" s="3" t="s">
        <v>4332</v>
      </c>
    </row>
    <row r="185" spans="1:20">
      <c r="A185" s="3">
        <v>5444</v>
      </c>
      <c r="B185" s="82">
        <f t="array" ref="B185">SUM(--(FREQUENCY(IF(C$2:C$3071=C185, MATCH(D$2:D$3071, D$2:D$3071, 0)), ROW(D$2:D$3071)-ROW(D$2)+1) &gt; 0))</f>
        <v>3</v>
      </c>
      <c r="C185" s="3">
        <f>VLOOKUP(D185, [1]Sheet1!K:X, 14, FALSE)</f>
        <v>41100372</v>
      </c>
      <c r="D185" s="6" t="s">
        <v>4333</v>
      </c>
      <c r="E185" s="3" t="s">
        <v>4102</v>
      </c>
      <c r="F185" s="3" t="s">
        <v>4112</v>
      </c>
      <c r="G185" s="3" t="str">
        <f t="shared" si="9"/>
        <v>DUAL</v>
      </c>
      <c r="H185" s="197">
        <f t="shared" si="8"/>
        <v>7</v>
      </c>
      <c r="I185" s="197">
        <v>2</v>
      </c>
      <c r="J185" s="197">
        <v>12</v>
      </c>
      <c r="K185" s="186">
        <f t="shared" si="10"/>
        <v>45700</v>
      </c>
      <c r="N185" s="3" t="str">
        <f t="shared" si="11"/>
        <v/>
      </c>
    </row>
    <row r="186" spans="1:20">
      <c r="A186" s="3">
        <v>5440</v>
      </c>
      <c r="B186" s="82">
        <f t="array" ref="B186">SUM(--(FREQUENCY(IF(C$2:C$3071=C186, MATCH(D$2:D$3071, D$2:D$3071, 0)), ROW(D$2:D$3071)-ROW(D$2)+1) &gt; 0))</f>
        <v>6</v>
      </c>
      <c r="C186" s="3">
        <v>41200116</v>
      </c>
      <c r="D186" s="6" t="s">
        <v>1742</v>
      </c>
      <c r="E186" s="3" t="s">
        <v>4326</v>
      </c>
      <c r="F186" s="3" t="s">
        <v>4119</v>
      </c>
      <c r="G186" s="3" t="str">
        <f t="shared" si="9"/>
        <v>SINGLE</v>
      </c>
      <c r="H186" s="197">
        <f t="shared" si="8"/>
        <v>7</v>
      </c>
      <c r="I186" s="197">
        <v>2</v>
      </c>
      <c r="J186" s="199">
        <v>13</v>
      </c>
      <c r="K186" s="186">
        <f t="shared" si="10"/>
        <v>45701</v>
      </c>
      <c r="N186" s="3" t="str">
        <f t="shared" si="11"/>
        <v/>
      </c>
    </row>
    <row r="187" spans="1:20">
      <c r="A187" s="3">
        <v>5440</v>
      </c>
      <c r="B187" s="82">
        <f t="array" ref="B187">SUM(--(FREQUENCY(IF(C$2:C$3071=C187, MATCH(D$2:D$3071, D$2:D$3071, 0)), ROW(D$2:D$3071)-ROW(D$2)+1) &gt; 0))</f>
        <v>6</v>
      </c>
      <c r="C187" s="3">
        <v>41200116</v>
      </c>
      <c r="D187" s="6" t="s">
        <v>1741</v>
      </c>
      <c r="E187" s="3" t="s">
        <v>4326</v>
      </c>
      <c r="F187" s="3" t="s">
        <v>4119</v>
      </c>
      <c r="G187" s="3" t="str">
        <f t="shared" si="9"/>
        <v>SINGLE</v>
      </c>
      <c r="H187" s="197">
        <f t="shared" si="8"/>
        <v>7</v>
      </c>
      <c r="I187" s="197">
        <v>2</v>
      </c>
      <c r="J187" s="199">
        <v>13</v>
      </c>
      <c r="K187" s="186">
        <f t="shared" si="10"/>
        <v>45701</v>
      </c>
      <c r="N187" s="3" t="str">
        <f t="shared" si="11"/>
        <v/>
      </c>
    </row>
    <row r="188" spans="1:20">
      <c r="A188" s="3">
        <v>5440</v>
      </c>
      <c r="B188" s="82">
        <f t="array" ref="B188">SUM(--(FREQUENCY(IF(C$2:C$3071=C188, MATCH(D$2:D$3071, D$2:D$3071, 0)), ROW(D$2:D$3071)-ROW(D$2)+1) &gt; 0))</f>
        <v>6</v>
      </c>
      <c r="C188" s="3">
        <v>41200116</v>
      </c>
      <c r="D188" s="6" t="s">
        <v>4334</v>
      </c>
      <c r="E188" s="3" t="s">
        <v>4326</v>
      </c>
      <c r="F188" s="3" t="s">
        <v>4119</v>
      </c>
      <c r="G188" s="3" t="str">
        <f t="shared" si="9"/>
        <v>SINGLE</v>
      </c>
      <c r="H188" s="197">
        <f t="shared" si="8"/>
        <v>7</v>
      </c>
      <c r="I188" s="197">
        <v>2</v>
      </c>
      <c r="J188" s="199">
        <v>13</v>
      </c>
      <c r="K188" s="186">
        <f t="shared" si="10"/>
        <v>45701</v>
      </c>
      <c r="N188" s="3" t="str">
        <f t="shared" si="11"/>
        <v/>
      </c>
    </row>
    <row r="189" spans="1:20">
      <c r="A189" s="6">
        <v>5468</v>
      </c>
      <c r="B189" s="82">
        <f t="array" ref="B189">SUM(--(FREQUENCY(IF(C$2:C$3071=C189, MATCH(D$2:D$3071, D$2:D$3071, 0)), ROW(D$2:D$3071)-ROW(D$2)+1) &gt; 0))</f>
        <v>144</v>
      </c>
      <c r="C189" s="3">
        <f>VLOOKUP(D189, [1]Sheet1!K:X, 14, FALSE)</f>
        <v>41200007</v>
      </c>
      <c r="D189" s="6" t="s">
        <v>1746</v>
      </c>
      <c r="E189" s="6" t="s">
        <v>2365</v>
      </c>
      <c r="F189" s="6" t="s">
        <v>2380</v>
      </c>
      <c r="G189" s="3" t="str">
        <f t="shared" si="9"/>
        <v>SINGLE</v>
      </c>
      <c r="H189" s="197">
        <f t="shared" si="8"/>
        <v>7</v>
      </c>
      <c r="I189" s="199">
        <v>2</v>
      </c>
      <c r="J189" s="199">
        <v>13</v>
      </c>
      <c r="K189" s="186">
        <f t="shared" si="10"/>
        <v>45701</v>
      </c>
      <c r="L189" s="3" t="s">
        <v>2381</v>
      </c>
      <c r="N189" s="3" t="str">
        <f t="shared" si="11"/>
        <v>NG</v>
      </c>
      <c r="O189" s="3" t="s">
        <v>1568</v>
      </c>
      <c r="Q189" s="3">
        <v>1100228300</v>
      </c>
      <c r="R189" s="3" t="s">
        <v>4105</v>
      </c>
      <c r="S189" s="3" t="s">
        <v>4335</v>
      </c>
    </row>
    <row r="190" spans="1:20">
      <c r="A190" s="6">
        <v>5468</v>
      </c>
      <c r="B190" s="82">
        <f t="array" ref="B190">SUM(--(FREQUENCY(IF(C$2:C$3071=C190, MATCH(D$2:D$3071, D$2:D$3071, 0)), ROW(D$2:D$3071)-ROW(D$2)+1) &gt; 0))</f>
        <v>144</v>
      </c>
      <c r="C190" s="3">
        <f>VLOOKUP(D190, [1]Sheet1!K:X, 14, FALSE)</f>
        <v>41200007</v>
      </c>
      <c r="D190" s="6" t="s">
        <v>4336</v>
      </c>
      <c r="E190" s="6" t="s">
        <v>2365</v>
      </c>
      <c r="F190" s="6" t="s">
        <v>2380</v>
      </c>
      <c r="G190" s="3" t="str">
        <f t="shared" si="9"/>
        <v>SINGLE</v>
      </c>
      <c r="H190" s="197">
        <f t="shared" si="8"/>
        <v>7</v>
      </c>
      <c r="I190" s="199">
        <v>2</v>
      </c>
      <c r="J190" s="199">
        <v>13</v>
      </c>
      <c r="K190" s="186">
        <f t="shared" si="10"/>
        <v>45701</v>
      </c>
      <c r="N190" s="3" t="str">
        <f t="shared" si="11"/>
        <v/>
      </c>
    </row>
    <row r="191" spans="1:20">
      <c r="A191" s="6">
        <v>5460</v>
      </c>
      <c r="B191" s="82">
        <f t="array" ref="B191">SUM(--(FREQUENCY(IF(C$2:C$3071=C191, MATCH(D$2:D$3071, D$2:D$3071, 0)), ROW(D$2:D$3071)-ROW(D$2)+1) &gt; 0))</f>
        <v>49</v>
      </c>
      <c r="C191" s="3">
        <f>VLOOKUP(D191, [1]Sheet1!K:X, 14, FALSE)</f>
        <v>41200005</v>
      </c>
      <c r="D191" s="6" t="s">
        <v>1752</v>
      </c>
      <c r="E191" s="6" t="s">
        <v>2365</v>
      </c>
      <c r="F191" s="6" t="s">
        <v>2380</v>
      </c>
      <c r="G191" s="3" t="str">
        <f t="shared" si="9"/>
        <v>SINGLE</v>
      </c>
      <c r="H191" s="197">
        <f t="shared" si="8"/>
        <v>7</v>
      </c>
      <c r="I191" s="199">
        <v>2</v>
      </c>
      <c r="J191" s="199">
        <v>13</v>
      </c>
      <c r="K191" s="186">
        <f t="shared" si="10"/>
        <v>45701</v>
      </c>
      <c r="N191" s="3" t="str">
        <f t="shared" si="11"/>
        <v/>
      </c>
    </row>
    <row r="192" spans="1:20">
      <c r="A192" s="6">
        <v>5460</v>
      </c>
      <c r="B192" s="82">
        <f t="array" ref="B192">SUM(--(FREQUENCY(IF(C$2:C$3071=C192, MATCH(D$2:D$3071, D$2:D$3071, 0)), ROW(D$2:D$3071)-ROW(D$2)+1) &gt; 0))</f>
        <v>49</v>
      </c>
      <c r="C192" s="3">
        <f>VLOOKUP(D192, [1]Sheet1!K:X, 14, FALSE)</f>
        <v>41200005</v>
      </c>
      <c r="D192" s="6" t="s">
        <v>1751</v>
      </c>
      <c r="E192" s="6" t="s">
        <v>2365</v>
      </c>
      <c r="F192" s="6" t="s">
        <v>2380</v>
      </c>
      <c r="G192" s="3" t="str">
        <f t="shared" si="9"/>
        <v>SINGLE</v>
      </c>
      <c r="H192" s="197">
        <f t="shared" si="8"/>
        <v>7</v>
      </c>
      <c r="I192" s="199">
        <v>2</v>
      </c>
      <c r="J192" s="199">
        <v>13</v>
      </c>
      <c r="K192" s="186">
        <f t="shared" si="10"/>
        <v>45701</v>
      </c>
      <c r="N192" s="3" t="str">
        <f t="shared" si="11"/>
        <v/>
      </c>
    </row>
    <row r="193" spans="1:21">
      <c r="A193" s="6">
        <v>5460</v>
      </c>
      <c r="B193" s="82">
        <f t="array" ref="B193">SUM(--(FREQUENCY(IF(C$2:C$3071=C193, MATCH(D$2:D$3071, D$2:D$3071, 0)), ROW(D$2:D$3071)-ROW(D$2)+1) &gt; 0))</f>
        <v>49</v>
      </c>
      <c r="C193" s="3">
        <f>VLOOKUP(D193, [1]Sheet1!K:X, 14, FALSE)</f>
        <v>41200005</v>
      </c>
      <c r="D193" s="6" t="s">
        <v>1744</v>
      </c>
      <c r="E193" s="6" t="s">
        <v>2365</v>
      </c>
      <c r="F193" s="6" t="s">
        <v>2380</v>
      </c>
      <c r="G193" s="3" t="str">
        <f t="shared" si="9"/>
        <v>SINGLE</v>
      </c>
      <c r="H193" s="197">
        <f t="shared" ref="H193:H256" si="12">WEEKNUM(K193)</f>
        <v>7</v>
      </c>
      <c r="I193" s="199">
        <v>2</v>
      </c>
      <c r="J193" s="199">
        <v>13</v>
      </c>
      <c r="K193" s="186">
        <f t="shared" si="10"/>
        <v>45701</v>
      </c>
      <c r="N193" s="3" t="str">
        <f t="shared" si="11"/>
        <v/>
      </c>
    </row>
    <row r="194" spans="1:21">
      <c r="A194" s="6">
        <v>5460</v>
      </c>
      <c r="B194" s="82">
        <f t="array" ref="B194">SUM(--(FREQUENCY(IF(C$2:C$3071=C194, MATCH(D$2:D$3071, D$2:D$3071, 0)), ROW(D$2:D$3071)-ROW(D$2)+1) &gt; 0))</f>
        <v>49</v>
      </c>
      <c r="C194" s="3">
        <f>VLOOKUP(D194, [1]Sheet1!K:X, 14, FALSE)</f>
        <v>41200005</v>
      </c>
      <c r="D194" s="6" t="s">
        <v>4337</v>
      </c>
      <c r="E194" s="6" t="s">
        <v>2365</v>
      </c>
      <c r="F194" s="6" t="s">
        <v>2380</v>
      </c>
      <c r="G194" s="3" t="str">
        <f t="shared" ref="G194:G257" si="13">IF(OR(ISNUMBER(SEARCH("DUAL",F194)), ISNUMBER(SEARCH("IVAS",F194))), "DUAL", "SINGLE")</f>
        <v>SINGLE</v>
      </c>
      <c r="H194" s="197">
        <f t="shared" si="12"/>
        <v>7</v>
      </c>
      <c r="I194" s="199">
        <v>2</v>
      </c>
      <c r="J194" s="199">
        <v>13</v>
      </c>
      <c r="K194" s="186">
        <f t="shared" ref="K194:K257" si="14">DATE(2025, I194, J194)</f>
        <v>45701</v>
      </c>
      <c r="N194" s="3" t="str">
        <f t="shared" ref="N194:N257" si="15">IF(O194&lt;&gt;"", "NG", "")</f>
        <v/>
      </c>
    </row>
    <row r="195" spans="1:21" s="15" customFormat="1">
      <c r="A195" s="3">
        <v>5445</v>
      </c>
      <c r="B195" s="82">
        <f t="array" ref="B195">SUM(--(FREQUENCY(IF(C$2:C$3071=C195, MATCH(D$2:D$3071, D$2:D$3071, 0)), ROW(D$2:D$3071)-ROW(D$2)+1) &gt; 0))</f>
        <v>77</v>
      </c>
      <c r="C195" s="3">
        <f>VLOOKUP(D195, [1]Sheet1!K:X, 14, FALSE)</f>
        <v>41200076</v>
      </c>
      <c r="D195" s="6" t="s">
        <v>4338</v>
      </c>
      <c r="E195" s="3" t="s">
        <v>4102</v>
      </c>
      <c r="F195" s="3" t="s">
        <v>4112</v>
      </c>
      <c r="G195" s="3" t="str">
        <f t="shared" si="13"/>
        <v>DUAL</v>
      </c>
      <c r="H195" s="197">
        <f t="shared" si="12"/>
        <v>7</v>
      </c>
      <c r="I195" s="197">
        <v>2</v>
      </c>
      <c r="J195" s="197">
        <v>13</v>
      </c>
      <c r="K195" s="186">
        <f t="shared" si="14"/>
        <v>45701</v>
      </c>
      <c r="L195" s="3"/>
      <c r="M195" s="3"/>
      <c r="N195" s="3" t="str">
        <f t="shared" si="15"/>
        <v/>
      </c>
      <c r="O195" s="3"/>
      <c r="P195" s="3"/>
      <c r="Q195" s="3"/>
      <c r="R195" s="3"/>
      <c r="S195" s="3"/>
      <c r="T195" s="3"/>
      <c r="U195" s="3"/>
    </row>
    <row r="196" spans="1:21" s="15" customFormat="1">
      <c r="A196" s="14">
        <v>5352</v>
      </c>
      <c r="B196" s="82">
        <f t="array" ref="B196">SUM(--(FREQUENCY(IF(C$2:C$3071=C196, MATCH(D$2:D$3071, D$2:D$3071, 0)), ROW(D$2:D$3071)-ROW(D$2)+1) &gt; 0))</f>
        <v>20</v>
      </c>
      <c r="C196" s="14">
        <v>41200125</v>
      </c>
      <c r="D196" s="6" t="s">
        <v>4339</v>
      </c>
      <c r="E196" s="14" t="s">
        <v>4102</v>
      </c>
      <c r="F196" s="14" t="s">
        <v>4112</v>
      </c>
      <c r="G196" s="3" t="str">
        <f t="shared" si="13"/>
        <v>DUAL</v>
      </c>
      <c r="H196" s="197">
        <f t="shared" si="12"/>
        <v>7</v>
      </c>
      <c r="I196" s="201">
        <v>2</v>
      </c>
      <c r="J196" s="201">
        <v>13</v>
      </c>
      <c r="K196" s="186">
        <f t="shared" si="14"/>
        <v>45701</v>
      </c>
      <c r="L196" s="14" t="s">
        <v>4104</v>
      </c>
      <c r="M196" s="14"/>
      <c r="N196" s="3" t="str">
        <f t="shared" si="15"/>
        <v>NG</v>
      </c>
      <c r="O196" s="14" t="s">
        <v>1568</v>
      </c>
      <c r="P196" s="14"/>
      <c r="Q196" s="14">
        <v>1100407300</v>
      </c>
      <c r="R196" s="14" t="s">
        <v>255</v>
      </c>
      <c r="S196" s="14" t="s">
        <v>4307</v>
      </c>
      <c r="T196" s="14"/>
      <c r="U196" s="14"/>
    </row>
    <row r="197" spans="1:21">
      <c r="A197" s="14">
        <v>5352</v>
      </c>
      <c r="B197" s="82">
        <f t="array" ref="B197">SUM(--(FREQUENCY(IF(C$2:C$3071=C197, MATCH(D$2:D$3071, D$2:D$3071, 0)), ROW(D$2:D$3071)-ROW(D$2)+1) &gt; 0))</f>
        <v>20</v>
      </c>
      <c r="C197" s="14">
        <v>41200125</v>
      </c>
      <c r="D197" s="6" t="s">
        <v>4339</v>
      </c>
      <c r="E197" s="14" t="s">
        <v>4102</v>
      </c>
      <c r="F197" s="14" t="s">
        <v>4112</v>
      </c>
      <c r="G197" s="3" t="str">
        <f t="shared" si="13"/>
        <v>DUAL</v>
      </c>
      <c r="H197" s="197">
        <f t="shared" si="12"/>
        <v>7</v>
      </c>
      <c r="I197" s="201">
        <v>2</v>
      </c>
      <c r="J197" s="201">
        <v>13</v>
      </c>
      <c r="K197" s="186">
        <f t="shared" si="14"/>
        <v>45701</v>
      </c>
      <c r="L197" s="14" t="s">
        <v>4104</v>
      </c>
      <c r="M197" s="14"/>
      <c r="N197" s="3" t="str">
        <f t="shared" si="15"/>
        <v>NG</v>
      </c>
      <c r="O197" s="14" t="s">
        <v>1568</v>
      </c>
      <c r="P197" s="14"/>
      <c r="Q197" s="14">
        <v>1100359600</v>
      </c>
      <c r="R197" s="14" t="s">
        <v>255</v>
      </c>
      <c r="S197" s="14" t="s">
        <v>4340</v>
      </c>
      <c r="T197" s="14"/>
      <c r="U197" s="14"/>
    </row>
    <row r="198" spans="1:21">
      <c r="A198" s="3">
        <v>5459</v>
      </c>
      <c r="B198" s="82">
        <f t="array" ref="B198">SUM(--(FREQUENCY(IF(C$2:C$3071=C198, MATCH(D$2:D$3071, D$2:D$3071, 0)), ROW(D$2:D$3071)-ROW(D$2)+1) &gt; 0))</f>
        <v>102</v>
      </c>
      <c r="C198" s="3">
        <f>VLOOKUP(D198, [1]Sheet1!K:X, 14, FALSE)</f>
        <v>41200006</v>
      </c>
      <c r="D198" s="6" t="s">
        <v>1750</v>
      </c>
      <c r="E198" s="3" t="s">
        <v>2365</v>
      </c>
      <c r="F198" s="3" t="s">
        <v>4223</v>
      </c>
      <c r="G198" s="3" t="str">
        <f t="shared" si="13"/>
        <v>SINGLE</v>
      </c>
      <c r="H198" s="197">
        <f t="shared" si="12"/>
        <v>7</v>
      </c>
      <c r="I198" s="197">
        <v>2</v>
      </c>
      <c r="J198" s="197">
        <v>14</v>
      </c>
      <c r="K198" s="186">
        <f t="shared" si="14"/>
        <v>45702</v>
      </c>
      <c r="N198" s="3" t="str">
        <f t="shared" si="15"/>
        <v/>
      </c>
    </row>
    <row r="199" spans="1:21">
      <c r="A199" s="3">
        <v>5459</v>
      </c>
      <c r="B199" s="82">
        <f t="array" ref="B199">SUM(--(FREQUENCY(IF(C$2:C$3071=C199, MATCH(D$2:D$3071, D$2:D$3071, 0)), ROW(D$2:D$3071)-ROW(D$2)+1) &gt; 0))</f>
        <v>102</v>
      </c>
      <c r="C199" s="3">
        <f>VLOOKUP(D199, [1]Sheet1!K:X, 14, FALSE)</f>
        <v>41200006</v>
      </c>
      <c r="D199" s="6" t="s">
        <v>1749</v>
      </c>
      <c r="E199" s="3" t="s">
        <v>2365</v>
      </c>
      <c r="F199" s="3" t="s">
        <v>4223</v>
      </c>
      <c r="G199" s="3" t="str">
        <f t="shared" si="13"/>
        <v>SINGLE</v>
      </c>
      <c r="H199" s="197">
        <f t="shared" si="12"/>
        <v>7</v>
      </c>
      <c r="I199" s="197">
        <v>2</v>
      </c>
      <c r="J199" s="197">
        <v>14</v>
      </c>
      <c r="K199" s="186">
        <f t="shared" si="14"/>
        <v>45702</v>
      </c>
      <c r="N199" s="3" t="str">
        <f t="shared" si="15"/>
        <v/>
      </c>
    </row>
    <row r="200" spans="1:21">
      <c r="A200" s="3">
        <v>5459</v>
      </c>
      <c r="B200" s="82">
        <f t="array" ref="B200">SUM(--(FREQUENCY(IF(C$2:C$3071=C200, MATCH(D$2:D$3071, D$2:D$3071, 0)), ROW(D$2:D$3071)-ROW(D$2)+1) &gt; 0))</f>
        <v>102</v>
      </c>
      <c r="C200" s="3">
        <f>VLOOKUP(D200, [1]Sheet1!K:X, 14, FALSE)</f>
        <v>41200006</v>
      </c>
      <c r="D200" s="6" t="s">
        <v>1748</v>
      </c>
      <c r="E200" s="3" t="s">
        <v>2365</v>
      </c>
      <c r="F200" s="3" t="s">
        <v>4223</v>
      </c>
      <c r="G200" s="3" t="str">
        <f t="shared" si="13"/>
        <v>SINGLE</v>
      </c>
      <c r="H200" s="197">
        <f t="shared" si="12"/>
        <v>7</v>
      </c>
      <c r="I200" s="197">
        <v>2</v>
      </c>
      <c r="J200" s="197">
        <v>14</v>
      </c>
      <c r="K200" s="186">
        <f t="shared" si="14"/>
        <v>45702</v>
      </c>
      <c r="L200" s="3" t="s">
        <v>2381</v>
      </c>
      <c r="N200" s="3" t="str">
        <f t="shared" si="15"/>
        <v>NG</v>
      </c>
      <c r="O200" s="3" t="s">
        <v>1568</v>
      </c>
      <c r="S200" s="3" t="s">
        <v>4341</v>
      </c>
    </row>
    <row r="201" spans="1:21">
      <c r="A201" s="3">
        <v>5459</v>
      </c>
      <c r="B201" s="82">
        <f t="array" ref="B201">SUM(--(FREQUENCY(IF(C$2:C$3071=C201, MATCH(D$2:D$3071, D$2:D$3071, 0)), ROW(D$2:D$3071)-ROW(D$2)+1) &gt; 0))</f>
        <v>102</v>
      </c>
      <c r="C201" s="3">
        <f>VLOOKUP(D201, [1]Sheet1!K:X, 14, FALSE)</f>
        <v>41200006</v>
      </c>
      <c r="D201" s="6" t="s">
        <v>4342</v>
      </c>
      <c r="E201" s="3" t="s">
        <v>2365</v>
      </c>
      <c r="F201" s="3" t="s">
        <v>4223</v>
      </c>
      <c r="G201" s="3" t="str">
        <f t="shared" si="13"/>
        <v>SINGLE</v>
      </c>
      <c r="H201" s="197">
        <f t="shared" si="12"/>
        <v>7</v>
      </c>
      <c r="I201" s="197">
        <v>2</v>
      </c>
      <c r="J201" s="197">
        <v>14</v>
      </c>
      <c r="K201" s="186">
        <f t="shared" si="14"/>
        <v>45702</v>
      </c>
      <c r="N201" s="3" t="str">
        <f t="shared" si="15"/>
        <v/>
      </c>
    </row>
    <row r="202" spans="1:21">
      <c r="A202" s="3">
        <v>5442</v>
      </c>
      <c r="B202" s="82">
        <f t="array" ref="B202">SUM(--(FREQUENCY(IF(C$2:C$3071=C202, MATCH(D$2:D$3071, D$2:D$3071, 0)), ROW(D$2:D$3071)-ROW(D$2)+1) &gt; 0))</f>
        <v>22</v>
      </c>
      <c r="C202" s="3">
        <f>VLOOKUP(D202, [1]Sheet1!K:X, 14, FALSE)</f>
        <v>41200075</v>
      </c>
      <c r="D202" s="6" t="s">
        <v>4343</v>
      </c>
      <c r="E202" s="3" t="s">
        <v>4102</v>
      </c>
      <c r="F202" s="3" t="s">
        <v>4112</v>
      </c>
      <c r="G202" s="3" t="str">
        <f t="shared" si="13"/>
        <v>DUAL</v>
      </c>
      <c r="H202" s="197">
        <f t="shared" si="12"/>
        <v>7</v>
      </c>
      <c r="I202" s="197">
        <v>2</v>
      </c>
      <c r="J202" s="197">
        <v>14</v>
      </c>
      <c r="K202" s="186">
        <f t="shared" si="14"/>
        <v>45702</v>
      </c>
      <c r="N202" s="3" t="str">
        <f t="shared" si="15"/>
        <v/>
      </c>
    </row>
    <row r="203" spans="1:21" s="15" customFormat="1">
      <c r="A203" s="3">
        <v>5463</v>
      </c>
      <c r="B203" s="82">
        <f t="array" ref="B203">SUM(--(FREQUENCY(IF(C$2:C$3071=C203, MATCH(D$2:D$3071, D$2:D$3071, 0)), ROW(D$2:D$3071)-ROW(D$2)+1) &gt; 0))</f>
        <v>5</v>
      </c>
      <c r="C203" s="3">
        <f>VLOOKUP(D203, [1]Sheet1!K:X, 14, FALSE)</f>
        <v>41000587</v>
      </c>
      <c r="D203" s="6" t="s">
        <v>1755</v>
      </c>
      <c r="E203" s="3" t="s">
        <v>2365</v>
      </c>
      <c r="F203" s="3" t="s">
        <v>4130</v>
      </c>
      <c r="G203" s="3" t="str">
        <f t="shared" si="13"/>
        <v>DUAL</v>
      </c>
      <c r="H203" s="197">
        <f t="shared" si="12"/>
        <v>7</v>
      </c>
      <c r="I203" s="197">
        <v>2</v>
      </c>
      <c r="J203" s="197">
        <v>14</v>
      </c>
      <c r="K203" s="186">
        <f t="shared" si="14"/>
        <v>45702</v>
      </c>
      <c r="L203" s="3"/>
      <c r="M203" s="3"/>
      <c r="N203" s="3" t="str">
        <f t="shared" si="15"/>
        <v/>
      </c>
      <c r="O203" s="3"/>
      <c r="P203" s="3"/>
      <c r="Q203" s="3"/>
      <c r="R203" s="3"/>
      <c r="S203" s="3"/>
      <c r="T203" s="3"/>
      <c r="U203" s="3"/>
    </row>
    <row r="204" spans="1:21" s="15" customFormat="1">
      <c r="A204" s="14">
        <v>5463</v>
      </c>
      <c r="B204" s="82">
        <f t="array" ref="B204">SUM(--(FREQUENCY(IF(C$2:C$3071=C204, MATCH(D$2:D$3071, D$2:D$3071, 0)), ROW(D$2:D$3071)-ROW(D$2)+1) &gt; 0))</f>
        <v>5</v>
      </c>
      <c r="C204" s="14">
        <f>VLOOKUP(D204, [1]Sheet1!K:X, 14, FALSE)</f>
        <v>41000587</v>
      </c>
      <c r="D204" s="6" t="s">
        <v>4344</v>
      </c>
      <c r="E204" s="14" t="s">
        <v>2365</v>
      </c>
      <c r="F204" s="14" t="s">
        <v>4130</v>
      </c>
      <c r="G204" s="3" t="str">
        <f t="shared" si="13"/>
        <v>DUAL</v>
      </c>
      <c r="H204" s="197">
        <f t="shared" si="12"/>
        <v>7</v>
      </c>
      <c r="I204" s="201">
        <v>2</v>
      </c>
      <c r="J204" s="201">
        <v>14</v>
      </c>
      <c r="K204" s="186">
        <f t="shared" si="14"/>
        <v>45702</v>
      </c>
      <c r="L204" s="14" t="s">
        <v>4104</v>
      </c>
      <c r="M204" s="14"/>
      <c r="N204" s="3" t="str">
        <f t="shared" si="15"/>
        <v>NG</v>
      </c>
      <c r="O204" s="14" t="s">
        <v>1568</v>
      </c>
      <c r="P204" s="14"/>
      <c r="Q204" s="14">
        <v>1100138300</v>
      </c>
      <c r="R204" s="14" t="s">
        <v>562</v>
      </c>
      <c r="S204" s="14" t="s">
        <v>4345</v>
      </c>
      <c r="T204" s="14"/>
      <c r="U204" s="14"/>
    </row>
    <row r="205" spans="1:21" s="15" customFormat="1">
      <c r="A205" s="14">
        <v>5463</v>
      </c>
      <c r="B205" s="82">
        <f t="array" ref="B205">SUM(--(FREQUENCY(IF(C$2:C$3071=C205, MATCH(D$2:D$3071, D$2:D$3071, 0)), ROW(D$2:D$3071)-ROW(D$2)+1) &gt; 0))</f>
        <v>5</v>
      </c>
      <c r="C205" s="14">
        <f>VLOOKUP(D205, [1]Sheet1!K:X, 14, FALSE)</f>
        <v>41000587</v>
      </c>
      <c r="D205" s="6" t="s">
        <v>4344</v>
      </c>
      <c r="E205" s="14" t="s">
        <v>2365</v>
      </c>
      <c r="F205" s="14" t="s">
        <v>4130</v>
      </c>
      <c r="G205" s="3" t="str">
        <f t="shared" si="13"/>
        <v>DUAL</v>
      </c>
      <c r="H205" s="197">
        <f t="shared" si="12"/>
        <v>7</v>
      </c>
      <c r="I205" s="201">
        <v>2</v>
      </c>
      <c r="J205" s="201">
        <v>14</v>
      </c>
      <c r="K205" s="186">
        <f t="shared" si="14"/>
        <v>45702</v>
      </c>
      <c r="L205" s="14" t="s">
        <v>4104</v>
      </c>
      <c r="M205" s="14"/>
      <c r="N205" s="3" t="str">
        <f t="shared" si="15"/>
        <v>NG</v>
      </c>
      <c r="O205" s="14" t="s">
        <v>1568</v>
      </c>
      <c r="P205" s="14"/>
      <c r="Q205" s="14">
        <v>1100228300</v>
      </c>
      <c r="R205" s="14" t="s">
        <v>4105</v>
      </c>
      <c r="S205" s="14" t="s">
        <v>4269</v>
      </c>
      <c r="T205" s="14" t="s">
        <v>4346</v>
      </c>
      <c r="U205" s="14"/>
    </row>
    <row r="206" spans="1:21">
      <c r="A206" s="14">
        <v>5463</v>
      </c>
      <c r="B206" s="82">
        <f t="array" ref="B206">SUM(--(FREQUENCY(IF(C$2:C$3071=C206, MATCH(D$2:D$3071, D$2:D$3071, 0)), ROW(D$2:D$3071)-ROW(D$2)+1) &gt; 0))</f>
        <v>5</v>
      </c>
      <c r="C206" s="14">
        <f>VLOOKUP(D206, [1]Sheet1!K:X, 14, FALSE)</f>
        <v>41000587</v>
      </c>
      <c r="D206" s="6" t="s">
        <v>4344</v>
      </c>
      <c r="E206" s="14" t="s">
        <v>2365</v>
      </c>
      <c r="F206" s="14" t="s">
        <v>4130</v>
      </c>
      <c r="G206" s="3" t="str">
        <f t="shared" si="13"/>
        <v>DUAL</v>
      </c>
      <c r="H206" s="197">
        <f t="shared" si="12"/>
        <v>7</v>
      </c>
      <c r="I206" s="201">
        <v>2</v>
      </c>
      <c r="J206" s="201">
        <v>14</v>
      </c>
      <c r="K206" s="186">
        <f t="shared" si="14"/>
        <v>45702</v>
      </c>
      <c r="L206" s="14" t="s">
        <v>4104</v>
      </c>
      <c r="M206" s="14"/>
      <c r="N206" s="3" t="str">
        <f t="shared" si="15"/>
        <v>NG</v>
      </c>
      <c r="O206" s="14" t="s">
        <v>1568</v>
      </c>
      <c r="P206" s="14"/>
      <c r="Q206" s="14">
        <v>1100228300</v>
      </c>
      <c r="R206" s="14" t="s">
        <v>4105</v>
      </c>
      <c r="S206" s="14" t="s">
        <v>4242</v>
      </c>
      <c r="T206" s="14" t="s">
        <v>4347</v>
      </c>
      <c r="U206" s="14"/>
    </row>
    <row r="207" spans="1:21">
      <c r="A207" s="3">
        <v>5447</v>
      </c>
      <c r="B207" s="82">
        <f t="array" ref="B207">SUM(--(FREQUENCY(IF(C$2:C$3071=C207, MATCH(D$2:D$3071, D$2:D$3071, 0)), ROW(D$2:D$3071)-ROW(D$2)+1) &gt; 0))</f>
        <v>102</v>
      </c>
      <c r="C207" s="3">
        <f>VLOOKUP(D207, [1]Sheet1!K:X, 14, FALSE)</f>
        <v>41200006</v>
      </c>
      <c r="D207" s="6" t="s">
        <v>1771</v>
      </c>
      <c r="E207" s="3" t="s">
        <v>2365</v>
      </c>
      <c r="F207" s="3" t="s">
        <v>4223</v>
      </c>
      <c r="G207" s="3" t="str">
        <f t="shared" si="13"/>
        <v>SINGLE</v>
      </c>
      <c r="H207" s="197">
        <f t="shared" si="12"/>
        <v>8</v>
      </c>
      <c r="I207" s="197">
        <v>2</v>
      </c>
      <c r="J207" s="197">
        <v>17</v>
      </c>
      <c r="K207" s="186">
        <f t="shared" si="14"/>
        <v>45705</v>
      </c>
      <c r="N207" s="3" t="str">
        <f t="shared" si="15"/>
        <v/>
      </c>
    </row>
    <row r="208" spans="1:21">
      <c r="A208" s="3">
        <v>5447</v>
      </c>
      <c r="B208" s="82">
        <f t="array" ref="B208">SUM(--(FREQUENCY(IF(C$2:C$3071=C208, MATCH(D$2:D$3071, D$2:D$3071, 0)), ROW(D$2:D$3071)-ROW(D$2)+1) &gt; 0))</f>
        <v>102</v>
      </c>
      <c r="C208" s="3">
        <f>VLOOKUP(D208, [1]Sheet1!K:X, 14, FALSE)</f>
        <v>41200006</v>
      </c>
      <c r="D208" s="6" t="s">
        <v>1770</v>
      </c>
      <c r="E208" s="3" t="s">
        <v>2365</v>
      </c>
      <c r="F208" s="3" t="s">
        <v>4223</v>
      </c>
      <c r="G208" s="3" t="str">
        <f t="shared" si="13"/>
        <v>SINGLE</v>
      </c>
      <c r="H208" s="197">
        <f t="shared" si="12"/>
        <v>8</v>
      </c>
      <c r="I208" s="197">
        <v>2</v>
      </c>
      <c r="J208" s="197">
        <v>17</v>
      </c>
      <c r="K208" s="186">
        <f t="shared" si="14"/>
        <v>45705</v>
      </c>
      <c r="N208" s="3" t="str">
        <f t="shared" si="15"/>
        <v/>
      </c>
    </row>
    <row r="209" spans="1:21">
      <c r="A209" s="3">
        <v>5447</v>
      </c>
      <c r="B209" s="82">
        <f t="array" ref="B209">SUM(--(FREQUENCY(IF(C$2:C$3071=C209, MATCH(D$2:D$3071, D$2:D$3071, 0)), ROW(D$2:D$3071)-ROW(D$2)+1) &gt; 0))</f>
        <v>102</v>
      </c>
      <c r="C209" s="3">
        <f>VLOOKUP(D209, [1]Sheet1!K:X, 14, FALSE)</f>
        <v>41200006</v>
      </c>
      <c r="D209" s="6" t="s">
        <v>1769</v>
      </c>
      <c r="E209" s="3" t="s">
        <v>2365</v>
      </c>
      <c r="F209" s="3" t="s">
        <v>4223</v>
      </c>
      <c r="G209" s="3" t="str">
        <f t="shared" si="13"/>
        <v>SINGLE</v>
      </c>
      <c r="H209" s="197">
        <f t="shared" si="12"/>
        <v>8</v>
      </c>
      <c r="I209" s="197">
        <v>2</v>
      </c>
      <c r="J209" s="197">
        <v>17</v>
      </c>
      <c r="K209" s="186">
        <f t="shared" si="14"/>
        <v>45705</v>
      </c>
      <c r="N209" s="3" t="str">
        <f t="shared" si="15"/>
        <v/>
      </c>
    </row>
    <row r="210" spans="1:21">
      <c r="A210" s="3">
        <v>5447</v>
      </c>
      <c r="B210" s="82">
        <f t="array" ref="B210">SUM(--(FREQUENCY(IF(C$2:C$3071=C210, MATCH(D$2:D$3071, D$2:D$3071, 0)), ROW(D$2:D$3071)-ROW(D$2)+1) &gt; 0))</f>
        <v>102</v>
      </c>
      <c r="C210" s="3">
        <f>VLOOKUP(D210, [1]Sheet1!K:X, 14, FALSE)</f>
        <v>41200006</v>
      </c>
      <c r="D210" s="6" t="s">
        <v>4348</v>
      </c>
      <c r="E210" s="3" t="s">
        <v>2365</v>
      </c>
      <c r="F210" s="3" t="s">
        <v>4223</v>
      </c>
      <c r="G210" s="3" t="str">
        <f t="shared" si="13"/>
        <v>SINGLE</v>
      </c>
      <c r="H210" s="197">
        <f t="shared" si="12"/>
        <v>8</v>
      </c>
      <c r="I210" s="197">
        <v>2</v>
      </c>
      <c r="J210" s="197">
        <v>17</v>
      </c>
      <c r="K210" s="186">
        <f t="shared" si="14"/>
        <v>45705</v>
      </c>
      <c r="N210" s="3" t="str">
        <f t="shared" si="15"/>
        <v/>
      </c>
    </row>
    <row r="211" spans="1:21">
      <c r="A211" s="3">
        <v>5460</v>
      </c>
      <c r="B211" s="82">
        <f t="array" ref="B211">SUM(--(FREQUENCY(IF(C$2:C$3071=C211, MATCH(D$2:D$3071, D$2:D$3071, 0)), ROW(D$2:D$3071)-ROW(D$2)+1) &gt; 0))</f>
        <v>49</v>
      </c>
      <c r="C211" s="3">
        <f>VLOOKUP(D211, [1]Sheet1!K:X, 14, FALSE)</f>
        <v>41200005</v>
      </c>
      <c r="D211" s="6" t="s">
        <v>1761</v>
      </c>
      <c r="E211" s="3" t="s">
        <v>2365</v>
      </c>
      <c r="F211" s="3" t="s">
        <v>2380</v>
      </c>
      <c r="G211" s="3" t="str">
        <f t="shared" si="13"/>
        <v>SINGLE</v>
      </c>
      <c r="H211" s="197">
        <f t="shared" si="12"/>
        <v>8</v>
      </c>
      <c r="I211" s="197">
        <v>2</v>
      </c>
      <c r="J211" s="197">
        <v>17</v>
      </c>
      <c r="K211" s="186">
        <f t="shared" si="14"/>
        <v>45705</v>
      </c>
      <c r="N211" s="3" t="str">
        <f t="shared" si="15"/>
        <v/>
      </c>
    </row>
    <row r="212" spans="1:21">
      <c r="A212" s="3">
        <v>5460</v>
      </c>
      <c r="B212" s="82">
        <f t="array" ref="B212">SUM(--(FREQUENCY(IF(C$2:C$3071=C212, MATCH(D$2:D$3071, D$2:D$3071, 0)), ROW(D$2:D$3071)-ROW(D$2)+1) &gt; 0))</f>
        <v>49</v>
      </c>
      <c r="C212" s="3">
        <f>VLOOKUP(D212, [1]Sheet1!K:X, 14, FALSE)</f>
        <v>41200005</v>
      </c>
      <c r="D212" s="6" t="s">
        <v>1760</v>
      </c>
      <c r="E212" s="3" t="s">
        <v>2365</v>
      </c>
      <c r="F212" s="3" t="s">
        <v>2380</v>
      </c>
      <c r="G212" s="3" t="str">
        <f t="shared" si="13"/>
        <v>SINGLE</v>
      </c>
      <c r="H212" s="197">
        <f t="shared" si="12"/>
        <v>8</v>
      </c>
      <c r="I212" s="197">
        <v>2</v>
      </c>
      <c r="J212" s="197">
        <v>17</v>
      </c>
      <c r="K212" s="186">
        <f t="shared" si="14"/>
        <v>45705</v>
      </c>
      <c r="N212" s="3" t="str">
        <f t="shared" si="15"/>
        <v/>
      </c>
    </row>
    <row r="213" spans="1:21">
      <c r="A213" s="3">
        <v>5460</v>
      </c>
      <c r="B213" s="82">
        <f t="array" ref="B213">SUM(--(FREQUENCY(IF(C$2:C$3071=C213, MATCH(D$2:D$3071, D$2:D$3071, 0)), ROW(D$2:D$3071)-ROW(D$2)+1) &gt; 0))</f>
        <v>49</v>
      </c>
      <c r="C213" s="3">
        <f>VLOOKUP(D213, [1]Sheet1!K:X, 14, FALSE)</f>
        <v>41200005</v>
      </c>
      <c r="D213" s="6" t="s">
        <v>1759</v>
      </c>
      <c r="E213" s="3" t="s">
        <v>2365</v>
      </c>
      <c r="F213" s="3" t="s">
        <v>2380</v>
      </c>
      <c r="G213" s="3" t="str">
        <f t="shared" si="13"/>
        <v>SINGLE</v>
      </c>
      <c r="H213" s="197">
        <f t="shared" si="12"/>
        <v>8</v>
      </c>
      <c r="I213" s="197">
        <v>2</v>
      </c>
      <c r="J213" s="197">
        <v>17</v>
      </c>
      <c r="K213" s="186">
        <f t="shared" si="14"/>
        <v>45705</v>
      </c>
      <c r="N213" s="3" t="str">
        <f t="shared" si="15"/>
        <v/>
      </c>
    </row>
    <row r="214" spans="1:21">
      <c r="A214" s="3">
        <v>5460</v>
      </c>
      <c r="B214" s="82">
        <f t="array" ref="B214">SUM(--(FREQUENCY(IF(C$2:C$3071=C214, MATCH(D$2:D$3071, D$2:D$3071, 0)), ROW(D$2:D$3071)-ROW(D$2)+1) &gt; 0))</f>
        <v>49</v>
      </c>
      <c r="C214" s="3">
        <f>VLOOKUP(D214, [1]Sheet1!K:X, 14, FALSE)</f>
        <v>41200005</v>
      </c>
      <c r="D214" s="6" t="s">
        <v>4349</v>
      </c>
      <c r="E214" s="3" t="s">
        <v>2365</v>
      </c>
      <c r="F214" s="3" t="s">
        <v>2380</v>
      </c>
      <c r="G214" s="3" t="str">
        <f t="shared" si="13"/>
        <v>SINGLE</v>
      </c>
      <c r="H214" s="197">
        <f t="shared" si="12"/>
        <v>8</v>
      </c>
      <c r="I214" s="197">
        <v>2</v>
      </c>
      <c r="J214" s="197">
        <v>17</v>
      </c>
      <c r="K214" s="186">
        <f t="shared" si="14"/>
        <v>45705</v>
      </c>
      <c r="L214" s="3" t="s">
        <v>4104</v>
      </c>
      <c r="N214" s="3" t="str">
        <f t="shared" si="15"/>
        <v>NG</v>
      </c>
      <c r="O214" s="3" t="s">
        <v>1568</v>
      </c>
      <c r="Q214" s="3">
        <v>1100228300</v>
      </c>
      <c r="R214" s="3" t="s">
        <v>4105</v>
      </c>
      <c r="S214" s="3" t="s">
        <v>4350</v>
      </c>
      <c r="T214" s="3" t="s">
        <v>4209</v>
      </c>
    </row>
    <row r="215" spans="1:21">
      <c r="A215" s="14">
        <v>5347</v>
      </c>
      <c r="B215" s="82">
        <f t="array" ref="B215">SUM(--(FREQUENCY(IF(C$2:C$3071=C215, MATCH(D$2:D$3071, D$2:D$3071, 0)), ROW(D$2:D$3071)-ROW(D$2)+1) &gt; 0))</f>
        <v>44</v>
      </c>
      <c r="C215" s="14">
        <f>VLOOKUP(D215, [1]Sheet1!K:X, 14, FALSE)</f>
        <v>41200047</v>
      </c>
      <c r="D215" s="6" t="s">
        <v>4351</v>
      </c>
      <c r="E215" s="14" t="s">
        <v>4135</v>
      </c>
      <c r="F215" s="14" t="s">
        <v>4112</v>
      </c>
      <c r="G215" s="3" t="str">
        <f t="shared" si="13"/>
        <v>DUAL</v>
      </c>
      <c r="H215" s="197">
        <f t="shared" si="12"/>
        <v>8</v>
      </c>
      <c r="I215" s="201">
        <v>2</v>
      </c>
      <c r="J215" s="201">
        <v>17</v>
      </c>
      <c r="K215" s="186">
        <f t="shared" si="14"/>
        <v>45705</v>
      </c>
      <c r="L215" s="14" t="s">
        <v>4104</v>
      </c>
      <c r="M215" s="14"/>
      <c r="N215" s="3" t="str">
        <f t="shared" si="15"/>
        <v>NG</v>
      </c>
      <c r="O215" s="14" t="s">
        <v>1568</v>
      </c>
      <c r="P215" s="14"/>
      <c r="Q215" s="14"/>
      <c r="R215" s="14"/>
      <c r="S215" s="14" t="s">
        <v>4307</v>
      </c>
      <c r="T215" s="14"/>
      <c r="U215" s="14"/>
    </row>
    <row r="216" spans="1:21">
      <c r="A216" s="14">
        <v>5347</v>
      </c>
      <c r="B216" s="82">
        <f t="array" ref="B216">SUM(--(FREQUENCY(IF(C$2:C$3071=C216, MATCH(D$2:D$3071, D$2:D$3071, 0)), ROW(D$2:D$3071)-ROW(D$2)+1) &gt; 0))</f>
        <v>44</v>
      </c>
      <c r="C216" s="14">
        <f>VLOOKUP(D216, [1]Sheet1!K:X, 14, FALSE)</f>
        <v>41200047</v>
      </c>
      <c r="D216" s="6" t="s">
        <v>4351</v>
      </c>
      <c r="E216" s="14" t="s">
        <v>4135</v>
      </c>
      <c r="F216" s="14" t="s">
        <v>4112</v>
      </c>
      <c r="G216" s="3" t="str">
        <f t="shared" si="13"/>
        <v>DUAL</v>
      </c>
      <c r="H216" s="197">
        <f t="shared" si="12"/>
        <v>8</v>
      </c>
      <c r="I216" s="201">
        <v>2</v>
      </c>
      <c r="J216" s="201">
        <v>17</v>
      </c>
      <c r="K216" s="186">
        <f t="shared" si="14"/>
        <v>45705</v>
      </c>
      <c r="L216" s="14" t="s">
        <v>4104</v>
      </c>
      <c r="M216" s="14"/>
      <c r="N216" s="3" t="str">
        <f t="shared" si="15"/>
        <v>NG</v>
      </c>
      <c r="O216" s="14" t="s">
        <v>1568</v>
      </c>
      <c r="P216" s="14"/>
      <c r="Q216" s="14"/>
      <c r="R216" s="14"/>
      <c r="S216" s="14" t="s">
        <v>4352</v>
      </c>
      <c r="T216" s="14"/>
      <c r="U216" s="14"/>
    </row>
    <row r="217" spans="1:21">
      <c r="A217" s="3">
        <v>5399</v>
      </c>
      <c r="B217" s="82">
        <f t="array" ref="B217">SUM(--(FREQUENCY(IF(C$2:C$3071=C217, MATCH(D$2:D$3071, D$2:D$3071, 0)), ROW(D$2:D$3071)-ROW(D$2)+1) &gt; 0))</f>
        <v>6</v>
      </c>
      <c r="C217" s="3">
        <f>VLOOKUP(D217, [1]Sheet1!K:X, 14, FALSE)</f>
        <v>41100334</v>
      </c>
      <c r="D217" s="6" t="s">
        <v>4353</v>
      </c>
      <c r="E217" s="3" t="s">
        <v>4102</v>
      </c>
      <c r="F217" s="3" t="s">
        <v>4112</v>
      </c>
      <c r="G217" s="3" t="str">
        <f t="shared" si="13"/>
        <v>DUAL</v>
      </c>
      <c r="H217" s="197">
        <f t="shared" si="12"/>
        <v>8</v>
      </c>
      <c r="I217" s="197">
        <v>2</v>
      </c>
      <c r="J217" s="197">
        <v>17</v>
      </c>
      <c r="K217" s="186">
        <f t="shared" si="14"/>
        <v>45705</v>
      </c>
      <c r="N217" s="3" t="str">
        <f t="shared" si="15"/>
        <v/>
      </c>
    </row>
    <row r="218" spans="1:21" s="15" customFormat="1">
      <c r="A218" s="3">
        <v>5351</v>
      </c>
      <c r="B218" s="82">
        <f t="array" ref="B218">SUM(--(FREQUENCY(IF(C$2:C$3071=C218, MATCH(D$2:D$3071, D$2:D$3071, 0)), ROW(D$2:D$3071)-ROW(D$2)+1) &gt; 0))</f>
        <v>77</v>
      </c>
      <c r="C218" s="3">
        <f>VLOOKUP(D218, [1]Sheet1!K:X, 14, FALSE)</f>
        <v>41200076</v>
      </c>
      <c r="D218" s="6" t="s">
        <v>1757</v>
      </c>
      <c r="E218" s="3" t="s">
        <v>4102</v>
      </c>
      <c r="F218" s="3" t="s">
        <v>4112</v>
      </c>
      <c r="G218" s="3" t="str">
        <f t="shared" si="13"/>
        <v>DUAL</v>
      </c>
      <c r="H218" s="197">
        <f t="shared" si="12"/>
        <v>8</v>
      </c>
      <c r="I218" s="197">
        <v>2</v>
      </c>
      <c r="J218" s="197">
        <v>17</v>
      </c>
      <c r="K218" s="186">
        <f t="shared" si="14"/>
        <v>45705</v>
      </c>
      <c r="L218" s="3"/>
      <c r="M218" s="3"/>
      <c r="N218" s="3" t="str">
        <f t="shared" si="15"/>
        <v/>
      </c>
      <c r="O218" s="3"/>
      <c r="P218" s="3"/>
      <c r="Q218" s="3"/>
      <c r="R218" s="3"/>
      <c r="S218" s="3"/>
      <c r="T218" s="3"/>
      <c r="U218" s="3"/>
    </row>
    <row r="219" spans="1:21" s="15" customFormat="1">
      <c r="A219" s="3">
        <v>5351</v>
      </c>
      <c r="B219" s="82">
        <f t="array" ref="B219">SUM(--(FREQUENCY(IF(C$2:C$3071=C219, MATCH(D$2:D$3071, D$2:D$3071, 0)), ROW(D$2:D$3071)-ROW(D$2)+1) &gt; 0))</f>
        <v>77</v>
      </c>
      <c r="C219" s="3">
        <f>VLOOKUP(D219, [1]Sheet1!K:X, 14, FALSE)</f>
        <v>41200076</v>
      </c>
      <c r="D219" s="6" t="s">
        <v>4354</v>
      </c>
      <c r="E219" s="3" t="s">
        <v>4102</v>
      </c>
      <c r="F219" s="3" t="s">
        <v>4112</v>
      </c>
      <c r="G219" s="3" t="str">
        <f t="shared" si="13"/>
        <v>DUAL</v>
      </c>
      <c r="H219" s="197">
        <f t="shared" si="12"/>
        <v>8</v>
      </c>
      <c r="I219" s="197">
        <v>2</v>
      </c>
      <c r="J219" s="197">
        <v>17</v>
      </c>
      <c r="K219" s="186">
        <f t="shared" si="14"/>
        <v>45705</v>
      </c>
      <c r="L219" s="3"/>
      <c r="M219" s="3"/>
      <c r="N219" s="3" t="str">
        <f t="shared" si="15"/>
        <v/>
      </c>
      <c r="O219" s="3"/>
      <c r="P219" s="3"/>
      <c r="Q219" s="3"/>
      <c r="R219" s="3"/>
      <c r="S219" s="3"/>
      <c r="T219" s="3"/>
      <c r="U219" s="3"/>
    </row>
    <row r="220" spans="1:21">
      <c r="A220" s="3">
        <v>5459</v>
      </c>
      <c r="B220" s="82">
        <f t="array" ref="B220">SUM(--(FREQUENCY(IF(C$2:C$3071=C220, MATCH(D$2:D$3071, D$2:D$3071, 0)), ROW(D$2:D$3071)-ROW(D$2)+1) &gt; 0))</f>
        <v>102</v>
      </c>
      <c r="C220" s="3">
        <f>VLOOKUP(D220, [1]Sheet1!K:X, 14, FALSE)</f>
        <v>41200006</v>
      </c>
      <c r="D220" s="6" t="s">
        <v>1767</v>
      </c>
      <c r="E220" s="3" t="s">
        <v>2365</v>
      </c>
      <c r="F220" s="3" t="s">
        <v>4223</v>
      </c>
      <c r="G220" s="3" t="str">
        <f t="shared" si="13"/>
        <v>SINGLE</v>
      </c>
      <c r="H220" s="197">
        <f t="shared" si="12"/>
        <v>8</v>
      </c>
      <c r="I220" s="197">
        <v>2</v>
      </c>
      <c r="J220" s="197">
        <v>18</v>
      </c>
      <c r="K220" s="186">
        <f t="shared" si="14"/>
        <v>45706</v>
      </c>
      <c r="N220" s="3" t="str">
        <f t="shared" si="15"/>
        <v/>
      </c>
    </row>
    <row r="221" spans="1:21">
      <c r="A221" s="3">
        <v>5459</v>
      </c>
      <c r="B221" s="82">
        <f t="array" ref="B221">SUM(--(FREQUENCY(IF(C$2:C$3071=C221, MATCH(D$2:D$3071, D$2:D$3071, 0)), ROW(D$2:D$3071)-ROW(D$2)+1) &gt; 0))</f>
        <v>102</v>
      </c>
      <c r="C221" s="3">
        <f>VLOOKUP(D221, [1]Sheet1!K:X, 14, FALSE)</f>
        <v>41200006</v>
      </c>
      <c r="D221" s="6" t="s">
        <v>1766</v>
      </c>
      <c r="E221" s="3" t="s">
        <v>2365</v>
      </c>
      <c r="F221" s="3" t="s">
        <v>4223</v>
      </c>
      <c r="G221" s="3" t="str">
        <f t="shared" si="13"/>
        <v>SINGLE</v>
      </c>
      <c r="H221" s="197">
        <f t="shared" si="12"/>
        <v>8</v>
      </c>
      <c r="I221" s="197">
        <v>2</v>
      </c>
      <c r="J221" s="197">
        <v>18</v>
      </c>
      <c r="K221" s="186">
        <f t="shared" si="14"/>
        <v>45706</v>
      </c>
      <c r="N221" s="3" t="str">
        <f t="shared" si="15"/>
        <v/>
      </c>
    </row>
    <row r="222" spans="1:21">
      <c r="A222" s="3">
        <v>5459</v>
      </c>
      <c r="B222" s="82">
        <f t="array" ref="B222">SUM(--(FREQUENCY(IF(C$2:C$3071=C222, MATCH(D$2:D$3071, D$2:D$3071, 0)), ROW(D$2:D$3071)-ROW(D$2)+1) &gt; 0))</f>
        <v>102</v>
      </c>
      <c r="C222" s="3">
        <f>VLOOKUP(D222, [1]Sheet1!K:X, 14, FALSE)</f>
        <v>41200006</v>
      </c>
      <c r="D222" s="6" t="s">
        <v>1765</v>
      </c>
      <c r="E222" s="3" t="s">
        <v>2365</v>
      </c>
      <c r="F222" s="3" t="s">
        <v>4223</v>
      </c>
      <c r="G222" s="3" t="str">
        <f t="shared" si="13"/>
        <v>SINGLE</v>
      </c>
      <c r="H222" s="197">
        <f t="shared" si="12"/>
        <v>8</v>
      </c>
      <c r="I222" s="197">
        <v>2</v>
      </c>
      <c r="J222" s="197">
        <v>18</v>
      </c>
      <c r="K222" s="186">
        <f t="shared" si="14"/>
        <v>45706</v>
      </c>
      <c r="N222" s="3" t="str">
        <f t="shared" si="15"/>
        <v/>
      </c>
    </row>
    <row r="223" spans="1:21">
      <c r="A223" s="3">
        <v>5459</v>
      </c>
      <c r="B223" s="82">
        <f t="array" ref="B223">SUM(--(FREQUENCY(IF(C$2:C$3071=C223, MATCH(D$2:D$3071, D$2:D$3071, 0)), ROW(D$2:D$3071)-ROW(D$2)+1) &gt; 0))</f>
        <v>102</v>
      </c>
      <c r="C223" s="3">
        <f>VLOOKUP(D223, [1]Sheet1!K:X, 14, FALSE)</f>
        <v>41200006</v>
      </c>
      <c r="D223" s="6" t="s">
        <v>4355</v>
      </c>
      <c r="E223" s="3" t="s">
        <v>2365</v>
      </c>
      <c r="F223" s="3" t="s">
        <v>4223</v>
      </c>
      <c r="G223" s="3" t="str">
        <f t="shared" si="13"/>
        <v>SINGLE</v>
      </c>
      <c r="H223" s="197">
        <f t="shared" si="12"/>
        <v>8</v>
      </c>
      <c r="I223" s="197">
        <v>2</v>
      </c>
      <c r="J223" s="197">
        <v>18</v>
      </c>
      <c r="K223" s="186">
        <f t="shared" si="14"/>
        <v>45706</v>
      </c>
      <c r="N223" s="3" t="str">
        <f t="shared" si="15"/>
        <v/>
      </c>
    </row>
    <row r="224" spans="1:21">
      <c r="A224" s="14">
        <v>5348</v>
      </c>
      <c r="B224" s="82">
        <f t="array" ref="B224">SUM(--(FREQUENCY(IF(C$2:C$3071=C224, MATCH(D$2:D$3071, D$2:D$3071, 0)), ROW(D$2:D$3071)-ROW(D$2)+1) &gt; 0))</f>
        <v>22</v>
      </c>
      <c r="C224" s="14">
        <f>VLOOKUP(D224, [1]Sheet1!K:X, 14, FALSE)</f>
        <v>41200075</v>
      </c>
      <c r="D224" s="6" t="s">
        <v>1777</v>
      </c>
      <c r="E224" s="14" t="s">
        <v>4102</v>
      </c>
      <c r="F224" s="14" t="s">
        <v>4112</v>
      </c>
      <c r="G224" s="3" t="str">
        <f t="shared" si="13"/>
        <v>DUAL</v>
      </c>
      <c r="H224" s="197">
        <f t="shared" si="12"/>
        <v>8</v>
      </c>
      <c r="I224" s="201">
        <v>2</v>
      </c>
      <c r="J224" s="201">
        <v>18</v>
      </c>
      <c r="K224" s="186">
        <f t="shared" si="14"/>
        <v>45706</v>
      </c>
      <c r="L224" s="14" t="s">
        <v>4104</v>
      </c>
      <c r="M224" s="14"/>
      <c r="N224" s="3" t="str">
        <f t="shared" si="15"/>
        <v>NG</v>
      </c>
      <c r="O224" s="14" t="s">
        <v>1568</v>
      </c>
      <c r="P224" s="14"/>
      <c r="Q224" s="14">
        <v>1110179500</v>
      </c>
      <c r="R224" s="14" t="s">
        <v>473</v>
      </c>
      <c r="S224" s="14" t="s">
        <v>4356</v>
      </c>
      <c r="T224" s="14"/>
      <c r="U224" s="14"/>
    </row>
    <row r="225" spans="1:21">
      <c r="A225" s="14">
        <v>5348</v>
      </c>
      <c r="B225" s="82">
        <f t="array" ref="B225">SUM(--(FREQUENCY(IF(C$2:C$3071=C225, MATCH(D$2:D$3071, D$2:D$3071, 0)), ROW(D$2:D$3071)-ROW(D$2)+1) &gt; 0))</f>
        <v>22</v>
      </c>
      <c r="C225" s="14">
        <f>VLOOKUP(D225, [1]Sheet1!K:X, 14, FALSE)</f>
        <v>41200075</v>
      </c>
      <c r="D225" s="6" t="s">
        <v>1777</v>
      </c>
      <c r="E225" s="14" t="s">
        <v>4102</v>
      </c>
      <c r="F225" s="14" t="s">
        <v>4112</v>
      </c>
      <c r="G225" s="3" t="str">
        <f t="shared" si="13"/>
        <v>DUAL</v>
      </c>
      <c r="H225" s="197">
        <f t="shared" si="12"/>
        <v>8</v>
      </c>
      <c r="I225" s="201">
        <v>2</v>
      </c>
      <c r="J225" s="201">
        <v>18</v>
      </c>
      <c r="K225" s="186">
        <f t="shared" si="14"/>
        <v>45706</v>
      </c>
      <c r="L225" s="14" t="s">
        <v>4104</v>
      </c>
      <c r="M225" s="14"/>
      <c r="N225" s="3" t="str">
        <f t="shared" si="15"/>
        <v>NG</v>
      </c>
      <c r="O225" s="14" t="s">
        <v>1568</v>
      </c>
      <c r="P225" s="14"/>
      <c r="Q225" s="14">
        <v>1100228300</v>
      </c>
      <c r="R225" s="14" t="s">
        <v>4105</v>
      </c>
      <c r="S225" s="14" t="s">
        <v>4350</v>
      </c>
      <c r="T225" s="14" t="s">
        <v>4357</v>
      </c>
      <c r="U225" s="14"/>
    </row>
    <row r="226" spans="1:21">
      <c r="A226" s="3">
        <v>5348</v>
      </c>
      <c r="B226" s="82">
        <f t="array" ref="B226">SUM(--(FREQUENCY(IF(C$2:C$3071=C226, MATCH(D$2:D$3071, D$2:D$3071, 0)), ROW(D$2:D$3071)-ROW(D$2)+1) &gt; 0))</f>
        <v>22</v>
      </c>
      <c r="C226" s="3">
        <f>VLOOKUP(D226, [1]Sheet1!K:X, 14, FALSE)</f>
        <v>41200075</v>
      </c>
      <c r="D226" s="6" t="s">
        <v>1776</v>
      </c>
      <c r="E226" s="3" t="s">
        <v>4102</v>
      </c>
      <c r="F226" s="3" t="s">
        <v>4112</v>
      </c>
      <c r="G226" s="3" t="str">
        <f t="shared" si="13"/>
        <v>DUAL</v>
      </c>
      <c r="H226" s="197">
        <f t="shared" si="12"/>
        <v>8</v>
      </c>
      <c r="I226" s="197">
        <v>2</v>
      </c>
      <c r="J226" s="197">
        <v>18</v>
      </c>
      <c r="K226" s="186">
        <f t="shared" si="14"/>
        <v>45706</v>
      </c>
      <c r="L226" s="3" t="s">
        <v>4104</v>
      </c>
      <c r="N226" s="3" t="str">
        <f t="shared" si="15"/>
        <v>NG</v>
      </c>
      <c r="O226" s="3" t="s">
        <v>1568</v>
      </c>
      <c r="S226" s="3" t="s">
        <v>4356</v>
      </c>
    </row>
    <row r="227" spans="1:21">
      <c r="A227" s="3">
        <v>5348</v>
      </c>
      <c r="B227" s="82">
        <f t="array" ref="B227">SUM(--(FREQUENCY(IF(C$2:C$3071=C227, MATCH(D$2:D$3071, D$2:D$3071, 0)), ROW(D$2:D$3071)-ROW(D$2)+1) &gt; 0))</f>
        <v>22</v>
      </c>
      <c r="C227" s="3">
        <f>VLOOKUP(D227, [1]Sheet1!K:X, 14, FALSE)</f>
        <v>41200075</v>
      </c>
      <c r="D227" s="6" t="s">
        <v>4358</v>
      </c>
      <c r="E227" s="3" t="s">
        <v>4102</v>
      </c>
      <c r="F227" s="3" t="s">
        <v>4112</v>
      </c>
      <c r="G227" s="3" t="str">
        <f t="shared" si="13"/>
        <v>DUAL</v>
      </c>
      <c r="H227" s="197">
        <f t="shared" si="12"/>
        <v>8</v>
      </c>
      <c r="I227" s="197">
        <v>2</v>
      </c>
      <c r="J227" s="197">
        <v>18</v>
      </c>
      <c r="K227" s="186">
        <f t="shared" si="14"/>
        <v>45706</v>
      </c>
      <c r="N227" s="3" t="str">
        <f t="shared" si="15"/>
        <v/>
      </c>
    </row>
    <row r="228" spans="1:21" s="15" customFormat="1">
      <c r="A228" s="3">
        <v>5351</v>
      </c>
      <c r="B228" s="82">
        <f t="array" ref="B228">SUM(--(FREQUENCY(IF(C$2:C$3071=C228, MATCH(D$2:D$3071, D$2:D$3071, 0)), ROW(D$2:D$3071)-ROW(D$2)+1) &gt; 0))</f>
        <v>77</v>
      </c>
      <c r="C228" s="3">
        <f>VLOOKUP(D228, [1]Sheet1!K:X, 14, FALSE)</f>
        <v>41200076</v>
      </c>
      <c r="D228" s="6" t="s">
        <v>1774</v>
      </c>
      <c r="E228" s="3" t="s">
        <v>4102</v>
      </c>
      <c r="F228" s="3" t="s">
        <v>4112</v>
      </c>
      <c r="G228" s="3" t="str">
        <f t="shared" si="13"/>
        <v>DUAL</v>
      </c>
      <c r="H228" s="197">
        <f t="shared" si="12"/>
        <v>8</v>
      </c>
      <c r="I228" s="197">
        <v>2</v>
      </c>
      <c r="J228" s="197">
        <v>18</v>
      </c>
      <c r="K228" s="186">
        <f t="shared" si="14"/>
        <v>45706</v>
      </c>
      <c r="L228" s="3"/>
      <c r="M228" s="3"/>
      <c r="N228" s="3" t="str">
        <f t="shared" si="15"/>
        <v/>
      </c>
      <c r="O228" s="3"/>
      <c r="P228" s="3"/>
      <c r="Q228" s="3"/>
      <c r="R228" s="3"/>
      <c r="S228" s="3"/>
      <c r="T228" s="3"/>
      <c r="U228" s="3"/>
    </row>
    <row r="229" spans="1:21" s="15" customFormat="1">
      <c r="A229" s="3">
        <v>5351</v>
      </c>
      <c r="B229" s="82">
        <f t="array" ref="B229">SUM(--(FREQUENCY(IF(C$2:C$3071=C229, MATCH(D$2:D$3071, D$2:D$3071, 0)), ROW(D$2:D$3071)-ROW(D$2)+1) &gt; 0))</f>
        <v>77</v>
      </c>
      <c r="C229" s="3">
        <f>VLOOKUP(D229, [1]Sheet1!K:X, 14, FALSE)</f>
        <v>41200076</v>
      </c>
      <c r="D229" s="6" t="s">
        <v>4359</v>
      </c>
      <c r="E229" s="3" t="s">
        <v>4102</v>
      </c>
      <c r="F229" s="3" t="s">
        <v>4112</v>
      </c>
      <c r="G229" s="3" t="str">
        <f t="shared" si="13"/>
        <v>DUAL</v>
      </c>
      <c r="H229" s="197">
        <f t="shared" si="12"/>
        <v>8</v>
      </c>
      <c r="I229" s="197">
        <v>2</v>
      </c>
      <c r="J229" s="197">
        <v>18</v>
      </c>
      <c r="K229" s="186">
        <f t="shared" si="14"/>
        <v>45706</v>
      </c>
      <c r="L229" s="3"/>
      <c r="M229" s="3"/>
      <c r="N229" s="3" t="str">
        <f t="shared" si="15"/>
        <v/>
      </c>
      <c r="O229" s="3"/>
      <c r="P229" s="3"/>
      <c r="Q229" s="3"/>
      <c r="R229" s="3"/>
      <c r="S229" s="3"/>
      <c r="T229" s="3"/>
      <c r="U229" s="3"/>
    </row>
    <row r="230" spans="1:21" s="15" customFormat="1">
      <c r="A230" s="3">
        <v>5449</v>
      </c>
      <c r="B230" s="82">
        <f t="array" ref="B230">SUM(--(FREQUENCY(IF(C$2:C$3071=C230, MATCH(D$2:D$3071, D$2:D$3071, 0)), ROW(D$2:D$3071)-ROW(D$2)+1) &gt; 0))</f>
        <v>14</v>
      </c>
      <c r="C230" s="3">
        <f>VLOOKUP(D230, [1]Sheet1!K:X, 14, FALSE)</f>
        <v>41200118</v>
      </c>
      <c r="D230" s="6" t="s">
        <v>1784</v>
      </c>
      <c r="E230" s="3" t="s">
        <v>4360</v>
      </c>
      <c r="F230" s="3" t="s">
        <v>2380</v>
      </c>
      <c r="G230" s="3" t="str">
        <f t="shared" si="13"/>
        <v>SINGLE</v>
      </c>
      <c r="H230" s="197">
        <f t="shared" si="12"/>
        <v>8</v>
      </c>
      <c r="I230" s="197">
        <v>2</v>
      </c>
      <c r="J230" s="197">
        <v>19</v>
      </c>
      <c r="K230" s="186">
        <f t="shared" si="14"/>
        <v>45707</v>
      </c>
      <c r="L230" s="3"/>
      <c r="M230" s="3"/>
      <c r="N230" s="3" t="str">
        <f t="shared" si="15"/>
        <v/>
      </c>
      <c r="O230" s="3"/>
      <c r="P230" s="3"/>
      <c r="Q230" s="3"/>
      <c r="R230" s="3"/>
      <c r="S230" s="3"/>
      <c r="T230" s="3"/>
      <c r="U230" s="3"/>
    </row>
    <row r="231" spans="1:21" s="15" customFormat="1">
      <c r="A231" s="3">
        <v>5449</v>
      </c>
      <c r="B231" s="82">
        <f t="array" ref="B231">SUM(--(FREQUENCY(IF(C$2:C$3071=C231, MATCH(D$2:D$3071, D$2:D$3071, 0)), ROW(D$2:D$3071)-ROW(D$2)+1) &gt; 0))</f>
        <v>14</v>
      </c>
      <c r="C231" s="3">
        <f>VLOOKUP(D231, [1]Sheet1!K:X, 14, FALSE)</f>
        <v>41200118</v>
      </c>
      <c r="D231" s="6" t="s">
        <v>1783</v>
      </c>
      <c r="E231" s="3" t="s">
        <v>4360</v>
      </c>
      <c r="F231" s="3" t="s">
        <v>2380</v>
      </c>
      <c r="G231" s="3" t="str">
        <f t="shared" si="13"/>
        <v>SINGLE</v>
      </c>
      <c r="H231" s="197">
        <f t="shared" si="12"/>
        <v>8</v>
      </c>
      <c r="I231" s="197">
        <v>2</v>
      </c>
      <c r="J231" s="197">
        <v>19</v>
      </c>
      <c r="K231" s="186">
        <f t="shared" si="14"/>
        <v>45707</v>
      </c>
      <c r="L231" s="3"/>
      <c r="M231" s="3"/>
      <c r="N231" s="3" t="str">
        <f t="shared" si="15"/>
        <v/>
      </c>
      <c r="O231" s="3"/>
      <c r="P231" s="3"/>
      <c r="Q231" s="3"/>
      <c r="R231" s="3"/>
      <c r="S231" s="3"/>
      <c r="T231" s="3"/>
      <c r="U231" s="3"/>
    </row>
    <row r="232" spans="1:21">
      <c r="A232" s="3">
        <v>5449</v>
      </c>
      <c r="B232" s="82">
        <f t="array" ref="B232">SUM(--(FREQUENCY(IF(C$2:C$3071=C232, MATCH(D$2:D$3071, D$2:D$3071, 0)), ROW(D$2:D$3071)-ROW(D$2)+1) &gt; 0))</f>
        <v>14</v>
      </c>
      <c r="C232" s="3">
        <f>VLOOKUP(D232, [1]Sheet1!K:X, 14, FALSE)</f>
        <v>41200118</v>
      </c>
      <c r="D232" s="6" t="s">
        <v>4361</v>
      </c>
      <c r="E232" s="3" t="s">
        <v>4360</v>
      </c>
      <c r="F232" s="3" t="s">
        <v>2380</v>
      </c>
      <c r="G232" s="3" t="str">
        <f t="shared" si="13"/>
        <v>SINGLE</v>
      </c>
      <c r="H232" s="197">
        <f t="shared" si="12"/>
        <v>8</v>
      </c>
      <c r="I232" s="197">
        <v>2</v>
      </c>
      <c r="J232" s="197">
        <v>19</v>
      </c>
      <c r="K232" s="186">
        <f t="shared" si="14"/>
        <v>45707</v>
      </c>
      <c r="N232" s="3" t="str">
        <f t="shared" si="15"/>
        <v/>
      </c>
    </row>
    <row r="233" spans="1:21">
      <c r="A233" s="3">
        <v>5449</v>
      </c>
      <c r="B233" s="82">
        <f t="array" ref="B233">SUM(--(FREQUENCY(IF(C$2:C$3071=C233, MATCH(D$2:D$3071, D$2:D$3071, 0)), ROW(D$2:D$3071)-ROW(D$2)+1) &gt; 0))</f>
        <v>14</v>
      </c>
      <c r="C233" s="3">
        <f>VLOOKUP(D233, [1]Sheet1!K:X, 14, FALSE)</f>
        <v>41200118</v>
      </c>
      <c r="D233" s="6" t="s">
        <v>1781</v>
      </c>
      <c r="E233" s="3" t="s">
        <v>4360</v>
      </c>
      <c r="F233" s="3" t="s">
        <v>2380</v>
      </c>
      <c r="G233" s="3" t="str">
        <f t="shared" si="13"/>
        <v>SINGLE</v>
      </c>
      <c r="H233" s="197">
        <f t="shared" si="12"/>
        <v>8</v>
      </c>
      <c r="I233" s="197">
        <v>2</v>
      </c>
      <c r="J233" s="197">
        <v>19</v>
      </c>
      <c r="K233" s="186">
        <f t="shared" si="14"/>
        <v>45707</v>
      </c>
      <c r="N233" s="3" t="str">
        <f t="shared" si="15"/>
        <v/>
      </c>
    </row>
    <row r="234" spans="1:21">
      <c r="A234" s="3">
        <v>5449</v>
      </c>
      <c r="B234" s="82">
        <f t="array" ref="B234">SUM(--(FREQUENCY(IF(C$2:C$3071=C234, MATCH(D$2:D$3071, D$2:D$3071, 0)), ROW(D$2:D$3071)-ROW(D$2)+1) &gt; 0))</f>
        <v>14</v>
      </c>
      <c r="C234" s="3">
        <f>VLOOKUP(D234, [1]Sheet1!K:X, 14, FALSE)</f>
        <v>41200118</v>
      </c>
      <c r="D234" s="6" t="s">
        <v>1780</v>
      </c>
      <c r="E234" s="3" t="s">
        <v>4360</v>
      </c>
      <c r="F234" s="3" t="s">
        <v>2380</v>
      </c>
      <c r="G234" s="3" t="str">
        <f t="shared" si="13"/>
        <v>SINGLE</v>
      </c>
      <c r="H234" s="197">
        <f t="shared" si="12"/>
        <v>8</v>
      </c>
      <c r="I234" s="197">
        <v>2</v>
      </c>
      <c r="J234" s="197">
        <v>19</v>
      </c>
      <c r="K234" s="186">
        <f t="shared" si="14"/>
        <v>45707</v>
      </c>
      <c r="N234" s="3" t="str">
        <f t="shared" si="15"/>
        <v/>
      </c>
    </row>
    <row r="235" spans="1:21">
      <c r="A235" s="3">
        <v>5449</v>
      </c>
      <c r="B235" s="82">
        <f t="array" ref="B235">SUM(--(FREQUENCY(IF(C$2:C$3071=C235, MATCH(D$2:D$3071, D$2:D$3071, 0)), ROW(D$2:D$3071)-ROW(D$2)+1) &gt; 0))</f>
        <v>14</v>
      </c>
      <c r="C235" s="3">
        <f>VLOOKUP(D235, [1]Sheet1!K:X, 14, FALSE)</f>
        <v>41200118</v>
      </c>
      <c r="D235" s="6" t="s">
        <v>4362</v>
      </c>
      <c r="E235" s="3" t="s">
        <v>4360</v>
      </c>
      <c r="F235" s="3" t="s">
        <v>2380</v>
      </c>
      <c r="G235" s="3" t="str">
        <f t="shared" si="13"/>
        <v>SINGLE</v>
      </c>
      <c r="H235" s="197">
        <f t="shared" si="12"/>
        <v>8</v>
      </c>
      <c r="I235" s="197">
        <v>2</v>
      </c>
      <c r="J235" s="197">
        <v>19</v>
      </c>
      <c r="K235" s="186">
        <f t="shared" si="14"/>
        <v>45707</v>
      </c>
      <c r="L235" s="3" t="s">
        <v>4104</v>
      </c>
      <c r="N235" s="3" t="str">
        <f t="shared" si="15"/>
        <v>NG</v>
      </c>
      <c r="O235" s="3" t="s">
        <v>1568</v>
      </c>
      <c r="S235" s="3" t="s">
        <v>4363</v>
      </c>
    </row>
    <row r="236" spans="1:21">
      <c r="A236" s="3">
        <v>5350</v>
      </c>
      <c r="B236" s="82">
        <f t="array" ref="B236">SUM(--(FREQUENCY(IF(C$2:C$3071=C236, MATCH(D$2:D$3071, D$2:D$3071, 0)), ROW(D$2:D$3071)-ROW(D$2)+1) &gt; 0))</f>
        <v>19</v>
      </c>
      <c r="C236" s="3">
        <f>VLOOKUP(D236, [1]Sheet1!K:X, 14, FALSE)</f>
        <v>41100320</v>
      </c>
      <c r="D236" s="6" t="s">
        <v>4364</v>
      </c>
      <c r="E236" s="3" t="s">
        <v>4102</v>
      </c>
      <c r="F236" s="3" t="s">
        <v>4112</v>
      </c>
      <c r="G236" s="3" t="str">
        <f t="shared" si="13"/>
        <v>DUAL</v>
      </c>
      <c r="H236" s="197">
        <f t="shared" si="12"/>
        <v>8</v>
      </c>
      <c r="I236" s="197">
        <v>2</v>
      </c>
      <c r="J236" s="197">
        <v>19</v>
      </c>
      <c r="K236" s="186">
        <f t="shared" si="14"/>
        <v>45707</v>
      </c>
      <c r="L236" s="3" t="s">
        <v>2381</v>
      </c>
      <c r="N236" s="3" t="str">
        <f t="shared" si="15"/>
        <v>NG</v>
      </c>
      <c r="O236" s="3" t="s">
        <v>1568</v>
      </c>
      <c r="Q236" s="3">
        <v>1100228300</v>
      </c>
      <c r="R236" s="3" t="s">
        <v>4105</v>
      </c>
      <c r="S236" s="3" t="s">
        <v>4365</v>
      </c>
      <c r="T236" s="3" t="s">
        <v>4107</v>
      </c>
    </row>
    <row r="237" spans="1:21">
      <c r="A237" s="3">
        <v>5350</v>
      </c>
      <c r="B237" s="82">
        <f t="array" ref="B237">SUM(--(FREQUENCY(IF(C$2:C$3071=C237, MATCH(D$2:D$3071, D$2:D$3071, 0)), ROW(D$2:D$3071)-ROW(D$2)+1) &gt; 0))</f>
        <v>19</v>
      </c>
      <c r="C237" s="3">
        <f>VLOOKUP(D237, [1]Sheet1!K:X, 14, FALSE)</f>
        <v>41100320</v>
      </c>
      <c r="D237" s="6" t="s">
        <v>1790</v>
      </c>
      <c r="E237" s="3" t="s">
        <v>4102</v>
      </c>
      <c r="F237" s="3" t="s">
        <v>4112</v>
      </c>
      <c r="G237" s="3" t="str">
        <f t="shared" si="13"/>
        <v>DUAL</v>
      </c>
      <c r="H237" s="197">
        <f t="shared" si="12"/>
        <v>8</v>
      </c>
      <c r="I237" s="197">
        <v>2</v>
      </c>
      <c r="J237" s="197">
        <v>19</v>
      </c>
      <c r="K237" s="186">
        <f t="shared" si="14"/>
        <v>45707</v>
      </c>
      <c r="N237" s="3" t="str">
        <f t="shared" si="15"/>
        <v/>
      </c>
    </row>
    <row r="238" spans="1:21">
      <c r="A238" s="3">
        <v>5350</v>
      </c>
      <c r="B238" s="82">
        <f t="array" ref="B238">SUM(--(FREQUENCY(IF(C$2:C$3071=C238, MATCH(D$2:D$3071, D$2:D$3071, 0)), ROW(D$2:D$3071)-ROW(D$2)+1) &gt; 0))</f>
        <v>19</v>
      </c>
      <c r="C238" s="3">
        <f>VLOOKUP(D238, [1]Sheet1!K:X, 14, FALSE)</f>
        <v>41100320</v>
      </c>
      <c r="D238" s="6" t="s">
        <v>4366</v>
      </c>
      <c r="E238" s="3" t="s">
        <v>4102</v>
      </c>
      <c r="F238" s="3" t="s">
        <v>4112</v>
      </c>
      <c r="G238" s="3" t="str">
        <f t="shared" si="13"/>
        <v>DUAL</v>
      </c>
      <c r="H238" s="197">
        <f t="shared" si="12"/>
        <v>8</v>
      </c>
      <c r="I238" s="197">
        <v>2</v>
      </c>
      <c r="J238" s="197">
        <v>19</v>
      </c>
      <c r="K238" s="186">
        <f t="shared" si="14"/>
        <v>45707</v>
      </c>
      <c r="N238" s="3" t="str">
        <f t="shared" si="15"/>
        <v/>
      </c>
    </row>
    <row r="239" spans="1:21">
      <c r="A239" s="14">
        <v>5389</v>
      </c>
      <c r="B239" s="82">
        <f t="array" ref="B239">SUM(--(FREQUENCY(IF(C$2:C$3071=C239, MATCH(D$2:D$3071, D$2:D$3071, 0)), ROW(D$2:D$3071)-ROW(D$2)+1) &gt; 0))</f>
        <v>5</v>
      </c>
      <c r="C239" s="14">
        <f>VLOOKUP(D239, [1]Sheet1!K:X, 14, FALSE)</f>
        <v>41000587</v>
      </c>
      <c r="D239" s="6" t="s">
        <v>4367</v>
      </c>
      <c r="E239" s="14" t="s">
        <v>2365</v>
      </c>
      <c r="F239" s="14" t="s">
        <v>4130</v>
      </c>
      <c r="G239" s="3" t="str">
        <f t="shared" si="13"/>
        <v>DUAL</v>
      </c>
      <c r="H239" s="197">
        <f t="shared" si="12"/>
        <v>8</v>
      </c>
      <c r="I239" s="201">
        <v>2</v>
      </c>
      <c r="J239" s="201">
        <v>19</v>
      </c>
      <c r="K239" s="186">
        <f t="shared" si="14"/>
        <v>45707</v>
      </c>
      <c r="L239" s="14" t="s">
        <v>4104</v>
      </c>
      <c r="M239" s="14"/>
      <c r="N239" s="3" t="str">
        <f t="shared" si="15"/>
        <v>NG</v>
      </c>
      <c r="O239" s="14" t="s">
        <v>1568</v>
      </c>
      <c r="P239" s="14"/>
      <c r="Q239" s="14"/>
      <c r="R239" s="14"/>
      <c r="S239" s="14" t="s">
        <v>4207</v>
      </c>
      <c r="T239" s="14"/>
      <c r="U239" s="14"/>
    </row>
    <row r="240" spans="1:21">
      <c r="A240" s="14">
        <v>5389</v>
      </c>
      <c r="B240" s="82">
        <f t="array" ref="B240">SUM(--(FREQUENCY(IF(C$2:C$3071=C240, MATCH(D$2:D$3071, D$2:D$3071, 0)), ROW(D$2:D$3071)-ROW(D$2)+1) &gt; 0))</f>
        <v>5</v>
      </c>
      <c r="C240" s="14">
        <f>VLOOKUP(D240, [1]Sheet1!K:X, 14, FALSE)</f>
        <v>41000587</v>
      </c>
      <c r="D240" s="6" t="s">
        <v>4367</v>
      </c>
      <c r="E240" s="14" t="s">
        <v>2365</v>
      </c>
      <c r="F240" s="14" t="s">
        <v>4130</v>
      </c>
      <c r="G240" s="3" t="str">
        <f t="shared" si="13"/>
        <v>DUAL</v>
      </c>
      <c r="H240" s="197">
        <f t="shared" si="12"/>
        <v>8</v>
      </c>
      <c r="I240" s="201">
        <v>2</v>
      </c>
      <c r="J240" s="201">
        <v>19</v>
      </c>
      <c r="K240" s="186">
        <f t="shared" si="14"/>
        <v>45707</v>
      </c>
      <c r="L240" s="14" t="s">
        <v>4104</v>
      </c>
      <c r="M240" s="14"/>
      <c r="N240" s="3" t="str">
        <f t="shared" si="15"/>
        <v>NG</v>
      </c>
      <c r="O240" s="14" t="s">
        <v>1568</v>
      </c>
      <c r="P240" s="14"/>
      <c r="Q240" s="14"/>
      <c r="R240" s="14"/>
      <c r="S240" s="14" t="s">
        <v>4368</v>
      </c>
      <c r="T240" s="14"/>
      <c r="U240" s="14"/>
    </row>
    <row r="241" spans="1:21">
      <c r="A241" s="34">
        <v>5354</v>
      </c>
      <c r="B241" s="82">
        <f t="array" ref="B241">SUM(--(FREQUENCY(IF(C$2:C$3071=C241, MATCH(D$2:D$3071, D$2:D$3071, 0)), ROW(D$2:D$3071)-ROW(D$2)+1) &gt; 0))</f>
        <v>33</v>
      </c>
      <c r="C241" s="6">
        <f>VLOOKUP(D241, [1]Sheet1!K:X, 14, FALSE)</f>
        <v>41100435</v>
      </c>
      <c r="D241" s="34" t="s">
        <v>4369</v>
      </c>
      <c r="E241" s="34" t="s">
        <v>4102</v>
      </c>
      <c r="F241" s="34" t="s">
        <v>4103</v>
      </c>
      <c r="G241" s="6" t="str">
        <f t="shared" si="13"/>
        <v>SINGLE</v>
      </c>
      <c r="H241" s="197">
        <f t="shared" si="12"/>
        <v>8</v>
      </c>
      <c r="I241" s="202">
        <v>2</v>
      </c>
      <c r="J241" s="202">
        <v>20</v>
      </c>
      <c r="K241" s="186">
        <f t="shared" si="14"/>
        <v>45708</v>
      </c>
      <c r="L241" s="34" t="s">
        <v>4104</v>
      </c>
      <c r="M241" s="34"/>
      <c r="N241" s="3" t="str">
        <f t="shared" si="15"/>
        <v>NG</v>
      </c>
      <c r="O241" s="34" t="s">
        <v>1568</v>
      </c>
      <c r="P241" s="34"/>
      <c r="Q241" s="34"/>
      <c r="R241" s="34"/>
      <c r="S241" s="34" t="s">
        <v>4370</v>
      </c>
      <c r="T241" s="34"/>
      <c r="U241" s="34"/>
    </row>
    <row r="242" spans="1:21">
      <c r="A242" s="3">
        <v>5354</v>
      </c>
      <c r="B242" s="82">
        <f t="array" ref="B242">SUM(--(FREQUENCY(IF(C$2:C$3071=C242, MATCH(D$2:D$3071, D$2:D$3071, 0)), ROW(D$2:D$3071)-ROW(D$2)+1) &gt; 0))</f>
        <v>33</v>
      </c>
      <c r="C242" s="3">
        <f>VLOOKUP(D242, [1]Sheet1!K:X, 14, FALSE)</f>
        <v>41100435</v>
      </c>
      <c r="D242" s="6" t="s">
        <v>4371</v>
      </c>
      <c r="E242" s="3" t="s">
        <v>4102</v>
      </c>
      <c r="F242" s="3" t="s">
        <v>4103</v>
      </c>
      <c r="G242" s="3" t="str">
        <f t="shared" si="13"/>
        <v>SINGLE</v>
      </c>
      <c r="H242" s="197">
        <f t="shared" si="12"/>
        <v>8</v>
      </c>
      <c r="I242" s="197">
        <v>2</v>
      </c>
      <c r="J242" s="197">
        <v>20</v>
      </c>
      <c r="K242" s="186">
        <f t="shared" si="14"/>
        <v>45708</v>
      </c>
      <c r="L242" s="3" t="s">
        <v>4104</v>
      </c>
      <c r="N242" s="3" t="str">
        <f t="shared" si="15"/>
        <v>NG</v>
      </c>
      <c r="O242" s="3" t="s">
        <v>1568</v>
      </c>
      <c r="Q242" s="3">
        <v>1100273700</v>
      </c>
      <c r="R242" s="3" t="s">
        <v>4131</v>
      </c>
      <c r="S242" s="3" t="s">
        <v>4372</v>
      </c>
    </row>
    <row r="243" spans="1:21">
      <c r="A243" s="3">
        <v>5387</v>
      </c>
      <c r="B243" s="82">
        <f t="array" ref="B243">SUM(--(FREQUENCY(IF(C$2:C$3071=C243, MATCH(D$2:D$3071, D$2:D$3071, 0)), ROW(D$2:D$3071)-ROW(D$2)+1) &gt; 0))</f>
        <v>144</v>
      </c>
      <c r="C243" s="3">
        <f>VLOOKUP(D243, [1]Sheet1!K:X, 14, FALSE)</f>
        <v>41200007</v>
      </c>
      <c r="D243" s="6" t="s">
        <v>1798</v>
      </c>
      <c r="E243" s="3" t="s">
        <v>2365</v>
      </c>
      <c r="F243" s="3" t="s">
        <v>2380</v>
      </c>
      <c r="G243" s="3" t="str">
        <f t="shared" si="13"/>
        <v>SINGLE</v>
      </c>
      <c r="H243" s="197">
        <f t="shared" si="12"/>
        <v>8</v>
      </c>
      <c r="I243" s="197">
        <v>2</v>
      </c>
      <c r="J243" s="197">
        <v>20</v>
      </c>
      <c r="K243" s="186">
        <f t="shared" si="14"/>
        <v>45708</v>
      </c>
      <c r="N243" s="3" t="str">
        <f t="shared" si="15"/>
        <v/>
      </c>
    </row>
    <row r="244" spans="1:21">
      <c r="A244" s="3">
        <v>5387</v>
      </c>
      <c r="B244" s="82">
        <f t="array" ref="B244">SUM(--(FREQUENCY(IF(C$2:C$3071=C244, MATCH(D$2:D$3071, D$2:D$3071, 0)), ROW(D$2:D$3071)-ROW(D$2)+1) &gt; 0))</f>
        <v>144</v>
      </c>
      <c r="C244" s="3">
        <f>VLOOKUP(D244, [1]Sheet1!K:X, 14, FALSE)</f>
        <v>41200007</v>
      </c>
      <c r="D244" s="6" t="s">
        <v>1797</v>
      </c>
      <c r="E244" s="3" t="s">
        <v>2365</v>
      </c>
      <c r="F244" s="3" t="s">
        <v>2380</v>
      </c>
      <c r="G244" s="3" t="str">
        <f t="shared" si="13"/>
        <v>SINGLE</v>
      </c>
      <c r="H244" s="197">
        <f t="shared" si="12"/>
        <v>8</v>
      </c>
      <c r="I244" s="197">
        <v>2</v>
      </c>
      <c r="J244" s="197">
        <v>20</v>
      </c>
      <c r="K244" s="186">
        <f t="shared" si="14"/>
        <v>45708</v>
      </c>
      <c r="N244" s="3" t="str">
        <f t="shared" si="15"/>
        <v/>
      </c>
    </row>
    <row r="245" spans="1:21">
      <c r="A245" s="3">
        <v>5387</v>
      </c>
      <c r="B245" s="82">
        <f t="array" ref="B245">SUM(--(FREQUENCY(IF(C$2:C$3071=C245, MATCH(D$2:D$3071, D$2:D$3071, 0)), ROW(D$2:D$3071)-ROW(D$2)+1) &gt; 0))</f>
        <v>144</v>
      </c>
      <c r="C245" s="3">
        <f>VLOOKUP(D245, [1]Sheet1!K:X, 14, FALSE)</f>
        <v>41200007</v>
      </c>
      <c r="D245" s="6" t="s">
        <v>1796</v>
      </c>
      <c r="E245" s="3" t="s">
        <v>2365</v>
      </c>
      <c r="F245" s="3" t="s">
        <v>2380</v>
      </c>
      <c r="G245" s="3" t="str">
        <f t="shared" si="13"/>
        <v>SINGLE</v>
      </c>
      <c r="H245" s="197">
        <f t="shared" si="12"/>
        <v>8</v>
      </c>
      <c r="I245" s="197">
        <v>2</v>
      </c>
      <c r="J245" s="197">
        <v>20</v>
      </c>
      <c r="K245" s="186">
        <f t="shared" si="14"/>
        <v>45708</v>
      </c>
      <c r="N245" s="3" t="str">
        <f t="shared" si="15"/>
        <v/>
      </c>
    </row>
    <row r="246" spans="1:21">
      <c r="A246" s="3">
        <v>5387</v>
      </c>
      <c r="B246" s="82">
        <f t="array" ref="B246">SUM(--(FREQUENCY(IF(C$2:C$3071=C246, MATCH(D$2:D$3071, D$2:D$3071, 0)), ROW(D$2:D$3071)-ROW(D$2)+1) &gt; 0))</f>
        <v>144</v>
      </c>
      <c r="C246" s="3">
        <f>VLOOKUP(D246, [1]Sheet1!K:X, 14, FALSE)</f>
        <v>41200007</v>
      </c>
      <c r="D246" s="6" t="s">
        <v>4373</v>
      </c>
      <c r="E246" s="3" t="s">
        <v>2365</v>
      </c>
      <c r="F246" s="3" t="s">
        <v>2380</v>
      </c>
      <c r="G246" s="3" t="str">
        <f t="shared" si="13"/>
        <v>SINGLE</v>
      </c>
      <c r="H246" s="197">
        <f t="shared" si="12"/>
        <v>8</v>
      </c>
      <c r="I246" s="197">
        <v>2</v>
      </c>
      <c r="J246" s="197">
        <v>20</v>
      </c>
      <c r="K246" s="186">
        <f t="shared" si="14"/>
        <v>45708</v>
      </c>
      <c r="L246" s="3" t="s">
        <v>2381</v>
      </c>
      <c r="N246" s="3" t="str">
        <f t="shared" si="15"/>
        <v>NG</v>
      </c>
      <c r="O246" s="3" t="s">
        <v>1568</v>
      </c>
      <c r="Q246" s="3">
        <v>1100228300</v>
      </c>
      <c r="R246" s="3" t="s">
        <v>4105</v>
      </c>
      <c r="S246" s="3" t="s">
        <v>4350</v>
      </c>
      <c r="T246" s="3" t="s">
        <v>4209</v>
      </c>
    </row>
    <row r="247" spans="1:21">
      <c r="A247" s="3">
        <v>5459</v>
      </c>
      <c r="B247" s="82">
        <f t="array" ref="B247">SUM(--(FREQUENCY(IF(C$2:C$3071=C247, MATCH(D$2:D$3071, D$2:D$3071, 0)), ROW(D$2:D$3071)-ROW(D$2)+1) &gt; 0))</f>
        <v>102</v>
      </c>
      <c r="C247" s="3">
        <f>VLOOKUP(D247, [1]Sheet1!K:X, 14, FALSE)</f>
        <v>41200006</v>
      </c>
      <c r="D247" s="6" t="s">
        <v>1822</v>
      </c>
      <c r="E247" s="3" t="s">
        <v>2365</v>
      </c>
      <c r="F247" s="3" t="s">
        <v>4223</v>
      </c>
      <c r="G247" s="3" t="str">
        <f t="shared" si="13"/>
        <v>SINGLE</v>
      </c>
      <c r="H247" s="197">
        <f t="shared" si="12"/>
        <v>8</v>
      </c>
      <c r="I247" s="197">
        <v>2</v>
      </c>
      <c r="J247" s="197">
        <v>20</v>
      </c>
      <c r="K247" s="186">
        <f t="shared" si="14"/>
        <v>45708</v>
      </c>
      <c r="N247" s="3" t="str">
        <f t="shared" si="15"/>
        <v/>
      </c>
    </row>
    <row r="248" spans="1:21">
      <c r="A248" s="3">
        <v>5459</v>
      </c>
      <c r="B248" s="82">
        <f t="array" ref="B248">SUM(--(FREQUENCY(IF(C$2:C$3071=C248, MATCH(D$2:D$3071, D$2:D$3071, 0)), ROW(D$2:D$3071)-ROW(D$2)+1) &gt; 0))</f>
        <v>102</v>
      </c>
      <c r="C248" s="3">
        <f>VLOOKUP(D248, [1]Sheet1!K:X, 14, FALSE)</f>
        <v>41200006</v>
      </c>
      <c r="D248" s="6" t="s">
        <v>1821</v>
      </c>
      <c r="E248" s="3" t="s">
        <v>2365</v>
      </c>
      <c r="F248" s="3" t="s">
        <v>4223</v>
      </c>
      <c r="G248" s="3" t="str">
        <f t="shared" si="13"/>
        <v>SINGLE</v>
      </c>
      <c r="H248" s="197">
        <f t="shared" si="12"/>
        <v>8</v>
      </c>
      <c r="I248" s="197">
        <v>2</v>
      </c>
      <c r="J248" s="197">
        <v>20</v>
      </c>
      <c r="K248" s="186">
        <f t="shared" si="14"/>
        <v>45708</v>
      </c>
      <c r="N248" s="3" t="str">
        <f t="shared" si="15"/>
        <v/>
      </c>
    </row>
    <row r="249" spans="1:21">
      <c r="A249" s="3">
        <v>5459</v>
      </c>
      <c r="B249" s="82">
        <f t="array" ref="B249">SUM(--(FREQUENCY(IF(C$2:C$3071=C249, MATCH(D$2:D$3071, D$2:D$3071, 0)), ROW(D$2:D$3071)-ROW(D$2)+1) &gt; 0))</f>
        <v>102</v>
      </c>
      <c r="C249" s="3">
        <f>VLOOKUP(D249, [1]Sheet1!K:X, 14, FALSE)</f>
        <v>41200006</v>
      </c>
      <c r="D249" s="6" t="s">
        <v>4374</v>
      </c>
      <c r="E249" s="3" t="s">
        <v>2365</v>
      </c>
      <c r="F249" s="3" t="s">
        <v>4223</v>
      </c>
      <c r="G249" s="3" t="str">
        <f t="shared" si="13"/>
        <v>SINGLE</v>
      </c>
      <c r="H249" s="197">
        <f t="shared" si="12"/>
        <v>8</v>
      </c>
      <c r="I249" s="197">
        <v>2</v>
      </c>
      <c r="J249" s="197">
        <v>20</v>
      </c>
      <c r="K249" s="186">
        <f t="shared" si="14"/>
        <v>45708</v>
      </c>
      <c r="N249" s="3" t="str">
        <f t="shared" si="15"/>
        <v/>
      </c>
    </row>
    <row r="250" spans="1:21">
      <c r="A250" s="3">
        <v>5459</v>
      </c>
      <c r="B250" s="82">
        <f t="array" ref="B250">SUM(--(FREQUENCY(IF(C$2:C$3071=C250, MATCH(D$2:D$3071, D$2:D$3071, 0)), ROW(D$2:D$3071)-ROW(D$2)+1) &gt; 0))</f>
        <v>102</v>
      </c>
      <c r="C250" s="3">
        <f>VLOOKUP(D250, [1]Sheet1!K:X, 14, FALSE)</f>
        <v>41200006</v>
      </c>
      <c r="D250" s="6" t="s">
        <v>1788</v>
      </c>
      <c r="E250" s="3" t="s">
        <v>2365</v>
      </c>
      <c r="F250" s="3" t="s">
        <v>4223</v>
      </c>
      <c r="G250" s="3" t="str">
        <f t="shared" si="13"/>
        <v>SINGLE</v>
      </c>
      <c r="H250" s="197">
        <f t="shared" si="12"/>
        <v>8</v>
      </c>
      <c r="I250" s="197">
        <v>2</v>
      </c>
      <c r="J250" s="197">
        <v>20</v>
      </c>
      <c r="K250" s="186">
        <f t="shared" si="14"/>
        <v>45708</v>
      </c>
      <c r="N250" s="3" t="str">
        <f t="shared" si="15"/>
        <v/>
      </c>
    </row>
    <row r="251" spans="1:21">
      <c r="A251" s="3">
        <v>5459</v>
      </c>
      <c r="B251" s="82">
        <f t="array" ref="B251">SUM(--(FREQUENCY(IF(C$2:C$3071=C251, MATCH(D$2:D$3071, D$2:D$3071, 0)), ROW(D$2:D$3071)-ROW(D$2)+1) &gt; 0))</f>
        <v>102</v>
      </c>
      <c r="C251" s="3">
        <f>VLOOKUP(D251, [1]Sheet1!K:X, 14, FALSE)</f>
        <v>41200006</v>
      </c>
      <c r="D251" s="6" t="s">
        <v>1787</v>
      </c>
      <c r="E251" s="3" t="s">
        <v>2365</v>
      </c>
      <c r="F251" s="3" t="s">
        <v>4223</v>
      </c>
      <c r="G251" s="3" t="str">
        <f t="shared" si="13"/>
        <v>SINGLE</v>
      </c>
      <c r="H251" s="197">
        <f t="shared" si="12"/>
        <v>8</v>
      </c>
      <c r="I251" s="197">
        <v>2</v>
      </c>
      <c r="J251" s="197">
        <v>20</v>
      </c>
      <c r="K251" s="186">
        <f t="shared" si="14"/>
        <v>45708</v>
      </c>
      <c r="N251" s="3" t="str">
        <f t="shared" si="15"/>
        <v/>
      </c>
    </row>
    <row r="252" spans="1:21" s="18" customFormat="1">
      <c r="A252" s="3">
        <v>5459</v>
      </c>
      <c r="B252" s="82">
        <f t="array" ref="B252">SUM(--(FREQUENCY(IF(C$2:C$3071=C252, MATCH(D$2:D$3071, D$2:D$3071, 0)), ROW(D$2:D$3071)-ROW(D$2)+1) &gt; 0))</f>
        <v>102</v>
      </c>
      <c r="C252" s="3">
        <f>VLOOKUP(D252, [1]Sheet1!K:X, 14, FALSE)</f>
        <v>41200006</v>
      </c>
      <c r="D252" s="6" t="s">
        <v>4375</v>
      </c>
      <c r="E252" s="3" t="s">
        <v>2365</v>
      </c>
      <c r="F252" s="3" t="s">
        <v>4223</v>
      </c>
      <c r="G252" s="3" t="str">
        <f t="shared" si="13"/>
        <v>SINGLE</v>
      </c>
      <c r="H252" s="197">
        <f t="shared" si="12"/>
        <v>8</v>
      </c>
      <c r="I252" s="197">
        <v>2</v>
      </c>
      <c r="J252" s="197">
        <v>20</v>
      </c>
      <c r="K252" s="186">
        <f t="shared" si="14"/>
        <v>45708</v>
      </c>
      <c r="L252" s="3"/>
      <c r="M252" s="3"/>
      <c r="N252" s="3" t="str">
        <f t="shared" si="15"/>
        <v/>
      </c>
      <c r="O252" s="3"/>
      <c r="P252" s="3"/>
      <c r="Q252" s="3"/>
      <c r="R252" s="3"/>
      <c r="S252" s="3"/>
      <c r="T252" s="3"/>
      <c r="U252" s="3"/>
    </row>
    <row r="253" spans="1:21" s="19" customFormat="1">
      <c r="A253" s="3">
        <v>5428</v>
      </c>
      <c r="B253" s="82">
        <f t="array" ref="B253">SUM(--(FREQUENCY(IF(C$2:C$3071=C253, MATCH(D$2:D$3071, D$2:D$3071, 0)), ROW(D$2:D$3071)-ROW(D$2)+1) &gt; 0))</f>
        <v>1</v>
      </c>
      <c r="C253" s="3">
        <f>VLOOKUP(D253, [1]Sheet1!K:X, 14, FALSE)</f>
        <v>41200107</v>
      </c>
      <c r="D253" s="6" t="s">
        <v>4376</v>
      </c>
      <c r="E253" s="3" t="s">
        <v>4109</v>
      </c>
      <c r="F253" s="3" t="s">
        <v>1393</v>
      </c>
      <c r="G253" s="3" t="str">
        <f t="shared" si="13"/>
        <v>DUAL</v>
      </c>
      <c r="H253" s="197">
        <f t="shared" si="12"/>
        <v>8</v>
      </c>
      <c r="I253" s="197">
        <v>2</v>
      </c>
      <c r="J253" s="197">
        <v>21</v>
      </c>
      <c r="K253" s="186">
        <f t="shared" si="14"/>
        <v>45709</v>
      </c>
      <c r="L253" s="3"/>
      <c r="M253" s="3"/>
      <c r="N253" s="3" t="str">
        <f t="shared" si="15"/>
        <v/>
      </c>
      <c r="O253" s="3"/>
      <c r="P253" s="3"/>
      <c r="Q253" s="3"/>
      <c r="R253" s="3"/>
      <c r="S253" s="3"/>
      <c r="T253" s="3"/>
      <c r="U253" s="3"/>
    </row>
    <row r="254" spans="1:21" s="19" customFormat="1">
      <c r="A254" s="3">
        <v>5471</v>
      </c>
      <c r="B254" s="82">
        <f t="array" ref="B254">SUM(--(FREQUENCY(IF(C$2:C$3071=C254, MATCH(D$2:D$3071, D$2:D$3071, 0)), ROW(D$2:D$3071)-ROW(D$2)+1) &gt; 0))</f>
        <v>20</v>
      </c>
      <c r="C254" s="3">
        <f>VLOOKUP(D254, [1]Sheet1!K:X, 14, FALSE)</f>
        <v>41200033</v>
      </c>
      <c r="D254" s="6" t="s">
        <v>1809</v>
      </c>
      <c r="E254" s="3" t="s">
        <v>4135</v>
      </c>
      <c r="F254" s="3" t="s">
        <v>4112</v>
      </c>
      <c r="G254" s="3" t="str">
        <f t="shared" si="13"/>
        <v>DUAL</v>
      </c>
      <c r="H254" s="197">
        <f t="shared" si="12"/>
        <v>8</v>
      </c>
      <c r="I254" s="197">
        <v>2</v>
      </c>
      <c r="J254" s="197">
        <v>21</v>
      </c>
      <c r="K254" s="186">
        <f t="shared" si="14"/>
        <v>45709</v>
      </c>
      <c r="L254" s="3" t="s">
        <v>4104</v>
      </c>
      <c r="M254" s="3"/>
      <c r="N254" s="3" t="str">
        <f t="shared" si="15"/>
        <v>NG</v>
      </c>
      <c r="O254" s="3" t="s">
        <v>1568</v>
      </c>
      <c r="P254" s="3"/>
      <c r="Q254" s="3">
        <v>1100219800</v>
      </c>
      <c r="R254" s="3" t="s">
        <v>4377</v>
      </c>
      <c r="S254" s="3" t="s">
        <v>4378</v>
      </c>
      <c r="T254" s="3"/>
      <c r="U254" s="3"/>
    </row>
    <row r="255" spans="1:21">
      <c r="A255" s="3">
        <v>5471</v>
      </c>
      <c r="B255" s="82">
        <f t="array" ref="B255">SUM(--(FREQUENCY(IF(C$2:C$3071=C255, MATCH(D$2:D$3071, D$2:D$3071, 0)), ROW(D$2:D$3071)-ROW(D$2)+1) &gt; 0))</f>
        <v>2</v>
      </c>
      <c r="C255" s="3">
        <f>VLOOKUP(D255, [1]Sheet1!K:X, 14, FALSE)</f>
        <v>41200035</v>
      </c>
      <c r="D255" s="6" t="s">
        <v>4379</v>
      </c>
      <c r="E255" s="3" t="s">
        <v>4135</v>
      </c>
      <c r="F255" s="3" t="s">
        <v>4112</v>
      </c>
      <c r="G255" s="3" t="str">
        <f t="shared" si="13"/>
        <v>DUAL</v>
      </c>
      <c r="H255" s="197">
        <f t="shared" si="12"/>
        <v>8</v>
      </c>
      <c r="I255" s="197">
        <v>2</v>
      </c>
      <c r="J255" s="197">
        <v>21</v>
      </c>
      <c r="K255" s="186">
        <f t="shared" si="14"/>
        <v>45709</v>
      </c>
      <c r="N255" s="3" t="str">
        <f t="shared" si="15"/>
        <v/>
      </c>
    </row>
    <row r="256" spans="1:21">
      <c r="A256" s="3">
        <v>5387</v>
      </c>
      <c r="B256" s="82">
        <f t="array" ref="B256">SUM(--(FREQUENCY(IF(C$2:C$3071=C256, MATCH(D$2:D$3071, D$2:D$3071, 0)), ROW(D$2:D$3071)-ROW(D$2)+1) &gt; 0))</f>
        <v>15</v>
      </c>
      <c r="C256" s="3">
        <f>VLOOKUP(D256, [1]Sheet1!K:X, 14, FALSE)</f>
        <v>41200087</v>
      </c>
      <c r="D256" s="6" t="s">
        <v>4380</v>
      </c>
      <c r="E256" s="3" t="s">
        <v>4264</v>
      </c>
      <c r="F256" s="3" t="s">
        <v>4112</v>
      </c>
      <c r="G256" s="3" t="str">
        <f t="shared" si="13"/>
        <v>DUAL</v>
      </c>
      <c r="H256" s="197">
        <f t="shared" si="12"/>
        <v>8</v>
      </c>
      <c r="I256" s="197">
        <v>2</v>
      </c>
      <c r="J256" s="197">
        <v>21</v>
      </c>
      <c r="K256" s="186">
        <f t="shared" si="14"/>
        <v>45709</v>
      </c>
      <c r="N256" s="3" t="str">
        <f t="shared" si="15"/>
        <v/>
      </c>
    </row>
    <row r="257" spans="1:21">
      <c r="A257" s="3">
        <v>5357</v>
      </c>
      <c r="B257" s="82">
        <f t="array" ref="B257">SUM(--(FREQUENCY(IF(C$2:C$3071=C257, MATCH(D$2:D$3071, D$2:D$3071, 0)), ROW(D$2:D$3071)-ROW(D$2)+1) &gt; 0))</f>
        <v>15</v>
      </c>
      <c r="C257" s="3">
        <f>VLOOKUP(D257, [1]Sheet1!K:X, 14, FALSE)</f>
        <v>41200087</v>
      </c>
      <c r="D257" s="6" t="s">
        <v>4381</v>
      </c>
      <c r="E257" s="3" t="s">
        <v>4264</v>
      </c>
      <c r="F257" s="3" t="s">
        <v>4112</v>
      </c>
      <c r="G257" s="3" t="str">
        <f t="shared" si="13"/>
        <v>DUAL</v>
      </c>
      <c r="H257" s="197">
        <f t="shared" ref="H257:H320" si="16">WEEKNUM(K257)</f>
        <v>8</v>
      </c>
      <c r="I257" s="197">
        <v>2</v>
      </c>
      <c r="J257" s="197">
        <v>21</v>
      </c>
      <c r="K257" s="186">
        <f t="shared" si="14"/>
        <v>45709</v>
      </c>
      <c r="N257" s="3" t="str">
        <f t="shared" si="15"/>
        <v/>
      </c>
    </row>
    <row r="258" spans="1:21">
      <c r="A258" s="6">
        <v>5495</v>
      </c>
      <c r="B258" s="82">
        <f t="array" ref="B258">SUM(--(FREQUENCY(IF(C$2:C$3071=C258, MATCH(D$2:D$3071, D$2:D$3071, 0)), ROW(D$2:D$3071)-ROW(D$2)+1) &gt; 0))</f>
        <v>2</v>
      </c>
      <c r="C258" s="6">
        <v>41200126</v>
      </c>
      <c r="D258" s="6" t="s">
        <v>1801</v>
      </c>
      <c r="E258" s="6" t="s">
        <v>2365</v>
      </c>
      <c r="F258" s="6" t="s">
        <v>4112</v>
      </c>
      <c r="G258" s="6" t="str">
        <f t="shared" ref="G258:G321" si="17">IF(OR(ISNUMBER(SEARCH("DUAL",F258)), ISNUMBER(SEARCH("IVAS",F258))), "DUAL", "SINGLE")</f>
        <v>DUAL</v>
      </c>
      <c r="H258" s="197">
        <f t="shared" si="16"/>
        <v>8</v>
      </c>
      <c r="I258" s="199">
        <v>2</v>
      </c>
      <c r="J258" s="199">
        <v>21</v>
      </c>
      <c r="K258" s="186">
        <f t="shared" ref="K258:K321" si="18">DATE(2025, I258, J258)</f>
        <v>45709</v>
      </c>
      <c r="L258" s="6"/>
      <c r="M258" s="6"/>
      <c r="N258" s="3" t="str">
        <f t="shared" ref="N258:N321" si="19">IF(O258&lt;&gt;"", "NG", "")</f>
        <v/>
      </c>
      <c r="O258" s="6"/>
      <c r="P258" s="6"/>
      <c r="Q258" s="6"/>
      <c r="R258" s="6"/>
      <c r="S258" s="6"/>
      <c r="T258" s="6"/>
      <c r="U258" s="6"/>
    </row>
    <row r="259" spans="1:21">
      <c r="A259" s="6">
        <v>5495</v>
      </c>
      <c r="B259" s="82">
        <f t="array" ref="B259">SUM(--(FREQUENCY(IF(C$2:C$3071=C259, MATCH(D$2:D$3071, D$2:D$3071, 0)), ROW(D$2:D$3071)-ROW(D$2)+1) &gt; 0))</f>
        <v>2</v>
      </c>
      <c r="C259" s="6">
        <v>41200126</v>
      </c>
      <c r="D259" s="6" t="s">
        <v>4382</v>
      </c>
      <c r="E259" s="6" t="s">
        <v>2365</v>
      </c>
      <c r="F259" s="6" t="s">
        <v>4112</v>
      </c>
      <c r="G259" s="6" t="str">
        <f t="shared" si="17"/>
        <v>DUAL</v>
      </c>
      <c r="H259" s="197">
        <f t="shared" si="16"/>
        <v>8</v>
      </c>
      <c r="I259" s="199">
        <v>2</v>
      </c>
      <c r="J259" s="199">
        <v>21</v>
      </c>
      <c r="K259" s="186">
        <f t="shared" si="18"/>
        <v>45709</v>
      </c>
      <c r="L259" s="6"/>
      <c r="M259" s="6"/>
      <c r="N259" s="3" t="str">
        <f t="shared" si="19"/>
        <v/>
      </c>
      <c r="O259" s="6"/>
      <c r="P259" s="6"/>
      <c r="Q259" s="6"/>
      <c r="R259" s="6"/>
      <c r="S259" s="6"/>
      <c r="T259" s="6"/>
      <c r="U259" s="6"/>
    </row>
    <row r="260" spans="1:21" s="19" customFormat="1">
      <c r="A260" s="3">
        <v>5462</v>
      </c>
      <c r="B260" s="82">
        <f t="array" ref="B260">SUM(--(FREQUENCY(IF(C$2:C$3071=C260, MATCH(D$2:D$3071, D$2:D$3071, 0)), ROW(D$2:D$3071)-ROW(D$2)+1) &gt; 0))</f>
        <v>16</v>
      </c>
      <c r="C260" s="3">
        <f>VLOOKUP(D260, [1]Sheet1!K:X, 14, FALSE)</f>
        <v>41200096</v>
      </c>
      <c r="D260" s="6" t="s">
        <v>4383</v>
      </c>
      <c r="E260" s="3" t="s">
        <v>4326</v>
      </c>
      <c r="F260" s="3" t="s">
        <v>4119</v>
      </c>
      <c r="G260" s="3" t="str">
        <f t="shared" si="17"/>
        <v>SINGLE</v>
      </c>
      <c r="H260" s="197">
        <f t="shared" si="16"/>
        <v>9</v>
      </c>
      <c r="I260" s="197">
        <v>2</v>
      </c>
      <c r="J260" s="197">
        <v>24</v>
      </c>
      <c r="K260" s="186">
        <f t="shared" si="18"/>
        <v>45712</v>
      </c>
      <c r="L260" s="3" t="s">
        <v>2381</v>
      </c>
      <c r="M260" s="3"/>
      <c r="N260" s="3" t="str">
        <f t="shared" si="19"/>
        <v>NG</v>
      </c>
      <c r="O260" s="3" t="s">
        <v>1568</v>
      </c>
      <c r="P260" s="3"/>
      <c r="Q260" s="3">
        <v>1100379400</v>
      </c>
      <c r="R260" s="3" t="s">
        <v>103</v>
      </c>
      <c r="S260" s="3" t="s">
        <v>4384</v>
      </c>
      <c r="T260" s="3"/>
      <c r="U260" s="3"/>
    </row>
    <row r="261" spans="1:21">
      <c r="A261" s="3">
        <v>5460</v>
      </c>
      <c r="B261" s="82">
        <f t="array" ref="B261">SUM(--(FREQUENCY(IF(C$2:C$3071=C261, MATCH(D$2:D$3071, D$2:D$3071, 0)), ROW(D$2:D$3071)-ROW(D$2)+1) &gt; 0))</f>
        <v>49</v>
      </c>
      <c r="C261" s="3">
        <f>VLOOKUP(D261, [1]Sheet1!K:X, 14, FALSE)</f>
        <v>41200005</v>
      </c>
      <c r="D261" s="6" t="s">
        <v>1804</v>
      </c>
      <c r="E261" s="3" t="s">
        <v>2365</v>
      </c>
      <c r="F261" s="3" t="s">
        <v>2380</v>
      </c>
      <c r="G261" s="3" t="str">
        <f t="shared" si="17"/>
        <v>SINGLE</v>
      </c>
      <c r="H261" s="197">
        <f t="shared" si="16"/>
        <v>9</v>
      </c>
      <c r="I261" s="197">
        <v>2</v>
      </c>
      <c r="J261" s="197">
        <v>24</v>
      </c>
      <c r="K261" s="186">
        <f t="shared" si="18"/>
        <v>45712</v>
      </c>
      <c r="N261" s="3" t="str">
        <f t="shared" si="19"/>
        <v/>
      </c>
    </row>
    <row r="262" spans="1:21">
      <c r="A262" s="3">
        <v>5460</v>
      </c>
      <c r="B262" s="82">
        <f t="array" ref="B262">SUM(--(FREQUENCY(IF(C$2:C$3071=C262, MATCH(D$2:D$3071, D$2:D$3071, 0)), ROW(D$2:D$3071)-ROW(D$2)+1) &gt; 0))</f>
        <v>49</v>
      </c>
      <c r="C262" s="3">
        <f>VLOOKUP(D262, [1]Sheet1!K:X, 14, FALSE)</f>
        <v>41200005</v>
      </c>
      <c r="D262" s="6" t="s">
        <v>4385</v>
      </c>
      <c r="E262" s="3" t="s">
        <v>2365</v>
      </c>
      <c r="F262" s="3" t="s">
        <v>2380</v>
      </c>
      <c r="G262" s="3" t="str">
        <f t="shared" si="17"/>
        <v>SINGLE</v>
      </c>
      <c r="H262" s="197">
        <f t="shared" si="16"/>
        <v>9</v>
      </c>
      <c r="I262" s="197">
        <v>2</v>
      </c>
      <c r="J262" s="197">
        <v>24</v>
      </c>
      <c r="K262" s="186">
        <f t="shared" si="18"/>
        <v>45712</v>
      </c>
      <c r="N262" s="3" t="str">
        <f t="shared" si="19"/>
        <v/>
      </c>
    </row>
    <row r="263" spans="1:21">
      <c r="A263" s="3">
        <v>5449</v>
      </c>
      <c r="B263" s="82">
        <f t="array" ref="B263">SUM(--(FREQUENCY(IF(C$2:C$3071=C263, MATCH(D$2:D$3071, D$2:D$3071, 0)), ROW(D$2:D$3071)-ROW(D$2)+1) &gt; 0))</f>
        <v>14</v>
      </c>
      <c r="C263" s="3">
        <f>VLOOKUP(D263, [1]Sheet1!K:X, 14, FALSE)</f>
        <v>41200118</v>
      </c>
      <c r="D263" s="6" t="s">
        <v>1834</v>
      </c>
      <c r="E263" s="3" t="s">
        <v>4360</v>
      </c>
      <c r="F263" s="3" t="s">
        <v>2380</v>
      </c>
      <c r="G263" s="3" t="str">
        <f t="shared" si="17"/>
        <v>SINGLE</v>
      </c>
      <c r="H263" s="197">
        <f t="shared" si="16"/>
        <v>9</v>
      </c>
      <c r="I263" s="197">
        <v>2</v>
      </c>
      <c r="J263" s="197">
        <v>24</v>
      </c>
      <c r="K263" s="186">
        <f t="shared" si="18"/>
        <v>45712</v>
      </c>
      <c r="N263" s="3" t="str">
        <f t="shared" si="19"/>
        <v/>
      </c>
    </row>
    <row r="264" spans="1:21">
      <c r="A264" s="3">
        <v>5449</v>
      </c>
      <c r="B264" s="82">
        <f t="array" ref="B264">SUM(--(FREQUENCY(IF(C$2:C$3071=C264, MATCH(D$2:D$3071, D$2:D$3071, 0)), ROW(D$2:D$3071)-ROW(D$2)+1) &gt; 0))</f>
        <v>14</v>
      </c>
      <c r="C264" s="3">
        <f>VLOOKUP(D264, [1]Sheet1!K:X, 14, FALSE)</f>
        <v>41200118</v>
      </c>
      <c r="D264" s="6" t="s">
        <v>1820</v>
      </c>
      <c r="E264" s="3" t="s">
        <v>4360</v>
      </c>
      <c r="F264" s="3" t="s">
        <v>2380</v>
      </c>
      <c r="G264" s="3" t="str">
        <f t="shared" si="17"/>
        <v>SINGLE</v>
      </c>
      <c r="H264" s="197">
        <f t="shared" si="16"/>
        <v>9</v>
      </c>
      <c r="I264" s="197">
        <v>2</v>
      </c>
      <c r="J264" s="197">
        <v>24</v>
      </c>
      <c r="K264" s="186">
        <f t="shared" si="18"/>
        <v>45712</v>
      </c>
      <c r="N264" s="3" t="str">
        <f t="shared" si="19"/>
        <v/>
      </c>
    </row>
    <row r="265" spans="1:21">
      <c r="A265" s="3">
        <v>5449</v>
      </c>
      <c r="B265" s="82">
        <f t="array" ref="B265">SUM(--(FREQUENCY(IF(C$2:C$3071=C265, MATCH(D$2:D$3071, D$2:D$3071, 0)), ROW(D$2:D$3071)-ROW(D$2)+1) &gt; 0))</f>
        <v>14</v>
      </c>
      <c r="C265" s="3">
        <f>VLOOKUP(D265, [1]Sheet1!K:X, 14, FALSE)</f>
        <v>41200118</v>
      </c>
      <c r="D265" s="6" t="s">
        <v>1833</v>
      </c>
      <c r="E265" s="3" t="s">
        <v>4360</v>
      </c>
      <c r="F265" s="3" t="s">
        <v>2380</v>
      </c>
      <c r="G265" s="3" t="str">
        <f t="shared" si="17"/>
        <v>SINGLE</v>
      </c>
      <c r="H265" s="197">
        <f t="shared" si="16"/>
        <v>9</v>
      </c>
      <c r="I265" s="197">
        <v>2</v>
      </c>
      <c r="J265" s="197">
        <v>24</v>
      </c>
      <c r="K265" s="186">
        <f t="shared" si="18"/>
        <v>45712</v>
      </c>
      <c r="N265" s="3" t="str">
        <f t="shared" si="19"/>
        <v/>
      </c>
    </row>
    <row r="266" spans="1:21">
      <c r="A266" s="3">
        <v>5449</v>
      </c>
      <c r="B266" s="82">
        <f t="array" ref="B266">SUM(--(FREQUENCY(IF(C$2:C$3071=C266, MATCH(D$2:D$3071, D$2:D$3071, 0)), ROW(D$2:D$3071)-ROW(D$2)+1) &gt; 0))</f>
        <v>14</v>
      </c>
      <c r="C266" s="3">
        <f>VLOOKUP(D266, [1]Sheet1!K:X, 14, FALSE)</f>
        <v>41200118</v>
      </c>
      <c r="D266" s="6" t="s">
        <v>4386</v>
      </c>
      <c r="E266" s="3" t="s">
        <v>4360</v>
      </c>
      <c r="F266" s="3" t="s">
        <v>2380</v>
      </c>
      <c r="G266" s="3" t="str">
        <f t="shared" si="17"/>
        <v>SINGLE</v>
      </c>
      <c r="H266" s="197">
        <f t="shared" si="16"/>
        <v>9</v>
      </c>
      <c r="I266" s="197">
        <v>2</v>
      </c>
      <c r="J266" s="197">
        <v>24</v>
      </c>
      <c r="K266" s="186">
        <f t="shared" si="18"/>
        <v>45712</v>
      </c>
      <c r="N266" s="3" t="str">
        <f t="shared" si="19"/>
        <v/>
      </c>
    </row>
    <row r="267" spans="1:21">
      <c r="A267" s="3">
        <v>5450</v>
      </c>
      <c r="B267" s="82">
        <f t="array" ref="B267">SUM(--(FREQUENCY(IF(C$2:C$3071=C267, MATCH(D$2:D$3071, D$2:D$3071, 0)), ROW(D$2:D$3071)-ROW(D$2)+1) &gt; 0))</f>
        <v>6</v>
      </c>
      <c r="C267" s="3">
        <f>VLOOKUP(D267, [1]Sheet1!K:X, 14, FALSE)</f>
        <v>41200084</v>
      </c>
      <c r="D267" s="6" t="s">
        <v>4387</v>
      </c>
      <c r="E267" s="3" t="s">
        <v>4360</v>
      </c>
      <c r="F267" s="3" t="s">
        <v>4223</v>
      </c>
      <c r="G267" s="3" t="str">
        <f t="shared" si="17"/>
        <v>SINGLE</v>
      </c>
      <c r="H267" s="197">
        <f t="shared" si="16"/>
        <v>9</v>
      </c>
      <c r="I267" s="197">
        <v>2</v>
      </c>
      <c r="J267" s="197">
        <v>24</v>
      </c>
      <c r="K267" s="186">
        <f t="shared" si="18"/>
        <v>45712</v>
      </c>
      <c r="N267" s="3" t="str">
        <f t="shared" si="19"/>
        <v/>
      </c>
    </row>
    <row r="268" spans="1:21">
      <c r="A268" s="3">
        <v>5450</v>
      </c>
      <c r="B268" s="82">
        <f t="array" ref="B268">SUM(--(FREQUENCY(IF(C$2:C$3071=C268, MATCH(D$2:D$3071, D$2:D$3071, 0)), ROW(D$2:D$3071)-ROW(D$2)+1) &gt; 0))</f>
        <v>6</v>
      </c>
      <c r="C268" s="3">
        <f>VLOOKUP(D268, [1]Sheet1!K:X, 14, FALSE)</f>
        <v>41200084</v>
      </c>
      <c r="D268" s="6" t="s">
        <v>4388</v>
      </c>
      <c r="E268" s="3" t="s">
        <v>4360</v>
      </c>
      <c r="F268" s="3" t="s">
        <v>4223</v>
      </c>
      <c r="G268" s="3" t="str">
        <f t="shared" si="17"/>
        <v>SINGLE</v>
      </c>
      <c r="H268" s="197">
        <f t="shared" si="16"/>
        <v>9</v>
      </c>
      <c r="I268" s="197">
        <v>2</v>
      </c>
      <c r="J268" s="197">
        <v>24</v>
      </c>
      <c r="K268" s="186">
        <f t="shared" si="18"/>
        <v>45712</v>
      </c>
      <c r="N268" s="3" t="str">
        <f t="shared" si="19"/>
        <v/>
      </c>
    </row>
    <row r="269" spans="1:21">
      <c r="A269" s="6">
        <v>5362</v>
      </c>
      <c r="B269" s="82">
        <f t="array" ref="B269">SUM(--(FREQUENCY(IF(C$2:C$3071=C269, MATCH(D$2:D$3071, D$2:D$3071, 0)), ROW(D$2:D$3071)-ROW(D$2)+1) &gt; 0))</f>
        <v>1</v>
      </c>
      <c r="C269" s="6">
        <v>41200097</v>
      </c>
      <c r="D269" s="6" t="s">
        <v>4389</v>
      </c>
      <c r="E269" s="6" t="s">
        <v>4116</v>
      </c>
      <c r="F269" s="6" t="s">
        <v>2380</v>
      </c>
      <c r="G269" s="6" t="str">
        <f t="shared" si="17"/>
        <v>SINGLE</v>
      </c>
      <c r="H269" s="197">
        <f t="shared" si="16"/>
        <v>9</v>
      </c>
      <c r="I269" s="199">
        <v>2</v>
      </c>
      <c r="J269" s="199">
        <v>24</v>
      </c>
      <c r="K269" s="186">
        <f t="shared" si="18"/>
        <v>45712</v>
      </c>
      <c r="L269" s="6"/>
      <c r="M269" s="6"/>
      <c r="N269" s="3" t="str">
        <f t="shared" si="19"/>
        <v/>
      </c>
      <c r="O269" s="6"/>
      <c r="P269" s="6"/>
      <c r="Q269" s="6"/>
      <c r="R269" s="6"/>
      <c r="S269" s="6"/>
      <c r="T269" s="6"/>
      <c r="U269" s="6"/>
    </row>
    <row r="270" spans="1:21">
      <c r="A270" s="3">
        <v>5505</v>
      </c>
      <c r="B270" s="82">
        <f t="array" ref="B270">SUM(--(FREQUENCY(IF(C$2:C$3071=C270, MATCH(D$2:D$3071, D$2:D$3071, 0)), ROW(D$2:D$3071)-ROW(D$2)+1) &gt; 0))</f>
        <v>15</v>
      </c>
      <c r="C270" s="3">
        <f>VLOOKUP(D270, [1]Sheet1!K:X, 14, FALSE)</f>
        <v>41200087</v>
      </c>
      <c r="D270" s="6" t="s">
        <v>4390</v>
      </c>
      <c r="E270" s="3" t="s">
        <v>4264</v>
      </c>
      <c r="F270" s="3" t="s">
        <v>4112</v>
      </c>
      <c r="G270" s="3" t="str">
        <f t="shared" si="17"/>
        <v>DUAL</v>
      </c>
      <c r="H270" s="197">
        <f t="shared" si="16"/>
        <v>9</v>
      </c>
      <c r="I270" s="197">
        <v>2</v>
      </c>
      <c r="J270" s="197">
        <v>24</v>
      </c>
      <c r="K270" s="186">
        <f t="shared" si="18"/>
        <v>45712</v>
      </c>
      <c r="L270" s="3" t="s">
        <v>4104</v>
      </c>
      <c r="N270" s="3" t="str">
        <f t="shared" si="19"/>
        <v>NG</v>
      </c>
      <c r="O270" s="3" t="s">
        <v>1568</v>
      </c>
      <c r="Q270" s="3">
        <v>1100228300</v>
      </c>
      <c r="R270" s="3" t="s">
        <v>4105</v>
      </c>
      <c r="S270" s="3" t="s">
        <v>4365</v>
      </c>
      <c r="T270" s="3" t="s">
        <v>4391</v>
      </c>
    </row>
    <row r="271" spans="1:21">
      <c r="A271" s="3">
        <v>5349</v>
      </c>
      <c r="B271" s="82">
        <f t="array" ref="B271">SUM(--(FREQUENCY(IF(C$2:C$3071=C271, MATCH(D$2:D$3071, D$2:D$3071, 0)), ROW(D$2:D$3071)-ROW(D$2)+1) &gt; 0))</f>
        <v>6</v>
      </c>
      <c r="C271" s="3">
        <f>VLOOKUP(D271, [1]Sheet1!K:X, 14, FALSE)</f>
        <v>41100334</v>
      </c>
      <c r="D271" s="6" t="s">
        <v>4392</v>
      </c>
      <c r="E271" s="3" t="s">
        <v>4102</v>
      </c>
      <c r="F271" s="3" t="s">
        <v>4112</v>
      </c>
      <c r="G271" s="3" t="str">
        <f t="shared" si="17"/>
        <v>DUAL</v>
      </c>
      <c r="H271" s="197">
        <f t="shared" si="16"/>
        <v>9</v>
      </c>
      <c r="I271" s="197">
        <v>2</v>
      </c>
      <c r="J271" s="197">
        <v>24</v>
      </c>
      <c r="K271" s="186">
        <f t="shared" si="18"/>
        <v>45712</v>
      </c>
      <c r="L271" s="3" t="s">
        <v>2381</v>
      </c>
      <c r="N271" s="3" t="str">
        <f t="shared" si="19"/>
        <v>NG</v>
      </c>
      <c r="O271" s="3" t="s">
        <v>1568</v>
      </c>
      <c r="Q271" s="3">
        <v>1100143400</v>
      </c>
      <c r="R271" s="3" t="s">
        <v>4393</v>
      </c>
      <c r="S271" s="3" t="s">
        <v>4394</v>
      </c>
    </row>
    <row r="272" spans="1:21">
      <c r="A272" s="3">
        <v>5451</v>
      </c>
      <c r="B272" s="82">
        <f t="array" ref="B272">SUM(--(FREQUENCY(IF(C$2:C$3071=C272, MATCH(D$2:D$3071, D$2:D$3071, 0)), ROW(D$2:D$3071)-ROW(D$2)+1) &gt; 0))</f>
        <v>5</v>
      </c>
      <c r="C272" s="3">
        <f>VLOOKUP(D272, [1]Sheet1!K:X, 14, FALSE)</f>
        <v>41000559</v>
      </c>
      <c r="D272" s="6" t="s">
        <v>4395</v>
      </c>
      <c r="E272" s="3" t="s">
        <v>4102</v>
      </c>
      <c r="F272" s="3" t="s">
        <v>4279</v>
      </c>
      <c r="G272" s="3" t="str">
        <f t="shared" si="17"/>
        <v>SINGLE</v>
      </c>
      <c r="H272" s="197">
        <f t="shared" si="16"/>
        <v>9</v>
      </c>
      <c r="I272" s="197">
        <v>2</v>
      </c>
      <c r="J272" s="197">
        <v>25</v>
      </c>
      <c r="K272" s="186">
        <f t="shared" si="18"/>
        <v>45713</v>
      </c>
      <c r="N272" s="3" t="str">
        <f t="shared" si="19"/>
        <v/>
      </c>
    </row>
    <row r="273" spans="1:19">
      <c r="A273" s="3">
        <v>5451</v>
      </c>
      <c r="B273" s="82">
        <f t="array" ref="B273">SUM(--(FREQUENCY(IF(C$2:C$3071=C273, MATCH(D$2:D$3071, D$2:D$3071, 0)), ROW(D$2:D$3071)-ROW(D$2)+1) &gt; 0))</f>
        <v>5</v>
      </c>
      <c r="C273" s="3">
        <f>VLOOKUP(D273, [1]Sheet1!K:X, 14, FALSE)</f>
        <v>41000559</v>
      </c>
      <c r="D273" s="6" t="s">
        <v>4396</v>
      </c>
      <c r="E273" s="3" t="s">
        <v>4102</v>
      </c>
      <c r="F273" s="3" t="s">
        <v>4279</v>
      </c>
      <c r="G273" s="3" t="str">
        <f t="shared" si="17"/>
        <v>SINGLE</v>
      </c>
      <c r="H273" s="197">
        <f t="shared" si="16"/>
        <v>9</v>
      </c>
      <c r="I273" s="197">
        <v>2</v>
      </c>
      <c r="J273" s="197">
        <v>25</v>
      </c>
      <c r="K273" s="186">
        <f t="shared" si="18"/>
        <v>45713</v>
      </c>
      <c r="N273" s="3" t="str">
        <f t="shared" si="19"/>
        <v/>
      </c>
    </row>
    <row r="274" spans="1:19">
      <c r="A274" s="3">
        <v>5451</v>
      </c>
      <c r="B274" s="82">
        <f t="array" ref="B274">SUM(--(FREQUENCY(IF(C$2:C$3071=C274, MATCH(D$2:D$3071, D$2:D$3071, 0)), ROW(D$2:D$3071)-ROW(D$2)+1) &gt; 0))</f>
        <v>5</v>
      </c>
      <c r="C274" s="3">
        <f>VLOOKUP(D274, [1]Sheet1!K:X, 14, FALSE)</f>
        <v>41000559</v>
      </c>
      <c r="D274" s="6" t="s">
        <v>4397</v>
      </c>
      <c r="E274" s="3" t="s">
        <v>4102</v>
      </c>
      <c r="F274" s="3" t="s">
        <v>4279</v>
      </c>
      <c r="G274" s="3" t="str">
        <f t="shared" si="17"/>
        <v>SINGLE</v>
      </c>
      <c r="H274" s="197">
        <f t="shared" si="16"/>
        <v>9</v>
      </c>
      <c r="I274" s="197">
        <v>2</v>
      </c>
      <c r="J274" s="197">
        <v>25</v>
      </c>
      <c r="K274" s="186">
        <f t="shared" si="18"/>
        <v>45713</v>
      </c>
      <c r="N274" s="3" t="str">
        <f t="shared" si="19"/>
        <v/>
      </c>
    </row>
    <row r="275" spans="1:19">
      <c r="A275" s="3">
        <v>5451</v>
      </c>
      <c r="B275" s="82">
        <f t="array" ref="B275">SUM(--(FREQUENCY(IF(C$2:C$3071=C275, MATCH(D$2:D$3071, D$2:D$3071, 0)), ROW(D$2:D$3071)-ROW(D$2)+1) &gt; 0))</f>
        <v>5</v>
      </c>
      <c r="C275" s="3">
        <f>VLOOKUP(D275, [1]Sheet1!K:X, 14, FALSE)</f>
        <v>41000559</v>
      </c>
      <c r="D275" s="6" t="s">
        <v>4398</v>
      </c>
      <c r="E275" s="3" t="s">
        <v>4102</v>
      </c>
      <c r="F275" s="3" t="s">
        <v>4279</v>
      </c>
      <c r="G275" s="3" t="str">
        <f t="shared" si="17"/>
        <v>SINGLE</v>
      </c>
      <c r="H275" s="197">
        <f t="shared" si="16"/>
        <v>9</v>
      </c>
      <c r="I275" s="197">
        <v>2</v>
      </c>
      <c r="J275" s="197">
        <v>25</v>
      </c>
      <c r="K275" s="186">
        <f t="shared" si="18"/>
        <v>45713</v>
      </c>
      <c r="N275" s="3" t="str">
        <f t="shared" si="19"/>
        <v/>
      </c>
    </row>
    <row r="276" spans="1:19">
      <c r="A276" s="3">
        <v>5468</v>
      </c>
      <c r="B276" s="82">
        <f t="array" ref="B276">SUM(--(FREQUENCY(IF(C$2:C$3071=C276, MATCH(D$2:D$3071, D$2:D$3071, 0)), ROW(D$2:D$3071)-ROW(D$2)+1) &gt; 0))</f>
        <v>144</v>
      </c>
      <c r="C276" s="3">
        <f>VLOOKUP(D276, [1]Sheet1!K:X, 14, FALSE)</f>
        <v>41200007</v>
      </c>
      <c r="D276" s="6" t="s">
        <v>1815</v>
      </c>
      <c r="E276" s="3" t="s">
        <v>2365</v>
      </c>
      <c r="F276" s="3" t="s">
        <v>2380</v>
      </c>
      <c r="G276" s="3" t="str">
        <f t="shared" si="17"/>
        <v>SINGLE</v>
      </c>
      <c r="H276" s="197">
        <f t="shared" si="16"/>
        <v>9</v>
      </c>
      <c r="I276" s="197">
        <v>2</v>
      </c>
      <c r="J276" s="197">
        <v>25</v>
      </c>
      <c r="K276" s="186">
        <f t="shared" si="18"/>
        <v>45713</v>
      </c>
      <c r="N276" s="3" t="str">
        <f t="shared" si="19"/>
        <v/>
      </c>
    </row>
    <row r="277" spans="1:19">
      <c r="A277" s="3">
        <v>5468</v>
      </c>
      <c r="B277" s="82">
        <f t="array" ref="B277">SUM(--(FREQUENCY(IF(C$2:C$3071=C277, MATCH(D$2:D$3071, D$2:D$3071, 0)), ROW(D$2:D$3071)-ROW(D$2)+1) &gt; 0))</f>
        <v>144</v>
      </c>
      <c r="C277" s="3">
        <f>VLOOKUP(D277, [1]Sheet1!K:X, 14, FALSE)</f>
        <v>41200007</v>
      </c>
      <c r="D277" s="6" t="s">
        <v>1814</v>
      </c>
      <c r="E277" s="3" t="s">
        <v>2365</v>
      </c>
      <c r="F277" s="3" t="s">
        <v>2380</v>
      </c>
      <c r="G277" s="3" t="str">
        <f t="shared" si="17"/>
        <v>SINGLE</v>
      </c>
      <c r="H277" s="197">
        <f t="shared" si="16"/>
        <v>9</v>
      </c>
      <c r="I277" s="197">
        <v>2</v>
      </c>
      <c r="J277" s="197">
        <v>25</v>
      </c>
      <c r="K277" s="186">
        <f t="shared" si="18"/>
        <v>45713</v>
      </c>
      <c r="N277" s="3" t="str">
        <f t="shared" si="19"/>
        <v/>
      </c>
    </row>
    <row r="278" spans="1:19">
      <c r="A278" s="3">
        <v>5468</v>
      </c>
      <c r="B278" s="82">
        <f t="array" ref="B278">SUM(--(FREQUENCY(IF(C$2:C$3071=C278, MATCH(D$2:D$3071, D$2:D$3071, 0)), ROW(D$2:D$3071)-ROW(D$2)+1) &gt; 0))</f>
        <v>144</v>
      </c>
      <c r="C278" s="3">
        <f>VLOOKUP(D278, [1]Sheet1!K:X, 14, FALSE)</f>
        <v>41200007</v>
      </c>
      <c r="D278" s="6" t="s">
        <v>4399</v>
      </c>
      <c r="E278" s="3" t="s">
        <v>2365</v>
      </c>
      <c r="F278" s="3" t="s">
        <v>2380</v>
      </c>
      <c r="G278" s="3" t="str">
        <f t="shared" si="17"/>
        <v>SINGLE</v>
      </c>
      <c r="H278" s="197">
        <f t="shared" si="16"/>
        <v>9</v>
      </c>
      <c r="I278" s="197">
        <v>2</v>
      </c>
      <c r="J278" s="197">
        <v>25</v>
      </c>
      <c r="K278" s="186">
        <f t="shared" si="18"/>
        <v>45713</v>
      </c>
      <c r="N278" s="3" t="str">
        <f t="shared" si="19"/>
        <v/>
      </c>
    </row>
    <row r="279" spans="1:19">
      <c r="A279" s="3">
        <v>5459</v>
      </c>
      <c r="B279" s="82">
        <f t="array" ref="B279">SUM(--(FREQUENCY(IF(C$2:C$3071=C279, MATCH(D$2:D$3071, D$2:D$3071, 0)), ROW(D$2:D$3071)-ROW(D$2)+1) &gt; 0))</f>
        <v>102</v>
      </c>
      <c r="C279" s="3">
        <f>VLOOKUP(D279, [1]Sheet1!K:X, 14, FALSE)</f>
        <v>41200006</v>
      </c>
      <c r="D279" s="6" t="s">
        <v>1819</v>
      </c>
      <c r="E279" s="3" t="s">
        <v>2365</v>
      </c>
      <c r="F279" s="3" t="s">
        <v>4223</v>
      </c>
      <c r="G279" s="3" t="str">
        <f t="shared" si="17"/>
        <v>SINGLE</v>
      </c>
      <c r="H279" s="197">
        <f t="shared" si="16"/>
        <v>9</v>
      </c>
      <c r="I279" s="197">
        <v>2</v>
      </c>
      <c r="J279" s="197">
        <v>25</v>
      </c>
      <c r="K279" s="186">
        <f t="shared" si="18"/>
        <v>45713</v>
      </c>
      <c r="N279" s="3" t="str">
        <f t="shared" si="19"/>
        <v/>
      </c>
    </row>
    <row r="280" spans="1:19">
      <c r="A280" s="3">
        <v>5459</v>
      </c>
      <c r="B280" s="82">
        <f t="array" ref="B280">SUM(--(FREQUENCY(IF(C$2:C$3071=C280, MATCH(D$2:D$3071, D$2:D$3071, 0)), ROW(D$2:D$3071)-ROW(D$2)+1) &gt; 0))</f>
        <v>102</v>
      </c>
      <c r="C280" s="3">
        <f>VLOOKUP(D280, [1]Sheet1!K:X, 14, FALSE)</f>
        <v>41200006</v>
      </c>
      <c r="D280" s="6" t="s">
        <v>1818</v>
      </c>
      <c r="E280" s="3" t="s">
        <v>2365</v>
      </c>
      <c r="F280" s="3" t="s">
        <v>4223</v>
      </c>
      <c r="G280" s="3" t="str">
        <f t="shared" si="17"/>
        <v>SINGLE</v>
      </c>
      <c r="H280" s="197">
        <f t="shared" si="16"/>
        <v>9</v>
      </c>
      <c r="I280" s="197">
        <v>2</v>
      </c>
      <c r="J280" s="197">
        <v>25</v>
      </c>
      <c r="K280" s="186">
        <f t="shared" si="18"/>
        <v>45713</v>
      </c>
      <c r="N280" s="3" t="str">
        <f t="shared" si="19"/>
        <v/>
      </c>
    </row>
    <row r="281" spans="1:19">
      <c r="A281" s="3">
        <v>5459</v>
      </c>
      <c r="B281" s="82">
        <f t="array" ref="B281">SUM(--(FREQUENCY(IF(C$2:C$3071=C281, MATCH(D$2:D$3071, D$2:D$3071, 0)), ROW(D$2:D$3071)-ROW(D$2)+1) &gt; 0))</f>
        <v>102</v>
      </c>
      <c r="C281" s="3">
        <f>VLOOKUP(D281, [1]Sheet1!K:X, 14, FALSE)</f>
        <v>41200006</v>
      </c>
      <c r="D281" s="6" t="s">
        <v>1817</v>
      </c>
      <c r="E281" s="3" t="s">
        <v>2365</v>
      </c>
      <c r="F281" s="3" t="s">
        <v>4223</v>
      </c>
      <c r="G281" s="3" t="str">
        <f t="shared" si="17"/>
        <v>SINGLE</v>
      </c>
      <c r="H281" s="197">
        <f t="shared" si="16"/>
        <v>9</v>
      </c>
      <c r="I281" s="197">
        <v>2</v>
      </c>
      <c r="J281" s="197">
        <v>25</v>
      </c>
      <c r="K281" s="186">
        <f t="shared" si="18"/>
        <v>45713</v>
      </c>
      <c r="N281" s="3" t="str">
        <f t="shared" si="19"/>
        <v/>
      </c>
    </row>
    <row r="282" spans="1:19">
      <c r="A282" s="3">
        <v>5459</v>
      </c>
      <c r="B282" s="82">
        <f t="array" ref="B282">SUM(--(FREQUENCY(IF(C$2:C$3071=C282, MATCH(D$2:D$3071, D$2:D$3071, 0)), ROW(D$2:D$3071)-ROW(D$2)+1) &gt; 0))</f>
        <v>102</v>
      </c>
      <c r="C282" s="3">
        <f>VLOOKUP(D282, [1]Sheet1!K:X, 14, FALSE)</f>
        <v>41200006</v>
      </c>
      <c r="D282" s="6" t="s">
        <v>4400</v>
      </c>
      <c r="E282" s="3" t="s">
        <v>2365</v>
      </c>
      <c r="F282" s="3" t="s">
        <v>4223</v>
      </c>
      <c r="G282" s="3" t="str">
        <f t="shared" si="17"/>
        <v>SINGLE</v>
      </c>
      <c r="H282" s="197">
        <f t="shared" si="16"/>
        <v>9</v>
      </c>
      <c r="I282" s="197">
        <v>2</v>
      </c>
      <c r="J282" s="197">
        <v>25</v>
      </c>
      <c r="K282" s="186">
        <f t="shared" si="18"/>
        <v>45713</v>
      </c>
      <c r="N282" s="3" t="str">
        <f t="shared" si="19"/>
        <v/>
      </c>
    </row>
    <row r="283" spans="1:19">
      <c r="A283" s="3">
        <v>5353</v>
      </c>
      <c r="B283" s="82">
        <f t="array" ref="B283">SUM(--(FREQUENCY(IF(C$2:C$3071=C283, MATCH(D$2:D$3071, D$2:D$3071, 0)), ROW(D$2:D$3071)-ROW(D$2)+1) &gt; 0))</f>
        <v>11</v>
      </c>
      <c r="C283" s="3">
        <f>VLOOKUP(D283, [1]Sheet1!K:X, 14, FALSE)</f>
        <v>41100374</v>
      </c>
      <c r="D283" s="6" t="s">
        <v>4401</v>
      </c>
      <c r="E283" s="3" t="s">
        <v>4102</v>
      </c>
      <c r="F283" s="3" t="s">
        <v>4112</v>
      </c>
      <c r="G283" s="3" t="str">
        <f t="shared" si="17"/>
        <v>DUAL</v>
      </c>
      <c r="H283" s="197">
        <f t="shared" si="16"/>
        <v>9</v>
      </c>
      <c r="I283" s="197">
        <v>2</v>
      </c>
      <c r="J283" s="197">
        <v>25</v>
      </c>
      <c r="K283" s="186">
        <f t="shared" si="18"/>
        <v>45713</v>
      </c>
      <c r="N283" s="3" t="str">
        <f t="shared" si="19"/>
        <v/>
      </c>
    </row>
    <row r="284" spans="1:19">
      <c r="A284" s="3">
        <v>5441</v>
      </c>
      <c r="B284" s="82">
        <f t="array" ref="B284">SUM(--(FREQUENCY(IF(C$2:C$3071=C284, MATCH(D$2:D$3071, D$2:D$3071, 0)), ROW(D$2:D$3071)-ROW(D$2)+1) &gt; 0))</f>
        <v>44</v>
      </c>
      <c r="C284" s="3">
        <f>VLOOKUP(D284, [1]Sheet1!K:X, 14, FALSE)</f>
        <v>41200108</v>
      </c>
      <c r="D284" s="6" t="s">
        <v>1829</v>
      </c>
      <c r="E284" s="3" t="s">
        <v>4326</v>
      </c>
      <c r="F284" s="3" t="s">
        <v>4119</v>
      </c>
      <c r="G284" s="3" t="str">
        <f t="shared" si="17"/>
        <v>SINGLE</v>
      </c>
      <c r="H284" s="197">
        <f t="shared" si="16"/>
        <v>9</v>
      </c>
      <c r="I284" s="197">
        <v>2</v>
      </c>
      <c r="J284" s="197">
        <v>26</v>
      </c>
      <c r="K284" s="186">
        <f t="shared" si="18"/>
        <v>45714</v>
      </c>
      <c r="L284" s="3" t="s">
        <v>2381</v>
      </c>
      <c r="N284" s="3" t="str">
        <f t="shared" si="19"/>
        <v>NG</v>
      </c>
      <c r="O284" s="3" t="s">
        <v>1568</v>
      </c>
      <c r="Q284" s="3">
        <v>1100727700</v>
      </c>
      <c r="R284" s="3" t="s">
        <v>981</v>
      </c>
      <c r="S284" s="3" t="s">
        <v>4402</v>
      </c>
    </row>
    <row r="285" spans="1:19">
      <c r="A285" s="3">
        <v>5441</v>
      </c>
      <c r="B285" s="82">
        <f t="array" ref="B285">SUM(--(FREQUENCY(IF(C$2:C$3071=C285, MATCH(D$2:D$3071, D$2:D$3071, 0)), ROW(D$2:D$3071)-ROW(D$2)+1) &gt; 0))</f>
        <v>44</v>
      </c>
      <c r="C285" s="3">
        <f>VLOOKUP(D285, [1]Sheet1!K:X, 14, FALSE)</f>
        <v>41200108</v>
      </c>
      <c r="D285" s="6" t="s">
        <v>1828</v>
      </c>
      <c r="E285" s="3" t="s">
        <v>4326</v>
      </c>
      <c r="F285" s="3" t="s">
        <v>4119</v>
      </c>
      <c r="G285" s="3" t="str">
        <f t="shared" si="17"/>
        <v>SINGLE</v>
      </c>
      <c r="H285" s="197">
        <f t="shared" si="16"/>
        <v>9</v>
      </c>
      <c r="I285" s="197">
        <v>2</v>
      </c>
      <c r="J285" s="197">
        <v>26</v>
      </c>
      <c r="K285" s="186">
        <f t="shared" si="18"/>
        <v>45714</v>
      </c>
      <c r="N285" s="3" t="str">
        <f t="shared" si="19"/>
        <v/>
      </c>
      <c r="R285" s="20"/>
    </row>
    <row r="286" spans="1:19">
      <c r="A286" s="3">
        <v>5441</v>
      </c>
      <c r="B286" s="82">
        <f t="array" ref="B286">SUM(--(FREQUENCY(IF(C$2:C$3071=C286, MATCH(D$2:D$3071, D$2:D$3071, 0)), ROW(D$2:D$3071)-ROW(D$2)+1) &gt; 0))</f>
        <v>44</v>
      </c>
      <c r="C286" s="3">
        <f>VLOOKUP(D286, [1]Sheet1!K:X, 14, FALSE)</f>
        <v>41200108</v>
      </c>
      <c r="D286" s="6" t="s">
        <v>4403</v>
      </c>
      <c r="E286" s="3" t="s">
        <v>4326</v>
      </c>
      <c r="F286" s="3" t="s">
        <v>4119</v>
      </c>
      <c r="G286" s="3" t="str">
        <f t="shared" si="17"/>
        <v>SINGLE</v>
      </c>
      <c r="H286" s="197">
        <f t="shared" si="16"/>
        <v>9</v>
      </c>
      <c r="I286" s="197">
        <v>2</v>
      </c>
      <c r="J286" s="197">
        <v>26</v>
      </c>
      <c r="K286" s="186">
        <f t="shared" si="18"/>
        <v>45714</v>
      </c>
      <c r="N286" s="3" t="str">
        <f t="shared" si="19"/>
        <v/>
      </c>
    </row>
    <row r="287" spans="1:19">
      <c r="A287" s="3">
        <v>5468</v>
      </c>
      <c r="B287" s="82">
        <f t="array" ref="B287">SUM(--(FREQUENCY(IF(C$2:C$3071=C287, MATCH(D$2:D$3071, D$2:D$3071, 0)), ROW(D$2:D$3071)-ROW(D$2)+1) &gt; 0))</f>
        <v>144</v>
      </c>
      <c r="C287" s="3">
        <f>VLOOKUP(D287, [1]Sheet1!K:X, 14, FALSE)</f>
        <v>41200007</v>
      </c>
      <c r="D287" s="6" t="s">
        <v>1825</v>
      </c>
      <c r="E287" s="3" t="s">
        <v>2365</v>
      </c>
      <c r="F287" s="3" t="s">
        <v>2380</v>
      </c>
      <c r="G287" s="3" t="str">
        <f t="shared" si="17"/>
        <v>SINGLE</v>
      </c>
      <c r="H287" s="197">
        <f t="shared" si="16"/>
        <v>9</v>
      </c>
      <c r="I287" s="197">
        <v>2</v>
      </c>
      <c r="J287" s="197">
        <v>26</v>
      </c>
      <c r="K287" s="186">
        <f t="shared" si="18"/>
        <v>45714</v>
      </c>
      <c r="N287" s="3" t="str">
        <f t="shared" si="19"/>
        <v/>
      </c>
    </row>
    <row r="288" spans="1:19">
      <c r="A288" s="3">
        <v>5468</v>
      </c>
      <c r="B288" s="82">
        <f t="array" ref="B288">SUM(--(FREQUENCY(IF(C$2:C$3071=C288, MATCH(D$2:D$3071, D$2:D$3071, 0)), ROW(D$2:D$3071)-ROW(D$2)+1) &gt; 0))</f>
        <v>144</v>
      </c>
      <c r="C288" s="3">
        <f>VLOOKUP(D288, [1]Sheet1!K:X, 14, FALSE)</f>
        <v>41200007</v>
      </c>
      <c r="D288" s="6" t="s">
        <v>1824</v>
      </c>
      <c r="E288" s="3" t="s">
        <v>2365</v>
      </c>
      <c r="F288" s="3" t="s">
        <v>2380</v>
      </c>
      <c r="G288" s="3" t="str">
        <f t="shared" si="17"/>
        <v>SINGLE</v>
      </c>
      <c r="H288" s="197">
        <f t="shared" si="16"/>
        <v>9</v>
      </c>
      <c r="I288" s="197">
        <v>2</v>
      </c>
      <c r="J288" s="197">
        <v>26</v>
      </c>
      <c r="K288" s="186">
        <f t="shared" si="18"/>
        <v>45714</v>
      </c>
      <c r="N288" s="3" t="str">
        <f t="shared" si="19"/>
        <v/>
      </c>
    </row>
    <row r="289" spans="1:21">
      <c r="A289" s="3">
        <v>5468</v>
      </c>
      <c r="B289" s="82">
        <f t="array" ref="B289">SUM(--(FREQUENCY(IF(C$2:C$3071=C289, MATCH(D$2:D$3071, D$2:D$3071, 0)), ROW(D$2:D$3071)-ROW(D$2)+1) &gt; 0))</f>
        <v>144</v>
      </c>
      <c r="C289" s="3">
        <f>VLOOKUP(D289, [1]Sheet1!K:X, 14, FALSE)</f>
        <v>41200007</v>
      </c>
      <c r="D289" s="6" t="s">
        <v>4404</v>
      </c>
      <c r="E289" s="3" t="s">
        <v>2365</v>
      </c>
      <c r="F289" s="3" t="s">
        <v>2380</v>
      </c>
      <c r="G289" s="3" t="str">
        <f t="shared" si="17"/>
        <v>SINGLE</v>
      </c>
      <c r="H289" s="197">
        <f t="shared" si="16"/>
        <v>9</v>
      </c>
      <c r="I289" s="197">
        <v>2</v>
      </c>
      <c r="J289" s="197">
        <v>26</v>
      </c>
      <c r="K289" s="186">
        <f t="shared" si="18"/>
        <v>45714</v>
      </c>
      <c r="N289" s="3" t="str">
        <f t="shared" si="19"/>
        <v/>
      </c>
    </row>
    <row r="290" spans="1:21">
      <c r="A290" s="3">
        <v>5485</v>
      </c>
      <c r="B290" s="82">
        <f t="array" ref="B290">SUM(--(FREQUENCY(IF(C$2:C$3071=C290, MATCH(D$2:D$3071, D$2:D$3071, 0)), ROW(D$2:D$3071)-ROW(D$2)+1) &gt; 0))</f>
        <v>1</v>
      </c>
      <c r="C290" s="3">
        <f>VLOOKUP(D290, [1]Sheet1!K:X, 14, FALSE)</f>
        <v>41100446</v>
      </c>
      <c r="D290" s="6" t="s">
        <v>4405</v>
      </c>
      <c r="E290" s="3" t="s">
        <v>4406</v>
      </c>
      <c r="F290" s="3" t="s">
        <v>4112</v>
      </c>
      <c r="G290" s="3" t="str">
        <f t="shared" si="17"/>
        <v>DUAL</v>
      </c>
      <c r="H290" s="197">
        <f t="shared" si="16"/>
        <v>9</v>
      </c>
      <c r="I290" s="197">
        <v>2</v>
      </c>
      <c r="J290" s="197">
        <v>26</v>
      </c>
      <c r="K290" s="186">
        <f t="shared" si="18"/>
        <v>45714</v>
      </c>
      <c r="N290" s="3" t="str">
        <f t="shared" si="19"/>
        <v/>
      </c>
      <c r="R290" s="21"/>
    </row>
    <row r="291" spans="1:21">
      <c r="A291" s="3">
        <v>5355</v>
      </c>
      <c r="B291" s="82">
        <f t="array" ref="B291">SUM(--(FREQUENCY(IF(C$2:C$3071=C291, MATCH(D$2:D$3071, D$2:D$3071, 0)), ROW(D$2:D$3071)-ROW(D$2)+1) &gt; 0))</f>
        <v>41</v>
      </c>
      <c r="C291" s="3">
        <f>VLOOKUP(D291, [1]Sheet1!K:X, 14, FALSE)</f>
        <v>41200101</v>
      </c>
      <c r="D291" s="6" t="s">
        <v>4407</v>
      </c>
      <c r="E291" s="3" t="s">
        <v>4102</v>
      </c>
      <c r="F291" s="3" t="s">
        <v>4112</v>
      </c>
      <c r="G291" s="3" t="str">
        <f t="shared" si="17"/>
        <v>DUAL</v>
      </c>
      <c r="H291" s="197">
        <f t="shared" si="16"/>
        <v>9</v>
      </c>
      <c r="I291" s="197">
        <v>2</v>
      </c>
      <c r="J291" s="197">
        <v>26</v>
      </c>
      <c r="K291" s="186">
        <f t="shared" si="18"/>
        <v>45714</v>
      </c>
      <c r="N291" s="3" t="str">
        <f t="shared" si="19"/>
        <v/>
      </c>
    </row>
    <row r="292" spans="1:21">
      <c r="A292" s="3">
        <v>5449</v>
      </c>
      <c r="B292" s="82">
        <f t="array" ref="B292">SUM(--(FREQUENCY(IF(C$2:C$3071=C292, MATCH(D$2:D$3071, D$2:D$3071, 0)), ROW(D$2:D$3071)-ROW(D$2)+1) &gt; 0))</f>
        <v>14</v>
      </c>
      <c r="C292" s="3">
        <f>VLOOKUP(D292, [1]Sheet1!K:X, 14, FALSE)</f>
        <v>41200118</v>
      </c>
      <c r="D292" s="6" t="s">
        <v>1842</v>
      </c>
      <c r="E292" s="3" t="s">
        <v>4360</v>
      </c>
      <c r="F292" s="3" t="s">
        <v>2380</v>
      </c>
      <c r="G292" s="3" t="str">
        <f t="shared" si="17"/>
        <v>SINGLE</v>
      </c>
      <c r="H292" s="197">
        <f t="shared" si="16"/>
        <v>9</v>
      </c>
      <c r="I292" s="197">
        <v>2</v>
      </c>
      <c r="J292" s="197">
        <v>27</v>
      </c>
      <c r="K292" s="186">
        <f t="shared" si="18"/>
        <v>45715</v>
      </c>
      <c r="N292" s="3" t="str">
        <f t="shared" si="19"/>
        <v/>
      </c>
    </row>
    <row r="293" spans="1:21">
      <c r="A293" s="3">
        <v>5449</v>
      </c>
      <c r="B293" s="82">
        <f t="array" ref="B293">SUM(--(FREQUENCY(IF(C$2:C$3071=C293, MATCH(D$2:D$3071, D$2:D$3071, 0)), ROW(D$2:D$3071)-ROW(D$2)+1) &gt; 0))</f>
        <v>14</v>
      </c>
      <c r="C293" s="3">
        <f>VLOOKUP(D293, [1]Sheet1!K:X, 14, FALSE)</f>
        <v>41200118</v>
      </c>
      <c r="D293" s="6" t="s">
        <v>1841</v>
      </c>
      <c r="E293" s="3" t="s">
        <v>4360</v>
      </c>
      <c r="F293" s="3" t="s">
        <v>2380</v>
      </c>
      <c r="G293" s="3" t="str">
        <f t="shared" si="17"/>
        <v>SINGLE</v>
      </c>
      <c r="H293" s="197">
        <f t="shared" si="16"/>
        <v>9</v>
      </c>
      <c r="I293" s="197">
        <v>2</v>
      </c>
      <c r="J293" s="197">
        <v>27</v>
      </c>
      <c r="K293" s="186">
        <f t="shared" si="18"/>
        <v>45715</v>
      </c>
      <c r="L293" s="3" t="s">
        <v>2381</v>
      </c>
      <c r="N293" s="3" t="str">
        <f t="shared" si="19"/>
        <v>NG</v>
      </c>
      <c r="O293" s="3" t="s">
        <v>1568</v>
      </c>
      <c r="Q293" s="3">
        <v>1100228300</v>
      </c>
      <c r="R293" s="3" t="s">
        <v>4105</v>
      </c>
      <c r="S293" s="3" t="s">
        <v>4408</v>
      </c>
      <c r="T293" s="3" t="s">
        <v>4209</v>
      </c>
    </row>
    <row r="294" spans="1:21">
      <c r="A294" s="3">
        <v>5449</v>
      </c>
      <c r="B294" s="82">
        <f t="array" ref="B294">SUM(--(FREQUENCY(IF(C$2:C$3071=C294, MATCH(D$2:D$3071, D$2:D$3071, 0)), ROW(D$2:D$3071)-ROW(D$2)+1) &gt; 0))</f>
        <v>14</v>
      </c>
      <c r="C294" s="3">
        <f>VLOOKUP(D294, [1]Sheet1!K:X, 14, FALSE)</f>
        <v>41200118</v>
      </c>
      <c r="D294" s="6" t="s">
        <v>1840</v>
      </c>
      <c r="E294" s="3" t="s">
        <v>4360</v>
      </c>
      <c r="F294" s="3" t="s">
        <v>2380</v>
      </c>
      <c r="G294" s="3" t="str">
        <f t="shared" si="17"/>
        <v>SINGLE</v>
      </c>
      <c r="H294" s="197">
        <f t="shared" si="16"/>
        <v>9</v>
      </c>
      <c r="I294" s="197">
        <v>2</v>
      </c>
      <c r="J294" s="197">
        <v>27</v>
      </c>
      <c r="K294" s="186">
        <f t="shared" si="18"/>
        <v>45715</v>
      </c>
      <c r="N294" s="3" t="str">
        <f t="shared" si="19"/>
        <v/>
      </c>
    </row>
    <row r="295" spans="1:21">
      <c r="A295" s="3">
        <v>5449</v>
      </c>
      <c r="B295" s="82">
        <f t="array" ref="B295">SUM(--(FREQUENCY(IF(C$2:C$3071=C295, MATCH(D$2:D$3071, D$2:D$3071, 0)), ROW(D$2:D$3071)-ROW(D$2)+1) &gt; 0))</f>
        <v>14</v>
      </c>
      <c r="C295" s="3">
        <f>VLOOKUP(D295, [1]Sheet1!K:X, 14, FALSE)</f>
        <v>41200118</v>
      </c>
      <c r="D295" s="6" t="s">
        <v>4409</v>
      </c>
      <c r="E295" s="3" t="s">
        <v>4360</v>
      </c>
      <c r="F295" s="3" t="s">
        <v>2380</v>
      </c>
      <c r="G295" s="3" t="str">
        <f t="shared" si="17"/>
        <v>SINGLE</v>
      </c>
      <c r="H295" s="197">
        <f t="shared" si="16"/>
        <v>9</v>
      </c>
      <c r="I295" s="197">
        <v>2</v>
      </c>
      <c r="J295" s="197">
        <v>27</v>
      </c>
      <c r="K295" s="186">
        <f t="shared" si="18"/>
        <v>45715</v>
      </c>
      <c r="N295" s="3" t="str">
        <f t="shared" si="19"/>
        <v/>
      </c>
    </row>
    <row r="296" spans="1:21">
      <c r="A296" s="3">
        <v>5351</v>
      </c>
      <c r="B296" s="82">
        <f t="array" ref="B296">SUM(--(FREQUENCY(IF(C$2:C$3071=C296, MATCH(D$2:D$3071, D$2:D$3071, 0)), ROW(D$2:D$3071)-ROW(D$2)+1) &gt; 0))</f>
        <v>77</v>
      </c>
      <c r="C296" s="3">
        <f>VLOOKUP(D296, [1]Sheet1!K:X, 14, FALSE)</f>
        <v>41200076</v>
      </c>
      <c r="D296" s="6" t="s">
        <v>4410</v>
      </c>
      <c r="E296" s="3" t="s">
        <v>4102</v>
      </c>
      <c r="F296" s="3" t="s">
        <v>4112</v>
      </c>
      <c r="G296" s="3" t="str">
        <f t="shared" si="17"/>
        <v>DUAL</v>
      </c>
      <c r="H296" s="197">
        <f t="shared" si="16"/>
        <v>9</v>
      </c>
      <c r="I296" s="197">
        <v>2</v>
      </c>
      <c r="J296" s="197">
        <v>27</v>
      </c>
      <c r="K296" s="186">
        <f t="shared" si="18"/>
        <v>45715</v>
      </c>
      <c r="L296" s="3" t="s">
        <v>2381</v>
      </c>
      <c r="N296" s="3" t="str">
        <f t="shared" si="19"/>
        <v>NG</v>
      </c>
      <c r="O296" s="3" t="s">
        <v>1568</v>
      </c>
      <c r="Q296" s="3">
        <v>1100228300</v>
      </c>
      <c r="R296" s="3" t="s">
        <v>4105</v>
      </c>
      <c r="S296" s="3" t="s">
        <v>4408</v>
      </c>
      <c r="T296" s="3" t="s">
        <v>4411</v>
      </c>
    </row>
    <row r="297" spans="1:21">
      <c r="A297" s="3">
        <v>5443</v>
      </c>
      <c r="B297" s="82">
        <f t="array" ref="B297">SUM(--(FREQUENCY(IF(C$2:C$3071=C297, MATCH(D$2:D$3071, D$2:D$3071, 0)), ROW(D$2:D$3071)-ROW(D$2)+1) &gt; 0))</f>
        <v>10</v>
      </c>
      <c r="C297" s="3">
        <f>VLOOKUP(D297, [1]Sheet1!K:X, 14, FALSE)</f>
        <v>41100317</v>
      </c>
      <c r="D297" s="6" t="s">
        <v>4412</v>
      </c>
      <c r="E297" s="3" t="s">
        <v>4102</v>
      </c>
      <c r="F297" s="3" t="s">
        <v>4112</v>
      </c>
      <c r="G297" s="3" t="str">
        <f t="shared" si="17"/>
        <v>DUAL</v>
      </c>
      <c r="H297" s="197">
        <f t="shared" si="16"/>
        <v>9</v>
      </c>
      <c r="I297" s="197">
        <v>2</v>
      </c>
      <c r="J297" s="197">
        <v>27</v>
      </c>
      <c r="K297" s="186">
        <f t="shared" si="18"/>
        <v>45715</v>
      </c>
      <c r="N297" s="3" t="str">
        <f t="shared" si="19"/>
        <v/>
      </c>
    </row>
    <row r="298" spans="1:21">
      <c r="A298" s="3">
        <v>5487</v>
      </c>
      <c r="B298" s="82">
        <f t="array" ref="B298">SUM(--(FREQUENCY(IF(C$2:C$3071=C298, MATCH(D$2:D$3071, D$2:D$3071, 0)), ROW(D$2:D$3071)-ROW(D$2)+1) &gt; 0))</f>
        <v>14</v>
      </c>
      <c r="C298" s="3">
        <f>VLOOKUP(D298, [1]Sheet1!K:X, 14, FALSE)</f>
        <v>41000514</v>
      </c>
      <c r="D298" s="6" t="s">
        <v>4413</v>
      </c>
      <c r="E298" s="3" t="s">
        <v>2365</v>
      </c>
      <c r="F298" s="3" t="s">
        <v>4130</v>
      </c>
      <c r="G298" s="3" t="str">
        <f t="shared" si="17"/>
        <v>DUAL</v>
      </c>
      <c r="H298" s="197">
        <f t="shared" si="16"/>
        <v>9</v>
      </c>
      <c r="I298" s="197">
        <v>2</v>
      </c>
      <c r="J298" s="197">
        <v>27</v>
      </c>
      <c r="K298" s="186">
        <f t="shared" si="18"/>
        <v>45715</v>
      </c>
      <c r="N298" s="3" t="str">
        <f t="shared" si="19"/>
        <v/>
      </c>
    </row>
    <row r="299" spans="1:21">
      <c r="A299" s="3">
        <v>5247</v>
      </c>
      <c r="B299" s="82">
        <f t="array" ref="B299">SUM(--(FREQUENCY(IF(C$2:C$3071=C299, MATCH(D$2:D$3071, D$2:D$3071, 0)), ROW(D$2:D$3071)-ROW(D$2)+1) &gt; 0))</f>
        <v>1</v>
      </c>
      <c r="C299" s="3">
        <f>VLOOKUP(D299, [1]Sheet1!K:X, 14, FALSE)</f>
        <v>41100668</v>
      </c>
      <c r="D299" s="6" t="s">
        <v>4414</v>
      </c>
      <c r="E299" s="3" t="s">
        <v>2365</v>
      </c>
      <c r="F299" s="3" t="s">
        <v>4130</v>
      </c>
      <c r="G299" s="3" t="str">
        <f t="shared" si="17"/>
        <v>DUAL</v>
      </c>
      <c r="H299" s="197">
        <f t="shared" si="16"/>
        <v>9</v>
      </c>
      <c r="I299" s="197">
        <v>2</v>
      </c>
      <c r="J299" s="197">
        <v>27</v>
      </c>
      <c r="K299" s="186">
        <f t="shared" si="18"/>
        <v>45715</v>
      </c>
      <c r="L299" s="3" t="s">
        <v>4104</v>
      </c>
      <c r="N299" s="3" t="str">
        <f t="shared" si="19"/>
        <v>NG</v>
      </c>
      <c r="O299" s="3" t="s">
        <v>1568</v>
      </c>
      <c r="Q299" s="3">
        <v>1100668900</v>
      </c>
      <c r="R299" s="3" t="s">
        <v>4288</v>
      </c>
      <c r="S299" s="3" t="s">
        <v>4415</v>
      </c>
    </row>
    <row r="300" spans="1:21">
      <c r="A300" s="3">
        <v>5441</v>
      </c>
      <c r="B300" s="82">
        <f t="array" ref="B300">SUM(--(FREQUENCY(IF(C$2:C$3071=C300, MATCH(D$2:D$3071, D$2:D$3071, 0)), ROW(D$2:D$3071)-ROW(D$2)+1) &gt; 0))</f>
        <v>44</v>
      </c>
      <c r="C300" s="3">
        <f>VLOOKUP(D300, [1]Sheet1!K:X, 14, FALSE)</f>
        <v>41200108</v>
      </c>
      <c r="D300" s="6" t="s">
        <v>1848</v>
      </c>
      <c r="E300" s="3" t="s">
        <v>4326</v>
      </c>
      <c r="F300" s="3" t="s">
        <v>4119</v>
      </c>
      <c r="G300" s="3" t="str">
        <f t="shared" si="17"/>
        <v>SINGLE</v>
      </c>
      <c r="H300" s="197">
        <f t="shared" si="16"/>
        <v>9</v>
      </c>
      <c r="I300" s="197">
        <v>2</v>
      </c>
      <c r="J300" s="197">
        <v>28</v>
      </c>
      <c r="K300" s="186">
        <f t="shared" si="18"/>
        <v>45716</v>
      </c>
      <c r="L300" s="3" t="s">
        <v>2381</v>
      </c>
      <c r="N300" s="3" t="str">
        <f t="shared" si="19"/>
        <v>NG</v>
      </c>
      <c r="O300" s="3" t="s">
        <v>1568</v>
      </c>
      <c r="Q300" s="3">
        <v>1100886200</v>
      </c>
      <c r="R300" s="3" t="s">
        <v>4416</v>
      </c>
      <c r="S300" s="3" t="s">
        <v>4417</v>
      </c>
      <c r="T300" s="3" t="s">
        <v>4418</v>
      </c>
    </row>
    <row r="301" spans="1:21">
      <c r="A301" s="3">
        <v>5441</v>
      </c>
      <c r="B301" s="82">
        <f t="array" ref="B301">SUM(--(FREQUENCY(IF(C$2:C$3071=C301, MATCH(D$2:D$3071, D$2:D$3071, 0)), ROW(D$2:D$3071)-ROW(D$2)+1) &gt; 0))</f>
        <v>44</v>
      </c>
      <c r="C301" s="3">
        <f>VLOOKUP(D301, [1]Sheet1!K:X, 14, FALSE)</f>
        <v>41200108</v>
      </c>
      <c r="D301" s="6" t="s">
        <v>4419</v>
      </c>
      <c r="E301" s="3" t="s">
        <v>4326</v>
      </c>
      <c r="F301" s="3" t="s">
        <v>4119</v>
      </c>
      <c r="G301" s="3" t="str">
        <f t="shared" si="17"/>
        <v>SINGLE</v>
      </c>
      <c r="H301" s="197">
        <f t="shared" si="16"/>
        <v>9</v>
      </c>
      <c r="I301" s="197">
        <v>2</v>
      </c>
      <c r="J301" s="197">
        <v>28</v>
      </c>
      <c r="K301" s="186">
        <f t="shared" si="18"/>
        <v>45716</v>
      </c>
      <c r="N301" s="3" t="str">
        <f t="shared" si="19"/>
        <v/>
      </c>
    </row>
    <row r="302" spans="1:21">
      <c r="A302" s="3">
        <v>5450</v>
      </c>
      <c r="B302" s="82">
        <f t="array" ref="B302">SUM(--(FREQUENCY(IF(C$2:C$3071=C302, MATCH(D$2:D$3071, D$2:D$3071, 0)), ROW(D$2:D$3071)-ROW(D$2)+1) &gt; 0))</f>
        <v>6</v>
      </c>
      <c r="C302" s="3">
        <f>VLOOKUP(D302, [1]Sheet1!K:X, 14, FALSE)</f>
        <v>41200084</v>
      </c>
      <c r="D302" s="6" t="s">
        <v>1846</v>
      </c>
      <c r="E302" s="3" t="s">
        <v>4360</v>
      </c>
      <c r="F302" s="3" t="s">
        <v>4223</v>
      </c>
      <c r="G302" s="3" t="str">
        <f t="shared" si="17"/>
        <v>SINGLE</v>
      </c>
      <c r="H302" s="197">
        <f t="shared" si="16"/>
        <v>9</v>
      </c>
      <c r="I302" s="197">
        <v>2</v>
      </c>
      <c r="J302" s="197">
        <v>28</v>
      </c>
      <c r="K302" s="186">
        <f t="shared" si="18"/>
        <v>45716</v>
      </c>
      <c r="L302" s="3" t="s">
        <v>4104</v>
      </c>
      <c r="N302" s="3" t="str">
        <f t="shared" si="19"/>
        <v>NG</v>
      </c>
      <c r="O302" s="3" t="s">
        <v>1568</v>
      </c>
      <c r="Q302" s="3">
        <v>1110092700</v>
      </c>
      <c r="R302" s="3" t="s">
        <v>2862</v>
      </c>
      <c r="S302" s="3" t="s">
        <v>4420</v>
      </c>
      <c r="T302" s="3" t="s">
        <v>4421</v>
      </c>
    </row>
    <row r="303" spans="1:21" s="2" customFormat="1">
      <c r="A303" s="3">
        <v>5450</v>
      </c>
      <c r="B303" s="82">
        <f t="array" ref="B303">SUM(--(FREQUENCY(IF(C$2:C$3071=C303, MATCH(D$2:D$3071, D$2:D$3071, 0)), ROW(D$2:D$3071)-ROW(D$2)+1) &gt; 0))</f>
        <v>6</v>
      </c>
      <c r="C303" s="3">
        <f>VLOOKUP(D303, [1]Sheet1!K:X, 14, FALSE)</f>
        <v>41200084</v>
      </c>
      <c r="D303" s="6" t="s">
        <v>1845</v>
      </c>
      <c r="E303" s="3" t="s">
        <v>4360</v>
      </c>
      <c r="F303" s="3" t="s">
        <v>4223</v>
      </c>
      <c r="G303" s="3" t="str">
        <f t="shared" si="17"/>
        <v>SINGLE</v>
      </c>
      <c r="H303" s="197">
        <f t="shared" si="16"/>
        <v>9</v>
      </c>
      <c r="I303" s="197">
        <v>2</v>
      </c>
      <c r="J303" s="197">
        <v>28</v>
      </c>
      <c r="K303" s="186">
        <f t="shared" si="18"/>
        <v>45716</v>
      </c>
      <c r="L303" s="3" t="s">
        <v>4104</v>
      </c>
      <c r="M303" s="3"/>
      <c r="N303" s="3" t="str">
        <f t="shared" si="19"/>
        <v>NG</v>
      </c>
      <c r="O303" s="3" t="s">
        <v>1568</v>
      </c>
      <c r="P303" s="3"/>
      <c r="Q303" s="3">
        <v>1110092700</v>
      </c>
      <c r="R303" s="3" t="s">
        <v>2862</v>
      </c>
      <c r="S303" s="3" t="s">
        <v>4420</v>
      </c>
      <c r="T303" s="3" t="s">
        <v>4421</v>
      </c>
      <c r="U303" s="3"/>
    </row>
    <row r="304" spans="1:21">
      <c r="A304" s="3">
        <v>5450</v>
      </c>
      <c r="B304" s="82">
        <f t="array" ref="B304">SUM(--(FREQUENCY(IF(C$2:C$3071=C304, MATCH(D$2:D$3071, D$2:D$3071, 0)), ROW(D$2:D$3071)-ROW(D$2)+1) &gt; 0))</f>
        <v>6</v>
      </c>
      <c r="C304" s="3">
        <f>VLOOKUP(D304, [1]Sheet1!K:X, 14, FALSE)</f>
        <v>41200084</v>
      </c>
      <c r="D304" s="6" t="s">
        <v>1844</v>
      </c>
      <c r="E304" s="3" t="s">
        <v>4360</v>
      </c>
      <c r="F304" s="3" t="s">
        <v>4223</v>
      </c>
      <c r="G304" s="3" t="str">
        <f t="shared" si="17"/>
        <v>SINGLE</v>
      </c>
      <c r="H304" s="197">
        <f t="shared" si="16"/>
        <v>9</v>
      </c>
      <c r="I304" s="197">
        <v>2</v>
      </c>
      <c r="J304" s="197">
        <v>28</v>
      </c>
      <c r="K304" s="186">
        <f t="shared" si="18"/>
        <v>45716</v>
      </c>
      <c r="N304" s="3" t="str">
        <f t="shared" si="19"/>
        <v/>
      </c>
    </row>
    <row r="305" spans="1:21">
      <c r="A305" s="3">
        <v>5450</v>
      </c>
      <c r="B305" s="82">
        <f t="array" ref="B305">SUM(--(FREQUENCY(IF(C$2:C$3071=C305, MATCH(D$2:D$3071, D$2:D$3071, 0)), ROW(D$2:D$3071)-ROW(D$2)+1) &gt; 0))</f>
        <v>6</v>
      </c>
      <c r="C305" s="3">
        <f>VLOOKUP(D305, [1]Sheet1!K:X, 14, FALSE)</f>
        <v>41200084</v>
      </c>
      <c r="D305" s="6" t="s">
        <v>4422</v>
      </c>
      <c r="E305" s="3" t="s">
        <v>4360</v>
      </c>
      <c r="F305" s="3" t="s">
        <v>4223</v>
      </c>
      <c r="G305" s="3" t="str">
        <f t="shared" si="17"/>
        <v>SINGLE</v>
      </c>
      <c r="H305" s="197">
        <f t="shared" si="16"/>
        <v>9</v>
      </c>
      <c r="I305" s="197">
        <v>2</v>
      </c>
      <c r="J305" s="197">
        <v>28</v>
      </c>
      <c r="K305" s="186">
        <f t="shared" si="18"/>
        <v>45716</v>
      </c>
      <c r="L305" s="3" t="s">
        <v>4104</v>
      </c>
      <c r="N305" s="3" t="str">
        <f t="shared" si="19"/>
        <v>NG</v>
      </c>
      <c r="O305" s="3" t="s">
        <v>1568</v>
      </c>
      <c r="Q305" s="3">
        <v>1110092700</v>
      </c>
      <c r="R305" s="3" t="s">
        <v>2862</v>
      </c>
      <c r="S305" s="3" t="s">
        <v>4420</v>
      </c>
      <c r="T305" s="3" t="s">
        <v>4421</v>
      </c>
    </row>
    <row r="306" spans="1:21">
      <c r="A306" s="3">
        <v>5469</v>
      </c>
      <c r="B306" s="82">
        <f t="array" ref="B306">SUM(--(FREQUENCY(IF(C$2:C$3071=C306, MATCH(D$2:D$3071, D$2:D$3071, 0)), ROW(D$2:D$3071)-ROW(D$2)+1) &gt; 0))</f>
        <v>22</v>
      </c>
      <c r="C306" s="3">
        <f>VLOOKUP(D306, [1]Sheet1!K:X, 14, FALSE)</f>
        <v>41000598</v>
      </c>
      <c r="D306" s="6" t="s">
        <v>1850</v>
      </c>
      <c r="E306" s="3" t="s">
        <v>2365</v>
      </c>
      <c r="F306" s="3" t="s">
        <v>4181</v>
      </c>
      <c r="G306" s="3" t="str">
        <f t="shared" si="17"/>
        <v>DUAL</v>
      </c>
      <c r="H306" s="197">
        <f t="shared" si="16"/>
        <v>9</v>
      </c>
      <c r="I306" s="197">
        <v>2</v>
      </c>
      <c r="J306" s="197">
        <v>28</v>
      </c>
      <c r="K306" s="186">
        <f t="shared" si="18"/>
        <v>45716</v>
      </c>
      <c r="N306" s="3" t="str">
        <f t="shared" si="19"/>
        <v/>
      </c>
    </row>
    <row r="307" spans="1:21">
      <c r="A307" s="3">
        <v>5469</v>
      </c>
      <c r="B307" s="82">
        <f t="array" ref="B307">SUM(--(FREQUENCY(IF(C$2:C$3071=C307, MATCH(D$2:D$3071, D$2:D$3071, 0)), ROW(D$2:D$3071)-ROW(D$2)+1) &gt; 0))</f>
        <v>22</v>
      </c>
      <c r="C307" s="3">
        <f>VLOOKUP(D307, [1]Sheet1!K:X, 14, FALSE)</f>
        <v>41000598</v>
      </c>
      <c r="D307" s="6" t="s">
        <v>4423</v>
      </c>
      <c r="E307" s="3" t="s">
        <v>2365</v>
      </c>
      <c r="F307" s="3" t="s">
        <v>4181</v>
      </c>
      <c r="G307" s="3" t="str">
        <f t="shared" si="17"/>
        <v>DUAL</v>
      </c>
      <c r="H307" s="197">
        <f t="shared" si="16"/>
        <v>9</v>
      </c>
      <c r="I307" s="197">
        <v>2</v>
      </c>
      <c r="J307" s="197">
        <v>28</v>
      </c>
      <c r="K307" s="186">
        <f t="shared" si="18"/>
        <v>45716</v>
      </c>
      <c r="N307" s="3" t="str">
        <f t="shared" si="19"/>
        <v/>
      </c>
    </row>
    <row r="308" spans="1:21">
      <c r="A308" s="3">
        <v>5490</v>
      </c>
      <c r="B308" s="82">
        <f t="array" ref="B308">SUM(--(FREQUENCY(IF(C$2:C$3071=C308, MATCH(D$2:D$3071, D$2:D$3071, 0)), ROW(D$2:D$3071)-ROW(D$2)+1) &gt; 0))</f>
        <v>17</v>
      </c>
      <c r="C308" s="3">
        <f>VLOOKUP(D308, [1]Sheet1!K:X, 14, FALSE)</f>
        <v>41000558</v>
      </c>
      <c r="D308" s="6" t="s">
        <v>4424</v>
      </c>
      <c r="E308" s="3" t="s">
        <v>4326</v>
      </c>
      <c r="F308" s="3" t="s">
        <v>4279</v>
      </c>
      <c r="G308" s="3" t="str">
        <f t="shared" si="17"/>
        <v>SINGLE</v>
      </c>
      <c r="H308" s="197">
        <f t="shared" si="16"/>
        <v>10</v>
      </c>
      <c r="I308" s="197">
        <v>3</v>
      </c>
      <c r="J308" s="197">
        <v>4</v>
      </c>
      <c r="K308" s="186">
        <f t="shared" si="18"/>
        <v>45720</v>
      </c>
      <c r="N308" s="3" t="str">
        <f t="shared" si="19"/>
        <v/>
      </c>
    </row>
    <row r="309" spans="1:21">
      <c r="A309" s="14">
        <v>5464</v>
      </c>
      <c r="B309" s="82">
        <f t="array" ref="B309">SUM(--(FREQUENCY(IF(C$2:C$3071=C309, MATCH(D$2:D$3071, D$2:D$3071, 0)), ROW(D$2:D$3071)-ROW(D$2)+1) &gt; 0))</f>
        <v>26</v>
      </c>
      <c r="C309" s="14">
        <f>VLOOKUP(D309, [1]Sheet1!K:X, 14, FALSE)</f>
        <v>41000590</v>
      </c>
      <c r="D309" s="6" t="s">
        <v>4425</v>
      </c>
      <c r="E309" s="14" t="s">
        <v>2365</v>
      </c>
      <c r="F309" s="14" t="s">
        <v>4165</v>
      </c>
      <c r="G309" s="3" t="str">
        <f t="shared" si="17"/>
        <v>SINGLE</v>
      </c>
      <c r="H309" s="197">
        <f t="shared" si="16"/>
        <v>10</v>
      </c>
      <c r="I309" s="201">
        <v>3</v>
      </c>
      <c r="J309" s="201">
        <v>4</v>
      </c>
      <c r="K309" s="186">
        <f t="shared" si="18"/>
        <v>45720</v>
      </c>
      <c r="L309" s="14" t="s">
        <v>4104</v>
      </c>
      <c r="M309" s="14"/>
      <c r="N309" s="3" t="str">
        <f t="shared" si="19"/>
        <v>NG</v>
      </c>
      <c r="O309" s="14" t="s">
        <v>1568</v>
      </c>
      <c r="P309" s="14"/>
      <c r="Q309" s="14">
        <v>1100228300</v>
      </c>
      <c r="R309" s="14" t="s">
        <v>4105</v>
      </c>
      <c r="S309" s="14" t="s">
        <v>4408</v>
      </c>
      <c r="T309" s="14" t="s">
        <v>4426</v>
      </c>
      <c r="U309" s="14"/>
    </row>
    <row r="310" spans="1:21" s="15" customFormat="1">
      <c r="A310" s="14">
        <v>5464</v>
      </c>
      <c r="B310" s="82">
        <f t="array" ref="B310">SUM(--(FREQUENCY(IF(C$2:C$3071=C310, MATCH(D$2:D$3071, D$2:D$3071, 0)), ROW(D$2:D$3071)-ROW(D$2)+1) &gt; 0))</f>
        <v>26</v>
      </c>
      <c r="C310" s="14">
        <f>VLOOKUP(D310, [1]Sheet1!K:X, 14, FALSE)</f>
        <v>41000590</v>
      </c>
      <c r="D310" s="6" t="s">
        <v>4425</v>
      </c>
      <c r="E310" s="14" t="s">
        <v>2365</v>
      </c>
      <c r="F310" s="14" t="s">
        <v>4165</v>
      </c>
      <c r="G310" s="3" t="str">
        <f t="shared" si="17"/>
        <v>SINGLE</v>
      </c>
      <c r="H310" s="197">
        <f t="shared" si="16"/>
        <v>10</v>
      </c>
      <c r="I310" s="201">
        <v>3</v>
      </c>
      <c r="J310" s="201">
        <v>4</v>
      </c>
      <c r="K310" s="186">
        <f t="shared" si="18"/>
        <v>45720</v>
      </c>
      <c r="L310" s="14" t="s">
        <v>4104</v>
      </c>
      <c r="M310" s="14"/>
      <c r="N310" s="3" t="str">
        <f t="shared" si="19"/>
        <v>NG</v>
      </c>
      <c r="O310" s="14" t="s">
        <v>1568</v>
      </c>
      <c r="P310" s="14"/>
      <c r="Q310" s="14">
        <v>1100668900</v>
      </c>
      <c r="R310" s="14" t="s">
        <v>4288</v>
      </c>
      <c r="S310" s="14" t="s">
        <v>4415</v>
      </c>
      <c r="T310" s="14"/>
      <c r="U310" s="14"/>
    </row>
    <row r="311" spans="1:21" s="15" customFormat="1">
      <c r="A311" s="3">
        <v>5464</v>
      </c>
      <c r="B311" s="82">
        <f t="array" ref="B311">SUM(--(FREQUENCY(IF(C$2:C$3071=C311, MATCH(D$2:D$3071, D$2:D$3071, 0)), ROW(D$2:D$3071)-ROW(D$2)+1) &gt; 0))</f>
        <v>26</v>
      </c>
      <c r="C311" s="3">
        <f>VLOOKUP(D311, [1]Sheet1!K:X, 14, FALSE)</f>
        <v>41000590</v>
      </c>
      <c r="D311" s="6" t="s">
        <v>4427</v>
      </c>
      <c r="E311" s="3" t="s">
        <v>2365</v>
      </c>
      <c r="F311" s="3" t="s">
        <v>4165</v>
      </c>
      <c r="G311" s="3" t="str">
        <f t="shared" si="17"/>
        <v>SINGLE</v>
      </c>
      <c r="H311" s="197">
        <f t="shared" si="16"/>
        <v>10</v>
      </c>
      <c r="I311" s="197">
        <v>3</v>
      </c>
      <c r="J311" s="197">
        <v>4</v>
      </c>
      <c r="K311" s="186">
        <f t="shared" si="18"/>
        <v>45720</v>
      </c>
      <c r="L311" s="3"/>
      <c r="M311" s="3"/>
      <c r="N311" s="3" t="str">
        <f t="shared" si="19"/>
        <v/>
      </c>
      <c r="O311" s="3"/>
      <c r="P311" s="3"/>
      <c r="Q311" s="3"/>
      <c r="R311" s="3"/>
      <c r="S311" s="3"/>
      <c r="T311" s="3"/>
      <c r="U311" s="3"/>
    </row>
    <row r="312" spans="1:21">
      <c r="A312" s="3">
        <v>5474</v>
      </c>
      <c r="B312" s="82">
        <f t="array" ref="B312">SUM(--(FREQUENCY(IF(C$2:C$3071=C312, MATCH(D$2:D$3071, D$2:D$3071, 0)), ROW(D$2:D$3071)-ROW(D$2)+1) &gt; 0))</f>
        <v>26</v>
      </c>
      <c r="C312" s="3">
        <f>VLOOKUP(D312, [1]Sheet1!K:X, 14, FALSE)</f>
        <v>41000590</v>
      </c>
      <c r="D312" s="6" t="s">
        <v>1856</v>
      </c>
      <c r="E312" s="3" t="s">
        <v>2365</v>
      </c>
      <c r="F312" s="3" t="s">
        <v>4165</v>
      </c>
      <c r="G312" s="3" t="str">
        <f t="shared" si="17"/>
        <v>SINGLE</v>
      </c>
      <c r="H312" s="197">
        <f t="shared" si="16"/>
        <v>10</v>
      </c>
      <c r="I312" s="197">
        <v>3</v>
      </c>
      <c r="J312" s="197">
        <v>4</v>
      </c>
      <c r="K312" s="186">
        <f t="shared" si="18"/>
        <v>45720</v>
      </c>
      <c r="N312" s="3" t="str">
        <f t="shared" si="19"/>
        <v/>
      </c>
    </row>
    <row r="313" spans="1:21">
      <c r="A313" s="3">
        <v>5474</v>
      </c>
      <c r="B313" s="82">
        <f t="array" ref="B313">SUM(--(FREQUENCY(IF(C$2:C$3071=C313, MATCH(D$2:D$3071, D$2:D$3071, 0)), ROW(D$2:D$3071)-ROW(D$2)+1) &gt; 0))</f>
        <v>26</v>
      </c>
      <c r="C313" s="3">
        <f>VLOOKUP(D313, [1]Sheet1!K:X, 14, FALSE)</f>
        <v>41000590</v>
      </c>
      <c r="D313" s="6" t="s">
        <v>4428</v>
      </c>
      <c r="E313" s="3" t="s">
        <v>2365</v>
      </c>
      <c r="F313" s="3" t="s">
        <v>4165</v>
      </c>
      <c r="G313" s="3" t="str">
        <f t="shared" si="17"/>
        <v>SINGLE</v>
      </c>
      <c r="H313" s="197">
        <f t="shared" si="16"/>
        <v>10</v>
      </c>
      <c r="I313" s="197">
        <v>3</v>
      </c>
      <c r="J313" s="197">
        <v>4</v>
      </c>
      <c r="K313" s="186">
        <f t="shared" si="18"/>
        <v>45720</v>
      </c>
      <c r="N313" s="3" t="str">
        <f t="shared" si="19"/>
        <v/>
      </c>
    </row>
    <row r="314" spans="1:21">
      <c r="A314" s="14">
        <v>5496</v>
      </c>
      <c r="B314" s="82">
        <f t="array" ref="B314">SUM(--(FREQUENCY(IF(C$2:C$3071=C314, MATCH(D$2:D$3071, D$2:D$3071, 0)), ROW(D$2:D$3071)-ROW(D$2)+1) &gt; 0))</f>
        <v>26</v>
      </c>
      <c r="C314" s="14">
        <f>VLOOKUP(D314, [1]Sheet1!K:X, 14, FALSE)</f>
        <v>41200074</v>
      </c>
      <c r="D314" s="6" t="s">
        <v>1852</v>
      </c>
      <c r="E314" s="14" t="s">
        <v>2365</v>
      </c>
      <c r="F314" s="14" t="s">
        <v>2366</v>
      </c>
      <c r="G314" s="3" t="str">
        <f t="shared" si="17"/>
        <v>DUAL</v>
      </c>
      <c r="H314" s="197">
        <f t="shared" si="16"/>
        <v>10</v>
      </c>
      <c r="I314" s="201">
        <v>3</v>
      </c>
      <c r="J314" s="201">
        <v>4</v>
      </c>
      <c r="K314" s="186">
        <f t="shared" si="18"/>
        <v>45720</v>
      </c>
      <c r="L314" s="14" t="s">
        <v>2381</v>
      </c>
      <c r="M314" s="14"/>
      <c r="N314" s="3" t="str">
        <f t="shared" si="19"/>
        <v>NG</v>
      </c>
      <c r="O314" s="14" t="s">
        <v>1568</v>
      </c>
      <c r="P314" s="14"/>
      <c r="Q314" s="14">
        <v>1110047700</v>
      </c>
      <c r="R314" s="14" t="s">
        <v>4429</v>
      </c>
      <c r="S314" s="14" t="s">
        <v>4430</v>
      </c>
      <c r="T314" s="14"/>
      <c r="U314" s="14"/>
    </row>
    <row r="315" spans="1:21" s="15" customFormat="1">
      <c r="A315" s="14">
        <v>5496</v>
      </c>
      <c r="B315" s="82">
        <f t="array" ref="B315">SUM(--(FREQUENCY(IF(C$2:C$3071=C315, MATCH(D$2:D$3071, D$2:D$3071, 0)), ROW(D$2:D$3071)-ROW(D$2)+1) &gt; 0))</f>
        <v>26</v>
      </c>
      <c r="C315" s="14">
        <f>VLOOKUP(D315, [1]Sheet1!K:X, 14, FALSE)</f>
        <v>41200074</v>
      </c>
      <c r="D315" s="6" t="s">
        <v>1852</v>
      </c>
      <c r="E315" s="14" t="s">
        <v>2365</v>
      </c>
      <c r="F315" s="14" t="s">
        <v>2366</v>
      </c>
      <c r="G315" s="3" t="str">
        <f t="shared" si="17"/>
        <v>DUAL</v>
      </c>
      <c r="H315" s="197">
        <f t="shared" si="16"/>
        <v>10</v>
      </c>
      <c r="I315" s="201">
        <v>3</v>
      </c>
      <c r="J315" s="201">
        <v>4</v>
      </c>
      <c r="K315" s="186">
        <f t="shared" si="18"/>
        <v>45720</v>
      </c>
      <c r="L315" s="14" t="s">
        <v>2381</v>
      </c>
      <c r="M315" s="14"/>
      <c r="N315" s="3" t="str">
        <f t="shared" si="19"/>
        <v>NG</v>
      </c>
      <c r="O315" s="14" t="s">
        <v>1568</v>
      </c>
      <c r="P315" s="14"/>
      <c r="Q315" s="14">
        <v>1100228300</v>
      </c>
      <c r="R315" s="14" t="s">
        <v>4105</v>
      </c>
      <c r="S315" s="14" t="s">
        <v>4408</v>
      </c>
      <c r="T315" s="14" t="s">
        <v>4431</v>
      </c>
      <c r="U315" s="14"/>
    </row>
    <row r="316" spans="1:21" s="15" customFormat="1">
      <c r="A316" s="3">
        <v>5496</v>
      </c>
      <c r="B316" s="82">
        <f t="array" ref="B316">SUM(--(FREQUENCY(IF(C$2:C$3071=C316, MATCH(D$2:D$3071, D$2:D$3071, 0)), ROW(D$2:D$3071)-ROW(D$2)+1) &gt; 0))</f>
        <v>26</v>
      </c>
      <c r="C316" s="3">
        <f>VLOOKUP(D316, [1]Sheet1!K:X, 14, FALSE)</f>
        <v>41200074</v>
      </c>
      <c r="D316" s="6" t="s">
        <v>4432</v>
      </c>
      <c r="E316" s="3" t="s">
        <v>2365</v>
      </c>
      <c r="F316" s="3" t="s">
        <v>2366</v>
      </c>
      <c r="G316" s="3" t="str">
        <f t="shared" si="17"/>
        <v>DUAL</v>
      </c>
      <c r="H316" s="197">
        <f t="shared" si="16"/>
        <v>10</v>
      </c>
      <c r="I316" s="197">
        <v>3</v>
      </c>
      <c r="J316" s="197">
        <v>4</v>
      </c>
      <c r="K316" s="186">
        <f t="shared" si="18"/>
        <v>45720</v>
      </c>
      <c r="L316" s="3" t="s">
        <v>2381</v>
      </c>
      <c r="M316" s="3"/>
      <c r="N316" s="3" t="str">
        <f t="shared" si="19"/>
        <v>NG</v>
      </c>
      <c r="O316" s="3" t="s">
        <v>1568</v>
      </c>
      <c r="P316" s="3"/>
      <c r="Q316" s="3">
        <v>1100228300</v>
      </c>
      <c r="R316" s="3" t="s">
        <v>4105</v>
      </c>
      <c r="S316" s="3" t="s">
        <v>4408</v>
      </c>
      <c r="T316" s="3" t="s">
        <v>4150</v>
      </c>
      <c r="U316" s="3"/>
    </row>
    <row r="317" spans="1:21">
      <c r="A317" s="3">
        <v>5470</v>
      </c>
      <c r="B317" s="82">
        <f t="array" ref="B317">SUM(--(FREQUENCY(IF(C$2:C$3071=C317, MATCH(D$2:D$3071, D$2:D$3071, 0)), ROW(D$2:D$3071)-ROW(D$2)+1) &gt; 0))</f>
        <v>11</v>
      </c>
      <c r="C317" s="3">
        <f>VLOOKUP(D317, [1]Sheet1!K:X, 14, FALSE)</f>
        <v>41000588</v>
      </c>
      <c r="D317" s="6" t="s">
        <v>4433</v>
      </c>
      <c r="E317" s="3" t="s">
        <v>2365</v>
      </c>
      <c r="F317" s="3" t="s">
        <v>4130</v>
      </c>
      <c r="G317" s="3" t="str">
        <f t="shared" si="17"/>
        <v>DUAL</v>
      </c>
      <c r="H317" s="197">
        <f t="shared" si="16"/>
        <v>10</v>
      </c>
      <c r="I317" s="197">
        <v>3</v>
      </c>
      <c r="J317" s="197">
        <v>4</v>
      </c>
      <c r="K317" s="186">
        <f t="shared" si="18"/>
        <v>45720</v>
      </c>
      <c r="L317" s="3" t="s">
        <v>2381</v>
      </c>
      <c r="N317" s="3" t="str">
        <f t="shared" si="19"/>
        <v>NG</v>
      </c>
      <c r="O317" s="3" t="s">
        <v>1568</v>
      </c>
      <c r="Q317" s="3">
        <v>1301323300</v>
      </c>
      <c r="R317" s="3" t="s">
        <v>4434</v>
      </c>
      <c r="S317" s="3" t="s">
        <v>4435</v>
      </c>
    </row>
    <row r="318" spans="1:21">
      <c r="A318" s="3">
        <v>5465</v>
      </c>
      <c r="B318" s="82">
        <f t="array" ref="B318">SUM(--(FREQUENCY(IF(C$2:C$3071=C318, MATCH(D$2:D$3071, D$2:D$3071, 0)), ROW(D$2:D$3071)-ROW(D$2)+1) &gt; 0))</f>
        <v>22</v>
      </c>
      <c r="C318" s="3">
        <f>VLOOKUP(D318, [1]Sheet1!K:X, 14, FALSE)</f>
        <v>41000598</v>
      </c>
      <c r="D318" s="6" t="s">
        <v>1863</v>
      </c>
      <c r="E318" s="3" t="s">
        <v>2365</v>
      </c>
      <c r="F318" s="3" t="s">
        <v>4181</v>
      </c>
      <c r="G318" s="3" t="str">
        <f t="shared" si="17"/>
        <v>DUAL</v>
      </c>
      <c r="H318" s="197">
        <f t="shared" si="16"/>
        <v>10</v>
      </c>
      <c r="I318" s="197">
        <v>3</v>
      </c>
      <c r="J318" s="197">
        <v>5</v>
      </c>
      <c r="K318" s="186">
        <f t="shared" si="18"/>
        <v>45721</v>
      </c>
      <c r="N318" s="3" t="str">
        <f t="shared" si="19"/>
        <v/>
      </c>
    </row>
    <row r="319" spans="1:21">
      <c r="A319" s="3">
        <v>5465</v>
      </c>
      <c r="B319" s="82">
        <f t="array" ref="B319">SUM(--(FREQUENCY(IF(C$2:C$3071=C319, MATCH(D$2:D$3071, D$2:D$3071, 0)), ROW(D$2:D$3071)-ROW(D$2)+1) &gt; 0))</f>
        <v>22</v>
      </c>
      <c r="C319" s="3">
        <f>VLOOKUP(D319, [1]Sheet1!K:X, 14, FALSE)</f>
        <v>41000598</v>
      </c>
      <c r="D319" s="6" t="s">
        <v>1862</v>
      </c>
      <c r="E319" s="3" t="s">
        <v>2365</v>
      </c>
      <c r="F319" s="3" t="s">
        <v>4181</v>
      </c>
      <c r="G319" s="3" t="str">
        <f t="shared" si="17"/>
        <v>DUAL</v>
      </c>
      <c r="H319" s="197">
        <f t="shared" si="16"/>
        <v>10</v>
      </c>
      <c r="I319" s="197">
        <v>3</v>
      </c>
      <c r="J319" s="197">
        <v>5</v>
      </c>
      <c r="K319" s="186">
        <f t="shared" si="18"/>
        <v>45721</v>
      </c>
      <c r="N319" s="3" t="str">
        <f t="shared" si="19"/>
        <v/>
      </c>
    </row>
    <row r="320" spans="1:21">
      <c r="A320" s="3">
        <v>5465</v>
      </c>
      <c r="B320" s="82">
        <f t="array" ref="B320">SUM(--(FREQUENCY(IF(C$2:C$3071=C320, MATCH(D$2:D$3071, D$2:D$3071, 0)), ROW(D$2:D$3071)-ROW(D$2)+1) &gt; 0))</f>
        <v>22</v>
      </c>
      <c r="C320" s="3">
        <f>VLOOKUP(D320, [1]Sheet1!K:X, 14, FALSE)</f>
        <v>41000598</v>
      </c>
      <c r="D320" s="6" t="s">
        <v>1861</v>
      </c>
      <c r="E320" s="3" t="s">
        <v>2365</v>
      </c>
      <c r="F320" s="3" t="s">
        <v>4181</v>
      </c>
      <c r="G320" s="3" t="str">
        <f t="shared" si="17"/>
        <v>DUAL</v>
      </c>
      <c r="H320" s="197">
        <f t="shared" si="16"/>
        <v>10</v>
      </c>
      <c r="I320" s="197">
        <v>3</v>
      </c>
      <c r="J320" s="197">
        <v>5</v>
      </c>
      <c r="K320" s="186">
        <f t="shared" si="18"/>
        <v>45721</v>
      </c>
      <c r="N320" s="3" t="str">
        <f t="shared" si="19"/>
        <v/>
      </c>
    </row>
    <row r="321" spans="1:21">
      <c r="A321" s="3">
        <v>5465</v>
      </c>
      <c r="B321" s="82">
        <f t="array" ref="B321">SUM(--(FREQUENCY(IF(C$2:C$3071=C321, MATCH(D$2:D$3071, D$2:D$3071, 0)), ROW(D$2:D$3071)-ROW(D$2)+1) &gt; 0))</f>
        <v>22</v>
      </c>
      <c r="C321" s="3">
        <f>VLOOKUP(D321, [1]Sheet1!K:X, 14, FALSE)</f>
        <v>41000598</v>
      </c>
      <c r="D321" s="6" t="s">
        <v>4436</v>
      </c>
      <c r="E321" s="3" t="s">
        <v>2365</v>
      </c>
      <c r="F321" s="3" t="s">
        <v>4181</v>
      </c>
      <c r="G321" s="3" t="str">
        <f t="shared" si="17"/>
        <v>DUAL</v>
      </c>
      <c r="H321" s="197">
        <f t="shared" ref="H321:H384" si="20">WEEKNUM(K321)</f>
        <v>10</v>
      </c>
      <c r="I321" s="197">
        <v>3</v>
      </c>
      <c r="J321" s="197">
        <v>5</v>
      </c>
      <c r="K321" s="186">
        <f t="shared" si="18"/>
        <v>45721</v>
      </c>
      <c r="N321" s="3" t="str">
        <f t="shared" si="19"/>
        <v/>
      </c>
    </row>
    <row r="322" spans="1:21">
      <c r="A322" s="3">
        <v>5350</v>
      </c>
      <c r="B322" s="82">
        <f t="array" ref="B322">SUM(--(FREQUENCY(IF(C$2:C$3071=C322, MATCH(D$2:D$3071, D$2:D$3071, 0)), ROW(D$2:D$3071)-ROW(D$2)+1) &gt; 0))</f>
        <v>19</v>
      </c>
      <c r="C322" s="3">
        <f>VLOOKUP(D322, [1]Sheet1!K:X, 14, FALSE)</f>
        <v>41100320</v>
      </c>
      <c r="D322" s="6" t="s">
        <v>4437</v>
      </c>
      <c r="E322" s="3" t="s">
        <v>4102</v>
      </c>
      <c r="F322" s="3" t="s">
        <v>4112</v>
      </c>
      <c r="G322" s="3" t="str">
        <f t="shared" ref="G322:G385" si="21">IF(OR(ISNUMBER(SEARCH("DUAL",F322)), ISNUMBER(SEARCH("IVAS",F322))), "DUAL", "SINGLE")</f>
        <v>DUAL</v>
      </c>
      <c r="H322" s="197">
        <f t="shared" si="20"/>
        <v>10</v>
      </c>
      <c r="I322" s="197">
        <v>3</v>
      </c>
      <c r="J322" s="197">
        <v>5</v>
      </c>
      <c r="K322" s="186">
        <f t="shared" ref="K322:K385" si="22">DATE(2025, I322, J322)</f>
        <v>45721</v>
      </c>
      <c r="N322" s="3" t="str">
        <f t="shared" ref="N322:N385" si="23">IF(O322&lt;&gt;"", "NG", "")</f>
        <v/>
      </c>
    </row>
    <row r="323" spans="1:21">
      <c r="A323" s="3">
        <v>5355</v>
      </c>
      <c r="B323" s="82">
        <f t="array" ref="B323">SUM(--(FREQUENCY(IF(C$2:C$3071=C323, MATCH(D$2:D$3071, D$2:D$3071, 0)), ROW(D$2:D$3071)-ROW(D$2)+1) &gt; 0))</f>
        <v>41</v>
      </c>
      <c r="C323" s="3">
        <f>VLOOKUP(D323, [1]Sheet1!K:X, 14, FALSE)</f>
        <v>41200101</v>
      </c>
      <c r="D323" s="6" t="s">
        <v>4438</v>
      </c>
      <c r="E323" s="3" t="s">
        <v>4102</v>
      </c>
      <c r="F323" s="3" t="s">
        <v>4112</v>
      </c>
      <c r="G323" s="3" t="str">
        <f t="shared" si="21"/>
        <v>DUAL</v>
      </c>
      <c r="H323" s="197">
        <f t="shared" si="20"/>
        <v>10</v>
      </c>
      <c r="I323" s="197">
        <v>3</v>
      </c>
      <c r="J323" s="197">
        <v>5</v>
      </c>
      <c r="K323" s="186">
        <f t="shared" si="22"/>
        <v>45721</v>
      </c>
      <c r="N323" s="3" t="str">
        <f t="shared" si="23"/>
        <v/>
      </c>
    </row>
    <row r="324" spans="1:21">
      <c r="A324" s="3">
        <v>5504</v>
      </c>
      <c r="B324" s="82">
        <f t="array" ref="B324">SUM(--(FREQUENCY(IF(C$2:C$3071=C324, MATCH(D$2:D$3071, D$2:D$3071, 0)), ROW(D$2:D$3071)-ROW(D$2)+1) &gt; 0))</f>
        <v>44</v>
      </c>
      <c r="C324" s="3">
        <f>VLOOKUP(D324, [1]Sheet1!K:X, 14, FALSE)</f>
        <v>41200108</v>
      </c>
      <c r="D324" s="6" t="s">
        <v>1868</v>
      </c>
      <c r="E324" s="3" t="s">
        <v>4326</v>
      </c>
      <c r="F324" s="3" t="s">
        <v>4119</v>
      </c>
      <c r="G324" s="3" t="str">
        <f t="shared" si="21"/>
        <v>SINGLE</v>
      </c>
      <c r="H324" s="197">
        <f t="shared" si="20"/>
        <v>10</v>
      </c>
      <c r="I324" s="197">
        <v>3</v>
      </c>
      <c r="J324" s="197">
        <v>6</v>
      </c>
      <c r="K324" s="186">
        <f t="shared" si="22"/>
        <v>45722</v>
      </c>
      <c r="N324" s="3" t="str">
        <f t="shared" si="23"/>
        <v/>
      </c>
    </row>
    <row r="325" spans="1:21">
      <c r="A325" s="3">
        <v>5504</v>
      </c>
      <c r="B325" s="82">
        <f t="array" ref="B325">SUM(--(FREQUENCY(IF(C$2:C$3071=C325, MATCH(D$2:D$3071, D$2:D$3071, 0)), ROW(D$2:D$3071)-ROW(D$2)+1) &gt; 0))</f>
        <v>44</v>
      </c>
      <c r="C325" s="3">
        <f>VLOOKUP(D325, [1]Sheet1!K:X, 14, FALSE)</f>
        <v>41200108</v>
      </c>
      <c r="D325" s="6" t="s">
        <v>1867</v>
      </c>
      <c r="E325" s="3" t="s">
        <v>4326</v>
      </c>
      <c r="F325" s="3" t="s">
        <v>4119</v>
      </c>
      <c r="G325" s="3" t="str">
        <f t="shared" si="21"/>
        <v>SINGLE</v>
      </c>
      <c r="H325" s="197">
        <f t="shared" si="20"/>
        <v>10</v>
      </c>
      <c r="I325" s="197">
        <v>3</v>
      </c>
      <c r="J325" s="197">
        <v>6</v>
      </c>
      <c r="K325" s="186">
        <f t="shared" si="22"/>
        <v>45722</v>
      </c>
      <c r="N325" s="3" t="str">
        <f t="shared" si="23"/>
        <v/>
      </c>
    </row>
    <row r="326" spans="1:21">
      <c r="A326" s="3">
        <v>5504</v>
      </c>
      <c r="B326" s="82">
        <f t="array" ref="B326">SUM(--(FREQUENCY(IF(C$2:C$3071=C326, MATCH(D$2:D$3071, D$2:D$3071, 0)), ROW(D$2:D$3071)-ROW(D$2)+1) &gt; 0))</f>
        <v>44</v>
      </c>
      <c r="C326" s="3">
        <f>VLOOKUP(D326, [1]Sheet1!K:X, 14, FALSE)</f>
        <v>41200108</v>
      </c>
      <c r="D326" s="6" t="s">
        <v>4439</v>
      </c>
      <c r="E326" s="3" t="s">
        <v>4326</v>
      </c>
      <c r="F326" s="3" t="s">
        <v>4119</v>
      </c>
      <c r="G326" s="3" t="str">
        <f t="shared" si="21"/>
        <v>SINGLE</v>
      </c>
      <c r="H326" s="197">
        <f t="shared" si="20"/>
        <v>10</v>
      </c>
      <c r="I326" s="197">
        <v>3</v>
      </c>
      <c r="J326" s="197">
        <v>6</v>
      </c>
      <c r="K326" s="186">
        <f t="shared" si="22"/>
        <v>45722</v>
      </c>
      <c r="N326" s="3" t="str">
        <f t="shared" si="23"/>
        <v/>
      </c>
    </row>
    <row r="327" spans="1:21">
      <c r="A327" s="14">
        <v>5462</v>
      </c>
      <c r="B327" s="82">
        <f t="array" ref="B327">SUM(--(FREQUENCY(IF(C$2:C$3071=C327, MATCH(D$2:D$3071, D$2:D$3071, 0)), ROW(D$2:D$3071)-ROW(D$2)+1) &gt; 0))</f>
        <v>16</v>
      </c>
      <c r="C327" s="14">
        <v>41200096</v>
      </c>
      <c r="D327" s="6" t="s">
        <v>1872</v>
      </c>
      <c r="E327" s="14" t="s">
        <v>4326</v>
      </c>
      <c r="F327" s="14" t="s">
        <v>4119</v>
      </c>
      <c r="G327" s="3" t="str">
        <f t="shared" si="21"/>
        <v>SINGLE</v>
      </c>
      <c r="H327" s="197">
        <f t="shared" si="20"/>
        <v>10</v>
      </c>
      <c r="I327" s="201">
        <v>3</v>
      </c>
      <c r="J327" s="201">
        <v>6</v>
      </c>
      <c r="K327" s="186">
        <f t="shared" si="22"/>
        <v>45722</v>
      </c>
      <c r="L327" s="14" t="s">
        <v>2381</v>
      </c>
      <c r="M327" s="14" t="s">
        <v>2383</v>
      </c>
      <c r="N327" s="3" t="str">
        <f t="shared" si="23"/>
        <v>NG</v>
      </c>
      <c r="O327" s="14" t="s">
        <v>1568</v>
      </c>
      <c r="P327" s="14"/>
      <c r="Q327" s="14">
        <v>11000200</v>
      </c>
      <c r="R327" s="14" t="s">
        <v>816</v>
      </c>
      <c r="S327" s="14" t="s">
        <v>4440</v>
      </c>
      <c r="T327" s="14"/>
      <c r="U327" s="14"/>
    </row>
    <row r="328" spans="1:21">
      <c r="A328" s="14">
        <v>5462</v>
      </c>
      <c r="B328" s="82">
        <f t="array" ref="B328">SUM(--(FREQUENCY(IF(C$2:C$3071=C328, MATCH(D$2:D$3071, D$2:D$3071, 0)), ROW(D$2:D$3071)-ROW(D$2)+1) &gt; 0))</f>
        <v>16</v>
      </c>
      <c r="C328" s="14">
        <v>41200096</v>
      </c>
      <c r="D328" s="6" t="s">
        <v>1872</v>
      </c>
      <c r="E328" s="14" t="s">
        <v>4326</v>
      </c>
      <c r="F328" s="14" t="s">
        <v>4119</v>
      </c>
      <c r="G328" s="3" t="str">
        <f t="shared" si="21"/>
        <v>SINGLE</v>
      </c>
      <c r="H328" s="197">
        <f t="shared" si="20"/>
        <v>10</v>
      </c>
      <c r="I328" s="201">
        <v>3</v>
      </c>
      <c r="J328" s="201">
        <v>6</v>
      </c>
      <c r="K328" s="186">
        <f t="shared" si="22"/>
        <v>45722</v>
      </c>
      <c r="L328" s="14" t="s">
        <v>2381</v>
      </c>
      <c r="M328" s="14" t="s">
        <v>2383</v>
      </c>
      <c r="N328" s="3" t="str">
        <f t="shared" si="23"/>
        <v>NG</v>
      </c>
      <c r="O328" s="14" t="s">
        <v>1568</v>
      </c>
      <c r="P328" s="14"/>
      <c r="Q328" s="14">
        <v>11000311</v>
      </c>
      <c r="R328" s="14" t="s">
        <v>473</v>
      </c>
      <c r="S328" s="14" t="s">
        <v>4441</v>
      </c>
      <c r="T328" s="14"/>
      <c r="U328" s="14"/>
    </row>
    <row r="329" spans="1:21">
      <c r="A329" s="3">
        <v>5462</v>
      </c>
      <c r="B329" s="82">
        <f t="array" ref="B329">SUM(--(FREQUENCY(IF(C$2:C$3071=C329, MATCH(D$2:D$3071, D$2:D$3071, 0)), ROW(D$2:D$3071)-ROW(D$2)+1) &gt; 0))</f>
        <v>16</v>
      </c>
      <c r="C329" s="3">
        <v>41200096</v>
      </c>
      <c r="D329" s="6" t="s">
        <v>1871</v>
      </c>
      <c r="E329" s="3" t="s">
        <v>4326</v>
      </c>
      <c r="F329" s="3" t="s">
        <v>4119</v>
      </c>
      <c r="G329" s="3" t="str">
        <f t="shared" si="21"/>
        <v>SINGLE</v>
      </c>
      <c r="H329" s="197">
        <f t="shared" si="20"/>
        <v>10</v>
      </c>
      <c r="I329" s="197">
        <v>3</v>
      </c>
      <c r="J329" s="197">
        <v>6</v>
      </c>
      <c r="K329" s="186">
        <f t="shared" si="22"/>
        <v>45722</v>
      </c>
      <c r="L329" s="3" t="s">
        <v>2381</v>
      </c>
      <c r="M329" s="3" t="s">
        <v>2383</v>
      </c>
      <c r="N329" s="3" t="str">
        <f t="shared" si="23"/>
        <v>NG</v>
      </c>
      <c r="O329" s="3" t="s">
        <v>1568</v>
      </c>
      <c r="Q329" s="3">
        <v>11001434</v>
      </c>
      <c r="R329" s="3" t="s">
        <v>407</v>
      </c>
      <c r="S329" s="3" t="s">
        <v>4442</v>
      </c>
    </row>
    <row r="330" spans="1:21">
      <c r="A330" s="3">
        <v>5462</v>
      </c>
      <c r="B330" s="82">
        <f t="array" ref="B330">SUM(--(FREQUENCY(IF(C$2:C$3071=C330, MATCH(D$2:D$3071, D$2:D$3071, 0)), ROW(D$2:D$3071)-ROW(D$2)+1) &gt; 0))</f>
        <v>16</v>
      </c>
      <c r="C330" s="3">
        <v>41200096</v>
      </c>
      <c r="D330" s="6" t="s">
        <v>1870</v>
      </c>
      <c r="E330" s="3" t="s">
        <v>4326</v>
      </c>
      <c r="F330" s="3" t="s">
        <v>4119</v>
      </c>
      <c r="G330" s="3" t="str">
        <f t="shared" si="21"/>
        <v>SINGLE</v>
      </c>
      <c r="H330" s="197">
        <f t="shared" si="20"/>
        <v>10</v>
      </c>
      <c r="I330" s="197">
        <v>3</v>
      </c>
      <c r="J330" s="197">
        <v>6</v>
      </c>
      <c r="K330" s="186">
        <f t="shared" si="22"/>
        <v>45722</v>
      </c>
      <c r="L330" s="3" t="s">
        <v>2381</v>
      </c>
      <c r="M330" s="3" t="s">
        <v>2383</v>
      </c>
      <c r="N330" s="3" t="str">
        <f t="shared" si="23"/>
        <v>NG</v>
      </c>
      <c r="O330" s="3" t="s">
        <v>1568</v>
      </c>
      <c r="Q330" s="3">
        <v>11000311</v>
      </c>
      <c r="R330" s="3" t="s">
        <v>473</v>
      </c>
      <c r="S330" s="3" t="s">
        <v>4443</v>
      </c>
    </row>
    <row r="331" spans="1:21">
      <c r="A331" s="3">
        <v>5462</v>
      </c>
      <c r="B331" s="82">
        <f t="array" ref="B331">SUM(--(FREQUENCY(IF(C$2:C$3071=C331, MATCH(D$2:D$3071, D$2:D$3071, 0)), ROW(D$2:D$3071)-ROW(D$2)+1) &gt; 0))</f>
        <v>16</v>
      </c>
      <c r="C331" s="3">
        <v>41200096</v>
      </c>
      <c r="D331" s="6" t="s">
        <v>4444</v>
      </c>
      <c r="E331" s="3" t="s">
        <v>4326</v>
      </c>
      <c r="F331" s="3" t="s">
        <v>4119</v>
      </c>
      <c r="G331" s="3" t="str">
        <f t="shared" si="21"/>
        <v>SINGLE</v>
      </c>
      <c r="H331" s="197">
        <f t="shared" si="20"/>
        <v>10</v>
      </c>
      <c r="I331" s="197">
        <v>3</v>
      </c>
      <c r="J331" s="197">
        <v>6</v>
      </c>
      <c r="K331" s="186">
        <f t="shared" si="22"/>
        <v>45722</v>
      </c>
      <c r="L331" s="3" t="s">
        <v>2381</v>
      </c>
      <c r="M331" s="3" t="s">
        <v>2383</v>
      </c>
      <c r="N331" s="3" t="str">
        <f t="shared" si="23"/>
        <v>NG</v>
      </c>
      <c r="O331" s="3" t="s">
        <v>1568</v>
      </c>
      <c r="Q331" s="3">
        <v>11000311</v>
      </c>
      <c r="R331" s="3" t="s">
        <v>473</v>
      </c>
      <c r="S331" s="3" t="s">
        <v>4443</v>
      </c>
    </row>
    <row r="332" spans="1:21" s="15" customFormat="1">
      <c r="A332" s="3">
        <v>5473</v>
      </c>
      <c r="B332" s="82">
        <f t="array" ref="B332">SUM(--(FREQUENCY(IF(C$2:C$3071=C332, MATCH(D$2:D$3071, D$2:D$3071, 0)), ROW(D$2:D$3071)-ROW(D$2)+1) &gt; 0))</f>
        <v>3</v>
      </c>
      <c r="C332" s="3">
        <f>VLOOKUP(D332, [1]Sheet1!K:X, 14, FALSE)</f>
        <v>41200117</v>
      </c>
      <c r="D332" s="6" t="s">
        <v>1865</v>
      </c>
      <c r="E332" s="3" t="s">
        <v>4360</v>
      </c>
      <c r="F332" s="3" t="s">
        <v>4181</v>
      </c>
      <c r="G332" s="3" t="str">
        <f t="shared" si="21"/>
        <v>DUAL</v>
      </c>
      <c r="H332" s="197">
        <f t="shared" si="20"/>
        <v>10</v>
      </c>
      <c r="I332" s="197">
        <v>3</v>
      </c>
      <c r="J332" s="197">
        <v>6</v>
      </c>
      <c r="K332" s="186">
        <f t="shared" si="22"/>
        <v>45722</v>
      </c>
      <c r="L332" s="3"/>
      <c r="M332" s="3"/>
      <c r="N332" s="3" t="str">
        <f t="shared" si="23"/>
        <v/>
      </c>
      <c r="O332" s="3"/>
      <c r="P332" s="3"/>
      <c r="Q332" s="3"/>
      <c r="R332" s="3"/>
      <c r="S332" s="3"/>
      <c r="T332" s="3"/>
      <c r="U332" s="3"/>
    </row>
    <row r="333" spans="1:21" s="15" customFormat="1">
      <c r="A333" s="3">
        <v>5473</v>
      </c>
      <c r="B333" s="82">
        <f t="array" ref="B333">SUM(--(FREQUENCY(IF(C$2:C$3071=C333, MATCH(D$2:D$3071, D$2:D$3071, 0)), ROW(D$2:D$3071)-ROW(D$2)+1) &gt; 0))</f>
        <v>3</v>
      </c>
      <c r="C333" s="3">
        <f>VLOOKUP(D333, [1]Sheet1!K:X, 14, FALSE)</f>
        <v>41200117</v>
      </c>
      <c r="D333" s="6" t="s">
        <v>4445</v>
      </c>
      <c r="E333" s="3" t="s">
        <v>4360</v>
      </c>
      <c r="F333" s="3" t="s">
        <v>4181</v>
      </c>
      <c r="G333" s="3" t="str">
        <f t="shared" si="21"/>
        <v>DUAL</v>
      </c>
      <c r="H333" s="197">
        <f t="shared" si="20"/>
        <v>10</v>
      </c>
      <c r="I333" s="197">
        <v>3</v>
      </c>
      <c r="J333" s="197">
        <v>6</v>
      </c>
      <c r="K333" s="186">
        <f t="shared" si="22"/>
        <v>45722</v>
      </c>
      <c r="L333" s="3"/>
      <c r="M333" s="3"/>
      <c r="N333" s="3" t="str">
        <f t="shared" si="23"/>
        <v/>
      </c>
      <c r="O333" s="3"/>
      <c r="P333" s="3"/>
      <c r="Q333" s="3"/>
      <c r="R333" s="3"/>
      <c r="S333" s="3"/>
      <c r="T333" s="3"/>
      <c r="U333" s="3"/>
    </row>
    <row r="334" spans="1:21">
      <c r="A334" s="3">
        <v>5504</v>
      </c>
      <c r="B334" s="82">
        <f t="array" ref="B334">SUM(--(FREQUENCY(IF(C$2:C$3071=C334, MATCH(D$2:D$3071, D$2:D$3071, 0)), ROW(D$2:D$3071)-ROW(D$2)+1) &gt; 0))</f>
        <v>44</v>
      </c>
      <c r="C334" s="3">
        <v>41200108</v>
      </c>
      <c r="D334" s="6" t="s">
        <v>1874</v>
      </c>
      <c r="E334" s="3" t="s">
        <v>4326</v>
      </c>
      <c r="F334" s="3" t="s">
        <v>4119</v>
      </c>
      <c r="G334" s="3" t="str">
        <f t="shared" si="21"/>
        <v>SINGLE</v>
      </c>
      <c r="H334" s="197">
        <f t="shared" si="20"/>
        <v>10</v>
      </c>
      <c r="I334" s="197">
        <v>3</v>
      </c>
      <c r="J334" s="197">
        <v>7</v>
      </c>
      <c r="K334" s="186">
        <f t="shared" si="22"/>
        <v>45723</v>
      </c>
      <c r="L334" s="3" t="s">
        <v>4104</v>
      </c>
      <c r="M334" s="3" t="s">
        <v>2367</v>
      </c>
      <c r="N334" s="3" t="str">
        <f t="shared" si="23"/>
        <v/>
      </c>
    </row>
    <row r="335" spans="1:21">
      <c r="A335" s="3">
        <v>5504</v>
      </c>
      <c r="B335" s="82">
        <f t="array" ref="B335">SUM(--(FREQUENCY(IF(C$2:C$3071=C335, MATCH(D$2:D$3071, D$2:D$3071, 0)), ROW(D$2:D$3071)-ROW(D$2)+1) &gt; 0))</f>
        <v>44</v>
      </c>
      <c r="C335" s="3">
        <v>41200108</v>
      </c>
      <c r="D335" s="6" t="s">
        <v>4446</v>
      </c>
      <c r="E335" s="3" t="s">
        <v>4326</v>
      </c>
      <c r="F335" s="3" t="s">
        <v>4119</v>
      </c>
      <c r="G335" s="3" t="str">
        <f t="shared" si="21"/>
        <v>SINGLE</v>
      </c>
      <c r="H335" s="197">
        <f t="shared" si="20"/>
        <v>10</v>
      </c>
      <c r="I335" s="197">
        <v>3</v>
      </c>
      <c r="J335" s="197">
        <v>7</v>
      </c>
      <c r="K335" s="186">
        <f t="shared" si="22"/>
        <v>45723</v>
      </c>
      <c r="L335" s="3" t="s">
        <v>4104</v>
      </c>
      <c r="M335" s="3" t="s">
        <v>2367</v>
      </c>
      <c r="N335" s="3" t="str">
        <f t="shared" si="23"/>
        <v/>
      </c>
    </row>
    <row r="336" spans="1:21">
      <c r="A336" s="3">
        <v>5349</v>
      </c>
      <c r="B336" s="82">
        <f t="array" ref="B336">SUM(--(FREQUENCY(IF(C$2:C$3071=C336, MATCH(D$2:D$3071, D$2:D$3071, 0)), ROW(D$2:D$3071)-ROW(D$2)+1) &gt; 0))</f>
        <v>6</v>
      </c>
      <c r="C336" s="3">
        <v>41100334</v>
      </c>
      <c r="D336" s="6" t="s">
        <v>4447</v>
      </c>
      <c r="E336" s="3" t="s">
        <v>4102</v>
      </c>
      <c r="F336" s="3" t="s">
        <v>4112</v>
      </c>
      <c r="G336" s="3" t="str">
        <f t="shared" si="21"/>
        <v>DUAL</v>
      </c>
      <c r="H336" s="197">
        <f t="shared" si="20"/>
        <v>10</v>
      </c>
      <c r="I336" s="197">
        <v>3</v>
      </c>
      <c r="J336" s="197">
        <v>7</v>
      </c>
      <c r="K336" s="186">
        <f t="shared" si="22"/>
        <v>45723</v>
      </c>
      <c r="L336" s="3" t="s">
        <v>2381</v>
      </c>
      <c r="M336" s="3" t="s">
        <v>2388</v>
      </c>
      <c r="N336" s="3" t="str">
        <f t="shared" si="23"/>
        <v/>
      </c>
    </row>
    <row r="337" spans="1:21">
      <c r="A337" s="3">
        <v>5350</v>
      </c>
      <c r="B337" s="82">
        <f t="array" ref="B337">SUM(--(FREQUENCY(IF(C$2:C$3071=C337, MATCH(D$2:D$3071, D$2:D$3071, 0)), ROW(D$2:D$3071)-ROW(D$2)+1) &gt; 0))</f>
        <v>19</v>
      </c>
      <c r="C337" s="3">
        <v>41100320</v>
      </c>
      <c r="D337" s="6" t="s">
        <v>4448</v>
      </c>
      <c r="E337" s="3" t="s">
        <v>4102</v>
      </c>
      <c r="F337" s="3" t="s">
        <v>4112</v>
      </c>
      <c r="G337" s="3" t="str">
        <f t="shared" si="21"/>
        <v>DUAL</v>
      </c>
      <c r="H337" s="197">
        <f t="shared" si="20"/>
        <v>10</v>
      </c>
      <c r="I337" s="197">
        <v>3</v>
      </c>
      <c r="J337" s="197">
        <v>7</v>
      </c>
      <c r="K337" s="186">
        <f t="shared" si="22"/>
        <v>45723</v>
      </c>
      <c r="L337" s="3" t="s">
        <v>2381</v>
      </c>
      <c r="M337" s="3" t="s">
        <v>2367</v>
      </c>
      <c r="N337" s="3" t="str">
        <f t="shared" si="23"/>
        <v/>
      </c>
    </row>
    <row r="338" spans="1:21" s="2" customFormat="1">
      <c r="A338" s="6">
        <v>5462</v>
      </c>
      <c r="B338" s="82">
        <f t="array" ref="B338">SUM(--(FREQUENCY(IF(C$2:C$3071=C338, MATCH(D$2:D$3071, D$2:D$3071, 0)), ROW(D$2:D$3071)-ROW(D$2)+1) &gt; 0))</f>
        <v>16</v>
      </c>
      <c r="C338" s="6">
        <v>41200096</v>
      </c>
      <c r="D338" s="6" t="s">
        <v>1879</v>
      </c>
      <c r="E338" s="6" t="s">
        <v>4326</v>
      </c>
      <c r="F338" s="6" t="s">
        <v>4119</v>
      </c>
      <c r="G338" s="3" t="str">
        <f t="shared" si="21"/>
        <v>SINGLE</v>
      </c>
      <c r="H338" s="197">
        <f t="shared" si="20"/>
        <v>11</v>
      </c>
      <c r="I338" s="199">
        <v>3</v>
      </c>
      <c r="J338" s="199">
        <v>10</v>
      </c>
      <c r="K338" s="186">
        <f t="shared" si="22"/>
        <v>45726</v>
      </c>
      <c r="L338" s="6" t="s">
        <v>2381</v>
      </c>
      <c r="M338" s="6" t="s">
        <v>2383</v>
      </c>
      <c r="N338" s="3" t="str">
        <f t="shared" si="23"/>
        <v>NG</v>
      </c>
      <c r="O338" s="6" t="s">
        <v>1568</v>
      </c>
      <c r="P338" s="6"/>
      <c r="Q338" s="6">
        <v>11100175</v>
      </c>
      <c r="R338" s="6" t="s">
        <v>4449</v>
      </c>
      <c r="S338" s="6" t="s">
        <v>4450</v>
      </c>
      <c r="T338" s="6"/>
      <c r="U338" s="6"/>
    </row>
    <row r="339" spans="1:21" s="2" customFormat="1">
      <c r="A339" s="6">
        <v>5462</v>
      </c>
      <c r="B339" s="82">
        <f t="array" ref="B339">SUM(--(FREQUENCY(IF(C$2:C$3071=C339, MATCH(D$2:D$3071, D$2:D$3071, 0)), ROW(D$2:D$3071)-ROW(D$2)+1) &gt; 0))</f>
        <v>16</v>
      </c>
      <c r="C339" s="6">
        <v>41200096</v>
      </c>
      <c r="D339" s="6" t="s">
        <v>1878</v>
      </c>
      <c r="E339" s="6" t="s">
        <v>4326</v>
      </c>
      <c r="F339" s="6" t="s">
        <v>4119</v>
      </c>
      <c r="G339" s="3" t="str">
        <f t="shared" si="21"/>
        <v>SINGLE</v>
      </c>
      <c r="H339" s="197">
        <f t="shared" si="20"/>
        <v>11</v>
      </c>
      <c r="I339" s="199">
        <v>3</v>
      </c>
      <c r="J339" s="199">
        <v>10</v>
      </c>
      <c r="K339" s="186">
        <f t="shared" si="22"/>
        <v>45726</v>
      </c>
      <c r="L339" s="6" t="s">
        <v>2381</v>
      </c>
      <c r="M339" s="6" t="s">
        <v>2383</v>
      </c>
      <c r="N339" s="3" t="str">
        <f t="shared" si="23"/>
        <v/>
      </c>
      <c r="O339" s="6"/>
      <c r="P339" s="6"/>
      <c r="Q339" s="6"/>
      <c r="R339" s="6"/>
      <c r="S339" s="6"/>
      <c r="T339" s="6"/>
      <c r="U339" s="6"/>
    </row>
    <row r="340" spans="1:21" s="2" customFormat="1">
      <c r="A340" s="6">
        <v>5462</v>
      </c>
      <c r="B340" s="82">
        <f t="array" ref="B340">SUM(--(FREQUENCY(IF(C$2:C$3071=C340, MATCH(D$2:D$3071, D$2:D$3071, 0)), ROW(D$2:D$3071)-ROW(D$2)+1) &gt; 0))</f>
        <v>16</v>
      </c>
      <c r="C340" s="6">
        <v>41200096</v>
      </c>
      <c r="D340" s="6" t="s">
        <v>1877</v>
      </c>
      <c r="E340" s="6" t="s">
        <v>4326</v>
      </c>
      <c r="F340" s="6" t="s">
        <v>4119</v>
      </c>
      <c r="G340" s="3" t="str">
        <f t="shared" si="21"/>
        <v>SINGLE</v>
      </c>
      <c r="H340" s="197">
        <f t="shared" si="20"/>
        <v>11</v>
      </c>
      <c r="I340" s="199">
        <v>3</v>
      </c>
      <c r="J340" s="199">
        <v>10</v>
      </c>
      <c r="K340" s="186">
        <f t="shared" si="22"/>
        <v>45726</v>
      </c>
      <c r="L340" s="6" t="s">
        <v>2381</v>
      </c>
      <c r="M340" s="6" t="s">
        <v>2383</v>
      </c>
      <c r="N340" s="3" t="str">
        <f t="shared" si="23"/>
        <v/>
      </c>
      <c r="O340" s="6"/>
      <c r="P340" s="6"/>
      <c r="Q340" s="6"/>
      <c r="R340" s="6"/>
      <c r="S340" s="6"/>
      <c r="T340" s="6"/>
      <c r="U340" s="6"/>
    </row>
    <row r="341" spans="1:21" s="2" customFormat="1">
      <c r="A341" s="6">
        <v>5462</v>
      </c>
      <c r="B341" s="82">
        <f t="array" ref="B341">SUM(--(FREQUENCY(IF(C$2:C$3071=C341, MATCH(D$2:D$3071, D$2:D$3071, 0)), ROW(D$2:D$3071)-ROW(D$2)+1) &gt; 0))</f>
        <v>16</v>
      </c>
      <c r="C341" s="6">
        <v>41200096</v>
      </c>
      <c r="D341" s="6" t="s">
        <v>4451</v>
      </c>
      <c r="E341" s="6" t="s">
        <v>4326</v>
      </c>
      <c r="F341" s="6" t="s">
        <v>4119</v>
      </c>
      <c r="G341" s="3" t="str">
        <f t="shared" si="21"/>
        <v>SINGLE</v>
      </c>
      <c r="H341" s="197">
        <f t="shared" si="20"/>
        <v>11</v>
      </c>
      <c r="I341" s="199">
        <v>3</v>
      </c>
      <c r="J341" s="199">
        <v>10</v>
      </c>
      <c r="K341" s="186">
        <f t="shared" si="22"/>
        <v>45726</v>
      </c>
      <c r="L341" s="6" t="s">
        <v>2381</v>
      </c>
      <c r="M341" s="6" t="s">
        <v>2383</v>
      </c>
      <c r="N341" s="3" t="str">
        <f t="shared" si="23"/>
        <v/>
      </c>
      <c r="O341" s="6"/>
      <c r="P341" s="6"/>
      <c r="Q341" s="6"/>
      <c r="R341" s="6"/>
      <c r="S341" s="6"/>
      <c r="T341" s="6"/>
      <c r="U341" s="6"/>
    </row>
    <row r="342" spans="1:21">
      <c r="A342" s="14">
        <v>5355</v>
      </c>
      <c r="B342" s="82">
        <f t="array" ref="B342">SUM(--(FREQUENCY(IF(C$2:C$3071=C342, MATCH(D$2:D$3071, D$2:D$3071, 0)), ROW(D$2:D$3071)-ROW(D$2)+1) &gt; 0))</f>
        <v>41</v>
      </c>
      <c r="C342" s="14">
        <v>41200101</v>
      </c>
      <c r="D342" s="6" t="s">
        <v>1882</v>
      </c>
      <c r="E342" s="14" t="s">
        <v>4102</v>
      </c>
      <c r="F342" s="14" t="s">
        <v>4112</v>
      </c>
      <c r="G342" s="3" t="str">
        <f t="shared" si="21"/>
        <v>DUAL</v>
      </c>
      <c r="H342" s="197">
        <f t="shared" si="20"/>
        <v>11</v>
      </c>
      <c r="I342" s="201">
        <v>3</v>
      </c>
      <c r="J342" s="201">
        <v>10</v>
      </c>
      <c r="K342" s="186">
        <f t="shared" si="22"/>
        <v>45726</v>
      </c>
      <c r="L342" s="14" t="s">
        <v>2381</v>
      </c>
      <c r="M342" s="14" t="s">
        <v>2388</v>
      </c>
      <c r="N342" s="3" t="str">
        <f t="shared" si="23"/>
        <v>NG</v>
      </c>
      <c r="O342" s="14" t="s">
        <v>1568</v>
      </c>
      <c r="P342" s="14"/>
      <c r="Q342" s="14">
        <v>11101795</v>
      </c>
      <c r="R342" s="14" t="s">
        <v>4452</v>
      </c>
      <c r="S342" s="14" t="s">
        <v>4453</v>
      </c>
      <c r="T342" s="14" t="s">
        <v>4454</v>
      </c>
      <c r="U342" s="14"/>
    </row>
    <row r="343" spans="1:21">
      <c r="A343" s="14">
        <v>5355</v>
      </c>
      <c r="B343" s="82">
        <f t="array" ref="B343">SUM(--(FREQUENCY(IF(C$2:C$3071=C343, MATCH(D$2:D$3071, D$2:D$3071, 0)), ROW(D$2:D$3071)-ROW(D$2)+1) &gt; 0))</f>
        <v>41</v>
      </c>
      <c r="C343" s="14">
        <v>41200101</v>
      </c>
      <c r="D343" s="6" t="s">
        <v>1882</v>
      </c>
      <c r="E343" s="14" t="s">
        <v>4102</v>
      </c>
      <c r="F343" s="14" t="s">
        <v>4112</v>
      </c>
      <c r="G343" s="3" t="str">
        <f t="shared" si="21"/>
        <v>DUAL</v>
      </c>
      <c r="H343" s="197">
        <f t="shared" si="20"/>
        <v>11</v>
      </c>
      <c r="I343" s="201">
        <v>3</v>
      </c>
      <c r="J343" s="201">
        <v>10</v>
      </c>
      <c r="K343" s="186">
        <f t="shared" si="22"/>
        <v>45726</v>
      </c>
      <c r="L343" s="14" t="s">
        <v>2381</v>
      </c>
      <c r="M343" s="14" t="s">
        <v>2388</v>
      </c>
      <c r="N343" s="3" t="str">
        <f t="shared" si="23"/>
        <v>NG</v>
      </c>
      <c r="O343" s="14" t="s">
        <v>1568</v>
      </c>
      <c r="P343" s="14"/>
      <c r="Q343" s="14">
        <v>11101795</v>
      </c>
      <c r="R343" s="14" t="s">
        <v>4452</v>
      </c>
      <c r="S343" s="14" t="s">
        <v>4453</v>
      </c>
      <c r="T343" s="14" t="s">
        <v>4455</v>
      </c>
      <c r="U343" s="14"/>
    </row>
    <row r="344" spans="1:21">
      <c r="A344" s="3">
        <v>5355</v>
      </c>
      <c r="B344" s="82">
        <f t="array" ref="B344">SUM(--(FREQUENCY(IF(C$2:C$3071=C344, MATCH(D$2:D$3071, D$2:D$3071, 0)), ROW(D$2:D$3071)-ROW(D$2)+1) &gt; 0))</f>
        <v>41</v>
      </c>
      <c r="C344" s="3">
        <v>41200101</v>
      </c>
      <c r="D344" s="6" t="s">
        <v>1881</v>
      </c>
      <c r="E344" s="3" t="s">
        <v>4102</v>
      </c>
      <c r="F344" s="3" t="s">
        <v>4112</v>
      </c>
      <c r="G344" s="3" t="str">
        <f t="shared" si="21"/>
        <v>DUAL</v>
      </c>
      <c r="H344" s="197">
        <f t="shared" si="20"/>
        <v>11</v>
      </c>
      <c r="I344" s="197">
        <v>3</v>
      </c>
      <c r="J344" s="197">
        <v>10</v>
      </c>
      <c r="K344" s="186">
        <f t="shared" si="22"/>
        <v>45726</v>
      </c>
      <c r="L344" s="3" t="s">
        <v>2381</v>
      </c>
      <c r="M344" s="3" t="s">
        <v>2388</v>
      </c>
      <c r="N344" s="3" t="str">
        <f t="shared" si="23"/>
        <v>NG</v>
      </c>
      <c r="O344" s="6" t="s">
        <v>1568</v>
      </c>
      <c r="P344" s="6"/>
      <c r="Q344" s="3">
        <v>11000136</v>
      </c>
      <c r="R344" s="3" t="s">
        <v>4456</v>
      </c>
      <c r="S344" s="3" t="s">
        <v>4457</v>
      </c>
      <c r="T344" s="3" t="s">
        <v>4455</v>
      </c>
    </row>
    <row r="345" spans="1:21" s="15" customFormat="1">
      <c r="A345" s="3">
        <v>5355</v>
      </c>
      <c r="B345" s="82">
        <f t="array" ref="B345">SUM(--(FREQUENCY(IF(C$2:C$3071=C345, MATCH(D$2:D$3071, D$2:D$3071, 0)), ROW(D$2:D$3071)-ROW(D$2)+1) &gt; 0))</f>
        <v>41</v>
      </c>
      <c r="C345" s="3">
        <v>41200101</v>
      </c>
      <c r="D345" s="6" t="s">
        <v>1881</v>
      </c>
      <c r="E345" s="3" t="s">
        <v>4102</v>
      </c>
      <c r="F345" s="3" t="s">
        <v>4112</v>
      </c>
      <c r="G345" s="3" t="str">
        <f t="shared" si="21"/>
        <v>DUAL</v>
      </c>
      <c r="H345" s="197">
        <f t="shared" si="20"/>
        <v>11</v>
      </c>
      <c r="I345" s="197">
        <v>3</v>
      </c>
      <c r="J345" s="197">
        <v>10</v>
      </c>
      <c r="K345" s="186">
        <f t="shared" si="22"/>
        <v>45726</v>
      </c>
      <c r="L345" s="3" t="s">
        <v>2381</v>
      </c>
      <c r="M345" s="3" t="s">
        <v>2388</v>
      </c>
      <c r="N345" s="3" t="str">
        <f t="shared" si="23"/>
        <v>NG</v>
      </c>
      <c r="O345" s="6" t="s">
        <v>1568</v>
      </c>
      <c r="P345" s="6"/>
      <c r="Q345" s="3">
        <v>11200217</v>
      </c>
      <c r="R345" s="3" t="s">
        <v>4458</v>
      </c>
      <c r="S345" s="3" t="s">
        <v>4459</v>
      </c>
      <c r="T345" s="3" t="s">
        <v>4454</v>
      </c>
      <c r="U345" s="3"/>
    </row>
    <row r="346" spans="1:21" s="15" customFormat="1">
      <c r="A346" s="3">
        <v>5355</v>
      </c>
      <c r="B346" s="82">
        <f t="array" ref="B346">SUM(--(FREQUENCY(IF(C$2:C$3071=C346, MATCH(D$2:D$3071, D$2:D$3071, 0)), ROW(D$2:D$3071)-ROW(D$2)+1) &gt; 0))</f>
        <v>41</v>
      </c>
      <c r="C346" s="3">
        <v>41200101</v>
      </c>
      <c r="D346" s="6" t="s">
        <v>4460</v>
      </c>
      <c r="E346" s="3" t="s">
        <v>4102</v>
      </c>
      <c r="F346" s="3" t="s">
        <v>4112</v>
      </c>
      <c r="G346" s="3" t="str">
        <f t="shared" si="21"/>
        <v>DUAL</v>
      </c>
      <c r="H346" s="197">
        <f t="shared" si="20"/>
        <v>11</v>
      </c>
      <c r="I346" s="197">
        <v>3</v>
      </c>
      <c r="J346" s="197">
        <v>10</v>
      </c>
      <c r="K346" s="186">
        <f t="shared" si="22"/>
        <v>45726</v>
      </c>
      <c r="L346" s="3" t="s">
        <v>2381</v>
      </c>
      <c r="M346" s="3" t="s">
        <v>2388</v>
      </c>
      <c r="N346" s="3" t="str">
        <f t="shared" si="23"/>
        <v/>
      </c>
      <c r="O346" s="3"/>
      <c r="P346" s="3"/>
      <c r="Q346" s="3"/>
      <c r="R346" s="3"/>
      <c r="S346" s="3"/>
      <c r="T346" s="3"/>
      <c r="U346" s="3"/>
    </row>
    <row r="347" spans="1:21" s="15" customFormat="1">
      <c r="A347" s="3">
        <v>5504</v>
      </c>
      <c r="B347" s="82">
        <f t="array" ref="B347">SUM(--(FREQUENCY(IF(C$2:C$3071=C347, MATCH(D$2:D$3071, D$2:D$3071, 0)), ROW(D$2:D$3071)-ROW(D$2)+1) &gt; 0))</f>
        <v>44</v>
      </c>
      <c r="C347" s="3">
        <v>41200108</v>
      </c>
      <c r="D347" s="6" t="s">
        <v>1891</v>
      </c>
      <c r="E347" s="3" t="s">
        <v>4326</v>
      </c>
      <c r="F347" s="3" t="s">
        <v>4119</v>
      </c>
      <c r="G347" s="3" t="str">
        <f t="shared" si="21"/>
        <v>SINGLE</v>
      </c>
      <c r="H347" s="197">
        <f t="shared" si="20"/>
        <v>11</v>
      </c>
      <c r="I347" s="197">
        <v>3</v>
      </c>
      <c r="J347" s="197">
        <v>11</v>
      </c>
      <c r="K347" s="186">
        <f t="shared" si="22"/>
        <v>45727</v>
      </c>
      <c r="L347" s="3" t="s">
        <v>2367</v>
      </c>
      <c r="M347" s="3" t="s">
        <v>2388</v>
      </c>
      <c r="N347" s="3" t="str">
        <f t="shared" si="23"/>
        <v/>
      </c>
      <c r="O347" s="3"/>
      <c r="P347" s="3"/>
      <c r="Q347" s="3"/>
      <c r="R347" s="3"/>
      <c r="S347" s="3"/>
      <c r="T347" s="3"/>
      <c r="U347" s="3"/>
    </row>
    <row r="348" spans="1:21" s="15" customFormat="1">
      <c r="A348" s="3">
        <v>5504</v>
      </c>
      <c r="B348" s="82">
        <f t="array" ref="B348">SUM(--(FREQUENCY(IF(C$2:C$3071=C348, MATCH(D$2:D$3071, D$2:D$3071, 0)), ROW(D$2:D$3071)-ROW(D$2)+1) &gt; 0))</f>
        <v>44</v>
      </c>
      <c r="C348" s="3">
        <v>41200108</v>
      </c>
      <c r="D348" s="6" t="s">
        <v>1890</v>
      </c>
      <c r="E348" s="3" t="s">
        <v>4326</v>
      </c>
      <c r="F348" s="3" t="s">
        <v>4119</v>
      </c>
      <c r="G348" s="3" t="str">
        <f t="shared" si="21"/>
        <v>SINGLE</v>
      </c>
      <c r="H348" s="197">
        <f t="shared" si="20"/>
        <v>11</v>
      </c>
      <c r="I348" s="197">
        <v>3</v>
      </c>
      <c r="J348" s="197">
        <v>11</v>
      </c>
      <c r="K348" s="186">
        <f t="shared" si="22"/>
        <v>45727</v>
      </c>
      <c r="L348" s="3" t="s">
        <v>2367</v>
      </c>
      <c r="M348" s="3" t="s">
        <v>2388</v>
      </c>
      <c r="N348" s="3" t="str">
        <f t="shared" si="23"/>
        <v/>
      </c>
      <c r="O348" s="3"/>
      <c r="P348" s="3"/>
      <c r="Q348" s="3"/>
      <c r="R348" s="3"/>
      <c r="S348" s="3"/>
      <c r="T348" s="3"/>
      <c r="U348" s="3"/>
    </row>
    <row r="349" spans="1:21">
      <c r="A349" s="3">
        <v>5504</v>
      </c>
      <c r="B349" s="82">
        <f t="array" ref="B349">SUM(--(FREQUENCY(IF(C$2:C$3071=C349, MATCH(D$2:D$3071, D$2:D$3071, 0)), ROW(D$2:D$3071)-ROW(D$2)+1) &gt; 0))</f>
        <v>44</v>
      </c>
      <c r="C349" s="3">
        <v>41200108</v>
      </c>
      <c r="D349" s="6" t="s">
        <v>1889</v>
      </c>
      <c r="E349" s="3" t="s">
        <v>4326</v>
      </c>
      <c r="F349" s="3" t="s">
        <v>4119</v>
      </c>
      <c r="G349" s="3" t="str">
        <f t="shared" si="21"/>
        <v>SINGLE</v>
      </c>
      <c r="H349" s="197">
        <f t="shared" si="20"/>
        <v>11</v>
      </c>
      <c r="I349" s="197">
        <v>3</v>
      </c>
      <c r="J349" s="197">
        <v>11</v>
      </c>
      <c r="K349" s="186">
        <f t="shared" si="22"/>
        <v>45727</v>
      </c>
      <c r="L349" s="3" t="s">
        <v>2367</v>
      </c>
      <c r="M349" s="3" t="s">
        <v>2388</v>
      </c>
      <c r="N349" s="3" t="str">
        <f t="shared" si="23"/>
        <v/>
      </c>
    </row>
    <row r="350" spans="1:21">
      <c r="A350" s="3">
        <v>5504</v>
      </c>
      <c r="B350" s="82">
        <f t="array" ref="B350">SUM(--(FREQUENCY(IF(C$2:C$3071=C350, MATCH(D$2:D$3071, D$2:D$3071, 0)), ROW(D$2:D$3071)-ROW(D$2)+1) &gt; 0))</f>
        <v>44</v>
      </c>
      <c r="C350" s="3">
        <v>41200108</v>
      </c>
      <c r="D350" s="6" t="s">
        <v>1888</v>
      </c>
      <c r="E350" s="3" t="s">
        <v>4326</v>
      </c>
      <c r="F350" s="3" t="s">
        <v>4119</v>
      </c>
      <c r="G350" s="3" t="str">
        <f t="shared" si="21"/>
        <v>SINGLE</v>
      </c>
      <c r="H350" s="197">
        <f t="shared" si="20"/>
        <v>11</v>
      </c>
      <c r="I350" s="197">
        <v>3</v>
      </c>
      <c r="J350" s="197">
        <v>11</v>
      </c>
      <c r="K350" s="186">
        <f t="shared" si="22"/>
        <v>45727</v>
      </c>
      <c r="L350" s="3" t="s">
        <v>2367</v>
      </c>
      <c r="M350" s="3" t="s">
        <v>2388</v>
      </c>
      <c r="N350" s="3" t="str">
        <f t="shared" si="23"/>
        <v/>
      </c>
    </row>
    <row r="351" spans="1:21">
      <c r="A351" s="3">
        <v>5504</v>
      </c>
      <c r="B351" s="82">
        <f t="array" ref="B351">SUM(--(FREQUENCY(IF(C$2:C$3071=C351, MATCH(D$2:D$3071, D$2:D$3071, 0)), ROW(D$2:D$3071)-ROW(D$2)+1) &gt; 0))</f>
        <v>44</v>
      </c>
      <c r="C351" s="3">
        <v>41200108</v>
      </c>
      <c r="D351" s="6" t="s">
        <v>4461</v>
      </c>
      <c r="E351" s="3" t="s">
        <v>4326</v>
      </c>
      <c r="F351" s="3" t="s">
        <v>4119</v>
      </c>
      <c r="G351" s="3" t="str">
        <f t="shared" si="21"/>
        <v>SINGLE</v>
      </c>
      <c r="H351" s="197">
        <f t="shared" si="20"/>
        <v>11</v>
      </c>
      <c r="I351" s="197">
        <v>3</v>
      </c>
      <c r="J351" s="197">
        <v>11</v>
      </c>
      <c r="K351" s="186">
        <f t="shared" si="22"/>
        <v>45727</v>
      </c>
      <c r="L351" s="3" t="s">
        <v>2367</v>
      </c>
      <c r="M351" s="3" t="s">
        <v>2388</v>
      </c>
      <c r="N351" s="3" t="str">
        <f t="shared" si="23"/>
        <v/>
      </c>
    </row>
    <row r="352" spans="1:21">
      <c r="A352" s="3">
        <v>5515</v>
      </c>
      <c r="B352" s="82">
        <f t="array" ref="B352">SUM(--(FREQUENCY(IF(C$2:C$3071=C352, MATCH(D$2:D$3071, D$2:D$3071, 0)), ROW(D$2:D$3071)-ROW(D$2)+1) &gt; 0))</f>
        <v>44</v>
      </c>
      <c r="C352" s="3">
        <v>41200047</v>
      </c>
      <c r="D352" s="6" t="s">
        <v>1887</v>
      </c>
      <c r="E352" s="3" t="s">
        <v>4135</v>
      </c>
      <c r="F352" s="3" t="s">
        <v>4112</v>
      </c>
      <c r="G352" s="3" t="str">
        <f t="shared" si="21"/>
        <v>DUAL</v>
      </c>
      <c r="H352" s="197">
        <f t="shared" si="20"/>
        <v>11</v>
      </c>
      <c r="I352" s="197">
        <v>3</v>
      </c>
      <c r="J352" s="197">
        <v>11</v>
      </c>
      <c r="K352" s="186">
        <f t="shared" si="22"/>
        <v>45727</v>
      </c>
      <c r="L352" s="3" t="s">
        <v>4104</v>
      </c>
      <c r="M352" s="3" t="s">
        <v>2367</v>
      </c>
      <c r="N352" s="3" t="str">
        <f t="shared" si="23"/>
        <v>NG</v>
      </c>
      <c r="O352" s="6" t="s">
        <v>1568</v>
      </c>
      <c r="P352" s="6"/>
      <c r="Q352" s="6">
        <v>11002283</v>
      </c>
      <c r="R352" s="6" t="s">
        <v>4105</v>
      </c>
      <c r="S352" s="6" t="s">
        <v>4462</v>
      </c>
      <c r="T352" s="3" t="s">
        <v>4463</v>
      </c>
    </row>
    <row r="353" spans="1:21">
      <c r="A353" s="3">
        <v>5515</v>
      </c>
      <c r="B353" s="82">
        <f t="array" ref="B353">SUM(--(FREQUENCY(IF(C$2:C$3071=C353, MATCH(D$2:D$3071, D$2:D$3071, 0)), ROW(D$2:D$3071)-ROW(D$2)+1) &gt; 0))</f>
        <v>44</v>
      </c>
      <c r="C353" s="3">
        <v>41200047</v>
      </c>
      <c r="D353" s="6" t="s">
        <v>1886</v>
      </c>
      <c r="E353" s="3" t="s">
        <v>4135</v>
      </c>
      <c r="F353" s="3" t="s">
        <v>4112</v>
      </c>
      <c r="G353" s="3" t="str">
        <f t="shared" si="21"/>
        <v>DUAL</v>
      </c>
      <c r="H353" s="197">
        <f t="shared" si="20"/>
        <v>11</v>
      </c>
      <c r="I353" s="197">
        <v>3</v>
      </c>
      <c r="J353" s="197">
        <v>11</v>
      </c>
      <c r="K353" s="186">
        <f t="shared" si="22"/>
        <v>45727</v>
      </c>
      <c r="L353" s="3" t="s">
        <v>2381</v>
      </c>
      <c r="M353" s="3" t="s">
        <v>2367</v>
      </c>
      <c r="N353" s="3" t="str">
        <f t="shared" si="23"/>
        <v/>
      </c>
    </row>
    <row r="354" spans="1:21">
      <c r="A354" s="3">
        <v>5515</v>
      </c>
      <c r="B354" s="82">
        <f t="array" ref="B354">SUM(--(FREQUENCY(IF(C$2:C$3071=C354, MATCH(D$2:D$3071, D$2:D$3071, 0)), ROW(D$2:D$3071)-ROW(D$2)+1) &gt; 0))</f>
        <v>44</v>
      </c>
      <c r="C354" s="3">
        <v>41200047</v>
      </c>
      <c r="D354" s="6" t="s">
        <v>4464</v>
      </c>
      <c r="E354" s="3" t="s">
        <v>4135</v>
      </c>
      <c r="F354" s="3" t="s">
        <v>4112</v>
      </c>
      <c r="G354" s="3" t="str">
        <f t="shared" si="21"/>
        <v>DUAL</v>
      </c>
      <c r="H354" s="197">
        <f t="shared" si="20"/>
        <v>11</v>
      </c>
      <c r="I354" s="197">
        <v>3</v>
      </c>
      <c r="J354" s="197">
        <v>11</v>
      </c>
      <c r="K354" s="186">
        <f t="shared" si="22"/>
        <v>45727</v>
      </c>
      <c r="L354" s="3" t="s">
        <v>2381</v>
      </c>
      <c r="M354" s="3" t="s">
        <v>2367</v>
      </c>
      <c r="N354" s="3" t="str">
        <f t="shared" si="23"/>
        <v>NG</v>
      </c>
      <c r="O354" s="6" t="s">
        <v>1568</v>
      </c>
      <c r="P354" s="6"/>
      <c r="Q354" s="3">
        <v>11101549</v>
      </c>
      <c r="R354" s="22" t="s">
        <v>4465</v>
      </c>
      <c r="S354" s="3" t="s">
        <v>4466</v>
      </c>
      <c r="T354" s="3" t="s">
        <v>4455</v>
      </c>
    </row>
    <row r="355" spans="1:21">
      <c r="A355" s="3">
        <v>5466</v>
      </c>
      <c r="B355" s="82">
        <f t="array" ref="B355">SUM(--(FREQUENCY(IF(C$2:C$3071=C355, MATCH(D$2:D$3071, D$2:D$3071, 0)), ROW(D$2:D$3071)-ROW(D$2)+1) &gt; 0))</f>
        <v>7</v>
      </c>
      <c r="C355" s="3">
        <v>41200080</v>
      </c>
      <c r="D355" s="6" t="s">
        <v>1884</v>
      </c>
      <c r="E355" s="3" t="s">
        <v>2365</v>
      </c>
      <c r="F355" s="3" t="s">
        <v>4112</v>
      </c>
      <c r="G355" s="3" t="str">
        <f t="shared" si="21"/>
        <v>DUAL</v>
      </c>
      <c r="H355" s="197">
        <f t="shared" si="20"/>
        <v>11</v>
      </c>
      <c r="I355" s="197">
        <v>3</v>
      </c>
      <c r="J355" s="197">
        <v>11</v>
      </c>
      <c r="K355" s="186">
        <f t="shared" si="22"/>
        <v>45727</v>
      </c>
      <c r="L355" s="3" t="s">
        <v>2381</v>
      </c>
      <c r="M355" s="3" t="s">
        <v>2367</v>
      </c>
      <c r="N355" s="3" t="str">
        <f t="shared" si="23"/>
        <v/>
      </c>
    </row>
    <row r="356" spans="1:21">
      <c r="A356" s="14">
        <v>5466</v>
      </c>
      <c r="B356" s="82">
        <f t="array" ref="B356">SUM(--(FREQUENCY(IF(C$2:C$3071=C356, MATCH(D$2:D$3071, D$2:D$3071, 0)), ROW(D$2:D$3071)-ROW(D$2)+1) &gt; 0))</f>
        <v>7</v>
      </c>
      <c r="C356" s="14">
        <v>41200080</v>
      </c>
      <c r="D356" s="6" t="s">
        <v>4467</v>
      </c>
      <c r="E356" s="14" t="s">
        <v>2365</v>
      </c>
      <c r="F356" s="14" t="s">
        <v>4112</v>
      </c>
      <c r="G356" s="3" t="str">
        <f t="shared" si="21"/>
        <v>DUAL</v>
      </c>
      <c r="H356" s="197">
        <f t="shared" si="20"/>
        <v>11</v>
      </c>
      <c r="I356" s="201">
        <v>3</v>
      </c>
      <c r="J356" s="201">
        <v>11</v>
      </c>
      <c r="K356" s="186">
        <f t="shared" si="22"/>
        <v>45727</v>
      </c>
      <c r="L356" s="14" t="s">
        <v>2381</v>
      </c>
      <c r="M356" s="14" t="s">
        <v>2367</v>
      </c>
      <c r="N356" s="3" t="str">
        <f t="shared" si="23"/>
        <v>NG</v>
      </c>
      <c r="O356" s="14" t="s">
        <v>1568</v>
      </c>
      <c r="P356" s="14"/>
      <c r="Q356" s="14">
        <v>11100477</v>
      </c>
      <c r="R356" s="14" t="s">
        <v>69</v>
      </c>
      <c r="S356" s="14" t="s">
        <v>4468</v>
      </c>
      <c r="T356" s="14" t="s">
        <v>4454</v>
      </c>
      <c r="U356" s="14"/>
    </row>
    <row r="357" spans="1:21">
      <c r="A357" s="14">
        <v>5466</v>
      </c>
      <c r="B357" s="82">
        <f t="array" ref="B357">SUM(--(FREQUENCY(IF(C$2:C$3071=C357, MATCH(D$2:D$3071, D$2:D$3071, 0)), ROW(D$2:D$3071)-ROW(D$2)+1) &gt; 0))</f>
        <v>7</v>
      </c>
      <c r="C357" s="14">
        <v>41200080</v>
      </c>
      <c r="D357" s="6" t="s">
        <v>4467</v>
      </c>
      <c r="E357" s="14" t="s">
        <v>2365</v>
      </c>
      <c r="F357" s="14" t="s">
        <v>4112</v>
      </c>
      <c r="G357" s="3" t="str">
        <f t="shared" si="21"/>
        <v>DUAL</v>
      </c>
      <c r="H357" s="197">
        <f t="shared" si="20"/>
        <v>11</v>
      </c>
      <c r="I357" s="201">
        <v>3</v>
      </c>
      <c r="J357" s="201">
        <v>11</v>
      </c>
      <c r="K357" s="186">
        <f t="shared" si="22"/>
        <v>45727</v>
      </c>
      <c r="L357" s="14" t="s">
        <v>2381</v>
      </c>
      <c r="M357" s="14" t="s">
        <v>2367</v>
      </c>
      <c r="N357" s="3" t="str">
        <f t="shared" si="23"/>
        <v>NG</v>
      </c>
      <c r="O357" s="14" t="s">
        <v>1568</v>
      </c>
      <c r="P357" s="14"/>
      <c r="Q357" s="14">
        <v>11002283</v>
      </c>
      <c r="R357" s="14" t="s">
        <v>4105</v>
      </c>
      <c r="S357" s="14" t="s">
        <v>4469</v>
      </c>
      <c r="T357" s="14" t="s">
        <v>4470</v>
      </c>
      <c r="U357" s="14"/>
    </row>
    <row r="358" spans="1:21" s="2" customFormat="1">
      <c r="A358" s="6">
        <v>5383</v>
      </c>
      <c r="B358" s="82">
        <f t="array" ref="B358">SUM(--(FREQUENCY(IF(C$2:C$3071=C358, MATCH(D$2:D$3071, D$2:D$3071, 0)), ROW(D$2:D$3071)-ROW(D$2)+1) &gt; 0))</f>
        <v>17</v>
      </c>
      <c r="C358" s="6">
        <v>41000558</v>
      </c>
      <c r="D358" s="6" t="s">
        <v>4471</v>
      </c>
      <c r="E358" s="6" t="s">
        <v>2365</v>
      </c>
      <c r="F358" s="6" t="s">
        <v>4279</v>
      </c>
      <c r="G358" s="3" t="str">
        <f t="shared" si="21"/>
        <v>SINGLE</v>
      </c>
      <c r="H358" s="197">
        <f t="shared" si="20"/>
        <v>11</v>
      </c>
      <c r="I358" s="199">
        <v>3</v>
      </c>
      <c r="J358" s="199">
        <v>12</v>
      </c>
      <c r="K358" s="186">
        <f t="shared" si="22"/>
        <v>45728</v>
      </c>
      <c r="L358" s="6" t="s">
        <v>4472</v>
      </c>
      <c r="M358" s="6" t="s">
        <v>2388</v>
      </c>
      <c r="N358" s="3" t="str">
        <f t="shared" si="23"/>
        <v/>
      </c>
      <c r="O358" s="6"/>
      <c r="P358" s="6"/>
      <c r="Q358" s="6"/>
      <c r="R358" s="6"/>
      <c r="S358" s="6"/>
      <c r="T358" s="6"/>
      <c r="U358" s="6"/>
    </row>
    <row r="359" spans="1:21" s="2" customFormat="1">
      <c r="A359" s="6">
        <v>5383</v>
      </c>
      <c r="B359" s="82">
        <f t="array" ref="B359">SUM(--(FREQUENCY(IF(C$2:C$3071=C359, MATCH(D$2:D$3071, D$2:D$3071, 0)), ROW(D$2:D$3071)-ROW(D$2)+1) &gt; 0))</f>
        <v>17</v>
      </c>
      <c r="C359" s="6">
        <v>41000558</v>
      </c>
      <c r="D359" s="6" t="s">
        <v>4473</v>
      </c>
      <c r="E359" s="6" t="s">
        <v>2365</v>
      </c>
      <c r="F359" s="6" t="s">
        <v>4279</v>
      </c>
      <c r="G359" s="3" t="str">
        <f t="shared" si="21"/>
        <v>SINGLE</v>
      </c>
      <c r="H359" s="197">
        <f t="shared" si="20"/>
        <v>11</v>
      </c>
      <c r="I359" s="199">
        <v>3</v>
      </c>
      <c r="J359" s="199">
        <v>12</v>
      </c>
      <c r="K359" s="186">
        <f t="shared" si="22"/>
        <v>45728</v>
      </c>
      <c r="L359" s="6" t="s">
        <v>4472</v>
      </c>
      <c r="M359" s="6" t="s">
        <v>2388</v>
      </c>
      <c r="N359" s="3" t="str">
        <f t="shared" si="23"/>
        <v/>
      </c>
      <c r="O359" s="6"/>
      <c r="P359" s="6"/>
      <c r="Q359" s="6"/>
      <c r="R359" s="6"/>
      <c r="S359" s="6"/>
      <c r="T359" s="6"/>
      <c r="U359" s="6"/>
    </row>
    <row r="360" spans="1:21" s="2" customFormat="1">
      <c r="A360" s="6">
        <v>5462</v>
      </c>
      <c r="B360" s="82">
        <f t="array" ref="B360">SUM(--(FREQUENCY(IF(C$2:C$3071=C360, MATCH(D$2:D$3071, D$2:D$3071, 0)), ROW(D$2:D$3071)-ROW(D$2)+1) &gt; 0))</f>
        <v>16</v>
      </c>
      <c r="C360" s="6">
        <v>41200096</v>
      </c>
      <c r="D360" s="6" t="s">
        <v>1893</v>
      </c>
      <c r="E360" s="6" t="s">
        <v>4326</v>
      </c>
      <c r="F360" s="6" t="s">
        <v>4119</v>
      </c>
      <c r="G360" s="3" t="str">
        <f t="shared" si="21"/>
        <v>SINGLE</v>
      </c>
      <c r="H360" s="197">
        <f t="shared" si="20"/>
        <v>11</v>
      </c>
      <c r="I360" s="199">
        <v>3</v>
      </c>
      <c r="J360" s="199">
        <v>12</v>
      </c>
      <c r="K360" s="186">
        <f t="shared" si="22"/>
        <v>45728</v>
      </c>
      <c r="L360" s="6" t="s">
        <v>2381</v>
      </c>
      <c r="M360" s="6" t="s">
        <v>2383</v>
      </c>
      <c r="N360" s="3" t="str">
        <f t="shared" si="23"/>
        <v>NG</v>
      </c>
      <c r="O360" s="6" t="s">
        <v>1568</v>
      </c>
      <c r="P360" s="6"/>
      <c r="Q360" s="6">
        <v>11007507</v>
      </c>
      <c r="R360" s="6" t="s">
        <v>4474</v>
      </c>
      <c r="S360" s="6" t="s">
        <v>4475</v>
      </c>
      <c r="T360" s="6"/>
      <c r="U360" s="6"/>
    </row>
    <row r="361" spans="1:21" s="2" customFormat="1">
      <c r="A361" s="6">
        <v>5462</v>
      </c>
      <c r="B361" s="82">
        <f t="array" ref="B361">SUM(--(FREQUENCY(IF(C$2:C$3071=C361, MATCH(D$2:D$3071, D$2:D$3071, 0)), ROW(D$2:D$3071)-ROW(D$2)+1) &gt; 0))</f>
        <v>16</v>
      </c>
      <c r="C361" s="6">
        <v>41200096</v>
      </c>
      <c r="D361" s="6" t="s">
        <v>4476</v>
      </c>
      <c r="E361" s="6" t="s">
        <v>4326</v>
      </c>
      <c r="F361" s="6" t="s">
        <v>4119</v>
      </c>
      <c r="G361" s="3" t="str">
        <f t="shared" si="21"/>
        <v>SINGLE</v>
      </c>
      <c r="H361" s="197">
        <f t="shared" si="20"/>
        <v>11</v>
      </c>
      <c r="I361" s="199">
        <v>3</v>
      </c>
      <c r="J361" s="199">
        <v>12</v>
      </c>
      <c r="K361" s="186">
        <f t="shared" si="22"/>
        <v>45728</v>
      </c>
      <c r="L361" s="6" t="s">
        <v>2381</v>
      </c>
      <c r="M361" s="6" t="s">
        <v>2383</v>
      </c>
      <c r="N361" s="3" t="str">
        <f t="shared" si="23"/>
        <v/>
      </c>
      <c r="O361" s="6"/>
      <c r="P361" s="6"/>
      <c r="Q361" s="6"/>
      <c r="R361" s="6"/>
      <c r="S361" s="6"/>
      <c r="T361" s="6"/>
      <c r="U361" s="6"/>
    </row>
    <row r="362" spans="1:21" s="2" customFormat="1">
      <c r="A362" s="6">
        <v>5467</v>
      </c>
      <c r="B362" s="82">
        <f t="array" ref="B362">SUM(--(FREQUENCY(IF(C$2:C$3071=C362, MATCH(D$2:D$3071, D$2:D$3071, 0)), ROW(D$2:D$3071)-ROW(D$2)+1) &gt; 0))</f>
        <v>12</v>
      </c>
      <c r="C362" s="6">
        <v>41200027</v>
      </c>
      <c r="D362" s="6" t="s">
        <v>1895</v>
      </c>
      <c r="E362" s="6" t="s">
        <v>2365</v>
      </c>
      <c r="F362" s="6" t="s">
        <v>2380</v>
      </c>
      <c r="G362" s="3" t="str">
        <f t="shared" si="21"/>
        <v>SINGLE</v>
      </c>
      <c r="H362" s="197">
        <f t="shared" si="20"/>
        <v>11</v>
      </c>
      <c r="I362" s="199">
        <v>3</v>
      </c>
      <c r="J362" s="199">
        <v>12</v>
      </c>
      <c r="K362" s="186">
        <f t="shared" si="22"/>
        <v>45728</v>
      </c>
      <c r="L362" s="6" t="s">
        <v>2381</v>
      </c>
      <c r="M362" s="6" t="s">
        <v>2367</v>
      </c>
      <c r="N362" s="3" t="str">
        <f t="shared" si="23"/>
        <v>NG</v>
      </c>
      <c r="O362" s="6" t="s">
        <v>1568</v>
      </c>
      <c r="P362" s="6"/>
      <c r="Q362" s="6">
        <v>13104839</v>
      </c>
      <c r="R362" s="6" t="s">
        <v>4477</v>
      </c>
      <c r="S362" s="6" t="s">
        <v>4478</v>
      </c>
      <c r="T362" s="6" t="s">
        <v>4454</v>
      </c>
      <c r="U362" s="6"/>
    </row>
    <row r="363" spans="1:21" s="2" customFormat="1">
      <c r="A363" s="6">
        <v>5467</v>
      </c>
      <c r="B363" s="82">
        <f t="array" ref="B363">SUM(--(FREQUENCY(IF(C$2:C$3071=C363, MATCH(D$2:D$3071, D$2:D$3071, 0)), ROW(D$2:D$3071)-ROW(D$2)+1) &gt; 0))</f>
        <v>12</v>
      </c>
      <c r="C363" s="6">
        <v>41200027</v>
      </c>
      <c r="D363" s="6" t="s">
        <v>4479</v>
      </c>
      <c r="E363" s="6" t="s">
        <v>2365</v>
      </c>
      <c r="F363" s="6" t="s">
        <v>2380</v>
      </c>
      <c r="G363" s="3" t="str">
        <f t="shared" si="21"/>
        <v>SINGLE</v>
      </c>
      <c r="H363" s="197">
        <f t="shared" si="20"/>
        <v>11</v>
      </c>
      <c r="I363" s="199">
        <v>3</v>
      </c>
      <c r="J363" s="199">
        <v>12</v>
      </c>
      <c r="K363" s="186">
        <f t="shared" si="22"/>
        <v>45728</v>
      </c>
      <c r="L363" s="6" t="s">
        <v>2381</v>
      </c>
      <c r="M363" s="6" t="s">
        <v>2367</v>
      </c>
      <c r="N363" s="3" t="str">
        <f t="shared" si="23"/>
        <v/>
      </c>
      <c r="O363" s="6"/>
      <c r="P363" s="6"/>
      <c r="Q363" s="6"/>
      <c r="R363" s="6"/>
      <c r="S363" s="6"/>
      <c r="T363" s="6"/>
      <c r="U363" s="6"/>
    </row>
    <row r="364" spans="1:21" s="15" customFormat="1">
      <c r="A364" s="14">
        <v>5488</v>
      </c>
      <c r="B364" s="82">
        <f t="array" ref="B364">SUM(--(FREQUENCY(IF(C$2:C$3071=C364, MATCH(D$2:D$3071, D$2:D$3071, 0)), ROW(D$2:D$3071)-ROW(D$2)+1) &gt; 0))</f>
        <v>11</v>
      </c>
      <c r="C364" s="14">
        <v>41200119</v>
      </c>
      <c r="D364" s="6" t="s">
        <v>4480</v>
      </c>
      <c r="E364" s="14" t="s">
        <v>4183</v>
      </c>
      <c r="F364" s="14" t="s">
        <v>4112</v>
      </c>
      <c r="G364" s="3" t="str">
        <f t="shared" si="21"/>
        <v>DUAL</v>
      </c>
      <c r="H364" s="197">
        <f t="shared" si="20"/>
        <v>11</v>
      </c>
      <c r="I364" s="201">
        <v>3</v>
      </c>
      <c r="J364" s="201">
        <v>12</v>
      </c>
      <c r="K364" s="186">
        <f t="shared" si="22"/>
        <v>45728</v>
      </c>
      <c r="L364" s="14" t="s">
        <v>2367</v>
      </c>
      <c r="M364" s="14" t="s">
        <v>2383</v>
      </c>
      <c r="N364" s="3" t="str">
        <f t="shared" si="23"/>
        <v>NG</v>
      </c>
      <c r="O364" s="14" t="s">
        <v>1568</v>
      </c>
      <c r="P364" s="14"/>
      <c r="Q364" s="14">
        <v>11000916</v>
      </c>
      <c r="R364" s="14" t="s">
        <v>4481</v>
      </c>
      <c r="S364" s="14" t="s">
        <v>4482</v>
      </c>
      <c r="T364" s="14" t="s">
        <v>4455</v>
      </c>
      <c r="U364" s="14"/>
    </row>
    <row r="365" spans="1:21" s="15" customFormat="1">
      <c r="A365" s="14">
        <v>5488</v>
      </c>
      <c r="B365" s="82">
        <f t="array" ref="B365">SUM(--(FREQUENCY(IF(C$2:C$3071=C365, MATCH(D$2:D$3071, D$2:D$3071, 0)), ROW(D$2:D$3071)-ROW(D$2)+1) &gt; 0))</f>
        <v>11</v>
      </c>
      <c r="C365" s="14">
        <v>41200119</v>
      </c>
      <c r="D365" s="6" t="s">
        <v>4480</v>
      </c>
      <c r="E365" s="14" t="s">
        <v>4183</v>
      </c>
      <c r="F365" s="14" t="s">
        <v>4112</v>
      </c>
      <c r="G365" s="3" t="str">
        <f t="shared" si="21"/>
        <v>DUAL</v>
      </c>
      <c r="H365" s="197">
        <f t="shared" si="20"/>
        <v>11</v>
      </c>
      <c r="I365" s="201">
        <v>3</v>
      </c>
      <c r="J365" s="201">
        <v>12</v>
      </c>
      <c r="K365" s="186">
        <f t="shared" si="22"/>
        <v>45728</v>
      </c>
      <c r="L365" s="14" t="s">
        <v>2367</v>
      </c>
      <c r="M365" s="14" t="s">
        <v>2383</v>
      </c>
      <c r="N365" s="3" t="str">
        <f t="shared" si="23"/>
        <v>NG</v>
      </c>
      <c r="O365" s="14" t="s">
        <v>1568</v>
      </c>
      <c r="P365" s="14"/>
      <c r="Q365" s="14">
        <v>11101795</v>
      </c>
      <c r="R365" s="14" t="s">
        <v>4452</v>
      </c>
      <c r="S365" s="14" t="s">
        <v>4453</v>
      </c>
      <c r="T365" s="14" t="s">
        <v>4454</v>
      </c>
      <c r="U365" s="14"/>
    </row>
    <row r="366" spans="1:21" s="15" customFormat="1">
      <c r="A366" s="14">
        <v>5488</v>
      </c>
      <c r="B366" s="82">
        <f t="array" ref="B366">SUM(--(FREQUENCY(IF(C$2:C$3071=C366, MATCH(D$2:D$3071, D$2:D$3071, 0)), ROW(D$2:D$3071)-ROW(D$2)+1) &gt; 0))</f>
        <v>11</v>
      </c>
      <c r="C366" s="14">
        <v>41200119</v>
      </c>
      <c r="D366" s="6" t="s">
        <v>4480</v>
      </c>
      <c r="E366" s="14" t="s">
        <v>4183</v>
      </c>
      <c r="F366" s="14" t="s">
        <v>4112</v>
      </c>
      <c r="G366" s="3" t="str">
        <f t="shared" si="21"/>
        <v>DUAL</v>
      </c>
      <c r="H366" s="197">
        <f t="shared" si="20"/>
        <v>11</v>
      </c>
      <c r="I366" s="201">
        <v>3</v>
      </c>
      <c r="J366" s="201">
        <v>12</v>
      </c>
      <c r="K366" s="186">
        <f t="shared" si="22"/>
        <v>45728</v>
      </c>
      <c r="L366" s="14" t="s">
        <v>2367</v>
      </c>
      <c r="M366" s="14" t="s">
        <v>2383</v>
      </c>
      <c r="N366" s="3" t="str">
        <f t="shared" si="23"/>
        <v>NG</v>
      </c>
      <c r="O366" s="14" t="s">
        <v>1568</v>
      </c>
      <c r="P366" s="14"/>
      <c r="Q366" s="14">
        <v>11101795</v>
      </c>
      <c r="R366" s="14" t="s">
        <v>4452</v>
      </c>
      <c r="S366" s="14" t="s">
        <v>4453</v>
      </c>
      <c r="T366" s="14" t="s">
        <v>4454</v>
      </c>
      <c r="U366" s="14"/>
    </row>
    <row r="367" spans="1:21" s="15" customFormat="1">
      <c r="A367" s="14">
        <v>5488</v>
      </c>
      <c r="B367" s="82">
        <f t="array" ref="B367">SUM(--(FREQUENCY(IF(C$2:C$3071=C367, MATCH(D$2:D$3071, D$2:D$3071, 0)), ROW(D$2:D$3071)-ROW(D$2)+1) &gt; 0))</f>
        <v>11</v>
      </c>
      <c r="C367" s="14">
        <v>41200119</v>
      </c>
      <c r="D367" s="6" t="s">
        <v>4480</v>
      </c>
      <c r="E367" s="14" t="s">
        <v>4183</v>
      </c>
      <c r="F367" s="14" t="s">
        <v>4112</v>
      </c>
      <c r="G367" s="3" t="str">
        <f t="shared" si="21"/>
        <v>DUAL</v>
      </c>
      <c r="H367" s="197">
        <f t="shared" si="20"/>
        <v>11</v>
      </c>
      <c r="I367" s="201">
        <v>3</v>
      </c>
      <c r="J367" s="201">
        <v>12</v>
      </c>
      <c r="K367" s="186">
        <f t="shared" si="22"/>
        <v>45728</v>
      </c>
      <c r="L367" s="14" t="s">
        <v>2367</v>
      </c>
      <c r="M367" s="14" t="s">
        <v>2383</v>
      </c>
      <c r="N367" s="3" t="str">
        <f t="shared" si="23"/>
        <v>NG</v>
      </c>
      <c r="O367" s="14" t="s">
        <v>1568</v>
      </c>
      <c r="P367" s="14"/>
      <c r="Q367" s="14">
        <v>11100204</v>
      </c>
      <c r="R367" s="14" t="s">
        <v>4483</v>
      </c>
      <c r="S367" s="14" t="s">
        <v>4484</v>
      </c>
      <c r="T367" s="14" t="s">
        <v>4455</v>
      </c>
      <c r="U367" s="14"/>
    </row>
    <row r="368" spans="1:21" s="2" customFormat="1">
      <c r="A368" s="6">
        <v>5351</v>
      </c>
      <c r="B368" s="82">
        <f t="array" ref="B368">SUM(--(FREQUENCY(IF(C$2:C$3071=C368, MATCH(D$2:D$3071, D$2:D$3071, 0)), ROW(D$2:D$3071)-ROW(D$2)+1) &gt; 0))</f>
        <v>77</v>
      </c>
      <c r="C368" s="6">
        <v>41200076</v>
      </c>
      <c r="D368" s="6" t="s">
        <v>1900</v>
      </c>
      <c r="E368" s="6" t="s">
        <v>4102</v>
      </c>
      <c r="F368" s="6" t="s">
        <v>4112</v>
      </c>
      <c r="G368" s="3" t="str">
        <f t="shared" si="21"/>
        <v>DUAL</v>
      </c>
      <c r="H368" s="197">
        <f t="shared" si="20"/>
        <v>11</v>
      </c>
      <c r="I368" s="199">
        <v>3</v>
      </c>
      <c r="J368" s="199">
        <v>12</v>
      </c>
      <c r="K368" s="186">
        <f t="shared" si="22"/>
        <v>45728</v>
      </c>
      <c r="L368" s="6" t="s">
        <v>4104</v>
      </c>
      <c r="M368" s="6" t="s">
        <v>2367</v>
      </c>
      <c r="N368" s="3" t="str">
        <f t="shared" si="23"/>
        <v>NG</v>
      </c>
      <c r="O368" s="6" t="s">
        <v>1568</v>
      </c>
      <c r="P368" s="6"/>
      <c r="Q368" s="6">
        <v>11002283</v>
      </c>
      <c r="R368" s="6" t="s">
        <v>4105</v>
      </c>
      <c r="S368" s="6" t="s">
        <v>4485</v>
      </c>
      <c r="T368" s="6" t="s">
        <v>4486</v>
      </c>
      <c r="U368" s="6"/>
    </row>
    <row r="369" spans="1:21" s="2" customFormat="1">
      <c r="A369" s="6">
        <v>5351</v>
      </c>
      <c r="B369" s="82">
        <f t="array" ref="B369">SUM(--(FREQUENCY(IF(C$2:C$3071=C369, MATCH(D$2:D$3071, D$2:D$3071, 0)), ROW(D$2:D$3071)-ROW(D$2)+1) &gt; 0))</f>
        <v>77</v>
      </c>
      <c r="C369" s="6">
        <v>41200076</v>
      </c>
      <c r="D369" s="6" t="s">
        <v>1899</v>
      </c>
      <c r="E369" s="6" t="s">
        <v>4102</v>
      </c>
      <c r="F369" s="6" t="s">
        <v>4112</v>
      </c>
      <c r="G369" s="3" t="str">
        <f t="shared" si="21"/>
        <v>DUAL</v>
      </c>
      <c r="H369" s="197">
        <f t="shared" si="20"/>
        <v>11</v>
      </c>
      <c r="I369" s="199">
        <v>3</v>
      </c>
      <c r="J369" s="199">
        <v>12</v>
      </c>
      <c r="K369" s="186">
        <f t="shared" si="22"/>
        <v>45728</v>
      </c>
      <c r="L369" s="6" t="s">
        <v>4104</v>
      </c>
      <c r="M369" s="6" t="s">
        <v>2367</v>
      </c>
      <c r="N369" s="3" t="str">
        <f t="shared" si="23"/>
        <v/>
      </c>
      <c r="O369" s="6"/>
      <c r="P369" s="6"/>
      <c r="Q369" s="6"/>
      <c r="R369" s="6"/>
      <c r="S369" s="6"/>
      <c r="T369" s="6"/>
      <c r="U369" s="6"/>
    </row>
    <row r="370" spans="1:21" s="2" customFormat="1">
      <c r="A370" s="6">
        <v>5351</v>
      </c>
      <c r="B370" s="82">
        <f t="array" ref="B370">SUM(--(FREQUENCY(IF(C$2:C$3071=C370, MATCH(D$2:D$3071, D$2:D$3071, 0)), ROW(D$2:D$3071)-ROW(D$2)+1) &gt; 0))</f>
        <v>77</v>
      </c>
      <c r="C370" s="6">
        <v>41200076</v>
      </c>
      <c r="D370" s="6" t="s">
        <v>1897</v>
      </c>
      <c r="E370" s="6" t="s">
        <v>4102</v>
      </c>
      <c r="F370" s="6" t="s">
        <v>4112</v>
      </c>
      <c r="G370" s="3" t="str">
        <f t="shared" si="21"/>
        <v>DUAL</v>
      </c>
      <c r="H370" s="197">
        <f t="shared" si="20"/>
        <v>11</v>
      </c>
      <c r="I370" s="199">
        <v>3</v>
      </c>
      <c r="J370" s="199">
        <v>12</v>
      </c>
      <c r="K370" s="186">
        <f t="shared" si="22"/>
        <v>45728</v>
      </c>
      <c r="L370" s="6" t="s">
        <v>4104</v>
      </c>
      <c r="M370" s="6" t="s">
        <v>2367</v>
      </c>
      <c r="N370" s="3" t="str">
        <f t="shared" si="23"/>
        <v/>
      </c>
      <c r="O370" s="6"/>
      <c r="P370" s="6"/>
      <c r="Q370" s="6"/>
      <c r="R370" s="6"/>
      <c r="S370" s="6"/>
      <c r="T370" s="6"/>
      <c r="U370" s="6"/>
    </row>
    <row r="371" spans="1:21" s="2" customFormat="1">
      <c r="A371" s="6">
        <v>5351</v>
      </c>
      <c r="B371" s="82">
        <f t="array" ref="B371">SUM(--(FREQUENCY(IF(C$2:C$3071=C371, MATCH(D$2:D$3071, D$2:D$3071, 0)), ROW(D$2:D$3071)-ROW(D$2)+1) &gt; 0))</f>
        <v>77</v>
      </c>
      <c r="C371" s="6">
        <v>41200076</v>
      </c>
      <c r="D371" s="6" t="s">
        <v>4487</v>
      </c>
      <c r="E371" s="6" t="s">
        <v>4102</v>
      </c>
      <c r="F371" s="6" t="s">
        <v>4112</v>
      </c>
      <c r="G371" s="3" t="str">
        <f t="shared" si="21"/>
        <v>DUAL</v>
      </c>
      <c r="H371" s="197">
        <f t="shared" si="20"/>
        <v>11</v>
      </c>
      <c r="I371" s="199">
        <v>3</v>
      </c>
      <c r="J371" s="199">
        <v>12</v>
      </c>
      <c r="K371" s="186">
        <f t="shared" si="22"/>
        <v>45728</v>
      </c>
      <c r="L371" s="6" t="s">
        <v>4104</v>
      </c>
      <c r="M371" s="6" t="s">
        <v>2367</v>
      </c>
      <c r="N371" s="3" t="str">
        <f t="shared" si="23"/>
        <v/>
      </c>
      <c r="O371" s="6"/>
      <c r="P371" s="6"/>
      <c r="Q371" s="6"/>
      <c r="R371" s="6"/>
      <c r="S371" s="6"/>
      <c r="T371" s="6"/>
      <c r="U371" s="6"/>
    </row>
    <row r="372" spans="1:21">
      <c r="A372" s="3">
        <v>5462</v>
      </c>
      <c r="B372" s="82">
        <f t="array" ref="B372">SUM(--(FREQUENCY(IF(C$2:C$3071=C372, MATCH(D$2:D$3071, D$2:D$3071, 0)), ROW(D$2:D$3071)-ROW(D$2)+1) &gt; 0))</f>
        <v>16</v>
      </c>
      <c r="C372" s="3">
        <v>41200096</v>
      </c>
      <c r="D372" s="6" t="s">
        <v>1902</v>
      </c>
      <c r="E372" s="3" t="s">
        <v>4326</v>
      </c>
      <c r="F372" s="3" t="s">
        <v>4119</v>
      </c>
      <c r="G372" s="3" t="str">
        <f t="shared" si="21"/>
        <v>SINGLE</v>
      </c>
      <c r="H372" s="197">
        <f t="shared" si="20"/>
        <v>11</v>
      </c>
      <c r="I372" s="197">
        <v>3</v>
      </c>
      <c r="J372" s="197">
        <v>13</v>
      </c>
      <c r="K372" s="186">
        <f t="shared" si="22"/>
        <v>45729</v>
      </c>
      <c r="L372" s="3" t="s">
        <v>2381</v>
      </c>
      <c r="M372" s="3" t="s">
        <v>2383</v>
      </c>
      <c r="N372" s="3" t="str">
        <f t="shared" si="23"/>
        <v/>
      </c>
    </row>
    <row r="373" spans="1:21">
      <c r="A373" s="3">
        <v>5462</v>
      </c>
      <c r="B373" s="82">
        <f t="array" ref="B373">SUM(--(FREQUENCY(IF(C$2:C$3071=C373, MATCH(D$2:D$3071, D$2:D$3071, 0)), ROW(D$2:D$3071)-ROW(D$2)+1) &gt; 0))</f>
        <v>16</v>
      </c>
      <c r="C373" s="3">
        <v>41200096</v>
      </c>
      <c r="D373" s="6" t="s">
        <v>4488</v>
      </c>
      <c r="E373" s="3" t="s">
        <v>4326</v>
      </c>
      <c r="F373" s="3" t="s">
        <v>4119</v>
      </c>
      <c r="G373" s="3" t="str">
        <f t="shared" si="21"/>
        <v>SINGLE</v>
      </c>
      <c r="H373" s="197">
        <f t="shared" si="20"/>
        <v>11</v>
      </c>
      <c r="I373" s="197">
        <v>3</v>
      </c>
      <c r="J373" s="197">
        <v>13</v>
      </c>
      <c r="K373" s="186">
        <f t="shared" si="22"/>
        <v>45729</v>
      </c>
      <c r="L373" s="3" t="s">
        <v>2381</v>
      </c>
      <c r="M373" s="3" t="s">
        <v>2383</v>
      </c>
      <c r="N373" s="3" t="str">
        <f t="shared" si="23"/>
        <v>NG</v>
      </c>
      <c r="O373" s="6" t="s">
        <v>1568</v>
      </c>
      <c r="P373" s="6"/>
      <c r="Q373" s="3">
        <v>11006689</v>
      </c>
      <c r="R373" s="3" t="s">
        <v>4140</v>
      </c>
      <c r="S373" s="3" t="s">
        <v>4489</v>
      </c>
    </row>
    <row r="374" spans="1:21">
      <c r="A374" s="14">
        <v>5517</v>
      </c>
      <c r="B374" s="82">
        <f t="array" ref="B374">SUM(--(FREQUENCY(IF(C$2:C$3071=C374, MATCH(D$2:D$3071, D$2:D$3071, 0)), ROW(D$2:D$3071)-ROW(D$2)+1) &gt; 0))</f>
        <v>26</v>
      </c>
      <c r="C374" s="14">
        <v>41200074</v>
      </c>
      <c r="D374" s="6" t="s">
        <v>4490</v>
      </c>
      <c r="E374" s="14" t="s">
        <v>2365</v>
      </c>
      <c r="F374" s="14" t="s">
        <v>2366</v>
      </c>
      <c r="G374" s="3" t="str">
        <f t="shared" si="21"/>
        <v>DUAL</v>
      </c>
      <c r="H374" s="197">
        <f t="shared" si="20"/>
        <v>11</v>
      </c>
      <c r="I374" s="201">
        <v>3</v>
      </c>
      <c r="J374" s="201">
        <v>13</v>
      </c>
      <c r="K374" s="186">
        <f t="shared" si="22"/>
        <v>45729</v>
      </c>
      <c r="L374" s="14" t="s">
        <v>4104</v>
      </c>
      <c r="M374" s="14" t="s">
        <v>2388</v>
      </c>
      <c r="N374" s="3" t="str">
        <f t="shared" si="23"/>
        <v>NG</v>
      </c>
      <c r="O374" s="14" t="s">
        <v>1568</v>
      </c>
      <c r="P374" s="14"/>
      <c r="Q374" s="14">
        <v>11001270</v>
      </c>
      <c r="R374" s="14" t="s">
        <v>4491</v>
      </c>
      <c r="S374" s="14" t="s">
        <v>4492</v>
      </c>
      <c r="T374" s="14" t="s">
        <v>4454</v>
      </c>
      <c r="U374" s="14"/>
    </row>
    <row r="375" spans="1:21" s="15" customFormat="1">
      <c r="A375" s="14">
        <v>5517</v>
      </c>
      <c r="B375" s="82">
        <f t="array" ref="B375">SUM(--(FREQUENCY(IF(C$2:C$3071=C375, MATCH(D$2:D$3071, D$2:D$3071, 0)), ROW(D$2:D$3071)-ROW(D$2)+1) &gt; 0))</f>
        <v>26</v>
      </c>
      <c r="C375" s="14">
        <v>41200074</v>
      </c>
      <c r="D375" s="6" t="s">
        <v>4490</v>
      </c>
      <c r="E375" s="14" t="s">
        <v>2365</v>
      </c>
      <c r="F375" s="14" t="s">
        <v>2366</v>
      </c>
      <c r="G375" s="3" t="str">
        <f t="shared" si="21"/>
        <v>DUAL</v>
      </c>
      <c r="H375" s="197">
        <f t="shared" si="20"/>
        <v>11</v>
      </c>
      <c r="I375" s="201">
        <v>3</v>
      </c>
      <c r="J375" s="201">
        <v>13</v>
      </c>
      <c r="K375" s="186">
        <f t="shared" si="22"/>
        <v>45729</v>
      </c>
      <c r="L375" s="14" t="s">
        <v>4104</v>
      </c>
      <c r="M375" s="14" t="s">
        <v>2388</v>
      </c>
      <c r="N375" s="3" t="str">
        <f t="shared" si="23"/>
        <v>NG</v>
      </c>
      <c r="O375" s="14" t="s">
        <v>1568</v>
      </c>
      <c r="P375" s="14"/>
      <c r="Q375" s="14">
        <v>11002283</v>
      </c>
      <c r="R375" s="14" t="s">
        <v>4105</v>
      </c>
      <c r="S375" s="14" t="s">
        <v>4493</v>
      </c>
      <c r="T375" s="14" t="s">
        <v>4494</v>
      </c>
      <c r="U375" s="14"/>
    </row>
    <row r="376" spans="1:21" s="15" customFormat="1">
      <c r="A376" s="14">
        <v>5517</v>
      </c>
      <c r="B376" s="82">
        <f t="array" ref="B376">SUM(--(FREQUENCY(IF(C$2:C$3071=C376, MATCH(D$2:D$3071, D$2:D$3071, 0)), ROW(D$2:D$3071)-ROW(D$2)+1) &gt; 0))</f>
        <v>26</v>
      </c>
      <c r="C376" s="14">
        <v>41200074</v>
      </c>
      <c r="D376" s="6" t="s">
        <v>4490</v>
      </c>
      <c r="E376" s="14" t="s">
        <v>2365</v>
      </c>
      <c r="F376" s="14" t="s">
        <v>2366</v>
      </c>
      <c r="G376" s="3" t="str">
        <f t="shared" si="21"/>
        <v>DUAL</v>
      </c>
      <c r="H376" s="197">
        <f t="shared" si="20"/>
        <v>11</v>
      </c>
      <c r="I376" s="201">
        <v>3</v>
      </c>
      <c r="J376" s="201">
        <v>13</v>
      </c>
      <c r="K376" s="186">
        <f t="shared" si="22"/>
        <v>45729</v>
      </c>
      <c r="L376" s="14" t="s">
        <v>4104</v>
      </c>
      <c r="M376" s="14" t="s">
        <v>2388</v>
      </c>
      <c r="N376" s="3" t="str">
        <f t="shared" si="23"/>
        <v>NG</v>
      </c>
      <c r="O376" s="14" t="s">
        <v>1568</v>
      </c>
      <c r="P376" s="14"/>
      <c r="Q376" s="14">
        <v>11002737</v>
      </c>
      <c r="R376" s="14" t="s">
        <v>735</v>
      </c>
      <c r="S376" s="14" t="s">
        <v>4495</v>
      </c>
      <c r="T376" s="14" t="s">
        <v>4455</v>
      </c>
      <c r="U376" s="14"/>
    </row>
    <row r="377" spans="1:21" s="15" customFormat="1">
      <c r="A377" s="14">
        <v>5517</v>
      </c>
      <c r="B377" s="82">
        <f t="array" ref="B377">SUM(--(FREQUENCY(IF(C$2:C$3071=C377, MATCH(D$2:D$3071, D$2:D$3071, 0)), ROW(D$2:D$3071)-ROW(D$2)+1) &gt; 0))</f>
        <v>26</v>
      </c>
      <c r="C377" s="14">
        <v>41200074</v>
      </c>
      <c r="D377" s="6" t="s">
        <v>4490</v>
      </c>
      <c r="E377" s="14" t="s">
        <v>2365</v>
      </c>
      <c r="F377" s="14" t="s">
        <v>2366</v>
      </c>
      <c r="G377" s="3" t="str">
        <f t="shared" si="21"/>
        <v>DUAL</v>
      </c>
      <c r="H377" s="197">
        <f t="shared" si="20"/>
        <v>11</v>
      </c>
      <c r="I377" s="201">
        <v>3</v>
      </c>
      <c r="J377" s="201">
        <v>13</v>
      </c>
      <c r="K377" s="186">
        <f t="shared" si="22"/>
        <v>45729</v>
      </c>
      <c r="L377" s="14" t="s">
        <v>4104</v>
      </c>
      <c r="M377" s="14" t="s">
        <v>2388</v>
      </c>
      <c r="N377" s="3" t="str">
        <f t="shared" si="23"/>
        <v>NG</v>
      </c>
      <c r="O377" s="14" t="s">
        <v>1568</v>
      </c>
      <c r="P377" s="14"/>
      <c r="Q377" s="14">
        <v>11002737</v>
      </c>
      <c r="R377" s="14" t="s">
        <v>735</v>
      </c>
      <c r="S377" s="14" t="s">
        <v>4495</v>
      </c>
      <c r="T377" s="14" t="s">
        <v>4454</v>
      </c>
      <c r="U377" s="14"/>
    </row>
    <row r="378" spans="1:21" s="15" customFormat="1">
      <c r="A378" s="14">
        <v>5517</v>
      </c>
      <c r="B378" s="82">
        <f t="array" ref="B378">SUM(--(FREQUENCY(IF(C$2:C$3071=C378, MATCH(D$2:D$3071, D$2:D$3071, 0)), ROW(D$2:D$3071)-ROW(D$2)+1) &gt; 0))</f>
        <v>26</v>
      </c>
      <c r="C378" s="14">
        <v>41200074</v>
      </c>
      <c r="D378" s="6" t="s">
        <v>4490</v>
      </c>
      <c r="E378" s="14" t="s">
        <v>2365</v>
      </c>
      <c r="F378" s="14" t="s">
        <v>2366</v>
      </c>
      <c r="G378" s="3" t="str">
        <f t="shared" si="21"/>
        <v>DUAL</v>
      </c>
      <c r="H378" s="197">
        <f t="shared" si="20"/>
        <v>11</v>
      </c>
      <c r="I378" s="201">
        <v>3</v>
      </c>
      <c r="J378" s="201">
        <v>13</v>
      </c>
      <c r="K378" s="186">
        <f t="shared" si="22"/>
        <v>45729</v>
      </c>
      <c r="L378" s="14" t="s">
        <v>4104</v>
      </c>
      <c r="M378" s="14" t="s">
        <v>2388</v>
      </c>
      <c r="N378" s="3" t="str">
        <f t="shared" si="23"/>
        <v>NG</v>
      </c>
      <c r="O378" s="14" t="s">
        <v>1568</v>
      </c>
      <c r="P378" s="14"/>
      <c r="Q378" s="14">
        <v>11002283</v>
      </c>
      <c r="R378" s="14" t="s">
        <v>4105</v>
      </c>
      <c r="S378" s="14" t="s">
        <v>4496</v>
      </c>
      <c r="T378" s="14" t="s">
        <v>4497</v>
      </c>
      <c r="U378" s="14"/>
    </row>
    <row r="379" spans="1:21" s="15" customFormat="1">
      <c r="A379" s="3">
        <v>5494</v>
      </c>
      <c r="B379" s="82">
        <f t="array" ref="B379">SUM(--(FREQUENCY(IF(C$2:C$3071=C379, MATCH(D$2:D$3071, D$2:D$3071, 0)), ROW(D$2:D$3071)-ROW(D$2)+1) &gt; 0))</f>
        <v>18</v>
      </c>
      <c r="C379" s="3">
        <v>41000584</v>
      </c>
      <c r="D379" s="6" t="s">
        <v>4498</v>
      </c>
      <c r="E379" s="3" t="s">
        <v>2365</v>
      </c>
      <c r="F379" s="3" t="s">
        <v>4130</v>
      </c>
      <c r="G379" s="3" t="str">
        <f t="shared" si="21"/>
        <v>DUAL</v>
      </c>
      <c r="H379" s="197">
        <f t="shared" si="20"/>
        <v>11</v>
      </c>
      <c r="I379" s="197">
        <v>3</v>
      </c>
      <c r="J379" s="197">
        <v>13</v>
      </c>
      <c r="K379" s="186">
        <f t="shared" si="22"/>
        <v>45729</v>
      </c>
      <c r="L379" s="3" t="s">
        <v>2367</v>
      </c>
      <c r="M379" s="3" t="s">
        <v>2367</v>
      </c>
      <c r="N379" s="3" t="str">
        <f t="shared" si="23"/>
        <v>NG</v>
      </c>
      <c r="O379" s="6" t="s">
        <v>1568</v>
      </c>
      <c r="P379" s="6"/>
      <c r="Q379" s="6">
        <v>11002283</v>
      </c>
      <c r="R379" s="6" t="s">
        <v>4105</v>
      </c>
      <c r="S379" s="3" t="s">
        <v>4499</v>
      </c>
      <c r="T379" s="3" t="s">
        <v>4500</v>
      </c>
      <c r="U379" s="3"/>
    </row>
    <row r="380" spans="1:21">
      <c r="A380" s="14">
        <v>5446</v>
      </c>
      <c r="B380" s="82">
        <f t="array" ref="B380">SUM(--(FREQUENCY(IF(C$2:C$3071=C380, MATCH(D$2:D$3071, D$2:D$3071, 0)), ROW(D$2:D$3071)-ROW(D$2)+1) &gt; 0))</f>
        <v>33</v>
      </c>
      <c r="C380" s="14">
        <v>41100435</v>
      </c>
      <c r="D380" s="6" t="s">
        <v>4501</v>
      </c>
      <c r="E380" s="14" t="s">
        <v>4102</v>
      </c>
      <c r="F380" s="14" t="s">
        <v>4103</v>
      </c>
      <c r="G380" s="3" t="str">
        <f t="shared" si="21"/>
        <v>SINGLE</v>
      </c>
      <c r="H380" s="197">
        <f t="shared" si="20"/>
        <v>11</v>
      </c>
      <c r="I380" s="201">
        <v>3</v>
      </c>
      <c r="J380" s="201">
        <v>14</v>
      </c>
      <c r="K380" s="186">
        <f t="shared" si="22"/>
        <v>45730</v>
      </c>
      <c r="L380" s="14" t="s">
        <v>4104</v>
      </c>
      <c r="M380" s="14" t="s">
        <v>2388</v>
      </c>
      <c r="N380" s="3" t="str">
        <f t="shared" si="23"/>
        <v>NG</v>
      </c>
      <c r="O380" s="14" t="s">
        <v>1568</v>
      </c>
      <c r="P380" s="14"/>
      <c r="Q380" s="14">
        <v>13102050</v>
      </c>
      <c r="R380" s="14" t="s">
        <v>4502</v>
      </c>
      <c r="S380" s="14" t="s">
        <v>4503</v>
      </c>
      <c r="T380" s="14"/>
      <c r="U380" s="14"/>
    </row>
    <row r="381" spans="1:21" s="15" customFormat="1">
      <c r="A381" s="14">
        <v>5446</v>
      </c>
      <c r="B381" s="82">
        <f t="array" ref="B381">SUM(--(FREQUENCY(IF(C$2:C$3071=C381, MATCH(D$2:D$3071, D$2:D$3071, 0)), ROW(D$2:D$3071)-ROW(D$2)+1) &gt; 0))</f>
        <v>33</v>
      </c>
      <c r="C381" s="14">
        <v>41100435</v>
      </c>
      <c r="D381" s="6" t="s">
        <v>4501</v>
      </c>
      <c r="E381" s="14" t="s">
        <v>4102</v>
      </c>
      <c r="F381" s="14" t="s">
        <v>4103</v>
      </c>
      <c r="G381" s="3" t="str">
        <f t="shared" si="21"/>
        <v>SINGLE</v>
      </c>
      <c r="H381" s="197">
        <f t="shared" si="20"/>
        <v>11</v>
      </c>
      <c r="I381" s="201">
        <v>3</v>
      </c>
      <c r="J381" s="201">
        <v>14</v>
      </c>
      <c r="K381" s="186">
        <f t="shared" si="22"/>
        <v>45730</v>
      </c>
      <c r="L381" s="14" t="s">
        <v>4104</v>
      </c>
      <c r="M381" s="14" t="s">
        <v>2388</v>
      </c>
      <c r="N381" s="3" t="str">
        <f t="shared" si="23"/>
        <v>NG</v>
      </c>
      <c r="O381" s="14" t="s">
        <v>1568</v>
      </c>
      <c r="P381" s="14"/>
      <c r="Q381" s="14">
        <v>11000171</v>
      </c>
      <c r="R381" s="14" t="s">
        <v>4504</v>
      </c>
      <c r="S381" s="14" t="s">
        <v>4505</v>
      </c>
      <c r="T381" s="14"/>
      <c r="U381" s="14"/>
    </row>
    <row r="382" spans="1:21" s="15" customFormat="1">
      <c r="A382" s="3">
        <v>5527</v>
      </c>
      <c r="B382" s="82">
        <f t="array" ref="B382">SUM(--(FREQUENCY(IF(C$2:C$3071=C382, MATCH(D$2:D$3071, D$2:D$3071, 0)), ROW(D$2:D$3071)-ROW(D$2)+1) &gt; 0))</f>
        <v>21</v>
      </c>
      <c r="C382" s="3">
        <v>41200036</v>
      </c>
      <c r="D382" s="6" t="s">
        <v>4506</v>
      </c>
      <c r="E382" s="3" t="s">
        <v>4135</v>
      </c>
      <c r="F382" s="3" t="s">
        <v>4112</v>
      </c>
      <c r="G382" s="3" t="str">
        <f t="shared" si="21"/>
        <v>DUAL</v>
      </c>
      <c r="H382" s="197">
        <f t="shared" si="20"/>
        <v>11</v>
      </c>
      <c r="I382" s="197">
        <v>3</v>
      </c>
      <c r="J382" s="197">
        <v>14</v>
      </c>
      <c r="K382" s="186">
        <f t="shared" si="22"/>
        <v>45730</v>
      </c>
      <c r="L382" s="3" t="s">
        <v>2381</v>
      </c>
      <c r="M382" s="3" t="s">
        <v>2388</v>
      </c>
      <c r="N382" s="3" t="str">
        <f t="shared" si="23"/>
        <v/>
      </c>
      <c r="O382" s="3"/>
      <c r="P382" s="3"/>
      <c r="Q382" s="3"/>
      <c r="R382" s="3"/>
      <c r="S382" s="3"/>
      <c r="T382" s="3"/>
      <c r="U382" s="3"/>
    </row>
    <row r="383" spans="1:21">
      <c r="A383" s="3">
        <v>5527</v>
      </c>
      <c r="B383" s="82">
        <f t="array" ref="B383">SUM(--(FREQUENCY(IF(C$2:C$3071=C383, MATCH(D$2:D$3071, D$2:D$3071, 0)), ROW(D$2:D$3071)-ROW(D$2)+1) &gt; 0))</f>
        <v>21</v>
      </c>
      <c r="C383" s="3">
        <v>41200036</v>
      </c>
      <c r="D383" s="6" t="s">
        <v>4507</v>
      </c>
      <c r="E383" s="3" t="s">
        <v>4135</v>
      </c>
      <c r="F383" s="3" t="s">
        <v>4112</v>
      </c>
      <c r="G383" s="3" t="str">
        <f t="shared" si="21"/>
        <v>DUAL</v>
      </c>
      <c r="H383" s="197">
        <f t="shared" si="20"/>
        <v>11</v>
      </c>
      <c r="I383" s="197">
        <v>3</v>
      </c>
      <c r="J383" s="197">
        <v>14</v>
      </c>
      <c r="K383" s="186">
        <f t="shared" si="22"/>
        <v>45730</v>
      </c>
      <c r="L383" s="3" t="s">
        <v>2381</v>
      </c>
      <c r="M383" s="3" t="s">
        <v>2388</v>
      </c>
      <c r="N383" s="3" t="str">
        <f t="shared" si="23"/>
        <v/>
      </c>
    </row>
    <row r="384" spans="1:21">
      <c r="A384" s="3">
        <v>5527</v>
      </c>
      <c r="B384" s="82">
        <f t="array" ref="B384">SUM(--(FREQUENCY(IF(C$2:C$3071=C384, MATCH(D$2:D$3071, D$2:D$3071, 0)), ROW(D$2:D$3071)-ROW(D$2)+1) &gt; 0))</f>
        <v>21</v>
      </c>
      <c r="C384" s="3">
        <v>41200036</v>
      </c>
      <c r="D384" s="6" t="s">
        <v>4508</v>
      </c>
      <c r="E384" s="3" t="s">
        <v>4135</v>
      </c>
      <c r="F384" s="3" t="s">
        <v>4112</v>
      </c>
      <c r="G384" s="3" t="str">
        <f t="shared" si="21"/>
        <v>DUAL</v>
      </c>
      <c r="H384" s="197">
        <f t="shared" si="20"/>
        <v>11</v>
      </c>
      <c r="I384" s="197">
        <v>3</v>
      </c>
      <c r="J384" s="197">
        <v>14</v>
      </c>
      <c r="K384" s="186">
        <f t="shared" si="22"/>
        <v>45730</v>
      </c>
      <c r="L384" s="3" t="s">
        <v>2381</v>
      </c>
      <c r="M384" s="3" t="s">
        <v>2388</v>
      </c>
      <c r="N384" s="3" t="str">
        <f t="shared" si="23"/>
        <v>NG</v>
      </c>
      <c r="O384" s="3" t="s">
        <v>1568</v>
      </c>
      <c r="Q384" s="3">
        <v>11004073</v>
      </c>
      <c r="R384" s="3" t="s">
        <v>4509</v>
      </c>
      <c r="S384" s="3" t="s">
        <v>4510</v>
      </c>
      <c r="T384" s="3" t="s">
        <v>4454</v>
      </c>
    </row>
    <row r="385" spans="1:21">
      <c r="A385" s="3">
        <v>5486</v>
      </c>
      <c r="B385" s="82">
        <f t="array" ref="B385">SUM(--(FREQUENCY(IF(C$2:C$3071=C385, MATCH(D$2:D$3071, D$2:D$3071, 0)), ROW(D$2:D$3071)-ROW(D$2)+1) &gt; 0))</f>
        <v>7</v>
      </c>
      <c r="C385" s="3">
        <v>41200113</v>
      </c>
      <c r="D385" s="6" t="s">
        <v>4511</v>
      </c>
      <c r="E385" s="3" t="s">
        <v>4116</v>
      </c>
      <c r="F385" s="3" t="s">
        <v>4112</v>
      </c>
      <c r="G385" s="3" t="str">
        <f t="shared" si="21"/>
        <v>DUAL</v>
      </c>
      <c r="H385" s="197">
        <f t="shared" ref="H385:H448" si="24">WEEKNUM(K385)</f>
        <v>11</v>
      </c>
      <c r="I385" s="197">
        <v>3</v>
      </c>
      <c r="J385" s="197">
        <v>14</v>
      </c>
      <c r="K385" s="186">
        <f t="shared" si="22"/>
        <v>45730</v>
      </c>
      <c r="L385" s="3" t="s">
        <v>4104</v>
      </c>
      <c r="M385" s="3" t="s">
        <v>2383</v>
      </c>
      <c r="N385" s="3" t="str">
        <f t="shared" si="23"/>
        <v/>
      </c>
    </row>
    <row r="386" spans="1:21" s="10" customFormat="1">
      <c r="A386" s="13">
        <v>5462</v>
      </c>
      <c r="B386" s="82">
        <f t="array" ref="B386">SUM(--(FREQUENCY(IF(C$2:C$3071=C386, MATCH(D$2:D$3071, D$2:D$3071, 0)), ROW(D$2:D$3071)-ROW(D$2)+1) &gt; 0))</f>
        <v>16</v>
      </c>
      <c r="C386" s="13">
        <v>41200096</v>
      </c>
      <c r="D386" s="13" t="s">
        <v>1914</v>
      </c>
      <c r="E386" s="13" t="s">
        <v>4326</v>
      </c>
      <c r="F386" s="13" t="s">
        <v>4119</v>
      </c>
      <c r="G386" s="3" t="str">
        <f t="shared" ref="G386:G449" si="25">IF(OR(ISNUMBER(SEARCH("DUAL",F386)), ISNUMBER(SEARCH("IVAS",F386))), "DUAL", "SINGLE")</f>
        <v>SINGLE</v>
      </c>
      <c r="H386" s="197">
        <f t="shared" si="24"/>
        <v>12</v>
      </c>
      <c r="I386" s="203">
        <v>3</v>
      </c>
      <c r="J386" s="203">
        <v>17</v>
      </c>
      <c r="K386" s="186">
        <f t="shared" ref="K386:K449" si="26">DATE(2025, I386, J386)</f>
        <v>45733</v>
      </c>
      <c r="L386" s="13" t="s">
        <v>2381</v>
      </c>
      <c r="M386" s="13" t="s">
        <v>2383</v>
      </c>
      <c r="N386" s="3" t="str">
        <f t="shared" ref="N386:N449" si="27">IF(O386&lt;&gt;"", "NG", "")</f>
        <v>NG</v>
      </c>
      <c r="O386" s="13" t="s">
        <v>1568</v>
      </c>
      <c r="P386" s="13"/>
      <c r="Q386" s="13">
        <v>11002579</v>
      </c>
      <c r="R386" s="13" t="s">
        <v>4512</v>
      </c>
      <c r="S386" s="13" t="s">
        <v>4513</v>
      </c>
      <c r="T386" s="13"/>
      <c r="U386" s="13"/>
    </row>
    <row r="387" spans="1:21" s="10" customFormat="1">
      <c r="A387" s="13">
        <v>5462</v>
      </c>
      <c r="B387" s="82">
        <f t="array" ref="B387">SUM(--(FREQUENCY(IF(C$2:C$3071=C387, MATCH(D$2:D$3071, D$2:D$3071, 0)), ROW(D$2:D$3071)-ROW(D$2)+1) &gt; 0))</f>
        <v>16</v>
      </c>
      <c r="C387" s="13">
        <v>41200096</v>
      </c>
      <c r="D387" s="13" t="s">
        <v>4514</v>
      </c>
      <c r="E387" s="13" t="s">
        <v>4326</v>
      </c>
      <c r="F387" s="13" t="s">
        <v>4119</v>
      </c>
      <c r="G387" s="3" t="str">
        <f t="shared" si="25"/>
        <v>SINGLE</v>
      </c>
      <c r="H387" s="197">
        <f t="shared" si="24"/>
        <v>12</v>
      </c>
      <c r="I387" s="203">
        <v>3</v>
      </c>
      <c r="J387" s="203">
        <v>17</v>
      </c>
      <c r="K387" s="186">
        <f t="shared" si="26"/>
        <v>45733</v>
      </c>
      <c r="L387" s="13" t="s">
        <v>2381</v>
      </c>
      <c r="M387" s="13" t="s">
        <v>2383</v>
      </c>
      <c r="N387" s="3" t="str">
        <f t="shared" si="27"/>
        <v/>
      </c>
      <c r="O387" s="13"/>
      <c r="P387" s="13"/>
      <c r="Q387" s="13"/>
      <c r="R387" s="13"/>
      <c r="S387" s="13"/>
      <c r="T387" s="13"/>
      <c r="U387" s="13"/>
    </row>
    <row r="388" spans="1:21" s="10" customFormat="1">
      <c r="A388" s="13">
        <v>5516</v>
      </c>
      <c r="B388" s="82">
        <f t="array" ref="B388">SUM(--(FREQUENCY(IF(C$2:C$3071=C388, MATCH(D$2:D$3071, D$2:D$3071, 0)), ROW(D$2:D$3071)-ROW(D$2)+1) &gt; 0))</f>
        <v>14</v>
      </c>
      <c r="C388" s="13">
        <v>41100502</v>
      </c>
      <c r="D388" s="13" t="s">
        <v>4515</v>
      </c>
      <c r="E388" s="13" t="s">
        <v>4102</v>
      </c>
      <c r="F388" s="13" t="s">
        <v>2380</v>
      </c>
      <c r="G388" s="3" t="str">
        <f t="shared" si="25"/>
        <v>SINGLE</v>
      </c>
      <c r="H388" s="197">
        <f t="shared" si="24"/>
        <v>12</v>
      </c>
      <c r="I388" s="203">
        <v>3</v>
      </c>
      <c r="J388" s="203">
        <v>17</v>
      </c>
      <c r="K388" s="186">
        <f t="shared" si="26"/>
        <v>45733</v>
      </c>
      <c r="L388" s="13" t="s">
        <v>4104</v>
      </c>
      <c r="M388" s="13" t="s">
        <v>2388</v>
      </c>
      <c r="N388" s="3" t="str">
        <f t="shared" si="27"/>
        <v/>
      </c>
      <c r="O388" s="13"/>
      <c r="P388" s="13"/>
      <c r="Q388" s="24"/>
      <c r="R388" s="24"/>
      <c r="S388" s="24"/>
      <c r="T388" s="13"/>
      <c r="U388" s="13"/>
    </row>
    <row r="389" spans="1:21" s="10" customFormat="1">
      <c r="A389" s="23">
        <v>5516</v>
      </c>
      <c r="B389" s="82">
        <f t="array" ref="B389">SUM(--(FREQUENCY(IF(C$2:C$3071=C389, MATCH(D$2:D$3071, D$2:D$3071, 0)), ROW(D$2:D$3071)-ROW(D$2)+1) &gt; 0))</f>
        <v>14</v>
      </c>
      <c r="C389" s="23">
        <v>41100502</v>
      </c>
      <c r="D389" s="13" t="s">
        <v>4516</v>
      </c>
      <c r="E389" s="23" t="s">
        <v>4102</v>
      </c>
      <c r="F389" s="23" t="s">
        <v>2380</v>
      </c>
      <c r="G389" s="3" t="str">
        <f t="shared" si="25"/>
        <v>SINGLE</v>
      </c>
      <c r="H389" s="197">
        <f t="shared" si="24"/>
        <v>12</v>
      </c>
      <c r="I389" s="204">
        <v>3</v>
      </c>
      <c r="J389" s="204">
        <v>17</v>
      </c>
      <c r="K389" s="186">
        <f t="shared" si="26"/>
        <v>45733</v>
      </c>
      <c r="L389" s="23" t="s">
        <v>4104</v>
      </c>
      <c r="M389" s="23" t="s">
        <v>2388</v>
      </c>
      <c r="N389" s="3" t="str">
        <f t="shared" si="27"/>
        <v>NG</v>
      </c>
      <c r="O389" s="23" t="s">
        <v>1568</v>
      </c>
      <c r="P389" s="23"/>
      <c r="Q389" s="23">
        <v>11100783</v>
      </c>
      <c r="R389" s="23" t="s">
        <v>386</v>
      </c>
      <c r="S389" s="23" t="s">
        <v>4517</v>
      </c>
      <c r="T389" s="23" t="s">
        <v>4455</v>
      </c>
      <c r="U389" s="23"/>
    </row>
    <row r="390" spans="1:21" s="10" customFormat="1">
      <c r="A390" s="23">
        <v>5516</v>
      </c>
      <c r="B390" s="82">
        <f t="array" ref="B390">SUM(--(FREQUENCY(IF(C$2:C$3071=C390, MATCH(D$2:D$3071, D$2:D$3071, 0)), ROW(D$2:D$3071)-ROW(D$2)+1) &gt; 0))</f>
        <v>14</v>
      </c>
      <c r="C390" s="23">
        <v>41100502</v>
      </c>
      <c r="D390" s="13" t="s">
        <v>4516</v>
      </c>
      <c r="E390" s="23" t="s">
        <v>4102</v>
      </c>
      <c r="F390" s="23" t="s">
        <v>2380</v>
      </c>
      <c r="G390" s="3" t="str">
        <f t="shared" si="25"/>
        <v>SINGLE</v>
      </c>
      <c r="H390" s="197">
        <f t="shared" si="24"/>
        <v>12</v>
      </c>
      <c r="I390" s="204">
        <v>3</v>
      </c>
      <c r="J390" s="204">
        <v>17</v>
      </c>
      <c r="K390" s="186">
        <f t="shared" si="26"/>
        <v>45733</v>
      </c>
      <c r="L390" s="23" t="s">
        <v>4104</v>
      </c>
      <c r="M390" s="23" t="s">
        <v>2388</v>
      </c>
      <c r="N390" s="3" t="str">
        <f t="shared" si="27"/>
        <v>NG</v>
      </c>
      <c r="O390" s="23" t="s">
        <v>1568</v>
      </c>
      <c r="P390" s="23"/>
      <c r="Q390" s="23">
        <v>11101795</v>
      </c>
      <c r="R390" s="23" t="s">
        <v>473</v>
      </c>
      <c r="S390" s="23" t="s">
        <v>4212</v>
      </c>
      <c r="T390" s="23" t="s">
        <v>4455</v>
      </c>
      <c r="U390" s="23"/>
    </row>
    <row r="391" spans="1:21" s="25" customFormat="1">
      <c r="A391" s="13">
        <v>5516</v>
      </c>
      <c r="B391" s="82">
        <f t="array" ref="B391">SUM(--(FREQUENCY(IF(C$2:C$3071=C391, MATCH(D$2:D$3071, D$2:D$3071, 0)), ROW(D$2:D$3071)-ROW(D$2)+1) &gt; 0))</f>
        <v>15</v>
      </c>
      <c r="C391" s="13">
        <v>41200087</v>
      </c>
      <c r="D391" s="13" t="s">
        <v>4518</v>
      </c>
      <c r="E391" s="13" t="s">
        <v>4264</v>
      </c>
      <c r="F391" s="13" t="s">
        <v>4112</v>
      </c>
      <c r="G391" s="3" t="str">
        <f t="shared" si="25"/>
        <v>DUAL</v>
      </c>
      <c r="H391" s="197">
        <f t="shared" si="24"/>
        <v>12</v>
      </c>
      <c r="I391" s="203">
        <v>3</v>
      </c>
      <c r="J391" s="203">
        <v>17</v>
      </c>
      <c r="K391" s="186">
        <f t="shared" si="26"/>
        <v>45733</v>
      </c>
      <c r="L391" s="13" t="s">
        <v>4104</v>
      </c>
      <c r="M391" s="13" t="s">
        <v>2388</v>
      </c>
      <c r="N391" s="3" t="str">
        <f t="shared" si="27"/>
        <v/>
      </c>
      <c r="O391" s="13"/>
      <c r="P391" s="13"/>
      <c r="Q391" s="13"/>
      <c r="R391" s="13"/>
      <c r="S391" s="13"/>
      <c r="T391" s="13"/>
      <c r="U391" s="13"/>
    </row>
    <row r="392" spans="1:21" s="25" customFormat="1">
      <c r="A392" s="13">
        <v>5355</v>
      </c>
      <c r="B392" s="82">
        <f t="array" ref="B392">SUM(--(FREQUENCY(IF(C$2:C$3071=C392, MATCH(D$2:D$3071, D$2:D$3071, 0)), ROW(D$2:D$3071)-ROW(D$2)+1) &gt; 0))</f>
        <v>41</v>
      </c>
      <c r="C392" s="13">
        <v>41200101</v>
      </c>
      <c r="D392" s="13" t="s">
        <v>4519</v>
      </c>
      <c r="E392" s="13" t="s">
        <v>4102</v>
      </c>
      <c r="F392" s="13" t="s">
        <v>4112</v>
      </c>
      <c r="G392" s="3" t="str">
        <f t="shared" si="25"/>
        <v>DUAL</v>
      </c>
      <c r="H392" s="197">
        <f t="shared" si="24"/>
        <v>12</v>
      </c>
      <c r="I392" s="203">
        <v>3</v>
      </c>
      <c r="J392" s="203">
        <v>17</v>
      </c>
      <c r="K392" s="186">
        <f t="shared" si="26"/>
        <v>45733</v>
      </c>
      <c r="L392" s="13" t="s">
        <v>4104</v>
      </c>
      <c r="M392" s="13" t="s">
        <v>2388</v>
      </c>
      <c r="N392" s="3" t="str">
        <f t="shared" si="27"/>
        <v>NG</v>
      </c>
      <c r="O392" s="13" t="s">
        <v>1568</v>
      </c>
      <c r="P392" s="13"/>
      <c r="Q392" s="13">
        <v>11200217</v>
      </c>
      <c r="R392" s="13" t="s">
        <v>4458</v>
      </c>
      <c r="S392" s="13" t="s">
        <v>4520</v>
      </c>
      <c r="T392" s="3" t="s">
        <v>4454</v>
      </c>
      <c r="U392" s="3"/>
    </row>
    <row r="393" spans="1:21" s="10" customFormat="1">
      <c r="A393" s="6">
        <v>5514</v>
      </c>
      <c r="B393" s="82">
        <f t="array" ref="B393">SUM(--(FREQUENCY(IF(C$2:C$3071=C393, MATCH(D$2:D$3071, D$2:D$3071, 0)), ROW(D$2:D$3071)-ROW(D$2)+1) &gt; 0))</f>
        <v>13</v>
      </c>
      <c r="C393" s="6">
        <v>41100696</v>
      </c>
      <c r="D393" s="6" t="s">
        <v>1912</v>
      </c>
      <c r="E393" s="6" t="s">
        <v>4406</v>
      </c>
      <c r="F393" s="6" t="s">
        <v>4521</v>
      </c>
      <c r="G393" s="3" t="str">
        <f t="shared" si="25"/>
        <v>DUAL</v>
      </c>
      <c r="H393" s="197">
        <f t="shared" si="24"/>
        <v>12</v>
      </c>
      <c r="I393" s="199">
        <v>3</v>
      </c>
      <c r="J393" s="199">
        <v>17</v>
      </c>
      <c r="K393" s="186">
        <f t="shared" si="26"/>
        <v>45733</v>
      </c>
      <c r="L393" s="6" t="s">
        <v>2367</v>
      </c>
      <c r="M393" s="6" t="s">
        <v>2367</v>
      </c>
      <c r="N393" s="3" t="str">
        <f t="shared" si="27"/>
        <v/>
      </c>
      <c r="O393" s="6"/>
      <c r="P393" s="6"/>
      <c r="Q393" s="6"/>
      <c r="R393" s="6"/>
      <c r="S393" s="6"/>
      <c r="T393" s="6"/>
      <c r="U393" s="6"/>
    </row>
    <row r="394" spans="1:21" s="10" customFormat="1">
      <c r="A394" s="6">
        <v>5514</v>
      </c>
      <c r="B394" s="82">
        <f t="array" ref="B394">SUM(--(FREQUENCY(IF(C$2:C$3071=C394, MATCH(D$2:D$3071, D$2:D$3071, 0)), ROW(D$2:D$3071)-ROW(D$2)+1) &gt; 0))</f>
        <v>13</v>
      </c>
      <c r="C394" s="6">
        <v>41100696</v>
      </c>
      <c r="D394" s="6" t="s">
        <v>4522</v>
      </c>
      <c r="E394" s="6" t="s">
        <v>4406</v>
      </c>
      <c r="F394" s="6" t="s">
        <v>4521</v>
      </c>
      <c r="G394" s="3" t="str">
        <f t="shared" si="25"/>
        <v>DUAL</v>
      </c>
      <c r="H394" s="197">
        <f t="shared" si="24"/>
        <v>12</v>
      </c>
      <c r="I394" s="199">
        <v>3</v>
      </c>
      <c r="J394" s="199">
        <v>17</v>
      </c>
      <c r="K394" s="186">
        <f t="shared" si="26"/>
        <v>45733</v>
      </c>
      <c r="L394" s="6" t="s">
        <v>2367</v>
      </c>
      <c r="M394" s="6" t="s">
        <v>2367</v>
      </c>
      <c r="N394" s="3" t="str">
        <f t="shared" si="27"/>
        <v>NG</v>
      </c>
      <c r="O394" s="6" t="s">
        <v>1568</v>
      </c>
      <c r="P394" s="6"/>
      <c r="Q394" s="6">
        <v>11002330</v>
      </c>
      <c r="R394" s="6" t="s">
        <v>562</v>
      </c>
      <c r="S394" s="6" t="s">
        <v>4523</v>
      </c>
      <c r="T394" s="6" t="s">
        <v>4454</v>
      </c>
      <c r="U394" s="6"/>
    </row>
    <row r="395" spans="1:21" s="2" customFormat="1">
      <c r="A395" s="6">
        <v>5462</v>
      </c>
      <c r="B395" s="82">
        <f t="array" ref="B395">SUM(--(FREQUENCY(IF(C$2:C$3071=C395, MATCH(D$2:D$3071, D$2:D$3071, 0)), ROW(D$2:D$3071)-ROW(D$2)+1) &gt; 0))</f>
        <v>16</v>
      </c>
      <c r="C395" s="6">
        <v>41200096</v>
      </c>
      <c r="D395" s="6" t="s">
        <v>4524</v>
      </c>
      <c r="E395" s="6" t="s">
        <v>4326</v>
      </c>
      <c r="F395" s="6" t="s">
        <v>4119</v>
      </c>
      <c r="G395" s="3" t="str">
        <f t="shared" si="25"/>
        <v>SINGLE</v>
      </c>
      <c r="H395" s="197">
        <f t="shared" si="24"/>
        <v>12</v>
      </c>
      <c r="I395" s="199">
        <v>3</v>
      </c>
      <c r="J395" s="199">
        <v>18</v>
      </c>
      <c r="K395" s="186">
        <f t="shared" si="26"/>
        <v>45734</v>
      </c>
      <c r="L395" s="6" t="s">
        <v>2381</v>
      </c>
      <c r="M395" s="6" t="s">
        <v>2383</v>
      </c>
      <c r="N395" s="3" t="str">
        <f t="shared" si="27"/>
        <v/>
      </c>
      <c r="O395" s="6"/>
      <c r="P395" s="6"/>
      <c r="Q395" s="6"/>
      <c r="R395" s="6"/>
      <c r="S395" s="6"/>
      <c r="T395" s="6"/>
      <c r="U395" s="6"/>
    </row>
    <row r="396" spans="1:21" s="2" customFormat="1">
      <c r="A396" s="6">
        <v>5499</v>
      </c>
      <c r="B396" s="82">
        <f t="array" ref="B396">SUM(--(FREQUENCY(IF(C$2:C$3071=C396, MATCH(D$2:D$3071, D$2:D$3071, 0)), ROW(D$2:D$3071)-ROW(D$2)+1) &gt; 0))</f>
        <v>144</v>
      </c>
      <c r="C396" s="6">
        <v>41200007</v>
      </c>
      <c r="D396" s="6" t="s">
        <v>1921</v>
      </c>
      <c r="E396" s="6" t="s">
        <v>2365</v>
      </c>
      <c r="F396" s="6" t="s">
        <v>2380</v>
      </c>
      <c r="G396" s="3" t="str">
        <f t="shared" si="25"/>
        <v>SINGLE</v>
      </c>
      <c r="H396" s="197">
        <f t="shared" si="24"/>
        <v>12</v>
      </c>
      <c r="I396" s="199">
        <v>3</v>
      </c>
      <c r="J396" s="199">
        <v>18</v>
      </c>
      <c r="K396" s="186">
        <f t="shared" si="26"/>
        <v>45734</v>
      </c>
      <c r="L396" s="6" t="s">
        <v>2381</v>
      </c>
      <c r="M396" s="6" t="s">
        <v>2383</v>
      </c>
      <c r="N396" s="3" t="str">
        <f t="shared" si="27"/>
        <v/>
      </c>
      <c r="O396" s="6"/>
      <c r="P396" s="6"/>
      <c r="Q396" s="6"/>
      <c r="R396" s="6"/>
      <c r="S396" s="6"/>
      <c r="T396" s="6"/>
      <c r="U396" s="6"/>
    </row>
    <row r="397" spans="1:21" s="2" customFormat="1">
      <c r="A397" s="6">
        <v>5499</v>
      </c>
      <c r="B397" s="82">
        <f t="array" ref="B397">SUM(--(FREQUENCY(IF(C$2:C$3071=C397, MATCH(D$2:D$3071, D$2:D$3071, 0)), ROW(D$2:D$3071)-ROW(D$2)+1) &gt; 0))</f>
        <v>144</v>
      </c>
      <c r="C397" s="6">
        <v>41200007</v>
      </c>
      <c r="D397" s="6" t="s">
        <v>4525</v>
      </c>
      <c r="E397" s="6" t="s">
        <v>2365</v>
      </c>
      <c r="F397" s="6" t="s">
        <v>2380</v>
      </c>
      <c r="G397" s="3" t="str">
        <f t="shared" si="25"/>
        <v>SINGLE</v>
      </c>
      <c r="H397" s="197">
        <f t="shared" si="24"/>
        <v>12</v>
      </c>
      <c r="I397" s="199">
        <v>3</v>
      </c>
      <c r="J397" s="199">
        <v>18</v>
      </c>
      <c r="K397" s="186">
        <f t="shared" si="26"/>
        <v>45734</v>
      </c>
      <c r="L397" s="6" t="s">
        <v>2381</v>
      </c>
      <c r="M397" s="6" t="s">
        <v>2383</v>
      </c>
      <c r="N397" s="3" t="str">
        <f t="shared" si="27"/>
        <v/>
      </c>
      <c r="O397" s="6"/>
      <c r="P397" s="6"/>
      <c r="Q397" s="6"/>
      <c r="R397" s="6"/>
      <c r="S397" s="6"/>
      <c r="T397" s="6"/>
      <c r="U397" s="6"/>
    </row>
    <row r="398" spans="1:21" s="2" customFormat="1">
      <c r="A398" s="3">
        <v>5351</v>
      </c>
      <c r="B398" s="82">
        <f t="array" ref="B398">SUM(--(FREQUENCY(IF(C$2:C$3071=C398, MATCH(D$2:D$3071, D$2:D$3071, 0)), ROW(D$2:D$3071)-ROW(D$2)+1) &gt; 0))</f>
        <v>77</v>
      </c>
      <c r="C398" s="3">
        <v>41200076</v>
      </c>
      <c r="D398" s="6" t="s">
        <v>4526</v>
      </c>
      <c r="E398" s="3" t="s">
        <v>4102</v>
      </c>
      <c r="F398" s="3" t="s">
        <v>4527</v>
      </c>
      <c r="G398" s="3" t="str">
        <f t="shared" si="25"/>
        <v>DUAL</v>
      </c>
      <c r="H398" s="197">
        <f t="shared" si="24"/>
        <v>12</v>
      </c>
      <c r="I398" s="197">
        <v>3</v>
      </c>
      <c r="J398" s="197">
        <v>18</v>
      </c>
      <c r="K398" s="186">
        <f t="shared" si="26"/>
        <v>45734</v>
      </c>
      <c r="L398" s="3" t="s">
        <v>2381</v>
      </c>
      <c r="M398" s="3" t="s">
        <v>2388</v>
      </c>
      <c r="N398" s="3" t="str">
        <f t="shared" si="27"/>
        <v/>
      </c>
      <c r="O398" s="3"/>
      <c r="P398" s="3"/>
      <c r="Q398" s="3"/>
      <c r="R398" s="3"/>
      <c r="S398" s="3"/>
      <c r="T398" s="3"/>
      <c r="U398" s="3"/>
    </row>
    <row r="399" spans="1:21" s="2" customFormat="1">
      <c r="A399" s="6">
        <v>5528</v>
      </c>
      <c r="B399" s="82">
        <f t="array" ref="B399">SUM(--(FREQUENCY(IF(C$2:C$3071=C399, MATCH(D$2:D$3071, D$2:D$3071, 0)), ROW(D$2:D$3071)-ROW(D$2)+1) &gt; 0))</f>
        <v>43</v>
      </c>
      <c r="C399" s="6">
        <v>41200046</v>
      </c>
      <c r="D399" s="6" t="s">
        <v>1925</v>
      </c>
      <c r="E399" s="6" t="s">
        <v>4135</v>
      </c>
      <c r="F399" s="6" t="s">
        <v>4527</v>
      </c>
      <c r="G399" s="3" t="str">
        <f t="shared" si="25"/>
        <v>DUAL</v>
      </c>
      <c r="H399" s="197">
        <f t="shared" si="24"/>
        <v>12</v>
      </c>
      <c r="I399" s="199">
        <v>3</v>
      </c>
      <c r="J399" s="199">
        <v>18</v>
      </c>
      <c r="K399" s="186">
        <f t="shared" si="26"/>
        <v>45734</v>
      </c>
      <c r="L399" s="6" t="s">
        <v>4104</v>
      </c>
      <c r="M399" s="6" t="s">
        <v>2388</v>
      </c>
      <c r="N399" s="3" t="str">
        <f t="shared" si="27"/>
        <v>NG</v>
      </c>
      <c r="O399" s="13" t="s">
        <v>1568</v>
      </c>
      <c r="P399" s="13"/>
      <c r="Q399" s="6">
        <v>11002737</v>
      </c>
      <c r="R399" s="6" t="s">
        <v>4528</v>
      </c>
      <c r="S399" s="6" t="s">
        <v>4529</v>
      </c>
      <c r="T399" s="6" t="s">
        <v>4455</v>
      </c>
      <c r="U399" s="6"/>
    </row>
    <row r="400" spans="1:21" s="2" customFormat="1">
      <c r="A400" s="6">
        <v>5528</v>
      </c>
      <c r="B400" s="82">
        <f t="array" ref="B400">SUM(--(FREQUENCY(IF(C$2:C$3071=C400, MATCH(D$2:D$3071, D$2:D$3071, 0)), ROW(D$2:D$3071)-ROW(D$2)+1) &gt; 0))</f>
        <v>43</v>
      </c>
      <c r="C400" s="6">
        <v>41200046</v>
      </c>
      <c r="D400" s="6" t="s">
        <v>1924</v>
      </c>
      <c r="E400" s="6" t="s">
        <v>4135</v>
      </c>
      <c r="F400" s="6" t="s">
        <v>4527</v>
      </c>
      <c r="G400" s="3" t="str">
        <f t="shared" si="25"/>
        <v>DUAL</v>
      </c>
      <c r="H400" s="197">
        <f t="shared" si="24"/>
        <v>12</v>
      </c>
      <c r="I400" s="199">
        <v>3</v>
      </c>
      <c r="J400" s="199">
        <v>18</v>
      </c>
      <c r="K400" s="186">
        <f t="shared" si="26"/>
        <v>45734</v>
      </c>
      <c r="L400" s="6" t="s">
        <v>4104</v>
      </c>
      <c r="M400" s="6" t="s">
        <v>2388</v>
      </c>
      <c r="N400" s="3" t="str">
        <f t="shared" si="27"/>
        <v/>
      </c>
      <c r="O400" s="6"/>
      <c r="P400" s="6"/>
      <c r="Q400" s="6"/>
      <c r="R400" s="6"/>
      <c r="S400" s="6"/>
      <c r="T400" s="6"/>
      <c r="U400" s="6"/>
    </row>
    <row r="401" spans="1:21" s="2" customFormat="1">
      <c r="A401" s="6">
        <v>5528</v>
      </c>
      <c r="B401" s="82">
        <f t="array" ref="B401">SUM(--(FREQUENCY(IF(C$2:C$3071=C401, MATCH(D$2:D$3071, D$2:D$3071, 0)), ROW(D$2:D$3071)-ROW(D$2)+1) &gt; 0))</f>
        <v>43</v>
      </c>
      <c r="C401" s="6">
        <v>41200046</v>
      </c>
      <c r="D401" s="6" t="s">
        <v>1923</v>
      </c>
      <c r="E401" s="6" t="s">
        <v>4135</v>
      </c>
      <c r="F401" s="6" t="s">
        <v>4527</v>
      </c>
      <c r="G401" s="3" t="str">
        <f t="shared" si="25"/>
        <v>DUAL</v>
      </c>
      <c r="H401" s="197">
        <f t="shared" si="24"/>
        <v>12</v>
      </c>
      <c r="I401" s="199">
        <v>3</v>
      </c>
      <c r="J401" s="199">
        <v>18</v>
      </c>
      <c r="K401" s="186">
        <f t="shared" si="26"/>
        <v>45734</v>
      </c>
      <c r="L401" s="6" t="s">
        <v>4104</v>
      </c>
      <c r="M401" s="6" t="s">
        <v>2388</v>
      </c>
      <c r="N401" s="3" t="str">
        <f t="shared" si="27"/>
        <v/>
      </c>
      <c r="O401" s="6"/>
      <c r="P401" s="6"/>
      <c r="Q401" s="6"/>
      <c r="R401" s="6"/>
      <c r="S401" s="6"/>
      <c r="T401" s="6"/>
      <c r="U401" s="6"/>
    </row>
    <row r="402" spans="1:21">
      <c r="A402" s="6">
        <v>5528</v>
      </c>
      <c r="B402" s="82">
        <f t="array" ref="B402">SUM(--(FREQUENCY(IF(C$2:C$3071=C402, MATCH(D$2:D$3071, D$2:D$3071, 0)), ROW(D$2:D$3071)-ROW(D$2)+1) &gt; 0))</f>
        <v>43</v>
      </c>
      <c r="C402" s="6">
        <v>41200046</v>
      </c>
      <c r="D402" s="6" t="s">
        <v>4530</v>
      </c>
      <c r="E402" s="6" t="s">
        <v>4135</v>
      </c>
      <c r="F402" s="6" t="s">
        <v>4527</v>
      </c>
      <c r="G402" s="3" t="str">
        <f t="shared" si="25"/>
        <v>DUAL</v>
      </c>
      <c r="H402" s="197">
        <f t="shared" si="24"/>
        <v>12</v>
      </c>
      <c r="I402" s="199">
        <v>3</v>
      </c>
      <c r="J402" s="199">
        <v>18</v>
      </c>
      <c r="K402" s="186">
        <f t="shared" si="26"/>
        <v>45734</v>
      </c>
      <c r="L402" s="6" t="s">
        <v>4104</v>
      </c>
      <c r="M402" s="6" t="s">
        <v>2388</v>
      </c>
      <c r="N402" s="3" t="str">
        <f t="shared" si="27"/>
        <v/>
      </c>
      <c r="O402" s="6"/>
      <c r="P402" s="6"/>
      <c r="Q402" s="6"/>
      <c r="R402" s="6"/>
      <c r="S402" s="6"/>
      <c r="T402" s="6"/>
      <c r="U402" s="6"/>
    </row>
    <row r="403" spans="1:21" s="2" customFormat="1">
      <c r="A403" s="17">
        <v>5563</v>
      </c>
      <c r="B403" s="82">
        <f t="array" ref="B403">SUM(--(FREQUENCY(IF(C$2:C$3071=C403, MATCH(D$2:D$3071, D$2:D$3071, 0)), ROW(D$2:D$3071)-ROW(D$2)+1) &gt; 0))</f>
        <v>33</v>
      </c>
      <c r="C403" s="17">
        <v>41100435</v>
      </c>
      <c r="D403" s="6" t="s">
        <v>1927</v>
      </c>
      <c r="E403" s="17" t="s">
        <v>4102</v>
      </c>
      <c r="F403" s="17" t="s">
        <v>4103</v>
      </c>
      <c r="G403" s="3" t="str">
        <f t="shared" si="25"/>
        <v>SINGLE</v>
      </c>
      <c r="H403" s="197">
        <f t="shared" si="24"/>
        <v>12</v>
      </c>
      <c r="I403" s="205">
        <v>3</v>
      </c>
      <c r="J403" s="205">
        <v>19</v>
      </c>
      <c r="K403" s="186">
        <f t="shared" si="26"/>
        <v>45735</v>
      </c>
      <c r="L403" s="17" t="s">
        <v>2381</v>
      </c>
      <c r="M403" s="17" t="s">
        <v>2367</v>
      </c>
      <c r="N403" s="3" t="str">
        <f t="shared" si="27"/>
        <v>NG</v>
      </c>
      <c r="O403" s="17" t="s">
        <v>1568</v>
      </c>
      <c r="P403" s="17"/>
      <c r="Q403" s="17">
        <v>11100828</v>
      </c>
      <c r="R403" s="17" t="s">
        <v>4531</v>
      </c>
      <c r="S403" s="17" t="s">
        <v>4532</v>
      </c>
      <c r="T403" s="17"/>
      <c r="U403" s="17"/>
    </row>
    <row r="404" spans="1:21" s="26" customFormat="1">
      <c r="A404" s="14">
        <v>5563</v>
      </c>
      <c r="B404" s="82">
        <f t="array" ref="B404">SUM(--(FREQUENCY(IF(C$2:C$3071=C404, MATCH(D$2:D$3071, D$2:D$3071, 0)), ROW(D$2:D$3071)-ROW(D$2)+1) &gt; 0))</f>
        <v>33</v>
      </c>
      <c r="C404" s="14">
        <v>41100435</v>
      </c>
      <c r="D404" s="6" t="s">
        <v>1927</v>
      </c>
      <c r="E404" s="14" t="s">
        <v>4102</v>
      </c>
      <c r="F404" s="14" t="s">
        <v>4103</v>
      </c>
      <c r="G404" s="3" t="str">
        <f t="shared" si="25"/>
        <v>SINGLE</v>
      </c>
      <c r="H404" s="197">
        <f t="shared" si="24"/>
        <v>12</v>
      </c>
      <c r="I404" s="205">
        <v>3</v>
      </c>
      <c r="J404" s="205">
        <v>19</v>
      </c>
      <c r="K404" s="186">
        <f t="shared" si="26"/>
        <v>45735</v>
      </c>
      <c r="L404" s="14" t="s">
        <v>2381</v>
      </c>
      <c r="M404" s="14" t="s">
        <v>2367</v>
      </c>
      <c r="N404" s="3" t="str">
        <f t="shared" si="27"/>
        <v>NG</v>
      </c>
      <c r="O404" s="14" t="s">
        <v>1568</v>
      </c>
      <c r="P404" s="14"/>
      <c r="Q404" s="14">
        <v>11002283</v>
      </c>
      <c r="R404" s="14" t="s">
        <v>4105</v>
      </c>
      <c r="S404" s="14" t="s">
        <v>4533</v>
      </c>
      <c r="T404" s="14" t="s">
        <v>4534</v>
      </c>
      <c r="U404" s="14"/>
    </row>
    <row r="405" spans="1:21" s="15" customFormat="1">
      <c r="A405" s="6">
        <v>5563</v>
      </c>
      <c r="B405" s="82">
        <f t="array" ref="B405">SUM(--(FREQUENCY(IF(C$2:C$3071=C405, MATCH(D$2:D$3071, D$2:D$3071, 0)), ROW(D$2:D$3071)-ROW(D$2)+1) &gt; 0))</f>
        <v>33</v>
      </c>
      <c r="C405" s="6">
        <v>41100435</v>
      </c>
      <c r="D405" s="6" t="s">
        <v>4535</v>
      </c>
      <c r="E405" s="6" t="s">
        <v>4102</v>
      </c>
      <c r="F405" s="6" t="s">
        <v>4103</v>
      </c>
      <c r="G405" s="3" t="str">
        <f t="shared" si="25"/>
        <v>SINGLE</v>
      </c>
      <c r="H405" s="197">
        <f t="shared" si="24"/>
        <v>12</v>
      </c>
      <c r="I405" s="199">
        <v>3</v>
      </c>
      <c r="J405" s="199">
        <v>19</v>
      </c>
      <c r="K405" s="186">
        <f t="shared" si="26"/>
        <v>45735</v>
      </c>
      <c r="L405" s="6" t="s">
        <v>2381</v>
      </c>
      <c r="M405" s="6" t="s">
        <v>2367</v>
      </c>
      <c r="N405" s="3" t="str">
        <f t="shared" si="27"/>
        <v/>
      </c>
      <c r="O405" s="6"/>
      <c r="P405" s="6"/>
      <c r="Q405" s="6"/>
      <c r="R405" s="6"/>
      <c r="S405" s="6"/>
      <c r="T405" s="6"/>
      <c r="U405" s="6"/>
    </row>
    <row r="406" spans="1:21" s="2" customFormat="1">
      <c r="A406" s="6">
        <v>5441</v>
      </c>
      <c r="B406" s="82">
        <f t="array" ref="B406">SUM(--(FREQUENCY(IF(C$2:C$3071=C406, MATCH(D$2:D$3071, D$2:D$3071, 0)), ROW(D$2:D$3071)-ROW(D$2)+1) &gt; 0))</f>
        <v>44</v>
      </c>
      <c r="C406" s="6">
        <v>41200108</v>
      </c>
      <c r="D406" s="6" t="s">
        <v>1932</v>
      </c>
      <c r="E406" s="6" t="s">
        <v>4326</v>
      </c>
      <c r="F406" s="6" t="s">
        <v>4119</v>
      </c>
      <c r="G406" s="3" t="str">
        <f t="shared" si="25"/>
        <v>SINGLE</v>
      </c>
      <c r="H406" s="197">
        <f t="shared" si="24"/>
        <v>12</v>
      </c>
      <c r="I406" s="199">
        <v>3</v>
      </c>
      <c r="J406" s="199">
        <v>19</v>
      </c>
      <c r="K406" s="186">
        <f t="shared" si="26"/>
        <v>45735</v>
      </c>
      <c r="L406" s="6" t="s">
        <v>4104</v>
      </c>
      <c r="M406" s="6" t="s">
        <v>2388</v>
      </c>
      <c r="N406" s="3" t="str">
        <f t="shared" si="27"/>
        <v/>
      </c>
      <c r="O406" s="6"/>
      <c r="P406" s="6"/>
      <c r="Q406" s="6"/>
      <c r="R406" s="6"/>
      <c r="S406" s="6"/>
      <c r="T406" s="6"/>
      <c r="U406" s="6"/>
    </row>
    <row r="407" spans="1:21" s="2" customFormat="1">
      <c r="A407" s="6">
        <v>5441</v>
      </c>
      <c r="B407" s="82">
        <f t="array" ref="B407">SUM(--(FREQUENCY(IF(C$2:C$3071=C407, MATCH(D$2:D$3071, D$2:D$3071, 0)), ROW(D$2:D$3071)-ROW(D$2)+1) &gt; 0))</f>
        <v>44</v>
      </c>
      <c r="C407" s="6">
        <v>41200108</v>
      </c>
      <c r="D407" s="6" t="s">
        <v>1931</v>
      </c>
      <c r="E407" s="6" t="s">
        <v>4326</v>
      </c>
      <c r="F407" s="6" t="s">
        <v>4119</v>
      </c>
      <c r="G407" s="3" t="str">
        <f t="shared" si="25"/>
        <v>SINGLE</v>
      </c>
      <c r="H407" s="197">
        <f t="shared" si="24"/>
        <v>12</v>
      </c>
      <c r="I407" s="199">
        <v>3</v>
      </c>
      <c r="J407" s="199">
        <v>19</v>
      </c>
      <c r="K407" s="186">
        <f t="shared" si="26"/>
        <v>45735</v>
      </c>
      <c r="L407" s="6" t="s">
        <v>4104</v>
      </c>
      <c r="M407" s="6" t="s">
        <v>2388</v>
      </c>
      <c r="N407" s="3" t="str">
        <f t="shared" si="27"/>
        <v/>
      </c>
      <c r="O407" s="6"/>
      <c r="P407" s="6"/>
      <c r="Q407" s="6"/>
      <c r="R407" s="6"/>
      <c r="S407" s="6"/>
      <c r="T407" s="6"/>
      <c r="U407" s="6"/>
    </row>
    <row r="408" spans="1:21" s="2" customFormat="1">
      <c r="A408" s="6">
        <v>5441</v>
      </c>
      <c r="B408" s="82">
        <f t="array" ref="B408">SUM(--(FREQUENCY(IF(C$2:C$3071=C408, MATCH(D$2:D$3071, D$2:D$3071, 0)), ROW(D$2:D$3071)-ROW(D$2)+1) &gt; 0))</f>
        <v>44</v>
      </c>
      <c r="C408" s="6">
        <v>41200108</v>
      </c>
      <c r="D408" s="6" t="s">
        <v>4536</v>
      </c>
      <c r="E408" s="6" t="s">
        <v>4326</v>
      </c>
      <c r="F408" s="6" t="s">
        <v>4119</v>
      </c>
      <c r="G408" s="3" t="str">
        <f t="shared" si="25"/>
        <v>SINGLE</v>
      </c>
      <c r="H408" s="197">
        <f t="shared" si="24"/>
        <v>12</v>
      </c>
      <c r="I408" s="199">
        <v>3</v>
      </c>
      <c r="J408" s="199">
        <v>19</v>
      </c>
      <c r="K408" s="186">
        <f t="shared" si="26"/>
        <v>45735</v>
      </c>
      <c r="L408" s="6" t="s">
        <v>4104</v>
      </c>
      <c r="M408" s="6" t="s">
        <v>2388</v>
      </c>
      <c r="N408" s="3" t="str">
        <f t="shared" si="27"/>
        <v/>
      </c>
      <c r="O408" s="6"/>
      <c r="P408" s="6"/>
      <c r="Q408" s="6"/>
      <c r="R408" s="6"/>
      <c r="S408" s="6"/>
      <c r="T408" s="6"/>
      <c r="U408" s="6"/>
    </row>
    <row r="409" spans="1:21" s="2" customFormat="1">
      <c r="A409" s="6">
        <v>5529</v>
      </c>
      <c r="B409" s="82">
        <f t="array" ref="B409">SUM(--(FREQUENCY(IF(C$2:C$3071=C409, MATCH(D$2:D$3071, D$2:D$3071, 0)), ROW(D$2:D$3071)-ROW(D$2)+1) &gt; 0))</f>
        <v>144</v>
      </c>
      <c r="C409" s="6">
        <v>41200007</v>
      </c>
      <c r="D409" s="6" t="s">
        <v>1929</v>
      </c>
      <c r="E409" s="6" t="s">
        <v>2365</v>
      </c>
      <c r="F409" s="6" t="s">
        <v>2380</v>
      </c>
      <c r="G409" s="3" t="str">
        <f t="shared" si="25"/>
        <v>SINGLE</v>
      </c>
      <c r="H409" s="197">
        <f t="shared" si="24"/>
        <v>12</v>
      </c>
      <c r="I409" s="199">
        <v>3</v>
      </c>
      <c r="J409" s="199">
        <v>19</v>
      </c>
      <c r="K409" s="186">
        <f t="shared" si="26"/>
        <v>45735</v>
      </c>
      <c r="L409" s="6" t="s">
        <v>2381</v>
      </c>
      <c r="M409" s="6" t="s">
        <v>2383</v>
      </c>
      <c r="N409" s="3" t="str">
        <f t="shared" si="27"/>
        <v/>
      </c>
      <c r="O409" s="6"/>
      <c r="P409" s="6"/>
      <c r="Q409" s="6"/>
      <c r="R409" s="6"/>
      <c r="S409" s="6"/>
      <c r="T409" s="6"/>
      <c r="U409" s="6"/>
    </row>
    <row r="410" spans="1:21" s="2" customFormat="1">
      <c r="A410" s="6">
        <v>5529</v>
      </c>
      <c r="B410" s="82">
        <f t="array" ref="B410">SUM(--(FREQUENCY(IF(C$2:C$3071=C410, MATCH(D$2:D$3071, D$2:D$3071, 0)), ROW(D$2:D$3071)-ROW(D$2)+1) &gt; 0))</f>
        <v>144</v>
      </c>
      <c r="C410" s="6">
        <v>41200007</v>
      </c>
      <c r="D410" s="6" t="s">
        <v>4537</v>
      </c>
      <c r="E410" s="6" t="s">
        <v>2365</v>
      </c>
      <c r="F410" s="6" t="s">
        <v>2380</v>
      </c>
      <c r="G410" s="3" t="str">
        <f t="shared" si="25"/>
        <v>SINGLE</v>
      </c>
      <c r="H410" s="197">
        <f t="shared" si="24"/>
        <v>12</v>
      </c>
      <c r="I410" s="199">
        <v>3</v>
      </c>
      <c r="J410" s="199">
        <v>19</v>
      </c>
      <c r="K410" s="186">
        <f t="shared" si="26"/>
        <v>45735</v>
      </c>
      <c r="L410" s="6" t="s">
        <v>2381</v>
      </c>
      <c r="M410" s="6" t="s">
        <v>2383</v>
      </c>
      <c r="N410" s="3" t="str">
        <f t="shared" si="27"/>
        <v/>
      </c>
      <c r="O410" s="6"/>
      <c r="P410" s="6"/>
      <c r="Q410" s="6"/>
      <c r="R410" s="6"/>
      <c r="S410" s="6"/>
      <c r="T410" s="6"/>
      <c r="U410" s="6"/>
    </row>
    <row r="411" spans="1:21" ht="33">
      <c r="A411" s="3">
        <v>5565</v>
      </c>
      <c r="B411" s="82">
        <f t="array" ref="B411">SUM(--(FREQUENCY(IF(C$2:C$3071=C411, MATCH(D$2:D$3071, D$2:D$3071, 0)), ROW(D$2:D$3071)-ROW(D$2)+1) &gt; 0))</f>
        <v>19</v>
      </c>
      <c r="C411" s="3">
        <v>41200124</v>
      </c>
      <c r="D411" s="6" t="s">
        <v>4538</v>
      </c>
      <c r="E411" s="3" t="s">
        <v>4102</v>
      </c>
      <c r="F411" s="3" t="s">
        <v>4112</v>
      </c>
      <c r="G411" s="3" t="str">
        <f t="shared" si="25"/>
        <v>DUAL</v>
      </c>
      <c r="H411" s="197">
        <f t="shared" si="24"/>
        <v>12</v>
      </c>
      <c r="I411" s="197">
        <v>3</v>
      </c>
      <c r="J411" s="197">
        <v>19</v>
      </c>
      <c r="K411" s="186">
        <f t="shared" si="26"/>
        <v>45735</v>
      </c>
      <c r="L411" s="3" t="s">
        <v>2381</v>
      </c>
      <c r="M411" s="3" t="s">
        <v>2388</v>
      </c>
      <c r="N411" s="3" t="str">
        <f t="shared" si="27"/>
        <v>NG</v>
      </c>
      <c r="O411" s="13" t="s">
        <v>1568</v>
      </c>
      <c r="P411" s="13"/>
      <c r="Q411" s="3">
        <v>11000088</v>
      </c>
      <c r="R411" s="3" t="s">
        <v>4539</v>
      </c>
      <c r="S411" s="7" t="s">
        <v>4540</v>
      </c>
      <c r="T411" s="3" t="s">
        <v>4455</v>
      </c>
    </row>
    <row r="412" spans="1:21" s="2" customFormat="1">
      <c r="A412" s="6">
        <v>5441</v>
      </c>
      <c r="B412" s="82">
        <f t="array" ref="B412">SUM(--(FREQUENCY(IF(C$2:C$3071=C412, MATCH(D$2:D$3071, D$2:D$3071, 0)), ROW(D$2:D$3071)-ROW(D$2)+1) &gt; 0))</f>
        <v>19</v>
      </c>
      <c r="C412" s="6">
        <v>41200124</v>
      </c>
      <c r="D412" s="6" t="s">
        <v>4541</v>
      </c>
      <c r="E412" s="6" t="s">
        <v>4326</v>
      </c>
      <c r="F412" s="6" t="s">
        <v>4119</v>
      </c>
      <c r="G412" s="3" t="str">
        <f t="shared" si="25"/>
        <v>SINGLE</v>
      </c>
      <c r="H412" s="197">
        <f t="shared" si="24"/>
        <v>12</v>
      </c>
      <c r="I412" s="199">
        <v>3</v>
      </c>
      <c r="J412" s="199">
        <v>20</v>
      </c>
      <c r="K412" s="186">
        <f t="shared" si="26"/>
        <v>45736</v>
      </c>
      <c r="L412" s="6" t="s">
        <v>4104</v>
      </c>
      <c r="M412" s="6" t="s">
        <v>2388</v>
      </c>
      <c r="N412" s="3" t="str">
        <f t="shared" si="27"/>
        <v/>
      </c>
      <c r="O412" s="6"/>
      <c r="P412" s="6"/>
      <c r="Q412" s="6"/>
      <c r="R412" s="6"/>
      <c r="S412" s="6"/>
      <c r="T412" s="6"/>
      <c r="U412" s="6"/>
    </row>
    <row r="413" spans="1:21" s="2" customFormat="1">
      <c r="A413" s="6">
        <v>5529</v>
      </c>
      <c r="B413" s="82">
        <f t="array" ref="B413">SUM(--(FREQUENCY(IF(C$2:C$3071=C413, MATCH(D$2:D$3071, D$2:D$3071, 0)), ROW(D$2:D$3071)-ROW(D$2)+1) &gt; 0))</f>
        <v>144</v>
      </c>
      <c r="C413" s="6">
        <v>41200007</v>
      </c>
      <c r="D413" s="6" t="s">
        <v>1937</v>
      </c>
      <c r="E413" s="6" t="s">
        <v>2365</v>
      </c>
      <c r="F413" s="6" t="s">
        <v>2380</v>
      </c>
      <c r="G413" s="3" t="str">
        <f t="shared" si="25"/>
        <v>SINGLE</v>
      </c>
      <c r="H413" s="197">
        <f t="shared" si="24"/>
        <v>12</v>
      </c>
      <c r="I413" s="199">
        <v>3</v>
      </c>
      <c r="J413" s="199">
        <v>20</v>
      </c>
      <c r="K413" s="186">
        <f t="shared" si="26"/>
        <v>45736</v>
      </c>
      <c r="L413" s="6" t="s">
        <v>2381</v>
      </c>
      <c r="M413" s="6" t="s">
        <v>2383</v>
      </c>
      <c r="N413" s="3" t="str">
        <f t="shared" si="27"/>
        <v/>
      </c>
      <c r="O413" s="6"/>
      <c r="P413" s="6"/>
      <c r="Q413" s="6"/>
      <c r="R413" s="6"/>
      <c r="S413" s="6"/>
      <c r="T413" s="6"/>
      <c r="U413" s="6"/>
    </row>
    <row r="414" spans="1:21" s="2" customFormat="1">
      <c r="A414" s="6">
        <v>5529</v>
      </c>
      <c r="B414" s="82">
        <f t="array" ref="B414">SUM(--(FREQUENCY(IF(C$2:C$3071=C414, MATCH(D$2:D$3071, D$2:D$3071, 0)), ROW(D$2:D$3071)-ROW(D$2)+1) &gt; 0))</f>
        <v>144</v>
      </c>
      <c r="C414" s="6">
        <v>41200007</v>
      </c>
      <c r="D414" s="6" t="s">
        <v>4542</v>
      </c>
      <c r="E414" s="6" t="s">
        <v>2365</v>
      </c>
      <c r="F414" s="6" t="s">
        <v>2380</v>
      </c>
      <c r="G414" s="3" t="str">
        <f t="shared" si="25"/>
        <v>SINGLE</v>
      </c>
      <c r="H414" s="197">
        <f t="shared" si="24"/>
        <v>12</v>
      </c>
      <c r="I414" s="199">
        <v>3</v>
      </c>
      <c r="J414" s="199">
        <v>20</v>
      </c>
      <c r="K414" s="186">
        <f t="shared" si="26"/>
        <v>45736</v>
      </c>
      <c r="L414" s="6" t="s">
        <v>2381</v>
      </c>
      <c r="M414" s="6" t="s">
        <v>2383</v>
      </c>
      <c r="N414" s="3" t="str">
        <f t="shared" si="27"/>
        <v/>
      </c>
      <c r="O414" s="6"/>
      <c r="P414" s="6"/>
      <c r="Q414" s="6"/>
      <c r="R414" s="6"/>
      <c r="S414" s="6"/>
      <c r="T414" s="6"/>
      <c r="U414" s="6"/>
    </row>
    <row r="415" spans="1:21" s="2" customFormat="1">
      <c r="A415" s="6">
        <v>5390</v>
      </c>
      <c r="B415" s="82">
        <f t="array" ref="B415">SUM(--(FREQUENCY(IF(C$2:C$3071=C415, MATCH(D$2:D$3071, D$2:D$3071, 0)), ROW(D$2:D$3071)-ROW(D$2)+1) &gt; 0))</f>
        <v>4</v>
      </c>
      <c r="C415" s="6">
        <v>41200025</v>
      </c>
      <c r="D415" s="6" t="s">
        <v>1935</v>
      </c>
      <c r="E415" s="6" t="s">
        <v>2365</v>
      </c>
      <c r="F415" s="6" t="s">
        <v>4165</v>
      </c>
      <c r="G415" s="3" t="str">
        <f t="shared" si="25"/>
        <v>SINGLE</v>
      </c>
      <c r="H415" s="197">
        <f t="shared" si="24"/>
        <v>12</v>
      </c>
      <c r="I415" s="199">
        <v>3</v>
      </c>
      <c r="J415" s="199">
        <v>20</v>
      </c>
      <c r="K415" s="186">
        <f t="shared" si="26"/>
        <v>45736</v>
      </c>
      <c r="L415" s="6" t="s">
        <v>2367</v>
      </c>
      <c r="M415" s="6" t="s">
        <v>2367</v>
      </c>
      <c r="N415" s="3" t="str">
        <f t="shared" si="27"/>
        <v>NG</v>
      </c>
      <c r="O415" s="6" t="s">
        <v>1568</v>
      </c>
      <c r="P415" s="6"/>
      <c r="Q415" s="6">
        <v>11002283</v>
      </c>
      <c r="R415" s="6" t="s">
        <v>4105</v>
      </c>
      <c r="S415" s="6" t="s">
        <v>4543</v>
      </c>
      <c r="T415" s="6" t="s">
        <v>4544</v>
      </c>
      <c r="U415" s="6"/>
    </row>
    <row r="416" spans="1:21" s="2" customFormat="1">
      <c r="A416" s="6">
        <v>5390</v>
      </c>
      <c r="B416" s="82">
        <f t="array" ref="B416">SUM(--(FREQUENCY(IF(C$2:C$3071=C416, MATCH(D$2:D$3071, D$2:D$3071, 0)), ROW(D$2:D$3071)-ROW(D$2)+1) &gt; 0))</f>
        <v>4</v>
      </c>
      <c r="C416" s="6">
        <v>41200025</v>
      </c>
      <c r="D416" s="6" t="s">
        <v>4545</v>
      </c>
      <c r="E416" s="6" t="s">
        <v>2365</v>
      </c>
      <c r="F416" s="6" t="s">
        <v>4165</v>
      </c>
      <c r="G416" s="3" t="str">
        <f t="shared" si="25"/>
        <v>SINGLE</v>
      </c>
      <c r="H416" s="197">
        <f t="shared" si="24"/>
        <v>12</v>
      </c>
      <c r="I416" s="199">
        <v>3</v>
      </c>
      <c r="J416" s="199">
        <v>20</v>
      </c>
      <c r="K416" s="186">
        <f t="shared" si="26"/>
        <v>45736</v>
      </c>
      <c r="L416" s="6" t="s">
        <v>2367</v>
      </c>
      <c r="M416" s="6" t="s">
        <v>2367</v>
      </c>
      <c r="N416" s="3" t="str">
        <f t="shared" si="27"/>
        <v/>
      </c>
      <c r="O416" s="6"/>
      <c r="P416" s="6"/>
      <c r="Q416" s="6"/>
      <c r="R416" s="6"/>
      <c r="S416" s="6"/>
      <c r="T416" s="6"/>
      <c r="U416" s="6"/>
    </row>
    <row r="417" spans="1:21">
      <c r="A417" s="6">
        <v>5504</v>
      </c>
      <c r="B417" s="82">
        <f t="array" ref="B417">SUM(--(FREQUENCY(IF(C$2:C$3071=C417, MATCH(D$2:D$3071, D$2:D$3071, 0)), ROW(D$2:D$3071)-ROW(D$2)+1) &gt; 0))</f>
        <v>44</v>
      </c>
      <c r="C417" s="6">
        <v>41200108</v>
      </c>
      <c r="D417" s="6" t="s">
        <v>4546</v>
      </c>
      <c r="E417" s="6" t="s">
        <v>4326</v>
      </c>
      <c r="F417" s="6" t="s">
        <v>4119</v>
      </c>
      <c r="G417" s="3" t="str">
        <f t="shared" si="25"/>
        <v>SINGLE</v>
      </c>
      <c r="H417" s="197">
        <f t="shared" si="24"/>
        <v>12</v>
      </c>
      <c r="I417" s="199">
        <v>3</v>
      </c>
      <c r="J417" s="199">
        <v>21</v>
      </c>
      <c r="K417" s="186">
        <f t="shared" si="26"/>
        <v>45737</v>
      </c>
      <c r="L417" s="6" t="s">
        <v>4104</v>
      </c>
      <c r="M417" s="6" t="s">
        <v>2388</v>
      </c>
      <c r="N417" s="3" t="str">
        <f t="shared" si="27"/>
        <v/>
      </c>
      <c r="O417" s="6"/>
      <c r="P417" s="6"/>
      <c r="Q417" s="6"/>
      <c r="R417" s="6"/>
      <c r="S417" s="6"/>
      <c r="T417" s="6"/>
      <c r="U417" s="6"/>
    </row>
    <row r="418" spans="1:21">
      <c r="A418" s="6">
        <v>5504</v>
      </c>
      <c r="B418" s="82">
        <f t="array" ref="B418">SUM(--(FREQUENCY(IF(C$2:C$3071=C418, MATCH(D$2:D$3071, D$2:D$3071, 0)), ROW(D$2:D$3071)-ROW(D$2)+1) &gt; 0))</f>
        <v>44</v>
      </c>
      <c r="C418" s="6">
        <v>41200108</v>
      </c>
      <c r="D418" s="6" t="s">
        <v>4547</v>
      </c>
      <c r="E418" s="6" t="s">
        <v>4326</v>
      </c>
      <c r="F418" s="6" t="s">
        <v>4119</v>
      </c>
      <c r="G418" s="3" t="str">
        <f t="shared" si="25"/>
        <v>SINGLE</v>
      </c>
      <c r="H418" s="197">
        <f t="shared" si="24"/>
        <v>12</v>
      </c>
      <c r="I418" s="199">
        <v>3</v>
      </c>
      <c r="J418" s="199">
        <v>21</v>
      </c>
      <c r="K418" s="186">
        <f t="shared" si="26"/>
        <v>45737</v>
      </c>
      <c r="L418" s="6" t="s">
        <v>4104</v>
      </c>
      <c r="M418" s="6" t="s">
        <v>2388</v>
      </c>
      <c r="N418" s="3" t="str">
        <f t="shared" si="27"/>
        <v/>
      </c>
      <c r="O418" s="6"/>
      <c r="P418" s="6"/>
      <c r="Q418" s="6"/>
      <c r="R418" s="6"/>
      <c r="S418" s="6"/>
      <c r="T418" s="6"/>
      <c r="U418" s="6"/>
    </row>
    <row r="419" spans="1:21" s="2" customFormat="1">
      <c r="A419" s="6">
        <v>5523</v>
      </c>
      <c r="B419" s="82">
        <f t="array" ref="B419">SUM(--(FREQUENCY(IF(C$2:C$3071=C419, MATCH(D$2:D$3071, D$2:D$3071, 0)), ROW(D$2:D$3071)-ROW(D$2)+1) &gt; 0))</f>
        <v>43</v>
      </c>
      <c r="C419" s="6">
        <v>41200046</v>
      </c>
      <c r="D419" s="6" t="s">
        <v>1945</v>
      </c>
      <c r="E419" s="6" t="s">
        <v>4135</v>
      </c>
      <c r="F419" s="6" t="s">
        <v>4112</v>
      </c>
      <c r="G419" s="3" t="str">
        <f t="shared" si="25"/>
        <v>DUAL</v>
      </c>
      <c r="H419" s="197">
        <f t="shared" si="24"/>
        <v>12</v>
      </c>
      <c r="I419" s="199">
        <v>3</v>
      </c>
      <c r="J419" s="199">
        <v>21</v>
      </c>
      <c r="K419" s="186">
        <f t="shared" si="26"/>
        <v>45737</v>
      </c>
      <c r="L419" s="6" t="s">
        <v>2381</v>
      </c>
      <c r="M419" s="6" t="s">
        <v>2383</v>
      </c>
      <c r="N419" s="3" t="str">
        <f t="shared" si="27"/>
        <v>NG</v>
      </c>
      <c r="O419" s="6" t="s">
        <v>1568</v>
      </c>
      <c r="P419" s="6"/>
      <c r="Q419" s="6">
        <v>11001966</v>
      </c>
      <c r="R419" s="6" t="s">
        <v>4504</v>
      </c>
      <c r="S419" s="6" t="s">
        <v>4548</v>
      </c>
      <c r="T419" s="6" t="s">
        <v>4455</v>
      </c>
      <c r="U419" s="6"/>
    </row>
    <row r="420" spans="1:21" s="2" customFormat="1">
      <c r="A420" s="6">
        <v>5523</v>
      </c>
      <c r="B420" s="82">
        <f t="array" ref="B420">SUM(--(FREQUENCY(IF(C$2:C$3071=C420, MATCH(D$2:D$3071, D$2:D$3071, 0)), ROW(D$2:D$3071)-ROW(D$2)+1) &gt; 0))</f>
        <v>43</v>
      </c>
      <c r="C420" s="6">
        <v>41200046</v>
      </c>
      <c r="D420" s="6" t="s">
        <v>1944</v>
      </c>
      <c r="E420" s="6" t="s">
        <v>4135</v>
      </c>
      <c r="F420" s="6" t="s">
        <v>4112</v>
      </c>
      <c r="G420" s="3" t="str">
        <f t="shared" si="25"/>
        <v>DUAL</v>
      </c>
      <c r="H420" s="197">
        <f t="shared" si="24"/>
        <v>12</v>
      </c>
      <c r="I420" s="199">
        <v>3</v>
      </c>
      <c r="J420" s="199">
        <v>21</v>
      </c>
      <c r="K420" s="186">
        <f t="shared" si="26"/>
        <v>45737</v>
      </c>
      <c r="L420" s="6" t="s">
        <v>2381</v>
      </c>
      <c r="M420" s="6" t="s">
        <v>2383</v>
      </c>
      <c r="N420" s="3" t="str">
        <f t="shared" si="27"/>
        <v/>
      </c>
      <c r="O420" s="6"/>
      <c r="P420" s="6"/>
      <c r="Q420" s="6"/>
      <c r="R420" s="6"/>
      <c r="S420" s="6"/>
      <c r="T420" s="6"/>
      <c r="U420" s="6"/>
    </row>
    <row r="421" spans="1:21" s="2" customFormat="1">
      <c r="A421" s="6">
        <v>5523</v>
      </c>
      <c r="B421" s="82">
        <f t="array" ref="B421">SUM(--(FREQUENCY(IF(C$2:C$3071=C421, MATCH(D$2:D$3071, D$2:D$3071, 0)), ROW(D$2:D$3071)-ROW(D$2)+1) &gt; 0))</f>
        <v>43</v>
      </c>
      <c r="C421" s="6">
        <v>41200046</v>
      </c>
      <c r="D421" s="6" t="s">
        <v>1943</v>
      </c>
      <c r="E421" s="6" t="s">
        <v>4135</v>
      </c>
      <c r="F421" s="6" t="s">
        <v>4112</v>
      </c>
      <c r="G421" s="3" t="str">
        <f t="shared" si="25"/>
        <v>DUAL</v>
      </c>
      <c r="H421" s="197">
        <f t="shared" si="24"/>
        <v>12</v>
      </c>
      <c r="I421" s="199">
        <v>3</v>
      </c>
      <c r="J421" s="199">
        <v>21</v>
      </c>
      <c r="K421" s="186">
        <f t="shared" si="26"/>
        <v>45737</v>
      </c>
      <c r="L421" s="6" t="s">
        <v>2381</v>
      </c>
      <c r="M421" s="6" t="s">
        <v>2383</v>
      </c>
      <c r="N421" s="3" t="str">
        <f t="shared" si="27"/>
        <v/>
      </c>
      <c r="O421" s="6"/>
      <c r="P421" s="6"/>
      <c r="Q421" s="6"/>
      <c r="R421" s="6"/>
      <c r="S421" s="6"/>
      <c r="T421" s="6"/>
      <c r="U421" s="6"/>
    </row>
    <row r="422" spans="1:21" s="2" customFormat="1">
      <c r="A422" s="6">
        <v>5523</v>
      </c>
      <c r="B422" s="82">
        <f t="array" ref="B422">SUM(--(FREQUENCY(IF(C$2:C$3071=C422, MATCH(D$2:D$3071, D$2:D$3071, 0)), ROW(D$2:D$3071)-ROW(D$2)+1) &gt; 0))</f>
        <v>43</v>
      </c>
      <c r="C422" s="6">
        <v>41200046</v>
      </c>
      <c r="D422" s="6" t="s">
        <v>4549</v>
      </c>
      <c r="E422" s="6" t="s">
        <v>4135</v>
      </c>
      <c r="F422" s="6" t="s">
        <v>4112</v>
      </c>
      <c r="G422" s="3" t="str">
        <f t="shared" si="25"/>
        <v>DUAL</v>
      </c>
      <c r="H422" s="197">
        <f t="shared" si="24"/>
        <v>12</v>
      </c>
      <c r="I422" s="199">
        <v>3</v>
      </c>
      <c r="J422" s="199">
        <v>21</v>
      </c>
      <c r="K422" s="186">
        <f t="shared" si="26"/>
        <v>45737</v>
      </c>
      <c r="L422" s="6" t="s">
        <v>2381</v>
      </c>
      <c r="M422" s="6" t="s">
        <v>2383</v>
      </c>
      <c r="N422" s="3" t="str">
        <f t="shared" si="27"/>
        <v/>
      </c>
      <c r="O422" s="6"/>
      <c r="P422" s="6"/>
      <c r="Q422" s="6"/>
      <c r="R422" s="6"/>
      <c r="S422" s="6"/>
      <c r="T422" s="6"/>
      <c r="U422" s="6"/>
    </row>
    <row r="423" spans="1:21" s="2" customFormat="1">
      <c r="A423" s="3">
        <v>5484</v>
      </c>
      <c r="B423" s="82">
        <f t="array" ref="B423">SUM(--(FREQUENCY(IF(C$2:C$3071=C423, MATCH(D$2:D$3071, D$2:D$3071, 0)), ROW(D$2:D$3071)-ROW(D$2)+1) &gt; 0))</f>
        <v>2</v>
      </c>
      <c r="C423" s="3">
        <v>41100566</v>
      </c>
      <c r="D423" s="6" t="s">
        <v>4550</v>
      </c>
      <c r="E423" s="3" t="s">
        <v>4551</v>
      </c>
      <c r="F423" s="3" t="s">
        <v>4112</v>
      </c>
      <c r="G423" s="3" t="str">
        <f t="shared" si="25"/>
        <v>DUAL</v>
      </c>
      <c r="H423" s="197">
        <f t="shared" si="24"/>
        <v>12</v>
      </c>
      <c r="I423" s="197">
        <v>3</v>
      </c>
      <c r="J423" s="197">
        <v>21</v>
      </c>
      <c r="K423" s="186">
        <f t="shared" si="26"/>
        <v>45737</v>
      </c>
      <c r="L423" s="3" t="s">
        <v>2381</v>
      </c>
      <c r="M423" s="3" t="s">
        <v>2383</v>
      </c>
      <c r="N423" s="3" t="str">
        <f t="shared" si="27"/>
        <v>NG</v>
      </c>
      <c r="O423" s="6" t="s">
        <v>1568</v>
      </c>
      <c r="P423" s="6"/>
      <c r="Q423" s="3">
        <v>11005792</v>
      </c>
      <c r="R423" s="3" t="s">
        <v>4552</v>
      </c>
      <c r="S423" s="3" t="s">
        <v>4553</v>
      </c>
      <c r="T423" s="3" t="s">
        <v>4454</v>
      </c>
      <c r="U423" s="3"/>
    </row>
    <row r="424" spans="1:21" s="2" customFormat="1">
      <c r="A424" s="3">
        <v>5493</v>
      </c>
      <c r="B424" s="82">
        <f t="array" ref="B424">SUM(--(FREQUENCY(IF(C$2:C$3071=C424, MATCH(D$2:D$3071, D$2:D$3071, 0)), ROW(D$2:D$3071)-ROW(D$2)+1) &gt; 0))</f>
        <v>5</v>
      </c>
      <c r="C424" s="3">
        <v>41000587</v>
      </c>
      <c r="D424" s="6" t="s">
        <v>4554</v>
      </c>
      <c r="E424" s="3" t="s">
        <v>2365</v>
      </c>
      <c r="F424" s="3" t="s">
        <v>4130</v>
      </c>
      <c r="G424" s="3" t="str">
        <f t="shared" si="25"/>
        <v>DUAL</v>
      </c>
      <c r="H424" s="197">
        <f t="shared" si="24"/>
        <v>12</v>
      </c>
      <c r="I424" s="197">
        <v>3</v>
      </c>
      <c r="J424" s="197">
        <v>21</v>
      </c>
      <c r="K424" s="186">
        <f t="shared" si="26"/>
        <v>45737</v>
      </c>
      <c r="L424" s="3" t="s">
        <v>2367</v>
      </c>
      <c r="M424" s="3" t="s">
        <v>2367</v>
      </c>
      <c r="N424" s="3" t="str">
        <f t="shared" si="27"/>
        <v>NG</v>
      </c>
      <c r="O424" s="6" t="s">
        <v>1568</v>
      </c>
      <c r="P424" s="6"/>
      <c r="Q424" s="3">
        <v>11002143</v>
      </c>
      <c r="R424" s="3" t="s">
        <v>4555</v>
      </c>
      <c r="S424" s="3" t="s">
        <v>4556</v>
      </c>
      <c r="T424" s="3" t="s">
        <v>4455</v>
      </c>
      <c r="U424" s="3"/>
    </row>
    <row r="425" spans="1:21">
      <c r="A425" s="14">
        <v>5518</v>
      </c>
      <c r="B425" s="82">
        <f t="array" ref="B425">SUM(--(FREQUENCY(IF(C$2:C$3071=C425, MATCH(D$2:D$3071, D$2:D$3071, 0)), ROW(D$2:D$3071)-ROW(D$2)+1) &gt; 0))</f>
        <v>1</v>
      </c>
      <c r="C425" s="14">
        <v>41200120</v>
      </c>
      <c r="D425" s="6" t="s">
        <v>4557</v>
      </c>
      <c r="E425" s="14" t="s">
        <v>4558</v>
      </c>
      <c r="F425" s="14" t="s">
        <v>4119</v>
      </c>
      <c r="G425" s="3" t="str">
        <f t="shared" si="25"/>
        <v>SINGLE</v>
      </c>
      <c r="H425" s="197">
        <f t="shared" si="24"/>
        <v>13</v>
      </c>
      <c r="I425" s="201">
        <v>3</v>
      </c>
      <c r="J425" s="201">
        <v>24</v>
      </c>
      <c r="K425" s="186">
        <f t="shared" si="26"/>
        <v>45740</v>
      </c>
      <c r="L425" s="14" t="s">
        <v>4104</v>
      </c>
      <c r="M425" s="14" t="s">
        <v>2388</v>
      </c>
      <c r="N425" s="3" t="str">
        <f t="shared" si="27"/>
        <v>NG</v>
      </c>
      <c r="O425" s="14" t="s">
        <v>1568</v>
      </c>
      <c r="P425" s="14"/>
      <c r="Q425" s="14">
        <v>11002737</v>
      </c>
      <c r="R425" s="14" t="s">
        <v>4528</v>
      </c>
      <c r="S425" s="14" t="s">
        <v>4495</v>
      </c>
      <c r="T425" s="14"/>
      <c r="U425" s="14"/>
    </row>
    <row r="426" spans="1:21">
      <c r="A426" s="14">
        <v>5518</v>
      </c>
      <c r="B426" s="82">
        <f t="array" ref="B426">SUM(--(FREQUENCY(IF(C$2:C$3071=C426, MATCH(D$2:D$3071, D$2:D$3071, 0)), ROW(D$2:D$3071)-ROW(D$2)+1) &gt; 0))</f>
        <v>1</v>
      </c>
      <c r="C426" s="14">
        <v>41200120</v>
      </c>
      <c r="D426" s="6" t="s">
        <v>4557</v>
      </c>
      <c r="E426" s="14" t="s">
        <v>4558</v>
      </c>
      <c r="F426" s="14" t="s">
        <v>4119</v>
      </c>
      <c r="G426" s="3" t="str">
        <f t="shared" si="25"/>
        <v>SINGLE</v>
      </c>
      <c r="H426" s="197">
        <f t="shared" si="24"/>
        <v>13</v>
      </c>
      <c r="I426" s="201">
        <v>3</v>
      </c>
      <c r="J426" s="201">
        <v>24</v>
      </c>
      <c r="K426" s="186">
        <f t="shared" si="26"/>
        <v>45740</v>
      </c>
      <c r="L426" s="14" t="s">
        <v>4104</v>
      </c>
      <c r="M426" s="14" t="s">
        <v>2388</v>
      </c>
      <c r="N426" s="3" t="str">
        <f t="shared" si="27"/>
        <v>NG</v>
      </c>
      <c r="O426" s="14" t="s">
        <v>1568</v>
      </c>
      <c r="P426" s="14"/>
      <c r="Q426" s="14">
        <v>11002737</v>
      </c>
      <c r="R426" s="14" t="s">
        <v>4528</v>
      </c>
      <c r="S426" s="14" t="s">
        <v>4495</v>
      </c>
      <c r="T426" s="14"/>
      <c r="U426" s="14"/>
    </row>
    <row r="427" spans="1:21">
      <c r="A427" s="3">
        <v>5504</v>
      </c>
      <c r="B427" s="82">
        <f t="array" ref="B427">SUM(--(FREQUENCY(IF(C$2:C$3071=C427, MATCH(D$2:D$3071, D$2:D$3071, 0)), ROW(D$2:D$3071)-ROW(D$2)+1) &gt; 0))</f>
        <v>44</v>
      </c>
      <c r="C427" s="3">
        <v>41200108</v>
      </c>
      <c r="D427" s="6" t="s">
        <v>4559</v>
      </c>
      <c r="E427" s="3" t="s">
        <v>4326</v>
      </c>
      <c r="F427" s="3" t="s">
        <v>4119</v>
      </c>
      <c r="G427" s="3" t="str">
        <f t="shared" si="25"/>
        <v>SINGLE</v>
      </c>
      <c r="H427" s="197">
        <f t="shared" si="24"/>
        <v>13</v>
      </c>
      <c r="I427" s="197">
        <v>3</v>
      </c>
      <c r="J427" s="197">
        <v>24</v>
      </c>
      <c r="K427" s="186">
        <f t="shared" si="26"/>
        <v>45740</v>
      </c>
      <c r="L427" s="3" t="s">
        <v>4104</v>
      </c>
      <c r="M427" s="3" t="s">
        <v>2388</v>
      </c>
      <c r="N427" s="3" t="str">
        <f t="shared" si="27"/>
        <v/>
      </c>
    </row>
    <row r="428" spans="1:21" s="15" customFormat="1">
      <c r="A428" s="3">
        <v>5504</v>
      </c>
      <c r="B428" s="82">
        <f t="array" ref="B428">SUM(--(FREQUENCY(IF(C$2:C$3071=C428, MATCH(D$2:D$3071, D$2:D$3071, 0)), ROW(D$2:D$3071)-ROW(D$2)+1) &gt; 0))</f>
        <v>44</v>
      </c>
      <c r="C428" s="3">
        <v>41200108</v>
      </c>
      <c r="D428" s="6" t="s">
        <v>4560</v>
      </c>
      <c r="E428" s="3" t="s">
        <v>4326</v>
      </c>
      <c r="F428" s="3" t="s">
        <v>4119</v>
      </c>
      <c r="G428" s="3" t="str">
        <f t="shared" si="25"/>
        <v>SINGLE</v>
      </c>
      <c r="H428" s="197">
        <f t="shared" si="24"/>
        <v>13</v>
      </c>
      <c r="I428" s="197">
        <v>3</v>
      </c>
      <c r="J428" s="197">
        <v>24</v>
      </c>
      <c r="K428" s="186">
        <f t="shared" si="26"/>
        <v>45740</v>
      </c>
      <c r="L428" s="3" t="s">
        <v>4104</v>
      </c>
      <c r="M428" s="3" t="s">
        <v>2388</v>
      </c>
      <c r="N428" s="3" t="str">
        <f t="shared" si="27"/>
        <v/>
      </c>
      <c r="O428" s="3"/>
      <c r="P428" s="3"/>
      <c r="Q428" s="3"/>
      <c r="R428" s="3"/>
      <c r="S428" s="3"/>
      <c r="T428" s="3"/>
      <c r="U428" s="3"/>
    </row>
    <row r="429" spans="1:21" s="15" customFormat="1">
      <c r="A429" s="3">
        <v>5504</v>
      </c>
      <c r="B429" s="82">
        <f t="array" ref="B429">SUM(--(FREQUENCY(IF(C$2:C$3071=C429, MATCH(D$2:D$3071, D$2:D$3071, 0)), ROW(D$2:D$3071)-ROW(D$2)+1) &gt; 0))</f>
        <v>44</v>
      </c>
      <c r="C429" s="3">
        <v>41200108</v>
      </c>
      <c r="D429" s="6" t="s">
        <v>4561</v>
      </c>
      <c r="E429" s="3" t="s">
        <v>4326</v>
      </c>
      <c r="F429" s="3" t="s">
        <v>4119</v>
      </c>
      <c r="G429" s="3" t="str">
        <f t="shared" si="25"/>
        <v>SINGLE</v>
      </c>
      <c r="H429" s="197">
        <f t="shared" si="24"/>
        <v>13</v>
      </c>
      <c r="I429" s="197">
        <v>3</v>
      </c>
      <c r="J429" s="197">
        <v>24</v>
      </c>
      <c r="K429" s="186">
        <f t="shared" si="26"/>
        <v>45740</v>
      </c>
      <c r="L429" s="3" t="s">
        <v>4104</v>
      </c>
      <c r="M429" s="3" t="s">
        <v>2388</v>
      </c>
      <c r="N429" s="3" t="str">
        <f t="shared" si="27"/>
        <v/>
      </c>
      <c r="O429" s="3"/>
      <c r="P429" s="3"/>
      <c r="Q429" s="3"/>
      <c r="R429" s="3"/>
      <c r="S429" s="3"/>
      <c r="T429" s="3"/>
      <c r="U429" s="3"/>
    </row>
    <row r="430" spans="1:21">
      <c r="A430" s="3">
        <v>5540</v>
      </c>
      <c r="B430" s="82">
        <f t="array" ref="B430">SUM(--(FREQUENCY(IF(C$2:C$3071=C430, MATCH(D$2:D$3071, D$2:D$3071, 0)), ROW(D$2:D$3071)-ROW(D$2)+1) &gt; 0))</f>
        <v>26</v>
      </c>
      <c r="C430" s="3">
        <v>41000590</v>
      </c>
      <c r="D430" s="6" t="s">
        <v>1955</v>
      </c>
      <c r="E430" s="3" t="s">
        <v>2365</v>
      </c>
      <c r="F430" s="3" t="s">
        <v>4165</v>
      </c>
      <c r="G430" s="3" t="str">
        <f t="shared" si="25"/>
        <v>SINGLE</v>
      </c>
      <c r="H430" s="197">
        <f t="shared" si="24"/>
        <v>13</v>
      </c>
      <c r="I430" s="197">
        <v>3</v>
      </c>
      <c r="J430" s="197">
        <v>24</v>
      </c>
      <c r="K430" s="186">
        <f t="shared" si="26"/>
        <v>45740</v>
      </c>
      <c r="L430" s="3" t="s">
        <v>2381</v>
      </c>
      <c r="M430" s="3" t="s">
        <v>2383</v>
      </c>
      <c r="N430" s="3" t="str">
        <f t="shared" si="27"/>
        <v/>
      </c>
    </row>
    <row r="431" spans="1:21">
      <c r="A431" s="3">
        <v>5540</v>
      </c>
      <c r="B431" s="82">
        <f t="array" ref="B431">SUM(--(FREQUENCY(IF(C$2:C$3071=C431, MATCH(D$2:D$3071, D$2:D$3071, 0)), ROW(D$2:D$3071)-ROW(D$2)+1) &gt; 0))</f>
        <v>26</v>
      </c>
      <c r="C431" s="3">
        <v>41000590</v>
      </c>
      <c r="D431" s="6" t="s">
        <v>4562</v>
      </c>
      <c r="E431" s="3" t="s">
        <v>2365</v>
      </c>
      <c r="F431" s="3" t="s">
        <v>4165</v>
      </c>
      <c r="G431" s="3" t="str">
        <f t="shared" si="25"/>
        <v>SINGLE</v>
      </c>
      <c r="H431" s="197">
        <f t="shared" si="24"/>
        <v>13</v>
      </c>
      <c r="I431" s="197">
        <v>3</v>
      </c>
      <c r="J431" s="197">
        <v>24</v>
      </c>
      <c r="K431" s="186">
        <f t="shared" si="26"/>
        <v>45740</v>
      </c>
      <c r="L431" s="3" t="s">
        <v>2381</v>
      </c>
      <c r="M431" s="3" t="s">
        <v>2383</v>
      </c>
      <c r="N431" s="3" t="str">
        <f t="shared" si="27"/>
        <v/>
      </c>
    </row>
    <row r="432" spans="1:21">
      <c r="A432" s="3">
        <v>5532</v>
      </c>
      <c r="B432" s="82">
        <f t="array" ref="B432">SUM(--(FREQUENCY(IF(C$2:C$3071=C432, MATCH(D$2:D$3071, D$2:D$3071, 0)), ROW(D$2:D$3071)-ROW(D$2)+1) &gt; 0))</f>
        <v>7</v>
      </c>
      <c r="C432" s="3">
        <v>41200080</v>
      </c>
      <c r="D432" s="6" t="s">
        <v>4563</v>
      </c>
      <c r="E432" s="3" t="s">
        <v>2365</v>
      </c>
      <c r="F432" s="6" t="s">
        <v>4112</v>
      </c>
      <c r="G432" s="3" t="str">
        <f t="shared" si="25"/>
        <v>DUAL</v>
      </c>
      <c r="H432" s="197">
        <f t="shared" si="24"/>
        <v>13</v>
      </c>
      <c r="I432" s="197">
        <v>3</v>
      </c>
      <c r="J432" s="197">
        <v>24</v>
      </c>
      <c r="K432" s="186">
        <f t="shared" si="26"/>
        <v>45740</v>
      </c>
      <c r="L432" s="3" t="s">
        <v>2381</v>
      </c>
      <c r="M432" s="3" t="s">
        <v>2383</v>
      </c>
      <c r="N432" s="3" t="str">
        <f t="shared" si="27"/>
        <v/>
      </c>
    </row>
    <row r="433" spans="1:21">
      <c r="A433" s="3">
        <v>5350</v>
      </c>
      <c r="B433" s="82">
        <f t="array" ref="B433">SUM(--(FREQUENCY(IF(C$2:C$3071=C433, MATCH(D$2:D$3071, D$2:D$3071, 0)), ROW(D$2:D$3071)-ROW(D$2)+1) &gt; 0))</f>
        <v>19</v>
      </c>
      <c r="C433" s="3">
        <v>41100320</v>
      </c>
      <c r="D433" s="6" t="s">
        <v>4564</v>
      </c>
      <c r="E433" s="3" t="s">
        <v>4102</v>
      </c>
      <c r="F433" s="6" t="s">
        <v>4112</v>
      </c>
      <c r="G433" s="3" t="str">
        <f t="shared" si="25"/>
        <v>DUAL</v>
      </c>
      <c r="H433" s="197">
        <f t="shared" si="24"/>
        <v>13</v>
      </c>
      <c r="I433" s="197">
        <v>3</v>
      </c>
      <c r="J433" s="197">
        <v>24</v>
      </c>
      <c r="K433" s="186">
        <f t="shared" si="26"/>
        <v>45740</v>
      </c>
      <c r="L433" s="3" t="s">
        <v>2381</v>
      </c>
      <c r="M433" s="3" t="s">
        <v>2383</v>
      </c>
      <c r="N433" s="3" t="str">
        <f t="shared" si="27"/>
        <v/>
      </c>
    </row>
    <row r="434" spans="1:21">
      <c r="A434" s="3">
        <v>5565</v>
      </c>
      <c r="B434" s="82">
        <f t="array" ref="B434">SUM(--(FREQUENCY(IF(C$2:C$3071=C434, MATCH(D$2:D$3071, D$2:D$3071, 0)), ROW(D$2:D$3071)-ROW(D$2)+1) &gt; 0))</f>
        <v>19</v>
      </c>
      <c r="C434" s="3">
        <v>41200124</v>
      </c>
      <c r="D434" s="6" t="s">
        <v>4565</v>
      </c>
      <c r="E434" s="3" t="s">
        <v>4102</v>
      </c>
      <c r="F434" s="6" t="s">
        <v>4112</v>
      </c>
      <c r="G434" s="3" t="str">
        <f t="shared" si="25"/>
        <v>DUAL</v>
      </c>
      <c r="H434" s="197">
        <f t="shared" si="24"/>
        <v>13</v>
      </c>
      <c r="I434" s="197">
        <v>3</v>
      </c>
      <c r="J434" s="197">
        <v>24</v>
      </c>
      <c r="K434" s="186">
        <f t="shared" si="26"/>
        <v>45740</v>
      </c>
      <c r="L434" s="3" t="s">
        <v>4104</v>
      </c>
      <c r="M434" s="3" t="s">
        <v>2383</v>
      </c>
      <c r="N434" s="3" t="str">
        <f t="shared" si="27"/>
        <v/>
      </c>
    </row>
    <row r="435" spans="1:21">
      <c r="A435" s="3">
        <v>5483</v>
      </c>
      <c r="B435" s="82">
        <f t="array" ref="B435">SUM(--(FREQUENCY(IF(C$2:C$3071=C435, MATCH(D$2:D$3071, D$2:D$3071, 0)), ROW(D$2:D$3071)-ROW(D$2)+1) &gt; 0))</f>
        <v>9</v>
      </c>
      <c r="C435" s="3">
        <v>41100564</v>
      </c>
      <c r="D435" s="6" t="s">
        <v>4566</v>
      </c>
      <c r="E435" s="3" t="s">
        <v>4551</v>
      </c>
      <c r="F435" s="3" t="s">
        <v>4112</v>
      </c>
      <c r="G435" s="3" t="str">
        <f t="shared" si="25"/>
        <v>DUAL</v>
      </c>
      <c r="H435" s="197">
        <f t="shared" si="24"/>
        <v>13</v>
      </c>
      <c r="I435" s="197">
        <v>3</v>
      </c>
      <c r="J435" s="197">
        <v>25</v>
      </c>
      <c r="K435" s="186">
        <f t="shared" si="26"/>
        <v>45741</v>
      </c>
      <c r="L435" s="3" t="s">
        <v>2381</v>
      </c>
      <c r="M435" s="3" t="s">
        <v>2383</v>
      </c>
      <c r="N435" s="3" t="str">
        <f t="shared" si="27"/>
        <v/>
      </c>
    </row>
    <row r="436" spans="1:21">
      <c r="A436" s="3">
        <v>5355</v>
      </c>
      <c r="B436" s="82">
        <f t="array" ref="B436">SUM(--(FREQUENCY(IF(C$2:C$3071=C436, MATCH(D$2:D$3071, D$2:D$3071, 0)), ROW(D$2:D$3071)-ROW(D$2)+1) &gt; 0))</f>
        <v>41</v>
      </c>
      <c r="C436" s="3">
        <v>41200101</v>
      </c>
      <c r="D436" s="6" t="s">
        <v>1959</v>
      </c>
      <c r="E436" s="3" t="s">
        <v>4102</v>
      </c>
      <c r="F436" s="3" t="s">
        <v>4112</v>
      </c>
      <c r="G436" s="3" t="str">
        <f t="shared" si="25"/>
        <v>DUAL</v>
      </c>
      <c r="H436" s="197">
        <f t="shared" si="24"/>
        <v>13</v>
      </c>
      <c r="I436" s="197">
        <v>3</v>
      </c>
      <c r="J436" s="197">
        <v>25</v>
      </c>
      <c r="K436" s="186">
        <f t="shared" si="26"/>
        <v>45741</v>
      </c>
      <c r="L436" s="3" t="s">
        <v>4104</v>
      </c>
      <c r="M436" s="3" t="s">
        <v>2388</v>
      </c>
      <c r="N436" s="3" t="str">
        <f t="shared" si="27"/>
        <v/>
      </c>
    </row>
    <row r="437" spans="1:21" s="26" customFormat="1">
      <c r="A437" s="6">
        <v>5355</v>
      </c>
      <c r="B437" s="82">
        <f t="array" ref="B437">SUM(--(FREQUENCY(IF(C$2:C$3071=C437, MATCH(D$2:D$3071, D$2:D$3071, 0)), ROW(D$2:D$3071)-ROW(D$2)+1) &gt; 0))</f>
        <v>41</v>
      </c>
      <c r="C437" s="6">
        <v>41200101</v>
      </c>
      <c r="D437" s="6" t="s">
        <v>4567</v>
      </c>
      <c r="E437" s="6" t="s">
        <v>4102</v>
      </c>
      <c r="F437" s="6" t="s">
        <v>4112</v>
      </c>
      <c r="G437" s="6" t="str">
        <f t="shared" si="25"/>
        <v>DUAL</v>
      </c>
      <c r="H437" s="197">
        <f t="shared" si="24"/>
        <v>13</v>
      </c>
      <c r="I437" s="199">
        <v>3</v>
      </c>
      <c r="J437" s="199">
        <v>25</v>
      </c>
      <c r="K437" s="186">
        <f t="shared" si="26"/>
        <v>45741</v>
      </c>
      <c r="L437" s="6" t="s">
        <v>4104</v>
      </c>
      <c r="M437" s="6" t="s">
        <v>2388</v>
      </c>
      <c r="N437" s="3" t="str">
        <f t="shared" si="27"/>
        <v>NG</v>
      </c>
      <c r="O437" s="6" t="s">
        <v>1568</v>
      </c>
      <c r="P437" s="6"/>
      <c r="Q437" s="6">
        <v>13105380</v>
      </c>
      <c r="R437" s="6" t="s">
        <v>4568</v>
      </c>
      <c r="S437" s="6" t="s">
        <v>4569</v>
      </c>
      <c r="T437" s="6" t="s">
        <v>4454</v>
      </c>
      <c r="U437" s="6"/>
    </row>
    <row r="438" spans="1:21">
      <c r="A438" s="3">
        <v>5558</v>
      </c>
      <c r="B438" s="82">
        <f t="array" ref="B438">SUM(--(FREQUENCY(IF(C$2:C$3071=C438, MATCH(D$2:D$3071, D$2:D$3071, 0)), ROW(D$2:D$3071)-ROW(D$2)+1) &gt; 0))</f>
        <v>33</v>
      </c>
      <c r="C438" s="3">
        <v>41100435</v>
      </c>
      <c r="D438" s="6" t="s">
        <v>4570</v>
      </c>
      <c r="E438" s="3" t="s">
        <v>4102</v>
      </c>
      <c r="F438" s="3" t="s">
        <v>4103</v>
      </c>
      <c r="G438" s="3" t="str">
        <f t="shared" si="25"/>
        <v>SINGLE</v>
      </c>
      <c r="H438" s="197">
        <f t="shared" si="24"/>
        <v>13</v>
      </c>
      <c r="I438" s="197">
        <v>3</v>
      </c>
      <c r="J438" s="197">
        <v>26</v>
      </c>
      <c r="K438" s="186">
        <f t="shared" si="26"/>
        <v>45742</v>
      </c>
      <c r="L438" s="3" t="s">
        <v>2381</v>
      </c>
      <c r="M438" s="3" t="s">
        <v>2388</v>
      </c>
      <c r="N438" s="3" t="str">
        <f t="shared" si="27"/>
        <v/>
      </c>
    </row>
    <row r="439" spans="1:21">
      <c r="A439" s="3">
        <v>5441</v>
      </c>
      <c r="B439" s="82">
        <f t="array" ref="B439">SUM(--(FREQUENCY(IF(C$2:C$3071=C439, MATCH(D$2:D$3071, D$2:D$3071, 0)), ROW(D$2:D$3071)-ROW(D$2)+1) &gt; 0))</f>
        <v>44</v>
      </c>
      <c r="C439" s="3">
        <v>41200108</v>
      </c>
      <c r="D439" s="6" t="s">
        <v>1966</v>
      </c>
      <c r="E439" s="3" t="s">
        <v>4326</v>
      </c>
      <c r="F439" s="3" t="s">
        <v>4119</v>
      </c>
      <c r="G439" s="3" t="str">
        <f t="shared" si="25"/>
        <v>SINGLE</v>
      </c>
      <c r="H439" s="197">
        <f t="shared" si="24"/>
        <v>13</v>
      </c>
      <c r="I439" s="197">
        <v>3</v>
      </c>
      <c r="J439" s="197">
        <v>26</v>
      </c>
      <c r="K439" s="186">
        <f t="shared" si="26"/>
        <v>45742</v>
      </c>
      <c r="L439" s="3" t="s">
        <v>2381</v>
      </c>
      <c r="M439" s="3" t="s">
        <v>2383</v>
      </c>
      <c r="N439" s="3" t="str">
        <f t="shared" si="27"/>
        <v>NG</v>
      </c>
      <c r="O439" s="6" t="s">
        <v>1568</v>
      </c>
      <c r="P439" s="6"/>
      <c r="Q439" s="6">
        <v>11002737</v>
      </c>
      <c r="R439" s="6" t="s">
        <v>4528</v>
      </c>
      <c r="S439" s="6" t="s">
        <v>4571</v>
      </c>
    </row>
    <row r="440" spans="1:21">
      <c r="A440" s="3">
        <v>5441</v>
      </c>
      <c r="B440" s="82">
        <f t="array" ref="B440">SUM(--(FREQUENCY(IF(C$2:C$3071=C440, MATCH(D$2:D$3071, D$2:D$3071, 0)), ROW(D$2:D$3071)-ROW(D$2)+1) &gt; 0))</f>
        <v>44</v>
      </c>
      <c r="C440" s="3">
        <v>41200108</v>
      </c>
      <c r="D440" s="6" t="s">
        <v>4572</v>
      </c>
      <c r="E440" s="3" t="s">
        <v>4326</v>
      </c>
      <c r="F440" s="3" t="s">
        <v>4119</v>
      </c>
      <c r="G440" s="3" t="str">
        <f t="shared" si="25"/>
        <v>SINGLE</v>
      </c>
      <c r="H440" s="197">
        <f t="shared" si="24"/>
        <v>13</v>
      </c>
      <c r="I440" s="197">
        <v>3</v>
      </c>
      <c r="J440" s="197">
        <v>26</v>
      </c>
      <c r="K440" s="186">
        <f t="shared" si="26"/>
        <v>45742</v>
      </c>
      <c r="L440" s="3" t="s">
        <v>2381</v>
      </c>
      <c r="M440" s="3" t="s">
        <v>2383</v>
      </c>
      <c r="N440" s="3" t="str">
        <f t="shared" si="27"/>
        <v/>
      </c>
    </row>
    <row r="441" spans="1:21">
      <c r="A441" s="3">
        <v>5433</v>
      </c>
      <c r="B441" s="82">
        <f t="array" ref="B441">SUM(--(FREQUENCY(IF(C$2:C$3071=C441, MATCH(D$2:D$3071, D$2:D$3071, 0)), ROW(D$2:D$3071)-ROW(D$2)+1) &gt; 0))</f>
        <v>1</v>
      </c>
      <c r="C441" s="3">
        <v>41200086</v>
      </c>
      <c r="D441" s="6" t="s">
        <v>4573</v>
      </c>
      <c r="E441" s="3" t="s">
        <v>4574</v>
      </c>
      <c r="F441" s="3" t="s">
        <v>4119</v>
      </c>
      <c r="G441" s="3" t="str">
        <f t="shared" si="25"/>
        <v>SINGLE</v>
      </c>
      <c r="H441" s="197">
        <f t="shared" si="24"/>
        <v>13</v>
      </c>
      <c r="I441" s="197">
        <v>3</v>
      </c>
      <c r="J441" s="197">
        <v>26</v>
      </c>
      <c r="K441" s="186">
        <f t="shared" si="26"/>
        <v>45742</v>
      </c>
      <c r="L441" s="3" t="s">
        <v>2381</v>
      </c>
      <c r="M441" s="3" t="s">
        <v>2383</v>
      </c>
      <c r="N441" s="3" t="str">
        <f t="shared" si="27"/>
        <v/>
      </c>
    </row>
    <row r="442" spans="1:21">
      <c r="A442" s="3">
        <v>5351</v>
      </c>
      <c r="B442" s="82">
        <f t="array" ref="B442">SUM(--(FREQUENCY(IF(C$2:C$3071=C442, MATCH(D$2:D$3071, D$2:D$3071, 0)), ROW(D$2:D$3071)-ROW(D$2)+1) &gt; 0))</f>
        <v>77</v>
      </c>
      <c r="C442" s="3">
        <v>41200076</v>
      </c>
      <c r="D442" s="6" t="s">
        <v>4575</v>
      </c>
      <c r="E442" s="3" t="s">
        <v>4102</v>
      </c>
      <c r="F442" s="3" t="s">
        <v>4112</v>
      </c>
      <c r="G442" s="3" t="str">
        <f t="shared" si="25"/>
        <v>DUAL</v>
      </c>
      <c r="H442" s="197">
        <f t="shared" si="24"/>
        <v>13</v>
      </c>
      <c r="I442" s="197">
        <v>3</v>
      </c>
      <c r="J442" s="197">
        <v>26</v>
      </c>
      <c r="K442" s="186">
        <f t="shared" si="26"/>
        <v>45742</v>
      </c>
      <c r="L442" s="3" t="s">
        <v>4104</v>
      </c>
      <c r="M442" s="3" t="s">
        <v>2388</v>
      </c>
      <c r="N442" s="3" t="str">
        <f t="shared" si="27"/>
        <v/>
      </c>
    </row>
    <row r="443" spans="1:21">
      <c r="A443" s="3">
        <v>5355</v>
      </c>
      <c r="B443" s="82">
        <f t="array" ref="B443">SUM(--(FREQUENCY(IF(C$2:C$3071=C443, MATCH(D$2:D$3071, D$2:D$3071, 0)), ROW(D$2:D$3071)-ROW(D$2)+1) &gt; 0))</f>
        <v>41</v>
      </c>
      <c r="C443" s="3">
        <v>41200101</v>
      </c>
      <c r="D443" s="6" t="s">
        <v>1964</v>
      </c>
      <c r="E443" s="3" t="s">
        <v>4102</v>
      </c>
      <c r="F443" s="3" t="s">
        <v>4112</v>
      </c>
      <c r="G443" s="3" t="str">
        <f t="shared" si="25"/>
        <v>DUAL</v>
      </c>
      <c r="H443" s="197">
        <f t="shared" si="24"/>
        <v>13</v>
      </c>
      <c r="I443" s="197">
        <v>3</v>
      </c>
      <c r="J443" s="197">
        <v>26</v>
      </c>
      <c r="K443" s="186">
        <f t="shared" si="26"/>
        <v>45742</v>
      </c>
      <c r="L443" s="3" t="s">
        <v>2381</v>
      </c>
      <c r="M443" s="3" t="s">
        <v>2383</v>
      </c>
      <c r="N443" s="3" t="str">
        <f t="shared" si="27"/>
        <v/>
      </c>
    </row>
    <row r="444" spans="1:21">
      <c r="A444" s="3">
        <v>5355</v>
      </c>
      <c r="B444" s="82">
        <f t="array" ref="B444">SUM(--(FREQUENCY(IF(C$2:C$3071=C444, MATCH(D$2:D$3071, D$2:D$3071, 0)), ROW(D$2:D$3071)-ROW(D$2)+1) &gt; 0))</f>
        <v>41</v>
      </c>
      <c r="C444" s="3">
        <v>41200101</v>
      </c>
      <c r="D444" s="6" t="s">
        <v>1963</v>
      </c>
      <c r="E444" s="3" t="s">
        <v>4102</v>
      </c>
      <c r="F444" s="3" t="s">
        <v>4112</v>
      </c>
      <c r="G444" s="3" t="str">
        <f t="shared" si="25"/>
        <v>DUAL</v>
      </c>
      <c r="H444" s="197">
        <f t="shared" si="24"/>
        <v>13</v>
      </c>
      <c r="I444" s="197">
        <v>3</v>
      </c>
      <c r="J444" s="197">
        <v>26</v>
      </c>
      <c r="K444" s="186">
        <f t="shared" si="26"/>
        <v>45742</v>
      </c>
      <c r="L444" s="3" t="s">
        <v>2381</v>
      </c>
      <c r="M444" s="3" t="s">
        <v>2383</v>
      </c>
      <c r="N444" s="3" t="str">
        <f t="shared" si="27"/>
        <v/>
      </c>
    </row>
    <row r="445" spans="1:21">
      <c r="A445" s="3">
        <v>5355</v>
      </c>
      <c r="B445" s="82">
        <f t="array" ref="B445">SUM(--(FREQUENCY(IF(C$2:C$3071=C445, MATCH(D$2:D$3071, D$2:D$3071, 0)), ROW(D$2:D$3071)-ROW(D$2)+1) &gt; 0))</f>
        <v>41</v>
      </c>
      <c r="C445" s="3">
        <v>41200101</v>
      </c>
      <c r="D445" s="6" t="s">
        <v>4576</v>
      </c>
      <c r="E445" s="3" t="s">
        <v>4102</v>
      </c>
      <c r="F445" s="3" t="s">
        <v>4112</v>
      </c>
      <c r="G445" s="3" t="str">
        <f t="shared" si="25"/>
        <v>DUAL</v>
      </c>
      <c r="H445" s="197">
        <f t="shared" si="24"/>
        <v>13</v>
      </c>
      <c r="I445" s="197">
        <v>3</v>
      </c>
      <c r="J445" s="197">
        <v>26</v>
      </c>
      <c r="K445" s="186">
        <f t="shared" si="26"/>
        <v>45742</v>
      </c>
      <c r="L445" s="3" t="s">
        <v>2381</v>
      </c>
      <c r="M445" s="3" t="s">
        <v>2383</v>
      </c>
      <c r="N445" s="3" t="str">
        <f t="shared" si="27"/>
        <v/>
      </c>
    </row>
    <row r="446" spans="1:21">
      <c r="A446" s="3">
        <v>5351</v>
      </c>
      <c r="B446" s="82">
        <f t="array" ref="B446">SUM(--(FREQUENCY(IF(C$2:C$3071=C446, MATCH(D$2:D$3071, D$2:D$3071, 0)), ROW(D$2:D$3071)-ROW(D$2)+1) &gt; 0))</f>
        <v>41</v>
      </c>
      <c r="C446" s="3">
        <v>41200101</v>
      </c>
      <c r="D446" s="6" t="s">
        <v>1969</v>
      </c>
      <c r="E446" s="3" t="s">
        <v>4102</v>
      </c>
      <c r="F446" s="3" t="s">
        <v>4112</v>
      </c>
      <c r="G446" s="3" t="str">
        <f t="shared" si="25"/>
        <v>DUAL</v>
      </c>
      <c r="H446" s="197">
        <f t="shared" si="24"/>
        <v>13</v>
      </c>
      <c r="I446" s="197">
        <v>3</v>
      </c>
      <c r="J446" s="197">
        <v>26</v>
      </c>
      <c r="K446" s="186">
        <f t="shared" si="26"/>
        <v>45742</v>
      </c>
      <c r="L446" s="3" t="s">
        <v>4104</v>
      </c>
      <c r="M446" s="3" t="s">
        <v>2388</v>
      </c>
      <c r="N446" s="3" t="str">
        <f t="shared" si="27"/>
        <v/>
      </c>
    </row>
    <row r="447" spans="1:21">
      <c r="A447" s="3">
        <v>5355</v>
      </c>
      <c r="B447" s="82">
        <f t="array" ref="B447">SUM(--(FREQUENCY(IF(C$2:C$3071=C447, MATCH(D$2:D$3071, D$2:D$3071, 0)), ROW(D$2:D$3071)-ROW(D$2)+1) &gt; 0))</f>
        <v>41</v>
      </c>
      <c r="C447" s="3">
        <v>41200101</v>
      </c>
      <c r="D447" s="6" t="s">
        <v>4577</v>
      </c>
      <c r="E447" s="3" t="s">
        <v>4102</v>
      </c>
      <c r="F447" s="3" t="s">
        <v>4112</v>
      </c>
      <c r="G447" s="3" t="str">
        <f t="shared" si="25"/>
        <v>DUAL</v>
      </c>
      <c r="H447" s="197">
        <f t="shared" si="24"/>
        <v>13</v>
      </c>
      <c r="I447" s="197">
        <v>3</v>
      </c>
      <c r="J447" s="197">
        <v>26</v>
      </c>
      <c r="K447" s="186">
        <f t="shared" si="26"/>
        <v>45742</v>
      </c>
      <c r="L447" s="3" t="s">
        <v>4104</v>
      </c>
      <c r="M447" s="3" t="s">
        <v>2388</v>
      </c>
      <c r="N447" s="3" t="str">
        <f t="shared" si="27"/>
        <v/>
      </c>
    </row>
    <row r="448" spans="1:21" s="2" customFormat="1">
      <c r="A448" s="3">
        <v>5441</v>
      </c>
      <c r="B448" s="82">
        <f t="array" ref="B448">SUM(--(FREQUENCY(IF(C$2:C$3071=C448, MATCH(D$2:D$3071, D$2:D$3071, 0)), ROW(D$2:D$3071)-ROW(D$2)+1) &gt; 0))</f>
        <v>44</v>
      </c>
      <c r="C448" s="3">
        <v>41200108</v>
      </c>
      <c r="D448" s="6" t="s">
        <v>1976</v>
      </c>
      <c r="E448" s="3" t="s">
        <v>4326</v>
      </c>
      <c r="F448" s="3" t="s">
        <v>4119</v>
      </c>
      <c r="G448" s="3" t="str">
        <f t="shared" si="25"/>
        <v>SINGLE</v>
      </c>
      <c r="H448" s="197">
        <f t="shared" si="24"/>
        <v>13</v>
      </c>
      <c r="I448" s="197">
        <v>3</v>
      </c>
      <c r="J448" s="197">
        <v>27</v>
      </c>
      <c r="K448" s="186">
        <f t="shared" si="26"/>
        <v>45743</v>
      </c>
      <c r="L448" s="3" t="s">
        <v>2381</v>
      </c>
      <c r="M448" s="3" t="s">
        <v>2383</v>
      </c>
      <c r="N448" s="3" t="str">
        <f t="shared" si="27"/>
        <v/>
      </c>
      <c r="O448" s="3"/>
      <c r="P448" s="3"/>
      <c r="Q448" s="3"/>
      <c r="R448" s="3"/>
      <c r="S448" s="3"/>
      <c r="T448" s="3"/>
      <c r="U448" s="3"/>
    </row>
    <row r="449" spans="1:21" s="26" customFormat="1">
      <c r="A449" s="3">
        <v>5441</v>
      </c>
      <c r="B449" s="82">
        <f t="array" ref="B449">SUM(--(FREQUENCY(IF(C$2:C$3071=C449, MATCH(D$2:D$3071, D$2:D$3071, 0)), ROW(D$2:D$3071)-ROW(D$2)+1) &gt; 0))</f>
        <v>44</v>
      </c>
      <c r="C449" s="3">
        <v>41200108</v>
      </c>
      <c r="D449" s="6" t="s">
        <v>1975</v>
      </c>
      <c r="E449" s="3" t="s">
        <v>4326</v>
      </c>
      <c r="F449" s="3" t="s">
        <v>4119</v>
      </c>
      <c r="G449" s="3" t="str">
        <f t="shared" si="25"/>
        <v>SINGLE</v>
      </c>
      <c r="H449" s="197">
        <f t="shared" ref="H449:H512" si="28">WEEKNUM(K449)</f>
        <v>13</v>
      </c>
      <c r="I449" s="197">
        <v>3</v>
      </c>
      <c r="J449" s="197">
        <v>27</v>
      </c>
      <c r="K449" s="186">
        <f t="shared" si="26"/>
        <v>45743</v>
      </c>
      <c r="L449" s="3" t="s">
        <v>2381</v>
      </c>
      <c r="M449" s="3" t="s">
        <v>2383</v>
      </c>
      <c r="N449" s="3" t="str">
        <f t="shared" si="27"/>
        <v/>
      </c>
      <c r="O449" s="3"/>
      <c r="P449" s="3"/>
      <c r="Q449" s="3"/>
      <c r="R449" s="3"/>
      <c r="S449" s="3"/>
      <c r="T449" s="3"/>
      <c r="U449" s="3"/>
    </row>
    <row r="450" spans="1:21" s="2" customFormat="1">
      <c r="A450" s="3">
        <v>5441</v>
      </c>
      <c r="B450" s="82">
        <f t="array" ref="B450">SUM(--(FREQUENCY(IF(C$2:C$3071=C450, MATCH(D$2:D$3071, D$2:D$3071, 0)), ROW(D$2:D$3071)-ROW(D$2)+1) &gt; 0))</f>
        <v>44</v>
      </c>
      <c r="C450" s="3">
        <v>41200108</v>
      </c>
      <c r="D450" s="6" t="s">
        <v>4578</v>
      </c>
      <c r="E450" s="3" t="s">
        <v>4326</v>
      </c>
      <c r="F450" s="3" t="s">
        <v>4119</v>
      </c>
      <c r="G450" s="3" t="str">
        <f t="shared" ref="G450:G513" si="29">IF(OR(ISNUMBER(SEARCH("DUAL",F450)), ISNUMBER(SEARCH("IVAS",F450))), "DUAL", "SINGLE")</f>
        <v>SINGLE</v>
      </c>
      <c r="H450" s="197">
        <f t="shared" si="28"/>
        <v>13</v>
      </c>
      <c r="I450" s="197">
        <v>3</v>
      </c>
      <c r="J450" s="197">
        <v>27</v>
      </c>
      <c r="K450" s="186">
        <f t="shared" ref="K450:K513" si="30">DATE(2025, I450, J450)</f>
        <v>45743</v>
      </c>
      <c r="L450" s="3" t="s">
        <v>2381</v>
      </c>
      <c r="M450" s="3" t="s">
        <v>2383</v>
      </c>
      <c r="N450" s="3" t="str">
        <f t="shared" ref="N450:N513" si="31">IF(O450&lt;&gt;"", "NG", "")</f>
        <v/>
      </c>
      <c r="O450" s="3"/>
      <c r="P450" s="3"/>
      <c r="Q450" s="3"/>
      <c r="R450" s="3"/>
      <c r="S450" s="3"/>
      <c r="T450" s="3"/>
      <c r="U450" s="3"/>
    </row>
    <row r="451" spans="1:21">
      <c r="A451" s="3">
        <v>5545</v>
      </c>
      <c r="B451" s="82">
        <f t="array" ref="B451">SUM(--(FREQUENCY(IF(C$2:C$3071=C451, MATCH(D$2:D$3071, D$2:D$3071, 0)), ROW(D$2:D$3071)-ROW(D$2)+1) &gt; 0))</f>
        <v>32</v>
      </c>
      <c r="C451" s="3">
        <v>41200122</v>
      </c>
      <c r="D451" s="6" t="s">
        <v>1973</v>
      </c>
      <c r="E451" s="3" t="s">
        <v>4102</v>
      </c>
      <c r="F451" s="3" t="s">
        <v>4112</v>
      </c>
      <c r="G451" s="3" t="str">
        <f t="shared" si="29"/>
        <v>DUAL</v>
      </c>
      <c r="H451" s="197">
        <f t="shared" si="28"/>
        <v>13</v>
      </c>
      <c r="I451" s="197">
        <v>3</v>
      </c>
      <c r="J451" s="197">
        <v>27</v>
      </c>
      <c r="K451" s="186">
        <f t="shared" si="30"/>
        <v>45743</v>
      </c>
      <c r="L451" s="3" t="s">
        <v>2381</v>
      </c>
      <c r="M451" s="3" t="s">
        <v>2383</v>
      </c>
      <c r="N451" s="3" t="str">
        <f t="shared" si="31"/>
        <v/>
      </c>
    </row>
    <row r="452" spans="1:21">
      <c r="A452" s="3">
        <v>5545</v>
      </c>
      <c r="B452" s="82">
        <f t="array" ref="B452">SUM(--(FREQUENCY(IF(C$2:C$3071=C452, MATCH(D$2:D$3071, D$2:D$3071, 0)), ROW(D$2:D$3071)-ROW(D$2)+1) &gt; 0))</f>
        <v>32</v>
      </c>
      <c r="C452" s="3">
        <v>41200122</v>
      </c>
      <c r="D452" s="6" t="s">
        <v>4579</v>
      </c>
      <c r="E452" s="3" t="s">
        <v>4102</v>
      </c>
      <c r="F452" s="3" t="s">
        <v>4112</v>
      </c>
      <c r="G452" s="3" t="str">
        <f t="shared" si="29"/>
        <v>DUAL</v>
      </c>
      <c r="H452" s="197">
        <f t="shared" si="28"/>
        <v>13</v>
      </c>
      <c r="I452" s="197">
        <v>3</v>
      </c>
      <c r="J452" s="197">
        <v>27</v>
      </c>
      <c r="K452" s="186">
        <f t="shared" si="30"/>
        <v>45743</v>
      </c>
      <c r="L452" s="3" t="s">
        <v>2381</v>
      </c>
      <c r="M452" s="3" t="s">
        <v>2383</v>
      </c>
      <c r="N452" s="3" t="str">
        <f t="shared" si="31"/>
        <v/>
      </c>
    </row>
    <row r="453" spans="1:21">
      <c r="A453" s="3">
        <v>5520</v>
      </c>
      <c r="B453" s="82">
        <f t="array" ref="B453">SUM(--(FREQUENCY(IF(C$2:C$3071=C453, MATCH(D$2:D$3071, D$2:D$3071, 0)), ROW(D$2:D$3071)-ROW(D$2)+1) &gt; 0))</f>
        <v>7</v>
      </c>
      <c r="C453" s="3">
        <v>41200042</v>
      </c>
      <c r="D453" s="6" t="s">
        <v>4580</v>
      </c>
      <c r="E453" s="3" t="s">
        <v>4135</v>
      </c>
      <c r="F453" s="3" t="s">
        <v>4112</v>
      </c>
      <c r="G453" s="3" t="str">
        <f t="shared" si="29"/>
        <v>DUAL</v>
      </c>
      <c r="H453" s="197">
        <f t="shared" si="28"/>
        <v>13</v>
      </c>
      <c r="I453" s="197">
        <v>3</v>
      </c>
      <c r="J453" s="197">
        <v>27</v>
      </c>
      <c r="K453" s="186">
        <f t="shared" si="30"/>
        <v>45743</v>
      </c>
      <c r="L453" s="3" t="s">
        <v>4104</v>
      </c>
      <c r="M453" s="3" t="s">
        <v>2388</v>
      </c>
      <c r="N453" s="3" t="str">
        <f t="shared" si="31"/>
        <v/>
      </c>
    </row>
    <row r="454" spans="1:21">
      <c r="A454" s="3">
        <v>5522</v>
      </c>
      <c r="B454" s="82">
        <f t="array" ref="B454">SUM(--(FREQUENCY(IF(C$2:C$3071=C454, MATCH(D$2:D$3071, D$2:D$3071, 0)), ROW(D$2:D$3071)-ROW(D$2)+1) &gt; 0))</f>
        <v>14</v>
      </c>
      <c r="C454" s="3">
        <v>41200038</v>
      </c>
      <c r="D454" s="6" t="s">
        <v>4581</v>
      </c>
      <c r="E454" s="3" t="s">
        <v>4135</v>
      </c>
      <c r="F454" s="3" t="s">
        <v>4112</v>
      </c>
      <c r="G454" s="3" t="str">
        <f t="shared" si="29"/>
        <v>DUAL</v>
      </c>
      <c r="H454" s="197">
        <f t="shared" si="28"/>
        <v>13</v>
      </c>
      <c r="I454" s="197">
        <v>3</v>
      </c>
      <c r="J454" s="197">
        <v>27</v>
      </c>
      <c r="K454" s="186">
        <f t="shared" si="30"/>
        <v>45743</v>
      </c>
      <c r="L454" s="3" t="s">
        <v>4104</v>
      </c>
      <c r="M454" s="3" t="s">
        <v>2388</v>
      </c>
      <c r="N454" s="3" t="str">
        <f t="shared" si="31"/>
        <v/>
      </c>
    </row>
    <row r="455" spans="1:21">
      <c r="A455" s="6">
        <v>5498</v>
      </c>
      <c r="B455" s="82">
        <f t="array" ref="B455">SUM(--(FREQUENCY(IF(C$2:C$3071=C455, MATCH(D$2:D$3071, D$2:D$3071, 0)), ROW(D$2:D$3071)-ROW(D$2)+1) &gt; 0))</f>
        <v>7</v>
      </c>
      <c r="C455" s="6">
        <v>41200080</v>
      </c>
      <c r="D455" s="6" t="s">
        <v>1971</v>
      </c>
      <c r="E455" s="6" t="s">
        <v>2365</v>
      </c>
      <c r="F455" s="6" t="s">
        <v>4112</v>
      </c>
      <c r="G455" s="6" t="str">
        <f t="shared" si="29"/>
        <v>DUAL</v>
      </c>
      <c r="H455" s="197">
        <f t="shared" si="28"/>
        <v>13</v>
      </c>
      <c r="I455" s="199">
        <v>3</v>
      </c>
      <c r="J455" s="199">
        <v>27</v>
      </c>
      <c r="K455" s="186">
        <f t="shared" si="30"/>
        <v>45743</v>
      </c>
      <c r="L455" s="6" t="s">
        <v>2381</v>
      </c>
      <c r="M455" s="6" t="s">
        <v>2367</v>
      </c>
      <c r="N455" s="3" t="str">
        <f t="shared" si="31"/>
        <v>NG</v>
      </c>
      <c r="O455" s="6" t="s">
        <v>1568</v>
      </c>
      <c r="P455" s="6"/>
      <c r="Q455" s="6">
        <v>11102477</v>
      </c>
      <c r="R455" s="6" t="s">
        <v>4582</v>
      </c>
      <c r="S455" s="6" t="s">
        <v>4583</v>
      </c>
      <c r="T455" s="6" t="s">
        <v>4454</v>
      </c>
      <c r="U455" s="6"/>
    </row>
    <row r="456" spans="1:21">
      <c r="A456" s="6">
        <v>5498</v>
      </c>
      <c r="B456" s="82">
        <f t="array" ref="B456">SUM(--(FREQUENCY(IF(C$2:C$3071=C456, MATCH(D$2:D$3071, D$2:D$3071, 0)), ROW(D$2:D$3071)-ROW(D$2)+1) &gt; 0))</f>
        <v>7</v>
      </c>
      <c r="C456" s="6">
        <v>41200080</v>
      </c>
      <c r="D456" s="6" t="s">
        <v>4584</v>
      </c>
      <c r="E456" s="6" t="s">
        <v>2365</v>
      </c>
      <c r="F456" s="6" t="s">
        <v>4112</v>
      </c>
      <c r="G456" s="3" t="str">
        <f t="shared" si="29"/>
        <v>DUAL</v>
      </c>
      <c r="H456" s="197">
        <f t="shared" si="28"/>
        <v>13</v>
      </c>
      <c r="I456" s="199">
        <v>3</v>
      </c>
      <c r="J456" s="199">
        <v>27</v>
      </c>
      <c r="K456" s="186">
        <f t="shared" si="30"/>
        <v>45743</v>
      </c>
      <c r="L456" s="6" t="s">
        <v>2381</v>
      </c>
      <c r="M456" s="6" t="s">
        <v>2367</v>
      </c>
      <c r="N456" s="3" t="str">
        <f t="shared" si="31"/>
        <v>NG</v>
      </c>
      <c r="O456" s="6" t="s">
        <v>1568</v>
      </c>
      <c r="P456" s="6"/>
      <c r="Q456" s="6">
        <v>11000088</v>
      </c>
      <c r="R456" s="6" t="s">
        <v>4539</v>
      </c>
      <c r="S456" s="6" t="s">
        <v>4585</v>
      </c>
      <c r="T456" s="6" t="s">
        <v>4455</v>
      </c>
      <c r="U456" s="6"/>
    </row>
    <row r="457" spans="1:21">
      <c r="A457" s="3">
        <v>5491</v>
      </c>
      <c r="B457" s="82">
        <f t="array" ref="B457">SUM(--(FREQUENCY(IF(C$2:C$3071=C457, MATCH(D$2:D$3071, D$2:D$3071, 0)), ROW(D$2:D$3071)-ROW(D$2)+1) &gt; 0))</f>
        <v>16</v>
      </c>
      <c r="C457" s="3">
        <v>41200121</v>
      </c>
      <c r="D457" s="6" t="s">
        <v>4586</v>
      </c>
      <c r="E457" s="3" t="s">
        <v>4587</v>
      </c>
      <c r="F457" s="3" t="s">
        <v>4119</v>
      </c>
      <c r="G457" s="3" t="str">
        <f t="shared" si="29"/>
        <v>SINGLE</v>
      </c>
      <c r="H457" s="197">
        <f t="shared" si="28"/>
        <v>13</v>
      </c>
      <c r="I457" s="197">
        <v>3</v>
      </c>
      <c r="J457" s="197">
        <v>28</v>
      </c>
      <c r="K457" s="186">
        <f t="shared" si="30"/>
        <v>45744</v>
      </c>
      <c r="L457" s="3" t="s">
        <v>2381</v>
      </c>
      <c r="M457" s="3" t="s">
        <v>2367</v>
      </c>
      <c r="N457" s="3" t="str">
        <f t="shared" si="31"/>
        <v/>
      </c>
    </row>
    <row r="458" spans="1:21">
      <c r="A458" s="3">
        <v>5465</v>
      </c>
      <c r="B458" s="82">
        <f t="array" ref="B458">SUM(--(FREQUENCY(IF(C$2:C$3071=C458, MATCH(D$2:D$3071, D$2:D$3071, 0)), ROW(D$2:D$3071)-ROW(D$2)+1) &gt; 0))</f>
        <v>22</v>
      </c>
      <c r="C458" s="3">
        <v>41000598</v>
      </c>
      <c r="D458" s="6" t="s">
        <v>1981</v>
      </c>
      <c r="E458" s="3" t="s">
        <v>2365</v>
      </c>
      <c r="F458" s="3" t="s">
        <v>4181</v>
      </c>
      <c r="G458" s="3" t="str">
        <f t="shared" si="29"/>
        <v>DUAL</v>
      </c>
      <c r="H458" s="197">
        <f t="shared" si="28"/>
        <v>13</v>
      </c>
      <c r="I458" s="197">
        <v>3</v>
      </c>
      <c r="J458" s="197">
        <v>28</v>
      </c>
      <c r="K458" s="186">
        <f t="shared" si="30"/>
        <v>45744</v>
      </c>
      <c r="L458" s="3" t="s">
        <v>2381</v>
      </c>
      <c r="M458" s="3" t="s">
        <v>2367</v>
      </c>
      <c r="N458" s="3" t="str">
        <f t="shared" si="31"/>
        <v/>
      </c>
    </row>
    <row r="459" spans="1:21">
      <c r="A459" s="3">
        <v>5465</v>
      </c>
      <c r="B459" s="82">
        <f t="array" ref="B459">SUM(--(FREQUENCY(IF(C$2:C$3071=C459, MATCH(D$2:D$3071, D$2:D$3071, 0)), ROW(D$2:D$3071)-ROW(D$2)+1) &gt; 0))</f>
        <v>22</v>
      </c>
      <c r="C459" s="3">
        <v>41000598</v>
      </c>
      <c r="D459" s="6" t="s">
        <v>4588</v>
      </c>
      <c r="E459" s="3" t="s">
        <v>2365</v>
      </c>
      <c r="F459" s="3" t="s">
        <v>4181</v>
      </c>
      <c r="G459" s="3" t="str">
        <f t="shared" si="29"/>
        <v>DUAL</v>
      </c>
      <c r="H459" s="197">
        <f t="shared" si="28"/>
        <v>13</v>
      </c>
      <c r="I459" s="197">
        <v>3</v>
      </c>
      <c r="J459" s="197">
        <v>28</v>
      </c>
      <c r="K459" s="186">
        <f t="shared" si="30"/>
        <v>45744</v>
      </c>
      <c r="L459" s="3" t="s">
        <v>2381</v>
      </c>
      <c r="M459" s="3" t="s">
        <v>2367</v>
      </c>
      <c r="N459" s="3" t="str">
        <f t="shared" si="31"/>
        <v/>
      </c>
    </row>
    <row r="460" spans="1:21" s="15" customFormat="1">
      <c r="A460" s="3">
        <v>5523</v>
      </c>
      <c r="B460" s="82">
        <f t="array" ref="B460">SUM(--(FREQUENCY(IF(C$2:C$3071=C460, MATCH(D$2:D$3071, D$2:D$3071, 0)), ROW(D$2:D$3071)-ROW(D$2)+1) &gt; 0))</f>
        <v>43</v>
      </c>
      <c r="C460" s="3">
        <v>41200046</v>
      </c>
      <c r="D460" s="6" t="s">
        <v>1984</v>
      </c>
      <c r="E460" s="3" t="s">
        <v>4135</v>
      </c>
      <c r="F460" s="3" t="s">
        <v>4112</v>
      </c>
      <c r="G460" s="3" t="str">
        <f t="shared" si="29"/>
        <v>DUAL</v>
      </c>
      <c r="H460" s="197">
        <f t="shared" si="28"/>
        <v>13</v>
      </c>
      <c r="I460" s="197">
        <v>3</v>
      </c>
      <c r="J460" s="197">
        <v>28</v>
      </c>
      <c r="K460" s="186">
        <f t="shared" si="30"/>
        <v>45744</v>
      </c>
      <c r="L460" s="3" t="s">
        <v>4104</v>
      </c>
      <c r="M460" s="3" t="s">
        <v>2388</v>
      </c>
      <c r="N460" s="3" t="str">
        <f t="shared" si="31"/>
        <v/>
      </c>
      <c r="O460" s="3"/>
      <c r="P460" s="3"/>
      <c r="Q460" s="3"/>
      <c r="R460" s="3"/>
      <c r="S460" s="3"/>
      <c r="T460" s="3"/>
      <c r="U460" s="3"/>
    </row>
    <row r="461" spans="1:21" s="15" customFormat="1">
      <c r="A461" s="3">
        <v>5523</v>
      </c>
      <c r="B461" s="82">
        <f t="array" ref="B461">SUM(--(FREQUENCY(IF(C$2:C$3071=C461, MATCH(D$2:D$3071, D$2:D$3071, 0)), ROW(D$2:D$3071)-ROW(D$2)+1) &gt; 0))</f>
        <v>43</v>
      </c>
      <c r="C461" s="3">
        <v>41200046</v>
      </c>
      <c r="D461" s="6" t="s">
        <v>1983</v>
      </c>
      <c r="E461" s="3" t="s">
        <v>4135</v>
      </c>
      <c r="F461" s="3" t="s">
        <v>4112</v>
      </c>
      <c r="G461" s="3" t="str">
        <f t="shared" si="29"/>
        <v>DUAL</v>
      </c>
      <c r="H461" s="197">
        <f t="shared" si="28"/>
        <v>13</v>
      </c>
      <c r="I461" s="197">
        <v>3</v>
      </c>
      <c r="J461" s="197">
        <v>28</v>
      </c>
      <c r="K461" s="186">
        <f t="shared" si="30"/>
        <v>45744</v>
      </c>
      <c r="L461" s="3" t="s">
        <v>4104</v>
      </c>
      <c r="M461" s="3" t="s">
        <v>2388</v>
      </c>
      <c r="N461" s="3" t="str">
        <f t="shared" si="31"/>
        <v>NG</v>
      </c>
      <c r="O461" s="3" t="s">
        <v>1568</v>
      </c>
      <c r="P461" s="3"/>
      <c r="Q461" s="3">
        <v>11002283</v>
      </c>
      <c r="R461" s="3" t="s">
        <v>4105</v>
      </c>
      <c r="S461" s="3" t="s">
        <v>4589</v>
      </c>
      <c r="T461" s="3" t="s">
        <v>4454</v>
      </c>
      <c r="U461" s="3"/>
    </row>
    <row r="462" spans="1:21">
      <c r="A462" s="3">
        <v>5523</v>
      </c>
      <c r="B462" s="82">
        <f t="array" ref="B462">SUM(--(FREQUENCY(IF(C$2:C$3071=C462, MATCH(D$2:D$3071, D$2:D$3071, 0)), ROW(D$2:D$3071)-ROW(D$2)+1) &gt; 0))</f>
        <v>43</v>
      </c>
      <c r="C462" s="3">
        <v>41200046</v>
      </c>
      <c r="D462" s="6" t="s">
        <v>1982</v>
      </c>
      <c r="E462" s="3" t="s">
        <v>4135</v>
      </c>
      <c r="F462" s="3" t="s">
        <v>4112</v>
      </c>
      <c r="G462" s="3" t="str">
        <f t="shared" si="29"/>
        <v>DUAL</v>
      </c>
      <c r="H462" s="197">
        <f t="shared" si="28"/>
        <v>13</v>
      </c>
      <c r="I462" s="197">
        <v>3</v>
      </c>
      <c r="J462" s="197">
        <v>28</v>
      </c>
      <c r="K462" s="186">
        <f t="shared" si="30"/>
        <v>45744</v>
      </c>
      <c r="L462" s="3" t="s">
        <v>4104</v>
      </c>
      <c r="M462" s="3" t="s">
        <v>2388</v>
      </c>
      <c r="N462" s="3" t="str">
        <f t="shared" si="31"/>
        <v/>
      </c>
    </row>
    <row r="463" spans="1:21">
      <c r="A463" s="3">
        <v>5523</v>
      </c>
      <c r="B463" s="82">
        <f t="array" ref="B463">SUM(--(FREQUENCY(IF(C$2:C$3071=C463, MATCH(D$2:D$3071, D$2:D$3071, 0)), ROW(D$2:D$3071)-ROW(D$2)+1) &gt; 0))</f>
        <v>43</v>
      </c>
      <c r="C463" s="3">
        <v>41200046</v>
      </c>
      <c r="D463" s="6" t="s">
        <v>4590</v>
      </c>
      <c r="E463" s="3" t="s">
        <v>4135</v>
      </c>
      <c r="F463" s="3" t="s">
        <v>4112</v>
      </c>
      <c r="G463" s="3" t="str">
        <f t="shared" si="29"/>
        <v>DUAL</v>
      </c>
      <c r="H463" s="197">
        <f t="shared" si="28"/>
        <v>13</v>
      </c>
      <c r="I463" s="197">
        <v>3</v>
      </c>
      <c r="J463" s="197">
        <v>28</v>
      </c>
      <c r="K463" s="186">
        <f t="shared" si="30"/>
        <v>45744</v>
      </c>
      <c r="L463" s="3" t="s">
        <v>4104</v>
      </c>
      <c r="M463" s="3" t="s">
        <v>2388</v>
      </c>
      <c r="N463" s="3" t="str">
        <f t="shared" si="31"/>
        <v/>
      </c>
    </row>
    <row r="464" spans="1:21">
      <c r="A464" s="14">
        <v>5541</v>
      </c>
      <c r="B464" s="82">
        <f t="array" ref="B464">SUM(--(FREQUENCY(IF(C$2:C$3071=C464, MATCH(D$2:D$3071, D$2:D$3071, 0)), ROW(D$2:D$3071)-ROW(D$2)+1) &gt; 0))</f>
        <v>18</v>
      </c>
      <c r="C464" s="14">
        <v>41000584</v>
      </c>
      <c r="D464" s="6" t="s">
        <v>4591</v>
      </c>
      <c r="E464" s="14" t="s">
        <v>2365</v>
      </c>
      <c r="F464" s="14" t="s">
        <v>4130</v>
      </c>
      <c r="G464" s="3" t="str">
        <f t="shared" si="29"/>
        <v>DUAL</v>
      </c>
      <c r="H464" s="197">
        <f t="shared" si="28"/>
        <v>13</v>
      </c>
      <c r="I464" s="201">
        <v>3</v>
      </c>
      <c r="J464" s="201">
        <v>28</v>
      </c>
      <c r="K464" s="186">
        <f t="shared" si="30"/>
        <v>45744</v>
      </c>
      <c r="L464" s="14" t="s">
        <v>4104</v>
      </c>
      <c r="M464" s="14" t="s">
        <v>2388</v>
      </c>
      <c r="N464" s="3" t="str">
        <f t="shared" si="31"/>
        <v>NG</v>
      </c>
      <c r="O464" s="14" t="s">
        <v>1568</v>
      </c>
      <c r="P464" s="14"/>
      <c r="Q464" s="14">
        <v>11006689</v>
      </c>
      <c r="R464" s="14" t="s">
        <v>4140</v>
      </c>
      <c r="S464" s="14" t="s">
        <v>4592</v>
      </c>
      <c r="T464" s="14" t="s">
        <v>4454</v>
      </c>
      <c r="U464" s="14"/>
    </row>
    <row r="465" spans="1:21">
      <c r="A465" s="14">
        <v>5541</v>
      </c>
      <c r="B465" s="82">
        <f t="array" ref="B465">SUM(--(FREQUENCY(IF(C$2:C$3071=C465, MATCH(D$2:D$3071, D$2:D$3071, 0)), ROW(D$2:D$3071)-ROW(D$2)+1) &gt; 0))</f>
        <v>18</v>
      </c>
      <c r="C465" s="14">
        <v>41000584</v>
      </c>
      <c r="D465" s="6" t="s">
        <v>4591</v>
      </c>
      <c r="E465" s="14" t="s">
        <v>2365</v>
      </c>
      <c r="F465" s="14" t="s">
        <v>4130</v>
      </c>
      <c r="G465" s="3" t="str">
        <f t="shared" si="29"/>
        <v>DUAL</v>
      </c>
      <c r="H465" s="197">
        <f t="shared" si="28"/>
        <v>13</v>
      </c>
      <c r="I465" s="201">
        <v>3</v>
      </c>
      <c r="J465" s="201">
        <v>28</v>
      </c>
      <c r="K465" s="186">
        <f t="shared" si="30"/>
        <v>45744</v>
      </c>
      <c r="L465" s="14" t="s">
        <v>4104</v>
      </c>
      <c r="M465" s="14" t="s">
        <v>2388</v>
      </c>
      <c r="N465" s="3" t="str">
        <f t="shared" si="31"/>
        <v>NG</v>
      </c>
      <c r="O465" s="14" t="s">
        <v>1568</v>
      </c>
      <c r="P465" s="14"/>
      <c r="Q465" s="14">
        <v>11002580</v>
      </c>
      <c r="R465" s="14" t="s">
        <v>4593</v>
      </c>
      <c r="S465" s="14" t="s">
        <v>4594</v>
      </c>
      <c r="T465" s="14" t="s">
        <v>4454</v>
      </c>
      <c r="U465" s="14"/>
    </row>
    <row r="466" spans="1:21" s="27" customFormat="1">
      <c r="A466" s="3">
        <v>5504</v>
      </c>
      <c r="B466" s="82">
        <f t="array" ref="B466">SUM(--(FREQUENCY(IF(C$2:C$3071=C466, MATCH(D$2:D$3071, D$2:D$3071, 0)), ROW(D$2:D$3071)-ROW(D$2)+1) &gt; 0))</f>
        <v>44</v>
      </c>
      <c r="C466" s="3">
        <v>41200108</v>
      </c>
      <c r="D466" s="6" t="s">
        <v>4595</v>
      </c>
      <c r="E466" s="3" t="s">
        <v>4326</v>
      </c>
      <c r="F466" s="3" t="s">
        <v>4119</v>
      </c>
      <c r="G466" s="3" t="str">
        <f t="shared" si="29"/>
        <v>SINGLE</v>
      </c>
      <c r="H466" s="197">
        <f t="shared" si="28"/>
        <v>14</v>
      </c>
      <c r="I466" s="197">
        <v>3</v>
      </c>
      <c r="J466" s="197">
        <v>31</v>
      </c>
      <c r="K466" s="186">
        <f t="shared" si="30"/>
        <v>45747</v>
      </c>
      <c r="L466" s="3" t="s">
        <v>4104</v>
      </c>
      <c r="M466" s="3" t="s">
        <v>2388</v>
      </c>
      <c r="N466" s="3" t="str">
        <f t="shared" si="31"/>
        <v/>
      </c>
      <c r="O466" s="3"/>
      <c r="P466" s="3"/>
      <c r="Q466" s="3"/>
      <c r="R466" s="3"/>
      <c r="S466" s="3"/>
      <c r="T466" s="3"/>
      <c r="U466" s="3"/>
    </row>
    <row r="467" spans="1:21" s="27" customFormat="1">
      <c r="A467" s="3">
        <v>5504</v>
      </c>
      <c r="B467" s="82">
        <f t="array" ref="B467">SUM(--(FREQUENCY(IF(C$2:C$3071=C467, MATCH(D$2:D$3071, D$2:D$3071, 0)), ROW(D$2:D$3071)-ROW(D$2)+1) &gt; 0))</f>
        <v>44</v>
      </c>
      <c r="C467" s="3">
        <v>41200108</v>
      </c>
      <c r="D467" s="6" t="s">
        <v>4596</v>
      </c>
      <c r="E467" s="3" t="s">
        <v>4326</v>
      </c>
      <c r="F467" s="3" t="s">
        <v>4119</v>
      </c>
      <c r="G467" s="3" t="str">
        <f t="shared" si="29"/>
        <v>SINGLE</v>
      </c>
      <c r="H467" s="197">
        <f t="shared" si="28"/>
        <v>14</v>
      </c>
      <c r="I467" s="197">
        <v>3</v>
      </c>
      <c r="J467" s="197">
        <v>31</v>
      </c>
      <c r="K467" s="186">
        <f t="shared" si="30"/>
        <v>45747</v>
      </c>
      <c r="L467" s="3" t="s">
        <v>4104</v>
      </c>
      <c r="M467" s="3" t="s">
        <v>2388</v>
      </c>
      <c r="N467" s="3" t="str">
        <f t="shared" si="31"/>
        <v/>
      </c>
      <c r="O467" s="3"/>
      <c r="P467" s="3"/>
      <c r="Q467" s="3"/>
      <c r="R467" s="3"/>
      <c r="S467" s="3"/>
      <c r="T467" s="3"/>
      <c r="U467" s="3"/>
    </row>
    <row r="468" spans="1:21" s="27" customFormat="1">
      <c r="A468" s="3">
        <v>5504</v>
      </c>
      <c r="B468" s="82">
        <f t="array" ref="B468">SUM(--(FREQUENCY(IF(C$2:C$3071=C468, MATCH(D$2:D$3071, D$2:D$3071, 0)), ROW(D$2:D$3071)-ROW(D$2)+1) &gt; 0))</f>
        <v>44</v>
      </c>
      <c r="C468" s="3">
        <v>41200108</v>
      </c>
      <c r="D468" s="6" t="s">
        <v>4597</v>
      </c>
      <c r="E468" s="3" t="s">
        <v>4326</v>
      </c>
      <c r="F468" s="3" t="s">
        <v>4119</v>
      </c>
      <c r="G468" s="3" t="str">
        <f t="shared" si="29"/>
        <v>SINGLE</v>
      </c>
      <c r="H468" s="197">
        <f t="shared" si="28"/>
        <v>14</v>
      </c>
      <c r="I468" s="197">
        <v>3</v>
      </c>
      <c r="J468" s="197">
        <v>31</v>
      </c>
      <c r="K468" s="186">
        <f t="shared" si="30"/>
        <v>45747</v>
      </c>
      <c r="L468" s="3" t="s">
        <v>4104</v>
      </c>
      <c r="M468" s="3" t="s">
        <v>2388</v>
      </c>
      <c r="N468" s="3" t="str">
        <f t="shared" si="31"/>
        <v/>
      </c>
      <c r="O468" s="3"/>
      <c r="P468" s="3"/>
      <c r="Q468" s="3"/>
      <c r="R468" s="3"/>
      <c r="S468" s="3"/>
      <c r="T468" s="3"/>
      <c r="U468" s="3"/>
    </row>
    <row r="469" spans="1:21">
      <c r="A469" s="3">
        <v>5274</v>
      </c>
      <c r="B469" s="82">
        <f t="array" ref="B469">SUM(--(FREQUENCY(IF(C$2:C$3071=C469, MATCH(D$2:D$3071, D$2:D$3071, 0)), ROW(D$2:D$3071)-ROW(D$2)+1) &gt; 0))</f>
        <v>10</v>
      </c>
      <c r="C469" s="3">
        <v>41100317</v>
      </c>
      <c r="D469" s="6" t="s">
        <v>4598</v>
      </c>
      <c r="E469" s="3" t="s">
        <v>4102</v>
      </c>
      <c r="F469" s="3" t="s">
        <v>4112</v>
      </c>
      <c r="G469" s="3" t="str">
        <f t="shared" si="29"/>
        <v>DUAL</v>
      </c>
      <c r="H469" s="197">
        <f t="shared" si="28"/>
        <v>14</v>
      </c>
      <c r="I469" s="197">
        <v>3</v>
      </c>
      <c r="J469" s="197">
        <v>31</v>
      </c>
      <c r="K469" s="186">
        <f t="shared" si="30"/>
        <v>45747</v>
      </c>
      <c r="L469" s="3" t="s">
        <v>4104</v>
      </c>
      <c r="M469" s="3" t="s">
        <v>2388</v>
      </c>
      <c r="N469" s="3" t="str">
        <f t="shared" si="31"/>
        <v/>
      </c>
    </row>
    <row r="470" spans="1:21">
      <c r="A470" s="28">
        <v>5564</v>
      </c>
      <c r="B470" s="82">
        <f t="array" ref="B470">SUM(--(FREQUENCY(IF(C$2:C$3071=C470, MATCH(D$2:D$3071, D$2:D$3071, 0)), ROW(D$2:D$3071)-ROW(D$2)+1) &gt; 0))</f>
        <v>20</v>
      </c>
      <c r="C470" s="28">
        <v>41200125</v>
      </c>
      <c r="D470" s="6" t="s">
        <v>4339</v>
      </c>
      <c r="E470" s="28" t="s">
        <v>4102</v>
      </c>
      <c r="F470" s="28" t="s">
        <v>4112</v>
      </c>
      <c r="G470" s="3" t="str">
        <f t="shared" si="29"/>
        <v>DUAL</v>
      </c>
      <c r="H470" s="197">
        <f t="shared" si="28"/>
        <v>14</v>
      </c>
      <c r="I470" s="206">
        <v>3</v>
      </c>
      <c r="J470" s="206">
        <v>31</v>
      </c>
      <c r="K470" s="186">
        <f t="shared" si="30"/>
        <v>45747</v>
      </c>
      <c r="L470" s="28" t="s">
        <v>4104</v>
      </c>
      <c r="M470" s="28" t="s">
        <v>2367</v>
      </c>
      <c r="N470" s="3" t="str">
        <f t="shared" si="31"/>
        <v/>
      </c>
      <c r="O470" s="28"/>
      <c r="P470" s="28"/>
      <c r="Q470" s="28"/>
      <c r="R470" s="28"/>
      <c r="S470" s="28"/>
      <c r="T470" s="28"/>
      <c r="U470" s="28"/>
    </row>
    <row r="471" spans="1:21">
      <c r="A471" s="28">
        <v>5564</v>
      </c>
      <c r="B471" s="82">
        <f t="array" ref="B471">SUM(--(FREQUENCY(IF(C$2:C$3071=C471, MATCH(D$2:D$3071, D$2:D$3071, 0)), ROW(D$2:D$3071)-ROW(D$2)+1) &gt; 0))</f>
        <v>20</v>
      </c>
      <c r="C471" s="28">
        <v>41200125</v>
      </c>
      <c r="D471" s="6" t="s">
        <v>4184</v>
      </c>
      <c r="E471" s="28" t="s">
        <v>4102</v>
      </c>
      <c r="F471" s="28" t="s">
        <v>4112</v>
      </c>
      <c r="G471" s="3" t="str">
        <f t="shared" si="29"/>
        <v>DUAL</v>
      </c>
      <c r="H471" s="197">
        <f t="shared" si="28"/>
        <v>14</v>
      </c>
      <c r="I471" s="206">
        <v>3</v>
      </c>
      <c r="J471" s="206">
        <v>31</v>
      </c>
      <c r="K471" s="186">
        <f t="shared" si="30"/>
        <v>45747</v>
      </c>
      <c r="L471" s="28" t="s">
        <v>4104</v>
      </c>
      <c r="M471" s="28" t="s">
        <v>2367</v>
      </c>
      <c r="N471" s="3" t="str">
        <f t="shared" si="31"/>
        <v/>
      </c>
      <c r="O471" s="28"/>
      <c r="P471" s="28"/>
      <c r="Q471" s="28"/>
      <c r="R471" s="28"/>
      <c r="S471" s="28"/>
      <c r="T471" s="28"/>
      <c r="U471" s="28"/>
    </row>
    <row r="472" spans="1:21">
      <c r="A472" s="28">
        <v>5564</v>
      </c>
      <c r="B472" s="82">
        <f t="array" ref="B472">SUM(--(FREQUENCY(IF(C$2:C$3071=C472, MATCH(D$2:D$3071, D$2:D$3071, 0)), ROW(D$2:D$3071)-ROW(D$2)+1) &gt; 0))</f>
        <v>20</v>
      </c>
      <c r="C472" s="28">
        <v>41200125</v>
      </c>
      <c r="D472" s="6" t="s">
        <v>4146</v>
      </c>
      <c r="E472" s="28" t="s">
        <v>4102</v>
      </c>
      <c r="F472" s="28" t="s">
        <v>4112</v>
      </c>
      <c r="G472" s="3" t="str">
        <f t="shared" si="29"/>
        <v>DUAL</v>
      </c>
      <c r="H472" s="197">
        <f t="shared" si="28"/>
        <v>14</v>
      </c>
      <c r="I472" s="206">
        <v>3</v>
      </c>
      <c r="J472" s="206">
        <v>31</v>
      </c>
      <c r="K472" s="186">
        <f t="shared" si="30"/>
        <v>45747</v>
      </c>
      <c r="L472" s="28" t="s">
        <v>4104</v>
      </c>
      <c r="M472" s="28" t="s">
        <v>2383</v>
      </c>
      <c r="N472" s="3" t="str">
        <f t="shared" si="31"/>
        <v/>
      </c>
      <c r="O472" s="28"/>
      <c r="P472" s="28"/>
      <c r="Q472" s="28"/>
      <c r="R472" s="28"/>
      <c r="S472" s="28"/>
      <c r="T472" s="28"/>
      <c r="U472" s="28"/>
    </row>
    <row r="473" spans="1:21">
      <c r="A473" s="3">
        <v>5504</v>
      </c>
      <c r="B473" s="82">
        <f t="array" ref="B473">SUM(--(FREQUENCY(IF(C$2:C$3071=C473, MATCH(D$2:D$3071, D$2:D$3071, 0)), ROW(D$2:D$3071)-ROW(D$2)+1) &gt; 0))</f>
        <v>44</v>
      </c>
      <c r="C473" s="3">
        <v>41200108</v>
      </c>
      <c r="D473" s="6" t="s">
        <v>1995</v>
      </c>
      <c r="E473" s="3" t="s">
        <v>4326</v>
      </c>
      <c r="F473" s="3" t="s">
        <v>4119</v>
      </c>
      <c r="G473" s="3" t="str">
        <f t="shared" si="29"/>
        <v>SINGLE</v>
      </c>
      <c r="H473" s="197">
        <f t="shared" si="28"/>
        <v>14</v>
      </c>
      <c r="I473" s="197">
        <v>4</v>
      </c>
      <c r="J473" s="197">
        <v>1</v>
      </c>
      <c r="K473" s="186">
        <f t="shared" si="30"/>
        <v>45748</v>
      </c>
      <c r="L473" s="3" t="s">
        <v>2381</v>
      </c>
      <c r="M473" s="3" t="s">
        <v>2383</v>
      </c>
      <c r="N473" s="3" t="str">
        <f t="shared" si="31"/>
        <v/>
      </c>
    </row>
    <row r="474" spans="1:21">
      <c r="A474" s="3">
        <v>5504</v>
      </c>
      <c r="B474" s="82">
        <f t="array" ref="B474">SUM(--(FREQUENCY(IF(C$2:C$3071=C474, MATCH(D$2:D$3071, D$2:D$3071, 0)), ROW(D$2:D$3071)-ROW(D$2)+1) &gt; 0))</f>
        <v>44</v>
      </c>
      <c r="C474" s="3">
        <v>41200108</v>
      </c>
      <c r="D474" s="6" t="s">
        <v>4599</v>
      </c>
      <c r="E474" s="3" t="s">
        <v>4326</v>
      </c>
      <c r="F474" s="3" t="s">
        <v>4119</v>
      </c>
      <c r="G474" s="3" t="str">
        <f t="shared" si="29"/>
        <v>SINGLE</v>
      </c>
      <c r="H474" s="197">
        <f t="shared" si="28"/>
        <v>14</v>
      </c>
      <c r="I474" s="197">
        <v>4</v>
      </c>
      <c r="J474" s="197">
        <v>1</v>
      </c>
      <c r="K474" s="186">
        <f t="shared" si="30"/>
        <v>45748</v>
      </c>
      <c r="L474" s="3" t="s">
        <v>2381</v>
      </c>
      <c r="M474" s="3" t="s">
        <v>2383</v>
      </c>
      <c r="N474" s="3" t="str">
        <f t="shared" si="31"/>
        <v/>
      </c>
    </row>
    <row r="475" spans="1:21">
      <c r="A475" s="3">
        <v>5500</v>
      </c>
      <c r="B475" s="82">
        <f t="array" ref="B475">SUM(--(FREQUENCY(IF(C$2:C$3071=C475, MATCH(D$2:D$3071, D$2:D$3071, 0)), ROW(D$2:D$3071)-ROW(D$2)+1) &gt; 0))</f>
        <v>22</v>
      </c>
      <c r="C475" s="3">
        <v>41000598</v>
      </c>
      <c r="D475" s="6" t="s">
        <v>4600</v>
      </c>
      <c r="E475" s="3" t="s">
        <v>2365</v>
      </c>
      <c r="F475" s="3" t="s">
        <v>4181</v>
      </c>
      <c r="G475" s="3" t="str">
        <f t="shared" si="29"/>
        <v>DUAL</v>
      </c>
      <c r="H475" s="197">
        <f t="shared" si="28"/>
        <v>14</v>
      </c>
      <c r="I475" s="197">
        <v>4</v>
      </c>
      <c r="J475" s="197">
        <v>1</v>
      </c>
      <c r="K475" s="186">
        <f t="shared" si="30"/>
        <v>45748</v>
      </c>
      <c r="L475" s="3" t="s">
        <v>4104</v>
      </c>
      <c r="M475" s="3" t="s">
        <v>2388</v>
      </c>
      <c r="N475" s="3" t="str">
        <f t="shared" si="31"/>
        <v/>
      </c>
    </row>
    <row r="476" spans="1:21" s="15" customFormat="1">
      <c r="A476" s="3">
        <v>5465</v>
      </c>
      <c r="B476" s="82">
        <f t="array" ref="B476">SUM(--(FREQUENCY(IF(C$2:C$3071=C476, MATCH(D$2:D$3071, D$2:D$3071, 0)), ROW(D$2:D$3071)-ROW(D$2)+1) &gt; 0))</f>
        <v>22</v>
      </c>
      <c r="C476" s="3">
        <v>41000598</v>
      </c>
      <c r="D476" s="6" t="s">
        <v>4601</v>
      </c>
      <c r="E476" s="3" t="s">
        <v>2365</v>
      </c>
      <c r="F476" s="3" t="s">
        <v>4181</v>
      </c>
      <c r="G476" s="3" t="str">
        <f t="shared" si="29"/>
        <v>DUAL</v>
      </c>
      <c r="H476" s="197">
        <f t="shared" si="28"/>
        <v>14</v>
      </c>
      <c r="I476" s="197">
        <v>4</v>
      </c>
      <c r="J476" s="197">
        <v>1</v>
      </c>
      <c r="K476" s="186">
        <f t="shared" si="30"/>
        <v>45748</v>
      </c>
      <c r="L476" s="3" t="s">
        <v>2381</v>
      </c>
      <c r="M476" s="3" t="s">
        <v>2367</v>
      </c>
      <c r="N476" s="3" t="str">
        <f t="shared" si="31"/>
        <v>NG</v>
      </c>
      <c r="O476" s="3" t="s">
        <v>1568</v>
      </c>
      <c r="P476" s="3"/>
      <c r="Q476" s="3">
        <v>11008397</v>
      </c>
      <c r="R476" s="3" t="s">
        <v>4452</v>
      </c>
      <c r="S476" s="3" t="s">
        <v>4602</v>
      </c>
      <c r="T476" s="3" t="s">
        <v>4455</v>
      </c>
      <c r="U476" s="3"/>
    </row>
    <row r="477" spans="1:21" s="15" customFormat="1">
      <c r="A477" s="3">
        <v>5560</v>
      </c>
      <c r="B477" s="82">
        <f t="array" ref="B477">SUM(--(FREQUENCY(IF(C$2:C$3071=C477, MATCH(D$2:D$3071, D$2:D$3071, 0)), ROW(D$2:D$3071)-ROW(D$2)+1) &gt; 0))</f>
        <v>11</v>
      </c>
      <c r="C477" s="3">
        <v>41100697</v>
      </c>
      <c r="D477" s="6" t="s">
        <v>1997</v>
      </c>
      <c r="E477" s="3" t="s">
        <v>4603</v>
      </c>
      <c r="F477" s="3" t="s">
        <v>4112</v>
      </c>
      <c r="G477" s="3" t="str">
        <f t="shared" si="29"/>
        <v>DUAL</v>
      </c>
      <c r="H477" s="197">
        <f t="shared" si="28"/>
        <v>14</v>
      </c>
      <c r="I477" s="197">
        <v>4</v>
      </c>
      <c r="J477" s="197">
        <v>1</v>
      </c>
      <c r="K477" s="186">
        <f t="shared" si="30"/>
        <v>45748</v>
      </c>
      <c r="L477" s="3" t="s">
        <v>4104</v>
      </c>
      <c r="M477" s="3" t="s">
        <v>2388</v>
      </c>
      <c r="N477" s="3" t="str">
        <f t="shared" si="31"/>
        <v/>
      </c>
      <c r="O477" s="3"/>
      <c r="P477" s="3"/>
      <c r="Q477" s="3"/>
      <c r="R477" s="3"/>
      <c r="S477" s="3"/>
      <c r="T477" s="3"/>
      <c r="U477" s="3"/>
    </row>
    <row r="478" spans="1:21" s="15" customFormat="1">
      <c r="A478" s="14">
        <v>5560</v>
      </c>
      <c r="B478" s="82">
        <f t="array" ref="B478">SUM(--(FREQUENCY(IF(C$2:C$3071=C478, MATCH(D$2:D$3071, D$2:D$3071, 0)), ROW(D$2:D$3071)-ROW(D$2)+1) &gt; 0))</f>
        <v>11</v>
      </c>
      <c r="C478" s="14">
        <v>41100697</v>
      </c>
      <c r="D478" s="6" t="s">
        <v>4604</v>
      </c>
      <c r="E478" s="14" t="s">
        <v>4603</v>
      </c>
      <c r="F478" s="14" t="s">
        <v>4112</v>
      </c>
      <c r="G478" s="3" t="str">
        <f t="shared" si="29"/>
        <v>DUAL</v>
      </c>
      <c r="H478" s="197">
        <f t="shared" si="28"/>
        <v>14</v>
      </c>
      <c r="I478" s="201">
        <v>4</v>
      </c>
      <c r="J478" s="201">
        <v>1</v>
      </c>
      <c r="K478" s="186">
        <f t="shared" si="30"/>
        <v>45748</v>
      </c>
      <c r="L478" s="14" t="s">
        <v>4104</v>
      </c>
      <c r="M478" s="14" t="s">
        <v>2388</v>
      </c>
      <c r="N478" s="3" t="str">
        <f t="shared" si="31"/>
        <v>NG</v>
      </c>
      <c r="O478" s="14" t="s">
        <v>1568</v>
      </c>
      <c r="P478" s="14"/>
      <c r="Q478" s="14">
        <v>11102260</v>
      </c>
      <c r="R478" s="14" t="s">
        <v>4605</v>
      </c>
      <c r="S478" s="14" t="s">
        <v>4606</v>
      </c>
      <c r="T478" s="14" t="s">
        <v>4455</v>
      </c>
      <c r="U478" s="14"/>
    </row>
    <row r="479" spans="1:21">
      <c r="A479" s="14">
        <v>5560</v>
      </c>
      <c r="B479" s="82">
        <f t="array" ref="B479">SUM(--(FREQUENCY(IF(C$2:C$3071=C479, MATCH(D$2:D$3071, D$2:D$3071, 0)), ROW(D$2:D$3071)-ROW(D$2)+1) &gt; 0))</f>
        <v>11</v>
      </c>
      <c r="C479" s="14">
        <v>41100697</v>
      </c>
      <c r="D479" s="6" t="s">
        <v>4604</v>
      </c>
      <c r="E479" s="14" t="s">
        <v>4603</v>
      </c>
      <c r="F479" s="14" t="s">
        <v>4112</v>
      </c>
      <c r="G479" s="3" t="str">
        <f t="shared" si="29"/>
        <v>DUAL</v>
      </c>
      <c r="H479" s="197">
        <f t="shared" si="28"/>
        <v>14</v>
      </c>
      <c r="I479" s="201">
        <v>4</v>
      </c>
      <c r="J479" s="201">
        <v>1</v>
      </c>
      <c r="K479" s="186">
        <f t="shared" si="30"/>
        <v>45748</v>
      </c>
      <c r="L479" s="14" t="s">
        <v>4104</v>
      </c>
      <c r="M479" s="14" t="s">
        <v>2388</v>
      </c>
      <c r="N479" s="3" t="str">
        <f t="shared" si="31"/>
        <v>NG</v>
      </c>
      <c r="O479" s="14" t="s">
        <v>1568</v>
      </c>
      <c r="P479" s="14"/>
      <c r="Q479" s="14">
        <v>11002283</v>
      </c>
      <c r="R479" s="14" t="s">
        <v>4105</v>
      </c>
      <c r="S479" s="14" t="s">
        <v>4607</v>
      </c>
      <c r="T479" s="14" t="s">
        <v>4454</v>
      </c>
      <c r="U479" s="14"/>
    </row>
    <row r="480" spans="1:21">
      <c r="A480" s="14">
        <v>5560</v>
      </c>
      <c r="B480" s="82">
        <f t="array" ref="B480">SUM(--(FREQUENCY(IF(C$2:C$3071=C480, MATCH(D$2:D$3071, D$2:D$3071, 0)), ROW(D$2:D$3071)-ROW(D$2)+1) &gt; 0))</f>
        <v>11</v>
      </c>
      <c r="C480" s="14">
        <v>41100697</v>
      </c>
      <c r="D480" s="6" t="s">
        <v>4604</v>
      </c>
      <c r="E480" s="14" t="s">
        <v>4603</v>
      </c>
      <c r="F480" s="14" t="s">
        <v>4112</v>
      </c>
      <c r="G480" s="3" t="str">
        <f t="shared" si="29"/>
        <v>DUAL</v>
      </c>
      <c r="H480" s="197">
        <f t="shared" si="28"/>
        <v>14</v>
      </c>
      <c r="I480" s="201">
        <v>4</v>
      </c>
      <c r="J480" s="201">
        <v>1</v>
      </c>
      <c r="K480" s="186">
        <f t="shared" si="30"/>
        <v>45748</v>
      </c>
      <c r="L480" s="14" t="s">
        <v>4104</v>
      </c>
      <c r="M480" s="14" t="s">
        <v>2388</v>
      </c>
      <c r="N480" s="3" t="str">
        <f t="shared" si="31"/>
        <v>NG</v>
      </c>
      <c r="O480" s="14" t="s">
        <v>1568</v>
      </c>
      <c r="P480" s="14"/>
      <c r="Q480" s="14">
        <v>11002737</v>
      </c>
      <c r="R480" s="14" t="s">
        <v>4528</v>
      </c>
      <c r="S480" s="14" t="s">
        <v>4608</v>
      </c>
      <c r="T480" s="14" t="s">
        <v>4454</v>
      </c>
      <c r="U480" s="14"/>
    </row>
    <row r="481" spans="1:21" s="15" customFormat="1">
      <c r="A481" s="14">
        <v>5561</v>
      </c>
      <c r="B481" s="82">
        <f t="array" ref="B481">SUM(--(FREQUENCY(IF(C$2:C$3071=C481, MATCH(D$2:D$3071, D$2:D$3071, 0)), ROW(D$2:D$3071)-ROW(D$2)+1) &gt; 0))</f>
        <v>11</v>
      </c>
      <c r="C481" s="14">
        <v>41000588</v>
      </c>
      <c r="D481" s="6" t="s">
        <v>4609</v>
      </c>
      <c r="E481" s="14" t="s">
        <v>2365</v>
      </c>
      <c r="F481" s="14" t="s">
        <v>4130</v>
      </c>
      <c r="G481" s="3" t="str">
        <f t="shared" si="29"/>
        <v>DUAL</v>
      </c>
      <c r="H481" s="197">
        <f t="shared" si="28"/>
        <v>14</v>
      </c>
      <c r="I481" s="201">
        <v>4</v>
      </c>
      <c r="J481" s="201">
        <v>1</v>
      </c>
      <c r="K481" s="186">
        <f t="shared" si="30"/>
        <v>45748</v>
      </c>
      <c r="L481" s="14" t="s">
        <v>2381</v>
      </c>
      <c r="M481" s="14" t="s">
        <v>2388</v>
      </c>
      <c r="N481" s="3" t="str">
        <f t="shared" si="31"/>
        <v>NG</v>
      </c>
      <c r="O481" s="14" t="s">
        <v>1568</v>
      </c>
      <c r="P481" s="14"/>
      <c r="Q481" s="14">
        <v>11008397</v>
      </c>
      <c r="R481" s="14" t="s">
        <v>4452</v>
      </c>
      <c r="S481" s="14" t="s">
        <v>4610</v>
      </c>
      <c r="T481" s="14" t="s">
        <v>4455</v>
      </c>
      <c r="U481" s="14"/>
    </row>
    <row r="482" spans="1:21" s="15" customFormat="1">
      <c r="A482" s="14">
        <v>5561</v>
      </c>
      <c r="B482" s="82">
        <f t="array" ref="B482">SUM(--(FREQUENCY(IF(C$2:C$3071=C482, MATCH(D$2:D$3071, D$2:D$3071, 0)), ROW(D$2:D$3071)-ROW(D$2)+1) &gt; 0))</f>
        <v>11</v>
      </c>
      <c r="C482" s="14">
        <v>41000588</v>
      </c>
      <c r="D482" s="6" t="s">
        <v>4609</v>
      </c>
      <c r="E482" s="14" t="s">
        <v>2365</v>
      </c>
      <c r="F482" s="14" t="s">
        <v>4130</v>
      </c>
      <c r="G482" s="3" t="str">
        <f t="shared" si="29"/>
        <v>DUAL</v>
      </c>
      <c r="H482" s="197">
        <f t="shared" si="28"/>
        <v>14</v>
      </c>
      <c r="I482" s="201">
        <v>4</v>
      </c>
      <c r="J482" s="201">
        <v>1</v>
      </c>
      <c r="K482" s="186">
        <f t="shared" si="30"/>
        <v>45748</v>
      </c>
      <c r="L482" s="14" t="s">
        <v>2381</v>
      </c>
      <c r="M482" s="14" t="s">
        <v>2388</v>
      </c>
      <c r="N482" s="3" t="str">
        <f t="shared" si="31"/>
        <v>NG</v>
      </c>
      <c r="O482" s="14" t="s">
        <v>1568</v>
      </c>
      <c r="P482" s="14"/>
      <c r="Q482" s="14">
        <v>11002618</v>
      </c>
      <c r="R482" s="14" t="s">
        <v>4611</v>
      </c>
      <c r="S482" s="14" t="s">
        <v>4612</v>
      </c>
      <c r="T482" s="14" t="s">
        <v>4455</v>
      </c>
      <c r="U482" s="14"/>
    </row>
    <row r="483" spans="1:21">
      <c r="A483" s="3">
        <v>5585</v>
      </c>
      <c r="B483" s="82">
        <f t="array" ref="B483">SUM(--(FREQUENCY(IF(C$2:C$3071=C483, MATCH(D$2:D$3071, D$2:D$3071, 0)), ROW(D$2:D$3071)-ROW(D$2)+1) &gt; 0))</f>
        <v>26</v>
      </c>
      <c r="C483" s="3">
        <v>41000590</v>
      </c>
      <c r="D483" s="6" t="s">
        <v>4613</v>
      </c>
      <c r="E483" s="3" t="s">
        <v>2365</v>
      </c>
      <c r="F483" s="3" t="s">
        <v>4165</v>
      </c>
      <c r="G483" s="3" t="str">
        <f t="shared" si="29"/>
        <v>SINGLE</v>
      </c>
      <c r="H483" s="197">
        <f t="shared" si="28"/>
        <v>14</v>
      </c>
      <c r="I483" s="197">
        <v>4</v>
      </c>
      <c r="J483" s="197">
        <v>2</v>
      </c>
      <c r="K483" s="186">
        <f t="shared" si="30"/>
        <v>45749</v>
      </c>
      <c r="L483" s="3" t="s">
        <v>2381</v>
      </c>
      <c r="M483" s="3" t="s">
        <v>2383</v>
      </c>
      <c r="N483" s="3" t="str">
        <f t="shared" si="31"/>
        <v>NG</v>
      </c>
      <c r="O483" s="3" t="s">
        <v>1568</v>
      </c>
      <c r="Q483" s="3">
        <v>11002283</v>
      </c>
      <c r="R483" s="3" t="s">
        <v>4105</v>
      </c>
      <c r="S483" s="3" t="s">
        <v>4614</v>
      </c>
    </row>
    <row r="484" spans="1:21">
      <c r="A484" s="3">
        <v>5585</v>
      </c>
      <c r="B484" s="82">
        <f t="array" ref="B484">SUM(--(FREQUENCY(IF(C$2:C$3071=C484, MATCH(D$2:D$3071, D$2:D$3071, 0)), ROW(D$2:D$3071)-ROW(D$2)+1) &gt; 0))</f>
        <v>26</v>
      </c>
      <c r="C484" s="3">
        <v>41000590</v>
      </c>
      <c r="D484" s="6" t="s">
        <v>4615</v>
      </c>
      <c r="E484" s="3" t="s">
        <v>2365</v>
      </c>
      <c r="F484" s="3" t="s">
        <v>4165</v>
      </c>
      <c r="G484" s="3" t="str">
        <f t="shared" si="29"/>
        <v>SINGLE</v>
      </c>
      <c r="H484" s="197">
        <f t="shared" si="28"/>
        <v>14</v>
      </c>
      <c r="I484" s="197">
        <v>4</v>
      </c>
      <c r="J484" s="197">
        <v>2</v>
      </c>
      <c r="K484" s="186">
        <f t="shared" si="30"/>
        <v>45749</v>
      </c>
      <c r="L484" s="3" t="s">
        <v>2381</v>
      </c>
      <c r="M484" s="3" t="s">
        <v>2383</v>
      </c>
      <c r="N484" s="3" t="str">
        <f t="shared" si="31"/>
        <v/>
      </c>
    </row>
    <row r="485" spans="1:21">
      <c r="A485" s="3">
        <v>5537</v>
      </c>
      <c r="B485" s="82">
        <f t="array" ref="B485">SUM(--(FREQUENCY(IF(C$2:C$3071=C485, MATCH(D$2:D$3071, D$2:D$3071, 0)), ROW(D$2:D$3071)-ROW(D$2)+1) &gt; 0))</f>
        <v>22</v>
      </c>
      <c r="C485" s="3">
        <v>41200075</v>
      </c>
      <c r="D485" s="6" t="s">
        <v>4616</v>
      </c>
      <c r="E485" s="3" t="s">
        <v>4102</v>
      </c>
      <c r="F485" s="3" t="s">
        <v>4112</v>
      </c>
      <c r="G485" s="3" t="str">
        <f t="shared" si="29"/>
        <v>DUAL</v>
      </c>
      <c r="H485" s="197">
        <f t="shared" si="28"/>
        <v>14</v>
      </c>
      <c r="I485" s="197">
        <v>4</v>
      </c>
      <c r="J485" s="197">
        <v>2</v>
      </c>
      <c r="K485" s="186">
        <f t="shared" si="30"/>
        <v>45749</v>
      </c>
      <c r="L485" s="3" t="s">
        <v>2381</v>
      </c>
      <c r="M485" s="3" t="s">
        <v>2383</v>
      </c>
      <c r="N485" s="3" t="str">
        <f t="shared" si="31"/>
        <v/>
      </c>
    </row>
    <row r="486" spans="1:21" s="15" customFormat="1">
      <c r="A486" s="14">
        <v>5560</v>
      </c>
      <c r="B486" s="82">
        <f t="array" ref="B486">SUM(--(FREQUENCY(IF(C$2:C$3071=C486, MATCH(D$2:D$3071, D$2:D$3071, 0)), ROW(D$2:D$3071)-ROW(D$2)+1) &gt; 0))</f>
        <v>11</v>
      </c>
      <c r="C486" s="14">
        <v>41100697</v>
      </c>
      <c r="D486" s="6" t="s">
        <v>2002</v>
      </c>
      <c r="E486" s="14" t="s">
        <v>4603</v>
      </c>
      <c r="F486" s="14" t="s">
        <v>4112</v>
      </c>
      <c r="G486" s="3" t="str">
        <f t="shared" si="29"/>
        <v>DUAL</v>
      </c>
      <c r="H486" s="197">
        <f t="shared" si="28"/>
        <v>14</v>
      </c>
      <c r="I486" s="201">
        <v>4</v>
      </c>
      <c r="J486" s="201">
        <v>2</v>
      </c>
      <c r="K486" s="186">
        <f t="shared" si="30"/>
        <v>45749</v>
      </c>
      <c r="L486" s="14" t="s">
        <v>2381</v>
      </c>
      <c r="M486" s="14" t="s">
        <v>2383</v>
      </c>
      <c r="N486" s="3" t="str">
        <f t="shared" si="31"/>
        <v>NG</v>
      </c>
      <c r="O486" s="14" t="s">
        <v>1568</v>
      </c>
      <c r="P486" s="14"/>
      <c r="Q486" s="14">
        <v>11002283</v>
      </c>
      <c r="R486" s="14" t="s">
        <v>4105</v>
      </c>
      <c r="S486" s="14" t="s">
        <v>4617</v>
      </c>
      <c r="T486" s="14"/>
      <c r="U486" s="14"/>
    </row>
    <row r="487" spans="1:21" s="15" customFormat="1">
      <c r="A487" s="14">
        <v>5560</v>
      </c>
      <c r="B487" s="82">
        <f t="array" ref="B487">SUM(--(FREQUENCY(IF(C$2:C$3071=C487, MATCH(D$2:D$3071, D$2:D$3071, 0)), ROW(D$2:D$3071)-ROW(D$2)+1) &gt; 0))</f>
        <v>11</v>
      </c>
      <c r="C487" s="14">
        <v>41100697</v>
      </c>
      <c r="D487" s="6" t="s">
        <v>2002</v>
      </c>
      <c r="E487" s="14" t="s">
        <v>4603</v>
      </c>
      <c r="F487" s="14" t="s">
        <v>4112</v>
      </c>
      <c r="G487" s="3" t="str">
        <f t="shared" si="29"/>
        <v>DUAL</v>
      </c>
      <c r="H487" s="197">
        <f t="shared" si="28"/>
        <v>14</v>
      </c>
      <c r="I487" s="201">
        <v>4</v>
      </c>
      <c r="J487" s="201">
        <v>2</v>
      </c>
      <c r="K487" s="186">
        <f t="shared" si="30"/>
        <v>45749</v>
      </c>
      <c r="L487" s="14" t="s">
        <v>2381</v>
      </c>
      <c r="M487" s="14" t="s">
        <v>2383</v>
      </c>
      <c r="N487" s="3" t="str">
        <f t="shared" si="31"/>
        <v>NG</v>
      </c>
      <c r="O487" s="14" t="s">
        <v>1568</v>
      </c>
      <c r="P487" s="14"/>
      <c r="Q487" s="14">
        <v>11002283</v>
      </c>
      <c r="R487" s="14" t="s">
        <v>4105</v>
      </c>
      <c r="S487" s="14" t="s">
        <v>4618</v>
      </c>
      <c r="T487" s="14" t="s">
        <v>4455</v>
      </c>
      <c r="U487" s="14"/>
    </row>
    <row r="488" spans="1:21">
      <c r="A488" s="3">
        <v>5560</v>
      </c>
      <c r="B488" s="82">
        <f t="array" ref="B488">SUM(--(FREQUENCY(IF(C$2:C$3071=C488, MATCH(D$2:D$3071, D$2:D$3071, 0)), ROW(D$2:D$3071)-ROW(D$2)+1) &gt; 0))</f>
        <v>11</v>
      </c>
      <c r="C488" s="3">
        <v>41100697</v>
      </c>
      <c r="D488" s="6" t="s">
        <v>2001</v>
      </c>
      <c r="E488" s="3" t="s">
        <v>4603</v>
      </c>
      <c r="F488" s="3" t="s">
        <v>4112</v>
      </c>
      <c r="G488" s="3" t="str">
        <f t="shared" si="29"/>
        <v>DUAL</v>
      </c>
      <c r="H488" s="197">
        <f t="shared" si="28"/>
        <v>14</v>
      </c>
      <c r="I488" s="197">
        <v>4</v>
      </c>
      <c r="J488" s="197">
        <v>2</v>
      </c>
      <c r="K488" s="186">
        <f t="shared" si="30"/>
        <v>45749</v>
      </c>
      <c r="L488" s="3" t="s">
        <v>2381</v>
      </c>
      <c r="M488" s="3" t="s">
        <v>2383</v>
      </c>
      <c r="N488" s="3" t="str">
        <f t="shared" si="31"/>
        <v/>
      </c>
    </row>
    <row r="489" spans="1:21">
      <c r="A489" s="3">
        <v>5560</v>
      </c>
      <c r="B489" s="82">
        <f t="array" ref="B489">SUM(--(FREQUENCY(IF(C$2:C$3071=C489, MATCH(D$2:D$3071, D$2:D$3071, 0)), ROW(D$2:D$3071)-ROW(D$2)+1) &gt; 0))</f>
        <v>11</v>
      </c>
      <c r="C489" s="3">
        <v>41100697</v>
      </c>
      <c r="D489" s="6" t="s">
        <v>4619</v>
      </c>
      <c r="E489" s="3" t="s">
        <v>4603</v>
      </c>
      <c r="F489" s="3" t="s">
        <v>4112</v>
      </c>
      <c r="G489" s="3" t="str">
        <f t="shared" si="29"/>
        <v>DUAL</v>
      </c>
      <c r="H489" s="197">
        <f t="shared" si="28"/>
        <v>14</v>
      </c>
      <c r="I489" s="197">
        <v>4</v>
      </c>
      <c r="J489" s="197">
        <v>2</v>
      </c>
      <c r="K489" s="186">
        <f t="shared" si="30"/>
        <v>45749</v>
      </c>
      <c r="L489" s="3" t="s">
        <v>2381</v>
      </c>
      <c r="M489" s="3" t="s">
        <v>2383</v>
      </c>
      <c r="N489" s="3" t="str">
        <f t="shared" si="31"/>
        <v/>
      </c>
    </row>
    <row r="490" spans="1:21" s="27" customFormat="1">
      <c r="A490" s="28">
        <v>5564</v>
      </c>
      <c r="B490" s="82">
        <f t="array" ref="B490">SUM(--(FREQUENCY(IF(C$2:C$3071=C490, MATCH(D$2:D$3071, D$2:D$3071, 0)), ROW(D$2:D$3071)-ROW(D$2)+1) &gt; 0))</f>
        <v>20</v>
      </c>
      <c r="C490" s="28">
        <v>41200125</v>
      </c>
      <c r="D490" s="6" t="s">
        <v>1735</v>
      </c>
      <c r="E490" s="28" t="s">
        <v>4102</v>
      </c>
      <c r="F490" s="28" t="s">
        <v>4112</v>
      </c>
      <c r="G490" s="3" t="str">
        <f t="shared" si="29"/>
        <v>DUAL</v>
      </c>
      <c r="H490" s="197">
        <f t="shared" si="28"/>
        <v>14</v>
      </c>
      <c r="I490" s="206">
        <v>4</v>
      </c>
      <c r="J490" s="206">
        <v>2</v>
      </c>
      <c r="K490" s="186">
        <f t="shared" si="30"/>
        <v>45749</v>
      </c>
      <c r="L490" s="28" t="s">
        <v>4104</v>
      </c>
      <c r="M490" s="28" t="s">
        <v>2388</v>
      </c>
      <c r="N490" s="3" t="str">
        <f t="shared" si="31"/>
        <v/>
      </c>
      <c r="O490" s="28"/>
      <c r="P490" s="28"/>
      <c r="Q490" s="28"/>
      <c r="R490" s="28"/>
      <c r="S490" s="28"/>
      <c r="T490" s="28"/>
      <c r="U490" s="28"/>
    </row>
    <row r="491" spans="1:21" s="27" customFormat="1">
      <c r="A491" s="28">
        <v>5564</v>
      </c>
      <c r="B491" s="82">
        <f t="array" ref="B491">SUM(--(FREQUENCY(IF(C$2:C$3071=C491, MATCH(D$2:D$3071, D$2:D$3071, 0)), ROW(D$2:D$3071)-ROW(D$2)+1) &gt; 0))</f>
        <v>20</v>
      </c>
      <c r="C491" s="28">
        <v>41200125</v>
      </c>
      <c r="D491" s="6" t="s">
        <v>4330</v>
      </c>
      <c r="E491" s="28" t="s">
        <v>4102</v>
      </c>
      <c r="F491" s="28" t="s">
        <v>4112</v>
      </c>
      <c r="G491" s="3" t="str">
        <f t="shared" si="29"/>
        <v>DUAL</v>
      </c>
      <c r="H491" s="197">
        <f t="shared" si="28"/>
        <v>14</v>
      </c>
      <c r="I491" s="206">
        <v>4</v>
      </c>
      <c r="J491" s="206">
        <v>2</v>
      </c>
      <c r="K491" s="186">
        <f t="shared" si="30"/>
        <v>45749</v>
      </c>
      <c r="L491" s="28" t="s">
        <v>4104</v>
      </c>
      <c r="M491" s="28" t="s">
        <v>2388</v>
      </c>
      <c r="N491" s="3" t="str">
        <f t="shared" si="31"/>
        <v/>
      </c>
      <c r="O491" s="28"/>
      <c r="P491" s="28"/>
      <c r="Q491" s="28"/>
      <c r="R491" s="28"/>
      <c r="S491" s="28"/>
      <c r="T491" s="28"/>
      <c r="U491" s="28"/>
    </row>
    <row r="492" spans="1:21">
      <c r="A492" s="3">
        <v>5504</v>
      </c>
      <c r="B492" s="82">
        <f t="array" ref="B492">SUM(--(FREQUENCY(IF(C$2:C$3071=C492, MATCH(D$2:D$3071, D$2:D$3071, 0)), ROW(D$2:D$3071)-ROW(D$2)+1) &gt; 0))</f>
        <v>44</v>
      </c>
      <c r="C492" s="3">
        <v>41200108</v>
      </c>
      <c r="D492" s="6" t="s">
        <v>4620</v>
      </c>
      <c r="E492" s="3" t="s">
        <v>4326</v>
      </c>
      <c r="F492" s="3" t="s">
        <v>4119</v>
      </c>
      <c r="G492" s="3" t="str">
        <f t="shared" si="29"/>
        <v>SINGLE</v>
      </c>
      <c r="H492" s="197">
        <f t="shared" si="28"/>
        <v>14</v>
      </c>
      <c r="I492" s="197">
        <v>4</v>
      </c>
      <c r="J492" s="197">
        <v>3</v>
      </c>
      <c r="K492" s="186">
        <f t="shared" si="30"/>
        <v>45750</v>
      </c>
      <c r="L492" s="3" t="s">
        <v>4104</v>
      </c>
      <c r="M492" s="3" t="s">
        <v>2388</v>
      </c>
      <c r="N492" s="3" t="str">
        <f t="shared" si="31"/>
        <v/>
      </c>
    </row>
    <row r="493" spans="1:21">
      <c r="A493" s="3">
        <v>5610</v>
      </c>
      <c r="B493" s="82">
        <f t="array" ref="B493">SUM(--(FREQUENCY(IF(C$2:C$3071=C493, MATCH(D$2:D$3071, D$2:D$3071, 0)), ROW(D$2:D$3071)-ROW(D$2)+1) &gt; 0))</f>
        <v>4</v>
      </c>
      <c r="C493" s="3">
        <v>41200144</v>
      </c>
      <c r="D493" s="6" t="s">
        <v>2011</v>
      </c>
      <c r="E493" s="3" t="s">
        <v>4326</v>
      </c>
      <c r="F493" s="3" t="s">
        <v>4119</v>
      </c>
      <c r="G493" s="3" t="str">
        <f t="shared" si="29"/>
        <v>SINGLE</v>
      </c>
      <c r="H493" s="197">
        <f t="shared" si="28"/>
        <v>14</v>
      </c>
      <c r="I493" s="197">
        <v>4</v>
      </c>
      <c r="J493" s="197">
        <v>3</v>
      </c>
      <c r="K493" s="186">
        <f t="shared" si="30"/>
        <v>45750</v>
      </c>
      <c r="L493" s="3" t="s">
        <v>2381</v>
      </c>
      <c r="M493" s="3" t="s">
        <v>2383</v>
      </c>
      <c r="N493" s="3" t="str">
        <f t="shared" si="31"/>
        <v/>
      </c>
    </row>
    <row r="494" spans="1:21">
      <c r="A494" s="3">
        <v>5610</v>
      </c>
      <c r="B494" s="82">
        <f t="array" ref="B494">SUM(--(FREQUENCY(IF(C$2:C$3071=C494, MATCH(D$2:D$3071, D$2:D$3071, 0)), ROW(D$2:D$3071)-ROW(D$2)+1) &gt; 0))</f>
        <v>4</v>
      </c>
      <c r="C494" s="3">
        <v>41200144</v>
      </c>
      <c r="D494" s="6" t="s">
        <v>2010</v>
      </c>
      <c r="E494" s="3" t="s">
        <v>4326</v>
      </c>
      <c r="F494" s="3" t="s">
        <v>4119</v>
      </c>
      <c r="G494" s="3" t="str">
        <f t="shared" si="29"/>
        <v>SINGLE</v>
      </c>
      <c r="H494" s="197">
        <f t="shared" si="28"/>
        <v>14</v>
      </c>
      <c r="I494" s="197">
        <v>4</v>
      </c>
      <c r="J494" s="197">
        <v>3</v>
      </c>
      <c r="K494" s="186">
        <f t="shared" si="30"/>
        <v>45750</v>
      </c>
      <c r="L494" s="3" t="s">
        <v>2381</v>
      </c>
      <c r="M494" s="3" t="s">
        <v>2383</v>
      </c>
      <c r="N494" s="3" t="str">
        <f t="shared" si="31"/>
        <v/>
      </c>
    </row>
    <row r="495" spans="1:21" s="15" customFormat="1">
      <c r="A495" s="3">
        <v>5610</v>
      </c>
      <c r="B495" s="82">
        <f t="array" ref="B495">SUM(--(FREQUENCY(IF(C$2:C$3071=C495, MATCH(D$2:D$3071, D$2:D$3071, 0)), ROW(D$2:D$3071)-ROW(D$2)+1) &gt; 0))</f>
        <v>4</v>
      </c>
      <c r="C495" s="3">
        <v>41200144</v>
      </c>
      <c r="D495" s="6" t="s">
        <v>4621</v>
      </c>
      <c r="E495" s="3" t="s">
        <v>4326</v>
      </c>
      <c r="F495" s="3" t="s">
        <v>4119</v>
      </c>
      <c r="G495" s="3" t="str">
        <f t="shared" si="29"/>
        <v>SINGLE</v>
      </c>
      <c r="H495" s="197">
        <f t="shared" si="28"/>
        <v>14</v>
      </c>
      <c r="I495" s="197">
        <v>4</v>
      </c>
      <c r="J495" s="197">
        <v>3</v>
      </c>
      <c r="K495" s="186">
        <f t="shared" si="30"/>
        <v>45750</v>
      </c>
      <c r="L495" s="3" t="s">
        <v>2381</v>
      </c>
      <c r="M495" s="3" t="s">
        <v>2383</v>
      </c>
      <c r="N495" s="3" t="str">
        <f t="shared" si="31"/>
        <v/>
      </c>
      <c r="O495" s="3"/>
      <c r="P495" s="3"/>
      <c r="Q495" s="3"/>
      <c r="R495" s="3"/>
      <c r="S495" s="3"/>
      <c r="T495" s="3"/>
      <c r="U495" s="3"/>
    </row>
    <row r="496" spans="1:21" s="15" customFormat="1">
      <c r="A496" s="14">
        <v>5497</v>
      </c>
      <c r="B496" s="82">
        <f t="array" ref="B496">SUM(--(FREQUENCY(IF(C$2:C$3071=C496, MATCH(D$2:D$3071, D$2:D$3071, 0)), ROW(D$2:D$3071)-ROW(D$2)+1) &gt; 0))</f>
        <v>4</v>
      </c>
      <c r="C496" s="14">
        <v>41000589</v>
      </c>
      <c r="D496" s="6" t="s">
        <v>2006</v>
      </c>
      <c r="E496" s="14" t="s">
        <v>2365</v>
      </c>
      <c r="F496" s="14" t="s">
        <v>4165</v>
      </c>
      <c r="G496" s="3" t="str">
        <f t="shared" si="29"/>
        <v>SINGLE</v>
      </c>
      <c r="H496" s="197">
        <f t="shared" si="28"/>
        <v>14</v>
      </c>
      <c r="I496" s="201">
        <v>4</v>
      </c>
      <c r="J496" s="201">
        <v>3</v>
      </c>
      <c r="K496" s="186">
        <f t="shared" si="30"/>
        <v>45750</v>
      </c>
      <c r="L496" s="14" t="s">
        <v>2367</v>
      </c>
      <c r="M496" s="14" t="s">
        <v>2367</v>
      </c>
      <c r="N496" s="3" t="str">
        <f t="shared" si="31"/>
        <v>NG</v>
      </c>
      <c r="O496" s="14" t="s">
        <v>1568</v>
      </c>
      <c r="P496" s="14"/>
      <c r="Q496" s="14">
        <v>11006168</v>
      </c>
      <c r="R496" s="14" t="s">
        <v>4622</v>
      </c>
      <c r="S496" s="14" t="s">
        <v>4623</v>
      </c>
      <c r="T496" s="14"/>
      <c r="U496" s="14"/>
    </row>
    <row r="497" spans="1:21">
      <c r="A497" s="14">
        <v>5497</v>
      </c>
      <c r="B497" s="82">
        <f t="array" ref="B497">SUM(--(FREQUENCY(IF(C$2:C$3071=C497, MATCH(D$2:D$3071, D$2:D$3071, 0)), ROW(D$2:D$3071)-ROW(D$2)+1) &gt; 0))</f>
        <v>4</v>
      </c>
      <c r="C497" s="14">
        <v>41000589</v>
      </c>
      <c r="D497" s="6" t="s">
        <v>2006</v>
      </c>
      <c r="E497" s="14" t="s">
        <v>2365</v>
      </c>
      <c r="F497" s="14" t="s">
        <v>4165</v>
      </c>
      <c r="G497" s="3" t="str">
        <f t="shared" si="29"/>
        <v>SINGLE</v>
      </c>
      <c r="H497" s="197">
        <f t="shared" si="28"/>
        <v>14</v>
      </c>
      <c r="I497" s="201">
        <v>4</v>
      </c>
      <c r="J497" s="201">
        <v>3</v>
      </c>
      <c r="K497" s="186">
        <f t="shared" si="30"/>
        <v>45750</v>
      </c>
      <c r="L497" s="14" t="s">
        <v>2367</v>
      </c>
      <c r="M497" s="14" t="s">
        <v>2367</v>
      </c>
      <c r="N497" s="3" t="str">
        <f t="shared" si="31"/>
        <v>NG</v>
      </c>
      <c r="O497" s="14" t="s">
        <v>1568</v>
      </c>
      <c r="P497" s="14"/>
      <c r="Q497" s="14">
        <v>11002283</v>
      </c>
      <c r="R497" s="14" t="s">
        <v>4105</v>
      </c>
      <c r="S497" s="14" t="s">
        <v>4624</v>
      </c>
      <c r="T497" s="14"/>
      <c r="U497" s="14"/>
    </row>
    <row r="498" spans="1:21">
      <c r="A498" s="3">
        <v>5497</v>
      </c>
      <c r="B498" s="82">
        <f t="array" ref="B498">SUM(--(FREQUENCY(IF(C$2:C$3071=C498, MATCH(D$2:D$3071, D$2:D$3071, 0)), ROW(D$2:D$3071)-ROW(D$2)+1) &gt; 0))</f>
        <v>4</v>
      </c>
      <c r="C498" s="3">
        <v>41000589</v>
      </c>
      <c r="D498" s="6" t="s">
        <v>2005</v>
      </c>
      <c r="E498" s="3" t="s">
        <v>2365</v>
      </c>
      <c r="F498" s="3" t="s">
        <v>4165</v>
      </c>
      <c r="G498" s="3" t="str">
        <f t="shared" si="29"/>
        <v>SINGLE</v>
      </c>
      <c r="H498" s="197">
        <f t="shared" si="28"/>
        <v>14</v>
      </c>
      <c r="I498" s="197">
        <v>4</v>
      </c>
      <c r="J498" s="197">
        <v>3</v>
      </c>
      <c r="K498" s="186">
        <f t="shared" si="30"/>
        <v>45750</v>
      </c>
      <c r="L498" s="3" t="s">
        <v>2367</v>
      </c>
      <c r="M498" s="3" t="s">
        <v>2367</v>
      </c>
      <c r="N498" s="3" t="str">
        <f t="shared" si="31"/>
        <v>NG</v>
      </c>
      <c r="O498" s="3" t="s">
        <v>1568</v>
      </c>
      <c r="Q498" s="3">
        <v>11002737</v>
      </c>
      <c r="R498" s="3" t="s">
        <v>4131</v>
      </c>
      <c r="S498" s="3" t="s">
        <v>4625</v>
      </c>
    </row>
    <row r="499" spans="1:21">
      <c r="A499" s="3">
        <v>5497</v>
      </c>
      <c r="B499" s="82">
        <f t="array" ref="B499">SUM(--(FREQUENCY(IF(C$2:C$3071=C499, MATCH(D$2:D$3071, D$2:D$3071, 0)), ROW(D$2:D$3071)-ROW(D$2)+1) &gt; 0))</f>
        <v>4</v>
      </c>
      <c r="C499" s="3">
        <v>41000589</v>
      </c>
      <c r="D499" s="6" t="s">
        <v>2004</v>
      </c>
      <c r="E499" s="3" t="s">
        <v>2365</v>
      </c>
      <c r="F499" s="3" t="s">
        <v>4165</v>
      </c>
      <c r="G499" s="3" t="str">
        <f t="shared" si="29"/>
        <v>SINGLE</v>
      </c>
      <c r="H499" s="197">
        <f t="shared" si="28"/>
        <v>14</v>
      </c>
      <c r="I499" s="197">
        <v>4</v>
      </c>
      <c r="J499" s="197">
        <v>3</v>
      </c>
      <c r="K499" s="186">
        <f t="shared" si="30"/>
        <v>45750</v>
      </c>
      <c r="L499" s="3" t="s">
        <v>2367</v>
      </c>
      <c r="M499" s="3" t="s">
        <v>2367</v>
      </c>
      <c r="N499" s="3" t="str">
        <f t="shared" si="31"/>
        <v>NG</v>
      </c>
      <c r="O499" s="3" t="s">
        <v>1568</v>
      </c>
      <c r="Q499" s="3">
        <v>11006769</v>
      </c>
      <c r="R499" s="3" t="s">
        <v>4555</v>
      </c>
      <c r="S499" s="3" t="s">
        <v>4626</v>
      </c>
    </row>
    <row r="500" spans="1:21">
      <c r="A500" s="3">
        <v>5497</v>
      </c>
      <c r="B500" s="82">
        <f t="array" ref="B500">SUM(--(FREQUENCY(IF(C$2:C$3071=C500, MATCH(D$2:D$3071, D$2:D$3071, 0)), ROW(D$2:D$3071)-ROW(D$2)+1) &gt; 0))</f>
        <v>4</v>
      </c>
      <c r="C500" s="3">
        <v>41000589</v>
      </c>
      <c r="D500" s="6" t="s">
        <v>4627</v>
      </c>
      <c r="E500" s="3" t="s">
        <v>2365</v>
      </c>
      <c r="F500" s="3" t="s">
        <v>4165</v>
      </c>
      <c r="G500" s="3" t="str">
        <f t="shared" si="29"/>
        <v>SINGLE</v>
      </c>
      <c r="H500" s="197">
        <f t="shared" si="28"/>
        <v>14</v>
      </c>
      <c r="I500" s="197">
        <v>4</v>
      </c>
      <c r="J500" s="197">
        <v>3</v>
      </c>
      <c r="K500" s="186">
        <f t="shared" si="30"/>
        <v>45750</v>
      </c>
      <c r="L500" s="3" t="s">
        <v>2367</v>
      </c>
      <c r="M500" s="3" t="s">
        <v>2367</v>
      </c>
      <c r="N500" s="3" t="str">
        <f t="shared" si="31"/>
        <v/>
      </c>
    </row>
    <row r="501" spans="1:21">
      <c r="A501" s="3">
        <v>5523</v>
      </c>
      <c r="B501" s="82">
        <f t="array" ref="B501">SUM(--(FREQUENCY(IF(C$2:C$3071=C501, MATCH(D$2:D$3071, D$2:D$3071, 0)), ROW(D$2:D$3071)-ROW(D$2)+1) &gt; 0))</f>
        <v>43</v>
      </c>
      <c r="C501" s="3">
        <v>41200046</v>
      </c>
      <c r="D501" s="6" t="s">
        <v>2008</v>
      </c>
      <c r="E501" s="3" t="s">
        <v>4135</v>
      </c>
      <c r="F501" s="3" t="s">
        <v>4112</v>
      </c>
      <c r="G501" s="3" t="str">
        <f t="shared" si="29"/>
        <v>DUAL</v>
      </c>
      <c r="H501" s="197">
        <f t="shared" si="28"/>
        <v>14</v>
      </c>
      <c r="I501" s="197">
        <v>4</v>
      </c>
      <c r="J501" s="197">
        <v>3</v>
      </c>
      <c r="K501" s="186">
        <f t="shared" si="30"/>
        <v>45750</v>
      </c>
      <c r="L501" s="3" t="s">
        <v>2381</v>
      </c>
      <c r="M501" s="3" t="s">
        <v>2383</v>
      </c>
      <c r="N501" s="3" t="str">
        <f t="shared" si="31"/>
        <v>NG</v>
      </c>
      <c r="O501" s="3" t="s">
        <v>1568</v>
      </c>
      <c r="Q501" s="3">
        <v>11004082</v>
      </c>
      <c r="R501" s="3" t="s">
        <v>4628</v>
      </c>
      <c r="S501" s="3" t="s">
        <v>4629</v>
      </c>
    </row>
    <row r="502" spans="1:21">
      <c r="A502" s="3">
        <v>5523</v>
      </c>
      <c r="B502" s="82">
        <f t="array" ref="B502">SUM(--(FREQUENCY(IF(C$2:C$3071=C502, MATCH(D$2:D$3071, D$2:D$3071, 0)), ROW(D$2:D$3071)-ROW(D$2)+1) &gt; 0))</f>
        <v>43</v>
      </c>
      <c r="C502" s="3">
        <v>41200046</v>
      </c>
      <c r="D502" s="6" t="s">
        <v>4630</v>
      </c>
      <c r="E502" s="3" t="s">
        <v>4135</v>
      </c>
      <c r="F502" s="3" t="s">
        <v>4112</v>
      </c>
      <c r="G502" s="3" t="str">
        <f t="shared" si="29"/>
        <v>DUAL</v>
      </c>
      <c r="H502" s="197">
        <f t="shared" si="28"/>
        <v>14</v>
      </c>
      <c r="I502" s="197">
        <v>4</v>
      </c>
      <c r="J502" s="197">
        <v>3</v>
      </c>
      <c r="K502" s="186">
        <f t="shared" si="30"/>
        <v>45750</v>
      </c>
      <c r="L502" s="3" t="s">
        <v>2381</v>
      </c>
      <c r="M502" s="3" t="s">
        <v>2383</v>
      </c>
      <c r="N502" s="3" t="str">
        <f t="shared" si="31"/>
        <v/>
      </c>
    </row>
    <row r="503" spans="1:21">
      <c r="A503" s="3">
        <v>5609</v>
      </c>
      <c r="B503" s="82">
        <f t="array" ref="B503">SUM(--(FREQUENCY(IF(C$2:C$3071=C503, MATCH(D$2:D$3071, D$2:D$3071, 0)), ROW(D$2:D$3071)-ROW(D$2)+1) &gt; 0))</f>
        <v>4</v>
      </c>
      <c r="C503" s="3">
        <v>41200144</v>
      </c>
      <c r="D503" s="6" t="s">
        <v>4631</v>
      </c>
      <c r="E503" s="3" t="s">
        <v>4326</v>
      </c>
      <c r="F503" s="3" t="s">
        <v>4119</v>
      </c>
      <c r="G503" s="3" t="str">
        <f t="shared" si="29"/>
        <v>SINGLE</v>
      </c>
      <c r="H503" s="197">
        <f t="shared" si="28"/>
        <v>14</v>
      </c>
      <c r="I503" s="197">
        <v>4</v>
      </c>
      <c r="J503" s="197">
        <v>4</v>
      </c>
      <c r="K503" s="186">
        <f t="shared" si="30"/>
        <v>45751</v>
      </c>
      <c r="L503" s="3" t="s">
        <v>2381</v>
      </c>
      <c r="M503" s="3" t="s">
        <v>2383</v>
      </c>
      <c r="N503" s="3" t="str">
        <f t="shared" si="31"/>
        <v/>
      </c>
    </row>
    <row r="504" spans="1:21">
      <c r="A504" s="3">
        <v>5609</v>
      </c>
      <c r="B504" s="82">
        <f t="array" ref="B504">SUM(--(FREQUENCY(IF(C$2:C$3071=C504, MATCH(D$2:D$3071, D$2:D$3071, 0)), ROW(D$2:D$3071)-ROW(D$2)+1) &gt; 0))</f>
        <v>4</v>
      </c>
      <c r="C504" s="3">
        <v>41200144</v>
      </c>
      <c r="D504" s="6" t="s">
        <v>4631</v>
      </c>
      <c r="E504" s="3" t="s">
        <v>4326</v>
      </c>
      <c r="F504" s="3" t="s">
        <v>4119</v>
      </c>
      <c r="G504" s="3" t="str">
        <f t="shared" si="29"/>
        <v>SINGLE</v>
      </c>
      <c r="H504" s="197">
        <f t="shared" si="28"/>
        <v>14</v>
      </c>
      <c r="I504" s="197">
        <v>4</v>
      </c>
      <c r="J504" s="197">
        <v>4</v>
      </c>
      <c r="K504" s="186">
        <f t="shared" si="30"/>
        <v>45751</v>
      </c>
      <c r="L504" s="3" t="s">
        <v>2381</v>
      </c>
      <c r="M504" s="3" t="s">
        <v>2383</v>
      </c>
      <c r="N504" s="3" t="str">
        <f t="shared" si="31"/>
        <v/>
      </c>
    </row>
    <row r="505" spans="1:21">
      <c r="A505" s="3">
        <v>5583</v>
      </c>
      <c r="B505" s="82">
        <f t="array" ref="B505">SUM(--(FREQUENCY(IF(C$2:C$3071=C505, MATCH(D$2:D$3071, D$2:D$3071, 0)), ROW(D$2:D$3071)-ROW(D$2)+1) &gt; 0))</f>
        <v>15</v>
      </c>
      <c r="C505" s="3">
        <v>41200087</v>
      </c>
      <c r="D505" s="6" t="s">
        <v>4632</v>
      </c>
      <c r="E505" s="3" t="s">
        <v>4264</v>
      </c>
      <c r="F505" s="3" t="s">
        <v>4112</v>
      </c>
      <c r="G505" s="3" t="str">
        <f t="shared" si="29"/>
        <v>DUAL</v>
      </c>
      <c r="H505" s="197">
        <f t="shared" si="28"/>
        <v>14</v>
      </c>
      <c r="I505" s="197">
        <v>4</v>
      </c>
      <c r="J505" s="197">
        <v>4</v>
      </c>
      <c r="K505" s="186">
        <f t="shared" si="30"/>
        <v>45751</v>
      </c>
      <c r="L505" s="3" t="s">
        <v>4104</v>
      </c>
      <c r="M505" s="3" t="s">
        <v>2388</v>
      </c>
      <c r="N505" s="3" t="str">
        <f t="shared" si="31"/>
        <v/>
      </c>
    </row>
    <row r="506" spans="1:21">
      <c r="A506" s="3">
        <v>5570</v>
      </c>
      <c r="B506" s="82">
        <f t="array" ref="B506">SUM(--(FREQUENCY(IF(C$2:C$3071=C506, MATCH(D$2:D$3071, D$2:D$3071, 0)), ROW(D$2:D$3071)-ROW(D$2)+1) &gt; 0))</f>
        <v>9</v>
      </c>
      <c r="C506" s="3">
        <v>41100564</v>
      </c>
      <c r="D506" s="6" t="s">
        <v>2014</v>
      </c>
      <c r="E506" s="3" t="s">
        <v>4633</v>
      </c>
      <c r="F506" s="3" t="s">
        <v>4112</v>
      </c>
      <c r="G506" s="3" t="str">
        <f t="shared" si="29"/>
        <v>DUAL</v>
      </c>
      <c r="H506" s="197">
        <f t="shared" si="28"/>
        <v>14</v>
      </c>
      <c r="I506" s="197">
        <v>4</v>
      </c>
      <c r="J506" s="197">
        <v>4</v>
      </c>
      <c r="K506" s="186">
        <f t="shared" si="30"/>
        <v>45751</v>
      </c>
      <c r="L506" s="3" t="s">
        <v>2381</v>
      </c>
      <c r="M506" s="3" t="s">
        <v>2383</v>
      </c>
      <c r="N506" s="3" t="str">
        <f t="shared" si="31"/>
        <v/>
      </c>
    </row>
    <row r="507" spans="1:21">
      <c r="A507" s="3">
        <v>5570</v>
      </c>
      <c r="B507" s="82">
        <f t="array" ref="B507">SUM(--(FREQUENCY(IF(C$2:C$3071=C507, MATCH(D$2:D$3071, D$2:D$3071, 0)), ROW(D$2:D$3071)-ROW(D$2)+1) &gt; 0))</f>
        <v>9</v>
      </c>
      <c r="C507" s="3">
        <v>41100564</v>
      </c>
      <c r="D507" s="6" t="s">
        <v>4634</v>
      </c>
      <c r="E507" s="3" t="s">
        <v>4633</v>
      </c>
      <c r="F507" s="3" t="s">
        <v>4112</v>
      </c>
      <c r="G507" s="3" t="str">
        <f t="shared" si="29"/>
        <v>DUAL</v>
      </c>
      <c r="H507" s="197">
        <f t="shared" si="28"/>
        <v>14</v>
      </c>
      <c r="I507" s="197">
        <v>4</v>
      </c>
      <c r="J507" s="197">
        <v>4</v>
      </c>
      <c r="K507" s="186">
        <f t="shared" si="30"/>
        <v>45751</v>
      </c>
      <c r="L507" s="3" t="s">
        <v>2381</v>
      </c>
      <c r="M507" s="3" t="s">
        <v>2383</v>
      </c>
      <c r="N507" s="3" t="str">
        <f t="shared" si="31"/>
        <v/>
      </c>
    </row>
    <row r="508" spans="1:21">
      <c r="A508" s="3">
        <v>5519</v>
      </c>
      <c r="B508" s="82">
        <f t="array" ref="B508">SUM(--(FREQUENCY(IF(C$2:C$3071=C508, MATCH(D$2:D$3071, D$2:D$3071, 0)), ROW(D$2:D$3071)-ROW(D$2)+1) &gt; 0))</f>
        <v>18</v>
      </c>
      <c r="C508" s="3">
        <v>41200039</v>
      </c>
      <c r="D508" s="6" t="s">
        <v>4635</v>
      </c>
      <c r="E508" s="3" t="s">
        <v>4135</v>
      </c>
      <c r="F508" s="3" t="s">
        <v>4112</v>
      </c>
      <c r="G508" s="3" t="str">
        <f t="shared" si="29"/>
        <v>DUAL</v>
      </c>
      <c r="H508" s="197">
        <f t="shared" si="28"/>
        <v>14</v>
      </c>
      <c r="I508" s="197">
        <v>4</v>
      </c>
      <c r="J508" s="197">
        <v>4</v>
      </c>
      <c r="K508" s="186">
        <f t="shared" si="30"/>
        <v>45751</v>
      </c>
      <c r="L508" s="3" t="s">
        <v>2381</v>
      </c>
      <c r="M508" s="3" t="s">
        <v>2383</v>
      </c>
      <c r="N508" s="3" t="str">
        <f t="shared" si="31"/>
        <v/>
      </c>
    </row>
    <row r="509" spans="1:21">
      <c r="A509" s="3">
        <v>5519</v>
      </c>
      <c r="B509" s="82">
        <f t="array" ref="B509">SUM(--(FREQUENCY(IF(C$2:C$3071=C509, MATCH(D$2:D$3071, D$2:D$3071, 0)), ROW(D$2:D$3071)-ROW(D$2)+1) &gt; 0))</f>
        <v>18</v>
      </c>
      <c r="C509" s="3">
        <v>41200039</v>
      </c>
      <c r="D509" s="6" t="s">
        <v>4636</v>
      </c>
      <c r="E509" s="3" t="s">
        <v>4135</v>
      </c>
      <c r="F509" s="3" t="s">
        <v>4112</v>
      </c>
      <c r="G509" s="3" t="str">
        <f t="shared" si="29"/>
        <v>DUAL</v>
      </c>
      <c r="H509" s="197">
        <f t="shared" si="28"/>
        <v>14</v>
      </c>
      <c r="I509" s="197">
        <v>4</v>
      </c>
      <c r="J509" s="197">
        <v>4</v>
      </c>
      <c r="K509" s="186">
        <f t="shared" si="30"/>
        <v>45751</v>
      </c>
      <c r="L509" s="3" t="s">
        <v>2381</v>
      </c>
      <c r="M509" s="3" t="s">
        <v>2383</v>
      </c>
      <c r="N509" s="3" t="str">
        <f t="shared" si="31"/>
        <v/>
      </c>
    </row>
    <row r="510" spans="1:21">
      <c r="A510" s="14">
        <v>5584</v>
      </c>
      <c r="B510" s="82">
        <f t="array" ref="B510">SUM(--(FREQUENCY(IF(C$2:C$3071=C510, MATCH(D$2:D$3071, D$2:D$3071, 0)), ROW(D$2:D$3071)-ROW(D$2)+1) &gt; 0))</f>
        <v>18</v>
      </c>
      <c r="C510" s="14">
        <v>41000584</v>
      </c>
      <c r="D510" s="6" t="s">
        <v>4637</v>
      </c>
      <c r="E510" s="14" t="s">
        <v>2365</v>
      </c>
      <c r="F510" s="14" t="s">
        <v>4130</v>
      </c>
      <c r="G510" s="3" t="str">
        <f t="shared" si="29"/>
        <v>DUAL</v>
      </c>
      <c r="H510" s="197">
        <f t="shared" si="28"/>
        <v>14</v>
      </c>
      <c r="I510" s="201">
        <v>4</v>
      </c>
      <c r="J510" s="201">
        <v>4</v>
      </c>
      <c r="K510" s="186">
        <f t="shared" si="30"/>
        <v>45751</v>
      </c>
      <c r="L510" s="14" t="s">
        <v>4104</v>
      </c>
      <c r="M510" s="14" t="s">
        <v>2388</v>
      </c>
      <c r="N510" s="3" t="str">
        <f t="shared" si="31"/>
        <v>NG</v>
      </c>
      <c r="O510" s="14" t="s">
        <v>1568</v>
      </c>
      <c r="P510" s="14"/>
      <c r="Q510" s="14">
        <v>11102247</v>
      </c>
      <c r="R510" s="14" t="s">
        <v>4638</v>
      </c>
      <c r="S510" s="14" t="s">
        <v>4639</v>
      </c>
      <c r="T510" s="14"/>
      <c r="U510" s="14"/>
    </row>
    <row r="511" spans="1:21" s="15" customFormat="1">
      <c r="A511" s="14">
        <v>5584</v>
      </c>
      <c r="B511" s="82">
        <f t="array" ref="B511">SUM(--(FREQUENCY(IF(C$2:C$3071=C511, MATCH(D$2:D$3071, D$2:D$3071, 0)), ROW(D$2:D$3071)-ROW(D$2)+1) &gt; 0))</f>
        <v>18</v>
      </c>
      <c r="C511" s="14">
        <v>41000584</v>
      </c>
      <c r="D511" s="6" t="s">
        <v>4637</v>
      </c>
      <c r="E511" s="14" t="s">
        <v>2365</v>
      </c>
      <c r="F511" s="14" t="s">
        <v>4130</v>
      </c>
      <c r="G511" s="3" t="str">
        <f t="shared" si="29"/>
        <v>DUAL</v>
      </c>
      <c r="H511" s="197">
        <f t="shared" si="28"/>
        <v>14</v>
      </c>
      <c r="I511" s="201">
        <v>4</v>
      </c>
      <c r="J511" s="201">
        <v>4</v>
      </c>
      <c r="K511" s="186">
        <f t="shared" si="30"/>
        <v>45751</v>
      </c>
      <c r="L511" s="14" t="s">
        <v>4104</v>
      </c>
      <c r="M511" s="14" t="s">
        <v>2388</v>
      </c>
      <c r="N511" s="3" t="str">
        <f t="shared" si="31"/>
        <v>NG</v>
      </c>
      <c r="O511" s="14" t="s">
        <v>1568</v>
      </c>
      <c r="P511" s="14"/>
      <c r="Q511" s="14">
        <v>11101439</v>
      </c>
      <c r="R511" s="14" t="s">
        <v>4640</v>
      </c>
      <c r="S511" s="14" t="s">
        <v>4641</v>
      </c>
      <c r="T511" s="14"/>
      <c r="U511" s="14"/>
    </row>
    <row r="512" spans="1:21" s="15" customFormat="1">
      <c r="A512" s="3">
        <v>5600</v>
      </c>
      <c r="B512" s="82">
        <f t="array" ref="B512">SUM(--(FREQUENCY(IF(C$2:C$3071=C512, MATCH(D$2:D$3071, D$2:D$3071, 0)), ROW(D$2:D$3071)-ROW(D$2)+1) &gt; 0))</f>
        <v>2</v>
      </c>
      <c r="C512" s="3">
        <v>41200137</v>
      </c>
      <c r="D512" s="6" t="s">
        <v>4642</v>
      </c>
      <c r="E512" s="3" t="s">
        <v>2365</v>
      </c>
      <c r="F512" s="3" t="s">
        <v>4130</v>
      </c>
      <c r="G512" s="3" t="str">
        <f t="shared" si="29"/>
        <v>DUAL</v>
      </c>
      <c r="H512" s="197">
        <f t="shared" si="28"/>
        <v>14</v>
      </c>
      <c r="I512" s="197">
        <v>4</v>
      </c>
      <c r="J512" s="197">
        <v>4</v>
      </c>
      <c r="K512" s="186">
        <f t="shared" si="30"/>
        <v>45751</v>
      </c>
      <c r="L512" s="3" t="s">
        <v>4104</v>
      </c>
      <c r="M512" s="3" t="s">
        <v>2388</v>
      </c>
      <c r="N512" s="3" t="str">
        <f t="shared" si="31"/>
        <v/>
      </c>
      <c r="O512" s="3"/>
      <c r="P512" s="3"/>
      <c r="Q512" s="3"/>
      <c r="R512" s="3"/>
      <c r="S512" s="3"/>
      <c r="T512" s="3"/>
      <c r="U512" s="3"/>
    </row>
    <row r="513" spans="1:20">
      <c r="A513" s="3">
        <v>5499</v>
      </c>
      <c r="B513" s="82">
        <f t="array" ref="B513">SUM(--(FREQUENCY(IF(C$2:C$3071=C513, MATCH(D$2:D$3071, D$2:D$3071, 0)), ROW(D$2:D$3071)-ROW(D$2)+1) &gt; 0))</f>
        <v>144</v>
      </c>
      <c r="C513" s="3">
        <v>41200007</v>
      </c>
      <c r="D513" s="6" t="s">
        <v>2030</v>
      </c>
      <c r="E513" s="3" t="s">
        <v>2365</v>
      </c>
      <c r="F513" s="3" t="s">
        <v>2380</v>
      </c>
      <c r="G513" s="3" t="str">
        <f t="shared" si="29"/>
        <v>SINGLE</v>
      </c>
      <c r="H513" s="197">
        <f t="shared" ref="H513:H576" si="32">WEEKNUM(K513)</f>
        <v>15</v>
      </c>
      <c r="I513" s="197">
        <v>4</v>
      </c>
      <c r="J513" s="197">
        <v>7</v>
      </c>
      <c r="K513" s="186">
        <f t="shared" si="30"/>
        <v>45754</v>
      </c>
      <c r="L513" s="3" t="s">
        <v>4104</v>
      </c>
      <c r="M513" s="3" t="s">
        <v>2388</v>
      </c>
      <c r="N513" s="3" t="str">
        <f t="shared" si="31"/>
        <v/>
      </c>
    </row>
    <row r="514" spans="1:20">
      <c r="A514" s="3">
        <v>5499</v>
      </c>
      <c r="B514" s="82">
        <f t="array" ref="B514">SUM(--(FREQUENCY(IF(C$2:C$3071=C514, MATCH(D$2:D$3071, D$2:D$3071, 0)), ROW(D$2:D$3071)-ROW(D$2)+1) &gt; 0))</f>
        <v>144</v>
      </c>
      <c r="C514" s="3">
        <v>41200007</v>
      </c>
      <c r="D514" s="6" t="s">
        <v>2029</v>
      </c>
      <c r="E514" s="3" t="s">
        <v>2365</v>
      </c>
      <c r="F514" s="3" t="s">
        <v>2380</v>
      </c>
      <c r="G514" s="3" t="str">
        <f t="shared" ref="G514:G577" si="33">IF(OR(ISNUMBER(SEARCH("DUAL",F514)), ISNUMBER(SEARCH("IVAS",F514))), "DUAL", "SINGLE")</f>
        <v>SINGLE</v>
      </c>
      <c r="H514" s="197">
        <f t="shared" si="32"/>
        <v>15</v>
      </c>
      <c r="I514" s="197">
        <v>4</v>
      </c>
      <c r="J514" s="197">
        <v>7</v>
      </c>
      <c r="K514" s="186">
        <f t="shared" ref="K514:K577" si="34">DATE(2025, I514, J514)</f>
        <v>45754</v>
      </c>
      <c r="L514" s="3" t="s">
        <v>4104</v>
      </c>
      <c r="M514" s="3" t="s">
        <v>2388</v>
      </c>
      <c r="N514" s="3" t="str">
        <f t="shared" ref="N514:N577" si="35">IF(O514&lt;&gt;"", "NG", "")</f>
        <v/>
      </c>
    </row>
    <row r="515" spans="1:20">
      <c r="A515" s="3">
        <v>5400</v>
      </c>
      <c r="B515" s="82">
        <f t="array" ref="B515">SUM(--(FREQUENCY(IF(C$2:C$3071=C515, MATCH(D$2:D$3071, D$2:D$3071, 0)), ROW(D$2:D$3071)-ROW(D$2)+1) &gt; 0))</f>
        <v>144</v>
      </c>
      <c r="C515" s="3">
        <v>41200007</v>
      </c>
      <c r="D515" s="6" t="s">
        <v>2028</v>
      </c>
      <c r="E515" s="3" t="s">
        <v>2365</v>
      </c>
      <c r="F515" s="3" t="s">
        <v>2380</v>
      </c>
      <c r="G515" s="3" t="str">
        <f t="shared" si="33"/>
        <v>SINGLE</v>
      </c>
      <c r="H515" s="197">
        <f t="shared" si="32"/>
        <v>15</v>
      </c>
      <c r="I515" s="197">
        <v>4</v>
      </c>
      <c r="J515" s="197">
        <v>7</v>
      </c>
      <c r="K515" s="186">
        <f t="shared" si="34"/>
        <v>45754</v>
      </c>
      <c r="L515" s="3" t="s">
        <v>4104</v>
      </c>
      <c r="M515" s="3" t="s">
        <v>2388</v>
      </c>
      <c r="N515" s="3" t="str">
        <f t="shared" si="35"/>
        <v/>
      </c>
    </row>
    <row r="516" spans="1:20">
      <c r="A516" s="3">
        <v>5400</v>
      </c>
      <c r="B516" s="82">
        <f t="array" ref="B516">SUM(--(FREQUENCY(IF(C$2:C$3071=C516, MATCH(D$2:D$3071, D$2:D$3071, 0)), ROW(D$2:D$3071)-ROW(D$2)+1) &gt; 0))</f>
        <v>144</v>
      </c>
      <c r="C516" s="3">
        <v>41200007</v>
      </c>
      <c r="D516" s="6" t="s">
        <v>4643</v>
      </c>
      <c r="E516" s="3" t="s">
        <v>2365</v>
      </c>
      <c r="F516" s="3" t="s">
        <v>2380</v>
      </c>
      <c r="G516" s="3" t="str">
        <f t="shared" si="33"/>
        <v>SINGLE</v>
      </c>
      <c r="H516" s="197">
        <f t="shared" si="32"/>
        <v>15</v>
      </c>
      <c r="I516" s="197">
        <v>4</v>
      </c>
      <c r="J516" s="197">
        <v>7</v>
      </c>
      <c r="K516" s="186">
        <f t="shared" si="34"/>
        <v>45754</v>
      </c>
      <c r="L516" s="3" t="s">
        <v>4104</v>
      </c>
      <c r="M516" s="3" t="s">
        <v>2388</v>
      </c>
      <c r="N516" s="3" t="str">
        <f t="shared" si="35"/>
        <v/>
      </c>
    </row>
    <row r="517" spans="1:20">
      <c r="A517" s="3">
        <v>5549</v>
      </c>
      <c r="B517" s="82">
        <f t="array" ref="B517">SUM(--(FREQUENCY(IF(C$2:C$3071=C517, MATCH(D$2:D$3071, D$2:D$3071, 0)), ROW(D$2:D$3071)-ROW(D$2)+1) &gt; 0))</f>
        <v>41</v>
      </c>
      <c r="C517" s="3">
        <v>41200101</v>
      </c>
      <c r="D517" s="6" t="s">
        <v>2026</v>
      </c>
      <c r="E517" s="3" t="s">
        <v>4102</v>
      </c>
      <c r="F517" s="3" t="s">
        <v>4112</v>
      </c>
      <c r="G517" s="3" t="str">
        <f t="shared" si="33"/>
        <v>DUAL</v>
      </c>
      <c r="H517" s="197">
        <f t="shared" si="32"/>
        <v>15</v>
      </c>
      <c r="I517" s="197">
        <v>4</v>
      </c>
      <c r="J517" s="197">
        <v>7</v>
      </c>
      <c r="K517" s="186">
        <f t="shared" si="34"/>
        <v>45754</v>
      </c>
      <c r="L517" s="3" t="s">
        <v>2381</v>
      </c>
      <c r="M517" s="3" t="s">
        <v>2383</v>
      </c>
      <c r="N517" s="3" t="str">
        <f t="shared" si="35"/>
        <v/>
      </c>
    </row>
    <row r="518" spans="1:20">
      <c r="A518" s="3">
        <v>5549</v>
      </c>
      <c r="B518" s="82">
        <f t="array" ref="B518">SUM(--(FREQUENCY(IF(C$2:C$3071=C518, MATCH(D$2:D$3071, D$2:D$3071, 0)), ROW(D$2:D$3071)-ROW(D$2)+1) &gt; 0))</f>
        <v>41</v>
      </c>
      <c r="C518" s="3">
        <v>41200101</v>
      </c>
      <c r="D518" s="6" t="s">
        <v>4644</v>
      </c>
      <c r="E518" s="3" t="s">
        <v>4102</v>
      </c>
      <c r="F518" s="3" t="s">
        <v>4112</v>
      </c>
      <c r="G518" s="3" t="str">
        <f t="shared" si="33"/>
        <v>DUAL</v>
      </c>
      <c r="H518" s="197">
        <f t="shared" si="32"/>
        <v>15</v>
      </c>
      <c r="I518" s="197">
        <v>4</v>
      </c>
      <c r="J518" s="197">
        <v>7</v>
      </c>
      <c r="K518" s="186">
        <f t="shared" si="34"/>
        <v>45754</v>
      </c>
      <c r="L518" s="3" t="s">
        <v>2381</v>
      </c>
      <c r="M518" s="3" t="s">
        <v>2383</v>
      </c>
      <c r="N518" s="3" t="str">
        <f t="shared" si="35"/>
        <v/>
      </c>
    </row>
    <row r="519" spans="1:20">
      <c r="A519" s="3">
        <v>5521</v>
      </c>
      <c r="B519" s="82">
        <f t="array" ref="B519">SUM(--(FREQUENCY(IF(C$2:C$3071=C519, MATCH(D$2:D$3071, D$2:D$3071, 0)), ROW(D$2:D$3071)-ROW(D$2)+1) &gt; 0))</f>
        <v>21</v>
      </c>
      <c r="C519" s="3">
        <v>41200036</v>
      </c>
      <c r="D519" s="6" t="s">
        <v>4645</v>
      </c>
      <c r="E519" s="3" t="s">
        <v>4135</v>
      </c>
      <c r="F519" s="3" t="s">
        <v>4112</v>
      </c>
      <c r="G519" s="3" t="str">
        <f t="shared" si="33"/>
        <v>DUAL</v>
      </c>
      <c r="H519" s="197">
        <f t="shared" si="32"/>
        <v>15</v>
      </c>
      <c r="I519" s="197">
        <v>4</v>
      </c>
      <c r="J519" s="197">
        <v>7</v>
      </c>
      <c r="K519" s="186">
        <f t="shared" si="34"/>
        <v>45754</v>
      </c>
      <c r="L519" s="3" t="s">
        <v>2381</v>
      </c>
      <c r="M519" s="3" t="s">
        <v>2383</v>
      </c>
      <c r="N519" s="3" t="str">
        <f t="shared" si="35"/>
        <v/>
      </c>
    </row>
    <row r="520" spans="1:20">
      <c r="A520" s="3">
        <v>5527</v>
      </c>
      <c r="B520" s="82">
        <f t="array" ref="B520">SUM(--(FREQUENCY(IF(C$2:C$3071=C520, MATCH(D$2:D$3071, D$2:D$3071, 0)), ROW(D$2:D$3071)-ROW(D$2)+1) &gt; 0))</f>
        <v>21</v>
      </c>
      <c r="C520" s="3">
        <v>41200036</v>
      </c>
      <c r="D520" s="6" t="s">
        <v>2023</v>
      </c>
      <c r="E520" s="3" t="s">
        <v>4135</v>
      </c>
      <c r="F520" s="3" t="s">
        <v>4112</v>
      </c>
      <c r="G520" s="3" t="str">
        <f t="shared" si="33"/>
        <v>DUAL</v>
      </c>
      <c r="H520" s="197">
        <f t="shared" si="32"/>
        <v>15</v>
      </c>
      <c r="I520" s="197">
        <v>4</v>
      </c>
      <c r="J520" s="197">
        <v>7</v>
      </c>
      <c r="K520" s="186">
        <f t="shared" si="34"/>
        <v>45754</v>
      </c>
      <c r="L520" s="3" t="s">
        <v>2381</v>
      </c>
      <c r="M520" s="3" t="s">
        <v>2383</v>
      </c>
      <c r="N520" s="3" t="str">
        <f t="shared" si="35"/>
        <v/>
      </c>
    </row>
    <row r="521" spans="1:20">
      <c r="A521" s="3">
        <v>5527</v>
      </c>
      <c r="B521" s="82">
        <f t="array" ref="B521">SUM(--(FREQUENCY(IF(C$2:C$3071=C521, MATCH(D$2:D$3071, D$2:D$3071, 0)), ROW(D$2:D$3071)-ROW(D$2)+1) &gt; 0))</f>
        <v>21</v>
      </c>
      <c r="C521" s="3">
        <v>41200036</v>
      </c>
      <c r="D521" s="6" t="s">
        <v>4646</v>
      </c>
      <c r="E521" s="3" t="s">
        <v>4135</v>
      </c>
      <c r="F521" s="3" t="s">
        <v>4112</v>
      </c>
      <c r="G521" s="3" t="str">
        <f t="shared" si="33"/>
        <v>DUAL</v>
      </c>
      <c r="H521" s="197">
        <f t="shared" si="32"/>
        <v>15</v>
      </c>
      <c r="I521" s="197">
        <v>4</v>
      </c>
      <c r="J521" s="197">
        <v>7</v>
      </c>
      <c r="K521" s="186">
        <f t="shared" si="34"/>
        <v>45754</v>
      </c>
      <c r="L521" s="3" t="s">
        <v>2381</v>
      </c>
      <c r="M521" s="3" t="s">
        <v>2383</v>
      </c>
      <c r="N521" s="3" t="str">
        <f t="shared" si="35"/>
        <v/>
      </c>
    </row>
    <row r="522" spans="1:20">
      <c r="A522" s="3">
        <v>5548</v>
      </c>
      <c r="B522" s="82">
        <f t="array" ref="B522">SUM(--(FREQUENCY(IF(C$2:C$3071=C522, MATCH(D$2:D$3071, D$2:D$3071, 0)), ROW(D$2:D$3071)-ROW(D$2)+1) &gt; 0))</f>
        <v>20</v>
      </c>
      <c r="C522" s="3">
        <v>41200125</v>
      </c>
      <c r="D522" s="6" t="s">
        <v>4647</v>
      </c>
      <c r="E522" s="3" t="s">
        <v>4102</v>
      </c>
      <c r="F522" s="3" t="s">
        <v>4112</v>
      </c>
      <c r="G522" s="3" t="str">
        <f t="shared" si="33"/>
        <v>DUAL</v>
      </c>
      <c r="H522" s="197">
        <f t="shared" si="32"/>
        <v>15</v>
      </c>
      <c r="I522" s="197">
        <v>4</v>
      </c>
      <c r="J522" s="197">
        <v>8</v>
      </c>
      <c r="K522" s="186">
        <f t="shared" si="34"/>
        <v>45755</v>
      </c>
      <c r="L522" s="3" t="s">
        <v>4104</v>
      </c>
      <c r="M522" s="3" t="s">
        <v>2388</v>
      </c>
      <c r="N522" s="3" t="str">
        <f t="shared" si="35"/>
        <v/>
      </c>
    </row>
    <row r="523" spans="1:20">
      <c r="A523" s="3">
        <v>5548</v>
      </c>
      <c r="B523" s="82">
        <f t="array" ref="B523">SUM(--(FREQUENCY(IF(C$2:C$3071=C523, MATCH(D$2:D$3071, D$2:D$3071, 0)), ROW(D$2:D$3071)-ROW(D$2)+1) &gt; 0))</f>
        <v>20</v>
      </c>
      <c r="C523" s="3">
        <v>41200125</v>
      </c>
      <c r="D523" s="6" t="s">
        <v>4648</v>
      </c>
      <c r="E523" s="3" t="s">
        <v>4102</v>
      </c>
      <c r="F523" s="3" t="s">
        <v>4112</v>
      </c>
      <c r="G523" s="3" t="str">
        <f t="shared" si="33"/>
        <v>DUAL</v>
      </c>
      <c r="H523" s="197">
        <f t="shared" si="32"/>
        <v>15</v>
      </c>
      <c r="I523" s="197">
        <v>4</v>
      </c>
      <c r="J523" s="197">
        <v>8</v>
      </c>
      <c r="K523" s="186">
        <f t="shared" si="34"/>
        <v>45755</v>
      </c>
      <c r="L523" s="3" t="s">
        <v>4104</v>
      </c>
      <c r="M523" s="3" t="s">
        <v>2388</v>
      </c>
      <c r="N523" s="3" t="str">
        <f t="shared" si="35"/>
        <v>NG</v>
      </c>
      <c r="O523" s="3" t="s">
        <v>1568</v>
      </c>
      <c r="Q523" s="3">
        <v>11002283</v>
      </c>
      <c r="R523" s="3" t="s">
        <v>4105</v>
      </c>
      <c r="S523" s="3" t="s">
        <v>4649</v>
      </c>
      <c r="T523" s="3" t="s">
        <v>4454</v>
      </c>
    </row>
    <row r="524" spans="1:20">
      <c r="A524" s="3">
        <v>5547</v>
      </c>
      <c r="B524" s="82">
        <f t="array" ref="B524">SUM(--(FREQUENCY(IF(C$2:C$3071=C524, MATCH(D$2:D$3071, D$2:D$3071, 0)), ROW(D$2:D$3071)-ROW(D$2)+1) &gt; 0))</f>
        <v>19</v>
      </c>
      <c r="C524" s="3">
        <v>41200124</v>
      </c>
      <c r="D524" s="6" t="s">
        <v>4650</v>
      </c>
      <c r="E524" s="3" t="s">
        <v>4102</v>
      </c>
      <c r="F524" s="3" t="s">
        <v>4112</v>
      </c>
      <c r="G524" s="3" t="str">
        <f t="shared" si="33"/>
        <v>DUAL</v>
      </c>
      <c r="H524" s="197">
        <f t="shared" si="32"/>
        <v>15</v>
      </c>
      <c r="I524" s="197">
        <v>4</v>
      </c>
      <c r="J524" s="197">
        <v>8</v>
      </c>
      <c r="K524" s="186">
        <f t="shared" si="34"/>
        <v>45755</v>
      </c>
      <c r="L524" s="3" t="s">
        <v>2381</v>
      </c>
      <c r="M524" s="3" t="s">
        <v>2383</v>
      </c>
      <c r="N524" s="3" t="str">
        <f t="shared" si="35"/>
        <v>NG</v>
      </c>
      <c r="O524" s="3" t="s">
        <v>1568</v>
      </c>
      <c r="Q524" s="3">
        <v>11002283</v>
      </c>
      <c r="R524" s="3" t="s">
        <v>4105</v>
      </c>
      <c r="S524" s="3" t="s">
        <v>4651</v>
      </c>
      <c r="T524" s="3" t="s">
        <v>4454</v>
      </c>
    </row>
    <row r="525" spans="1:20">
      <c r="A525" s="3">
        <v>5524</v>
      </c>
      <c r="B525" s="82">
        <f t="array" ref="B525">SUM(--(FREQUENCY(IF(C$2:C$3071=C525, MATCH(D$2:D$3071, D$2:D$3071, 0)), ROW(D$2:D$3071)-ROW(D$2)+1) &gt; 0))</f>
        <v>14</v>
      </c>
      <c r="C525" s="3">
        <v>41200038</v>
      </c>
      <c r="D525" s="6" t="s">
        <v>4652</v>
      </c>
      <c r="E525" s="3" t="s">
        <v>4135</v>
      </c>
      <c r="F525" s="3" t="s">
        <v>4112</v>
      </c>
      <c r="G525" s="3" t="str">
        <f t="shared" si="33"/>
        <v>DUAL</v>
      </c>
      <c r="H525" s="197">
        <f t="shared" si="32"/>
        <v>15</v>
      </c>
      <c r="I525" s="197">
        <v>4</v>
      </c>
      <c r="J525" s="197">
        <v>8</v>
      </c>
      <c r="K525" s="186">
        <f t="shared" si="34"/>
        <v>45755</v>
      </c>
      <c r="L525" s="3" t="s">
        <v>2381</v>
      </c>
      <c r="M525" s="3" t="s">
        <v>2383</v>
      </c>
      <c r="N525" s="3" t="str">
        <f t="shared" si="35"/>
        <v>NG</v>
      </c>
      <c r="O525" s="3" t="s">
        <v>1568</v>
      </c>
      <c r="Q525" s="3">
        <v>11004073</v>
      </c>
      <c r="R525" s="3" t="s">
        <v>4509</v>
      </c>
      <c r="S525" s="3" t="s">
        <v>4653</v>
      </c>
      <c r="T525" s="3" t="s">
        <v>4455</v>
      </c>
    </row>
    <row r="526" spans="1:20">
      <c r="A526" s="3">
        <v>5522</v>
      </c>
      <c r="B526" s="82">
        <f t="array" ref="B526">SUM(--(FREQUENCY(IF(C$2:C$3071=C526, MATCH(D$2:D$3071, D$2:D$3071, 0)), ROW(D$2:D$3071)-ROW(D$2)+1) &gt; 0))</f>
        <v>12</v>
      </c>
      <c r="C526" s="3">
        <v>41200048</v>
      </c>
      <c r="D526" s="6" t="s">
        <v>4654</v>
      </c>
      <c r="E526" s="3" t="s">
        <v>4135</v>
      </c>
      <c r="F526" s="3" t="s">
        <v>4112</v>
      </c>
      <c r="G526" s="3" t="str">
        <f t="shared" si="33"/>
        <v>DUAL</v>
      </c>
      <c r="H526" s="197">
        <f t="shared" si="32"/>
        <v>15</v>
      </c>
      <c r="I526" s="197">
        <v>4</v>
      </c>
      <c r="J526" s="197">
        <v>8</v>
      </c>
      <c r="K526" s="186">
        <f t="shared" si="34"/>
        <v>45755</v>
      </c>
      <c r="L526" s="3" t="s">
        <v>2381</v>
      </c>
      <c r="M526" s="3" t="s">
        <v>2383</v>
      </c>
      <c r="N526" s="3" t="str">
        <f t="shared" si="35"/>
        <v/>
      </c>
    </row>
    <row r="527" spans="1:20" ht="16.5" customHeight="1">
      <c r="A527" s="3">
        <v>5491</v>
      </c>
      <c r="B527" s="82">
        <f t="array" ref="B527">SUM(--(FREQUENCY(IF(C$2:C$3071=C527, MATCH(D$2:D$3071, D$2:D$3071, 0)), ROW(D$2:D$3071)-ROW(D$2)+1) &gt; 0))</f>
        <v>16</v>
      </c>
      <c r="C527" s="3">
        <v>41200121</v>
      </c>
      <c r="D527" s="6" t="s">
        <v>2042</v>
      </c>
      <c r="E527" s="3" t="s">
        <v>4587</v>
      </c>
      <c r="F527" s="3" t="s">
        <v>4119</v>
      </c>
      <c r="G527" s="3" t="str">
        <f t="shared" si="33"/>
        <v>SINGLE</v>
      </c>
      <c r="H527" s="197">
        <f t="shared" si="32"/>
        <v>15</v>
      </c>
      <c r="I527" s="197">
        <v>4</v>
      </c>
      <c r="J527" s="197">
        <v>9</v>
      </c>
      <c r="K527" s="186">
        <f t="shared" si="34"/>
        <v>45756</v>
      </c>
      <c r="L527" s="3" t="s">
        <v>2381</v>
      </c>
      <c r="M527" s="3" t="s">
        <v>2388</v>
      </c>
      <c r="N527" s="3" t="str">
        <f t="shared" si="35"/>
        <v/>
      </c>
    </row>
    <row r="528" spans="1:20">
      <c r="A528" s="3">
        <v>5491</v>
      </c>
      <c r="B528" s="82">
        <f t="array" ref="B528">SUM(--(FREQUENCY(IF(C$2:C$3071=C528, MATCH(D$2:D$3071, D$2:D$3071, 0)), ROW(D$2:D$3071)-ROW(D$2)+1) &gt; 0))</f>
        <v>16</v>
      </c>
      <c r="C528" s="3">
        <v>41200121</v>
      </c>
      <c r="D528" s="6" t="s">
        <v>2041</v>
      </c>
      <c r="E528" s="3" t="s">
        <v>4587</v>
      </c>
      <c r="F528" s="3" t="s">
        <v>4119</v>
      </c>
      <c r="G528" s="3" t="str">
        <f t="shared" si="33"/>
        <v>SINGLE</v>
      </c>
      <c r="H528" s="197">
        <f t="shared" si="32"/>
        <v>15</v>
      </c>
      <c r="I528" s="197">
        <v>4</v>
      </c>
      <c r="J528" s="197">
        <v>9</v>
      </c>
      <c r="K528" s="186">
        <f t="shared" si="34"/>
        <v>45756</v>
      </c>
      <c r="L528" s="3" t="s">
        <v>2381</v>
      </c>
      <c r="M528" s="3" t="s">
        <v>2388</v>
      </c>
      <c r="N528" s="3" t="str">
        <f t="shared" si="35"/>
        <v/>
      </c>
    </row>
    <row r="529" spans="1:21">
      <c r="A529" s="3">
        <v>5491</v>
      </c>
      <c r="B529" s="82">
        <f t="array" ref="B529">SUM(--(FREQUENCY(IF(C$2:C$3071=C529, MATCH(D$2:D$3071, D$2:D$3071, 0)), ROW(D$2:D$3071)-ROW(D$2)+1) &gt; 0))</f>
        <v>16</v>
      </c>
      <c r="C529" s="3">
        <v>41200121</v>
      </c>
      <c r="D529" s="6" t="s">
        <v>4655</v>
      </c>
      <c r="E529" s="3" t="s">
        <v>4587</v>
      </c>
      <c r="F529" s="3" t="s">
        <v>4119</v>
      </c>
      <c r="G529" s="3" t="str">
        <f t="shared" si="33"/>
        <v>SINGLE</v>
      </c>
      <c r="H529" s="197">
        <f t="shared" si="32"/>
        <v>15</v>
      </c>
      <c r="I529" s="197">
        <v>4</v>
      </c>
      <c r="J529" s="197">
        <v>9</v>
      </c>
      <c r="K529" s="186">
        <f t="shared" si="34"/>
        <v>45756</v>
      </c>
      <c r="L529" s="3" t="s">
        <v>2381</v>
      </c>
      <c r="M529" s="3" t="s">
        <v>2388</v>
      </c>
      <c r="N529" s="3" t="str">
        <f t="shared" si="35"/>
        <v/>
      </c>
    </row>
    <row r="530" spans="1:21">
      <c r="A530" s="3">
        <v>5504</v>
      </c>
      <c r="B530" s="82">
        <f t="array" ref="B530">SUM(--(FREQUENCY(IF(C$2:C$3071=C530, MATCH(D$2:D$3071, D$2:D$3071, 0)), ROW(D$2:D$3071)-ROW(D$2)+1) &gt; 0))</f>
        <v>44</v>
      </c>
      <c r="C530" s="3">
        <v>41200108</v>
      </c>
      <c r="D530" s="6" t="s">
        <v>2039</v>
      </c>
      <c r="E530" s="3" t="s">
        <v>4326</v>
      </c>
      <c r="F530" s="3" t="s">
        <v>4119</v>
      </c>
      <c r="G530" s="3" t="str">
        <f t="shared" si="33"/>
        <v>SINGLE</v>
      </c>
      <c r="H530" s="197">
        <f t="shared" si="32"/>
        <v>15</v>
      </c>
      <c r="I530" s="197">
        <v>4</v>
      </c>
      <c r="J530" s="197">
        <v>9</v>
      </c>
      <c r="K530" s="186">
        <f t="shared" si="34"/>
        <v>45756</v>
      </c>
      <c r="L530" s="3" t="s">
        <v>2381</v>
      </c>
      <c r="M530" s="3" t="s">
        <v>2383</v>
      </c>
      <c r="N530" s="3" t="str">
        <f t="shared" si="35"/>
        <v/>
      </c>
    </row>
    <row r="531" spans="1:21">
      <c r="A531" s="3">
        <v>5504</v>
      </c>
      <c r="B531" s="82">
        <f t="array" ref="B531">SUM(--(FREQUENCY(IF(C$2:C$3071=C531, MATCH(D$2:D$3071, D$2:D$3071, 0)), ROW(D$2:D$3071)-ROW(D$2)+1) &gt; 0))</f>
        <v>44</v>
      </c>
      <c r="C531" s="3">
        <v>41200108</v>
      </c>
      <c r="D531" s="6" t="s">
        <v>2038</v>
      </c>
      <c r="E531" s="3" t="s">
        <v>4326</v>
      </c>
      <c r="F531" s="3" t="s">
        <v>4119</v>
      </c>
      <c r="G531" s="3" t="str">
        <f t="shared" si="33"/>
        <v>SINGLE</v>
      </c>
      <c r="H531" s="197">
        <f t="shared" si="32"/>
        <v>15</v>
      </c>
      <c r="I531" s="197">
        <v>4</v>
      </c>
      <c r="J531" s="197">
        <v>9</v>
      </c>
      <c r="K531" s="186">
        <f t="shared" si="34"/>
        <v>45756</v>
      </c>
      <c r="L531" s="3" t="s">
        <v>2381</v>
      </c>
      <c r="M531" s="3" t="s">
        <v>2383</v>
      </c>
      <c r="N531" s="3" t="str">
        <f t="shared" si="35"/>
        <v/>
      </c>
    </row>
    <row r="532" spans="1:21">
      <c r="A532" s="3">
        <v>5504</v>
      </c>
      <c r="B532" s="82">
        <f t="array" ref="B532">SUM(--(FREQUENCY(IF(C$2:C$3071=C532, MATCH(D$2:D$3071, D$2:D$3071, 0)), ROW(D$2:D$3071)-ROW(D$2)+1) &gt; 0))</f>
        <v>44</v>
      </c>
      <c r="C532" s="3">
        <v>41200108</v>
      </c>
      <c r="D532" s="6" t="s">
        <v>4656</v>
      </c>
      <c r="E532" s="3" t="s">
        <v>4326</v>
      </c>
      <c r="F532" s="3" t="s">
        <v>4119</v>
      </c>
      <c r="G532" s="3" t="str">
        <f t="shared" si="33"/>
        <v>SINGLE</v>
      </c>
      <c r="H532" s="197">
        <f t="shared" si="32"/>
        <v>15</v>
      </c>
      <c r="I532" s="197">
        <v>4</v>
      </c>
      <c r="J532" s="197">
        <v>9</v>
      </c>
      <c r="K532" s="186">
        <f t="shared" si="34"/>
        <v>45756</v>
      </c>
      <c r="L532" s="3" t="s">
        <v>2381</v>
      </c>
      <c r="M532" s="3" t="s">
        <v>2383</v>
      </c>
      <c r="N532" s="3" t="str">
        <f t="shared" si="35"/>
        <v/>
      </c>
    </row>
    <row r="533" spans="1:21">
      <c r="A533" s="3">
        <v>5548</v>
      </c>
      <c r="B533" s="82">
        <f t="array" ref="B533">SUM(--(FREQUENCY(IF(C$2:C$3071=C533, MATCH(D$2:D$3071, D$2:D$3071, 0)), ROW(D$2:D$3071)-ROW(D$2)+1) &gt; 0))</f>
        <v>20</v>
      </c>
      <c r="C533" s="3">
        <v>41200125</v>
      </c>
      <c r="D533" s="6" t="s">
        <v>2044</v>
      </c>
      <c r="E533" s="3" t="s">
        <v>4102</v>
      </c>
      <c r="F533" s="3" t="s">
        <v>4112</v>
      </c>
      <c r="G533" s="3" t="str">
        <f t="shared" si="33"/>
        <v>DUAL</v>
      </c>
      <c r="H533" s="197">
        <f t="shared" si="32"/>
        <v>15</v>
      </c>
      <c r="I533" s="197">
        <v>4</v>
      </c>
      <c r="J533" s="197">
        <v>9</v>
      </c>
      <c r="K533" s="186">
        <f t="shared" si="34"/>
        <v>45756</v>
      </c>
      <c r="L533" s="3" t="s">
        <v>4104</v>
      </c>
      <c r="M533" s="3" t="s">
        <v>2388</v>
      </c>
      <c r="N533" s="3" t="str">
        <f t="shared" si="35"/>
        <v>NG</v>
      </c>
      <c r="O533" s="3" t="s">
        <v>1568</v>
      </c>
      <c r="Q533" s="3">
        <v>11003664</v>
      </c>
      <c r="R533" s="3" t="s">
        <v>4509</v>
      </c>
      <c r="S533" s="3" t="s">
        <v>4657</v>
      </c>
      <c r="T533" s="3" t="s">
        <v>4455</v>
      </c>
    </row>
    <row r="534" spans="1:21">
      <c r="A534" s="3">
        <v>5548</v>
      </c>
      <c r="B534" s="82">
        <f t="array" ref="B534">SUM(--(FREQUENCY(IF(C$2:C$3071=C534, MATCH(D$2:D$3071, D$2:D$3071, 0)), ROW(D$2:D$3071)-ROW(D$2)+1) &gt; 0))</f>
        <v>20</v>
      </c>
      <c r="C534" s="3">
        <v>41200125</v>
      </c>
      <c r="D534" s="6" t="s">
        <v>4658</v>
      </c>
      <c r="E534" s="3" t="s">
        <v>4102</v>
      </c>
      <c r="F534" s="3" t="s">
        <v>4112</v>
      </c>
      <c r="G534" s="3" t="str">
        <f t="shared" si="33"/>
        <v>DUAL</v>
      </c>
      <c r="H534" s="197">
        <f t="shared" si="32"/>
        <v>15</v>
      </c>
      <c r="I534" s="197">
        <v>4</v>
      </c>
      <c r="J534" s="197">
        <v>9</v>
      </c>
      <c r="K534" s="186">
        <f t="shared" si="34"/>
        <v>45756</v>
      </c>
      <c r="L534" s="3" t="s">
        <v>4104</v>
      </c>
      <c r="M534" s="3" t="s">
        <v>2388</v>
      </c>
      <c r="N534" s="3" t="str">
        <f t="shared" si="35"/>
        <v/>
      </c>
    </row>
    <row r="535" spans="1:21">
      <c r="A535" s="3">
        <v>5351</v>
      </c>
      <c r="B535" s="82">
        <f t="array" ref="B535">SUM(--(FREQUENCY(IF(C$2:C$3071=C535, MATCH(D$2:D$3071, D$2:D$3071, 0)), ROW(D$2:D$3071)-ROW(D$2)+1) &gt; 0))</f>
        <v>77</v>
      </c>
      <c r="C535" s="3">
        <v>41200076</v>
      </c>
      <c r="D535" s="6" t="s">
        <v>4659</v>
      </c>
      <c r="E535" s="3" t="s">
        <v>4102</v>
      </c>
      <c r="F535" s="3" t="s">
        <v>4112</v>
      </c>
      <c r="G535" s="3" t="str">
        <f t="shared" si="33"/>
        <v>DUAL</v>
      </c>
      <c r="H535" s="197">
        <f t="shared" si="32"/>
        <v>15</v>
      </c>
      <c r="I535" s="197">
        <v>4</v>
      </c>
      <c r="J535" s="197">
        <v>9</v>
      </c>
      <c r="K535" s="186">
        <f t="shared" si="34"/>
        <v>45756</v>
      </c>
      <c r="L535" s="3" t="s">
        <v>2381</v>
      </c>
      <c r="M535" s="3" t="s">
        <v>2367</v>
      </c>
      <c r="N535" s="3" t="str">
        <f t="shared" si="35"/>
        <v>NG</v>
      </c>
      <c r="O535" s="3" t="s">
        <v>1568</v>
      </c>
      <c r="Q535" s="6">
        <v>11000088</v>
      </c>
      <c r="R535" s="6" t="s">
        <v>4539</v>
      </c>
      <c r="S535" s="29" t="s">
        <v>4660</v>
      </c>
      <c r="T535" s="3" t="s">
        <v>4454</v>
      </c>
    </row>
    <row r="536" spans="1:21">
      <c r="A536" s="3">
        <v>5491</v>
      </c>
      <c r="B536" s="82">
        <f t="array" ref="B536">SUM(--(FREQUENCY(IF(C$2:C$3071=C536, MATCH(D$2:D$3071, D$2:D$3071, 0)), ROW(D$2:D$3071)-ROW(D$2)+1) &gt; 0))</f>
        <v>16</v>
      </c>
      <c r="C536" s="3">
        <v>41200121</v>
      </c>
      <c r="D536" s="6" t="s">
        <v>2047</v>
      </c>
      <c r="E536" s="3" t="s">
        <v>4587</v>
      </c>
      <c r="F536" s="3" t="s">
        <v>4119</v>
      </c>
      <c r="G536" s="3" t="str">
        <f t="shared" si="33"/>
        <v>SINGLE</v>
      </c>
      <c r="H536" s="197">
        <f t="shared" si="32"/>
        <v>15</v>
      </c>
      <c r="I536" s="197">
        <v>4</v>
      </c>
      <c r="J536" s="197">
        <v>10</v>
      </c>
      <c r="K536" s="186">
        <f t="shared" si="34"/>
        <v>45757</v>
      </c>
      <c r="L536" s="3" t="s">
        <v>2381</v>
      </c>
      <c r="M536" s="3" t="s">
        <v>2367</v>
      </c>
      <c r="N536" s="3" t="str">
        <f t="shared" si="35"/>
        <v>NG</v>
      </c>
      <c r="O536" s="3" t="s">
        <v>1568</v>
      </c>
      <c r="Q536" s="3">
        <v>11002283</v>
      </c>
      <c r="R536" s="3" t="s">
        <v>4105</v>
      </c>
      <c r="S536" s="3" t="s">
        <v>4661</v>
      </c>
    </row>
    <row r="537" spans="1:21">
      <c r="A537" s="3">
        <v>5491</v>
      </c>
      <c r="B537" s="82">
        <f t="array" ref="B537">SUM(--(FREQUENCY(IF(C$2:C$3071=C537, MATCH(D$2:D$3071, D$2:D$3071, 0)), ROW(D$2:D$3071)-ROW(D$2)+1) &gt; 0))</f>
        <v>16</v>
      </c>
      <c r="C537" s="3">
        <v>41200121</v>
      </c>
      <c r="D537" s="6" t="s">
        <v>2046</v>
      </c>
      <c r="E537" s="3" t="s">
        <v>4587</v>
      </c>
      <c r="F537" s="3" t="s">
        <v>4119</v>
      </c>
      <c r="G537" s="3" t="str">
        <f t="shared" si="33"/>
        <v>SINGLE</v>
      </c>
      <c r="H537" s="197">
        <f t="shared" si="32"/>
        <v>15</v>
      </c>
      <c r="I537" s="197">
        <v>4</v>
      </c>
      <c r="J537" s="197">
        <v>10</v>
      </c>
      <c r="K537" s="186">
        <f t="shared" si="34"/>
        <v>45757</v>
      </c>
      <c r="L537" s="3" t="s">
        <v>2381</v>
      </c>
      <c r="M537" s="3" t="s">
        <v>2367</v>
      </c>
      <c r="N537" s="3" t="str">
        <f t="shared" si="35"/>
        <v/>
      </c>
    </row>
    <row r="538" spans="1:21">
      <c r="A538" s="3">
        <v>5491</v>
      </c>
      <c r="B538" s="82">
        <f t="array" ref="B538">SUM(--(FREQUENCY(IF(C$2:C$3071=C538, MATCH(D$2:D$3071, D$2:D$3071, 0)), ROW(D$2:D$3071)-ROW(D$2)+1) &gt; 0))</f>
        <v>16</v>
      </c>
      <c r="C538" s="3">
        <v>41200121</v>
      </c>
      <c r="D538" s="6" t="s">
        <v>4662</v>
      </c>
      <c r="E538" s="3" t="s">
        <v>4587</v>
      </c>
      <c r="F538" s="3" t="s">
        <v>4119</v>
      </c>
      <c r="G538" s="3" t="str">
        <f t="shared" si="33"/>
        <v>SINGLE</v>
      </c>
      <c r="H538" s="197">
        <f t="shared" si="32"/>
        <v>15</v>
      </c>
      <c r="I538" s="197">
        <v>4</v>
      </c>
      <c r="J538" s="197">
        <v>10</v>
      </c>
      <c r="K538" s="186">
        <f t="shared" si="34"/>
        <v>45757</v>
      </c>
      <c r="L538" s="3" t="s">
        <v>2381</v>
      </c>
      <c r="M538" s="3" t="s">
        <v>2367</v>
      </c>
      <c r="N538" s="3" t="str">
        <f t="shared" si="35"/>
        <v/>
      </c>
    </row>
    <row r="539" spans="1:21">
      <c r="A539" s="6">
        <v>5599</v>
      </c>
      <c r="B539" s="82">
        <f t="array" ref="B539">SUM(--(FREQUENCY(IF(C$2:C$3071=C539, MATCH(D$2:D$3071, D$2:D$3071, 0)), ROW(D$2:D$3071)-ROW(D$2)+1) &gt; 0))</f>
        <v>41</v>
      </c>
      <c r="C539" s="6">
        <v>41200101</v>
      </c>
      <c r="D539" s="6" t="s">
        <v>4663</v>
      </c>
      <c r="E539" s="6" t="s">
        <v>4102</v>
      </c>
      <c r="F539" s="6" t="s">
        <v>4112</v>
      </c>
      <c r="G539" s="3" t="str">
        <f t="shared" si="33"/>
        <v>DUAL</v>
      </c>
      <c r="H539" s="197">
        <f t="shared" si="32"/>
        <v>15</v>
      </c>
      <c r="I539" s="199">
        <v>4</v>
      </c>
      <c r="J539" s="199">
        <v>10</v>
      </c>
      <c r="K539" s="186">
        <f t="shared" si="34"/>
        <v>45757</v>
      </c>
      <c r="L539" s="6" t="s">
        <v>4104</v>
      </c>
      <c r="M539" s="6" t="s">
        <v>2388</v>
      </c>
      <c r="N539" s="3" t="str">
        <f t="shared" si="35"/>
        <v>NG</v>
      </c>
      <c r="O539" s="3" t="s">
        <v>1568</v>
      </c>
      <c r="Q539" s="3">
        <v>11002283</v>
      </c>
      <c r="R539" s="3" t="s">
        <v>4105</v>
      </c>
      <c r="S539" s="3" t="s">
        <v>4664</v>
      </c>
      <c r="T539" s="6" t="s">
        <v>4454</v>
      </c>
      <c r="U539" s="6"/>
    </row>
    <row r="540" spans="1:21" s="2" customFormat="1">
      <c r="A540" s="3">
        <v>5562</v>
      </c>
      <c r="B540" s="82">
        <f t="array" ref="B540">SUM(--(FREQUENCY(IF(C$2:C$3071=C540, MATCH(D$2:D$3071, D$2:D$3071, 0)), ROW(D$2:D$3071)-ROW(D$2)+1) &gt; 0))</f>
        <v>1</v>
      </c>
      <c r="C540" s="3">
        <v>41200110</v>
      </c>
      <c r="D540" s="6" t="s">
        <v>4665</v>
      </c>
      <c r="E540" s="3" t="s">
        <v>4116</v>
      </c>
      <c r="F540" s="3" t="s">
        <v>4112</v>
      </c>
      <c r="G540" s="3" t="str">
        <f t="shared" si="33"/>
        <v>DUAL</v>
      </c>
      <c r="H540" s="197">
        <f t="shared" si="32"/>
        <v>15</v>
      </c>
      <c r="I540" s="197">
        <v>4</v>
      </c>
      <c r="J540" s="197">
        <v>10</v>
      </c>
      <c r="K540" s="186">
        <f t="shared" si="34"/>
        <v>45757</v>
      </c>
      <c r="L540" s="3" t="s">
        <v>4104</v>
      </c>
      <c r="M540" s="3" t="s">
        <v>2388</v>
      </c>
      <c r="N540" s="3" t="str">
        <f t="shared" si="35"/>
        <v/>
      </c>
      <c r="O540" s="3"/>
      <c r="P540" s="3"/>
      <c r="Q540" s="3"/>
      <c r="R540" s="3"/>
      <c r="S540" s="3"/>
      <c r="T540" s="3"/>
      <c r="U540" s="3"/>
    </row>
    <row r="541" spans="1:21" s="15" customFormat="1">
      <c r="A541" s="14">
        <v>5603</v>
      </c>
      <c r="B541" s="82">
        <f t="array" ref="B541">SUM(--(FREQUENCY(IF(C$2:C$3071=C541, MATCH(D$2:D$3071, D$2:D$3071, 0)), ROW(D$2:D$3071)-ROW(D$2)+1) &gt; 0))</f>
        <v>18</v>
      </c>
      <c r="C541" s="14">
        <v>41000584</v>
      </c>
      <c r="D541" s="6" t="s">
        <v>2051</v>
      </c>
      <c r="E541" s="14" t="s">
        <v>2365</v>
      </c>
      <c r="F541" s="14" t="s">
        <v>4130</v>
      </c>
      <c r="G541" s="3" t="str">
        <f t="shared" si="33"/>
        <v>DUAL</v>
      </c>
      <c r="H541" s="197">
        <f t="shared" si="32"/>
        <v>15</v>
      </c>
      <c r="I541" s="201">
        <v>4</v>
      </c>
      <c r="J541" s="201">
        <v>10</v>
      </c>
      <c r="K541" s="186">
        <f t="shared" si="34"/>
        <v>45757</v>
      </c>
      <c r="L541" s="14" t="s">
        <v>2367</v>
      </c>
      <c r="M541" s="14" t="s">
        <v>2388</v>
      </c>
      <c r="N541" s="3" t="str">
        <f t="shared" si="35"/>
        <v>NG</v>
      </c>
      <c r="O541" s="14" t="s">
        <v>1568</v>
      </c>
      <c r="P541" s="14"/>
      <c r="Q541" s="14">
        <v>11100477</v>
      </c>
      <c r="R541" s="14" t="s">
        <v>4666</v>
      </c>
      <c r="S541" s="432" t="s">
        <v>4667</v>
      </c>
      <c r="T541" s="14" t="s">
        <v>4455</v>
      </c>
      <c r="U541" s="14"/>
    </row>
    <row r="542" spans="1:21" s="15" customFormat="1">
      <c r="A542" s="14">
        <v>5603</v>
      </c>
      <c r="B542" s="82">
        <f t="array" ref="B542">SUM(--(FREQUENCY(IF(C$2:C$3071=C542, MATCH(D$2:D$3071, D$2:D$3071, 0)), ROW(D$2:D$3071)-ROW(D$2)+1) &gt; 0))</f>
        <v>18</v>
      </c>
      <c r="C542" s="14">
        <v>41000584</v>
      </c>
      <c r="D542" s="6" t="s">
        <v>2051</v>
      </c>
      <c r="E542" s="14" t="s">
        <v>2365</v>
      </c>
      <c r="F542" s="14" t="s">
        <v>4130</v>
      </c>
      <c r="G542" s="3" t="str">
        <f t="shared" si="33"/>
        <v>DUAL</v>
      </c>
      <c r="H542" s="197">
        <f t="shared" si="32"/>
        <v>15</v>
      </c>
      <c r="I542" s="201">
        <v>4</v>
      </c>
      <c r="J542" s="201">
        <v>10</v>
      </c>
      <c r="K542" s="186">
        <f t="shared" si="34"/>
        <v>45757</v>
      </c>
      <c r="L542" s="14" t="s">
        <v>2367</v>
      </c>
      <c r="M542" s="14" t="s">
        <v>2388</v>
      </c>
      <c r="N542" s="3" t="str">
        <f t="shared" si="35"/>
        <v>NG</v>
      </c>
      <c r="O542" s="14" t="s">
        <v>1568</v>
      </c>
      <c r="P542" s="14"/>
      <c r="Q542" s="14">
        <v>11002581</v>
      </c>
      <c r="R542" s="14" t="s">
        <v>4668</v>
      </c>
      <c r="S542" s="14" t="s">
        <v>4669</v>
      </c>
      <c r="T542" s="14" t="s">
        <v>4455</v>
      </c>
      <c r="U542" s="14"/>
    </row>
    <row r="543" spans="1:21" s="15" customFormat="1">
      <c r="A543" s="14">
        <v>5603</v>
      </c>
      <c r="B543" s="82">
        <f t="array" ref="B543">SUM(--(FREQUENCY(IF(C$2:C$3071=C543, MATCH(D$2:D$3071, D$2:D$3071, 0)), ROW(D$2:D$3071)-ROW(D$2)+1) &gt; 0))</f>
        <v>18</v>
      </c>
      <c r="C543" s="14">
        <v>41000584</v>
      </c>
      <c r="D543" s="6" t="s">
        <v>4670</v>
      </c>
      <c r="E543" s="14" t="s">
        <v>2365</v>
      </c>
      <c r="F543" s="14" t="s">
        <v>4130</v>
      </c>
      <c r="G543" s="3" t="str">
        <f t="shared" si="33"/>
        <v>DUAL</v>
      </c>
      <c r="H543" s="197">
        <f t="shared" si="32"/>
        <v>15</v>
      </c>
      <c r="I543" s="201">
        <v>4</v>
      </c>
      <c r="J543" s="201">
        <v>10</v>
      </c>
      <c r="K543" s="186">
        <f t="shared" si="34"/>
        <v>45757</v>
      </c>
      <c r="L543" s="14" t="s">
        <v>2367</v>
      </c>
      <c r="M543" s="14" t="s">
        <v>2388</v>
      </c>
      <c r="N543" s="3" t="str">
        <f t="shared" si="35"/>
        <v>NG</v>
      </c>
      <c r="O543" s="14" t="s">
        <v>1568</v>
      </c>
      <c r="P543" s="14"/>
      <c r="Q543" s="14">
        <v>11002283</v>
      </c>
      <c r="R543" s="14" t="s">
        <v>4105</v>
      </c>
      <c r="S543" s="14" t="s">
        <v>4671</v>
      </c>
      <c r="T543" s="14" t="s">
        <v>4454</v>
      </c>
      <c r="U543" s="14"/>
    </row>
    <row r="544" spans="1:21" s="15" customFormat="1">
      <c r="A544" s="14">
        <v>5603</v>
      </c>
      <c r="B544" s="82">
        <f t="array" ref="B544">SUM(--(FREQUENCY(IF(C$2:C$3071=C544, MATCH(D$2:D$3071, D$2:D$3071, 0)), ROW(D$2:D$3071)-ROW(D$2)+1) &gt; 0))</f>
        <v>18</v>
      </c>
      <c r="C544" s="14">
        <v>41000584</v>
      </c>
      <c r="D544" s="6" t="s">
        <v>4670</v>
      </c>
      <c r="E544" s="14" t="s">
        <v>2365</v>
      </c>
      <c r="F544" s="14" t="s">
        <v>4130</v>
      </c>
      <c r="G544" s="3" t="str">
        <f t="shared" si="33"/>
        <v>DUAL</v>
      </c>
      <c r="H544" s="197">
        <f t="shared" si="32"/>
        <v>15</v>
      </c>
      <c r="I544" s="201">
        <v>4</v>
      </c>
      <c r="J544" s="201">
        <v>10</v>
      </c>
      <c r="K544" s="186">
        <f t="shared" si="34"/>
        <v>45757</v>
      </c>
      <c r="L544" s="14" t="s">
        <v>2367</v>
      </c>
      <c r="M544" s="14" t="s">
        <v>2388</v>
      </c>
      <c r="N544" s="3" t="str">
        <f t="shared" si="35"/>
        <v>NG</v>
      </c>
      <c r="O544" s="14" t="s">
        <v>1568</v>
      </c>
      <c r="P544" s="14"/>
      <c r="Q544" s="14">
        <v>11002579</v>
      </c>
      <c r="R544" s="14" t="s">
        <v>4512</v>
      </c>
      <c r="S544" s="14" t="s">
        <v>4672</v>
      </c>
      <c r="T544" s="14" t="s">
        <v>4454</v>
      </c>
      <c r="U544" s="14"/>
    </row>
    <row r="545" spans="1:21" s="15" customFormat="1">
      <c r="A545" s="14">
        <v>5603</v>
      </c>
      <c r="B545" s="82">
        <f t="array" ref="B545">SUM(--(FREQUENCY(IF(C$2:C$3071=C545, MATCH(D$2:D$3071, D$2:D$3071, 0)), ROW(D$2:D$3071)-ROW(D$2)+1) &gt; 0))</f>
        <v>18</v>
      </c>
      <c r="C545" s="14">
        <v>41000584</v>
      </c>
      <c r="D545" s="6" t="s">
        <v>4670</v>
      </c>
      <c r="E545" s="14" t="s">
        <v>2365</v>
      </c>
      <c r="F545" s="14" t="s">
        <v>4130</v>
      </c>
      <c r="G545" s="3" t="str">
        <f t="shared" si="33"/>
        <v>DUAL</v>
      </c>
      <c r="H545" s="197">
        <f t="shared" si="32"/>
        <v>15</v>
      </c>
      <c r="I545" s="201">
        <v>4</v>
      </c>
      <c r="J545" s="201">
        <v>10</v>
      </c>
      <c r="K545" s="186">
        <f t="shared" si="34"/>
        <v>45757</v>
      </c>
      <c r="L545" s="14" t="s">
        <v>2367</v>
      </c>
      <c r="M545" s="14" t="s">
        <v>2388</v>
      </c>
      <c r="N545" s="3" t="str">
        <f t="shared" si="35"/>
        <v>NG</v>
      </c>
      <c r="O545" s="14" t="s">
        <v>1568</v>
      </c>
      <c r="P545" s="14"/>
      <c r="Q545" s="14">
        <v>13001369</v>
      </c>
      <c r="R545" s="14" t="s">
        <v>4434</v>
      </c>
      <c r="S545" s="14" t="s">
        <v>4673</v>
      </c>
      <c r="T545" s="14" t="s">
        <v>4454</v>
      </c>
      <c r="U545" s="14"/>
    </row>
    <row r="546" spans="1:21" s="15" customFormat="1">
      <c r="A546" s="14">
        <v>5603</v>
      </c>
      <c r="B546" s="82">
        <f t="array" ref="B546">SUM(--(FREQUENCY(IF(C$2:C$3071=C546, MATCH(D$2:D$3071, D$2:D$3071, 0)), ROW(D$2:D$3071)-ROW(D$2)+1) &gt; 0))</f>
        <v>18</v>
      </c>
      <c r="C546" s="14">
        <v>41000584</v>
      </c>
      <c r="D546" s="6" t="s">
        <v>4670</v>
      </c>
      <c r="E546" s="14" t="s">
        <v>2365</v>
      </c>
      <c r="F546" s="14" t="s">
        <v>4130</v>
      </c>
      <c r="G546" s="3" t="str">
        <f t="shared" si="33"/>
        <v>DUAL</v>
      </c>
      <c r="H546" s="197">
        <f t="shared" si="32"/>
        <v>15</v>
      </c>
      <c r="I546" s="201">
        <v>4</v>
      </c>
      <c r="J546" s="201">
        <v>10</v>
      </c>
      <c r="K546" s="186">
        <f t="shared" si="34"/>
        <v>45757</v>
      </c>
      <c r="L546" s="14" t="s">
        <v>2367</v>
      </c>
      <c r="M546" s="14" t="s">
        <v>2388</v>
      </c>
      <c r="N546" s="3" t="str">
        <f t="shared" si="35"/>
        <v>NG</v>
      </c>
      <c r="O546" s="14" t="s">
        <v>1568</v>
      </c>
      <c r="P546" s="14"/>
      <c r="Q546" s="14">
        <v>13001369</v>
      </c>
      <c r="R546" s="14" t="s">
        <v>4434</v>
      </c>
      <c r="S546" s="14" t="s">
        <v>4673</v>
      </c>
      <c r="T546" s="14" t="s">
        <v>4455</v>
      </c>
      <c r="U546" s="14"/>
    </row>
    <row r="547" spans="1:21">
      <c r="A547" s="3">
        <v>5491</v>
      </c>
      <c r="B547" s="82">
        <f t="array" ref="B547">SUM(--(FREQUENCY(IF(C$2:C$3071=C547, MATCH(D$2:D$3071, D$2:D$3071, 0)), ROW(D$2:D$3071)-ROW(D$2)+1) &gt; 0))</f>
        <v>16</v>
      </c>
      <c r="C547" s="3">
        <v>41200121</v>
      </c>
      <c r="D547" s="6" t="s">
        <v>4674</v>
      </c>
      <c r="E547" s="3" t="s">
        <v>4587</v>
      </c>
      <c r="F547" s="3" t="s">
        <v>4119</v>
      </c>
      <c r="G547" s="3" t="str">
        <f t="shared" si="33"/>
        <v>SINGLE</v>
      </c>
      <c r="H547" s="197">
        <f t="shared" si="32"/>
        <v>15</v>
      </c>
      <c r="I547" s="197">
        <v>4</v>
      </c>
      <c r="J547" s="197">
        <v>11</v>
      </c>
      <c r="K547" s="186">
        <f t="shared" si="34"/>
        <v>45758</v>
      </c>
      <c r="L547" s="3" t="s">
        <v>4104</v>
      </c>
      <c r="M547" s="3" t="s">
        <v>2367</v>
      </c>
      <c r="N547" s="3" t="str">
        <f t="shared" si="35"/>
        <v/>
      </c>
    </row>
    <row r="548" spans="1:21">
      <c r="A548" s="3">
        <v>5537</v>
      </c>
      <c r="B548" s="82">
        <f t="array" ref="B548">SUM(--(FREQUENCY(IF(C$2:C$3071=C548, MATCH(D$2:D$3071, D$2:D$3071, 0)), ROW(D$2:D$3071)-ROW(D$2)+1) &gt; 0))</f>
        <v>22</v>
      </c>
      <c r="C548" s="3">
        <v>41200075</v>
      </c>
      <c r="D548" s="6" t="s">
        <v>2056</v>
      </c>
      <c r="E548" s="3" t="s">
        <v>4102</v>
      </c>
      <c r="F548" s="3" t="s">
        <v>4112</v>
      </c>
      <c r="G548" s="3" t="str">
        <f t="shared" si="33"/>
        <v>DUAL</v>
      </c>
      <c r="H548" s="197">
        <f t="shared" si="32"/>
        <v>15</v>
      </c>
      <c r="I548" s="197">
        <v>4</v>
      </c>
      <c r="J548" s="197">
        <v>11</v>
      </c>
      <c r="K548" s="186">
        <f t="shared" si="34"/>
        <v>45758</v>
      </c>
      <c r="L548" s="3" t="s">
        <v>4104</v>
      </c>
      <c r="M548" s="3" t="s">
        <v>2388</v>
      </c>
      <c r="N548" s="3" t="str">
        <f t="shared" si="35"/>
        <v/>
      </c>
    </row>
    <row r="549" spans="1:21">
      <c r="A549" s="3">
        <v>5537</v>
      </c>
      <c r="B549" s="82">
        <f t="array" ref="B549">SUM(--(FREQUENCY(IF(C$2:C$3071=C549, MATCH(D$2:D$3071, D$2:D$3071, 0)), ROW(D$2:D$3071)-ROW(D$2)+1) &gt; 0))</f>
        <v>22</v>
      </c>
      <c r="C549" s="3">
        <v>41200075</v>
      </c>
      <c r="D549" s="6" t="s">
        <v>4675</v>
      </c>
      <c r="E549" s="3" t="s">
        <v>4102</v>
      </c>
      <c r="F549" s="3" t="s">
        <v>4112</v>
      </c>
      <c r="G549" s="3" t="str">
        <f t="shared" si="33"/>
        <v>DUAL</v>
      </c>
      <c r="H549" s="197">
        <f t="shared" si="32"/>
        <v>15</v>
      </c>
      <c r="I549" s="197">
        <v>4</v>
      </c>
      <c r="J549" s="197">
        <v>11</v>
      </c>
      <c r="K549" s="186">
        <f t="shared" si="34"/>
        <v>45758</v>
      </c>
      <c r="L549" s="3" t="s">
        <v>4104</v>
      </c>
      <c r="M549" s="3" t="s">
        <v>2388</v>
      </c>
      <c r="N549" s="3" t="str">
        <f t="shared" si="35"/>
        <v/>
      </c>
    </row>
    <row r="550" spans="1:21">
      <c r="A550" s="3">
        <v>5519</v>
      </c>
      <c r="B550" s="82">
        <f t="array" ref="B550">SUM(--(FREQUENCY(IF(C$2:C$3071=C550, MATCH(D$2:D$3071, D$2:D$3071, 0)), ROW(D$2:D$3071)-ROW(D$2)+1) &gt; 0))</f>
        <v>18</v>
      </c>
      <c r="C550" s="3">
        <v>41200039</v>
      </c>
      <c r="D550" s="6" t="s">
        <v>4676</v>
      </c>
      <c r="E550" s="3" t="s">
        <v>4135</v>
      </c>
      <c r="F550" s="3" t="s">
        <v>4112</v>
      </c>
      <c r="G550" s="3" t="str">
        <f t="shared" si="33"/>
        <v>DUAL</v>
      </c>
      <c r="H550" s="197">
        <f t="shared" si="32"/>
        <v>15</v>
      </c>
      <c r="I550" s="197">
        <v>4</v>
      </c>
      <c r="J550" s="197">
        <v>11</v>
      </c>
      <c r="K550" s="186">
        <f t="shared" si="34"/>
        <v>45758</v>
      </c>
      <c r="L550" s="3" t="s">
        <v>2381</v>
      </c>
      <c r="M550" s="3" t="s">
        <v>2383</v>
      </c>
      <c r="N550" s="3" t="str">
        <f t="shared" si="35"/>
        <v/>
      </c>
    </row>
    <row r="551" spans="1:21">
      <c r="A551" s="14">
        <v>5274</v>
      </c>
      <c r="B551" s="82">
        <f t="array" ref="B551">SUM(--(FREQUENCY(IF(C$2:C$3071=C551, MATCH(D$2:D$3071, D$2:D$3071, 0)), ROW(D$2:D$3071)-ROW(D$2)+1) &gt; 0))</f>
        <v>10</v>
      </c>
      <c r="C551" s="14">
        <v>41100317</v>
      </c>
      <c r="D551" s="6" t="s">
        <v>4677</v>
      </c>
      <c r="E551" s="14" t="s">
        <v>4102</v>
      </c>
      <c r="F551" s="14" t="s">
        <v>4112</v>
      </c>
      <c r="G551" s="3" t="str">
        <f t="shared" si="33"/>
        <v>DUAL</v>
      </c>
      <c r="H551" s="197">
        <f t="shared" si="32"/>
        <v>15</v>
      </c>
      <c r="I551" s="201">
        <v>4</v>
      </c>
      <c r="J551" s="201">
        <v>11</v>
      </c>
      <c r="K551" s="186">
        <f t="shared" si="34"/>
        <v>45758</v>
      </c>
      <c r="L551" s="14" t="s">
        <v>4104</v>
      </c>
      <c r="M551" s="14" t="s">
        <v>2388</v>
      </c>
      <c r="N551" s="3" t="str">
        <f t="shared" si="35"/>
        <v>NG</v>
      </c>
      <c r="O551" s="14" t="s">
        <v>1568</v>
      </c>
      <c r="P551" s="14"/>
      <c r="Q551" s="14">
        <v>11002283</v>
      </c>
      <c r="R551" s="14" t="s">
        <v>4105</v>
      </c>
      <c r="S551" s="14" t="s">
        <v>4678</v>
      </c>
      <c r="T551" s="14" t="s">
        <v>4455</v>
      </c>
      <c r="U551" s="14"/>
    </row>
    <row r="552" spans="1:21" s="15" customFormat="1">
      <c r="A552" s="14">
        <v>5274</v>
      </c>
      <c r="B552" s="82">
        <f t="array" ref="B552">SUM(--(FREQUENCY(IF(C$2:C$3071=C552, MATCH(D$2:D$3071, D$2:D$3071, 0)), ROW(D$2:D$3071)-ROW(D$2)+1) &gt; 0))</f>
        <v>10</v>
      </c>
      <c r="C552" s="14">
        <v>41100317</v>
      </c>
      <c r="D552" s="6" t="s">
        <v>4677</v>
      </c>
      <c r="E552" s="14" t="s">
        <v>4102</v>
      </c>
      <c r="F552" s="14" t="s">
        <v>4112</v>
      </c>
      <c r="G552" s="3" t="str">
        <f t="shared" si="33"/>
        <v>DUAL</v>
      </c>
      <c r="H552" s="197">
        <f t="shared" si="32"/>
        <v>15</v>
      </c>
      <c r="I552" s="201">
        <v>4</v>
      </c>
      <c r="J552" s="201">
        <v>11</v>
      </c>
      <c r="K552" s="186">
        <f t="shared" si="34"/>
        <v>45758</v>
      </c>
      <c r="L552" s="14" t="s">
        <v>4104</v>
      </c>
      <c r="M552" s="14" t="s">
        <v>2388</v>
      </c>
      <c r="N552" s="3" t="str">
        <f t="shared" si="35"/>
        <v>NG</v>
      </c>
      <c r="O552" s="14" t="s">
        <v>1568</v>
      </c>
      <c r="P552" s="14"/>
      <c r="Q552" s="14">
        <v>11002283</v>
      </c>
      <c r="R552" s="14" t="s">
        <v>4105</v>
      </c>
      <c r="S552" s="14" t="s">
        <v>4679</v>
      </c>
      <c r="T552" s="14" t="s">
        <v>4454</v>
      </c>
      <c r="U552" s="14"/>
    </row>
    <row r="553" spans="1:21" s="15" customFormat="1">
      <c r="A553" s="14">
        <v>5274</v>
      </c>
      <c r="B553" s="82">
        <f t="array" ref="B553">SUM(--(FREQUENCY(IF(C$2:C$3071=C553, MATCH(D$2:D$3071, D$2:D$3071, 0)), ROW(D$2:D$3071)-ROW(D$2)+1) &gt; 0))</f>
        <v>10</v>
      </c>
      <c r="C553" s="14">
        <v>41100317</v>
      </c>
      <c r="D553" s="6" t="s">
        <v>4677</v>
      </c>
      <c r="E553" s="14" t="s">
        <v>4102</v>
      </c>
      <c r="F553" s="14" t="s">
        <v>4112</v>
      </c>
      <c r="G553" s="3" t="str">
        <f t="shared" si="33"/>
        <v>DUAL</v>
      </c>
      <c r="H553" s="197">
        <f t="shared" si="32"/>
        <v>15</v>
      </c>
      <c r="I553" s="201">
        <v>4</v>
      </c>
      <c r="J553" s="201">
        <v>11</v>
      </c>
      <c r="K553" s="186">
        <f t="shared" si="34"/>
        <v>45758</v>
      </c>
      <c r="L553" s="14" t="s">
        <v>4104</v>
      </c>
      <c r="M553" s="14" t="s">
        <v>2388</v>
      </c>
      <c r="N553" s="3" t="str">
        <f t="shared" si="35"/>
        <v>NG</v>
      </c>
      <c r="O553" s="14" t="s">
        <v>1568</v>
      </c>
      <c r="P553" s="14"/>
      <c r="Q553" s="14">
        <v>11003001</v>
      </c>
      <c r="R553" s="14" t="s">
        <v>4555</v>
      </c>
      <c r="S553" s="14" t="s">
        <v>4680</v>
      </c>
      <c r="T553" s="14" t="s">
        <v>4455</v>
      </c>
      <c r="U553" s="14"/>
    </row>
    <row r="554" spans="1:21" s="15" customFormat="1">
      <c r="A554" s="3">
        <v>5549</v>
      </c>
      <c r="B554" s="82">
        <f t="array" ref="B554">SUM(--(FREQUENCY(IF(C$2:C$3071=C554, MATCH(D$2:D$3071, D$2:D$3071, 0)), ROW(D$2:D$3071)-ROW(D$2)+1) &gt; 0))</f>
        <v>41</v>
      </c>
      <c r="C554" s="3">
        <v>41200101</v>
      </c>
      <c r="D554" s="6" t="s">
        <v>4681</v>
      </c>
      <c r="E554" s="3" t="s">
        <v>4102</v>
      </c>
      <c r="F554" s="3" t="s">
        <v>4112</v>
      </c>
      <c r="G554" s="3" t="str">
        <f t="shared" si="33"/>
        <v>DUAL</v>
      </c>
      <c r="H554" s="197">
        <f t="shared" si="32"/>
        <v>15</v>
      </c>
      <c r="I554" s="197">
        <v>4</v>
      </c>
      <c r="J554" s="197">
        <v>11</v>
      </c>
      <c r="K554" s="186">
        <f t="shared" si="34"/>
        <v>45758</v>
      </c>
      <c r="L554" s="3" t="s">
        <v>4104</v>
      </c>
      <c r="M554" s="3" t="s">
        <v>2388</v>
      </c>
      <c r="N554" s="3" t="str">
        <f t="shared" si="35"/>
        <v/>
      </c>
      <c r="O554" s="3"/>
      <c r="P554" s="3"/>
      <c r="Q554" s="3"/>
      <c r="R554" s="3"/>
      <c r="S554" s="3"/>
      <c r="T554" s="3"/>
      <c r="U554" s="3"/>
    </row>
    <row r="555" spans="1:21">
      <c r="A555" s="3">
        <v>5351</v>
      </c>
      <c r="B555" s="82">
        <f t="array" ref="B555">SUM(--(FREQUENCY(IF(C$2:C$3071=C555, MATCH(D$2:D$3071, D$2:D$3071, 0)), ROW(D$2:D$3071)-ROW(D$2)+1) &gt; 0))</f>
        <v>77</v>
      </c>
      <c r="C555" s="3">
        <v>41200076</v>
      </c>
      <c r="D555" s="6" t="s">
        <v>4682</v>
      </c>
      <c r="E555" s="3" t="s">
        <v>4102</v>
      </c>
      <c r="F555" s="3" t="s">
        <v>4112</v>
      </c>
      <c r="G555" s="3" t="str">
        <f t="shared" si="33"/>
        <v>DUAL</v>
      </c>
      <c r="H555" s="197">
        <f t="shared" si="32"/>
        <v>15</v>
      </c>
      <c r="I555" s="197">
        <v>4</v>
      </c>
      <c r="J555" s="197">
        <v>11</v>
      </c>
      <c r="K555" s="186">
        <f t="shared" si="34"/>
        <v>45758</v>
      </c>
      <c r="L555" s="3" t="s">
        <v>2381</v>
      </c>
      <c r="M555" s="3" t="s">
        <v>2367</v>
      </c>
      <c r="N555" s="3" t="str">
        <f t="shared" si="35"/>
        <v>NG</v>
      </c>
      <c r="O555" s="3" t="s">
        <v>1568</v>
      </c>
      <c r="Q555" s="3">
        <v>11002283</v>
      </c>
      <c r="R555" s="3" t="s">
        <v>4105</v>
      </c>
      <c r="S555" s="3" t="s">
        <v>4683</v>
      </c>
      <c r="T555" s="3" t="s">
        <v>4455</v>
      </c>
    </row>
    <row r="556" spans="1:21">
      <c r="A556" s="3">
        <v>5491</v>
      </c>
      <c r="B556" s="82">
        <f t="array" ref="B556">SUM(--(FREQUENCY(IF(C$2:C$3071=C556, MATCH(D$2:D$3071, D$2:D$3071, 0)), ROW(D$2:D$3071)-ROW(D$2)+1) &gt; 0))</f>
        <v>16</v>
      </c>
      <c r="C556" s="3">
        <v>41200121</v>
      </c>
      <c r="D556" s="6" t="s">
        <v>4684</v>
      </c>
      <c r="E556" s="3" t="s">
        <v>4587</v>
      </c>
      <c r="F556" s="3" t="s">
        <v>4119</v>
      </c>
      <c r="G556" s="3" t="str">
        <f t="shared" si="33"/>
        <v>SINGLE</v>
      </c>
      <c r="H556" s="197">
        <f t="shared" si="32"/>
        <v>16</v>
      </c>
      <c r="I556" s="197">
        <v>4</v>
      </c>
      <c r="J556" s="197">
        <v>14</v>
      </c>
      <c r="K556" s="186">
        <f t="shared" si="34"/>
        <v>45761</v>
      </c>
      <c r="L556" s="3" t="s">
        <v>4104</v>
      </c>
      <c r="M556" s="3" t="s">
        <v>2367</v>
      </c>
      <c r="N556" s="3" t="str">
        <f t="shared" si="35"/>
        <v/>
      </c>
    </row>
    <row r="557" spans="1:21">
      <c r="A557" s="3">
        <v>5539</v>
      </c>
      <c r="B557" s="82">
        <f t="array" ref="B557">SUM(--(FREQUENCY(IF(C$2:C$3071=C557, MATCH(D$2:D$3071, D$2:D$3071, 0)), ROW(D$2:D$3071)-ROW(D$2)+1) &gt; 0))</f>
        <v>11</v>
      </c>
      <c r="C557" s="3">
        <v>41100374</v>
      </c>
      <c r="D557" s="6" t="s">
        <v>4685</v>
      </c>
      <c r="E557" s="3" t="s">
        <v>4102</v>
      </c>
      <c r="F557" s="3" t="s">
        <v>4112</v>
      </c>
      <c r="G557" s="3" t="str">
        <f t="shared" si="33"/>
        <v>DUAL</v>
      </c>
      <c r="H557" s="197">
        <f t="shared" si="32"/>
        <v>16</v>
      </c>
      <c r="I557" s="197">
        <v>4</v>
      </c>
      <c r="J557" s="197">
        <v>14</v>
      </c>
      <c r="K557" s="186">
        <f t="shared" si="34"/>
        <v>45761</v>
      </c>
      <c r="L557" s="3" t="s">
        <v>4104</v>
      </c>
      <c r="M557" s="3" t="s">
        <v>2388</v>
      </c>
      <c r="N557" s="3" t="str">
        <f t="shared" si="35"/>
        <v/>
      </c>
    </row>
    <row r="558" spans="1:21">
      <c r="A558" s="3">
        <v>5545</v>
      </c>
      <c r="B558" s="82">
        <f t="array" ref="B558">SUM(--(FREQUENCY(IF(C$2:C$3071=C558, MATCH(D$2:D$3071, D$2:D$3071, 0)), ROW(D$2:D$3071)-ROW(D$2)+1) &gt; 0))</f>
        <v>32</v>
      </c>
      <c r="C558" s="3">
        <v>41200122</v>
      </c>
      <c r="D558" s="6" t="s">
        <v>4686</v>
      </c>
      <c r="E558" s="3" t="s">
        <v>4102</v>
      </c>
      <c r="F558" s="3" t="s">
        <v>4112</v>
      </c>
      <c r="G558" s="3" t="str">
        <f t="shared" si="33"/>
        <v>DUAL</v>
      </c>
      <c r="H558" s="197">
        <f t="shared" si="32"/>
        <v>16</v>
      </c>
      <c r="I558" s="197">
        <v>4</v>
      </c>
      <c r="J558" s="197">
        <v>14</v>
      </c>
      <c r="K558" s="186">
        <f t="shared" si="34"/>
        <v>45761</v>
      </c>
      <c r="L558" s="3" t="s">
        <v>4104</v>
      </c>
      <c r="M558" s="3" t="s">
        <v>2367</v>
      </c>
      <c r="N558" s="3" t="str">
        <f t="shared" si="35"/>
        <v/>
      </c>
    </row>
    <row r="559" spans="1:21">
      <c r="A559" s="3">
        <v>5619</v>
      </c>
      <c r="B559" s="82">
        <f t="array" ref="B559">SUM(--(FREQUENCY(IF(C$2:C$3071=C559, MATCH(D$2:D$3071, D$2:D$3071, 0)), ROW(D$2:D$3071)-ROW(D$2)+1) &gt; 0))</f>
        <v>17</v>
      </c>
      <c r="C559" s="3">
        <v>41000558</v>
      </c>
      <c r="D559" s="6" t="s">
        <v>4687</v>
      </c>
      <c r="E559" s="3" t="s">
        <v>2365</v>
      </c>
      <c r="F559" s="3" t="s">
        <v>4279</v>
      </c>
      <c r="G559" s="3" t="str">
        <f t="shared" si="33"/>
        <v>SINGLE</v>
      </c>
      <c r="H559" s="197">
        <f t="shared" si="32"/>
        <v>16</v>
      </c>
      <c r="I559" s="197">
        <v>4</v>
      </c>
      <c r="J559" s="197">
        <v>15</v>
      </c>
      <c r="K559" s="186">
        <f t="shared" si="34"/>
        <v>45762</v>
      </c>
      <c r="L559" s="3" t="s">
        <v>4472</v>
      </c>
      <c r="M559" s="3" t="s">
        <v>4472</v>
      </c>
      <c r="N559" s="3" t="str">
        <f t="shared" si="35"/>
        <v/>
      </c>
    </row>
    <row r="560" spans="1:21">
      <c r="A560" s="3">
        <v>5619</v>
      </c>
      <c r="B560" s="82">
        <f t="array" ref="B560">SUM(--(FREQUENCY(IF(C$2:C$3071=C560, MATCH(D$2:D$3071, D$2:D$3071, 0)), ROW(D$2:D$3071)-ROW(D$2)+1) &gt; 0))</f>
        <v>17</v>
      </c>
      <c r="C560" s="3">
        <v>41000558</v>
      </c>
      <c r="D560" s="6" t="s">
        <v>4688</v>
      </c>
      <c r="E560" s="3" t="s">
        <v>2365</v>
      </c>
      <c r="F560" s="3" t="s">
        <v>4279</v>
      </c>
      <c r="G560" s="3" t="str">
        <f t="shared" si="33"/>
        <v>SINGLE</v>
      </c>
      <c r="H560" s="197">
        <f t="shared" si="32"/>
        <v>16</v>
      </c>
      <c r="I560" s="197">
        <v>4</v>
      </c>
      <c r="J560" s="197">
        <v>15</v>
      </c>
      <c r="K560" s="186">
        <f t="shared" si="34"/>
        <v>45762</v>
      </c>
      <c r="L560" s="3" t="s">
        <v>4472</v>
      </c>
      <c r="M560" s="3" t="s">
        <v>4472</v>
      </c>
      <c r="N560" s="3" t="str">
        <f t="shared" si="35"/>
        <v/>
      </c>
    </row>
    <row r="561" spans="1:21">
      <c r="A561" s="3">
        <v>5491</v>
      </c>
      <c r="B561" s="82">
        <f t="array" ref="B561">SUM(--(FREQUENCY(IF(C$2:C$3071=C561, MATCH(D$2:D$3071, D$2:D$3071, 0)), ROW(D$2:D$3071)-ROW(D$2)+1) &gt; 0))</f>
        <v>16</v>
      </c>
      <c r="C561" s="3">
        <v>41200121</v>
      </c>
      <c r="D561" s="6" t="s">
        <v>2064</v>
      </c>
      <c r="E561" s="3" t="s">
        <v>4587</v>
      </c>
      <c r="F561" s="3" t="s">
        <v>4119</v>
      </c>
      <c r="G561" s="3" t="str">
        <f t="shared" si="33"/>
        <v>SINGLE</v>
      </c>
      <c r="H561" s="197">
        <f t="shared" si="32"/>
        <v>16</v>
      </c>
      <c r="I561" s="197">
        <v>4</v>
      </c>
      <c r="J561" s="197">
        <v>15</v>
      </c>
      <c r="K561" s="186">
        <f t="shared" si="34"/>
        <v>45762</v>
      </c>
      <c r="L561" s="3" t="s">
        <v>2381</v>
      </c>
      <c r="M561" s="3" t="s">
        <v>2367</v>
      </c>
      <c r="N561" s="3" t="str">
        <f t="shared" si="35"/>
        <v/>
      </c>
    </row>
    <row r="562" spans="1:21">
      <c r="A562" s="3">
        <v>5491</v>
      </c>
      <c r="B562" s="82">
        <f t="array" ref="B562">SUM(--(FREQUENCY(IF(C$2:C$3071=C562, MATCH(D$2:D$3071, D$2:D$3071, 0)), ROW(D$2:D$3071)-ROW(D$2)+1) &gt; 0))</f>
        <v>16</v>
      </c>
      <c r="C562" s="3">
        <v>41200121</v>
      </c>
      <c r="D562" s="6" t="s">
        <v>4689</v>
      </c>
      <c r="E562" s="3" t="s">
        <v>4587</v>
      </c>
      <c r="F562" s="3" t="s">
        <v>4119</v>
      </c>
      <c r="G562" s="3" t="str">
        <f t="shared" si="33"/>
        <v>SINGLE</v>
      </c>
      <c r="H562" s="197">
        <f t="shared" si="32"/>
        <v>16</v>
      </c>
      <c r="I562" s="197">
        <v>4</v>
      </c>
      <c r="J562" s="197">
        <v>15</v>
      </c>
      <c r="K562" s="186">
        <f t="shared" si="34"/>
        <v>45762</v>
      </c>
      <c r="L562" s="3" t="s">
        <v>2381</v>
      </c>
      <c r="M562" s="3" t="s">
        <v>2367</v>
      </c>
      <c r="N562" s="3" t="str">
        <f t="shared" si="35"/>
        <v/>
      </c>
    </row>
    <row r="563" spans="1:21">
      <c r="A563" s="3">
        <v>5576</v>
      </c>
      <c r="B563" s="82">
        <f t="array" ref="B563">SUM(--(FREQUENCY(IF(C$2:C$3071=C563, MATCH(D$2:D$3071, D$2:D$3071, 0)), ROW(D$2:D$3071)-ROW(D$2)+1) &gt; 0))</f>
        <v>43</v>
      </c>
      <c r="C563" s="3">
        <v>41200046</v>
      </c>
      <c r="D563" s="6" t="s">
        <v>2066</v>
      </c>
      <c r="E563" s="3" t="s">
        <v>4135</v>
      </c>
      <c r="F563" s="3" t="s">
        <v>4112</v>
      </c>
      <c r="G563" s="3" t="str">
        <f t="shared" si="33"/>
        <v>DUAL</v>
      </c>
      <c r="H563" s="197">
        <f t="shared" si="32"/>
        <v>16</v>
      </c>
      <c r="I563" s="197">
        <v>4</v>
      </c>
      <c r="J563" s="197">
        <v>15</v>
      </c>
      <c r="K563" s="186">
        <f t="shared" si="34"/>
        <v>45762</v>
      </c>
      <c r="L563" s="3" t="s">
        <v>2381</v>
      </c>
      <c r="M563" s="3" t="s">
        <v>2383</v>
      </c>
      <c r="N563" s="3" t="str">
        <f t="shared" si="35"/>
        <v/>
      </c>
    </row>
    <row r="564" spans="1:21">
      <c r="A564" s="3">
        <v>5576</v>
      </c>
      <c r="B564" s="82">
        <f t="array" ref="B564">SUM(--(FREQUENCY(IF(C$2:C$3071=C564, MATCH(D$2:D$3071, D$2:D$3071, 0)), ROW(D$2:D$3071)-ROW(D$2)+1) &gt; 0))</f>
        <v>43</v>
      </c>
      <c r="C564" s="3">
        <v>41200046</v>
      </c>
      <c r="D564" s="6" t="s">
        <v>4690</v>
      </c>
      <c r="E564" s="3" t="s">
        <v>4135</v>
      </c>
      <c r="F564" s="3" t="s">
        <v>4112</v>
      </c>
      <c r="G564" s="3" t="str">
        <f t="shared" si="33"/>
        <v>DUAL</v>
      </c>
      <c r="H564" s="197">
        <f t="shared" si="32"/>
        <v>16</v>
      </c>
      <c r="I564" s="197">
        <v>4</v>
      </c>
      <c r="J564" s="197">
        <v>15</v>
      </c>
      <c r="K564" s="186">
        <f t="shared" si="34"/>
        <v>45762</v>
      </c>
      <c r="L564" s="3" t="s">
        <v>2381</v>
      </c>
      <c r="M564" s="3" t="s">
        <v>2383</v>
      </c>
      <c r="N564" s="3" t="str">
        <f t="shared" si="35"/>
        <v/>
      </c>
    </row>
    <row r="565" spans="1:21">
      <c r="A565" s="3">
        <v>5546</v>
      </c>
      <c r="B565" s="82">
        <f t="array" ref="B565">SUM(--(FREQUENCY(IF(C$2:C$3071=C565, MATCH(D$2:D$3071, D$2:D$3071, 0)), ROW(D$2:D$3071)-ROW(D$2)+1) &gt; 0))</f>
        <v>1</v>
      </c>
      <c r="C565" s="3">
        <v>41200123</v>
      </c>
      <c r="D565" s="6" t="s">
        <v>4691</v>
      </c>
      <c r="E565" s="3" t="s">
        <v>4102</v>
      </c>
      <c r="F565" s="3" t="s">
        <v>4112</v>
      </c>
      <c r="G565" s="3" t="str">
        <f t="shared" si="33"/>
        <v>DUAL</v>
      </c>
      <c r="H565" s="197">
        <f t="shared" si="32"/>
        <v>16</v>
      </c>
      <c r="I565" s="197">
        <v>4</v>
      </c>
      <c r="J565" s="197">
        <v>15</v>
      </c>
      <c r="K565" s="186">
        <f t="shared" si="34"/>
        <v>45762</v>
      </c>
      <c r="L565" s="3" t="s">
        <v>4104</v>
      </c>
      <c r="M565" s="3" t="s">
        <v>2367</v>
      </c>
      <c r="N565" s="3" t="str">
        <f t="shared" si="35"/>
        <v>NG</v>
      </c>
      <c r="O565" s="6" t="s">
        <v>1568</v>
      </c>
      <c r="P565" s="6"/>
      <c r="Q565" s="6">
        <v>11003001</v>
      </c>
      <c r="R565" s="6" t="s">
        <v>4555</v>
      </c>
      <c r="S565" s="6" t="s">
        <v>4680</v>
      </c>
      <c r="T565" s="6" t="s">
        <v>4454</v>
      </c>
      <c r="U565" s="6"/>
    </row>
    <row r="566" spans="1:21">
      <c r="A566" s="3">
        <v>5491</v>
      </c>
      <c r="B566" s="82">
        <f t="array" ref="B566">SUM(--(FREQUENCY(IF(C$2:C$3071=C566, MATCH(D$2:D$3071, D$2:D$3071, 0)), ROW(D$2:D$3071)-ROW(D$2)+1) &gt; 0))</f>
        <v>16</v>
      </c>
      <c r="C566" s="3">
        <v>41200121</v>
      </c>
      <c r="D566" s="6" t="s">
        <v>4692</v>
      </c>
      <c r="E566" s="3" t="s">
        <v>4587</v>
      </c>
      <c r="F566" s="3" t="s">
        <v>4119</v>
      </c>
      <c r="G566" s="3" t="str">
        <f t="shared" si="33"/>
        <v>SINGLE</v>
      </c>
      <c r="H566" s="197">
        <f t="shared" si="32"/>
        <v>16</v>
      </c>
      <c r="I566" s="197">
        <v>4</v>
      </c>
      <c r="J566" s="197">
        <v>16</v>
      </c>
      <c r="K566" s="186">
        <f t="shared" si="34"/>
        <v>45763</v>
      </c>
      <c r="L566" s="3" t="s">
        <v>2381</v>
      </c>
      <c r="M566" s="3" t="s">
        <v>2388</v>
      </c>
      <c r="N566" s="3" t="str">
        <f t="shared" si="35"/>
        <v/>
      </c>
    </row>
    <row r="567" spans="1:21">
      <c r="A567" s="3">
        <v>5491</v>
      </c>
      <c r="B567" s="82">
        <f t="array" ref="B567">SUM(--(FREQUENCY(IF(C$2:C$3071=C567, MATCH(D$2:D$3071, D$2:D$3071, 0)), ROW(D$2:D$3071)-ROW(D$2)+1) &gt; 0))</f>
        <v>16</v>
      </c>
      <c r="C567" s="3">
        <v>41200121</v>
      </c>
      <c r="D567" s="6" t="s">
        <v>4693</v>
      </c>
      <c r="E567" s="3" t="s">
        <v>4587</v>
      </c>
      <c r="F567" s="3" t="s">
        <v>4119</v>
      </c>
      <c r="G567" s="3" t="str">
        <f t="shared" si="33"/>
        <v>SINGLE</v>
      </c>
      <c r="H567" s="197">
        <f t="shared" si="32"/>
        <v>16</v>
      </c>
      <c r="I567" s="197">
        <v>4</v>
      </c>
      <c r="J567" s="197">
        <v>16</v>
      </c>
      <c r="K567" s="186">
        <f t="shared" si="34"/>
        <v>45763</v>
      </c>
      <c r="L567" s="3" t="s">
        <v>2381</v>
      </c>
      <c r="M567" s="3" t="s">
        <v>2388</v>
      </c>
      <c r="N567" s="3" t="str">
        <f t="shared" si="35"/>
        <v>NG</v>
      </c>
      <c r="O567" s="6" t="s">
        <v>1568</v>
      </c>
      <c r="P567" s="6"/>
      <c r="Q567" s="3">
        <v>11002283</v>
      </c>
      <c r="R567" s="3" t="s">
        <v>4105</v>
      </c>
      <c r="S567" s="3" t="s">
        <v>4694</v>
      </c>
    </row>
    <row r="568" spans="1:21">
      <c r="A568" s="3">
        <v>5491</v>
      </c>
      <c r="B568" s="82">
        <f t="array" ref="B568">SUM(--(FREQUENCY(IF(C$2:C$3071=C568, MATCH(D$2:D$3071, D$2:D$3071, 0)), ROW(D$2:D$3071)-ROW(D$2)+1) &gt; 0))</f>
        <v>16</v>
      </c>
      <c r="C568" s="3">
        <v>41200121</v>
      </c>
      <c r="D568" s="6" t="s">
        <v>2069</v>
      </c>
      <c r="E568" s="3" t="s">
        <v>4587</v>
      </c>
      <c r="F568" s="3" t="s">
        <v>4119</v>
      </c>
      <c r="G568" s="3" t="str">
        <f t="shared" si="33"/>
        <v>SINGLE</v>
      </c>
      <c r="H568" s="197">
        <f t="shared" si="32"/>
        <v>16</v>
      </c>
      <c r="I568" s="197">
        <v>4</v>
      </c>
      <c r="J568" s="197">
        <v>16</v>
      </c>
      <c r="K568" s="186">
        <f t="shared" si="34"/>
        <v>45763</v>
      </c>
      <c r="L568" s="3" t="s">
        <v>4104</v>
      </c>
      <c r="M568" s="3" t="s">
        <v>2367</v>
      </c>
      <c r="N568" s="3" t="str">
        <f t="shared" si="35"/>
        <v/>
      </c>
    </row>
    <row r="569" spans="1:21">
      <c r="A569" s="3">
        <v>5491</v>
      </c>
      <c r="B569" s="82">
        <f t="array" ref="B569">SUM(--(FREQUENCY(IF(C$2:C$3071=C569, MATCH(D$2:D$3071, D$2:D$3071, 0)), ROW(D$2:D$3071)-ROW(D$2)+1) &gt; 0))</f>
        <v>16</v>
      </c>
      <c r="C569" s="3">
        <v>41200121</v>
      </c>
      <c r="D569" s="6" t="s">
        <v>4695</v>
      </c>
      <c r="E569" s="3" t="s">
        <v>4587</v>
      </c>
      <c r="F569" s="3" t="s">
        <v>4119</v>
      </c>
      <c r="G569" s="3" t="str">
        <f t="shared" si="33"/>
        <v>SINGLE</v>
      </c>
      <c r="H569" s="197">
        <f t="shared" si="32"/>
        <v>16</v>
      </c>
      <c r="I569" s="197">
        <v>4</v>
      </c>
      <c r="J569" s="197">
        <v>16</v>
      </c>
      <c r="K569" s="186">
        <f t="shared" si="34"/>
        <v>45763</v>
      </c>
      <c r="L569" s="3" t="s">
        <v>4104</v>
      </c>
      <c r="M569" s="3" t="s">
        <v>2367</v>
      </c>
      <c r="N569" s="3" t="str">
        <f t="shared" si="35"/>
        <v/>
      </c>
    </row>
    <row r="570" spans="1:21">
      <c r="A570" s="3">
        <v>5350</v>
      </c>
      <c r="B570" s="82">
        <f t="array" ref="B570">SUM(--(FREQUENCY(IF(C$2:C$3071=C570, MATCH(D$2:D$3071, D$2:D$3071, 0)), ROW(D$2:D$3071)-ROW(D$2)+1) &gt; 0))</f>
        <v>19</v>
      </c>
      <c r="C570" s="3">
        <v>41100320</v>
      </c>
      <c r="D570" s="6" t="s">
        <v>4696</v>
      </c>
      <c r="E570" s="3" t="s">
        <v>4102</v>
      </c>
      <c r="F570" s="3" t="s">
        <v>4112</v>
      </c>
      <c r="G570" s="3" t="str">
        <f t="shared" si="33"/>
        <v>DUAL</v>
      </c>
      <c r="H570" s="197">
        <f t="shared" si="32"/>
        <v>16</v>
      </c>
      <c r="I570" s="197">
        <v>4</v>
      </c>
      <c r="J570" s="197">
        <v>16</v>
      </c>
      <c r="K570" s="186">
        <f t="shared" si="34"/>
        <v>45763</v>
      </c>
      <c r="L570" s="3" t="s">
        <v>2381</v>
      </c>
      <c r="M570" s="3" t="s">
        <v>2367</v>
      </c>
      <c r="N570" s="3" t="str">
        <f t="shared" si="35"/>
        <v/>
      </c>
    </row>
    <row r="571" spans="1:21">
      <c r="A571" s="3">
        <v>5576</v>
      </c>
      <c r="B571" s="82">
        <f t="array" ref="B571">SUM(--(FREQUENCY(IF(C$2:C$3071=C571, MATCH(D$2:D$3071, D$2:D$3071, 0)), ROW(D$2:D$3071)-ROW(D$2)+1) &gt; 0))</f>
        <v>43</v>
      </c>
      <c r="C571" s="3">
        <v>41200046</v>
      </c>
      <c r="D571" s="6" t="s">
        <v>2071</v>
      </c>
      <c r="E571" s="3" t="s">
        <v>4135</v>
      </c>
      <c r="F571" s="3" t="s">
        <v>4112</v>
      </c>
      <c r="G571" s="3" t="str">
        <f t="shared" si="33"/>
        <v>DUAL</v>
      </c>
      <c r="H571" s="197">
        <f t="shared" si="32"/>
        <v>16</v>
      </c>
      <c r="I571" s="197">
        <v>4</v>
      </c>
      <c r="J571" s="197">
        <v>16</v>
      </c>
      <c r="K571" s="186">
        <f t="shared" si="34"/>
        <v>45763</v>
      </c>
      <c r="L571" s="3" t="s">
        <v>2381</v>
      </c>
      <c r="M571" s="3" t="s">
        <v>2383</v>
      </c>
      <c r="N571" s="3" t="str">
        <f t="shared" si="35"/>
        <v/>
      </c>
    </row>
    <row r="572" spans="1:21">
      <c r="A572" s="3">
        <v>5576</v>
      </c>
      <c r="B572" s="82">
        <f t="array" ref="B572">SUM(--(FREQUENCY(IF(C$2:C$3071=C572, MATCH(D$2:D$3071, D$2:D$3071, 0)), ROW(D$2:D$3071)-ROW(D$2)+1) &gt; 0))</f>
        <v>43</v>
      </c>
      <c r="C572" s="3">
        <v>41200046</v>
      </c>
      <c r="D572" s="6" t="s">
        <v>4697</v>
      </c>
      <c r="E572" s="3" t="s">
        <v>4135</v>
      </c>
      <c r="F572" s="3" t="s">
        <v>4112</v>
      </c>
      <c r="G572" s="3" t="str">
        <f t="shared" si="33"/>
        <v>DUAL</v>
      </c>
      <c r="H572" s="197">
        <f t="shared" si="32"/>
        <v>16</v>
      </c>
      <c r="I572" s="197">
        <v>4</v>
      </c>
      <c r="J572" s="197">
        <v>16</v>
      </c>
      <c r="K572" s="186">
        <f t="shared" si="34"/>
        <v>45763</v>
      </c>
      <c r="L572" s="3" t="s">
        <v>2381</v>
      </c>
      <c r="M572" s="3" t="s">
        <v>2383</v>
      </c>
      <c r="N572" s="3" t="str">
        <f t="shared" si="35"/>
        <v/>
      </c>
    </row>
    <row r="573" spans="1:21">
      <c r="A573" s="3">
        <v>5504</v>
      </c>
      <c r="B573" s="82">
        <f t="array" ref="B573">SUM(--(FREQUENCY(IF(C$2:C$3071=C573, MATCH(D$2:D$3071, D$2:D$3071, 0)), ROW(D$2:D$3071)-ROW(D$2)+1) &gt; 0))</f>
        <v>44</v>
      </c>
      <c r="C573" s="3">
        <v>41200108</v>
      </c>
      <c r="D573" s="6" t="s">
        <v>4698</v>
      </c>
      <c r="E573" s="3" t="s">
        <v>4326</v>
      </c>
      <c r="F573" s="3" t="s">
        <v>4119</v>
      </c>
      <c r="G573" s="3" t="str">
        <f t="shared" si="33"/>
        <v>SINGLE</v>
      </c>
      <c r="H573" s="197">
        <f t="shared" si="32"/>
        <v>16</v>
      </c>
      <c r="I573" s="197">
        <v>4</v>
      </c>
      <c r="J573" s="197">
        <v>17</v>
      </c>
      <c r="K573" s="186">
        <f t="shared" si="34"/>
        <v>45764</v>
      </c>
      <c r="L573" s="3" t="s">
        <v>4104</v>
      </c>
      <c r="M573" s="3" t="s">
        <v>2367</v>
      </c>
      <c r="N573" s="3" t="str">
        <f t="shared" si="35"/>
        <v/>
      </c>
    </row>
    <row r="574" spans="1:21">
      <c r="A574" s="3">
        <v>5621</v>
      </c>
      <c r="B574" s="82">
        <f t="array" ref="B574">SUM(--(FREQUENCY(IF(C$2:C$3071=C574, MATCH(D$2:D$3071, D$2:D$3071, 0)), ROW(D$2:D$3071)-ROW(D$2)+1) &gt; 0))</f>
        <v>11</v>
      </c>
      <c r="C574" s="3">
        <v>41100695</v>
      </c>
      <c r="D574" s="6" t="s">
        <v>2079</v>
      </c>
      <c r="E574" s="3" t="s">
        <v>4603</v>
      </c>
      <c r="F574" s="3" t="s">
        <v>4165</v>
      </c>
      <c r="G574" s="3" t="str">
        <f t="shared" si="33"/>
        <v>SINGLE</v>
      </c>
      <c r="H574" s="197">
        <f t="shared" si="32"/>
        <v>16</v>
      </c>
      <c r="I574" s="197">
        <v>4</v>
      </c>
      <c r="J574" s="197">
        <v>17</v>
      </c>
      <c r="K574" s="186">
        <f t="shared" si="34"/>
        <v>45764</v>
      </c>
      <c r="L574" s="3" t="s">
        <v>2367</v>
      </c>
      <c r="M574" s="3" t="s">
        <v>2383</v>
      </c>
      <c r="N574" s="3" t="str">
        <f t="shared" si="35"/>
        <v/>
      </c>
    </row>
    <row r="575" spans="1:21">
      <c r="A575" s="3">
        <v>5621</v>
      </c>
      <c r="B575" s="82">
        <f t="array" ref="B575">SUM(--(FREQUENCY(IF(C$2:C$3071=C575, MATCH(D$2:D$3071, D$2:D$3071, 0)), ROW(D$2:D$3071)-ROW(D$2)+1) &gt; 0))</f>
        <v>11</v>
      </c>
      <c r="C575" s="3">
        <v>41100695</v>
      </c>
      <c r="D575" s="6" t="s">
        <v>4699</v>
      </c>
      <c r="E575" s="3" t="s">
        <v>4603</v>
      </c>
      <c r="F575" s="3" t="s">
        <v>4165</v>
      </c>
      <c r="G575" s="3" t="str">
        <f t="shared" si="33"/>
        <v>SINGLE</v>
      </c>
      <c r="H575" s="197">
        <f t="shared" si="32"/>
        <v>16</v>
      </c>
      <c r="I575" s="197">
        <v>4</v>
      </c>
      <c r="J575" s="197">
        <v>17</v>
      </c>
      <c r="K575" s="186">
        <f t="shared" si="34"/>
        <v>45764</v>
      </c>
      <c r="L575" s="3" t="s">
        <v>2367</v>
      </c>
      <c r="M575" s="3" t="s">
        <v>2383</v>
      </c>
      <c r="N575" s="3" t="str">
        <f t="shared" si="35"/>
        <v>NG</v>
      </c>
      <c r="O575" s="6" t="s">
        <v>1568</v>
      </c>
      <c r="P575" s="6"/>
      <c r="Q575" s="3">
        <v>11000072</v>
      </c>
      <c r="R575" s="3" t="s">
        <v>4555</v>
      </c>
      <c r="S575" s="3" t="s">
        <v>4700</v>
      </c>
    </row>
    <row r="576" spans="1:21">
      <c r="A576" s="3">
        <v>5536</v>
      </c>
      <c r="B576" s="82">
        <f t="array" ref="B576">SUM(--(FREQUENCY(IF(C$2:C$3071=C576, MATCH(D$2:D$3071, D$2:D$3071, 0)), ROW(D$2:D$3071)-ROW(D$2)+1) &gt; 0))</f>
        <v>10</v>
      </c>
      <c r="C576" s="3">
        <v>41100317</v>
      </c>
      <c r="D576" s="6" t="s">
        <v>4701</v>
      </c>
      <c r="E576" s="3" t="s">
        <v>4102</v>
      </c>
      <c r="F576" s="3" t="s">
        <v>4112</v>
      </c>
      <c r="G576" s="3" t="str">
        <f t="shared" si="33"/>
        <v>DUAL</v>
      </c>
      <c r="H576" s="197">
        <f t="shared" si="32"/>
        <v>16</v>
      </c>
      <c r="I576" s="197">
        <v>4</v>
      </c>
      <c r="J576" s="197">
        <v>17</v>
      </c>
      <c r="K576" s="186">
        <f t="shared" si="34"/>
        <v>45764</v>
      </c>
      <c r="L576" s="3" t="s">
        <v>4104</v>
      </c>
      <c r="M576" s="3" t="s">
        <v>2388</v>
      </c>
      <c r="N576" s="3" t="str">
        <f t="shared" si="35"/>
        <v/>
      </c>
    </row>
    <row r="577" spans="1:21">
      <c r="A577" s="3">
        <v>5576</v>
      </c>
      <c r="B577" s="82">
        <f t="array" ref="B577">SUM(--(FREQUENCY(IF(C$2:C$3071=C577, MATCH(D$2:D$3071, D$2:D$3071, 0)), ROW(D$2:D$3071)-ROW(D$2)+1) &gt; 0))</f>
        <v>43</v>
      </c>
      <c r="C577" s="3">
        <v>41200046</v>
      </c>
      <c r="D577" s="6" t="s">
        <v>2076</v>
      </c>
      <c r="E577" s="3" t="s">
        <v>4135</v>
      </c>
      <c r="F577" s="3" t="s">
        <v>4112</v>
      </c>
      <c r="G577" s="3" t="str">
        <f t="shared" si="33"/>
        <v>DUAL</v>
      </c>
      <c r="H577" s="197">
        <f t="shared" ref="H577:H640" si="36">WEEKNUM(K577)</f>
        <v>16</v>
      </c>
      <c r="I577" s="197">
        <v>4</v>
      </c>
      <c r="J577" s="197">
        <v>17</v>
      </c>
      <c r="K577" s="186">
        <f t="shared" si="34"/>
        <v>45764</v>
      </c>
      <c r="L577" s="3" t="s">
        <v>2381</v>
      </c>
      <c r="M577" s="3" t="s">
        <v>2367</v>
      </c>
      <c r="N577" s="3" t="str">
        <f t="shared" si="35"/>
        <v/>
      </c>
    </row>
    <row r="578" spans="1:21">
      <c r="A578" s="3">
        <v>5576</v>
      </c>
      <c r="B578" s="82">
        <f t="array" ref="B578">SUM(--(FREQUENCY(IF(C$2:C$3071=C578, MATCH(D$2:D$3071, D$2:D$3071, 0)), ROW(D$2:D$3071)-ROW(D$2)+1) &gt; 0))</f>
        <v>43</v>
      </c>
      <c r="C578" s="3">
        <v>41200046</v>
      </c>
      <c r="D578" s="6" t="s">
        <v>2075</v>
      </c>
      <c r="E578" s="3" t="s">
        <v>4135</v>
      </c>
      <c r="F578" s="3" t="s">
        <v>4112</v>
      </c>
      <c r="G578" s="3" t="str">
        <f t="shared" ref="G578:G641" si="37">IF(OR(ISNUMBER(SEARCH("DUAL",F578)), ISNUMBER(SEARCH("IVAS",F578))), "DUAL", "SINGLE")</f>
        <v>DUAL</v>
      </c>
      <c r="H578" s="197">
        <f t="shared" si="36"/>
        <v>16</v>
      </c>
      <c r="I578" s="197">
        <v>4</v>
      </c>
      <c r="J578" s="197">
        <v>17</v>
      </c>
      <c r="K578" s="186">
        <f t="shared" ref="K578:K641" si="38">DATE(2025, I578, J578)</f>
        <v>45764</v>
      </c>
      <c r="L578" s="3" t="s">
        <v>2381</v>
      </c>
      <c r="M578" s="3" t="s">
        <v>2367</v>
      </c>
      <c r="N578" s="3" t="str">
        <f t="shared" ref="N578:N641" si="39">IF(O578&lt;&gt;"", "NG", "")</f>
        <v/>
      </c>
    </row>
    <row r="579" spans="1:21">
      <c r="A579" s="3">
        <v>5576</v>
      </c>
      <c r="B579" s="82">
        <f t="array" ref="B579">SUM(--(FREQUENCY(IF(C$2:C$3071=C579, MATCH(D$2:D$3071, D$2:D$3071, 0)), ROW(D$2:D$3071)-ROW(D$2)+1) &gt; 0))</f>
        <v>43</v>
      </c>
      <c r="C579" s="3">
        <v>41200046</v>
      </c>
      <c r="D579" s="6" t="s">
        <v>4702</v>
      </c>
      <c r="E579" s="3" t="s">
        <v>4135</v>
      </c>
      <c r="F579" s="3" t="s">
        <v>4112</v>
      </c>
      <c r="G579" s="3" t="str">
        <f t="shared" si="37"/>
        <v>DUAL</v>
      </c>
      <c r="H579" s="197">
        <f t="shared" si="36"/>
        <v>16</v>
      </c>
      <c r="I579" s="197">
        <v>4</v>
      </c>
      <c r="J579" s="197">
        <v>17</v>
      </c>
      <c r="K579" s="186">
        <f t="shared" si="38"/>
        <v>45764</v>
      </c>
      <c r="L579" s="3" t="s">
        <v>2381</v>
      </c>
      <c r="M579" s="3" t="s">
        <v>2367</v>
      </c>
      <c r="N579" s="3" t="str">
        <f t="shared" si="39"/>
        <v>NG</v>
      </c>
      <c r="O579" s="6" t="s">
        <v>1568</v>
      </c>
      <c r="P579" s="6"/>
      <c r="Q579" s="3">
        <v>11002615</v>
      </c>
      <c r="R579" s="3" t="s">
        <v>4611</v>
      </c>
      <c r="S579" s="3" t="s">
        <v>4703</v>
      </c>
      <c r="T579" s="3" t="s">
        <v>4455</v>
      </c>
    </row>
    <row r="580" spans="1:21" s="15" customFormat="1">
      <c r="A580" s="3">
        <v>5588</v>
      </c>
      <c r="B580" s="82">
        <f t="array" ref="B580">SUM(--(FREQUENCY(IF(C$2:C$3071=C580, MATCH(D$2:D$3071, D$2:D$3071, 0)), ROW(D$2:D$3071)-ROW(D$2)+1) &gt; 0))</f>
        <v>102</v>
      </c>
      <c r="C580" s="3">
        <v>41200006</v>
      </c>
      <c r="D580" s="417" t="s">
        <v>1623</v>
      </c>
      <c r="E580" s="3" t="s">
        <v>2365</v>
      </c>
      <c r="F580" s="3" t="s">
        <v>4223</v>
      </c>
      <c r="G580" s="3" t="str">
        <f t="shared" si="37"/>
        <v>SINGLE</v>
      </c>
      <c r="H580" s="197">
        <f t="shared" si="36"/>
        <v>16</v>
      </c>
      <c r="I580" s="197">
        <v>4</v>
      </c>
      <c r="J580" s="197">
        <v>18</v>
      </c>
      <c r="K580" s="186">
        <f t="shared" si="38"/>
        <v>45765</v>
      </c>
      <c r="L580" s="3" t="s">
        <v>2381</v>
      </c>
      <c r="M580" s="3" t="s">
        <v>2383</v>
      </c>
      <c r="N580" s="3" t="str">
        <f t="shared" si="39"/>
        <v/>
      </c>
      <c r="O580" s="3"/>
      <c r="P580" s="3"/>
      <c r="Q580" s="3"/>
      <c r="R580" s="3"/>
      <c r="S580" s="3"/>
      <c r="T580" s="3"/>
      <c r="U580" s="3"/>
    </row>
    <row r="581" spans="1:21" s="15" customFormat="1">
      <c r="A581" s="3">
        <v>5588</v>
      </c>
      <c r="B581" s="82">
        <f t="array" ref="B581">SUM(--(FREQUENCY(IF(C$2:C$3071=C581, MATCH(D$2:D$3071, D$2:D$3071, 0)), ROW(D$2:D$3071)-ROW(D$2)+1) &gt; 0))</f>
        <v>102</v>
      </c>
      <c r="C581" s="3">
        <v>41200006</v>
      </c>
      <c r="D581" s="6" t="s">
        <v>4704</v>
      </c>
      <c r="E581" s="3" t="s">
        <v>2365</v>
      </c>
      <c r="F581" s="3" t="s">
        <v>4223</v>
      </c>
      <c r="G581" s="3" t="str">
        <f t="shared" si="37"/>
        <v>SINGLE</v>
      </c>
      <c r="H581" s="197">
        <f t="shared" si="36"/>
        <v>16</v>
      </c>
      <c r="I581" s="197">
        <v>4</v>
      </c>
      <c r="J581" s="197">
        <v>18</v>
      </c>
      <c r="K581" s="186">
        <f t="shared" si="38"/>
        <v>45765</v>
      </c>
      <c r="L581" s="3" t="s">
        <v>2381</v>
      </c>
      <c r="M581" s="3" t="s">
        <v>2383</v>
      </c>
      <c r="N581" s="3" t="str">
        <f t="shared" si="39"/>
        <v/>
      </c>
      <c r="O581" s="3"/>
      <c r="P581" s="3"/>
      <c r="Q581" s="3"/>
      <c r="R581" s="3"/>
      <c r="S581" s="3"/>
      <c r="T581" s="3"/>
      <c r="U581" s="3"/>
    </row>
    <row r="582" spans="1:21">
      <c r="A582" s="3">
        <v>5604</v>
      </c>
      <c r="B582" s="82">
        <f t="array" ref="B582">SUM(--(FREQUENCY(IF(C$2:C$3071=C582, MATCH(D$2:D$3071, D$2:D$3071, 0)), ROW(D$2:D$3071)-ROW(D$2)+1) &gt; 0))</f>
        <v>44</v>
      </c>
      <c r="C582" s="3">
        <v>41200047</v>
      </c>
      <c r="D582" s="6" t="s">
        <v>2085</v>
      </c>
      <c r="E582" s="3" t="s">
        <v>4135</v>
      </c>
      <c r="F582" s="3" t="s">
        <v>4112</v>
      </c>
      <c r="G582" s="3" t="str">
        <f t="shared" si="37"/>
        <v>DUAL</v>
      </c>
      <c r="H582" s="197">
        <f t="shared" si="36"/>
        <v>16</v>
      </c>
      <c r="I582" s="197">
        <v>4</v>
      </c>
      <c r="J582" s="197">
        <v>18</v>
      </c>
      <c r="K582" s="186">
        <f t="shared" si="38"/>
        <v>45765</v>
      </c>
      <c r="L582" s="3" t="s">
        <v>4104</v>
      </c>
      <c r="M582" s="3" t="s">
        <v>2383</v>
      </c>
      <c r="N582" s="3" t="str">
        <f t="shared" si="39"/>
        <v/>
      </c>
    </row>
    <row r="583" spans="1:21">
      <c r="A583" s="3">
        <v>5604</v>
      </c>
      <c r="B583" s="82">
        <f t="array" ref="B583">SUM(--(FREQUENCY(IF(C$2:C$3071=C583, MATCH(D$2:D$3071, D$2:D$3071, 0)), ROW(D$2:D$3071)-ROW(D$2)+1) &gt; 0))</f>
        <v>44</v>
      </c>
      <c r="C583" s="3">
        <v>41200047</v>
      </c>
      <c r="D583" s="6" t="s">
        <v>2084</v>
      </c>
      <c r="E583" s="3" t="s">
        <v>4135</v>
      </c>
      <c r="F583" s="3" t="s">
        <v>4112</v>
      </c>
      <c r="G583" s="3" t="str">
        <f t="shared" si="37"/>
        <v>DUAL</v>
      </c>
      <c r="H583" s="197">
        <f t="shared" si="36"/>
        <v>16</v>
      </c>
      <c r="I583" s="197">
        <v>4</v>
      </c>
      <c r="J583" s="197">
        <v>18</v>
      </c>
      <c r="K583" s="186">
        <f t="shared" si="38"/>
        <v>45765</v>
      </c>
      <c r="L583" s="3" t="s">
        <v>4104</v>
      </c>
      <c r="M583" s="3" t="s">
        <v>2383</v>
      </c>
      <c r="N583" s="3" t="str">
        <f t="shared" si="39"/>
        <v/>
      </c>
    </row>
    <row r="584" spans="1:21">
      <c r="A584" s="3">
        <v>5604</v>
      </c>
      <c r="B584" s="82">
        <f t="array" ref="B584">SUM(--(FREQUENCY(IF(C$2:C$3071=C584, MATCH(D$2:D$3071, D$2:D$3071, 0)), ROW(D$2:D$3071)-ROW(D$2)+1) &gt; 0))</f>
        <v>44</v>
      </c>
      <c r="C584" s="3">
        <v>41200047</v>
      </c>
      <c r="D584" s="6" t="s">
        <v>4705</v>
      </c>
      <c r="E584" s="3" t="s">
        <v>4135</v>
      </c>
      <c r="F584" s="3" t="s">
        <v>4112</v>
      </c>
      <c r="G584" s="3" t="str">
        <f t="shared" si="37"/>
        <v>DUAL</v>
      </c>
      <c r="H584" s="197">
        <f t="shared" si="36"/>
        <v>16</v>
      </c>
      <c r="I584" s="197">
        <v>4</v>
      </c>
      <c r="J584" s="197">
        <v>18</v>
      </c>
      <c r="K584" s="186">
        <f t="shared" si="38"/>
        <v>45765</v>
      </c>
      <c r="L584" s="3" t="s">
        <v>4104</v>
      </c>
      <c r="M584" s="3" t="s">
        <v>2383</v>
      </c>
      <c r="N584" s="3" t="str">
        <f t="shared" si="39"/>
        <v/>
      </c>
    </row>
    <row r="585" spans="1:21">
      <c r="A585" s="14">
        <v>5549</v>
      </c>
      <c r="B585" s="82">
        <f t="array" ref="B585">SUM(--(FREQUENCY(IF(C$2:C$3071=C585, MATCH(D$2:D$3071, D$2:D$3071, 0)), ROW(D$2:D$3071)-ROW(D$2)+1) &gt; 0))</f>
        <v>41</v>
      </c>
      <c r="C585" s="14">
        <v>41200101</v>
      </c>
      <c r="D585" s="6" t="s">
        <v>4706</v>
      </c>
      <c r="E585" s="14" t="s">
        <v>4102</v>
      </c>
      <c r="F585" s="14" t="s">
        <v>4112</v>
      </c>
      <c r="G585" s="3" t="str">
        <f t="shared" si="37"/>
        <v>DUAL</v>
      </c>
      <c r="H585" s="197">
        <f t="shared" si="36"/>
        <v>16</v>
      </c>
      <c r="I585" s="201">
        <v>4</v>
      </c>
      <c r="J585" s="201">
        <v>18</v>
      </c>
      <c r="K585" s="186">
        <f t="shared" si="38"/>
        <v>45765</v>
      </c>
      <c r="L585" s="14" t="s">
        <v>4104</v>
      </c>
      <c r="M585" s="14" t="s">
        <v>2367</v>
      </c>
      <c r="N585" s="3" t="str">
        <f t="shared" si="39"/>
        <v>NG</v>
      </c>
      <c r="O585" s="14" t="s">
        <v>1568</v>
      </c>
      <c r="P585" s="14"/>
      <c r="Q585" s="14">
        <v>11002283</v>
      </c>
      <c r="R585" s="14" t="s">
        <v>4105</v>
      </c>
      <c r="S585" s="14" t="s">
        <v>4707</v>
      </c>
      <c r="T585" s="14" t="s">
        <v>4454</v>
      </c>
      <c r="U585" s="14"/>
    </row>
    <row r="586" spans="1:21">
      <c r="A586" s="14">
        <v>5549</v>
      </c>
      <c r="B586" s="82">
        <f t="array" ref="B586">SUM(--(FREQUENCY(IF(C$2:C$3071=C586, MATCH(D$2:D$3071, D$2:D$3071, 0)), ROW(D$2:D$3071)-ROW(D$2)+1) &gt; 0))</f>
        <v>41</v>
      </c>
      <c r="C586" s="14">
        <v>41200101</v>
      </c>
      <c r="D586" s="6" t="s">
        <v>4706</v>
      </c>
      <c r="E586" s="14" t="s">
        <v>4102</v>
      </c>
      <c r="F586" s="14" t="s">
        <v>4112</v>
      </c>
      <c r="G586" s="3" t="str">
        <f t="shared" si="37"/>
        <v>DUAL</v>
      </c>
      <c r="H586" s="197">
        <f t="shared" si="36"/>
        <v>16</v>
      </c>
      <c r="I586" s="201">
        <v>4</v>
      </c>
      <c r="J586" s="201">
        <v>18</v>
      </c>
      <c r="K586" s="186">
        <f t="shared" si="38"/>
        <v>45765</v>
      </c>
      <c r="L586" s="14" t="s">
        <v>4104</v>
      </c>
      <c r="M586" s="14" t="s">
        <v>2367</v>
      </c>
      <c r="N586" s="3" t="str">
        <f t="shared" si="39"/>
        <v>NG</v>
      </c>
      <c r="O586" s="14" t="s">
        <v>1568</v>
      </c>
      <c r="P586" s="14"/>
      <c r="Q586" s="14">
        <v>11002283</v>
      </c>
      <c r="R586" s="14" t="s">
        <v>4105</v>
      </c>
      <c r="S586" s="14" t="s">
        <v>4708</v>
      </c>
      <c r="T586" s="14" t="s">
        <v>4454</v>
      </c>
      <c r="U586" s="14"/>
    </row>
    <row r="587" spans="1:21">
      <c r="A587" s="3">
        <v>5576</v>
      </c>
      <c r="B587" s="82">
        <f t="array" ref="B587">SUM(--(FREQUENCY(IF(C$2:C$3071=C587, MATCH(D$2:D$3071, D$2:D$3071, 0)), ROW(D$2:D$3071)-ROW(D$2)+1) &gt; 0))</f>
        <v>43</v>
      </c>
      <c r="C587" s="3">
        <v>41200046</v>
      </c>
      <c r="D587" s="6" t="s">
        <v>4709</v>
      </c>
      <c r="E587" s="3" t="s">
        <v>4135</v>
      </c>
      <c r="F587" s="3" t="s">
        <v>4112</v>
      </c>
      <c r="G587" s="3" t="str">
        <f t="shared" si="37"/>
        <v>DUAL</v>
      </c>
      <c r="H587" s="197">
        <f t="shared" si="36"/>
        <v>16</v>
      </c>
      <c r="I587" s="197">
        <v>4</v>
      </c>
      <c r="J587" s="197">
        <v>18</v>
      </c>
      <c r="K587" s="186">
        <f t="shared" si="38"/>
        <v>45765</v>
      </c>
      <c r="L587" s="3" t="s">
        <v>2381</v>
      </c>
      <c r="M587" s="3" t="s">
        <v>2367</v>
      </c>
      <c r="N587" s="3" t="str">
        <f t="shared" si="39"/>
        <v>NG</v>
      </c>
      <c r="O587" s="6" t="s">
        <v>1568</v>
      </c>
      <c r="P587" s="6"/>
      <c r="Q587" s="3">
        <v>11000169</v>
      </c>
      <c r="R587" s="3" t="s">
        <v>4504</v>
      </c>
      <c r="S587" s="3" t="s">
        <v>4710</v>
      </c>
      <c r="T587" s="3" t="s">
        <v>4455</v>
      </c>
    </row>
    <row r="588" spans="1:21">
      <c r="A588" s="3">
        <v>5587</v>
      </c>
      <c r="B588" s="82">
        <f t="array" ref="B588">SUM(--(FREQUENCY(IF(C$2:C$3071=C588, MATCH(D$2:D$3071, D$2:D$3071, 0)), ROW(D$2:D$3071)-ROW(D$2)+1) &gt; 0))</f>
        <v>12</v>
      </c>
      <c r="C588" s="3">
        <v>41100550</v>
      </c>
      <c r="D588" s="6" t="s">
        <v>2094</v>
      </c>
      <c r="E588" s="3" t="s">
        <v>2365</v>
      </c>
      <c r="F588" s="3" t="s">
        <v>4223</v>
      </c>
      <c r="G588" s="3" t="str">
        <f t="shared" si="37"/>
        <v>SINGLE</v>
      </c>
      <c r="H588" s="197">
        <f t="shared" si="36"/>
        <v>17</v>
      </c>
      <c r="I588" s="197">
        <v>4</v>
      </c>
      <c r="J588" s="197">
        <v>21</v>
      </c>
      <c r="K588" s="186">
        <f t="shared" si="38"/>
        <v>45768</v>
      </c>
      <c r="L588" s="3" t="s">
        <v>4104</v>
      </c>
      <c r="M588" s="3" t="s">
        <v>2388</v>
      </c>
      <c r="N588" s="3" t="str">
        <f t="shared" si="39"/>
        <v/>
      </c>
    </row>
    <row r="589" spans="1:21">
      <c r="A589" s="3">
        <v>5587</v>
      </c>
      <c r="B589" s="82">
        <f t="array" ref="B589">SUM(--(FREQUENCY(IF(C$2:C$3071=C589, MATCH(D$2:D$3071, D$2:D$3071, 0)), ROW(D$2:D$3071)-ROW(D$2)+1) &gt; 0))</f>
        <v>12</v>
      </c>
      <c r="C589" s="3">
        <v>41100550</v>
      </c>
      <c r="D589" s="6" t="s">
        <v>4711</v>
      </c>
      <c r="E589" s="3" t="s">
        <v>2365</v>
      </c>
      <c r="F589" s="3" t="s">
        <v>4223</v>
      </c>
      <c r="G589" s="3" t="str">
        <f t="shared" si="37"/>
        <v>SINGLE</v>
      </c>
      <c r="H589" s="197">
        <f t="shared" si="36"/>
        <v>17</v>
      </c>
      <c r="I589" s="197">
        <v>4</v>
      </c>
      <c r="J589" s="197">
        <v>21</v>
      </c>
      <c r="K589" s="186">
        <f t="shared" si="38"/>
        <v>45768</v>
      </c>
      <c r="L589" s="3" t="s">
        <v>4104</v>
      </c>
      <c r="M589" s="3" t="s">
        <v>2388</v>
      </c>
      <c r="N589" s="3" t="str">
        <f t="shared" si="39"/>
        <v/>
      </c>
    </row>
    <row r="590" spans="1:21">
      <c r="A590" s="3">
        <v>5621</v>
      </c>
      <c r="B590" s="82">
        <f t="array" ref="B590">SUM(--(FREQUENCY(IF(C$2:C$3071=C590, MATCH(D$2:D$3071, D$2:D$3071, 0)), ROW(D$2:D$3071)-ROW(D$2)+1) &gt; 0))</f>
        <v>11</v>
      </c>
      <c r="C590" s="3">
        <v>41100695</v>
      </c>
      <c r="D590" s="6" t="s">
        <v>2092</v>
      </c>
      <c r="E590" s="3" t="s">
        <v>4603</v>
      </c>
      <c r="F590" s="3" t="s">
        <v>4165</v>
      </c>
      <c r="G590" s="3" t="str">
        <f t="shared" si="37"/>
        <v>SINGLE</v>
      </c>
      <c r="H590" s="197">
        <f t="shared" si="36"/>
        <v>17</v>
      </c>
      <c r="I590" s="197">
        <v>4</v>
      </c>
      <c r="J590" s="197">
        <v>21</v>
      </c>
      <c r="K590" s="186">
        <f t="shared" si="38"/>
        <v>45768</v>
      </c>
      <c r="L590" s="3" t="s">
        <v>2367</v>
      </c>
      <c r="M590" s="3" t="s">
        <v>2383</v>
      </c>
      <c r="N590" s="3" t="str">
        <f t="shared" si="39"/>
        <v/>
      </c>
    </row>
    <row r="591" spans="1:21">
      <c r="A591" s="3">
        <v>5621</v>
      </c>
      <c r="B591" s="82">
        <f t="array" ref="B591">SUM(--(FREQUENCY(IF(C$2:C$3071=C591, MATCH(D$2:D$3071, D$2:D$3071, 0)), ROW(D$2:D$3071)-ROW(D$2)+1) &gt; 0))</f>
        <v>11</v>
      </c>
      <c r="C591" s="3">
        <v>41100695</v>
      </c>
      <c r="D591" s="6" t="s">
        <v>4712</v>
      </c>
      <c r="E591" s="3" t="s">
        <v>4603</v>
      </c>
      <c r="F591" s="3" t="s">
        <v>4165</v>
      </c>
      <c r="G591" s="3" t="str">
        <f t="shared" si="37"/>
        <v>SINGLE</v>
      </c>
      <c r="H591" s="197">
        <f t="shared" si="36"/>
        <v>17</v>
      </c>
      <c r="I591" s="197">
        <v>4</v>
      </c>
      <c r="J591" s="197">
        <v>21</v>
      </c>
      <c r="K591" s="186">
        <f t="shared" si="38"/>
        <v>45768</v>
      </c>
      <c r="L591" s="3" t="s">
        <v>2367</v>
      </c>
      <c r="M591" s="3" t="s">
        <v>2383</v>
      </c>
      <c r="N591" s="3" t="str">
        <f t="shared" si="39"/>
        <v>NG</v>
      </c>
      <c r="O591" s="6" t="s">
        <v>1568</v>
      </c>
      <c r="P591" s="6"/>
      <c r="Q591" s="3">
        <v>11001964</v>
      </c>
      <c r="R591" s="3" t="s">
        <v>4713</v>
      </c>
      <c r="S591" s="3" t="s">
        <v>4714</v>
      </c>
    </row>
    <row r="592" spans="1:21">
      <c r="A592" s="3">
        <v>5620</v>
      </c>
      <c r="B592" s="82">
        <f t="array" ref="B592">SUM(--(FREQUENCY(IF(C$2:C$3071=C592, MATCH(D$2:D$3071, D$2:D$3071, 0)), ROW(D$2:D$3071)-ROW(D$2)+1) &gt; 0))</f>
        <v>11</v>
      </c>
      <c r="C592" s="3">
        <v>41100697</v>
      </c>
      <c r="D592" s="6" t="s">
        <v>4715</v>
      </c>
      <c r="E592" s="3" t="s">
        <v>4603</v>
      </c>
      <c r="F592" s="3" t="s">
        <v>4112</v>
      </c>
      <c r="G592" s="3" t="str">
        <f t="shared" si="37"/>
        <v>DUAL</v>
      </c>
      <c r="H592" s="197">
        <f t="shared" si="36"/>
        <v>17</v>
      </c>
      <c r="I592" s="197">
        <v>4</v>
      </c>
      <c r="J592" s="197">
        <v>21</v>
      </c>
      <c r="K592" s="186">
        <f t="shared" si="38"/>
        <v>45768</v>
      </c>
      <c r="L592" s="3" t="s">
        <v>2381</v>
      </c>
      <c r="M592" s="3" t="s">
        <v>2383</v>
      </c>
      <c r="N592" s="3" t="str">
        <f t="shared" si="39"/>
        <v>NG</v>
      </c>
      <c r="O592" s="6" t="s">
        <v>1568</v>
      </c>
      <c r="P592" s="6"/>
      <c r="Q592" s="3">
        <v>11002283</v>
      </c>
      <c r="R592" s="3" t="s">
        <v>4105</v>
      </c>
      <c r="S592" s="3" t="s">
        <v>4716</v>
      </c>
      <c r="T592" s="3" t="s">
        <v>4455</v>
      </c>
    </row>
    <row r="593" spans="1:21">
      <c r="A593" s="3">
        <v>5622</v>
      </c>
      <c r="B593" s="82">
        <f t="array" ref="B593">SUM(--(FREQUENCY(IF(C$2:C$3071=C593, MATCH(D$2:D$3071, D$2:D$3071, 0)), ROW(D$2:D$3071)-ROW(D$2)+1) &gt; 0))</f>
        <v>13</v>
      </c>
      <c r="C593" s="3">
        <v>41100696</v>
      </c>
      <c r="D593" s="6" t="s">
        <v>2089</v>
      </c>
      <c r="E593" s="3" t="s">
        <v>4603</v>
      </c>
      <c r="F593" s="3" t="s">
        <v>4130</v>
      </c>
      <c r="G593" s="3" t="str">
        <f t="shared" si="37"/>
        <v>DUAL</v>
      </c>
      <c r="H593" s="197">
        <f t="shared" si="36"/>
        <v>17</v>
      </c>
      <c r="I593" s="197">
        <v>4</v>
      </c>
      <c r="J593" s="197">
        <v>21</v>
      </c>
      <c r="K593" s="186">
        <f t="shared" si="38"/>
        <v>45768</v>
      </c>
      <c r="L593" s="3" t="s">
        <v>2367</v>
      </c>
      <c r="M593" s="3" t="s">
        <v>2367</v>
      </c>
      <c r="N593" s="3" t="str">
        <f t="shared" si="39"/>
        <v>NG</v>
      </c>
      <c r="O593" s="6" t="s">
        <v>1568</v>
      </c>
      <c r="P593" s="6"/>
      <c r="Q593" s="3">
        <v>11002330</v>
      </c>
      <c r="R593" s="3" t="s">
        <v>4713</v>
      </c>
      <c r="S593" s="3" t="s">
        <v>4714</v>
      </c>
      <c r="T593" s="3" t="s">
        <v>4454</v>
      </c>
    </row>
    <row r="594" spans="1:21">
      <c r="A594" s="3">
        <v>5622</v>
      </c>
      <c r="B594" s="82">
        <f t="array" ref="B594">SUM(--(FREQUENCY(IF(C$2:C$3071=C594, MATCH(D$2:D$3071, D$2:D$3071, 0)), ROW(D$2:D$3071)-ROW(D$2)+1) &gt; 0))</f>
        <v>13</v>
      </c>
      <c r="C594" s="3">
        <v>41100696</v>
      </c>
      <c r="D594" s="6" t="s">
        <v>4717</v>
      </c>
      <c r="E594" s="3" t="s">
        <v>4603</v>
      </c>
      <c r="F594" s="3" t="s">
        <v>4130</v>
      </c>
      <c r="G594" s="3" t="str">
        <f t="shared" si="37"/>
        <v>DUAL</v>
      </c>
      <c r="H594" s="197">
        <f t="shared" si="36"/>
        <v>17</v>
      </c>
      <c r="I594" s="197">
        <v>4</v>
      </c>
      <c r="J594" s="197">
        <v>21</v>
      </c>
      <c r="K594" s="186">
        <f t="shared" si="38"/>
        <v>45768</v>
      </c>
      <c r="L594" s="3" t="s">
        <v>2367</v>
      </c>
      <c r="M594" s="3" t="s">
        <v>2367</v>
      </c>
      <c r="N594" s="3" t="str">
        <f t="shared" si="39"/>
        <v/>
      </c>
    </row>
    <row r="595" spans="1:21">
      <c r="A595" s="3">
        <v>5594</v>
      </c>
      <c r="B595" s="82">
        <f t="array" ref="B595">SUM(--(FREQUENCY(IF(C$2:C$3071=C595, MATCH(D$2:D$3071, D$2:D$3071, 0)), ROW(D$2:D$3071)-ROW(D$2)+1) &gt; 0))</f>
        <v>2</v>
      </c>
      <c r="C595" s="3">
        <v>41200138</v>
      </c>
      <c r="D595" s="6" t="s">
        <v>2101</v>
      </c>
      <c r="E595" s="3" t="s">
        <v>4360</v>
      </c>
      <c r="F595" s="3" t="s">
        <v>2380</v>
      </c>
      <c r="G595" s="3" t="str">
        <f t="shared" si="37"/>
        <v>SINGLE</v>
      </c>
      <c r="H595" s="197">
        <f t="shared" si="36"/>
        <v>17</v>
      </c>
      <c r="I595" s="197">
        <v>4</v>
      </c>
      <c r="J595" s="197">
        <v>22</v>
      </c>
      <c r="K595" s="186">
        <f t="shared" si="38"/>
        <v>45769</v>
      </c>
      <c r="L595" s="3" t="s">
        <v>4104</v>
      </c>
      <c r="M595" s="3" t="s">
        <v>2388</v>
      </c>
      <c r="N595" s="3" t="str">
        <f t="shared" si="39"/>
        <v/>
      </c>
    </row>
    <row r="596" spans="1:21">
      <c r="A596" s="3">
        <v>5594</v>
      </c>
      <c r="B596" s="82">
        <f t="array" ref="B596">SUM(--(FREQUENCY(IF(C$2:C$3071=C596, MATCH(D$2:D$3071, D$2:D$3071, 0)), ROW(D$2:D$3071)-ROW(D$2)+1) &gt; 0))</f>
        <v>2</v>
      </c>
      <c r="C596" s="3">
        <v>41200138</v>
      </c>
      <c r="D596" s="6" t="s">
        <v>4718</v>
      </c>
      <c r="E596" s="3" t="s">
        <v>4360</v>
      </c>
      <c r="F596" s="3" t="s">
        <v>2380</v>
      </c>
      <c r="G596" s="3" t="str">
        <f t="shared" si="37"/>
        <v>SINGLE</v>
      </c>
      <c r="H596" s="197">
        <f t="shared" si="36"/>
        <v>17</v>
      </c>
      <c r="I596" s="197">
        <v>4</v>
      </c>
      <c r="J596" s="197">
        <v>22</v>
      </c>
      <c r="K596" s="186">
        <f t="shared" si="38"/>
        <v>45769</v>
      </c>
      <c r="L596" s="3" t="s">
        <v>4104</v>
      </c>
      <c r="M596" s="3" t="s">
        <v>2388</v>
      </c>
      <c r="N596" s="3" t="str">
        <f t="shared" si="39"/>
        <v/>
      </c>
    </row>
    <row r="597" spans="1:21">
      <c r="A597" s="3">
        <v>5588</v>
      </c>
      <c r="B597" s="82">
        <f t="array" ref="B597">SUM(--(FREQUENCY(IF(C$2:C$3071=C597, MATCH(D$2:D$3071, D$2:D$3071, 0)), ROW(D$2:D$3071)-ROW(D$2)+1) &gt; 0))</f>
        <v>102</v>
      </c>
      <c r="C597" s="3">
        <v>41200006</v>
      </c>
      <c r="D597" s="6" t="s">
        <v>2097</v>
      </c>
      <c r="E597" s="3" t="s">
        <v>2365</v>
      </c>
      <c r="F597" s="3" t="s">
        <v>4223</v>
      </c>
      <c r="G597" s="3" t="str">
        <f t="shared" si="37"/>
        <v>SINGLE</v>
      </c>
      <c r="H597" s="197">
        <f t="shared" si="36"/>
        <v>17</v>
      </c>
      <c r="I597" s="197">
        <v>4</v>
      </c>
      <c r="J597" s="197">
        <v>22</v>
      </c>
      <c r="K597" s="186">
        <f t="shared" si="38"/>
        <v>45769</v>
      </c>
      <c r="L597" s="3" t="s">
        <v>2381</v>
      </c>
      <c r="M597" s="3" t="s">
        <v>2367</v>
      </c>
      <c r="N597" s="3" t="str">
        <f t="shared" si="39"/>
        <v/>
      </c>
    </row>
    <row r="598" spans="1:21">
      <c r="A598" s="3">
        <v>5588</v>
      </c>
      <c r="B598" s="82">
        <f t="array" ref="B598">SUM(--(FREQUENCY(IF(C$2:C$3071=C598, MATCH(D$2:D$3071, D$2:D$3071, 0)), ROW(D$2:D$3071)-ROW(D$2)+1) &gt; 0))</f>
        <v>102</v>
      </c>
      <c r="C598" s="3">
        <v>41200006</v>
      </c>
      <c r="D598" s="6" t="s">
        <v>4719</v>
      </c>
      <c r="E598" s="3" t="s">
        <v>2365</v>
      </c>
      <c r="F598" s="3" t="s">
        <v>4223</v>
      </c>
      <c r="G598" s="3" t="str">
        <f t="shared" si="37"/>
        <v>SINGLE</v>
      </c>
      <c r="H598" s="197">
        <f t="shared" si="36"/>
        <v>17</v>
      </c>
      <c r="I598" s="197">
        <v>4</v>
      </c>
      <c r="J598" s="197">
        <v>22</v>
      </c>
      <c r="K598" s="186">
        <f t="shared" si="38"/>
        <v>45769</v>
      </c>
      <c r="L598" s="3" t="s">
        <v>2381</v>
      </c>
      <c r="M598" s="3" t="s">
        <v>2367</v>
      </c>
      <c r="N598" s="3" t="str">
        <f t="shared" si="39"/>
        <v/>
      </c>
    </row>
    <row r="599" spans="1:21">
      <c r="A599" s="3">
        <v>5602</v>
      </c>
      <c r="B599" s="82">
        <f t="array" ref="B599">SUM(--(FREQUENCY(IF(C$2:C$3071=C599, MATCH(D$2:D$3071, D$2:D$3071, 0)), ROW(D$2:D$3071)-ROW(D$2)+1) &gt; 0))</f>
        <v>3</v>
      </c>
      <c r="C599" s="3">
        <v>41200117</v>
      </c>
      <c r="D599" s="6" t="s">
        <v>4720</v>
      </c>
      <c r="E599" s="3" t="s">
        <v>4360</v>
      </c>
      <c r="F599" s="3" t="s">
        <v>4181</v>
      </c>
      <c r="G599" s="3" t="str">
        <f t="shared" si="37"/>
        <v>DUAL</v>
      </c>
      <c r="H599" s="197">
        <f t="shared" si="36"/>
        <v>17</v>
      </c>
      <c r="I599" s="197">
        <v>4</v>
      </c>
      <c r="J599" s="197">
        <v>22</v>
      </c>
      <c r="K599" s="186">
        <f t="shared" si="38"/>
        <v>45769</v>
      </c>
      <c r="L599" s="3" t="s">
        <v>4104</v>
      </c>
      <c r="M599" s="3" t="s">
        <v>2367</v>
      </c>
      <c r="N599" s="3" t="str">
        <f t="shared" si="39"/>
        <v/>
      </c>
    </row>
    <row r="600" spans="1:21">
      <c r="A600" s="3">
        <v>5575</v>
      </c>
      <c r="B600" s="82">
        <f t="array" ref="B600">SUM(--(FREQUENCY(IF(C$2:C$3071=C600, MATCH(D$2:D$3071, D$2:D$3071, 0)), ROW(D$2:D$3071)-ROW(D$2)+1) &gt; 0))</f>
        <v>14</v>
      </c>
      <c r="C600" s="3">
        <v>41200038</v>
      </c>
      <c r="D600" s="6" t="s">
        <v>2099</v>
      </c>
      <c r="E600" s="3" t="s">
        <v>4135</v>
      </c>
      <c r="F600" s="3" t="s">
        <v>4527</v>
      </c>
      <c r="G600" s="3" t="str">
        <f t="shared" si="37"/>
        <v>DUAL</v>
      </c>
      <c r="H600" s="197">
        <f t="shared" si="36"/>
        <v>17</v>
      </c>
      <c r="I600" s="197">
        <v>4</v>
      </c>
      <c r="J600" s="197">
        <v>22</v>
      </c>
      <c r="K600" s="186">
        <f t="shared" si="38"/>
        <v>45769</v>
      </c>
      <c r="L600" s="3" t="s">
        <v>2381</v>
      </c>
      <c r="M600" s="3" t="s">
        <v>2383</v>
      </c>
      <c r="N600" s="3" t="str">
        <f t="shared" si="39"/>
        <v/>
      </c>
    </row>
    <row r="601" spans="1:21">
      <c r="A601" s="3">
        <v>5575</v>
      </c>
      <c r="B601" s="82">
        <f t="array" ref="B601">SUM(--(FREQUENCY(IF(C$2:C$3071=C601, MATCH(D$2:D$3071, D$2:D$3071, 0)), ROW(D$2:D$3071)-ROW(D$2)+1) &gt; 0))</f>
        <v>14</v>
      </c>
      <c r="C601" s="3">
        <v>41200038</v>
      </c>
      <c r="D601" s="6" t="s">
        <v>4721</v>
      </c>
      <c r="E601" s="3" t="s">
        <v>4135</v>
      </c>
      <c r="F601" s="3" t="s">
        <v>4527</v>
      </c>
      <c r="G601" s="3" t="str">
        <f t="shared" si="37"/>
        <v>DUAL</v>
      </c>
      <c r="H601" s="197">
        <f t="shared" si="36"/>
        <v>17</v>
      </c>
      <c r="I601" s="197">
        <v>4</v>
      </c>
      <c r="J601" s="197">
        <v>22</v>
      </c>
      <c r="K601" s="186">
        <f t="shared" si="38"/>
        <v>45769</v>
      </c>
      <c r="L601" s="3" t="s">
        <v>2381</v>
      </c>
      <c r="M601" s="3" t="s">
        <v>2383</v>
      </c>
      <c r="N601" s="3" t="str">
        <f t="shared" si="39"/>
        <v/>
      </c>
    </row>
    <row r="602" spans="1:21">
      <c r="A602" s="3">
        <v>5574</v>
      </c>
      <c r="B602" s="82">
        <f t="array" ref="B602">SUM(--(FREQUENCY(IF(C$2:C$3071=C602, MATCH(D$2:D$3071, D$2:D$3071, 0)), ROW(D$2:D$3071)-ROW(D$2)+1) &gt; 0))</f>
        <v>51</v>
      </c>
      <c r="C602" s="3">
        <v>41200034</v>
      </c>
      <c r="D602" s="6" t="s">
        <v>4722</v>
      </c>
      <c r="E602" s="3" t="s">
        <v>4135</v>
      </c>
      <c r="F602" s="3" t="s">
        <v>4527</v>
      </c>
      <c r="G602" s="3" t="str">
        <f t="shared" si="37"/>
        <v>DUAL</v>
      </c>
      <c r="H602" s="197">
        <f t="shared" si="36"/>
        <v>17</v>
      </c>
      <c r="I602" s="197">
        <v>4</v>
      </c>
      <c r="J602" s="197">
        <v>22</v>
      </c>
      <c r="K602" s="186">
        <f t="shared" si="38"/>
        <v>45769</v>
      </c>
      <c r="L602" s="3" t="s">
        <v>2381</v>
      </c>
      <c r="M602" s="3" t="s">
        <v>2367</v>
      </c>
      <c r="N602" s="3" t="str">
        <f t="shared" si="39"/>
        <v/>
      </c>
    </row>
    <row r="603" spans="1:21" s="26" customFormat="1">
      <c r="A603" s="3">
        <v>5575</v>
      </c>
      <c r="B603" s="82">
        <f t="array" ref="B603">SUM(--(FREQUENCY(IF(C$2:C$3071=C603, MATCH(D$2:D$3071, D$2:D$3071, 0)), ROW(D$2:D$3071)-ROW(D$2)+1) &gt; 0))</f>
        <v>14</v>
      </c>
      <c r="C603" s="3">
        <v>41200038</v>
      </c>
      <c r="D603" s="6" t="s">
        <v>2109</v>
      </c>
      <c r="E603" s="3" t="s">
        <v>4135</v>
      </c>
      <c r="F603" s="3" t="s">
        <v>4112</v>
      </c>
      <c r="G603" s="3" t="str">
        <f t="shared" si="37"/>
        <v>DUAL</v>
      </c>
      <c r="H603" s="197">
        <f t="shared" si="36"/>
        <v>17</v>
      </c>
      <c r="I603" s="197">
        <v>4</v>
      </c>
      <c r="J603" s="197">
        <v>23</v>
      </c>
      <c r="K603" s="186">
        <f t="shared" si="38"/>
        <v>45770</v>
      </c>
      <c r="L603" s="3" t="s">
        <v>4104</v>
      </c>
      <c r="M603" s="3" t="s">
        <v>2388</v>
      </c>
      <c r="N603" s="3" t="str">
        <f t="shared" si="39"/>
        <v/>
      </c>
      <c r="O603" s="3"/>
      <c r="P603" s="3"/>
      <c r="Q603" s="3"/>
      <c r="R603" s="3"/>
      <c r="S603" s="3"/>
      <c r="T603" s="3"/>
      <c r="U603" s="3"/>
    </row>
    <row r="604" spans="1:21">
      <c r="A604" s="3">
        <v>5575</v>
      </c>
      <c r="B604" s="82">
        <f t="array" ref="B604">SUM(--(FREQUENCY(IF(C$2:C$3071=C604, MATCH(D$2:D$3071, D$2:D$3071, 0)), ROW(D$2:D$3071)-ROW(D$2)+1) &gt; 0))</f>
        <v>14</v>
      </c>
      <c r="C604" s="3">
        <v>41200038</v>
      </c>
      <c r="D604" s="6" t="s">
        <v>4723</v>
      </c>
      <c r="E604" s="3" t="s">
        <v>4135</v>
      </c>
      <c r="F604" s="3" t="s">
        <v>4112</v>
      </c>
      <c r="G604" s="3" t="str">
        <f t="shared" si="37"/>
        <v>DUAL</v>
      </c>
      <c r="H604" s="197">
        <f t="shared" si="36"/>
        <v>17</v>
      </c>
      <c r="I604" s="197">
        <v>4</v>
      </c>
      <c r="J604" s="197">
        <v>23</v>
      </c>
      <c r="K604" s="186">
        <f t="shared" si="38"/>
        <v>45770</v>
      </c>
      <c r="L604" s="3" t="s">
        <v>4104</v>
      </c>
      <c r="M604" s="3" t="s">
        <v>2388</v>
      </c>
      <c r="N604" s="3" t="str">
        <f t="shared" si="39"/>
        <v/>
      </c>
    </row>
    <row r="605" spans="1:21">
      <c r="A605" s="6">
        <v>5573</v>
      </c>
      <c r="B605" s="82">
        <f t="array" ref="B605">SUM(--(FREQUENCY(IF(C$2:C$3071=C605, MATCH(D$2:D$3071, D$2:D$3071, 0)), ROW(D$2:D$3071)-ROW(D$2)+1) &gt; 0))</f>
        <v>18</v>
      </c>
      <c r="C605" s="6">
        <v>41200039</v>
      </c>
      <c r="D605" s="6" t="s">
        <v>4724</v>
      </c>
      <c r="E605" s="6" t="s">
        <v>4135</v>
      </c>
      <c r="F605" s="6" t="s">
        <v>4112</v>
      </c>
      <c r="G605" s="6" t="str">
        <f t="shared" si="37"/>
        <v>DUAL</v>
      </c>
      <c r="H605" s="197">
        <f t="shared" si="36"/>
        <v>17</v>
      </c>
      <c r="I605" s="199">
        <v>4</v>
      </c>
      <c r="J605" s="199">
        <v>23</v>
      </c>
      <c r="K605" s="186">
        <f t="shared" si="38"/>
        <v>45770</v>
      </c>
      <c r="L605" s="6" t="s">
        <v>2381</v>
      </c>
      <c r="M605" s="6" t="s">
        <v>2383</v>
      </c>
      <c r="N605" s="3" t="str">
        <f t="shared" si="39"/>
        <v>NG</v>
      </c>
      <c r="O605" s="6" t="s">
        <v>1568</v>
      </c>
      <c r="P605" s="6"/>
      <c r="Q605" s="6">
        <v>13006772</v>
      </c>
      <c r="R605" s="6" t="s">
        <v>4725</v>
      </c>
      <c r="S605" s="6" t="s">
        <v>4726</v>
      </c>
      <c r="T605" s="6" t="s">
        <v>4454</v>
      </c>
      <c r="U605" s="6"/>
    </row>
    <row r="606" spans="1:21" s="15" customFormat="1">
      <c r="A606" s="14">
        <v>5570</v>
      </c>
      <c r="B606" s="82">
        <f t="array" ref="B606">SUM(--(FREQUENCY(IF(C$2:C$3071=C606, MATCH(D$2:D$3071, D$2:D$3071, 0)), ROW(D$2:D$3071)-ROW(D$2)+1) &gt; 0))</f>
        <v>9</v>
      </c>
      <c r="C606" s="14">
        <v>41100564</v>
      </c>
      <c r="D606" s="6" t="s">
        <v>2107</v>
      </c>
      <c r="E606" s="14" t="s">
        <v>4633</v>
      </c>
      <c r="F606" s="14" t="s">
        <v>4112</v>
      </c>
      <c r="G606" s="3" t="str">
        <f t="shared" si="37"/>
        <v>DUAL</v>
      </c>
      <c r="H606" s="197">
        <f t="shared" si="36"/>
        <v>17</v>
      </c>
      <c r="I606" s="201">
        <v>4</v>
      </c>
      <c r="J606" s="201">
        <v>23</v>
      </c>
      <c r="K606" s="186">
        <f t="shared" si="38"/>
        <v>45770</v>
      </c>
      <c r="L606" s="14" t="s">
        <v>4104</v>
      </c>
      <c r="M606" s="14" t="s">
        <v>2388</v>
      </c>
      <c r="N606" s="3" t="str">
        <f t="shared" si="39"/>
        <v>NG</v>
      </c>
      <c r="O606" s="14" t="s">
        <v>1568</v>
      </c>
      <c r="P606" s="14"/>
      <c r="Q606" s="14">
        <v>11002737</v>
      </c>
      <c r="R606" s="14" t="s">
        <v>4131</v>
      </c>
      <c r="S606" s="14" t="s">
        <v>4625</v>
      </c>
      <c r="T606" s="14" t="s">
        <v>4455</v>
      </c>
      <c r="U606" s="14"/>
    </row>
    <row r="607" spans="1:21" s="15" customFormat="1">
      <c r="A607" s="14">
        <v>5570</v>
      </c>
      <c r="B607" s="82">
        <f t="array" ref="B607">SUM(--(FREQUENCY(IF(C$2:C$3071=C607, MATCH(D$2:D$3071, D$2:D$3071, 0)), ROW(D$2:D$3071)-ROW(D$2)+1) &gt; 0))</f>
        <v>9</v>
      </c>
      <c r="C607" s="14">
        <v>41100564</v>
      </c>
      <c r="D607" s="6" t="s">
        <v>2107</v>
      </c>
      <c r="E607" s="14" t="s">
        <v>4633</v>
      </c>
      <c r="F607" s="14" t="s">
        <v>4112</v>
      </c>
      <c r="G607" s="3" t="str">
        <f t="shared" si="37"/>
        <v>DUAL</v>
      </c>
      <c r="H607" s="197">
        <f t="shared" si="36"/>
        <v>17</v>
      </c>
      <c r="I607" s="201">
        <v>4</v>
      </c>
      <c r="J607" s="201">
        <v>23</v>
      </c>
      <c r="K607" s="186">
        <f t="shared" si="38"/>
        <v>45770</v>
      </c>
      <c r="L607" s="14" t="s">
        <v>4104</v>
      </c>
      <c r="M607" s="14" t="s">
        <v>2388</v>
      </c>
      <c r="N607" s="3" t="str">
        <f t="shared" si="39"/>
        <v>NG</v>
      </c>
      <c r="O607" s="14" t="s">
        <v>1568</v>
      </c>
      <c r="P607" s="14"/>
      <c r="Q607" s="14">
        <v>11002198</v>
      </c>
      <c r="R607" s="14" t="s">
        <v>4377</v>
      </c>
      <c r="S607" s="14" t="s">
        <v>4727</v>
      </c>
      <c r="T607" s="14" t="s">
        <v>4454</v>
      </c>
      <c r="U607" s="14"/>
    </row>
    <row r="608" spans="1:21" s="15" customFormat="1">
      <c r="A608" s="14">
        <v>5570</v>
      </c>
      <c r="B608" s="82">
        <f t="array" ref="B608">SUM(--(FREQUENCY(IF(C$2:C$3071=C608, MATCH(D$2:D$3071, D$2:D$3071, 0)), ROW(D$2:D$3071)-ROW(D$2)+1) &gt; 0))</f>
        <v>9</v>
      </c>
      <c r="C608" s="14">
        <v>41100564</v>
      </c>
      <c r="D608" s="6" t="s">
        <v>4728</v>
      </c>
      <c r="E608" s="14" t="s">
        <v>4633</v>
      </c>
      <c r="F608" s="14" t="s">
        <v>4112</v>
      </c>
      <c r="G608" s="3" t="str">
        <f t="shared" si="37"/>
        <v>DUAL</v>
      </c>
      <c r="H608" s="197">
        <f t="shared" si="36"/>
        <v>17</v>
      </c>
      <c r="I608" s="201">
        <v>4</v>
      </c>
      <c r="J608" s="201">
        <v>23</v>
      </c>
      <c r="K608" s="186">
        <f t="shared" si="38"/>
        <v>45770</v>
      </c>
      <c r="L608" s="14" t="s">
        <v>4104</v>
      </c>
      <c r="M608" s="14" t="s">
        <v>2388</v>
      </c>
      <c r="N608" s="3" t="str">
        <f t="shared" si="39"/>
        <v>NG</v>
      </c>
      <c r="O608" s="14" t="s">
        <v>1568</v>
      </c>
      <c r="P608" s="14"/>
      <c r="Q608" s="14">
        <v>11002283</v>
      </c>
      <c r="R608" s="14" t="s">
        <v>4105</v>
      </c>
      <c r="S608" s="14" t="s">
        <v>4729</v>
      </c>
      <c r="T608" s="14" t="s">
        <v>4454</v>
      </c>
      <c r="U608" s="14"/>
    </row>
    <row r="609" spans="1:21" s="15" customFormat="1">
      <c r="A609" s="14">
        <v>5570</v>
      </c>
      <c r="B609" s="82">
        <f t="array" ref="B609">SUM(--(FREQUENCY(IF(C$2:C$3071=C609, MATCH(D$2:D$3071, D$2:D$3071, 0)), ROW(D$2:D$3071)-ROW(D$2)+1) &gt; 0))</f>
        <v>9</v>
      </c>
      <c r="C609" s="14">
        <v>41100564</v>
      </c>
      <c r="D609" s="6" t="s">
        <v>4728</v>
      </c>
      <c r="E609" s="14" t="s">
        <v>4633</v>
      </c>
      <c r="F609" s="14" t="s">
        <v>4112</v>
      </c>
      <c r="G609" s="3" t="str">
        <f t="shared" si="37"/>
        <v>DUAL</v>
      </c>
      <c r="H609" s="197">
        <f t="shared" si="36"/>
        <v>17</v>
      </c>
      <c r="I609" s="201">
        <v>4</v>
      </c>
      <c r="J609" s="201">
        <v>23</v>
      </c>
      <c r="K609" s="186">
        <f t="shared" si="38"/>
        <v>45770</v>
      </c>
      <c r="L609" s="14" t="s">
        <v>4104</v>
      </c>
      <c r="M609" s="14" t="s">
        <v>2388</v>
      </c>
      <c r="N609" s="3" t="str">
        <f t="shared" si="39"/>
        <v>NG</v>
      </c>
      <c r="O609" s="14" t="s">
        <v>1568</v>
      </c>
      <c r="P609" s="14"/>
      <c r="Q609" s="14">
        <v>11000124</v>
      </c>
      <c r="R609" s="14" t="s">
        <v>4491</v>
      </c>
      <c r="S609" s="14" t="s">
        <v>4730</v>
      </c>
      <c r="T609" s="14" t="s">
        <v>4455</v>
      </c>
      <c r="U609" s="14"/>
    </row>
    <row r="610" spans="1:21">
      <c r="A610" s="3">
        <v>5620</v>
      </c>
      <c r="B610" s="82">
        <f t="array" ref="B610">SUM(--(FREQUENCY(IF(C$2:C$3071=C610, MATCH(D$2:D$3071, D$2:D$3071, 0)), ROW(D$2:D$3071)-ROW(D$2)+1) &gt; 0))</f>
        <v>11</v>
      </c>
      <c r="C610" s="3">
        <v>41100697</v>
      </c>
      <c r="D610" s="6" t="s">
        <v>2105</v>
      </c>
      <c r="E610" s="3" t="s">
        <v>4603</v>
      </c>
      <c r="F610" s="3" t="s">
        <v>4112</v>
      </c>
      <c r="G610" s="3" t="str">
        <f t="shared" si="37"/>
        <v>DUAL</v>
      </c>
      <c r="H610" s="197">
        <f t="shared" si="36"/>
        <v>17</v>
      </c>
      <c r="I610" s="197">
        <v>4</v>
      </c>
      <c r="J610" s="197">
        <v>23</v>
      </c>
      <c r="K610" s="186">
        <f t="shared" si="38"/>
        <v>45770</v>
      </c>
      <c r="L610" s="3" t="s">
        <v>2381</v>
      </c>
      <c r="M610" s="3" t="s">
        <v>2388</v>
      </c>
      <c r="N610" s="3" t="str">
        <f t="shared" si="39"/>
        <v/>
      </c>
    </row>
    <row r="611" spans="1:21">
      <c r="A611" s="3">
        <v>5620</v>
      </c>
      <c r="B611" s="82">
        <f t="array" ref="B611">SUM(--(FREQUENCY(IF(C$2:C$3071=C611, MATCH(D$2:D$3071, D$2:D$3071, 0)), ROW(D$2:D$3071)-ROW(D$2)+1) &gt; 0))</f>
        <v>11</v>
      </c>
      <c r="C611" s="3">
        <v>41100697</v>
      </c>
      <c r="D611" s="6" t="s">
        <v>4731</v>
      </c>
      <c r="E611" s="3" t="s">
        <v>4603</v>
      </c>
      <c r="F611" s="3" t="s">
        <v>4112</v>
      </c>
      <c r="G611" s="3" t="str">
        <f t="shared" si="37"/>
        <v>DUAL</v>
      </c>
      <c r="H611" s="197">
        <f t="shared" si="36"/>
        <v>17</v>
      </c>
      <c r="I611" s="197">
        <v>4</v>
      </c>
      <c r="J611" s="197">
        <v>23</v>
      </c>
      <c r="K611" s="186">
        <f t="shared" si="38"/>
        <v>45770</v>
      </c>
      <c r="L611" s="3" t="s">
        <v>2381</v>
      </c>
      <c r="M611" s="3" t="s">
        <v>2388</v>
      </c>
      <c r="N611" s="3" t="str">
        <f t="shared" si="39"/>
        <v/>
      </c>
    </row>
    <row r="612" spans="1:21">
      <c r="A612" s="3">
        <v>5614</v>
      </c>
      <c r="B612" s="82">
        <f t="array" ref="B612">SUM(--(FREQUENCY(IF(C$2:C$3071=C612, MATCH(D$2:D$3071, D$2:D$3071, 0)), ROW(D$2:D$3071)-ROW(D$2)+1) &gt; 0))</f>
        <v>10</v>
      </c>
      <c r="C612" s="3">
        <v>41200061</v>
      </c>
      <c r="D612" s="6" t="s">
        <v>4732</v>
      </c>
      <c r="E612" s="3" t="s">
        <v>2365</v>
      </c>
      <c r="F612" s="3" t="s">
        <v>4733</v>
      </c>
      <c r="G612" s="3" t="str">
        <f t="shared" si="37"/>
        <v>DUAL</v>
      </c>
      <c r="H612" s="197">
        <f t="shared" si="36"/>
        <v>17</v>
      </c>
      <c r="I612" s="197">
        <v>4</v>
      </c>
      <c r="J612" s="197">
        <v>24</v>
      </c>
      <c r="K612" s="186">
        <f t="shared" si="38"/>
        <v>45771</v>
      </c>
      <c r="L612" s="3" t="s">
        <v>2381</v>
      </c>
      <c r="M612" s="3" t="s">
        <v>2383</v>
      </c>
      <c r="N612" s="3" t="str">
        <f t="shared" si="39"/>
        <v/>
      </c>
    </row>
    <row r="613" spans="1:21">
      <c r="A613" s="3">
        <v>5577</v>
      </c>
      <c r="B613" s="82">
        <f t="array" ref="B613">SUM(--(FREQUENCY(IF(C$2:C$3071=C613, MATCH(D$2:D$3071, D$2:D$3071, 0)), ROW(D$2:D$3071)-ROW(D$2)+1) &gt; 0))</f>
        <v>44</v>
      </c>
      <c r="C613" s="3">
        <v>41200047</v>
      </c>
      <c r="D613" s="6" t="s">
        <v>2120</v>
      </c>
      <c r="E613" s="3" t="s">
        <v>4135</v>
      </c>
      <c r="F613" s="3" t="s">
        <v>4527</v>
      </c>
      <c r="G613" s="3" t="str">
        <f t="shared" si="37"/>
        <v>DUAL</v>
      </c>
      <c r="H613" s="197">
        <f t="shared" si="36"/>
        <v>17</v>
      </c>
      <c r="I613" s="197">
        <v>4</v>
      </c>
      <c r="J613" s="197">
        <v>24</v>
      </c>
      <c r="K613" s="186">
        <f t="shared" si="38"/>
        <v>45771</v>
      </c>
      <c r="L613" s="3" t="s">
        <v>2381</v>
      </c>
      <c r="M613" s="3" t="s">
        <v>2367</v>
      </c>
      <c r="N613" s="3" t="str">
        <f t="shared" si="39"/>
        <v/>
      </c>
    </row>
    <row r="614" spans="1:21">
      <c r="A614" s="3">
        <v>5577</v>
      </c>
      <c r="B614" s="82">
        <f t="array" ref="B614">SUM(--(FREQUENCY(IF(C$2:C$3071=C614, MATCH(D$2:D$3071, D$2:D$3071, 0)), ROW(D$2:D$3071)-ROW(D$2)+1) &gt; 0))</f>
        <v>44</v>
      </c>
      <c r="C614" s="3">
        <v>41200047</v>
      </c>
      <c r="D614" s="6" t="s">
        <v>4734</v>
      </c>
      <c r="E614" s="3" t="s">
        <v>4135</v>
      </c>
      <c r="F614" s="3" t="s">
        <v>4527</v>
      </c>
      <c r="G614" s="3" t="str">
        <f t="shared" si="37"/>
        <v>DUAL</v>
      </c>
      <c r="H614" s="197">
        <f t="shared" si="36"/>
        <v>17</v>
      </c>
      <c r="I614" s="197">
        <v>4</v>
      </c>
      <c r="J614" s="197">
        <v>24</v>
      </c>
      <c r="K614" s="186">
        <f t="shared" si="38"/>
        <v>45771</v>
      </c>
      <c r="L614" s="3" t="s">
        <v>2381</v>
      </c>
      <c r="M614" s="3" t="s">
        <v>2367</v>
      </c>
      <c r="N614" s="3" t="str">
        <f t="shared" si="39"/>
        <v/>
      </c>
    </row>
    <row r="615" spans="1:21">
      <c r="A615" s="3">
        <v>5572</v>
      </c>
      <c r="B615" s="82">
        <f t="array" ref="B615">SUM(--(FREQUENCY(IF(C$2:C$3071=C615, MATCH(D$2:D$3071, D$2:D$3071, 0)), ROW(D$2:D$3071)-ROW(D$2)+1) &gt; 0))</f>
        <v>21</v>
      </c>
      <c r="C615" s="3">
        <v>41200036</v>
      </c>
      <c r="D615" s="6" t="s">
        <v>4735</v>
      </c>
      <c r="E615" s="3" t="s">
        <v>4135</v>
      </c>
      <c r="F615" s="3" t="s">
        <v>4527</v>
      </c>
      <c r="G615" s="3" t="str">
        <f t="shared" si="37"/>
        <v>DUAL</v>
      </c>
      <c r="H615" s="197">
        <f t="shared" si="36"/>
        <v>17</v>
      </c>
      <c r="I615" s="197">
        <v>4</v>
      </c>
      <c r="J615" s="197">
        <v>24</v>
      </c>
      <c r="K615" s="186">
        <f t="shared" si="38"/>
        <v>45771</v>
      </c>
      <c r="L615" s="3" t="s">
        <v>2381</v>
      </c>
      <c r="M615" s="3" t="s">
        <v>2383</v>
      </c>
      <c r="N615" s="3" t="str">
        <f t="shared" si="39"/>
        <v/>
      </c>
    </row>
    <row r="616" spans="1:21">
      <c r="A616" s="3">
        <v>5620</v>
      </c>
      <c r="B616" s="82">
        <f t="array" ref="B616">SUM(--(FREQUENCY(IF(C$2:C$3071=C616, MATCH(D$2:D$3071, D$2:D$3071, 0)), ROW(D$2:D$3071)-ROW(D$2)+1) &gt; 0))</f>
        <v>11</v>
      </c>
      <c r="C616" s="3">
        <v>41100697</v>
      </c>
      <c r="D616" s="6" t="s">
        <v>2113</v>
      </c>
      <c r="E616" s="3" t="s">
        <v>4603</v>
      </c>
      <c r="F616" s="3" t="s">
        <v>4527</v>
      </c>
      <c r="G616" s="3" t="str">
        <f t="shared" si="37"/>
        <v>DUAL</v>
      </c>
      <c r="H616" s="197">
        <f t="shared" si="36"/>
        <v>17</v>
      </c>
      <c r="I616" s="197">
        <v>4</v>
      </c>
      <c r="J616" s="197">
        <v>24</v>
      </c>
      <c r="K616" s="186">
        <f t="shared" si="38"/>
        <v>45771</v>
      </c>
      <c r="L616" s="3" t="s">
        <v>2381</v>
      </c>
      <c r="M616" s="3" t="s">
        <v>2388</v>
      </c>
      <c r="N616" s="3" t="str">
        <f t="shared" si="39"/>
        <v/>
      </c>
    </row>
    <row r="617" spans="1:21">
      <c r="A617" s="3">
        <v>5620</v>
      </c>
      <c r="B617" s="82">
        <f t="array" ref="B617">SUM(--(FREQUENCY(IF(C$2:C$3071=C617, MATCH(D$2:D$3071, D$2:D$3071, 0)), ROW(D$2:D$3071)-ROW(D$2)+1) &gt; 0))</f>
        <v>11</v>
      </c>
      <c r="C617" s="3">
        <v>41100697</v>
      </c>
      <c r="D617" s="6" t="s">
        <v>2112</v>
      </c>
      <c r="E617" s="3" t="s">
        <v>4603</v>
      </c>
      <c r="F617" s="3" t="s">
        <v>4527</v>
      </c>
      <c r="G617" s="3" t="str">
        <f t="shared" si="37"/>
        <v>DUAL</v>
      </c>
      <c r="H617" s="197">
        <f t="shared" si="36"/>
        <v>17</v>
      </c>
      <c r="I617" s="197">
        <v>4</v>
      </c>
      <c r="J617" s="197">
        <v>24</v>
      </c>
      <c r="K617" s="186">
        <f t="shared" si="38"/>
        <v>45771</v>
      </c>
      <c r="L617" s="3" t="s">
        <v>2381</v>
      </c>
      <c r="M617" s="3" t="s">
        <v>2388</v>
      </c>
      <c r="N617" s="3" t="str">
        <f t="shared" si="39"/>
        <v/>
      </c>
    </row>
    <row r="618" spans="1:21">
      <c r="A618" s="3">
        <v>5620</v>
      </c>
      <c r="B618" s="82">
        <f t="array" ref="B618">SUM(--(FREQUENCY(IF(C$2:C$3071=C618, MATCH(D$2:D$3071, D$2:D$3071, 0)), ROW(D$2:D$3071)-ROW(D$2)+1) &gt; 0))</f>
        <v>11</v>
      </c>
      <c r="C618" s="3">
        <v>41100697</v>
      </c>
      <c r="D618" s="6" t="s">
        <v>4736</v>
      </c>
      <c r="E618" s="3" t="s">
        <v>4603</v>
      </c>
      <c r="F618" s="3" t="s">
        <v>4527</v>
      </c>
      <c r="G618" s="3" t="str">
        <f t="shared" si="37"/>
        <v>DUAL</v>
      </c>
      <c r="H618" s="197">
        <f t="shared" si="36"/>
        <v>17</v>
      </c>
      <c r="I618" s="197">
        <v>4</v>
      </c>
      <c r="J618" s="197">
        <v>24</v>
      </c>
      <c r="K618" s="186">
        <f t="shared" si="38"/>
        <v>45771</v>
      </c>
      <c r="L618" s="3" t="s">
        <v>2381</v>
      </c>
      <c r="M618" s="3" t="s">
        <v>2388</v>
      </c>
      <c r="N618" s="3" t="str">
        <f t="shared" si="39"/>
        <v/>
      </c>
    </row>
    <row r="619" spans="1:21">
      <c r="A619" s="3">
        <v>5578</v>
      </c>
      <c r="B619" s="82">
        <f t="array" ref="B619">SUM(--(FREQUENCY(IF(C$2:C$3071=C619, MATCH(D$2:D$3071, D$2:D$3071, 0)), ROW(D$2:D$3071)-ROW(D$2)+1) &gt; 0))</f>
        <v>12</v>
      </c>
      <c r="C619" s="3">
        <v>41200048</v>
      </c>
      <c r="D619" s="6" t="s">
        <v>4737</v>
      </c>
      <c r="E619" s="3" t="s">
        <v>4135</v>
      </c>
      <c r="F619" s="3" t="s">
        <v>4527</v>
      </c>
      <c r="G619" s="3" t="str">
        <f t="shared" si="37"/>
        <v>DUAL</v>
      </c>
      <c r="H619" s="197">
        <f t="shared" si="36"/>
        <v>17</v>
      </c>
      <c r="I619" s="197">
        <v>4</v>
      </c>
      <c r="J619" s="197">
        <v>24</v>
      </c>
      <c r="K619" s="186">
        <f t="shared" si="38"/>
        <v>45771</v>
      </c>
      <c r="L619" s="3" t="s">
        <v>4104</v>
      </c>
      <c r="M619" s="3" t="s">
        <v>2367</v>
      </c>
      <c r="N619" s="3" t="str">
        <f t="shared" si="39"/>
        <v/>
      </c>
    </row>
    <row r="620" spans="1:21">
      <c r="A620" s="3">
        <v>5558</v>
      </c>
      <c r="B620" s="82">
        <f t="array" ref="B620">SUM(--(FREQUENCY(IF(C$2:C$3071=C620, MATCH(D$2:D$3071, D$2:D$3071, 0)), ROW(D$2:D$3071)-ROW(D$2)+1) &gt; 0))</f>
        <v>33</v>
      </c>
      <c r="C620" s="3">
        <v>41100435</v>
      </c>
      <c r="D620" s="6" t="s">
        <v>4738</v>
      </c>
      <c r="E620" s="3" t="s">
        <v>4102</v>
      </c>
      <c r="F620" s="3" t="s">
        <v>4103</v>
      </c>
      <c r="G620" s="3" t="str">
        <f t="shared" si="37"/>
        <v>SINGLE</v>
      </c>
      <c r="H620" s="197">
        <f t="shared" si="36"/>
        <v>17</v>
      </c>
      <c r="I620" s="197">
        <v>4</v>
      </c>
      <c r="J620" s="197">
        <v>25</v>
      </c>
      <c r="K620" s="186">
        <f t="shared" si="38"/>
        <v>45772</v>
      </c>
      <c r="L620" s="3" t="s">
        <v>4104</v>
      </c>
      <c r="M620" s="3" t="s">
        <v>2388</v>
      </c>
      <c r="N620" s="3" t="str">
        <f t="shared" si="39"/>
        <v/>
      </c>
    </row>
    <row r="621" spans="1:21">
      <c r="A621" s="3">
        <v>5589</v>
      </c>
      <c r="B621" s="82">
        <f t="array" ref="B621">SUM(--(FREQUENCY(IF(C$2:C$3071=C621, MATCH(D$2:D$3071, D$2:D$3071, 0)), ROW(D$2:D$3071)-ROW(D$2)+1) &gt; 0))</f>
        <v>49</v>
      </c>
      <c r="C621" s="3">
        <v>41200005</v>
      </c>
      <c r="D621" s="6" t="s">
        <v>4739</v>
      </c>
      <c r="E621" s="3" t="s">
        <v>2365</v>
      </c>
      <c r="F621" s="3" t="s">
        <v>2380</v>
      </c>
      <c r="G621" s="3" t="str">
        <f t="shared" si="37"/>
        <v>SINGLE</v>
      </c>
      <c r="H621" s="197">
        <f t="shared" si="36"/>
        <v>17</v>
      </c>
      <c r="I621" s="197">
        <v>4</v>
      </c>
      <c r="J621" s="197">
        <v>25</v>
      </c>
      <c r="K621" s="186">
        <f t="shared" si="38"/>
        <v>45772</v>
      </c>
      <c r="L621" s="3" t="s">
        <v>2381</v>
      </c>
      <c r="M621" s="3" t="s">
        <v>2367</v>
      </c>
      <c r="N621" s="3" t="str">
        <f t="shared" si="39"/>
        <v/>
      </c>
    </row>
    <row r="622" spans="1:21">
      <c r="A622" s="3">
        <v>5548</v>
      </c>
      <c r="B622" s="82">
        <f t="array" ref="B622">SUM(--(FREQUENCY(IF(C$2:C$3071=C622, MATCH(D$2:D$3071, D$2:D$3071, 0)), ROW(D$2:D$3071)-ROW(D$2)+1) &gt; 0))</f>
        <v>20</v>
      </c>
      <c r="C622" s="3">
        <v>41200125</v>
      </c>
      <c r="D622" s="6" t="s">
        <v>4740</v>
      </c>
      <c r="E622" s="3" t="s">
        <v>4102</v>
      </c>
      <c r="F622" s="3" t="s">
        <v>4112</v>
      </c>
      <c r="G622" s="3" t="str">
        <f t="shared" si="37"/>
        <v>DUAL</v>
      </c>
      <c r="H622" s="197">
        <f t="shared" si="36"/>
        <v>17</v>
      </c>
      <c r="I622" s="197">
        <v>4</v>
      </c>
      <c r="J622" s="197">
        <v>25</v>
      </c>
      <c r="K622" s="186">
        <f t="shared" si="38"/>
        <v>45772</v>
      </c>
      <c r="L622" s="3" t="s">
        <v>2381</v>
      </c>
      <c r="M622" s="3" t="s">
        <v>2367</v>
      </c>
      <c r="N622" s="3" t="str">
        <f t="shared" si="39"/>
        <v/>
      </c>
    </row>
    <row r="623" spans="1:21" s="15" customFormat="1">
      <c r="A623" s="3">
        <v>5545</v>
      </c>
      <c r="B623" s="82">
        <f t="array" ref="B623">SUM(--(FREQUENCY(IF(C$2:C$3071=C623, MATCH(D$2:D$3071, D$2:D$3071, 0)), ROW(D$2:D$3071)-ROW(D$2)+1) &gt; 0))</f>
        <v>32</v>
      </c>
      <c r="C623" s="3">
        <v>41200122</v>
      </c>
      <c r="D623" s="6" t="s">
        <v>4741</v>
      </c>
      <c r="E623" s="3" t="s">
        <v>4102</v>
      </c>
      <c r="F623" s="3" t="s">
        <v>4112</v>
      </c>
      <c r="G623" s="3" t="str">
        <f t="shared" si="37"/>
        <v>DUAL</v>
      </c>
      <c r="H623" s="197">
        <f t="shared" si="36"/>
        <v>17</v>
      </c>
      <c r="I623" s="197">
        <v>4</v>
      </c>
      <c r="J623" s="197">
        <v>25</v>
      </c>
      <c r="K623" s="186">
        <f t="shared" si="38"/>
        <v>45772</v>
      </c>
      <c r="L623" s="3" t="s">
        <v>2381</v>
      </c>
      <c r="M623" s="3" t="s">
        <v>2383</v>
      </c>
      <c r="N623" s="3" t="str">
        <f t="shared" si="39"/>
        <v>NG</v>
      </c>
      <c r="O623" s="3" t="s">
        <v>1568</v>
      </c>
      <c r="P623" s="3"/>
      <c r="Q623" s="3">
        <v>11000201</v>
      </c>
      <c r="R623" s="3" t="s">
        <v>4742</v>
      </c>
      <c r="S623" s="3" t="s">
        <v>4743</v>
      </c>
      <c r="T623" s="3" t="s">
        <v>4454</v>
      </c>
      <c r="U623" s="3"/>
    </row>
    <row r="624" spans="1:21" s="15" customFormat="1">
      <c r="A624" s="14">
        <v>5590</v>
      </c>
      <c r="B624" s="82">
        <f t="array" ref="B624">SUM(--(FREQUENCY(IF(C$2:C$3071=C624, MATCH(D$2:D$3071, D$2:D$3071, 0)), ROW(D$2:D$3071)-ROW(D$2)+1) &gt; 0))</f>
        <v>18</v>
      </c>
      <c r="C624" s="14">
        <v>41000584</v>
      </c>
      <c r="D624" s="6" t="s">
        <v>2122</v>
      </c>
      <c r="E624" s="14" t="s">
        <v>2365</v>
      </c>
      <c r="F624" s="14" t="s">
        <v>4130</v>
      </c>
      <c r="G624" s="3" t="str">
        <f t="shared" si="37"/>
        <v>DUAL</v>
      </c>
      <c r="H624" s="197">
        <f t="shared" si="36"/>
        <v>17</v>
      </c>
      <c r="I624" s="201">
        <v>4</v>
      </c>
      <c r="J624" s="201">
        <v>25</v>
      </c>
      <c r="K624" s="186">
        <f t="shared" si="38"/>
        <v>45772</v>
      </c>
      <c r="L624" s="14" t="s">
        <v>2367</v>
      </c>
      <c r="M624" s="14" t="s">
        <v>2388</v>
      </c>
      <c r="N624" s="3" t="str">
        <f t="shared" si="39"/>
        <v>NG</v>
      </c>
      <c r="O624" s="14" t="s">
        <v>1568</v>
      </c>
      <c r="P624" s="14"/>
      <c r="Q624" s="14">
        <v>11002283</v>
      </c>
      <c r="R624" s="14" t="s">
        <v>4105</v>
      </c>
      <c r="S624" s="14" t="s">
        <v>4744</v>
      </c>
      <c r="T624" s="14" t="s">
        <v>4454</v>
      </c>
      <c r="U624" s="14"/>
    </row>
    <row r="625" spans="1:21" s="15" customFormat="1">
      <c r="A625" s="14">
        <v>5590</v>
      </c>
      <c r="B625" s="82">
        <f t="array" ref="B625">SUM(--(FREQUENCY(IF(C$2:C$3071=C625, MATCH(D$2:D$3071, D$2:D$3071, 0)), ROW(D$2:D$3071)-ROW(D$2)+1) &gt; 0))</f>
        <v>18</v>
      </c>
      <c r="C625" s="14">
        <v>41000584</v>
      </c>
      <c r="D625" s="6" t="s">
        <v>2122</v>
      </c>
      <c r="E625" s="14" t="s">
        <v>2365</v>
      </c>
      <c r="F625" s="14" t="s">
        <v>4130</v>
      </c>
      <c r="G625" s="3" t="str">
        <f t="shared" si="37"/>
        <v>DUAL</v>
      </c>
      <c r="H625" s="197">
        <f t="shared" si="36"/>
        <v>17</v>
      </c>
      <c r="I625" s="201">
        <v>4</v>
      </c>
      <c r="J625" s="201">
        <v>25</v>
      </c>
      <c r="K625" s="186">
        <f t="shared" si="38"/>
        <v>45772</v>
      </c>
      <c r="L625" s="14" t="s">
        <v>2367</v>
      </c>
      <c r="M625" s="14" t="s">
        <v>2388</v>
      </c>
      <c r="N625" s="3" t="str">
        <f t="shared" si="39"/>
        <v>NG</v>
      </c>
      <c r="O625" s="14" t="s">
        <v>1568</v>
      </c>
      <c r="P625" s="14"/>
      <c r="Q625" s="14">
        <v>11001881</v>
      </c>
      <c r="R625" s="14" t="s">
        <v>4745</v>
      </c>
      <c r="S625" s="14" t="s">
        <v>4746</v>
      </c>
      <c r="T625" s="14" t="s">
        <v>4455</v>
      </c>
      <c r="U625" s="14"/>
    </row>
    <row r="626" spans="1:21" s="15" customFormat="1">
      <c r="A626" s="14">
        <v>5590</v>
      </c>
      <c r="B626" s="82">
        <f t="array" ref="B626">SUM(--(FREQUENCY(IF(C$2:C$3071=C626, MATCH(D$2:D$3071, D$2:D$3071, 0)), ROW(D$2:D$3071)-ROW(D$2)+1) &gt; 0))</f>
        <v>18</v>
      </c>
      <c r="C626" s="14">
        <v>41000584</v>
      </c>
      <c r="D626" s="6" t="s">
        <v>4747</v>
      </c>
      <c r="E626" s="14" t="s">
        <v>2365</v>
      </c>
      <c r="F626" s="14" t="s">
        <v>4130</v>
      </c>
      <c r="G626" s="3" t="str">
        <f t="shared" si="37"/>
        <v>DUAL</v>
      </c>
      <c r="H626" s="197">
        <f t="shared" si="36"/>
        <v>17</v>
      </c>
      <c r="I626" s="201">
        <v>4</v>
      </c>
      <c r="J626" s="201">
        <v>25</v>
      </c>
      <c r="K626" s="186">
        <f t="shared" si="38"/>
        <v>45772</v>
      </c>
      <c r="L626" s="14" t="s">
        <v>2367</v>
      </c>
      <c r="M626" s="14" t="s">
        <v>2388</v>
      </c>
      <c r="N626" s="3" t="str">
        <f t="shared" si="39"/>
        <v>NG</v>
      </c>
      <c r="O626" s="14" t="s">
        <v>1568</v>
      </c>
      <c r="P626" s="14"/>
      <c r="Q626" s="14">
        <v>11006376</v>
      </c>
      <c r="R626" s="14" t="s">
        <v>4748</v>
      </c>
      <c r="S626" s="14" t="s">
        <v>4749</v>
      </c>
      <c r="T626" s="14" t="s">
        <v>4455</v>
      </c>
      <c r="U626" s="14"/>
    </row>
    <row r="627" spans="1:21">
      <c r="A627" s="14">
        <v>5590</v>
      </c>
      <c r="B627" s="82">
        <f t="array" ref="B627">SUM(--(FREQUENCY(IF(C$2:C$3071=C627, MATCH(D$2:D$3071, D$2:D$3071, 0)), ROW(D$2:D$3071)-ROW(D$2)+1) &gt; 0))</f>
        <v>18</v>
      </c>
      <c r="C627" s="14">
        <v>41000584</v>
      </c>
      <c r="D627" s="6" t="s">
        <v>4747</v>
      </c>
      <c r="E627" s="14" t="s">
        <v>2365</v>
      </c>
      <c r="F627" s="14" t="s">
        <v>4130</v>
      </c>
      <c r="G627" s="3" t="str">
        <f t="shared" si="37"/>
        <v>DUAL</v>
      </c>
      <c r="H627" s="197">
        <f t="shared" si="36"/>
        <v>17</v>
      </c>
      <c r="I627" s="201">
        <v>4</v>
      </c>
      <c r="J627" s="201">
        <v>25</v>
      </c>
      <c r="K627" s="186">
        <f t="shared" si="38"/>
        <v>45772</v>
      </c>
      <c r="L627" s="14" t="s">
        <v>2367</v>
      </c>
      <c r="M627" s="14" t="s">
        <v>2388</v>
      </c>
      <c r="N627" s="3" t="str">
        <f t="shared" si="39"/>
        <v>NG</v>
      </c>
      <c r="O627" s="14" t="s">
        <v>1568</v>
      </c>
      <c r="P627" s="14"/>
      <c r="Q627" s="14">
        <v>11002283</v>
      </c>
      <c r="R627" s="14" t="s">
        <v>4105</v>
      </c>
      <c r="S627" s="14" t="s">
        <v>4750</v>
      </c>
      <c r="T627" s="14" t="s">
        <v>4455</v>
      </c>
      <c r="U627" s="14"/>
    </row>
    <row r="628" spans="1:21">
      <c r="A628" s="3">
        <v>5534</v>
      </c>
      <c r="B628" s="82">
        <f t="array" ref="B628">SUM(--(FREQUENCY(IF(C$2:C$3071=C628, MATCH(D$2:D$3071, D$2:D$3071, 0)), ROW(D$2:D$3071)-ROW(D$2)+1) &gt; 0))</f>
        <v>18</v>
      </c>
      <c r="C628" s="3">
        <v>41100264</v>
      </c>
      <c r="D628" s="6" t="s">
        <v>4751</v>
      </c>
      <c r="E628" s="3" t="s">
        <v>4102</v>
      </c>
      <c r="F628" s="3" t="s">
        <v>2380</v>
      </c>
      <c r="G628" s="3" t="str">
        <f t="shared" si="37"/>
        <v>SINGLE</v>
      </c>
      <c r="H628" s="197">
        <f t="shared" si="36"/>
        <v>18</v>
      </c>
      <c r="I628" s="197">
        <v>4</v>
      </c>
      <c r="J628" s="197">
        <v>28</v>
      </c>
      <c r="K628" s="186">
        <f t="shared" si="38"/>
        <v>45775</v>
      </c>
      <c r="L628" s="3" t="s">
        <v>4104</v>
      </c>
      <c r="M628" s="3" t="s">
        <v>2388</v>
      </c>
      <c r="N628" s="3" t="str">
        <f t="shared" si="39"/>
        <v/>
      </c>
    </row>
    <row r="629" spans="1:21">
      <c r="A629" s="3">
        <v>5534</v>
      </c>
      <c r="B629" s="82">
        <f t="array" ref="B629">SUM(--(FREQUENCY(IF(C$2:C$3071=C629, MATCH(D$2:D$3071, D$2:D$3071, 0)), ROW(D$2:D$3071)-ROW(D$2)+1) &gt; 0))</f>
        <v>18</v>
      </c>
      <c r="C629" s="3">
        <v>41100264</v>
      </c>
      <c r="D629" s="6" t="s">
        <v>4752</v>
      </c>
      <c r="E629" s="3" t="s">
        <v>4102</v>
      </c>
      <c r="F629" s="3" t="s">
        <v>2380</v>
      </c>
      <c r="G629" s="3" t="str">
        <f t="shared" si="37"/>
        <v>SINGLE</v>
      </c>
      <c r="H629" s="197">
        <f t="shared" si="36"/>
        <v>18</v>
      </c>
      <c r="I629" s="197">
        <v>4</v>
      </c>
      <c r="J629" s="197">
        <v>28</v>
      </c>
      <c r="K629" s="186">
        <f t="shared" si="38"/>
        <v>45775</v>
      </c>
      <c r="L629" s="3" t="s">
        <v>4104</v>
      </c>
      <c r="M629" s="3" t="s">
        <v>2388</v>
      </c>
      <c r="N629" s="3" t="str">
        <f t="shared" si="39"/>
        <v/>
      </c>
    </row>
    <row r="630" spans="1:21">
      <c r="A630" s="3">
        <v>5589</v>
      </c>
      <c r="B630" s="82">
        <f t="array" ref="B630">SUM(--(FREQUENCY(IF(C$2:C$3071=C630, MATCH(D$2:D$3071, D$2:D$3071, 0)), ROW(D$2:D$3071)-ROW(D$2)+1) &gt; 0))</f>
        <v>49</v>
      </c>
      <c r="C630" s="3">
        <v>41200005</v>
      </c>
      <c r="D630" s="6" t="s">
        <v>4753</v>
      </c>
      <c r="E630" s="3" t="s">
        <v>2365</v>
      </c>
      <c r="F630" s="3" t="s">
        <v>2380</v>
      </c>
      <c r="G630" s="3" t="str">
        <f t="shared" si="37"/>
        <v>SINGLE</v>
      </c>
      <c r="H630" s="197">
        <f t="shared" si="36"/>
        <v>18</v>
      </c>
      <c r="I630" s="197">
        <v>4</v>
      </c>
      <c r="J630" s="197">
        <v>28</v>
      </c>
      <c r="K630" s="186">
        <f t="shared" si="38"/>
        <v>45775</v>
      </c>
      <c r="L630" s="3" t="s">
        <v>2381</v>
      </c>
      <c r="M630" s="3" t="s">
        <v>2367</v>
      </c>
      <c r="N630" s="3" t="str">
        <f t="shared" si="39"/>
        <v/>
      </c>
    </row>
    <row r="631" spans="1:21">
      <c r="A631" s="3">
        <v>5549</v>
      </c>
      <c r="B631" s="82">
        <f t="array" ref="B631">SUM(--(FREQUENCY(IF(C$2:C$3071=C631, MATCH(D$2:D$3071, D$2:D$3071, 0)), ROW(D$2:D$3071)-ROW(D$2)+1) &gt; 0))</f>
        <v>41</v>
      </c>
      <c r="C631" s="3">
        <v>41200101</v>
      </c>
      <c r="D631" s="6" t="s">
        <v>4754</v>
      </c>
      <c r="E631" s="3" t="s">
        <v>4102</v>
      </c>
      <c r="F631" s="3" t="s">
        <v>4112</v>
      </c>
      <c r="G631" s="3" t="str">
        <f t="shared" si="37"/>
        <v>DUAL</v>
      </c>
      <c r="H631" s="197">
        <f t="shared" si="36"/>
        <v>18</v>
      </c>
      <c r="I631" s="197">
        <v>4</v>
      </c>
      <c r="J631" s="197">
        <v>28</v>
      </c>
      <c r="K631" s="186">
        <f t="shared" si="38"/>
        <v>45775</v>
      </c>
      <c r="L631" s="3" t="s">
        <v>4104</v>
      </c>
      <c r="M631" s="3" t="s">
        <v>2383</v>
      </c>
      <c r="N631" s="3" t="str">
        <f t="shared" si="39"/>
        <v/>
      </c>
    </row>
    <row r="632" spans="1:21">
      <c r="A632" s="14">
        <v>5498</v>
      </c>
      <c r="B632" s="82">
        <f t="array" ref="B632">SUM(--(FREQUENCY(IF(C$2:C$3071=C632, MATCH(D$2:D$3071, D$2:D$3071, 0)), ROW(D$2:D$3071)-ROW(D$2)+1) &gt; 0))</f>
        <v>7</v>
      </c>
      <c r="C632" s="14">
        <v>41200080</v>
      </c>
      <c r="D632" s="6" t="s">
        <v>2127</v>
      </c>
      <c r="E632" s="14" t="s">
        <v>2365</v>
      </c>
      <c r="F632" s="14" t="s">
        <v>4112</v>
      </c>
      <c r="G632" s="3" t="str">
        <f t="shared" si="37"/>
        <v>DUAL</v>
      </c>
      <c r="H632" s="197">
        <f t="shared" si="36"/>
        <v>18</v>
      </c>
      <c r="I632" s="201">
        <v>4</v>
      </c>
      <c r="J632" s="201">
        <v>28</v>
      </c>
      <c r="K632" s="186">
        <f t="shared" si="38"/>
        <v>45775</v>
      </c>
      <c r="L632" s="14" t="s">
        <v>4104</v>
      </c>
      <c r="M632" s="14" t="s">
        <v>2383</v>
      </c>
      <c r="N632" s="3" t="str">
        <f t="shared" si="39"/>
        <v>NG</v>
      </c>
      <c r="O632" s="14" t="s">
        <v>4755</v>
      </c>
      <c r="P632" s="14"/>
      <c r="Q632" s="14">
        <v>11000090</v>
      </c>
      <c r="R632" s="14" t="s">
        <v>4539</v>
      </c>
      <c r="S632" s="14" t="s">
        <v>4756</v>
      </c>
      <c r="T632" s="14" t="s">
        <v>4454</v>
      </c>
      <c r="U632" s="14"/>
    </row>
    <row r="633" spans="1:21">
      <c r="A633" s="14">
        <v>5498</v>
      </c>
      <c r="B633" s="82">
        <f t="array" ref="B633">SUM(--(FREQUENCY(IF(C$2:C$3071=C633, MATCH(D$2:D$3071, D$2:D$3071, 0)), ROW(D$2:D$3071)-ROW(D$2)+1) &gt; 0))</f>
        <v>7</v>
      </c>
      <c r="C633" s="14">
        <v>41200080</v>
      </c>
      <c r="D633" s="6" t="s">
        <v>2127</v>
      </c>
      <c r="E633" s="14" t="s">
        <v>2365</v>
      </c>
      <c r="F633" s="14" t="s">
        <v>4112</v>
      </c>
      <c r="G633" s="3" t="str">
        <f t="shared" si="37"/>
        <v>DUAL</v>
      </c>
      <c r="H633" s="197">
        <f t="shared" si="36"/>
        <v>18</v>
      </c>
      <c r="I633" s="201">
        <v>4</v>
      </c>
      <c r="J633" s="201">
        <v>28</v>
      </c>
      <c r="K633" s="186">
        <f t="shared" si="38"/>
        <v>45775</v>
      </c>
      <c r="L633" s="14" t="s">
        <v>4104</v>
      </c>
      <c r="M633" s="14" t="s">
        <v>2383</v>
      </c>
      <c r="N633" s="3" t="str">
        <f t="shared" si="39"/>
        <v>NG</v>
      </c>
      <c r="O633" s="14" t="s">
        <v>4755</v>
      </c>
      <c r="P633" s="14"/>
      <c r="Q633" s="14">
        <v>11000127</v>
      </c>
      <c r="R633" s="14" t="s">
        <v>4491</v>
      </c>
      <c r="S633" s="14" t="s">
        <v>4757</v>
      </c>
      <c r="T633" s="14" t="s">
        <v>4455</v>
      </c>
      <c r="U633" s="14"/>
    </row>
    <row r="634" spans="1:21">
      <c r="A634" s="14">
        <v>5498</v>
      </c>
      <c r="B634" s="82">
        <f t="array" ref="B634">SUM(--(FREQUENCY(IF(C$2:C$3071=C634, MATCH(D$2:D$3071, D$2:D$3071, 0)), ROW(D$2:D$3071)-ROW(D$2)+1) &gt; 0))</f>
        <v>7</v>
      </c>
      <c r="C634" s="14">
        <v>41200080</v>
      </c>
      <c r="D634" s="6" t="s">
        <v>2127</v>
      </c>
      <c r="E634" s="14" t="s">
        <v>2365</v>
      </c>
      <c r="F634" s="14" t="s">
        <v>4112</v>
      </c>
      <c r="G634" s="3" t="str">
        <f t="shared" si="37"/>
        <v>DUAL</v>
      </c>
      <c r="H634" s="197">
        <f t="shared" si="36"/>
        <v>18</v>
      </c>
      <c r="I634" s="201">
        <v>4</v>
      </c>
      <c r="J634" s="201">
        <v>28</v>
      </c>
      <c r="K634" s="186">
        <f t="shared" si="38"/>
        <v>45775</v>
      </c>
      <c r="L634" s="14" t="s">
        <v>4104</v>
      </c>
      <c r="M634" s="14" t="s">
        <v>2383</v>
      </c>
      <c r="N634" s="3" t="str">
        <f t="shared" si="39"/>
        <v>NG</v>
      </c>
      <c r="O634" s="14" t="s">
        <v>4755</v>
      </c>
      <c r="P634" s="14"/>
      <c r="Q634" s="14">
        <v>11003643</v>
      </c>
      <c r="R634" s="14" t="s">
        <v>953</v>
      </c>
      <c r="S634" s="14" t="s">
        <v>4758</v>
      </c>
      <c r="T634" s="14"/>
      <c r="U634" s="14"/>
    </row>
    <row r="635" spans="1:21">
      <c r="A635" s="14">
        <v>5498</v>
      </c>
      <c r="B635" s="82">
        <f t="array" ref="B635">SUM(--(FREQUENCY(IF(C$2:C$3071=C635, MATCH(D$2:D$3071, D$2:D$3071, 0)), ROW(D$2:D$3071)-ROW(D$2)+1) &gt; 0))</f>
        <v>7</v>
      </c>
      <c r="C635" s="14">
        <v>41200080</v>
      </c>
      <c r="D635" s="6" t="s">
        <v>4759</v>
      </c>
      <c r="E635" s="14" t="s">
        <v>2365</v>
      </c>
      <c r="F635" s="14" t="s">
        <v>4112</v>
      </c>
      <c r="G635" s="3" t="str">
        <f t="shared" si="37"/>
        <v>DUAL</v>
      </c>
      <c r="H635" s="197">
        <f t="shared" si="36"/>
        <v>18</v>
      </c>
      <c r="I635" s="201">
        <v>4</v>
      </c>
      <c r="J635" s="201">
        <v>28</v>
      </c>
      <c r="K635" s="186">
        <f t="shared" si="38"/>
        <v>45775</v>
      </c>
      <c r="L635" s="14" t="s">
        <v>4104</v>
      </c>
      <c r="M635" s="14" t="s">
        <v>2383</v>
      </c>
      <c r="N635" s="3" t="str">
        <f t="shared" si="39"/>
        <v>NG</v>
      </c>
      <c r="O635" s="14" t="s">
        <v>4755</v>
      </c>
      <c r="P635" s="14"/>
      <c r="Q635" s="14">
        <v>11007507</v>
      </c>
      <c r="R635" s="14" t="s">
        <v>226</v>
      </c>
      <c r="S635" s="14" t="s">
        <v>4757</v>
      </c>
      <c r="T635" s="14" t="s">
        <v>4455</v>
      </c>
      <c r="U635" s="14"/>
    </row>
    <row r="636" spans="1:21">
      <c r="A636" s="14">
        <v>5498</v>
      </c>
      <c r="B636" s="82">
        <f t="array" ref="B636">SUM(--(FREQUENCY(IF(C$2:C$3071=C636, MATCH(D$2:D$3071, D$2:D$3071, 0)), ROW(D$2:D$3071)-ROW(D$2)+1) &gt; 0))</f>
        <v>7</v>
      </c>
      <c r="C636" s="14">
        <v>41200080</v>
      </c>
      <c r="D636" s="6" t="s">
        <v>4759</v>
      </c>
      <c r="E636" s="14" t="s">
        <v>2365</v>
      </c>
      <c r="F636" s="14" t="s">
        <v>4112</v>
      </c>
      <c r="G636" s="3" t="str">
        <f t="shared" si="37"/>
        <v>DUAL</v>
      </c>
      <c r="H636" s="197">
        <f t="shared" si="36"/>
        <v>18</v>
      </c>
      <c r="I636" s="201">
        <v>4</v>
      </c>
      <c r="J636" s="201">
        <v>28</v>
      </c>
      <c r="K636" s="186">
        <f t="shared" si="38"/>
        <v>45775</v>
      </c>
      <c r="L636" s="14" t="s">
        <v>4104</v>
      </c>
      <c r="M636" s="14" t="s">
        <v>2383</v>
      </c>
      <c r="N636" s="3" t="str">
        <f t="shared" si="39"/>
        <v>NG</v>
      </c>
      <c r="O636" s="14" t="s">
        <v>4755</v>
      </c>
      <c r="P636" s="14"/>
      <c r="Q636" s="14">
        <v>11000127</v>
      </c>
      <c r="R636" s="14" t="s">
        <v>4491</v>
      </c>
      <c r="S636" s="14" t="s">
        <v>4760</v>
      </c>
      <c r="T636" s="14" t="s">
        <v>4455</v>
      </c>
      <c r="U636" s="14"/>
    </row>
    <row r="637" spans="1:21">
      <c r="A637" s="3">
        <v>5573</v>
      </c>
      <c r="B637" s="82">
        <f t="array" ref="B637">SUM(--(FREQUENCY(IF(C$2:C$3071=C637, MATCH(D$2:D$3071, D$2:D$3071, 0)), ROW(D$2:D$3071)-ROW(D$2)+1) &gt; 0))</f>
        <v>18</v>
      </c>
      <c r="C637" s="3">
        <v>41200039</v>
      </c>
      <c r="D637" s="6" t="s">
        <v>4761</v>
      </c>
      <c r="E637" s="3" t="s">
        <v>4135</v>
      </c>
      <c r="F637" s="3" t="s">
        <v>4112</v>
      </c>
      <c r="G637" s="3" t="str">
        <f t="shared" si="37"/>
        <v>DUAL</v>
      </c>
      <c r="H637" s="197">
        <f t="shared" si="36"/>
        <v>18</v>
      </c>
      <c r="I637" s="197">
        <v>4</v>
      </c>
      <c r="J637" s="197">
        <v>28</v>
      </c>
      <c r="K637" s="186">
        <f t="shared" si="38"/>
        <v>45775</v>
      </c>
      <c r="L637" s="3" t="s">
        <v>2381</v>
      </c>
      <c r="M637" s="3" t="s">
        <v>2367</v>
      </c>
      <c r="N637" s="3" t="str">
        <f t="shared" si="39"/>
        <v/>
      </c>
    </row>
    <row r="638" spans="1:21">
      <c r="A638" s="3">
        <v>5573</v>
      </c>
      <c r="B638" s="82">
        <f t="array" ref="B638">SUM(--(FREQUENCY(IF(C$2:C$3071=C638, MATCH(D$2:D$3071, D$2:D$3071, 0)), ROW(D$2:D$3071)-ROW(D$2)+1) &gt; 0))</f>
        <v>18</v>
      </c>
      <c r="C638" s="3">
        <v>41200039</v>
      </c>
      <c r="D638" s="6" t="s">
        <v>4762</v>
      </c>
      <c r="E638" s="3" t="s">
        <v>4135</v>
      </c>
      <c r="F638" s="3" t="s">
        <v>4112</v>
      </c>
      <c r="G638" s="3" t="str">
        <f t="shared" si="37"/>
        <v>DUAL</v>
      </c>
      <c r="H638" s="197">
        <f t="shared" si="36"/>
        <v>18</v>
      </c>
      <c r="I638" s="197">
        <v>4</v>
      </c>
      <c r="J638" s="197">
        <v>28</v>
      </c>
      <c r="K638" s="186">
        <f t="shared" si="38"/>
        <v>45775</v>
      </c>
      <c r="L638" s="3" t="s">
        <v>2381</v>
      </c>
      <c r="M638" s="3" t="s">
        <v>2383</v>
      </c>
      <c r="N638" s="3" t="str">
        <f t="shared" si="39"/>
        <v/>
      </c>
    </row>
    <row r="639" spans="1:21">
      <c r="A639" s="3">
        <v>5587</v>
      </c>
      <c r="B639" s="82">
        <f t="array" ref="B639">SUM(--(FREQUENCY(IF(C$2:C$3071=C639, MATCH(D$2:D$3071, D$2:D$3071, 0)), ROW(D$2:D$3071)-ROW(D$2)+1) &gt; 0))</f>
        <v>12</v>
      </c>
      <c r="C639" s="3">
        <v>41100550</v>
      </c>
      <c r="D639" s="6" t="s">
        <v>2135</v>
      </c>
      <c r="E639" s="3" t="s">
        <v>2365</v>
      </c>
      <c r="F639" s="3" t="s">
        <v>4223</v>
      </c>
      <c r="G639" s="3" t="str">
        <f t="shared" si="37"/>
        <v>SINGLE</v>
      </c>
      <c r="H639" s="197">
        <f t="shared" si="36"/>
        <v>18</v>
      </c>
      <c r="I639" s="197">
        <v>4</v>
      </c>
      <c r="J639" s="197">
        <v>29</v>
      </c>
      <c r="K639" s="186">
        <f t="shared" si="38"/>
        <v>45776</v>
      </c>
      <c r="L639" s="3" t="s">
        <v>2381</v>
      </c>
      <c r="M639" s="3" t="s">
        <v>2383</v>
      </c>
      <c r="N639" s="3" t="str">
        <f t="shared" si="39"/>
        <v/>
      </c>
    </row>
    <row r="640" spans="1:21">
      <c r="A640" s="17">
        <v>5587</v>
      </c>
      <c r="B640" s="82">
        <f t="array" ref="B640">SUM(--(FREQUENCY(IF(C$2:C$3071=C640, MATCH(D$2:D$3071, D$2:D$3071, 0)), ROW(D$2:D$3071)-ROW(D$2)+1) &gt; 0))</f>
        <v>12</v>
      </c>
      <c r="C640" s="17">
        <v>41100550</v>
      </c>
      <c r="D640" s="6" t="s">
        <v>4763</v>
      </c>
      <c r="E640" s="17" t="s">
        <v>2365</v>
      </c>
      <c r="F640" s="17" t="s">
        <v>4223</v>
      </c>
      <c r="G640" s="3" t="str">
        <f t="shared" si="37"/>
        <v>SINGLE</v>
      </c>
      <c r="H640" s="197">
        <f t="shared" si="36"/>
        <v>18</v>
      </c>
      <c r="I640" s="205">
        <v>4</v>
      </c>
      <c r="J640" s="205">
        <v>29</v>
      </c>
      <c r="K640" s="186">
        <f t="shared" si="38"/>
        <v>45776</v>
      </c>
      <c r="L640" s="17" t="s">
        <v>2381</v>
      </c>
      <c r="M640" s="17" t="s">
        <v>2383</v>
      </c>
      <c r="N640" s="3" t="str">
        <f t="shared" si="39"/>
        <v>NG</v>
      </c>
      <c r="O640" s="17" t="s">
        <v>1568</v>
      </c>
      <c r="P640" s="17"/>
      <c r="Q640" s="17"/>
      <c r="R640" s="17"/>
      <c r="S640" s="17" t="s">
        <v>4764</v>
      </c>
      <c r="T640" s="17"/>
      <c r="U640" s="17"/>
    </row>
    <row r="641" spans="1:21">
      <c r="A641" s="3">
        <v>5640</v>
      </c>
      <c r="B641" s="82">
        <f t="array" ref="B641">SUM(--(FREQUENCY(IF(C$2:C$3071=C641, MATCH(D$2:D$3071, D$2:D$3071, 0)), ROW(D$2:D$3071)-ROW(D$2)+1) &gt; 0))</f>
        <v>15</v>
      </c>
      <c r="C641" s="3">
        <v>41200087</v>
      </c>
      <c r="D641" s="6" t="s">
        <v>4765</v>
      </c>
      <c r="E641" s="3" t="s">
        <v>4264</v>
      </c>
      <c r="F641" s="3" t="s">
        <v>4112</v>
      </c>
      <c r="G641" s="3" t="str">
        <f t="shared" si="37"/>
        <v>DUAL</v>
      </c>
      <c r="H641" s="197">
        <f t="shared" ref="H641:H704" si="40">WEEKNUM(K641)</f>
        <v>18</v>
      </c>
      <c r="I641" s="197">
        <v>4</v>
      </c>
      <c r="J641" s="197">
        <v>29</v>
      </c>
      <c r="K641" s="186">
        <f t="shared" si="38"/>
        <v>45776</v>
      </c>
      <c r="L641" s="3" t="s">
        <v>2381</v>
      </c>
      <c r="M641" s="3" t="s">
        <v>2383</v>
      </c>
      <c r="N641" s="3" t="str">
        <f t="shared" si="39"/>
        <v/>
      </c>
    </row>
    <row r="642" spans="1:21">
      <c r="A642" s="3">
        <v>5538</v>
      </c>
      <c r="B642" s="82">
        <f t="array" ref="B642">SUM(--(FREQUENCY(IF(C$2:C$3071=C642, MATCH(D$2:D$3071, D$2:D$3071, 0)), ROW(D$2:D$3071)-ROW(D$2)+1) &gt; 0))</f>
        <v>77</v>
      </c>
      <c r="C642" s="3">
        <v>41200076</v>
      </c>
      <c r="D642" s="6" t="s">
        <v>4766</v>
      </c>
      <c r="E642" s="3" t="s">
        <v>4102</v>
      </c>
      <c r="F642" s="3" t="s">
        <v>4112</v>
      </c>
      <c r="G642" s="3" t="str">
        <f t="shared" ref="G642:G705" si="41">IF(OR(ISNUMBER(SEARCH("DUAL",F642)), ISNUMBER(SEARCH("IVAS",F642))), "DUAL", "SINGLE")</f>
        <v>DUAL</v>
      </c>
      <c r="H642" s="197">
        <f t="shared" si="40"/>
        <v>18</v>
      </c>
      <c r="I642" s="197">
        <v>4</v>
      </c>
      <c r="J642" s="197">
        <v>29</v>
      </c>
      <c r="K642" s="186">
        <f t="shared" ref="K642:K705" si="42">DATE(2025, I642, J642)</f>
        <v>45776</v>
      </c>
      <c r="L642" s="3" t="s">
        <v>4104</v>
      </c>
      <c r="M642" s="3" t="s">
        <v>2388</v>
      </c>
      <c r="N642" s="3" t="str">
        <f t="shared" ref="N642:N705" si="43">IF(O642&lt;&gt;"", "NG", "")</f>
        <v/>
      </c>
    </row>
    <row r="643" spans="1:21" s="26" customFormat="1">
      <c r="A643" s="3">
        <v>5613</v>
      </c>
      <c r="B643" s="82">
        <f t="array" ref="B643">SUM(--(FREQUENCY(IF(C$2:C$3071=C643, MATCH(D$2:D$3071, D$2:D$3071, 0)), ROW(D$2:D$3071)-ROW(D$2)+1) &gt; 0))</f>
        <v>1</v>
      </c>
      <c r="C643" s="3">
        <v>41200142</v>
      </c>
      <c r="D643" s="6" t="s">
        <v>4767</v>
      </c>
      <c r="E643" s="3" t="s">
        <v>2365</v>
      </c>
      <c r="F643" s="3" t="s">
        <v>4112</v>
      </c>
      <c r="G643" s="3" t="str">
        <f t="shared" si="41"/>
        <v>DUAL</v>
      </c>
      <c r="H643" s="197">
        <f t="shared" si="40"/>
        <v>18</v>
      </c>
      <c r="I643" s="197">
        <v>4</v>
      </c>
      <c r="J643" s="197">
        <v>29</v>
      </c>
      <c r="K643" s="186">
        <f t="shared" si="42"/>
        <v>45776</v>
      </c>
      <c r="L643" s="3" t="s">
        <v>2381</v>
      </c>
      <c r="M643" s="3" t="s">
        <v>2383</v>
      </c>
      <c r="N643" s="3" t="str">
        <f t="shared" si="43"/>
        <v/>
      </c>
      <c r="O643" s="3"/>
      <c r="P643" s="3"/>
      <c r="Q643" s="3"/>
      <c r="R643" s="3"/>
      <c r="S643" s="3"/>
      <c r="T643" s="3"/>
      <c r="U643" s="3"/>
    </row>
    <row r="644" spans="1:21">
      <c r="A644" s="3">
        <v>5574</v>
      </c>
      <c r="B644" s="82">
        <f t="array" ref="B644">SUM(--(FREQUENCY(IF(C$2:C$3071=C644, MATCH(D$2:D$3071, D$2:D$3071, 0)), ROW(D$2:D$3071)-ROW(D$2)+1) &gt; 0))</f>
        <v>51</v>
      </c>
      <c r="C644" s="3">
        <v>41200034</v>
      </c>
      <c r="D644" s="6" t="s">
        <v>2134</v>
      </c>
      <c r="E644" s="3" t="s">
        <v>4135</v>
      </c>
      <c r="F644" s="3" t="s">
        <v>4112</v>
      </c>
      <c r="G644" s="3" t="str">
        <f t="shared" si="41"/>
        <v>DUAL</v>
      </c>
      <c r="H644" s="197">
        <f t="shared" si="40"/>
        <v>18</v>
      </c>
      <c r="I644" s="197">
        <v>4</v>
      </c>
      <c r="J644" s="197">
        <v>29</v>
      </c>
      <c r="K644" s="186">
        <f t="shared" si="42"/>
        <v>45776</v>
      </c>
      <c r="L644" s="3" t="s">
        <v>2381</v>
      </c>
      <c r="M644" s="3" t="s">
        <v>2367</v>
      </c>
      <c r="N644" s="3" t="str">
        <f t="shared" si="43"/>
        <v/>
      </c>
    </row>
    <row r="645" spans="1:21">
      <c r="A645" s="3">
        <v>5574</v>
      </c>
      <c r="B645" s="82">
        <f t="array" ref="B645">SUM(--(FREQUENCY(IF(C$2:C$3071=C645, MATCH(D$2:D$3071, D$2:D$3071, 0)), ROW(D$2:D$3071)-ROW(D$2)+1) &gt; 0))</f>
        <v>51</v>
      </c>
      <c r="C645" s="3">
        <v>41200034</v>
      </c>
      <c r="D645" s="6" t="s">
        <v>2133</v>
      </c>
      <c r="E645" s="3" t="s">
        <v>4135</v>
      </c>
      <c r="F645" s="3" t="s">
        <v>4112</v>
      </c>
      <c r="G645" s="3" t="str">
        <f t="shared" si="41"/>
        <v>DUAL</v>
      </c>
      <c r="H645" s="197">
        <f t="shared" si="40"/>
        <v>18</v>
      </c>
      <c r="I645" s="197">
        <v>4</v>
      </c>
      <c r="J645" s="197">
        <v>29</v>
      </c>
      <c r="K645" s="186">
        <f t="shared" si="42"/>
        <v>45776</v>
      </c>
      <c r="L645" s="3" t="s">
        <v>2381</v>
      </c>
      <c r="M645" s="3" t="s">
        <v>2367</v>
      </c>
      <c r="N645" s="3" t="str">
        <f t="shared" si="43"/>
        <v/>
      </c>
    </row>
    <row r="646" spans="1:21">
      <c r="A646" s="3">
        <v>5574</v>
      </c>
      <c r="B646" s="82">
        <f t="array" ref="B646">SUM(--(FREQUENCY(IF(C$2:C$3071=C646, MATCH(D$2:D$3071, D$2:D$3071, 0)), ROW(D$2:D$3071)-ROW(D$2)+1) &gt; 0))</f>
        <v>51</v>
      </c>
      <c r="C646" s="3">
        <v>41200034</v>
      </c>
      <c r="D646" s="6" t="s">
        <v>4768</v>
      </c>
      <c r="E646" s="3" t="s">
        <v>4135</v>
      </c>
      <c r="F646" s="3" t="s">
        <v>4112</v>
      </c>
      <c r="G646" s="3" t="str">
        <f t="shared" si="41"/>
        <v>DUAL</v>
      </c>
      <c r="H646" s="197">
        <f t="shared" si="40"/>
        <v>18</v>
      </c>
      <c r="I646" s="197">
        <v>4</v>
      </c>
      <c r="J646" s="197">
        <v>29</v>
      </c>
      <c r="K646" s="186">
        <f t="shared" si="42"/>
        <v>45776</v>
      </c>
      <c r="L646" s="3" t="s">
        <v>2381</v>
      </c>
      <c r="M646" s="3" t="s">
        <v>2367</v>
      </c>
      <c r="N646" s="3" t="str">
        <f t="shared" si="43"/>
        <v>NG</v>
      </c>
      <c r="O646" s="3" t="s">
        <v>1568</v>
      </c>
      <c r="Q646" s="3">
        <v>11002283</v>
      </c>
      <c r="R646" s="3" t="s">
        <v>4105</v>
      </c>
      <c r="S646" s="3" t="s">
        <v>4769</v>
      </c>
    </row>
    <row r="647" spans="1:21">
      <c r="A647" s="3">
        <v>5577</v>
      </c>
      <c r="B647" s="82">
        <f t="array" ref="B647">SUM(--(FREQUENCY(IF(C$2:C$3071=C647, MATCH(D$2:D$3071, D$2:D$3071, 0)), ROW(D$2:D$3071)-ROW(D$2)+1) &gt; 0))</f>
        <v>44</v>
      </c>
      <c r="C647" s="3">
        <v>41200047</v>
      </c>
      <c r="D647" s="6" t="s">
        <v>4770</v>
      </c>
      <c r="E647" s="3" t="s">
        <v>4135</v>
      </c>
      <c r="F647" s="3" t="s">
        <v>4112</v>
      </c>
      <c r="G647" s="3" t="str">
        <f t="shared" si="41"/>
        <v>DUAL</v>
      </c>
      <c r="H647" s="197">
        <f t="shared" si="40"/>
        <v>18</v>
      </c>
      <c r="I647" s="197">
        <v>4</v>
      </c>
      <c r="J647" s="197">
        <v>29</v>
      </c>
      <c r="K647" s="186">
        <f t="shared" si="42"/>
        <v>45776</v>
      </c>
      <c r="L647" s="3" t="s">
        <v>2381</v>
      </c>
      <c r="M647" s="3" t="s">
        <v>2367</v>
      </c>
      <c r="N647" s="3" t="str">
        <f t="shared" si="43"/>
        <v/>
      </c>
    </row>
    <row r="648" spans="1:21">
      <c r="A648" s="3">
        <v>5574</v>
      </c>
      <c r="B648" s="82">
        <f t="array" ref="B648">SUM(--(FREQUENCY(IF(C$2:C$3071=C648, MATCH(D$2:D$3071, D$2:D$3071, 0)), ROW(D$2:D$3071)-ROW(D$2)+1) &gt; 0))</f>
        <v>51</v>
      </c>
      <c r="C648" s="3">
        <v>41200034</v>
      </c>
      <c r="D648" s="6" t="s">
        <v>2140</v>
      </c>
      <c r="E648" s="3" t="s">
        <v>4135</v>
      </c>
      <c r="F648" s="3" t="s">
        <v>4112</v>
      </c>
      <c r="G648" s="3" t="str">
        <f t="shared" si="41"/>
        <v>DUAL</v>
      </c>
      <c r="H648" s="197">
        <f t="shared" si="40"/>
        <v>18</v>
      </c>
      <c r="I648" s="197">
        <v>4</v>
      </c>
      <c r="J648" s="197">
        <v>30</v>
      </c>
      <c r="K648" s="186">
        <f t="shared" si="42"/>
        <v>45777</v>
      </c>
      <c r="L648" s="3" t="s">
        <v>2381</v>
      </c>
      <c r="M648" s="3" t="s">
        <v>2367</v>
      </c>
      <c r="N648" s="3" t="str">
        <f t="shared" si="43"/>
        <v/>
      </c>
    </row>
    <row r="649" spans="1:21">
      <c r="A649" s="3">
        <v>5574</v>
      </c>
      <c r="B649" s="82">
        <f t="array" ref="B649">SUM(--(FREQUENCY(IF(C$2:C$3071=C649, MATCH(D$2:D$3071, D$2:D$3071, 0)), ROW(D$2:D$3071)-ROW(D$2)+1) &gt; 0))</f>
        <v>51</v>
      </c>
      <c r="C649" s="3">
        <v>41200034</v>
      </c>
      <c r="D649" s="6" t="s">
        <v>4771</v>
      </c>
      <c r="E649" s="3" t="s">
        <v>4135</v>
      </c>
      <c r="F649" s="3" t="s">
        <v>4112</v>
      </c>
      <c r="G649" s="3" t="str">
        <f t="shared" si="41"/>
        <v>DUAL</v>
      </c>
      <c r="H649" s="197">
        <f t="shared" si="40"/>
        <v>18</v>
      </c>
      <c r="I649" s="197">
        <v>4</v>
      </c>
      <c r="J649" s="197">
        <v>30</v>
      </c>
      <c r="K649" s="186">
        <f t="shared" si="42"/>
        <v>45777</v>
      </c>
      <c r="L649" s="3" t="s">
        <v>2381</v>
      </c>
      <c r="M649" s="3" t="s">
        <v>2367</v>
      </c>
      <c r="N649" s="3" t="str">
        <f t="shared" si="43"/>
        <v>NG</v>
      </c>
      <c r="O649" s="3" t="s">
        <v>1568</v>
      </c>
      <c r="Q649" s="3">
        <v>11002201</v>
      </c>
      <c r="R649" s="3" t="s">
        <v>4377</v>
      </c>
      <c r="S649" s="3" t="s">
        <v>4772</v>
      </c>
      <c r="T649" s="3" t="s">
        <v>4454</v>
      </c>
    </row>
    <row r="650" spans="1:21">
      <c r="A650" s="3">
        <v>5572</v>
      </c>
      <c r="B650" s="82">
        <f t="array" ref="B650">SUM(--(FREQUENCY(IF(C$2:C$3071=C650, MATCH(D$2:D$3071, D$2:D$3071, 0)), ROW(D$2:D$3071)-ROW(D$2)+1) &gt; 0))</f>
        <v>21</v>
      </c>
      <c r="C650" s="3">
        <v>41200036</v>
      </c>
      <c r="D650" s="6" t="s">
        <v>4773</v>
      </c>
      <c r="E650" s="3" t="s">
        <v>4135</v>
      </c>
      <c r="F650" s="3" t="s">
        <v>4112</v>
      </c>
      <c r="G650" s="3" t="str">
        <f t="shared" si="41"/>
        <v>DUAL</v>
      </c>
      <c r="H650" s="197">
        <f t="shared" si="40"/>
        <v>18</v>
      </c>
      <c r="I650" s="197">
        <v>4</v>
      </c>
      <c r="J650" s="197">
        <v>30</v>
      </c>
      <c r="K650" s="186">
        <f t="shared" si="42"/>
        <v>45777</v>
      </c>
      <c r="L650" s="3" t="s">
        <v>2381</v>
      </c>
      <c r="M650" s="3" t="s">
        <v>2383</v>
      </c>
      <c r="N650" s="3" t="str">
        <f t="shared" si="43"/>
        <v/>
      </c>
    </row>
    <row r="651" spans="1:21">
      <c r="A651" s="3">
        <v>5589</v>
      </c>
      <c r="B651" s="82">
        <f t="array" ref="B651">SUM(--(FREQUENCY(IF(C$2:C$3071=C651, MATCH(D$2:D$3071, D$2:D$3071, 0)), ROW(D$2:D$3071)-ROW(D$2)+1) &gt; 0))</f>
        <v>11</v>
      </c>
      <c r="C651" s="3">
        <v>41000588</v>
      </c>
      <c r="D651" s="6" t="s">
        <v>4774</v>
      </c>
      <c r="E651" s="3" t="s">
        <v>2365</v>
      </c>
      <c r="F651" s="3" t="s">
        <v>4130</v>
      </c>
      <c r="G651" s="3" t="str">
        <f t="shared" si="41"/>
        <v>DUAL</v>
      </c>
      <c r="H651" s="197">
        <f t="shared" si="40"/>
        <v>18</v>
      </c>
      <c r="I651" s="197">
        <v>4</v>
      </c>
      <c r="J651" s="197">
        <v>30</v>
      </c>
      <c r="K651" s="186">
        <f t="shared" si="42"/>
        <v>45777</v>
      </c>
      <c r="L651" s="3" t="s">
        <v>2367</v>
      </c>
      <c r="M651" s="3" t="s">
        <v>2388</v>
      </c>
      <c r="N651" s="3" t="str">
        <f t="shared" si="43"/>
        <v/>
      </c>
    </row>
    <row r="652" spans="1:21">
      <c r="A652" s="3">
        <v>5533</v>
      </c>
      <c r="B652" s="82">
        <f t="array" ref="B652">SUM(--(FREQUENCY(IF(C$2:C$3071=C652, MATCH(D$2:D$3071, D$2:D$3071, 0)), ROW(D$2:D$3071)-ROW(D$2)+1) &gt; 0))</f>
        <v>33</v>
      </c>
      <c r="C652" s="3">
        <v>41100435</v>
      </c>
      <c r="D652" s="6" t="s">
        <v>4775</v>
      </c>
      <c r="E652" s="3" t="s">
        <v>4102</v>
      </c>
      <c r="F652" s="3" t="s">
        <v>4103</v>
      </c>
      <c r="G652" s="3" t="str">
        <f t="shared" si="41"/>
        <v>SINGLE</v>
      </c>
      <c r="H652" s="197">
        <f t="shared" si="40"/>
        <v>19</v>
      </c>
      <c r="I652" s="197">
        <v>5</v>
      </c>
      <c r="J652" s="197">
        <v>7</v>
      </c>
      <c r="K652" s="186">
        <f t="shared" si="42"/>
        <v>45784</v>
      </c>
      <c r="L652" s="3" t="s">
        <v>4104</v>
      </c>
      <c r="M652" s="3" t="s">
        <v>2367</v>
      </c>
      <c r="N652" s="3" t="str">
        <f t="shared" si="43"/>
        <v/>
      </c>
    </row>
    <row r="653" spans="1:21">
      <c r="A653" s="3">
        <v>5608</v>
      </c>
      <c r="B653" s="82">
        <f t="array" ref="B653">SUM(--(FREQUENCY(IF(C$2:C$3071=C653, MATCH(D$2:D$3071, D$2:D$3071, 0)), ROW(D$2:D$3071)-ROW(D$2)+1) &gt; 0))</f>
        <v>3</v>
      </c>
      <c r="C653" s="3">
        <v>41200146</v>
      </c>
      <c r="D653" s="6" t="s">
        <v>4776</v>
      </c>
      <c r="E653" s="3" t="s">
        <v>4326</v>
      </c>
      <c r="F653" s="3" t="s">
        <v>4119</v>
      </c>
      <c r="G653" s="3" t="str">
        <f t="shared" si="41"/>
        <v>SINGLE</v>
      </c>
      <c r="H653" s="197">
        <f t="shared" si="40"/>
        <v>19</v>
      </c>
      <c r="I653" s="197">
        <v>5</v>
      </c>
      <c r="J653" s="197">
        <v>7</v>
      </c>
      <c r="K653" s="186">
        <f t="shared" si="42"/>
        <v>45784</v>
      </c>
      <c r="L653" s="3" t="s">
        <v>2381</v>
      </c>
      <c r="M653" s="3" t="s">
        <v>2383</v>
      </c>
      <c r="N653" s="3" t="str">
        <f t="shared" si="43"/>
        <v/>
      </c>
    </row>
    <row r="654" spans="1:21">
      <c r="A654" s="3">
        <v>5607</v>
      </c>
      <c r="B654" s="82">
        <f t="array" ref="B654">SUM(--(FREQUENCY(IF(C$2:C$3071=C654, MATCH(D$2:D$3071, D$2:D$3071, 0)), ROW(D$2:D$3071)-ROW(D$2)+1) &gt; 0))</f>
        <v>8</v>
      </c>
      <c r="C654" s="3">
        <v>41200145</v>
      </c>
      <c r="D654" s="6" t="s">
        <v>1877</v>
      </c>
      <c r="E654" s="3" t="s">
        <v>4326</v>
      </c>
      <c r="F654" s="3" t="s">
        <v>4119</v>
      </c>
      <c r="G654" s="3" t="str">
        <f t="shared" si="41"/>
        <v>SINGLE</v>
      </c>
      <c r="H654" s="197">
        <f t="shared" si="40"/>
        <v>19</v>
      </c>
      <c r="I654" s="197">
        <v>5</v>
      </c>
      <c r="J654" s="197">
        <v>7</v>
      </c>
      <c r="K654" s="186">
        <f t="shared" si="42"/>
        <v>45784</v>
      </c>
      <c r="L654" s="3" t="s">
        <v>2381</v>
      </c>
      <c r="M654" s="3" t="s">
        <v>2383</v>
      </c>
      <c r="N654" s="3" t="str">
        <f t="shared" si="43"/>
        <v/>
      </c>
    </row>
    <row r="655" spans="1:21">
      <c r="A655" s="3">
        <v>5607</v>
      </c>
      <c r="B655" s="82">
        <f t="array" ref="B655">SUM(--(FREQUENCY(IF(C$2:C$3071=C655, MATCH(D$2:D$3071, D$2:D$3071, 0)), ROW(D$2:D$3071)-ROW(D$2)+1) &gt; 0))</f>
        <v>8</v>
      </c>
      <c r="C655" s="3">
        <v>41200145</v>
      </c>
      <c r="D655" s="6" t="s">
        <v>4451</v>
      </c>
      <c r="E655" s="3" t="s">
        <v>4326</v>
      </c>
      <c r="F655" s="3" t="s">
        <v>4119</v>
      </c>
      <c r="G655" s="3" t="str">
        <f t="shared" si="41"/>
        <v>SINGLE</v>
      </c>
      <c r="H655" s="197">
        <f t="shared" si="40"/>
        <v>19</v>
      </c>
      <c r="I655" s="197">
        <v>5</v>
      </c>
      <c r="J655" s="197">
        <v>7</v>
      </c>
      <c r="K655" s="186">
        <f t="shared" si="42"/>
        <v>45784</v>
      </c>
      <c r="L655" s="3" t="s">
        <v>2381</v>
      </c>
      <c r="M655" s="3" t="s">
        <v>2383</v>
      </c>
      <c r="N655" s="3" t="str">
        <f t="shared" si="43"/>
        <v/>
      </c>
    </row>
    <row r="656" spans="1:21">
      <c r="A656" s="3">
        <v>5535</v>
      </c>
      <c r="B656" s="82">
        <f t="array" ref="B656">SUM(--(FREQUENCY(IF(C$2:C$3071=C656, MATCH(D$2:D$3071, D$2:D$3071, 0)), ROW(D$2:D$3071)-ROW(D$2)+1) &gt; 0))</f>
        <v>10</v>
      </c>
      <c r="C656" s="3">
        <v>41100338</v>
      </c>
      <c r="D656" s="6" t="s">
        <v>2148</v>
      </c>
      <c r="E656" s="3" t="s">
        <v>4102</v>
      </c>
      <c r="F656" s="3" t="s">
        <v>2380</v>
      </c>
      <c r="G656" s="3" t="str">
        <f t="shared" si="41"/>
        <v>SINGLE</v>
      </c>
      <c r="H656" s="197">
        <f t="shared" si="40"/>
        <v>19</v>
      </c>
      <c r="I656" s="197">
        <v>5</v>
      </c>
      <c r="J656" s="197">
        <v>7</v>
      </c>
      <c r="K656" s="186">
        <f t="shared" si="42"/>
        <v>45784</v>
      </c>
      <c r="L656" s="3" t="s">
        <v>4104</v>
      </c>
      <c r="M656" s="3" t="s">
        <v>2388</v>
      </c>
      <c r="N656" s="3" t="str">
        <f t="shared" si="43"/>
        <v/>
      </c>
    </row>
    <row r="657" spans="1:21">
      <c r="A657" s="3">
        <v>5535</v>
      </c>
      <c r="B657" s="82">
        <f t="array" ref="B657">SUM(--(FREQUENCY(IF(C$2:C$3071=C657, MATCH(D$2:D$3071, D$2:D$3071, 0)), ROW(D$2:D$3071)-ROW(D$2)+1) &gt; 0))</f>
        <v>10</v>
      </c>
      <c r="C657" s="3">
        <v>41100338</v>
      </c>
      <c r="D657" s="6" t="s">
        <v>4777</v>
      </c>
      <c r="E657" s="3" t="s">
        <v>4102</v>
      </c>
      <c r="F657" s="3" t="s">
        <v>2380</v>
      </c>
      <c r="G657" s="3" t="str">
        <f t="shared" si="41"/>
        <v>SINGLE</v>
      </c>
      <c r="H657" s="197">
        <f t="shared" si="40"/>
        <v>19</v>
      </c>
      <c r="I657" s="197">
        <v>5</v>
      </c>
      <c r="J657" s="197">
        <v>7</v>
      </c>
      <c r="K657" s="186">
        <f t="shared" si="42"/>
        <v>45784</v>
      </c>
      <c r="L657" s="3" t="s">
        <v>4104</v>
      </c>
      <c r="M657" s="3" t="s">
        <v>2388</v>
      </c>
      <c r="N657" s="3" t="str">
        <f t="shared" si="43"/>
        <v>NG</v>
      </c>
      <c r="O657" s="3" t="s">
        <v>1568</v>
      </c>
      <c r="Q657" s="3">
        <v>11000122</v>
      </c>
      <c r="R657" s="3" t="s">
        <v>1049</v>
      </c>
      <c r="S657" s="6" t="s">
        <v>4757</v>
      </c>
    </row>
    <row r="658" spans="1:21">
      <c r="A658" s="3">
        <v>5621</v>
      </c>
      <c r="B658" s="82">
        <f t="array" ref="B658">SUM(--(FREQUENCY(IF(C$2:C$3071=C658, MATCH(D$2:D$3071, D$2:D$3071, 0)), ROW(D$2:D$3071)-ROW(D$2)+1) &gt; 0))</f>
        <v>11</v>
      </c>
      <c r="C658" s="3">
        <v>41100695</v>
      </c>
      <c r="D658" s="6" t="s">
        <v>2145</v>
      </c>
      <c r="E658" s="3" t="s">
        <v>4603</v>
      </c>
      <c r="F658" s="3" t="s">
        <v>4165</v>
      </c>
      <c r="G658" s="3" t="str">
        <f t="shared" si="41"/>
        <v>SINGLE</v>
      </c>
      <c r="H658" s="197">
        <f t="shared" si="40"/>
        <v>19</v>
      </c>
      <c r="I658" s="197">
        <v>5</v>
      </c>
      <c r="J658" s="197">
        <v>7</v>
      </c>
      <c r="K658" s="186">
        <f t="shared" si="42"/>
        <v>45784</v>
      </c>
      <c r="L658" s="3" t="s">
        <v>2367</v>
      </c>
      <c r="M658" s="3" t="s">
        <v>2388</v>
      </c>
      <c r="N658" s="3" t="str">
        <f t="shared" si="43"/>
        <v>NG</v>
      </c>
      <c r="O658" s="3" t="s">
        <v>1568</v>
      </c>
      <c r="Q658" s="3">
        <v>11001947</v>
      </c>
      <c r="R658" s="3" t="s">
        <v>4713</v>
      </c>
      <c r="S658" s="3" t="s">
        <v>4778</v>
      </c>
    </row>
    <row r="659" spans="1:21">
      <c r="A659" s="3">
        <v>5621</v>
      </c>
      <c r="B659" s="82">
        <f t="array" ref="B659">SUM(--(FREQUENCY(IF(C$2:C$3071=C659, MATCH(D$2:D$3071, D$2:D$3071, 0)), ROW(D$2:D$3071)-ROW(D$2)+1) &gt; 0))</f>
        <v>11</v>
      </c>
      <c r="C659" s="3">
        <v>41100695</v>
      </c>
      <c r="D659" s="6" t="s">
        <v>4779</v>
      </c>
      <c r="E659" s="3" t="s">
        <v>4603</v>
      </c>
      <c r="F659" s="3" t="s">
        <v>4165</v>
      </c>
      <c r="G659" s="3" t="str">
        <f t="shared" si="41"/>
        <v>SINGLE</v>
      </c>
      <c r="H659" s="197">
        <f t="shared" si="40"/>
        <v>19</v>
      </c>
      <c r="I659" s="197">
        <v>5</v>
      </c>
      <c r="J659" s="197">
        <v>7</v>
      </c>
      <c r="K659" s="186">
        <f t="shared" si="42"/>
        <v>45784</v>
      </c>
      <c r="L659" s="3" t="s">
        <v>2367</v>
      </c>
      <c r="M659" s="3" t="s">
        <v>2388</v>
      </c>
      <c r="N659" s="3" t="str">
        <f t="shared" si="43"/>
        <v/>
      </c>
    </row>
    <row r="660" spans="1:21">
      <c r="A660" s="3">
        <v>5654</v>
      </c>
      <c r="B660" s="82">
        <f t="array" ref="B660">SUM(--(FREQUENCY(IF(C$2:C$3071=C660, MATCH(D$2:D$3071, D$2:D$3071, 0)), ROW(D$2:D$3071)-ROW(D$2)+1) &gt; 0))</f>
        <v>32</v>
      </c>
      <c r="C660" s="3">
        <v>41200122</v>
      </c>
      <c r="D660" s="6" t="s">
        <v>4780</v>
      </c>
      <c r="E660" s="3" t="s">
        <v>4102</v>
      </c>
      <c r="F660" s="3" t="s">
        <v>4112</v>
      </c>
      <c r="G660" s="3" t="str">
        <f t="shared" si="41"/>
        <v>DUAL</v>
      </c>
      <c r="H660" s="197">
        <f t="shared" si="40"/>
        <v>19</v>
      </c>
      <c r="I660" s="197">
        <v>5</v>
      </c>
      <c r="J660" s="197">
        <v>7</v>
      </c>
      <c r="K660" s="186">
        <f t="shared" si="42"/>
        <v>45784</v>
      </c>
      <c r="L660" s="3" t="s">
        <v>4104</v>
      </c>
      <c r="M660" s="3" t="s">
        <v>2388</v>
      </c>
      <c r="N660" s="3" t="str">
        <f t="shared" si="43"/>
        <v/>
      </c>
    </row>
    <row r="661" spans="1:21" s="15" customFormat="1">
      <c r="A661" s="3">
        <v>5608</v>
      </c>
      <c r="B661" s="82">
        <f t="array" ref="B661">SUM(--(FREQUENCY(IF(C$2:C$3071=C661, MATCH(D$2:D$3071, D$2:D$3071, 0)), ROW(D$2:D$3071)-ROW(D$2)+1) &gt; 0))</f>
        <v>3</v>
      </c>
      <c r="C661" s="3">
        <v>41200146</v>
      </c>
      <c r="D661" s="6" t="s">
        <v>1879</v>
      </c>
      <c r="E661" s="3" t="s">
        <v>4326</v>
      </c>
      <c r="F661" s="3" t="s">
        <v>4119</v>
      </c>
      <c r="G661" s="3" t="str">
        <f t="shared" si="41"/>
        <v>SINGLE</v>
      </c>
      <c r="H661" s="197">
        <f t="shared" si="40"/>
        <v>19</v>
      </c>
      <c r="I661" s="197">
        <v>5</v>
      </c>
      <c r="J661" s="197">
        <v>8</v>
      </c>
      <c r="K661" s="186">
        <f t="shared" si="42"/>
        <v>45785</v>
      </c>
      <c r="L661" s="3" t="s">
        <v>2381</v>
      </c>
      <c r="M661" s="3" t="s">
        <v>2383</v>
      </c>
      <c r="N661" s="3" t="str">
        <f t="shared" si="43"/>
        <v/>
      </c>
      <c r="O661" s="3"/>
      <c r="P661" s="3"/>
      <c r="Q661" s="3"/>
      <c r="R661" s="3"/>
      <c r="S661" s="3"/>
      <c r="T661" s="3"/>
      <c r="U661" s="3" t="s">
        <v>4781</v>
      </c>
    </row>
    <row r="662" spans="1:21" s="15" customFormat="1">
      <c r="A662" s="3">
        <v>5608</v>
      </c>
      <c r="B662" s="82">
        <f t="array" ref="B662">SUM(--(FREQUENCY(IF(C$2:C$3071=C662, MATCH(D$2:D$3071, D$2:D$3071, 0)), ROW(D$2:D$3071)-ROW(D$2)+1) &gt; 0))</f>
        <v>3</v>
      </c>
      <c r="C662" s="3">
        <v>41200146</v>
      </c>
      <c r="D662" s="6" t="s">
        <v>4782</v>
      </c>
      <c r="E662" s="3" t="s">
        <v>4326</v>
      </c>
      <c r="F662" s="3" t="s">
        <v>4119</v>
      </c>
      <c r="G662" s="3" t="str">
        <f t="shared" si="41"/>
        <v>SINGLE</v>
      </c>
      <c r="H662" s="197">
        <f t="shared" si="40"/>
        <v>19</v>
      </c>
      <c r="I662" s="197">
        <v>5</v>
      </c>
      <c r="J662" s="197">
        <v>8</v>
      </c>
      <c r="K662" s="186">
        <f t="shared" si="42"/>
        <v>45785</v>
      </c>
      <c r="L662" s="3" t="s">
        <v>2381</v>
      </c>
      <c r="M662" s="3" t="s">
        <v>2383</v>
      </c>
      <c r="N662" s="3" t="str">
        <f t="shared" si="43"/>
        <v/>
      </c>
      <c r="O662" s="3"/>
      <c r="P662" s="3"/>
      <c r="Q662" s="3"/>
      <c r="R662" s="3"/>
      <c r="S662" s="3"/>
      <c r="T662" s="3"/>
      <c r="U662" s="3" t="s">
        <v>4781</v>
      </c>
    </row>
    <row r="663" spans="1:21" s="15" customFormat="1" ht="33">
      <c r="A663" s="3">
        <v>5653</v>
      </c>
      <c r="B663" s="82">
        <f t="array" ref="B663">SUM(--(FREQUENCY(IF(C$2:C$3071=C663, MATCH(D$2:D$3071, D$2:D$3071, 0)), ROW(D$2:D$3071)-ROW(D$2)+1) &gt; 0))</f>
        <v>77</v>
      </c>
      <c r="C663" s="3">
        <v>41200076</v>
      </c>
      <c r="D663" s="6" t="s">
        <v>4783</v>
      </c>
      <c r="E663" s="3" t="s">
        <v>4102</v>
      </c>
      <c r="F663" s="3" t="s">
        <v>4112</v>
      </c>
      <c r="G663" s="3" t="str">
        <f t="shared" si="41"/>
        <v>DUAL</v>
      </c>
      <c r="H663" s="197">
        <f t="shared" si="40"/>
        <v>19</v>
      </c>
      <c r="I663" s="197">
        <v>5</v>
      </c>
      <c r="J663" s="197">
        <v>8</v>
      </c>
      <c r="K663" s="186">
        <f t="shared" si="42"/>
        <v>45785</v>
      </c>
      <c r="L663" s="3" t="s">
        <v>4104</v>
      </c>
      <c r="M663" s="3" t="s">
        <v>2388</v>
      </c>
      <c r="N663" s="3" t="str">
        <f t="shared" si="43"/>
        <v>NG</v>
      </c>
      <c r="O663" s="3" t="s">
        <v>1568</v>
      </c>
      <c r="P663" s="3"/>
      <c r="Q663" s="3">
        <v>11000124</v>
      </c>
      <c r="R663" s="3" t="s">
        <v>4491</v>
      </c>
      <c r="S663" s="7" t="s">
        <v>4784</v>
      </c>
      <c r="T663" s="3" t="s">
        <v>4454</v>
      </c>
      <c r="U663" s="3"/>
    </row>
    <row r="664" spans="1:21" s="15" customFormat="1">
      <c r="A664" s="3">
        <v>5576</v>
      </c>
      <c r="B664" s="82">
        <f t="array" ref="B664">SUM(--(FREQUENCY(IF(C$2:C$3071=C664, MATCH(D$2:D$3071, D$2:D$3071, 0)), ROW(D$2:D$3071)-ROW(D$2)+1) &gt; 0))</f>
        <v>43</v>
      </c>
      <c r="C664" s="3">
        <v>41200046</v>
      </c>
      <c r="D664" s="6" t="s">
        <v>2152</v>
      </c>
      <c r="E664" s="3" t="s">
        <v>4135</v>
      </c>
      <c r="F664" s="3" t="s">
        <v>4112</v>
      </c>
      <c r="G664" s="3" t="str">
        <f t="shared" si="41"/>
        <v>DUAL</v>
      </c>
      <c r="H664" s="197">
        <f t="shared" si="40"/>
        <v>19</v>
      </c>
      <c r="I664" s="197">
        <v>5</v>
      </c>
      <c r="J664" s="197">
        <v>8</v>
      </c>
      <c r="K664" s="186">
        <f t="shared" si="42"/>
        <v>45785</v>
      </c>
      <c r="L664" s="3" t="s">
        <v>2381</v>
      </c>
      <c r="M664" s="3" t="s">
        <v>2367</v>
      </c>
      <c r="N664" s="3" t="str">
        <f t="shared" si="43"/>
        <v/>
      </c>
      <c r="O664" s="3"/>
      <c r="P664" s="3"/>
      <c r="Q664" s="3"/>
      <c r="R664" s="3"/>
      <c r="S664" s="3"/>
      <c r="T664" s="3"/>
      <c r="U664" s="3"/>
    </row>
    <row r="665" spans="1:21">
      <c r="A665" s="3">
        <v>5576</v>
      </c>
      <c r="B665" s="82">
        <f t="array" ref="B665">SUM(--(FREQUENCY(IF(C$2:C$3071=C665, MATCH(D$2:D$3071, D$2:D$3071, 0)), ROW(D$2:D$3071)-ROW(D$2)+1) &gt; 0))</f>
        <v>43</v>
      </c>
      <c r="C665" s="3">
        <v>41200046</v>
      </c>
      <c r="D665" s="6" t="s">
        <v>4785</v>
      </c>
      <c r="E665" s="3" t="s">
        <v>4135</v>
      </c>
      <c r="F665" s="3" t="s">
        <v>4112</v>
      </c>
      <c r="G665" s="3" t="str">
        <f t="shared" si="41"/>
        <v>DUAL</v>
      </c>
      <c r="H665" s="197">
        <f t="shared" si="40"/>
        <v>19</v>
      </c>
      <c r="I665" s="197">
        <v>5</v>
      </c>
      <c r="J665" s="197">
        <v>8</v>
      </c>
      <c r="K665" s="186">
        <f t="shared" si="42"/>
        <v>45785</v>
      </c>
      <c r="L665" s="3" t="s">
        <v>2381</v>
      </c>
      <c r="M665" s="3" t="s">
        <v>2367</v>
      </c>
      <c r="N665" s="3" t="str">
        <f t="shared" si="43"/>
        <v/>
      </c>
    </row>
    <row r="666" spans="1:21">
      <c r="A666" s="14">
        <v>5576</v>
      </c>
      <c r="B666" s="82">
        <f t="array" ref="B666">SUM(--(FREQUENCY(IF(C$2:C$3071=C666, MATCH(D$2:D$3071, D$2:D$3071, 0)), ROW(D$2:D$3071)-ROW(D$2)+1) &gt; 0))</f>
        <v>43</v>
      </c>
      <c r="C666" s="14">
        <v>41200046</v>
      </c>
      <c r="D666" s="6" t="s">
        <v>2150</v>
      </c>
      <c r="E666" s="14" t="s">
        <v>4135</v>
      </c>
      <c r="F666" s="14" t="s">
        <v>4112</v>
      </c>
      <c r="G666" s="3" t="str">
        <f t="shared" si="41"/>
        <v>DUAL</v>
      </c>
      <c r="H666" s="197">
        <f t="shared" si="40"/>
        <v>19</v>
      </c>
      <c r="I666" s="201">
        <v>5</v>
      </c>
      <c r="J666" s="201">
        <v>8</v>
      </c>
      <c r="K666" s="186">
        <f t="shared" si="42"/>
        <v>45785</v>
      </c>
      <c r="L666" s="14" t="s">
        <v>4104</v>
      </c>
      <c r="M666" s="14" t="s">
        <v>2367</v>
      </c>
      <c r="N666" s="3" t="str">
        <f t="shared" si="43"/>
        <v>NG</v>
      </c>
      <c r="O666" s="14" t="s">
        <v>1568</v>
      </c>
      <c r="P666" s="14"/>
      <c r="Q666" s="14">
        <v>11002283</v>
      </c>
      <c r="R666" s="14" t="s">
        <v>4105</v>
      </c>
      <c r="S666" s="14" t="s">
        <v>4786</v>
      </c>
      <c r="T666" s="14" t="s">
        <v>4454</v>
      </c>
      <c r="U666" s="14"/>
    </row>
    <row r="667" spans="1:21" ht="33">
      <c r="A667" s="14">
        <v>5576</v>
      </c>
      <c r="B667" s="82">
        <f t="array" ref="B667">SUM(--(FREQUENCY(IF(C$2:C$3071=C667, MATCH(D$2:D$3071, D$2:D$3071, 0)), ROW(D$2:D$3071)-ROW(D$2)+1) &gt; 0))</f>
        <v>43</v>
      </c>
      <c r="C667" s="14">
        <v>41200046</v>
      </c>
      <c r="D667" s="6" t="s">
        <v>2150</v>
      </c>
      <c r="E667" s="14" t="s">
        <v>4135</v>
      </c>
      <c r="F667" s="14" t="s">
        <v>4112</v>
      </c>
      <c r="G667" s="3" t="str">
        <f t="shared" si="41"/>
        <v>DUAL</v>
      </c>
      <c r="H667" s="197">
        <f t="shared" si="40"/>
        <v>19</v>
      </c>
      <c r="I667" s="201">
        <v>5</v>
      </c>
      <c r="J667" s="201">
        <v>8</v>
      </c>
      <c r="K667" s="186">
        <f t="shared" si="42"/>
        <v>45785</v>
      </c>
      <c r="L667" s="14" t="s">
        <v>4104</v>
      </c>
      <c r="M667" s="14" t="s">
        <v>2367</v>
      </c>
      <c r="N667" s="3" t="str">
        <f t="shared" si="43"/>
        <v>NG</v>
      </c>
      <c r="O667" s="14" t="s">
        <v>1568</v>
      </c>
      <c r="P667" s="14"/>
      <c r="Q667" s="14">
        <v>11000205</v>
      </c>
      <c r="R667" s="14" t="s">
        <v>4742</v>
      </c>
      <c r="S667" s="16" t="s">
        <v>4787</v>
      </c>
      <c r="T667" s="14" t="s">
        <v>4454</v>
      </c>
      <c r="U667" s="14"/>
    </row>
    <row r="668" spans="1:21">
      <c r="A668" s="14">
        <v>5576</v>
      </c>
      <c r="B668" s="82">
        <f t="array" ref="B668">SUM(--(FREQUENCY(IF(C$2:C$3071=C668, MATCH(D$2:D$3071, D$2:D$3071, 0)), ROW(D$2:D$3071)-ROW(D$2)+1) &gt; 0))</f>
        <v>43</v>
      </c>
      <c r="C668" s="14">
        <v>41200046</v>
      </c>
      <c r="D668" s="6" t="s">
        <v>4788</v>
      </c>
      <c r="E668" s="14" t="s">
        <v>4135</v>
      </c>
      <c r="F668" s="14" t="s">
        <v>4112</v>
      </c>
      <c r="G668" s="3" t="str">
        <f t="shared" si="41"/>
        <v>DUAL</v>
      </c>
      <c r="H668" s="197">
        <f t="shared" si="40"/>
        <v>19</v>
      </c>
      <c r="I668" s="201">
        <v>5</v>
      </c>
      <c r="J668" s="201">
        <v>8</v>
      </c>
      <c r="K668" s="186">
        <f t="shared" si="42"/>
        <v>45785</v>
      </c>
      <c r="L668" s="14" t="s">
        <v>4104</v>
      </c>
      <c r="M668" s="14" t="s">
        <v>2367</v>
      </c>
      <c r="N668" s="3" t="str">
        <f t="shared" si="43"/>
        <v>NG</v>
      </c>
      <c r="O668" s="14" t="s">
        <v>1568</v>
      </c>
      <c r="P668" s="14"/>
      <c r="Q668" s="14">
        <v>11002283</v>
      </c>
      <c r="R668" s="14" t="s">
        <v>4105</v>
      </c>
      <c r="S668" s="14" t="s">
        <v>4789</v>
      </c>
      <c r="T668" s="14" t="s">
        <v>4454</v>
      </c>
      <c r="U668" s="14"/>
    </row>
    <row r="669" spans="1:21">
      <c r="A669" s="14">
        <v>5576</v>
      </c>
      <c r="B669" s="82">
        <f t="array" ref="B669">SUM(--(FREQUENCY(IF(C$2:C$3071=C669, MATCH(D$2:D$3071, D$2:D$3071, 0)), ROW(D$2:D$3071)-ROW(D$2)+1) &gt; 0))</f>
        <v>43</v>
      </c>
      <c r="C669" s="14">
        <v>41200046</v>
      </c>
      <c r="D669" s="6" t="s">
        <v>4788</v>
      </c>
      <c r="E669" s="14" t="s">
        <v>4135</v>
      </c>
      <c r="F669" s="14" t="s">
        <v>4112</v>
      </c>
      <c r="G669" s="3" t="str">
        <f t="shared" si="41"/>
        <v>DUAL</v>
      </c>
      <c r="H669" s="197">
        <f t="shared" si="40"/>
        <v>19</v>
      </c>
      <c r="I669" s="201">
        <v>5</v>
      </c>
      <c r="J669" s="201">
        <v>8</v>
      </c>
      <c r="K669" s="186">
        <f t="shared" si="42"/>
        <v>45785</v>
      </c>
      <c r="L669" s="14" t="s">
        <v>4104</v>
      </c>
      <c r="M669" s="14" t="s">
        <v>2367</v>
      </c>
      <c r="N669" s="3" t="str">
        <f t="shared" si="43"/>
        <v>NG</v>
      </c>
      <c r="O669" s="14" t="s">
        <v>1568</v>
      </c>
      <c r="P669" s="14"/>
      <c r="Q669" s="14">
        <v>11002283</v>
      </c>
      <c r="R669" s="14" t="s">
        <v>4105</v>
      </c>
      <c r="S669" s="14" t="s">
        <v>4790</v>
      </c>
      <c r="T669" s="14" t="s">
        <v>4455</v>
      </c>
      <c r="U669" s="14"/>
    </row>
    <row r="670" spans="1:21">
      <c r="A670" s="3">
        <v>5633</v>
      </c>
      <c r="B670" s="82">
        <f t="array" ref="B670">SUM(--(FREQUENCY(IF(C$2:C$3071=C670, MATCH(D$2:D$3071, D$2:D$3071, 0)), ROW(D$2:D$3071)-ROW(D$2)+1) &gt; 0))</f>
        <v>11</v>
      </c>
      <c r="C670" s="3">
        <v>41000588</v>
      </c>
      <c r="D670" s="6" t="s">
        <v>4791</v>
      </c>
      <c r="E670" s="3" t="s">
        <v>2365</v>
      </c>
      <c r="F670" s="3" t="s">
        <v>4130</v>
      </c>
      <c r="G670" s="3" t="str">
        <f t="shared" si="41"/>
        <v>DUAL</v>
      </c>
      <c r="H670" s="197">
        <f t="shared" si="40"/>
        <v>19</v>
      </c>
      <c r="I670" s="197">
        <v>5</v>
      </c>
      <c r="J670" s="197">
        <v>8</v>
      </c>
      <c r="K670" s="186">
        <f t="shared" si="42"/>
        <v>45785</v>
      </c>
      <c r="L670" s="3" t="s">
        <v>2367</v>
      </c>
      <c r="M670" s="3" t="s">
        <v>2367</v>
      </c>
      <c r="N670" s="3" t="str">
        <f t="shared" si="43"/>
        <v>NG</v>
      </c>
      <c r="O670" s="3" t="s">
        <v>4099</v>
      </c>
      <c r="Q670" s="3">
        <v>11100660</v>
      </c>
      <c r="R670" s="3" t="s">
        <v>680</v>
      </c>
      <c r="S670" s="3" t="s">
        <v>4792</v>
      </c>
      <c r="T670" s="3" t="s">
        <v>4455</v>
      </c>
    </row>
    <row r="671" spans="1:21">
      <c r="A671" s="3">
        <v>5588</v>
      </c>
      <c r="B671" s="82">
        <f t="array" ref="B671">SUM(--(FREQUENCY(IF(C$2:C$3071=C671, MATCH(D$2:D$3071, D$2:D$3071, 0)), ROW(D$2:D$3071)-ROW(D$2)+1) &gt; 0))</f>
        <v>102</v>
      </c>
      <c r="C671" s="3">
        <v>41200006</v>
      </c>
      <c r="D671" s="6" t="s">
        <v>2159</v>
      </c>
      <c r="E671" s="3" t="s">
        <v>2365</v>
      </c>
      <c r="F671" s="3" t="s">
        <v>4223</v>
      </c>
      <c r="G671" s="3" t="str">
        <f t="shared" si="41"/>
        <v>SINGLE</v>
      </c>
      <c r="H671" s="197">
        <f t="shared" si="40"/>
        <v>19</v>
      </c>
      <c r="I671" s="197">
        <v>5</v>
      </c>
      <c r="J671" s="197">
        <v>9</v>
      </c>
      <c r="K671" s="186">
        <f t="shared" si="42"/>
        <v>45786</v>
      </c>
      <c r="L671" s="3" t="s">
        <v>2381</v>
      </c>
      <c r="M671" s="3" t="s">
        <v>2383</v>
      </c>
      <c r="N671" s="3" t="str">
        <f t="shared" si="43"/>
        <v/>
      </c>
    </row>
    <row r="672" spans="1:21">
      <c r="A672" s="3">
        <v>5588</v>
      </c>
      <c r="B672" s="82">
        <f t="array" ref="B672">SUM(--(FREQUENCY(IF(C$2:C$3071=C672, MATCH(D$2:D$3071, D$2:D$3071, 0)), ROW(D$2:D$3071)-ROW(D$2)+1) &gt; 0))</f>
        <v>102</v>
      </c>
      <c r="C672" s="3">
        <v>41200006</v>
      </c>
      <c r="D672" s="6" t="s">
        <v>4793</v>
      </c>
      <c r="E672" s="3" t="s">
        <v>2365</v>
      </c>
      <c r="F672" s="3" t="s">
        <v>4223</v>
      </c>
      <c r="G672" s="3" t="str">
        <f t="shared" si="41"/>
        <v>SINGLE</v>
      </c>
      <c r="H672" s="197">
        <f t="shared" si="40"/>
        <v>19</v>
      </c>
      <c r="I672" s="197">
        <v>5</v>
      </c>
      <c r="J672" s="197">
        <v>9</v>
      </c>
      <c r="K672" s="186">
        <f t="shared" si="42"/>
        <v>45786</v>
      </c>
      <c r="L672" s="3" t="s">
        <v>2381</v>
      </c>
      <c r="M672" s="3" t="s">
        <v>2383</v>
      </c>
      <c r="N672" s="3" t="str">
        <f t="shared" si="43"/>
        <v/>
      </c>
    </row>
    <row r="673" spans="1:20">
      <c r="A673" s="3">
        <v>5663</v>
      </c>
      <c r="B673" s="82">
        <f t="array" ref="B673">SUM(--(FREQUENCY(IF(C$2:C$3071=C673, MATCH(D$2:D$3071, D$2:D$3071, 0)), ROW(D$2:D$3071)-ROW(D$2)+1) &gt; 0))</f>
        <v>22</v>
      </c>
      <c r="C673" s="3">
        <v>41200075</v>
      </c>
      <c r="D673" s="6" t="s">
        <v>4794</v>
      </c>
      <c r="E673" s="3" t="s">
        <v>4102</v>
      </c>
      <c r="F673" s="3" t="s">
        <v>4112</v>
      </c>
      <c r="G673" s="3" t="str">
        <f t="shared" si="41"/>
        <v>DUAL</v>
      </c>
      <c r="H673" s="197">
        <f t="shared" si="40"/>
        <v>19</v>
      </c>
      <c r="I673" s="197">
        <v>5</v>
      </c>
      <c r="J673" s="197">
        <v>9</v>
      </c>
      <c r="K673" s="186">
        <f t="shared" si="42"/>
        <v>45786</v>
      </c>
      <c r="L673" s="3" t="s">
        <v>4104</v>
      </c>
      <c r="M673" s="3" t="s">
        <v>2367</v>
      </c>
      <c r="N673" s="3" t="str">
        <f t="shared" si="43"/>
        <v/>
      </c>
    </row>
    <row r="674" spans="1:20">
      <c r="A674" s="3">
        <v>5574</v>
      </c>
      <c r="B674" s="82">
        <f t="array" ref="B674">SUM(--(FREQUENCY(IF(C$2:C$3071=C674, MATCH(D$2:D$3071, D$2:D$3071, 0)), ROW(D$2:D$3071)-ROW(D$2)+1) &gt; 0))</f>
        <v>51</v>
      </c>
      <c r="C674" s="3">
        <v>41200034</v>
      </c>
      <c r="D674" s="6" t="s">
        <v>4795</v>
      </c>
      <c r="E674" s="3" t="s">
        <v>4135</v>
      </c>
      <c r="F674" s="3" t="s">
        <v>4112</v>
      </c>
      <c r="G674" s="3" t="str">
        <f t="shared" si="41"/>
        <v>DUAL</v>
      </c>
      <c r="H674" s="197">
        <f t="shared" si="40"/>
        <v>19</v>
      </c>
      <c r="I674" s="197">
        <v>5</v>
      </c>
      <c r="J674" s="197">
        <v>9</v>
      </c>
      <c r="K674" s="186">
        <f t="shared" si="42"/>
        <v>45786</v>
      </c>
      <c r="L674" s="3" t="s">
        <v>2381</v>
      </c>
      <c r="M674" s="3" t="s">
        <v>2367</v>
      </c>
      <c r="N674" s="3" t="str">
        <f t="shared" si="43"/>
        <v/>
      </c>
    </row>
    <row r="675" spans="1:20" ht="33">
      <c r="A675" s="3">
        <v>5350</v>
      </c>
      <c r="B675" s="82">
        <f t="array" ref="B675">SUM(--(FREQUENCY(IF(C$2:C$3071=C675, MATCH(D$2:D$3071, D$2:D$3071, 0)), ROW(D$2:D$3071)-ROW(D$2)+1) &gt; 0))</f>
        <v>19</v>
      </c>
      <c r="C675" s="3">
        <v>41100320</v>
      </c>
      <c r="D675" s="6" t="s">
        <v>4796</v>
      </c>
      <c r="E675" s="3" t="s">
        <v>4102</v>
      </c>
      <c r="F675" s="3" t="s">
        <v>4112</v>
      </c>
      <c r="G675" s="3" t="str">
        <f t="shared" si="41"/>
        <v>DUAL</v>
      </c>
      <c r="H675" s="197">
        <f t="shared" si="40"/>
        <v>19</v>
      </c>
      <c r="I675" s="197">
        <v>5</v>
      </c>
      <c r="J675" s="197">
        <v>9</v>
      </c>
      <c r="K675" s="186">
        <f t="shared" si="42"/>
        <v>45786</v>
      </c>
      <c r="L675" s="3" t="s">
        <v>2381</v>
      </c>
      <c r="M675" s="3" t="s">
        <v>2367</v>
      </c>
      <c r="N675" s="3" t="str">
        <f t="shared" si="43"/>
        <v>NG</v>
      </c>
      <c r="O675" s="3" t="s">
        <v>1568</v>
      </c>
      <c r="Q675" s="3">
        <v>11101795</v>
      </c>
      <c r="R675" s="3" t="s">
        <v>4452</v>
      </c>
      <c r="S675" s="7" t="s">
        <v>4797</v>
      </c>
      <c r="T675" s="3" t="s">
        <v>4454</v>
      </c>
    </row>
    <row r="676" spans="1:20" ht="33">
      <c r="A676" s="3">
        <v>5622</v>
      </c>
      <c r="B676" s="82">
        <f t="array" ref="B676">SUM(--(FREQUENCY(IF(C$2:C$3071=C676, MATCH(D$2:D$3071, D$2:D$3071, 0)), ROW(D$2:D$3071)-ROW(D$2)+1) &gt; 0))</f>
        <v>13</v>
      </c>
      <c r="C676" s="3">
        <v>41100696</v>
      </c>
      <c r="D676" s="6" t="s">
        <v>2162</v>
      </c>
      <c r="E676" s="3" t="s">
        <v>4603</v>
      </c>
      <c r="F676" s="3" t="s">
        <v>4130</v>
      </c>
      <c r="G676" s="3" t="str">
        <f t="shared" si="41"/>
        <v>DUAL</v>
      </c>
      <c r="H676" s="197">
        <f t="shared" si="40"/>
        <v>19</v>
      </c>
      <c r="I676" s="197">
        <v>5</v>
      </c>
      <c r="J676" s="197">
        <v>9</v>
      </c>
      <c r="K676" s="186">
        <f t="shared" si="42"/>
        <v>45786</v>
      </c>
      <c r="L676" s="3" t="s">
        <v>2367</v>
      </c>
      <c r="M676" s="3" t="s">
        <v>2388</v>
      </c>
      <c r="N676" s="3" t="str">
        <f t="shared" si="43"/>
        <v>NG</v>
      </c>
      <c r="O676" s="3" t="s">
        <v>1568</v>
      </c>
      <c r="Q676" s="3">
        <v>11002143</v>
      </c>
      <c r="R676" s="3" t="s">
        <v>4555</v>
      </c>
      <c r="S676" s="7" t="s">
        <v>4798</v>
      </c>
      <c r="T676" s="3" t="s">
        <v>4454</v>
      </c>
    </row>
    <row r="677" spans="1:20" ht="33">
      <c r="A677" s="3">
        <v>5622</v>
      </c>
      <c r="B677" s="82">
        <f t="array" ref="B677">SUM(--(FREQUENCY(IF(C$2:C$3071=C677, MATCH(D$2:D$3071, D$2:D$3071, 0)), ROW(D$2:D$3071)-ROW(D$2)+1) &gt; 0))</f>
        <v>13</v>
      </c>
      <c r="C677" s="3">
        <v>41100696</v>
      </c>
      <c r="D677" s="6" t="s">
        <v>2161</v>
      </c>
      <c r="E677" s="3" t="s">
        <v>4603</v>
      </c>
      <c r="F677" s="3" t="s">
        <v>4130</v>
      </c>
      <c r="G677" s="3" t="str">
        <f t="shared" si="41"/>
        <v>DUAL</v>
      </c>
      <c r="H677" s="197">
        <f t="shared" si="40"/>
        <v>19</v>
      </c>
      <c r="I677" s="197">
        <v>5</v>
      </c>
      <c r="J677" s="197">
        <v>9</v>
      </c>
      <c r="K677" s="186">
        <f t="shared" si="42"/>
        <v>45786</v>
      </c>
      <c r="L677" s="3" t="s">
        <v>2367</v>
      </c>
      <c r="M677" s="3" t="s">
        <v>2388</v>
      </c>
      <c r="N677" s="3" t="str">
        <f t="shared" si="43"/>
        <v>NG</v>
      </c>
      <c r="O677" s="3" t="s">
        <v>1568</v>
      </c>
      <c r="Q677" s="3">
        <v>11001964</v>
      </c>
      <c r="R677" s="3" t="s">
        <v>4713</v>
      </c>
      <c r="S677" s="7" t="s">
        <v>4799</v>
      </c>
      <c r="T677" s="3" t="s">
        <v>4455</v>
      </c>
    </row>
    <row r="678" spans="1:20" ht="33">
      <c r="A678" s="3">
        <v>5622</v>
      </c>
      <c r="B678" s="82">
        <f t="array" ref="B678">SUM(--(FREQUENCY(IF(C$2:C$3071=C678, MATCH(D$2:D$3071, D$2:D$3071, 0)), ROW(D$2:D$3071)-ROW(D$2)+1) &gt; 0))</f>
        <v>13</v>
      </c>
      <c r="C678" s="3">
        <v>41100696</v>
      </c>
      <c r="D678" s="6" t="s">
        <v>2161</v>
      </c>
      <c r="E678" s="3" t="s">
        <v>4603</v>
      </c>
      <c r="F678" s="3" t="s">
        <v>4130</v>
      </c>
      <c r="G678" s="3" t="str">
        <f t="shared" si="41"/>
        <v>DUAL</v>
      </c>
      <c r="H678" s="197">
        <f t="shared" si="40"/>
        <v>19</v>
      </c>
      <c r="I678" s="197">
        <v>5</v>
      </c>
      <c r="J678" s="197">
        <v>9</v>
      </c>
      <c r="K678" s="186">
        <f t="shared" si="42"/>
        <v>45786</v>
      </c>
      <c r="L678" s="3" t="s">
        <v>2367</v>
      </c>
      <c r="M678" s="3" t="s">
        <v>2388</v>
      </c>
      <c r="N678" s="3" t="str">
        <f t="shared" si="43"/>
        <v>NG</v>
      </c>
      <c r="O678" s="3" t="s">
        <v>1568</v>
      </c>
      <c r="Q678" s="3">
        <v>11002143</v>
      </c>
      <c r="R678" s="3" t="s">
        <v>4555</v>
      </c>
      <c r="S678" s="7" t="s">
        <v>4800</v>
      </c>
      <c r="T678" s="3" t="s">
        <v>4454</v>
      </c>
    </row>
    <row r="679" spans="1:20">
      <c r="A679" s="3">
        <v>5622</v>
      </c>
      <c r="B679" s="82">
        <f t="array" ref="B679">SUM(--(FREQUENCY(IF(C$2:C$3071=C679, MATCH(D$2:D$3071, D$2:D$3071, 0)), ROW(D$2:D$3071)-ROW(D$2)+1) &gt; 0))</f>
        <v>13</v>
      </c>
      <c r="C679" s="3">
        <v>41100696</v>
      </c>
      <c r="D679" s="6" t="s">
        <v>2161</v>
      </c>
      <c r="E679" s="3" t="s">
        <v>4603</v>
      </c>
      <c r="F679" s="3" t="s">
        <v>4130</v>
      </c>
      <c r="G679" s="3" t="str">
        <f t="shared" si="41"/>
        <v>DUAL</v>
      </c>
      <c r="H679" s="197">
        <f t="shared" si="40"/>
        <v>19</v>
      </c>
      <c r="I679" s="197">
        <v>5</v>
      </c>
      <c r="J679" s="197">
        <v>9</v>
      </c>
      <c r="K679" s="186">
        <f t="shared" si="42"/>
        <v>45786</v>
      </c>
      <c r="L679" s="3" t="s">
        <v>2367</v>
      </c>
      <c r="M679" s="3" t="s">
        <v>2388</v>
      </c>
      <c r="N679" s="3" t="str">
        <f t="shared" si="43"/>
        <v>NG</v>
      </c>
      <c r="O679" s="3" t="s">
        <v>4099</v>
      </c>
      <c r="Q679" s="3">
        <v>11100660</v>
      </c>
      <c r="R679" s="3" t="s">
        <v>680</v>
      </c>
      <c r="S679" s="3" t="s">
        <v>4801</v>
      </c>
      <c r="T679" s="3" t="s">
        <v>4455</v>
      </c>
    </row>
    <row r="680" spans="1:20" ht="33">
      <c r="A680" s="3">
        <v>5622</v>
      </c>
      <c r="B680" s="82">
        <f t="array" ref="B680">SUM(--(FREQUENCY(IF(C$2:C$3071=C680, MATCH(D$2:D$3071, D$2:D$3071, 0)), ROW(D$2:D$3071)-ROW(D$2)+1) &gt; 0))</f>
        <v>13</v>
      </c>
      <c r="C680" s="3">
        <v>41100696</v>
      </c>
      <c r="D680" s="6" t="s">
        <v>4802</v>
      </c>
      <c r="E680" s="3" t="s">
        <v>4603</v>
      </c>
      <c r="F680" s="3" t="s">
        <v>4130</v>
      </c>
      <c r="G680" s="3" t="str">
        <f t="shared" si="41"/>
        <v>DUAL</v>
      </c>
      <c r="H680" s="197">
        <f t="shared" si="40"/>
        <v>19</v>
      </c>
      <c r="I680" s="197">
        <v>5</v>
      </c>
      <c r="J680" s="197">
        <v>9</v>
      </c>
      <c r="K680" s="186">
        <f t="shared" si="42"/>
        <v>45786</v>
      </c>
      <c r="L680" s="3" t="s">
        <v>2367</v>
      </c>
      <c r="M680" s="3" t="s">
        <v>2388</v>
      </c>
      <c r="N680" s="3" t="str">
        <f t="shared" si="43"/>
        <v>NG</v>
      </c>
      <c r="O680" s="3" t="s">
        <v>1568</v>
      </c>
      <c r="Q680" s="3">
        <v>11002143</v>
      </c>
      <c r="R680" s="3" t="s">
        <v>4555</v>
      </c>
      <c r="S680" s="7" t="s">
        <v>4800</v>
      </c>
      <c r="T680" s="3" t="s">
        <v>4455</v>
      </c>
    </row>
    <row r="681" spans="1:20" ht="33">
      <c r="A681" s="3">
        <v>5622</v>
      </c>
      <c r="B681" s="82">
        <f t="array" ref="B681">SUM(--(FREQUENCY(IF(C$2:C$3071=C681, MATCH(D$2:D$3071, D$2:D$3071, 0)), ROW(D$2:D$3071)-ROW(D$2)+1) &gt; 0))</f>
        <v>13</v>
      </c>
      <c r="C681" s="3">
        <v>41100696</v>
      </c>
      <c r="D681" s="6" t="s">
        <v>4802</v>
      </c>
      <c r="E681" s="3" t="s">
        <v>4603</v>
      </c>
      <c r="F681" s="3" t="s">
        <v>4130</v>
      </c>
      <c r="G681" s="3" t="str">
        <f t="shared" si="41"/>
        <v>DUAL</v>
      </c>
      <c r="H681" s="197">
        <f t="shared" si="40"/>
        <v>19</v>
      </c>
      <c r="I681" s="197">
        <v>5</v>
      </c>
      <c r="J681" s="197">
        <v>9</v>
      </c>
      <c r="K681" s="186">
        <f t="shared" si="42"/>
        <v>45786</v>
      </c>
      <c r="L681" s="3" t="s">
        <v>2367</v>
      </c>
      <c r="M681" s="3" t="s">
        <v>2388</v>
      </c>
      <c r="N681" s="3" t="str">
        <f t="shared" si="43"/>
        <v>NG</v>
      </c>
      <c r="O681" s="3" t="s">
        <v>1568</v>
      </c>
      <c r="Q681" s="3">
        <v>11002143</v>
      </c>
      <c r="R681" s="3" t="s">
        <v>4555</v>
      </c>
      <c r="S681" s="7" t="s">
        <v>4803</v>
      </c>
      <c r="T681" s="3" t="s">
        <v>4455</v>
      </c>
    </row>
    <row r="682" spans="1:20" ht="33">
      <c r="A682" s="3">
        <v>5622</v>
      </c>
      <c r="B682" s="82">
        <f t="array" ref="B682">SUM(--(FREQUENCY(IF(C$2:C$3071=C682, MATCH(D$2:D$3071, D$2:D$3071, 0)), ROW(D$2:D$3071)-ROW(D$2)+1) &gt; 0))</f>
        <v>13</v>
      </c>
      <c r="C682" s="3">
        <v>41100696</v>
      </c>
      <c r="D682" s="6" t="s">
        <v>4802</v>
      </c>
      <c r="E682" s="3" t="s">
        <v>4603</v>
      </c>
      <c r="F682" s="3" t="s">
        <v>4130</v>
      </c>
      <c r="G682" s="3" t="str">
        <f t="shared" si="41"/>
        <v>DUAL</v>
      </c>
      <c r="H682" s="197">
        <f t="shared" si="40"/>
        <v>19</v>
      </c>
      <c r="I682" s="197">
        <v>5</v>
      </c>
      <c r="J682" s="197">
        <v>9</v>
      </c>
      <c r="K682" s="186">
        <f t="shared" si="42"/>
        <v>45786</v>
      </c>
      <c r="L682" s="3" t="s">
        <v>2367</v>
      </c>
      <c r="M682" s="3" t="s">
        <v>2388</v>
      </c>
      <c r="N682" s="3" t="str">
        <f t="shared" si="43"/>
        <v>NG</v>
      </c>
      <c r="O682" s="3" t="s">
        <v>1568</v>
      </c>
      <c r="Q682" s="3">
        <v>11000424</v>
      </c>
      <c r="R682" s="3" t="s">
        <v>4555</v>
      </c>
      <c r="S682" s="7" t="s">
        <v>4804</v>
      </c>
      <c r="T682" s="3" t="s">
        <v>4454</v>
      </c>
    </row>
    <row r="683" spans="1:20">
      <c r="A683" s="3">
        <v>5619</v>
      </c>
      <c r="B683" s="82">
        <f t="array" ref="B683">SUM(--(FREQUENCY(IF(C$2:C$3071=C683, MATCH(D$2:D$3071, D$2:D$3071, 0)), ROW(D$2:D$3071)-ROW(D$2)+1) &gt; 0))</f>
        <v>17</v>
      </c>
      <c r="C683" s="3">
        <v>41000558</v>
      </c>
      <c r="D683" s="6" t="s">
        <v>4687</v>
      </c>
      <c r="E683" s="3" t="s">
        <v>2365</v>
      </c>
      <c r="F683" s="3" t="s">
        <v>4279</v>
      </c>
      <c r="G683" s="3" t="str">
        <f t="shared" si="41"/>
        <v>SINGLE</v>
      </c>
      <c r="H683" s="197">
        <f t="shared" si="40"/>
        <v>20</v>
      </c>
      <c r="I683" s="197">
        <v>5</v>
      </c>
      <c r="J683" s="197">
        <v>12</v>
      </c>
      <c r="K683" s="186">
        <f t="shared" si="42"/>
        <v>45789</v>
      </c>
      <c r="L683" s="3" t="s">
        <v>4472</v>
      </c>
      <c r="M683" s="3" t="s">
        <v>2383</v>
      </c>
      <c r="N683" s="3" t="str">
        <f t="shared" si="43"/>
        <v/>
      </c>
    </row>
    <row r="684" spans="1:20">
      <c r="A684" s="3">
        <v>5619</v>
      </c>
      <c r="B684" s="82">
        <f t="array" ref="B684">SUM(--(FREQUENCY(IF(C$2:C$3071=C684, MATCH(D$2:D$3071, D$2:D$3071, 0)), ROW(D$2:D$3071)-ROW(D$2)+1) &gt; 0))</f>
        <v>17</v>
      </c>
      <c r="C684" s="3">
        <v>41000558</v>
      </c>
      <c r="D684" s="6" t="s">
        <v>4688</v>
      </c>
      <c r="E684" s="3" t="s">
        <v>2365</v>
      </c>
      <c r="F684" s="3" t="s">
        <v>4279</v>
      </c>
      <c r="G684" s="3" t="str">
        <f t="shared" si="41"/>
        <v>SINGLE</v>
      </c>
      <c r="H684" s="197">
        <f t="shared" si="40"/>
        <v>20</v>
      </c>
      <c r="I684" s="197">
        <v>5</v>
      </c>
      <c r="J684" s="197">
        <v>12</v>
      </c>
      <c r="K684" s="186">
        <f t="shared" si="42"/>
        <v>45789</v>
      </c>
      <c r="L684" s="3" t="s">
        <v>4472</v>
      </c>
      <c r="M684" s="3" t="s">
        <v>2383</v>
      </c>
      <c r="N684" s="3" t="str">
        <f t="shared" si="43"/>
        <v/>
      </c>
    </row>
    <row r="685" spans="1:20">
      <c r="A685" s="3">
        <v>5634</v>
      </c>
      <c r="B685" s="82">
        <f t="array" ref="B685">SUM(--(FREQUENCY(IF(C$2:C$3071=C685, MATCH(D$2:D$3071, D$2:D$3071, 0)), ROW(D$2:D$3071)-ROW(D$2)+1) &gt; 0))</f>
        <v>14</v>
      </c>
      <c r="C685" s="3">
        <v>41000514</v>
      </c>
      <c r="D685" s="6" t="s">
        <v>2167</v>
      </c>
      <c r="E685" s="3" t="s">
        <v>2365</v>
      </c>
      <c r="F685" s="3" t="s">
        <v>1581</v>
      </c>
      <c r="G685" s="3" t="str">
        <f t="shared" si="41"/>
        <v>DUAL</v>
      </c>
      <c r="H685" s="197">
        <f t="shared" si="40"/>
        <v>20</v>
      </c>
      <c r="I685" s="197">
        <v>5</v>
      </c>
      <c r="J685" s="197">
        <v>12</v>
      </c>
      <c r="K685" s="186">
        <f t="shared" si="42"/>
        <v>45789</v>
      </c>
      <c r="L685" s="3" t="s">
        <v>4104</v>
      </c>
      <c r="M685" s="3" t="s">
        <v>2388</v>
      </c>
      <c r="N685" s="3" t="str">
        <f t="shared" si="43"/>
        <v>NG</v>
      </c>
      <c r="O685" s="3" t="s">
        <v>4099</v>
      </c>
      <c r="Q685" s="3">
        <v>11100660</v>
      </c>
      <c r="R685" s="3" t="s">
        <v>680</v>
      </c>
      <c r="S685" s="3" t="s">
        <v>4801</v>
      </c>
      <c r="T685" s="3" t="s">
        <v>4454</v>
      </c>
    </row>
    <row r="686" spans="1:20">
      <c r="A686" s="3">
        <v>5634</v>
      </c>
      <c r="B686" s="82">
        <f t="array" ref="B686">SUM(--(FREQUENCY(IF(C$2:C$3071=C686, MATCH(D$2:D$3071, D$2:D$3071, 0)), ROW(D$2:D$3071)-ROW(D$2)+1) &gt; 0))</f>
        <v>14</v>
      </c>
      <c r="C686" s="3">
        <v>41000514</v>
      </c>
      <c r="D686" s="6" t="s">
        <v>2167</v>
      </c>
      <c r="E686" s="3" t="s">
        <v>2365</v>
      </c>
      <c r="F686" s="3" t="s">
        <v>1581</v>
      </c>
      <c r="G686" s="3" t="str">
        <f t="shared" si="41"/>
        <v>DUAL</v>
      </c>
      <c r="H686" s="197">
        <f t="shared" si="40"/>
        <v>20</v>
      </c>
      <c r="I686" s="197">
        <v>5</v>
      </c>
      <c r="J686" s="197">
        <v>12</v>
      </c>
      <c r="K686" s="186">
        <f t="shared" si="42"/>
        <v>45789</v>
      </c>
      <c r="L686" s="3" t="s">
        <v>4104</v>
      </c>
      <c r="M686" s="3" t="s">
        <v>2388</v>
      </c>
      <c r="N686" s="3" t="str">
        <f t="shared" si="43"/>
        <v>NG</v>
      </c>
      <c r="O686" s="3" t="s">
        <v>4099</v>
      </c>
      <c r="Q686" s="3">
        <v>11100660</v>
      </c>
      <c r="R686" s="3" t="s">
        <v>680</v>
      </c>
      <c r="S686" s="3" t="s">
        <v>4801</v>
      </c>
      <c r="T686" s="3" t="s">
        <v>4455</v>
      </c>
    </row>
    <row r="687" spans="1:20" ht="27">
      <c r="A687" s="3">
        <v>5634</v>
      </c>
      <c r="B687" s="82">
        <f t="array" ref="B687">SUM(--(FREQUENCY(IF(C$2:C$3071=C687, MATCH(D$2:D$3071, D$2:D$3071, 0)), ROW(D$2:D$3071)-ROW(D$2)+1) &gt; 0))</f>
        <v>14</v>
      </c>
      <c r="C687" s="3">
        <v>41000514</v>
      </c>
      <c r="D687" s="6" t="s">
        <v>4805</v>
      </c>
      <c r="E687" s="3" t="s">
        <v>2365</v>
      </c>
      <c r="F687" s="3" t="s">
        <v>1581</v>
      </c>
      <c r="G687" s="3" t="str">
        <f t="shared" si="41"/>
        <v>DUAL</v>
      </c>
      <c r="H687" s="197">
        <f t="shared" si="40"/>
        <v>20</v>
      </c>
      <c r="I687" s="197">
        <v>5</v>
      </c>
      <c r="J687" s="197">
        <v>12</v>
      </c>
      <c r="K687" s="186">
        <f t="shared" si="42"/>
        <v>45789</v>
      </c>
      <c r="L687" s="3" t="s">
        <v>4104</v>
      </c>
      <c r="M687" s="3" t="s">
        <v>2388</v>
      </c>
      <c r="N687" s="3" t="str">
        <f t="shared" si="43"/>
        <v>NG</v>
      </c>
      <c r="O687" s="3" t="s">
        <v>1568</v>
      </c>
      <c r="Q687" s="3">
        <v>11001964</v>
      </c>
      <c r="R687" s="3" t="s">
        <v>4713</v>
      </c>
      <c r="S687" s="30" t="s">
        <v>4806</v>
      </c>
      <c r="T687" s="3" t="s">
        <v>4455</v>
      </c>
    </row>
    <row r="688" spans="1:20">
      <c r="A688" s="3">
        <v>5644</v>
      </c>
      <c r="B688" s="82">
        <f t="array" ref="B688">SUM(--(FREQUENCY(IF(C$2:C$3071=C688, MATCH(D$2:D$3071, D$2:D$3071, 0)), ROW(D$2:D$3071)-ROW(D$2)+1) &gt; 0))</f>
        <v>18</v>
      </c>
      <c r="C688" s="3">
        <v>41000584</v>
      </c>
      <c r="D688" s="6" t="s">
        <v>2173</v>
      </c>
      <c r="E688" s="3" t="s">
        <v>2365</v>
      </c>
      <c r="F688" s="3" t="s">
        <v>4130</v>
      </c>
      <c r="G688" s="3" t="str">
        <f t="shared" si="41"/>
        <v>DUAL</v>
      </c>
      <c r="H688" s="197">
        <f t="shared" si="40"/>
        <v>20</v>
      </c>
      <c r="I688" s="197">
        <v>5</v>
      </c>
      <c r="J688" s="197">
        <v>12</v>
      </c>
      <c r="K688" s="186">
        <f t="shared" si="42"/>
        <v>45789</v>
      </c>
      <c r="L688" s="3" t="s">
        <v>4104</v>
      </c>
      <c r="M688" s="3" t="s">
        <v>2388</v>
      </c>
      <c r="N688" s="3" t="str">
        <f t="shared" si="43"/>
        <v/>
      </c>
    </row>
    <row r="689" spans="1:21" ht="40.5">
      <c r="A689" s="3">
        <v>5644</v>
      </c>
      <c r="B689" s="82">
        <f t="array" ref="B689">SUM(--(FREQUENCY(IF(C$2:C$3071=C689, MATCH(D$2:D$3071, D$2:D$3071, 0)), ROW(D$2:D$3071)-ROW(D$2)+1) &gt; 0))</f>
        <v>18</v>
      </c>
      <c r="C689" s="3">
        <v>41000584</v>
      </c>
      <c r="D689" s="6" t="s">
        <v>4807</v>
      </c>
      <c r="E689" s="3" t="s">
        <v>2365</v>
      </c>
      <c r="F689" s="3" t="s">
        <v>4130</v>
      </c>
      <c r="G689" s="3" t="str">
        <f t="shared" si="41"/>
        <v>DUAL</v>
      </c>
      <c r="H689" s="197">
        <f t="shared" si="40"/>
        <v>20</v>
      </c>
      <c r="I689" s="197">
        <v>5</v>
      </c>
      <c r="J689" s="197">
        <v>12</v>
      </c>
      <c r="K689" s="186">
        <f t="shared" si="42"/>
        <v>45789</v>
      </c>
      <c r="L689" s="3" t="s">
        <v>4104</v>
      </c>
      <c r="M689" s="3" t="s">
        <v>2388</v>
      </c>
      <c r="N689" s="3" t="str">
        <f t="shared" si="43"/>
        <v>NG</v>
      </c>
      <c r="O689" s="3" t="s">
        <v>1568</v>
      </c>
      <c r="Q689" s="3">
        <v>11001964</v>
      </c>
      <c r="R689" s="3" t="s">
        <v>4713</v>
      </c>
      <c r="S689" s="30" t="s">
        <v>4808</v>
      </c>
      <c r="T689" s="3" t="s">
        <v>4455</v>
      </c>
    </row>
    <row r="690" spans="1:21" ht="33">
      <c r="A690" s="3">
        <v>5642</v>
      </c>
      <c r="B690" s="82">
        <f t="array" ref="B690">SUM(--(FREQUENCY(IF(C$2:C$3071=C690, MATCH(D$2:D$3071, D$2:D$3071, 0)), ROW(D$2:D$3071)-ROW(D$2)+1) &gt; 0))</f>
        <v>11</v>
      </c>
      <c r="C690" s="3">
        <v>41000588</v>
      </c>
      <c r="D690" s="6" t="s">
        <v>2165</v>
      </c>
      <c r="E690" s="3" t="s">
        <v>2365</v>
      </c>
      <c r="F690" s="3" t="s">
        <v>4130</v>
      </c>
      <c r="G690" s="3" t="str">
        <f t="shared" si="41"/>
        <v>DUAL</v>
      </c>
      <c r="H690" s="197">
        <f t="shared" si="40"/>
        <v>20</v>
      </c>
      <c r="I690" s="197">
        <v>5</v>
      </c>
      <c r="J690" s="197">
        <v>12</v>
      </c>
      <c r="K690" s="186">
        <f t="shared" si="42"/>
        <v>45789</v>
      </c>
      <c r="L690" s="3" t="s">
        <v>2381</v>
      </c>
      <c r="M690" s="3" t="s">
        <v>2383</v>
      </c>
      <c r="N690" s="3" t="str">
        <f t="shared" si="43"/>
        <v>NG</v>
      </c>
      <c r="O690" s="3" t="s">
        <v>1568</v>
      </c>
      <c r="Q690" s="3">
        <v>11000641</v>
      </c>
      <c r="R690" s="3" t="s">
        <v>4713</v>
      </c>
      <c r="S690" s="7" t="s">
        <v>4809</v>
      </c>
      <c r="T690" s="3" t="s">
        <v>4454</v>
      </c>
    </row>
    <row r="691" spans="1:21" ht="33">
      <c r="A691" s="3">
        <v>5642</v>
      </c>
      <c r="B691" s="82">
        <f t="array" ref="B691">SUM(--(FREQUENCY(IF(C$2:C$3071=C691, MATCH(D$2:D$3071, D$2:D$3071, 0)), ROW(D$2:D$3071)-ROW(D$2)+1) &gt; 0))</f>
        <v>11</v>
      </c>
      <c r="C691" s="3">
        <v>41000588</v>
      </c>
      <c r="D691" s="6" t="s">
        <v>4810</v>
      </c>
      <c r="E691" s="3" t="s">
        <v>2365</v>
      </c>
      <c r="F691" s="3" t="s">
        <v>4130</v>
      </c>
      <c r="G691" s="3" t="str">
        <f t="shared" si="41"/>
        <v>DUAL</v>
      </c>
      <c r="H691" s="197">
        <f t="shared" si="40"/>
        <v>20</v>
      </c>
      <c r="I691" s="197">
        <v>5</v>
      </c>
      <c r="J691" s="197">
        <v>12</v>
      </c>
      <c r="K691" s="186">
        <f t="shared" si="42"/>
        <v>45789</v>
      </c>
      <c r="L691" s="3" t="s">
        <v>2381</v>
      </c>
      <c r="M691" s="3" t="s">
        <v>2383</v>
      </c>
      <c r="N691" s="3" t="str">
        <f t="shared" si="43"/>
        <v>NG</v>
      </c>
      <c r="O691" s="3" t="s">
        <v>1568</v>
      </c>
      <c r="Q691" s="6">
        <v>11002737</v>
      </c>
      <c r="R691" s="6" t="s">
        <v>4131</v>
      </c>
      <c r="S691" s="29" t="s">
        <v>4811</v>
      </c>
      <c r="T691" s="3" t="s">
        <v>4454</v>
      </c>
    </row>
    <row r="692" spans="1:21">
      <c r="A692" s="3">
        <v>5645</v>
      </c>
      <c r="B692" s="82">
        <f t="array" ref="B692">SUM(--(FREQUENCY(IF(C$2:C$3071=C692, MATCH(D$2:D$3071, D$2:D$3071, 0)), ROW(D$2:D$3071)-ROW(D$2)+1) &gt; 0))</f>
        <v>1</v>
      </c>
      <c r="C692" s="3">
        <v>41200155</v>
      </c>
      <c r="D692" s="6" t="s">
        <v>4812</v>
      </c>
      <c r="E692" s="3" t="s">
        <v>4813</v>
      </c>
      <c r="F692" s="3" t="s">
        <v>4119</v>
      </c>
      <c r="G692" s="3" t="str">
        <f t="shared" si="41"/>
        <v>SINGLE</v>
      </c>
      <c r="H692" s="197">
        <f t="shared" si="40"/>
        <v>20</v>
      </c>
      <c r="I692" s="197">
        <v>5</v>
      </c>
      <c r="J692" s="197">
        <v>13</v>
      </c>
      <c r="K692" s="186">
        <f t="shared" si="42"/>
        <v>45790</v>
      </c>
      <c r="L692" s="3" t="s">
        <v>2381</v>
      </c>
      <c r="M692" s="3" t="s">
        <v>2367</v>
      </c>
      <c r="N692" s="3" t="str">
        <f t="shared" si="43"/>
        <v/>
      </c>
    </row>
    <row r="693" spans="1:21">
      <c r="A693" s="3">
        <v>5643</v>
      </c>
      <c r="B693" s="82">
        <f t="array" ref="B693">SUM(--(FREQUENCY(IF(C$2:C$3071=C693, MATCH(D$2:D$3071, D$2:D$3071, 0)), ROW(D$2:D$3071)-ROW(D$2)+1) &gt; 0))</f>
        <v>22</v>
      </c>
      <c r="C693" s="3">
        <v>41000598</v>
      </c>
      <c r="D693" s="6" t="s">
        <v>2170</v>
      </c>
      <c r="E693" s="3" t="s">
        <v>2365</v>
      </c>
      <c r="F693" s="3" t="s">
        <v>4181</v>
      </c>
      <c r="G693" s="3" t="str">
        <f t="shared" si="41"/>
        <v>DUAL</v>
      </c>
      <c r="H693" s="197">
        <f t="shared" si="40"/>
        <v>20</v>
      </c>
      <c r="I693" s="197">
        <v>5</v>
      </c>
      <c r="J693" s="197">
        <v>13</v>
      </c>
      <c r="K693" s="186">
        <f t="shared" si="42"/>
        <v>45790</v>
      </c>
      <c r="L693" s="3" t="s">
        <v>2381</v>
      </c>
      <c r="M693" s="3" t="s">
        <v>2367</v>
      </c>
      <c r="N693" s="3" t="str">
        <f t="shared" si="43"/>
        <v/>
      </c>
    </row>
    <row r="694" spans="1:21">
      <c r="A694" s="3">
        <v>5643</v>
      </c>
      <c r="B694" s="82">
        <f t="array" ref="B694">SUM(--(FREQUENCY(IF(C$2:C$3071=C694, MATCH(D$2:D$3071, D$2:D$3071, 0)), ROW(D$2:D$3071)-ROW(D$2)+1) &gt; 0))</f>
        <v>22</v>
      </c>
      <c r="C694" s="3">
        <v>41000598</v>
      </c>
      <c r="D694" s="6" t="s">
        <v>4814</v>
      </c>
      <c r="E694" s="3" t="s">
        <v>2365</v>
      </c>
      <c r="F694" s="3" t="s">
        <v>4181</v>
      </c>
      <c r="G694" s="3" t="str">
        <f t="shared" si="41"/>
        <v>DUAL</v>
      </c>
      <c r="H694" s="197">
        <f t="shared" si="40"/>
        <v>20</v>
      </c>
      <c r="I694" s="197">
        <v>5</v>
      </c>
      <c r="J694" s="197">
        <v>13</v>
      </c>
      <c r="K694" s="186">
        <f t="shared" si="42"/>
        <v>45790</v>
      </c>
      <c r="L694" s="3" t="s">
        <v>2381</v>
      </c>
      <c r="M694" s="3" t="s">
        <v>2367</v>
      </c>
      <c r="N694" s="3" t="str">
        <f t="shared" si="43"/>
        <v/>
      </c>
    </row>
    <row r="695" spans="1:21">
      <c r="A695" s="3">
        <v>5539</v>
      </c>
      <c r="B695" s="82">
        <f t="array" ref="B695">SUM(--(FREQUENCY(IF(C$2:C$3071=C695, MATCH(D$2:D$3071, D$2:D$3071, 0)), ROW(D$2:D$3071)-ROW(D$2)+1) &gt; 0))</f>
        <v>11</v>
      </c>
      <c r="C695" s="3">
        <v>41100374</v>
      </c>
      <c r="D695" s="6" t="s">
        <v>4815</v>
      </c>
      <c r="E695" s="3" t="s">
        <v>4102</v>
      </c>
      <c r="F695" s="3" t="s">
        <v>4112</v>
      </c>
      <c r="G695" s="3" t="str">
        <f t="shared" si="41"/>
        <v>DUAL</v>
      </c>
      <c r="H695" s="197">
        <f t="shared" si="40"/>
        <v>20</v>
      </c>
      <c r="I695" s="197">
        <v>5</v>
      </c>
      <c r="J695" s="197">
        <v>13</v>
      </c>
      <c r="K695" s="186">
        <f t="shared" si="42"/>
        <v>45790</v>
      </c>
      <c r="L695" s="3" t="s">
        <v>2381</v>
      </c>
      <c r="M695" s="3" t="s">
        <v>2383</v>
      </c>
      <c r="N695" s="3" t="str">
        <f t="shared" si="43"/>
        <v/>
      </c>
    </row>
    <row r="696" spans="1:21" ht="33">
      <c r="A696" s="3">
        <v>5573</v>
      </c>
      <c r="B696" s="82">
        <f t="array" ref="B696">SUM(--(FREQUENCY(IF(C$2:C$3071=C696, MATCH(D$2:D$3071, D$2:D$3071, 0)), ROW(D$2:D$3071)-ROW(D$2)+1) &gt; 0))</f>
        <v>18</v>
      </c>
      <c r="C696" s="3">
        <v>41200039</v>
      </c>
      <c r="D696" s="6" t="s">
        <v>4816</v>
      </c>
      <c r="E696" s="3" t="s">
        <v>4135</v>
      </c>
      <c r="F696" s="3" t="s">
        <v>4112</v>
      </c>
      <c r="G696" s="3" t="str">
        <f t="shared" si="41"/>
        <v>DUAL</v>
      </c>
      <c r="H696" s="197">
        <f t="shared" si="40"/>
        <v>20</v>
      </c>
      <c r="I696" s="197">
        <v>5</v>
      </c>
      <c r="J696" s="197">
        <v>13</v>
      </c>
      <c r="K696" s="186">
        <f t="shared" si="42"/>
        <v>45790</v>
      </c>
      <c r="L696" s="3" t="s">
        <v>2381</v>
      </c>
      <c r="M696" s="3" t="s">
        <v>2367</v>
      </c>
      <c r="N696" s="3" t="str">
        <f t="shared" si="43"/>
        <v>NG</v>
      </c>
      <c r="O696" s="3" t="s">
        <v>4099</v>
      </c>
      <c r="Q696" s="3">
        <v>13001369</v>
      </c>
      <c r="R696" s="3" t="s">
        <v>4434</v>
      </c>
      <c r="S696" s="7" t="s">
        <v>4817</v>
      </c>
      <c r="T696" s="3" t="s">
        <v>4454</v>
      </c>
    </row>
    <row r="697" spans="1:21">
      <c r="A697" s="3">
        <v>5679</v>
      </c>
      <c r="B697" s="82">
        <f t="array" ref="B697">SUM(--(FREQUENCY(IF(C$2:C$3071=C697, MATCH(D$2:D$3071, D$2:D$3071, 0)), ROW(D$2:D$3071)-ROW(D$2)+1) &gt; 0))</f>
        <v>15</v>
      </c>
      <c r="C697" s="3">
        <v>41200087</v>
      </c>
      <c r="D697" s="6" t="s">
        <v>4818</v>
      </c>
      <c r="E697" s="3" t="s">
        <v>2379</v>
      </c>
      <c r="F697" s="3" t="s">
        <v>4112</v>
      </c>
      <c r="G697" s="3" t="str">
        <f t="shared" si="41"/>
        <v>DUAL</v>
      </c>
      <c r="H697" s="197">
        <f t="shared" si="40"/>
        <v>20</v>
      </c>
      <c r="I697" s="197">
        <v>5</v>
      </c>
      <c r="J697" s="197">
        <v>14</v>
      </c>
      <c r="K697" s="186">
        <f t="shared" si="42"/>
        <v>45791</v>
      </c>
      <c r="L697" s="3" t="s">
        <v>2381</v>
      </c>
      <c r="M697" s="3" t="s">
        <v>2367</v>
      </c>
      <c r="N697" s="3" t="str">
        <f t="shared" si="43"/>
        <v>NG</v>
      </c>
      <c r="O697" s="3" t="s">
        <v>1568</v>
      </c>
      <c r="Q697" s="3">
        <v>11002308</v>
      </c>
      <c r="R697" s="3" t="s">
        <v>4555</v>
      </c>
      <c r="S697" s="3" t="s">
        <v>4819</v>
      </c>
      <c r="T697" s="3" t="s">
        <v>4454</v>
      </c>
    </row>
    <row r="698" spans="1:21">
      <c r="A698" s="3">
        <v>5574</v>
      </c>
      <c r="B698" s="82">
        <f t="array" ref="B698">SUM(--(FREQUENCY(IF(C$2:C$3071=C698, MATCH(D$2:D$3071, D$2:D$3071, 0)), ROW(D$2:D$3071)-ROW(D$2)+1) &gt; 0))</f>
        <v>51</v>
      </c>
      <c r="C698" s="3">
        <v>41200034</v>
      </c>
      <c r="D698" s="6" t="s">
        <v>2176</v>
      </c>
      <c r="E698" s="3" t="s">
        <v>4135</v>
      </c>
      <c r="F698" s="3" t="s">
        <v>4112</v>
      </c>
      <c r="G698" s="3" t="str">
        <f t="shared" si="41"/>
        <v>DUAL</v>
      </c>
      <c r="H698" s="197">
        <f t="shared" si="40"/>
        <v>20</v>
      </c>
      <c r="I698" s="197">
        <v>5</v>
      </c>
      <c r="J698" s="197">
        <v>14</v>
      </c>
      <c r="K698" s="186">
        <f t="shared" si="42"/>
        <v>45791</v>
      </c>
      <c r="L698" s="3" t="s">
        <v>4104</v>
      </c>
      <c r="M698" s="3" t="s">
        <v>2367</v>
      </c>
      <c r="N698" s="3" t="str">
        <f t="shared" si="43"/>
        <v/>
      </c>
    </row>
    <row r="699" spans="1:21">
      <c r="A699" s="3">
        <v>5574</v>
      </c>
      <c r="B699" s="82">
        <f t="array" ref="B699">SUM(--(FREQUENCY(IF(C$2:C$3071=C699, MATCH(D$2:D$3071, D$2:D$3071, 0)), ROW(D$2:D$3071)-ROW(D$2)+1) &gt; 0))</f>
        <v>51</v>
      </c>
      <c r="C699" s="3">
        <v>41200034</v>
      </c>
      <c r="D699" s="6" t="s">
        <v>2175</v>
      </c>
      <c r="E699" s="3" t="s">
        <v>4135</v>
      </c>
      <c r="F699" s="3" t="s">
        <v>4112</v>
      </c>
      <c r="G699" s="3" t="str">
        <f t="shared" si="41"/>
        <v>DUAL</v>
      </c>
      <c r="H699" s="197">
        <f t="shared" si="40"/>
        <v>20</v>
      </c>
      <c r="I699" s="197">
        <v>5</v>
      </c>
      <c r="J699" s="197">
        <v>14</v>
      </c>
      <c r="K699" s="186">
        <f t="shared" si="42"/>
        <v>45791</v>
      </c>
      <c r="L699" s="3" t="s">
        <v>4104</v>
      </c>
      <c r="M699" s="3" t="s">
        <v>2367</v>
      </c>
      <c r="N699" s="3" t="str">
        <f t="shared" si="43"/>
        <v/>
      </c>
    </row>
    <row r="700" spans="1:21">
      <c r="A700" s="3">
        <v>5574</v>
      </c>
      <c r="B700" s="82">
        <f t="array" ref="B700">SUM(--(FREQUENCY(IF(C$2:C$3071=C700, MATCH(D$2:D$3071, D$2:D$3071, 0)), ROW(D$2:D$3071)-ROW(D$2)+1) &gt; 0))</f>
        <v>51</v>
      </c>
      <c r="C700" s="3">
        <v>41200034</v>
      </c>
      <c r="D700" s="6" t="s">
        <v>4820</v>
      </c>
      <c r="E700" s="3" t="s">
        <v>4135</v>
      </c>
      <c r="F700" s="3" t="s">
        <v>4112</v>
      </c>
      <c r="G700" s="3" t="str">
        <f t="shared" si="41"/>
        <v>DUAL</v>
      </c>
      <c r="H700" s="197">
        <f t="shared" si="40"/>
        <v>20</v>
      </c>
      <c r="I700" s="197">
        <v>5</v>
      </c>
      <c r="J700" s="197">
        <v>14</v>
      </c>
      <c r="K700" s="186">
        <f t="shared" si="42"/>
        <v>45791</v>
      </c>
      <c r="L700" s="3" t="s">
        <v>4104</v>
      </c>
      <c r="M700" s="3" t="s">
        <v>2367</v>
      </c>
      <c r="N700" s="3" t="str">
        <f t="shared" si="43"/>
        <v/>
      </c>
    </row>
    <row r="701" spans="1:21">
      <c r="A701" s="3">
        <v>5611</v>
      </c>
      <c r="B701" s="82">
        <f t="array" ref="B701">SUM(--(FREQUENCY(IF(C$2:C$3071=C701, MATCH(D$2:D$3071, D$2:D$3071, 0)), ROW(D$2:D$3071)-ROW(D$2)+1) &gt; 0))</f>
        <v>4</v>
      </c>
      <c r="C701" s="3">
        <v>41200147</v>
      </c>
      <c r="D701" s="6" t="s">
        <v>2179</v>
      </c>
      <c r="E701" s="3" t="s">
        <v>4135</v>
      </c>
      <c r="F701" s="3" t="s">
        <v>4112</v>
      </c>
      <c r="G701" s="3" t="str">
        <f t="shared" si="41"/>
        <v>DUAL</v>
      </c>
      <c r="H701" s="197">
        <f t="shared" si="40"/>
        <v>20</v>
      </c>
      <c r="I701" s="197">
        <v>5</v>
      </c>
      <c r="J701" s="197">
        <v>14</v>
      </c>
      <c r="K701" s="186">
        <f t="shared" si="42"/>
        <v>45791</v>
      </c>
      <c r="L701" s="3" t="s">
        <v>2381</v>
      </c>
      <c r="M701" s="3" t="s">
        <v>2388</v>
      </c>
      <c r="N701" s="3" t="str">
        <f t="shared" si="43"/>
        <v/>
      </c>
    </row>
    <row r="702" spans="1:21" s="2" customFormat="1" ht="49.5">
      <c r="A702" s="3">
        <v>5611</v>
      </c>
      <c r="B702" s="82">
        <f t="array" ref="B702">SUM(--(FREQUENCY(IF(C$2:C$3071=C702, MATCH(D$2:D$3071, D$2:D$3071, 0)), ROW(D$2:D$3071)-ROW(D$2)+1) &gt; 0))</f>
        <v>4</v>
      </c>
      <c r="C702" s="3">
        <v>41200147</v>
      </c>
      <c r="D702" s="6" t="s">
        <v>4821</v>
      </c>
      <c r="E702" s="3" t="s">
        <v>4135</v>
      </c>
      <c r="F702" s="3" t="s">
        <v>4112</v>
      </c>
      <c r="G702" s="3" t="str">
        <f t="shared" si="41"/>
        <v>DUAL</v>
      </c>
      <c r="H702" s="197">
        <f t="shared" si="40"/>
        <v>20</v>
      </c>
      <c r="I702" s="197">
        <v>5</v>
      </c>
      <c r="J702" s="197">
        <v>14</v>
      </c>
      <c r="K702" s="186">
        <f t="shared" si="42"/>
        <v>45791</v>
      </c>
      <c r="L702" s="3" t="s">
        <v>2381</v>
      </c>
      <c r="M702" s="3" t="s">
        <v>2388</v>
      </c>
      <c r="N702" s="3" t="str">
        <f t="shared" si="43"/>
        <v>NG</v>
      </c>
      <c r="O702" s="3" t="s">
        <v>1568</v>
      </c>
      <c r="P702" s="3"/>
      <c r="Q702" s="3">
        <v>11001966</v>
      </c>
      <c r="R702" s="3" t="s">
        <v>4504</v>
      </c>
      <c r="S702" s="7" t="s">
        <v>4822</v>
      </c>
      <c r="T702" s="3" t="s">
        <v>4455</v>
      </c>
      <c r="U702" s="3"/>
    </row>
    <row r="703" spans="1:21" s="2" customFormat="1">
      <c r="A703" s="3">
        <v>5696</v>
      </c>
      <c r="B703" s="82">
        <f t="array" ref="B703">SUM(--(FREQUENCY(IF(C$2:C$3071=C703, MATCH(D$2:D$3071, D$2:D$3071, 0)), ROW(D$2:D$3071)-ROW(D$2)+1) &gt; 0))</f>
        <v>11</v>
      </c>
      <c r="C703" s="3">
        <v>41100695</v>
      </c>
      <c r="D703" s="6" t="s">
        <v>4823</v>
      </c>
      <c r="E703" s="3" t="s">
        <v>4603</v>
      </c>
      <c r="F703" s="3" t="s">
        <v>4824</v>
      </c>
      <c r="G703" s="3" t="str">
        <f t="shared" si="41"/>
        <v>SINGLE</v>
      </c>
      <c r="H703" s="197">
        <f t="shared" si="40"/>
        <v>20</v>
      </c>
      <c r="I703" s="197">
        <v>5</v>
      </c>
      <c r="J703" s="197">
        <v>15</v>
      </c>
      <c r="K703" s="186">
        <f t="shared" si="42"/>
        <v>45792</v>
      </c>
      <c r="L703" s="3" t="s">
        <v>2367</v>
      </c>
      <c r="M703" s="3" t="s">
        <v>2388</v>
      </c>
      <c r="N703" s="3" t="str">
        <f t="shared" si="43"/>
        <v/>
      </c>
      <c r="O703" s="3"/>
      <c r="P703" s="3"/>
      <c r="Q703" s="3"/>
      <c r="R703" s="3"/>
      <c r="S703" s="3"/>
      <c r="T703" s="3"/>
      <c r="U703" s="3"/>
    </row>
    <row r="704" spans="1:21" s="2" customFormat="1">
      <c r="A704" s="3">
        <v>5572</v>
      </c>
      <c r="B704" s="82">
        <f t="array" ref="B704">SUM(--(FREQUENCY(IF(C$2:C$3071=C704, MATCH(D$2:D$3071, D$2:D$3071, 0)), ROW(D$2:D$3071)-ROW(D$2)+1) &gt; 0))</f>
        <v>21</v>
      </c>
      <c r="C704" s="3">
        <v>41200036</v>
      </c>
      <c r="D704" s="6" t="s">
        <v>4825</v>
      </c>
      <c r="E704" s="3" t="s">
        <v>4135</v>
      </c>
      <c r="F704" s="3" t="s">
        <v>4112</v>
      </c>
      <c r="G704" s="3" t="str">
        <f t="shared" si="41"/>
        <v>DUAL</v>
      </c>
      <c r="H704" s="197">
        <f t="shared" si="40"/>
        <v>20</v>
      </c>
      <c r="I704" s="197">
        <v>5</v>
      </c>
      <c r="J704" s="197">
        <v>15</v>
      </c>
      <c r="K704" s="186">
        <f t="shared" si="42"/>
        <v>45792</v>
      </c>
      <c r="L704" s="3" t="s">
        <v>2381</v>
      </c>
      <c r="M704" s="3" t="s">
        <v>2383</v>
      </c>
      <c r="N704" s="3" t="str">
        <f t="shared" si="43"/>
        <v/>
      </c>
      <c r="O704" s="3"/>
      <c r="P704" s="3"/>
      <c r="Q704" s="3"/>
      <c r="R704" s="3"/>
      <c r="S704" s="3"/>
      <c r="T704" s="3"/>
      <c r="U704" s="3"/>
    </row>
    <row r="705" spans="1:21" s="2" customFormat="1">
      <c r="A705" s="3">
        <v>5538</v>
      </c>
      <c r="B705" s="82">
        <f t="array" ref="B705">SUM(--(FREQUENCY(IF(C$2:C$3071=C705, MATCH(D$2:D$3071, D$2:D$3071, 0)), ROW(D$2:D$3071)-ROW(D$2)+1) &gt; 0))</f>
        <v>77</v>
      </c>
      <c r="C705" s="3">
        <v>41200076</v>
      </c>
      <c r="D705" s="6" t="s">
        <v>4826</v>
      </c>
      <c r="E705" s="3" t="s">
        <v>4102</v>
      </c>
      <c r="F705" s="3" t="s">
        <v>4112</v>
      </c>
      <c r="G705" s="3" t="str">
        <f t="shared" si="41"/>
        <v>DUAL</v>
      </c>
      <c r="H705" s="197">
        <f t="shared" ref="H705:H768" si="44">WEEKNUM(K705)</f>
        <v>20</v>
      </c>
      <c r="I705" s="197">
        <v>5</v>
      </c>
      <c r="J705" s="197">
        <v>15</v>
      </c>
      <c r="K705" s="186">
        <f t="shared" si="42"/>
        <v>45792</v>
      </c>
      <c r="L705" s="3" t="s">
        <v>2381</v>
      </c>
      <c r="M705" s="3" t="s">
        <v>2367</v>
      </c>
      <c r="N705" s="3" t="str">
        <f t="shared" si="43"/>
        <v/>
      </c>
      <c r="O705" s="3"/>
      <c r="P705" s="3"/>
      <c r="Q705" s="3"/>
      <c r="R705" s="3"/>
      <c r="S705" s="3"/>
      <c r="T705" s="3"/>
      <c r="U705" s="3"/>
    </row>
    <row r="706" spans="1:21">
      <c r="A706" s="3">
        <v>5576</v>
      </c>
      <c r="B706" s="82">
        <f t="array" ref="B706">SUM(--(FREQUENCY(IF(C$2:C$3071=C706, MATCH(D$2:D$3071, D$2:D$3071, 0)), ROW(D$2:D$3071)-ROW(D$2)+1) &gt; 0))</f>
        <v>43</v>
      </c>
      <c r="C706" s="3">
        <v>41200046</v>
      </c>
      <c r="D706" s="6" t="s">
        <v>4827</v>
      </c>
      <c r="E706" s="3" t="s">
        <v>4135</v>
      </c>
      <c r="F706" s="3" t="s">
        <v>4112</v>
      </c>
      <c r="G706" s="3" t="str">
        <f t="shared" ref="G706:G769" si="45">IF(OR(ISNUMBER(SEARCH("DUAL",F706)), ISNUMBER(SEARCH("IVAS",F706))), "DUAL", "SINGLE")</f>
        <v>DUAL</v>
      </c>
      <c r="H706" s="197">
        <f t="shared" si="44"/>
        <v>20</v>
      </c>
      <c r="I706" s="197">
        <v>5</v>
      </c>
      <c r="J706" s="197">
        <v>15</v>
      </c>
      <c r="K706" s="186">
        <f t="shared" ref="K706:K769" si="46">DATE(2025, I706, J706)</f>
        <v>45792</v>
      </c>
      <c r="L706" s="3" t="s">
        <v>2381</v>
      </c>
      <c r="M706" s="3" t="s">
        <v>2367</v>
      </c>
      <c r="N706" s="3" t="str">
        <f t="shared" ref="N706:N769" si="47">IF(O706&lt;&gt;"", "NG", "")</f>
        <v/>
      </c>
    </row>
    <row r="707" spans="1:21">
      <c r="A707" s="3">
        <v>5662</v>
      </c>
      <c r="B707" s="82">
        <f t="array" ref="B707">SUM(--(FREQUENCY(IF(C$2:C$3071=C707, MATCH(D$2:D$3071, D$2:D$3071, 0)), ROW(D$2:D$3071)-ROW(D$2)+1) &gt; 0))</f>
        <v>25</v>
      </c>
      <c r="C707" s="3">
        <v>41200128</v>
      </c>
      <c r="D707" s="6" t="s">
        <v>2187</v>
      </c>
      <c r="E707" s="3" t="s">
        <v>2379</v>
      </c>
      <c r="F707" s="3" t="s">
        <v>2380</v>
      </c>
      <c r="G707" s="3" t="str">
        <f t="shared" si="45"/>
        <v>SINGLE</v>
      </c>
      <c r="H707" s="197">
        <f t="shared" si="44"/>
        <v>20</v>
      </c>
      <c r="I707" s="197">
        <v>5</v>
      </c>
      <c r="J707" s="197">
        <v>16</v>
      </c>
      <c r="K707" s="186">
        <f t="shared" si="46"/>
        <v>45793</v>
      </c>
      <c r="L707" s="3" t="s">
        <v>2381</v>
      </c>
      <c r="M707" s="3" t="s">
        <v>2367</v>
      </c>
      <c r="N707" s="3" t="str">
        <f t="shared" si="47"/>
        <v/>
      </c>
    </row>
    <row r="708" spans="1:21">
      <c r="A708" s="3">
        <v>5662</v>
      </c>
      <c r="B708" s="82">
        <f t="array" ref="B708">SUM(--(FREQUENCY(IF(C$2:C$3071=C708, MATCH(D$2:D$3071, D$2:D$3071, 0)), ROW(D$2:D$3071)-ROW(D$2)+1) &gt; 0))</f>
        <v>25</v>
      </c>
      <c r="C708" s="3">
        <v>41200128</v>
      </c>
      <c r="D708" s="6" t="s">
        <v>2186</v>
      </c>
      <c r="E708" s="3" t="s">
        <v>2379</v>
      </c>
      <c r="F708" s="3" t="s">
        <v>2380</v>
      </c>
      <c r="G708" s="3" t="str">
        <f t="shared" si="45"/>
        <v>SINGLE</v>
      </c>
      <c r="H708" s="197">
        <f t="shared" si="44"/>
        <v>20</v>
      </c>
      <c r="I708" s="197">
        <v>5</v>
      </c>
      <c r="J708" s="197">
        <v>16</v>
      </c>
      <c r="K708" s="186">
        <f t="shared" si="46"/>
        <v>45793</v>
      </c>
      <c r="L708" s="3" t="s">
        <v>2381</v>
      </c>
      <c r="M708" s="3" t="s">
        <v>2367</v>
      </c>
      <c r="N708" s="3" t="str">
        <f t="shared" si="47"/>
        <v/>
      </c>
    </row>
    <row r="709" spans="1:21">
      <c r="A709" s="3">
        <v>5662</v>
      </c>
      <c r="B709" s="82">
        <f t="array" ref="B709">SUM(--(FREQUENCY(IF(C$2:C$3071=C709, MATCH(D$2:D$3071, D$2:D$3071, 0)), ROW(D$2:D$3071)-ROW(D$2)+1) &gt; 0))</f>
        <v>25</v>
      </c>
      <c r="C709" s="3">
        <v>41200128</v>
      </c>
      <c r="D709" s="6" t="s">
        <v>4828</v>
      </c>
      <c r="E709" s="3" t="s">
        <v>2379</v>
      </c>
      <c r="F709" s="3" t="s">
        <v>2380</v>
      </c>
      <c r="G709" s="3" t="str">
        <f t="shared" si="45"/>
        <v>SINGLE</v>
      </c>
      <c r="H709" s="197">
        <f t="shared" si="44"/>
        <v>20</v>
      </c>
      <c r="I709" s="197">
        <v>5</v>
      </c>
      <c r="J709" s="197">
        <v>16</v>
      </c>
      <c r="K709" s="186">
        <f t="shared" si="46"/>
        <v>45793</v>
      </c>
      <c r="L709" s="3" t="s">
        <v>2381</v>
      </c>
      <c r="M709" s="3" t="s">
        <v>2367</v>
      </c>
      <c r="N709" s="3" t="str">
        <f t="shared" si="47"/>
        <v/>
      </c>
    </row>
    <row r="710" spans="1:21">
      <c r="A710" s="3">
        <v>5587</v>
      </c>
      <c r="B710" s="82">
        <f t="array" ref="B710">SUM(--(FREQUENCY(IF(C$2:C$3071=C710, MATCH(D$2:D$3071, D$2:D$3071, 0)), ROW(D$2:D$3071)-ROW(D$2)+1) &gt; 0))</f>
        <v>12</v>
      </c>
      <c r="C710" s="3">
        <v>41100550</v>
      </c>
      <c r="D710" s="6" t="s">
        <v>4763</v>
      </c>
      <c r="E710" s="3" t="s">
        <v>2365</v>
      </c>
      <c r="F710" s="3" t="s">
        <v>4223</v>
      </c>
      <c r="G710" s="3" t="str">
        <f t="shared" si="45"/>
        <v>SINGLE</v>
      </c>
      <c r="H710" s="197">
        <f t="shared" si="44"/>
        <v>20</v>
      </c>
      <c r="I710" s="197">
        <v>5</v>
      </c>
      <c r="J710" s="197">
        <v>16</v>
      </c>
      <c r="K710" s="186">
        <f t="shared" si="46"/>
        <v>45793</v>
      </c>
      <c r="L710" s="3" t="s">
        <v>2381</v>
      </c>
      <c r="M710" s="3" t="s">
        <v>2383</v>
      </c>
      <c r="N710" s="3" t="str">
        <f t="shared" si="47"/>
        <v/>
      </c>
    </row>
    <row r="711" spans="1:21">
      <c r="A711" s="3">
        <v>5657</v>
      </c>
      <c r="B711" s="82">
        <f t="array" ref="B711">SUM(--(FREQUENCY(IF(C$2:C$3071=C711, MATCH(D$2:D$3071, D$2:D$3071, 0)), ROW(D$2:D$3071)-ROW(D$2)+1) &gt; 0))</f>
        <v>10</v>
      </c>
      <c r="C711" s="3">
        <v>41200061</v>
      </c>
      <c r="D711" s="6" t="s">
        <v>4829</v>
      </c>
      <c r="E711" s="3" t="s">
        <v>2365</v>
      </c>
      <c r="F711" s="3" t="s">
        <v>4181</v>
      </c>
      <c r="G711" s="3" t="str">
        <f t="shared" si="45"/>
        <v>DUAL</v>
      </c>
      <c r="H711" s="197">
        <f t="shared" si="44"/>
        <v>20</v>
      </c>
      <c r="I711" s="197">
        <v>5</v>
      </c>
      <c r="J711" s="197">
        <v>16</v>
      </c>
      <c r="K711" s="186">
        <f t="shared" si="46"/>
        <v>45793</v>
      </c>
      <c r="L711" s="3" t="s">
        <v>4104</v>
      </c>
      <c r="M711" s="3" t="s">
        <v>2388</v>
      </c>
      <c r="N711" s="3" t="str">
        <f t="shared" si="47"/>
        <v/>
      </c>
    </row>
    <row r="712" spans="1:21">
      <c r="A712" s="3">
        <v>5513</v>
      </c>
      <c r="B712" s="82">
        <f t="array" ref="B712">SUM(--(FREQUENCY(IF(C$2:C$3071=C712, MATCH(D$2:D$3071, D$2:D$3071, 0)), ROW(D$2:D$3071)-ROW(D$2)+1) &gt; 0))</f>
        <v>2</v>
      </c>
      <c r="C712" s="3">
        <v>41100566</v>
      </c>
      <c r="D712" s="6" t="s">
        <v>4830</v>
      </c>
      <c r="E712" s="3" t="s">
        <v>4551</v>
      </c>
      <c r="F712" s="3" t="s">
        <v>4112</v>
      </c>
      <c r="G712" s="3" t="str">
        <f t="shared" si="45"/>
        <v>DUAL</v>
      </c>
      <c r="H712" s="197">
        <f t="shared" si="44"/>
        <v>20</v>
      </c>
      <c r="I712" s="197">
        <v>5</v>
      </c>
      <c r="J712" s="197">
        <v>16</v>
      </c>
      <c r="K712" s="186">
        <f t="shared" si="46"/>
        <v>45793</v>
      </c>
      <c r="L712" s="3" t="s">
        <v>2381</v>
      </c>
      <c r="M712" s="3" t="s">
        <v>2383</v>
      </c>
      <c r="N712" s="3" t="str">
        <f t="shared" si="47"/>
        <v/>
      </c>
    </row>
    <row r="713" spans="1:21">
      <c r="A713" s="3">
        <v>5572</v>
      </c>
      <c r="B713" s="82">
        <f t="array" ref="B713">SUM(--(FREQUENCY(IF(C$2:C$3071=C713, MATCH(D$2:D$3071, D$2:D$3071, 0)), ROW(D$2:D$3071)-ROW(D$2)+1) &gt; 0))</f>
        <v>21</v>
      </c>
      <c r="C713" s="3">
        <v>41200036</v>
      </c>
      <c r="D713" s="6" t="s">
        <v>2189</v>
      </c>
      <c r="E713" s="3" t="s">
        <v>4135</v>
      </c>
      <c r="F713" s="3" t="s">
        <v>4112</v>
      </c>
      <c r="G713" s="3" t="str">
        <f t="shared" si="45"/>
        <v>DUAL</v>
      </c>
      <c r="H713" s="197">
        <f t="shared" si="44"/>
        <v>20</v>
      </c>
      <c r="I713" s="197">
        <v>5</v>
      </c>
      <c r="J713" s="197">
        <v>16</v>
      </c>
      <c r="K713" s="186">
        <f t="shared" si="46"/>
        <v>45793</v>
      </c>
      <c r="L713" s="3" t="s">
        <v>2381</v>
      </c>
      <c r="M713" s="3" t="s">
        <v>2383</v>
      </c>
      <c r="N713" s="3" t="str">
        <f t="shared" si="47"/>
        <v/>
      </c>
    </row>
    <row r="714" spans="1:21">
      <c r="A714" s="3">
        <v>5641</v>
      </c>
      <c r="B714" s="82">
        <f t="array" ref="B714">SUM(--(FREQUENCY(IF(C$2:C$3071=C714, MATCH(D$2:D$3071, D$2:D$3071, 0)), ROW(D$2:D$3071)-ROW(D$2)+1) &gt; 0))</f>
        <v>9</v>
      </c>
      <c r="C714" s="3">
        <v>41200153</v>
      </c>
      <c r="D714" s="6" t="s">
        <v>4831</v>
      </c>
      <c r="E714" s="3" t="s">
        <v>4183</v>
      </c>
      <c r="F714" s="3" t="s">
        <v>4112</v>
      </c>
      <c r="G714" s="3" t="str">
        <f t="shared" si="45"/>
        <v>DUAL</v>
      </c>
      <c r="H714" s="197">
        <f t="shared" si="44"/>
        <v>21</v>
      </c>
      <c r="I714" s="197">
        <v>5</v>
      </c>
      <c r="J714" s="197">
        <v>19</v>
      </c>
      <c r="K714" s="186">
        <f t="shared" si="46"/>
        <v>45796</v>
      </c>
      <c r="L714" s="3" t="s">
        <v>2381</v>
      </c>
      <c r="M714" s="3" t="s">
        <v>2367</v>
      </c>
      <c r="N714" s="3" t="str">
        <f t="shared" si="47"/>
        <v/>
      </c>
    </row>
    <row r="715" spans="1:21">
      <c r="A715" s="3">
        <v>5575</v>
      </c>
      <c r="B715" s="82">
        <f t="array" ref="B715">SUM(--(FREQUENCY(IF(C$2:C$3071=C715, MATCH(D$2:D$3071, D$2:D$3071, 0)), ROW(D$2:D$3071)-ROW(D$2)+1) &gt; 0))</f>
        <v>14</v>
      </c>
      <c r="C715" s="3">
        <v>41200038</v>
      </c>
      <c r="D715" s="6" t="s">
        <v>4832</v>
      </c>
      <c r="E715" s="3" t="s">
        <v>4135</v>
      </c>
      <c r="F715" s="3" t="s">
        <v>4112</v>
      </c>
      <c r="G715" s="3" t="str">
        <f t="shared" si="45"/>
        <v>DUAL</v>
      </c>
      <c r="H715" s="197">
        <f t="shared" si="44"/>
        <v>21</v>
      </c>
      <c r="I715" s="197">
        <v>5</v>
      </c>
      <c r="J715" s="197">
        <v>19</v>
      </c>
      <c r="K715" s="186">
        <f t="shared" si="46"/>
        <v>45796</v>
      </c>
      <c r="L715" s="3" t="s">
        <v>4104</v>
      </c>
      <c r="M715" s="3" t="s">
        <v>2367</v>
      </c>
      <c r="N715" s="3" t="str">
        <f t="shared" si="47"/>
        <v/>
      </c>
    </row>
    <row r="716" spans="1:21">
      <c r="A716" s="3">
        <v>5576</v>
      </c>
      <c r="B716" s="82">
        <f t="array" ref="B716">SUM(--(FREQUENCY(IF(C$2:C$3071=C716, MATCH(D$2:D$3071, D$2:D$3071, 0)), ROW(D$2:D$3071)-ROW(D$2)+1) &gt; 0))</f>
        <v>21</v>
      </c>
      <c r="C716" s="3">
        <v>41200036</v>
      </c>
      <c r="D716" s="6" t="s">
        <v>2196</v>
      </c>
      <c r="E716" s="3" t="s">
        <v>4135</v>
      </c>
      <c r="F716" s="3" t="s">
        <v>4112</v>
      </c>
      <c r="G716" s="3" t="str">
        <f t="shared" si="45"/>
        <v>DUAL</v>
      </c>
      <c r="H716" s="197">
        <f t="shared" si="44"/>
        <v>21</v>
      </c>
      <c r="I716" s="197">
        <v>5</v>
      </c>
      <c r="J716" s="197">
        <v>19</v>
      </c>
      <c r="K716" s="186">
        <f t="shared" si="46"/>
        <v>45796</v>
      </c>
      <c r="L716" s="3" t="s">
        <v>2381</v>
      </c>
      <c r="M716" s="3" t="s">
        <v>2367</v>
      </c>
      <c r="N716" s="3" t="str">
        <f t="shared" si="47"/>
        <v/>
      </c>
    </row>
    <row r="717" spans="1:21">
      <c r="A717" s="3">
        <v>5576</v>
      </c>
      <c r="B717" s="82">
        <f t="array" ref="B717">SUM(--(FREQUENCY(IF(C$2:C$3071=C717, MATCH(D$2:D$3071, D$2:D$3071, 0)), ROW(D$2:D$3071)-ROW(D$2)+1) &gt; 0))</f>
        <v>21</v>
      </c>
      <c r="C717" s="3">
        <v>41200036</v>
      </c>
      <c r="D717" s="6" t="s">
        <v>4833</v>
      </c>
      <c r="E717" s="3" t="s">
        <v>4135</v>
      </c>
      <c r="F717" s="3" t="s">
        <v>4112</v>
      </c>
      <c r="G717" s="3" t="str">
        <f t="shared" si="45"/>
        <v>DUAL</v>
      </c>
      <c r="H717" s="197">
        <f t="shared" si="44"/>
        <v>21</v>
      </c>
      <c r="I717" s="197">
        <v>5</v>
      </c>
      <c r="J717" s="197">
        <v>19</v>
      </c>
      <c r="K717" s="186">
        <f t="shared" si="46"/>
        <v>45796</v>
      </c>
      <c r="L717" s="3" t="s">
        <v>2381</v>
      </c>
      <c r="M717" s="3" t="s">
        <v>2367</v>
      </c>
      <c r="N717" s="3" t="str">
        <f t="shared" si="47"/>
        <v/>
      </c>
    </row>
    <row r="718" spans="1:21">
      <c r="A718" s="3">
        <v>5576</v>
      </c>
      <c r="B718" s="82">
        <f t="array" ref="B718">SUM(--(FREQUENCY(IF(C$2:C$3071=C718, MATCH(D$2:D$3071, D$2:D$3071, 0)), ROW(D$2:D$3071)-ROW(D$2)+1) &gt; 0))</f>
        <v>21</v>
      </c>
      <c r="C718" s="3">
        <v>41200036</v>
      </c>
      <c r="D718" s="6" t="s">
        <v>4834</v>
      </c>
      <c r="E718" s="3" t="s">
        <v>4135</v>
      </c>
      <c r="F718" s="3" t="s">
        <v>4112</v>
      </c>
      <c r="G718" s="3" t="str">
        <f t="shared" si="45"/>
        <v>DUAL</v>
      </c>
      <c r="H718" s="197">
        <f t="shared" si="44"/>
        <v>21</v>
      </c>
      <c r="I718" s="197">
        <v>5</v>
      </c>
      <c r="J718" s="197">
        <v>19</v>
      </c>
      <c r="K718" s="186">
        <f t="shared" si="46"/>
        <v>45796</v>
      </c>
      <c r="L718" s="3" t="s">
        <v>2381</v>
      </c>
      <c r="M718" s="3" t="s">
        <v>2367</v>
      </c>
      <c r="N718" s="3" t="str">
        <f t="shared" si="47"/>
        <v/>
      </c>
    </row>
    <row r="719" spans="1:21" s="15" customFormat="1">
      <c r="A719" s="3">
        <v>5549</v>
      </c>
      <c r="B719" s="82">
        <f t="array" ref="B719">SUM(--(FREQUENCY(IF(C$2:C$3071=C719, MATCH(D$2:D$3071, D$2:D$3071, 0)), ROW(D$2:D$3071)-ROW(D$2)+1) &gt; 0))</f>
        <v>41</v>
      </c>
      <c r="C719" s="3">
        <v>41200101</v>
      </c>
      <c r="D719" s="6" t="s">
        <v>4835</v>
      </c>
      <c r="E719" s="3" t="s">
        <v>4102</v>
      </c>
      <c r="F719" s="3" t="s">
        <v>4112</v>
      </c>
      <c r="G719" s="3" t="str">
        <f t="shared" si="45"/>
        <v>DUAL</v>
      </c>
      <c r="H719" s="197">
        <f t="shared" si="44"/>
        <v>21</v>
      </c>
      <c r="I719" s="197">
        <v>5</v>
      </c>
      <c r="J719" s="197">
        <v>20</v>
      </c>
      <c r="K719" s="186">
        <f t="shared" si="46"/>
        <v>45797</v>
      </c>
      <c r="L719" s="3" t="s">
        <v>2381</v>
      </c>
      <c r="M719" s="3" t="s">
        <v>2383</v>
      </c>
      <c r="N719" s="3" t="str">
        <f t="shared" si="47"/>
        <v/>
      </c>
      <c r="O719" s="3"/>
      <c r="P719" s="3"/>
      <c r="Q719" s="3"/>
      <c r="R719" s="3"/>
      <c r="S719" s="3"/>
      <c r="T719" s="3"/>
      <c r="U719" s="3"/>
    </row>
    <row r="720" spans="1:21" s="15" customFormat="1">
      <c r="A720" s="3">
        <v>5538</v>
      </c>
      <c r="B720" s="82">
        <f t="array" ref="B720">SUM(--(FREQUENCY(IF(C$2:C$3071=C720, MATCH(D$2:D$3071, D$2:D$3071, 0)), ROW(D$2:D$3071)-ROW(D$2)+1) &gt; 0))</f>
        <v>77</v>
      </c>
      <c r="C720" s="3">
        <v>41200076</v>
      </c>
      <c r="D720" s="6" t="s">
        <v>4836</v>
      </c>
      <c r="E720" s="3" t="s">
        <v>4102</v>
      </c>
      <c r="F720" s="3" t="s">
        <v>4112</v>
      </c>
      <c r="G720" s="3" t="str">
        <f t="shared" si="45"/>
        <v>DUAL</v>
      </c>
      <c r="H720" s="197">
        <f t="shared" si="44"/>
        <v>21</v>
      </c>
      <c r="I720" s="197">
        <v>5</v>
      </c>
      <c r="J720" s="197">
        <v>20</v>
      </c>
      <c r="K720" s="186">
        <f t="shared" si="46"/>
        <v>45797</v>
      </c>
      <c r="L720" s="3" t="s">
        <v>2381</v>
      </c>
      <c r="M720" s="3" t="s">
        <v>2383</v>
      </c>
      <c r="N720" s="3" t="str">
        <f t="shared" si="47"/>
        <v/>
      </c>
      <c r="O720" s="3"/>
      <c r="P720" s="3"/>
      <c r="Q720" s="3"/>
      <c r="R720" s="3"/>
      <c r="S720" s="3"/>
      <c r="T720" s="3"/>
      <c r="U720" s="3"/>
    </row>
    <row r="721" spans="1:21" s="15" customFormat="1">
      <c r="A721" s="3">
        <v>5576</v>
      </c>
      <c r="B721" s="82">
        <f t="array" ref="B721">SUM(--(FREQUENCY(IF(C$2:C$3071=C721, MATCH(D$2:D$3071, D$2:D$3071, 0)), ROW(D$2:D$3071)-ROW(D$2)+1) &gt; 0))</f>
        <v>43</v>
      </c>
      <c r="C721" s="3">
        <v>41200046</v>
      </c>
      <c r="D721" s="6" t="s">
        <v>2202</v>
      </c>
      <c r="E721" s="3" t="s">
        <v>4135</v>
      </c>
      <c r="F721" s="3" t="s">
        <v>4112</v>
      </c>
      <c r="G721" s="3" t="str">
        <f t="shared" si="45"/>
        <v>DUAL</v>
      </c>
      <c r="H721" s="197">
        <f t="shared" si="44"/>
        <v>21</v>
      </c>
      <c r="I721" s="197">
        <v>5</v>
      </c>
      <c r="J721" s="197">
        <v>20</v>
      </c>
      <c r="K721" s="186">
        <f t="shared" si="46"/>
        <v>45797</v>
      </c>
      <c r="L721" s="3" t="s">
        <v>2381</v>
      </c>
      <c r="M721" s="3" t="s">
        <v>2367</v>
      </c>
      <c r="N721" s="3" t="str">
        <f t="shared" si="47"/>
        <v/>
      </c>
      <c r="O721" s="3"/>
      <c r="P721" s="3"/>
      <c r="Q721" s="3"/>
      <c r="R721" s="3"/>
      <c r="S721" s="3"/>
      <c r="T721" s="3"/>
      <c r="U721" s="3"/>
    </row>
    <row r="722" spans="1:21" s="15" customFormat="1">
      <c r="A722" s="3">
        <v>5576</v>
      </c>
      <c r="B722" s="82">
        <f t="array" ref="B722">SUM(--(FREQUENCY(IF(C$2:C$3071=C722, MATCH(D$2:D$3071, D$2:D$3071, 0)), ROW(D$2:D$3071)-ROW(D$2)+1) &gt; 0))</f>
        <v>43</v>
      </c>
      <c r="C722" s="3">
        <v>41200046</v>
      </c>
      <c r="D722" s="6" t="s">
        <v>4837</v>
      </c>
      <c r="E722" s="3" t="s">
        <v>4135</v>
      </c>
      <c r="F722" s="3" t="s">
        <v>4112</v>
      </c>
      <c r="G722" s="3" t="str">
        <f t="shared" si="45"/>
        <v>DUAL</v>
      </c>
      <c r="H722" s="197">
        <f t="shared" si="44"/>
        <v>21</v>
      </c>
      <c r="I722" s="197">
        <v>5</v>
      </c>
      <c r="J722" s="197">
        <v>20</v>
      </c>
      <c r="K722" s="186">
        <f t="shared" si="46"/>
        <v>45797</v>
      </c>
      <c r="L722" s="3" t="s">
        <v>2381</v>
      </c>
      <c r="M722" s="3" t="s">
        <v>2367</v>
      </c>
      <c r="N722" s="3" t="str">
        <f t="shared" si="47"/>
        <v/>
      </c>
      <c r="O722" s="3"/>
      <c r="P722" s="3"/>
      <c r="Q722" s="3"/>
      <c r="R722" s="3"/>
      <c r="S722" s="3"/>
      <c r="T722" s="3"/>
      <c r="U722" s="3"/>
    </row>
    <row r="723" spans="1:21" ht="33">
      <c r="A723" s="3">
        <v>5572</v>
      </c>
      <c r="B723" s="82">
        <f t="array" ref="B723">SUM(--(FREQUENCY(IF(C$2:C$3071=C723, MATCH(D$2:D$3071, D$2:D$3071, 0)), ROW(D$2:D$3071)-ROW(D$2)+1) &gt; 0))</f>
        <v>21</v>
      </c>
      <c r="C723" s="3">
        <v>41200036</v>
      </c>
      <c r="D723" s="6" t="s">
        <v>4838</v>
      </c>
      <c r="E723" s="3" t="s">
        <v>4135</v>
      </c>
      <c r="F723" s="3" t="s">
        <v>4112</v>
      </c>
      <c r="G723" s="3" t="str">
        <f t="shared" si="45"/>
        <v>DUAL</v>
      </c>
      <c r="H723" s="197">
        <f t="shared" si="44"/>
        <v>21</v>
      </c>
      <c r="I723" s="197">
        <v>5</v>
      </c>
      <c r="J723" s="197">
        <v>20</v>
      </c>
      <c r="K723" s="186">
        <f t="shared" si="46"/>
        <v>45797</v>
      </c>
      <c r="L723" s="3" t="s">
        <v>4104</v>
      </c>
      <c r="M723" s="3" t="s">
        <v>2388</v>
      </c>
      <c r="N723" s="3" t="str">
        <f t="shared" si="47"/>
        <v>NG</v>
      </c>
      <c r="O723" s="3" t="s">
        <v>1568</v>
      </c>
      <c r="Q723" s="6">
        <v>11002737</v>
      </c>
      <c r="R723" s="6" t="s">
        <v>4131</v>
      </c>
      <c r="S723" s="29" t="s">
        <v>4839</v>
      </c>
    </row>
    <row r="724" spans="1:21">
      <c r="A724" s="3">
        <v>5573</v>
      </c>
      <c r="B724" s="82">
        <f t="array" ref="B724">SUM(--(FREQUENCY(IF(C$2:C$3071=C724, MATCH(D$2:D$3071, D$2:D$3071, 0)), ROW(D$2:D$3071)-ROW(D$2)+1) &gt; 0))</f>
        <v>18</v>
      </c>
      <c r="C724" s="3">
        <v>41200039</v>
      </c>
      <c r="D724" s="6" t="s">
        <v>4840</v>
      </c>
      <c r="E724" s="3" t="s">
        <v>4135</v>
      </c>
      <c r="F724" s="3" t="s">
        <v>4112</v>
      </c>
      <c r="G724" s="3" t="str">
        <f t="shared" si="45"/>
        <v>DUAL</v>
      </c>
      <c r="H724" s="197">
        <f t="shared" si="44"/>
        <v>21</v>
      </c>
      <c r="I724" s="197">
        <v>5</v>
      </c>
      <c r="J724" s="197">
        <v>20</v>
      </c>
      <c r="K724" s="186">
        <f t="shared" si="46"/>
        <v>45797</v>
      </c>
      <c r="L724" s="3" t="s">
        <v>2381</v>
      </c>
      <c r="M724" s="3" t="s">
        <v>2367</v>
      </c>
      <c r="N724" s="3" t="str">
        <f t="shared" si="47"/>
        <v/>
      </c>
    </row>
    <row r="725" spans="1:21">
      <c r="A725" s="3">
        <v>5698</v>
      </c>
      <c r="B725" s="82">
        <f t="array" ref="B725">SUM(--(FREQUENCY(IF(C$2:C$3071=C725, MATCH(D$2:D$3071, D$2:D$3071, 0)), ROW(D$2:D$3071)-ROW(D$2)+1) &gt; 0))</f>
        <v>13</v>
      </c>
      <c r="C725" s="3">
        <v>41100696</v>
      </c>
      <c r="D725" s="6" t="s">
        <v>4841</v>
      </c>
      <c r="E725" s="3" t="s">
        <v>4603</v>
      </c>
      <c r="F725" s="3" t="s">
        <v>4521</v>
      </c>
      <c r="G725" s="3" t="str">
        <f t="shared" si="45"/>
        <v>DUAL</v>
      </c>
      <c r="H725" s="197">
        <f t="shared" si="44"/>
        <v>21</v>
      </c>
      <c r="I725" s="197">
        <v>5</v>
      </c>
      <c r="J725" s="197">
        <v>20</v>
      </c>
      <c r="K725" s="186">
        <f t="shared" si="46"/>
        <v>45797</v>
      </c>
      <c r="L725" s="3" t="s">
        <v>2367</v>
      </c>
      <c r="M725" s="3" t="s">
        <v>2367</v>
      </c>
      <c r="N725" s="3" t="str">
        <f t="shared" si="47"/>
        <v/>
      </c>
      <c r="S725" s="7"/>
    </row>
    <row r="726" spans="1:21" ht="40.5">
      <c r="A726" s="14">
        <v>5674</v>
      </c>
      <c r="B726" s="82">
        <f t="array" ref="B726">SUM(--(FREQUENCY(IF(C$2:C$3071=C726, MATCH(D$2:D$3071, D$2:D$3071, 0)), ROW(D$2:D$3071)-ROW(D$2)+1) &gt; 0))</f>
        <v>18</v>
      </c>
      <c r="C726" s="14">
        <v>41000584</v>
      </c>
      <c r="D726" s="6" t="s">
        <v>4842</v>
      </c>
      <c r="E726" s="14" t="s">
        <v>2365</v>
      </c>
      <c r="F726" s="14" t="s">
        <v>4130</v>
      </c>
      <c r="G726" s="3" t="str">
        <f t="shared" si="45"/>
        <v>DUAL</v>
      </c>
      <c r="H726" s="197">
        <f t="shared" si="44"/>
        <v>21</v>
      </c>
      <c r="I726" s="201">
        <v>5</v>
      </c>
      <c r="J726" s="201">
        <v>20</v>
      </c>
      <c r="K726" s="186">
        <f t="shared" si="46"/>
        <v>45797</v>
      </c>
      <c r="L726" s="14" t="s">
        <v>2367</v>
      </c>
      <c r="M726" s="14" t="s">
        <v>2367</v>
      </c>
      <c r="N726" s="3" t="str">
        <f t="shared" si="47"/>
        <v>NG</v>
      </c>
      <c r="O726" s="14" t="s">
        <v>1568</v>
      </c>
      <c r="P726" s="14"/>
      <c r="Q726" s="14">
        <v>11001964</v>
      </c>
      <c r="R726" s="14" t="s">
        <v>4713</v>
      </c>
      <c r="S726" s="31" t="s">
        <v>4808</v>
      </c>
      <c r="T726" s="14" t="s">
        <v>4455</v>
      </c>
      <c r="U726" s="14"/>
    </row>
    <row r="727" spans="1:21" ht="33">
      <c r="A727" s="14">
        <v>5674</v>
      </c>
      <c r="B727" s="82">
        <f t="array" ref="B727">SUM(--(FREQUENCY(IF(C$2:C$3071=C727, MATCH(D$2:D$3071, D$2:D$3071, 0)), ROW(D$2:D$3071)-ROW(D$2)+1) &gt; 0))</f>
        <v>18</v>
      </c>
      <c r="C727" s="14">
        <v>41000584</v>
      </c>
      <c r="D727" s="6" t="s">
        <v>4842</v>
      </c>
      <c r="E727" s="14" t="s">
        <v>2365</v>
      </c>
      <c r="F727" s="14" t="s">
        <v>4130</v>
      </c>
      <c r="G727" s="3" t="str">
        <f t="shared" si="45"/>
        <v>DUAL</v>
      </c>
      <c r="H727" s="197">
        <f t="shared" si="44"/>
        <v>21</v>
      </c>
      <c r="I727" s="201">
        <v>5</v>
      </c>
      <c r="J727" s="201">
        <v>20</v>
      </c>
      <c r="K727" s="186">
        <f t="shared" si="46"/>
        <v>45797</v>
      </c>
      <c r="L727" s="14" t="s">
        <v>2367</v>
      </c>
      <c r="M727" s="14" t="s">
        <v>2367</v>
      </c>
      <c r="N727" s="3" t="str">
        <f t="shared" si="47"/>
        <v>NG</v>
      </c>
      <c r="O727" s="14" t="s">
        <v>1568</v>
      </c>
      <c r="P727" s="14"/>
      <c r="Q727" s="14">
        <v>11005274</v>
      </c>
      <c r="R727" s="14" t="s">
        <v>4843</v>
      </c>
      <c r="S727" s="16" t="s">
        <v>4844</v>
      </c>
      <c r="T727" s="14" t="s">
        <v>4455</v>
      </c>
      <c r="U727" s="14"/>
    </row>
    <row r="728" spans="1:21" ht="33">
      <c r="A728" s="14">
        <v>5674</v>
      </c>
      <c r="B728" s="82">
        <f t="array" ref="B728">SUM(--(FREQUENCY(IF(C$2:C$3071=C728, MATCH(D$2:D$3071, D$2:D$3071, 0)), ROW(D$2:D$3071)-ROW(D$2)+1) &gt; 0))</f>
        <v>18</v>
      </c>
      <c r="C728" s="14">
        <v>41000584</v>
      </c>
      <c r="D728" s="6" t="s">
        <v>4842</v>
      </c>
      <c r="E728" s="14" t="s">
        <v>2365</v>
      </c>
      <c r="F728" s="14" t="s">
        <v>4130</v>
      </c>
      <c r="G728" s="3" t="str">
        <f t="shared" si="45"/>
        <v>DUAL</v>
      </c>
      <c r="H728" s="197">
        <f t="shared" si="44"/>
        <v>21</v>
      </c>
      <c r="I728" s="201">
        <v>5</v>
      </c>
      <c r="J728" s="201">
        <v>20</v>
      </c>
      <c r="K728" s="186">
        <f t="shared" si="46"/>
        <v>45797</v>
      </c>
      <c r="L728" s="14" t="s">
        <v>2367</v>
      </c>
      <c r="M728" s="14" t="s">
        <v>2367</v>
      </c>
      <c r="N728" s="3" t="str">
        <f t="shared" si="47"/>
        <v>NG</v>
      </c>
      <c r="O728" s="14" t="s">
        <v>1568</v>
      </c>
      <c r="P728" s="14"/>
      <c r="Q728" s="14">
        <v>11000197</v>
      </c>
      <c r="R728" s="14" t="s">
        <v>4742</v>
      </c>
      <c r="S728" s="16" t="s">
        <v>4845</v>
      </c>
      <c r="T728" s="14" t="s">
        <v>4455</v>
      </c>
      <c r="U728" s="14"/>
    </row>
    <row r="729" spans="1:21" ht="33">
      <c r="A729" s="14">
        <v>5674</v>
      </c>
      <c r="B729" s="82">
        <f t="array" ref="B729">SUM(--(FREQUENCY(IF(C$2:C$3071=C729, MATCH(D$2:D$3071, D$2:D$3071, 0)), ROW(D$2:D$3071)-ROW(D$2)+1) &gt; 0))</f>
        <v>18</v>
      </c>
      <c r="C729" s="14">
        <v>41000584</v>
      </c>
      <c r="D729" s="6" t="s">
        <v>4842</v>
      </c>
      <c r="E729" s="14" t="s">
        <v>2365</v>
      </c>
      <c r="F729" s="14" t="s">
        <v>4130</v>
      </c>
      <c r="G729" s="3" t="str">
        <f t="shared" si="45"/>
        <v>DUAL</v>
      </c>
      <c r="H729" s="197">
        <f t="shared" si="44"/>
        <v>21</v>
      </c>
      <c r="I729" s="201">
        <v>5</v>
      </c>
      <c r="J729" s="201">
        <v>20</v>
      </c>
      <c r="K729" s="186">
        <f t="shared" si="46"/>
        <v>45797</v>
      </c>
      <c r="L729" s="14" t="s">
        <v>2367</v>
      </c>
      <c r="M729" s="14" t="s">
        <v>2367</v>
      </c>
      <c r="N729" s="3" t="str">
        <f t="shared" si="47"/>
        <v>NG</v>
      </c>
      <c r="O729" s="14" t="s">
        <v>1568</v>
      </c>
      <c r="P729" s="14"/>
      <c r="Q729" s="14">
        <v>11000198</v>
      </c>
      <c r="R729" s="14" t="s">
        <v>4742</v>
      </c>
      <c r="S729" s="16" t="s">
        <v>4846</v>
      </c>
      <c r="T729" s="14" t="s">
        <v>4455</v>
      </c>
      <c r="U729" s="14"/>
    </row>
    <row r="730" spans="1:21">
      <c r="A730" s="3">
        <v>5670</v>
      </c>
      <c r="B730" s="82">
        <f t="array" ref="B730">SUM(--(FREQUENCY(IF(C$2:C$3071=C730, MATCH(D$2:D$3071, D$2:D$3071, 0)), ROW(D$2:D$3071)-ROW(D$2)+1) &gt; 0))</f>
        <v>44</v>
      </c>
      <c r="C730" s="3">
        <v>41200047</v>
      </c>
      <c r="D730" s="6" t="s">
        <v>2214</v>
      </c>
      <c r="E730" s="3" t="s">
        <v>4135</v>
      </c>
      <c r="F730" s="3" t="s">
        <v>4112</v>
      </c>
      <c r="G730" s="3" t="str">
        <f t="shared" si="45"/>
        <v>DUAL</v>
      </c>
      <c r="H730" s="197">
        <f t="shared" si="44"/>
        <v>21</v>
      </c>
      <c r="I730" s="197">
        <v>5</v>
      </c>
      <c r="J730" s="197">
        <v>21</v>
      </c>
      <c r="K730" s="186">
        <f t="shared" si="46"/>
        <v>45798</v>
      </c>
      <c r="L730" s="3" t="s">
        <v>4104</v>
      </c>
      <c r="M730" s="3" t="s">
        <v>2367</v>
      </c>
      <c r="N730" s="3" t="str">
        <f t="shared" si="47"/>
        <v/>
      </c>
    </row>
    <row r="731" spans="1:21">
      <c r="A731" s="3">
        <v>5670</v>
      </c>
      <c r="B731" s="82">
        <f t="array" ref="B731">SUM(--(FREQUENCY(IF(C$2:C$3071=C731, MATCH(D$2:D$3071, D$2:D$3071, 0)), ROW(D$2:D$3071)-ROW(D$2)+1) &gt; 0))</f>
        <v>44</v>
      </c>
      <c r="C731" s="3">
        <v>41200047</v>
      </c>
      <c r="D731" s="6" t="s">
        <v>2213</v>
      </c>
      <c r="E731" s="3" t="s">
        <v>4135</v>
      </c>
      <c r="F731" s="3" t="s">
        <v>4112</v>
      </c>
      <c r="G731" s="3" t="str">
        <f t="shared" si="45"/>
        <v>DUAL</v>
      </c>
      <c r="H731" s="197">
        <f t="shared" si="44"/>
        <v>21</v>
      </c>
      <c r="I731" s="197">
        <v>5</v>
      </c>
      <c r="J731" s="197">
        <v>21</v>
      </c>
      <c r="K731" s="186">
        <f t="shared" si="46"/>
        <v>45798</v>
      </c>
      <c r="L731" s="3" t="s">
        <v>4104</v>
      </c>
      <c r="M731" s="3" t="s">
        <v>2367</v>
      </c>
      <c r="N731" s="3" t="str">
        <f t="shared" si="47"/>
        <v/>
      </c>
    </row>
    <row r="732" spans="1:21">
      <c r="A732" s="3">
        <v>5670</v>
      </c>
      <c r="B732" s="82">
        <f t="array" ref="B732">SUM(--(FREQUENCY(IF(C$2:C$3071=C732, MATCH(D$2:D$3071, D$2:D$3071, 0)), ROW(D$2:D$3071)-ROW(D$2)+1) &gt; 0))</f>
        <v>44</v>
      </c>
      <c r="C732" s="3">
        <v>41200047</v>
      </c>
      <c r="D732" s="6" t="s">
        <v>2210</v>
      </c>
      <c r="E732" s="3" t="s">
        <v>4135</v>
      </c>
      <c r="F732" s="3" t="s">
        <v>4112</v>
      </c>
      <c r="G732" s="3" t="str">
        <f t="shared" si="45"/>
        <v>DUAL</v>
      </c>
      <c r="H732" s="197">
        <f t="shared" si="44"/>
        <v>21</v>
      </c>
      <c r="I732" s="197">
        <v>5</v>
      </c>
      <c r="J732" s="197">
        <v>21</v>
      </c>
      <c r="K732" s="186">
        <f t="shared" si="46"/>
        <v>45798</v>
      </c>
      <c r="L732" s="3" t="s">
        <v>4104</v>
      </c>
      <c r="M732" s="3" t="s">
        <v>2367</v>
      </c>
      <c r="N732" s="3" t="str">
        <f t="shared" si="47"/>
        <v/>
      </c>
    </row>
    <row r="733" spans="1:21">
      <c r="A733" s="3">
        <v>5670</v>
      </c>
      <c r="B733" s="82">
        <f t="array" ref="B733">SUM(--(FREQUENCY(IF(C$2:C$3071=C733, MATCH(D$2:D$3071, D$2:D$3071, 0)), ROW(D$2:D$3071)-ROW(D$2)+1) &gt; 0))</f>
        <v>44</v>
      </c>
      <c r="C733" s="3">
        <v>41200047</v>
      </c>
      <c r="D733" s="6" t="s">
        <v>4847</v>
      </c>
      <c r="E733" s="3" t="s">
        <v>4135</v>
      </c>
      <c r="F733" s="3" t="s">
        <v>4112</v>
      </c>
      <c r="G733" s="3" t="str">
        <f t="shared" si="45"/>
        <v>DUAL</v>
      </c>
      <c r="H733" s="197">
        <f t="shared" si="44"/>
        <v>21</v>
      </c>
      <c r="I733" s="197">
        <v>5</v>
      </c>
      <c r="J733" s="197">
        <v>21</v>
      </c>
      <c r="K733" s="186">
        <f t="shared" si="46"/>
        <v>45798</v>
      </c>
      <c r="L733" s="3" t="s">
        <v>4104</v>
      </c>
      <c r="M733" s="3" t="s">
        <v>2367</v>
      </c>
      <c r="N733" s="3" t="str">
        <f t="shared" si="47"/>
        <v/>
      </c>
    </row>
    <row r="734" spans="1:21" ht="33">
      <c r="A734" s="3">
        <v>5699</v>
      </c>
      <c r="B734" s="82">
        <f t="array" ref="B734">SUM(--(FREQUENCY(IF(C$2:C$3071=C734, MATCH(D$2:D$3071, D$2:D$3071, 0)), ROW(D$2:D$3071)-ROW(D$2)+1) &gt; 0))</f>
        <v>1</v>
      </c>
      <c r="C734" s="3">
        <v>41000585</v>
      </c>
      <c r="D734" s="6" t="s">
        <v>4848</v>
      </c>
      <c r="E734" s="3" t="s">
        <v>2365</v>
      </c>
      <c r="F734" s="3" t="s">
        <v>4112</v>
      </c>
      <c r="G734" s="3" t="str">
        <f t="shared" si="45"/>
        <v>DUAL</v>
      </c>
      <c r="H734" s="197">
        <f t="shared" si="44"/>
        <v>21</v>
      </c>
      <c r="I734" s="197">
        <v>5</v>
      </c>
      <c r="J734" s="197">
        <v>21</v>
      </c>
      <c r="K734" s="186">
        <f t="shared" si="46"/>
        <v>45798</v>
      </c>
      <c r="L734" s="3" t="s">
        <v>4104</v>
      </c>
      <c r="M734" s="3" t="s">
        <v>2367</v>
      </c>
      <c r="N734" s="3" t="str">
        <f t="shared" si="47"/>
        <v>NG</v>
      </c>
      <c r="O734" s="3" t="s">
        <v>1568</v>
      </c>
      <c r="Q734" s="3">
        <v>11001962</v>
      </c>
      <c r="R734" s="3" t="s">
        <v>4713</v>
      </c>
      <c r="S734" s="7" t="s">
        <v>4849</v>
      </c>
      <c r="T734" s="3" t="s">
        <v>4455</v>
      </c>
    </row>
    <row r="735" spans="1:21" ht="33">
      <c r="A735" s="3">
        <v>5639</v>
      </c>
      <c r="B735" s="82">
        <f t="array" ref="B735">SUM(--(FREQUENCY(IF(C$2:C$3071=C735, MATCH(D$2:D$3071, D$2:D$3071, 0)), ROW(D$2:D$3071)-ROW(D$2)+1) &gt; 0))</f>
        <v>4</v>
      </c>
      <c r="C735" s="3">
        <v>41200149</v>
      </c>
      <c r="D735" s="6" t="s">
        <v>4850</v>
      </c>
      <c r="E735" s="3" t="s">
        <v>4135</v>
      </c>
      <c r="F735" s="3" t="s">
        <v>4112</v>
      </c>
      <c r="G735" s="3" t="str">
        <f t="shared" si="45"/>
        <v>DUAL</v>
      </c>
      <c r="H735" s="197">
        <f t="shared" si="44"/>
        <v>21</v>
      </c>
      <c r="I735" s="197">
        <v>5</v>
      </c>
      <c r="J735" s="197">
        <v>21</v>
      </c>
      <c r="K735" s="186">
        <f t="shared" si="46"/>
        <v>45798</v>
      </c>
      <c r="L735" s="3" t="s">
        <v>4104</v>
      </c>
      <c r="M735" s="3" t="s">
        <v>2367</v>
      </c>
      <c r="N735" s="3" t="str">
        <f t="shared" si="47"/>
        <v>NG</v>
      </c>
      <c r="O735" s="3" t="s">
        <v>1568</v>
      </c>
      <c r="Q735" s="3">
        <v>11000088</v>
      </c>
      <c r="R735" s="3" t="s">
        <v>4539</v>
      </c>
      <c r="S735" s="7" t="s">
        <v>4851</v>
      </c>
      <c r="T735" s="3" t="s">
        <v>4454</v>
      </c>
    </row>
    <row r="736" spans="1:21">
      <c r="A736" s="3">
        <v>5642</v>
      </c>
      <c r="B736" s="82">
        <f t="array" ref="B736">SUM(--(FREQUENCY(IF(C$2:C$3071=C736, MATCH(D$2:D$3071, D$2:D$3071, 0)), ROW(D$2:D$3071)-ROW(D$2)+1) &gt; 0))</f>
        <v>11</v>
      </c>
      <c r="C736" s="3">
        <v>41000588</v>
      </c>
      <c r="D736" s="6" t="s">
        <v>2207</v>
      </c>
      <c r="E736" s="3" t="s">
        <v>2365</v>
      </c>
      <c r="F736" s="3" t="s">
        <v>4130</v>
      </c>
      <c r="G736" s="3" t="str">
        <f t="shared" si="45"/>
        <v>DUAL</v>
      </c>
      <c r="H736" s="197">
        <f t="shared" si="44"/>
        <v>21</v>
      </c>
      <c r="I736" s="197">
        <v>5</v>
      </c>
      <c r="J736" s="197">
        <v>21</v>
      </c>
      <c r="K736" s="186">
        <f t="shared" si="46"/>
        <v>45798</v>
      </c>
      <c r="L736" s="3" t="s">
        <v>2381</v>
      </c>
      <c r="M736" s="3" t="s">
        <v>2383</v>
      </c>
      <c r="N736" s="3" t="str">
        <f t="shared" si="47"/>
        <v>NG</v>
      </c>
      <c r="O736" s="3" t="s">
        <v>1568</v>
      </c>
      <c r="Q736" s="3">
        <v>11005274</v>
      </c>
      <c r="R736" s="3" t="s">
        <v>4843</v>
      </c>
      <c r="S736" s="3" t="s">
        <v>4852</v>
      </c>
      <c r="T736" s="3" t="s">
        <v>4455</v>
      </c>
    </row>
    <row r="737" spans="1:21">
      <c r="A737" s="3">
        <v>5642</v>
      </c>
      <c r="B737" s="82">
        <f t="array" ref="B737">SUM(--(FREQUENCY(IF(C$2:C$3071=C737, MATCH(D$2:D$3071, D$2:D$3071, 0)), ROW(D$2:D$3071)-ROW(D$2)+1) &gt; 0))</f>
        <v>11</v>
      </c>
      <c r="C737" s="3">
        <v>41000588</v>
      </c>
      <c r="D737" s="6" t="s">
        <v>4853</v>
      </c>
      <c r="E737" s="3" t="s">
        <v>2365</v>
      </c>
      <c r="F737" s="3" t="s">
        <v>4130</v>
      </c>
      <c r="G737" s="3" t="str">
        <f t="shared" si="45"/>
        <v>DUAL</v>
      </c>
      <c r="H737" s="197">
        <f t="shared" si="44"/>
        <v>21</v>
      </c>
      <c r="I737" s="197">
        <v>5</v>
      </c>
      <c r="J737" s="197">
        <v>21</v>
      </c>
      <c r="K737" s="186">
        <f t="shared" si="46"/>
        <v>45798</v>
      </c>
      <c r="L737" s="3" t="s">
        <v>2381</v>
      </c>
      <c r="M737" s="3" t="s">
        <v>2383</v>
      </c>
      <c r="N737" s="3" t="str">
        <f t="shared" si="47"/>
        <v/>
      </c>
    </row>
    <row r="738" spans="1:21" s="15" customFormat="1" ht="33">
      <c r="A738" s="3">
        <v>5668</v>
      </c>
      <c r="B738" s="82">
        <f t="array" ref="B738">SUM(--(FREQUENCY(IF(C$2:C$3071=C738, MATCH(D$2:D$3071, D$2:D$3071, 0)), ROW(D$2:D$3071)-ROW(D$2)+1) &gt; 0))</f>
        <v>51</v>
      </c>
      <c r="C738" s="3">
        <v>41200034</v>
      </c>
      <c r="D738" s="6" t="s">
        <v>2218</v>
      </c>
      <c r="E738" s="3" t="s">
        <v>4135</v>
      </c>
      <c r="F738" s="3" t="s">
        <v>4527</v>
      </c>
      <c r="G738" s="3" t="str">
        <f t="shared" si="45"/>
        <v>DUAL</v>
      </c>
      <c r="H738" s="197">
        <f t="shared" si="44"/>
        <v>21</v>
      </c>
      <c r="I738" s="197">
        <v>5</v>
      </c>
      <c r="J738" s="197">
        <v>22</v>
      </c>
      <c r="K738" s="186">
        <f t="shared" si="46"/>
        <v>45799</v>
      </c>
      <c r="L738" s="3" t="s">
        <v>4104</v>
      </c>
      <c r="M738" s="3" t="s">
        <v>2388</v>
      </c>
      <c r="N738" s="3" t="str">
        <f t="shared" si="47"/>
        <v>NG</v>
      </c>
      <c r="O738" s="3" t="s">
        <v>1568</v>
      </c>
      <c r="P738" s="3"/>
      <c r="Q738" s="3">
        <v>11000090</v>
      </c>
      <c r="R738" s="3" t="s">
        <v>4539</v>
      </c>
      <c r="S738" s="7" t="s">
        <v>4854</v>
      </c>
      <c r="T738" s="3" t="s">
        <v>4455</v>
      </c>
      <c r="U738" s="3"/>
    </row>
    <row r="739" spans="1:21" s="15" customFormat="1">
      <c r="A739" s="3">
        <v>5668</v>
      </c>
      <c r="B739" s="82">
        <f t="array" ref="B739">SUM(--(FREQUENCY(IF(C$2:C$3071=C739, MATCH(D$2:D$3071, D$2:D$3071, 0)), ROW(D$2:D$3071)-ROW(D$2)+1) &gt; 0))</f>
        <v>51</v>
      </c>
      <c r="C739" s="3">
        <v>41200034</v>
      </c>
      <c r="D739" s="6" t="s">
        <v>4855</v>
      </c>
      <c r="E739" s="3" t="s">
        <v>4135</v>
      </c>
      <c r="F739" s="3" t="s">
        <v>4527</v>
      </c>
      <c r="G739" s="3" t="str">
        <f t="shared" si="45"/>
        <v>DUAL</v>
      </c>
      <c r="H739" s="197">
        <f t="shared" si="44"/>
        <v>21</v>
      </c>
      <c r="I739" s="197">
        <v>5</v>
      </c>
      <c r="J739" s="197">
        <v>22</v>
      </c>
      <c r="K739" s="186">
        <f t="shared" si="46"/>
        <v>45799</v>
      </c>
      <c r="L739" s="3" t="s">
        <v>4104</v>
      </c>
      <c r="M739" s="3" t="s">
        <v>2388</v>
      </c>
      <c r="N739" s="3" t="str">
        <f t="shared" si="47"/>
        <v/>
      </c>
      <c r="O739" s="3"/>
      <c r="P739" s="3"/>
      <c r="Q739" s="3"/>
      <c r="R739" s="3"/>
      <c r="S739" s="3"/>
      <c r="T739" s="3"/>
      <c r="U739" s="3"/>
    </row>
    <row r="740" spans="1:21" s="15" customFormat="1">
      <c r="A740" s="3">
        <v>5666</v>
      </c>
      <c r="B740" s="82">
        <f t="array" ref="B740">SUM(--(FREQUENCY(IF(C$2:C$3071=C740, MATCH(D$2:D$3071, D$2:D$3071, 0)), ROW(D$2:D$3071)-ROW(D$2)+1) &gt; 0))</f>
        <v>18</v>
      </c>
      <c r="C740" s="3">
        <v>41200039</v>
      </c>
      <c r="D740" s="6" t="s">
        <v>4856</v>
      </c>
      <c r="E740" s="3" t="s">
        <v>4135</v>
      </c>
      <c r="F740" s="3" t="s">
        <v>4527</v>
      </c>
      <c r="G740" s="3" t="str">
        <f t="shared" si="45"/>
        <v>DUAL</v>
      </c>
      <c r="H740" s="197">
        <f t="shared" si="44"/>
        <v>21</v>
      </c>
      <c r="I740" s="197">
        <v>5</v>
      </c>
      <c r="J740" s="197">
        <v>22</v>
      </c>
      <c r="K740" s="186">
        <f t="shared" si="46"/>
        <v>45799</v>
      </c>
      <c r="L740" s="3" t="s">
        <v>4104</v>
      </c>
      <c r="M740" s="3" t="s">
        <v>2383</v>
      </c>
      <c r="N740" s="3" t="str">
        <f t="shared" si="47"/>
        <v/>
      </c>
      <c r="O740" s="3"/>
      <c r="P740" s="3"/>
      <c r="Q740" s="3"/>
      <c r="R740" s="3"/>
      <c r="S740" s="3"/>
      <c r="T740" s="3"/>
      <c r="U740" s="3"/>
    </row>
    <row r="741" spans="1:21" s="15" customFormat="1">
      <c r="A741" s="14">
        <v>5372</v>
      </c>
      <c r="B741" s="82">
        <f t="array" ref="B741">SUM(--(FREQUENCY(IF(C$2:C$3071=C741, MATCH(D$2:D$3071, D$2:D$3071, 0)), ROW(D$2:D$3071)-ROW(D$2)+1) &gt; 0))</f>
        <v>7</v>
      </c>
      <c r="C741" s="14">
        <v>41200113</v>
      </c>
      <c r="D741" s="6" t="s">
        <v>4857</v>
      </c>
      <c r="E741" s="14" t="s">
        <v>4116</v>
      </c>
      <c r="F741" s="14" t="s">
        <v>4112</v>
      </c>
      <c r="G741" s="3" t="str">
        <f t="shared" si="45"/>
        <v>DUAL</v>
      </c>
      <c r="H741" s="197">
        <f t="shared" si="44"/>
        <v>21</v>
      </c>
      <c r="I741" s="201">
        <v>5</v>
      </c>
      <c r="J741" s="201">
        <v>22</v>
      </c>
      <c r="K741" s="186">
        <f t="shared" si="46"/>
        <v>45799</v>
      </c>
      <c r="L741" s="14" t="s">
        <v>4104</v>
      </c>
      <c r="M741" s="14" t="s">
        <v>2388</v>
      </c>
      <c r="N741" s="3" t="str">
        <f t="shared" si="47"/>
        <v>NG</v>
      </c>
      <c r="O741" s="14" t="s">
        <v>1568</v>
      </c>
      <c r="P741" s="14"/>
      <c r="Q741" s="14">
        <v>11002283</v>
      </c>
      <c r="R741" s="14" t="s">
        <v>4105</v>
      </c>
      <c r="S741" s="14" t="s">
        <v>4858</v>
      </c>
      <c r="T741" s="14" t="s">
        <v>4454</v>
      </c>
      <c r="U741" s="14"/>
    </row>
    <row r="742" spans="1:21" s="15" customFormat="1">
      <c r="A742" s="14">
        <v>5372</v>
      </c>
      <c r="B742" s="82">
        <f t="array" ref="B742">SUM(--(FREQUENCY(IF(C$2:C$3071=C742, MATCH(D$2:D$3071, D$2:D$3071, 0)), ROW(D$2:D$3071)-ROW(D$2)+1) &gt; 0))</f>
        <v>7</v>
      </c>
      <c r="C742" s="14">
        <v>41200113</v>
      </c>
      <c r="D742" s="6" t="s">
        <v>4857</v>
      </c>
      <c r="E742" s="14" t="s">
        <v>4116</v>
      </c>
      <c r="F742" s="14" t="s">
        <v>4112</v>
      </c>
      <c r="G742" s="3" t="str">
        <f t="shared" si="45"/>
        <v>DUAL</v>
      </c>
      <c r="H742" s="197">
        <f t="shared" si="44"/>
        <v>21</v>
      </c>
      <c r="I742" s="201">
        <v>5</v>
      </c>
      <c r="J742" s="201">
        <v>22</v>
      </c>
      <c r="K742" s="186">
        <f t="shared" si="46"/>
        <v>45799</v>
      </c>
      <c r="L742" s="14" t="s">
        <v>4104</v>
      </c>
      <c r="M742" s="14" t="s">
        <v>2388</v>
      </c>
      <c r="N742" s="3" t="str">
        <f t="shared" si="47"/>
        <v>NG</v>
      </c>
      <c r="O742" s="14" t="s">
        <v>1568</v>
      </c>
      <c r="P742" s="14"/>
      <c r="Q742" s="14">
        <v>11002283</v>
      </c>
      <c r="R742" s="14" t="s">
        <v>4105</v>
      </c>
      <c r="S742" s="14" t="s">
        <v>4859</v>
      </c>
      <c r="T742" s="14" t="s">
        <v>4454</v>
      </c>
      <c r="U742" s="14"/>
    </row>
    <row r="743" spans="1:21" s="15" customFormat="1">
      <c r="A743" s="14">
        <v>5372</v>
      </c>
      <c r="B743" s="82">
        <f t="array" ref="B743">SUM(--(FREQUENCY(IF(C$2:C$3071=C743, MATCH(D$2:D$3071, D$2:D$3071, 0)), ROW(D$2:D$3071)-ROW(D$2)+1) &gt; 0))</f>
        <v>7</v>
      </c>
      <c r="C743" s="14">
        <v>41200113</v>
      </c>
      <c r="D743" s="6" t="s">
        <v>4857</v>
      </c>
      <c r="E743" s="14" t="s">
        <v>4116</v>
      </c>
      <c r="F743" s="14" t="s">
        <v>4112</v>
      </c>
      <c r="G743" s="3" t="str">
        <f t="shared" si="45"/>
        <v>DUAL</v>
      </c>
      <c r="H743" s="197">
        <f t="shared" si="44"/>
        <v>21</v>
      </c>
      <c r="I743" s="201">
        <v>5</v>
      </c>
      <c r="J743" s="201">
        <v>22</v>
      </c>
      <c r="K743" s="186">
        <f t="shared" si="46"/>
        <v>45799</v>
      </c>
      <c r="L743" s="14" t="s">
        <v>4104</v>
      </c>
      <c r="M743" s="14" t="s">
        <v>2388</v>
      </c>
      <c r="N743" s="3" t="str">
        <f t="shared" si="47"/>
        <v>NG</v>
      </c>
      <c r="O743" s="14" t="s">
        <v>1568</v>
      </c>
      <c r="P743" s="14"/>
      <c r="Q743" s="14">
        <v>11002283</v>
      </c>
      <c r="R743" s="14" t="s">
        <v>4105</v>
      </c>
      <c r="S743" s="14" t="s">
        <v>4860</v>
      </c>
      <c r="T743" s="14" t="s">
        <v>4454</v>
      </c>
      <c r="U743" s="14"/>
    </row>
    <row r="744" spans="1:21">
      <c r="A744" s="14">
        <v>5372</v>
      </c>
      <c r="B744" s="82">
        <f t="array" ref="B744">SUM(--(FREQUENCY(IF(C$2:C$3071=C744, MATCH(D$2:D$3071, D$2:D$3071, 0)), ROW(D$2:D$3071)-ROW(D$2)+1) &gt; 0))</f>
        <v>7</v>
      </c>
      <c r="C744" s="14">
        <v>41200113</v>
      </c>
      <c r="D744" s="6" t="s">
        <v>4857</v>
      </c>
      <c r="E744" s="14" t="s">
        <v>4116</v>
      </c>
      <c r="F744" s="14" t="s">
        <v>4112</v>
      </c>
      <c r="G744" s="3" t="str">
        <f t="shared" si="45"/>
        <v>DUAL</v>
      </c>
      <c r="H744" s="197">
        <f t="shared" si="44"/>
        <v>21</v>
      </c>
      <c r="I744" s="201">
        <v>5</v>
      </c>
      <c r="J744" s="201">
        <v>22</v>
      </c>
      <c r="K744" s="186">
        <f t="shared" si="46"/>
        <v>45799</v>
      </c>
      <c r="L744" s="14" t="s">
        <v>4104</v>
      </c>
      <c r="M744" s="14" t="s">
        <v>2388</v>
      </c>
      <c r="N744" s="3" t="str">
        <f t="shared" si="47"/>
        <v>NG</v>
      </c>
      <c r="O744" s="14" t="s">
        <v>1568</v>
      </c>
      <c r="P744" s="14"/>
      <c r="Q744" s="14">
        <v>11002283</v>
      </c>
      <c r="R744" s="14" t="s">
        <v>4105</v>
      </c>
      <c r="S744" s="14" t="s">
        <v>4861</v>
      </c>
      <c r="T744" s="14" t="s">
        <v>4454</v>
      </c>
      <c r="U744" s="14"/>
    </row>
    <row r="745" spans="1:21">
      <c r="A745" s="14">
        <v>5372</v>
      </c>
      <c r="B745" s="82">
        <f t="array" ref="B745">SUM(--(FREQUENCY(IF(C$2:C$3071=C745, MATCH(D$2:D$3071, D$2:D$3071, 0)), ROW(D$2:D$3071)-ROW(D$2)+1) &gt; 0))</f>
        <v>7</v>
      </c>
      <c r="C745" s="14">
        <v>41200113</v>
      </c>
      <c r="D745" s="6" t="s">
        <v>4857</v>
      </c>
      <c r="E745" s="14" t="s">
        <v>4116</v>
      </c>
      <c r="F745" s="14" t="s">
        <v>4112</v>
      </c>
      <c r="G745" s="3" t="str">
        <f t="shared" si="45"/>
        <v>DUAL</v>
      </c>
      <c r="H745" s="197">
        <f t="shared" si="44"/>
        <v>21</v>
      </c>
      <c r="I745" s="201">
        <v>5</v>
      </c>
      <c r="J745" s="201">
        <v>22</v>
      </c>
      <c r="K745" s="186">
        <f t="shared" si="46"/>
        <v>45799</v>
      </c>
      <c r="L745" s="14" t="s">
        <v>4104</v>
      </c>
      <c r="M745" s="14" t="s">
        <v>2388</v>
      </c>
      <c r="N745" s="3" t="str">
        <f t="shared" si="47"/>
        <v>NG</v>
      </c>
      <c r="O745" s="14" t="s">
        <v>1568</v>
      </c>
      <c r="P745" s="14"/>
      <c r="Q745" s="14">
        <v>11002283</v>
      </c>
      <c r="R745" s="14" t="s">
        <v>4105</v>
      </c>
      <c r="S745" s="14" t="s">
        <v>4862</v>
      </c>
      <c r="T745" s="14" t="s">
        <v>4455</v>
      </c>
      <c r="U745" s="14"/>
    </row>
    <row r="746" spans="1:21">
      <c r="A746" s="14">
        <v>5372</v>
      </c>
      <c r="B746" s="82">
        <f t="array" ref="B746">SUM(--(FREQUENCY(IF(C$2:C$3071=C746, MATCH(D$2:D$3071, D$2:D$3071, 0)), ROW(D$2:D$3071)-ROW(D$2)+1) &gt; 0))</f>
        <v>7</v>
      </c>
      <c r="C746" s="14">
        <v>41200113</v>
      </c>
      <c r="D746" s="6" t="s">
        <v>4857</v>
      </c>
      <c r="E746" s="14" t="s">
        <v>4116</v>
      </c>
      <c r="F746" s="14" t="s">
        <v>4112</v>
      </c>
      <c r="G746" s="3" t="str">
        <f t="shared" si="45"/>
        <v>DUAL</v>
      </c>
      <c r="H746" s="197">
        <f t="shared" si="44"/>
        <v>21</v>
      </c>
      <c r="I746" s="201">
        <v>5</v>
      </c>
      <c r="J746" s="201">
        <v>22</v>
      </c>
      <c r="K746" s="186">
        <f t="shared" si="46"/>
        <v>45799</v>
      </c>
      <c r="L746" s="14" t="s">
        <v>4104</v>
      </c>
      <c r="M746" s="14" t="s">
        <v>2388</v>
      </c>
      <c r="N746" s="3" t="str">
        <f t="shared" si="47"/>
        <v>NG</v>
      </c>
      <c r="O746" s="14" t="s">
        <v>1568</v>
      </c>
      <c r="P746" s="14"/>
      <c r="Q746" s="14">
        <v>11002283</v>
      </c>
      <c r="R746" s="14" t="s">
        <v>4105</v>
      </c>
      <c r="S746" s="14" t="s">
        <v>4863</v>
      </c>
      <c r="T746" s="14" t="s">
        <v>4455</v>
      </c>
      <c r="U746" s="14"/>
    </row>
    <row r="747" spans="1:21" ht="33">
      <c r="A747" s="3">
        <v>5697</v>
      </c>
      <c r="B747" s="82">
        <f t="array" ref="B747">SUM(--(FREQUENCY(IF(C$2:C$3071=C747, MATCH(D$2:D$3071, D$2:D$3071, 0)), ROW(D$2:D$3071)-ROW(D$2)+1) &gt; 0))</f>
        <v>1</v>
      </c>
      <c r="C747" s="3">
        <v>41200055</v>
      </c>
      <c r="D747" s="6" t="s">
        <v>4864</v>
      </c>
      <c r="E747" s="3" t="s">
        <v>2365</v>
      </c>
      <c r="F747" s="3" t="s">
        <v>4865</v>
      </c>
      <c r="G747" s="3" t="str">
        <f t="shared" si="45"/>
        <v>DUAL</v>
      </c>
      <c r="H747" s="197">
        <f t="shared" si="44"/>
        <v>21</v>
      </c>
      <c r="I747" s="197">
        <v>5</v>
      </c>
      <c r="J747" s="197">
        <v>24</v>
      </c>
      <c r="K747" s="186">
        <f t="shared" si="46"/>
        <v>45801</v>
      </c>
      <c r="L747" s="3" t="s">
        <v>4104</v>
      </c>
      <c r="M747" s="3" t="s">
        <v>2388</v>
      </c>
      <c r="N747" s="3" t="str">
        <f t="shared" si="47"/>
        <v>NG</v>
      </c>
      <c r="O747" s="3" t="s">
        <v>1568</v>
      </c>
      <c r="Q747" s="3">
        <v>11100776</v>
      </c>
      <c r="R747" s="3" t="s">
        <v>4666</v>
      </c>
      <c r="S747" s="7" t="s">
        <v>4866</v>
      </c>
      <c r="T747" s="3" t="s">
        <v>4454</v>
      </c>
    </row>
    <row r="748" spans="1:21" ht="49.5">
      <c r="A748" s="3">
        <v>5722</v>
      </c>
      <c r="B748" s="82">
        <f t="array" ref="B748">SUM(--(FREQUENCY(IF(C$2:C$3071=C748, MATCH(D$2:D$3071, D$2:D$3071, 0)), ROW(D$2:D$3071)-ROW(D$2)+1) &gt; 0))</f>
        <v>26</v>
      </c>
      <c r="C748" s="3">
        <v>41000590</v>
      </c>
      <c r="D748" s="6" t="s">
        <v>2220</v>
      </c>
      <c r="E748" s="3" t="s">
        <v>2365</v>
      </c>
      <c r="F748" s="3" t="s">
        <v>4867</v>
      </c>
      <c r="G748" s="3" t="str">
        <f t="shared" si="45"/>
        <v>SINGLE</v>
      </c>
      <c r="H748" s="197">
        <f t="shared" si="44"/>
        <v>22</v>
      </c>
      <c r="I748" s="197">
        <v>5</v>
      </c>
      <c r="J748" s="197">
        <v>26</v>
      </c>
      <c r="K748" s="186">
        <f t="shared" si="46"/>
        <v>45803</v>
      </c>
      <c r="L748" s="3" t="s">
        <v>4104</v>
      </c>
      <c r="M748" s="3" t="s">
        <v>2367</v>
      </c>
      <c r="N748" s="3" t="str">
        <f t="shared" si="47"/>
        <v>NG</v>
      </c>
      <c r="O748" s="3" t="s">
        <v>1568</v>
      </c>
      <c r="Q748" s="3">
        <v>11006168</v>
      </c>
      <c r="R748" s="3" t="s">
        <v>4622</v>
      </c>
      <c r="S748" s="7" t="s">
        <v>4868</v>
      </c>
    </row>
    <row r="749" spans="1:21">
      <c r="A749" s="3">
        <v>5686</v>
      </c>
      <c r="B749" s="82">
        <f t="array" ref="B749">SUM(--(FREQUENCY(IF(C$2:C$3071=C749, MATCH(D$2:D$3071, D$2:D$3071, 0)), ROW(D$2:D$3071)-ROW(D$2)+1) &gt; 0))</f>
        <v>41</v>
      </c>
      <c r="C749" s="3">
        <v>41200101</v>
      </c>
      <c r="D749" s="6" t="s">
        <v>4869</v>
      </c>
      <c r="E749" s="3" t="s">
        <v>4102</v>
      </c>
      <c r="F749" s="3" t="s">
        <v>4112</v>
      </c>
      <c r="G749" s="3" t="str">
        <f t="shared" si="45"/>
        <v>DUAL</v>
      </c>
      <c r="H749" s="197">
        <f t="shared" si="44"/>
        <v>22</v>
      </c>
      <c r="I749" s="197">
        <v>5</v>
      </c>
      <c r="J749" s="197">
        <v>26</v>
      </c>
      <c r="K749" s="186">
        <f t="shared" si="46"/>
        <v>45803</v>
      </c>
      <c r="L749" s="3" t="s">
        <v>2367</v>
      </c>
      <c r="M749" s="3" t="s">
        <v>2383</v>
      </c>
      <c r="N749" s="3" t="str">
        <f t="shared" si="47"/>
        <v/>
      </c>
    </row>
    <row r="750" spans="1:21">
      <c r="A750" s="3">
        <v>5685</v>
      </c>
      <c r="B750" s="82">
        <f t="array" ref="B750">SUM(--(FREQUENCY(IF(C$2:C$3071=C750, MATCH(D$2:D$3071, D$2:D$3071, 0)), ROW(D$2:D$3071)-ROW(D$2)+1) &gt; 0))</f>
        <v>41</v>
      </c>
      <c r="C750" s="3">
        <v>41200101</v>
      </c>
      <c r="D750" s="6" t="s">
        <v>2224</v>
      </c>
      <c r="E750" s="3" t="s">
        <v>4102</v>
      </c>
      <c r="F750" s="3" t="s">
        <v>4112</v>
      </c>
      <c r="G750" s="3" t="str">
        <f t="shared" si="45"/>
        <v>DUAL</v>
      </c>
      <c r="H750" s="197">
        <f t="shared" si="44"/>
        <v>22</v>
      </c>
      <c r="I750" s="197">
        <v>5</v>
      </c>
      <c r="J750" s="197">
        <v>26</v>
      </c>
      <c r="K750" s="186">
        <f t="shared" si="46"/>
        <v>45803</v>
      </c>
      <c r="L750" s="3" t="s">
        <v>2381</v>
      </c>
      <c r="M750" s="3" t="s">
        <v>2383</v>
      </c>
      <c r="N750" s="3" t="str">
        <f t="shared" si="47"/>
        <v/>
      </c>
    </row>
    <row r="751" spans="1:21">
      <c r="A751" s="3">
        <v>5685</v>
      </c>
      <c r="B751" s="82">
        <f t="array" ref="B751">SUM(--(FREQUENCY(IF(C$2:C$3071=C751, MATCH(D$2:D$3071, D$2:D$3071, 0)), ROW(D$2:D$3071)-ROW(D$2)+1) &gt; 0))</f>
        <v>41</v>
      </c>
      <c r="C751" s="3">
        <v>41200101</v>
      </c>
      <c r="D751" s="6" t="s">
        <v>4870</v>
      </c>
      <c r="E751" s="3" t="s">
        <v>4102</v>
      </c>
      <c r="F751" s="3" t="s">
        <v>4112</v>
      </c>
      <c r="G751" s="3" t="str">
        <f t="shared" si="45"/>
        <v>DUAL</v>
      </c>
      <c r="H751" s="197">
        <f t="shared" si="44"/>
        <v>22</v>
      </c>
      <c r="I751" s="197">
        <v>5</v>
      </c>
      <c r="J751" s="197">
        <v>26</v>
      </c>
      <c r="K751" s="186">
        <f t="shared" si="46"/>
        <v>45803</v>
      </c>
      <c r="L751" s="3" t="s">
        <v>2381</v>
      </c>
      <c r="M751" s="3" t="s">
        <v>2383</v>
      </c>
      <c r="N751" s="3" t="str">
        <f t="shared" si="47"/>
        <v/>
      </c>
    </row>
    <row r="752" spans="1:21">
      <c r="A752" s="3">
        <v>5670</v>
      </c>
      <c r="B752" s="82">
        <f t="array" ref="B752">SUM(--(FREQUENCY(IF(C$2:C$3071=C752, MATCH(D$2:D$3071, D$2:D$3071, 0)), ROW(D$2:D$3071)-ROW(D$2)+1) &gt; 0))</f>
        <v>44</v>
      </c>
      <c r="C752" s="3">
        <v>41200047</v>
      </c>
      <c r="D752" s="6" t="s">
        <v>2222</v>
      </c>
      <c r="E752" s="3" t="s">
        <v>4135</v>
      </c>
      <c r="F752" s="3" t="s">
        <v>4112</v>
      </c>
      <c r="G752" s="3" t="str">
        <f t="shared" si="45"/>
        <v>DUAL</v>
      </c>
      <c r="H752" s="197">
        <f t="shared" si="44"/>
        <v>22</v>
      </c>
      <c r="I752" s="197">
        <v>5</v>
      </c>
      <c r="J752" s="197">
        <v>26</v>
      </c>
      <c r="K752" s="186">
        <f t="shared" si="46"/>
        <v>45803</v>
      </c>
      <c r="L752" s="3" t="s">
        <v>4104</v>
      </c>
      <c r="M752" s="3" t="s">
        <v>2367</v>
      </c>
      <c r="N752" s="3" t="str">
        <f t="shared" si="47"/>
        <v/>
      </c>
    </row>
    <row r="753" spans="1:20">
      <c r="A753" s="3">
        <v>5670</v>
      </c>
      <c r="B753" s="82">
        <f t="array" ref="B753">SUM(--(FREQUENCY(IF(C$2:C$3071=C753, MATCH(D$2:D$3071, D$2:D$3071, 0)), ROW(D$2:D$3071)-ROW(D$2)+1) &gt; 0))</f>
        <v>44</v>
      </c>
      <c r="C753" s="3">
        <v>41200047</v>
      </c>
      <c r="D753" s="6" t="s">
        <v>4871</v>
      </c>
      <c r="E753" s="3" t="s">
        <v>4135</v>
      </c>
      <c r="F753" s="3" t="s">
        <v>4112</v>
      </c>
      <c r="G753" s="3" t="str">
        <f t="shared" si="45"/>
        <v>DUAL</v>
      </c>
      <c r="H753" s="197">
        <f t="shared" si="44"/>
        <v>22</v>
      </c>
      <c r="I753" s="197">
        <v>5</v>
      </c>
      <c r="J753" s="197">
        <v>26</v>
      </c>
      <c r="K753" s="186">
        <f t="shared" si="46"/>
        <v>45803</v>
      </c>
      <c r="L753" s="3" t="s">
        <v>4104</v>
      </c>
      <c r="M753" s="3" t="s">
        <v>2367</v>
      </c>
      <c r="N753" s="3" t="str">
        <f t="shared" si="47"/>
        <v/>
      </c>
    </row>
    <row r="754" spans="1:20">
      <c r="A754" s="3">
        <v>5722</v>
      </c>
      <c r="B754" s="82">
        <f t="array" ref="B754">SUM(--(FREQUENCY(IF(C$2:C$3071=C754, MATCH(D$2:D$3071, D$2:D$3071, 0)), ROW(D$2:D$3071)-ROW(D$2)+1) &gt; 0))</f>
        <v>26</v>
      </c>
      <c r="C754" s="3">
        <v>41000590</v>
      </c>
      <c r="D754" s="6" t="s">
        <v>4872</v>
      </c>
      <c r="E754" s="3" t="s">
        <v>2365</v>
      </c>
      <c r="F754" s="3" t="s">
        <v>4865</v>
      </c>
      <c r="G754" s="3" t="str">
        <f t="shared" si="45"/>
        <v>DUAL</v>
      </c>
      <c r="H754" s="197">
        <f t="shared" si="44"/>
        <v>22</v>
      </c>
      <c r="I754" s="197">
        <v>5</v>
      </c>
      <c r="J754" s="197">
        <v>26</v>
      </c>
      <c r="K754" s="186">
        <f t="shared" si="46"/>
        <v>45803</v>
      </c>
      <c r="L754" s="3" t="s">
        <v>4104</v>
      </c>
      <c r="M754" s="3" t="s">
        <v>2367</v>
      </c>
      <c r="N754" s="3" t="str">
        <f t="shared" si="47"/>
        <v/>
      </c>
    </row>
    <row r="755" spans="1:20">
      <c r="A755" s="3">
        <v>5705</v>
      </c>
      <c r="B755" s="82">
        <f t="array" ref="B755">SUM(--(FREQUENCY(IF(C$2:C$3071=C755, MATCH(D$2:D$3071, D$2:D$3071, 0)), ROW(D$2:D$3071)-ROW(D$2)+1) &gt; 0))</f>
        <v>7</v>
      </c>
      <c r="C755" s="3">
        <v>41200113</v>
      </c>
      <c r="D755" s="6" t="s">
        <v>4873</v>
      </c>
      <c r="E755" s="3" t="s">
        <v>4116</v>
      </c>
      <c r="F755" s="3" t="s">
        <v>4112</v>
      </c>
      <c r="G755" s="3" t="str">
        <f t="shared" si="45"/>
        <v>DUAL</v>
      </c>
      <c r="H755" s="197">
        <f t="shared" si="44"/>
        <v>22</v>
      </c>
      <c r="I755" s="197">
        <v>5</v>
      </c>
      <c r="J755" s="197">
        <v>27</v>
      </c>
      <c r="K755" s="186">
        <f t="shared" si="46"/>
        <v>45804</v>
      </c>
      <c r="L755" s="3" t="s">
        <v>4104</v>
      </c>
      <c r="M755" s="3" t="s">
        <v>2367</v>
      </c>
      <c r="N755" s="3" t="str">
        <f t="shared" si="47"/>
        <v/>
      </c>
    </row>
    <row r="756" spans="1:20" ht="33">
      <c r="A756" s="3">
        <v>5665</v>
      </c>
      <c r="B756" s="82">
        <f t="array" ref="B756">SUM(--(FREQUENCY(IF(C$2:C$3071=C756, MATCH(D$2:D$3071, D$2:D$3071, 0)), ROW(D$2:D$3071)-ROW(D$2)+1) &gt; 0))</f>
        <v>14</v>
      </c>
      <c r="C756" s="3">
        <v>41200038</v>
      </c>
      <c r="D756" s="6" t="s">
        <v>4874</v>
      </c>
      <c r="E756" s="3" t="s">
        <v>4135</v>
      </c>
      <c r="F756" s="3" t="s">
        <v>4112</v>
      </c>
      <c r="G756" s="3" t="str">
        <f t="shared" si="45"/>
        <v>DUAL</v>
      </c>
      <c r="H756" s="197">
        <f t="shared" si="44"/>
        <v>22</v>
      </c>
      <c r="I756" s="197">
        <v>5</v>
      </c>
      <c r="J756" s="197">
        <v>27</v>
      </c>
      <c r="K756" s="186">
        <f t="shared" si="46"/>
        <v>45804</v>
      </c>
      <c r="L756" s="3" t="s">
        <v>2381</v>
      </c>
      <c r="M756" s="3" t="s">
        <v>2383</v>
      </c>
      <c r="N756" s="3" t="str">
        <f t="shared" si="47"/>
        <v>NG</v>
      </c>
      <c r="O756" s="3" t="s">
        <v>1568</v>
      </c>
      <c r="Q756" s="3">
        <v>11001962</v>
      </c>
      <c r="R756" s="3" t="s">
        <v>4713</v>
      </c>
      <c r="S756" s="7" t="s">
        <v>4849</v>
      </c>
      <c r="T756" s="3" t="s">
        <v>4455</v>
      </c>
    </row>
    <row r="757" spans="1:20">
      <c r="A757" s="3">
        <v>5668</v>
      </c>
      <c r="B757" s="82">
        <f t="array" ref="B757">SUM(--(FREQUENCY(IF(C$2:C$3071=C757, MATCH(D$2:D$3071, D$2:D$3071, 0)), ROW(D$2:D$3071)-ROW(D$2)+1) &gt; 0))</f>
        <v>51</v>
      </c>
      <c r="C757" s="3">
        <v>41200034</v>
      </c>
      <c r="D757" s="6" t="s">
        <v>2230</v>
      </c>
      <c r="E757" s="3" t="s">
        <v>4135</v>
      </c>
      <c r="F757" s="3" t="s">
        <v>4112</v>
      </c>
      <c r="G757" s="3" t="str">
        <f t="shared" si="45"/>
        <v>DUAL</v>
      </c>
      <c r="H757" s="197">
        <f t="shared" si="44"/>
        <v>22</v>
      </c>
      <c r="I757" s="197">
        <v>5</v>
      </c>
      <c r="J757" s="197">
        <v>27</v>
      </c>
      <c r="K757" s="186">
        <f t="shared" si="46"/>
        <v>45804</v>
      </c>
      <c r="L757" s="3" t="s">
        <v>4104</v>
      </c>
      <c r="M757" s="3" t="s">
        <v>2388</v>
      </c>
      <c r="N757" s="3" t="str">
        <f t="shared" si="47"/>
        <v/>
      </c>
    </row>
    <row r="758" spans="1:20">
      <c r="A758" s="3">
        <v>5668</v>
      </c>
      <c r="B758" s="82">
        <f t="array" ref="B758">SUM(--(FREQUENCY(IF(C$2:C$3071=C758, MATCH(D$2:D$3071, D$2:D$3071, 0)), ROW(D$2:D$3071)-ROW(D$2)+1) &gt; 0))</f>
        <v>51</v>
      </c>
      <c r="C758" s="3">
        <v>41200034</v>
      </c>
      <c r="D758" s="6" t="s">
        <v>4875</v>
      </c>
      <c r="E758" s="3" t="s">
        <v>4135</v>
      </c>
      <c r="F758" s="3" t="s">
        <v>4112</v>
      </c>
      <c r="G758" s="3" t="str">
        <f t="shared" si="45"/>
        <v>DUAL</v>
      </c>
      <c r="H758" s="197">
        <f t="shared" si="44"/>
        <v>22</v>
      </c>
      <c r="I758" s="197">
        <v>5</v>
      </c>
      <c r="J758" s="197">
        <v>27</v>
      </c>
      <c r="K758" s="186">
        <f t="shared" si="46"/>
        <v>45804</v>
      </c>
      <c r="L758" s="3" t="s">
        <v>4104</v>
      </c>
      <c r="M758" s="3" t="s">
        <v>2388</v>
      </c>
      <c r="N758" s="3" t="str">
        <f t="shared" si="47"/>
        <v/>
      </c>
    </row>
    <row r="759" spans="1:20">
      <c r="A759" s="3">
        <v>5695</v>
      </c>
      <c r="B759" s="82">
        <f t="array" ref="B759">SUM(--(FREQUENCY(IF(C$2:C$3071=C759, MATCH(D$2:D$3071, D$2:D$3071, 0)), ROW(D$2:D$3071)-ROW(D$2)+1) &gt; 0))</f>
        <v>9</v>
      </c>
      <c r="C759" s="3">
        <v>41100564</v>
      </c>
      <c r="D759" s="6" t="s">
        <v>4876</v>
      </c>
      <c r="E759" s="3" t="s">
        <v>4633</v>
      </c>
      <c r="F759" s="3" t="s">
        <v>4112</v>
      </c>
      <c r="G759" s="3" t="str">
        <f t="shared" si="45"/>
        <v>DUAL</v>
      </c>
      <c r="H759" s="197">
        <f t="shared" si="44"/>
        <v>22</v>
      </c>
      <c r="I759" s="197">
        <v>5</v>
      </c>
      <c r="J759" s="197">
        <v>27</v>
      </c>
      <c r="K759" s="186">
        <f t="shared" si="46"/>
        <v>45804</v>
      </c>
      <c r="L759" s="3" t="s">
        <v>4104</v>
      </c>
      <c r="M759" s="3" t="s">
        <v>2367</v>
      </c>
      <c r="N759" s="3" t="str">
        <f t="shared" si="47"/>
        <v/>
      </c>
    </row>
    <row r="760" spans="1:20">
      <c r="A760" s="3">
        <v>5615</v>
      </c>
      <c r="B760" s="82">
        <f t="array" ref="B760">SUM(--(FREQUENCY(IF(C$2:C$3071=C760, MATCH(D$2:D$3071, D$2:D$3071, 0)), ROW(D$2:D$3071)-ROW(D$2)+1) &gt; 0))</f>
        <v>18</v>
      </c>
      <c r="C760" s="3">
        <v>41100264</v>
      </c>
      <c r="D760" s="6" t="s">
        <v>2236</v>
      </c>
      <c r="E760" s="3" t="s">
        <v>4102</v>
      </c>
      <c r="F760" s="3" t="s">
        <v>2380</v>
      </c>
      <c r="G760" s="3" t="str">
        <f t="shared" si="45"/>
        <v>SINGLE</v>
      </c>
      <c r="H760" s="197">
        <f t="shared" si="44"/>
        <v>22</v>
      </c>
      <c r="I760" s="197">
        <v>5</v>
      </c>
      <c r="J760" s="197">
        <v>28</v>
      </c>
      <c r="K760" s="186">
        <f t="shared" si="46"/>
        <v>45805</v>
      </c>
      <c r="L760" s="3" t="s">
        <v>2381</v>
      </c>
      <c r="M760" s="3" t="s">
        <v>2383</v>
      </c>
      <c r="N760" s="3" t="str">
        <f t="shared" si="47"/>
        <v/>
      </c>
    </row>
    <row r="761" spans="1:20">
      <c r="A761" s="3">
        <v>5615</v>
      </c>
      <c r="B761" s="82">
        <f t="array" ref="B761">SUM(--(FREQUENCY(IF(C$2:C$3071=C761, MATCH(D$2:D$3071, D$2:D$3071, 0)), ROW(D$2:D$3071)-ROW(D$2)+1) &gt; 0))</f>
        <v>18</v>
      </c>
      <c r="C761" s="3">
        <v>41100264</v>
      </c>
      <c r="D761" s="6" t="s">
        <v>4877</v>
      </c>
      <c r="E761" s="3" t="s">
        <v>4102</v>
      </c>
      <c r="F761" s="3" t="s">
        <v>2380</v>
      </c>
      <c r="G761" s="3" t="str">
        <f t="shared" si="45"/>
        <v>SINGLE</v>
      </c>
      <c r="H761" s="197">
        <f t="shared" si="44"/>
        <v>22</v>
      </c>
      <c r="I761" s="197">
        <v>5</v>
      </c>
      <c r="J761" s="197">
        <v>28</v>
      </c>
      <c r="K761" s="186">
        <f t="shared" si="46"/>
        <v>45805</v>
      </c>
      <c r="L761" s="3" t="s">
        <v>2381</v>
      </c>
      <c r="M761" s="3" t="s">
        <v>2383</v>
      </c>
      <c r="N761" s="3" t="str">
        <f t="shared" si="47"/>
        <v/>
      </c>
    </row>
    <row r="762" spans="1:20">
      <c r="A762" s="3">
        <v>5669</v>
      </c>
      <c r="B762" s="82">
        <f t="array" ref="B762">SUM(--(FREQUENCY(IF(C$2:C$3071=C762, MATCH(D$2:D$3071, D$2:D$3071, 0)), ROW(D$2:D$3071)-ROW(D$2)+1) &gt; 0))</f>
        <v>21</v>
      </c>
      <c r="C762" s="3">
        <v>41200036</v>
      </c>
      <c r="D762" s="6" t="s">
        <v>2237</v>
      </c>
      <c r="E762" s="3" t="s">
        <v>4135</v>
      </c>
      <c r="F762" s="3" t="s">
        <v>4112</v>
      </c>
      <c r="G762" s="3" t="str">
        <f t="shared" si="45"/>
        <v>DUAL</v>
      </c>
      <c r="H762" s="197">
        <f t="shared" si="44"/>
        <v>22</v>
      </c>
      <c r="I762" s="197">
        <v>5</v>
      </c>
      <c r="J762" s="197">
        <v>28</v>
      </c>
      <c r="K762" s="186">
        <f t="shared" si="46"/>
        <v>45805</v>
      </c>
      <c r="L762" s="3" t="s">
        <v>4104</v>
      </c>
      <c r="M762" s="3" t="s">
        <v>2367</v>
      </c>
      <c r="N762" s="3" t="str">
        <f t="shared" si="47"/>
        <v/>
      </c>
    </row>
    <row r="763" spans="1:20">
      <c r="A763" s="3">
        <v>5669</v>
      </c>
      <c r="B763" s="82">
        <f t="array" ref="B763">SUM(--(FREQUENCY(IF(C$2:C$3071=C763, MATCH(D$2:D$3071, D$2:D$3071, 0)), ROW(D$2:D$3071)-ROW(D$2)+1) &gt; 0))</f>
        <v>21</v>
      </c>
      <c r="C763" s="3">
        <v>41200036</v>
      </c>
      <c r="D763" s="6" t="s">
        <v>4878</v>
      </c>
      <c r="E763" s="3" t="s">
        <v>4135</v>
      </c>
      <c r="F763" s="3" t="s">
        <v>4112</v>
      </c>
      <c r="G763" s="3" t="str">
        <f t="shared" si="45"/>
        <v>DUAL</v>
      </c>
      <c r="H763" s="197">
        <f t="shared" si="44"/>
        <v>22</v>
      </c>
      <c r="I763" s="197">
        <v>5</v>
      </c>
      <c r="J763" s="197">
        <v>28</v>
      </c>
      <c r="K763" s="186">
        <f t="shared" si="46"/>
        <v>45805</v>
      </c>
      <c r="L763" s="3" t="s">
        <v>4104</v>
      </c>
      <c r="M763" s="3" t="s">
        <v>2367</v>
      </c>
      <c r="N763" s="3" t="str">
        <f t="shared" si="47"/>
        <v/>
      </c>
    </row>
    <row r="764" spans="1:20">
      <c r="A764" s="3">
        <v>5669</v>
      </c>
      <c r="B764" s="82">
        <f t="array" ref="B764">SUM(--(FREQUENCY(IF(C$2:C$3071=C764, MATCH(D$2:D$3071, D$2:D$3071, 0)), ROW(D$2:D$3071)-ROW(D$2)+1) &gt; 0))</f>
        <v>21</v>
      </c>
      <c r="C764" s="3">
        <v>41200036</v>
      </c>
      <c r="D764" s="6" t="s">
        <v>2233</v>
      </c>
      <c r="E764" s="3" t="s">
        <v>4135</v>
      </c>
      <c r="F764" s="3" t="s">
        <v>4112</v>
      </c>
      <c r="G764" s="3" t="str">
        <f t="shared" si="45"/>
        <v>DUAL</v>
      </c>
      <c r="H764" s="197">
        <f t="shared" si="44"/>
        <v>22</v>
      </c>
      <c r="I764" s="197">
        <v>5</v>
      </c>
      <c r="J764" s="197">
        <v>28</v>
      </c>
      <c r="K764" s="186">
        <f t="shared" si="46"/>
        <v>45805</v>
      </c>
      <c r="L764" s="3" t="s">
        <v>4104</v>
      </c>
      <c r="M764" s="3" t="s">
        <v>2367</v>
      </c>
      <c r="N764" s="3" t="str">
        <f t="shared" si="47"/>
        <v/>
      </c>
    </row>
    <row r="765" spans="1:20">
      <c r="A765" s="3">
        <v>5612</v>
      </c>
      <c r="B765" s="82">
        <f t="array" ref="B765">SUM(--(FREQUENCY(IF(C$2:C$3071=C765, MATCH(D$2:D$3071, D$2:D$3071, 0)), ROW(D$2:D$3071)-ROW(D$2)+1) &gt; 0))</f>
        <v>1</v>
      </c>
      <c r="C765" s="3">
        <v>41200148</v>
      </c>
      <c r="D765" s="6" t="s">
        <v>4879</v>
      </c>
      <c r="E765" s="3" t="s">
        <v>4135</v>
      </c>
      <c r="F765" s="3" t="s">
        <v>4112</v>
      </c>
      <c r="G765" s="3" t="str">
        <f t="shared" si="45"/>
        <v>DUAL</v>
      </c>
      <c r="H765" s="197">
        <f t="shared" si="44"/>
        <v>22</v>
      </c>
      <c r="I765" s="197">
        <v>5</v>
      </c>
      <c r="J765" s="197">
        <v>28</v>
      </c>
      <c r="K765" s="186">
        <f t="shared" si="46"/>
        <v>45805</v>
      </c>
      <c r="L765" s="3" t="s">
        <v>4104</v>
      </c>
      <c r="M765" s="3" t="s">
        <v>2367</v>
      </c>
      <c r="N765" s="3" t="str">
        <f t="shared" si="47"/>
        <v/>
      </c>
    </row>
    <row r="766" spans="1:20">
      <c r="A766" s="3">
        <v>5692</v>
      </c>
      <c r="B766" s="82">
        <f t="array" ref="B766">SUM(--(FREQUENCY(IF(C$2:C$3071=C766, MATCH(D$2:D$3071, D$2:D$3071, 0)), ROW(D$2:D$3071)-ROW(D$2)+1) &gt; 0))</f>
        <v>22</v>
      </c>
      <c r="C766" s="3">
        <v>41200075</v>
      </c>
      <c r="D766" s="6" t="s">
        <v>4880</v>
      </c>
      <c r="E766" s="3" t="s">
        <v>4102</v>
      </c>
      <c r="F766" s="3" t="s">
        <v>4112</v>
      </c>
      <c r="G766" s="3" t="str">
        <f t="shared" si="45"/>
        <v>DUAL</v>
      </c>
      <c r="H766" s="197">
        <f t="shared" si="44"/>
        <v>22</v>
      </c>
      <c r="I766" s="197">
        <v>5</v>
      </c>
      <c r="J766" s="197">
        <v>28</v>
      </c>
      <c r="K766" s="186">
        <f t="shared" si="46"/>
        <v>45805</v>
      </c>
      <c r="L766" s="3" t="s">
        <v>4104</v>
      </c>
      <c r="M766" s="3" t="s">
        <v>2367</v>
      </c>
      <c r="N766" s="3" t="str">
        <f t="shared" si="47"/>
        <v>NG</v>
      </c>
      <c r="O766" s="3" t="s">
        <v>1568</v>
      </c>
      <c r="Q766" s="3">
        <v>11002283</v>
      </c>
      <c r="R766" s="3" t="s">
        <v>4105</v>
      </c>
      <c r="S766" s="3" t="s">
        <v>4881</v>
      </c>
      <c r="T766" s="3" t="s">
        <v>4454</v>
      </c>
    </row>
    <row r="767" spans="1:20">
      <c r="A767" s="3">
        <v>5666</v>
      </c>
      <c r="B767" s="82">
        <f t="array" ref="B767">SUM(--(FREQUENCY(IF(C$2:C$3071=C767, MATCH(D$2:D$3071, D$2:D$3071, 0)), ROW(D$2:D$3071)-ROW(D$2)+1) &gt; 0))</f>
        <v>18</v>
      </c>
      <c r="C767" s="3">
        <v>41200039</v>
      </c>
      <c r="D767" s="6" t="s">
        <v>4882</v>
      </c>
      <c r="E767" s="3" t="s">
        <v>4135</v>
      </c>
      <c r="F767" s="3" t="s">
        <v>4112</v>
      </c>
      <c r="G767" s="3" t="str">
        <f t="shared" si="45"/>
        <v>DUAL</v>
      </c>
      <c r="H767" s="197">
        <f t="shared" si="44"/>
        <v>22</v>
      </c>
      <c r="I767" s="197">
        <v>5</v>
      </c>
      <c r="J767" s="197">
        <v>28</v>
      </c>
      <c r="K767" s="186">
        <f t="shared" si="46"/>
        <v>45805</v>
      </c>
      <c r="L767" s="3" t="s">
        <v>2381</v>
      </c>
      <c r="M767" s="3" t="s">
        <v>2383</v>
      </c>
      <c r="N767" s="3" t="str">
        <f t="shared" si="47"/>
        <v/>
      </c>
    </row>
    <row r="768" spans="1:20">
      <c r="A768" s="3">
        <v>5591</v>
      </c>
      <c r="B768" s="82">
        <f t="array" ref="B768">SUM(--(FREQUENCY(IF(C$2:C$3071=C768, MATCH(D$2:D$3071, D$2:D$3071, 0)), ROW(D$2:D$3071)-ROW(D$2)+1) &gt; 0))</f>
        <v>77</v>
      </c>
      <c r="C768" s="3">
        <v>41200076</v>
      </c>
      <c r="D768" s="6" t="s">
        <v>4883</v>
      </c>
      <c r="E768" s="3" t="s">
        <v>4102</v>
      </c>
      <c r="F768" s="3" t="s">
        <v>4112</v>
      </c>
      <c r="G768" s="3" t="str">
        <f t="shared" si="45"/>
        <v>DUAL</v>
      </c>
      <c r="H768" s="197">
        <f t="shared" si="44"/>
        <v>22</v>
      </c>
      <c r="I768" s="197">
        <v>5</v>
      </c>
      <c r="J768" s="197">
        <v>28</v>
      </c>
      <c r="K768" s="186">
        <f t="shared" si="46"/>
        <v>45805</v>
      </c>
      <c r="L768" s="3" t="s">
        <v>2381</v>
      </c>
      <c r="M768" s="3" t="s">
        <v>2383</v>
      </c>
      <c r="N768" s="3" t="str">
        <f t="shared" si="47"/>
        <v/>
      </c>
    </row>
    <row r="769" spans="1:20">
      <c r="A769" s="3">
        <v>5723</v>
      </c>
      <c r="B769" s="82">
        <f t="array" ref="B769">SUM(--(FREQUENCY(IF(C$2:C$3071=C769, MATCH(D$2:D$3071, D$2:D$3071, 0)), ROW(D$2:D$3071)-ROW(D$2)+1) &gt; 0))</f>
        <v>144</v>
      </c>
      <c r="C769" s="3">
        <v>41200007</v>
      </c>
      <c r="D769" s="6" t="s">
        <v>2248</v>
      </c>
      <c r="E769" s="3" t="s">
        <v>2365</v>
      </c>
      <c r="F769" s="3" t="s">
        <v>2380</v>
      </c>
      <c r="G769" s="3" t="str">
        <f t="shared" si="45"/>
        <v>SINGLE</v>
      </c>
      <c r="H769" s="197">
        <f t="shared" ref="H769:H832" si="48">WEEKNUM(K769)</f>
        <v>22</v>
      </c>
      <c r="I769" s="197">
        <v>5</v>
      </c>
      <c r="J769" s="197">
        <v>29</v>
      </c>
      <c r="K769" s="186">
        <f t="shared" si="46"/>
        <v>45806</v>
      </c>
      <c r="L769" s="3" t="s">
        <v>2381</v>
      </c>
      <c r="M769" s="3" t="s">
        <v>2383</v>
      </c>
      <c r="N769" s="3" t="str">
        <f t="shared" si="47"/>
        <v/>
      </c>
    </row>
    <row r="770" spans="1:20">
      <c r="A770" s="3">
        <v>5723</v>
      </c>
      <c r="B770" s="82">
        <f t="array" ref="B770">SUM(--(FREQUENCY(IF(C$2:C$3071=C770, MATCH(D$2:D$3071, D$2:D$3071, 0)), ROW(D$2:D$3071)-ROW(D$2)+1) &gt; 0))</f>
        <v>144</v>
      </c>
      <c r="C770" s="3">
        <v>41200007</v>
      </c>
      <c r="D770" s="6" t="s">
        <v>4884</v>
      </c>
      <c r="E770" s="3" t="s">
        <v>2365</v>
      </c>
      <c r="F770" s="3" t="s">
        <v>2380</v>
      </c>
      <c r="G770" s="3" t="str">
        <f t="shared" ref="G770:G833" si="49">IF(OR(ISNUMBER(SEARCH("DUAL",F770)), ISNUMBER(SEARCH("IVAS",F770))), "DUAL", "SINGLE")</f>
        <v>SINGLE</v>
      </c>
      <c r="H770" s="197">
        <f t="shared" si="48"/>
        <v>22</v>
      </c>
      <c r="I770" s="197">
        <v>5</v>
      </c>
      <c r="J770" s="197">
        <v>29</v>
      </c>
      <c r="K770" s="186">
        <f t="shared" ref="K770:K833" si="50">DATE(2025, I770, J770)</f>
        <v>45806</v>
      </c>
      <c r="L770" s="3" t="s">
        <v>2381</v>
      </c>
      <c r="M770" s="3" t="s">
        <v>2383</v>
      </c>
      <c r="N770" s="3" t="str">
        <f t="shared" ref="N770:N833" si="51">IF(O770&lt;&gt;"", "NG", "")</f>
        <v/>
      </c>
    </row>
    <row r="771" spans="1:20">
      <c r="A771" s="3">
        <v>5718</v>
      </c>
      <c r="B771" s="82">
        <f t="array" ref="B771">SUM(--(FREQUENCY(IF(C$2:C$3071=C771, MATCH(D$2:D$3071, D$2:D$3071, 0)), ROW(D$2:D$3071)-ROW(D$2)+1) &gt; 0))</f>
        <v>32</v>
      </c>
      <c r="C771" s="3">
        <v>41200127</v>
      </c>
      <c r="D771" s="6" t="s">
        <v>4885</v>
      </c>
      <c r="E771" s="3" t="s">
        <v>2379</v>
      </c>
      <c r="F771" s="3" t="s">
        <v>2380</v>
      </c>
      <c r="G771" s="3" t="str">
        <f t="shared" si="49"/>
        <v>SINGLE</v>
      </c>
      <c r="H771" s="197">
        <f t="shared" si="48"/>
        <v>22</v>
      </c>
      <c r="I771" s="197">
        <v>5</v>
      </c>
      <c r="J771" s="197">
        <v>29</v>
      </c>
      <c r="K771" s="186">
        <f t="shared" si="50"/>
        <v>45806</v>
      </c>
      <c r="L771" s="3" t="s">
        <v>2381</v>
      </c>
      <c r="M771" s="3" t="s">
        <v>2367</v>
      </c>
      <c r="N771" s="3" t="str">
        <f t="shared" si="51"/>
        <v/>
      </c>
    </row>
    <row r="772" spans="1:20">
      <c r="A772" s="3">
        <v>5748</v>
      </c>
      <c r="B772" s="82">
        <f t="array" ref="B772">SUM(--(FREQUENCY(IF(C$2:C$3071=C772, MATCH(D$2:D$3071, D$2:D$3071, 0)), ROW(D$2:D$3071)-ROW(D$2)+1) &gt; 0))</f>
        <v>12</v>
      </c>
      <c r="C772" s="3">
        <v>41200152</v>
      </c>
      <c r="D772" s="6" t="s">
        <v>4886</v>
      </c>
      <c r="E772" s="3" t="s">
        <v>4102</v>
      </c>
      <c r="F772" s="3" t="s">
        <v>4112</v>
      </c>
      <c r="G772" s="3" t="str">
        <f t="shared" si="49"/>
        <v>DUAL</v>
      </c>
      <c r="H772" s="197">
        <f t="shared" si="48"/>
        <v>22</v>
      </c>
      <c r="I772" s="197">
        <v>5</v>
      </c>
      <c r="J772" s="197">
        <v>29</v>
      </c>
      <c r="K772" s="186">
        <f t="shared" si="50"/>
        <v>45806</v>
      </c>
      <c r="L772" s="3" t="s">
        <v>4104</v>
      </c>
      <c r="M772" s="3" t="s">
        <v>2383</v>
      </c>
      <c r="N772" s="3" t="str">
        <f t="shared" si="51"/>
        <v/>
      </c>
    </row>
    <row r="773" spans="1:20">
      <c r="A773" s="3">
        <v>5671</v>
      </c>
      <c r="B773" s="82">
        <f t="array" ref="B773">SUM(--(FREQUENCY(IF(C$2:C$3071=C773, MATCH(D$2:D$3071, D$2:D$3071, 0)), ROW(D$2:D$3071)-ROW(D$2)+1) &gt; 0))</f>
        <v>12</v>
      </c>
      <c r="C773" s="3">
        <v>41200048</v>
      </c>
      <c r="D773" s="6" t="s">
        <v>2240</v>
      </c>
      <c r="E773" s="3" t="s">
        <v>4135</v>
      </c>
      <c r="F773" s="3" t="s">
        <v>4112</v>
      </c>
      <c r="G773" s="3" t="str">
        <f t="shared" si="49"/>
        <v>DUAL</v>
      </c>
      <c r="H773" s="197">
        <f t="shared" si="48"/>
        <v>22</v>
      </c>
      <c r="I773" s="197">
        <v>5</v>
      </c>
      <c r="J773" s="197">
        <v>29</v>
      </c>
      <c r="K773" s="186">
        <f t="shared" si="50"/>
        <v>45806</v>
      </c>
      <c r="L773" s="3" t="s">
        <v>4104</v>
      </c>
      <c r="M773" s="3" t="s">
        <v>2367</v>
      </c>
      <c r="N773" s="3" t="str">
        <f t="shared" si="51"/>
        <v/>
      </c>
    </row>
    <row r="774" spans="1:20">
      <c r="A774" s="3">
        <v>5671</v>
      </c>
      <c r="B774" s="82">
        <f t="array" ref="B774">SUM(--(FREQUENCY(IF(C$2:C$3071=C774, MATCH(D$2:D$3071, D$2:D$3071, 0)), ROW(D$2:D$3071)-ROW(D$2)+1) &gt; 0))</f>
        <v>12</v>
      </c>
      <c r="C774" s="3">
        <v>41200048</v>
      </c>
      <c r="D774" s="6" t="s">
        <v>4887</v>
      </c>
      <c r="E774" s="3" t="s">
        <v>4135</v>
      </c>
      <c r="F774" s="3" t="s">
        <v>4112</v>
      </c>
      <c r="G774" s="3" t="str">
        <f t="shared" si="49"/>
        <v>DUAL</v>
      </c>
      <c r="H774" s="197">
        <f t="shared" si="48"/>
        <v>22</v>
      </c>
      <c r="I774" s="197">
        <v>5</v>
      </c>
      <c r="J774" s="197">
        <v>29</v>
      </c>
      <c r="K774" s="186">
        <f t="shared" si="50"/>
        <v>45806</v>
      </c>
      <c r="L774" s="3" t="s">
        <v>4104</v>
      </c>
      <c r="M774" s="3" t="s">
        <v>2367</v>
      </c>
      <c r="N774" s="3" t="str">
        <f t="shared" si="51"/>
        <v/>
      </c>
    </row>
    <row r="775" spans="1:20" ht="49.5">
      <c r="A775" s="3">
        <v>5682</v>
      </c>
      <c r="B775" s="82">
        <f t="array" ref="B775">SUM(--(FREQUENCY(IF(C$2:C$3071=C775, MATCH(D$2:D$3071, D$2:D$3071, 0)), ROW(D$2:D$3071)-ROW(D$2)+1) &gt; 0))</f>
        <v>3</v>
      </c>
      <c r="C775" s="3">
        <v>41000516</v>
      </c>
      <c r="D775" s="6" t="s">
        <v>4888</v>
      </c>
      <c r="E775" s="3" t="s">
        <v>2365</v>
      </c>
      <c r="F775" s="3" t="s">
        <v>4112</v>
      </c>
      <c r="G775" s="3" t="str">
        <f t="shared" si="49"/>
        <v>DUAL</v>
      </c>
      <c r="H775" s="197">
        <f t="shared" si="48"/>
        <v>22</v>
      </c>
      <c r="I775" s="197">
        <v>5</v>
      </c>
      <c r="J775" s="197">
        <v>29</v>
      </c>
      <c r="K775" s="186">
        <f t="shared" si="50"/>
        <v>45806</v>
      </c>
      <c r="L775" s="3" t="s">
        <v>4104</v>
      </c>
      <c r="M775" s="3" t="s">
        <v>2383</v>
      </c>
      <c r="N775" s="3" t="str">
        <f t="shared" si="51"/>
        <v>NG</v>
      </c>
      <c r="O775" s="3" t="s">
        <v>1568</v>
      </c>
      <c r="Q775" s="3">
        <v>11000303</v>
      </c>
      <c r="R775" s="3" t="s">
        <v>4452</v>
      </c>
      <c r="S775" s="7" t="s">
        <v>4889</v>
      </c>
      <c r="T775" s="3" t="s">
        <v>4455</v>
      </c>
    </row>
    <row r="776" spans="1:20" ht="33">
      <c r="A776" s="3">
        <v>5564</v>
      </c>
      <c r="B776" s="82">
        <f t="array" ref="B776">SUM(--(FREQUENCY(IF(C$2:C$3071=C776, MATCH(D$2:D$3071, D$2:D$3071, 0)), ROW(D$2:D$3071)-ROW(D$2)+1) &gt; 0))</f>
        <v>20</v>
      </c>
      <c r="C776" s="3">
        <v>41200125</v>
      </c>
      <c r="D776" s="6" t="s">
        <v>4890</v>
      </c>
      <c r="E776" s="3" t="s">
        <v>4102</v>
      </c>
      <c r="F776" s="3" t="s">
        <v>4112</v>
      </c>
      <c r="G776" s="3" t="str">
        <f t="shared" si="49"/>
        <v>DUAL</v>
      </c>
      <c r="H776" s="197">
        <f t="shared" si="48"/>
        <v>22</v>
      </c>
      <c r="I776" s="197">
        <v>5</v>
      </c>
      <c r="J776" s="197">
        <v>29</v>
      </c>
      <c r="K776" s="186">
        <f t="shared" si="50"/>
        <v>45806</v>
      </c>
      <c r="L776" s="3" t="s">
        <v>2381</v>
      </c>
      <c r="M776" s="3" t="s">
        <v>2367</v>
      </c>
      <c r="N776" s="3" t="str">
        <f t="shared" si="51"/>
        <v>NG</v>
      </c>
      <c r="O776" s="3" t="s">
        <v>1568</v>
      </c>
      <c r="Q776" s="3">
        <v>11000640</v>
      </c>
      <c r="R776" s="3" t="s">
        <v>4713</v>
      </c>
      <c r="S776" s="7" t="s">
        <v>4891</v>
      </c>
      <c r="T776" s="3" t="s">
        <v>4454</v>
      </c>
    </row>
    <row r="777" spans="1:20">
      <c r="A777" s="3">
        <v>5724</v>
      </c>
      <c r="B777" s="82">
        <f t="array" ref="B777">SUM(--(FREQUENCY(IF(C$2:C$3071=C777, MATCH(D$2:D$3071, D$2:D$3071, 0)), ROW(D$2:D$3071)-ROW(D$2)+1) &gt; 0))</f>
        <v>102</v>
      </c>
      <c r="C777" s="3">
        <v>41200006</v>
      </c>
      <c r="D777" s="6" t="s">
        <v>2252</v>
      </c>
      <c r="E777" s="3" t="s">
        <v>2365</v>
      </c>
      <c r="F777" s="3" t="s">
        <v>4223</v>
      </c>
      <c r="G777" s="3" t="str">
        <f t="shared" si="49"/>
        <v>SINGLE</v>
      </c>
      <c r="H777" s="197">
        <f t="shared" si="48"/>
        <v>22</v>
      </c>
      <c r="I777" s="197">
        <v>5</v>
      </c>
      <c r="J777" s="197">
        <v>30</v>
      </c>
      <c r="K777" s="186">
        <f t="shared" si="50"/>
        <v>45807</v>
      </c>
      <c r="L777" s="3" t="s">
        <v>2381</v>
      </c>
      <c r="M777" s="3" t="s">
        <v>2367</v>
      </c>
      <c r="N777" s="3" t="str">
        <f t="shared" si="51"/>
        <v/>
      </c>
    </row>
    <row r="778" spans="1:20">
      <c r="A778" s="3">
        <v>5724</v>
      </c>
      <c r="B778" s="82">
        <f t="array" ref="B778">SUM(--(FREQUENCY(IF(C$2:C$3071=C778, MATCH(D$2:D$3071, D$2:D$3071, 0)), ROW(D$2:D$3071)-ROW(D$2)+1) &gt; 0))</f>
        <v>102</v>
      </c>
      <c r="C778" s="3">
        <v>41200006</v>
      </c>
      <c r="D778" s="6" t="s">
        <v>4892</v>
      </c>
      <c r="E778" s="3" t="s">
        <v>2365</v>
      </c>
      <c r="F778" s="3" t="s">
        <v>4223</v>
      </c>
      <c r="G778" s="3" t="str">
        <f t="shared" si="49"/>
        <v>SINGLE</v>
      </c>
      <c r="H778" s="197">
        <f t="shared" si="48"/>
        <v>22</v>
      </c>
      <c r="I778" s="197">
        <v>5</v>
      </c>
      <c r="J778" s="197">
        <v>30</v>
      </c>
      <c r="K778" s="186">
        <f t="shared" si="50"/>
        <v>45807</v>
      </c>
      <c r="L778" s="3" t="s">
        <v>2381</v>
      </c>
      <c r="M778" s="3" t="s">
        <v>2367</v>
      </c>
      <c r="N778" s="3" t="str">
        <f t="shared" si="51"/>
        <v/>
      </c>
    </row>
    <row r="779" spans="1:20">
      <c r="A779" s="3">
        <v>5591</v>
      </c>
      <c r="B779" s="82">
        <f t="array" ref="B779">SUM(--(FREQUENCY(IF(C$2:C$3071=C779, MATCH(D$2:D$3071, D$2:D$3071, 0)), ROW(D$2:D$3071)-ROW(D$2)+1) &gt; 0))</f>
        <v>77</v>
      </c>
      <c r="C779" s="3">
        <v>41200076</v>
      </c>
      <c r="D779" s="6" t="s">
        <v>4893</v>
      </c>
      <c r="E779" s="3" t="s">
        <v>4102</v>
      </c>
      <c r="F779" s="3" t="s">
        <v>4112</v>
      </c>
      <c r="G779" s="3" t="str">
        <f t="shared" si="49"/>
        <v>DUAL</v>
      </c>
      <c r="H779" s="197">
        <f t="shared" si="48"/>
        <v>22</v>
      </c>
      <c r="I779" s="197">
        <v>5</v>
      </c>
      <c r="J779" s="197">
        <v>30</v>
      </c>
      <c r="K779" s="186">
        <f t="shared" si="50"/>
        <v>45807</v>
      </c>
      <c r="L779" s="3" t="s">
        <v>2381</v>
      </c>
      <c r="M779" s="3" t="s">
        <v>2383</v>
      </c>
      <c r="N779" s="3" t="str">
        <f t="shared" si="51"/>
        <v/>
      </c>
    </row>
    <row r="780" spans="1:20" ht="33">
      <c r="A780" s="3">
        <v>5720</v>
      </c>
      <c r="B780" s="82">
        <f t="array" ref="B780">SUM(--(FREQUENCY(IF(C$2:C$3071=C780, MATCH(D$2:D$3071, D$2:D$3071, 0)), ROW(D$2:D$3071)-ROW(D$2)+1) &gt; 0))</f>
        <v>8</v>
      </c>
      <c r="C780" s="3">
        <v>41200131</v>
      </c>
      <c r="D780" s="6" t="s">
        <v>4894</v>
      </c>
      <c r="E780" s="3" t="s">
        <v>2379</v>
      </c>
      <c r="F780" s="3" t="s">
        <v>4112</v>
      </c>
      <c r="G780" s="3" t="str">
        <f t="shared" si="49"/>
        <v>DUAL</v>
      </c>
      <c r="H780" s="197">
        <f t="shared" si="48"/>
        <v>22</v>
      </c>
      <c r="I780" s="197">
        <v>5</v>
      </c>
      <c r="J780" s="197">
        <v>30</v>
      </c>
      <c r="K780" s="186">
        <f t="shared" si="50"/>
        <v>45807</v>
      </c>
      <c r="L780" s="3" t="s">
        <v>4104</v>
      </c>
      <c r="M780" s="3" t="s">
        <v>2367</v>
      </c>
      <c r="N780" s="3" t="str">
        <f t="shared" si="51"/>
        <v>NG</v>
      </c>
      <c r="O780" s="3" t="s">
        <v>1568</v>
      </c>
      <c r="Q780" s="3">
        <v>11100783</v>
      </c>
      <c r="R780" s="3" t="s">
        <v>4605</v>
      </c>
      <c r="S780" s="7" t="s">
        <v>4895</v>
      </c>
      <c r="T780" s="3" t="s">
        <v>4455</v>
      </c>
    </row>
    <row r="781" spans="1:20">
      <c r="A781" s="3">
        <v>5371</v>
      </c>
      <c r="B781" s="82">
        <f t="array" ref="B781">SUM(--(FREQUENCY(IF(C$2:C$3071=C781, MATCH(D$2:D$3071, D$2:D$3071, 0)), ROW(D$2:D$3071)-ROW(D$2)+1) &gt; 0))</f>
        <v>3</v>
      </c>
      <c r="C781" s="3">
        <v>41200004</v>
      </c>
      <c r="D781" s="6" t="s">
        <v>4896</v>
      </c>
      <c r="E781" s="3" t="s">
        <v>4116</v>
      </c>
      <c r="F781" s="3" t="s">
        <v>4112</v>
      </c>
      <c r="G781" s="3" t="str">
        <f t="shared" si="49"/>
        <v>DUAL</v>
      </c>
      <c r="H781" s="197">
        <f t="shared" si="48"/>
        <v>22</v>
      </c>
      <c r="I781" s="197">
        <v>5</v>
      </c>
      <c r="J781" s="197">
        <v>30</v>
      </c>
      <c r="K781" s="186">
        <f t="shared" si="50"/>
        <v>45807</v>
      </c>
      <c r="L781" s="3" t="s">
        <v>2381</v>
      </c>
      <c r="M781" s="3" t="s">
        <v>2383</v>
      </c>
      <c r="N781" s="3" t="str">
        <f t="shared" si="51"/>
        <v/>
      </c>
    </row>
    <row r="782" spans="1:20" ht="33">
      <c r="A782" s="3">
        <v>5683</v>
      </c>
      <c r="B782" s="82">
        <f t="array" ref="B782">SUM(--(FREQUENCY(IF(C$2:C$3071=C782, MATCH(D$2:D$3071, D$2:D$3071, 0)), ROW(D$2:D$3071)-ROW(D$2)+1) &gt; 0))</f>
        <v>5</v>
      </c>
      <c r="C782" s="3">
        <v>41000587</v>
      </c>
      <c r="D782" s="6" t="s">
        <v>4897</v>
      </c>
      <c r="E782" s="3" t="s">
        <v>2365</v>
      </c>
      <c r="F782" s="3" t="s">
        <v>4130</v>
      </c>
      <c r="G782" s="3" t="str">
        <f t="shared" si="49"/>
        <v>DUAL</v>
      </c>
      <c r="H782" s="197">
        <f t="shared" si="48"/>
        <v>22</v>
      </c>
      <c r="I782" s="197">
        <v>5</v>
      </c>
      <c r="J782" s="197">
        <v>30</v>
      </c>
      <c r="K782" s="186">
        <f t="shared" si="50"/>
        <v>45807</v>
      </c>
      <c r="L782" s="3" t="s">
        <v>2367</v>
      </c>
      <c r="M782" s="3" t="s">
        <v>2367</v>
      </c>
      <c r="N782" s="3" t="str">
        <f t="shared" si="51"/>
        <v>NG</v>
      </c>
      <c r="O782" s="3" t="s">
        <v>1568</v>
      </c>
      <c r="Q782" s="3">
        <v>11000197</v>
      </c>
      <c r="R782" s="3" t="s">
        <v>4742</v>
      </c>
      <c r="S782" s="7" t="s">
        <v>4898</v>
      </c>
      <c r="T782" s="3" t="s">
        <v>4455</v>
      </c>
    </row>
    <row r="783" spans="1:20">
      <c r="A783" s="3">
        <v>5723</v>
      </c>
      <c r="B783" s="82">
        <f t="array" ref="B783">SUM(--(FREQUENCY(IF(C$2:C$3071=C783, MATCH(D$2:D$3071, D$2:D$3071, 0)), ROW(D$2:D$3071)-ROW(D$2)+1) &gt; 0))</f>
        <v>144</v>
      </c>
      <c r="C783" s="3">
        <v>41200007</v>
      </c>
      <c r="D783" s="6" t="s">
        <v>2255</v>
      </c>
      <c r="E783" s="3" t="s">
        <v>2365</v>
      </c>
      <c r="F783" s="3" t="s">
        <v>2380</v>
      </c>
      <c r="G783" s="3" t="str">
        <f t="shared" si="49"/>
        <v>SINGLE</v>
      </c>
      <c r="H783" s="197">
        <f t="shared" si="48"/>
        <v>23</v>
      </c>
      <c r="I783" s="197">
        <v>6</v>
      </c>
      <c r="J783" s="197">
        <v>2</v>
      </c>
      <c r="K783" s="186">
        <f t="shared" si="50"/>
        <v>45810</v>
      </c>
      <c r="L783" s="3" t="s">
        <v>4104</v>
      </c>
      <c r="M783" s="3" t="s">
        <v>2383</v>
      </c>
      <c r="N783" s="3" t="str">
        <f t="shared" si="51"/>
        <v/>
      </c>
    </row>
    <row r="784" spans="1:20">
      <c r="A784" s="3">
        <v>5723</v>
      </c>
      <c r="B784" s="82">
        <f t="array" ref="B784">SUM(--(FREQUENCY(IF(C$2:C$3071=C784, MATCH(D$2:D$3071, D$2:D$3071, 0)), ROW(D$2:D$3071)-ROW(D$2)+1) &gt; 0))</f>
        <v>144</v>
      </c>
      <c r="C784" s="3">
        <v>41200007</v>
      </c>
      <c r="D784" s="6" t="s">
        <v>4899</v>
      </c>
      <c r="E784" s="3" t="s">
        <v>2365</v>
      </c>
      <c r="F784" s="3" t="s">
        <v>2380</v>
      </c>
      <c r="G784" s="3" t="str">
        <f t="shared" si="49"/>
        <v>SINGLE</v>
      </c>
      <c r="H784" s="197">
        <f t="shared" si="48"/>
        <v>23</v>
      </c>
      <c r="I784" s="197">
        <v>6</v>
      </c>
      <c r="J784" s="197">
        <v>2</v>
      </c>
      <c r="K784" s="186">
        <f t="shared" si="50"/>
        <v>45810</v>
      </c>
      <c r="L784" s="3" t="s">
        <v>4104</v>
      </c>
      <c r="M784" s="3" t="s">
        <v>2383</v>
      </c>
      <c r="N784" s="3" t="str">
        <f t="shared" si="51"/>
        <v/>
      </c>
    </row>
    <row r="785" spans="1:20">
      <c r="A785" s="3">
        <v>5748</v>
      </c>
      <c r="B785" s="82">
        <f t="array" ref="B785">SUM(--(FREQUENCY(IF(C$2:C$3071=C785, MATCH(D$2:D$3071, D$2:D$3071, 0)), ROW(D$2:D$3071)-ROW(D$2)+1) &gt; 0))</f>
        <v>12</v>
      </c>
      <c r="C785" s="3">
        <v>41200152</v>
      </c>
      <c r="D785" s="6" t="s">
        <v>4900</v>
      </c>
      <c r="E785" s="3" t="s">
        <v>4102</v>
      </c>
      <c r="F785" s="3" t="s">
        <v>4112</v>
      </c>
      <c r="G785" s="3" t="str">
        <f t="shared" si="49"/>
        <v>DUAL</v>
      </c>
      <c r="H785" s="197">
        <f t="shared" si="48"/>
        <v>23</v>
      </c>
      <c r="I785" s="197">
        <v>6</v>
      </c>
      <c r="J785" s="197">
        <v>2</v>
      </c>
      <c r="K785" s="186">
        <f t="shared" si="50"/>
        <v>45810</v>
      </c>
      <c r="L785" s="3" t="s">
        <v>4104</v>
      </c>
      <c r="M785" s="3" t="s">
        <v>2383</v>
      </c>
      <c r="N785" s="3" t="str">
        <f t="shared" si="51"/>
        <v/>
      </c>
    </row>
    <row r="786" spans="1:20" ht="49.5">
      <c r="A786" s="3">
        <v>5717</v>
      </c>
      <c r="B786" s="82">
        <f t="array" ref="B786">SUM(--(FREQUENCY(IF(C$2:C$3071=C786, MATCH(D$2:D$3071, D$2:D$3071, 0)), ROW(D$2:D$3071)-ROW(D$2)+1) &gt; 0))</f>
        <v>1</v>
      </c>
      <c r="C786" s="3">
        <v>41200157</v>
      </c>
      <c r="D786" s="6" t="s">
        <v>4901</v>
      </c>
      <c r="E786" s="3" t="s">
        <v>4116</v>
      </c>
      <c r="F786" s="3" t="s">
        <v>4112</v>
      </c>
      <c r="G786" s="3" t="str">
        <f t="shared" si="49"/>
        <v>DUAL</v>
      </c>
      <c r="H786" s="197">
        <f t="shared" si="48"/>
        <v>23</v>
      </c>
      <c r="I786" s="197">
        <v>6</v>
      </c>
      <c r="J786" s="197">
        <v>2</v>
      </c>
      <c r="K786" s="186">
        <f t="shared" si="50"/>
        <v>45810</v>
      </c>
      <c r="L786" s="3" t="s">
        <v>4104</v>
      </c>
      <c r="M786" s="3" t="s">
        <v>2388</v>
      </c>
      <c r="N786" s="3" t="str">
        <f t="shared" si="51"/>
        <v>NG</v>
      </c>
      <c r="O786" s="3" t="s">
        <v>1568</v>
      </c>
      <c r="Q786" s="3">
        <v>11000916</v>
      </c>
      <c r="R786" s="3" t="s">
        <v>4481</v>
      </c>
      <c r="S786" s="7" t="s">
        <v>4902</v>
      </c>
      <c r="T786" s="3" t="s">
        <v>4454</v>
      </c>
    </row>
    <row r="787" spans="1:20">
      <c r="A787" s="3">
        <v>5593</v>
      </c>
      <c r="B787" s="82">
        <f t="array" ref="B787">SUM(--(FREQUENCY(IF(C$2:C$3071=C787, MATCH(D$2:D$3071, D$2:D$3071, 0)), ROW(D$2:D$3071)-ROW(D$2)+1) &gt; 0))</f>
        <v>11</v>
      </c>
      <c r="C787" s="3">
        <v>41100374</v>
      </c>
      <c r="D787" s="6" t="s">
        <v>4903</v>
      </c>
      <c r="E787" s="3" t="s">
        <v>4102</v>
      </c>
      <c r="F787" s="3" t="s">
        <v>4112</v>
      </c>
      <c r="G787" s="3" t="str">
        <f t="shared" si="49"/>
        <v>DUAL</v>
      </c>
      <c r="H787" s="197">
        <f t="shared" si="48"/>
        <v>23</v>
      </c>
      <c r="I787" s="197">
        <v>6</v>
      </c>
      <c r="J787" s="197">
        <v>2</v>
      </c>
      <c r="K787" s="186">
        <f t="shared" si="50"/>
        <v>45810</v>
      </c>
      <c r="L787" s="3" t="s">
        <v>2381</v>
      </c>
      <c r="M787" s="3" t="s">
        <v>2383</v>
      </c>
      <c r="N787" s="3" t="str">
        <f t="shared" si="51"/>
        <v/>
      </c>
    </row>
    <row r="788" spans="1:20">
      <c r="A788" s="3">
        <v>5733</v>
      </c>
      <c r="B788" s="82">
        <f t="array" ref="B788">SUM(--(FREQUENCY(IF(C$2:C$3071=C788, MATCH(D$2:D$3071, D$2:D$3071, 0)), ROW(D$2:D$3071)-ROW(D$2)+1) &gt; 0))</f>
        <v>2</v>
      </c>
      <c r="C788" s="3">
        <v>41100075</v>
      </c>
      <c r="D788" s="6" t="s">
        <v>4904</v>
      </c>
      <c r="E788" s="3" t="s">
        <v>4905</v>
      </c>
      <c r="F788" s="3" t="s">
        <v>4521</v>
      </c>
      <c r="G788" s="3" t="str">
        <f t="shared" si="49"/>
        <v>DUAL</v>
      </c>
      <c r="H788" s="197">
        <f t="shared" si="48"/>
        <v>23</v>
      </c>
      <c r="I788" s="197">
        <v>6</v>
      </c>
      <c r="J788" s="197">
        <v>2</v>
      </c>
      <c r="K788" s="186">
        <f t="shared" si="50"/>
        <v>45810</v>
      </c>
      <c r="L788" s="3" t="s">
        <v>2381</v>
      </c>
      <c r="M788" s="3" t="s">
        <v>2388</v>
      </c>
      <c r="N788" s="3" t="str">
        <f t="shared" si="51"/>
        <v/>
      </c>
    </row>
    <row r="789" spans="1:20">
      <c r="A789" s="3">
        <v>5759</v>
      </c>
      <c r="B789" s="82">
        <f t="array" ref="B789">SUM(--(FREQUENCY(IF(C$2:C$3071=C789, MATCH(D$2:D$3071, D$2:D$3071, 0)), ROW(D$2:D$3071)-ROW(D$2)+1) &gt; 0))</f>
        <v>49</v>
      </c>
      <c r="C789" s="3">
        <v>41200005</v>
      </c>
      <c r="D789" s="6" t="s">
        <v>2264</v>
      </c>
      <c r="E789" s="3" t="s">
        <v>2365</v>
      </c>
      <c r="F789" s="3" t="s">
        <v>2380</v>
      </c>
      <c r="G789" s="3" t="str">
        <f t="shared" si="49"/>
        <v>SINGLE</v>
      </c>
      <c r="H789" s="197">
        <f t="shared" si="48"/>
        <v>23</v>
      </c>
      <c r="I789" s="197">
        <v>6</v>
      </c>
      <c r="J789" s="197">
        <v>4</v>
      </c>
      <c r="K789" s="186">
        <f t="shared" si="50"/>
        <v>45812</v>
      </c>
      <c r="L789" s="3" t="s">
        <v>2381</v>
      </c>
      <c r="M789" s="3" t="s">
        <v>2383</v>
      </c>
      <c r="N789" s="3" t="str">
        <f t="shared" si="51"/>
        <v/>
      </c>
    </row>
    <row r="790" spans="1:20">
      <c r="A790" s="3">
        <v>5759</v>
      </c>
      <c r="B790" s="82">
        <f t="array" ref="B790">SUM(--(FREQUENCY(IF(C$2:C$3071=C790, MATCH(D$2:D$3071, D$2:D$3071, 0)), ROW(D$2:D$3071)-ROW(D$2)+1) &gt; 0))</f>
        <v>49</v>
      </c>
      <c r="C790" s="3">
        <v>41200005</v>
      </c>
      <c r="D790" s="6" t="s">
        <v>4906</v>
      </c>
      <c r="E790" s="3" t="s">
        <v>2365</v>
      </c>
      <c r="F790" s="3" t="s">
        <v>2380</v>
      </c>
      <c r="G790" s="3" t="str">
        <f t="shared" si="49"/>
        <v>SINGLE</v>
      </c>
      <c r="H790" s="197">
        <f t="shared" si="48"/>
        <v>23</v>
      </c>
      <c r="I790" s="197">
        <v>6</v>
      </c>
      <c r="J790" s="197">
        <v>4</v>
      </c>
      <c r="K790" s="186">
        <f t="shared" si="50"/>
        <v>45812</v>
      </c>
      <c r="L790" s="3" t="s">
        <v>2381</v>
      </c>
      <c r="M790" s="3" t="s">
        <v>2383</v>
      </c>
      <c r="N790" s="3" t="str">
        <f t="shared" si="51"/>
        <v/>
      </c>
    </row>
    <row r="791" spans="1:20">
      <c r="A791" s="3">
        <v>5732</v>
      </c>
      <c r="B791" s="82">
        <f t="array" ref="B791">SUM(--(FREQUENCY(IF(C$2:C$3071=C791, MATCH(D$2:D$3071, D$2:D$3071, 0)), ROW(D$2:D$3071)-ROW(D$2)+1) &gt; 0))</f>
        <v>2</v>
      </c>
      <c r="C791" s="3">
        <v>41200159</v>
      </c>
      <c r="D791" s="6" t="s">
        <v>2267</v>
      </c>
      <c r="E791" s="3" t="s">
        <v>4907</v>
      </c>
      <c r="F791" s="3" t="s">
        <v>2380</v>
      </c>
      <c r="G791" s="3" t="str">
        <f t="shared" si="49"/>
        <v>SINGLE</v>
      </c>
      <c r="H791" s="197">
        <f t="shared" si="48"/>
        <v>23</v>
      </c>
      <c r="I791" s="197">
        <v>6</v>
      </c>
      <c r="J791" s="197">
        <v>4</v>
      </c>
      <c r="K791" s="186">
        <f t="shared" si="50"/>
        <v>45812</v>
      </c>
      <c r="L791" s="3" t="s">
        <v>2381</v>
      </c>
      <c r="M791" s="3" t="s">
        <v>2388</v>
      </c>
      <c r="N791" s="3" t="str">
        <f t="shared" si="51"/>
        <v/>
      </c>
    </row>
    <row r="792" spans="1:20">
      <c r="A792" s="3">
        <v>5732</v>
      </c>
      <c r="B792" s="82">
        <f t="array" ref="B792">SUM(--(FREQUENCY(IF(C$2:C$3071=C792, MATCH(D$2:D$3071, D$2:D$3071, 0)), ROW(D$2:D$3071)-ROW(D$2)+1) &gt; 0))</f>
        <v>2</v>
      </c>
      <c r="C792" s="3">
        <v>41200159</v>
      </c>
      <c r="D792" s="6" t="s">
        <v>4908</v>
      </c>
      <c r="E792" s="3" t="s">
        <v>4907</v>
      </c>
      <c r="F792" s="3" t="s">
        <v>2380</v>
      </c>
      <c r="G792" s="3" t="str">
        <f t="shared" si="49"/>
        <v>SINGLE</v>
      </c>
      <c r="H792" s="197">
        <f t="shared" si="48"/>
        <v>23</v>
      </c>
      <c r="I792" s="197">
        <v>6</v>
      </c>
      <c r="J792" s="197">
        <v>4</v>
      </c>
      <c r="K792" s="186">
        <f t="shared" si="50"/>
        <v>45812</v>
      </c>
      <c r="L792" s="3" t="s">
        <v>2381</v>
      </c>
      <c r="M792" s="3" t="s">
        <v>2388</v>
      </c>
      <c r="N792" s="3" t="str">
        <f t="shared" si="51"/>
        <v/>
      </c>
    </row>
    <row r="793" spans="1:20">
      <c r="A793" s="3">
        <v>5745</v>
      </c>
      <c r="B793" s="82">
        <f t="array" ref="B793">SUM(--(FREQUENCY(IF(C$2:C$3071=C793, MATCH(D$2:D$3071, D$2:D$3071, 0)), ROW(D$2:D$3071)-ROW(D$2)+1) &gt; 0))</f>
        <v>29</v>
      </c>
      <c r="C793" s="3">
        <v>41200158</v>
      </c>
      <c r="D793" s="6" t="s">
        <v>4909</v>
      </c>
      <c r="E793" s="3" t="s">
        <v>2365</v>
      </c>
      <c r="F793" s="3" t="s">
        <v>4181</v>
      </c>
      <c r="G793" s="3" t="str">
        <f t="shared" si="49"/>
        <v>DUAL</v>
      </c>
      <c r="H793" s="197">
        <f t="shared" si="48"/>
        <v>23</v>
      </c>
      <c r="I793" s="197">
        <v>6</v>
      </c>
      <c r="J793" s="197">
        <v>4</v>
      </c>
      <c r="K793" s="186">
        <f t="shared" si="50"/>
        <v>45812</v>
      </c>
      <c r="L793" s="3" t="s">
        <v>2381</v>
      </c>
      <c r="M793" s="3" t="s">
        <v>2367</v>
      </c>
      <c r="N793" s="3" t="str">
        <f t="shared" si="51"/>
        <v/>
      </c>
    </row>
    <row r="794" spans="1:20">
      <c r="A794" s="3">
        <v>5758</v>
      </c>
      <c r="B794" s="82">
        <f t="array" ref="B794">SUM(--(FREQUENCY(IF(C$2:C$3071=C794, MATCH(D$2:D$3071, D$2:D$3071, 0)), ROW(D$2:D$3071)-ROW(D$2)+1) &gt; 0))</f>
        <v>26</v>
      </c>
      <c r="C794" s="3">
        <v>41200074</v>
      </c>
      <c r="D794" s="6" t="s">
        <v>4910</v>
      </c>
      <c r="E794" s="3" t="s">
        <v>2365</v>
      </c>
      <c r="F794" s="3" t="s">
        <v>2366</v>
      </c>
      <c r="G794" s="3" t="str">
        <f t="shared" si="49"/>
        <v>DUAL</v>
      </c>
      <c r="H794" s="197">
        <f t="shared" si="48"/>
        <v>23</v>
      </c>
      <c r="I794" s="197">
        <v>6</v>
      </c>
      <c r="J794" s="197">
        <v>4</v>
      </c>
      <c r="K794" s="186">
        <f t="shared" si="50"/>
        <v>45812</v>
      </c>
      <c r="L794" s="3" t="s">
        <v>4104</v>
      </c>
      <c r="M794" s="3" t="s">
        <v>2367</v>
      </c>
      <c r="N794" s="3" t="str">
        <f t="shared" si="51"/>
        <v/>
      </c>
    </row>
    <row r="795" spans="1:20">
      <c r="A795" s="3">
        <v>5736</v>
      </c>
      <c r="B795" s="82">
        <f t="array" ref="B795">SUM(--(FREQUENCY(IF(C$2:C$3071=C795, MATCH(D$2:D$3071, D$2:D$3071, 0)), ROW(D$2:D$3071)-ROW(D$2)+1) &gt; 0))</f>
        <v>43</v>
      </c>
      <c r="C795" s="3">
        <v>41200046</v>
      </c>
      <c r="D795" s="6" t="s">
        <v>2260</v>
      </c>
      <c r="E795" s="3" t="s">
        <v>4135</v>
      </c>
      <c r="F795" s="3" t="s">
        <v>4112</v>
      </c>
      <c r="G795" s="3" t="str">
        <f t="shared" si="49"/>
        <v>DUAL</v>
      </c>
      <c r="H795" s="197">
        <f t="shared" si="48"/>
        <v>23</v>
      </c>
      <c r="I795" s="197">
        <v>6</v>
      </c>
      <c r="J795" s="197">
        <v>4</v>
      </c>
      <c r="K795" s="186">
        <f t="shared" si="50"/>
        <v>45812</v>
      </c>
      <c r="L795" s="3" t="s">
        <v>4104</v>
      </c>
      <c r="M795" s="3" t="s">
        <v>2367</v>
      </c>
      <c r="N795" s="3" t="str">
        <f t="shared" si="51"/>
        <v/>
      </c>
    </row>
    <row r="796" spans="1:20">
      <c r="A796" s="3">
        <v>5736</v>
      </c>
      <c r="B796" s="82">
        <f t="array" ref="B796">SUM(--(FREQUENCY(IF(C$2:C$3071=C796, MATCH(D$2:D$3071, D$2:D$3071, 0)), ROW(D$2:D$3071)-ROW(D$2)+1) &gt; 0))</f>
        <v>43</v>
      </c>
      <c r="C796" s="3">
        <v>41200046</v>
      </c>
      <c r="D796" s="6" t="s">
        <v>4911</v>
      </c>
      <c r="E796" s="3" t="s">
        <v>4135</v>
      </c>
      <c r="F796" s="3" t="s">
        <v>4112</v>
      </c>
      <c r="G796" s="3" t="str">
        <f t="shared" si="49"/>
        <v>DUAL</v>
      </c>
      <c r="H796" s="197">
        <f t="shared" si="48"/>
        <v>23</v>
      </c>
      <c r="I796" s="197">
        <v>6</v>
      </c>
      <c r="J796" s="197">
        <v>4</v>
      </c>
      <c r="K796" s="186">
        <f t="shared" si="50"/>
        <v>45812</v>
      </c>
      <c r="L796" s="3" t="s">
        <v>4104</v>
      </c>
      <c r="M796" s="3" t="s">
        <v>2367</v>
      </c>
      <c r="N796" s="3" t="str">
        <f t="shared" si="51"/>
        <v/>
      </c>
    </row>
    <row r="797" spans="1:20">
      <c r="A797" s="3">
        <v>5692</v>
      </c>
      <c r="B797" s="82">
        <f t="array" ref="B797">SUM(--(FREQUENCY(IF(C$2:C$3071=C797, MATCH(D$2:D$3071, D$2:D$3071, 0)), ROW(D$2:D$3071)-ROW(D$2)+1) &gt; 0))</f>
        <v>22</v>
      </c>
      <c r="C797" s="3">
        <v>41200075</v>
      </c>
      <c r="D797" s="6" t="s">
        <v>4912</v>
      </c>
      <c r="E797" s="3" t="s">
        <v>4102</v>
      </c>
      <c r="F797" s="3" t="s">
        <v>4112</v>
      </c>
      <c r="G797" s="3" t="str">
        <f t="shared" si="49"/>
        <v>DUAL</v>
      </c>
      <c r="H797" s="197">
        <f t="shared" si="48"/>
        <v>23</v>
      </c>
      <c r="I797" s="197">
        <v>6</v>
      </c>
      <c r="J797" s="197">
        <v>4</v>
      </c>
      <c r="K797" s="186">
        <f t="shared" si="50"/>
        <v>45812</v>
      </c>
      <c r="L797" s="3" t="s">
        <v>4104</v>
      </c>
      <c r="M797" s="3" t="s">
        <v>2388</v>
      </c>
      <c r="N797" s="3" t="str">
        <f t="shared" si="51"/>
        <v/>
      </c>
    </row>
    <row r="798" spans="1:20">
      <c r="A798" s="3">
        <v>5741</v>
      </c>
      <c r="B798" s="82">
        <f t="array" ref="B798">SUM(--(FREQUENCY(IF(C$2:C$3071=C798, MATCH(D$2:D$3071, D$2:D$3071, 0)), ROW(D$2:D$3071)-ROW(D$2)+1) &gt; 0))</f>
        <v>25</v>
      </c>
      <c r="C798" s="3">
        <v>41200128</v>
      </c>
      <c r="D798" s="6" t="s">
        <v>4913</v>
      </c>
      <c r="E798" s="3" t="s">
        <v>2379</v>
      </c>
      <c r="F798" s="3" t="s">
        <v>2380</v>
      </c>
      <c r="G798" s="3" t="str">
        <f t="shared" si="49"/>
        <v>SINGLE</v>
      </c>
      <c r="H798" s="197">
        <f t="shared" si="48"/>
        <v>23</v>
      </c>
      <c r="I798" s="197">
        <v>6</v>
      </c>
      <c r="J798" s="197">
        <v>5</v>
      </c>
      <c r="K798" s="186">
        <f t="shared" si="50"/>
        <v>45813</v>
      </c>
      <c r="L798" s="3" t="s">
        <v>4104</v>
      </c>
      <c r="M798" s="3" t="s">
        <v>2388</v>
      </c>
      <c r="N798" s="3" t="str">
        <f t="shared" si="51"/>
        <v/>
      </c>
    </row>
    <row r="799" spans="1:20">
      <c r="A799" s="3">
        <v>5587</v>
      </c>
      <c r="B799" s="82">
        <f t="array" ref="B799">SUM(--(FREQUENCY(IF(C$2:C$3071=C799, MATCH(D$2:D$3071, D$2:D$3071, 0)), ROW(D$2:D$3071)-ROW(D$2)+1) &gt; 0))</f>
        <v>4</v>
      </c>
      <c r="C799" s="3">
        <v>41200550</v>
      </c>
      <c r="D799" s="6" t="s">
        <v>2274</v>
      </c>
      <c r="E799" s="3" t="s">
        <v>2365</v>
      </c>
      <c r="F799" s="3" t="s">
        <v>4223</v>
      </c>
      <c r="G799" s="3" t="str">
        <f t="shared" si="49"/>
        <v>SINGLE</v>
      </c>
      <c r="H799" s="197">
        <f t="shared" si="48"/>
        <v>23</v>
      </c>
      <c r="I799" s="197">
        <v>6</v>
      </c>
      <c r="J799" s="197">
        <v>5</v>
      </c>
      <c r="K799" s="186">
        <f t="shared" si="50"/>
        <v>45813</v>
      </c>
      <c r="L799" s="3" t="s">
        <v>2381</v>
      </c>
      <c r="M799" s="3" t="s">
        <v>2383</v>
      </c>
      <c r="N799" s="3" t="str">
        <f t="shared" si="51"/>
        <v/>
      </c>
    </row>
    <row r="800" spans="1:20">
      <c r="A800" s="3">
        <v>5587</v>
      </c>
      <c r="B800" s="82">
        <f t="array" ref="B800">SUM(--(FREQUENCY(IF(C$2:C$3071=C800, MATCH(D$2:D$3071, D$2:D$3071, 0)), ROW(D$2:D$3071)-ROW(D$2)+1) &gt; 0))</f>
        <v>4</v>
      </c>
      <c r="C800" s="3">
        <v>41200550</v>
      </c>
      <c r="D800" s="6" t="s">
        <v>2273</v>
      </c>
      <c r="E800" s="3" t="s">
        <v>2365</v>
      </c>
      <c r="F800" s="3" t="s">
        <v>4223</v>
      </c>
      <c r="G800" s="3" t="str">
        <f t="shared" si="49"/>
        <v>SINGLE</v>
      </c>
      <c r="H800" s="197">
        <f t="shared" si="48"/>
        <v>23</v>
      </c>
      <c r="I800" s="197">
        <v>6</v>
      </c>
      <c r="J800" s="197">
        <v>5</v>
      </c>
      <c r="K800" s="186">
        <f t="shared" si="50"/>
        <v>45813</v>
      </c>
      <c r="L800" s="3" t="s">
        <v>2381</v>
      </c>
      <c r="M800" s="3" t="s">
        <v>2383</v>
      </c>
      <c r="N800" s="3" t="str">
        <f t="shared" si="51"/>
        <v/>
      </c>
    </row>
    <row r="801" spans="1:20">
      <c r="A801" s="3">
        <v>5587</v>
      </c>
      <c r="B801" s="82">
        <f t="array" ref="B801">SUM(--(FREQUENCY(IF(C$2:C$3071=C801, MATCH(D$2:D$3071, D$2:D$3071, 0)), ROW(D$2:D$3071)-ROW(D$2)+1) &gt; 0))</f>
        <v>4</v>
      </c>
      <c r="C801" s="3">
        <v>41200550</v>
      </c>
      <c r="D801" s="6" t="s">
        <v>2272</v>
      </c>
      <c r="E801" s="3" t="s">
        <v>2365</v>
      </c>
      <c r="F801" s="3" t="s">
        <v>4223</v>
      </c>
      <c r="G801" s="3" t="str">
        <f t="shared" si="49"/>
        <v>SINGLE</v>
      </c>
      <c r="H801" s="197">
        <f t="shared" si="48"/>
        <v>23</v>
      </c>
      <c r="I801" s="197">
        <v>6</v>
      </c>
      <c r="J801" s="197">
        <v>5</v>
      </c>
      <c r="K801" s="186">
        <f t="shared" si="50"/>
        <v>45813</v>
      </c>
      <c r="L801" s="3" t="s">
        <v>2381</v>
      </c>
      <c r="M801" s="3" t="s">
        <v>2383</v>
      </c>
      <c r="N801" s="3" t="str">
        <f t="shared" si="51"/>
        <v/>
      </c>
    </row>
    <row r="802" spans="1:20">
      <c r="A802" s="3">
        <v>5587</v>
      </c>
      <c r="B802" s="82">
        <f t="array" ref="B802">SUM(--(FREQUENCY(IF(C$2:C$3071=C802, MATCH(D$2:D$3071, D$2:D$3071, 0)), ROW(D$2:D$3071)-ROW(D$2)+1) &gt; 0))</f>
        <v>4</v>
      </c>
      <c r="C802" s="3">
        <v>41200550</v>
      </c>
      <c r="D802" s="6" t="s">
        <v>4914</v>
      </c>
      <c r="E802" s="3" t="s">
        <v>2365</v>
      </c>
      <c r="F802" s="3" t="s">
        <v>4223</v>
      </c>
      <c r="G802" s="3" t="str">
        <f t="shared" si="49"/>
        <v>SINGLE</v>
      </c>
      <c r="H802" s="197">
        <f t="shared" si="48"/>
        <v>23</v>
      </c>
      <c r="I802" s="197">
        <v>6</v>
      </c>
      <c r="J802" s="197">
        <v>5</v>
      </c>
      <c r="K802" s="186">
        <f t="shared" si="50"/>
        <v>45813</v>
      </c>
      <c r="L802" s="3" t="s">
        <v>2381</v>
      </c>
      <c r="M802" s="3" t="s">
        <v>2383</v>
      </c>
      <c r="N802" s="3" t="str">
        <f t="shared" si="51"/>
        <v/>
      </c>
    </row>
    <row r="803" spans="1:20">
      <c r="A803" s="3">
        <v>5745</v>
      </c>
      <c r="B803" s="82">
        <f t="array" ref="B803">SUM(--(FREQUENCY(IF(C$2:C$3071=C803, MATCH(D$2:D$3071, D$2:D$3071, 0)), ROW(D$2:D$3071)-ROW(D$2)+1) &gt; 0))</f>
        <v>29</v>
      </c>
      <c r="C803" s="3">
        <v>41200158</v>
      </c>
      <c r="D803" s="6" t="s">
        <v>2270</v>
      </c>
      <c r="E803" s="3" t="s">
        <v>2365</v>
      </c>
      <c r="F803" s="3" t="s">
        <v>4181</v>
      </c>
      <c r="G803" s="3" t="str">
        <f t="shared" si="49"/>
        <v>DUAL</v>
      </c>
      <c r="H803" s="197">
        <f t="shared" si="48"/>
        <v>23</v>
      </c>
      <c r="I803" s="197">
        <v>6</v>
      </c>
      <c r="J803" s="197">
        <v>5</v>
      </c>
      <c r="K803" s="186">
        <f t="shared" si="50"/>
        <v>45813</v>
      </c>
      <c r="L803" s="3" t="s">
        <v>2381</v>
      </c>
      <c r="M803" s="3" t="s">
        <v>2367</v>
      </c>
      <c r="N803" s="3" t="str">
        <f t="shared" si="51"/>
        <v/>
      </c>
    </row>
    <row r="804" spans="1:20">
      <c r="A804" s="3">
        <v>5745</v>
      </c>
      <c r="B804" s="82">
        <f t="array" ref="B804">SUM(--(FREQUENCY(IF(C$2:C$3071=C804, MATCH(D$2:D$3071, D$2:D$3071, 0)), ROW(D$2:D$3071)-ROW(D$2)+1) &gt; 0))</f>
        <v>29</v>
      </c>
      <c r="C804" s="3">
        <v>41200158</v>
      </c>
      <c r="D804" s="6" t="s">
        <v>4915</v>
      </c>
      <c r="E804" s="3" t="s">
        <v>2365</v>
      </c>
      <c r="F804" s="3" t="s">
        <v>4181</v>
      </c>
      <c r="G804" s="3" t="str">
        <f t="shared" si="49"/>
        <v>DUAL</v>
      </c>
      <c r="H804" s="197">
        <f t="shared" si="48"/>
        <v>23</v>
      </c>
      <c r="I804" s="197">
        <v>6</v>
      </c>
      <c r="J804" s="197">
        <v>5</v>
      </c>
      <c r="K804" s="186">
        <f t="shared" si="50"/>
        <v>45813</v>
      </c>
      <c r="L804" s="3" t="s">
        <v>2381</v>
      </c>
      <c r="M804" s="3" t="s">
        <v>2367</v>
      </c>
      <c r="N804" s="3" t="str">
        <f t="shared" si="51"/>
        <v/>
      </c>
    </row>
    <row r="805" spans="1:20">
      <c r="A805" s="3">
        <v>5668</v>
      </c>
      <c r="B805" s="82">
        <f t="array" ref="B805">SUM(--(FREQUENCY(IF(C$2:C$3071=C805, MATCH(D$2:D$3071, D$2:D$3071, 0)), ROW(D$2:D$3071)-ROW(D$2)+1) &gt; 0))</f>
        <v>51</v>
      </c>
      <c r="C805" s="3">
        <v>41200034</v>
      </c>
      <c r="D805" s="6" t="s">
        <v>4916</v>
      </c>
      <c r="E805" s="3" t="s">
        <v>4135</v>
      </c>
      <c r="F805" s="3" t="s">
        <v>4112</v>
      </c>
      <c r="G805" s="3" t="str">
        <f t="shared" si="49"/>
        <v>DUAL</v>
      </c>
      <c r="H805" s="197">
        <f t="shared" si="48"/>
        <v>23</v>
      </c>
      <c r="I805" s="197">
        <v>6</v>
      </c>
      <c r="J805" s="197">
        <v>5</v>
      </c>
      <c r="K805" s="186">
        <f t="shared" si="50"/>
        <v>45813</v>
      </c>
      <c r="L805" s="3" t="s">
        <v>4104</v>
      </c>
      <c r="M805" s="3" t="s">
        <v>2388</v>
      </c>
      <c r="N805" s="3" t="str">
        <f t="shared" si="51"/>
        <v/>
      </c>
    </row>
    <row r="806" spans="1:20">
      <c r="A806" s="3">
        <v>5766</v>
      </c>
      <c r="B806" s="82">
        <f t="array" ref="B806">SUM(--(FREQUENCY(IF(C$2:C$3071=C806, MATCH(D$2:D$3071, D$2:D$3071, 0)), ROW(D$2:D$3071)-ROW(D$2)+1) &gt; 0))</f>
        <v>144</v>
      </c>
      <c r="C806" s="3">
        <v>41200007</v>
      </c>
      <c r="D806" s="6" t="s">
        <v>2282</v>
      </c>
      <c r="E806" s="3" t="s">
        <v>2365</v>
      </c>
      <c r="F806" s="3" t="s">
        <v>2380</v>
      </c>
      <c r="G806" s="3" t="str">
        <f t="shared" si="49"/>
        <v>SINGLE</v>
      </c>
      <c r="H806" s="197">
        <f t="shared" si="48"/>
        <v>24</v>
      </c>
      <c r="I806" s="197">
        <v>6</v>
      </c>
      <c r="J806" s="197">
        <v>9</v>
      </c>
      <c r="K806" s="186">
        <f t="shared" si="50"/>
        <v>45817</v>
      </c>
      <c r="L806" s="3" t="s">
        <v>4104</v>
      </c>
      <c r="M806" s="3" t="s">
        <v>2367</v>
      </c>
      <c r="N806" s="3" t="str">
        <f t="shared" si="51"/>
        <v/>
      </c>
    </row>
    <row r="807" spans="1:20">
      <c r="A807" s="3">
        <v>5766</v>
      </c>
      <c r="B807" s="82">
        <f t="array" ref="B807">SUM(--(FREQUENCY(IF(C$2:C$3071=C807, MATCH(D$2:D$3071, D$2:D$3071, 0)), ROW(D$2:D$3071)-ROW(D$2)+1) &gt; 0))</f>
        <v>144</v>
      </c>
      <c r="C807" s="3">
        <v>41200007</v>
      </c>
      <c r="D807" s="6" t="s">
        <v>4917</v>
      </c>
      <c r="E807" s="3" t="s">
        <v>2365</v>
      </c>
      <c r="F807" s="3" t="s">
        <v>2380</v>
      </c>
      <c r="G807" s="3" t="str">
        <f t="shared" si="49"/>
        <v>SINGLE</v>
      </c>
      <c r="H807" s="197">
        <f t="shared" si="48"/>
        <v>24</v>
      </c>
      <c r="I807" s="197">
        <v>6</v>
      </c>
      <c r="J807" s="197">
        <v>9</v>
      </c>
      <c r="K807" s="186">
        <f t="shared" si="50"/>
        <v>45817</v>
      </c>
      <c r="L807" s="3" t="s">
        <v>4104</v>
      </c>
      <c r="M807" s="3" t="s">
        <v>2367</v>
      </c>
      <c r="N807" s="3" t="str">
        <f t="shared" si="51"/>
        <v/>
      </c>
    </row>
    <row r="808" spans="1:20">
      <c r="A808" s="3">
        <v>5739</v>
      </c>
      <c r="B808" s="82">
        <f t="array" ref="B808">SUM(--(FREQUENCY(IF(C$2:C$3071=C808, MATCH(D$2:D$3071, D$2:D$3071, 0)), ROW(D$2:D$3071)-ROW(D$2)+1) &gt; 0))</f>
        <v>32</v>
      </c>
      <c r="C808" s="3">
        <v>41200127</v>
      </c>
      <c r="D808" s="6" t="s">
        <v>2285</v>
      </c>
      <c r="E808" s="3" t="s">
        <v>2379</v>
      </c>
      <c r="F808" s="3" t="s">
        <v>2380</v>
      </c>
      <c r="G808" s="3" t="str">
        <f t="shared" si="49"/>
        <v>SINGLE</v>
      </c>
      <c r="H808" s="197">
        <f t="shared" si="48"/>
        <v>24</v>
      </c>
      <c r="I808" s="197">
        <v>6</v>
      </c>
      <c r="J808" s="197">
        <v>9</v>
      </c>
      <c r="K808" s="186">
        <f t="shared" si="50"/>
        <v>45817</v>
      </c>
      <c r="L808" s="3" t="s">
        <v>4104</v>
      </c>
      <c r="M808" s="3" t="s">
        <v>2388</v>
      </c>
      <c r="N808" s="3" t="str">
        <f t="shared" si="51"/>
        <v/>
      </c>
    </row>
    <row r="809" spans="1:20">
      <c r="A809" s="3">
        <v>5739</v>
      </c>
      <c r="B809" s="82">
        <f t="array" ref="B809">SUM(--(FREQUENCY(IF(C$2:C$3071=C809, MATCH(D$2:D$3071, D$2:D$3071, 0)), ROW(D$2:D$3071)-ROW(D$2)+1) &gt; 0))</f>
        <v>32</v>
      </c>
      <c r="C809" s="3">
        <v>41200127</v>
      </c>
      <c r="D809" s="6" t="s">
        <v>4918</v>
      </c>
      <c r="E809" s="3" t="s">
        <v>2379</v>
      </c>
      <c r="F809" s="3" t="s">
        <v>2380</v>
      </c>
      <c r="G809" s="3" t="str">
        <f t="shared" si="49"/>
        <v>SINGLE</v>
      </c>
      <c r="H809" s="197">
        <f t="shared" si="48"/>
        <v>24</v>
      </c>
      <c r="I809" s="197">
        <v>6</v>
      </c>
      <c r="J809" s="197">
        <v>9</v>
      </c>
      <c r="K809" s="186">
        <f t="shared" si="50"/>
        <v>45817</v>
      </c>
      <c r="L809" s="3" t="s">
        <v>4104</v>
      </c>
      <c r="M809" s="3" t="s">
        <v>2388</v>
      </c>
      <c r="N809" s="3" t="str">
        <f t="shared" si="51"/>
        <v/>
      </c>
    </row>
    <row r="810" spans="1:20">
      <c r="A810" s="3">
        <v>5745</v>
      </c>
      <c r="B810" s="82">
        <f t="array" ref="B810">SUM(--(FREQUENCY(IF(C$2:C$3071=C810, MATCH(D$2:D$3071, D$2:D$3071, 0)), ROW(D$2:D$3071)-ROW(D$2)+1) &gt; 0))</f>
        <v>29</v>
      </c>
      <c r="C810" s="3">
        <v>41200158</v>
      </c>
      <c r="D810" s="6" t="s">
        <v>4919</v>
      </c>
      <c r="E810" s="3" t="s">
        <v>2365</v>
      </c>
      <c r="F810" s="3" t="s">
        <v>4181</v>
      </c>
      <c r="G810" s="3" t="str">
        <f t="shared" si="49"/>
        <v>DUAL</v>
      </c>
      <c r="H810" s="197">
        <f t="shared" si="48"/>
        <v>24</v>
      </c>
      <c r="I810" s="197">
        <v>6</v>
      </c>
      <c r="J810" s="197">
        <v>9</v>
      </c>
      <c r="K810" s="186">
        <f t="shared" si="50"/>
        <v>45817</v>
      </c>
      <c r="L810" s="3" t="s">
        <v>2381</v>
      </c>
      <c r="M810" s="3" t="s">
        <v>2367</v>
      </c>
      <c r="N810" s="3" t="str">
        <f t="shared" si="51"/>
        <v/>
      </c>
    </row>
    <row r="811" spans="1:20">
      <c r="A811" s="3">
        <v>5669</v>
      </c>
      <c r="B811" s="82">
        <f t="array" ref="B811">SUM(--(FREQUENCY(IF(C$2:C$3071=C811, MATCH(D$2:D$3071, D$2:D$3071, 0)), ROW(D$2:D$3071)-ROW(D$2)+1) &gt; 0))</f>
        <v>18</v>
      </c>
      <c r="C811" s="3">
        <v>41200039</v>
      </c>
      <c r="D811" s="6" t="s">
        <v>4920</v>
      </c>
      <c r="E811" s="3" t="s">
        <v>4135</v>
      </c>
      <c r="F811" s="3" t="s">
        <v>4112</v>
      </c>
      <c r="G811" s="3" t="str">
        <f t="shared" si="49"/>
        <v>DUAL</v>
      </c>
      <c r="H811" s="197">
        <f t="shared" si="48"/>
        <v>24</v>
      </c>
      <c r="I811" s="197">
        <v>6</v>
      </c>
      <c r="J811" s="197">
        <v>9</v>
      </c>
      <c r="K811" s="186">
        <f t="shared" si="50"/>
        <v>45817</v>
      </c>
      <c r="L811" s="3" t="s">
        <v>2381</v>
      </c>
      <c r="M811" s="3" t="s">
        <v>2383</v>
      </c>
      <c r="N811" s="3" t="str">
        <f t="shared" si="51"/>
        <v/>
      </c>
    </row>
    <row r="812" spans="1:20">
      <c r="A812" s="3">
        <v>5670</v>
      </c>
      <c r="B812" s="82">
        <f t="array" ref="B812">SUM(--(FREQUENCY(IF(C$2:C$3071=C812, MATCH(D$2:D$3071, D$2:D$3071, 0)), ROW(D$2:D$3071)-ROW(D$2)+1) &gt; 0))</f>
        <v>44</v>
      </c>
      <c r="C812" s="3">
        <v>41200047</v>
      </c>
      <c r="D812" s="6" t="s">
        <v>4921</v>
      </c>
      <c r="E812" s="3" t="s">
        <v>4135</v>
      </c>
      <c r="F812" s="3" t="s">
        <v>4112</v>
      </c>
      <c r="G812" s="3" t="str">
        <f t="shared" si="49"/>
        <v>DUAL</v>
      </c>
      <c r="H812" s="197">
        <f t="shared" si="48"/>
        <v>24</v>
      </c>
      <c r="I812" s="197">
        <v>6</v>
      </c>
      <c r="J812" s="197">
        <v>9</v>
      </c>
      <c r="K812" s="186">
        <f t="shared" si="50"/>
        <v>45817</v>
      </c>
      <c r="L812" s="3" t="s">
        <v>2381</v>
      </c>
      <c r="M812" s="3" t="s">
        <v>2367</v>
      </c>
      <c r="N812" s="3" t="str">
        <f t="shared" si="51"/>
        <v/>
      </c>
    </row>
    <row r="813" spans="1:20" ht="49.5">
      <c r="A813" s="3">
        <v>5729</v>
      </c>
      <c r="B813" s="82">
        <f t="array" ref="B813">SUM(--(FREQUENCY(IF(C$2:C$3071=C813, MATCH(D$2:D$3071, D$2:D$3071, 0)), ROW(D$2:D$3071)-ROW(D$2)+1) &gt; 0))</f>
        <v>1</v>
      </c>
      <c r="C813" s="3">
        <v>41200156</v>
      </c>
      <c r="D813" s="6" t="s">
        <v>4922</v>
      </c>
      <c r="E813" s="3" t="s">
        <v>4923</v>
      </c>
      <c r="F813" s="3" t="s">
        <v>4112</v>
      </c>
      <c r="G813" s="3" t="str">
        <f t="shared" si="49"/>
        <v>DUAL</v>
      </c>
      <c r="H813" s="197">
        <f t="shared" si="48"/>
        <v>24</v>
      </c>
      <c r="I813" s="197">
        <v>6</v>
      </c>
      <c r="J813" s="197">
        <v>9</v>
      </c>
      <c r="K813" s="186">
        <f t="shared" si="50"/>
        <v>45817</v>
      </c>
      <c r="L813" s="3" t="s">
        <v>4104</v>
      </c>
      <c r="M813" s="3" t="s">
        <v>2367</v>
      </c>
      <c r="N813" s="3" t="str">
        <f t="shared" si="51"/>
        <v>NG</v>
      </c>
      <c r="O813" s="3" t="s">
        <v>1568</v>
      </c>
      <c r="P813" s="3" t="s">
        <v>4924</v>
      </c>
      <c r="Q813" s="3">
        <v>13106093</v>
      </c>
      <c r="R813" s="3" t="s">
        <v>4925</v>
      </c>
      <c r="S813" s="7" t="s">
        <v>4926</v>
      </c>
      <c r="T813" s="3" t="s">
        <v>4455</v>
      </c>
    </row>
    <row r="814" spans="1:20">
      <c r="A814" s="3">
        <v>5740</v>
      </c>
      <c r="B814" s="82">
        <f t="array" ref="B814">SUM(--(FREQUENCY(IF(C$2:C$3071=C814, MATCH(D$2:D$3071, D$2:D$3071, 0)), ROW(D$2:D$3071)-ROW(D$2)+1) &gt; 0))</f>
        <v>14</v>
      </c>
      <c r="C814" s="3">
        <v>41200129</v>
      </c>
      <c r="D814" s="6" t="s">
        <v>2288</v>
      </c>
      <c r="E814" s="3" t="s">
        <v>2379</v>
      </c>
      <c r="F814" s="3" t="s">
        <v>2380</v>
      </c>
      <c r="G814" s="3" t="str">
        <f t="shared" si="49"/>
        <v>SINGLE</v>
      </c>
      <c r="H814" s="197">
        <f t="shared" si="48"/>
        <v>24</v>
      </c>
      <c r="I814" s="197">
        <v>6</v>
      </c>
      <c r="J814" s="197">
        <v>10</v>
      </c>
      <c r="K814" s="186">
        <f t="shared" si="50"/>
        <v>45818</v>
      </c>
      <c r="L814" s="3" t="s">
        <v>4104</v>
      </c>
      <c r="M814" s="3" t="s">
        <v>2367</v>
      </c>
      <c r="N814" s="3" t="str">
        <f t="shared" si="51"/>
        <v>NG</v>
      </c>
      <c r="O814" s="3" t="s">
        <v>1568</v>
      </c>
      <c r="P814" s="3" t="s">
        <v>4927</v>
      </c>
      <c r="Q814" s="3">
        <v>11002283</v>
      </c>
      <c r="R814" s="3" t="s">
        <v>4105</v>
      </c>
      <c r="S814" s="3" t="s">
        <v>4928</v>
      </c>
      <c r="T814" s="3" t="s">
        <v>4455</v>
      </c>
    </row>
    <row r="815" spans="1:20">
      <c r="A815" s="3">
        <v>5740</v>
      </c>
      <c r="B815" s="82">
        <f t="array" ref="B815">SUM(--(FREQUENCY(IF(C$2:C$3071=C815, MATCH(D$2:D$3071, D$2:D$3071, 0)), ROW(D$2:D$3071)-ROW(D$2)+1) &gt; 0))</f>
        <v>14</v>
      </c>
      <c r="C815" s="3">
        <v>41200129</v>
      </c>
      <c r="D815" s="6" t="s">
        <v>4929</v>
      </c>
      <c r="E815" s="3" t="s">
        <v>2379</v>
      </c>
      <c r="F815" s="3" t="s">
        <v>2380</v>
      </c>
      <c r="G815" s="3" t="str">
        <f t="shared" si="49"/>
        <v>SINGLE</v>
      </c>
      <c r="H815" s="197">
        <f t="shared" si="48"/>
        <v>24</v>
      </c>
      <c r="I815" s="197">
        <v>6</v>
      </c>
      <c r="J815" s="197">
        <v>10</v>
      </c>
      <c r="K815" s="186">
        <f t="shared" si="50"/>
        <v>45818</v>
      </c>
      <c r="L815" s="3" t="s">
        <v>4104</v>
      </c>
      <c r="M815" s="3" t="s">
        <v>2367</v>
      </c>
      <c r="N815" s="3" t="str">
        <f t="shared" si="51"/>
        <v/>
      </c>
    </row>
    <row r="816" spans="1:20">
      <c r="A816" s="3">
        <v>5719</v>
      </c>
      <c r="B816" s="82">
        <f t="array" ref="B816">SUM(--(FREQUENCY(IF(C$2:C$3071=C816, MATCH(D$2:D$3071, D$2:D$3071, 0)), ROW(D$2:D$3071)-ROW(D$2)+1) &gt; 0))</f>
        <v>14</v>
      </c>
      <c r="C816" s="3">
        <v>41200129</v>
      </c>
      <c r="D816" s="6" t="s">
        <v>4930</v>
      </c>
      <c r="E816" s="3" t="s">
        <v>2379</v>
      </c>
      <c r="F816" s="3" t="s">
        <v>2380</v>
      </c>
      <c r="G816" s="3" t="str">
        <f t="shared" si="49"/>
        <v>SINGLE</v>
      </c>
      <c r="H816" s="197">
        <f t="shared" si="48"/>
        <v>24</v>
      </c>
      <c r="I816" s="197">
        <v>6</v>
      </c>
      <c r="J816" s="197">
        <v>10</v>
      </c>
      <c r="K816" s="186">
        <f t="shared" si="50"/>
        <v>45818</v>
      </c>
      <c r="L816" s="3" t="s">
        <v>2381</v>
      </c>
      <c r="M816" s="3" t="s">
        <v>2367</v>
      </c>
      <c r="N816" s="3" t="str">
        <f t="shared" si="51"/>
        <v/>
      </c>
    </row>
    <row r="817" spans="1:21">
      <c r="A817" s="3">
        <v>5538</v>
      </c>
      <c r="B817" s="82">
        <f t="array" ref="B817">SUM(--(FREQUENCY(IF(C$2:C$3071=C817, MATCH(D$2:D$3071, D$2:D$3071, 0)), ROW(D$2:D$3071)-ROW(D$2)+1) &gt; 0))</f>
        <v>77</v>
      </c>
      <c r="C817" s="3">
        <v>41200076</v>
      </c>
      <c r="D817" s="6" t="s">
        <v>4931</v>
      </c>
      <c r="E817" s="3" t="s">
        <v>4102</v>
      </c>
      <c r="F817" s="3" t="s">
        <v>4112</v>
      </c>
      <c r="G817" s="3" t="str">
        <f t="shared" si="49"/>
        <v>DUAL</v>
      </c>
      <c r="H817" s="197">
        <f t="shared" si="48"/>
        <v>24</v>
      </c>
      <c r="I817" s="197">
        <v>6</v>
      </c>
      <c r="J817" s="197">
        <v>10</v>
      </c>
      <c r="K817" s="186">
        <f t="shared" si="50"/>
        <v>45818</v>
      </c>
      <c r="L817" s="3" t="s">
        <v>2381</v>
      </c>
      <c r="M817" s="3" t="s">
        <v>2383</v>
      </c>
      <c r="N817" s="3" t="str">
        <f t="shared" si="51"/>
        <v>NG</v>
      </c>
      <c r="O817" s="3" t="s">
        <v>1568</v>
      </c>
      <c r="P817" s="3" t="s">
        <v>4927</v>
      </c>
      <c r="Q817" s="3">
        <v>11002283</v>
      </c>
      <c r="R817" s="3" t="s">
        <v>4105</v>
      </c>
      <c r="S817" s="3" t="s">
        <v>4932</v>
      </c>
      <c r="T817" s="3" t="s">
        <v>4455</v>
      </c>
    </row>
    <row r="818" spans="1:21">
      <c r="A818" s="3">
        <v>5670</v>
      </c>
      <c r="B818" s="82">
        <f t="array" ref="B818">SUM(--(FREQUENCY(IF(C$2:C$3071=C818, MATCH(D$2:D$3071, D$2:D$3071, 0)), ROW(D$2:D$3071)-ROW(D$2)+1) &gt; 0))</f>
        <v>44</v>
      </c>
      <c r="C818" s="3">
        <v>41200047</v>
      </c>
      <c r="D818" s="6" t="s">
        <v>2290</v>
      </c>
      <c r="E818" s="3" t="s">
        <v>4135</v>
      </c>
      <c r="F818" s="3" t="s">
        <v>4112</v>
      </c>
      <c r="G818" s="3" t="str">
        <f t="shared" si="49"/>
        <v>DUAL</v>
      </c>
      <c r="H818" s="197">
        <f t="shared" si="48"/>
        <v>24</v>
      </c>
      <c r="I818" s="197">
        <v>6</v>
      </c>
      <c r="J818" s="197">
        <v>10</v>
      </c>
      <c r="K818" s="186">
        <f t="shared" si="50"/>
        <v>45818</v>
      </c>
      <c r="L818" s="3" t="s">
        <v>2381</v>
      </c>
      <c r="M818" s="3" t="s">
        <v>2367</v>
      </c>
      <c r="N818" s="3" t="str">
        <f t="shared" si="51"/>
        <v/>
      </c>
    </row>
    <row r="819" spans="1:21">
      <c r="A819" s="3">
        <v>5670</v>
      </c>
      <c r="B819" s="82">
        <f t="array" ref="B819">SUM(--(FREQUENCY(IF(C$2:C$3071=C819, MATCH(D$2:D$3071, D$2:D$3071, 0)), ROW(D$2:D$3071)-ROW(D$2)+1) &gt; 0))</f>
        <v>44</v>
      </c>
      <c r="C819" s="3">
        <v>41200047</v>
      </c>
      <c r="D819" s="6" t="s">
        <v>4933</v>
      </c>
      <c r="E819" s="3" t="s">
        <v>4135</v>
      </c>
      <c r="F819" s="3" t="s">
        <v>4112</v>
      </c>
      <c r="G819" s="3" t="str">
        <f t="shared" si="49"/>
        <v>DUAL</v>
      </c>
      <c r="H819" s="197">
        <f t="shared" si="48"/>
        <v>24</v>
      </c>
      <c r="I819" s="197">
        <v>6</v>
      </c>
      <c r="J819" s="197">
        <v>10</v>
      </c>
      <c r="K819" s="186">
        <f t="shared" si="50"/>
        <v>45818</v>
      </c>
      <c r="L819" s="3" t="s">
        <v>2381</v>
      </c>
      <c r="M819" s="3" t="s">
        <v>2367</v>
      </c>
      <c r="N819" s="3" t="str">
        <f t="shared" si="51"/>
        <v/>
      </c>
    </row>
    <row r="820" spans="1:21">
      <c r="A820" s="3">
        <v>5611</v>
      </c>
      <c r="B820" s="82">
        <f t="array" ref="B820">SUM(--(FREQUENCY(IF(C$2:C$3071=C820, MATCH(D$2:D$3071, D$2:D$3071, 0)), ROW(D$2:D$3071)-ROW(D$2)+1) &gt; 0))</f>
        <v>4</v>
      </c>
      <c r="C820" s="3">
        <v>41200147</v>
      </c>
      <c r="D820" s="6" t="s">
        <v>2293</v>
      </c>
      <c r="E820" s="3" t="s">
        <v>4135</v>
      </c>
      <c r="F820" s="3" t="s">
        <v>4112</v>
      </c>
      <c r="G820" s="3" t="str">
        <f t="shared" si="49"/>
        <v>DUAL</v>
      </c>
      <c r="H820" s="197">
        <f t="shared" si="48"/>
        <v>24</v>
      </c>
      <c r="I820" s="197">
        <v>6</v>
      </c>
      <c r="J820" s="197">
        <v>10</v>
      </c>
      <c r="K820" s="186">
        <f t="shared" si="50"/>
        <v>45818</v>
      </c>
      <c r="L820" s="3" t="s">
        <v>4104</v>
      </c>
      <c r="M820" s="3" t="s">
        <v>2388</v>
      </c>
      <c r="N820" s="3" t="str">
        <f t="shared" si="51"/>
        <v/>
      </c>
    </row>
    <row r="821" spans="1:21">
      <c r="A821" s="3">
        <v>5611</v>
      </c>
      <c r="B821" s="82">
        <f t="array" ref="B821">SUM(--(FREQUENCY(IF(C$2:C$3071=C821, MATCH(D$2:D$3071, D$2:D$3071, 0)), ROW(D$2:D$3071)-ROW(D$2)+1) &gt; 0))</f>
        <v>4</v>
      </c>
      <c r="C821" s="3">
        <v>41200147</v>
      </c>
      <c r="D821" s="6" t="s">
        <v>4934</v>
      </c>
      <c r="E821" s="3" t="s">
        <v>4135</v>
      </c>
      <c r="F821" s="3" t="s">
        <v>4112</v>
      </c>
      <c r="G821" s="3" t="str">
        <f t="shared" si="49"/>
        <v>DUAL</v>
      </c>
      <c r="H821" s="197">
        <f t="shared" si="48"/>
        <v>24</v>
      </c>
      <c r="I821" s="197">
        <v>6</v>
      </c>
      <c r="J821" s="197">
        <v>10</v>
      </c>
      <c r="K821" s="186">
        <f t="shared" si="50"/>
        <v>45818</v>
      </c>
      <c r="L821" s="3" t="s">
        <v>4104</v>
      </c>
      <c r="M821" s="3" t="s">
        <v>2388</v>
      </c>
      <c r="N821" s="3" t="str">
        <f t="shared" si="51"/>
        <v/>
      </c>
    </row>
    <row r="822" spans="1:21">
      <c r="A822" s="3">
        <v>5668</v>
      </c>
      <c r="B822" s="82">
        <f t="array" ref="B822">SUM(--(FREQUENCY(IF(C$2:C$3071=C822, MATCH(D$2:D$3071, D$2:D$3071, 0)), ROW(D$2:D$3071)-ROW(D$2)+1) &gt; 0))</f>
        <v>51</v>
      </c>
      <c r="C822" s="3">
        <v>41200034</v>
      </c>
      <c r="D822" s="6" t="s">
        <v>4935</v>
      </c>
      <c r="E822" s="3" t="s">
        <v>4135</v>
      </c>
      <c r="F822" s="3" t="s">
        <v>4112</v>
      </c>
      <c r="G822" s="3" t="str">
        <f t="shared" si="49"/>
        <v>DUAL</v>
      </c>
      <c r="H822" s="197">
        <f t="shared" si="48"/>
        <v>24</v>
      </c>
      <c r="I822" s="197">
        <v>6</v>
      </c>
      <c r="J822" s="197">
        <v>10</v>
      </c>
      <c r="K822" s="186">
        <f t="shared" si="50"/>
        <v>45818</v>
      </c>
      <c r="L822" s="3" t="s">
        <v>4104</v>
      </c>
      <c r="M822" s="3" t="s">
        <v>2388</v>
      </c>
      <c r="N822" s="3" t="str">
        <f t="shared" si="51"/>
        <v/>
      </c>
    </row>
    <row r="823" spans="1:21">
      <c r="A823" s="3">
        <v>5730</v>
      </c>
      <c r="B823" s="82">
        <f t="array" ref="B823">SUM(--(FREQUENCY(IF(C$2:C$3071=C823, MATCH(D$2:D$3071, D$2:D$3071, 0)), ROW(D$2:D$3071)-ROW(D$2)+1) &gt; 0))</f>
        <v>102</v>
      </c>
      <c r="C823" s="3">
        <v>41200006</v>
      </c>
      <c r="D823" s="6" t="s">
        <v>2301</v>
      </c>
      <c r="E823" s="3" t="s">
        <v>2365</v>
      </c>
      <c r="F823" s="3" t="s">
        <v>4223</v>
      </c>
      <c r="G823" s="3" t="str">
        <f t="shared" si="49"/>
        <v>SINGLE</v>
      </c>
      <c r="H823" s="197">
        <f t="shared" si="48"/>
        <v>24</v>
      </c>
      <c r="I823" s="197">
        <v>6</v>
      </c>
      <c r="J823" s="197">
        <v>11</v>
      </c>
      <c r="K823" s="186">
        <f t="shared" si="50"/>
        <v>45819</v>
      </c>
      <c r="L823" s="3" t="s">
        <v>4104</v>
      </c>
      <c r="M823" s="3" t="s">
        <v>2367</v>
      </c>
      <c r="N823" s="3" t="str">
        <f t="shared" si="51"/>
        <v/>
      </c>
    </row>
    <row r="824" spans="1:21">
      <c r="A824" s="3">
        <v>5730</v>
      </c>
      <c r="B824" s="82">
        <f t="array" ref="B824">SUM(--(FREQUENCY(IF(C$2:C$3071=C824, MATCH(D$2:D$3071, D$2:D$3071, 0)), ROW(D$2:D$3071)-ROW(D$2)+1) &gt; 0))</f>
        <v>102</v>
      </c>
      <c r="C824" s="3">
        <v>41200006</v>
      </c>
      <c r="D824" s="6" t="s">
        <v>4936</v>
      </c>
      <c r="E824" s="3" t="s">
        <v>2365</v>
      </c>
      <c r="F824" s="3" t="s">
        <v>4223</v>
      </c>
      <c r="G824" s="3" t="str">
        <f t="shared" si="49"/>
        <v>SINGLE</v>
      </c>
      <c r="H824" s="197">
        <f t="shared" si="48"/>
        <v>24</v>
      </c>
      <c r="I824" s="197">
        <v>6</v>
      </c>
      <c r="J824" s="197">
        <v>11</v>
      </c>
      <c r="K824" s="186">
        <f t="shared" si="50"/>
        <v>45819</v>
      </c>
      <c r="L824" s="3" t="s">
        <v>4104</v>
      </c>
      <c r="M824" s="3" t="s">
        <v>2367</v>
      </c>
      <c r="N824" s="3" t="str">
        <f t="shared" si="51"/>
        <v/>
      </c>
    </row>
    <row r="825" spans="1:21">
      <c r="A825" s="3">
        <v>5670</v>
      </c>
      <c r="B825" s="82">
        <f t="array" ref="B825">SUM(--(FREQUENCY(IF(C$2:C$3071=C825, MATCH(D$2:D$3071, D$2:D$3071, 0)), ROW(D$2:D$3071)-ROW(D$2)+1) &gt; 0))</f>
        <v>44</v>
      </c>
      <c r="C825" s="3">
        <v>41200047</v>
      </c>
      <c r="D825" s="6" t="s">
        <v>2296</v>
      </c>
      <c r="E825" s="3" t="s">
        <v>4135</v>
      </c>
      <c r="F825" s="3" t="s">
        <v>4112</v>
      </c>
      <c r="G825" s="3" t="str">
        <f t="shared" si="49"/>
        <v>DUAL</v>
      </c>
      <c r="H825" s="197">
        <f t="shared" si="48"/>
        <v>24</v>
      </c>
      <c r="I825" s="197">
        <v>6</v>
      </c>
      <c r="J825" s="197">
        <v>11</v>
      </c>
      <c r="K825" s="186">
        <f t="shared" si="50"/>
        <v>45819</v>
      </c>
      <c r="L825" s="3" t="s">
        <v>4104</v>
      </c>
      <c r="M825" s="3" t="s">
        <v>2367</v>
      </c>
      <c r="N825" s="3" t="str">
        <f t="shared" si="51"/>
        <v/>
      </c>
    </row>
    <row r="826" spans="1:21" s="36" customFormat="1">
      <c r="A826" s="35">
        <v>5670</v>
      </c>
      <c r="B826" s="82">
        <f t="array" ref="B826">SUM(--(FREQUENCY(IF(C$2:C$3071=C826, MATCH(D$2:D$3071, D$2:D$3071, 0)), ROW(D$2:D$3071)-ROW(D$2)+1) &gt; 0))</f>
        <v>44</v>
      </c>
      <c r="C826" s="35">
        <v>41200047</v>
      </c>
      <c r="D826" s="13" t="s">
        <v>2295</v>
      </c>
      <c r="E826" s="35" t="s">
        <v>4135</v>
      </c>
      <c r="F826" s="35" t="s">
        <v>4112</v>
      </c>
      <c r="G826" s="35" t="str">
        <f t="shared" si="49"/>
        <v>DUAL</v>
      </c>
      <c r="H826" s="197">
        <f t="shared" si="48"/>
        <v>24</v>
      </c>
      <c r="I826" s="207">
        <v>6</v>
      </c>
      <c r="J826" s="207">
        <v>11</v>
      </c>
      <c r="K826" s="186">
        <f t="shared" si="50"/>
        <v>45819</v>
      </c>
      <c r="L826" s="35" t="s">
        <v>4104</v>
      </c>
      <c r="M826" s="35" t="s">
        <v>2367</v>
      </c>
      <c r="N826" s="3" t="str">
        <f t="shared" si="51"/>
        <v/>
      </c>
      <c r="O826" s="35"/>
      <c r="P826" s="35"/>
      <c r="Q826" s="35"/>
      <c r="R826" s="35"/>
      <c r="S826" s="35"/>
      <c r="T826" s="35"/>
      <c r="U826" s="35"/>
    </row>
    <row r="827" spans="1:21" s="36" customFormat="1">
      <c r="A827" s="35">
        <v>5670</v>
      </c>
      <c r="B827" s="82">
        <f t="array" ref="B827">SUM(--(FREQUENCY(IF(C$2:C$3071=C827, MATCH(D$2:D$3071, D$2:D$3071, 0)), ROW(D$2:D$3071)-ROW(D$2)+1) &gt; 0))</f>
        <v>44</v>
      </c>
      <c r="C827" s="35">
        <v>41200047</v>
      </c>
      <c r="D827" s="13" t="s">
        <v>4937</v>
      </c>
      <c r="E827" s="35" t="s">
        <v>4135</v>
      </c>
      <c r="F827" s="35" t="s">
        <v>4112</v>
      </c>
      <c r="G827" s="35" t="str">
        <f t="shared" si="49"/>
        <v>DUAL</v>
      </c>
      <c r="H827" s="197">
        <f t="shared" si="48"/>
        <v>24</v>
      </c>
      <c r="I827" s="207">
        <v>6</v>
      </c>
      <c r="J827" s="207">
        <v>11</v>
      </c>
      <c r="K827" s="186">
        <f t="shared" si="50"/>
        <v>45819</v>
      </c>
      <c r="L827" s="35" t="s">
        <v>4104</v>
      </c>
      <c r="M827" s="35" t="s">
        <v>2367</v>
      </c>
      <c r="N827" s="3" t="str">
        <f t="shared" si="51"/>
        <v/>
      </c>
      <c r="O827" s="35"/>
      <c r="P827" s="35"/>
      <c r="Q827" s="35"/>
      <c r="R827" s="35"/>
      <c r="S827" s="35"/>
      <c r="T827" s="35"/>
      <c r="U827" s="35"/>
    </row>
    <row r="828" spans="1:21" s="36" customFormat="1">
      <c r="A828" s="35">
        <v>5668</v>
      </c>
      <c r="B828" s="82">
        <f t="array" ref="B828">SUM(--(FREQUENCY(IF(C$2:C$3071=C828, MATCH(D$2:D$3071, D$2:D$3071, 0)), ROW(D$2:D$3071)-ROW(D$2)+1) &gt; 0))</f>
        <v>51</v>
      </c>
      <c r="C828" s="35">
        <v>41200034</v>
      </c>
      <c r="D828" s="13" t="s">
        <v>2298</v>
      </c>
      <c r="E828" s="35" t="s">
        <v>4135</v>
      </c>
      <c r="F828" s="35" t="s">
        <v>4112</v>
      </c>
      <c r="G828" s="35" t="str">
        <f t="shared" si="49"/>
        <v>DUAL</v>
      </c>
      <c r="H828" s="197">
        <f t="shared" si="48"/>
        <v>24</v>
      </c>
      <c r="I828" s="207">
        <v>6</v>
      </c>
      <c r="J828" s="207">
        <v>11</v>
      </c>
      <c r="K828" s="186">
        <f t="shared" si="50"/>
        <v>45819</v>
      </c>
      <c r="L828" s="35" t="s">
        <v>2367</v>
      </c>
      <c r="M828" s="35" t="s">
        <v>2388</v>
      </c>
      <c r="N828" s="3" t="str">
        <f t="shared" si="51"/>
        <v>NG</v>
      </c>
      <c r="O828" s="35" t="s">
        <v>1568</v>
      </c>
      <c r="P828" s="35" t="s">
        <v>4927</v>
      </c>
      <c r="Q828" s="35">
        <v>11002283</v>
      </c>
      <c r="R828" s="35" t="s">
        <v>4105</v>
      </c>
      <c r="S828" s="35" t="s">
        <v>4938</v>
      </c>
      <c r="T828" s="35" t="s">
        <v>4455</v>
      </c>
      <c r="U828" s="35"/>
    </row>
    <row r="829" spans="1:21" s="36" customFormat="1">
      <c r="A829" s="35">
        <v>5668</v>
      </c>
      <c r="B829" s="82">
        <f t="array" ref="B829">SUM(--(FREQUENCY(IF(C$2:C$3071=C829, MATCH(D$2:D$3071, D$2:D$3071, 0)), ROW(D$2:D$3071)-ROW(D$2)+1) &gt; 0))</f>
        <v>51</v>
      </c>
      <c r="C829" s="35">
        <v>41200034</v>
      </c>
      <c r="D829" s="13" t="s">
        <v>4939</v>
      </c>
      <c r="E829" s="35" t="s">
        <v>4135</v>
      </c>
      <c r="F829" s="35" t="s">
        <v>4112</v>
      </c>
      <c r="G829" s="35" t="str">
        <f t="shared" si="49"/>
        <v>DUAL</v>
      </c>
      <c r="H829" s="197">
        <f t="shared" si="48"/>
        <v>24</v>
      </c>
      <c r="I829" s="207">
        <v>6</v>
      </c>
      <c r="J829" s="207">
        <v>11</v>
      </c>
      <c r="K829" s="186">
        <f t="shared" si="50"/>
        <v>45819</v>
      </c>
      <c r="L829" s="35" t="s">
        <v>2367</v>
      </c>
      <c r="M829" s="35" t="s">
        <v>2388</v>
      </c>
      <c r="N829" s="3" t="str">
        <f t="shared" si="51"/>
        <v/>
      </c>
      <c r="O829" s="35"/>
      <c r="P829" s="35"/>
      <c r="Q829" s="35"/>
      <c r="R829" s="35"/>
      <c r="S829" s="35"/>
      <c r="T829" s="35"/>
      <c r="U829" s="35"/>
    </row>
    <row r="830" spans="1:21" s="36" customFormat="1">
      <c r="A830" s="39">
        <v>5766</v>
      </c>
      <c r="B830" s="82">
        <f t="array" ref="B830">SUM(--(FREQUENCY(IF(C$2:C$3071=C830, MATCH(D$2:D$3071, D$2:D$3071, 0)), ROW(D$2:D$3071)-ROW(D$2)+1) &gt; 0))</f>
        <v>144</v>
      </c>
      <c r="C830" s="39">
        <v>41200007</v>
      </c>
      <c r="D830" s="39" t="s">
        <v>4940</v>
      </c>
      <c r="E830" s="39" t="s">
        <v>2365</v>
      </c>
      <c r="F830" s="39" t="s">
        <v>2380</v>
      </c>
      <c r="G830" s="35" t="str">
        <f t="shared" si="49"/>
        <v>SINGLE</v>
      </c>
      <c r="H830" s="197">
        <f t="shared" si="48"/>
        <v>24</v>
      </c>
      <c r="I830" s="208">
        <v>6</v>
      </c>
      <c r="J830" s="208">
        <v>12</v>
      </c>
      <c r="K830" s="186">
        <f t="shared" si="50"/>
        <v>45820</v>
      </c>
      <c r="L830" s="43" t="s">
        <v>4104</v>
      </c>
      <c r="M830" s="43" t="s">
        <v>2367</v>
      </c>
      <c r="N830" s="3" t="str">
        <f t="shared" si="51"/>
        <v/>
      </c>
      <c r="O830" s="43"/>
      <c r="P830" s="43"/>
      <c r="Q830" s="43"/>
      <c r="R830" s="43"/>
      <c r="S830" s="43"/>
      <c r="T830" s="43"/>
      <c r="U830" s="35"/>
    </row>
    <row r="831" spans="1:21" s="36" customFormat="1">
      <c r="A831" s="39">
        <v>5766</v>
      </c>
      <c r="B831" s="82">
        <f t="array" ref="B831">SUM(--(FREQUENCY(IF(C$2:C$3071=C831, MATCH(D$2:D$3071, D$2:D$3071, 0)), ROW(D$2:D$3071)-ROW(D$2)+1) &gt; 0))</f>
        <v>144</v>
      </c>
      <c r="C831" s="39">
        <v>41200007</v>
      </c>
      <c r="D831" s="39" t="s">
        <v>2303</v>
      </c>
      <c r="E831" s="39" t="s">
        <v>2365</v>
      </c>
      <c r="F831" s="39" t="s">
        <v>2380</v>
      </c>
      <c r="G831" s="35" t="str">
        <f t="shared" si="49"/>
        <v>SINGLE</v>
      </c>
      <c r="H831" s="197">
        <f t="shared" si="48"/>
        <v>24</v>
      </c>
      <c r="I831" s="208">
        <v>6</v>
      </c>
      <c r="J831" s="208">
        <v>12</v>
      </c>
      <c r="K831" s="186">
        <f t="shared" si="50"/>
        <v>45820</v>
      </c>
      <c r="L831" s="43" t="s">
        <v>4104</v>
      </c>
      <c r="M831" s="43" t="s">
        <v>2367</v>
      </c>
      <c r="N831" s="3" t="str">
        <f t="shared" si="51"/>
        <v/>
      </c>
      <c r="O831" s="43"/>
      <c r="P831" s="43"/>
      <c r="Q831" s="43"/>
      <c r="R831" s="43"/>
      <c r="S831" s="43"/>
      <c r="T831" s="43"/>
      <c r="U831" s="35"/>
    </row>
    <row r="832" spans="1:21" s="38" customFormat="1" ht="49.5">
      <c r="A832" s="40">
        <v>5616</v>
      </c>
      <c r="B832" s="82">
        <f t="array" ref="B832">SUM(--(FREQUENCY(IF(C$2:C$3071=C832, MATCH(D$2:D$3071, D$2:D$3071, 0)), ROW(D$2:D$3071)-ROW(D$2)+1) &gt; 0))</f>
        <v>33</v>
      </c>
      <c r="C832" s="40">
        <v>41100435</v>
      </c>
      <c r="D832" s="40" t="s">
        <v>4941</v>
      </c>
      <c r="E832" s="40" t="s">
        <v>4102</v>
      </c>
      <c r="F832" s="40" t="s">
        <v>4103</v>
      </c>
      <c r="G832" s="37" t="str">
        <f t="shared" si="49"/>
        <v>SINGLE</v>
      </c>
      <c r="H832" s="197">
        <f t="shared" si="48"/>
        <v>24</v>
      </c>
      <c r="I832" s="209">
        <v>6</v>
      </c>
      <c r="J832" s="209">
        <v>12</v>
      </c>
      <c r="K832" s="186">
        <f t="shared" si="50"/>
        <v>45820</v>
      </c>
      <c r="L832" s="41" t="s">
        <v>4104</v>
      </c>
      <c r="M832" s="41" t="s">
        <v>2367</v>
      </c>
      <c r="N832" s="3" t="str">
        <f t="shared" si="51"/>
        <v>NG</v>
      </c>
      <c r="O832" s="41" t="s">
        <v>1568</v>
      </c>
      <c r="P832" s="41" t="s">
        <v>4927</v>
      </c>
      <c r="Q832" s="41">
        <v>11002737</v>
      </c>
      <c r="R832" s="41" t="s">
        <v>4131</v>
      </c>
      <c r="S832" s="42" t="s">
        <v>4942</v>
      </c>
      <c r="T832" s="41"/>
      <c r="U832" s="37"/>
    </row>
    <row r="833" spans="1:21" s="38" customFormat="1">
      <c r="A833" s="40">
        <v>5616</v>
      </c>
      <c r="B833" s="82">
        <f t="array" ref="B833">SUM(--(FREQUENCY(IF(C$2:C$3071=C833, MATCH(D$2:D$3071, D$2:D$3071, 0)), ROW(D$2:D$3071)-ROW(D$2)+1) &gt; 0))</f>
        <v>33</v>
      </c>
      <c r="C833" s="40">
        <v>41100435</v>
      </c>
      <c r="D833" s="40" t="s">
        <v>4941</v>
      </c>
      <c r="E833" s="40" t="s">
        <v>4102</v>
      </c>
      <c r="F833" s="40" t="s">
        <v>4103</v>
      </c>
      <c r="G833" s="37" t="str">
        <f t="shared" si="49"/>
        <v>SINGLE</v>
      </c>
      <c r="H833" s="197">
        <f t="shared" ref="H833:H896" si="52">WEEKNUM(K833)</f>
        <v>24</v>
      </c>
      <c r="I833" s="209">
        <v>6</v>
      </c>
      <c r="J833" s="209">
        <v>12</v>
      </c>
      <c r="K833" s="186">
        <f t="shared" si="50"/>
        <v>45820</v>
      </c>
      <c r="L833" s="41" t="s">
        <v>4104</v>
      </c>
      <c r="M833" s="41" t="s">
        <v>2367</v>
      </c>
      <c r="N833" s="3" t="str">
        <f t="shared" si="51"/>
        <v>NG</v>
      </c>
      <c r="O833" s="41" t="s">
        <v>1568</v>
      </c>
      <c r="P833" s="41" t="s">
        <v>4943</v>
      </c>
      <c r="Q833" s="41">
        <v>13102051</v>
      </c>
      <c r="R833" s="41" t="s">
        <v>4944</v>
      </c>
      <c r="S833" s="41" t="s">
        <v>4945</v>
      </c>
      <c r="T833" s="41"/>
      <c r="U833" s="37"/>
    </row>
    <row r="834" spans="1:21" s="36" customFormat="1">
      <c r="A834" s="39">
        <v>5702</v>
      </c>
      <c r="B834" s="82">
        <f t="array" ref="B834">SUM(--(FREQUENCY(IF(C$2:C$3071=C834, MATCH(D$2:D$3071, D$2:D$3071, 0)), ROW(D$2:D$3071)-ROW(D$2)+1) &gt; 0))</f>
        <v>25</v>
      </c>
      <c r="C834" s="39">
        <v>41200128</v>
      </c>
      <c r="D834" s="39" t="s">
        <v>4946</v>
      </c>
      <c r="E834" s="39" t="s">
        <v>2379</v>
      </c>
      <c r="F834" s="39" t="s">
        <v>2380</v>
      </c>
      <c r="G834" s="35" t="str">
        <f t="shared" ref="G834:G897" si="53">IF(OR(ISNUMBER(SEARCH("DUAL",F834)), ISNUMBER(SEARCH("IVAS",F834))), "DUAL", "SINGLE")</f>
        <v>SINGLE</v>
      </c>
      <c r="H834" s="197">
        <f t="shared" si="52"/>
        <v>24</v>
      </c>
      <c r="I834" s="208">
        <v>6</v>
      </c>
      <c r="J834" s="208">
        <v>12</v>
      </c>
      <c r="K834" s="186">
        <f t="shared" ref="K834:K897" si="54">DATE(2025, I834, J834)</f>
        <v>45820</v>
      </c>
      <c r="L834" s="43" t="s">
        <v>4104</v>
      </c>
      <c r="M834" s="43" t="s">
        <v>2388</v>
      </c>
      <c r="N834" s="3" t="str">
        <f t="shared" ref="N834:N897" si="55">IF(O834&lt;&gt;"", "NG", "")</f>
        <v/>
      </c>
      <c r="O834" s="43"/>
      <c r="P834" s="43"/>
      <c r="Q834" s="43"/>
      <c r="R834" s="43"/>
      <c r="S834" s="43"/>
      <c r="T834" s="43"/>
      <c r="U834" s="35"/>
    </row>
    <row r="835" spans="1:21" s="36" customFormat="1">
      <c r="A835" s="39">
        <v>5702</v>
      </c>
      <c r="B835" s="82">
        <f t="array" ref="B835">SUM(--(FREQUENCY(IF(C$2:C$3071=C835, MATCH(D$2:D$3071, D$2:D$3071, 0)), ROW(D$2:D$3071)-ROW(D$2)+1) &gt; 0))</f>
        <v>25</v>
      </c>
      <c r="C835" s="39">
        <v>41200128</v>
      </c>
      <c r="D835" s="39" t="s">
        <v>2308</v>
      </c>
      <c r="E835" s="39" t="s">
        <v>2379</v>
      </c>
      <c r="F835" s="39" t="s">
        <v>2380</v>
      </c>
      <c r="G835" s="35" t="str">
        <f t="shared" si="53"/>
        <v>SINGLE</v>
      </c>
      <c r="H835" s="197">
        <f t="shared" si="52"/>
        <v>24</v>
      </c>
      <c r="I835" s="208">
        <v>6</v>
      </c>
      <c r="J835" s="208">
        <v>12</v>
      </c>
      <c r="K835" s="186">
        <f t="shared" si="54"/>
        <v>45820</v>
      </c>
      <c r="L835" s="43" t="s">
        <v>4104</v>
      </c>
      <c r="M835" s="43" t="s">
        <v>2388</v>
      </c>
      <c r="N835" s="3" t="str">
        <f t="shared" si="55"/>
        <v/>
      </c>
      <c r="O835" s="43"/>
      <c r="P835" s="43"/>
      <c r="Q835" s="43"/>
      <c r="R835" s="43"/>
      <c r="S835" s="43"/>
      <c r="T835" s="43"/>
      <c r="U835" s="35"/>
    </row>
    <row r="836" spans="1:21" s="36" customFormat="1">
      <c r="A836" s="39">
        <v>5702</v>
      </c>
      <c r="B836" s="82">
        <f t="array" ref="B836">SUM(--(FREQUENCY(IF(C$2:C$3071=C836, MATCH(D$2:D$3071, D$2:D$3071, 0)), ROW(D$2:D$3071)-ROW(D$2)+1) &gt; 0))</f>
        <v>25</v>
      </c>
      <c r="C836" s="39">
        <v>41200128</v>
      </c>
      <c r="D836" s="39" t="s">
        <v>2309</v>
      </c>
      <c r="E836" s="39" t="s">
        <v>2379</v>
      </c>
      <c r="F836" s="39" t="s">
        <v>2380</v>
      </c>
      <c r="G836" s="35" t="str">
        <f t="shared" si="53"/>
        <v>SINGLE</v>
      </c>
      <c r="H836" s="197">
        <f t="shared" si="52"/>
        <v>24</v>
      </c>
      <c r="I836" s="208">
        <v>6</v>
      </c>
      <c r="J836" s="208">
        <v>12</v>
      </c>
      <c r="K836" s="186">
        <f t="shared" si="54"/>
        <v>45820</v>
      </c>
      <c r="L836" s="43" t="s">
        <v>4104</v>
      </c>
      <c r="M836" s="43" t="s">
        <v>2388</v>
      </c>
      <c r="N836" s="3" t="str">
        <f t="shared" si="55"/>
        <v/>
      </c>
      <c r="O836" s="43"/>
      <c r="P836" s="43"/>
      <c r="Q836" s="43"/>
      <c r="R836" s="43"/>
      <c r="S836" s="43"/>
      <c r="T836" s="43"/>
      <c r="U836" s="35"/>
    </row>
    <row r="837" spans="1:21" s="36" customFormat="1" ht="49.5">
      <c r="A837" s="40">
        <v>5735</v>
      </c>
      <c r="B837" s="82">
        <f t="array" ref="B837">SUM(--(FREQUENCY(IF(C$2:C$3071=C837, MATCH(D$2:D$3071, D$2:D$3071, 0)), ROW(D$2:D$3071)-ROW(D$2)+1) &gt; 0))</f>
        <v>33</v>
      </c>
      <c r="C837" s="40">
        <v>41100435</v>
      </c>
      <c r="D837" s="40" t="s">
        <v>4947</v>
      </c>
      <c r="E837" s="40" t="s">
        <v>4102</v>
      </c>
      <c r="F837" s="40" t="s">
        <v>4103</v>
      </c>
      <c r="G837" s="37" t="str">
        <f t="shared" si="53"/>
        <v>SINGLE</v>
      </c>
      <c r="H837" s="197">
        <f t="shared" si="52"/>
        <v>24</v>
      </c>
      <c r="I837" s="209">
        <v>6</v>
      </c>
      <c r="J837" s="209">
        <v>12</v>
      </c>
      <c r="K837" s="186">
        <f t="shared" si="54"/>
        <v>45820</v>
      </c>
      <c r="L837" s="41" t="s">
        <v>4104</v>
      </c>
      <c r="M837" s="41" t="s">
        <v>2383</v>
      </c>
      <c r="N837" s="3" t="str">
        <f t="shared" si="55"/>
        <v>NG</v>
      </c>
      <c r="O837" s="41" t="s">
        <v>1568</v>
      </c>
      <c r="P837" s="41" t="s">
        <v>4927</v>
      </c>
      <c r="Q837" s="41">
        <v>11002737</v>
      </c>
      <c r="R837" s="41" t="s">
        <v>4131</v>
      </c>
      <c r="S837" s="42" t="s">
        <v>4942</v>
      </c>
      <c r="T837" s="41"/>
      <c r="U837" s="37"/>
    </row>
    <row r="838" spans="1:21" s="36" customFormat="1">
      <c r="A838" s="40">
        <v>5735</v>
      </c>
      <c r="B838" s="82">
        <f t="array" ref="B838">SUM(--(FREQUENCY(IF(C$2:C$3071=C838, MATCH(D$2:D$3071, D$2:D$3071, 0)), ROW(D$2:D$3071)-ROW(D$2)+1) &gt; 0))</f>
        <v>33</v>
      </c>
      <c r="C838" s="40">
        <v>41100435</v>
      </c>
      <c r="D838" s="40" t="s">
        <v>4947</v>
      </c>
      <c r="E838" s="40" t="s">
        <v>4102</v>
      </c>
      <c r="F838" s="40" t="s">
        <v>4103</v>
      </c>
      <c r="G838" s="37" t="str">
        <f t="shared" si="53"/>
        <v>SINGLE</v>
      </c>
      <c r="H838" s="197">
        <f t="shared" si="52"/>
        <v>24</v>
      </c>
      <c r="I838" s="209">
        <v>6</v>
      </c>
      <c r="J838" s="209">
        <v>12</v>
      </c>
      <c r="K838" s="186">
        <f t="shared" si="54"/>
        <v>45820</v>
      </c>
      <c r="L838" s="41" t="s">
        <v>4104</v>
      </c>
      <c r="M838" s="41" t="s">
        <v>2383</v>
      </c>
      <c r="N838" s="3" t="str">
        <f t="shared" si="55"/>
        <v>NG</v>
      </c>
      <c r="O838" s="41" t="s">
        <v>1568</v>
      </c>
      <c r="P838" s="41" t="s">
        <v>4943</v>
      </c>
      <c r="Q838" s="41">
        <v>13102050</v>
      </c>
      <c r="R838" s="41" t="s">
        <v>4502</v>
      </c>
      <c r="S838" s="42" t="s">
        <v>4948</v>
      </c>
      <c r="T838" s="41"/>
      <c r="U838" s="37"/>
    </row>
    <row r="839" spans="1:21" s="38" customFormat="1">
      <c r="A839" s="40">
        <v>5735</v>
      </c>
      <c r="B839" s="82">
        <f t="array" ref="B839">SUM(--(FREQUENCY(IF(C$2:C$3071=C839, MATCH(D$2:D$3071, D$2:D$3071, 0)), ROW(D$2:D$3071)-ROW(D$2)+1) &gt; 0))</f>
        <v>33</v>
      </c>
      <c r="C839" s="40">
        <v>41100435</v>
      </c>
      <c r="D839" s="40" t="s">
        <v>4947</v>
      </c>
      <c r="E839" s="40" t="s">
        <v>4102</v>
      </c>
      <c r="F839" s="40" t="s">
        <v>4103</v>
      </c>
      <c r="G839" s="37" t="str">
        <f t="shared" si="53"/>
        <v>SINGLE</v>
      </c>
      <c r="H839" s="197">
        <f t="shared" si="52"/>
        <v>24</v>
      </c>
      <c r="I839" s="209">
        <v>6</v>
      </c>
      <c r="J839" s="209">
        <v>12</v>
      </c>
      <c r="K839" s="186">
        <f t="shared" si="54"/>
        <v>45820</v>
      </c>
      <c r="L839" s="41" t="s">
        <v>4104</v>
      </c>
      <c r="M839" s="41" t="s">
        <v>2383</v>
      </c>
      <c r="N839" s="3" t="str">
        <f t="shared" si="55"/>
        <v>NG</v>
      </c>
      <c r="O839" s="41" t="s">
        <v>1568</v>
      </c>
      <c r="P839" s="41" t="s">
        <v>4943</v>
      </c>
      <c r="Q839" s="41">
        <v>13102053</v>
      </c>
      <c r="R839" s="41" t="s">
        <v>4949</v>
      </c>
      <c r="S839" s="42" t="s">
        <v>4950</v>
      </c>
      <c r="T839" s="41"/>
      <c r="U839" s="37"/>
    </row>
    <row r="840" spans="1:21" s="38" customFormat="1">
      <c r="A840" s="40">
        <v>5749</v>
      </c>
      <c r="B840" s="82">
        <f t="array" ref="B840">SUM(--(FREQUENCY(IF(C$2:C$3071=C840, MATCH(D$2:D$3071, D$2:D$3071, 0)), ROW(D$2:D$3071)-ROW(D$2)+1) &gt; 0))</f>
        <v>6</v>
      </c>
      <c r="C840" s="40">
        <v>41200136</v>
      </c>
      <c r="D840" s="40" t="s">
        <v>4951</v>
      </c>
      <c r="E840" s="40" t="s">
        <v>2379</v>
      </c>
      <c r="F840" s="40" t="s">
        <v>4103</v>
      </c>
      <c r="G840" s="37" t="str">
        <f t="shared" si="53"/>
        <v>SINGLE</v>
      </c>
      <c r="H840" s="197">
        <f t="shared" si="52"/>
        <v>24</v>
      </c>
      <c r="I840" s="209">
        <v>6</v>
      </c>
      <c r="J840" s="209">
        <v>12</v>
      </c>
      <c r="K840" s="186">
        <f t="shared" si="54"/>
        <v>45820</v>
      </c>
      <c r="L840" s="41" t="s">
        <v>2381</v>
      </c>
      <c r="M840" s="41" t="s">
        <v>2367</v>
      </c>
      <c r="N840" s="3" t="str">
        <f t="shared" si="55"/>
        <v>NG</v>
      </c>
      <c r="O840" s="41" t="s">
        <v>1568</v>
      </c>
      <c r="P840" s="41" t="s">
        <v>4943</v>
      </c>
      <c r="Q840" s="41">
        <v>11002914</v>
      </c>
      <c r="R840" s="41" t="s">
        <v>4555</v>
      </c>
      <c r="S840" s="41" t="s">
        <v>4952</v>
      </c>
      <c r="T840" s="41"/>
      <c r="U840" s="37"/>
    </row>
    <row r="841" spans="1:21" s="38" customFormat="1" ht="33">
      <c r="A841" s="40">
        <v>5749</v>
      </c>
      <c r="B841" s="82">
        <f t="array" ref="B841">SUM(--(FREQUENCY(IF(C$2:C$3071=C841, MATCH(D$2:D$3071, D$2:D$3071, 0)), ROW(D$2:D$3071)-ROW(D$2)+1) &gt; 0))</f>
        <v>6</v>
      </c>
      <c r="C841" s="40">
        <v>41200136</v>
      </c>
      <c r="D841" s="40" t="s">
        <v>4951</v>
      </c>
      <c r="E841" s="40" t="s">
        <v>2379</v>
      </c>
      <c r="F841" s="40" t="s">
        <v>4103</v>
      </c>
      <c r="G841" s="37" t="str">
        <f t="shared" si="53"/>
        <v>SINGLE</v>
      </c>
      <c r="H841" s="197">
        <f t="shared" si="52"/>
        <v>24</v>
      </c>
      <c r="I841" s="209">
        <v>6</v>
      </c>
      <c r="J841" s="209">
        <v>12</v>
      </c>
      <c r="K841" s="186">
        <f t="shared" si="54"/>
        <v>45820</v>
      </c>
      <c r="L841" s="41" t="s">
        <v>2381</v>
      </c>
      <c r="M841" s="41" t="s">
        <v>2367</v>
      </c>
      <c r="N841" s="3" t="str">
        <f t="shared" si="55"/>
        <v>NG</v>
      </c>
      <c r="O841" s="41" t="s">
        <v>1568</v>
      </c>
      <c r="P841" s="41" t="s">
        <v>4943</v>
      </c>
      <c r="Q841" s="41">
        <v>11001963</v>
      </c>
      <c r="R841" s="41" t="s">
        <v>4713</v>
      </c>
      <c r="S841" s="42" t="s">
        <v>4953</v>
      </c>
      <c r="T841" s="41"/>
      <c r="U841" s="37"/>
    </row>
    <row r="842" spans="1:21" s="38" customFormat="1">
      <c r="A842" s="39">
        <v>5592</v>
      </c>
      <c r="B842" s="82">
        <f t="array" ref="B842">SUM(--(FREQUENCY(IF(C$2:C$3071=C842, MATCH(D$2:D$3071, D$2:D$3071, 0)), ROW(D$2:D$3071)-ROW(D$2)+1) &gt; 0))</f>
        <v>32</v>
      </c>
      <c r="C842" s="39">
        <v>41200122</v>
      </c>
      <c r="D842" s="39" t="s">
        <v>4954</v>
      </c>
      <c r="E842" s="39" t="s">
        <v>4102</v>
      </c>
      <c r="F842" s="39" t="s">
        <v>4112</v>
      </c>
      <c r="G842" s="35" t="str">
        <f t="shared" si="53"/>
        <v>DUAL</v>
      </c>
      <c r="H842" s="197">
        <f t="shared" si="52"/>
        <v>24</v>
      </c>
      <c r="I842" s="208">
        <v>6</v>
      </c>
      <c r="J842" s="208">
        <v>12</v>
      </c>
      <c r="K842" s="186">
        <f t="shared" si="54"/>
        <v>45820</v>
      </c>
      <c r="L842" s="43" t="s">
        <v>2381</v>
      </c>
      <c r="M842" s="43" t="s">
        <v>2383</v>
      </c>
      <c r="N842" s="3" t="str">
        <f t="shared" si="55"/>
        <v/>
      </c>
      <c r="O842" s="43"/>
      <c r="P842" s="43"/>
      <c r="Q842" s="43"/>
      <c r="R842" s="43"/>
      <c r="S842" s="43"/>
      <c r="T842" s="43"/>
      <c r="U842" s="35"/>
    </row>
    <row r="843" spans="1:21" s="38" customFormat="1">
      <c r="A843" s="39">
        <v>5769</v>
      </c>
      <c r="B843" s="82">
        <f t="array" ref="B843">SUM(--(FREQUENCY(IF(C$2:C$3071=C843, MATCH(D$2:D$3071, D$2:D$3071, 0)), ROW(D$2:D$3071)-ROW(D$2)+1) &gt; 0))</f>
        <v>11</v>
      </c>
      <c r="C843" s="39">
        <v>41000588</v>
      </c>
      <c r="D843" s="39" t="s">
        <v>4955</v>
      </c>
      <c r="E843" s="39" t="s">
        <v>2365</v>
      </c>
      <c r="F843" s="39" t="s">
        <v>4130</v>
      </c>
      <c r="G843" s="35" t="str">
        <f t="shared" si="53"/>
        <v>DUAL</v>
      </c>
      <c r="H843" s="197">
        <f t="shared" si="52"/>
        <v>24</v>
      </c>
      <c r="I843" s="208">
        <v>6</v>
      </c>
      <c r="J843" s="208">
        <v>12</v>
      </c>
      <c r="K843" s="186">
        <f t="shared" si="54"/>
        <v>45820</v>
      </c>
      <c r="L843" s="43" t="s">
        <v>2381</v>
      </c>
      <c r="M843" s="43" t="s">
        <v>2388</v>
      </c>
      <c r="N843" s="3" t="str">
        <f t="shared" si="55"/>
        <v/>
      </c>
      <c r="O843" s="43"/>
      <c r="P843" s="43"/>
      <c r="Q843" s="43"/>
      <c r="R843" s="43"/>
      <c r="S843" s="43"/>
      <c r="T843" s="43"/>
      <c r="U843" s="35"/>
    </row>
    <row r="844" spans="1:21" s="36" customFormat="1">
      <c r="A844" s="39">
        <v>5766</v>
      </c>
      <c r="B844" s="82">
        <f t="array" ref="B844">SUM(--(FREQUENCY(IF(C$2:C$3071=C844, MATCH(D$2:D$3071, D$2:D$3071, 0)), ROW(D$2:D$3071)-ROW(D$2)+1) &gt; 0))</f>
        <v>144</v>
      </c>
      <c r="C844" s="39">
        <v>41200007</v>
      </c>
      <c r="D844" s="39" t="s">
        <v>4956</v>
      </c>
      <c r="E844" s="39" t="s">
        <v>2365</v>
      </c>
      <c r="F844" s="39" t="s">
        <v>2380</v>
      </c>
      <c r="G844" s="35" t="str">
        <f t="shared" si="53"/>
        <v>SINGLE</v>
      </c>
      <c r="H844" s="197">
        <f t="shared" si="52"/>
        <v>24</v>
      </c>
      <c r="I844" s="208">
        <v>6</v>
      </c>
      <c r="J844" s="208">
        <v>13</v>
      </c>
      <c r="K844" s="186">
        <f t="shared" si="54"/>
        <v>45821</v>
      </c>
      <c r="L844" s="43" t="s">
        <v>2381</v>
      </c>
      <c r="M844" s="43" t="s">
        <v>2383</v>
      </c>
      <c r="N844" s="3" t="str">
        <f t="shared" si="55"/>
        <v/>
      </c>
      <c r="O844" s="43"/>
      <c r="P844" s="43"/>
      <c r="Q844" s="43"/>
      <c r="R844" s="43"/>
      <c r="S844" s="43"/>
      <c r="T844" s="43"/>
      <c r="U844" s="35"/>
    </row>
    <row r="845" spans="1:21" s="36" customFormat="1">
      <c r="A845" s="39">
        <v>5766</v>
      </c>
      <c r="B845" s="82">
        <f t="array" ref="B845">SUM(--(FREQUENCY(IF(C$2:C$3071=C845, MATCH(D$2:D$3071, D$2:D$3071, 0)), ROW(D$2:D$3071)-ROW(D$2)+1) &gt; 0))</f>
        <v>144</v>
      </c>
      <c r="C845" s="39">
        <v>41200007</v>
      </c>
      <c r="D845" s="39" t="s">
        <v>2314</v>
      </c>
      <c r="E845" s="39" t="s">
        <v>2365</v>
      </c>
      <c r="F845" s="39" t="s">
        <v>2380</v>
      </c>
      <c r="G845" s="35" t="str">
        <f t="shared" si="53"/>
        <v>SINGLE</v>
      </c>
      <c r="H845" s="197">
        <f t="shared" si="52"/>
        <v>24</v>
      </c>
      <c r="I845" s="208">
        <v>6</v>
      </c>
      <c r="J845" s="208">
        <v>13</v>
      </c>
      <c r="K845" s="186">
        <f t="shared" si="54"/>
        <v>45821</v>
      </c>
      <c r="L845" s="43" t="s">
        <v>2381</v>
      </c>
      <c r="M845" s="43" t="s">
        <v>2383</v>
      </c>
      <c r="N845" s="3" t="str">
        <f t="shared" si="55"/>
        <v/>
      </c>
      <c r="O845" s="43"/>
      <c r="P845" s="43"/>
      <c r="Q845" s="43"/>
      <c r="R845" s="43"/>
      <c r="S845" s="43"/>
      <c r="T845" s="43"/>
      <c r="U845" s="35"/>
    </row>
    <row r="846" spans="1:21" s="36" customFormat="1">
      <c r="A846" s="39">
        <v>5766</v>
      </c>
      <c r="B846" s="82">
        <f t="array" ref="B846">SUM(--(FREQUENCY(IF(C$2:C$3071=C846, MATCH(D$2:D$3071, D$2:D$3071, 0)), ROW(D$2:D$3071)-ROW(D$2)+1) &gt; 0))</f>
        <v>144</v>
      </c>
      <c r="C846" s="39">
        <v>41200007</v>
      </c>
      <c r="D846" s="39" t="s">
        <v>2315</v>
      </c>
      <c r="E846" s="39" t="s">
        <v>2365</v>
      </c>
      <c r="F846" s="39" t="s">
        <v>2380</v>
      </c>
      <c r="G846" s="35" t="str">
        <f t="shared" si="53"/>
        <v>SINGLE</v>
      </c>
      <c r="H846" s="197">
        <f t="shared" si="52"/>
        <v>24</v>
      </c>
      <c r="I846" s="208">
        <v>6</v>
      </c>
      <c r="J846" s="208">
        <v>13</v>
      </c>
      <c r="K846" s="186">
        <f t="shared" si="54"/>
        <v>45821</v>
      </c>
      <c r="L846" s="43" t="s">
        <v>2381</v>
      </c>
      <c r="M846" s="43" t="s">
        <v>2383</v>
      </c>
      <c r="N846" s="3" t="str">
        <f t="shared" si="55"/>
        <v/>
      </c>
      <c r="O846" s="43"/>
      <c r="P846" s="43"/>
      <c r="Q846" s="43"/>
      <c r="R846" s="43"/>
      <c r="S846" s="43"/>
      <c r="T846" s="43"/>
      <c r="U846" s="35"/>
    </row>
    <row r="847" spans="1:21" s="36" customFormat="1">
      <c r="A847" s="39">
        <v>5766</v>
      </c>
      <c r="B847" s="82">
        <f t="array" ref="B847">SUM(--(FREQUENCY(IF(C$2:C$3071=C847, MATCH(D$2:D$3071, D$2:D$3071, 0)), ROW(D$2:D$3071)-ROW(D$2)+1) &gt; 0))</f>
        <v>144</v>
      </c>
      <c r="C847" s="39">
        <v>41200007</v>
      </c>
      <c r="D847" s="39" t="s">
        <v>2316</v>
      </c>
      <c r="E847" s="39" t="s">
        <v>2365</v>
      </c>
      <c r="F847" s="39" t="s">
        <v>2380</v>
      </c>
      <c r="G847" s="35" t="str">
        <f t="shared" si="53"/>
        <v>SINGLE</v>
      </c>
      <c r="H847" s="197">
        <f t="shared" si="52"/>
        <v>24</v>
      </c>
      <c r="I847" s="208">
        <v>6</v>
      </c>
      <c r="J847" s="208">
        <v>13</v>
      </c>
      <c r="K847" s="186">
        <f t="shared" si="54"/>
        <v>45821</v>
      </c>
      <c r="L847" s="43" t="s">
        <v>2381</v>
      </c>
      <c r="M847" s="43" t="s">
        <v>2383</v>
      </c>
      <c r="N847" s="3" t="str">
        <f t="shared" si="55"/>
        <v/>
      </c>
      <c r="O847" s="43"/>
      <c r="P847" s="43"/>
      <c r="Q847" s="43"/>
      <c r="R847" s="43"/>
      <c r="S847" s="43"/>
      <c r="T847" s="43"/>
      <c r="U847" s="35"/>
    </row>
    <row r="848" spans="1:21" s="36" customFormat="1">
      <c r="A848" s="39">
        <v>5706</v>
      </c>
      <c r="B848" s="82">
        <f t="array" ref="B848">SUM(--(FREQUENCY(IF(C$2:C$3071=C848, MATCH(D$2:D$3071, D$2:D$3071, 0)), ROW(D$2:D$3071)-ROW(D$2)+1) &gt; 0))</f>
        <v>11</v>
      </c>
      <c r="C848" s="39">
        <v>41200105</v>
      </c>
      <c r="D848" s="39" t="s">
        <v>4957</v>
      </c>
      <c r="E848" s="39" t="s">
        <v>4116</v>
      </c>
      <c r="F848" s="39" t="s">
        <v>4112</v>
      </c>
      <c r="G848" s="35" t="str">
        <f t="shared" si="53"/>
        <v>DUAL</v>
      </c>
      <c r="H848" s="197">
        <f t="shared" si="52"/>
        <v>24</v>
      </c>
      <c r="I848" s="208">
        <v>6</v>
      </c>
      <c r="J848" s="208">
        <v>13</v>
      </c>
      <c r="K848" s="186">
        <f t="shared" si="54"/>
        <v>45821</v>
      </c>
      <c r="L848" s="43" t="s">
        <v>4104</v>
      </c>
      <c r="M848" s="43" t="s">
        <v>2367</v>
      </c>
      <c r="N848" s="3" t="str">
        <f t="shared" si="55"/>
        <v/>
      </c>
      <c r="O848" s="43"/>
      <c r="P848" s="43"/>
      <c r="Q848" s="43"/>
      <c r="R848" s="43"/>
      <c r="S848" s="43"/>
      <c r="T848" s="43"/>
      <c r="U848" s="35"/>
    </row>
    <row r="849" spans="1:22" s="36" customFormat="1">
      <c r="A849" s="39">
        <v>5689</v>
      </c>
      <c r="B849" s="82">
        <f t="array" ref="B849">SUM(--(FREQUENCY(IF(C$2:C$3071=C849, MATCH(D$2:D$3071, D$2:D$3071, 0)), ROW(D$2:D$3071)-ROW(D$2)+1) &gt; 0))</f>
        <v>15</v>
      </c>
      <c r="C849" s="39">
        <v>41200087</v>
      </c>
      <c r="D849" s="39" t="s">
        <v>4958</v>
      </c>
      <c r="E849" s="39" t="s">
        <v>4264</v>
      </c>
      <c r="F849" s="39" t="s">
        <v>4112</v>
      </c>
      <c r="G849" s="35" t="str">
        <f t="shared" si="53"/>
        <v>DUAL</v>
      </c>
      <c r="H849" s="197">
        <f t="shared" si="52"/>
        <v>24</v>
      </c>
      <c r="I849" s="208">
        <v>6</v>
      </c>
      <c r="J849" s="208">
        <v>13</v>
      </c>
      <c r="K849" s="186">
        <f t="shared" si="54"/>
        <v>45821</v>
      </c>
      <c r="L849" s="43" t="s">
        <v>4104</v>
      </c>
      <c r="M849" s="43" t="s">
        <v>2388</v>
      </c>
      <c r="N849" s="3" t="str">
        <f t="shared" si="55"/>
        <v/>
      </c>
      <c r="O849" s="43"/>
      <c r="P849" s="43"/>
      <c r="Q849" s="43"/>
      <c r="R849" s="43"/>
      <c r="S849" s="43"/>
      <c r="T849" s="43"/>
      <c r="U849" s="35"/>
    </row>
    <row r="850" spans="1:22" s="36" customFormat="1">
      <c r="A850" s="39">
        <v>5766</v>
      </c>
      <c r="B850" s="82">
        <f t="array" ref="B850">SUM(--(FREQUENCY(IF(C$2:C$3071=C850, MATCH(D$2:D$3071, D$2:D$3071, 0)), ROW(D$2:D$3071)-ROW(D$2)+1) &gt; 0))</f>
        <v>144</v>
      </c>
      <c r="C850" s="39">
        <v>41200007</v>
      </c>
      <c r="D850" s="39" t="s">
        <v>4959</v>
      </c>
      <c r="E850" s="39" t="s">
        <v>2365</v>
      </c>
      <c r="F850" s="39" t="s">
        <v>4960</v>
      </c>
      <c r="G850" s="35" t="str">
        <f t="shared" si="53"/>
        <v>SINGLE</v>
      </c>
      <c r="H850" s="197">
        <f t="shared" si="52"/>
        <v>25</v>
      </c>
      <c r="I850" s="208">
        <v>6</v>
      </c>
      <c r="J850" s="208">
        <v>16</v>
      </c>
      <c r="K850" s="186">
        <f t="shared" si="54"/>
        <v>45824</v>
      </c>
      <c r="L850" s="43" t="s">
        <v>4104</v>
      </c>
      <c r="M850" s="43" t="s">
        <v>2367</v>
      </c>
      <c r="N850" s="3" t="str">
        <f t="shared" si="55"/>
        <v/>
      </c>
      <c r="O850" s="43"/>
      <c r="P850" s="43"/>
      <c r="Q850" s="43"/>
      <c r="R850" s="43"/>
      <c r="S850" s="43"/>
      <c r="T850" s="43"/>
      <c r="U850" s="35"/>
    </row>
    <row r="851" spans="1:22" s="36" customFormat="1">
      <c r="A851" s="39">
        <v>5766</v>
      </c>
      <c r="B851" s="82">
        <f t="array" ref="B851">SUM(--(FREQUENCY(IF(C$2:C$3071=C851, MATCH(D$2:D$3071, D$2:D$3071, 0)), ROW(D$2:D$3071)-ROW(D$2)+1) &gt; 0))</f>
        <v>144</v>
      </c>
      <c r="C851" s="39">
        <v>41200007</v>
      </c>
      <c r="D851" s="39" t="s">
        <v>2319</v>
      </c>
      <c r="E851" s="39" t="s">
        <v>2365</v>
      </c>
      <c r="F851" s="39" t="s">
        <v>4960</v>
      </c>
      <c r="G851" s="35" t="str">
        <f t="shared" si="53"/>
        <v>SINGLE</v>
      </c>
      <c r="H851" s="197">
        <f t="shared" si="52"/>
        <v>25</v>
      </c>
      <c r="I851" s="208">
        <v>6</v>
      </c>
      <c r="J851" s="208">
        <v>16</v>
      </c>
      <c r="K851" s="186">
        <f t="shared" si="54"/>
        <v>45824</v>
      </c>
      <c r="L851" s="43" t="s">
        <v>4104</v>
      </c>
      <c r="M851" s="43" t="s">
        <v>2367</v>
      </c>
      <c r="N851" s="3" t="str">
        <f t="shared" si="55"/>
        <v/>
      </c>
      <c r="O851" s="43"/>
      <c r="P851" s="43"/>
      <c r="Q851" s="43"/>
      <c r="R851" s="43"/>
      <c r="S851" s="43"/>
      <c r="T851" s="43"/>
      <c r="U851" s="35"/>
    </row>
    <row r="852" spans="1:22" s="36" customFormat="1" ht="33">
      <c r="A852" s="39">
        <v>5616</v>
      </c>
      <c r="B852" s="82">
        <f t="array" ref="B852">SUM(--(FREQUENCY(IF(C$2:C$3071=C852, MATCH(D$2:D$3071, D$2:D$3071, 0)), ROW(D$2:D$3071)-ROW(D$2)+1) &gt; 0))</f>
        <v>33</v>
      </c>
      <c r="C852" s="39">
        <v>41100435</v>
      </c>
      <c r="D852" s="39" t="s">
        <v>4961</v>
      </c>
      <c r="E852" s="39" t="s">
        <v>4102</v>
      </c>
      <c r="F852" s="39" t="s">
        <v>4103</v>
      </c>
      <c r="G852" s="35" t="str">
        <f t="shared" si="53"/>
        <v>SINGLE</v>
      </c>
      <c r="H852" s="197">
        <f t="shared" si="52"/>
        <v>25</v>
      </c>
      <c r="I852" s="208">
        <v>6</v>
      </c>
      <c r="J852" s="208">
        <v>16</v>
      </c>
      <c r="K852" s="186">
        <f t="shared" si="54"/>
        <v>45824</v>
      </c>
      <c r="L852" s="43" t="s">
        <v>2381</v>
      </c>
      <c r="M852" s="43" t="s">
        <v>2367</v>
      </c>
      <c r="N852" s="3" t="str">
        <f t="shared" si="55"/>
        <v>NG</v>
      </c>
      <c r="O852" s="43" t="s">
        <v>1568</v>
      </c>
      <c r="P852" s="43" t="s">
        <v>4927</v>
      </c>
      <c r="Q852" s="43">
        <v>11002737</v>
      </c>
      <c r="R852" s="43" t="s">
        <v>4131</v>
      </c>
      <c r="S852" s="44" t="s">
        <v>4962</v>
      </c>
      <c r="T852" s="43"/>
      <c r="U852" s="35"/>
    </row>
    <row r="853" spans="1:22" s="36" customFormat="1" ht="33">
      <c r="A853" s="39">
        <v>5743</v>
      </c>
      <c r="B853" s="82">
        <f t="array" ref="B853">SUM(--(FREQUENCY(IF(C$2:C$3071=C853, MATCH(D$2:D$3071, D$2:D$3071, 0)), ROW(D$2:D$3071)-ROW(D$2)+1) &gt; 0))</f>
        <v>33</v>
      </c>
      <c r="C853" s="39">
        <v>41100435</v>
      </c>
      <c r="D853" s="39" t="s">
        <v>4963</v>
      </c>
      <c r="E853" s="39" t="s">
        <v>4102</v>
      </c>
      <c r="F853" s="39" t="s">
        <v>4103</v>
      </c>
      <c r="G853" s="35" t="str">
        <f t="shared" si="53"/>
        <v>SINGLE</v>
      </c>
      <c r="H853" s="197">
        <f t="shared" si="52"/>
        <v>25</v>
      </c>
      <c r="I853" s="208">
        <v>6</v>
      </c>
      <c r="J853" s="208">
        <v>16</v>
      </c>
      <c r="K853" s="186">
        <f t="shared" si="54"/>
        <v>45824</v>
      </c>
      <c r="L853" s="43" t="s">
        <v>2381</v>
      </c>
      <c r="M853" s="43" t="s">
        <v>2367</v>
      </c>
      <c r="N853" s="3" t="str">
        <f t="shared" si="55"/>
        <v>NG</v>
      </c>
      <c r="O853" s="43" t="s">
        <v>1568</v>
      </c>
      <c r="P853" s="43" t="s">
        <v>4927</v>
      </c>
      <c r="Q853" s="43">
        <v>11002737</v>
      </c>
      <c r="R853" s="43" t="s">
        <v>4131</v>
      </c>
      <c r="S853" s="44" t="s">
        <v>4962</v>
      </c>
      <c r="T853" s="43"/>
      <c r="U853" s="35"/>
    </row>
    <row r="854" spans="1:22" s="36" customFormat="1">
      <c r="A854" s="39">
        <v>5704</v>
      </c>
      <c r="B854" s="82">
        <f t="array" ref="B854">SUM(--(FREQUENCY(IF(C$2:C$3071=C854, MATCH(D$2:D$3071, D$2:D$3071, 0)), ROW(D$2:D$3071)-ROW(D$2)+1) &gt; 0))</f>
        <v>1</v>
      </c>
      <c r="C854" s="39">
        <v>41000545</v>
      </c>
      <c r="D854" s="39" t="s">
        <v>4964</v>
      </c>
      <c r="E854" s="39" t="s">
        <v>4965</v>
      </c>
      <c r="F854" s="39" t="s">
        <v>4966</v>
      </c>
      <c r="G854" s="35" t="str">
        <f t="shared" si="53"/>
        <v>SINGLE</v>
      </c>
      <c r="H854" s="197">
        <f t="shared" si="52"/>
        <v>25</v>
      </c>
      <c r="I854" s="208">
        <v>6</v>
      </c>
      <c r="J854" s="208">
        <v>16</v>
      </c>
      <c r="K854" s="186">
        <f t="shared" si="54"/>
        <v>45824</v>
      </c>
      <c r="L854" s="43" t="s">
        <v>4104</v>
      </c>
      <c r="M854" s="43" t="s">
        <v>2367</v>
      </c>
      <c r="N854" s="3" t="str">
        <f t="shared" si="55"/>
        <v/>
      </c>
      <c r="O854" s="43"/>
      <c r="P854" s="43"/>
      <c r="Q854" s="43"/>
      <c r="R854" s="43"/>
      <c r="S854" s="43"/>
      <c r="T854" s="43"/>
      <c r="U854" s="35"/>
    </row>
    <row r="855" spans="1:22" s="36" customFormat="1">
      <c r="A855" s="39">
        <v>5766</v>
      </c>
      <c r="B855" s="82">
        <f t="array" ref="B855">SUM(--(FREQUENCY(IF(C$2:C$3071=C855, MATCH(D$2:D$3071, D$2:D$3071, 0)), ROW(D$2:D$3071)-ROW(D$2)+1) &gt; 0))</f>
        <v>144</v>
      </c>
      <c r="C855" s="39">
        <v>41200007</v>
      </c>
      <c r="D855" s="39" t="s">
        <v>4967</v>
      </c>
      <c r="E855" s="39" t="s">
        <v>2365</v>
      </c>
      <c r="F855" s="39" t="s">
        <v>2380</v>
      </c>
      <c r="G855" s="35" t="str">
        <f t="shared" si="53"/>
        <v>SINGLE</v>
      </c>
      <c r="H855" s="197">
        <f t="shared" si="52"/>
        <v>25</v>
      </c>
      <c r="I855" s="208">
        <v>6</v>
      </c>
      <c r="J855" s="208">
        <v>16</v>
      </c>
      <c r="K855" s="186">
        <f t="shared" si="54"/>
        <v>45824</v>
      </c>
      <c r="L855" s="43" t="s">
        <v>2381</v>
      </c>
      <c r="M855" s="43" t="s">
        <v>2383</v>
      </c>
      <c r="N855" s="3" t="str">
        <f t="shared" si="55"/>
        <v/>
      </c>
      <c r="O855" s="43"/>
      <c r="P855" s="43"/>
      <c r="Q855" s="43"/>
      <c r="R855" s="43"/>
      <c r="S855" s="43"/>
      <c r="T855" s="43"/>
      <c r="U855" s="35"/>
    </row>
    <row r="856" spans="1:22" s="36" customFormat="1">
      <c r="A856" s="39">
        <v>5766</v>
      </c>
      <c r="B856" s="82">
        <f t="array" ref="B856">SUM(--(FREQUENCY(IF(C$2:C$3071=C856, MATCH(D$2:D$3071, D$2:D$3071, 0)), ROW(D$2:D$3071)-ROW(D$2)+1) &gt; 0))</f>
        <v>144</v>
      </c>
      <c r="C856" s="39">
        <v>41200007</v>
      </c>
      <c r="D856" s="39" t="s">
        <v>4968</v>
      </c>
      <c r="E856" s="39" t="s">
        <v>2365</v>
      </c>
      <c r="F856" s="39" t="s">
        <v>2380</v>
      </c>
      <c r="G856" s="35" t="str">
        <f t="shared" si="53"/>
        <v>SINGLE</v>
      </c>
      <c r="H856" s="197">
        <f t="shared" si="52"/>
        <v>25</v>
      </c>
      <c r="I856" s="208">
        <v>6</v>
      </c>
      <c r="J856" s="208">
        <v>16</v>
      </c>
      <c r="K856" s="186">
        <f t="shared" si="54"/>
        <v>45824</v>
      </c>
      <c r="L856" s="43" t="s">
        <v>2381</v>
      </c>
      <c r="M856" s="43" t="s">
        <v>2383</v>
      </c>
      <c r="N856" s="3" t="str">
        <f t="shared" si="55"/>
        <v/>
      </c>
      <c r="O856" s="43"/>
      <c r="P856" s="43"/>
      <c r="Q856" s="43"/>
      <c r="R856" s="43"/>
      <c r="S856" s="43"/>
      <c r="T856" s="43"/>
      <c r="U856" s="35"/>
    </row>
    <row r="857" spans="1:22" s="36" customFormat="1">
      <c r="A857" s="39">
        <v>5766</v>
      </c>
      <c r="B857" s="82">
        <f t="array" ref="B857">SUM(--(FREQUENCY(IF(C$2:C$3071=C857, MATCH(D$2:D$3071, D$2:D$3071, 0)), ROW(D$2:D$3071)-ROW(D$2)+1) &gt; 0))</f>
        <v>144</v>
      </c>
      <c r="C857" s="39">
        <v>41200007</v>
      </c>
      <c r="D857" s="39" t="s">
        <v>2325</v>
      </c>
      <c r="E857" s="39" t="s">
        <v>2365</v>
      </c>
      <c r="F857" s="39" t="s">
        <v>2380</v>
      </c>
      <c r="G857" s="35" t="str">
        <f t="shared" si="53"/>
        <v>SINGLE</v>
      </c>
      <c r="H857" s="197">
        <f t="shared" si="52"/>
        <v>25</v>
      </c>
      <c r="I857" s="208">
        <v>6</v>
      </c>
      <c r="J857" s="208">
        <v>16</v>
      </c>
      <c r="K857" s="186">
        <f t="shared" si="54"/>
        <v>45824</v>
      </c>
      <c r="L857" s="43" t="s">
        <v>2381</v>
      </c>
      <c r="M857" s="43" t="s">
        <v>2383</v>
      </c>
      <c r="N857" s="3" t="str">
        <f t="shared" si="55"/>
        <v/>
      </c>
      <c r="O857" s="43"/>
      <c r="P857" s="43"/>
      <c r="Q857" s="43"/>
      <c r="R857" s="43"/>
      <c r="S857" s="43"/>
      <c r="T857" s="43"/>
      <c r="U857" s="35"/>
    </row>
    <row r="858" spans="1:22" s="36" customFormat="1">
      <c r="A858" s="39">
        <v>5766</v>
      </c>
      <c r="B858" s="82">
        <f t="array" ref="B858">SUM(--(FREQUENCY(IF(C$2:C$3071=C858, MATCH(D$2:D$3071, D$2:D$3071, 0)), ROW(D$2:D$3071)-ROW(D$2)+1) &gt; 0))</f>
        <v>144</v>
      </c>
      <c r="C858" s="39">
        <v>41200007</v>
      </c>
      <c r="D858" s="39" t="s">
        <v>2326</v>
      </c>
      <c r="E858" s="39" t="s">
        <v>2365</v>
      </c>
      <c r="F858" s="39" t="s">
        <v>2380</v>
      </c>
      <c r="G858" s="35" t="str">
        <f t="shared" si="53"/>
        <v>SINGLE</v>
      </c>
      <c r="H858" s="197">
        <f t="shared" si="52"/>
        <v>25</v>
      </c>
      <c r="I858" s="208">
        <v>6</v>
      </c>
      <c r="J858" s="208">
        <v>16</v>
      </c>
      <c r="K858" s="186">
        <f t="shared" si="54"/>
        <v>45824</v>
      </c>
      <c r="L858" s="43" t="s">
        <v>2381</v>
      </c>
      <c r="M858" s="43" t="s">
        <v>2383</v>
      </c>
      <c r="N858" s="3" t="str">
        <f t="shared" si="55"/>
        <v/>
      </c>
      <c r="O858" s="43"/>
      <c r="P858" s="43"/>
      <c r="Q858" s="43"/>
      <c r="R858" s="43"/>
      <c r="S858" s="43"/>
      <c r="T858" s="43"/>
      <c r="U858" s="35"/>
    </row>
    <row r="859" spans="1:22" s="36" customFormat="1">
      <c r="A859" s="39">
        <v>5758</v>
      </c>
      <c r="B859" s="82">
        <f t="array" ref="B859">SUM(--(FREQUENCY(IF(C$2:C$3071=C859, MATCH(D$2:D$3071, D$2:D$3071, 0)), ROW(D$2:D$3071)-ROW(D$2)+1) &gt; 0))</f>
        <v>26</v>
      </c>
      <c r="C859" s="39">
        <v>41200074</v>
      </c>
      <c r="D859" s="39" t="s">
        <v>4969</v>
      </c>
      <c r="E859" s="39" t="s">
        <v>2365</v>
      </c>
      <c r="F859" s="39" t="s">
        <v>2366</v>
      </c>
      <c r="G859" s="35" t="str">
        <f t="shared" si="53"/>
        <v>DUAL</v>
      </c>
      <c r="H859" s="197">
        <f t="shared" si="52"/>
        <v>25</v>
      </c>
      <c r="I859" s="208">
        <v>6</v>
      </c>
      <c r="J859" s="208">
        <v>16</v>
      </c>
      <c r="K859" s="186">
        <f t="shared" si="54"/>
        <v>45824</v>
      </c>
      <c r="L859" s="43" t="s">
        <v>4104</v>
      </c>
      <c r="M859" s="43" t="s">
        <v>2367</v>
      </c>
      <c r="N859" s="3" t="str">
        <f t="shared" si="55"/>
        <v>NG</v>
      </c>
      <c r="O859" s="43" t="s">
        <v>1568</v>
      </c>
      <c r="P859" s="43" t="s">
        <v>4927</v>
      </c>
      <c r="Q859" s="43">
        <v>11002283</v>
      </c>
      <c r="R859" s="43" t="s">
        <v>4105</v>
      </c>
      <c r="S859" s="43" t="s">
        <v>4970</v>
      </c>
      <c r="T859" s="43"/>
      <c r="U859" s="35"/>
    </row>
    <row r="860" spans="1:22" s="70" customFormat="1">
      <c r="A860" s="68">
        <v>5731</v>
      </c>
      <c r="B860" s="82">
        <f t="array" ref="B860">SUM(--(FREQUENCY(IF(C$2:C$3071=C860, MATCH(D$2:D$3071, D$2:D$3071, 0)), ROW(D$2:D$3071)-ROW(D$2)+1) &gt; 0))</f>
        <v>12</v>
      </c>
      <c r="C860" s="68">
        <v>41200027</v>
      </c>
      <c r="D860" s="68" t="s">
        <v>4971</v>
      </c>
      <c r="E860" s="68" t="s">
        <v>2365</v>
      </c>
      <c r="F860" s="68" t="s">
        <v>2380</v>
      </c>
      <c r="G860" s="68" t="str">
        <f t="shared" si="53"/>
        <v>SINGLE</v>
      </c>
      <c r="H860" s="197">
        <f t="shared" si="52"/>
        <v>25</v>
      </c>
      <c r="I860" s="210">
        <v>6</v>
      </c>
      <c r="J860" s="210">
        <v>17</v>
      </c>
      <c r="K860" s="186">
        <f t="shared" si="54"/>
        <v>45825</v>
      </c>
      <c r="L860" s="68" t="s">
        <v>4104</v>
      </c>
      <c r="M860" s="68" t="s">
        <v>2388</v>
      </c>
      <c r="N860" s="3" t="str">
        <f t="shared" si="55"/>
        <v/>
      </c>
      <c r="O860" s="68"/>
      <c r="P860" s="68"/>
      <c r="Q860" s="68"/>
      <c r="R860" s="68"/>
      <c r="S860" s="68"/>
      <c r="T860" s="68"/>
      <c r="U860" s="68"/>
      <c r="V860" s="69"/>
    </row>
    <row r="861" spans="1:22" s="69" customFormat="1">
      <c r="A861" s="68">
        <v>5731</v>
      </c>
      <c r="B861" s="82">
        <f t="array" ref="B861">SUM(--(FREQUENCY(IF(C$2:C$3071=C861, MATCH(D$2:D$3071, D$2:D$3071, 0)), ROW(D$2:D$3071)-ROW(D$2)+1) &gt; 0))</f>
        <v>12</v>
      </c>
      <c r="C861" s="68">
        <v>41200027</v>
      </c>
      <c r="D861" s="68" t="s">
        <v>2328</v>
      </c>
      <c r="E861" s="68" t="s">
        <v>2365</v>
      </c>
      <c r="F861" s="68" t="s">
        <v>2380</v>
      </c>
      <c r="G861" s="68" t="str">
        <f t="shared" si="53"/>
        <v>SINGLE</v>
      </c>
      <c r="H861" s="197">
        <f t="shared" si="52"/>
        <v>25</v>
      </c>
      <c r="I861" s="210">
        <v>6</v>
      </c>
      <c r="J861" s="210">
        <v>17</v>
      </c>
      <c r="K861" s="186">
        <f t="shared" si="54"/>
        <v>45825</v>
      </c>
      <c r="L861" s="68" t="s">
        <v>4104</v>
      </c>
      <c r="M861" s="68" t="s">
        <v>2388</v>
      </c>
      <c r="N861" s="3" t="str">
        <f t="shared" si="55"/>
        <v/>
      </c>
      <c r="O861" s="68"/>
      <c r="P861" s="68"/>
      <c r="Q861" s="68"/>
      <c r="R861" s="68"/>
      <c r="S861" s="68"/>
      <c r="T861" s="68"/>
      <c r="U861" s="68"/>
    </row>
    <row r="862" spans="1:22" s="70" customFormat="1">
      <c r="A862" s="68">
        <v>5781</v>
      </c>
      <c r="B862" s="82">
        <f t="array" ref="B862">SUM(--(FREQUENCY(IF(C$2:C$3071=C862, MATCH(D$2:D$3071, D$2:D$3071, 0)), ROW(D$2:D$3071)-ROW(D$2)+1) &gt; 0))</f>
        <v>144</v>
      </c>
      <c r="C862" s="68">
        <v>41200007</v>
      </c>
      <c r="D862" s="68" t="s">
        <v>4972</v>
      </c>
      <c r="E862" s="68" t="s">
        <v>2365</v>
      </c>
      <c r="F862" s="68" t="s">
        <v>2380</v>
      </c>
      <c r="G862" s="68" t="str">
        <f t="shared" si="53"/>
        <v>SINGLE</v>
      </c>
      <c r="H862" s="197">
        <f t="shared" si="52"/>
        <v>25</v>
      </c>
      <c r="I862" s="210">
        <v>6</v>
      </c>
      <c r="J862" s="210">
        <v>17</v>
      </c>
      <c r="K862" s="186">
        <f t="shared" si="54"/>
        <v>45825</v>
      </c>
      <c r="L862" s="68" t="s">
        <v>4104</v>
      </c>
      <c r="M862" s="68" t="s">
        <v>2367</v>
      </c>
      <c r="N862" s="3" t="str">
        <f t="shared" si="55"/>
        <v/>
      </c>
      <c r="O862" s="68"/>
      <c r="P862" s="68"/>
      <c r="Q862" s="68"/>
      <c r="R862" s="68"/>
      <c r="S862" s="68"/>
      <c r="T862" s="68"/>
      <c r="U862" s="68"/>
      <c r="V862" s="69"/>
    </row>
    <row r="863" spans="1:22" s="70" customFormat="1">
      <c r="A863" s="68">
        <v>5781</v>
      </c>
      <c r="B863" s="82">
        <f t="array" ref="B863">SUM(--(FREQUENCY(IF(C$2:C$3071=C863, MATCH(D$2:D$3071, D$2:D$3071, 0)), ROW(D$2:D$3071)-ROW(D$2)+1) &gt; 0))</f>
        <v>144</v>
      </c>
      <c r="C863" s="68">
        <v>41200007</v>
      </c>
      <c r="D863" s="68" t="s">
        <v>2333</v>
      </c>
      <c r="E863" s="68" t="s">
        <v>2365</v>
      </c>
      <c r="F863" s="68" t="s">
        <v>2380</v>
      </c>
      <c r="G863" s="68" t="str">
        <f t="shared" si="53"/>
        <v>SINGLE</v>
      </c>
      <c r="H863" s="197">
        <f t="shared" si="52"/>
        <v>25</v>
      </c>
      <c r="I863" s="210">
        <v>6</v>
      </c>
      <c r="J863" s="210">
        <v>17</v>
      </c>
      <c r="K863" s="186">
        <f t="shared" si="54"/>
        <v>45825</v>
      </c>
      <c r="L863" s="68" t="s">
        <v>4104</v>
      </c>
      <c r="M863" s="68" t="s">
        <v>2367</v>
      </c>
      <c r="N863" s="3" t="str">
        <f t="shared" si="55"/>
        <v/>
      </c>
      <c r="O863" s="68"/>
      <c r="P863" s="68"/>
      <c r="Q863" s="68"/>
      <c r="R863" s="68"/>
      <c r="S863" s="68"/>
      <c r="T863" s="68"/>
      <c r="U863" s="68"/>
      <c r="V863" s="69"/>
    </row>
    <row r="864" spans="1:22" s="70" customFormat="1">
      <c r="A864" s="68">
        <v>5692</v>
      </c>
      <c r="B864" s="82">
        <f t="array" ref="B864">SUM(--(FREQUENCY(IF(C$2:C$3071=C864, MATCH(D$2:D$3071, D$2:D$3071, 0)), ROW(D$2:D$3071)-ROW(D$2)+1) &gt; 0))</f>
        <v>22</v>
      </c>
      <c r="C864" s="68">
        <v>41200075</v>
      </c>
      <c r="D864" s="68" t="s">
        <v>4973</v>
      </c>
      <c r="E864" s="68" t="s">
        <v>4102</v>
      </c>
      <c r="F864" s="68" t="s">
        <v>4527</v>
      </c>
      <c r="G864" s="68" t="str">
        <f t="shared" si="53"/>
        <v>DUAL</v>
      </c>
      <c r="H864" s="197">
        <f t="shared" si="52"/>
        <v>25</v>
      </c>
      <c r="I864" s="210">
        <v>6</v>
      </c>
      <c r="J864" s="210">
        <v>17</v>
      </c>
      <c r="K864" s="186">
        <f t="shared" si="54"/>
        <v>45825</v>
      </c>
      <c r="L864" s="68" t="s">
        <v>4104</v>
      </c>
      <c r="M864" s="68" t="s">
        <v>2367</v>
      </c>
      <c r="N864" s="3" t="str">
        <f t="shared" si="55"/>
        <v>NG</v>
      </c>
      <c r="O864" s="68" t="s">
        <v>1568</v>
      </c>
      <c r="P864" s="68" t="s">
        <v>4927</v>
      </c>
      <c r="Q864" s="43">
        <v>11002283</v>
      </c>
      <c r="R864" s="68" t="s">
        <v>4105</v>
      </c>
      <c r="S864" s="68" t="s">
        <v>4974</v>
      </c>
      <c r="T864" s="68" t="s">
        <v>4454</v>
      </c>
      <c r="U864" s="68"/>
      <c r="V864" s="69"/>
    </row>
    <row r="865" spans="1:22" s="70" customFormat="1">
      <c r="A865" s="43">
        <v>5700</v>
      </c>
      <c r="B865" s="82">
        <f t="array" ref="B865">SUM(--(FREQUENCY(IF(C$2:C$3071=C865, MATCH(D$2:D$3071, D$2:D$3071, 0)), ROW(D$2:D$3071)-ROW(D$2)+1) &gt; 0))</f>
        <v>1</v>
      </c>
      <c r="C865" s="43">
        <v>41200071</v>
      </c>
      <c r="D865" s="43" t="s">
        <v>4975</v>
      </c>
      <c r="E865" s="43" t="s">
        <v>4116</v>
      </c>
      <c r="F865" s="43" t="s">
        <v>4527</v>
      </c>
      <c r="G865" s="68" t="str">
        <f t="shared" si="53"/>
        <v>DUAL</v>
      </c>
      <c r="H865" s="197">
        <f t="shared" si="52"/>
        <v>25</v>
      </c>
      <c r="I865" s="208">
        <v>6</v>
      </c>
      <c r="J865" s="208">
        <v>17</v>
      </c>
      <c r="K865" s="186">
        <f t="shared" si="54"/>
        <v>45825</v>
      </c>
      <c r="L865" s="43" t="s">
        <v>2381</v>
      </c>
      <c r="M865" s="43" t="s">
        <v>2367</v>
      </c>
      <c r="N865" s="3" t="str">
        <f t="shared" si="55"/>
        <v>NG</v>
      </c>
      <c r="O865" s="43" t="s">
        <v>1568</v>
      </c>
      <c r="P865" s="43" t="s">
        <v>4943</v>
      </c>
      <c r="Q865" s="43">
        <v>11102125</v>
      </c>
      <c r="R865" s="43" t="s">
        <v>4976</v>
      </c>
      <c r="S865" s="43" t="s">
        <v>4977</v>
      </c>
      <c r="T865" s="43" t="s">
        <v>4454</v>
      </c>
      <c r="U865" s="43" t="s">
        <v>4781</v>
      </c>
      <c r="V865" s="69"/>
    </row>
    <row r="866" spans="1:22" s="70" customFormat="1">
      <c r="A866" s="68">
        <v>5768</v>
      </c>
      <c r="B866" s="82">
        <f t="array" ref="B866">SUM(--(FREQUENCY(IF(C$2:C$3071=C866, MATCH(D$2:D$3071, D$2:D$3071, 0)), ROW(D$2:D$3071)-ROW(D$2)+1) &gt; 0))</f>
        <v>22</v>
      </c>
      <c r="C866" s="68">
        <v>41000598</v>
      </c>
      <c r="D866" s="68" t="s">
        <v>4978</v>
      </c>
      <c r="E866" s="68" t="s">
        <v>2365</v>
      </c>
      <c r="F866" s="68" t="s">
        <v>4181</v>
      </c>
      <c r="G866" s="68" t="str">
        <f t="shared" si="53"/>
        <v>DUAL</v>
      </c>
      <c r="H866" s="197">
        <f t="shared" si="52"/>
        <v>25</v>
      </c>
      <c r="I866" s="210">
        <v>6</v>
      </c>
      <c r="J866" s="210">
        <v>17</v>
      </c>
      <c r="K866" s="186">
        <f t="shared" si="54"/>
        <v>45825</v>
      </c>
      <c r="L866" s="68" t="s">
        <v>2381</v>
      </c>
      <c r="M866" s="68" t="s">
        <v>2383</v>
      </c>
      <c r="N866" s="3" t="str">
        <f t="shared" si="55"/>
        <v/>
      </c>
      <c r="O866" s="68"/>
      <c r="P866" s="68"/>
      <c r="Q866" s="68"/>
      <c r="R866" s="68"/>
      <c r="S866" s="68"/>
      <c r="T866" s="68"/>
      <c r="U866" s="68"/>
      <c r="V866" s="69"/>
    </row>
    <row r="867" spans="1:22" s="67" customFormat="1">
      <c r="A867" s="65">
        <v>5779</v>
      </c>
      <c r="B867" s="83">
        <f t="array" ref="B867">SUM(--(FREQUENCY(IF(C$2:C$3071=C867, MATCH(D$2:D$3071, D$2:D$3071, 0)), ROW(D$2:D$3071)-ROW(D$2)+1) &gt; 0))</f>
        <v>9</v>
      </c>
      <c r="C867" s="65">
        <v>41100564</v>
      </c>
      <c r="D867" s="66" t="s">
        <v>4979</v>
      </c>
      <c r="E867" s="65" t="s">
        <v>4980</v>
      </c>
      <c r="F867" s="65" t="s">
        <v>4981</v>
      </c>
      <c r="G867" s="68" t="str">
        <f t="shared" si="53"/>
        <v>DUAL</v>
      </c>
      <c r="H867" s="197">
        <f t="shared" si="52"/>
        <v>25</v>
      </c>
      <c r="I867" s="211">
        <v>6</v>
      </c>
      <c r="J867" s="211">
        <v>18</v>
      </c>
      <c r="K867" s="186">
        <f t="shared" si="54"/>
        <v>45826</v>
      </c>
      <c r="L867" s="65" t="s">
        <v>1466</v>
      </c>
      <c r="M867" s="65" t="s">
        <v>2388</v>
      </c>
      <c r="N867" s="3" t="str">
        <f t="shared" si="55"/>
        <v/>
      </c>
      <c r="O867" s="65"/>
      <c r="P867" s="65"/>
      <c r="Q867" s="65"/>
      <c r="R867" s="65"/>
      <c r="S867" s="65"/>
      <c r="T867" s="65"/>
      <c r="U867" s="65"/>
    </row>
    <row r="868" spans="1:22" s="67" customFormat="1" ht="33">
      <c r="A868" s="65">
        <v>5692</v>
      </c>
      <c r="B868" s="82">
        <f t="array" ref="B868">SUM(--(FREQUENCY(IF(C$2:C$3071=C868, MATCH(D$2:D$3071, D$2:D$3071, 0)), ROW(D$2:D$3071)-ROW(D$2)+1) &gt; 0))</f>
        <v>22</v>
      </c>
      <c r="C868" s="65">
        <v>41200075</v>
      </c>
      <c r="D868" s="66" t="s">
        <v>4982</v>
      </c>
      <c r="E868" s="41" t="s">
        <v>4102</v>
      </c>
      <c r="F868" s="41" t="s">
        <v>4527</v>
      </c>
      <c r="G868" s="41" t="str">
        <f t="shared" si="53"/>
        <v>DUAL</v>
      </c>
      <c r="H868" s="197">
        <f t="shared" si="52"/>
        <v>25</v>
      </c>
      <c r="I868" s="211">
        <v>6</v>
      </c>
      <c r="J868" s="211">
        <v>18</v>
      </c>
      <c r="K868" s="186">
        <f t="shared" si="54"/>
        <v>45826</v>
      </c>
      <c r="L868" s="65" t="s">
        <v>1465</v>
      </c>
      <c r="M868" s="65" t="s">
        <v>2388</v>
      </c>
      <c r="N868" s="3" t="str">
        <f t="shared" si="55"/>
        <v>NG</v>
      </c>
      <c r="O868" s="65" t="s">
        <v>4983</v>
      </c>
      <c r="P868" s="65" t="s">
        <v>4984</v>
      </c>
      <c r="Q868" s="65">
        <v>1100219800</v>
      </c>
      <c r="R868" s="65" t="s">
        <v>1520</v>
      </c>
      <c r="S868" s="119" t="s">
        <v>4985</v>
      </c>
      <c r="T868" s="65" t="s">
        <v>4455</v>
      </c>
      <c r="U868" s="65"/>
    </row>
    <row r="869" spans="1:22" s="67" customFormat="1" ht="33">
      <c r="A869" s="65">
        <v>5692</v>
      </c>
      <c r="B869" s="82">
        <f t="array" ref="B869">SUM(--(FREQUENCY(IF(C$2:C$3071=C869, MATCH(D$2:D$3071, D$2:D$3071, 0)), ROW(D$2:D$3071)-ROW(D$2)+1) &gt; 0))</f>
        <v>22</v>
      </c>
      <c r="C869" s="65">
        <v>41200075</v>
      </c>
      <c r="D869" s="66" t="s">
        <v>4982</v>
      </c>
      <c r="E869" s="41" t="s">
        <v>4102</v>
      </c>
      <c r="F869" s="41" t="s">
        <v>4527</v>
      </c>
      <c r="G869" s="41" t="str">
        <f t="shared" si="53"/>
        <v>DUAL</v>
      </c>
      <c r="H869" s="197">
        <f t="shared" si="52"/>
        <v>25</v>
      </c>
      <c r="I869" s="211">
        <v>6</v>
      </c>
      <c r="J869" s="211">
        <v>18</v>
      </c>
      <c r="K869" s="186">
        <f t="shared" si="54"/>
        <v>45826</v>
      </c>
      <c r="L869" s="65" t="s">
        <v>1465</v>
      </c>
      <c r="M869" s="65" t="s">
        <v>2388</v>
      </c>
      <c r="N869" s="3" t="str">
        <f t="shared" si="55"/>
        <v>NG</v>
      </c>
      <c r="O869" s="65" t="s">
        <v>4983</v>
      </c>
      <c r="P869" s="41" t="s">
        <v>4927</v>
      </c>
      <c r="Q869" s="41">
        <v>1100273700</v>
      </c>
      <c r="R869" s="41" t="s">
        <v>4131</v>
      </c>
      <c r="S869" s="42" t="s">
        <v>4986</v>
      </c>
      <c r="T869" s="65" t="s">
        <v>4454</v>
      </c>
      <c r="U869" s="65"/>
    </row>
    <row r="870" spans="1:22" s="67" customFormat="1" ht="33">
      <c r="A870" s="65">
        <v>5692</v>
      </c>
      <c r="B870" s="82">
        <f t="array" ref="B870">SUM(--(FREQUENCY(IF(C$2:C$3071=C870, MATCH(D$2:D$3071, D$2:D$3071, 0)), ROW(D$2:D$3071)-ROW(D$2)+1) &gt; 0))</f>
        <v>22</v>
      </c>
      <c r="C870" s="65">
        <v>41200075</v>
      </c>
      <c r="D870" s="66" t="s">
        <v>4982</v>
      </c>
      <c r="E870" s="41" t="s">
        <v>4102</v>
      </c>
      <c r="F870" s="41" t="s">
        <v>4527</v>
      </c>
      <c r="G870" s="41" t="str">
        <f t="shared" si="53"/>
        <v>DUAL</v>
      </c>
      <c r="H870" s="197">
        <f t="shared" si="52"/>
        <v>25</v>
      </c>
      <c r="I870" s="211">
        <v>6</v>
      </c>
      <c r="J870" s="211">
        <v>18</v>
      </c>
      <c r="K870" s="186">
        <f t="shared" si="54"/>
        <v>45826</v>
      </c>
      <c r="L870" s="65" t="s">
        <v>1465</v>
      </c>
      <c r="M870" s="65" t="s">
        <v>2388</v>
      </c>
      <c r="N870" s="3" t="str">
        <f t="shared" si="55"/>
        <v>NG</v>
      </c>
      <c r="O870" s="65" t="s">
        <v>4983</v>
      </c>
      <c r="P870" s="41" t="s">
        <v>4927</v>
      </c>
      <c r="Q870" s="41">
        <v>1100273700</v>
      </c>
      <c r="R870" s="41" t="s">
        <v>4131</v>
      </c>
      <c r="S870" s="42" t="s">
        <v>4986</v>
      </c>
      <c r="T870" s="65" t="s">
        <v>4455</v>
      </c>
      <c r="U870" s="65"/>
    </row>
    <row r="871" spans="1:22" s="36" customFormat="1">
      <c r="A871" s="35">
        <v>5783</v>
      </c>
      <c r="B871" s="82">
        <f t="array" ref="B871">SUM(--(FREQUENCY(IF(C$2:C$3071=C871, MATCH(D$2:D$3071, D$2:D$3071, 0)), ROW(D$2:D$3071)-ROW(D$2)+1) &gt; 0))</f>
        <v>26</v>
      </c>
      <c r="C871" s="35">
        <v>41000590</v>
      </c>
      <c r="D871" s="13" t="s">
        <v>4987</v>
      </c>
      <c r="E871" s="35" t="s">
        <v>4988</v>
      </c>
      <c r="F871" s="35" t="s">
        <v>4989</v>
      </c>
      <c r="G871" s="68" t="str">
        <f t="shared" si="53"/>
        <v>SINGLE</v>
      </c>
      <c r="H871" s="197">
        <f t="shared" si="52"/>
        <v>26</v>
      </c>
      <c r="I871" s="207">
        <v>6</v>
      </c>
      <c r="J871" s="211">
        <v>23</v>
      </c>
      <c r="K871" s="186">
        <f t="shared" si="54"/>
        <v>45831</v>
      </c>
      <c r="L871" s="35" t="s">
        <v>4093</v>
      </c>
      <c r="M871" s="35" t="s">
        <v>4093</v>
      </c>
      <c r="N871" s="3" t="str">
        <f t="shared" si="55"/>
        <v/>
      </c>
      <c r="O871" s="35"/>
      <c r="P871" s="35"/>
      <c r="Q871" s="35"/>
      <c r="R871" s="35"/>
      <c r="S871" s="35"/>
      <c r="T871" s="35"/>
      <c r="U871" s="35"/>
    </row>
    <row r="872" spans="1:22" s="36" customFormat="1">
      <c r="A872" s="35">
        <v>5783</v>
      </c>
      <c r="B872" s="82">
        <f t="array" ref="B872">SUM(--(FREQUENCY(IF(C$2:C$3071=C872, MATCH(D$2:D$3071, D$2:D$3071, 0)), ROW(D$2:D$3071)-ROW(D$2)+1) &gt; 0))</f>
        <v>26</v>
      </c>
      <c r="C872" s="35">
        <v>41000590</v>
      </c>
      <c r="D872" s="13" t="s">
        <v>2343</v>
      </c>
      <c r="E872" s="35" t="s">
        <v>4988</v>
      </c>
      <c r="F872" s="35" t="s">
        <v>4989</v>
      </c>
      <c r="G872" s="68" t="str">
        <f t="shared" si="53"/>
        <v>SINGLE</v>
      </c>
      <c r="H872" s="197">
        <f t="shared" si="52"/>
        <v>26</v>
      </c>
      <c r="I872" s="207">
        <v>6</v>
      </c>
      <c r="J872" s="211">
        <v>23</v>
      </c>
      <c r="K872" s="186">
        <f t="shared" si="54"/>
        <v>45831</v>
      </c>
      <c r="L872" s="35" t="s">
        <v>4093</v>
      </c>
      <c r="M872" s="35" t="s">
        <v>4093</v>
      </c>
      <c r="N872" s="3" t="str">
        <f t="shared" si="55"/>
        <v/>
      </c>
      <c r="O872" s="35"/>
      <c r="P872" s="35"/>
      <c r="Q872" s="35"/>
      <c r="R872" s="35"/>
      <c r="S872" s="35"/>
      <c r="T872" s="35"/>
      <c r="U872" s="35"/>
    </row>
    <row r="873" spans="1:22" s="36" customFormat="1" ht="33">
      <c r="A873" s="13">
        <v>5816</v>
      </c>
      <c r="B873" s="82">
        <f t="array" ref="B873">SUM(--(FREQUENCY(IF(C$2:C$3071=C873, MATCH(D$2:D$3071, D$2:D$3071, 0)), ROW(D$2:D$3071)-ROW(D$2)+1) &gt; 0))</f>
        <v>6</v>
      </c>
      <c r="C873" s="13">
        <v>41200136</v>
      </c>
      <c r="D873" s="13" t="s">
        <v>4990</v>
      </c>
      <c r="E873" s="13" t="s">
        <v>4991</v>
      </c>
      <c r="F873" s="13" t="s">
        <v>4992</v>
      </c>
      <c r="G873" s="68" t="str">
        <f t="shared" si="53"/>
        <v>SINGLE</v>
      </c>
      <c r="H873" s="197">
        <f t="shared" si="52"/>
        <v>26</v>
      </c>
      <c r="I873" s="203">
        <v>6</v>
      </c>
      <c r="J873" s="212">
        <v>23</v>
      </c>
      <c r="K873" s="186">
        <f t="shared" si="54"/>
        <v>45831</v>
      </c>
      <c r="L873" s="13" t="s">
        <v>1466</v>
      </c>
      <c r="M873" s="13" t="s">
        <v>4093</v>
      </c>
      <c r="N873" s="3" t="str">
        <f t="shared" si="55"/>
        <v>NG</v>
      </c>
      <c r="O873" s="66" t="s">
        <v>4983</v>
      </c>
      <c r="P873" s="13" t="s">
        <v>4993</v>
      </c>
      <c r="Q873" s="13">
        <v>1311076500</v>
      </c>
      <c r="R873" s="13" t="s">
        <v>4994</v>
      </c>
      <c r="S873" s="121" t="s">
        <v>4995</v>
      </c>
      <c r="T873" s="13"/>
      <c r="U873" s="13"/>
    </row>
    <row r="874" spans="1:22" s="36" customFormat="1">
      <c r="A874" s="35">
        <v>5798</v>
      </c>
      <c r="B874" s="82">
        <f t="array" ref="B874">SUM(--(FREQUENCY(IF(C$2:C$3071=C874, MATCH(D$2:D$3071, D$2:D$3071, 0)), ROW(D$2:D$3071)-ROW(D$2)+1) &gt; 0))</f>
        <v>9</v>
      </c>
      <c r="C874" s="35">
        <v>41100564</v>
      </c>
      <c r="D874" s="13" t="s">
        <v>4996</v>
      </c>
      <c r="E874" s="65" t="s">
        <v>4980</v>
      </c>
      <c r="F874" s="65" t="s">
        <v>4981</v>
      </c>
      <c r="G874" s="68" t="str">
        <f t="shared" si="53"/>
        <v>DUAL</v>
      </c>
      <c r="H874" s="197">
        <f t="shared" si="52"/>
        <v>26</v>
      </c>
      <c r="I874" s="211">
        <v>6</v>
      </c>
      <c r="J874" s="211">
        <v>23</v>
      </c>
      <c r="K874" s="186">
        <f t="shared" si="54"/>
        <v>45831</v>
      </c>
      <c r="L874" s="65" t="s">
        <v>1466</v>
      </c>
      <c r="M874" s="65" t="s">
        <v>2367</v>
      </c>
      <c r="N874" s="3" t="str">
        <f t="shared" si="55"/>
        <v/>
      </c>
      <c r="O874" s="35"/>
      <c r="P874" s="35"/>
      <c r="Q874" s="35"/>
      <c r="R874" s="35"/>
      <c r="S874" s="35"/>
      <c r="T874" s="35"/>
      <c r="U874" s="35"/>
    </row>
    <row r="875" spans="1:22" s="36" customFormat="1" ht="33">
      <c r="A875" s="35">
        <v>5592</v>
      </c>
      <c r="B875" s="82">
        <f t="array" ref="B875">SUM(--(FREQUENCY(IF(C$2:C$3071=C875, MATCH(D$2:D$3071, D$2:D$3071, 0)), ROW(D$2:D$3071)-ROW(D$2)+1) &gt; 0))</f>
        <v>32</v>
      </c>
      <c r="C875" s="35">
        <v>41200122</v>
      </c>
      <c r="D875" s="13" t="s">
        <v>4997</v>
      </c>
      <c r="E875" s="35" t="s">
        <v>4998</v>
      </c>
      <c r="F875" s="35" t="s">
        <v>4981</v>
      </c>
      <c r="G875" s="68" t="str">
        <f t="shared" si="53"/>
        <v>DUAL</v>
      </c>
      <c r="H875" s="197">
        <f t="shared" si="52"/>
        <v>26</v>
      </c>
      <c r="I875" s="207">
        <v>6</v>
      </c>
      <c r="J875" s="211">
        <v>23</v>
      </c>
      <c r="K875" s="186">
        <f t="shared" si="54"/>
        <v>45831</v>
      </c>
      <c r="L875" s="35" t="s">
        <v>1466</v>
      </c>
      <c r="M875" s="35" t="s">
        <v>4093</v>
      </c>
      <c r="N875" s="3" t="str">
        <f t="shared" si="55"/>
        <v>NG</v>
      </c>
      <c r="O875" s="35" t="s">
        <v>4983</v>
      </c>
      <c r="P875" s="43" t="s">
        <v>4927</v>
      </c>
      <c r="Q875" s="35">
        <v>1110200900</v>
      </c>
      <c r="R875" s="35" t="s">
        <v>4582</v>
      </c>
      <c r="S875" s="120" t="s">
        <v>4999</v>
      </c>
      <c r="T875" s="35" t="s">
        <v>4454</v>
      </c>
      <c r="U875" s="35"/>
    </row>
    <row r="876" spans="1:22" s="36" customFormat="1" ht="33">
      <c r="A876" s="35">
        <v>5668</v>
      </c>
      <c r="B876" s="82">
        <f t="array" ref="B876">SUM(--(FREQUENCY(IF(C$2:C$3071=C876, MATCH(D$2:D$3071, D$2:D$3071, 0)), ROW(D$2:D$3071)-ROW(D$2)+1) &gt; 0))</f>
        <v>51</v>
      </c>
      <c r="C876" s="35">
        <v>41200034</v>
      </c>
      <c r="D876" s="13" t="s">
        <v>5000</v>
      </c>
      <c r="E876" s="35" t="s">
        <v>5001</v>
      </c>
      <c r="F876" s="35" t="s">
        <v>4981</v>
      </c>
      <c r="G876" s="68" t="str">
        <f t="shared" si="53"/>
        <v>DUAL</v>
      </c>
      <c r="H876" s="197">
        <f t="shared" si="52"/>
        <v>26</v>
      </c>
      <c r="I876" s="207">
        <v>6</v>
      </c>
      <c r="J876" s="211">
        <v>23</v>
      </c>
      <c r="K876" s="186">
        <f t="shared" si="54"/>
        <v>45831</v>
      </c>
      <c r="L876" s="35" t="s">
        <v>1466</v>
      </c>
      <c r="M876" s="35" t="s">
        <v>4093</v>
      </c>
      <c r="N876" s="3" t="str">
        <f t="shared" si="55"/>
        <v>NG</v>
      </c>
      <c r="O876" s="35" t="s">
        <v>4983</v>
      </c>
      <c r="P876" s="43" t="s">
        <v>4927</v>
      </c>
      <c r="Q876" s="35">
        <v>1100220100</v>
      </c>
      <c r="R876" s="35" t="s">
        <v>1520</v>
      </c>
      <c r="S876" s="120" t="s">
        <v>5002</v>
      </c>
      <c r="T876" s="35" t="s">
        <v>4454</v>
      </c>
      <c r="U876" s="35"/>
    </row>
    <row r="877" spans="1:22" s="10" customFormat="1">
      <c r="A877" s="35">
        <v>5668</v>
      </c>
      <c r="B877" s="82">
        <f t="array" ref="B877">SUM(--(FREQUENCY(IF(C$2:C$3071=C877, MATCH(D$2:D$3071, D$2:D$3071, 0)), ROW(D$2:D$3071)-ROW(D$2)+1) &gt; 0))</f>
        <v>51</v>
      </c>
      <c r="C877" s="35">
        <v>41200034</v>
      </c>
      <c r="D877" s="13" t="s">
        <v>2338</v>
      </c>
      <c r="E877" s="35" t="s">
        <v>5001</v>
      </c>
      <c r="F877" s="35" t="s">
        <v>4981</v>
      </c>
      <c r="G877" s="68" t="str">
        <f t="shared" si="53"/>
        <v>DUAL</v>
      </c>
      <c r="H877" s="197">
        <f t="shared" si="52"/>
        <v>26</v>
      </c>
      <c r="I877" s="207">
        <v>6</v>
      </c>
      <c r="J877" s="211">
        <v>23</v>
      </c>
      <c r="K877" s="186">
        <f t="shared" si="54"/>
        <v>45831</v>
      </c>
      <c r="L877" s="35" t="s">
        <v>1466</v>
      </c>
      <c r="M877" s="35" t="s">
        <v>4093</v>
      </c>
      <c r="N877" s="3" t="str">
        <f t="shared" si="55"/>
        <v/>
      </c>
      <c r="O877" s="35"/>
      <c r="P877" s="35"/>
      <c r="Q877" s="35"/>
      <c r="R877" s="35"/>
      <c r="S877" s="35"/>
      <c r="T877" s="35"/>
      <c r="U877" s="35"/>
    </row>
    <row r="878" spans="1:22" s="36" customFormat="1">
      <c r="A878" s="35">
        <v>5538</v>
      </c>
      <c r="B878" s="82">
        <f t="array" ref="B878">SUM(--(FREQUENCY(IF(C$2:C$3071=C878, MATCH(D$2:D$3071, D$2:D$3071, 0)), ROW(D$2:D$3071)-ROW(D$2)+1) &gt; 0))</f>
        <v>77</v>
      </c>
      <c r="C878" s="35">
        <v>41200076</v>
      </c>
      <c r="D878" s="13" t="s">
        <v>5003</v>
      </c>
      <c r="E878" s="35" t="s">
        <v>4998</v>
      </c>
      <c r="F878" s="35" t="s">
        <v>4981</v>
      </c>
      <c r="G878" s="68" t="str">
        <f t="shared" si="53"/>
        <v>DUAL</v>
      </c>
      <c r="H878" s="197">
        <f t="shared" si="52"/>
        <v>26</v>
      </c>
      <c r="I878" s="207">
        <v>6</v>
      </c>
      <c r="J878" s="211">
        <v>23</v>
      </c>
      <c r="K878" s="186">
        <f t="shared" si="54"/>
        <v>45831</v>
      </c>
      <c r="L878" s="35" t="s">
        <v>1466</v>
      </c>
      <c r="M878" s="35" t="s">
        <v>5004</v>
      </c>
      <c r="N878" s="3" t="str">
        <f t="shared" si="55"/>
        <v/>
      </c>
      <c r="O878" s="35"/>
      <c r="P878" s="35"/>
      <c r="Q878" s="35"/>
      <c r="R878" s="35"/>
      <c r="S878" s="35"/>
      <c r="T878" s="35"/>
      <c r="U878" s="35"/>
    </row>
    <row r="879" spans="1:22" s="36" customFormat="1">
      <c r="A879" s="35">
        <v>5680</v>
      </c>
      <c r="B879" s="82">
        <f t="array" ref="B879">SUM(--(FREQUENCY(IF(C$2:C$3071=C879, MATCH(D$2:D$3071, D$2:D$3071, 0)), ROW(D$2:D$3071)-ROW(D$2)+1) &gt; 0))</f>
        <v>21</v>
      </c>
      <c r="C879" s="35">
        <v>41200036</v>
      </c>
      <c r="D879" s="13" t="s">
        <v>5005</v>
      </c>
      <c r="E879" s="35" t="s">
        <v>5001</v>
      </c>
      <c r="F879" s="35" t="s">
        <v>4981</v>
      </c>
      <c r="G879" s="68" t="str">
        <f t="shared" si="53"/>
        <v>DUAL</v>
      </c>
      <c r="H879" s="197">
        <f t="shared" si="52"/>
        <v>26</v>
      </c>
      <c r="I879" s="207">
        <v>6</v>
      </c>
      <c r="J879" s="211">
        <v>23</v>
      </c>
      <c r="K879" s="186">
        <f t="shared" si="54"/>
        <v>45831</v>
      </c>
      <c r="L879" s="35" t="s">
        <v>1465</v>
      </c>
      <c r="M879" s="35" t="s">
        <v>5006</v>
      </c>
      <c r="N879" s="3" t="str">
        <f t="shared" si="55"/>
        <v/>
      </c>
      <c r="O879" s="35"/>
      <c r="P879" s="35"/>
      <c r="Q879" s="35"/>
      <c r="R879" s="35"/>
      <c r="S879" s="35"/>
      <c r="T879" s="35"/>
      <c r="U879" s="35"/>
    </row>
    <row r="880" spans="1:22" s="36" customFormat="1">
      <c r="A880" s="35">
        <v>5758</v>
      </c>
      <c r="B880" s="82">
        <f t="array" ref="B880">SUM(--(FREQUENCY(IF(C$2:C$3071=C880, MATCH(D$2:D$3071, D$2:D$3071, 0)), ROW(D$2:D$3071)-ROW(D$2)+1) &gt; 0))</f>
        <v>26</v>
      </c>
      <c r="C880" s="35">
        <v>41200074</v>
      </c>
      <c r="D880" s="13" t="s">
        <v>5007</v>
      </c>
      <c r="E880" s="35" t="s">
        <v>4988</v>
      </c>
      <c r="F880" s="35" t="s">
        <v>5008</v>
      </c>
      <c r="G880" s="68" t="str">
        <f t="shared" si="53"/>
        <v>DUAL</v>
      </c>
      <c r="H880" s="197">
        <f t="shared" si="52"/>
        <v>26</v>
      </c>
      <c r="I880" s="207">
        <v>6</v>
      </c>
      <c r="J880" s="211">
        <v>23</v>
      </c>
      <c r="K880" s="186">
        <f t="shared" si="54"/>
        <v>45831</v>
      </c>
      <c r="L880" s="35" t="s">
        <v>1465</v>
      </c>
      <c r="M880" s="35" t="s">
        <v>4093</v>
      </c>
      <c r="N880" s="3" t="str">
        <f t="shared" si="55"/>
        <v/>
      </c>
      <c r="O880" s="35"/>
      <c r="P880" s="35"/>
      <c r="Q880" s="35"/>
      <c r="R880" s="35"/>
      <c r="S880" s="35"/>
      <c r="T880" s="35"/>
      <c r="U880" s="35"/>
    </row>
    <row r="881" spans="1:21" s="36" customFormat="1">
      <c r="A881" s="35">
        <v>5766</v>
      </c>
      <c r="B881" s="82">
        <f t="array" ref="B881">SUM(--(FREQUENCY(IF(C$2:C$3071=C881, MATCH(D$2:D$3071, D$2:D$3071, 0)), ROW(D$2:D$3071)-ROW(D$2)+1) &gt; 0))</f>
        <v>144</v>
      </c>
      <c r="C881" s="35">
        <v>41200007</v>
      </c>
      <c r="D881" s="13" t="s">
        <v>5009</v>
      </c>
      <c r="E881" s="35" t="s">
        <v>4988</v>
      </c>
      <c r="F881" s="35" t="s">
        <v>5010</v>
      </c>
      <c r="G881" s="68" t="str">
        <f t="shared" si="53"/>
        <v>SINGLE</v>
      </c>
      <c r="H881" s="197">
        <f t="shared" si="52"/>
        <v>26</v>
      </c>
      <c r="I881" s="207">
        <v>6</v>
      </c>
      <c r="J881" s="207">
        <v>24</v>
      </c>
      <c r="K881" s="186">
        <f t="shared" si="54"/>
        <v>45832</v>
      </c>
      <c r="L881" s="35" t="s">
        <v>1466</v>
      </c>
      <c r="M881" s="35" t="s">
        <v>4093</v>
      </c>
      <c r="N881" s="3" t="str">
        <f t="shared" si="55"/>
        <v/>
      </c>
      <c r="O881" s="35"/>
      <c r="P881" s="35"/>
      <c r="Q881" s="35"/>
      <c r="R881" s="35"/>
      <c r="S881" s="35"/>
      <c r="T881" s="35"/>
      <c r="U881" s="35"/>
    </row>
    <row r="882" spans="1:21" s="36" customFormat="1">
      <c r="A882" s="35">
        <v>5766</v>
      </c>
      <c r="B882" s="82">
        <f t="array" ref="B882">SUM(--(FREQUENCY(IF(C$2:C$3071=C882, MATCH(D$2:D$3071, D$2:D$3071, 0)), ROW(D$2:D$3071)-ROW(D$2)+1) &gt; 0))</f>
        <v>144</v>
      </c>
      <c r="C882" s="35">
        <v>41200007</v>
      </c>
      <c r="D882" s="13" t="s">
        <v>2345</v>
      </c>
      <c r="E882" s="35" t="s">
        <v>4988</v>
      </c>
      <c r="F882" s="35" t="s">
        <v>5010</v>
      </c>
      <c r="G882" s="68" t="str">
        <f t="shared" si="53"/>
        <v>SINGLE</v>
      </c>
      <c r="H882" s="197">
        <f t="shared" si="52"/>
        <v>26</v>
      </c>
      <c r="I882" s="207">
        <v>6</v>
      </c>
      <c r="J882" s="207">
        <v>24</v>
      </c>
      <c r="K882" s="186">
        <f t="shared" si="54"/>
        <v>45832</v>
      </c>
      <c r="L882" s="35" t="s">
        <v>1466</v>
      </c>
      <c r="M882" s="35" t="s">
        <v>4093</v>
      </c>
      <c r="N882" s="3" t="str">
        <f t="shared" si="55"/>
        <v/>
      </c>
      <c r="O882" s="35"/>
      <c r="P882" s="35"/>
      <c r="Q882" s="35"/>
      <c r="R882" s="35"/>
      <c r="S882" s="35"/>
      <c r="T882" s="35"/>
      <c r="U882" s="35"/>
    </row>
    <row r="883" spans="1:21">
      <c r="A883" s="3">
        <v>5727</v>
      </c>
      <c r="B883" s="82">
        <f t="array" ref="B883">SUM(--(FREQUENCY(IF(C$2:C$3071=C883, MATCH(D$2:D$3071, D$2:D$3071, 0)), ROW(D$2:D$3071)-ROW(D$2)+1) &gt; 0))</f>
        <v>1</v>
      </c>
      <c r="C883" s="3">
        <v>41100358</v>
      </c>
      <c r="D883" s="417" t="s">
        <v>5011</v>
      </c>
      <c r="E883" s="408" t="s">
        <v>5012</v>
      </c>
      <c r="F883" s="408" t="s">
        <v>5013</v>
      </c>
      <c r="G883" s="68" t="str">
        <f t="shared" si="53"/>
        <v>DUAL</v>
      </c>
      <c r="H883" s="197">
        <f t="shared" si="52"/>
        <v>26</v>
      </c>
      <c r="I883" s="197">
        <v>6</v>
      </c>
      <c r="J883" s="197">
        <v>24</v>
      </c>
      <c r="K883" s="186">
        <f t="shared" si="54"/>
        <v>45832</v>
      </c>
      <c r="L883" s="408" t="s">
        <v>5014</v>
      </c>
      <c r="M883" s="408" t="s">
        <v>5015</v>
      </c>
      <c r="N883" s="3" t="str">
        <f t="shared" si="55"/>
        <v/>
      </c>
    </row>
    <row r="884" spans="1:21">
      <c r="A884" s="3">
        <v>5784</v>
      </c>
      <c r="B884" s="82">
        <f t="array" ref="B884">SUM(--(FREQUENCY(IF(C$2:C$3071=C884, MATCH(D$2:D$3071, D$2:D$3071, 0)), ROW(D$2:D$3071)-ROW(D$2)+1) &gt; 0))</f>
        <v>9</v>
      </c>
      <c r="C884" s="3">
        <v>41200153</v>
      </c>
      <c r="D884" s="417" t="s">
        <v>5016</v>
      </c>
      <c r="E884" s="408" t="s">
        <v>5017</v>
      </c>
      <c r="F884" s="408" t="s">
        <v>5013</v>
      </c>
      <c r="G884" s="68" t="str">
        <f t="shared" si="53"/>
        <v>DUAL</v>
      </c>
      <c r="H884" s="197">
        <f t="shared" si="52"/>
        <v>26</v>
      </c>
      <c r="I884" s="197">
        <v>6</v>
      </c>
      <c r="J884" s="197">
        <v>24</v>
      </c>
      <c r="K884" s="186">
        <f t="shared" si="54"/>
        <v>45832</v>
      </c>
      <c r="L884" s="408" t="s">
        <v>5014</v>
      </c>
      <c r="M884" s="408" t="s">
        <v>5018</v>
      </c>
      <c r="N884" s="3" t="str">
        <f t="shared" si="55"/>
        <v/>
      </c>
    </row>
    <row r="885" spans="1:21">
      <c r="A885" s="3">
        <v>5764</v>
      </c>
      <c r="B885" s="82">
        <f t="array" ref="B885">SUM(--(FREQUENCY(IF(C$2:C$3071=C885, MATCH(D$2:D$3071, D$2:D$3071, 0)), ROW(D$2:D$3071)-ROW(D$2)+1) &gt; 0))</f>
        <v>2</v>
      </c>
      <c r="C885" s="3">
        <v>41100621</v>
      </c>
      <c r="D885" s="417" t="s">
        <v>5019</v>
      </c>
      <c r="E885" s="408" t="s">
        <v>5012</v>
      </c>
      <c r="F885" s="408" t="s">
        <v>5013</v>
      </c>
      <c r="G885" s="68" t="str">
        <f t="shared" si="53"/>
        <v>DUAL</v>
      </c>
      <c r="H885" s="197">
        <f t="shared" si="52"/>
        <v>26</v>
      </c>
      <c r="I885" s="197">
        <v>6</v>
      </c>
      <c r="J885" s="197">
        <v>24</v>
      </c>
      <c r="K885" s="186">
        <f t="shared" si="54"/>
        <v>45832</v>
      </c>
      <c r="L885" s="408" t="s">
        <v>5020</v>
      </c>
      <c r="M885" s="408" t="s">
        <v>5021</v>
      </c>
      <c r="N885" s="3" t="str">
        <f t="shared" si="55"/>
        <v/>
      </c>
    </row>
    <row r="886" spans="1:21">
      <c r="A886" s="3">
        <v>5673</v>
      </c>
      <c r="B886" s="82">
        <f t="array" ref="B886">SUM(--(FREQUENCY(IF(C$2:C$3071=C886, MATCH(D$2:D$3071, D$2:D$3071, 0)), ROW(D$2:D$3071)-ROW(D$2)+1) &gt; 0))</f>
        <v>18</v>
      </c>
      <c r="C886" s="3">
        <v>41100264</v>
      </c>
      <c r="D886" s="417" t="s">
        <v>5022</v>
      </c>
      <c r="E886" s="408" t="s">
        <v>5023</v>
      </c>
      <c r="F886" s="408" t="s">
        <v>5024</v>
      </c>
      <c r="G886" s="68" t="str">
        <f t="shared" si="53"/>
        <v>SINGLE</v>
      </c>
      <c r="H886" s="197">
        <f t="shared" si="52"/>
        <v>26</v>
      </c>
      <c r="I886" s="197">
        <v>6</v>
      </c>
      <c r="J886" s="197">
        <v>25</v>
      </c>
      <c r="K886" s="186">
        <f t="shared" si="54"/>
        <v>45833</v>
      </c>
      <c r="L886" s="408" t="s">
        <v>5020</v>
      </c>
      <c r="M886" s="408" t="s">
        <v>5015</v>
      </c>
      <c r="N886" s="3" t="str">
        <f t="shared" si="55"/>
        <v/>
      </c>
    </row>
    <row r="887" spans="1:21" s="2" customFormat="1">
      <c r="A887" s="6">
        <v>5673</v>
      </c>
      <c r="B887" s="82">
        <f t="array" ref="B887">SUM(--(FREQUENCY(IF(C$2:C$3071=C887, MATCH(D$2:D$3071, D$2:D$3071, 0)), ROW(D$2:D$3071)-ROW(D$2)+1) &gt; 0))</f>
        <v>18</v>
      </c>
      <c r="C887" s="6">
        <v>41100264</v>
      </c>
      <c r="D887" s="417" t="s">
        <v>5025</v>
      </c>
      <c r="E887" s="417" t="s">
        <v>5023</v>
      </c>
      <c r="F887" s="417" t="s">
        <v>5024</v>
      </c>
      <c r="G887" s="68" t="str">
        <f t="shared" si="53"/>
        <v>SINGLE</v>
      </c>
      <c r="H887" s="197">
        <f t="shared" si="52"/>
        <v>26</v>
      </c>
      <c r="I887" s="199">
        <v>6</v>
      </c>
      <c r="J887" s="199">
        <v>25</v>
      </c>
      <c r="K887" s="186">
        <f t="shared" si="54"/>
        <v>45833</v>
      </c>
      <c r="L887" s="417" t="s">
        <v>5020</v>
      </c>
      <c r="M887" s="417" t="s">
        <v>5015</v>
      </c>
      <c r="N887" s="3" t="str">
        <f t="shared" si="55"/>
        <v>NG</v>
      </c>
      <c r="O887" s="417" t="s">
        <v>4983</v>
      </c>
      <c r="P887" s="417" t="s">
        <v>5026</v>
      </c>
      <c r="Q887" s="6">
        <v>1310651100</v>
      </c>
      <c r="R887" s="417" t="s">
        <v>5027</v>
      </c>
      <c r="S887" s="417" t="s">
        <v>5028</v>
      </c>
      <c r="T887" s="6"/>
      <c r="U887" s="6"/>
    </row>
    <row r="888" spans="1:21" ht="33">
      <c r="A888" s="3">
        <v>5722</v>
      </c>
      <c r="B888" s="82">
        <f t="array" ref="B888">SUM(--(FREQUENCY(IF(C$2:C$3071=C888, MATCH(D$2:D$3071, D$2:D$3071, 0)), ROW(D$2:D$3071)-ROW(D$2)+1) &gt; 0))</f>
        <v>26</v>
      </c>
      <c r="C888" s="35">
        <v>41000590</v>
      </c>
      <c r="D888" s="417" t="s">
        <v>5029</v>
      </c>
      <c r="E888" s="408" t="s">
        <v>5030</v>
      </c>
      <c r="F888" s="408" t="s">
        <v>5031</v>
      </c>
      <c r="G888" s="68" t="str">
        <f t="shared" si="53"/>
        <v>SINGLE</v>
      </c>
      <c r="H888" s="197">
        <f t="shared" si="52"/>
        <v>26</v>
      </c>
      <c r="I888" s="197">
        <v>6</v>
      </c>
      <c r="J888" s="197">
        <v>25</v>
      </c>
      <c r="K888" s="186">
        <f t="shared" si="54"/>
        <v>45833</v>
      </c>
      <c r="L888" s="408" t="s">
        <v>5015</v>
      </c>
      <c r="M888" s="408" t="s">
        <v>5015</v>
      </c>
      <c r="N888" s="3" t="str">
        <f t="shared" si="55"/>
        <v>NG</v>
      </c>
      <c r="O888" s="408" t="s">
        <v>4983</v>
      </c>
      <c r="P888" s="408" t="s">
        <v>5032</v>
      </c>
      <c r="Q888" s="6">
        <v>1100364300</v>
      </c>
      <c r="R888" s="6" t="s">
        <v>5033</v>
      </c>
      <c r="S888" s="433" t="s">
        <v>5034</v>
      </c>
    </row>
    <row r="889" spans="1:21">
      <c r="A889" s="3">
        <v>5722</v>
      </c>
      <c r="B889" s="82">
        <f t="array" ref="B889">SUM(--(FREQUENCY(IF(C$2:C$3071=C889, MATCH(D$2:D$3071, D$2:D$3071, 0)), ROW(D$2:D$3071)-ROW(D$2)+1) &gt; 0))</f>
        <v>26</v>
      </c>
      <c r="C889" s="35">
        <v>41000590</v>
      </c>
      <c r="D889" s="417" t="s">
        <v>5035</v>
      </c>
      <c r="E889" s="408" t="s">
        <v>5030</v>
      </c>
      <c r="F889" s="408" t="s">
        <v>5031</v>
      </c>
      <c r="G889" s="68" t="str">
        <f t="shared" si="53"/>
        <v>SINGLE</v>
      </c>
      <c r="H889" s="197">
        <f t="shared" si="52"/>
        <v>26</v>
      </c>
      <c r="I889" s="197">
        <v>6</v>
      </c>
      <c r="J889" s="197">
        <v>25</v>
      </c>
      <c r="K889" s="186">
        <f t="shared" si="54"/>
        <v>45833</v>
      </c>
      <c r="L889" s="408" t="s">
        <v>5015</v>
      </c>
      <c r="M889" s="408" t="s">
        <v>5015</v>
      </c>
      <c r="N889" s="3" t="str">
        <f t="shared" si="55"/>
        <v/>
      </c>
    </row>
    <row r="890" spans="1:21">
      <c r="A890" s="3">
        <v>5801</v>
      </c>
      <c r="B890" s="82">
        <f t="array" ref="B890">SUM(--(FREQUENCY(IF(C$2:C$3071=C890, MATCH(D$2:D$3071, D$2:D$3071, 0)), ROW(D$2:D$3071)-ROW(D$2)+1) &gt; 0))</f>
        <v>43</v>
      </c>
      <c r="C890" s="3">
        <v>41200046</v>
      </c>
      <c r="D890" s="417" t="s">
        <v>5036</v>
      </c>
      <c r="E890" s="408" t="s">
        <v>5037</v>
      </c>
      <c r="F890" s="408" t="s">
        <v>5013</v>
      </c>
      <c r="G890" s="68" t="str">
        <f t="shared" si="53"/>
        <v>DUAL</v>
      </c>
      <c r="H890" s="197">
        <f t="shared" si="52"/>
        <v>26</v>
      </c>
      <c r="I890" s="197">
        <v>6</v>
      </c>
      <c r="J890" s="197">
        <v>25</v>
      </c>
      <c r="K890" s="186">
        <f t="shared" si="54"/>
        <v>45833</v>
      </c>
      <c r="L890" s="408" t="s">
        <v>5014</v>
      </c>
      <c r="M890" s="408" t="s">
        <v>5018</v>
      </c>
      <c r="N890" s="3" t="str">
        <f t="shared" si="55"/>
        <v/>
      </c>
    </row>
    <row r="891" spans="1:21">
      <c r="A891" s="3">
        <v>5707</v>
      </c>
      <c r="B891" s="82">
        <f t="array" ref="B891">SUM(--(FREQUENCY(IF(C$2:C$3071=C891, MATCH(D$2:D$3071, D$2:D$3071, 0)), ROW(D$2:D$3071)-ROW(D$2)+1) &gt; 0))</f>
        <v>2</v>
      </c>
      <c r="C891" s="3">
        <v>41200092</v>
      </c>
      <c r="D891" s="417" t="s">
        <v>5038</v>
      </c>
      <c r="E891" s="408" t="s">
        <v>5012</v>
      </c>
      <c r="F891" s="408" t="s">
        <v>5013</v>
      </c>
      <c r="G891" s="68" t="str">
        <f t="shared" si="53"/>
        <v>DUAL</v>
      </c>
      <c r="H891" s="197">
        <f t="shared" si="52"/>
        <v>26</v>
      </c>
      <c r="I891" s="197">
        <v>6</v>
      </c>
      <c r="J891" s="197">
        <v>25</v>
      </c>
      <c r="K891" s="186">
        <f t="shared" si="54"/>
        <v>45833</v>
      </c>
      <c r="L891" s="408" t="s">
        <v>5020</v>
      </c>
      <c r="M891" s="408" t="s">
        <v>2388</v>
      </c>
      <c r="N891" s="3" t="str">
        <f t="shared" si="55"/>
        <v/>
      </c>
    </row>
    <row r="892" spans="1:21">
      <c r="A892" s="3">
        <v>5351</v>
      </c>
      <c r="B892" s="82">
        <f t="array" ref="B892">SUM(--(FREQUENCY(IF(C$2:C$3071=C892, MATCH(D$2:D$3071, D$2:D$3071, 0)), ROW(D$2:D$3071)-ROW(D$2)+1) &gt; 0))</f>
        <v>77</v>
      </c>
      <c r="C892" s="3">
        <v>41200076</v>
      </c>
      <c r="D892" s="417" t="s">
        <v>5039</v>
      </c>
      <c r="E892" s="408" t="s">
        <v>5023</v>
      </c>
      <c r="F892" s="408" t="s">
        <v>5013</v>
      </c>
      <c r="G892" s="68" t="str">
        <f t="shared" si="53"/>
        <v>DUAL</v>
      </c>
      <c r="H892" s="197">
        <f t="shared" si="52"/>
        <v>26</v>
      </c>
      <c r="I892" s="197">
        <v>6</v>
      </c>
      <c r="J892" s="197">
        <v>26</v>
      </c>
      <c r="K892" s="186">
        <f t="shared" si="54"/>
        <v>45834</v>
      </c>
      <c r="L892" s="408" t="s">
        <v>5014</v>
      </c>
      <c r="M892" s="408" t="s">
        <v>5015</v>
      </c>
      <c r="N892" s="3" t="str">
        <f t="shared" si="55"/>
        <v/>
      </c>
    </row>
    <row r="893" spans="1:21">
      <c r="A893" s="3">
        <v>5802</v>
      </c>
      <c r="B893" s="82">
        <f t="array" ref="B893">SUM(--(FREQUENCY(IF(C$2:C$3071=C893, MATCH(D$2:D$3071, D$2:D$3071, 0)), ROW(D$2:D$3071)-ROW(D$2)+1) &gt; 0))</f>
        <v>51</v>
      </c>
      <c r="C893" s="3">
        <v>41200034</v>
      </c>
      <c r="D893" s="417" t="s">
        <v>5040</v>
      </c>
      <c r="E893" s="408" t="s">
        <v>5037</v>
      </c>
      <c r="F893" s="408" t="s">
        <v>5013</v>
      </c>
      <c r="G893" s="68" t="str">
        <f t="shared" si="53"/>
        <v>DUAL</v>
      </c>
      <c r="H893" s="197">
        <f t="shared" si="52"/>
        <v>26</v>
      </c>
      <c r="I893" s="197">
        <v>6</v>
      </c>
      <c r="J893" s="197">
        <v>26</v>
      </c>
      <c r="K893" s="186">
        <f t="shared" si="54"/>
        <v>45834</v>
      </c>
      <c r="L893" s="408" t="s">
        <v>5014</v>
      </c>
      <c r="M893" s="408" t="s">
        <v>5015</v>
      </c>
      <c r="N893" s="3" t="str">
        <f t="shared" si="55"/>
        <v/>
      </c>
    </row>
    <row r="894" spans="1:21">
      <c r="A894" s="3">
        <v>5708</v>
      </c>
      <c r="B894" s="82">
        <f t="array" ref="B894">SUM(--(FREQUENCY(IF(C$2:C$3071=C894, MATCH(D$2:D$3071, D$2:D$3071, 0)), ROW(D$2:D$3071)-ROW(D$2)+1) &gt; 0))</f>
        <v>11</v>
      </c>
      <c r="C894" s="3">
        <v>41200105</v>
      </c>
      <c r="D894" s="417" t="s">
        <v>5041</v>
      </c>
      <c r="E894" s="408" t="s">
        <v>5042</v>
      </c>
      <c r="F894" s="408" t="s">
        <v>5013</v>
      </c>
      <c r="G894" s="68" t="str">
        <f t="shared" si="53"/>
        <v>DUAL</v>
      </c>
      <c r="H894" s="197">
        <f t="shared" si="52"/>
        <v>26</v>
      </c>
      <c r="I894" s="197">
        <v>6</v>
      </c>
      <c r="J894" s="197">
        <v>26</v>
      </c>
      <c r="K894" s="186">
        <f t="shared" si="54"/>
        <v>45834</v>
      </c>
      <c r="L894" s="408" t="s">
        <v>5014</v>
      </c>
      <c r="M894" s="408" t="s">
        <v>2383</v>
      </c>
      <c r="N894" s="3" t="str">
        <f t="shared" si="55"/>
        <v/>
      </c>
    </row>
    <row r="895" spans="1:21">
      <c r="A895" s="3">
        <v>5654</v>
      </c>
      <c r="B895" s="82">
        <f t="array" ref="B895">SUM(--(FREQUENCY(IF(C$2:C$3071=C895, MATCH(D$2:D$3071, D$2:D$3071, 0)), ROW(D$2:D$3071)-ROW(D$2)+1) &gt; 0))</f>
        <v>32</v>
      </c>
      <c r="C895" s="3">
        <v>41200122</v>
      </c>
      <c r="D895" s="417" t="s">
        <v>5043</v>
      </c>
      <c r="E895" s="408" t="s">
        <v>5023</v>
      </c>
      <c r="F895" s="408" t="s">
        <v>5013</v>
      </c>
      <c r="G895" s="68" t="str">
        <f t="shared" si="53"/>
        <v>DUAL</v>
      </c>
      <c r="H895" s="197">
        <f t="shared" si="52"/>
        <v>26</v>
      </c>
      <c r="I895" s="197">
        <v>6</v>
      </c>
      <c r="J895" s="197">
        <v>26</v>
      </c>
      <c r="K895" s="186">
        <f t="shared" si="54"/>
        <v>45834</v>
      </c>
      <c r="L895" s="408" t="s">
        <v>5020</v>
      </c>
      <c r="M895" s="408" t="s">
        <v>2388</v>
      </c>
      <c r="N895" s="3" t="str">
        <f t="shared" si="55"/>
        <v>NG</v>
      </c>
      <c r="O895" s="43" t="s">
        <v>1568</v>
      </c>
      <c r="P895" s="43" t="s">
        <v>4927</v>
      </c>
      <c r="Q895" s="43">
        <v>11002283</v>
      </c>
      <c r="R895" s="43" t="s">
        <v>4105</v>
      </c>
      <c r="S895" s="43" t="s">
        <v>5044</v>
      </c>
    </row>
    <row r="896" spans="1:21">
      <c r="A896" s="3">
        <v>5820</v>
      </c>
      <c r="B896" s="82">
        <f t="array" ref="B896">SUM(--(FREQUENCY(IF(C$2:C$3071=C896, MATCH(D$2:D$3071, D$2:D$3071, 0)), ROW(D$2:D$3071)-ROW(D$2)+1) &gt; 0))</f>
        <v>26</v>
      </c>
      <c r="C896" s="3">
        <v>41000590</v>
      </c>
      <c r="D896" s="417" t="s">
        <v>5045</v>
      </c>
      <c r="E896" s="408" t="s">
        <v>4988</v>
      </c>
      <c r="F896" s="408" t="s">
        <v>4989</v>
      </c>
      <c r="G896" s="68" t="str">
        <f t="shared" si="53"/>
        <v>SINGLE</v>
      </c>
      <c r="H896" s="197">
        <f t="shared" si="52"/>
        <v>26</v>
      </c>
      <c r="I896" s="197">
        <v>6</v>
      </c>
      <c r="J896" s="197">
        <v>27</v>
      </c>
      <c r="K896" s="186">
        <f t="shared" si="54"/>
        <v>45835</v>
      </c>
      <c r="L896" s="408" t="s">
        <v>2381</v>
      </c>
      <c r="M896" s="408" t="s">
        <v>2367</v>
      </c>
      <c r="N896" s="3" t="str">
        <f t="shared" si="55"/>
        <v/>
      </c>
    </row>
    <row r="897" spans="1:21">
      <c r="A897" s="3">
        <v>5820</v>
      </c>
      <c r="B897" s="82">
        <f t="array" ref="B897">SUM(--(FREQUENCY(IF(C$2:C$3071=C897, MATCH(D$2:D$3071, D$2:D$3071, 0)), ROW(D$2:D$3071)-ROW(D$2)+1) &gt; 0))</f>
        <v>26</v>
      </c>
      <c r="C897" s="3">
        <v>41000590</v>
      </c>
      <c r="D897" s="417" t="s">
        <v>5046</v>
      </c>
      <c r="E897" s="408" t="s">
        <v>4988</v>
      </c>
      <c r="F897" s="408" t="s">
        <v>4989</v>
      </c>
      <c r="G897" s="68" t="str">
        <f t="shared" si="53"/>
        <v>SINGLE</v>
      </c>
      <c r="H897" s="197">
        <f t="shared" ref="H897:H960" si="56">WEEKNUM(K897)</f>
        <v>26</v>
      </c>
      <c r="I897" s="197">
        <v>6</v>
      </c>
      <c r="J897" s="197">
        <v>27</v>
      </c>
      <c r="K897" s="186">
        <f t="shared" si="54"/>
        <v>45835</v>
      </c>
      <c r="L897" s="408" t="s">
        <v>2381</v>
      </c>
      <c r="M897" s="408" t="s">
        <v>2367</v>
      </c>
      <c r="N897" s="3" t="str">
        <f t="shared" si="55"/>
        <v/>
      </c>
    </row>
    <row r="898" spans="1:21" s="67" customFormat="1">
      <c r="A898" s="68">
        <v>5801</v>
      </c>
      <c r="B898" s="82">
        <f t="array" ref="B898">SUM(--(FREQUENCY(IF(C$2:C$3071=C898, MATCH(D$2:D$3071, D$2:D$3071, 0)), ROW(D$2:D$3071)-ROW(D$2)+1) &gt; 0))</f>
        <v>43</v>
      </c>
      <c r="C898" s="68">
        <v>41200046</v>
      </c>
      <c r="D898" s="68" t="s">
        <v>5047</v>
      </c>
      <c r="E898" s="68" t="s">
        <v>4135</v>
      </c>
      <c r="F898" s="68" t="s">
        <v>4112</v>
      </c>
      <c r="G898" s="68" t="str">
        <f t="shared" ref="G898:G961" si="57">IF(OR(ISNUMBER(SEARCH("DUAL",F898)), ISNUMBER(SEARCH("IVAS",F898))), "DUAL", "SINGLE")</f>
        <v>DUAL</v>
      </c>
      <c r="H898" s="197">
        <f t="shared" si="56"/>
        <v>26</v>
      </c>
      <c r="I898" s="210">
        <v>6</v>
      </c>
      <c r="J898" s="210">
        <v>27</v>
      </c>
      <c r="K898" s="186">
        <f t="shared" ref="K898:K961" si="58">DATE(2025, I898, J898)</f>
        <v>45835</v>
      </c>
      <c r="L898" s="68" t="s">
        <v>2381</v>
      </c>
      <c r="M898" s="68" t="s">
        <v>2383</v>
      </c>
      <c r="N898" s="3" t="str">
        <f t="shared" ref="N898:N961" si="59">IF(O898&lt;&gt;"", "NG", "")</f>
        <v/>
      </c>
      <c r="O898" s="68"/>
      <c r="P898" s="68"/>
      <c r="Q898" s="68"/>
      <c r="R898" s="68"/>
      <c r="S898" s="68"/>
      <c r="T898" s="68"/>
      <c r="U898" s="68"/>
    </row>
    <row r="899" spans="1:21" s="67" customFormat="1">
      <c r="A899" s="68">
        <v>5801</v>
      </c>
      <c r="B899" s="82">
        <f t="array" ref="B899">SUM(--(FREQUENCY(IF(C$2:C$3071=C899, MATCH(D$2:D$3071, D$2:D$3071, 0)), ROW(D$2:D$3071)-ROW(D$2)+1) &gt; 0))</f>
        <v>43</v>
      </c>
      <c r="C899" s="68">
        <v>41200046</v>
      </c>
      <c r="D899" s="68" t="s">
        <v>5048</v>
      </c>
      <c r="E899" s="68" t="s">
        <v>4135</v>
      </c>
      <c r="F899" s="68" t="s">
        <v>4112</v>
      </c>
      <c r="G899" s="68" t="str">
        <f t="shared" si="57"/>
        <v>DUAL</v>
      </c>
      <c r="H899" s="197">
        <f t="shared" si="56"/>
        <v>26</v>
      </c>
      <c r="I899" s="210">
        <v>6</v>
      </c>
      <c r="J899" s="210">
        <v>27</v>
      </c>
      <c r="K899" s="186">
        <f t="shared" si="58"/>
        <v>45835</v>
      </c>
      <c r="L899" s="68" t="s">
        <v>2381</v>
      </c>
      <c r="M899" s="68" t="s">
        <v>2383</v>
      </c>
      <c r="N899" s="3" t="str">
        <f t="shared" si="59"/>
        <v/>
      </c>
      <c r="O899" s="68"/>
      <c r="P899" s="68"/>
      <c r="Q899" s="68"/>
      <c r="R899" s="68"/>
      <c r="S899" s="68"/>
      <c r="T899" s="68"/>
      <c r="U899" s="68"/>
    </row>
    <row r="900" spans="1:21" s="67" customFormat="1">
      <c r="A900" s="68">
        <v>5801</v>
      </c>
      <c r="B900" s="82">
        <f t="array" ref="B900">SUM(--(FREQUENCY(IF(C$2:C$3071=C900, MATCH(D$2:D$3071, D$2:D$3071, 0)), ROW(D$2:D$3071)-ROW(D$2)+1) &gt; 0))</f>
        <v>43</v>
      </c>
      <c r="C900" s="68">
        <v>41200046</v>
      </c>
      <c r="D900" s="68" t="s">
        <v>5049</v>
      </c>
      <c r="E900" s="68" t="s">
        <v>4135</v>
      </c>
      <c r="F900" s="68" t="s">
        <v>4112</v>
      </c>
      <c r="G900" s="68" t="str">
        <f t="shared" si="57"/>
        <v>DUAL</v>
      </c>
      <c r="H900" s="197">
        <f t="shared" si="56"/>
        <v>26</v>
      </c>
      <c r="I900" s="210">
        <v>6</v>
      </c>
      <c r="J900" s="210">
        <v>27</v>
      </c>
      <c r="K900" s="186">
        <f t="shared" si="58"/>
        <v>45835</v>
      </c>
      <c r="L900" s="68" t="s">
        <v>2381</v>
      </c>
      <c r="M900" s="68" t="s">
        <v>2383</v>
      </c>
      <c r="N900" s="3" t="str">
        <f t="shared" si="59"/>
        <v/>
      </c>
      <c r="O900" s="68"/>
      <c r="P900" s="68"/>
      <c r="Q900" s="68"/>
      <c r="R900" s="68"/>
      <c r="S900" s="68"/>
      <c r="T900" s="68"/>
      <c r="U900" s="68"/>
    </row>
    <row r="901" spans="1:21" s="68" customFormat="1">
      <c r="A901" s="68">
        <v>5818</v>
      </c>
      <c r="B901" s="83">
        <f t="array" ref="B901">SUM(--(FREQUENCY(IF(C$2:C$3074=C901, MATCH(D$2:D$3074, D$2:D$3074, 0)), ROW(D$2:D$3074)-ROW(D$2)+1) &gt; 0))</f>
        <v>32</v>
      </c>
      <c r="C901" s="68">
        <v>41200127</v>
      </c>
      <c r="D901" s="68" t="s">
        <v>2378</v>
      </c>
      <c r="E901" s="68" t="s">
        <v>2379</v>
      </c>
      <c r="F901" s="68" t="s">
        <v>2380</v>
      </c>
      <c r="G901" s="68" t="str">
        <f t="shared" si="57"/>
        <v>SINGLE</v>
      </c>
      <c r="H901" s="197">
        <f t="shared" si="56"/>
        <v>27</v>
      </c>
      <c r="I901" s="210">
        <v>6</v>
      </c>
      <c r="J901" s="210">
        <v>30</v>
      </c>
      <c r="K901" s="186">
        <f t="shared" si="58"/>
        <v>45838</v>
      </c>
      <c r="L901" s="68" t="s">
        <v>2381</v>
      </c>
      <c r="M901" s="68" t="s">
        <v>2367</v>
      </c>
      <c r="N901" s="3" t="str">
        <f t="shared" si="59"/>
        <v/>
      </c>
    </row>
    <row r="902" spans="1:21" s="41" customFormat="1">
      <c r="A902" s="68">
        <v>5818</v>
      </c>
      <c r="B902" s="83">
        <f t="array" ref="B902">SUM(--(FREQUENCY(IF(C$2:C$3074=C902, MATCH(D$2:D$3074, D$2:D$3074, 0)), ROW(D$2:D$3074)-ROW(D$2)+1) &gt; 0))</f>
        <v>32</v>
      </c>
      <c r="C902" s="68">
        <v>41200127</v>
      </c>
      <c r="D902" s="68" t="s">
        <v>2382</v>
      </c>
      <c r="E902" s="68" t="s">
        <v>2379</v>
      </c>
      <c r="F902" s="68" t="s">
        <v>2380</v>
      </c>
      <c r="G902" s="68" t="str">
        <f t="shared" si="57"/>
        <v>SINGLE</v>
      </c>
      <c r="H902" s="197">
        <f t="shared" si="56"/>
        <v>27</v>
      </c>
      <c r="I902" s="210">
        <v>6</v>
      </c>
      <c r="J902" s="210">
        <v>30</v>
      </c>
      <c r="K902" s="186">
        <f t="shared" si="58"/>
        <v>45838</v>
      </c>
      <c r="L902" s="68" t="s">
        <v>2381</v>
      </c>
      <c r="M902" s="68" t="s">
        <v>2383</v>
      </c>
      <c r="N902" s="3" t="str">
        <f t="shared" si="59"/>
        <v/>
      </c>
      <c r="O902" s="68"/>
      <c r="P902" s="68"/>
      <c r="Q902" s="68"/>
      <c r="R902" s="68"/>
      <c r="S902" s="68"/>
      <c r="T902" s="68"/>
      <c r="U902" s="68"/>
    </row>
    <row r="903" spans="1:21" s="41" customFormat="1">
      <c r="A903" s="68">
        <v>5818</v>
      </c>
      <c r="B903" s="83">
        <f t="array" ref="B903">SUM(--(FREQUENCY(IF(C$2:C$3074=C903, MATCH(D$2:D$3074, D$2:D$3074, 0)), ROW(D$2:D$3074)-ROW(D$2)+1) &gt; 0))</f>
        <v>32</v>
      </c>
      <c r="C903" s="68">
        <v>41200127</v>
      </c>
      <c r="D903" s="68" t="s">
        <v>2386</v>
      </c>
      <c r="E903" s="68" t="s">
        <v>2379</v>
      </c>
      <c r="F903" s="68" t="s">
        <v>2380</v>
      </c>
      <c r="G903" s="68" t="str">
        <f t="shared" si="57"/>
        <v>SINGLE</v>
      </c>
      <c r="H903" s="197">
        <f t="shared" si="56"/>
        <v>27</v>
      </c>
      <c r="I903" s="210">
        <v>6</v>
      </c>
      <c r="J903" s="210">
        <v>30</v>
      </c>
      <c r="K903" s="186">
        <f t="shared" si="58"/>
        <v>45838</v>
      </c>
      <c r="L903" s="68" t="s">
        <v>2381</v>
      </c>
      <c r="M903" s="68" t="s">
        <v>2383</v>
      </c>
      <c r="N903" s="3" t="str">
        <f t="shared" si="59"/>
        <v/>
      </c>
      <c r="O903" s="68"/>
      <c r="P903" s="68"/>
      <c r="Q903" s="68"/>
      <c r="R903" s="68"/>
      <c r="S903" s="68"/>
      <c r="T903" s="68"/>
      <c r="U903" s="68"/>
    </row>
    <row r="904" spans="1:21" s="41" customFormat="1">
      <c r="A904" s="68">
        <v>5815</v>
      </c>
      <c r="B904" s="83">
        <f t="array" ref="B904">SUM(--(FREQUENCY(IF(C$2:C$3074=C904, MATCH(D$2:D$3074, D$2:D$3074, 0)), ROW(D$2:D$3074)-ROW(D$2)+1) &gt; 0))</f>
        <v>25</v>
      </c>
      <c r="C904" s="68">
        <v>41200128</v>
      </c>
      <c r="D904" s="68" t="s">
        <v>2387</v>
      </c>
      <c r="E904" s="68" t="s">
        <v>2379</v>
      </c>
      <c r="F904" s="68" t="s">
        <v>2380</v>
      </c>
      <c r="G904" s="68" t="str">
        <f t="shared" si="57"/>
        <v>SINGLE</v>
      </c>
      <c r="H904" s="197">
        <f t="shared" si="56"/>
        <v>27</v>
      </c>
      <c r="I904" s="210">
        <v>6</v>
      </c>
      <c r="J904" s="210">
        <v>30</v>
      </c>
      <c r="K904" s="186">
        <f t="shared" si="58"/>
        <v>45838</v>
      </c>
      <c r="L904" s="68" t="s">
        <v>1465</v>
      </c>
      <c r="M904" s="68" t="s">
        <v>2388</v>
      </c>
      <c r="N904" s="3" t="str">
        <f t="shared" si="59"/>
        <v/>
      </c>
      <c r="O904" s="68"/>
      <c r="P904" s="68"/>
      <c r="Q904" s="68"/>
      <c r="R904" s="294"/>
      <c r="S904" s="294"/>
      <c r="T904" s="68"/>
      <c r="U904" s="68"/>
    </row>
    <row r="905" spans="1:21" s="41" customFormat="1">
      <c r="A905" s="68">
        <v>5815</v>
      </c>
      <c r="B905" s="83">
        <f t="array" ref="B905">SUM(--(FREQUENCY(IF(C$2:C$3074=C905, MATCH(D$2:D$3074, D$2:D$3074, 0)), ROW(D$2:D$3074)-ROW(D$2)+1) &gt; 0))</f>
        <v>25</v>
      </c>
      <c r="C905" s="68">
        <v>41200128</v>
      </c>
      <c r="D905" s="68" t="s">
        <v>2389</v>
      </c>
      <c r="E905" s="68" t="s">
        <v>2379</v>
      </c>
      <c r="F905" s="68" t="s">
        <v>2380</v>
      </c>
      <c r="G905" s="68" t="str">
        <f t="shared" si="57"/>
        <v>SINGLE</v>
      </c>
      <c r="H905" s="197">
        <f t="shared" si="56"/>
        <v>27</v>
      </c>
      <c r="I905" s="210">
        <v>6</v>
      </c>
      <c r="J905" s="210">
        <v>30</v>
      </c>
      <c r="K905" s="186">
        <f t="shared" si="58"/>
        <v>45838</v>
      </c>
      <c r="L905" s="68" t="s">
        <v>1465</v>
      </c>
      <c r="M905" s="68" t="s">
        <v>2388</v>
      </c>
      <c r="N905" s="3" t="str">
        <f t="shared" si="59"/>
        <v/>
      </c>
      <c r="O905" s="68"/>
      <c r="P905" s="68"/>
      <c r="Q905" s="68"/>
      <c r="R905" s="294"/>
      <c r="S905" s="294"/>
      <c r="T905" s="68"/>
      <c r="U905" s="68"/>
    </row>
    <row r="906" spans="1:21" s="68" customFormat="1">
      <c r="A906" s="68">
        <v>5767</v>
      </c>
      <c r="B906" s="83">
        <f t="array" ref="B906">SUM(--(FREQUENCY(IF(C$2:C$3074=C906, MATCH(D$2:D$3074, D$2:D$3074, 0)), ROW(D$2:D$3074)-ROW(D$2)+1) &gt; 0))</f>
        <v>26</v>
      </c>
      <c r="C906" s="68">
        <v>41200074</v>
      </c>
      <c r="D906" s="68" t="s">
        <v>2364</v>
      </c>
      <c r="E906" s="68" t="s">
        <v>2365</v>
      </c>
      <c r="F906" s="68" t="s">
        <v>2366</v>
      </c>
      <c r="G906" s="68" t="str">
        <f t="shared" si="57"/>
        <v>DUAL</v>
      </c>
      <c r="H906" s="197">
        <f t="shared" si="56"/>
        <v>27</v>
      </c>
      <c r="I906" s="210">
        <v>6</v>
      </c>
      <c r="J906" s="210">
        <v>30</v>
      </c>
      <c r="K906" s="186">
        <f t="shared" si="58"/>
        <v>45838</v>
      </c>
      <c r="L906" s="68" t="s">
        <v>1465</v>
      </c>
      <c r="M906" s="68" t="s">
        <v>2367</v>
      </c>
      <c r="N906" s="3" t="str">
        <f t="shared" si="59"/>
        <v/>
      </c>
    </row>
    <row r="907" spans="1:21" s="68" customFormat="1">
      <c r="A907" s="41">
        <v>5767</v>
      </c>
      <c r="B907" s="123">
        <f t="array" ref="B907">SUM(--(FREQUENCY(IF(C$2:C$3074=C907, MATCH(D$2:D$3074, D$2:D$3074, 0)), ROW(D$2:D$3074)-ROW(D$2)+1) &gt; 0))</f>
        <v>26</v>
      </c>
      <c r="C907" s="41">
        <v>41200074</v>
      </c>
      <c r="D907" s="41" t="s">
        <v>5050</v>
      </c>
      <c r="E907" s="41" t="s">
        <v>2365</v>
      </c>
      <c r="F907" s="41" t="s">
        <v>2366</v>
      </c>
      <c r="G907" s="41" t="str">
        <f t="shared" si="57"/>
        <v>DUAL</v>
      </c>
      <c r="H907" s="197">
        <f t="shared" si="56"/>
        <v>27</v>
      </c>
      <c r="I907" s="209">
        <v>6</v>
      </c>
      <c r="J907" s="209">
        <v>30</v>
      </c>
      <c r="K907" s="186">
        <f t="shared" si="58"/>
        <v>45838</v>
      </c>
      <c r="L907" s="41" t="s">
        <v>4104</v>
      </c>
      <c r="M907" s="41" t="s">
        <v>2367</v>
      </c>
      <c r="N907" s="3" t="str">
        <f t="shared" si="59"/>
        <v>NG</v>
      </c>
      <c r="O907" s="41" t="s">
        <v>1568</v>
      </c>
      <c r="P907" s="41" t="s">
        <v>5051</v>
      </c>
      <c r="Q907" s="41">
        <v>11100477</v>
      </c>
      <c r="R907" s="41" t="s">
        <v>4666</v>
      </c>
      <c r="S907" s="41" t="s">
        <v>5052</v>
      </c>
      <c r="T907" s="41" t="s">
        <v>4454</v>
      </c>
      <c r="U907" s="41"/>
    </row>
    <row r="908" spans="1:21" s="68" customFormat="1">
      <c r="A908" s="41">
        <v>5767</v>
      </c>
      <c r="B908" s="123">
        <f t="array" ref="B908">SUM(--(FREQUENCY(IF(C$2:C$3074=C908, MATCH(D$2:D$3074, D$2:D$3074, 0)), ROW(D$2:D$3074)-ROW(D$2)+1) &gt; 0))</f>
        <v>26</v>
      </c>
      <c r="C908" s="41">
        <v>41200074</v>
      </c>
      <c r="D908" s="41" t="s">
        <v>5050</v>
      </c>
      <c r="E908" s="41" t="s">
        <v>2365</v>
      </c>
      <c r="F908" s="41" t="s">
        <v>2366</v>
      </c>
      <c r="G908" s="41" t="str">
        <f t="shared" si="57"/>
        <v>DUAL</v>
      </c>
      <c r="H908" s="197">
        <f t="shared" si="56"/>
        <v>27</v>
      </c>
      <c r="I908" s="209">
        <v>6</v>
      </c>
      <c r="J908" s="209">
        <v>30</v>
      </c>
      <c r="K908" s="186">
        <f t="shared" si="58"/>
        <v>45838</v>
      </c>
      <c r="L908" s="41" t="s">
        <v>4104</v>
      </c>
      <c r="M908" s="41" t="s">
        <v>2367</v>
      </c>
      <c r="N908" s="3" t="str">
        <f t="shared" si="59"/>
        <v>NG</v>
      </c>
      <c r="O908" s="41" t="s">
        <v>1568</v>
      </c>
      <c r="P908" s="41" t="s">
        <v>5051</v>
      </c>
      <c r="Q908" s="41">
        <v>11000206</v>
      </c>
      <c r="R908" s="41" t="s">
        <v>4742</v>
      </c>
      <c r="S908" s="41" t="s">
        <v>5053</v>
      </c>
      <c r="T908" s="41" t="s">
        <v>4454</v>
      </c>
      <c r="U908" s="41"/>
    </row>
    <row r="909" spans="1:21" s="68" customFormat="1">
      <c r="A909" s="41">
        <v>5767</v>
      </c>
      <c r="B909" s="123">
        <f t="array" ref="B909">SUM(--(FREQUENCY(IF(C$2:C$3074=C909, MATCH(D$2:D$3074, D$2:D$3074, 0)), ROW(D$2:D$3074)-ROW(D$2)+1) &gt; 0))</f>
        <v>26</v>
      </c>
      <c r="C909" s="41">
        <v>41200074</v>
      </c>
      <c r="D909" s="41" t="s">
        <v>5050</v>
      </c>
      <c r="E909" s="41" t="s">
        <v>2365</v>
      </c>
      <c r="F909" s="41" t="s">
        <v>2366</v>
      </c>
      <c r="G909" s="41" t="str">
        <f t="shared" si="57"/>
        <v>DUAL</v>
      </c>
      <c r="H909" s="197">
        <f t="shared" si="56"/>
        <v>27</v>
      </c>
      <c r="I909" s="209">
        <v>6</v>
      </c>
      <c r="J909" s="209">
        <v>30</v>
      </c>
      <c r="K909" s="186">
        <f t="shared" si="58"/>
        <v>45838</v>
      </c>
      <c r="L909" s="41" t="s">
        <v>4104</v>
      </c>
      <c r="M909" s="41" t="s">
        <v>2367</v>
      </c>
      <c r="N909" s="3" t="str">
        <f t="shared" si="59"/>
        <v>NG</v>
      </c>
      <c r="O909" s="41" t="s">
        <v>1568</v>
      </c>
      <c r="P909" s="41" t="s">
        <v>4927</v>
      </c>
      <c r="Q909" s="41">
        <v>11002283</v>
      </c>
      <c r="R909" s="41" t="s">
        <v>4105</v>
      </c>
      <c r="S909" s="41" t="s">
        <v>5054</v>
      </c>
      <c r="T909" s="41" t="s">
        <v>4455</v>
      </c>
      <c r="U909" s="41"/>
    </row>
    <row r="910" spans="1:21" s="68" customFormat="1">
      <c r="A910" s="41">
        <v>5767</v>
      </c>
      <c r="B910" s="123">
        <f t="array" ref="B910">SUM(--(FREQUENCY(IF(C$2:C$3074=C910, MATCH(D$2:D$3074, D$2:D$3074, 0)), ROW(D$2:D$3074)-ROW(D$2)+1) &gt; 0))</f>
        <v>26</v>
      </c>
      <c r="C910" s="41">
        <v>41200074</v>
      </c>
      <c r="D910" s="41" t="s">
        <v>5050</v>
      </c>
      <c r="E910" s="41" t="s">
        <v>2365</v>
      </c>
      <c r="F910" s="41" t="s">
        <v>2366</v>
      </c>
      <c r="G910" s="41" t="str">
        <f t="shared" si="57"/>
        <v>DUAL</v>
      </c>
      <c r="H910" s="197">
        <f t="shared" si="56"/>
        <v>27</v>
      </c>
      <c r="I910" s="209">
        <v>6</v>
      </c>
      <c r="J910" s="209">
        <v>30</v>
      </c>
      <c r="K910" s="186">
        <f t="shared" si="58"/>
        <v>45838</v>
      </c>
      <c r="L910" s="41" t="s">
        <v>4104</v>
      </c>
      <c r="M910" s="41" t="s">
        <v>2367</v>
      </c>
      <c r="N910" s="3" t="str">
        <f t="shared" si="59"/>
        <v>NG</v>
      </c>
      <c r="O910" s="41" t="s">
        <v>1568</v>
      </c>
      <c r="P910" s="41" t="s">
        <v>5055</v>
      </c>
      <c r="Q910" s="41">
        <v>11000085</v>
      </c>
      <c r="R910" s="41" t="s">
        <v>5056</v>
      </c>
      <c r="S910" s="41" t="s">
        <v>5057</v>
      </c>
      <c r="T910" s="41" t="s">
        <v>4454</v>
      </c>
      <c r="U910" s="41"/>
    </row>
    <row r="911" spans="1:21">
      <c r="A911" s="3">
        <v>5672</v>
      </c>
      <c r="B911" s="83">
        <f t="array" ref="B911">SUM(--(FREQUENCY(IF(C$2:C$3074=C911, MATCH(D$2:D$3074, D$2:D$3074, 0)), ROW(D$2:D$3074)-ROW(D$2)+1) &gt; 0))</f>
        <v>30</v>
      </c>
      <c r="C911" s="3">
        <v>41200109</v>
      </c>
      <c r="D911" s="6" t="s">
        <v>2390</v>
      </c>
      <c r="E911" s="3" t="s">
        <v>1585</v>
      </c>
      <c r="F911" s="3" t="s">
        <v>1591</v>
      </c>
      <c r="G911" s="68" t="str">
        <f t="shared" si="57"/>
        <v>SINGLE</v>
      </c>
      <c r="H911" s="197">
        <f t="shared" si="56"/>
        <v>27</v>
      </c>
      <c r="I911" s="197">
        <v>7</v>
      </c>
      <c r="J911" s="197">
        <v>1</v>
      </c>
      <c r="K911" s="186">
        <f t="shared" si="58"/>
        <v>45839</v>
      </c>
      <c r="L911" s="3" t="s">
        <v>2391</v>
      </c>
      <c r="M911" s="3" t="s">
        <v>2392</v>
      </c>
      <c r="N911" s="3" t="str">
        <f t="shared" si="59"/>
        <v/>
      </c>
    </row>
    <row r="912" spans="1:21">
      <c r="A912" s="3">
        <v>5672</v>
      </c>
      <c r="B912" s="83">
        <f t="array" ref="B912">SUM(--(FREQUENCY(IF(C$2:C$3074=C912, MATCH(D$2:D$3074, D$2:D$3074, 0)), ROW(D$2:D$3074)-ROW(D$2)+1) &gt; 0))</f>
        <v>30</v>
      </c>
      <c r="C912" s="3">
        <v>41200109</v>
      </c>
      <c r="D912" s="6" t="s">
        <v>2393</v>
      </c>
      <c r="E912" s="3" t="s">
        <v>1585</v>
      </c>
      <c r="F912" s="3" t="s">
        <v>1591</v>
      </c>
      <c r="G912" s="68" t="str">
        <f t="shared" si="57"/>
        <v>SINGLE</v>
      </c>
      <c r="H912" s="197">
        <f t="shared" si="56"/>
        <v>27</v>
      </c>
      <c r="I912" s="197">
        <v>7</v>
      </c>
      <c r="J912" s="197">
        <v>1</v>
      </c>
      <c r="K912" s="186">
        <f t="shared" si="58"/>
        <v>45839</v>
      </c>
      <c r="L912" s="3" t="s">
        <v>2391</v>
      </c>
      <c r="M912" s="3" t="s">
        <v>2392</v>
      </c>
      <c r="N912" s="3" t="str">
        <f t="shared" si="59"/>
        <v/>
      </c>
    </row>
    <row r="913" spans="1:20">
      <c r="A913" s="3">
        <v>5790</v>
      </c>
      <c r="B913" s="83">
        <f t="array" ref="B913">SUM(--(FREQUENCY(IF(C$2:C$3074=C913, MATCH(D$2:D$3074, D$2:D$3074, 0)), ROW(D$2:D$3074)-ROW(D$2)+1) &gt; 0))</f>
        <v>2</v>
      </c>
      <c r="C913" s="3">
        <v>41200150</v>
      </c>
      <c r="D913" s="6" t="s">
        <v>2394</v>
      </c>
      <c r="E913" s="3" t="s">
        <v>1424</v>
      </c>
      <c r="F913" s="3" t="s">
        <v>1476</v>
      </c>
      <c r="G913" s="68" t="str">
        <f t="shared" si="57"/>
        <v>DUAL</v>
      </c>
      <c r="H913" s="197">
        <f t="shared" si="56"/>
        <v>27</v>
      </c>
      <c r="I913" s="197">
        <v>7</v>
      </c>
      <c r="J913" s="197">
        <v>1</v>
      </c>
      <c r="K913" s="186">
        <f t="shared" si="58"/>
        <v>45839</v>
      </c>
      <c r="L913" s="3" t="s">
        <v>2395</v>
      </c>
      <c r="M913" s="3" t="s">
        <v>2392</v>
      </c>
      <c r="N913" s="3" t="str">
        <f t="shared" si="59"/>
        <v>NG</v>
      </c>
      <c r="O913" s="3" t="s">
        <v>1569</v>
      </c>
      <c r="P913" s="3" t="s">
        <v>1385</v>
      </c>
      <c r="Q913" s="3">
        <v>13001369</v>
      </c>
      <c r="R913" s="3" t="s">
        <v>651</v>
      </c>
      <c r="S913" s="3" t="s">
        <v>5058</v>
      </c>
      <c r="T913" s="3" t="s">
        <v>2705</v>
      </c>
    </row>
    <row r="914" spans="1:20">
      <c r="A914" s="3">
        <v>5787</v>
      </c>
      <c r="B914" s="83">
        <f t="array" ref="B914">SUM(--(FREQUENCY(IF(C$2:C$3074=C914, MATCH(D$2:D$3074, D$2:D$3074, 0)), ROW(D$2:D$3074)-ROW(D$2)+1) &gt; 0))</f>
        <v>51</v>
      </c>
      <c r="C914" s="3">
        <v>41200034</v>
      </c>
      <c r="D914" s="6" t="s">
        <v>2396</v>
      </c>
      <c r="E914" s="3" t="s">
        <v>1426</v>
      </c>
      <c r="F914" s="3" t="s">
        <v>1476</v>
      </c>
      <c r="G914" s="68" t="str">
        <f t="shared" si="57"/>
        <v>DUAL</v>
      </c>
      <c r="H914" s="197">
        <f t="shared" si="56"/>
        <v>27</v>
      </c>
      <c r="I914" s="197">
        <v>7</v>
      </c>
      <c r="J914" s="197">
        <v>1</v>
      </c>
      <c r="K914" s="186">
        <f t="shared" si="58"/>
        <v>45839</v>
      </c>
      <c r="L914" s="3" t="s">
        <v>2395</v>
      </c>
      <c r="M914" s="3" t="s">
        <v>1469</v>
      </c>
      <c r="N914" s="3" t="str">
        <f t="shared" si="59"/>
        <v/>
      </c>
    </row>
    <row r="915" spans="1:20">
      <c r="A915" s="3">
        <v>5787</v>
      </c>
      <c r="B915" s="83">
        <f t="array" ref="B915">SUM(--(FREQUENCY(IF(C$2:C$3074=C915, MATCH(D$2:D$3074, D$2:D$3074, 0)), ROW(D$2:D$3074)-ROW(D$2)+1) &gt; 0))</f>
        <v>51</v>
      </c>
      <c r="C915" s="3">
        <v>41200034</v>
      </c>
      <c r="D915" s="6" t="s">
        <v>2397</v>
      </c>
      <c r="E915" s="3" t="s">
        <v>1426</v>
      </c>
      <c r="F915" s="3" t="s">
        <v>1476</v>
      </c>
      <c r="G915" s="68" t="str">
        <f t="shared" si="57"/>
        <v>DUAL</v>
      </c>
      <c r="H915" s="197">
        <f t="shared" si="56"/>
        <v>27</v>
      </c>
      <c r="I915" s="197">
        <v>7</v>
      </c>
      <c r="J915" s="197">
        <v>1</v>
      </c>
      <c r="K915" s="186">
        <f t="shared" si="58"/>
        <v>45839</v>
      </c>
      <c r="L915" s="3" t="s">
        <v>2395</v>
      </c>
      <c r="M915" s="3" t="s">
        <v>1469</v>
      </c>
      <c r="N915" s="3" t="str">
        <f t="shared" si="59"/>
        <v/>
      </c>
    </row>
    <row r="916" spans="1:20">
      <c r="A916" s="3">
        <v>5782</v>
      </c>
      <c r="B916" s="83">
        <f t="array" ref="B916">SUM(--(FREQUENCY(IF(C$2:C$3074=C916, MATCH(D$2:D$3074, D$2:D$3074, 0)), ROW(D$2:D$3074)-ROW(D$2)+1) &gt; 0))</f>
        <v>11</v>
      </c>
      <c r="C916" s="3">
        <v>41200119</v>
      </c>
      <c r="D916" s="6" t="s">
        <v>2398</v>
      </c>
      <c r="E916" s="3" t="s">
        <v>1422</v>
      </c>
      <c r="F916" s="3" t="s">
        <v>1476</v>
      </c>
      <c r="G916" s="41" t="str">
        <f t="shared" si="57"/>
        <v>DUAL</v>
      </c>
      <c r="H916" s="197">
        <f t="shared" si="56"/>
        <v>27</v>
      </c>
      <c r="I916" s="197">
        <v>7</v>
      </c>
      <c r="J916" s="197">
        <v>1</v>
      </c>
      <c r="K916" s="186">
        <f t="shared" si="58"/>
        <v>45839</v>
      </c>
      <c r="L916" s="3" t="s">
        <v>2395</v>
      </c>
      <c r="M916" s="3" t="s">
        <v>1469</v>
      </c>
      <c r="N916" s="3" t="str">
        <f t="shared" si="59"/>
        <v>NG</v>
      </c>
      <c r="O916" s="3" t="s">
        <v>1569</v>
      </c>
      <c r="P916" s="3" t="s">
        <v>1385</v>
      </c>
      <c r="Q916" s="3">
        <v>11003001</v>
      </c>
      <c r="R916" s="3" t="s">
        <v>680</v>
      </c>
      <c r="S916" s="3" t="s">
        <v>5059</v>
      </c>
      <c r="T916" s="3" t="s">
        <v>2493</v>
      </c>
    </row>
    <row r="917" spans="1:20">
      <c r="A917" s="3">
        <v>5782</v>
      </c>
      <c r="B917" s="83">
        <f t="array" ref="B917">SUM(--(FREQUENCY(IF(C$2:C$3074=C917, MATCH(D$2:D$3074, D$2:D$3074, 0)), ROW(D$2:D$3074)-ROW(D$2)+1) &gt; 0))</f>
        <v>11</v>
      </c>
      <c r="C917" s="3">
        <v>41200119</v>
      </c>
      <c r="D917" s="6" t="s">
        <v>2398</v>
      </c>
      <c r="E917" s="3" t="s">
        <v>1422</v>
      </c>
      <c r="F917" s="3" t="s">
        <v>1476</v>
      </c>
      <c r="G917" s="41" t="str">
        <f t="shared" si="57"/>
        <v>DUAL</v>
      </c>
      <c r="H917" s="197">
        <f t="shared" si="56"/>
        <v>27</v>
      </c>
      <c r="I917" s="197">
        <v>7</v>
      </c>
      <c r="J917" s="197">
        <v>1</v>
      </c>
      <c r="K917" s="186">
        <f t="shared" si="58"/>
        <v>45839</v>
      </c>
      <c r="L917" s="3" t="s">
        <v>2395</v>
      </c>
      <c r="M917" s="3" t="s">
        <v>1469</v>
      </c>
      <c r="N917" s="3" t="str">
        <f t="shared" si="59"/>
        <v>NG</v>
      </c>
      <c r="O917" s="3" t="s">
        <v>2368</v>
      </c>
      <c r="P917" s="3" t="s">
        <v>1385</v>
      </c>
      <c r="Q917" s="3">
        <v>13001369</v>
      </c>
      <c r="R917" s="3" t="s">
        <v>651</v>
      </c>
      <c r="S917" s="3" t="s">
        <v>5058</v>
      </c>
      <c r="T917" s="3" t="s">
        <v>2493</v>
      </c>
    </row>
    <row r="918" spans="1:20">
      <c r="A918" s="3">
        <v>5782</v>
      </c>
      <c r="B918" s="83">
        <f t="array" ref="B918">SUM(--(FREQUENCY(IF(C$2:C$3074=C918, MATCH(D$2:D$3074, D$2:D$3074, 0)), ROW(D$2:D$3074)-ROW(D$2)+1) &gt; 0))</f>
        <v>11</v>
      </c>
      <c r="C918" s="3">
        <v>41200119</v>
      </c>
      <c r="D918" s="6" t="s">
        <v>2400</v>
      </c>
      <c r="E918" s="3" t="s">
        <v>1422</v>
      </c>
      <c r="F918" s="3" t="s">
        <v>1476</v>
      </c>
      <c r="G918" s="68" t="str">
        <f t="shared" si="57"/>
        <v>DUAL</v>
      </c>
      <c r="H918" s="197">
        <f t="shared" si="56"/>
        <v>27</v>
      </c>
      <c r="I918" s="197">
        <v>7</v>
      </c>
      <c r="J918" s="197">
        <v>1</v>
      </c>
      <c r="K918" s="186">
        <f t="shared" si="58"/>
        <v>45839</v>
      </c>
      <c r="L918" s="3" t="s">
        <v>2395</v>
      </c>
      <c r="M918" s="3" t="s">
        <v>1469</v>
      </c>
      <c r="N918" s="3" t="str">
        <f t="shared" si="59"/>
        <v/>
      </c>
    </row>
    <row r="919" spans="1:20">
      <c r="A919" s="3">
        <v>5675</v>
      </c>
      <c r="B919" s="83">
        <f t="array" ref="B919">SUM(--(FREQUENCY(IF(C$2:C$3074=C919, MATCH(D$2:D$3074, D$2:D$3074, 0)), ROW(D$2:D$3074)-ROW(D$2)+1) &gt; 0))</f>
        <v>33</v>
      </c>
      <c r="C919" s="3">
        <v>41100435</v>
      </c>
      <c r="D919" s="6" t="s">
        <v>2402</v>
      </c>
      <c r="E919" s="3" t="s">
        <v>1585</v>
      </c>
      <c r="F919" s="3" t="s">
        <v>1482</v>
      </c>
      <c r="G919" s="68" t="str">
        <f t="shared" si="57"/>
        <v>SINGLE</v>
      </c>
      <c r="H919" s="197">
        <f t="shared" si="56"/>
        <v>27</v>
      </c>
      <c r="I919" s="197">
        <v>7</v>
      </c>
      <c r="J919" s="197">
        <v>2</v>
      </c>
      <c r="K919" s="186">
        <f t="shared" si="58"/>
        <v>45840</v>
      </c>
      <c r="L919" s="3" t="s">
        <v>2391</v>
      </c>
      <c r="M919" s="3" t="s">
        <v>2392</v>
      </c>
      <c r="N919" s="3" t="str">
        <f t="shared" si="59"/>
        <v/>
      </c>
    </row>
    <row r="920" spans="1:20">
      <c r="A920" s="3">
        <v>5781</v>
      </c>
      <c r="B920" s="83">
        <f t="array" ref="B920">SUM(--(FREQUENCY(IF(C$2:C$3074=C920, MATCH(D$2:D$3074, D$2:D$3074, 0)), ROW(D$2:D$3074)-ROW(D$2)+1) &gt; 0))</f>
        <v>144</v>
      </c>
      <c r="C920" s="3">
        <v>41200007</v>
      </c>
      <c r="D920" s="292" t="s">
        <v>2403</v>
      </c>
      <c r="E920" s="3" t="s">
        <v>1405</v>
      </c>
      <c r="F920" s="3" t="s">
        <v>1591</v>
      </c>
      <c r="G920" s="68" t="str">
        <f t="shared" si="57"/>
        <v>SINGLE</v>
      </c>
      <c r="H920" s="197">
        <f t="shared" si="56"/>
        <v>27</v>
      </c>
      <c r="I920" s="197">
        <v>7</v>
      </c>
      <c r="J920" s="197">
        <v>2</v>
      </c>
      <c r="K920" s="186">
        <f t="shared" si="58"/>
        <v>45840</v>
      </c>
      <c r="L920" s="3" t="s">
        <v>2395</v>
      </c>
      <c r="M920" s="3" t="s">
        <v>2392</v>
      </c>
      <c r="N920" s="3" t="str">
        <f t="shared" si="59"/>
        <v/>
      </c>
    </row>
    <row r="921" spans="1:20">
      <c r="A921" s="3">
        <v>5781</v>
      </c>
      <c r="B921" s="83">
        <f t="array" ref="B921">SUM(--(FREQUENCY(IF(C$2:C$3074=C921, MATCH(D$2:D$3074, D$2:D$3074, 0)), ROW(D$2:D$3074)-ROW(D$2)+1) &gt; 0))</f>
        <v>144</v>
      </c>
      <c r="C921" s="3">
        <v>41200007</v>
      </c>
      <c r="D921" s="33" t="s">
        <v>2404</v>
      </c>
      <c r="E921" s="3" t="s">
        <v>1405</v>
      </c>
      <c r="F921" s="3" t="s">
        <v>1591</v>
      </c>
      <c r="G921" s="68" t="str">
        <f t="shared" si="57"/>
        <v>SINGLE</v>
      </c>
      <c r="H921" s="197">
        <f t="shared" si="56"/>
        <v>27</v>
      </c>
      <c r="I921" s="197">
        <v>7</v>
      </c>
      <c r="J921" s="197">
        <v>2</v>
      </c>
      <c r="K921" s="186">
        <f t="shared" si="58"/>
        <v>45840</v>
      </c>
      <c r="L921" s="3" t="s">
        <v>2395</v>
      </c>
      <c r="M921" s="3" t="s">
        <v>2392</v>
      </c>
      <c r="N921" s="3" t="str">
        <f t="shared" si="59"/>
        <v/>
      </c>
    </row>
    <row r="922" spans="1:20">
      <c r="A922" s="3">
        <v>5814</v>
      </c>
      <c r="B922" s="83">
        <f t="array" ref="B922">SUM(--(FREQUENCY(IF(C$2:C$3074=C922, MATCH(D$2:D$3074, D$2:D$3074, 0)), ROW(D$2:D$3074)-ROW(D$2)+1) &gt; 0))</f>
        <v>14</v>
      </c>
      <c r="C922" s="3">
        <v>41200129</v>
      </c>
      <c r="D922" s="6" t="s">
        <v>2405</v>
      </c>
      <c r="E922" s="3" t="s">
        <v>1431</v>
      </c>
      <c r="F922" s="3" t="s">
        <v>1591</v>
      </c>
      <c r="G922" s="68" t="str">
        <f t="shared" si="57"/>
        <v>SINGLE</v>
      </c>
      <c r="H922" s="197">
        <f t="shared" si="56"/>
        <v>27</v>
      </c>
      <c r="I922" s="197">
        <v>7</v>
      </c>
      <c r="J922" s="197">
        <v>2</v>
      </c>
      <c r="K922" s="186">
        <f t="shared" si="58"/>
        <v>45840</v>
      </c>
      <c r="L922" s="3" t="s">
        <v>2395</v>
      </c>
      <c r="M922" s="3" t="s">
        <v>2392</v>
      </c>
      <c r="N922" s="3" t="str">
        <f t="shared" si="59"/>
        <v/>
      </c>
    </row>
    <row r="923" spans="1:20">
      <c r="A923" s="3">
        <v>5709</v>
      </c>
      <c r="B923" s="83">
        <f t="array" ref="B923">SUM(--(FREQUENCY(IF(C$2:C$3074=C923, MATCH(D$2:D$3074, D$2:D$3074, 0)), ROW(D$2:D$3074)-ROW(D$2)+1) &gt; 0))</f>
        <v>3</v>
      </c>
      <c r="C923" s="3">
        <v>41200066</v>
      </c>
      <c r="D923" s="6" t="s">
        <v>2401</v>
      </c>
      <c r="E923" s="3" t="s">
        <v>1424</v>
      </c>
      <c r="F923" s="3" t="s">
        <v>1476</v>
      </c>
      <c r="G923" s="68" t="str">
        <f t="shared" si="57"/>
        <v>DUAL</v>
      </c>
      <c r="H923" s="197">
        <f t="shared" si="56"/>
        <v>27</v>
      </c>
      <c r="I923" s="197">
        <v>7</v>
      </c>
      <c r="J923" s="197">
        <v>2</v>
      </c>
      <c r="K923" s="186">
        <f t="shared" si="58"/>
        <v>45840</v>
      </c>
      <c r="L923" s="3" t="s">
        <v>2391</v>
      </c>
      <c r="M923" s="3" t="s">
        <v>2392</v>
      </c>
      <c r="N923" s="3" t="str">
        <f t="shared" si="59"/>
        <v/>
      </c>
    </row>
    <row r="924" spans="1:20">
      <c r="A924" s="3">
        <v>5715</v>
      </c>
      <c r="B924" s="83">
        <f t="array" ref="B924">SUM(--(FREQUENCY(IF(C$2:C$3074=C924, MATCH(D$2:D$3074, D$2:D$3074, 0)), ROW(D$2:D$3074)-ROW(D$2)+1) &gt; 0))</f>
        <v>11</v>
      </c>
      <c r="C924" s="3">
        <v>41200105</v>
      </c>
      <c r="D924" s="6" t="s">
        <v>2406</v>
      </c>
      <c r="E924" s="3" t="s">
        <v>1424</v>
      </c>
      <c r="F924" s="3" t="s">
        <v>1476</v>
      </c>
      <c r="G924" s="68" t="str">
        <f t="shared" si="57"/>
        <v>DUAL</v>
      </c>
      <c r="H924" s="197">
        <f t="shared" si="56"/>
        <v>27</v>
      </c>
      <c r="I924" s="197">
        <v>7</v>
      </c>
      <c r="J924" s="197">
        <v>2</v>
      </c>
      <c r="K924" s="186">
        <f t="shared" si="58"/>
        <v>45840</v>
      </c>
      <c r="L924" s="3" t="s">
        <v>2395</v>
      </c>
      <c r="M924" s="3" t="s">
        <v>1469</v>
      </c>
      <c r="N924" s="3" t="str">
        <f t="shared" si="59"/>
        <v/>
      </c>
    </row>
    <row r="925" spans="1:20">
      <c r="A925" s="3">
        <v>5760</v>
      </c>
      <c r="B925" s="83">
        <f t="array" ref="B925">SUM(--(FREQUENCY(IF(C$2:C$3074=C925, MATCH(D$2:D$3074, D$2:D$3074, 0)), ROW(D$2:D$3074)-ROW(D$2)+1) &gt; 0))</f>
        <v>1</v>
      </c>
      <c r="C925" s="3">
        <v>41100206</v>
      </c>
      <c r="D925" s="6" t="s">
        <v>2407</v>
      </c>
      <c r="E925" s="3" t="s">
        <v>1585</v>
      </c>
      <c r="F925" s="3" t="s">
        <v>1591</v>
      </c>
      <c r="G925" s="68" t="str">
        <f t="shared" si="57"/>
        <v>SINGLE</v>
      </c>
      <c r="H925" s="197">
        <f t="shared" si="56"/>
        <v>27</v>
      </c>
      <c r="I925" s="197">
        <v>7</v>
      </c>
      <c r="J925" s="197">
        <v>3</v>
      </c>
      <c r="K925" s="186">
        <f t="shared" si="58"/>
        <v>45841</v>
      </c>
      <c r="L925" s="3" t="s">
        <v>2391</v>
      </c>
      <c r="M925" s="3" t="s">
        <v>2392</v>
      </c>
      <c r="N925" s="3" t="str">
        <f t="shared" si="59"/>
        <v/>
      </c>
    </row>
    <row r="926" spans="1:20">
      <c r="A926" s="3">
        <v>5761</v>
      </c>
      <c r="B926" s="83">
        <f t="array" ref="B926">SUM(--(FREQUENCY(IF(C$2:C$3074=C926, MATCH(D$2:D$3074, D$2:D$3074, 0)), ROW(D$2:D$3074)-ROW(D$2)+1) &gt; 0))</f>
        <v>1</v>
      </c>
      <c r="C926" s="3">
        <v>41100207</v>
      </c>
      <c r="D926" s="6" t="s">
        <v>2408</v>
      </c>
      <c r="E926" s="3" t="s">
        <v>1585</v>
      </c>
      <c r="F926" s="3" t="s">
        <v>1591</v>
      </c>
      <c r="G926" s="68" t="str">
        <f t="shared" si="57"/>
        <v>SINGLE</v>
      </c>
      <c r="H926" s="197">
        <f t="shared" si="56"/>
        <v>27</v>
      </c>
      <c r="I926" s="197">
        <v>7</v>
      </c>
      <c r="J926" s="197">
        <v>3</v>
      </c>
      <c r="K926" s="186">
        <f t="shared" si="58"/>
        <v>45841</v>
      </c>
      <c r="L926" s="3" t="s">
        <v>2395</v>
      </c>
      <c r="M926" s="3" t="s">
        <v>2392</v>
      </c>
      <c r="N926" s="3" t="str">
        <f t="shared" si="59"/>
        <v>NG</v>
      </c>
      <c r="O926" s="3" t="s">
        <v>2368</v>
      </c>
      <c r="P926" s="3" t="s">
        <v>2482</v>
      </c>
      <c r="Q926" s="3">
        <v>13103979</v>
      </c>
      <c r="R926" s="3" t="s">
        <v>5060</v>
      </c>
      <c r="S926" s="3" t="s">
        <v>5061</v>
      </c>
    </row>
    <row r="927" spans="1:20">
      <c r="A927" s="3">
        <v>5789</v>
      </c>
      <c r="B927" s="83">
        <f t="array" ref="B927">SUM(--(FREQUENCY(IF(C$2:C$3074=C927, MATCH(D$2:D$3074, D$2:D$3074, 0)), ROW(D$2:D$3074)-ROW(D$2)+1) &gt; 0))</f>
        <v>2</v>
      </c>
      <c r="C927" s="3">
        <v>41100319</v>
      </c>
      <c r="D927" s="6" t="s">
        <v>2409</v>
      </c>
      <c r="E927" s="3" t="s">
        <v>1585</v>
      </c>
      <c r="F927" s="3" t="s">
        <v>1476</v>
      </c>
      <c r="G927" s="68" t="str">
        <f t="shared" si="57"/>
        <v>DUAL</v>
      </c>
      <c r="H927" s="197">
        <f t="shared" si="56"/>
        <v>27</v>
      </c>
      <c r="I927" s="197">
        <v>7</v>
      </c>
      <c r="J927" s="197">
        <v>3</v>
      </c>
      <c r="K927" s="186">
        <f t="shared" si="58"/>
        <v>45841</v>
      </c>
      <c r="L927" s="3" t="s">
        <v>2395</v>
      </c>
      <c r="M927" s="3" t="s">
        <v>2392</v>
      </c>
      <c r="N927" s="3" t="str">
        <f t="shared" si="59"/>
        <v/>
      </c>
    </row>
    <row r="928" spans="1:20">
      <c r="A928" s="3">
        <v>5710</v>
      </c>
      <c r="B928" s="83">
        <f t="array" ref="B928">SUM(--(FREQUENCY(IF(C$2:C$3074=C928, MATCH(D$2:D$3074, D$2:D$3074, 0)), ROW(D$2:D$3074)-ROW(D$2)+1) &gt; 0))</f>
        <v>11</v>
      </c>
      <c r="C928" s="3">
        <v>41200105</v>
      </c>
      <c r="D928" s="6" t="s">
        <v>2411</v>
      </c>
      <c r="E928" s="3" t="s">
        <v>1424</v>
      </c>
      <c r="F928" s="3" t="s">
        <v>1476</v>
      </c>
      <c r="G928" s="68" t="str">
        <f t="shared" si="57"/>
        <v>DUAL</v>
      </c>
      <c r="H928" s="197">
        <f t="shared" si="56"/>
        <v>27</v>
      </c>
      <c r="I928" s="197">
        <v>7</v>
      </c>
      <c r="J928" s="197">
        <v>3</v>
      </c>
      <c r="K928" s="186">
        <f t="shared" si="58"/>
        <v>45841</v>
      </c>
      <c r="L928" s="3" t="s">
        <v>2395</v>
      </c>
      <c r="M928" s="3" t="s">
        <v>1469</v>
      </c>
      <c r="N928" s="3" t="str">
        <f t="shared" si="59"/>
        <v/>
      </c>
    </row>
    <row r="929" spans="1:20">
      <c r="A929" s="3">
        <v>5824</v>
      </c>
      <c r="B929" s="83">
        <f t="array" ref="B929">SUM(--(FREQUENCY(IF(C$2:C$3074=C929, MATCH(D$2:D$3074, D$2:D$3074, 0)), ROW(D$2:D$3074)-ROW(D$2)+1) &gt; 0))</f>
        <v>9</v>
      </c>
      <c r="C929" s="3">
        <v>41100564</v>
      </c>
      <c r="D929" s="6" t="s">
        <v>2412</v>
      </c>
      <c r="E929" s="3" t="s">
        <v>1414</v>
      </c>
      <c r="F929" s="3" t="s">
        <v>1476</v>
      </c>
      <c r="G929" s="68" t="str">
        <f t="shared" si="57"/>
        <v>DUAL</v>
      </c>
      <c r="H929" s="197">
        <f t="shared" si="56"/>
        <v>27</v>
      </c>
      <c r="I929" s="197">
        <v>7</v>
      </c>
      <c r="J929" s="197">
        <v>3</v>
      </c>
      <c r="K929" s="186">
        <f t="shared" si="58"/>
        <v>45841</v>
      </c>
      <c r="L929" s="3" t="s">
        <v>2395</v>
      </c>
      <c r="M929" s="3" t="s">
        <v>1469</v>
      </c>
      <c r="N929" s="3" t="str">
        <f t="shared" si="59"/>
        <v/>
      </c>
    </row>
    <row r="930" spans="1:20">
      <c r="A930" s="3">
        <v>5826</v>
      </c>
      <c r="B930" s="83">
        <f t="array" ref="B930">SUM(--(FREQUENCY(IF(C$2:C$3074=C930, MATCH(D$2:D$3074, D$2:D$3074, 0)), ROW(D$2:D$3074)-ROW(D$2)+1) &gt; 0))</f>
        <v>144</v>
      </c>
      <c r="C930" s="3">
        <v>41200007</v>
      </c>
      <c r="D930" s="6" t="s">
        <v>2413</v>
      </c>
      <c r="E930" s="3" t="s">
        <v>1405</v>
      </c>
      <c r="F930" s="3" t="s">
        <v>1591</v>
      </c>
      <c r="G930" s="68" t="str">
        <f t="shared" si="57"/>
        <v>SINGLE</v>
      </c>
      <c r="H930" s="197">
        <f t="shared" si="56"/>
        <v>27</v>
      </c>
      <c r="I930" s="197">
        <v>7</v>
      </c>
      <c r="J930" s="197">
        <v>4</v>
      </c>
      <c r="K930" s="186">
        <f t="shared" si="58"/>
        <v>45842</v>
      </c>
      <c r="L930" s="3" t="s">
        <v>2395</v>
      </c>
      <c r="M930" s="3" t="s">
        <v>2392</v>
      </c>
      <c r="N930" s="3" t="str">
        <f t="shared" si="59"/>
        <v>NG</v>
      </c>
      <c r="O930" s="3" t="s">
        <v>2368</v>
      </c>
      <c r="P930" s="3" t="s">
        <v>2482</v>
      </c>
      <c r="Q930" s="3">
        <v>11002283</v>
      </c>
      <c r="R930" s="3" t="s">
        <v>5062</v>
      </c>
      <c r="S930" s="3" t="s">
        <v>5063</v>
      </c>
    </row>
    <row r="931" spans="1:20">
      <c r="A931" s="3">
        <v>5826</v>
      </c>
      <c r="B931" s="83">
        <f t="array" ref="B931">SUM(--(FREQUENCY(IF(C$2:C$3074=C931, MATCH(D$2:D$3074, D$2:D$3074, 0)), ROW(D$2:D$3074)-ROW(D$2)+1) &gt; 0))</f>
        <v>144</v>
      </c>
      <c r="C931" s="3">
        <v>41200007</v>
      </c>
      <c r="D931" s="6" t="s">
        <v>2418</v>
      </c>
      <c r="E931" s="3" t="s">
        <v>1405</v>
      </c>
      <c r="F931" s="3" t="s">
        <v>1591</v>
      </c>
      <c r="G931" s="68" t="str">
        <f t="shared" si="57"/>
        <v>SINGLE</v>
      </c>
      <c r="H931" s="197">
        <f t="shared" si="56"/>
        <v>27</v>
      </c>
      <c r="I931" s="197">
        <v>7</v>
      </c>
      <c r="J931" s="197">
        <v>4</v>
      </c>
      <c r="K931" s="186">
        <f t="shared" si="58"/>
        <v>45842</v>
      </c>
      <c r="L931" s="3" t="s">
        <v>2395</v>
      </c>
      <c r="M931" s="3" t="s">
        <v>2392</v>
      </c>
      <c r="N931" s="3" t="str">
        <f t="shared" si="59"/>
        <v/>
      </c>
    </row>
    <row r="932" spans="1:20">
      <c r="A932" s="3">
        <v>5674</v>
      </c>
      <c r="B932" s="83">
        <f t="array" ref="B932">SUM(--(FREQUENCY(IF(C$2:C$3074=C932, MATCH(D$2:D$3074, D$2:D$3074, 0)), ROW(D$2:D$3074)-ROW(D$2)+1) &gt; 0))</f>
        <v>4</v>
      </c>
      <c r="C932" s="3">
        <v>41200082</v>
      </c>
      <c r="D932" s="6" t="s">
        <v>2422</v>
      </c>
      <c r="E932" s="3" t="s">
        <v>1585</v>
      </c>
      <c r="F932" s="3" t="s">
        <v>1591</v>
      </c>
      <c r="G932" s="68" t="str">
        <f t="shared" si="57"/>
        <v>SINGLE</v>
      </c>
      <c r="H932" s="197">
        <f t="shared" si="56"/>
        <v>27</v>
      </c>
      <c r="I932" s="197">
        <v>7</v>
      </c>
      <c r="J932" s="197">
        <v>4</v>
      </c>
      <c r="K932" s="186">
        <f t="shared" si="58"/>
        <v>45842</v>
      </c>
      <c r="L932" s="3" t="s">
        <v>2395</v>
      </c>
      <c r="M932" s="3" t="s">
        <v>1469</v>
      </c>
      <c r="N932" s="3" t="str">
        <f t="shared" si="59"/>
        <v/>
      </c>
    </row>
    <row r="933" spans="1:20">
      <c r="A933" s="3">
        <v>5674</v>
      </c>
      <c r="B933" s="83">
        <f t="array" ref="B933">SUM(--(FREQUENCY(IF(C$2:C$3074=C933, MATCH(D$2:D$3074, D$2:D$3074, 0)), ROW(D$2:D$3074)-ROW(D$2)+1) &gt; 0))</f>
        <v>4</v>
      </c>
      <c r="C933" s="3">
        <v>41200082</v>
      </c>
      <c r="D933" s="6" t="s">
        <v>2423</v>
      </c>
      <c r="E933" s="3" t="s">
        <v>1585</v>
      </c>
      <c r="F933" s="3" t="s">
        <v>1591</v>
      </c>
      <c r="G933" s="68" t="str">
        <f t="shared" si="57"/>
        <v>SINGLE</v>
      </c>
      <c r="H933" s="197">
        <f t="shared" si="56"/>
        <v>27</v>
      </c>
      <c r="I933" s="197">
        <v>7</v>
      </c>
      <c r="J933" s="197">
        <v>4</v>
      </c>
      <c r="K933" s="186">
        <f t="shared" si="58"/>
        <v>45842</v>
      </c>
      <c r="L933" s="3" t="s">
        <v>2395</v>
      </c>
      <c r="M933" s="3" t="s">
        <v>1469</v>
      </c>
      <c r="N933" s="3" t="str">
        <f t="shared" si="59"/>
        <v/>
      </c>
    </row>
    <row r="934" spans="1:20">
      <c r="A934" s="3">
        <v>5832</v>
      </c>
      <c r="B934" s="83">
        <f t="array" ref="B934">SUM(--(FREQUENCY(IF(C$2:C$3074=C934, MATCH(D$2:D$3074, D$2:D$3074, 0)), ROW(D$2:D$3074)-ROW(D$2)+1) &gt; 0))</f>
        <v>13</v>
      </c>
      <c r="C934" s="3">
        <v>41100696</v>
      </c>
      <c r="D934" s="6" t="s">
        <v>2419</v>
      </c>
      <c r="E934" s="3" t="s">
        <v>1433</v>
      </c>
      <c r="F934" s="3" t="s">
        <v>1581</v>
      </c>
      <c r="G934" s="68" t="str">
        <f t="shared" si="57"/>
        <v>DUAL</v>
      </c>
      <c r="H934" s="197">
        <f t="shared" si="56"/>
        <v>27</v>
      </c>
      <c r="I934" s="197">
        <v>7</v>
      </c>
      <c r="J934" s="197">
        <v>4</v>
      </c>
      <c r="K934" s="186">
        <f t="shared" si="58"/>
        <v>45842</v>
      </c>
      <c r="L934" s="3" t="s">
        <v>2392</v>
      </c>
      <c r="M934" s="3" t="s">
        <v>2392</v>
      </c>
      <c r="N934" s="3" t="str">
        <f t="shared" si="59"/>
        <v/>
      </c>
    </row>
    <row r="935" spans="1:20">
      <c r="A935" s="3">
        <v>5653</v>
      </c>
      <c r="B935" s="83">
        <f t="array" ref="B935">SUM(--(FREQUENCY(IF(C$2:C$3074=C935, MATCH(D$2:D$3074, D$2:D$3074, 0)), ROW(D$2:D$3074)-ROW(D$2)+1) &gt; 0))</f>
        <v>77</v>
      </c>
      <c r="C935" s="3">
        <v>41200076</v>
      </c>
      <c r="D935" s="6" t="s">
        <v>2421</v>
      </c>
      <c r="E935" s="3" t="s">
        <v>1585</v>
      </c>
      <c r="F935" s="3" t="s">
        <v>1476</v>
      </c>
      <c r="G935" s="68" t="str">
        <f t="shared" si="57"/>
        <v>DUAL</v>
      </c>
      <c r="H935" s="197">
        <f t="shared" si="56"/>
        <v>27</v>
      </c>
      <c r="I935" s="197">
        <v>7</v>
      </c>
      <c r="J935" s="197">
        <v>4</v>
      </c>
      <c r="K935" s="186">
        <f t="shared" si="58"/>
        <v>45842</v>
      </c>
      <c r="L935" s="3" t="s">
        <v>2391</v>
      </c>
      <c r="M935" s="3" t="s">
        <v>1468</v>
      </c>
      <c r="N935" s="3" t="str">
        <f t="shared" si="59"/>
        <v>NG</v>
      </c>
      <c r="O935" s="3" t="s">
        <v>2368</v>
      </c>
      <c r="P935" s="3" t="s">
        <v>2414</v>
      </c>
      <c r="Q935" s="3">
        <v>11000088</v>
      </c>
      <c r="R935" s="3" t="s">
        <v>143</v>
      </c>
      <c r="S935" s="3" t="s">
        <v>5064</v>
      </c>
      <c r="T935" s="3" t="s">
        <v>2493</v>
      </c>
    </row>
    <row r="936" spans="1:20">
      <c r="A936" s="3">
        <v>5688</v>
      </c>
      <c r="B936" s="83">
        <f t="array" ref="B936">SUM(--(FREQUENCY(IF(C$2:C$3074=C936, MATCH(D$2:D$3074, D$2:D$3074, 0)), ROW(D$2:D$3074)-ROW(D$2)+1) &gt; 0))</f>
        <v>11</v>
      </c>
      <c r="C936" s="3">
        <v>41100374</v>
      </c>
      <c r="D936" s="6" t="s">
        <v>2424</v>
      </c>
      <c r="E936" s="3" t="s">
        <v>1585</v>
      </c>
      <c r="F936" s="3" t="s">
        <v>1476</v>
      </c>
      <c r="G936" s="68" t="str">
        <f t="shared" si="57"/>
        <v>DUAL</v>
      </c>
      <c r="H936" s="197">
        <f t="shared" si="56"/>
        <v>27</v>
      </c>
      <c r="I936" s="197">
        <v>7</v>
      </c>
      <c r="J936" s="197">
        <v>4</v>
      </c>
      <c r="K936" s="186">
        <f t="shared" si="58"/>
        <v>45842</v>
      </c>
      <c r="L936" s="3" t="s">
        <v>2395</v>
      </c>
      <c r="M936" s="3" t="s">
        <v>1469</v>
      </c>
      <c r="N936" s="3" t="str">
        <f t="shared" si="59"/>
        <v/>
      </c>
    </row>
    <row r="937" spans="1:20">
      <c r="A937" s="3">
        <v>5826</v>
      </c>
      <c r="B937" s="83">
        <f t="array" ref="B937">SUM(--(FREQUENCY(IF(C$2:C$3074=C937, MATCH(D$2:D$3074, D$2:D$3074, 0)), ROW(D$2:D$3074)-ROW(D$2)+1) &gt; 0))</f>
        <v>144</v>
      </c>
      <c r="C937" s="3">
        <v>41200007</v>
      </c>
      <c r="D937" s="6" t="s">
        <v>2426</v>
      </c>
      <c r="E937" s="3" t="s">
        <v>1405</v>
      </c>
      <c r="F937" s="3" t="s">
        <v>1591</v>
      </c>
      <c r="G937" s="68" t="str">
        <f t="shared" si="57"/>
        <v>SINGLE</v>
      </c>
      <c r="H937" s="197">
        <f t="shared" si="56"/>
        <v>28</v>
      </c>
      <c r="I937" s="197">
        <v>7</v>
      </c>
      <c r="J937" s="197">
        <v>7</v>
      </c>
      <c r="K937" s="186">
        <f t="shared" si="58"/>
        <v>45845</v>
      </c>
      <c r="L937" s="3" t="s">
        <v>2395</v>
      </c>
      <c r="M937" s="3" t="s">
        <v>2392</v>
      </c>
      <c r="N937" s="3" t="str">
        <f t="shared" si="59"/>
        <v/>
      </c>
    </row>
    <row r="938" spans="1:20">
      <c r="A938" s="3">
        <v>5826</v>
      </c>
      <c r="B938" s="83">
        <f t="array" ref="B938">SUM(--(FREQUENCY(IF(C$2:C$3074=C938, MATCH(D$2:D$3074, D$2:D$3074, 0)), ROW(D$2:D$3074)-ROW(D$2)+1) &gt; 0))</f>
        <v>144</v>
      </c>
      <c r="C938" s="3">
        <v>41200007</v>
      </c>
      <c r="D938" s="6" t="s">
        <v>2427</v>
      </c>
      <c r="E938" s="3" t="s">
        <v>1405</v>
      </c>
      <c r="F938" s="3" t="s">
        <v>1591</v>
      </c>
      <c r="G938" s="68" t="str">
        <f t="shared" si="57"/>
        <v>SINGLE</v>
      </c>
      <c r="H938" s="197">
        <f t="shared" si="56"/>
        <v>28</v>
      </c>
      <c r="I938" s="197">
        <v>7</v>
      </c>
      <c r="J938" s="197">
        <v>7</v>
      </c>
      <c r="K938" s="186">
        <f t="shared" si="58"/>
        <v>45845</v>
      </c>
      <c r="L938" s="3" t="s">
        <v>2395</v>
      </c>
      <c r="M938" s="3" t="s">
        <v>2392</v>
      </c>
      <c r="N938" s="3" t="str">
        <f t="shared" si="59"/>
        <v/>
      </c>
    </row>
    <row r="939" spans="1:20">
      <c r="A939" s="3">
        <v>5829</v>
      </c>
      <c r="B939" s="83">
        <f t="array" ref="B939">SUM(--(FREQUENCY(IF(C$2:C$3074=C939, MATCH(D$2:D$3074, D$2:D$3074, 0)), ROW(D$2:D$3074)-ROW(D$2)+1) &gt; 0))</f>
        <v>32</v>
      </c>
      <c r="C939" s="3">
        <v>41200127</v>
      </c>
      <c r="D939" s="6" t="s">
        <v>2429</v>
      </c>
      <c r="E939" s="3" t="s">
        <v>1431</v>
      </c>
      <c r="F939" s="3" t="s">
        <v>1591</v>
      </c>
      <c r="G939" s="68" t="str">
        <f t="shared" si="57"/>
        <v>SINGLE</v>
      </c>
      <c r="H939" s="197">
        <f t="shared" si="56"/>
        <v>28</v>
      </c>
      <c r="I939" s="197">
        <v>7</v>
      </c>
      <c r="J939" s="197">
        <v>7</v>
      </c>
      <c r="K939" s="186">
        <f t="shared" si="58"/>
        <v>45845</v>
      </c>
      <c r="L939" s="3" t="s">
        <v>2391</v>
      </c>
      <c r="M939" s="3" t="s">
        <v>1469</v>
      </c>
      <c r="N939" s="3" t="str">
        <f t="shared" si="59"/>
        <v>NG</v>
      </c>
      <c r="O939" s="3" t="s">
        <v>2368</v>
      </c>
      <c r="P939" s="3" t="s">
        <v>2414</v>
      </c>
      <c r="Q939" s="3">
        <v>11002195</v>
      </c>
      <c r="R939" s="3" t="s">
        <v>438</v>
      </c>
      <c r="S939" s="3" t="s">
        <v>5065</v>
      </c>
    </row>
    <row r="940" spans="1:20">
      <c r="A940" s="3">
        <v>5829</v>
      </c>
      <c r="B940" s="83">
        <f t="array" ref="B940">SUM(--(FREQUENCY(IF(C$2:C$3074=C940, MATCH(D$2:D$3074, D$2:D$3074, 0)), ROW(D$2:D$3074)-ROW(D$2)+1) &gt; 0))</f>
        <v>32</v>
      </c>
      <c r="C940" s="3">
        <v>41200127</v>
      </c>
      <c r="D940" s="6" t="s">
        <v>2430</v>
      </c>
      <c r="E940" s="3" t="s">
        <v>1431</v>
      </c>
      <c r="F940" s="3" t="s">
        <v>1591</v>
      </c>
      <c r="G940" s="68" t="str">
        <f t="shared" si="57"/>
        <v>SINGLE</v>
      </c>
      <c r="H940" s="197">
        <f t="shared" si="56"/>
        <v>28</v>
      </c>
      <c r="I940" s="197">
        <v>7</v>
      </c>
      <c r="J940" s="197">
        <v>7</v>
      </c>
      <c r="K940" s="186">
        <f t="shared" si="58"/>
        <v>45845</v>
      </c>
      <c r="L940" s="3" t="s">
        <v>2391</v>
      </c>
      <c r="M940" s="3" t="s">
        <v>1469</v>
      </c>
      <c r="N940" s="3" t="str">
        <f t="shared" si="59"/>
        <v/>
      </c>
    </row>
    <row r="941" spans="1:20">
      <c r="A941" s="3">
        <v>5716</v>
      </c>
      <c r="B941" s="83">
        <f t="array" ref="B941">SUM(--(FREQUENCY(IF(C$2:C$3074=C941, MATCH(D$2:D$3074, D$2:D$3074, 0)), ROW(D$2:D$3074)-ROW(D$2)+1) &gt; 0))</f>
        <v>11</v>
      </c>
      <c r="C941" s="3">
        <v>41200105</v>
      </c>
      <c r="D941" s="6" t="s">
        <v>2425</v>
      </c>
      <c r="E941" s="3" t="s">
        <v>1424</v>
      </c>
      <c r="F941" s="3" t="s">
        <v>1476</v>
      </c>
      <c r="G941" s="68" t="str">
        <f t="shared" si="57"/>
        <v>DUAL</v>
      </c>
      <c r="H941" s="197">
        <f t="shared" si="56"/>
        <v>28</v>
      </c>
      <c r="I941" s="197">
        <v>7</v>
      </c>
      <c r="J941" s="197">
        <v>7</v>
      </c>
      <c r="K941" s="186">
        <f t="shared" si="58"/>
        <v>45845</v>
      </c>
      <c r="L941" s="3" t="s">
        <v>2391</v>
      </c>
      <c r="M941" s="3" t="s">
        <v>2392</v>
      </c>
      <c r="N941" s="3" t="str">
        <f t="shared" si="59"/>
        <v/>
      </c>
    </row>
    <row r="942" spans="1:20">
      <c r="A942" s="3">
        <v>5768</v>
      </c>
      <c r="B942" s="83">
        <f t="array" ref="B942">SUM(--(FREQUENCY(IF(C$2:C$3074=C942, MATCH(D$2:D$3074, D$2:D$3074, 0)), ROW(D$2:D$3074)-ROW(D$2)+1) &gt; 0))</f>
        <v>22</v>
      </c>
      <c r="C942" s="3">
        <v>41000598</v>
      </c>
      <c r="D942" s="6" t="s">
        <v>2428</v>
      </c>
      <c r="E942" s="3" t="s">
        <v>1405</v>
      </c>
      <c r="F942" s="3" t="s">
        <v>1480</v>
      </c>
      <c r="G942" s="68" t="str">
        <f t="shared" si="57"/>
        <v>DUAL</v>
      </c>
      <c r="H942" s="197">
        <f t="shared" si="56"/>
        <v>28</v>
      </c>
      <c r="I942" s="197">
        <v>7</v>
      </c>
      <c r="J942" s="197">
        <v>7</v>
      </c>
      <c r="K942" s="186">
        <f t="shared" si="58"/>
        <v>45845</v>
      </c>
      <c r="L942" s="3" t="s">
        <v>2391</v>
      </c>
      <c r="M942" s="3" t="s">
        <v>1468</v>
      </c>
      <c r="N942" s="3" t="str">
        <f t="shared" si="59"/>
        <v>NG</v>
      </c>
      <c r="O942" s="3" t="s">
        <v>2368</v>
      </c>
      <c r="P942" s="3" t="s">
        <v>2376</v>
      </c>
      <c r="Q942" s="3">
        <v>11006982</v>
      </c>
      <c r="R942" s="3" t="s">
        <v>5066</v>
      </c>
      <c r="S942" s="3" t="s">
        <v>5067</v>
      </c>
    </row>
    <row r="943" spans="1:20">
      <c r="A943" s="3">
        <v>5712</v>
      </c>
      <c r="B943" s="83">
        <f t="array" ref="B943">SUM(--(FREQUENCY(IF(C$2:C$3074=C943, MATCH(D$2:D$3074, D$2:D$3074, 0)), ROW(D$2:D$3074)-ROW(D$2)+1) &gt; 0))</f>
        <v>6</v>
      </c>
      <c r="C943" s="3">
        <v>10000001</v>
      </c>
      <c r="D943" s="6" t="s">
        <v>5068</v>
      </c>
      <c r="E943" s="3" t="s">
        <v>1424</v>
      </c>
      <c r="F943" s="3" t="s">
        <v>1427</v>
      </c>
      <c r="G943" s="68" t="str">
        <f t="shared" si="57"/>
        <v>SINGLE</v>
      </c>
      <c r="H943" s="197">
        <f t="shared" si="56"/>
        <v>28</v>
      </c>
      <c r="I943" s="197">
        <v>7</v>
      </c>
      <c r="J943" s="197">
        <v>8</v>
      </c>
      <c r="K943" s="186">
        <f t="shared" si="58"/>
        <v>45846</v>
      </c>
      <c r="L943" s="3" t="s">
        <v>2395</v>
      </c>
      <c r="M943" s="3" t="s">
        <v>2392</v>
      </c>
      <c r="N943" s="3" t="str">
        <f t="shared" si="59"/>
        <v>NG</v>
      </c>
      <c r="O943" s="3" t="s">
        <v>2368</v>
      </c>
      <c r="P943" s="3" t="s">
        <v>2446</v>
      </c>
      <c r="Q943" s="3">
        <v>11102963</v>
      </c>
      <c r="R943" s="3" t="s">
        <v>5069</v>
      </c>
      <c r="S943" s="3" t="s">
        <v>5070</v>
      </c>
    </row>
    <row r="944" spans="1:20">
      <c r="A944" s="3">
        <v>5712</v>
      </c>
      <c r="B944" s="83">
        <f t="array" ref="B944">SUM(--(FREQUENCY(IF(C$2:C$3074=C944, MATCH(D$2:D$3074, D$2:D$3074, 0)), ROW(D$2:D$3074)-ROW(D$2)+1) &gt; 0))</f>
        <v>6</v>
      </c>
      <c r="C944" s="3">
        <v>10000001</v>
      </c>
      <c r="D944" s="6" t="s">
        <v>5071</v>
      </c>
      <c r="E944" s="3" t="s">
        <v>1424</v>
      </c>
      <c r="F944" s="3" t="s">
        <v>1427</v>
      </c>
      <c r="G944" s="68" t="str">
        <f t="shared" si="57"/>
        <v>SINGLE</v>
      </c>
      <c r="H944" s="197">
        <f t="shared" si="56"/>
        <v>28</v>
      </c>
      <c r="I944" s="197">
        <v>7</v>
      </c>
      <c r="J944" s="197">
        <v>8</v>
      </c>
      <c r="K944" s="186">
        <f t="shared" si="58"/>
        <v>45846</v>
      </c>
      <c r="L944" s="3" t="s">
        <v>2395</v>
      </c>
      <c r="M944" s="3" t="s">
        <v>2392</v>
      </c>
      <c r="N944" s="3" t="str">
        <f t="shared" si="59"/>
        <v/>
      </c>
    </row>
    <row r="945" spans="1:19">
      <c r="A945" s="3">
        <v>5712</v>
      </c>
      <c r="B945" s="83">
        <f t="array" ref="B945">SUM(--(FREQUENCY(IF(C$2:C$3074=C945, MATCH(D$2:D$3074, D$2:D$3074, 0)), ROW(D$2:D$3074)-ROW(D$2)+1) &gt; 0))</f>
        <v>6</v>
      </c>
      <c r="C945" s="3">
        <v>10000001</v>
      </c>
      <c r="D945" s="6" t="s">
        <v>5072</v>
      </c>
      <c r="E945" s="3" t="s">
        <v>1424</v>
      </c>
      <c r="F945" s="3" t="s">
        <v>1427</v>
      </c>
      <c r="G945" s="68" t="str">
        <f t="shared" si="57"/>
        <v>SINGLE</v>
      </c>
      <c r="H945" s="197">
        <f t="shared" si="56"/>
        <v>28</v>
      </c>
      <c r="I945" s="197">
        <v>7</v>
      </c>
      <c r="J945" s="197">
        <v>8</v>
      </c>
      <c r="K945" s="186">
        <f t="shared" si="58"/>
        <v>45846</v>
      </c>
      <c r="L945" s="3" t="s">
        <v>2395</v>
      </c>
      <c r="M945" s="3" t="s">
        <v>2392</v>
      </c>
      <c r="N945" s="3" t="str">
        <f t="shared" si="59"/>
        <v/>
      </c>
    </row>
    <row r="946" spans="1:19">
      <c r="A946" s="3">
        <v>5714</v>
      </c>
      <c r="B946" s="83">
        <f t="array" ref="B946">SUM(--(FREQUENCY(IF(C$2:C$3074=C946, MATCH(D$2:D$3074, D$2:D$3074, 0)), ROW(D$2:D$3074)-ROW(D$2)+1) &gt; 0))</f>
        <v>6</v>
      </c>
      <c r="C946" s="3">
        <v>10000001</v>
      </c>
      <c r="D946" s="6" t="s">
        <v>5073</v>
      </c>
      <c r="E946" s="3" t="s">
        <v>1424</v>
      </c>
      <c r="F946" s="3" t="s">
        <v>1427</v>
      </c>
      <c r="G946" s="68" t="str">
        <f t="shared" si="57"/>
        <v>SINGLE</v>
      </c>
      <c r="H946" s="197">
        <f t="shared" si="56"/>
        <v>28</v>
      </c>
      <c r="I946" s="197">
        <v>7</v>
      </c>
      <c r="J946" s="197">
        <v>8</v>
      </c>
      <c r="K946" s="186">
        <f t="shared" si="58"/>
        <v>45846</v>
      </c>
      <c r="L946" s="3" t="s">
        <v>2395</v>
      </c>
      <c r="M946" s="3" t="s">
        <v>2392</v>
      </c>
      <c r="N946" s="3" t="str">
        <f t="shared" si="59"/>
        <v/>
      </c>
    </row>
    <row r="947" spans="1:19">
      <c r="A947" s="3">
        <v>5714</v>
      </c>
      <c r="B947" s="83">
        <f t="array" ref="B947">SUM(--(FREQUENCY(IF(C$2:C$3074=C947, MATCH(D$2:D$3074, D$2:D$3074, 0)), ROW(D$2:D$3074)-ROW(D$2)+1) &gt; 0))</f>
        <v>6</v>
      </c>
      <c r="C947" s="3">
        <v>10000001</v>
      </c>
      <c r="D947" s="6" t="s">
        <v>5074</v>
      </c>
      <c r="E947" s="3" t="s">
        <v>1424</v>
      </c>
      <c r="F947" s="3" t="s">
        <v>1427</v>
      </c>
      <c r="G947" s="41" t="str">
        <f t="shared" si="57"/>
        <v>SINGLE</v>
      </c>
      <c r="H947" s="197">
        <f t="shared" si="56"/>
        <v>28</v>
      </c>
      <c r="I947" s="197">
        <v>7</v>
      </c>
      <c r="J947" s="197">
        <v>8</v>
      </c>
      <c r="K947" s="186">
        <f t="shared" si="58"/>
        <v>45846</v>
      </c>
      <c r="L947" s="3" t="s">
        <v>2395</v>
      </c>
      <c r="M947" s="3" t="s">
        <v>2392</v>
      </c>
      <c r="N947" s="3" t="str">
        <f t="shared" si="59"/>
        <v>NG</v>
      </c>
      <c r="O947" s="3" t="s">
        <v>2368</v>
      </c>
      <c r="P947" s="3" t="s">
        <v>2446</v>
      </c>
      <c r="Q947" s="3">
        <v>11102963</v>
      </c>
      <c r="R947" s="3" t="s">
        <v>5069</v>
      </c>
      <c r="S947" s="3" t="s">
        <v>5070</v>
      </c>
    </row>
    <row r="948" spans="1:19">
      <c r="A948" s="3">
        <v>5714</v>
      </c>
      <c r="B948" s="83">
        <f t="array" ref="B948">SUM(--(FREQUENCY(IF(C$2:C$3074=C948, MATCH(D$2:D$3074, D$2:D$3074, 0)), ROW(D$2:D$3074)-ROW(D$2)+1) &gt; 0))</f>
        <v>6</v>
      </c>
      <c r="C948" s="3">
        <v>10000001</v>
      </c>
      <c r="D948" s="6" t="s">
        <v>5074</v>
      </c>
      <c r="E948" s="3" t="s">
        <v>1424</v>
      </c>
      <c r="F948" s="3" t="s">
        <v>1427</v>
      </c>
      <c r="G948" s="41" t="str">
        <f t="shared" si="57"/>
        <v>SINGLE</v>
      </c>
      <c r="H948" s="197">
        <f t="shared" si="56"/>
        <v>28</v>
      </c>
      <c r="I948" s="197">
        <v>7</v>
      </c>
      <c r="J948" s="197">
        <v>8</v>
      </c>
      <c r="K948" s="186">
        <f t="shared" si="58"/>
        <v>45846</v>
      </c>
      <c r="L948" s="3" t="s">
        <v>2395</v>
      </c>
      <c r="M948" s="3" t="s">
        <v>2392</v>
      </c>
      <c r="N948" s="3" t="str">
        <f t="shared" si="59"/>
        <v>NG</v>
      </c>
      <c r="O948" s="3" t="s">
        <v>2368</v>
      </c>
      <c r="P948" s="3" t="s">
        <v>2446</v>
      </c>
      <c r="Q948" s="3">
        <v>11102963</v>
      </c>
      <c r="R948" s="3" t="s">
        <v>5069</v>
      </c>
      <c r="S948" s="3" t="s">
        <v>5070</v>
      </c>
    </row>
    <row r="949" spans="1:19">
      <c r="A949" s="3">
        <v>5714</v>
      </c>
      <c r="B949" s="83">
        <f t="array" ref="B949">SUM(--(FREQUENCY(IF(C$2:C$3074=C949, MATCH(D$2:D$3074, D$2:D$3074, 0)), ROW(D$2:D$3074)-ROW(D$2)+1) &gt; 0))</f>
        <v>6</v>
      </c>
      <c r="C949" s="3">
        <v>10000001</v>
      </c>
      <c r="D949" s="6" t="s">
        <v>5075</v>
      </c>
      <c r="E949" s="3" t="s">
        <v>1424</v>
      </c>
      <c r="F949" s="3" t="s">
        <v>1427</v>
      </c>
      <c r="G949" s="68" t="str">
        <f t="shared" si="57"/>
        <v>SINGLE</v>
      </c>
      <c r="H949" s="197">
        <f t="shared" si="56"/>
        <v>28</v>
      </c>
      <c r="I949" s="197">
        <v>7</v>
      </c>
      <c r="J949" s="197">
        <v>8</v>
      </c>
      <c r="K949" s="186">
        <f t="shared" si="58"/>
        <v>45846</v>
      </c>
      <c r="L949" s="3" t="s">
        <v>2395</v>
      </c>
      <c r="M949" s="3" t="s">
        <v>2392</v>
      </c>
      <c r="N949" s="3" t="str">
        <f t="shared" si="59"/>
        <v/>
      </c>
    </row>
    <row r="950" spans="1:19">
      <c r="A950" s="3">
        <v>5664</v>
      </c>
      <c r="B950" s="83">
        <f t="array" ref="B950">SUM(--(FREQUENCY(IF(C$2:C$3074=C950, MATCH(D$2:D$3074, D$2:D$3074, 0)), ROW(D$2:D$3074)-ROW(D$2)+1) &gt; 0))</f>
        <v>20</v>
      </c>
      <c r="C950" s="3">
        <v>41200033</v>
      </c>
      <c r="D950" s="6" t="s">
        <v>2431</v>
      </c>
      <c r="E950" s="3" t="s">
        <v>1426</v>
      </c>
      <c r="F950" s="3" t="s">
        <v>1476</v>
      </c>
      <c r="G950" s="68" t="str">
        <f t="shared" si="57"/>
        <v>DUAL</v>
      </c>
      <c r="H950" s="197">
        <f t="shared" si="56"/>
        <v>28</v>
      </c>
      <c r="I950" s="197">
        <v>7</v>
      </c>
      <c r="J950" s="197">
        <v>8</v>
      </c>
      <c r="K950" s="186">
        <f t="shared" si="58"/>
        <v>45846</v>
      </c>
      <c r="L950" s="3" t="s">
        <v>2395</v>
      </c>
      <c r="M950" s="3" t="s">
        <v>2392</v>
      </c>
      <c r="N950" s="3" t="str">
        <f t="shared" si="59"/>
        <v/>
      </c>
    </row>
    <row r="951" spans="1:19">
      <c r="A951" s="3">
        <v>5837</v>
      </c>
      <c r="B951" s="83">
        <f t="array" ref="B951">SUM(--(FREQUENCY(IF(C$2:C$3074=C951, MATCH(D$2:D$3074, D$2:D$3074, 0)), ROW(D$2:D$3074)-ROW(D$2)+1) &gt; 0))</f>
        <v>51</v>
      </c>
      <c r="C951" s="3">
        <v>41200034</v>
      </c>
      <c r="D951" s="6" t="s">
        <v>2432</v>
      </c>
      <c r="E951" s="3" t="s">
        <v>1426</v>
      </c>
      <c r="F951" s="3" t="s">
        <v>1476</v>
      </c>
      <c r="G951" s="68" t="str">
        <f t="shared" si="57"/>
        <v>DUAL</v>
      </c>
      <c r="H951" s="197">
        <f t="shared" si="56"/>
        <v>28</v>
      </c>
      <c r="I951" s="197">
        <v>7</v>
      </c>
      <c r="J951" s="197">
        <v>8</v>
      </c>
      <c r="K951" s="186">
        <f t="shared" si="58"/>
        <v>45846</v>
      </c>
      <c r="L951" s="3" t="s">
        <v>2395</v>
      </c>
      <c r="M951" s="3" t="s">
        <v>2392</v>
      </c>
      <c r="N951" s="3" t="str">
        <f t="shared" si="59"/>
        <v/>
      </c>
    </row>
    <row r="952" spans="1:19">
      <c r="A952" s="3">
        <v>5838</v>
      </c>
      <c r="B952" s="83">
        <f t="array" ref="B952">SUM(--(FREQUENCY(IF(C$2:C$3074=C952, MATCH(D$2:D$3074, D$2:D$3074, 0)), ROW(D$2:D$3074)-ROW(D$2)+1) &gt; 0))</f>
        <v>44</v>
      </c>
      <c r="C952" s="3">
        <v>41200047</v>
      </c>
      <c r="D952" s="6" t="s">
        <v>2433</v>
      </c>
      <c r="E952" s="3" t="s">
        <v>1426</v>
      </c>
      <c r="F952" s="3" t="s">
        <v>1476</v>
      </c>
      <c r="G952" s="68" t="str">
        <f t="shared" si="57"/>
        <v>DUAL</v>
      </c>
      <c r="H952" s="197">
        <f t="shared" si="56"/>
        <v>28</v>
      </c>
      <c r="I952" s="197">
        <v>7</v>
      </c>
      <c r="J952" s="197">
        <v>8</v>
      </c>
      <c r="K952" s="186">
        <f t="shared" si="58"/>
        <v>45846</v>
      </c>
      <c r="L952" s="3" t="s">
        <v>2395</v>
      </c>
      <c r="M952" s="3" t="s">
        <v>2392</v>
      </c>
      <c r="N952" s="3" t="str">
        <f t="shared" si="59"/>
        <v/>
      </c>
    </row>
    <row r="953" spans="1:19">
      <c r="A953" s="3">
        <v>5802</v>
      </c>
      <c r="B953" s="83">
        <f t="array" ref="B953">SUM(--(FREQUENCY(IF(C$2:C$3074=C953, MATCH(D$2:D$3074, D$2:D$3074, 0)), ROW(D$2:D$3074)-ROW(D$2)+1) &gt; 0))</f>
        <v>51</v>
      </c>
      <c r="C953" s="3">
        <v>41200034</v>
      </c>
      <c r="D953" s="6" t="s">
        <v>2434</v>
      </c>
      <c r="E953" s="3" t="s">
        <v>1426</v>
      </c>
      <c r="F953" s="3" t="s">
        <v>1476</v>
      </c>
      <c r="G953" s="68" t="str">
        <f t="shared" si="57"/>
        <v>DUAL</v>
      </c>
      <c r="H953" s="197">
        <f t="shared" si="56"/>
        <v>28</v>
      </c>
      <c r="I953" s="197">
        <v>7</v>
      </c>
      <c r="J953" s="197">
        <v>8</v>
      </c>
      <c r="K953" s="186">
        <f t="shared" si="58"/>
        <v>45846</v>
      </c>
      <c r="L953" s="3" t="s">
        <v>2391</v>
      </c>
      <c r="M953" s="3" t="s">
        <v>2392</v>
      </c>
      <c r="N953" s="3" t="str">
        <f t="shared" si="59"/>
        <v/>
      </c>
    </row>
    <row r="954" spans="1:19">
      <c r="A954" s="3">
        <v>5802</v>
      </c>
      <c r="B954" s="83">
        <f t="array" ref="B954">SUM(--(FREQUENCY(IF(C$2:C$3074=C954, MATCH(D$2:D$3074, D$2:D$3074, 0)), ROW(D$2:D$3074)-ROW(D$2)+1) &gt; 0))</f>
        <v>51</v>
      </c>
      <c r="C954" s="3">
        <v>41200034</v>
      </c>
      <c r="D954" s="6" t="s">
        <v>2435</v>
      </c>
      <c r="E954" s="3" t="s">
        <v>1426</v>
      </c>
      <c r="F954" s="3" t="s">
        <v>1476</v>
      </c>
      <c r="G954" s="68" t="str">
        <f t="shared" si="57"/>
        <v>DUAL</v>
      </c>
      <c r="H954" s="197">
        <f t="shared" si="56"/>
        <v>28</v>
      </c>
      <c r="I954" s="197">
        <v>7</v>
      </c>
      <c r="J954" s="197">
        <v>8</v>
      </c>
      <c r="K954" s="186">
        <f t="shared" si="58"/>
        <v>45846</v>
      </c>
      <c r="L954" s="3" t="s">
        <v>2391</v>
      </c>
      <c r="M954" s="3" t="s">
        <v>1468</v>
      </c>
      <c r="N954" s="3" t="str">
        <f t="shared" si="59"/>
        <v/>
      </c>
    </row>
    <row r="955" spans="1:19">
      <c r="A955" s="3">
        <v>5822</v>
      </c>
      <c r="B955" s="83">
        <f t="array" ref="B955">SUM(--(FREQUENCY(IF(C$2:C$3074=C955, MATCH(D$2:D$3074, D$2:D$3074, 0)), ROW(D$2:D$3074)-ROW(D$2)+1) &gt; 0))</f>
        <v>102</v>
      </c>
      <c r="C955" s="3">
        <v>41200006</v>
      </c>
      <c r="D955" s="6" t="s">
        <v>2436</v>
      </c>
      <c r="E955" s="3" t="s">
        <v>1405</v>
      </c>
      <c r="F955" s="3" t="s">
        <v>1477</v>
      </c>
      <c r="G955" s="68" t="str">
        <f t="shared" si="57"/>
        <v>SINGLE</v>
      </c>
      <c r="H955" s="197">
        <f t="shared" si="56"/>
        <v>28</v>
      </c>
      <c r="I955" s="197">
        <v>7</v>
      </c>
      <c r="J955" s="197">
        <v>9</v>
      </c>
      <c r="K955" s="186">
        <f t="shared" si="58"/>
        <v>45847</v>
      </c>
      <c r="L955" s="3" t="s">
        <v>2395</v>
      </c>
      <c r="M955" s="3" t="s">
        <v>1469</v>
      </c>
      <c r="N955" s="3" t="str">
        <f t="shared" si="59"/>
        <v>NG</v>
      </c>
      <c r="O955" s="3" t="s">
        <v>2368</v>
      </c>
      <c r="P955" s="3" t="s">
        <v>2563</v>
      </c>
      <c r="Q955" s="3">
        <v>11200205</v>
      </c>
      <c r="R955" s="3" t="s">
        <v>2441</v>
      </c>
      <c r="S955" s="3" t="s">
        <v>5076</v>
      </c>
    </row>
    <row r="956" spans="1:19">
      <c r="A956" s="3">
        <v>5822</v>
      </c>
      <c r="B956" s="83">
        <f t="array" ref="B956">SUM(--(FREQUENCY(IF(C$2:C$3074=C956, MATCH(D$2:D$3074, D$2:D$3074, 0)), ROW(D$2:D$3074)-ROW(D$2)+1) &gt; 0))</f>
        <v>102</v>
      </c>
      <c r="C956" s="3">
        <v>41200006</v>
      </c>
      <c r="D956" s="6" t="s">
        <v>2437</v>
      </c>
      <c r="E956" s="3" t="s">
        <v>1405</v>
      </c>
      <c r="F956" s="3" t="s">
        <v>1477</v>
      </c>
      <c r="G956" s="68" t="str">
        <f t="shared" si="57"/>
        <v>SINGLE</v>
      </c>
      <c r="H956" s="197">
        <f t="shared" si="56"/>
        <v>28</v>
      </c>
      <c r="I956" s="197">
        <v>7</v>
      </c>
      <c r="J956" s="197">
        <v>9</v>
      </c>
      <c r="K956" s="186">
        <f t="shared" si="58"/>
        <v>45847</v>
      </c>
      <c r="L956" s="3" t="s">
        <v>2395</v>
      </c>
      <c r="M956" s="3" t="s">
        <v>1469</v>
      </c>
      <c r="N956" s="3" t="str">
        <f t="shared" si="59"/>
        <v/>
      </c>
    </row>
    <row r="957" spans="1:19">
      <c r="A957" s="3">
        <v>5621</v>
      </c>
      <c r="B957" s="83">
        <f t="array" ref="B957">SUM(--(FREQUENCY(IF(C$2:C$3074=C957, MATCH(D$2:D$3074, D$2:D$3074, 0)), ROW(D$2:D$3074)-ROW(D$2)+1) &gt; 0))</f>
        <v>11</v>
      </c>
      <c r="C957" s="3">
        <v>41100695</v>
      </c>
      <c r="D957" s="6" t="s">
        <v>2438</v>
      </c>
      <c r="E957" s="3" t="s">
        <v>1433</v>
      </c>
      <c r="F957" s="3" t="s">
        <v>1616</v>
      </c>
      <c r="G957" s="68" t="str">
        <f t="shared" si="57"/>
        <v>SINGLE</v>
      </c>
      <c r="H957" s="197">
        <f t="shared" si="56"/>
        <v>28</v>
      </c>
      <c r="I957" s="197">
        <v>7</v>
      </c>
      <c r="J957" s="197">
        <v>9</v>
      </c>
      <c r="K957" s="186">
        <f t="shared" si="58"/>
        <v>45847</v>
      </c>
      <c r="L957" s="3" t="s">
        <v>2392</v>
      </c>
      <c r="M957" s="3" t="s">
        <v>2392</v>
      </c>
      <c r="N957" s="3" t="str">
        <f t="shared" si="59"/>
        <v/>
      </c>
    </row>
    <row r="958" spans="1:19">
      <c r="A958" s="3">
        <v>5621</v>
      </c>
      <c r="B958" s="83">
        <f t="array" ref="B958">SUM(--(FREQUENCY(IF(C$2:C$3074=C958, MATCH(D$2:D$3074, D$2:D$3074, 0)), ROW(D$2:D$3074)-ROW(D$2)+1) &gt; 0))</f>
        <v>11</v>
      </c>
      <c r="C958" s="3">
        <v>41100695</v>
      </c>
      <c r="D958" s="6" t="s">
        <v>2439</v>
      </c>
      <c r="E958" s="3" t="s">
        <v>1433</v>
      </c>
      <c r="F958" s="3" t="s">
        <v>1616</v>
      </c>
      <c r="G958" s="68" t="str">
        <f t="shared" si="57"/>
        <v>SINGLE</v>
      </c>
      <c r="H958" s="197">
        <f t="shared" si="56"/>
        <v>28</v>
      </c>
      <c r="I958" s="197">
        <v>7</v>
      </c>
      <c r="J958" s="197">
        <v>9</v>
      </c>
      <c r="K958" s="186">
        <f t="shared" si="58"/>
        <v>45847</v>
      </c>
      <c r="L958" s="3" t="s">
        <v>2392</v>
      </c>
      <c r="M958" s="3" t="s">
        <v>2392</v>
      </c>
      <c r="N958" s="3" t="str">
        <f t="shared" si="59"/>
        <v/>
      </c>
    </row>
    <row r="959" spans="1:19">
      <c r="A959" s="3">
        <v>5801</v>
      </c>
      <c r="B959" s="83">
        <f t="array" ref="B959">SUM(--(FREQUENCY(IF(C$2:C$3074=C959, MATCH(D$2:D$3074, D$2:D$3074, 0)), ROW(D$2:D$3074)-ROW(D$2)+1) &gt; 0))</f>
        <v>43</v>
      </c>
      <c r="C959" s="3">
        <v>41200046</v>
      </c>
      <c r="D959" s="6" t="s">
        <v>2440</v>
      </c>
      <c r="E959" s="3" t="s">
        <v>1426</v>
      </c>
      <c r="F959" s="3" t="s">
        <v>1476</v>
      </c>
      <c r="G959" s="68" t="str">
        <f t="shared" si="57"/>
        <v>DUAL</v>
      </c>
      <c r="H959" s="197">
        <f t="shared" si="56"/>
        <v>28</v>
      </c>
      <c r="I959" s="197">
        <v>7</v>
      </c>
      <c r="J959" s="197">
        <v>9</v>
      </c>
      <c r="K959" s="186">
        <f t="shared" si="58"/>
        <v>45847</v>
      </c>
      <c r="L959" s="3" t="s">
        <v>2395</v>
      </c>
      <c r="M959" s="3" t="s">
        <v>2392</v>
      </c>
      <c r="N959" s="3" t="str">
        <f t="shared" si="59"/>
        <v/>
      </c>
    </row>
    <row r="960" spans="1:19">
      <c r="A960" s="3">
        <v>5801</v>
      </c>
      <c r="B960" s="83">
        <f t="array" ref="B960">SUM(--(FREQUENCY(IF(C$2:C$3074=C960, MATCH(D$2:D$3074, D$2:D$3074, 0)), ROW(D$2:D$3074)-ROW(D$2)+1) &gt; 0))</f>
        <v>43</v>
      </c>
      <c r="C960" s="3">
        <v>41200046</v>
      </c>
      <c r="D960" s="6" t="s">
        <v>2443</v>
      </c>
      <c r="E960" s="3" t="s">
        <v>1426</v>
      </c>
      <c r="F960" s="3" t="s">
        <v>1476</v>
      </c>
      <c r="G960" s="68" t="str">
        <f t="shared" si="57"/>
        <v>DUAL</v>
      </c>
      <c r="H960" s="197">
        <f t="shared" si="56"/>
        <v>28</v>
      </c>
      <c r="I960" s="197">
        <v>7</v>
      </c>
      <c r="J960" s="197">
        <v>9</v>
      </c>
      <c r="K960" s="186">
        <f t="shared" si="58"/>
        <v>45847</v>
      </c>
      <c r="L960" s="3" t="s">
        <v>2395</v>
      </c>
      <c r="M960" s="3" t="s">
        <v>2392</v>
      </c>
      <c r="N960" s="3" t="str">
        <f t="shared" si="59"/>
        <v/>
      </c>
    </row>
    <row r="961" spans="1:19">
      <c r="A961" s="3">
        <v>5711</v>
      </c>
      <c r="B961" s="83">
        <f t="array" ref="B961">SUM(--(FREQUENCY(IF(C$2:C$3074=C961, MATCH(D$2:D$3074, D$2:D$3074, 0)), ROW(D$2:D$3074)-ROW(D$2)+1) &gt; 0))</f>
        <v>7</v>
      </c>
      <c r="C961" s="3">
        <v>41200113</v>
      </c>
      <c r="D961" s="6" t="s">
        <v>2444</v>
      </c>
      <c r="E961" s="3" t="s">
        <v>1424</v>
      </c>
      <c r="F961" s="3" t="s">
        <v>1476</v>
      </c>
      <c r="G961" s="68" t="str">
        <f t="shared" si="57"/>
        <v>DUAL</v>
      </c>
      <c r="H961" s="197">
        <f t="shared" ref="H961:H1024" si="60">WEEKNUM(K961)</f>
        <v>28</v>
      </c>
      <c r="I961" s="197">
        <v>7</v>
      </c>
      <c r="J961" s="197">
        <v>9</v>
      </c>
      <c r="K961" s="186">
        <f t="shared" si="58"/>
        <v>45847</v>
      </c>
      <c r="L961" s="3" t="s">
        <v>2391</v>
      </c>
      <c r="M961" s="3" t="s">
        <v>1468</v>
      </c>
      <c r="N961" s="3" t="str">
        <f t="shared" si="59"/>
        <v/>
      </c>
    </row>
    <row r="962" spans="1:19">
      <c r="A962" s="3">
        <v>5713</v>
      </c>
      <c r="B962" s="83">
        <f t="array" ref="B962">SUM(--(FREQUENCY(IF(C$2:C$3074=C962, MATCH(D$2:D$3074, D$2:D$3074, 0)), ROW(D$2:D$3074)-ROW(D$2)+1) &gt; 0))</f>
        <v>7</v>
      </c>
      <c r="C962" s="3">
        <v>41200113</v>
      </c>
      <c r="D962" s="6" t="s">
        <v>2445</v>
      </c>
      <c r="E962" s="3" t="s">
        <v>1424</v>
      </c>
      <c r="F962" s="3" t="s">
        <v>1476</v>
      </c>
      <c r="G962" s="68" t="str">
        <f t="shared" ref="G962:G1025" si="61">IF(OR(ISNUMBER(SEARCH("DUAL",F962)), ISNUMBER(SEARCH("IVAS",F962))), "DUAL", "SINGLE")</f>
        <v>DUAL</v>
      </c>
      <c r="H962" s="197">
        <f t="shared" si="60"/>
        <v>28</v>
      </c>
      <c r="I962" s="197">
        <v>7</v>
      </c>
      <c r="J962" s="197">
        <v>9</v>
      </c>
      <c r="K962" s="186">
        <f t="shared" ref="K962:K1025" si="62">DATE(2025, I962, J962)</f>
        <v>45847</v>
      </c>
      <c r="L962" s="3" t="s">
        <v>2391</v>
      </c>
      <c r="M962" s="3" t="s">
        <v>1468</v>
      </c>
      <c r="N962" s="3" t="str">
        <f t="shared" ref="N962:N1025" si="63">IF(O962&lt;&gt;"", "NG", "")</f>
        <v/>
      </c>
    </row>
    <row r="963" spans="1:19">
      <c r="A963" s="3">
        <v>5676</v>
      </c>
      <c r="B963" s="83">
        <f t="array" ref="B963">SUM(--(FREQUENCY(IF(C$2:C$3074=C963, MATCH(D$2:D$3074, D$2:D$3074, 0)), ROW(D$2:D$3074)-ROW(D$2)+1) &gt; 0))</f>
        <v>14</v>
      </c>
      <c r="C963" s="3">
        <v>41100502</v>
      </c>
      <c r="D963" s="6" t="s">
        <v>2452</v>
      </c>
      <c r="E963" s="3" t="s">
        <v>1585</v>
      </c>
      <c r="F963" s="3" t="s">
        <v>1591</v>
      </c>
      <c r="G963" s="68" t="str">
        <f t="shared" si="61"/>
        <v>SINGLE</v>
      </c>
      <c r="H963" s="197">
        <f t="shared" si="60"/>
        <v>28</v>
      </c>
      <c r="I963" s="197">
        <v>7</v>
      </c>
      <c r="J963" s="197">
        <v>10</v>
      </c>
      <c r="K963" s="186">
        <f t="shared" si="62"/>
        <v>45848</v>
      </c>
      <c r="L963" s="3" t="s">
        <v>2391</v>
      </c>
      <c r="M963" s="3" t="s">
        <v>1468</v>
      </c>
      <c r="N963" s="3" t="str">
        <f t="shared" si="63"/>
        <v/>
      </c>
    </row>
    <row r="964" spans="1:19">
      <c r="A964" s="3">
        <v>5676</v>
      </c>
      <c r="B964" s="83">
        <f t="array" ref="B964">SUM(--(FREQUENCY(IF(C$2:C$3074=C964, MATCH(D$2:D$3074, D$2:D$3074, 0)), ROW(D$2:D$3074)-ROW(D$2)+1) &gt; 0))</f>
        <v>14</v>
      </c>
      <c r="C964" s="3">
        <v>41100502</v>
      </c>
      <c r="D964" s="6" t="s">
        <v>2453</v>
      </c>
      <c r="E964" s="3" t="s">
        <v>1585</v>
      </c>
      <c r="F964" s="3" t="s">
        <v>1591</v>
      </c>
      <c r="G964" s="68" t="str">
        <f t="shared" si="61"/>
        <v>SINGLE</v>
      </c>
      <c r="H964" s="197">
        <f t="shared" si="60"/>
        <v>28</v>
      </c>
      <c r="I964" s="197">
        <v>7</v>
      </c>
      <c r="J964" s="197">
        <v>10</v>
      </c>
      <c r="K964" s="186">
        <f t="shared" si="62"/>
        <v>45848</v>
      </c>
      <c r="L964" s="3" t="s">
        <v>2391</v>
      </c>
      <c r="M964" s="3" t="s">
        <v>1468</v>
      </c>
      <c r="N964" s="3" t="str">
        <f t="shared" si="63"/>
        <v/>
      </c>
    </row>
    <row r="965" spans="1:19">
      <c r="A965" s="3">
        <v>5822</v>
      </c>
      <c r="B965" s="83">
        <f t="array" ref="B965">SUM(--(FREQUENCY(IF(C$2:C$3074=C965, MATCH(D$2:D$3074, D$2:D$3074, 0)), ROW(D$2:D$3074)-ROW(D$2)+1) &gt; 0))</f>
        <v>102</v>
      </c>
      <c r="C965" s="3">
        <v>41200006</v>
      </c>
      <c r="D965" s="6" t="s">
        <v>2456</v>
      </c>
      <c r="E965" s="3" t="s">
        <v>1405</v>
      </c>
      <c r="F965" s="3" t="s">
        <v>1477</v>
      </c>
      <c r="G965" s="68" t="str">
        <f t="shared" si="61"/>
        <v>SINGLE</v>
      </c>
      <c r="H965" s="197">
        <f t="shared" si="60"/>
        <v>28</v>
      </c>
      <c r="I965" s="197">
        <v>7</v>
      </c>
      <c r="J965" s="197">
        <v>10</v>
      </c>
      <c r="K965" s="186">
        <f t="shared" si="62"/>
        <v>45848</v>
      </c>
      <c r="L965" s="3" t="s">
        <v>2395</v>
      </c>
      <c r="M965" s="3" t="s">
        <v>1469</v>
      </c>
      <c r="N965" s="3" t="str">
        <f t="shared" si="63"/>
        <v/>
      </c>
    </row>
    <row r="966" spans="1:19">
      <c r="A966" s="3">
        <v>5791</v>
      </c>
      <c r="B966" s="83">
        <f t="array" ref="B966">SUM(--(FREQUENCY(IF(C$2:C$3074=C966, MATCH(D$2:D$3074, D$2:D$3074, 0)), ROW(D$2:D$3074)-ROW(D$2)+1) &gt; 0))</f>
        <v>2</v>
      </c>
      <c r="C966" s="3">
        <v>41200079</v>
      </c>
      <c r="D966" s="6" t="s">
        <v>2448</v>
      </c>
      <c r="E966" s="3" t="s">
        <v>1405</v>
      </c>
      <c r="F966" s="3" t="s">
        <v>1480</v>
      </c>
      <c r="G966" s="68" t="str">
        <f t="shared" si="61"/>
        <v>DUAL</v>
      </c>
      <c r="H966" s="197">
        <f t="shared" si="60"/>
        <v>28</v>
      </c>
      <c r="I966" s="197">
        <v>7</v>
      </c>
      <c r="J966" s="197">
        <v>10</v>
      </c>
      <c r="K966" s="186">
        <f t="shared" si="62"/>
        <v>45848</v>
      </c>
      <c r="L966" s="3" t="s">
        <v>2395</v>
      </c>
      <c r="M966" s="3" t="s">
        <v>2392</v>
      </c>
      <c r="N966" s="3" t="str">
        <f t="shared" si="63"/>
        <v/>
      </c>
    </row>
    <row r="967" spans="1:19">
      <c r="A967" s="3">
        <v>5664</v>
      </c>
      <c r="B967" s="83">
        <f t="array" ref="B967">SUM(--(FREQUENCY(IF(C$2:C$3074=C967, MATCH(D$2:D$3074, D$2:D$3074, 0)), ROW(D$2:D$3074)-ROW(D$2)+1) &gt; 0))</f>
        <v>20</v>
      </c>
      <c r="C967" s="3">
        <v>41200033</v>
      </c>
      <c r="D967" s="6" t="s">
        <v>2450</v>
      </c>
      <c r="E967" s="3" t="s">
        <v>1426</v>
      </c>
      <c r="F967" s="3" t="s">
        <v>1476</v>
      </c>
      <c r="G967" s="68" t="str">
        <f t="shared" si="61"/>
        <v>DUAL</v>
      </c>
      <c r="H967" s="197">
        <f t="shared" si="60"/>
        <v>28</v>
      </c>
      <c r="I967" s="197">
        <v>7</v>
      </c>
      <c r="J967" s="197">
        <v>10</v>
      </c>
      <c r="K967" s="186">
        <f t="shared" si="62"/>
        <v>45848</v>
      </c>
      <c r="L967" s="3" t="s">
        <v>2395</v>
      </c>
      <c r="M967" s="3" t="s">
        <v>2392</v>
      </c>
      <c r="N967" s="3" t="str">
        <f t="shared" si="63"/>
        <v>NG</v>
      </c>
      <c r="O967" s="3" t="s">
        <v>2368</v>
      </c>
      <c r="P967" s="3" t="s">
        <v>2482</v>
      </c>
      <c r="Q967" s="3">
        <v>11002737</v>
      </c>
      <c r="R967" s="3" t="s">
        <v>735</v>
      </c>
      <c r="S967" s="3" t="s">
        <v>5077</v>
      </c>
    </row>
    <row r="968" spans="1:19">
      <c r="A968" s="3">
        <v>5664</v>
      </c>
      <c r="B968" s="83">
        <f t="array" ref="B968">SUM(--(FREQUENCY(IF(C$2:C$3074=C968, MATCH(D$2:D$3074, D$2:D$3074, 0)), ROW(D$2:D$3074)-ROW(D$2)+1) &gt; 0))</f>
        <v>20</v>
      </c>
      <c r="C968" s="3">
        <v>41200033</v>
      </c>
      <c r="D968" s="6" t="s">
        <v>2451</v>
      </c>
      <c r="E968" s="3" t="s">
        <v>1426</v>
      </c>
      <c r="F968" s="3" t="s">
        <v>1476</v>
      </c>
      <c r="G968" s="68" t="str">
        <f t="shared" si="61"/>
        <v>DUAL</v>
      </c>
      <c r="H968" s="197">
        <f t="shared" si="60"/>
        <v>28</v>
      </c>
      <c r="I968" s="197">
        <v>7</v>
      </c>
      <c r="J968" s="197">
        <v>10</v>
      </c>
      <c r="K968" s="186">
        <f t="shared" si="62"/>
        <v>45848</v>
      </c>
      <c r="L968" s="3" t="s">
        <v>2395</v>
      </c>
      <c r="M968" s="3" t="s">
        <v>2392</v>
      </c>
      <c r="N968" s="3" t="str">
        <f t="shared" si="63"/>
        <v/>
      </c>
    </row>
    <row r="969" spans="1:19">
      <c r="A969" s="3">
        <v>5822</v>
      </c>
      <c r="B969" s="83">
        <f t="array" ref="B969">SUM(--(FREQUENCY(IF(C$2:C$3074=C969, MATCH(D$2:D$3074, D$2:D$3074, 0)), ROW(D$2:D$3074)-ROW(D$2)+1) &gt; 0))</f>
        <v>102</v>
      </c>
      <c r="C969" s="3">
        <v>41200006</v>
      </c>
      <c r="D969" s="6" t="s">
        <v>2457</v>
      </c>
      <c r="E969" s="3" t="s">
        <v>1405</v>
      </c>
      <c r="F969" s="3" t="s">
        <v>1477</v>
      </c>
      <c r="G969" s="68" t="str">
        <f t="shared" si="61"/>
        <v>SINGLE</v>
      </c>
      <c r="H969" s="197">
        <f t="shared" si="60"/>
        <v>28</v>
      </c>
      <c r="I969" s="197">
        <v>7</v>
      </c>
      <c r="J969" s="197">
        <v>11</v>
      </c>
      <c r="K969" s="186">
        <f t="shared" si="62"/>
        <v>45849</v>
      </c>
      <c r="L969" s="3" t="s">
        <v>2395</v>
      </c>
      <c r="M969" s="3" t="s">
        <v>1469</v>
      </c>
      <c r="N969" s="3" t="str">
        <f t="shared" si="63"/>
        <v/>
      </c>
    </row>
    <row r="970" spans="1:19">
      <c r="A970" s="3">
        <v>5164</v>
      </c>
      <c r="B970" s="83">
        <f t="array" ref="B970">SUM(--(FREQUENCY(IF(C$2:C$3074=C970, MATCH(D$2:D$3074, D$2:D$3074, 0)), ROW(D$2:D$3074)-ROW(D$2)+1) &gt; 0))</f>
        <v>1</v>
      </c>
      <c r="C970" s="7">
        <v>41200054</v>
      </c>
      <c r="D970" s="6" t="s">
        <v>1606</v>
      </c>
      <c r="E970" s="3" t="s">
        <v>1424</v>
      </c>
      <c r="F970" s="3" t="s">
        <v>1591</v>
      </c>
      <c r="G970" s="41" t="str">
        <f t="shared" si="61"/>
        <v>SINGLE</v>
      </c>
      <c r="H970" s="197">
        <f t="shared" si="60"/>
        <v>28</v>
      </c>
      <c r="I970" s="197">
        <v>7</v>
      </c>
      <c r="J970" s="197">
        <v>11</v>
      </c>
      <c r="K970" s="186">
        <f t="shared" si="62"/>
        <v>45849</v>
      </c>
      <c r="L970" s="3" t="s">
        <v>2391</v>
      </c>
      <c r="M970" s="3" t="s">
        <v>2392</v>
      </c>
      <c r="N970" s="3" t="str">
        <f t="shared" si="63"/>
        <v/>
      </c>
    </row>
    <row r="971" spans="1:19">
      <c r="A971" s="3">
        <v>5826</v>
      </c>
      <c r="B971" s="83">
        <f t="array" ref="B971">SUM(--(FREQUENCY(IF(C$2:C$3074=C971, MATCH(D$2:D$3074, D$2:D$3074, 0)), ROW(D$2:D$3074)-ROW(D$2)+1) &gt; 0))</f>
        <v>144</v>
      </c>
      <c r="C971" s="3">
        <v>41200007</v>
      </c>
      <c r="D971" s="6" t="s">
        <v>2461</v>
      </c>
      <c r="E971" s="3" t="s">
        <v>1405</v>
      </c>
      <c r="F971" s="3" t="s">
        <v>1591</v>
      </c>
      <c r="G971" s="68" t="str">
        <f t="shared" si="61"/>
        <v>SINGLE</v>
      </c>
      <c r="H971" s="197">
        <f t="shared" si="60"/>
        <v>28</v>
      </c>
      <c r="I971" s="197">
        <v>7</v>
      </c>
      <c r="J971" s="197">
        <v>11</v>
      </c>
      <c r="K971" s="186">
        <f t="shared" si="62"/>
        <v>45849</v>
      </c>
      <c r="L971" s="3" t="s">
        <v>2395</v>
      </c>
      <c r="M971" s="3" t="s">
        <v>1469</v>
      </c>
      <c r="N971" s="3" t="str">
        <f t="shared" si="63"/>
        <v/>
      </c>
    </row>
    <row r="972" spans="1:19">
      <c r="A972" s="3">
        <v>5826</v>
      </c>
      <c r="B972" s="83">
        <f t="array" ref="B972">SUM(--(FREQUENCY(IF(C$2:C$3074=C972, MATCH(D$2:D$3074, D$2:D$3074, 0)), ROW(D$2:D$3074)-ROW(D$2)+1) &gt; 0))</f>
        <v>144</v>
      </c>
      <c r="C972" s="3">
        <v>41200007</v>
      </c>
      <c r="D972" s="6" t="s">
        <v>2462</v>
      </c>
      <c r="E972" s="3" t="s">
        <v>1405</v>
      </c>
      <c r="F972" s="3" t="s">
        <v>1591</v>
      </c>
      <c r="G972" s="68" t="str">
        <f t="shared" si="61"/>
        <v>SINGLE</v>
      </c>
      <c r="H972" s="197">
        <f t="shared" si="60"/>
        <v>28</v>
      </c>
      <c r="I972" s="197">
        <v>7</v>
      </c>
      <c r="J972" s="197">
        <v>11</v>
      </c>
      <c r="K972" s="186">
        <f t="shared" si="62"/>
        <v>45849</v>
      </c>
      <c r="L972" s="3" t="s">
        <v>2395</v>
      </c>
      <c r="M972" s="3" t="s">
        <v>1469</v>
      </c>
      <c r="N972" s="3" t="str">
        <f t="shared" si="63"/>
        <v/>
      </c>
    </row>
    <row r="973" spans="1:19">
      <c r="A973" s="3">
        <v>5828</v>
      </c>
      <c r="B973" s="83">
        <f t="array" ref="B973">SUM(--(FREQUENCY(IF(C$2:C$3074=C973, MATCH(D$2:D$3074, D$2:D$3074, 0)), ROW(D$2:D$3074)-ROW(D$2)+1) &gt; 0))</f>
        <v>2</v>
      </c>
      <c r="C973" s="3">
        <v>41100621</v>
      </c>
      <c r="D973" s="6" t="s">
        <v>2458</v>
      </c>
      <c r="E973" s="3" t="s">
        <v>1424</v>
      </c>
      <c r="F973" s="3" t="s">
        <v>1476</v>
      </c>
      <c r="G973" s="68" t="str">
        <f t="shared" si="61"/>
        <v>DUAL</v>
      </c>
      <c r="H973" s="197">
        <f t="shared" si="60"/>
        <v>28</v>
      </c>
      <c r="I973" s="197">
        <v>7</v>
      </c>
      <c r="J973" s="197">
        <v>11</v>
      </c>
      <c r="K973" s="186">
        <f t="shared" si="62"/>
        <v>45849</v>
      </c>
      <c r="L973" s="3" t="s">
        <v>2391</v>
      </c>
      <c r="M973" s="3" t="s">
        <v>1468</v>
      </c>
      <c r="N973" s="3" t="str">
        <f t="shared" si="63"/>
        <v/>
      </c>
    </row>
    <row r="974" spans="1:19">
      <c r="A974" s="3">
        <v>5821</v>
      </c>
      <c r="B974" s="83">
        <f t="array" ref="B974">SUM(--(FREQUENCY(IF(C$2:C$3074=C974, MATCH(D$2:D$3074, D$2:D$3074, 0)), ROW(D$2:D$3074)-ROW(D$2)+1) &gt; 0))</f>
        <v>26</v>
      </c>
      <c r="C974" s="3">
        <v>41200074</v>
      </c>
      <c r="D974" s="6" t="s">
        <v>2459</v>
      </c>
      <c r="E974" s="3" t="s">
        <v>1405</v>
      </c>
      <c r="F974" s="3" t="s">
        <v>1478</v>
      </c>
      <c r="G974" s="68" t="str">
        <f t="shared" si="61"/>
        <v>DUAL</v>
      </c>
      <c r="H974" s="197">
        <f t="shared" si="60"/>
        <v>28</v>
      </c>
      <c r="I974" s="197">
        <v>7</v>
      </c>
      <c r="J974" s="197">
        <v>11</v>
      </c>
      <c r="K974" s="186">
        <f t="shared" si="62"/>
        <v>45849</v>
      </c>
      <c r="L974" s="3" t="s">
        <v>2391</v>
      </c>
      <c r="M974" s="3" t="s">
        <v>1468</v>
      </c>
      <c r="N974" s="3" t="str">
        <f t="shared" si="63"/>
        <v/>
      </c>
    </row>
    <row r="975" spans="1:19">
      <c r="A975" s="3">
        <v>5821</v>
      </c>
      <c r="B975" s="83">
        <f t="array" ref="B975">SUM(--(FREQUENCY(IF(C$2:C$3074=C975, MATCH(D$2:D$3074, D$2:D$3074, 0)), ROW(D$2:D$3074)-ROW(D$2)+1) &gt; 0))</f>
        <v>26</v>
      </c>
      <c r="C975" s="3">
        <v>41200074</v>
      </c>
      <c r="D975" s="6" t="s">
        <v>2463</v>
      </c>
      <c r="E975" s="3" t="s">
        <v>1405</v>
      </c>
      <c r="F975" s="3" t="s">
        <v>1478</v>
      </c>
      <c r="G975" s="68" t="str">
        <f t="shared" si="61"/>
        <v>DUAL</v>
      </c>
      <c r="H975" s="197">
        <f t="shared" si="60"/>
        <v>28</v>
      </c>
      <c r="I975" s="197">
        <v>7</v>
      </c>
      <c r="J975" s="197">
        <v>11</v>
      </c>
      <c r="K975" s="186">
        <f t="shared" si="62"/>
        <v>45849</v>
      </c>
      <c r="L975" s="3" t="s">
        <v>2391</v>
      </c>
      <c r="M975" s="3" t="s">
        <v>1468</v>
      </c>
      <c r="N975" s="3" t="str">
        <f t="shared" si="63"/>
        <v/>
      </c>
    </row>
    <row r="976" spans="1:19">
      <c r="A976" s="3">
        <v>5849</v>
      </c>
      <c r="B976" s="83">
        <f t="array" ref="B976">SUM(--(FREQUENCY(IF(C$2:C$3074=C976, MATCH(D$2:D$3074, D$2:D$3074, 0)), ROW(D$2:D$3074)-ROW(D$2)+1) &gt; 0))</f>
        <v>7</v>
      </c>
      <c r="C976" s="3">
        <v>41200042</v>
      </c>
      <c r="D976" s="6" t="s">
        <v>2473</v>
      </c>
      <c r="E976" s="3" t="s">
        <v>1426</v>
      </c>
      <c r="F976" s="3" t="s">
        <v>1476</v>
      </c>
      <c r="G976" s="68" t="str">
        <f t="shared" si="61"/>
        <v>DUAL</v>
      </c>
      <c r="H976" s="197">
        <f t="shared" si="60"/>
        <v>29</v>
      </c>
      <c r="I976" s="197">
        <v>7</v>
      </c>
      <c r="J976" s="197">
        <v>14</v>
      </c>
      <c r="K976" s="186">
        <f t="shared" si="62"/>
        <v>45852</v>
      </c>
      <c r="L976" s="3" t="s">
        <v>2391</v>
      </c>
      <c r="M976" s="3" t="s">
        <v>1468</v>
      </c>
      <c r="N976" s="3" t="str">
        <f t="shared" si="63"/>
        <v/>
      </c>
    </row>
    <row r="977" spans="1:21" s="178" customFormat="1">
      <c r="A977" s="175">
        <v>5787</v>
      </c>
      <c r="B977" s="176">
        <f t="array" ref="B977">SUM(--(FREQUENCY(IF(C$2:C$3074=C977, MATCH(D$2:D$3074, D$2:D$3074, 0)), ROW(D$2:D$3074)-ROW(D$2)+1) &gt; 0))</f>
        <v>51</v>
      </c>
      <c r="C977" s="175">
        <v>41200034</v>
      </c>
      <c r="D977" s="175" t="s">
        <v>2474</v>
      </c>
      <c r="E977" s="175" t="s">
        <v>1426</v>
      </c>
      <c r="F977" s="175" t="s">
        <v>1476</v>
      </c>
      <c r="G977" s="177" t="str">
        <f t="shared" si="61"/>
        <v>DUAL</v>
      </c>
      <c r="H977" s="213">
        <f t="shared" si="60"/>
        <v>29</v>
      </c>
      <c r="I977" s="213">
        <v>7</v>
      </c>
      <c r="J977" s="213">
        <v>14</v>
      </c>
      <c r="K977" s="187">
        <f t="shared" si="62"/>
        <v>45852</v>
      </c>
      <c r="L977" s="175" t="s">
        <v>2391</v>
      </c>
      <c r="M977" s="175" t="s">
        <v>1468</v>
      </c>
      <c r="N977" s="175" t="str">
        <f t="shared" si="63"/>
        <v>NG</v>
      </c>
      <c r="O977" s="175" t="s">
        <v>2368</v>
      </c>
      <c r="P977" s="175" t="s">
        <v>2414</v>
      </c>
      <c r="Q977" s="175">
        <v>11102385</v>
      </c>
      <c r="R977" s="175" t="s">
        <v>2415</v>
      </c>
      <c r="S977" s="175" t="s">
        <v>5078</v>
      </c>
      <c r="T977" s="175" t="s">
        <v>2705</v>
      </c>
      <c r="U977" s="175" t="s">
        <v>2475</v>
      </c>
    </row>
    <row r="978" spans="1:21" s="178" customFormat="1">
      <c r="A978" s="175">
        <v>5787</v>
      </c>
      <c r="B978" s="176">
        <f t="array" ref="B978">SUM(--(FREQUENCY(IF(C$2:C$3074=C978, MATCH(D$2:D$3074, D$2:D$3074, 0)), ROW(D$2:D$3074)-ROW(D$2)+1) &gt; 0))</f>
        <v>51</v>
      </c>
      <c r="C978" s="175">
        <v>41200034</v>
      </c>
      <c r="D978" s="175" t="s">
        <v>2479</v>
      </c>
      <c r="E978" s="175" t="s">
        <v>1426</v>
      </c>
      <c r="F978" s="175" t="s">
        <v>1476</v>
      </c>
      <c r="G978" s="177" t="str">
        <f t="shared" si="61"/>
        <v>DUAL</v>
      </c>
      <c r="H978" s="213">
        <f t="shared" si="60"/>
        <v>29</v>
      </c>
      <c r="I978" s="213">
        <v>7</v>
      </c>
      <c r="J978" s="213">
        <v>14</v>
      </c>
      <c r="K978" s="187">
        <f t="shared" si="62"/>
        <v>45852</v>
      </c>
      <c r="L978" s="175" t="s">
        <v>2391</v>
      </c>
      <c r="M978" s="175" t="s">
        <v>1468</v>
      </c>
      <c r="N978" s="175" t="str">
        <f t="shared" si="63"/>
        <v/>
      </c>
      <c r="O978" s="175"/>
      <c r="P978" s="175"/>
      <c r="Q978" s="175"/>
      <c r="R978" s="175"/>
      <c r="S978" s="175"/>
      <c r="T978" s="175"/>
      <c r="U978" s="175" t="s">
        <v>2475</v>
      </c>
    </row>
    <row r="979" spans="1:21">
      <c r="A979" s="3">
        <v>5836</v>
      </c>
      <c r="B979" s="83">
        <f t="array" ref="B979">SUM(--(FREQUENCY(IF(C$2:C$3074=C979, MATCH(D$2:D$3074, D$2:D$3074, 0)), ROW(D$2:D$3074)-ROW(D$2)+1) &gt; 0))</f>
        <v>32</v>
      </c>
      <c r="C979" s="3">
        <v>41200122</v>
      </c>
      <c r="D979" s="6" t="s">
        <v>2476</v>
      </c>
      <c r="E979" s="3" t="s">
        <v>1585</v>
      </c>
      <c r="F979" s="3" t="s">
        <v>1476</v>
      </c>
      <c r="G979" s="68" t="str">
        <f t="shared" si="61"/>
        <v>DUAL</v>
      </c>
      <c r="H979" s="197">
        <f t="shared" si="60"/>
        <v>29</v>
      </c>
      <c r="I979" s="197">
        <v>7</v>
      </c>
      <c r="J979" s="197">
        <v>14</v>
      </c>
      <c r="K979" s="186">
        <f t="shared" si="62"/>
        <v>45852</v>
      </c>
      <c r="L979" s="3" t="s">
        <v>2395</v>
      </c>
      <c r="M979" s="3" t="s">
        <v>1469</v>
      </c>
      <c r="N979" s="3" t="str">
        <f t="shared" si="63"/>
        <v/>
      </c>
    </row>
    <row r="980" spans="1:21">
      <c r="A980" s="3">
        <v>5765</v>
      </c>
      <c r="B980" s="83">
        <f t="array" ref="B980">SUM(--(FREQUENCY(IF(C$2:C$3074=C980, MATCH(D$2:D$3074, D$2:D$3074, 0)), ROW(D$2:D$3074)-ROW(D$2)+1) &gt; 0))</f>
        <v>11</v>
      </c>
      <c r="C980" s="3">
        <v>41200105</v>
      </c>
      <c r="D980" s="6" t="s">
        <v>2477</v>
      </c>
      <c r="E980" s="3" t="s">
        <v>1424</v>
      </c>
      <c r="F980" s="3" t="s">
        <v>1476</v>
      </c>
      <c r="G980" s="68" t="str">
        <f t="shared" si="61"/>
        <v>DUAL</v>
      </c>
      <c r="H980" s="197">
        <f t="shared" si="60"/>
        <v>29</v>
      </c>
      <c r="I980" s="197">
        <v>7</v>
      </c>
      <c r="J980" s="197">
        <v>14</v>
      </c>
      <c r="K980" s="186">
        <f t="shared" si="62"/>
        <v>45852</v>
      </c>
      <c r="L980" s="3" t="s">
        <v>2395</v>
      </c>
      <c r="M980" s="3" t="s">
        <v>1469</v>
      </c>
      <c r="N980" s="3" t="str">
        <f t="shared" si="63"/>
        <v/>
      </c>
    </row>
    <row r="981" spans="1:21">
      <c r="A981" s="3">
        <v>5504</v>
      </c>
      <c r="B981" s="83">
        <f t="array" ref="B981">SUM(--(FREQUENCY(IF(C$2:C$3074=C981, MATCH(D$2:D$3074, D$2:D$3074, 0)), ROW(D$2:D$3074)-ROW(D$2)+1) &gt; 0))</f>
        <v>44</v>
      </c>
      <c r="C981" s="3">
        <v>41200108</v>
      </c>
      <c r="D981" s="6" t="s">
        <v>2480</v>
      </c>
      <c r="E981" s="3" t="s">
        <v>1409</v>
      </c>
      <c r="F981" s="3" t="s">
        <v>1479</v>
      </c>
      <c r="G981" s="68" t="str">
        <f t="shared" si="61"/>
        <v>SINGLE</v>
      </c>
      <c r="H981" s="197">
        <f t="shared" si="60"/>
        <v>29</v>
      </c>
      <c r="I981" s="197">
        <v>7</v>
      </c>
      <c r="J981" s="197">
        <v>15</v>
      </c>
      <c r="K981" s="186">
        <f t="shared" si="62"/>
        <v>45853</v>
      </c>
      <c r="L981" s="3" t="s">
        <v>2395</v>
      </c>
      <c r="M981" s="3" t="s">
        <v>2392</v>
      </c>
      <c r="N981" s="3" t="str">
        <f t="shared" si="63"/>
        <v/>
      </c>
    </row>
    <row r="982" spans="1:21">
      <c r="A982" s="3">
        <v>5777</v>
      </c>
      <c r="B982" s="83">
        <f t="array" ref="B982">SUM(--(FREQUENCY(IF(C$2:C$3074=C982, MATCH(D$2:D$3074, D$2:D$3074, 0)), ROW(D$2:D$3074)-ROW(D$2)+1) &gt; 0))</f>
        <v>30</v>
      </c>
      <c r="C982" s="3">
        <v>41200109</v>
      </c>
      <c r="D982" s="6" t="s">
        <v>2484</v>
      </c>
      <c r="E982" s="3" t="s">
        <v>1585</v>
      </c>
      <c r="F982" s="3" t="s">
        <v>1591</v>
      </c>
      <c r="G982" s="68" t="str">
        <f t="shared" si="61"/>
        <v>SINGLE</v>
      </c>
      <c r="H982" s="197">
        <f t="shared" si="60"/>
        <v>29</v>
      </c>
      <c r="I982" s="197">
        <v>7</v>
      </c>
      <c r="J982" s="197">
        <v>15</v>
      </c>
      <c r="K982" s="186">
        <f t="shared" si="62"/>
        <v>45853</v>
      </c>
      <c r="L982" s="3" t="s">
        <v>2395</v>
      </c>
      <c r="M982" s="3" t="s">
        <v>1469</v>
      </c>
      <c r="N982" s="3" t="str">
        <f t="shared" si="63"/>
        <v/>
      </c>
    </row>
    <row r="983" spans="1:21">
      <c r="A983" s="3">
        <v>5777</v>
      </c>
      <c r="B983" s="83">
        <f t="array" ref="B983">SUM(--(FREQUENCY(IF(C$2:C$3074=C983, MATCH(D$2:D$3074, D$2:D$3074, 0)), ROW(D$2:D$3074)-ROW(D$2)+1) &gt; 0))</f>
        <v>30</v>
      </c>
      <c r="C983" s="3">
        <v>41200109</v>
      </c>
      <c r="D983" s="6" t="s">
        <v>2486</v>
      </c>
      <c r="E983" s="3" t="s">
        <v>1585</v>
      </c>
      <c r="F983" s="3" t="s">
        <v>1591</v>
      </c>
      <c r="G983" s="68" t="str">
        <f t="shared" si="61"/>
        <v>SINGLE</v>
      </c>
      <c r="H983" s="197">
        <f t="shared" si="60"/>
        <v>29</v>
      </c>
      <c r="I983" s="197">
        <v>7</v>
      </c>
      <c r="J983" s="197">
        <v>15</v>
      </c>
      <c r="K983" s="186">
        <f t="shared" si="62"/>
        <v>45853</v>
      </c>
      <c r="L983" s="3" t="s">
        <v>2395</v>
      </c>
      <c r="M983" s="3" t="s">
        <v>1469</v>
      </c>
      <c r="N983" s="3" t="str">
        <f t="shared" si="63"/>
        <v/>
      </c>
    </row>
    <row r="984" spans="1:21">
      <c r="A984" s="3">
        <v>5771</v>
      </c>
      <c r="B984" s="83">
        <f t="array" ref="B984">SUM(--(FREQUENCY(IF(C$2:C$3074=C984, MATCH(D$2:D$3074, D$2:D$3074, 0)), ROW(D$2:D$3074)-ROW(D$2)+1) &gt; 0))</f>
        <v>77</v>
      </c>
      <c r="C984" s="3">
        <v>41200076</v>
      </c>
      <c r="D984" s="6" t="s">
        <v>2481</v>
      </c>
      <c r="E984" s="3" t="s">
        <v>1585</v>
      </c>
      <c r="F984" s="3" t="s">
        <v>1476</v>
      </c>
      <c r="G984" s="68" t="str">
        <f t="shared" si="61"/>
        <v>DUAL</v>
      </c>
      <c r="H984" s="197">
        <f t="shared" si="60"/>
        <v>29</v>
      </c>
      <c r="I984" s="197">
        <v>7</v>
      </c>
      <c r="J984" s="197">
        <v>15</v>
      </c>
      <c r="K984" s="186">
        <f t="shared" si="62"/>
        <v>45853</v>
      </c>
      <c r="L984" s="3" t="s">
        <v>2391</v>
      </c>
      <c r="M984" s="3" t="s">
        <v>1468</v>
      </c>
      <c r="N984" s="3" t="str">
        <f t="shared" si="63"/>
        <v>NG</v>
      </c>
      <c r="O984" s="3" t="s">
        <v>2368</v>
      </c>
      <c r="P984" s="3" t="s">
        <v>2446</v>
      </c>
      <c r="Q984" s="3">
        <v>11002283</v>
      </c>
      <c r="R984" s="3" t="s">
        <v>5062</v>
      </c>
      <c r="S984" s="3" t="s">
        <v>5079</v>
      </c>
      <c r="T984" s="3" t="s">
        <v>2705</v>
      </c>
    </row>
    <row r="985" spans="1:21">
      <c r="A985" s="3">
        <v>5806</v>
      </c>
      <c r="B985" s="83">
        <f t="array" ref="B985">SUM(--(FREQUENCY(IF(C$2:C$3074=C985, MATCH(D$2:D$3074, D$2:D$3074, 0)), ROW(D$2:D$3074)-ROW(D$2)+1) &gt; 0))</f>
        <v>10</v>
      </c>
      <c r="C985" s="3">
        <v>41100286</v>
      </c>
      <c r="D985" s="6" t="s">
        <v>2487</v>
      </c>
      <c r="E985" s="3" t="s">
        <v>1424</v>
      </c>
      <c r="F985" s="3" t="s">
        <v>1476</v>
      </c>
      <c r="G985" s="68" t="str">
        <f t="shared" si="61"/>
        <v>DUAL</v>
      </c>
      <c r="H985" s="197">
        <f t="shared" si="60"/>
        <v>29</v>
      </c>
      <c r="I985" s="197">
        <v>7</v>
      </c>
      <c r="J985" s="197">
        <v>15</v>
      </c>
      <c r="K985" s="186">
        <f t="shared" si="62"/>
        <v>45853</v>
      </c>
      <c r="L985" s="3" t="s">
        <v>2395</v>
      </c>
      <c r="M985" s="3" t="s">
        <v>1469</v>
      </c>
      <c r="N985" s="3" t="str">
        <f t="shared" si="63"/>
        <v/>
      </c>
    </row>
    <row r="986" spans="1:21">
      <c r="A986" s="3">
        <v>5879</v>
      </c>
      <c r="B986" s="83">
        <f t="array" ref="B986">SUM(--(FREQUENCY(IF(C$2:C$3074=C986, MATCH(D$2:D$3074, D$2:D$3074, 0)), ROW(D$2:D$3074)-ROW(D$2)+1) &gt; 0))</f>
        <v>1</v>
      </c>
      <c r="C986" s="3">
        <v>41200154</v>
      </c>
      <c r="D986" s="6" t="s">
        <v>2478</v>
      </c>
      <c r="E986" s="3" t="s">
        <v>1405</v>
      </c>
      <c r="F986" s="3" t="s">
        <v>1581</v>
      </c>
      <c r="G986" s="68" t="str">
        <f t="shared" si="61"/>
        <v>DUAL</v>
      </c>
      <c r="H986" s="197">
        <f t="shared" si="60"/>
        <v>29</v>
      </c>
      <c r="I986" s="197">
        <v>7</v>
      </c>
      <c r="J986" s="197">
        <v>15</v>
      </c>
      <c r="K986" s="186">
        <f t="shared" si="62"/>
        <v>45853</v>
      </c>
      <c r="L986" s="3" t="s">
        <v>2392</v>
      </c>
      <c r="M986" s="3" t="s">
        <v>2392</v>
      </c>
      <c r="N986" s="3" t="str">
        <f t="shared" si="63"/>
        <v/>
      </c>
    </row>
    <row r="987" spans="1:21">
      <c r="A987" s="3">
        <v>5823</v>
      </c>
      <c r="B987" s="83">
        <f t="array" ref="B987">SUM(--(FREQUENCY(IF(C$2:C$3074=C987, MATCH(D$2:D$3074, D$2:D$3074, 0)), ROW(D$2:D$3074)-ROW(D$2)+1) &gt; 0))</f>
        <v>49</v>
      </c>
      <c r="C987" s="3">
        <v>41200005</v>
      </c>
      <c r="D987" s="6" t="s">
        <v>2499</v>
      </c>
      <c r="E987" s="3" t="s">
        <v>1405</v>
      </c>
      <c r="F987" s="3" t="s">
        <v>1591</v>
      </c>
      <c r="G987" s="68" t="str">
        <f t="shared" si="61"/>
        <v>SINGLE</v>
      </c>
      <c r="H987" s="197">
        <f t="shared" si="60"/>
        <v>29</v>
      </c>
      <c r="I987" s="197">
        <v>7</v>
      </c>
      <c r="J987" s="197">
        <v>16</v>
      </c>
      <c r="K987" s="186">
        <f t="shared" si="62"/>
        <v>45854</v>
      </c>
      <c r="L987" s="3" t="s">
        <v>2395</v>
      </c>
      <c r="M987" s="3" t="s">
        <v>1469</v>
      </c>
      <c r="N987" s="3" t="str">
        <f t="shared" si="63"/>
        <v/>
      </c>
    </row>
    <row r="988" spans="1:21">
      <c r="A988" s="3">
        <v>5823</v>
      </c>
      <c r="B988" s="83">
        <f t="array" ref="B988">SUM(--(FREQUENCY(IF(C$2:C$3074=C988, MATCH(D$2:D$3074, D$2:D$3074, 0)), ROW(D$2:D$3074)-ROW(D$2)+1) &gt; 0))</f>
        <v>49</v>
      </c>
      <c r="C988" s="3">
        <v>41200005</v>
      </c>
      <c r="D988" s="6" t="s">
        <v>2501</v>
      </c>
      <c r="E988" s="3" t="s">
        <v>1405</v>
      </c>
      <c r="F988" s="3" t="s">
        <v>1591</v>
      </c>
      <c r="G988" s="68" t="str">
        <f t="shared" si="61"/>
        <v>SINGLE</v>
      </c>
      <c r="H988" s="197">
        <f t="shared" si="60"/>
        <v>29</v>
      </c>
      <c r="I988" s="197">
        <v>7</v>
      </c>
      <c r="J988" s="197">
        <v>16</v>
      </c>
      <c r="K988" s="186">
        <f t="shared" si="62"/>
        <v>45854</v>
      </c>
      <c r="L988" s="3" t="s">
        <v>2395</v>
      </c>
      <c r="M988" s="3" t="s">
        <v>1469</v>
      </c>
      <c r="N988" s="3" t="str">
        <f t="shared" si="63"/>
        <v/>
      </c>
    </row>
    <row r="989" spans="1:21">
      <c r="A989" s="3">
        <v>5821</v>
      </c>
      <c r="B989" s="83">
        <f t="array" ref="B989">SUM(--(FREQUENCY(IF(C$2:C$3074=C989, MATCH(D$2:D$3074, D$2:D$3074, 0)), ROW(D$2:D$3074)-ROW(D$2)+1) &gt; 0))</f>
        <v>26</v>
      </c>
      <c r="C989" s="3">
        <v>41200074</v>
      </c>
      <c r="D989" s="6" t="s">
        <v>2488</v>
      </c>
      <c r="E989" s="3" t="s">
        <v>1405</v>
      </c>
      <c r="F989" s="3" t="s">
        <v>1478</v>
      </c>
      <c r="G989" s="68" t="str">
        <f t="shared" si="61"/>
        <v>DUAL</v>
      </c>
      <c r="H989" s="197">
        <f t="shared" si="60"/>
        <v>29</v>
      </c>
      <c r="I989" s="197">
        <v>7</v>
      </c>
      <c r="J989" s="197">
        <v>16</v>
      </c>
      <c r="K989" s="186">
        <f t="shared" si="62"/>
        <v>45854</v>
      </c>
      <c r="L989" s="3" t="s">
        <v>2391</v>
      </c>
      <c r="M989" s="3" t="s">
        <v>2392</v>
      </c>
      <c r="N989" s="3" t="str">
        <f t="shared" si="63"/>
        <v/>
      </c>
    </row>
    <row r="990" spans="1:21">
      <c r="A990" s="3">
        <v>5821</v>
      </c>
      <c r="B990" s="83">
        <f t="array" ref="B990">SUM(--(FREQUENCY(IF(C$2:C$3074=C990, MATCH(D$2:D$3074, D$2:D$3074, 0)), ROW(D$2:D$3074)-ROW(D$2)+1) &gt; 0))</f>
        <v>26</v>
      </c>
      <c r="C990" s="3">
        <v>41200074</v>
      </c>
      <c r="D990" s="6" t="s">
        <v>2489</v>
      </c>
      <c r="E990" s="3" t="s">
        <v>1405</v>
      </c>
      <c r="F990" s="3" t="s">
        <v>1478</v>
      </c>
      <c r="G990" s="41" t="str">
        <f t="shared" si="61"/>
        <v>DUAL</v>
      </c>
      <c r="H990" s="197">
        <f t="shared" si="60"/>
        <v>29</v>
      </c>
      <c r="I990" s="197">
        <v>7</v>
      </c>
      <c r="J990" s="197">
        <v>16</v>
      </c>
      <c r="K990" s="186">
        <f t="shared" si="62"/>
        <v>45854</v>
      </c>
      <c r="L990" s="3" t="s">
        <v>2391</v>
      </c>
      <c r="M990" s="3" t="s">
        <v>2392</v>
      </c>
      <c r="N990" s="3" t="str">
        <f t="shared" si="63"/>
        <v>NG</v>
      </c>
      <c r="O990" s="3" t="s">
        <v>2368</v>
      </c>
      <c r="P990" s="3" t="s">
        <v>2376</v>
      </c>
      <c r="Q990" s="3">
        <v>11000206</v>
      </c>
      <c r="R990" s="3" t="s">
        <v>816</v>
      </c>
      <c r="S990" s="3" t="s">
        <v>5080</v>
      </c>
    </row>
    <row r="991" spans="1:21">
      <c r="A991" s="3">
        <v>5821</v>
      </c>
      <c r="B991" s="83">
        <f t="array" ref="B991">SUM(--(FREQUENCY(IF(C$2:C$3074=C991, MATCH(D$2:D$3074, D$2:D$3074, 0)), ROW(D$2:D$3074)-ROW(D$2)+1) &gt; 0))</f>
        <v>26</v>
      </c>
      <c r="C991" s="3">
        <v>41200074</v>
      </c>
      <c r="D991" s="6" t="s">
        <v>2489</v>
      </c>
      <c r="E991" s="3" t="s">
        <v>1405</v>
      </c>
      <c r="F991" s="3" t="s">
        <v>1478</v>
      </c>
      <c r="G991" s="41" t="str">
        <f t="shared" si="61"/>
        <v>DUAL</v>
      </c>
      <c r="H991" s="197">
        <f t="shared" si="60"/>
        <v>29</v>
      </c>
      <c r="I991" s="197">
        <v>7</v>
      </c>
      <c r="J991" s="197">
        <v>16</v>
      </c>
      <c r="K991" s="186">
        <f t="shared" si="62"/>
        <v>45854</v>
      </c>
      <c r="L991" s="3" t="s">
        <v>2391</v>
      </c>
      <c r="M991" s="3" t="s">
        <v>2392</v>
      </c>
      <c r="N991" s="3" t="str">
        <f t="shared" si="63"/>
        <v>NG</v>
      </c>
      <c r="O991" s="3" t="s">
        <v>2368</v>
      </c>
      <c r="P991" s="3" t="s">
        <v>1384</v>
      </c>
      <c r="Q991" s="3">
        <v>11000367</v>
      </c>
      <c r="R991" s="3" t="s">
        <v>386</v>
      </c>
      <c r="S991" s="3" t="s">
        <v>5081</v>
      </c>
    </row>
    <row r="992" spans="1:21">
      <c r="A992" s="3">
        <v>5793</v>
      </c>
      <c r="B992" s="83">
        <f t="array" ref="B992">SUM(--(FREQUENCY(IF(C$2:C$3074=C992, MATCH(D$2:D$3074, D$2:D$3074, 0)), ROW(D$2:D$3074)-ROW(D$2)+1) &gt; 0))</f>
        <v>19</v>
      </c>
      <c r="C992" s="3">
        <v>41200124</v>
      </c>
      <c r="D992" s="6" t="s">
        <v>2490</v>
      </c>
      <c r="E992" s="3" t="s">
        <v>1585</v>
      </c>
      <c r="F992" s="3" t="s">
        <v>1476</v>
      </c>
      <c r="G992" s="68" t="str">
        <f t="shared" si="61"/>
        <v>DUAL</v>
      </c>
      <c r="H992" s="197">
        <f t="shared" si="60"/>
        <v>29</v>
      </c>
      <c r="I992" s="197">
        <v>7</v>
      </c>
      <c r="J992" s="197">
        <v>16</v>
      </c>
      <c r="K992" s="186">
        <f t="shared" si="62"/>
        <v>45854</v>
      </c>
      <c r="L992" s="3" t="s">
        <v>2391</v>
      </c>
      <c r="M992" s="3" t="s">
        <v>1468</v>
      </c>
      <c r="N992" s="3" t="str">
        <f t="shared" si="63"/>
        <v/>
      </c>
    </row>
    <row r="993" spans="1:21">
      <c r="A993" s="3">
        <v>5840</v>
      </c>
      <c r="B993" s="83">
        <f t="array" ref="B993">SUM(--(FREQUENCY(IF(C$2:C$3074=C993, MATCH(D$2:D$3074, D$2:D$3074, 0)), ROW(D$2:D$3074)-ROW(D$2)+1) &gt; 0))</f>
        <v>19</v>
      </c>
      <c r="C993" s="3">
        <v>41200124</v>
      </c>
      <c r="D993" s="6" t="s">
        <v>2495</v>
      </c>
      <c r="E993" s="3" t="s">
        <v>1585</v>
      </c>
      <c r="F993" s="3" t="s">
        <v>1476</v>
      </c>
      <c r="G993" s="68" t="str">
        <f t="shared" si="61"/>
        <v>DUAL</v>
      </c>
      <c r="H993" s="197">
        <f t="shared" si="60"/>
        <v>29</v>
      </c>
      <c r="I993" s="197">
        <v>7</v>
      </c>
      <c r="J993" s="197">
        <v>16</v>
      </c>
      <c r="K993" s="186">
        <f t="shared" si="62"/>
        <v>45854</v>
      </c>
      <c r="L993" s="3" t="s">
        <v>2395</v>
      </c>
      <c r="M993" s="3" t="s">
        <v>1469</v>
      </c>
      <c r="N993" s="3" t="str">
        <f t="shared" si="63"/>
        <v/>
      </c>
    </row>
    <row r="994" spans="1:21">
      <c r="A994" s="3">
        <v>5672</v>
      </c>
      <c r="B994" s="83">
        <f t="array" ref="B994">SUM(--(FREQUENCY(IF(C$2:C$3074=C994, MATCH(D$2:D$3074, D$2:D$3074, 0)), ROW(D$2:D$3074)-ROW(D$2)+1) &gt; 0))</f>
        <v>30</v>
      </c>
      <c r="C994" s="3">
        <v>41200109</v>
      </c>
      <c r="D994" s="6" t="s">
        <v>2504</v>
      </c>
      <c r="E994" s="3" t="s">
        <v>1585</v>
      </c>
      <c r="F994" s="3" t="s">
        <v>1591</v>
      </c>
      <c r="G994" s="68" t="str">
        <f t="shared" si="61"/>
        <v>SINGLE</v>
      </c>
      <c r="H994" s="197">
        <f t="shared" si="60"/>
        <v>29</v>
      </c>
      <c r="I994" s="197">
        <v>7</v>
      </c>
      <c r="J994" s="197">
        <v>17</v>
      </c>
      <c r="K994" s="186">
        <f t="shared" si="62"/>
        <v>45855</v>
      </c>
      <c r="L994" s="3" t="s">
        <v>2395</v>
      </c>
      <c r="M994" s="3" t="s">
        <v>1469</v>
      </c>
      <c r="N994" s="3" t="str">
        <f t="shared" si="63"/>
        <v/>
      </c>
      <c r="Q994" s="260"/>
    </row>
    <row r="995" spans="1:21">
      <c r="A995" s="3">
        <v>5672</v>
      </c>
      <c r="B995" s="83">
        <f t="array" ref="B995">SUM(--(FREQUENCY(IF(C$2:C$3074=C995, MATCH(D$2:D$3074, D$2:D$3074, 0)), ROW(D$2:D$3074)-ROW(D$2)+1) &gt; 0))</f>
        <v>30</v>
      </c>
      <c r="C995" s="3">
        <v>41200109</v>
      </c>
      <c r="D995" s="6" t="s">
        <v>2505</v>
      </c>
      <c r="E995" s="3" t="s">
        <v>1585</v>
      </c>
      <c r="F995" s="3" t="s">
        <v>1591</v>
      </c>
      <c r="G995" s="68" t="str">
        <f t="shared" si="61"/>
        <v>SINGLE</v>
      </c>
      <c r="H995" s="197">
        <f t="shared" si="60"/>
        <v>29</v>
      </c>
      <c r="I995" s="197">
        <v>7</v>
      </c>
      <c r="J995" s="197">
        <v>17</v>
      </c>
      <c r="K995" s="186">
        <f t="shared" si="62"/>
        <v>45855</v>
      </c>
      <c r="L995" s="3" t="s">
        <v>2395</v>
      </c>
      <c r="M995" s="3" t="s">
        <v>1469</v>
      </c>
      <c r="N995" s="3" t="str">
        <f t="shared" si="63"/>
        <v/>
      </c>
      <c r="P995" s="262"/>
      <c r="Q995" s="293"/>
      <c r="R995" s="32"/>
    </row>
    <row r="996" spans="1:21">
      <c r="A996" s="3">
        <v>5807</v>
      </c>
      <c r="B996" s="83">
        <f t="array" ref="B996">SUM(--(FREQUENCY(IF(C$2:C$3074=C996, MATCH(D$2:D$3074, D$2:D$3074, 0)), ROW(D$2:D$3074)-ROW(D$2)+1) &gt; 0))</f>
        <v>10</v>
      </c>
      <c r="C996" s="3">
        <v>41100286</v>
      </c>
      <c r="D996" s="6" t="s">
        <v>2502</v>
      </c>
      <c r="E996" s="3" t="s">
        <v>1424</v>
      </c>
      <c r="F996" s="3" t="s">
        <v>1476</v>
      </c>
      <c r="G996" s="68" t="str">
        <f t="shared" si="61"/>
        <v>DUAL</v>
      </c>
      <c r="H996" s="197">
        <f t="shared" si="60"/>
        <v>29</v>
      </c>
      <c r="I996" s="197">
        <v>7</v>
      </c>
      <c r="J996" s="197">
        <v>17</v>
      </c>
      <c r="K996" s="186">
        <f t="shared" si="62"/>
        <v>45855</v>
      </c>
      <c r="L996" s="3" t="s">
        <v>2391</v>
      </c>
      <c r="M996" s="3" t="s">
        <v>2392</v>
      </c>
      <c r="N996" s="3" t="str">
        <f t="shared" si="63"/>
        <v>NG</v>
      </c>
      <c r="O996" s="3" t="s">
        <v>2368</v>
      </c>
      <c r="P996" s="262" t="s">
        <v>1384</v>
      </c>
      <c r="Q996" s="293">
        <v>11003608</v>
      </c>
      <c r="R996" s="32" t="s">
        <v>5082</v>
      </c>
      <c r="S996" s="3" t="s">
        <v>5083</v>
      </c>
      <c r="T996" s="3" t="s">
        <v>2493</v>
      </c>
      <c r="U996" s="3" t="s">
        <v>5084</v>
      </c>
    </row>
    <row r="997" spans="1:21">
      <c r="A997" s="3">
        <v>5873</v>
      </c>
      <c r="B997" s="83">
        <f t="array" ref="B997">SUM(--(FREQUENCY(IF(C$2:C$3074=C997, MATCH(D$2:D$3074, D$2:D$3074, 0)), ROW(D$2:D$3074)-ROW(D$2)+1) &gt; 0))</f>
        <v>22</v>
      </c>
      <c r="C997" s="3">
        <v>41200075</v>
      </c>
      <c r="D997" s="6" t="s">
        <v>2503</v>
      </c>
      <c r="E997" s="3" t="s">
        <v>1585</v>
      </c>
      <c r="F997" s="3" t="s">
        <v>1476</v>
      </c>
      <c r="G997" s="41" t="str">
        <f t="shared" si="61"/>
        <v>DUAL</v>
      </c>
      <c r="H997" s="197">
        <f t="shared" si="60"/>
        <v>29</v>
      </c>
      <c r="I997" s="197">
        <v>7</v>
      </c>
      <c r="J997" s="197">
        <v>17</v>
      </c>
      <c r="K997" s="186">
        <f t="shared" si="62"/>
        <v>45855</v>
      </c>
      <c r="L997" s="3" t="s">
        <v>2391</v>
      </c>
      <c r="M997" s="3" t="s">
        <v>1468</v>
      </c>
      <c r="N997" s="3" t="str">
        <f t="shared" si="63"/>
        <v>NG</v>
      </c>
      <c r="O997" s="3" t="s">
        <v>2368</v>
      </c>
      <c r="P997" s="3" t="s">
        <v>1385</v>
      </c>
      <c r="Q997" s="295">
        <v>11003001</v>
      </c>
      <c r="R997" s="3" t="s">
        <v>680</v>
      </c>
      <c r="S997" s="3" t="s">
        <v>5085</v>
      </c>
      <c r="T997" s="3" t="s">
        <v>2493</v>
      </c>
    </row>
    <row r="998" spans="1:21">
      <c r="A998" s="3">
        <v>5873</v>
      </c>
      <c r="B998" s="83">
        <f t="array" ref="B998">SUM(--(FREQUENCY(IF(C$2:C$3074=C998, MATCH(D$2:D$3074, D$2:D$3074, 0)), ROW(D$2:D$3074)-ROW(D$2)+1) &gt; 0))</f>
        <v>22</v>
      </c>
      <c r="C998" s="3">
        <v>41200075</v>
      </c>
      <c r="D998" s="6" t="s">
        <v>2503</v>
      </c>
      <c r="E998" s="3" t="s">
        <v>1585</v>
      </c>
      <c r="F998" s="3" t="s">
        <v>1476</v>
      </c>
      <c r="G998" s="41" t="str">
        <f t="shared" si="61"/>
        <v>DUAL</v>
      </c>
      <c r="H998" s="197">
        <f t="shared" si="60"/>
        <v>29</v>
      </c>
      <c r="I998" s="197">
        <v>7</v>
      </c>
      <c r="J998" s="197">
        <v>17</v>
      </c>
      <c r="K998" s="186">
        <f t="shared" si="62"/>
        <v>45855</v>
      </c>
      <c r="L998" s="3" t="s">
        <v>2391</v>
      </c>
      <c r="M998" s="3" t="s">
        <v>1468</v>
      </c>
      <c r="N998" s="3" t="str">
        <f t="shared" si="63"/>
        <v>NG</v>
      </c>
      <c r="O998" s="3" t="s">
        <v>2368</v>
      </c>
      <c r="P998" s="3" t="s">
        <v>1385</v>
      </c>
      <c r="Q998" s="11">
        <v>12000646</v>
      </c>
      <c r="R998" s="3" t="s">
        <v>5086</v>
      </c>
      <c r="S998" s="3" t="s">
        <v>5087</v>
      </c>
      <c r="T998" s="3" t="s">
        <v>2493</v>
      </c>
    </row>
    <row r="999" spans="1:21">
      <c r="A999" s="3">
        <v>5831</v>
      </c>
      <c r="B999" s="83">
        <f t="array" ref="B999">SUM(--(FREQUENCY(IF(C$2:C$3074=C999, MATCH(D$2:D$3074, D$2:D$3074, 0)), ROW(D$2:D$3074)-ROW(D$2)+1) &gt; 0))</f>
        <v>10</v>
      </c>
      <c r="C999" s="3">
        <v>41100338</v>
      </c>
      <c r="D999" s="6" t="s">
        <v>2506</v>
      </c>
      <c r="E999" s="3" t="s">
        <v>1585</v>
      </c>
      <c r="F999" s="3" t="s">
        <v>1591</v>
      </c>
      <c r="G999" s="68" t="str">
        <f t="shared" si="61"/>
        <v>SINGLE</v>
      </c>
      <c r="H999" s="197">
        <f t="shared" si="60"/>
        <v>29</v>
      </c>
      <c r="I999" s="197">
        <v>7</v>
      </c>
      <c r="J999" s="197">
        <v>18</v>
      </c>
      <c r="K999" s="186">
        <f t="shared" si="62"/>
        <v>45856</v>
      </c>
      <c r="L999" s="3" t="s">
        <v>2391</v>
      </c>
      <c r="M999" s="3" t="s">
        <v>1468</v>
      </c>
      <c r="N999" s="3" t="str">
        <f t="shared" si="63"/>
        <v/>
      </c>
    </row>
    <row r="1000" spans="1:21">
      <c r="A1000" s="3">
        <v>5831</v>
      </c>
      <c r="B1000" s="83">
        <f t="array" ref="B1000">SUM(--(FREQUENCY(IF(C$2:C$3074=C1000, MATCH(D$2:D$3074, D$2:D$3074, 0)), ROW(D$2:D$3074)-ROW(D$2)+1) &gt; 0))</f>
        <v>10</v>
      </c>
      <c r="C1000" s="3">
        <v>41100338</v>
      </c>
      <c r="D1000" s="6" t="s">
        <v>2507</v>
      </c>
      <c r="E1000" s="3" t="s">
        <v>1585</v>
      </c>
      <c r="F1000" s="3" t="s">
        <v>1591</v>
      </c>
      <c r="G1000" s="68" t="str">
        <f t="shared" si="61"/>
        <v>SINGLE</v>
      </c>
      <c r="H1000" s="197">
        <f t="shared" si="60"/>
        <v>29</v>
      </c>
      <c r="I1000" s="197">
        <v>7</v>
      </c>
      <c r="J1000" s="197">
        <v>18</v>
      </c>
      <c r="K1000" s="186">
        <f t="shared" si="62"/>
        <v>45856</v>
      </c>
      <c r="L1000" s="3" t="s">
        <v>2391</v>
      </c>
      <c r="M1000" s="3" t="s">
        <v>1468</v>
      </c>
      <c r="N1000" s="3" t="str">
        <f t="shared" si="63"/>
        <v/>
      </c>
    </row>
    <row r="1001" spans="1:21">
      <c r="A1001" s="3">
        <v>5823</v>
      </c>
      <c r="B1001" s="83">
        <f t="array" ref="B1001">SUM(--(FREQUENCY(IF(C$2:C$3074=C1001, MATCH(D$2:D$3074, D$2:D$3074, 0)), ROW(D$2:D$3074)-ROW(D$2)+1) &gt; 0))</f>
        <v>49</v>
      </c>
      <c r="C1001" s="3">
        <v>41200005</v>
      </c>
      <c r="D1001" s="6" t="s">
        <v>2513</v>
      </c>
      <c r="E1001" s="3" t="s">
        <v>1405</v>
      </c>
      <c r="F1001" s="3" t="s">
        <v>1591</v>
      </c>
      <c r="G1001" s="68" t="str">
        <f t="shared" si="61"/>
        <v>SINGLE</v>
      </c>
      <c r="H1001" s="197">
        <f t="shared" si="60"/>
        <v>29</v>
      </c>
      <c r="I1001" s="197">
        <v>7</v>
      </c>
      <c r="J1001" s="197">
        <v>18</v>
      </c>
      <c r="K1001" s="186">
        <f t="shared" si="62"/>
        <v>45856</v>
      </c>
      <c r="L1001" s="3" t="s">
        <v>2395</v>
      </c>
      <c r="M1001" s="3" t="s">
        <v>1469</v>
      </c>
      <c r="N1001" s="3" t="str">
        <f t="shared" si="63"/>
        <v/>
      </c>
    </row>
    <row r="1002" spans="1:21">
      <c r="A1002" s="3">
        <v>5826</v>
      </c>
      <c r="B1002" s="83">
        <f t="array" ref="B1002">SUM(--(FREQUENCY(IF(C$2:C$3074=C1002, MATCH(D$2:D$3074, D$2:D$3074, 0)), ROW(D$2:D$3074)-ROW(D$2)+1) &gt; 0))</f>
        <v>144</v>
      </c>
      <c r="C1002" s="3">
        <v>41200007</v>
      </c>
      <c r="D1002" s="6" t="s">
        <v>2514</v>
      </c>
      <c r="E1002" s="3" t="s">
        <v>1405</v>
      </c>
      <c r="F1002" s="3" t="s">
        <v>1591</v>
      </c>
      <c r="G1002" s="68" t="str">
        <f t="shared" si="61"/>
        <v>SINGLE</v>
      </c>
      <c r="H1002" s="197">
        <f t="shared" si="60"/>
        <v>29</v>
      </c>
      <c r="I1002" s="197">
        <v>7</v>
      </c>
      <c r="J1002" s="197">
        <v>18</v>
      </c>
      <c r="K1002" s="186">
        <f t="shared" si="62"/>
        <v>45856</v>
      </c>
      <c r="L1002" s="3" t="s">
        <v>2395</v>
      </c>
      <c r="M1002" s="3" t="s">
        <v>1469</v>
      </c>
      <c r="N1002" s="3" t="str">
        <f t="shared" si="63"/>
        <v/>
      </c>
    </row>
    <row r="1003" spans="1:21">
      <c r="A1003" s="3">
        <v>5826</v>
      </c>
      <c r="B1003" s="83">
        <f t="array" ref="B1003">SUM(--(FREQUENCY(IF(C$2:C$3074=C1003, MATCH(D$2:D$3074, D$2:D$3074, 0)), ROW(D$2:D$3074)-ROW(D$2)+1) &gt; 0))</f>
        <v>144</v>
      </c>
      <c r="C1003" s="3">
        <v>41200007</v>
      </c>
      <c r="D1003" s="6" t="s">
        <v>2515</v>
      </c>
      <c r="E1003" s="3" t="s">
        <v>1405</v>
      </c>
      <c r="F1003" s="3" t="s">
        <v>1591</v>
      </c>
      <c r="G1003" s="68" t="str">
        <f t="shared" si="61"/>
        <v>SINGLE</v>
      </c>
      <c r="H1003" s="197">
        <f t="shared" si="60"/>
        <v>29</v>
      </c>
      <c r="I1003" s="197">
        <v>7</v>
      </c>
      <c r="J1003" s="197">
        <v>18</v>
      </c>
      <c r="K1003" s="186">
        <f t="shared" si="62"/>
        <v>45856</v>
      </c>
      <c r="L1003" s="3" t="s">
        <v>2395</v>
      </c>
      <c r="M1003" s="3" t="s">
        <v>1469</v>
      </c>
      <c r="N1003" s="3" t="str">
        <f t="shared" si="63"/>
        <v/>
      </c>
    </row>
    <row r="1004" spans="1:21">
      <c r="A1004" s="3">
        <v>5872</v>
      </c>
      <c r="B1004" s="83">
        <f t="array" ref="B1004">SUM(--(FREQUENCY(IF(C$2:C$3074=C1004, MATCH(D$2:D$3074, D$2:D$3074, 0)), ROW(D$2:D$3074)-ROW(D$2)+1) &gt; 0))</f>
        <v>32</v>
      </c>
      <c r="C1004" s="3">
        <v>41200122</v>
      </c>
      <c r="D1004" s="6" t="s">
        <v>2511</v>
      </c>
      <c r="E1004" s="3" t="s">
        <v>1585</v>
      </c>
      <c r="F1004" s="3" t="s">
        <v>1476</v>
      </c>
      <c r="G1004" s="68" t="str">
        <f t="shared" si="61"/>
        <v>DUAL</v>
      </c>
      <c r="H1004" s="197">
        <f t="shared" si="60"/>
        <v>29</v>
      </c>
      <c r="I1004" s="197">
        <v>7</v>
      </c>
      <c r="J1004" s="197">
        <v>18</v>
      </c>
      <c r="K1004" s="186">
        <f t="shared" si="62"/>
        <v>45856</v>
      </c>
      <c r="L1004" s="3" t="s">
        <v>2391</v>
      </c>
      <c r="M1004" s="3" t="s">
        <v>1468</v>
      </c>
      <c r="N1004" s="3" t="str">
        <f t="shared" si="63"/>
        <v/>
      </c>
    </row>
    <row r="1005" spans="1:21">
      <c r="A1005" s="3">
        <v>5821</v>
      </c>
      <c r="B1005" s="83">
        <f t="array" ref="B1005">SUM(--(FREQUENCY(IF(C$2:C$3074=C1005, MATCH(D$2:D$3074, D$2:D$3074, 0)), ROW(D$2:D$3074)-ROW(D$2)+1) &gt; 0))</f>
        <v>26</v>
      </c>
      <c r="C1005" s="3">
        <v>41200074</v>
      </c>
      <c r="D1005" s="6" t="s">
        <v>2512</v>
      </c>
      <c r="E1005" s="3" t="s">
        <v>1405</v>
      </c>
      <c r="F1005" s="3" t="s">
        <v>1478</v>
      </c>
      <c r="G1005" s="41" t="str">
        <f t="shared" si="61"/>
        <v>DUAL</v>
      </c>
      <c r="H1005" s="197">
        <f t="shared" si="60"/>
        <v>29</v>
      </c>
      <c r="I1005" s="197">
        <v>7</v>
      </c>
      <c r="J1005" s="197">
        <v>18</v>
      </c>
      <c r="K1005" s="186">
        <f t="shared" si="62"/>
        <v>45856</v>
      </c>
      <c r="L1005" s="3" t="s">
        <v>2395</v>
      </c>
      <c r="M1005" s="3" t="s">
        <v>1469</v>
      </c>
      <c r="N1005" s="3" t="str">
        <f t="shared" si="63"/>
        <v>NG</v>
      </c>
      <c r="O1005" s="3" t="s">
        <v>2368</v>
      </c>
      <c r="P1005" s="3" t="s">
        <v>5088</v>
      </c>
      <c r="Q1005" s="41">
        <v>11002737</v>
      </c>
      <c r="R1005" s="41" t="s">
        <v>4131</v>
      </c>
      <c r="S1005" s="42" t="s">
        <v>5089</v>
      </c>
      <c r="T1005" s="3" t="s">
        <v>2705</v>
      </c>
    </row>
    <row r="1006" spans="1:21" ht="49.5">
      <c r="A1006" s="3">
        <v>5821</v>
      </c>
      <c r="B1006" s="83">
        <f t="array" ref="B1006">SUM(--(FREQUENCY(IF(C$2:C$3074=C1006, MATCH(D$2:D$3074, D$2:D$3074, 0)), ROW(D$2:D$3074)-ROW(D$2)+1) &gt; 0))</f>
        <v>26</v>
      </c>
      <c r="C1006" s="3">
        <v>41200074</v>
      </c>
      <c r="D1006" s="6" t="s">
        <v>2512</v>
      </c>
      <c r="E1006" s="3" t="s">
        <v>1405</v>
      </c>
      <c r="F1006" s="3" t="s">
        <v>1478</v>
      </c>
      <c r="G1006" s="41" t="str">
        <f t="shared" si="61"/>
        <v>DUAL</v>
      </c>
      <c r="H1006" s="197">
        <f t="shared" si="60"/>
        <v>29</v>
      </c>
      <c r="I1006" s="197">
        <v>7</v>
      </c>
      <c r="J1006" s="197">
        <v>18</v>
      </c>
      <c r="K1006" s="186">
        <f t="shared" si="62"/>
        <v>45856</v>
      </c>
      <c r="L1006" s="3" t="s">
        <v>2395</v>
      </c>
      <c r="M1006" s="3" t="s">
        <v>1469</v>
      </c>
      <c r="N1006" s="3" t="str">
        <f t="shared" si="63"/>
        <v>NG</v>
      </c>
      <c r="O1006" s="3" t="s">
        <v>2368</v>
      </c>
      <c r="P1006" s="3" t="s">
        <v>5088</v>
      </c>
      <c r="Q1006" s="3">
        <v>11002283</v>
      </c>
      <c r="R1006" s="3" t="s">
        <v>5062</v>
      </c>
      <c r="S1006" s="7" t="s">
        <v>5090</v>
      </c>
      <c r="T1006" s="3" t="s">
        <v>2705</v>
      </c>
    </row>
    <row r="1007" spans="1:21">
      <c r="A1007" s="3">
        <v>5821</v>
      </c>
      <c r="B1007" s="83">
        <f t="array" ref="B1007">SUM(--(FREQUENCY(IF(C$2:C$3074=C1007, MATCH(D$2:D$3074, D$2:D$3074, 0)), ROW(D$2:D$3074)-ROW(D$2)+1) &gt; 0))</f>
        <v>26</v>
      </c>
      <c r="C1007" s="3">
        <v>41200074</v>
      </c>
      <c r="D1007" s="6" t="s">
        <v>2512</v>
      </c>
      <c r="E1007" s="3" t="s">
        <v>1405</v>
      </c>
      <c r="F1007" s="3" t="s">
        <v>1478</v>
      </c>
      <c r="G1007" s="41" t="str">
        <f t="shared" si="61"/>
        <v>DUAL</v>
      </c>
      <c r="H1007" s="197">
        <f t="shared" si="60"/>
        <v>29</v>
      </c>
      <c r="I1007" s="197">
        <v>7</v>
      </c>
      <c r="J1007" s="197">
        <v>18</v>
      </c>
      <c r="K1007" s="186">
        <f t="shared" si="62"/>
        <v>45856</v>
      </c>
      <c r="L1007" s="3" t="s">
        <v>2395</v>
      </c>
      <c r="M1007" s="3" t="s">
        <v>1469</v>
      </c>
      <c r="N1007" s="3" t="str">
        <f t="shared" si="63"/>
        <v>NG</v>
      </c>
      <c r="O1007" s="3" t="s">
        <v>2368</v>
      </c>
      <c r="P1007" s="3" t="s">
        <v>5088</v>
      </c>
      <c r="Q1007" s="41">
        <v>11002737</v>
      </c>
      <c r="R1007" s="41" t="s">
        <v>4131</v>
      </c>
      <c r="S1007" s="42" t="s">
        <v>5091</v>
      </c>
      <c r="T1007" s="3" t="s">
        <v>2705</v>
      </c>
    </row>
    <row r="1008" spans="1:21">
      <c r="A1008" s="3">
        <v>5845</v>
      </c>
      <c r="B1008" s="83">
        <f t="array" ref="B1008">SUM(--(FREQUENCY(IF(C$2:C$3074=C1008, MATCH(D$2:D$3074, D$2:D$3074, 0)), ROW(D$2:D$3074)-ROW(D$2)+1) &gt; 0))</f>
        <v>14</v>
      </c>
      <c r="C1008" s="3">
        <v>41100502</v>
      </c>
      <c r="D1008" s="6" t="s">
        <v>2516</v>
      </c>
      <c r="E1008" s="3" t="s">
        <v>1585</v>
      </c>
      <c r="F1008" s="3" t="s">
        <v>1591</v>
      </c>
      <c r="G1008" s="68" t="str">
        <f t="shared" si="61"/>
        <v>SINGLE</v>
      </c>
      <c r="H1008" s="197">
        <f t="shared" si="60"/>
        <v>30</v>
      </c>
      <c r="I1008" s="197">
        <v>7</v>
      </c>
      <c r="J1008" s="197">
        <v>21</v>
      </c>
      <c r="K1008" s="186">
        <f t="shared" si="62"/>
        <v>45859</v>
      </c>
      <c r="L1008" s="3" t="s">
        <v>2395</v>
      </c>
      <c r="M1008" s="3" t="s">
        <v>2392</v>
      </c>
      <c r="N1008" s="3" t="str">
        <f t="shared" si="63"/>
        <v/>
      </c>
    </row>
    <row r="1009" spans="1:19">
      <c r="A1009" s="3">
        <v>5845</v>
      </c>
      <c r="B1009" s="83">
        <f t="array" ref="B1009">SUM(--(FREQUENCY(IF(C$2:C$3074=C1009, MATCH(D$2:D$3074, D$2:D$3074, 0)), ROW(D$2:D$3074)-ROW(D$2)+1) &gt; 0))</f>
        <v>14</v>
      </c>
      <c r="C1009" s="3">
        <v>41100502</v>
      </c>
      <c r="D1009" s="6" t="s">
        <v>2519</v>
      </c>
      <c r="E1009" s="3" t="s">
        <v>1585</v>
      </c>
      <c r="F1009" s="3" t="s">
        <v>1591</v>
      </c>
      <c r="G1009" s="68" t="str">
        <f t="shared" si="61"/>
        <v>SINGLE</v>
      </c>
      <c r="H1009" s="197">
        <f t="shared" si="60"/>
        <v>30</v>
      </c>
      <c r="I1009" s="197">
        <v>7</v>
      </c>
      <c r="J1009" s="197">
        <v>21</v>
      </c>
      <c r="K1009" s="186">
        <f t="shared" si="62"/>
        <v>45859</v>
      </c>
      <c r="L1009" s="3" t="s">
        <v>2395</v>
      </c>
      <c r="M1009" s="3" t="s">
        <v>2392</v>
      </c>
      <c r="N1009" s="3" t="str">
        <f t="shared" si="63"/>
        <v/>
      </c>
    </row>
    <row r="1010" spans="1:19">
      <c r="A1010" s="3">
        <v>5673</v>
      </c>
      <c r="B1010" s="83">
        <f t="array" ref="B1010">SUM(--(FREQUENCY(IF(C$2:C$3074=C1010, MATCH(D$2:D$3074, D$2:D$3074, 0)), ROW(D$2:D$3074)-ROW(D$2)+1) &gt; 0))</f>
        <v>18</v>
      </c>
      <c r="C1010" s="3">
        <v>41100264</v>
      </c>
      <c r="D1010" s="6" t="s">
        <v>2523</v>
      </c>
      <c r="E1010" s="3" t="s">
        <v>1585</v>
      </c>
      <c r="F1010" s="3" t="s">
        <v>1591</v>
      </c>
      <c r="G1010" s="68" t="str">
        <f t="shared" si="61"/>
        <v>SINGLE</v>
      </c>
      <c r="H1010" s="197">
        <f t="shared" si="60"/>
        <v>30</v>
      </c>
      <c r="I1010" s="197">
        <v>7</v>
      </c>
      <c r="J1010" s="197">
        <v>21</v>
      </c>
      <c r="K1010" s="186">
        <f t="shared" si="62"/>
        <v>45859</v>
      </c>
      <c r="L1010" s="3" t="s">
        <v>2391</v>
      </c>
      <c r="M1010" s="3" t="s">
        <v>1468</v>
      </c>
      <c r="N1010" s="3" t="str">
        <f t="shared" si="63"/>
        <v/>
      </c>
    </row>
    <row r="1011" spans="1:19">
      <c r="A1011" s="3">
        <v>5673</v>
      </c>
      <c r="B1011" s="83">
        <f t="array" ref="B1011">SUM(--(FREQUENCY(IF(C$2:C$3074=C1011, MATCH(D$2:D$3074, D$2:D$3074, 0)), ROW(D$2:D$3074)-ROW(D$2)+1) &gt; 0))</f>
        <v>18</v>
      </c>
      <c r="C1011" s="3">
        <v>41100264</v>
      </c>
      <c r="D1011" s="6" t="s">
        <v>2524</v>
      </c>
      <c r="E1011" s="3" t="s">
        <v>1585</v>
      </c>
      <c r="F1011" s="3" t="s">
        <v>1591</v>
      </c>
      <c r="G1011" s="68" t="str">
        <f t="shared" si="61"/>
        <v>SINGLE</v>
      </c>
      <c r="H1011" s="197">
        <f t="shared" si="60"/>
        <v>30</v>
      </c>
      <c r="I1011" s="197">
        <v>7</v>
      </c>
      <c r="J1011" s="197">
        <v>21</v>
      </c>
      <c r="K1011" s="186">
        <f t="shared" si="62"/>
        <v>45859</v>
      </c>
      <c r="L1011" s="3" t="s">
        <v>2391</v>
      </c>
      <c r="M1011" s="3" t="s">
        <v>1468</v>
      </c>
      <c r="N1011" s="3" t="str">
        <f t="shared" si="63"/>
        <v/>
      </c>
    </row>
    <row r="1012" spans="1:19">
      <c r="A1012" s="3">
        <v>5770</v>
      </c>
      <c r="B1012" s="83">
        <f t="array" ref="B1012">SUM(--(FREQUENCY(IF(C$2:C$3074=C1012, MATCH(D$2:D$3074, D$2:D$3074, 0)), ROW(D$2:D$3074)-ROW(D$2)+1) &gt; 0))</f>
        <v>32</v>
      </c>
      <c r="C1012" s="3">
        <v>41200122</v>
      </c>
      <c r="D1012" s="6" t="s">
        <v>2525</v>
      </c>
      <c r="E1012" s="3" t="s">
        <v>1585</v>
      </c>
      <c r="F1012" s="3" t="s">
        <v>1476</v>
      </c>
      <c r="G1012" s="68" t="str">
        <f t="shared" si="61"/>
        <v>DUAL</v>
      </c>
      <c r="H1012" s="197">
        <f t="shared" si="60"/>
        <v>30</v>
      </c>
      <c r="I1012" s="197">
        <v>7</v>
      </c>
      <c r="J1012" s="197">
        <v>21</v>
      </c>
      <c r="K1012" s="186">
        <f t="shared" si="62"/>
        <v>45859</v>
      </c>
      <c r="L1012" s="3" t="s">
        <v>2391</v>
      </c>
      <c r="M1012" s="3" t="s">
        <v>1468</v>
      </c>
      <c r="N1012" s="3" t="str">
        <f t="shared" si="63"/>
        <v/>
      </c>
    </row>
    <row r="1013" spans="1:19">
      <c r="A1013" s="3">
        <v>5750</v>
      </c>
      <c r="B1013" s="83">
        <f t="array" ref="B1013">SUM(--(FREQUENCY(IF(C$2:C$3074=C1013, MATCH(D$2:D$3074, D$2:D$3074, 0)), ROW(D$2:D$3074)-ROW(D$2)+1) &gt; 0))</f>
        <v>3</v>
      </c>
      <c r="C1013" s="3">
        <v>41200066</v>
      </c>
      <c r="D1013" s="6" t="s">
        <v>2527</v>
      </c>
      <c r="E1013" s="3" t="s">
        <v>1424</v>
      </c>
      <c r="F1013" s="3" t="s">
        <v>1476</v>
      </c>
      <c r="G1013" s="68" t="str">
        <f t="shared" si="61"/>
        <v>DUAL</v>
      </c>
      <c r="H1013" s="197">
        <f t="shared" si="60"/>
        <v>30</v>
      </c>
      <c r="I1013" s="197">
        <v>7</v>
      </c>
      <c r="J1013" s="197">
        <v>21</v>
      </c>
      <c r="K1013" s="186">
        <f t="shared" si="62"/>
        <v>45859</v>
      </c>
      <c r="L1013" s="3" t="s">
        <v>2395</v>
      </c>
      <c r="M1013" s="3" t="s">
        <v>1469</v>
      </c>
      <c r="N1013" s="3" t="str">
        <f t="shared" si="63"/>
        <v/>
      </c>
    </row>
    <row r="1014" spans="1:19">
      <c r="A1014" s="3">
        <v>5637</v>
      </c>
      <c r="B1014" s="83">
        <f t="array" ref="B1014">SUM(--(FREQUENCY(IF(C$2:C$3074=C1014, MATCH(D$2:D$3074, D$2:D$3074, 0)), ROW(D$2:D$3074)-ROW(D$2)+1) &gt; 0))</f>
        <v>3</v>
      </c>
      <c r="C1014" s="3">
        <v>41100372</v>
      </c>
      <c r="D1014" s="6" t="s">
        <v>2528</v>
      </c>
      <c r="E1014" s="3" t="s">
        <v>1585</v>
      </c>
      <c r="F1014" s="3" t="s">
        <v>1476</v>
      </c>
      <c r="G1014" s="68" t="str">
        <f t="shared" si="61"/>
        <v>DUAL</v>
      </c>
      <c r="H1014" s="197">
        <f t="shared" si="60"/>
        <v>30</v>
      </c>
      <c r="I1014" s="197">
        <v>7</v>
      </c>
      <c r="J1014" s="197">
        <v>21</v>
      </c>
      <c r="K1014" s="186">
        <f t="shared" si="62"/>
        <v>45859</v>
      </c>
      <c r="L1014" s="3" t="s">
        <v>2391</v>
      </c>
      <c r="M1014" s="3" t="s">
        <v>1469</v>
      </c>
      <c r="N1014" s="3" t="str">
        <f t="shared" si="63"/>
        <v/>
      </c>
    </row>
    <row r="1015" spans="1:19">
      <c r="A1015" s="3">
        <v>5672</v>
      </c>
      <c r="B1015" s="83">
        <f t="array" ref="B1015">SUM(--(FREQUENCY(IF(C$2:C$3074=C1015, MATCH(D$2:D$3074, D$2:D$3074, 0)), ROW(D$2:D$3074)-ROW(D$2)+1) &gt; 0))</f>
        <v>30</v>
      </c>
      <c r="C1015" s="3">
        <v>41200109</v>
      </c>
      <c r="D1015" s="6" t="s">
        <v>2529</v>
      </c>
      <c r="E1015" s="3" t="s">
        <v>1585</v>
      </c>
      <c r="F1015" s="3" t="s">
        <v>1591</v>
      </c>
      <c r="G1015" s="68" t="str">
        <f t="shared" si="61"/>
        <v>SINGLE</v>
      </c>
      <c r="H1015" s="197">
        <f t="shared" si="60"/>
        <v>30</v>
      </c>
      <c r="I1015" s="197">
        <v>7</v>
      </c>
      <c r="J1015" s="197">
        <v>22</v>
      </c>
      <c r="K1015" s="186">
        <f t="shared" si="62"/>
        <v>45860</v>
      </c>
      <c r="L1015" s="3" t="s">
        <v>2395</v>
      </c>
      <c r="M1015" s="3" t="s">
        <v>2392</v>
      </c>
      <c r="N1015" s="3" t="str">
        <f t="shared" si="63"/>
        <v/>
      </c>
    </row>
    <row r="1016" spans="1:19">
      <c r="A1016" s="3">
        <v>5672</v>
      </c>
      <c r="B1016" s="83">
        <f t="array" ref="B1016">SUM(--(FREQUENCY(IF(C$2:C$3074=C1016, MATCH(D$2:D$3074, D$2:D$3074, 0)), ROW(D$2:D$3074)-ROW(D$2)+1) &gt; 0))</f>
        <v>30</v>
      </c>
      <c r="C1016" s="3">
        <v>41200109</v>
      </c>
      <c r="D1016" s="6" t="s">
        <v>2530</v>
      </c>
      <c r="E1016" s="3" t="s">
        <v>1585</v>
      </c>
      <c r="F1016" s="3" t="s">
        <v>1591</v>
      </c>
      <c r="G1016" s="68" t="str">
        <f t="shared" si="61"/>
        <v>SINGLE</v>
      </c>
      <c r="H1016" s="197">
        <f t="shared" si="60"/>
        <v>30</v>
      </c>
      <c r="I1016" s="197">
        <v>7</v>
      </c>
      <c r="J1016" s="197">
        <v>22</v>
      </c>
      <c r="K1016" s="186">
        <f t="shared" si="62"/>
        <v>45860</v>
      </c>
      <c r="L1016" s="3" t="s">
        <v>2395</v>
      </c>
      <c r="M1016" s="3" t="s">
        <v>2392</v>
      </c>
      <c r="N1016" s="3" t="str">
        <f t="shared" si="63"/>
        <v/>
      </c>
    </row>
    <row r="1017" spans="1:19">
      <c r="A1017" s="3">
        <v>5875</v>
      </c>
      <c r="B1017" s="83">
        <f t="array" ref="B1017">SUM(--(FREQUENCY(IF(C$2:C$3074=C1017, MATCH(D$2:D$3074, D$2:D$3074, 0)), ROW(D$2:D$3074)-ROW(D$2)+1) &gt; 0))</f>
        <v>10</v>
      </c>
      <c r="C1017" s="3">
        <v>41100338</v>
      </c>
      <c r="D1017" s="6" t="s">
        <v>2531</v>
      </c>
      <c r="E1017" s="3" t="s">
        <v>1585</v>
      </c>
      <c r="F1017" s="3" t="s">
        <v>1591</v>
      </c>
      <c r="G1017" s="68" t="str">
        <f t="shared" si="61"/>
        <v>SINGLE</v>
      </c>
      <c r="H1017" s="197">
        <f t="shared" si="60"/>
        <v>30</v>
      </c>
      <c r="I1017" s="197">
        <v>7</v>
      </c>
      <c r="J1017" s="197">
        <v>22</v>
      </c>
      <c r="K1017" s="186">
        <f t="shared" si="62"/>
        <v>45860</v>
      </c>
      <c r="L1017" s="3" t="s">
        <v>2395</v>
      </c>
      <c r="M1017" s="3" t="s">
        <v>2392</v>
      </c>
      <c r="N1017" s="3" t="str">
        <f t="shared" si="63"/>
        <v/>
      </c>
    </row>
    <row r="1018" spans="1:19">
      <c r="A1018" s="3">
        <v>5875</v>
      </c>
      <c r="B1018" s="83">
        <f t="array" ref="B1018">SUM(--(FREQUENCY(IF(C$2:C$3074=C1018, MATCH(D$2:D$3074, D$2:D$3074, 0)), ROW(D$2:D$3074)-ROW(D$2)+1) &gt; 0))</f>
        <v>10</v>
      </c>
      <c r="C1018" s="3">
        <v>41100338</v>
      </c>
      <c r="D1018" s="6" t="s">
        <v>2532</v>
      </c>
      <c r="E1018" s="3" t="s">
        <v>1585</v>
      </c>
      <c r="F1018" s="3" t="s">
        <v>1591</v>
      </c>
      <c r="G1018" s="68" t="str">
        <f t="shared" si="61"/>
        <v>SINGLE</v>
      </c>
      <c r="H1018" s="197">
        <f t="shared" si="60"/>
        <v>30</v>
      </c>
      <c r="I1018" s="197">
        <v>7</v>
      </c>
      <c r="J1018" s="197">
        <v>22</v>
      </c>
      <c r="K1018" s="186">
        <f t="shared" si="62"/>
        <v>45860</v>
      </c>
      <c r="L1018" s="3" t="s">
        <v>2395</v>
      </c>
      <c r="M1018" s="3" t="s">
        <v>2392</v>
      </c>
      <c r="N1018" s="3" t="str">
        <f t="shared" si="63"/>
        <v/>
      </c>
    </row>
    <row r="1019" spans="1:19">
      <c r="A1019" s="3">
        <v>5812</v>
      </c>
      <c r="B1019" s="83">
        <f t="array" ref="B1019">SUM(--(FREQUENCY(IF(C$2:C$3074=C1019, MATCH(D$2:D$3074, D$2:D$3074, 0)), ROW(D$2:D$3074)-ROW(D$2)+1) &gt; 0))</f>
        <v>49</v>
      </c>
      <c r="C1019" s="3">
        <v>41200005</v>
      </c>
      <c r="D1019" s="6" t="s">
        <v>2533</v>
      </c>
      <c r="E1019" s="3" t="s">
        <v>1405</v>
      </c>
      <c r="F1019" s="3" t="s">
        <v>1591</v>
      </c>
      <c r="G1019" s="68" t="str">
        <f t="shared" si="61"/>
        <v>SINGLE</v>
      </c>
      <c r="H1019" s="197">
        <f t="shared" si="60"/>
        <v>30</v>
      </c>
      <c r="I1019" s="197">
        <v>7</v>
      </c>
      <c r="J1019" s="197">
        <v>22</v>
      </c>
      <c r="K1019" s="186">
        <f t="shared" si="62"/>
        <v>45860</v>
      </c>
      <c r="L1019" s="3" t="s">
        <v>2391</v>
      </c>
      <c r="M1019" s="3" t="s">
        <v>1468</v>
      </c>
      <c r="N1019" s="3" t="str">
        <f t="shared" si="63"/>
        <v/>
      </c>
    </row>
    <row r="1020" spans="1:19">
      <c r="A1020" s="3">
        <v>5812</v>
      </c>
      <c r="B1020" s="83">
        <f t="array" ref="B1020">SUM(--(FREQUENCY(IF(C$2:C$3074=C1020, MATCH(D$2:D$3074, D$2:D$3074, 0)), ROW(D$2:D$3074)-ROW(D$2)+1) &gt; 0))</f>
        <v>49</v>
      </c>
      <c r="C1020" s="3">
        <v>41200005</v>
      </c>
      <c r="D1020" s="6" t="s">
        <v>2534</v>
      </c>
      <c r="E1020" s="3" t="s">
        <v>1405</v>
      </c>
      <c r="F1020" s="3" t="s">
        <v>1591</v>
      </c>
      <c r="G1020" s="68" t="str">
        <f t="shared" si="61"/>
        <v>SINGLE</v>
      </c>
      <c r="H1020" s="197">
        <f t="shared" si="60"/>
        <v>30</v>
      </c>
      <c r="I1020" s="197">
        <v>7</v>
      </c>
      <c r="J1020" s="197">
        <v>22</v>
      </c>
      <c r="K1020" s="186">
        <f t="shared" si="62"/>
        <v>45860</v>
      </c>
      <c r="L1020" s="3" t="s">
        <v>2391</v>
      </c>
      <c r="M1020" s="3" t="s">
        <v>1468</v>
      </c>
      <c r="N1020" s="3" t="str">
        <f t="shared" si="63"/>
        <v/>
      </c>
    </row>
    <row r="1021" spans="1:19">
      <c r="A1021" s="3">
        <v>5826</v>
      </c>
      <c r="B1021" s="83">
        <f t="array" ref="B1021">SUM(--(FREQUENCY(IF(C$2:C$3074=C1021, MATCH(D$2:D$3074, D$2:D$3074, 0)), ROW(D$2:D$3074)-ROW(D$2)+1) &gt; 0))</f>
        <v>144</v>
      </c>
      <c r="C1021" s="3">
        <v>41200007</v>
      </c>
      <c r="D1021" s="6" t="s">
        <v>2535</v>
      </c>
      <c r="E1021" s="3" t="s">
        <v>1405</v>
      </c>
      <c r="F1021" s="3" t="s">
        <v>1591</v>
      </c>
      <c r="G1021" s="68" t="str">
        <f t="shared" si="61"/>
        <v>SINGLE</v>
      </c>
      <c r="H1021" s="197">
        <f t="shared" si="60"/>
        <v>30</v>
      </c>
      <c r="I1021" s="197">
        <v>7</v>
      </c>
      <c r="J1021" s="197">
        <v>22</v>
      </c>
      <c r="K1021" s="186">
        <f t="shared" si="62"/>
        <v>45860</v>
      </c>
      <c r="L1021" s="3" t="s">
        <v>2391</v>
      </c>
      <c r="M1021" s="3" t="s">
        <v>1468</v>
      </c>
      <c r="N1021" s="3" t="str">
        <f t="shared" si="63"/>
        <v/>
      </c>
    </row>
    <row r="1022" spans="1:19">
      <c r="A1022" s="3">
        <v>5826</v>
      </c>
      <c r="B1022" s="83">
        <f t="array" ref="B1022">SUM(--(FREQUENCY(IF(C$2:C$3074=C1022, MATCH(D$2:D$3074, D$2:D$3074, 0)), ROW(D$2:D$3074)-ROW(D$2)+1) &gt; 0))</f>
        <v>144</v>
      </c>
      <c r="C1022" s="3">
        <v>41200007</v>
      </c>
      <c r="D1022" s="6" t="s">
        <v>2538</v>
      </c>
      <c r="E1022" s="3" t="s">
        <v>1405</v>
      </c>
      <c r="F1022" s="3" t="s">
        <v>1591</v>
      </c>
      <c r="G1022" s="68" t="str">
        <f t="shared" si="61"/>
        <v>SINGLE</v>
      </c>
      <c r="H1022" s="197">
        <f t="shared" si="60"/>
        <v>30</v>
      </c>
      <c r="I1022" s="197">
        <v>7</v>
      </c>
      <c r="J1022" s="197">
        <v>22</v>
      </c>
      <c r="K1022" s="186">
        <f t="shared" si="62"/>
        <v>45860</v>
      </c>
      <c r="L1022" s="3" t="s">
        <v>2391</v>
      </c>
      <c r="M1022" s="3" t="s">
        <v>1468</v>
      </c>
      <c r="N1022" s="3" t="str">
        <f t="shared" si="63"/>
        <v/>
      </c>
    </row>
    <row r="1023" spans="1:19">
      <c r="A1023" s="3">
        <v>5675</v>
      </c>
      <c r="B1023" s="83">
        <f t="array" ref="B1023">SUM(--(FREQUENCY(IF(C$2:C$3074=C1023, MATCH(D$2:D$3074, D$2:D$3074, 0)), ROW(D$2:D$3074)-ROW(D$2)+1) &gt; 0))</f>
        <v>33</v>
      </c>
      <c r="C1023" s="3">
        <v>41100435</v>
      </c>
      <c r="D1023" s="6" t="s">
        <v>2539</v>
      </c>
      <c r="E1023" s="3" t="s">
        <v>1585</v>
      </c>
      <c r="F1023" s="3" t="s">
        <v>1482</v>
      </c>
      <c r="G1023" s="68" t="str">
        <f t="shared" si="61"/>
        <v>SINGLE</v>
      </c>
      <c r="H1023" s="197">
        <f t="shared" si="60"/>
        <v>30</v>
      </c>
      <c r="I1023" s="197">
        <v>7</v>
      </c>
      <c r="J1023" s="197">
        <v>23</v>
      </c>
      <c r="K1023" s="186">
        <f t="shared" si="62"/>
        <v>45861</v>
      </c>
      <c r="L1023" s="3" t="s">
        <v>2395</v>
      </c>
      <c r="M1023" s="3" t="s">
        <v>2392</v>
      </c>
      <c r="N1023" s="3" t="str">
        <f t="shared" si="63"/>
        <v>NG</v>
      </c>
      <c r="O1023" s="3" t="s">
        <v>1569</v>
      </c>
      <c r="P1023" s="3" t="s">
        <v>5092</v>
      </c>
      <c r="Q1023" s="3">
        <v>13001369</v>
      </c>
      <c r="R1023" s="3" t="s">
        <v>651</v>
      </c>
      <c r="S1023" s="3" t="s">
        <v>5093</v>
      </c>
    </row>
    <row r="1024" spans="1:19">
      <c r="A1024" s="3">
        <v>5746</v>
      </c>
      <c r="B1024" s="83">
        <f t="array" ref="B1024">SUM(--(FREQUENCY(IF(C$2:C$3074=C1024, MATCH(D$2:D$3074, D$2:D$3074, 0)), ROW(D$2:D$3074)-ROW(D$2)+1) &gt; 0))</f>
        <v>26</v>
      </c>
      <c r="C1024" s="3">
        <v>41000590</v>
      </c>
      <c r="D1024" s="6" t="s">
        <v>2540</v>
      </c>
      <c r="E1024" s="3" t="s">
        <v>1405</v>
      </c>
      <c r="F1024" s="3" t="s">
        <v>1616</v>
      </c>
      <c r="G1024" s="68" t="str">
        <f t="shared" si="61"/>
        <v>SINGLE</v>
      </c>
      <c r="H1024" s="197">
        <f t="shared" si="60"/>
        <v>30</v>
      </c>
      <c r="I1024" s="197">
        <v>7</v>
      </c>
      <c r="J1024" s="197">
        <v>23</v>
      </c>
      <c r="K1024" s="186">
        <f t="shared" si="62"/>
        <v>45861</v>
      </c>
      <c r="L1024" s="3" t="s">
        <v>2392</v>
      </c>
      <c r="M1024" s="3" t="s">
        <v>2392</v>
      </c>
      <c r="N1024" s="3" t="str">
        <f t="shared" si="63"/>
        <v/>
      </c>
    </row>
    <row r="1025" spans="1:19">
      <c r="A1025" s="3">
        <v>5746</v>
      </c>
      <c r="B1025" s="83">
        <f t="array" ref="B1025">SUM(--(FREQUENCY(IF(C$2:C$3074=C1025, MATCH(D$2:D$3074, D$2:D$3074, 0)), ROW(D$2:D$3074)-ROW(D$2)+1) &gt; 0))</f>
        <v>26</v>
      </c>
      <c r="C1025" s="3">
        <v>41000590</v>
      </c>
      <c r="D1025" s="6" t="s">
        <v>2544</v>
      </c>
      <c r="E1025" s="3" t="s">
        <v>1405</v>
      </c>
      <c r="F1025" s="3" t="s">
        <v>1616</v>
      </c>
      <c r="G1025" s="68" t="str">
        <f t="shared" si="61"/>
        <v>SINGLE</v>
      </c>
      <c r="H1025" s="197">
        <f t="shared" ref="H1025:H1084" si="64">WEEKNUM(K1025)</f>
        <v>30</v>
      </c>
      <c r="I1025" s="197">
        <v>7</v>
      </c>
      <c r="J1025" s="197">
        <v>23</v>
      </c>
      <c r="K1025" s="186">
        <f t="shared" si="62"/>
        <v>45861</v>
      </c>
      <c r="L1025" s="3" t="s">
        <v>2392</v>
      </c>
      <c r="M1025" s="3" t="s">
        <v>2392</v>
      </c>
      <c r="N1025" s="3" t="str">
        <f t="shared" si="63"/>
        <v/>
      </c>
    </row>
    <row r="1026" spans="1:19">
      <c r="A1026" s="3">
        <v>5822</v>
      </c>
      <c r="B1026" s="83">
        <f t="array" ref="B1026">SUM(--(FREQUENCY(IF(C$2:C$3074=C1026, MATCH(D$2:D$3074, D$2:D$3074, 0)), ROW(D$2:D$3074)-ROW(D$2)+1) &gt; 0))</f>
        <v>102</v>
      </c>
      <c r="C1026" s="3">
        <v>41200006</v>
      </c>
      <c r="D1026" s="6" t="s">
        <v>2545</v>
      </c>
      <c r="E1026" s="3" t="s">
        <v>1405</v>
      </c>
      <c r="F1026" s="3" t="s">
        <v>1477</v>
      </c>
      <c r="G1026" s="41" t="str">
        <f t="shared" ref="G1026:G1089" si="65">IF(OR(ISNUMBER(SEARCH("DUAL",F1026)), ISNUMBER(SEARCH("IVAS",F1026))), "DUAL", "SINGLE")</f>
        <v>SINGLE</v>
      </c>
      <c r="H1026" s="197">
        <f t="shared" si="64"/>
        <v>30</v>
      </c>
      <c r="I1026" s="197">
        <v>7</v>
      </c>
      <c r="J1026" s="197">
        <v>23</v>
      </c>
      <c r="K1026" s="186">
        <f t="shared" ref="K1026:K1089" si="66">DATE(2025, I1026, J1026)</f>
        <v>45861</v>
      </c>
      <c r="L1026" s="3" t="s">
        <v>2391</v>
      </c>
      <c r="M1026" s="3" t="s">
        <v>2392</v>
      </c>
      <c r="N1026" s="3" t="str">
        <f t="shared" ref="N1026:N1089" si="67">IF(O1026&lt;&gt;"", "NG", "")</f>
        <v>NG</v>
      </c>
      <c r="O1026" s="3" t="s">
        <v>2368</v>
      </c>
      <c r="P1026" s="3" t="s">
        <v>2464</v>
      </c>
      <c r="Q1026" s="3">
        <v>11006181</v>
      </c>
      <c r="R1026" s="3" t="s">
        <v>195</v>
      </c>
      <c r="S1026" s="3" t="s">
        <v>5094</v>
      </c>
    </row>
    <row r="1027" spans="1:19">
      <c r="A1027" s="3">
        <v>5822</v>
      </c>
      <c r="B1027" s="83">
        <f t="array" ref="B1027">SUM(--(FREQUENCY(IF(C$2:C$3074=C1027, MATCH(D$2:D$3074, D$2:D$3074, 0)), ROW(D$2:D$3074)-ROW(D$2)+1) &gt; 0))</f>
        <v>102</v>
      </c>
      <c r="C1027" s="3">
        <v>41200006</v>
      </c>
      <c r="D1027" s="6" t="s">
        <v>2545</v>
      </c>
      <c r="E1027" s="3" t="s">
        <v>1405</v>
      </c>
      <c r="F1027" s="3" t="s">
        <v>1477</v>
      </c>
      <c r="G1027" s="41" t="str">
        <f t="shared" si="65"/>
        <v>SINGLE</v>
      </c>
      <c r="H1027" s="197">
        <f t="shared" si="64"/>
        <v>30</v>
      </c>
      <c r="I1027" s="197">
        <v>7</v>
      </c>
      <c r="J1027" s="197">
        <v>23</v>
      </c>
      <c r="K1027" s="186">
        <f t="shared" si="66"/>
        <v>45861</v>
      </c>
      <c r="L1027" s="3" t="s">
        <v>2391</v>
      </c>
      <c r="M1027" s="3" t="s">
        <v>2392</v>
      </c>
      <c r="N1027" s="3" t="str">
        <f t="shared" si="67"/>
        <v>NG</v>
      </c>
      <c r="O1027" s="3" t="s">
        <v>2368</v>
      </c>
      <c r="P1027" s="3" t="s">
        <v>2371</v>
      </c>
      <c r="Q1027" s="3">
        <v>11001964</v>
      </c>
      <c r="R1027" s="3" t="s">
        <v>562</v>
      </c>
      <c r="S1027" s="3" t="s">
        <v>5095</v>
      </c>
    </row>
    <row r="1028" spans="1:19">
      <c r="A1028" s="3">
        <v>5822</v>
      </c>
      <c r="B1028" s="83">
        <f t="array" ref="B1028">SUM(--(FREQUENCY(IF(C$2:C$3074=C1028, MATCH(D$2:D$3074, D$2:D$3074, 0)), ROW(D$2:D$3074)-ROW(D$2)+1) &gt; 0))</f>
        <v>102</v>
      </c>
      <c r="C1028" s="3">
        <v>41200006</v>
      </c>
      <c r="D1028" s="6" t="s">
        <v>2547</v>
      </c>
      <c r="E1028" s="3" t="s">
        <v>1405</v>
      </c>
      <c r="F1028" s="3" t="s">
        <v>1477</v>
      </c>
      <c r="G1028" s="68" t="str">
        <f t="shared" si="65"/>
        <v>SINGLE</v>
      </c>
      <c r="H1028" s="197">
        <f t="shared" si="64"/>
        <v>30</v>
      </c>
      <c r="I1028" s="197">
        <v>7</v>
      </c>
      <c r="J1028" s="197">
        <v>23</v>
      </c>
      <c r="K1028" s="186">
        <f t="shared" si="66"/>
        <v>45861</v>
      </c>
      <c r="L1028" s="3" t="s">
        <v>2391</v>
      </c>
      <c r="M1028" s="3" t="s">
        <v>2392</v>
      </c>
      <c r="N1028" s="3" t="str">
        <f t="shared" si="67"/>
        <v>NG</v>
      </c>
      <c r="O1028" s="3" t="s">
        <v>2368</v>
      </c>
      <c r="P1028" s="3" t="s">
        <v>5088</v>
      </c>
      <c r="Q1028" s="3">
        <v>11100934</v>
      </c>
      <c r="R1028" s="3" t="s">
        <v>932</v>
      </c>
      <c r="S1028" s="3" t="s">
        <v>5096</v>
      </c>
    </row>
    <row r="1029" spans="1:19">
      <c r="A1029" s="3">
        <v>5823</v>
      </c>
      <c r="B1029" s="83">
        <f t="array" ref="B1029">SUM(--(FREQUENCY(IF(C$2:C$3074=C1029, MATCH(D$2:D$3074, D$2:D$3074, 0)), ROW(D$2:D$3074)-ROW(D$2)+1) &gt; 0))</f>
        <v>49</v>
      </c>
      <c r="C1029" s="3">
        <v>41200005</v>
      </c>
      <c r="D1029" s="6" t="s">
        <v>2548</v>
      </c>
      <c r="E1029" s="3" t="s">
        <v>1405</v>
      </c>
      <c r="F1029" s="3" t="s">
        <v>1591</v>
      </c>
      <c r="G1029" s="68" t="str">
        <f t="shared" si="65"/>
        <v>SINGLE</v>
      </c>
      <c r="H1029" s="197">
        <f t="shared" si="64"/>
        <v>30</v>
      </c>
      <c r="I1029" s="197">
        <v>7</v>
      </c>
      <c r="J1029" s="197">
        <v>23</v>
      </c>
      <c r="K1029" s="186">
        <f t="shared" si="66"/>
        <v>45861</v>
      </c>
      <c r="L1029" s="3" t="s">
        <v>2395</v>
      </c>
      <c r="M1029" s="3" t="s">
        <v>1469</v>
      </c>
      <c r="N1029" s="3" t="str">
        <f t="shared" si="67"/>
        <v/>
      </c>
    </row>
    <row r="1030" spans="1:19">
      <c r="A1030" s="3">
        <v>5018</v>
      </c>
      <c r="B1030" s="83">
        <f t="array" ref="B1030">SUM(--(FREQUENCY(IF(C$2:C$3074=C1030, MATCH(D$2:D$3074, D$2:D$3074, 0)), ROW(D$2:D$3074)-ROW(D$2)+1) &gt; 0))</f>
        <v>4</v>
      </c>
      <c r="C1030" s="3">
        <v>41100227</v>
      </c>
      <c r="D1030" s="6" t="s">
        <v>1589</v>
      </c>
      <c r="E1030" s="3" t="s">
        <v>1424</v>
      </c>
      <c r="F1030" s="3" t="s">
        <v>1476</v>
      </c>
      <c r="G1030" s="41" t="str">
        <f t="shared" si="65"/>
        <v>DUAL</v>
      </c>
      <c r="H1030" s="197">
        <f t="shared" si="64"/>
        <v>30</v>
      </c>
      <c r="I1030" s="197">
        <v>7</v>
      </c>
      <c r="J1030" s="197">
        <v>23</v>
      </c>
      <c r="K1030" s="186">
        <f t="shared" si="66"/>
        <v>45861</v>
      </c>
      <c r="L1030" s="3" t="s">
        <v>2395</v>
      </c>
      <c r="M1030" s="3" t="s">
        <v>1469</v>
      </c>
    </row>
    <row r="1031" spans="1:19">
      <c r="A1031" s="3">
        <v>5822</v>
      </c>
      <c r="B1031" s="83" cm="1">
        <f t="array" ref="B1031">SUM(--(FREQUENCY(IF(C$2:C$3074=C1031, MATCH(D$2:D$3074, D$2:D$3074, 0)), ROW(D$2:D$3074)-ROW(D$2)+1) &gt; 0))</f>
        <v>102</v>
      </c>
      <c r="C1031" s="3">
        <v>41200006</v>
      </c>
      <c r="D1031" s="6" t="s">
        <v>2549</v>
      </c>
      <c r="E1031" s="3" t="s">
        <v>1405</v>
      </c>
      <c r="F1031" s="3" t="s">
        <v>1477</v>
      </c>
      <c r="G1031" s="68" t="str">
        <f t="shared" si="65"/>
        <v>SINGLE</v>
      </c>
      <c r="H1031" s="197">
        <f t="shared" si="64"/>
        <v>30</v>
      </c>
      <c r="I1031" s="197">
        <v>7</v>
      </c>
      <c r="J1031" s="197">
        <v>24</v>
      </c>
      <c r="K1031" s="186">
        <f t="shared" si="66"/>
        <v>45862</v>
      </c>
      <c r="L1031" s="3" t="s">
        <v>2391</v>
      </c>
      <c r="M1031" s="3" t="s">
        <v>2392</v>
      </c>
      <c r="N1031" s="3" t="str">
        <f t="shared" ref="N1031:N1062" si="68">IF(O1031&lt;&gt;"", "NG", "")</f>
        <v>NG</v>
      </c>
      <c r="O1031" s="3" t="s">
        <v>2368</v>
      </c>
      <c r="P1031" s="3" t="s">
        <v>5088</v>
      </c>
      <c r="Q1031" s="3">
        <v>11100934</v>
      </c>
      <c r="R1031" s="3" t="s">
        <v>932</v>
      </c>
      <c r="S1031" s="3" t="s">
        <v>5096</v>
      </c>
    </row>
    <row r="1032" spans="1:19">
      <c r="A1032" s="3">
        <v>5822</v>
      </c>
      <c r="B1032" s="83">
        <f t="array" ref="B1032">SUM(--(FREQUENCY(IF(C$2:C$3074=C1032, MATCH(D$2:D$3074, D$2:D$3074, 0)), ROW(D$2:D$3074)-ROW(D$2)+1) &gt; 0))</f>
        <v>102</v>
      </c>
      <c r="C1032" s="3">
        <v>41200006</v>
      </c>
      <c r="D1032" s="6" t="s">
        <v>2550</v>
      </c>
      <c r="E1032" s="3" t="s">
        <v>1405</v>
      </c>
      <c r="F1032" s="3" t="s">
        <v>1477</v>
      </c>
      <c r="G1032" s="68" t="str">
        <f t="shared" si="65"/>
        <v>SINGLE</v>
      </c>
      <c r="H1032" s="197">
        <f t="shared" si="64"/>
        <v>30</v>
      </c>
      <c r="I1032" s="197">
        <v>7</v>
      </c>
      <c r="J1032" s="197">
        <v>24</v>
      </c>
      <c r="K1032" s="186">
        <f t="shared" si="66"/>
        <v>45862</v>
      </c>
      <c r="L1032" s="3" t="s">
        <v>2391</v>
      </c>
      <c r="M1032" s="3" t="s">
        <v>2392</v>
      </c>
      <c r="N1032" s="3" t="str">
        <f t="shared" si="68"/>
        <v>NG</v>
      </c>
      <c r="O1032" s="3" t="s">
        <v>2368</v>
      </c>
      <c r="P1032" s="3" t="s">
        <v>1384</v>
      </c>
      <c r="Q1032" s="3">
        <v>11005964</v>
      </c>
      <c r="R1032" s="3" t="s">
        <v>816</v>
      </c>
      <c r="S1032" s="3" t="s">
        <v>5097</v>
      </c>
    </row>
    <row r="1033" spans="1:19">
      <c r="A1033" s="3">
        <v>5812</v>
      </c>
      <c r="B1033" s="83">
        <f t="array" ref="B1033">SUM(--(FREQUENCY(IF(C$2:C$3074=C1033, MATCH(D$2:D$3074, D$2:D$3074, 0)), ROW(D$2:D$3074)-ROW(D$2)+1) &gt; 0))</f>
        <v>49</v>
      </c>
      <c r="C1033" s="3">
        <v>41200005</v>
      </c>
      <c r="D1033" s="6" t="s">
        <v>2551</v>
      </c>
      <c r="E1033" s="3" t="s">
        <v>1405</v>
      </c>
      <c r="F1033" s="3" t="s">
        <v>1591</v>
      </c>
      <c r="G1033" s="68" t="str">
        <f t="shared" si="65"/>
        <v>SINGLE</v>
      </c>
      <c r="H1033" s="197">
        <f t="shared" si="64"/>
        <v>30</v>
      </c>
      <c r="I1033" s="197">
        <v>7</v>
      </c>
      <c r="J1033" s="197">
        <v>24</v>
      </c>
      <c r="K1033" s="186">
        <f t="shared" si="66"/>
        <v>45862</v>
      </c>
      <c r="L1033" s="3" t="s">
        <v>2391</v>
      </c>
      <c r="M1033" s="3" t="s">
        <v>1468</v>
      </c>
      <c r="N1033" s="3" t="str">
        <f t="shared" si="68"/>
        <v/>
      </c>
    </row>
    <row r="1034" spans="1:19">
      <c r="A1034" s="3">
        <v>5812</v>
      </c>
      <c r="B1034" s="83">
        <f t="array" ref="B1034">SUM(--(FREQUENCY(IF(C$2:C$3074=C1034, MATCH(D$2:D$3074, D$2:D$3074, 0)), ROW(D$2:D$3074)-ROW(D$2)+1) &gt; 0))</f>
        <v>49</v>
      </c>
      <c r="C1034" s="3">
        <v>41200005</v>
      </c>
      <c r="D1034" s="6" t="s">
        <v>2552</v>
      </c>
      <c r="E1034" s="3" t="s">
        <v>1405</v>
      </c>
      <c r="F1034" s="3" t="s">
        <v>1591</v>
      </c>
      <c r="G1034" s="68" t="str">
        <f t="shared" si="65"/>
        <v>SINGLE</v>
      </c>
      <c r="H1034" s="197">
        <f t="shared" si="64"/>
        <v>30</v>
      </c>
      <c r="I1034" s="197">
        <v>7</v>
      </c>
      <c r="J1034" s="197">
        <v>24</v>
      </c>
      <c r="K1034" s="186">
        <f t="shared" si="66"/>
        <v>45862</v>
      </c>
      <c r="L1034" s="3" t="s">
        <v>2391</v>
      </c>
      <c r="M1034" s="3" t="s">
        <v>1468</v>
      </c>
      <c r="N1034" s="3" t="str">
        <f t="shared" si="68"/>
        <v/>
      </c>
    </row>
    <row r="1035" spans="1:19">
      <c r="A1035" s="3">
        <v>5842</v>
      </c>
      <c r="B1035" s="83">
        <f t="array" ref="B1035">SUM(--(FREQUENCY(IF(C$2:C$3074=C1035, MATCH(D$2:D$3074, D$2:D$3074, 0)), ROW(D$2:D$3074)-ROW(D$2)+1) &gt; 0))</f>
        <v>77</v>
      </c>
      <c r="C1035" s="3">
        <v>41200076</v>
      </c>
      <c r="D1035" s="6" t="s">
        <v>2553</v>
      </c>
      <c r="E1035" s="3" t="s">
        <v>1585</v>
      </c>
      <c r="F1035" s="3" t="s">
        <v>1476</v>
      </c>
      <c r="G1035" s="68" t="str">
        <f t="shared" si="65"/>
        <v>DUAL</v>
      </c>
      <c r="H1035" s="197">
        <f t="shared" si="64"/>
        <v>30</v>
      </c>
      <c r="I1035" s="197">
        <v>7</v>
      </c>
      <c r="J1035" s="197">
        <v>24</v>
      </c>
      <c r="K1035" s="186">
        <f t="shared" si="66"/>
        <v>45862</v>
      </c>
      <c r="L1035" s="3" t="s">
        <v>2391</v>
      </c>
      <c r="M1035" s="3" t="s">
        <v>1468</v>
      </c>
      <c r="N1035" s="3" t="str">
        <f t="shared" si="68"/>
        <v/>
      </c>
    </row>
    <row r="1036" spans="1:19">
      <c r="A1036" s="3">
        <v>5788</v>
      </c>
      <c r="B1036" s="83">
        <f t="array" ref="B1036">SUM(--(FREQUENCY(IF(C$2:C$3074=C1036, MATCH(D$2:D$3074, D$2:D$3074, 0)), ROW(D$2:D$3074)-ROW(D$2)+1) &gt; 0))</f>
        <v>4</v>
      </c>
      <c r="C1036" s="3">
        <v>41200149</v>
      </c>
      <c r="D1036" s="6" t="s">
        <v>2554</v>
      </c>
      <c r="E1036" s="3" t="s">
        <v>1426</v>
      </c>
      <c r="F1036" s="3" t="s">
        <v>1476</v>
      </c>
      <c r="G1036" s="41" t="str">
        <f t="shared" si="65"/>
        <v>DUAL</v>
      </c>
      <c r="H1036" s="197">
        <f t="shared" si="64"/>
        <v>30</v>
      </c>
      <c r="I1036" s="197">
        <v>7</v>
      </c>
      <c r="J1036" s="197">
        <v>24</v>
      </c>
      <c r="K1036" s="186">
        <f t="shared" si="66"/>
        <v>45862</v>
      </c>
      <c r="L1036" s="3" t="s">
        <v>2555</v>
      </c>
      <c r="M1036" s="3" t="s">
        <v>2555</v>
      </c>
      <c r="N1036" s="3" t="str">
        <f t="shared" si="68"/>
        <v>NG</v>
      </c>
      <c r="O1036" s="3" t="s">
        <v>2368</v>
      </c>
      <c r="P1036" s="3" t="s">
        <v>5098</v>
      </c>
      <c r="Q1036" s="3">
        <v>11000206</v>
      </c>
      <c r="R1036" s="3" t="s">
        <v>816</v>
      </c>
      <c r="S1036" s="3" t="s">
        <v>5099</v>
      </c>
    </row>
    <row r="1037" spans="1:19">
      <c r="A1037" s="3">
        <v>5788</v>
      </c>
      <c r="B1037" s="83">
        <f t="array" ref="B1037">SUM(--(FREQUENCY(IF(C$2:C$3074=C1037, MATCH(D$2:D$3074, D$2:D$3074, 0)), ROW(D$2:D$3074)-ROW(D$2)+1) &gt; 0))</f>
        <v>4</v>
      </c>
      <c r="C1037" s="3">
        <v>41200149</v>
      </c>
      <c r="D1037" s="6" t="s">
        <v>2554</v>
      </c>
      <c r="E1037" s="3" t="s">
        <v>1426</v>
      </c>
      <c r="F1037" s="3" t="s">
        <v>1476</v>
      </c>
      <c r="G1037" s="41" t="str">
        <f t="shared" si="65"/>
        <v>DUAL</v>
      </c>
      <c r="H1037" s="197">
        <f t="shared" si="64"/>
        <v>30</v>
      </c>
      <c r="I1037" s="197">
        <v>7</v>
      </c>
      <c r="J1037" s="197">
        <v>24</v>
      </c>
      <c r="K1037" s="186">
        <f t="shared" si="66"/>
        <v>45862</v>
      </c>
      <c r="L1037" s="3" t="s">
        <v>2555</v>
      </c>
      <c r="M1037" s="3" t="s">
        <v>2555</v>
      </c>
      <c r="N1037" s="3" t="str">
        <f t="shared" si="68"/>
        <v>NG</v>
      </c>
      <c r="O1037" s="3" t="s">
        <v>2368</v>
      </c>
      <c r="P1037" s="3" t="s">
        <v>1384</v>
      </c>
      <c r="Q1037" s="3">
        <v>11000166</v>
      </c>
      <c r="R1037" s="3" t="s">
        <v>5100</v>
      </c>
      <c r="S1037" s="3" t="s">
        <v>5101</v>
      </c>
    </row>
    <row r="1038" spans="1:19">
      <c r="A1038" s="3">
        <v>5788</v>
      </c>
      <c r="B1038" s="83">
        <f t="array" ref="B1038">SUM(--(FREQUENCY(IF(C$2:C$3074=C1038, MATCH(D$2:D$3074, D$2:D$3074, 0)), ROW(D$2:D$3074)-ROW(D$2)+1) &gt; 0))</f>
        <v>4</v>
      </c>
      <c r="C1038" s="3">
        <v>41200149</v>
      </c>
      <c r="D1038" s="6" t="s">
        <v>2554</v>
      </c>
      <c r="E1038" s="3" t="s">
        <v>1426</v>
      </c>
      <c r="F1038" s="3" t="s">
        <v>1476</v>
      </c>
      <c r="G1038" s="41" t="str">
        <f t="shared" si="65"/>
        <v>DUAL</v>
      </c>
      <c r="H1038" s="197">
        <f t="shared" si="64"/>
        <v>30</v>
      </c>
      <c r="I1038" s="197">
        <v>7</v>
      </c>
      <c r="J1038" s="197">
        <v>24</v>
      </c>
      <c r="K1038" s="186">
        <f t="shared" si="66"/>
        <v>45862</v>
      </c>
      <c r="L1038" s="3" t="s">
        <v>2555</v>
      </c>
      <c r="M1038" s="3" t="s">
        <v>2555</v>
      </c>
      <c r="N1038" s="3" t="str">
        <f t="shared" si="68"/>
        <v>NG</v>
      </c>
      <c r="O1038" s="3" t="s">
        <v>2368</v>
      </c>
      <c r="P1038" s="3" t="s">
        <v>5088</v>
      </c>
      <c r="Q1038" s="3">
        <v>11002283</v>
      </c>
      <c r="R1038" s="3" t="s">
        <v>932</v>
      </c>
      <c r="S1038" s="3" t="s">
        <v>5102</v>
      </c>
    </row>
    <row r="1039" spans="1:19">
      <c r="A1039" s="3">
        <v>5788</v>
      </c>
      <c r="B1039" s="83">
        <f t="array" ref="B1039">SUM(--(FREQUENCY(IF(C$2:C$3074=C1039, MATCH(D$2:D$3074, D$2:D$3074, 0)), ROW(D$2:D$3074)-ROW(D$2)+1) &gt; 0))</f>
        <v>4</v>
      </c>
      <c r="C1039" s="3">
        <v>41200149</v>
      </c>
      <c r="D1039" s="6" t="s">
        <v>2554</v>
      </c>
      <c r="E1039" s="3" t="s">
        <v>1426</v>
      </c>
      <c r="F1039" s="3" t="s">
        <v>1476</v>
      </c>
      <c r="G1039" s="41" t="str">
        <f t="shared" si="65"/>
        <v>DUAL</v>
      </c>
      <c r="H1039" s="197">
        <f t="shared" si="64"/>
        <v>30</v>
      </c>
      <c r="I1039" s="197">
        <v>7</v>
      </c>
      <c r="J1039" s="197">
        <v>24</v>
      </c>
      <c r="K1039" s="186">
        <f t="shared" si="66"/>
        <v>45862</v>
      </c>
      <c r="L1039" s="3" t="s">
        <v>2555</v>
      </c>
      <c r="M1039" s="3" t="s">
        <v>2555</v>
      </c>
      <c r="N1039" s="3" t="str">
        <f t="shared" si="68"/>
        <v>NG</v>
      </c>
      <c r="O1039" s="3" t="s">
        <v>2368</v>
      </c>
      <c r="P1039" s="3" t="s">
        <v>5088</v>
      </c>
      <c r="Q1039" s="3">
        <v>11002283</v>
      </c>
      <c r="R1039" s="3" t="s">
        <v>932</v>
      </c>
      <c r="S1039" s="3" t="s">
        <v>5102</v>
      </c>
    </row>
    <row r="1040" spans="1:19">
      <c r="A1040" s="3">
        <v>5788</v>
      </c>
      <c r="B1040" s="83">
        <f t="array" ref="B1040">SUM(--(FREQUENCY(IF(C$2:C$3074=C1040, MATCH(D$2:D$3074, D$2:D$3074, 0)), ROW(D$2:D$3074)-ROW(D$2)+1) &gt; 0))</f>
        <v>4</v>
      </c>
      <c r="C1040" s="3">
        <v>41200149</v>
      </c>
      <c r="D1040" s="6" t="s">
        <v>2554</v>
      </c>
      <c r="E1040" s="3" t="s">
        <v>1426</v>
      </c>
      <c r="F1040" s="3" t="s">
        <v>1476</v>
      </c>
      <c r="G1040" s="41" t="str">
        <f t="shared" si="65"/>
        <v>DUAL</v>
      </c>
      <c r="H1040" s="197">
        <f t="shared" si="64"/>
        <v>30</v>
      </c>
      <c r="I1040" s="197">
        <v>7</v>
      </c>
      <c r="J1040" s="197">
        <v>24</v>
      </c>
      <c r="K1040" s="186">
        <f t="shared" si="66"/>
        <v>45862</v>
      </c>
      <c r="L1040" s="3" t="s">
        <v>2555</v>
      </c>
      <c r="M1040" s="3" t="s">
        <v>2555</v>
      </c>
      <c r="N1040" s="3" t="str">
        <f t="shared" si="68"/>
        <v>NG</v>
      </c>
      <c r="O1040" s="3" t="s">
        <v>2368</v>
      </c>
      <c r="P1040" s="3" t="s">
        <v>5088</v>
      </c>
      <c r="Q1040" s="3">
        <v>11002283</v>
      </c>
      <c r="R1040" s="3" t="s">
        <v>932</v>
      </c>
      <c r="S1040" s="3" t="s">
        <v>5102</v>
      </c>
    </row>
    <row r="1041" spans="1:19">
      <c r="A1041" s="3">
        <v>5788</v>
      </c>
      <c r="B1041" s="83">
        <f t="array" ref="B1041">SUM(--(FREQUENCY(IF(C$2:C$3074=C1041, MATCH(D$2:D$3074, D$2:D$3074, 0)), ROW(D$2:D$3074)-ROW(D$2)+1) &gt; 0))</f>
        <v>4</v>
      </c>
      <c r="C1041" s="3">
        <v>41200149</v>
      </c>
      <c r="D1041" s="6" t="s">
        <v>2554</v>
      </c>
      <c r="E1041" s="3" t="s">
        <v>1426</v>
      </c>
      <c r="F1041" s="3" t="s">
        <v>1476</v>
      </c>
      <c r="G1041" s="41" t="str">
        <f t="shared" si="65"/>
        <v>DUAL</v>
      </c>
      <c r="H1041" s="197">
        <f t="shared" si="64"/>
        <v>30</v>
      </c>
      <c r="I1041" s="197">
        <v>7</v>
      </c>
      <c r="J1041" s="197">
        <v>24</v>
      </c>
      <c r="K1041" s="186">
        <f t="shared" si="66"/>
        <v>45862</v>
      </c>
      <c r="L1041" s="3" t="s">
        <v>2555</v>
      </c>
      <c r="M1041" s="3" t="s">
        <v>2555</v>
      </c>
      <c r="N1041" s="3" t="str">
        <f t="shared" si="68"/>
        <v>NG</v>
      </c>
      <c r="O1041" s="3" t="s">
        <v>2368</v>
      </c>
      <c r="P1041" s="3" t="s">
        <v>5088</v>
      </c>
      <c r="Q1041" s="3">
        <v>11008325</v>
      </c>
      <c r="R1041" s="3" t="s">
        <v>5103</v>
      </c>
      <c r="S1041" s="3" t="s">
        <v>5104</v>
      </c>
    </row>
    <row r="1042" spans="1:19">
      <c r="A1042" s="3">
        <v>5788</v>
      </c>
      <c r="B1042" s="83">
        <f t="array" ref="B1042">SUM(--(FREQUENCY(IF(C$2:C$3074=C1042, MATCH(D$2:D$3074, D$2:D$3074, 0)), ROW(D$2:D$3074)-ROW(D$2)+1) &gt; 0))</f>
        <v>4</v>
      </c>
      <c r="C1042" s="3">
        <v>41200149</v>
      </c>
      <c r="D1042" s="6" t="s">
        <v>2554</v>
      </c>
      <c r="E1042" s="3" t="s">
        <v>1426</v>
      </c>
      <c r="F1042" s="3" t="s">
        <v>1476</v>
      </c>
      <c r="G1042" s="41" t="str">
        <f t="shared" si="65"/>
        <v>DUAL</v>
      </c>
      <c r="H1042" s="197">
        <f t="shared" si="64"/>
        <v>30</v>
      </c>
      <c r="I1042" s="197">
        <v>7</v>
      </c>
      <c r="J1042" s="197">
        <v>24</v>
      </c>
      <c r="K1042" s="186">
        <f t="shared" si="66"/>
        <v>45862</v>
      </c>
      <c r="L1042" s="3" t="s">
        <v>2555</v>
      </c>
      <c r="M1042" s="3" t="s">
        <v>2555</v>
      </c>
      <c r="N1042" s="3" t="str">
        <f t="shared" si="68"/>
        <v>NG</v>
      </c>
      <c r="O1042" s="3" t="s">
        <v>2368</v>
      </c>
      <c r="P1042" s="3" t="s">
        <v>5088</v>
      </c>
      <c r="Q1042" s="3">
        <v>11002737</v>
      </c>
      <c r="R1042" s="3" t="s">
        <v>816</v>
      </c>
      <c r="S1042" s="3" t="s">
        <v>5105</v>
      </c>
    </row>
    <row r="1043" spans="1:19">
      <c r="A1043" s="3">
        <v>5788</v>
      </c>
      <c r="B1043" s="83">
        <f t="array" ref="B1043">SUM(--(FREQUENCY(IF(C$2:C$3074=C1043, MATCH(D$2:D$3074, D$2:D$3074, 0)), ROW(D$2:D$3074)-ROW(D$2)+1) &gt; 0))</f>
        <v>4</v>
      </c>
      <c r="C1043" s="3">
        <v>41200149</v>
      </c>
      <c r="D1043" s="6" t="s">
        <v>2554</v>
      </c>
      <c r="E1043" s="3" t="s">
        <v>1426</v>
      </c>
      <c r="F1043" s="3" t="s">
        <v>1476</v>
      </c>
      <c r="G1043" s="41" t="str">
        <f t="shared" si="65"/>
        <v>DUAL</v>
      </c>
      <c r="H1043" s="197">
        <f t="shared" si="64"/>
        <v>30</v>
      </c>
      <c r="I1043" s="197">
        <v>7</v>
      </c>
      <c r="J1043" s="197">
        <v>24</v>
      </c>
      <c r="K1043" s="186">
        <f t="shared" si="66"/>
        <v>45862</v>
      </c>
      <c r="L1043" s="3" t="s">
        <v>2555</v>
      </c>
      <c r="M1043" s="3" t="s">
        <v>2555</v>
      </c>
      <c r="N1043" s="3" t="str">
        <f t="shared" si="68"/>
        <v>NG</v>
      </c>
      <c r="O1043" s="3" t="s">
        <v>2368</v>
      </c>
      <c r="P1043" s="3" t="s">
        <v>5088</v>
      </c>
      <c r="Q1043" s="3">
        <v>11008325</v>
      </c>
      <c r="R1043" s="3" t="s">
        <v>5103</v>
      </c>
      <c r="S1043" s="3" t="s">
        <v>5106</v>
      </c>
    </row>
    <row r="1044" spans="1:19">
      <c r="A1044" s="3">
        <v>5788</v>
      </c>
      <c r="B1044" s="83">
        <f t="array" ref="B1044">SUM(--(FREQUENCY(IF(C$2:C$3074=C1044, MATCH(D$2:D$3074, D$2:D$3074, 0)), ROW(D$2:D$3074)-ROW(D$2)+1) &gt; 0))</f>
        <v>4</v>
      </c>
      <c r="C1044" s="3">
        <v>41200149</v>
      </c>
      <c r="D1044" s="6" t="s">
        <v>2554</v>
      </c>
      <c r="E1044" s="3" t="s">
        <v>1426</v>
      </c>
      <c r="F1044" s="3" t="s">
        <v>1476</v>
      </c>
      <c r="G1044" s="41" t="str">
        <f t="shared" si="65"/>
        <v>DUAL</v>
      </c>
      <c r="H1044" s="197">
        <f t="shared" si="64"/>
        <v>30</v>
      </c>
      <c r="I1044" s="197">
        <v>7</v>
      </c>
      <c r="J1044" s="197">
        <v>24</v>
      </c>
      <c r="K1044" s="186">
        <f t="shared" si="66"/>
        <v>45862</v>
      </c>
      <c r="L1044" s="3" t="s">
        <v>2555</v>
      </c>
      <c r="M1044" s="3" t="s">
        <v>2555</v>
      </c>
      <c r="N1044" s="3" t="str">
        <f t="shared" si="68"/>
        <v>NG</v>
      </c>
      <c r="O1044" s="3" t="s">
        <v>2368</v>
      </c>
      <c r="P1044" s="3" t="s">
        <v>1385</v>
      </c>
      <c r="Q1044" s="3">
        <v>12008312</v>
      </c>
      <c r="R1044" s="3" t="s">
        <v>5107</v>
      </c>
      <c r="S1044" s="3" t="s">
        <v>5108</v>
      </c>
    </row>
    <row r="1045" spans="1:19">
      <c r="A1045" s="3">
        <v>5795</v>
      </c>
      <c r="B1045" s="83">
        <f t="array" ref="B1045">SUM(--(FREQUENCY(IF(C$2:C$3074=C1045, MATCH(D$2:D$3074, D$2:D$3074, 0)), ROW(D$2:D$3074)-ROW(D$2)+1) &gt; 0))</f>
        <v>4</v>
      </c>
      <c r="C1045" s="3">
        <v>41200082</v>
      </c>
      <c r="D1045" s="6" t="s">
        <v>2556</v>
      </c>
      <c r="E1045" s="3" t="s">
        <v>1585</v>
      </c>
      <c r="F1045" s="3" t="s">
        <v>1591</v>
      </c>
      <c r="G1045" s="68" t="str">
        <f t="shared" si="65"/>
        <v>SINGLE</v>
      </c>
      <c r="H1045" s="197">
        <f t="shared" si="64"/>
        <v>30</v>
      </c>
      <c r="I1045" s="197">
        <v>7</v>
      </c>
      <c r="J1045" s="197">
        <v>25</v>
      </c>
      <c r="K1045" s="186">
        <f t="shared" si="66"/>
        <v>45863</v>
      </c>
      <c r="L1045" s="3" t="s">
        <v>2395</v>
      </c>
      <c r="M1045" s="3" t="s">
        <v>2392</v>
      </c>
      <c r="N1045" s="3" t="str">
        <f t="shared" si="68"/>
        <v/>
      </c>
    </row>
    <row r="1046" spans="1:19">
      <c r="A1046" s="3">
        <v>5795</v>
      </c>
      <c r="B1046" s="83">
        <f t="array" ref="B1046">SUM(--(FREQUENCY(IF(C$2:C$3074=C1046, MATCH(D$2:D$3074, D$2:D$3074, 0)), ROW(D$2:D$3074)-ROW(D$2)+1) &gt; 0))</f>
        <v>4</v>
      </c>
      <c r="C1046" s="3">
        <v>41200082</v>
      </c>
      <c r="D1046" s="6" t="s">
        <v>2557</v>
      </c>
      <c r="E1046" s="3" t="s">
        <v>1585</v>
      </c>
      <c r="F1046" s="3" t="s">
        <v>1591</v>
      </c>
      <c r="G1046" s="68" t="str">
        <f t="shared" si="65"/>
        <v>SINGLE</v>
      </c>
      <c r="H1046" s="197">
        <f t="shared" si="64"/>
        <v>30</v>
      </c>
      <c r="I1046" s="197">
        <v>7</v>
      </c>
      <c r="J1046" s="197">
        <v>25</v>
      </c>
      <c r="K1046" s="186">
        <f t="shared" si="66"/>
        <v>45863</v>
      </c>
      <c r="L1046" s="3" t="s">
        <v>2395</v>
      </c>
      <c r="M1046" s="3" t="s">
        <v>2392</v>
      </c>
      <c r="N1046" s="3" t="str">
        <f t="shared" si="68"/>
        <v/>
      </c>
    </row>
    <row r="1047" spans="1:19">
      <c r="A1047" s="3">
        <v>5863</v>
      </c>
      <c r="B1047" s="83">
        <f t="array" ref="B1047">SUM(--(FREQUENCY(IF(C$2:C$3074=C1047, MATCH(D$2:D$3074, D$2:D$3074, 0)), ROW(D$2:D$3074)-ROW(D$2)+1) &gt; 0))</f>
        <v>25</v>
      </c>
      <c r="C1047" s="3">
        <v>41200128</v>
      </c>
      <c r="D1047" s="6" t="s">
        <v>2567</v>
      </c>
      <c r="E1047" s="3" t="s">
        <v>1431</v>
      </c>
      <c r="F1047" s="3" t="s">
        <v>1591</v>
      </c>
      <c r="G1047" s="68" t="str">
        <f t="shared" si="65"/>
        <v>SINGLE</v>
      </c>
      <c r="H1047" s="197">
        <f t="shared" si="64"/>
        <v>30</v>
      </c>
      <c r="I1047" s="197">
        <v>7</v>
      </c>
      <c r="J1047" s="197">
        <v>25</v>
      </c>
      <c r="K1047" s="186">
        <f t="shared" si="66"/>
        <v>45863</v>
      </c>
      <c r="L1047" s="3" t="s">
        <v>2391</v>
      </c>
      <c r="M1047" s="3" t="s">
        <v>1468</v>
      </c>
      <c r="N1047" s="3" t="str">
        <f t="shared" si="68"/>
        <v/>
      </c>
    </row>
    <row r="1048" spans="1:19">
      <c r="A1048" s="3">
        <v>5866</v>
      </c>
      <c r="B1048" s="83">
        <f t="array" ref="B1048">SUM(--(FREQUENCY(IF(C$2:C$3074=C1048, MATCH(D$2:D$3074, D$2:D$3074, 0)), ROW(D$2:D$3074)-ROW(D$2)+1) &gt; 0))</f>
        <v>32</v>
      </c>
      <c r="C1048" s="3">
        <v>41200127</v>
      </c>
      <c r="D1048" s="6" t="s">
        <v>2569</v>
      </c>
      <c r="E1048" s="3" t="s">
        <v>1431</v>
      </c>
      <c r="F1048" s="3" t="s">
        <v>1591</v>
      </c>
      <c r="G1048" s="68" t="str">
        <f t="shared" si="65"/>
        <v>SINGLE</v>
      </c>
      <c r="H1048" s="197">
        <f t="shared" si="64"/>
        <v>30</v>
      </c>
      <c r="I1048" s="197">
        <v>7</v>
      </c>
      <c r="J1048" s="197">
        <v>25</v>
      </c>
      <c r="K1048" s="186">
        <f t="shared" si="66"/>
        <v>45863</v>
      </c>
      <c r="L1048" s="3" t="s">
        <v>2391</v>
      </c>
      <c r="M1048" s="3" t="s">
        <v>1468</v>
      </c>
      <c r="N1048" s="3" t="str">
        <f t="shared" si="68"/>
        <v/>
      </c>
    </row>
    <row r="1049" spans="1:19">
      <c r="A1049" s="3">
        <v>5881</v>
      </c>
      <c r="B1049" s="83">
        <f t="array" ref="B1049">SUM(--(FREQUENCY(IF(C$2:C$3074=C1049, MATCH(D$2:D$3074, D$2:D$3074, 0)), ROW(D$2:D$3074)-ROW(D$2)+1) &gt; 0))</f>
        <v>1</v>
      </c>
      <c r="C1049" s="3">
        <v>41200164</v>
      </c>
      <c r="D1049" s="6" t="s">
        <v>2558</v>
      </c>
      <c r="E1049" s="3" t="s">
        <v>1404</v>
      </c>
      <c r="F1049" s="3" t="s">
        <v>1476</v>
      </c>
      <c r="G1049" s="68" t="str">
        <f t="shared" si="65"/>
        <v>DUAL</v>
      </c>
      <c r="H1049" s="197">
        <f t="shared" si="64"/>
        <v>30</v>
      </c>
      <c r="I1049" s="197">
        <v>7</v>
      </c>
      <c r="J1049" s="197">
        <v>25</v>
      </c>
      <c r="K1049" s="186">
        <f t="shared" si="66"/>
        <v>45863</v>
      </c>
      <c r="L1049" s="3" t="s">
        <v>2391</v>
      </c>
      <c r="M1049" s="3" t="s">
        <v>2392</v>
      </c>
      <c r="N1049" s="3" t="str">
        <f t="shared" si="68"/>
        <v>NG</v>
      </c>
      <c r="O1049" s="3" t="s">
        <v>2368</v>
      </c>
      <c r="P1049" s="3" t="s">
        <v>5088</v>
      </c>
      <c r="Q1049" s="3">
        <v>11002283</v>
      </c>
      <c r="R1049" s="3" t="s">
        <v>932</v>
      </c>
      <c r="S1049" s="3" t="s">
        <v>5102</v>
      </c>
    </row>
    <row r="1050" spans="1:19">
      <c r="A1050" s="3">
        <v>5903</v>
      </c>
      <c r="B1050" s="83">
        <f t="array" ref="B1050">SUM(--(FREQUENCY(IF(C$2:C$3074=C1050, MATCH(D$2:D$3074, D$2:D$3074, 0)), ROW(D$2:D$3074)-ROW(D$2)+1) &gt; 0))</f>
        <v>3</v>
      </c>
      <c r="C1050" s="3">
        <v>41200134</v>
      </c>
      <c r="D1050" s="6" t="s">
        <v>2559</v>
      </c>
      <c r="E1050" s="3" t="s">
        <v>1429</v>
      </c>
      <c r="F1050" s="3" t="s">
        <v>1476</v>
      </c>
      <c r="G1050" s="68" t="str">
        <f t="shared" si="65"/>
        <v>DUAL</v>
      </c>
      <c r="H1050" s="197">
        <f t="shared" si="64"/>
        <v>30</v>
      </c>
      <c r="I1050" s="197">
        <v>7</v>
      </c>
      <c r="J1050" s="197">
        <v>25</v>
      </c>
      <c r="K1050" s="186">
        <f t="shared" si="66"/>
        <v>45863</v>
      </c>
      <c r="L1050" s="3" t="s">
        <v>2395</v>
      </c>
      <c r="M1050" s="3" t="s">
        <v>2392</v>
      </c>
      <c r="N1050" s="3" t="str">
        <f t="shared" si="68"/>
        <v/>
      </c>
    </row>
    <row r="1051" spans="1:19">
      <c r="A1051" s="3">
        <v>5903</v>
      </c>
      <c r="B1051" s="83">
        <f t="array" ref="B1051">SUM(--(FREQUENCY(IF(C$2:C$3074=C1051, MATCH(D$2:D$3074, D$2:D$3074, 0)), ROW(D$2:D$3074)-ROW(D$2)+1) &gt; 0))</f>
        <v>3</v>
      </c>
      <c r="C1051" s="3">
        <v>41200134</v>
      </c>
      <c r="D1051" s="6" t="s">
        <v>2562</v>
      </c>
      <c r="E1051" s="3" t="s">
        <v>1429</v>
      </c>
      <c r="F1051" s="3" t="s">
        <v>1476</v>
      </c>
      <c r="G1051" s="68" t="str">
        <f t="shared" si="65"/>
        <v>DUAL</v>
      </c>
      <c r="H1051" s="197">
        <f t="shared" si="64"/>
        <v>30</v>
      </c>
      <c r="I1051" s="197">
        <v>7</v>
      </c>
      <c r="J1051" s="197">
        <v>25</v>
      </c>
      <c r="K1051" s="186">
        <f t="shared" si="66"/>
        <v>45863</v>
      </c>
      <c r="L1051" s="3" t="s">
        <v>2395</v>
      </c>
      <c r="M1051" s="3" t="s">
        <v>2392</v>
      </c>
      <c r="N1051" s="3" t="str">
        <f t="shared" si="68"/>
        <v/>
      </c>
    </row>
    <row r="1052" spans="1:19">
      <c r="A1052" s="3">
        <v>5771</v>
      </c>
      <c r="B1052" s="83">
        <f t="array" ref="B1052">SUM(--(FREQUENCY(IF(C$2:C$3074=C1052, MATCH(D$2:D$3074, D$2:D$3074, 0)), ROW(D$2:D$3074)-ROW(D$2)+1) &gt; 0))</f>
        <v>77</v>
      </c>
      <c r="C1052" s="3">
        <v>41200076</v>
      </c>
      <c r="D1052" s="6" t="s">
        <v>2566</v>
      </c>
      <c r="E1052" s="3" t="s">
        <v>1585</v>
      </c>
      <c r="F1052" s="3" t="s">
        <v>1476</v>
      </c>
      <c r="G1052" s="68" t="str">
        <f t="shared" si="65"/>
        <v>DUAL</v>
      </c>
      <c r="H1052" s="197">
        <f t="shared" si="64"/>
        <v>30</v>
      </c>
      <c r="I1052" s="197">
        <v>7</v>
      </c>
      <c r="J1052" s="197">
        <v>25</v>
      </c>
      <c r="K1052" s="186">
        <f t="shared" si="66"/>
        <v>45863</v>
      </c>
      <c r="L1052" s="3" t="s">
        <v>2391</v>
      </c>
      <c r="M1052" s="3" t="s">
        <v>1468</v>
      </c>
      <c r="N1052" s="3" t="str">
        <f t="shared" si="68"/>
        <v/>
      </c>
    </row>
    <row r="1053" spans="1:19">
      <c r="A1053" s="3">
        <v>5812</v>
      </c>
      <c r="B1053" s="83">
        <f t="array" ref="B1053">SUM(--(FREQUENCY(IF(C$2:C$3074=C1053, MATCH(D$2:D$3074, D$2:D$3074, 0)), ROW(D$2:D$3074)-ROW(D$2)+1) &gt; 0))</f>
        <v>49</v>
      </c>
      <c r="C1053" s="3">
        <v>41200005</v>
      </c>
      <c r="D1053" s="6" t="s">
        <v>2571</v>
      </c>
      <c r="E1053" s="3" t="s">
        <v>1405</v>
      </c>
      <c r="F1053" s="3" t="s">
        <v>1591</v>
      </c>
      <c r="G1053" s="68" t="str">
        <f t="shared" si="65"/>
        <v>SINGLE</v>
      </c>
      <c r="H1053" s="197">
        <f t="shared" si="64"/>
        <v>31</v>
      </c>
      <c r="I1053" s="197">
        <v>7</v>
      </c>
      <c r="J1053" s="197">
        <v>28</v>
      </c>
      <c r="K1053" s="186">
        <f t="shared" si="66"/>
        <v>45866</v>
      </c>
      <c r="L1053" s="3" t="s">
        <v>2391</v>
      </c>
      <c r="M1053" s="3" t="s">
        <v>1468</v>
      </c>
      <c r="N1053" s="3" t="str">
        <f t="shared" si="68"/>
        <v>NG</v>
      </c>
      <c r="O1053" s="3" t="s">
        <v>2368</v>
      </c>
      <c r="P1053" s="3" t="s">
        <v>5098</v>
      </c>
      <c r="Q1053" s="3">
        <v>11000648</v>
      </c>
      <c r="R1053" s="3" t="s">
        <v>562</v>
      </c>
      <c r="S1053" s="3" t="s">
        <v>5109</v>
      </c>
    </row>
    <row r="1054" spans="1:19">
      <c r="A1054" s="3">
        <v>5812</v>
      </c>
      <c r="B1054" s="83">
        <f t="array" ref="B1054">SUM(--(FREQUENCY(IF(C$2:C$3074=C1054, MATCH(D$2:D$3074, D$2:D$3074, 0)), ROW(D$2:D$3074)-ROW(D$2)+1) &gt; 0))</f>
        <v>49</v>
      </c>
      <c r="C1054" s="3">
        <v>41200005</v>
      </c>
      <c r="D1054" s="6" t="s">
        <v>2572</v>
      </c>
      <c r="E1054" s="3" t="s">
        <v>1405</v>
      </c>
      <c r="F1054" s="3" t="s">
        <v>1591</v>
      </c>
      <c r="G1054" s="68" t="str">
        <f t="shared" si="65"/>
        <v>SINGLE</v>
      </c>
      <c r="H1054" s="197">
        <f t="shared" si="64"/>
        <v>31</v>
      </c>
      <c r="I1054" s="197">
        <v>7</v>
      </c>
      <c r="J1054" s="197">
        <v>28</v>
      </c>
      <c r="K1054" s="186">
        <f t="shared" si="66"/>
        <v>45866</v>
      </c>
      <c r="L1054" s="3" t="s">
        <v>2391</v>
      </c>
      <c r="M1054" s="3" t="s">
        <v>1468</v>
      </c>
      <c r="N1054" s="3" t="str">
        <f t="shared" si="68"/>
        <v/>
      </c>
    </row>
    <row r="1055" spans="1:19">
      <c r="A1055" s="3">
        <v>5867</v>
      </c>
      <c r="B1055" s="83">
        <f t="array" ref="B1055">SUM(--(FREQUENCY(IF(C$2:C$3074=C1055, MATCH(D$2:D$3074, D$2:D$3074, 0)), ROW(D$2:D$3074)-ROW(D$2)+1) &gt; 0))</f>
        <v>25</v>
      </c>
      <c r="C1055" s="3">
        <v>41200128</v>
      </c>
      <c r="D1055" s="6" t="s">
        <v>2575</v>
      </c>
      <c r="E1055" s="3" t="s">
        <v>1431</v>
      </c>
      <c r="F1055" s="3" t="s">
        <v>1591</v>
      </c>
      <c r="G1055" s="68" t="str">
        <f t="shared" si="65"/>
        <v>SINGLE</v>
      </c>
      <c r="H1055" s="197">
        <f t="shared" si="64"/>
        <v>31</v>
      </c>
      <c r="I1055" s="197">
        <v>7</v>
      </c>
      <c r="J1055" s="197">
        <v>28</v>
      </c>
      <c r="K1055" s="186">
        <f t="shared" si="66"/>
        <v>45866</v>
      </c>
      <c r="L1055" s="3" t="s">
        <v>2391</v>
      </c>
      <c r="M1055" s="3" t="s">
        <v>1468</v>
      </c>
      <c r="N1055" s="3" t="str">
        <f t="shared" si="68"/>
        <v/>
      </c>
    </row>
    <row r="1056" spans="1:19">
      <c r="A1056" s="3">
        <v>5861</v>
      </c>
      <c r="B1056" s="83">
        <f t="array" ref="B1056">SUM(--(FREQUENCY(IF(C$2:C$3074=C1056, MATCH(D$2:D$3074, D$2:D$3074, 0)), ROW(D$2:D$3074)-ROW(D$2)+1) &gt; 0))</f>
        <v>32</v>
      </c>
      <c r="C1056" s="3">
        <v>41200127</v>
      </c>
      <c r="D1056" s="6" t="s">
        <v>2576</v>
      </c>
      <c r="E1056" s="3" t="s">
        <v>1431</v>
      </c>
      <c r="F1056" s="3" t="s">
        <v>1591</v>
      </c>
      <c r="G1056" s="68" t="str">
        <f t="shared" si="65"/>
        <v>SINGLE</v>
      </c>
      <c r="H1056" s="197">
        <f t="shared" si="64"/>
        <v>31</v>
      </c>
      <c r="I1056" s="197">
        <v>7</v>
      </c>
      <c r="J1056" s="197">
        <v>28</v>
      </c>
      <c r="K1056" s="186">
        <f t="shared" si="66"/>
        <v>45866</v>
      </c>
      <c r="L1056" s="3" t="s">
        <v>2395</v>
      </c>
      <c r="M1056" s="3" t="s">
        <v>1469</v>
      </c>
      <c r="N1056" s="3" t="str">
        <f t="shared" si="68"/>
        <v/>
      </c>
    </row>
    <row r="1057" spans="1:19">
      <c r="A1057" s="3">
        <v>5861</v>
      </c>
      <c r="B1057" s="83">
        <f t="array" ref="B1057">SUM(--(FREQUENCY(IF(C$2:C$3074=C1057, MATCH(D$2:D$3074, D$2:D$3074, 0)), ROW(D$2:D$3074)-ROW(D$2)+1) &gt; 0))</f>
        <v>32</v>
      </c>
      <c r="C1057" s="3">
        <v>41200127</v>
      </c>
      <c r="D1057" s="6" t="s">
        <v>2577</v>
      </c>
      <c r="E1057" s="3" t="s">
        <v>1431</v>
      </c>
      <c r="F1057" s="3" t="s">
        <v>1591</v>
      </c>
      <c r="G1057" s="68" t="str">
        <f t="shared" si="65"/>
        <v>SINGLE</v>
      </c>
      <c r="H1057" s="197">
        <f t="shared" si="64"/>
        <v>31</v>
      </c>
      <c r="I1057" s="197">
        <v>7</v>
      </c>
      <c r="J1057" s="197">
        <v>28</v>
      </c>
      <c r="K1057" s="186">
        <f t="shared" si="66"/>
        <v>45866</v>
      </c>
      <c r="L1057" s="3" t="s">
        <v>2395</v>
      </c>
      <c r="M1057" s="3" t="s">
        <v>1469</v>
      </c>
      <c r="N1057" s="3" t="str">
        <f t="shared" si="68"/>
        <v/>
      </c>
    </row>
    <row r="1058" spans="1:19">
      <c r="A1058" s="3">
        <v>5861</v>
      </c>
      <c r="B1058" s="83">
        <f t="array" ref="B1058">SUM(--(FREQUENCY(IF(C$2:C$3074=C1058, MATCH(D$2:D$3074, D$2:D$3074, 0)), ROW(D$2:D$3074)-ROW(D$2)+1) &gt; 0))</f>
        <v>32</v>
      </c>
      <c r="C1058" s="3">
        <v>41200127</v>
      </c>
      <c r="D1058" s="6" t="s">
        <v>2580</v>
      </c>
      <c r="E1058" s="3" t="s">
        <v>1431</v>
      </c>
      <c r="F1058" s="3" t="s">
        <v>1591</v>
      </c>
      <c r="G1058" s="68" t="str">
        <f t="shared" si="65"/>
        <v>SINGLE</v>
      </c>
      <c r="H1058" s="197">
        <f t="shared" si="64"/>
        <v>31</v>
      </c>
      <c r="I1058" s="197">
        <v>7</v>
      </c>
      <c r="J1058" s="197">
        <v>28</v>
      </c>
      <c r="K1058" s="186">
        <f t="shared" si="66"/>
        <v>45866</v>
      </c>
      <c r="L1058" s="3" t="s">
        <v>2395</v>
      </c>
      <c r="M1058" s="3" t="s">
        <v>1469</v>
      </c>
      <c r="N1058" s="3" t="str">
        <f t="shared" si="68"/>
        <v/>
      </c>
    </row>
    <row r="1059" spans="1:19">
      <c r="A1059" s="3">
        <v>5878</v>
      </c>
      <c r="B1059" s="83">
        <f t="array" ref="B1059">SUM(--(FREQUENCY(IF(C$2:C$3074=C1059, MATCH(D$2:D$3074, D$2:D$3074, 0)), ROW(D$2:D$3074)-ROW(D$2)+1) &gt; 0))</f>
        <v>15</v>
      </c>
      <c r="C1059" s="3">
        <v>41200087</v>
      </c>
      <c r="D1059" s="6" t="s">
        <v>2570</v>
      </c>
      <c r="E1059" s="3" t="s">
        <v>1429</v>
      </c>
      <c r="F1059" s="3" t="s">
        <v>1476</v>
      </c>
      <c r="G1059" s="68" t="str">
        <f t="shared" si="65"/>
        <v>DUAL</v>
      </c>
      <c r="H1059" s="197">
        <f t="shared" si="64"/>
        <v>31</v>
      </c>
      <c r="I1059" s="197">
        <v>7</v>
      </c>
      <c r="J1059" s="197">
        <v>28</v>
      </c>
      <c r="K1059" s="186">
        <f t="shared" si="66"/>
        <v>45866</v>
      </c>
      <c r="L1059" s="3" t="s">
        <v>2395</v>
      </c>
      <c r="M1059" s="3" t="s">
        <v>2392</v>
      </c>
      <c r="N1059" s="3" t="str">
        <f t="shared" si="68"/>
        <v/>
      </c>
    </row>
    <row r="1060" spans="1:19">
      <c r="A1060" s="3">
        <v>5860</v>
      </c>
      <c r="B1060" s="83">
        <f t="array" ref="B1060">SUM(--(FREQUENCY(IF(C$2:C$3074=C1060, MATCH(D$2:D$3074, D$2:D$3074, 0)), ROW(D$2:D$3074)-ROW(D$2)+1) &gt; 0))</f>
        <v>41</v>
      </c>
      <c r="C1060" s="3">
        <v>41200101</v>
      </c>
      <c r="D1060" s="6" t="s">
        <v>2573</v>
      </c>
      <c r="E1060" s="3" t="s">
        <v>1585</v>
      </c>
      <c r="F1060" s="3" t="s">
        <v>1476</v>
      </c>
      <c r="G1060" s="68" t="str">
        <f t="shared" si="65"/>
        <v>DUAL</v>
      </c>
      <c r="H1060" s="197">
        <f t="shared" si="64"/>
        <v>31</v>
      </c>
      <c r="I1060" s="197">
        <v>7</v>
      </c>
      <c r="J1060" s="197">
        <v>28</v>
      </c>
      <c r="K1060" s="186">
        <f t="shared" si="66"/>
        <v>45866</v>
      </c>
      <c r="L1060" s="3" t="s">
        <v>2391</v>
      </c>
      <c r="M1060" s="3" t="s">
        <v>1468</v>
      </c>
      <c r="N1060" s="3" t="str">
        <f t="shared" si="68"/>
        <v/>
      </c>
    </row>
    <row r="1061" spans="1:19">
      <c r="A1061" s="3">
        <v>5865</v>
      </c>
      <c r="B1061" s="83">
        <f t="array" ref="B1061">SUM(--(FREQUENCY(IF(C$2:C$3074=C1061, MATCH(D$2:D$3074, D$2:D$3074, 0)), ROW(D$2:D$3074)-ROW(D$2)+1) &gt; 0))</f>
        <v>9</v>
      </c>
      <c r="C1061" s="3">
        <v>41200153</v>
      </c>
      <c r="D1061" s="6" t="s">
        <v>2574</v>
      </c>
      <c r="E1061" s="3" t="s">
        <v>1422</v>
      </c>
      <c r="F1061" s="3" t="s">
        <v>1476</v>
      </c>
      <c r="G1061" s="68" t="str">
        <f t="shared" si="65"/>
        <v>DUAL</v>
      </c>
      <c r="H1061" s="197">
        <f t="shared" si="64"/>
        <v>31</v>
      </c>
      <c r="I1061" s="197">
        <v>7</v>
      </c>
      <c r="J1061" s="197">
        <v>28</v>
      </c>
      <c r="K1061" s="186">
        <f t="shared" si="66"/>
        <v>45866</v>
      </c>
      <c r="L1061" s="3" t="s">
        <v>2391</v>
      </c>
      <c r="M1061" s="3" t="s">
        <v>1468</v>
      </c>
      <c r="N1061" s="3" t="str">
        <f t="shared" si="68"/>
        <v>NG</v>
      </c>
      <c r="O1061" s="3" t="s">
        <v>2368</v>
      </c>
      <c r="P1061" s="3" t="s">
        <v>5088</v>
      </c>
      <c r="Q1061" s="3">
        <v>11002283</v>
      </c>
      <c r="R1061" s="3" t="s">
        <v>932</v>
      </c>
      <c r="S1061" s="3" t="s">
        <v>5110</v>
      </c>
    </row>
    <row r="1062" spans="1:19">
      <c r="A1062" s="3">
        <v>5810</v>
      </c>
      <c r="B1062" s="83">
        <f t="array" ref="B1062">SUM(--(FREQUENCY(IF(C$2:C$3074=C1062, MATCH(D$2:D$3074, D$2:D$3074, 0)), ROW(D$2:D$3074)-ROW(D$2)+1) &gt; 0))</f>
        <v>102</v>
      </c>
      <c r="C1062" s="3">
        <v>41200006</v>
      </c>
      <c r="D1062" s="6" t="s">
        <v>2581</v>
      </c>
      <c r="E1062" s="3" t="s">
        <v>1405</v>
      </c>
      <c r="F1062" s="3" t="s">
        <v>1477</v>
      </c>
      <c r="G1062" s="68" t="str">
        <f t="shared" si="65"/>
        <v>SINGLE</v>
      </c>
      <c r="H1062" s="197">
        <f t="shared" si="64"/>
        <v>31</v>
      </c>
      <c r="I1062" s="197">
        <v>7</v>
      </c>
      <c r="J1062" s="197">
        <v>29</v>
      </c>
      <c r="K1062" s="186">
        <f t="shared" si="66"/>
        <v>45867</v>
      </c>
      <c r="L1062" s="3" t="s">
        <v>2395</v>
      </c>
      <c r="M1062" s="3" t="s">
        <v>2392</v>
      </c>
      <c r="N1062" s="3" t="str">
        <f t="shared" si="68"/>
        <v/>
      </c>
    </row>
    <row r="1063" spans="1:19">
      <c r="A1063" s="3">
        <v>5810</v>
      </c>
      <c r="B1063" s="83">
        <f t="array" ref="B1063">SUM(--(FREQUENCY(IF(C$2:C$3074=C1063, MATCH(D$2:D$3074, D$2:D$3074, 0)), ROW(D$2:D$3074)-ROW(D$2)+1) &gt; 0))</f>
        <v>102</v>
      </c>
      <c r="C1063" s="3">
        <v>41200006</v>
      </c>
      <c r="D1063" s="6" t="s">
        <v>2582</v>
      </c>
      <c r="E1063" s="3" t="s">
        <v>1405</v>
      </c>
      <c r="F1063" s="3" t="s">
        <v>1477</v>
      </c>
      <c r="G1063" s="68" t="str">
        <f t="shared" si="65"/>
        <v>SINGLE</v>
      </c>
      <c r="H1063" s="197">
        <f t="shared" si="64"/>
        <v>31</v>
      </c>
      <c r="I1063" s="197">
        <v>7</v>
      </c>
      <c r="J1063" s="197">
        <v>29</v>
      </c>
      <c r="K1063" s="186">
        <f t="shared" si="66"/>
        <v>45867</v>
      </c>
      <c r="L1063" s="3" t="s">
        <v>2395</v>
      </c>
      <c r="M1063" s="3" t="s">
        <v>2392</v>
      </c>
      <c r="N1063" s="3" t="str">
        <f t="shared" ref="N1063:N1094" si="69">IF(O1063&lt;&gt;"", "NG", "")</f>
        <v/>
      </c>
    </row>
    <row r="1064" spans="1:19">
      <c r="A1064" s="3">
        <v>5810</v>
      </c>
      <c r="B1064" s="83">
        <f t="array" ref="B1064">SUM(--(FREQUENCY(IF(C$2:C$3074=C1064, MATCH(D$2:D$3074, D$2:D$3074, 0)), ROW(D$2:D$3074)-ROW(D$2)+1) &gt; 0))</f>
        <v>102</v>
      </c>
      <c r="C1064" s="3">
        <v>41200006</v>
      </c>
      <c r="D1064" s="6" t="s">
        <v>2583</v>
      </c>
      <c r="E1064" s="3" t="s">
        <v>1405</v>
      </c>
      <c r="F1064" s="3" t="s">
        <v>1477</v>
      </c>
      <c r="G1064" s="68" t="str">
        <f t="shared" si="65"/>
        <v>SINGLE</v>
      </c>
      <c r="H1064" s="197">
        <f t="shared" si="64"/>
        <v>31</v>
      </c>
      <c r="I1064" s="197">
        <v>7</v>
      </c>
      <c r="J1064" s="197">
        <v>29</v>
      </c>
      <c r="K1064" s="186">
        <f t="shared" si="66"/>
        <v>45867</v>
      </c>
      <c r="L1064" s="3" t="s">
        <v>2395</v>
      </c>
      <c r="M1064" s="3" t="s">
        <v>2392</v>
      </c>
      <c r="N1064" s="3" t="str">
        <f t="shared" si="69"/>
        <v/>
      </c>
    </row>
    <row r="1065" spans="1:19">
      <c r="A1065" s="3">
        <v>5810</v>
      </c>
      <c r="B1065" s="83">
        <f t="array" ref="B1065">SUM(--(FREQUENCY(IF(C$2:C$3074=C1065, MATCH(D$2:D$3074, D$2:D$3074, 0)), ROW(D$2:D$3074)-ROW(D$2)+1) &gt; 0))</f>
        <v>102</v>
      </c>
      <c r="C1065" s="3">
        <v>41200006</v>
      </c>
      <c r="D1065" s="6" t="s">
        <v>2585</v>
      </c>
      <c r="E1065" s="3" t="s">
        <v>1405</v>
      </c>
      <c r="F1065" s="3" t="s">
        <v>1477</v>
      </c>
      <c r="G1065" s="68" t="str">
        <f t="shared" si="65"/>
        <v>SINGLE</v>
      </c>
      <c r="H1065" s="197">
        <f t="shared" si="64"/>
        <v>31</v>
      </c>
      <c r="I1065" s="197">
        <v>7</v>
      </c>
      <c r="J1065" s="197">
        <v>29</v>
      </c>
      <c r="K1065" s="186">
        <f t="shared" si="66"/>
        <v>45867</v>
      </c>
      <c r="L1065" s="3" t="s">
        <v>2395</v>
      </c>
      <c r="M1065" s="3" t="s">
        <v>2392</v>
      </c>
      <c r="N1065" s="3" t="str">
        <f t="shared" si="69"/>
        <v/>
      </c>
    </row>
    <row r="1066" spans="1:19">
      <c r="A1066" s="3">
        <v>5886</v>
      </c>
      <c r="B1066" s="83">
        <f t="array" ref="B1066">SUM(--(FREQUENCY(IF(C$2:C$3074=C1066, MATCH(D$2:D$3074, D$2:D$3074, 0)), ROW(D$2:D$3074)-ROW(D$2)+1) &gt; 0))</f>
        <v>102</v>
      </c>
      <c r="C1066" s="3">
        <v>41200006</v>
      </c>
      <c r="D1066" s="6" t="s">
        <v>2587</v>
      </c>
      <c r="E1066" s="3" t="s">
        <v>1405</v>
      </c>
      <c r="F1066" s="3" t="s">
        <v>1477</v>
      </c>
      <c r="G1066" s="68" t="str">
        <f t="shared" si="65"/>
        <v>SINGLE</v>
      </c>
      <c r="H1066" s="197">
        <f t="shared" si="64"/>
        <v>31</v>
      </c>
      <c r="I1066" s="197">
        <v>7</v>
      </c>
      <c r="J1066" s="197">
        <v>29</v>
      </c>
      <c r="K1066" s="186">
        <f t="shared" si="66"/>
        <v>45867</v>
      </c>
      <c r="L1066" s="3" t="s">
        <v>2391</v>
      </c>
      <c r="M1066" s="3" t="s">
        <v>1468</v>
      </c>
      <c r="N1066" s="3" t="str">
        <f t="shared" si="69"/>
        <v/>
      </c>
    </row>
    <row r="1067" spans="1:19">
      <c r="A1067" s="3">
        <v>5886</v>
      </c>
      <c r="B1067" s="83">
        <f t="array" ref="B1067">SUM(--(FREQUENCY(IF(C$2:C$3074=C1067, MATCH(D$2:D$3074, D$2:D$3074, 0)), ROW(D$2:D$3074)-ROW(D$2)+1) &gt; 0))</f>
        <v>102</v>
      </c>
      <c r="C1067" s="3">
        <v>41200006</v>
      </c>
      <c r="D1067" s="6" t="s">
        <v>2588</v>
      </c>
      <c r="E1067" s="3" t="s">
        <v>1405</v>
      </c>
      <c r="F1067" s="3" t="s">
        <v>1477</v>
      </c>
      <c r="G1067" s="68" t="str">
        <f t="shared" si="65"/>
        <v>SINGLE</v>
      </c>
      <c r="H1067" s="197">
        <f t="shared" si="64"/>
        <v>31</v>
      </c>
      <c r="I1067" s="197">
        <v>7</v>
      </c>
      <c r="J1067" s="197">
        <v>29</v>
      </c>
      <c r="K1067" s="186">
        <f t="shared" si="66"/>
        <v>45867</v>
      </c>
      <c r="L1067" s="3" t="s">
        <v>2391</v>
      </c>
      <c r="M1067" s="3" t="s">
        <v>1468</v>
      </c>
      <c r="N1067" s="3" t="str">
        <f t="shared" si="69"/>
        <v/>
      </c>
    </row>
    <row r="1068" spans="1:19">
      <c r="A1068" s="3">
        <v>5886</v>
      </c>
      <c r="B1068" s="83">
        <f t="array" ref="B1068">SUM(--(FREQUENCY(IF(C$2:C$3074=C1068, MATCH(D$2:D$3074, D$2:D$3074, 0)), ROW(D$2:D$3074)-ROW(D$2)+1) &gt; 0))</f>
        <v>102</v>
      </c>
      <c r="C1068" s="3">
        <v>41200006</v>
      </c>
      <c r="D1068" s="6" t="s">
        <v>2594</v>
      </c>
      <c r="E1068" s="3" t="s">
        <v>1405</v>
      </c>
      <c r="F1068" s="3" t="s">
        <v>1477</v>
      </c>
      <c r="G1068" s="68" t="str">
        <f t="shared" si="65"/>
        <v>SINGLE</v>
      </c>
      <c r="H1068" s="197">
        <f t="shared" si="64"/>
        <v>31</v>
      </c>
      <c r="I1068" s="197">
        <v>7</v>
      </c>
      <c r="J1068" s="197">
        <v>29</v>
      </c>
      <c r="K1068" s="186">
        <f t="shared" si="66"/>
        <v>45867</v>
      </c>
      <c r="L1068" s="3" t="s">
        <v>2391</v>
      </c>
      <c r="M1068" s="3" t="s">
        <v>1468</v>
      </c>
      <c r="N1068" s="3" t="str">
        <f t="shared" si="69"/>
        <v/>
      </c>
    </row>
    <row r="1069" spans="1:19">
      <c r="A1069" s="3">
        <v>5668</v>
      </c>
      <c r="B1069" s="83">
        <f t="array" ref="B1069">SUM(--(FREQUENCY(IF(C$2:C$3074=C1069, MATCH(D$2:D$3074, D$2:D$3074, 0)), ROW(D$2:D$3074)-ROW(D$2)+1) &gt; 0))</f>
        <v>51</v>
      </c>
      <c r="C1069" s="3">
        <v>41200034</v>
      </c>
      <c r="D1069" s="6" t="s">
        <v>2586</v>
      </c>
      <c r="E1069" s="3" t="s">
        <v>1426</v>
      </c>
      <c r="F1069" s="3" t="s">
        <v>1476</v>
      </c>
      <c r="G1069" s="68" t="str">
        <f t="shared" si="65"/>
        <v>DUAL</v>
      </c>
      <c r="H1069" s="197">
        <f t="shared" si="64"/>
        <v>31</v>
      </c>
      <c r="I1069" s="197">
        <v>7</v>
      </c>
      <c r="J1069" s="197">
        <v>29</v>
      </c>
      <c r="K1069" s="186">
        <f t="shared" si="66"/>
        <v>45867</v>
      </c>
      <c r="L1069" s="3" t="s">
        <v>2395</v>
      </c>
      <c r="M1069" s="3" t="s">
        <v>2392</v>
      </c>
      <c r="N1069" s="3" t="str">
        <f t="shared" si="69"/>
        <v/>
      </c>
    </row>
    <row r="1070" spans="1:19">
      <c r="A1070" s="3">
        <v>5774</v>
      </c>
      <c r="B1070" s="83">
        <f t="array" ref="B1070">SUM(--(FREQUENCY(IF(C$2:C$3074=C1070, MATCH(D$2:D$3074, D$2:D$3074, 0)), ROW(D$2:D$3074)-ROW(D$2)+1) &gt; 0))</f>
        <v>33</v>
      </c>
      <c r="C1070" s="3">
        <v>41100435</v>
      </c>
      <c r="D1070" s="6" t="s">
        <v>2597</v>
      </c>
      <c r="E1070" s="3" t="s">
        <v>1585</v>
      </c>
      <c r="F1070" s="3" t="s">
        <v>1482</v>
      </c>
      <c r="G1070" s="68" t="str">
        <f t="shared" si="65"/>
        <v>SINGLE</v>
      </c>
      <c r="H1070" s="197">
        <f t="shared" si="64"/>
        <v>31</v>
      </c>
      <c r="I1070" s="197">
        <v>7</v>
      </c>
      <c r="J1070" s="197">
        <v>30</v>
      </c>
      <c r="K1070" s="186">
        <f t="shared" si="66"/>
        <v>45868</v>
      </c>
      <c r="L1070" s="3" t="s">
        <v>2395</v>
      </c>
      <c r="M1070" s="3" t="s">
        <v>2392</v>
      </c>
      <c r="N1070" s="3" t="str">
        <f t="shared" si="69"/>
        <v>NG</v>
      </c>
      <c r="O1070" s="3" t="s">
        <v>2368</v>
      </c>
      <c r="P1070" s="3" t="s">
        <v>5088</v>
      </c>
      <c r="Q1070" s="3">
        <v>11002283</v>
      </c>
      <c r="R1070" s="3" t="s">
        <v>932</v>
      </c>
      <c r="S1070" s="3" t="s">
        <v>5102</v>
      </c>
    </row>
    <row r="1071" spans="1:19">
      <c r="A1071" s="3">
        <v>5776</v>
      </c>
      <c r="B1071" s="83">
        <f t="array" ref="B1071">SUM(--(FREQUENCY(IF(C$2:C$3074=C1071, MATCH(D$2:D$3074, D$2:D$3074, 0)), ROW(D$2:D$3074)-ROW(D$2)+1) &gt; 0))</f>
        <v>14</v>
      </c>
      <c r="C1071" s="3">
        <v>41100502</v>
      </c>
      <c r="D1071" s="6" t="s">
        <v>2598</v>
      </c>
      <c r="E1071" s="3" t="s">
        <v>1585</v>
      </c>
      <c r="F1071" s="3" t="s">
        <v>1591</v>
      </c>
      <c r="G1071" s="68" t="str">
        <f t="shared" si="65"/>
        <v>SINGLE</v>
      </c>
      <c r="H1071" s="197">
        <f t="shared" si="64"/>
        <v>31</v>
      </c>
      <c r="I1071" s="197">
        <v>7</v>
      </c>
      <c r="J1071" s="197">
        <v>30</v>
      </c>
      <c r="K1071" s="186">
        <f t="shared" si="66"/>
        <v>45868</v>
      </c>
      <c r="L1071" s="3" t="s">
        <v>2395</v>
      </c>
      <c r="M1071" s="3" t="s">
        <v>2392</v>
      </c>
      <c r="N1071" s="3" t="str">
        <f t="shared" si="69"/>
        <v/>
      </c>
    </row>
    <row r="1072" spans="1:19">
      <c r="A1072" s="3">
        <v>5776</v>
      </c>
      <c r="B1072" s="83">
        <f t="array" ref="B1072">SUM(--(FREQUENCY(IF(C$2:C$3074=C1072, MATCH(D$2:D$3074, D$2:D$3074, 0)), ROW(D$2:D$3074)-ROW(D$2)+1) &gt; 0))</f>
        <v>14</v>
      </c>
      <c r="C1072" s="3">
        <v>41100502</v>
      </c>
      <c r="D1072" s="6" t="s">
        <v>2599</v>
      </c>
      <c r="E1072" s="3" t="s">
        <v>1585</v>
      </c>
      <c r="F1072" s="3" t="s">
        <v>1591</v>
      </c>
      <c r="G1072" s="68" t="str">
        <f t="shared" si="65"/>
        <v>SINGLE</v>
      </c>
      <c r="H1072" s="197">
        <f t="shared" si="64"/>
        <v>31</v>
      </c>
      <c r="I1072" s="197">
        <v>7</v>
      </c>
      <c r="J1072" s="197">
        <v>30</v>
      </c>
      <c r="K1072" s="186">
        <f t="shared" si="66"/>
        <v>45868</v>
      </c>
      <c r="L1072" s="3" t="s">
        <v>2395</v>
      </c>
      <c r="M1072" s="3" t="s">
        <v>2392</v>
      </c>
      <c r="N1072" s="3" t="str">
        <f t="shared" si="69"/>
        <v/>
      </c>
    </row>
    <row r="1073" spans="1:19">
      <c r="A1073" s="3">
        <v>5880</v>
      </c>
      <c r="B1073" s="83">
        <f t="array" ref="B1073">SUM(--(FREQUENCY(IF(C$2:C$3074=C1073, MATCH(D$2:D$3074, D$2:D$3074, 0)), ROW(D$2:D$3074)-ROW(D$2)+1) &gt; 0))</f>
        <v>32</v>
      </c>
      <c r="C1073" s="3">
        <v>41200127</v>
      </c>
      <c r="D1073" s="6" t="s">
        <v>2605</v>
      </c>
      <c r="E1073" s="3" t="s">
        <v>1431</v>
      </c>
      <c r="F1073" s="3" t="s">
        <v>1591</v>
      </c>
      <c r="G1073" s="68" t="str">
        <f t="shared" si="65"/>
        <v>SINGLE</v>
      </c>
      <c r="H1073" s="197">
        <f t="shared" si="64"/>
        <v>31</v>
      </c>
      <c r="I1073" s="197">
        <v>7</v>
      </c>
      <c r="J1073" s="197">
        <v>30</v>
      </c>
      <c r="K1073" s="186">
        <f t="shared" si="66"/>
        <v>45868</v>
      </c>
      <c r="L1073" s="3" t="s">
        <v>2391</v>
      </c>
      <c r="M1073" s="3" t="s">
        <v>1468</v>
      </c>
      <c r="N1073" s="3" t="str">
        <f t="shared" si="69"/>
        <v/>
      </c>
    </row>
    <row r="1074" spans="1:19">
      <c r="A1074" s="3">
        <v>5891</v>
      </c>
      <c r="B1074" s="83">
        <f t="array" ref="B1074">SUM(--(FREQUENCY(IF(C$2:C$3074=C1074, MATCH(D$2:D$3074, D$2:D$3074, 0)), ROW(D$2:D$3074)-ROW(D$2)+1) &gt; 0))</f>
        <v>19</v>
      </c>
      <c r="C1074" s="3">
        <v>41200124</v>
      </c>
      <c r="D1074" s="6" t="s">
        <v>2596</v>
      </c>
      <c r="E1074" s="3" t="s">
        <v>1585</v>
      </c>
      <c r="F1074" s="3" t="s">
        <v>1476</v>
      </c>
      <c r="G1074" s="68" t="str">
        <f t="shared" si="65"/>
        <v>DUAL</v>
      </c>
      <c r="H1074" s="197">
        <f t="shared" si="64"/>
        <v>31</v>
      </c>
      <c r="I1074" s="197">
        <v>7</v>
      </c>
      <c r="J1074" s="197">
        <v>30</v>
      </c>
      <c r="K1074" s="186">
        <f t="shared" si="66"/>
        <v>45868</v>
      </c>
      <c r="L1074" s="3" t="s">
        <v>2395</v>
      </c>
      <c r="M1074" s="3" t="s">
        <v>2392</v>
      </c>
      <c r="N1074" s="3" t="str">
        <f t="shared" si="69"/>
        <v>NG</v>
      </c>
      <c r="O1074" s="3" t="s">
        <v>2368</v>
      </c>
      <c r="P1074" s="3" t="s">
        <v>5088</v>
      </c>
      <c r="Q1074" s="3">
        <v>11002737</v>
      </c>
      <c r="R1074" s="3" t="s">
        <v>735</v>
      </c>
      <c r="S1074" s="3" t="s">
        <v>5111</v>
      </c>
    </row>
    <row r="1075" spans="1:19">
      <c r="A1075" s="3">
        <v>5871</v>
      </c>
      <c r="B1075" s="83">
        <f t="array" ref="B1075">SUM(--(FREQUENCY(IF(C$2:C$3074=C1075, MATCH(D$2:D$3074, D$2:D$3074, 0)), ROW(D$2:D$3074)-ROW(D$2)+1) &gt; 0))</f>
        <v>19</v>
      </c>
      <c r="C1075" s="3">
        <v>41200124</v>
      </c>
      <c r="D1075" s="6" t="s">
        <v>2600</v>
      </c>
      <c r="E1075" s="3" t="s">
        <v>1585</v>
      </c>
      <c r="F1075" s="3" t="s">
        <v>1476</v>
      </c>
      <c r="G1075" s="68" t="str">
        <f t="shared" si="65"/>
        <v>DUAL</v>
      </c>
      <c r="H1075" s="197">
        <f t="shared" si="64"/>
        <v>31</v>
      </c>
      <c r="I1075" s="197">
        <v>7</v>
      </c>
      <c r="J1075" s="197">
        <v>30</v>
      </c>
      <c r="K1075" s="186">
        <f t="shared" si="66"/>
        <v>45868</v>
      </c>
      <c r="L1075" s="3" t="s">
        <v>2391</v>
      </c>
      <c r="M1075" s="3" t="s">
        <v>1468</v>
      </c>
      <c r="N1075" s="3" t="str">
        <f t="shared" si="69"/>
        <v/>
      </c>
    </row>
    <row r="1076" spans="1:19">
      <c r="A1076" s="3">
        <v>5871</v>
      </c>
      <c r="B1076" s="83">
        <f t="array" ref="B1076">SUM(--(FREQUENCY(IF(C$2:C$3074=C1076, MATCH(D$2:D$3074, D$2:D$3074, 0)), ROW(D$2:D$3074)-ROW(D$2)+1) &gt; 0))</f>
        <v>19</v>
      </c>
      <c r="C1076" s="3">
        <v>41200124</v>
      </c>
      <c r="D1076" s="6" t="s">
        <v>2601</v>
      </c>
      <c r="E1076" s="3" t="s">
        <v>1585</v>
      </c>
      <c r="F1076" s="3" t="s">
        <v>1476</v>
      </c>
      <c r="G1076" s="68" t="str">
        <f t="shared" si="65"/>
        <v>DUAL</v>
      </c>
      <c r="H1076" s="197">
        <f t="shared" si="64"/>
        <v>31</v>
      </c>
      <c r="I1076" s="197">
        <v>7</v>
      </c>
      <c r="J1076" s="197">
        <v>30</v>
      </c>
      <c r="K1076" s="186">
        <f t="shared" si="66"/>
        <v>45868</v>
      </c>
      <c r="L1076" s="3" t="s">
        <v>2391</v>
      </c>
      <c r="M1076" s="3" t="s">
        <v>1468</v>
      </c>
      <c r="N1076" s="3" t="str">
        <f t="shared" si="69"/>
        <v/>
      </c>
    </row>
    <row r="1077" spans="1:19">
      <c r="A1077" s="3">
        <v>5846</v>
      </c>
      <c r="B1077" s="83">
        <f t="array" ref="B1077">SUM(--(FREQUENCY(IF(C$2:C$3074=C1077, MATCH(D$2:D$3074, D$2:D$3074, 0)), ROW(D$2:D$3074)-ROW(D$2)+1) &gt; 0))</f>
        <v>4</v>
      </c>
      <c r="C1077" s="3">
        <v>41100448</v>
      </c>
      <c r="D1077" s="6" t="s">
        <v>2606</v>
      </c>
      <c r="E1077" s="3" t="s">
        <v>1585</v>
      </c>
      <c r="F1077" s="3" t="s">
        <v>1591</v>
      </c>
      <c r="G1077" s="68" t="str">
        <f t="shared" si="65"/>
        <v>SINGLE</v>
      </c>
      <c r="H1077" s="197">
        <f t="shared" si="64"/>
        <v>31</v>
      </c>
      <c r="I1077" s="197">
        <v>7</v>
      </c>
      <c r="J1077" s="197">
        <v>31</v>
      </c>
      <c r="K1077" s="186">
        <f t="shared" si="66"/>
        <v>45869</v>
      </c>
      <c r="L1077" s="3" t="s">
        <v>2391</v>
      </c>
      <c r="M1077" s="3" t="s">
        <v>2392</v>
      </c>
      <c r="N1077" s="3" t="str">
        <f t="shared" si="69"/>
        <v/>
      </c>
    </row>
    <row r="1078" spans="1:19">
      <c r="A1078" s="3">
        <v>5846</v>
      </c>
      <c r="B1078" s="83">
        <f t="array" ref="B1078">SUM(--(FREQUENCY(IF(C$2:C$3074=C1078, MATCH(D$2:D$3074, D$2:D$3074, 0)), ROW(D$2:D$3074)-ROW(D$2)+1) &gt; 0))</f>
        <v>4</v>
      </c>
      <c r="C1078" s="3">
        <v>41100448</v>
      </c>
      <c r="D1078" s="6" t="s">
        <v>2607</v>
      </c>
      <c r="E1078" s="3" t="s">
        <v>1585</v>
      </c>
      <c r="F1078" s="3" t="s">
        <v>1591</v>
      </c>
      <c r="G1078" s="68" t="str">
        <f t="shared" si="65"/>
        <v>SINGLE</v>
      </c>
      <c r="H1078" s="197">
        <f t="shared" si="64"/>
        <v>31</v>
      </c>
      <c r="I1078" s="197">
        <v>7</v>
      </c>
      <c r="J1078" s="197">
        <v>31</v>
      </c>
      <c r="K1078" s="186">
        <f t="shared" si="66"/>
        <v>45869</v>
      </c>
      <c r="L1078" s="3" t="s">
        <v>2391</v>
      </c>
      <c r="M1078" s="3" t="s">
        <v>2392</v>
      </c>
      <c r="N1078" s="3" t="str">
        <f t="shared" si="69"/>
        <v/>
      </c>
    </row>
    <row r="1079" spans="1:19">
      <c r="A1079" s="3">
        <v>5822</v>
      </c>
      <c r="B1079" s="83">
        <f t="array" ref="B1079">SUM(--(FREQUENCY(IF(C$2:C$3074=C1079, MATCH(D$2:D$3074, D$2:D$3074, 0)), ROW(D$2:D$3074)-ROW(D$2)+1) &gt; 0))</f>
        <v>102</v>
      </c>
      <c r="C1079" s="3">
        <v>41200006</v>
      </c>
      <c r="D1079" s="6" t="s">
        <v>2608</v>
      </c>
      <c r="E1079" s="3" t="s">
        <v>1405</v>
      </c>
      <c r="F1079" s="3" t="s">
        <v>1477</v>
      </c>
      <c r="G1079" s="68" t="str">
        <f t="shared" si="65"/>
        <v>SINGLE</v>
      </c>
      <c r="H1079" s="197">
        <f t="shared" si="64"/>
        <v>31</v>
      </c>
      <c r="I1079" s="197">
        <v>7</v>
      </c>
      <c r="J1079" s="197">
        <v>31</v>
      </c>
      <c r="K1079" s="186">
        <f t="shared" si="66"/>
        <v>45869</v>
      </c>
      <c r="L1079" s="3" t="s">
        <v>2395</v>
      </c>
      <c r="M1079" s="3" t="s">
        <v>2392</v>
      </c>
      <c r="N1079" s="3" t="str">
        <f t="shared" si="69"/>
        <v/>
      </c>
    </row>
    <row r="1080" spans="1:19">
      <c r="A1080" s="3">
        <v>5837</v>
      </c>
      <c r="B1080" s="83">
        <f t="array" ref="B1080">SUM(--(FREQUENCY(IF(C$2:C$3074=C1080, MATCH(D$2:D$3074, D$2:D$3074, 0)), ROW(D$2:D$3074)-ROW(D$2)+1) &gt; 0))</f>
        <v>51</v>
      </c>
      <c r="C1080" s="3">
        <v>41200034</v>
      </c>
      <c r="D1080" s="6" t="s">
        <v>2611</v>
      </c>
      <c r="E1080" s="3" t="s">
        <v>1426</v>
      </c>
      <c r="F1080" s="3" t="s">
        <v>1476</v>
      </c>
      <c r="G1080" s="41" t="str">
        <f t="shared" si="65"/>
        <v>DUAL</v>
      </c>
      <c r="H1080" s="197">
        <f t="shared" si="64"/>
        <v>31</v>
      </c>
      <c r="I1080" s="197">
        <v>7</v>
      </c>
      <c r="J1080" s="197">
        <v>31</v>
      </c>
      <c r="K1080" s="186">
        <f t="shared" si="66"/>
        <v>45869</v>
      </c>
      <c r="L1080" s="3" t="s">
        <v>2395</v>
      </c>
      <c r="M1080" s="3" t="s">
        <v>2392</v>
      </c>
      <c r="N1080" s="3" t="str">
        <f t="shared" si="69"/>
        <v>NG</v>
      </c>
      <c r="O1080" s="3" t="s">
        <v>2368</v>
      </c>
      <c r="P1080" s="3" t="s">
        <v>5112</v>
      </c>
      <c r="Q1080" s="3">
        <v>11002615</v>
      </c>
      <c r="R1080" s="3" t="s">
        <v>753</v>
      </c>
      <c r="S1080" s="3" t="s">
        <v>5113</v>
      </c>
    </row>
    <row r="1081" spans="1:19">
      <c r="A1081" s="3">
        <v>5837</v>
      </c>
      <c r="B1081" s="83">
        <f t="array" ref="B1081">SUM(--(FREQUENCY(IF(C$2:C$3074=C1081, MATCH(D$2:D$3074, D$2:D$3074, 0)), ROW(D$2:D$3074)-ROW(D$2)+1) &gt; 0))</f>
        <v>51</v>
      </c>
      <c r="C1081" s="3">
        <v>41200034</v>
      </c>
      <c r="D1081" s="6" t="s">
        <v>2611</v>
      </c>
      <c r="E1081" s="3" t="s">
        <v>1426</v>
      </c>
      <c r="F1081" s="3" t="s">
        <v>1476</v>
      </c>
      <c r="G1081" s="41" t="str">
        <f t="shared" si="65"/>
        <v>DUAL</v>
      </c>
      <c r="H1081" s="197">
        <f t="shared" ref="H1081" si="70">WEEKNUM(K1081)</f>
        <v>31</v>
      </c>
      <c r="I1081" s="197">
        <v>7</v>
      </c>
      <c r="J1081" s="197">
        <v>31</v>
      </c>
      <c r="K1081" s="186">
        <f t="shared" si="66"/>
        <v>45869</v>
      </c>
      <c r="L1081" s="3" t="s">
        <v>2395</v>
      </c>
      <c r="M1081" s="3" t="s">
        <v>2392</v>
      </c>
      <c r="N1081" s="3" t="str">
        <f t="shared" si="69"/>
        <v>NG</v>
      </c>
      <c r="O1081" s="3" t="s">
        <v>2368</v>
      </c>
      <c r="P1081" s="3" t="s">
        <v>5112</v>
      </c>
      <c r="Q1081" s="3">
        <v>11002615</v>
      </c>
      <c r="R1081" s="3" t="s">
        <v>753</v>
      </c>
      <c r="S1081" s="3" t="s">
        <v>5113</v>
      </c>
    </row>
    <row r="1082" spans="1:19">
      <c r="A1082" s="3">
        <v>5837</v>
      </c>
      <c r="B1082" s="83">
        <f t="array" ref="B1082">SUM(--(FREQUENCY(IF(C$2:C$3074=C1082, MATCH(D$2:D$3074, D$2:D$3074, 0)), ROW(D$2:D$3074)-ROW(D$2)+1) &gt; 0))</f>
        <v>51</v>
      </c>
      <c r="C1082" s="3">
        <v>41200034</v>
      </c>
      <c r="D1082" s="6" t="s">
        <v>2611</v>
      </c>
      <c r="E1082" s="3" t="s">
        <v>1426</v>
      </c>
      <c r="F1082" s="3" t="s">
        <v>1476</v>
      </c>
      <c r="G1082" s="41" t="str">
        <f t="shared" si="65"/>
        <v>DUAL</v>
      </c>
      <c r="H1082" s="197">
        <f t="shared" ref="H1082" si="71">WEEKNUM(K1082)</f>
        <v>31</v>
      </c>
      <c r="I1082" s="197">
        <v>7</v>
      </c>
      <c r="J1082" s="197">
        <v>31</v>
      </c>
      <c r="K1082" s="186">
        <f t="shared" si="66"/>
        <v>45869</v>
      </c>
      <c r="L1082" s="3" t="s">
        <v>2395</v>
      </c>
      <c r="M1082" s="3" t="s">
        <v>2392</v>
      </c>
      <c r="N1082" s="3" t="str">
        <f t="shared" si="69"/>
        <v>NG</v>
      </c>
      <c r="O1082" s="3" t="s">
        <v>2368</v>
      </c>
      <c r="P1082" s="3" t="s">
        <v>5088</v>
      </c>
      <c r="Q1082" s="3">
        <v>11002566</v>
      </c>
      <c r="R1082" s="3" t="s">
        <v>1151</v>
      </c>
      <c r="S1082" s="3" t="s">
        <v>5114</v>
      </c>
    </row>
    <row r="1083" spans="1:19">
      <c r="A1083" s="3">
        <v>5837</v>
      </c>
      <c r="B1083" s="83">
        <f t="array" ref="B1083">SUM(--(FREQUENCY(IF(C$2:C$3074=C1083, MATCH(D$2:D$3074, D$2:D$3074, 0)), ROW(D$2:D$3074)-ROW(D$2)+1) &gt; 0))</f>
        <v>51</v>
      </c>
      <c r="C1083" s="3">
        <v>41200034</v>
      </c>
      <c r="D1083" s="6" t="s">
        <v>2611</v>
      </c>
      <c r="E1083" s="3" t="s">
        <v>1426</v>
      </c>
      <c r="F1083" s="3" t="s">
        <v>1476</v>
      </c>
      <c r="G1083" s="41" t="str">
        <f t="shared" si="65"/>
        <v>DUAL</v>
      </c>
      <c r="H1083" s="197">
        <f t="shared" ref="H1083" si="72">WEEKNUM(K1083)</f>
        <v>31</v>
      </c>
      <c r="I1083" s="197">
        <v>7</v>
      </c>
      <c r="J1083" s="197">
        <v>31</v>
      </c>
      <c r="K1083" s="186">
        <f t="shared" si="66"/>
        <v>45869</v>
      </c>
      <c r="L1083" s="3" t="s">
        <v>2395</v>
      </c>
      <c r="M1083" s="3" t="s">
        <v>2392</v>
      </c>
      <c r="N1083" s="3" t="str">
        <f t="shared" si="69"/>
        <v>NG</v>
      </c>
      <c r="O1083" s="3" t="s">
        <v>2368</v>
      </c>
      <c r="P1083" s="3" t="s">
        <v>5088</v>
      </c>
      <c r="Q1083" s="3">
        <v>11002737</v>
      </c>
      <c r="R1083" s="3" t="s">
        <v>735</v>
      </c>
      <c r="S1083" s="3" t="s">
        <v>5115</v>
      </c>
    </row>
    <row r="1084" spans="1:19">
      <c r="A1084" s="3">
        <v>5870</v>
      </c>
      <c r="B1084" s="83">
        <f t="array" ref="B1084">SUM(--(FREQUENCY(IF(C$2:C$3074=C1084, MATCH(D$2:D$3074, D$2:D$3074, 0)), ROW(D$2:D$3074)-ROW(D$2)+1) &gt; 0))</f>
        <v>51</v>
      </c>
      <c r="C1084" s="3">
        <v>41200034</v>
      </c>
      <c r="D1084" s="6" t="s">
        <v>2612</v>
      </c>
      <c r="E1084" s="3" t="s">
        <v>1426</v>
      </c>
      <c r="F1084" s="3" t="s">
        <v>1476</v>
      </c>
      <c r="G1084" s="68" t="str">
        <f t="shared" si="65"/>
        <v>DUAL</v>
      </c>
      <c r="H1084" s="197">
        <f t="shared" si="64"/>
        <v>31</v>
      </c>
      <c r="I1084" s="197">
        <v>7</v>
      </c>
      <c r="J1084" s="197">
        <v>31</v>
      </c>
      <c r="K1084" s="186">
        <f t="shared" si="66"/>
        <v>45869</v>
      </c>
      <c r="L1084" s="3" t="s">
        <v>2391</v>
      </c>
      <c r="M1084" s="3" t="s">
        <v>2392</v>
      </c>
      <c r="N1084" s="3" t="str">
        <f t="shared" si="69"/>
        <v/>
      </c>
    </row>
    <row r="1085" spans="1:19">
      <c r="A1085" s="3">
        <v>5821</v>
      </c>
      <c r="B1085" s="83">
        <f t="array" ref="B1085">SUM(--(FREQUENCY(IF(C$2:C$3074=C1085, MATCH(D$2:D$3074, D$2:D$3074, 0)), ROW(D$2:D$3074)-ROW(D$2)+1) &gt; 0))</f>
        <v>26</v>
      </c>
      <c r="C1085" s="3">
        <v>41200074</v>
      </c>
      <c r="D1085" s="6" t="s">
        <v>2613</v>
      </c>
      <c r="E1085" s="3" t="s">
        <v>1405</v>
      </c>
      <c r="F1085" s="3" t="s">
        <v>1478</v>
      </c>
      <c r="G1085" s="68" t="str">
        <f t="shared" si="65"/>
        <v>DUAL</v>
      </c>
      <c r="H1085" s="197">
        <f>WEEKNUM(K1085)</f>
        <v>31</v>
      </c>
      <c r="I1085" s="197">
        <v>7</v>
      </c>
      <c r="J1085" s="197">
        <v>31</v>
      </c>
      <c r="K1085" s="186">
        <f t="shared" si="66"/>
        <v>45869</v>
      </c>
      <c r="L1085" s="3" t="s">
        <v>2395</v>
      </c>
      <c r="M1085" s="3" t="s">
        <v>1469</v>
      </c>
      <c r="N1085" s="3" t="str">
        <f t="shared" si="69"/>
        <v/>
      </c>
    </row>
    <row r="1086" spans="1:19">
      <c r="A1086" s="3">
        <v>5862</v>
      </c>
      <c r="B1086" s="83">
        <f t="array" ref="B1086">SUM(--(FREQUENCY(IF(C$2:C$3074=C1086, MATCH(D$2:D$3074, D$2:D$3074, 0)), ROW(D$2:D$3074)-ROW(D$2)+1) &gt; 0))</f>
        <v>14</v>
      </c>
      <c r="C1086" s="3">
        <v>41200129</v>
      </c>
      <c r="D1086" s="6" t="s">
        <v>2614</v>
      </c>
      <c r="E1086" s="3" t="s">
        <v>1431</v>
      </c>
      <c r="F1086" s="3" t="s">
        <v>1591</v>
      </c>
      <c r="G1086" s="68" t="str">
        <f t="shared" si="65"/>
        <v>SINGLE</v>
      </c>
      <c r="H1086" s="197">
        <f>WEEKNUM(K1086)</f>
        <v>31</v>
      </c>
      <c r="I1086" s="197">
        <v>8</v>
      </c>
      <c r="J1086" s="197">
        <v>1</v>
      </c>
      <c r="K1086" s="186">
        <f t="shared" si="66"/>
        <v>45870</v>
      </c>
      <c r="L1086" s="3" t="s">
        <v>2395</v>
      </c>
      <c r="M1086" s="3" t="s">
        <v>2392</v>
      </c>
      <c r="N1086" s="3" t="str">
        <f t="shared" si="69"/>
        <v/>
      </c>
    </row>
    <row r="1087" spans="1:19">
      <c r="A1087" s="3">
        <v>5841</v>
      </c>
      <c r="B1087" s="83">
        <f t="array" ref="B1087">SUM(--(FREQUENCY(IF(C$2:C$3074=C1087, MATCH(D$2:D$3074, D$2:D$3074, 0)), ROW(D$2:D$3074)-ROW(D$2)+1) &gt; 0))</f>
        <v>10</v>
      </c>
      <c r="C1087" s="3">
        <v>41100317</v>
      </c>
      <c r="D1087" s="6" t="s">
        <v>2615</v>
      </c>
      <c r="E1087" s="3" t="s">
        <v>1585</v>
      </c>
      <c r="F1087" s="3" t="s">
        <v>1476</v>
      </c>
      <c r="G1087" s="68" t="str">
        <f t="shared" si="65"/>
        <v>DUAL</v>
      </c>
      <c r="H1087" s="197">
        <f t="shared" ref="H1087:H1150" si="73">WEEKNUM(K1087)</f>
        <v>31</v>
      </c>
      <c r="I1087" s="197">
        <v>8</v>
      </c>
      <c r="J1087" s="197">
        <v>1</v>
      </c>
      <c r="K1087" s="186">
        <f t="shared" ref="K1087:K1094" si="74">DATE(2025, I1087, J1087)</f>
        <v>45870</v>
      </c>
      <c r="L1087" s="3" t="s">
        <v>2391</v>
      </c>
      <c r="M1087" s="3" t="s">
        <v>2392</v>
      </c>
      <c r="N1087" s="3" t="str">
        <f t="shared" si="69"/>
        <v/>
      </c>
    </row>
    <row r="1088" spans="1:19">
      <c r="A1088" s="3">
        <v>5822</v>
      </c>
      <c r="B1088" s="83">
        <f t="array" ref="B1088">SUM(--(FREQUENCY(IF(C$2:C$3074=C1088, MATCH(D$2:D$3074, D$2:D$3074, 0)), ROW(D$2:D$3074)-ROW(D$2)+1) &gt; 0))</f>
        <v>102</v>
      </c>
      <c r="C1088" s="3">
        <v>41200006</v>
      </c>
      <c r="D1088" s="6" t="s">
        <v>2622</v>
      </c>
      <c r="E1088" s="3" t="s">
        <v>1405</v>
      </c>
      <c r="F1088" s="3" t="s">
        <v>1477</v>
      </c>
      <c r="G1088" s="68" t="str">
        <f t="shared" si="65"/>
        <v>SINGLE</v>
      </c>
      <c r="H1088" s="197">
        <f t="shared" si="73"/>
        <v>31</v>
      </c>
      <c r="I1088" s="197">
        <v>8</v>
      </c>
      <c r="J1088" s="197">
        <v>1</v>
      </c>
      <c r="K1088" s="186">
        <f t="shared" si="74"/>
        <v>45870</v>
      </c>
      <c r="L1088" s="3" t="s">
        <v>2395</v>
      </c>
      <c r="M1088" s="3" t="s">
        <v>2392</v>
      </c>
      <c r="N1088" s="3" t="str">
        <f t="shared" si="69"/>
        <v/>
      </c>
    </row>
    <row r="1089" spans="1:19">
      <c r="A1089" s="3">
        <v>5869</v>
      </c>
      <c r="B1089" s="83">
        <f t="array" ref="B1089">SUM(--(FREQUENCY(IF(C$2:C$3074=C1089, MATCH(D$2:D$3074, D$2:D$3074, 0)), ROW(D$2:D$3074)-ROW(D$2)+1) &gt; 0))</f>
        <v>21</v>
      </c>
      <c r="C1089" s="3">
        <v>41200036</v>
      </c>
      <c r="D1089" s="6" t="s">
        <v>2623</v>
      </c>
      <c r="E1089" s="3" t="s">
        <v>1426</v>
      </c>
      <c r="F1089" s="3" t="s">
        <v>1476</v>
      </c>
      <c r="G1089" s="68" t="str">
        <f t="shared" si="65"/>
        <v>DUAL</v>
      </c>
      <c r="H1089" s="197">
        <f t="shared" si="73"/>
        <v>31</v>
      </c>
      <c r="I1089" s="197">
        <v>8</v>
      </c>
      <c r="J1089" s="197">
        <v>1</v>
      </c>
      <c r="K1089" s="186">
        <f t="shared" si="74"/>
        <v>45870</v>
      </c>
      <c r="L1089" s="3" t="s">
        <v>2391</v>
      </c>
      <c r="M1089" s="3" t="s">
        <v>1468</v>
      </c>
      <c r="N1089" s="3" t="str">
        <f t="shared" si="69"/>
        <v/>
      </c>
    </row>
    <row r="1090" spans="1:19">
      <c r="A1090" s="3">
        <v>5899</v>
      </c>
      <c r="B1090" s="83">
        <f t="array" ref="B1090">SUM(--(FREQUENCY(IF(C$2:C$3074=C1090, MATCH(D$2:D$3074, D$2:D$3074, 0)), ROW(D$2:D$3074)-ROW(D$2)+1) &gt; 0))</f>
        <v>1</v>
      </c>
      <c r="C1090" s="3">
        <v>41200162</v>
      </c>
      <c r="D1090" s="6" t="s">
        <v>2624</v>
      </c>
      <c r="E1090" s="3" t="s">
        <v>1394</v>
      </c>
      <c r="F1090" s="3" t="s">
        <v>1479</v>
      </c>
      <c r="G1090" s="68" t="str">
        <f t="shared" ref="G1090:G1153" si="75">IF(OR(ISNUMBER(SEARCH("DUAL",F1090)), ISNUMBER(SEARCH("IVAS",F1090))), "DUAL", "SINGLE")</f>
        <v>SINGLE</v>
      </c>
      <c r="H1090" s="197">
        <f t="shared" si="73"/>
        <v>31</v>
      </c>
      <c r="I1090" s="197">
        <v>8</v>
      </c>
      <c r="J1090" s="197">
        <v>1</v>
      </c>
      <c r="K1090" s="186">
        <f t="shared" si="74"/>
        <v>45870</v>
      </c>
      <c r="L1090" s="3" t="s">
        <v>2395</v>
      </c>
      <c r="M1090" s="3" t="s">
        <v>1469</v>
      </c>
      <c r="N1090" s="3" t="str">
        <f t="shared" si="69"/>
        <v/>
      </c>
    </row>
    <row r="1091" spans="1:19">
      <c r="A1091" s="3">
        <v>5900</v>
      </c>
      <c r="B1091" s="83">
        <f t="array" ref="B1091">SUM(--(FREQUENCY(IF(C$2:C$3074=C1091, MATCH(D$2:D$3074, D$2:D$3074, 0)), ROW(D$2:D$3074)-ROW(D$2)+1) &gt; 0))</f>
        <v>1</v>
      </c>
      <c r="C1091" s="3">
        <v>41200163</v>
      </c>
      <c r="D1091" s="6" t="s">
        <v>2625</v>
      </c>
      <c r="E1091" s="3" t="s">
        <v>1394</v>
      </c>
      <c r="F1091" s="3" t="s">
        <v>1479</v>
      </c>
      <c r="G1091" s="68" t="str">
        <f t="shared" si="75"/>
        <v>SINGLE</v>
      </c>
      <c r="H1091" s="197">
        <f t="shared" si="73"/>
        <v>31</v>
      </c>
      <c r="I1091" s="197">
        <v>8</v>
      </c>
      <c r="J1091" s="197">
        <v>1</v>
      </c>
      <c r="K1091" s="186">
        <f t="shared" si="74"/>
        <v>45870</v>
      </c>
      <c r="L1091" s="3" t="s">
        <v>2395</v>
      </c>
      <c r="M1091" s="3" t="s">
        <v>1469</v>
      </c>
      <c r="N1091" s="3" t="str">
        <f t="shared" si="69"/>
        <v/>
      </c>
    </row>
    <row r="1092" spans="1:19">
      <c r="A1092" s="3">
        <v>5837</v>
      </c>
      <c r="B1092" s="83">
        <f t="array" ref="B1092">SUM(--(FREQUENCY(IF(C$2:C$3074=C1092, MATCH(D$2:D$3074, D$2:D$3074, 0)), ROW(D$2:D$3074)-ROW(D$2)+1) &gt; 0))</f>
        <v>51</v>
      </c>
      <c r="C1092" s="3">
        <v>41200034</v>
      </c>
      <c r="D1092" s="6" t="s">
        <v>2626</v>
      </c>
      <c r="E1092" s="3" t="s">
        <v>1426</v>
      </c>
      <c r="F1092" s="3" t="s">
        <v>1476</v>
      </c>
      <c r="G1092" s="68" t="str">
        <f t="shared" si="75"/>
        <v>DUAL</v>
      </c>
      <c r="H1092" s="197">
        <f t="shared" si="73"/>
        <v>31</v>
      </c>
      <c r="I1092" s="197">
        <v>8</v>
      </c>
      <c r="J1092" s="197">
        <v>1</v>
      </c>
      <c r="K1092" s="186">
        <f t="shared" si="74"/>
        <v>45870</v>
      </c>
      <c r="L1092" s="3" t="s">
        <v>2395</v>
      </c>
      <c r="M1092" s="3" t="s">
        <v>1469</v>
      </c>
      <c r="N1092" s="3" t="str">
        <f t="shared" si="69"/>
        <v>NG</v>
      </c>
      <c r="O1092" s="3" t="s">
        <v>2368</v>
      </c>
      <c r="P1092" s="3" t="s">
        <v>5088</v>
      </c>
      <c r="Q1092" s="3">
        <v>11002283</v>
      </c>
      <c r="R1092" s="3" t="s">
        <v>932</v>
      </c>
      <c r="S1092" s="3" t="s">
        <v>5102</v>
      </c>
    </row>
    <row r="1093" spans="1:19">
      <c r="A1093" s="3">
        <v>5888</v>
      </c>
      <c r="B1093" s="83">
        <f t="array" ref="B1093">SUM(--(FREQUENCY(IF(C$2:C$3074=C1093, MATCH(D$2:D$3074, D$2:D$3074, 0)), ROW(D$2:D$3074)-ROW(D$2)+1) &gt; 0))</f>
        <v>25</v>
      </c>
      <c r="C1093" s="3">
        <v>41200128</v>
      </c>
      <c r="D1093" s="6" t="s">
        <v>2627</v>
      </c>
      <c r="E1093" s="3" t="s">
        <v>1431</v>
      </c>
      <c r="F1093" s="3" t="s">
        <v>1591</v>
      </c>
      <c r="G1093" s="68" t="str">
        <f t="shared" si="75"/>
        <v>SINGLE</v>
      </c>
      <c r="H1093" s="197">
        <f>WEEKNUM(K1093)</f>
        <v>32</v>
      </c>
      <c r="I1093" s="197">
        <v>8</v>
      </c>
      <c r="J1093" s="197">
        <v>4</v>
      </c>
      <c r="K1093" s="186">
        <f>DATE(2025, I1093, J1093)</f>
        <v>45873</v>
      </c>
      <c r="L1093" s="3" t="s">
        <v>2395</v>
      </c>
      <c r="M1093" s="3" t="s">
        <v>2392</v>
      </c>
      <c r="N1093" s="3" t="str">
        <f t="shared" si="69"/>
        <v/>
      </c>
    </row>
    <row r="1094" spans="1:19">
      <c r="A1094" s="3">
        <v>5787</v>
      </c>
      <c r="B1094" s="83">
        <f t="array" ref="B1094">SUM(--(FREQUENCY(IF(C$2:C$3074=C1094, MATCH(D$2:D$3074, D$2:D$3074, 0)), ROW(D$2:D$3074)-ROW(D$2)+1) &gt; 0))</f>
        <v>51</v>
      </c>
      <c r="C1094" s="3">
        <v>41200034</v>
      </c>
      <c r="D1094" s="6" t="s">
        <v>2628</v>
      </c>
      <c r="E1094" s="3" t="s">
        <v>1426</v>
      </c>
      <c r="F1094" s="3" t="s">
        <v>1476</v>
      </c>
      <c r="G1094" s="68" t="str">
        <f t="shared" si="75"/>
        <v>DUAL</v>
      </c>
      <c r="H1094" s="197">
        <f t="shared" si="73"/>
        <v>32</v>
      </c>
      <c r="I1094" s="197">
        <v>8</v>
      </c>
      <c r="J1094" s="197">
        <v>4</v>
      </c>
      <c r="K1094" s="186">
        <f t="shared" si="74"/>
        <v>45873</v>
      </c>
      <c r="L1094" s="3" t="s">
        <v>2395</v>
      </c>
      <c r="M1094" s="3" t="s">
        <v>2392</v>
      </c>
      <c r="N1094" s="3" t="str">
        <f t="shared" si="69"/>
        <v/>
      </c>
    </row>
    <row r="1095" spans="1:19">
      <c r="A1095" s="3">
        <v>5787</v>
      </c>
      <c r="B1095" s="83">
        <f t="array" ref="B1095">SUM(--(FREQUENCY(IF(C$2:C$3074=C1095, MATCH(D$2:D$3074, D$2:D$3074, 0)), ROW(D$2:D$3074)-ROW(D$2)+1) &gt; 0))</f>
        <v>51</v>
      </c>
      <c r="C1095" s="3">
        <v>41200034</v>
      </c>
      <c r="D1095" s="6" t="s">
        <v>2629</v>
      </c>
      <c r="E1095" s="3" t="s">
        <v>1426</v>
      </c>
      <c r="F1095" s="3" t="s">
        <v>1476</v>
      </c>
      <c r="G1095" s="68" t="str">
        <f t="shared" si="75"/>
        <v>DUAL</v>
      </c>
      <c r="H1095" s="197">
        <f t="shared" ref="H1095" si="76">WEEKNUM(K1095)</f>
        <v>32</v>
      </c>
      <c r="I1095" s="197">
        <v>8</v>
      </c>
      <c r="J1095" s="197">
        <v>4</v>
      </c>
      <c r="K1095" s="186">
        <f t="shared" ref="K1095:K1125" si="77">DATE(2025, I1095, J1095)</f>
        <v>45873</v>
      </c>
      <c r="L1095" s="3" t="s">
        <v>2395</v>
      </c>
      <c r="M1095" s="3" t="s">
        <v>2392</v>
      </c>
      <c r="N1095" s="3" t="str">
        <f t="shared" ref="N1095:N1126" si="78">IF(O1095&lt;&gt;"", "NG", "")</f>
        <v/>
      </c>
    </row>
    <row r="1096" spans="1:19">
      <c r="A1096" s="3">
        <v>5888</v>
      </c>
      <c r="B1096" s="83">
        <f t="array" ref="B1096">SUM(--(FREQUENCY(IF(C$2:C$3074=C1096, MATCH(D$2:D$3074, D$2:D$3074, 0)), ROW(D$2:D$3074)-ROW(D$2)+1) &gt; 0))</f>
        <v>25</v>
      </c>
      <c r="C1096" s="3">
        <v>41200128</v>
      </c>
      <c r="D1096" s="6" t="s">
        <v>2631</v>
      </c>
      <c r="E1096" s="3" t="s">
        <v>1431</v>
      </c>
      <c r="F1096" s="3" t="s">
        <v>1591</v>
      </c>
      <c r="G1096" s="68" t="str">
        <f t="shared" si="75"/>
        <v>SINGLE</v>
      </c>
      <c r="H1096" s="197">
        <f t="shared" si="73"/>
        <v>32</v>
      </c>
      <c r="I1096" s="197">
        <v>8</v>
      </c>
      <c r="J1096" s="197">
        <v>4</v>
      </c>
      <c r="K1096" s="186">
        <f t="shared" si="77"/>
        <v>45873</v>
      </c>
      <c r="L1096" s="3" t="s">
        <v>2395</v>
      </c>
      <c r="M1096" s="3" t="s">
        <v>1469</v>
      </c>
      <c r="N1096" s="3" t="str">
        <f t="shared" si="78"/>
        <v/>
      </c>
    </row>
    <row r="1097" spans="1:19">
      <c r="A1097" s="3">
        <v>5888</v>
      </c>
      <c r="B1097" s="83">
        <f t="array" ref="B1097">SUM(--(FREQUENCY(IF(C$2:C$3074=C1097, MATCH(D$2:D$3074, D$2:D$3074, 0)), ROW(D$2:D$3074)-ROW(D$2)+1) &gt; 0))</f>
        <v>25</v>
      </c>
      <c r="C1097" s="3">
        <v>41200128</v>
      </c>
      <c r="D1097" s="6" t="s">
        <v>2632</v>
      </c>
      <c r="E1097" s="3" t="s">
        <v>1431</v>
      </c>
      <c r="F1097" s="3" t="s">
        <v>1591</v>
      </c>
      <c r="G1097" s="68" t="str">
        <f t="shared" si="75"/>
        <v>SINGLE</v>
      </c>
      <c r="H1097" s="197">
        <f t="shared" si="73"/>
        <v>32</v>
      </c>
      <c r="I1097" s="197">
        <v>8</v>
      </c>
      <c r="J1097" s="197">
        <v>4</v>
      </c>
      <c r="K1097" s="186">
        <f t="shared" si="77"/>
        <v>45873</v>
      </c>
      <c r="L1097" s="3" t="s">
        <v>2395</v>
      </c>
      <c r="M1097" s="3" t="s">
        <v>1469</v>
      </c>
      <c r="N1097" s="3" t="str">
        <f t="shared" si="78"/>
        <v/>
      </c>
    </row>
    <row r="1098" spans="1:19">
      <c r="A1098" s="3">
        <v>5864</v>
      </c>
      <c r="B1098" s="83">
        <f t="array" ref="B1098">SUM(--(FREQUENCY(IF(C$2:C$3074=C1098, MATCH(D$2:D$3074, D$2:D$3074, 0)), ROW(D$2:D$3074)-ROW(D$2)+1) &gt; 0))</f>
        <v>11</v>
      </c>
      <c r="C1098" s="3">
        <v>41200119</v>
      </c>
      <c r="D1098" s="6" t="s">
        <v>2634</v>
      </c>
      <c r="E1098" s="3" t="s">
        <v>1422</v>
      </c>
      <c r="F1098" s="3" t="s">
        <v>1476</v>
      </c>
      <c r="G1098" s="68" t="str">
        <f t="shared" si="75"/>
        <v>DUAL</v>
      </c>
      <c r="H1098" s="197">
        <f t="shared" si="73"/>
        <v>32</v>
      </c>
      <c r="I1098" s="197">
        <v>8</v>
      </c>
      <c r="J1098" s="197">
        <v>4</v>
      </c>
      <c r="K1098" s="186">
        <f t="shared" si="77"/>
        <v>45873</v>
      </c>
      <c r="L1098" s="3" t="s">
        <v>2391</v>
      </c>
      <c r="M1098" s="3" t="s">
        <v>1468</v>
      </c>
      <c r="N1098" s="3" t="str">
        <f t="shared" si="78"/>
        <v/>
      </c>
    </row>
    <row r="1099" spans="1:19">
      <c r="A1099" s="3">
        <v>5837</v>
      </c>
      <c r="B1099" s="83">
        <f t="array" ref="B1099">SUM(--(FREQUENCY(IF(C$2:C$3074=C1099, MATCH(D$2:D$3074, D$2:D$3074, 0)), ROW(D$2:D$3074)-ROW(D$2)+1) &gt; 0))</f>
        <v>51</v>
      </c>
      <c r="C1099" s="3">
        <v>41200034</v>
      </c>
      <c r="D1099" s="6" t="s">
        <v>2635</v>
      </c>
      <c r="E1099" s="3" t="s">
        <v>1426</v>
      </c>
      <c r="F1099" s="3" t="s">
        <v>1476</v>
      </c>
      <c r="G1099" s="68" t="str">
        <f t="shared" si="75"/>
        <v>DUAL</v>
      </c>
      <c r="H1099" s="197">
        <f t="shared" si="73"/>
        <v>32</v>
      </c>
      <c r="I1099" s="197">
        <v>8</v>
      </c>
      <c r="J1099" s="197">
        <v>4</v>
      </c>
      <c r="K1099" s="186">
        <f t="shared" si="77"/>
        <v>45873</v>
      </c>
      <c r="L1099" s="3" t="s">
        <v>2395</v>
      </c>
      <c r="M1099" s="3" t="s">
        <v>1469</v>
      </c>
      <c r="N1099" s="3" t="str">
        <f t="shared" si="78"/>
        <v/>
      </c>
    </row>
    <row r="1100" spans="1:19">
      <c r="A1100" s="3">
        <v>5837</v>
      </c>
      <c r="B1100" s="83">
        <f t="array" ref="B1100">SUM(--(FREQUENCY(IF(C$2:C$3074=C1100, MATCH(D$2:D$3074, D$2:D$3074, 0)), ROW(D$2:D$3074)-ROW(D$2)+1) &gt; 0))</f>
        <v>51</v>
      </c>
      <c r="C1100" s="3">
        <v>41200034</v>
      </c>
      <c r="D1100" s="6" t="s">
        <v>2636</v>
      </c>
      <c r="E1100" s="3" t="s">
        <v>1426</v>
      </c>
      <c r="F1100" s="3" t="s">
        <v>1476</v>
      </c>
      <c r="G1100" s="68" t="str">
        <f t="shared" si="75"/>
        <v>DUAL</v>
      </c>
      <c r="H1100" s="197">
        <f t="shared" si="73"/>
        <v>32</v>
      </c>
      <c r="I1100" s="197">
        <v>8</v>
      </c>
      <c r="J1100" s="197">
        <v>4</v>
      </c>
      <c r="K1100" s="186">
        <f t="shared" si="77"/>
        <v>45873</v>
      </c>
      <c r="L1100" s="3" t="s">
        <v>2395</v>
      </c>
      <c r="M1100" s="3" t="s">
        <v>1469</v>
      </c>
      <c r="N1100" s="3" t="str">
        <f t="shared" si="78"/>
        <v/>
      </c>
    </row>
    <row r="1101" spans="1:19">
      <c r="A1101" s="65">
        <v>5692</v>
      </c>
      <c r="B1101" s="82">
        <f t="array" ref="B1101">SUM(--(FREQUENCY(IF(C$2:C$3071=C1101, MATCH(D$2:D$3071, D$2:D$3071, 0)), ROW(D$2:D$3071)-ROW(D$2)+1) &gt; 0))</f>
        <v>22</v>
      </c>
      <c r="C1101" s="65">
        <v>41200075</v>
      </c>
      <c r="D1101" s="66" t="s">
        <v>4982</v>
      </c>
      <c r="E1101" s="41" t="s">
        <v>4102</v>
      </c>
      <c r="F1101" s="41" t="s">
        <v>4527</v>
      </c>
      <c r="G1101" s="41" t="str">
        <f t="shared" si="75"/>
        <v>DUAL</v>
      </c>
      <c r="H1101" s="197">
        <f t="shared" si="73"/>
        <v>32</v>
      </c>
      <c r="I1101" s="211">
        <v>8</v>
      </c>
      <c r="J1101" s="211">
        <v>4</v>
      </c>
      <c r="K1101" s="186">
        <f>DATE(2025, I1101, J1101)</f>
        <v>45873</v>
      </c>
      <c r="L1101" s="65" t="s">
        <v>1465</v>
      </c>
      <c r="M1101" s="65" t="s">
        <v>2388</v>
      </c>
      <c r="N1101" s="3" t="str">
        <f t="shared" si="78"/>
        <v>NG</v>
      </c>
      <c r="O1101" s="3" t="s">
        <v>2368</v>
      </c>
      <c r="P1101" s="3" t="s">
        <v>2376</v>
      </c>
      <c r="Q1101" s="3">
        <v>11000201</v>
      </c>
      <c r="R1101" s="3" t="s">
        <v>816</v>
      </c>
      <c r="S1101" s="3" t="s">
        <v>5116</v>
      </c>
    </row>
    <row r="1102" spans="1:19">
      <c r="A1102" s="3">
        <v>5819</v>
      </c>
      <c r="B1102" s="83">
        <f t="array" ref="B1102">SUM(--(FREQUENCY(IF(C$2:C$3074=C1102, MATCH(D$2:D$3074, D$2:D$3074, 0)), ROW(D$2:D$3074)-ROW(D$2)+1) &gt; 0))</f>
        <v>9</v>
      </c>
      <c r="C1102" s="3">
        <v>31200058</v>
      </c>
      <c r="D1102" s="6" t="s">
        <v>5117</v>
      </c>
      <c r="E1102" s="3" t="s">
        <v>1405</v>
      </c>
      <c r="F1102" s="3" t="s">
        <v>5118</v>
      </c>
      <c r="G1102" s="68" t="str">
        <f t="shared" si="75"/>
        <v>SINGLE</v>
      </c>
      <c r="H1102" s="197">
        <f t="shared" si="73"/>
        <v>32</v>
      </c>
      <c r="I1102" s="197">
        <v>8</v>
      </c>
      <c r="J1102" s="197">
        <v>5</v>
      </c>
      <c r="K1102" s="186">
        <f t="shared" si="77"/>
        <v>45874</v>
      </c>
      <c r="L1102" s="3" t="s">
        <v>2392</v>
      </c>
      <c r="M1102" s="3" t="s">
        <v>1468</v>
      </c>
      <c r="N1102" s="3" t="str">
        <f t="shared" si="78"/>
        <v/>
      </c>
    </row>
    <row r="1103" spans="1:19">
      <c r="A1103" s="3">
        <v>5819</v>
      </c>
      <c r="B1103" s="83">
        <f t="array" ref="B1103">SUM(--(FREQUENCY(IF(C$2:C$3074=C1103, MATCH(D$2:D$3074, D$2:D$3074, 0)), ROW(D$2:D$3074)-ROW(D$2)+1) &gt; 0))</f>
        <v>9</v>
      </c>
      <c r="C1103" s="3">
        <v>31200058</v>
      </c>
      <c r="D1103" s="6" t="s">
        <v>5119</v>
      </c>
      <c r="E1103" s="3" t="s">
        <v>1405</v>
      </c>
      <c r="F1103" s="3" t="s">
        <v>5118</v>
      </c>
      <c r="G1103" s="68" t="str">
        <f t="shared" si="75"/>
        <v>SINGLE</v>
      </c>
      <c r="H1103" s="197">
        <f t="shared" si="73"/>
        <v>32</v>
      </c>
      <c r="I1103" s="197">
        <v>8</v>
      </c>
      <c r="J1103" s="197">
        <v>5</v>
      </c>
      <c r="K1103" s="186">
        <f t="shared" si="77"/>
        <v>45874</v>
      </c>
      <c r="L1103" s="3" t="s">
        <v>2392</v>
      </c>
      <c r="M1103" s="3" t="s">
        <v>1468</v>
      </c>
      <c r="N1103" s="3" t="str">
        <f t="shared" si="78"/>
        <v/>
      </c>
    </row>
    <row r="1104" spans="1:19">
      <c r="A1104" s="3">
        <v>5819</v>
      </c>
      <c r="B1104" s="83">
        <f t="array" ref="B1104">SUM(--(FREQUENCY(IF(C$2:C$3074=C1104, MATCH(D$2:D$3074, D$2:D$3074, 0)), ROW(D$2:D$3074)-ROW(D$2)+1) &gt; 0))</f>
        <v>9</v>
      </c>
      <c r="C1104" s="3">
        <v>31200058</v>
      </c>
      <c r="D1104" s="6" t="s">
        <v>5120</v>
      </c>
      <c r="E1104" s="3" t="s">
        <v>1405</v>
      </c>
      <c r="F1104" s="3" t="s">
        <v>5118</v>
      </c>
      <c r="G1104" s="68" t="str">
        <f t="shared" si="75"/>
        <v>SINGLE</v>
      </c>
      <c r="H1104" s="197">
        <f t="shared" si="73"/>
        <v>32</v>
      </c>
      <c r="I1104" s="197">
        <v>8</v>
      </c>
      <c r="J1104" s="197">
        <v>5</v>
      </c>
      <c r="K1104" s="186">
        <f t="shared" si="77"/>
        <v>45874</v>
      </c>
      <c r="L1104" s="3" t="s">
        <v>2392</v>
      </c>
      <c r="M1104" s="3" t="s">
        <v>1468</v>
      </c>
      <c r="N1104" s="3" t="str">
        <f t="shared" si="78"/>
        <v/>
      </c>
    </row>
    <row r="1105" spans="1:19">
      <c r="A1105" s="3">
        <v>5819</v>
      </c>
      <c r="B1105" s="83">
        <f t="array" ref="B1105">SUM(--(FREQUENCY(IF(C$2:C$3074=C1105, MATCH(D$2:D$3074, D$2:D$3074, 0)), ROW(D$2:D$3074)-ROW(D$2)+1) &gt; 0))</f>
        <v>9</v>
      </c>
      <c r="C1105" s="3">
        <v>31200058</v>
      </c>
      <c r="D1105" s="6" t="s">
        <v>5121</v>
      </c>
      <c r="E1105" s="3" t="s">
        <v>1405</v>
      </c>
      <c r="F1105" s="3" t="s">
        <v>5118</v>
      </c>
      <c r="G1105" s="68" t="str">
        <f t="shared" si="75"/>
        <v>SINGLE</v>
      </c>
      <c r="H1105" s="197">
        <f t="shared" si="73"/>
        <v>32</v>
      </c>
      <c r="I1105" s="197">
        <v>8</v>
      </c>
      <c r="J1105" s="197">
        <v>5</v>
      </c>
      <c r="K1105" s="186">
        <f t="shared" si="77"/>
        <v>45874</v>
      </c>
      <c r="L1105" s="3" t="s">
        <v>2392</v>
      </c>
      <c r="M1105" s="3" t="s">
        <v>1468</v>
      </c>
      <c r="N1105" s="3" t="str">
        <f t="shared" si="78"/>
        <v/>
      </c>
    </row>
    <row r="1106" spans="1:19">
      <c r="A1106" s="3">
        <v>5819</v>
      </c>
      <c r="B1106" s="83">
        <f t="array" ref="B1106">SUM(--(FREQUENCY(IF(C$2:C$3074=C1106, MATCH(D$2:D$3074, D$2:D$3074, 0)), ROW(D$2:D$3074)-ROW(D$2)+1) &gt; 0))</f>
        <v>9</v>
      </c>
      <c r="C1106" s="3">
        <v>31200058</v>
      </c>
      <c r="D1106" s="6" t="s">
        <v>5122</v>
      </c>
      <c r="E1106" s="3" t="s">
        <v>1405</v>
      </c>
      <c r="F1106" s="3" t="s">
        <v>5118</v>
      </c>
      <c r="G1106" s="68" t="str">
        <f t="shared" si="75"/>
        <v>SINGLE</v>
      </c>
      <c r="H1106" s="197">
        <f t="shared" si="73"/>
        <v>32</v>
      </c>
      <c r="I1106" s="197">
        <v>8</v>
      </c>
      <c r="J1106" s="197">
        <v>5</v>
      </c>
      <c r="K1106" s="186">
        <f t="shared" si="77"/>
        <v>45874</v>
      </c>
      <c r="L1106" s="3" t="s">
        <v>2392</v>
      </c>
      <c r="M1106" s="3" t="s">
        <v>1468</v>
      </c>
      <c r="N1106" s="3" t="str">
        <f t="shared" si="78"/>
        <v/>
      </c>
    </row>
    <row r="1107" spans="1:19">
      <c r="A1107" s="3">
        <v>5819</v>
      </c>
      <c r="B1107" s="83">
        <f t="array" ref="B1107">SUM(--(FREQUENCY(IF(C$2:C$3074=C1107, MATCH(D$2:D$3074, D$2:D$3074, 0)), ROW(D$2:D$3074)-ROW(D$2)+1) &gt; 0))</f>
        <v>9</v>
      </c>
      <c r="C1107" s="3">
        <v>31200058</v>
      </c>
      <c r="D1107" s="6" t="s">
        <v>5123</v>
      </c>
      <c r="E1107" s="3" t="s">
        <v>1405</v>
      </c>
      <c r="F1107" s="3" t="s">
        <v>5118</v>
      </c>
      <c r="G1107" s="68" t="str">
        <f t="shared" si="75"/>
        <v>SINGLE</v>
      </c>
      <c r="H1107" s="197">
        <f t="shared" si="73"/>
        <v>32</v>
      </c>
      <c r="I1107" s="197">
        <v>8</v>
      </c>
      <c r="J1107" s="197">
        <v>5</v>
      </c>
      <c r="K1107" s="186">
        <f t="shared" si="77"/>
        <v>45874</v>
      </c>
      <c r="L1107" s="3" t="s">
        <v>2392</v>
      </c>
      <c r="M1107" s="3" t="s">
        <v>1468</v>
      </c>
      <c r="N1107" s="3" t="str">
        <f t="shared" si="78"/>
        <v/>
      </c>
    </row>
    <row r="1108" spans="1:19">
      <c r="A1108" s="3">
        <v>5819</v>
      </c>
      <c r="B1108" s="83">
        <f t="array" ref="B1108">SUM(--(FREQUENCY(IF(C$2:C$3074=C1108, MATCH(D$2:D$3074, D$2:D$3074, 0)), ROW(D$2:D$3074)-ROW(D$2)+1) &gt; 0))</f>
        <v>9</v>
      </c>
      <c r="C1108" s="3">
        <v>31200058</v>
      </c>
      <c r="D1108" s="6" t="s">
        <v>5124</v>
      </c>
      <c r="E1108" s="3" t="s">
        <v>1405</v>
      </c>
      <c r="F1108" s="3" t="s">
        <v>5118</v>
      </c>
      <c r="G1108" s="68" t="str">
        <f t="shared" si="75"/>
        <v>SINGLE</v>
      </c>
      <c r="H1108" s="197">
        <f t="shared" si="73"/>
        <v>32</v>
      </c>
      <c r="I1108" s="197">
        <v>8</v>
      </c>
      <c r="J1108" s="197">
        <v>5</v>
      </c>
      <c r="K1108" s="186">
        <f t="shared" si="77"/>
        <v>45874</v>
      </c>
      <c r="L1108" s="3" t="s">
        <v>2392</v>
      </c>
      <c r="M1108" s="3" t="s">
        <v>1468</v>
      </c>
      <c r="N1108" s="3" t="str">
        <f t="shared" si="78"/>
        <v/>
      </c>
    </row>
    <row r="1109" spans="1:19">
      <c r="A1109" s="3">
        <v>5819</v>
      </c>
      <c r="B1109" s="83">
        <f t="array" ref="B1109">SUM(--(FREQUENCY(IF(C$2:C$3074=C1109, MATCH(D$2:D$3074, D$2:D$3074, 0)), ROW(D$2:D$3074)-ROW(D$2)+1) &gt; 0))</f>
        <v>9</v>
      </c>
      <c r="C1109" s="3">
        <v>31200058</v>
      </c>
      <c r="D1109" s="6" t="s">
        <v>5125</v>
      </c>
      <c r="E1109" s="3" t="s">
        <v>1405</v>
      </c>
      <c r="F1109" s="3" t="s">
        <v>5118</v>
      </c>
      <c r="G1109" s="68" t="str">
        <f t="shared" si="75"/>
        <v>SINGLE</v>
      </c>
      <c r="H1109" s="197">
        <f t="shared" si="73"/>
        <v>32</v>
      </c>
      <c r="I1109" s="197">
        <v>8</v>
      </c>
      <c r="J1109" s="197">
        <v>5</v>
      </c>
      <c r="K1109" s="186">
        <f t="shared" si="77"/>
        <v>45874</v>
      </c>
      <c r="L1109" s="3" t="s">
        <v>2392</v>
      </c>
      <c r="M1109" s="3" t="s">
        <v>1468</v>
      </c>
      <c r="N1109" s="3" t="str">
        <f t="shared" si="78"/>
        <v/>
      </c>
    </row>
    <row r="1110" spans="1:19">
      <c r="A1110" s="3">
        <v>5933</v>
      </c>
      <c r="B1110" s="83">
        <f t="array" ref="B1110">SUM(--(FREQUENCY(IF(C$2:C$3074=C1110, MATCH(D$2:D$3074, D$2:D$3074, 0)), ROW(D$2:D$3074)-ROW(D$2)+1) &gt; 0))</f>
        <v>17</v>
      </c>
      <c r="C1110" s="3">
        <v>41000558</v>
      </c>
      <c r="D1110" s="6" t="s">
        <v>5126</v>
      </c>
      <c r="E1110" s="3" t="s">
        <v>1405</v>
      </c>
      <c r="F1110" s="3" t="s">
        <v>1401</v>
      </c>
      <c r="G1110" s="68" t="str">
        <f t="shared" si="75"/>
        <v>SINGLE</v>
      </c>
      <c r="H1110" s="197">
        <f t="shared" si="73"/>
        <v>32</v>
      </c>
      <c r="I1110" s="197">
        <v>8</v>
      </c>
      <c r="J1110" s="197">
        <v>5</v>
      </c>
      <c r="K1110" s="186">
        <f t="shared" si="77"/>
        <v>45874</v>
      </c>
      <c r="L1110" s="3" t="s">
        <v>5127</v>
      </c>
      <c r="M1110" s="3" t="s">
        <v>2392</v>
      </c>
      <c r="N1110" s="3" t="str">
        <f t="shared" si="78"/>
        <v/>
      </c>
    </row>
    <row r="1111" spans="1:19">
      <c r="A1111" s="3">
        <v>5941</v>
      </c>
      <c r="B1111" s="83">
        <f t="array" ref="B1111">SUM(--(FREQUENCY(IF(C$2:C$3074=C1111, MATCH(D$2:D$3074, D$2:D$3074, 0)), ROW(D$2:D$3074)-ROW(D$2)+1) &gt; 0))</f>
        <v>13</v>
      </c>
      <c r="C1111" s="3">
        <v>41100696</v>
      </c>
      <c r="D1111" s="6" t="s">
        <v>2639</v>
      </c>
      <c r="E1111" s="3" t="s">
        <v>1433</v>
      </c>
      <c r="F1111" s="3" t="s">
        <v>1581</v>
      </c>
      <c r="G1111" s="68" t="str">
        <f t="shared" si="75"/>
        <v>DUAL</v>
      </c>
      <c r="H1111" s="197">
        <f t="shared" si="73"/>
        <v>32</v>
      </c>
      <c r="I1111" s="197">
        <v>8</v>
      </c>
      <c r="J1111" s="197">
        <v>5</v>
      </c>
      <c r="K1111" s="186">
        <f t="shared" si="77"/>
        <v>45874</v>
      </c>
      <c r="L1111" s="3" t="s">
        <v>2392</v>
      </c>
      <c r="M1111" s="3" t="s">
        <v>2392</v>
      </c>
      <c r="N1111" s="3" t="str">
        <f t="shared" si="78"/>
        <v/>
      </c>
    </row>
    <row r="1112" spans="1:19">
      <c r="A1112" s="3">
        <v>5887</v>
      </c>
      <c r="B1112" s="83">
        <f t="array" ref="B1112">SUM(--(FREQUENCY(IF(C$2:C$3074=C1112, MATCH(D$2:D$3074, D$2:D$3074, 0)), ROW(D$2:D$3074)-ROW(D$2)+1) &gt; 0))</f>
        <v>12</v>
      </c>
      <c r="C1112" s="3">
        <v>41100550</v>
      </c>
      <c r="D1112" s="6" t="s">
        <v>2640</v>
      </c>
      <c r="E1112" s="3" t="s">
        <v>1405</v>
      </c>
      <c r="F1112" s="3" t="s">
        <v>1477</v>
      </c>
      <c r="G1112" s="68" t="str">
        <f t="shared" si="75"/>
        <v>SINGLE</v>
      </c>
      <c r="H1112" s="197">
        <f t="shared" si="73"/>
        <v>32</v>
      </c>
      <c r="I1112" s="197">
        <v>8</v>
      </c>
      <c r="J1112" s="197">
        <v>5</v>
      </c>
      <c r="K1112" s="186">
        <f t="shared" si="77"/>
        <v>45874</v>
      </c>
      <c r="L1112" s="3" t="s">
        <v>2391</v>
      </c>
      <c r="M1112" s="3" t="s">
        <v>1468</v>
      </c>
      <c r="N1112" s="3" t="str">
        <f t="shared" si="78"/>
        <v>NG</v>
      </c>
      <c r="O1112" s="3" t="s">
        <v>1569</v>
      </c>
      <c r="P1112" s="3" t="s">
        <v>5092</v>
      </c>
      <c r="Q1112" s="3">
        <v>13001369</v>
      </c>
      <c r="R1112" s="3" t="s">
        <v>651</v>
      </c>
      <c r="S1112" s="3" t="s">
        <v>5093</v>
      </c>
    </row>
    <row r="1113" spans="1:19">
      <c r="A1113" s="3">
        <v>5887</v>
      </c>
      <c r="B1113" s="83">
        <f t="array" ref="B1113">SUM(--(FREQUENCY(IF(C$2:C$3074=C1113, MATCH(D$2:D$3074, D$2:D$3074, 0)), ROW(D$2:D$3074)-ROW(D$2)+1) &gt; 0))</f>
        <v>12</v>
      </c>
      <c r="C1113" s="3">
        <v>41100550</v>
      </c>
      <c r="D1113" s="6" t="s">
        <v>2643</v>
      </c>
      <c r="E1113" s="3" t="s">
        <v>1405</v>
      </c>
      <c r="F1113" s="3" t="s">
        <v>1477</v>
      </c>
      <c r="G1113" s="68" t="str">
        <f t="shared" si="75"/>
        <v>SINGLE</v>
      </c>
      <c r="H1113" s="197">
        <f t="shared" si="73"/>
        <v>32</v>
      </c>
      <c r="I1113" s="197">
        <v>8</v>
      </c>
      <c r="J1113" s="197">
        <v>5</v>
      </c>
      <c r="K1113" s="186">
        <f t="shared" si="77"/>
        <v>45874</v>
      </c>
      <c r="L1113" s="3" t="s">
        <v>2391</v>
      </c>
      <c r="M1113" s="3" t="s">
        <v>1468</v>
      </c>
      <c r="N1113" s="3" t="str">
        <f t="shared" si="78"/>
        <v/>
      </c>
    </row>
    <row r="1114" spans="1:19">
      <c r="A1114" s="3">
        <v>5886</v>
      </c>
      <c r="B1114" s="83">
        <f t="array" ref="B1114">SUM(--(FREQUENCY(IF(C$2:C$3074=C1114, MATCH(D$2:D$3074, D$2:D$3074, 0)), ROW(D$2:D$3074)-ROW(D$2)+1) &gt; 0))</f>
        <v>102</v>
      </c>
      <c r="C1114" s="3">
        <v>41200006</v>
      </c>
      <c r="D1114" s="6" t="s">
        <v>2644</v>
      </c>
      <c r="E1114" s="3" t="s">
        <v>1405</v>
      </c>
      <c r="F1114" s="3" t="s">
        <v>1477</v>
      </c>
      <c r="G1114" s="68" t="str">
        <f t="shared" si="75"/>
        <v>SINGLE</v>
      </c>
      <c r="H1114" s="197">
        <f t="shared" si="73"/>
        <v>32</v>
      </c>
      <c r="I1114" s="197">
        <v>8</v>
      </c>
      <c r="J1114" s="197">
        <v>5</v>
      </c>
      <c r="K1114" s="186">
        <f t="shared" si="77"/>
        <v>45874</v>
      </c>
      <c r="L1114" s="3" t="s">
        <v>2395</v>
      </c>
      <c r="M1114" s="3" t="s">
        <v>1469</v>
      </c>
      <c r="N1114" s="3" t="str">
        <f t="shared" si="78"/>
        <v/>
      </c>
    </row>
    <row r="1115" spans="1:19">
      <c r="A1115" s="3">
        <v>5886</v>
      </c>
      <c r="B1115" s="83">
        <f t="array" ref="B1115">SUM(--(FREQUENCY(IF(C$2:C$3074=C1115, MATCH(D$2:D$3074, D$2:D$3074, 0)), ROW(D$2:D$3074)-ROW(D$2)+1) &gt; 0))</f>
        <v>102</v>
      </c>
      <c r="C1115" s="3">
        <v>41200006</v>
      </c>
      <c r="D1115" s="6" t="s">
        <v>2645</v>
      </c>
      <c r="E1115" s="3" t="s">
        <v>1405</v>
      </c>
      <c r="F1115" s="3" t="s">
        <v>1477</v>
      </c>
      <c r="G1115" s="68" t="str">
        <f t="shared" si="75"/>
        <v>SINGLE</v>
      </c>
      <c r="H1115" s="197">
        <f t="shared" si="73"/>
        <v>32</v>
      </c>
      <c r="I1115" s="197">
        <v>8</v>
      </c>
      <c r="J1115" s="197">
        <v>5</v>
      </c>
      <c r="K1115" s="186">
        <f t="shared" si="77"/>
        <v>45874</v>
      </c>
      <c r="L1115" s="3" t="s">
        <v>2395</v>
      </c>
      <c r="M1115" s="3" t="s">
        <v>1469</v>
      </c>
      <c r="N1115" s="3" t="str">
        <f t="shared" si="78"/>
        <v/>
      </c>
    </row>
    <row r="1116" spans="1:19">
      <c r="A1116" s="3">
        <v>5886</v>
      </c>
      <c r="B1116" s="83">
        <f t="array" ref="B1116">SUM(--(FREQUENCY(IF(C$2:C$3074=C1116, MATCH(D$2:D$3074, D$2:D$3074, 0)), ROW(D$2:D$3074)-ROW(D$2)+1) &gt; 0))</f>
        <v>102</v>
      </c>
      <c r="C1116" s="3">
        <v>41200006</v>
      </c>
      <c r="D1116" s="6" t="s">
        <v>2646</v>
      </c>
      <c r="E1116" s="3" t="s">
        <v>1405</v>
      </c>
      <c r="F1116" s="3" t="s">
        <v>1477</v>
      </c>
      <c r="G1116" s="68" t="str">
        <f t="shared" si="75"/>
        <v>SINGLE</v>
      </c>
      <c r="H1116" s="197">
        <f t="shared" si="73"/>
        <v>32</v>
      </c>
      <c r="I1116" s="197">
        <v>8</v>
      </c>
      <c r="J1116" s="197">
        <v>5</v>
      </c>
      <c r="K1116" s="186">
        <f t="shared" si="77"/>
        <v>45874</v>
      </c>
      <c r="L1116" s="3" t="s">
        <v>2395</v>
      </c>
      <c r="M1116" s="3" t="s">
        <v>1469</v>
      </c>
      <c r="N1116" s="3" t="str">
        <f t="shared" si="78"/>
        <v/>
      </c>
    </row>
    <row r="1117" spans="1:19">
      <c r="A1117" s="3">
        <v>5901</v>
      </c>
      <c r="B1117" s="83">
        <f t="array" ref="B1117">SUM(--(FREQUENCY(IF(C$2:C$3074=C1117, MATCH(D$2:D$3074, D$2:D$3074, 0)), ROW(D$2:D$3074)-ROW(D$2)+1) &gt; 0))</f>
        <v>32</v>
      </c>
      <c r="C1117" s="3">
        <v>41200127</v>
      </c>
      <c r="D1117" s="6" t="s">
        <v>2647</v>
      </c>
      <c r="E1117" s="3" t="s">
        <v>1431</v>
      </c>
      <c r="F1117" s="3" t="s">
        <v>1591</v>
      </c>
      <c r="G1117" s="68" t="str">
        <f t="shared" si="75"/>
        <v>SINGLE</v>
      </c>
      <c r="H1117" s="197">
        <f t="shared" si="73"/>
        <v>32</v>
      </c>
      <c r="I1117" s="197">
        <v>8</v>
      </c>
      <c r="J1117" s="197">
        <v>5</v>
      </c>
      <c r="K1117" s="186">
        <f t="shared" si="77"/>
        <v>45874</v>
      </c>
      <c r="L1117" s="3" t="s">
        <v>2395</v>
      </c>
      <c r="M1117" s="3" t="s">
        <v>1469</v>
      </c>
      <c r="N1117" s="3" t="str">
        <f t="shared" si="78"/>
        <v/>
      </c>
    </row>
    <row r="1118" spans="1:19">
      <c r="A1118" s="3">
        <v>5901</v>
      </c>
      <c r="B1118" s="83">
        <f t="array" ref="B1118">SUM(--(FREQUENCY(IF(C$2:C$3074=C1118, MATCH(D$2:D$3074, D$2:D$3074, 0)), ROW(D$2:D$3074)-ROW(D$2)+1) &gt; 0))</f>
        <v>32</v>
      </c>
      <c r="C1118" s="3">
        <v>41200127</v>
      </c>
      <c r="D1118" s="6" t="s">
        <v>2648</v>
      </c>
      <c r="E1118" s="3" t="s">
        <v>1431</v>
      </c>
      <c r="F1118" s="3" t="s">
        <v>1591</v>
      </c>
      <c r="G1118" s="68" t="str">
        <f t="shared" si="75"/>
        <v>SINGLE</v>
      </c>
      <c r="H1118" s="197">
        <f t="shared" si="73"/>
        <v>32</v>
      </c>
      <c r="I1118" s="197">
        <v>8</v>
      </c>
      <c r="J1118" s="197">
        <v>5</v>
      </c>
      <c r="K1118" s="186">
        <f t="shared" si="77"/>
        <v>45874</v>
      </c>
      <c r="L1118" s="3" t="s">
        <v>2395</v>
      </c>
      <c r="M1118" s="3" t="s">
        <v>1469</v>
      </c>
      <c r="N1118" s="3" t="str">
        <f t="shared" si="78"/>
        <v/>
      </c>
    </row>
    <row r="1119" spans="1:19">
      <c r="A1119" s="3">
        <v>5774</v>
      </c>
      <c r="B1119" s="83">
        <f t="array" ref="B1119">SUM(--(FREQUENCY(IF(C$2:C$3074=C1119, MATCH(D$2:D$3074, D$2:D$3074, 0)), ROW(D$2:D$3074)-ROW(D$2)+1) &gt; 0))</f>
        <v>33</v>
      </c>
      <c r="C1119" s="3">
        <v>41100435</v>
      </c>
      <c r="D1119" s="6" t="s">
        <v>2637</v>
      </c>
      <c r="E1119" s="3" t="s">
        <v>1585</v>
      </c>
      <c r="F1119" s="3" t="s">
        <v>1482</v>
      </c>
      <c r="G1119" s="68" t="str">
        <f t="shared" si="75"/>
        <v>SINGLE</v>
      </c>
      <c r="H1119" s="197">
        <f>WEEKNUM(K1119)</f>
        <v>32</v>
      </c>
      <c r="I1119" s="197">
        <v>8</v>
      </c>
      <c r="J1119" s="197">
        <v>6</v>
      </c>
      <c r="K1119" s="186">
        <f>DATE(2025, I1119, J1119)</f>
        <v>45875</v>
      </c>
      <c r="L1119" s="3" t="s">
        <v>2391</v>
      </c>
      <c r="M1119" s="3" t="s">
        <v>1468</v>
      </c>
      <c r="N1119" s="3" t="str">
        <f t="shared" si="78"/>
        <v/>
      </c>
    </row>
    <row r="1120" spans="1:19">
      <c r="A1120" s="3">
        <v>5887</v>
      </c>
      <c r="B1120" s="83">
        <f t="array" ref="B1120">SUM(--(FREQUENCY(IF(C$2:C$3074=C1120, MATCH(D$2:D$3074, D$2:D$3074, 0)), ROW(D$2:D$3074)-ROW(D$2)+1) &gt; 0))</f>
        <v>12</v>
      </c>
      <c r="C1120" s="3">
        <v>41100550</v>
      </c>
      <c r="D1120" s="6" t="s">
        <v>2649</v>
      </c>
      <c r="E1120" s="3" t="s">
        <v>1405</v>
      </c>
      <c r="F1120" s="3" t="s">
        <v>1477</v>
      </c>
      <c r="G1120" s="68" t="str">
        <f t="shared" si="75"/>
        <v>SINGLE</v>
      </c>
      <c r="H1120" s="197">
        <f t="shared" si="73"/>
        <v>32</v>
      </c>
      <c r="I1120" s="197">
        <v>8</v>
      </c>
      <c r="J1120" s="197">
        <v>6</v>
      </c>
      <c r="K1120" s="186">
        <f t="shared" si="77"/>
        <v>45875</v>
      </c>
      <c r="L1120" s="3" t="s">
        <v>2391</v>
      </c>
      <c r="M1120" s="3" t="s">
        <v>2392</v>
      </c>
      <c r="N1120" s="3" t="str">
        <f t="shared" si="78"/>
        <v/>
      </c>
    </row>
    <row r="1121" spans="1:19">
      <c r="A1121" s="3">
        <v>5887</v>
      </c>
      <c r="B1121" s="83">
        <f t="array" ref="B1121">SUM(--(FREQUENCY(IF(C$2:C$3074=C1121, MATCH(D$2:D$3074, D$2:D$3074, 0)), ROW(D$2:D$3074)-ROW(D$2)+1) &gt; 0))</f>
        <v>12</v>
      </c>
      <c r="C1121" s="3">
        <v>41100550</v>
      </c>
      <c r="D1121" s="6" t="s">
        <v>2650</v>
      </c>
      <c r="E1121" s="3" t="s">
        <v>1405</v>
      </c>
      <c r="F1121" s="3" t="s">
        <v>1477</v>
      </c>
      <c r="G1121" s="68" t="str">
        <f t="shared" si="75"/>
        <v>SINGLE</v>
      </c>
      <c r="H1121" s="197">
        <f t="shared" si="73"/>
        <v>32</v>
      </c>
      <c r="I1121" s="197">
        <v>8</v>
      </c>
      <c r="J1121" s="197">
        <v>6</v>
      </c>
      <c r="K1121" s="186">
        <f t="shared" si="77"/>
        <v>45875</v>
      </c>
      <c r="L1121" s="3" t="s">
        <v>2391</v>
      </c>
      <c r="M1121" s="3" t="s">
        <v>2392</v>
      </c>
      <c r="N1121" s="3" t="str">
        <f t="shared" si="78"/>
        <v/>
      </c>
    </row>
    <row r="1122" spans="1:19">
      <c r="A1122" s="3">
        <v>5868</v>
      </c>
      <c r="B1122" s="83">
        <f t="array" ref="B1122">SUM(--(FREQUENCY(IF(C$2:C$3074=C1122, MATCH(D$2:D$3074, D$2:D$3074, 0)), ROW(D$2:D$3074)-ROW(D$2)+1) &gt; 0))</f>
        <v>44</v>
      </c>
      <c r="C1122" s="3">
        <v>41200047</v>
      </c>
      <c r="D1122" s="6" t="s">
        <v>2651</v>
      </c>
      <c r="E1122" s="3" t="s">
        <v>1426</v>
      </c>
      <c r="F1122" s="3" t="s">
        <v>1476</v>
      </c>
      <c r="G1122" s="68" t="str">
        <f t="shared" si="75"/>
        <v>DUAL</v>
      </c>
      <c r="H1122" s="197">
        <f t="shared" si="73"/>
        <v>32</v>
      </c>
      <c r="I1122" s="197">
        <v>8</v>
      </c>
      <c r="J1122" s="197">
        <v>6</v>
      </c>
      <c r="K1122" s="186">
        <f t="shared" si="77"/>
        <v>45875</v>
      </c>
      <c r="L1122" s="3" t="s">
        <v>2391</v>
      </c>
      <c r="M1122" s="3" t="s">
        <v>2392</v>
      </c>
      <c r="N1122" s="3" t="str">
        <f t="shared" si="78"/>
        <v>NG</v>
      </c>
      <c r="O1122" s="3" t="s">
        <v>2368</v>
      </c>
      <c r="P1122" s="3" t="s">
        <v>1385</v>
      </c>
      <c r="Q1122" s="3">
        <v>11102009</v>
      </c>
      <c r="R1122" s="3" t="s">
        <v>5128</v>
      </c>
      <c r="S1122" s="3" t="s">
        <v>5129</v>
      </c>
    </row>
    <row r="1123" spans="1:19">
      <c r="A1123" s="3">
        <v>5868</v>
      </c>
      <c r="B1123" s="83">
        <f t="array" ref="B1123">SUM(--(FREQUENCY(IF(C$2:C$3074=C1123, MATCH(D$2:D$3074, D$2:D$3074, 0)), ROW(D$2:D$3074)-ROW(D$2)+1) &gt; 0))</f>
        <v>44</v>
      </c>
      <c r="C1123" s="3">
        <v>41200047</v>
      </c>
      <c r="D1123" s="6" t="s">
        <v>2652</v>
      </c>
      <c r="E1123" s="3" t="s">
        <v>1426</v>
      </c>
      <c r="F1123" s="3" t="s">
        <v>1476</v>
      </c>
      <c r="G1123" s="68" t="str">
        <f t="shared" si="75"/>
        <v>DUAL</v>
      </c>
      <c r="H1123" s="197">
        <f t="shared" si="73"/>
        <v>32</v>
      </c>
      <c r="I1123" s="197">
        <v>8</v>
      </c>
      <c r="J1123" s="197">
        <v>6</v>
      </c>
      <c r="K1123" s="186">
        <f t="shared" si="77"/>
        <v>45875</v>
      </c>
      <c r="L1123" s="3" t="s">
        <v>2391</v>
      </c>
      <c r="M1123" s="3" t="s">
        <v>2392</v>
      </c>
      <c r="N1123" s="3" t="str">
        <f t="shared" si="78"/>
        <v>NG</v>
      </c>
      <c r="O1123" s="3" t="s">
        <v>2368</v>
      </c>
      <c r="P1123" s="3" t="s">
        <v>1385</v>
      </c>
      <c r="Q1123" s="3">
        <v>11102009</v>
      </c>
      <c r="R1123" s="3" t="s">
        <v>5128</v>
      </c>
      <c r="S1123" s="3" t="s">
        <v>5130</v>
      </c>
    </row>
    <row r="1124" spans="1:19">
      <c r="A1124" s="3">
        <v>5868</v>
      </c>
      <c r="B1124" s="83">
        <f t="array" ref="B1124">SUM(--(FREQUENCY(IF(C$2:C$3074=C1124, MATCH(D$2:D$3074, D$2:D$3074, 0)), ROW(D$2:D$3074)-ROW(D$2)+1) &gt; 0))</f>
        <v>44</v>
      </c>
      <c r="C1124" s="3">
        <v>41200047</v>
      </c>
      <c r="D1124" s="6" t="s">
        <v>2654</v>
      </c>
      <c r="E1124" s="3" t="s">
        <v>1426</v>
      </c>
      <c r="F1124" s="3" t="s">
        <v>1476</v>
      </c>
      <c r="G1124" s="68" t="str">
        <f t="shared" si="75"/>
        <v>DUAL</v>
      </c>
      <c r="H1124" s="197">
        <f t="shared" si="73"/>
        <v>32</v>
      </c>
      <c r="I1124" s="197">
        <v>8</v>
      </c>
      <c r="J1124" s="197">
        <v>6</v>
      </c>
      <c r="K1124" s="186">
        <f t="shared" si="77"/>
        <v>45875</v>
      </c>
      <c r="L1124" s="3" t="s">
        <v>2391</v>
      </c>
      <c r="M1124" s="3" t="s">
        <v>2392</v>
      </c>
      <c r="N1124" s="3" t="str">
        <f t="shared" si="78"/>
        <v/>
      </c>
    </row>
    <row r="1125" spans="1:19">
      <c r="A1125" s="3">
        <v>5927</v>
      </c>
      <c r="B1125" s="83">
        <f t="array" ref="B1125">SUM(--(FREQUENCY(IF(C$2:C$3074=C1125, MATCH(D$2:D$3074, D$2:D$3074, 0)), ROW(D$2:D$3074)-ROW(D$2)+1) &gt; 0))</f>
        <v>4</v>
      </c>
      <c r="C1125" s="3">
        <v>41200167</v>
      </c>
      <c r="D1125" s="6" t="s">
        <v>2659</v>
      </c>
      <c r="E1125" s="3" t="s">
        <v>1399</v>
      </c>
      <c r="F1125" s="3" t="s">
        <v>1591</v>
      </c>
      <c r="G1125" s="68" t="str">
        <f t="shared" si="75"/>
        <v>SINGLE</v>
      </c>
      <c r="H1125" s="197">
        <f t="shared" si="73"/>
        <v>32</v>
      </c>
      <c r="I1125" s="197">
        <v>8</v>
      </c>
      <c r="J1125" s="197">
        <v>7</v>
      </c>
      <c r="K1125" s="186">
        <f t="shared" si="77"/>
        <v>45876</v>
      </c>
      <c r="L1125" s="3" t="s">
        <v>2391</v>
      </c>
      <c r="M1125" s="3" t="s">
        <v>2392</v>
      </c>
      <c r="N1125" s="3" t="str">
        <f t="shared" si="78"/>
        <v/>
      </c>
    </row>
    <row r="1126" spans="1:19">
      <c r="A1126" s="3">
        <v>5927</v>
      </c>
      <c r="B1126" s="83">
        <f t="array" ref="B1126">SUM(--(FREQUENCY(IF(C$2:C$3074=C1126, MATCH(D$2:D$3074, D$2:D$3074, 0)), ROW(D$2:D$3074)-ROW(D$2)+1) &gt; 0))</f>
        <v>4</v>
      </c>
      <c r="C1126" s="3">
        <v>41200167</v>
      </c>
      <c r="D1126" s="6" t="s">
        <v>2661</v>
      </c>
      <c r="E1126" s="3" t="s">
        <v>1399</v>
      </c>
      <c r="F1126" s="3" t="s">
        <v>1591</v>
      </c>
      <c r="G1126" s="68" t="str">
        <f t="shared" si="75"/>
        <v>SINGLE</v>
      </c>
      <c r="H1126" s="197">
        <f t="shared" si="73"/>
        <v>32</v>
      </c>
      <c r="I1126" s="197">
        <v>8</v>
      </c>
      <c r="J1126" s="197">
        <v>7</v>
      </c>
      <c r="K1126" s="186">
        <f t="shared" ref="K1126:K1188" si="79">DATE(2025, I1126, J1126)</f>
        <v>45876</v>
      </c>
      <c r="L1126" s="3" t="s">
        <v>2391</v>
      </c>
      <c r="M1126" s="3" t="s">
        <v>2392</v>
      </c>
      <c r="N1126" s="3" t="str">
        <f t="shared" si="78"/>
        <v/>
      </c>
    </row>
    <row r="1127" spans="1:19">
      <c r="A1127" s="3">
        <v>5927</v>
      </c>
      <c r="B1127" s="83">
        <f t="array" ref="B1127">SUM(--(FREQUENCY(IF(C$2:C$3074=C1127, MATCH(D$2:D$3074, D$2:D$3074, 0)), ROW(D$2:D$3074)-ROW(D$2)+1) &gt; 0))</f>
        <v>4</v>
      </c>
      <c r="C1127" s="3">
        <v>41200167</v>
      </c>
      <c r="D1127" s="6" t="s">
        <v>2662</v>
      </c>
      <c r="E1127" s="3" t="s">
        <v>1399</v>
      </c>
      <c r="F1127" s="3" t="s">
        <v>1591</v>
      </c>
      <c r="G1127" s="68" t="str">
        <f t="shared" si="75"/>
        <v>SINGLE</v>
      </c>
      <c r="H1127" s="197">
        <f t="shared" si="73"/>
        <v>32</v>
      </c>
      <c r="I1127" s="197">
        <v>8</v>
      </c>
      <c r="J1127" s="197">
        <v>7</v>
      </c>
      <c r="K1127" s="186">
        <f t="shared" si="79"/>
        <v>45876</v>
      </c>
      <c r="L1127" s="3" t="s">
        <v>2391</v>
      </c>
      <c r="M1127" s="3" t="s">
        <v>2392</v>
      </c>
      <c r="N1127" s="3" t="str">
        <f t="shared" ref="N1127:N1158" si="80">IF(O1127&lt;&gt;"", "NG", "")</f>
        <v/>
      </c>
    </row>
    <row r="1128" spans="1:19">
      <c r="A1128" s="3">
        <v>5927</v>
      </c>
      <c r="B1128" s="83">
        <f t="array" ref="B1128">SUM(--(FREQUENCY(IF(C$2:C$3074=C1128, MATCH(D$2:D$3074, D$2:D$3074, 0)), ROW(D$2:D$3074)-ROW(D$2)+1) &gt; 0))</f>
        <v>4</v>
      </c>
      <c r="C1128" s="3">
        <v>41200167</v>
      </c>
      <c r="D1128" s="6" t="s">
        <v>2663</v>
      </c>
      <c r="E1128" s="3" t="s">
        <v>1399</v>
      </c>
      <c r="F1128" s="3" t="s">
        <v>1591</v>
      </c>
      <c r="G1128" s="68" t="str">
        <f t="shared" si="75"/>
        <v>SINGLE</v>
      </c>
      <c r="H1128" s="197">
        <f t="shared" si="73"/>
        <v>32</v>
      </c>
      <c r="I1128" s="197">
        <v>8</v>
      </c>
      <c r="J1128" s="197">
        <v>7</v>
      </c>
      <c r="K1128" s="186">
        <f t="shared" si="79"/>
        <v>45876</v>
      </c>
      <c r="L1128" s="3" t="s">
        <v>2391</v>
      </c>
      <c r="M1128" s="3" t="s">
        <v>2392</v>
      </c>
      <c r="N1128" s="3" t="str">
        <f t="shared" si="80"/>
        <v/>
      </c>
    </row>
    <row r="1129" spans="1:19">
      <c r="A1129" s="3">
        <v>5843</v>
      </c>
      <c r="B1129" s="83">
        <f t="array" ref="B1129">SUM(--(FREQUENCY(IF(C$2:C$3074=C1129, MATCH(D$2:D$3074, D$2:D$3074, 0)), ROW(D$2:D$3074)-ROW(D$2)+1) &gt; 0))</f>
        <v>11</v>
      </c>
      <c r="C1129" s="3">
        <v>41100374</v>
      </c>
      <c r="D1129" s="6" t="s">
        <v>2664</v>
      </c>
      <c r="E1129" s="3" t="s">
        <v>1585</v>
      </c>
      <c r="F1129" s="3" t="s">
        <v>1476</v>
      </c>
      <c r="G1129" s="68" t="str">
        <f t="shared" si="75"/>
        <v>DUAL</v>
      </c>
      <c r="H1129" s="197">
        <f t="shared" si="73"/>
        <v>32</v>
      </c>
      <c r="I1129" s="197">
        <v>8</v>
      </c>
      <c r="J1129" s="197">
        <v>7</v>
      </c>
      <c r="K1129" s="186">
        <f t="shared" si="79"/>
        <v>45876</v>
      </c>
      <c r="L1129" s="3" t="s">
        <v>2391</v>
      </c>
      <c r="M1129" s="3" t="s">
        <v>2392</v>
      </c>
      <c r="N1129" s="3" t="str">
        <f t="shared" si="80"/>
        <v/>
      </c>
    </row>
    <row r="1130" spans="1:19">
      <c r="A1130" s="3">
        <v>5780</v>
      </c>
      <c r="B1130" s="83">
        <f t="array" ref="B1130">SUM(--(FREQUENCY(IF(C$2:C$3074=C1130, MATCH(D$2:D$3074, D$2:D$3074, 0)), ROW(D$2:D$3074)-ROW(D$2)+1) &gt; 0))</f>
        <v>29</v>
      </c>
      <c r="C1130" s="3">
        <v>41200158</v>
      </c>
      <c r="D1130" s="6" t="s">
        <v>2656</v>
      </c>
      <c r="E1130" s="3" t="s">
        <v>1405</v>
      </c>
      <c r="F1130" s="3" t="s">
        <v>1480</v>
      </c>
      <c r="G1130" s="41" t="str">
        <f t="shared" si="75"/>
        <v>DUAL</v>
      </c>
      <c r="H1130" s="197">
        <f t="shared" si="73"/>
        <v>32</v>
      </c>
      <c r="I1130" s="197">
        <v>8</v>
      </c>
      <c r="J1130" s="197">
        <v>7</v>
      </c>
      <c r="K1130" s="186">
        <f t="shared" si="79"/>
        <v>45876</v>
      </c>
      <c r="L1130" s="3" t="s">
        <v>2391</v>
      </c>
      <c r="M1130" s="3" t="s">
        <v>2392</v>
      </c>
      <c r="N1130" s="3" t="str">
        <f t="shared" si="80"/>
        <v>NG</v>
      </c>
      <c r="O1130" s="3" t="s">
        <v>2368</v>
      </c>
      <c r="P1130" s="3" t="s">
        <v>2376</v>
      </c>
      <c r="Q1130" s="3">
        <v>11100783</v>
      </c>
      <c r="R1130" s="3" t="s">
        <v>386</v>
      </c>
      <c r="S1130" s="3" t="s">
        <v>5131</v>
      </c>
    </row>
    <row r="1131" spans="1:19">
      <c r="A1131" s="3">
        <v>5780</v>
      </c>
      <c r="B1131" s="83">
        <f t="array" ref="B1131">SUM(--(FREQUENCY(IF(C$2:C$3074=C1131, MATCH(D$2:D$3074, D$2:D$3074, 0)), ROW(D$2:D$3074)-ROW(D$2)+1) &gt; 0))</f>
        <v>29</v>
      </c>
      <c r="C1131" s="3">
        <v>41200158</v>
      </c>
      <c r="D1131" s="6" t="s">
        <v>2656</v>
      </c>
      <c r="E1131" s="3" t="s">
        <v>1405</v>
      </c>
      <c r="F1131" s="3" t="s">
        <v>1480</v>
      </c>
      <c r="G1131" s="41" t="str">
        <f t="shared" si="75"/>
        <v>DUAL</v>
      </c>
      <c r="H1131" s="197">
        <f t="shared" si="73"/>
        <v>32</v>
      </c>
      <c r="I1131" s="197">
        <v>8</v>
      </c>
      <c r="J1131" s="197">
        <v>7</v>
      </c>
      <c r="K1131" s="186">
        <f t="shared" ref="K1131" si="81">DATE(2025, I1131, J1131)</f>
        <v>45876</v>
      </c>
      <c r="L1131" s="3" t="s">
        <v>2391</v>
      </c>
      <c r="M1131" s="3" t="s">
        <v>2392</v>
      </c>
      <c r="N1131" s="3" t="str">
        <f t="shared" si="80"/>
        <v>NG</v>
      </c>
      <c r="O1131" s="3" t="s">
        <v>2368</v>
      </c>
      <c r="P1131" s="3" t="s">
        <v>2976</v>
      </c>
      <c r="Q1131" s="3">
        <v>11003834</v>
      </c>
      <c r="R1131" s="3" t="s">
        <v>226</v>
      </c>
      <c r="S1131" s="3" t="s">
        <v>5132</v>
      </c>
    </row>
    <row r="1132" spans="1:19">
      <c r="A1132" s="3">
        <v>5778</v>
      </c>
      <c r="B1132" s="83">
        <f t="array" ref="B1132">SUM(--(FREQUENCY(IF(C$2:C$3074=C1132, MATCH(D$2:D$3074, D$2:D$3074, 0)), ROW(D$2:D$3074)-ROW(D$2)+1) &gt; 0))</f>
        <v>2</v>
      </c>
      <c r="C1132" s="3">
        <v>41100224</v>
      </c>
      <c r="D1132" s="6" t="s">
        <v>2657</v>
      </c>
      <c r="E1132" s="3" t="s">
        <v>1585</v>
      </c>
      <c r="F1132" s="3" t="s">
        <v>1591</v>
      </c>
      <c r="G1132" s="68" t="str">
        <f t="shared" si="75"/>
        <v>SINGLE</v>
      </c>
      <c r="H1132" s="197">
        <f t="shared" si="73"/>
        <v>32</v>
      </c>
      <c r="I1132" s="197">
        <v>8</v>
      </c>
      <c r="J1132" s="197">
        <v>7</v>
      </c>
      <c r="K1132" s="186">
        <f t="shared" si="79"/>
        <v>45876</v>
      </c>
      <c r="L1132" s="3" t="s">
        <v>2391</v>
      </c>
      <c r="M1132" s="3" t="s">
        <v>1468</v>
      </c>
      <c r="N1132" s="3" t="str">
        <f t="shared" si="80"/>
        <v>NG</v>
      </c>
      <c r="O1132" s="3" t="s">
        <v>1569</v>
      </c>
      <c r="P1132" s="3" t="s">
        <v>5092</v>
      </c>
      <c r="Q1132" s="3">
        <v>13001369</v>
      </c>
      <c r="R1132" s="3" t="s">
        <v>651</v>
      </c>
      <c r="S1132" s="3" t="s">
        <v>5093</v>
      </c>
    </row>
    <row r="1133" spans="1:19">
      <c r="A1133" s="3">
        <v>5778</v>
      </c>
      <c r="B1133" s="83">
        <f t="array" ref="B1133">SUM(--(FREQUENCY(IF(C$2:C$3074=C1133, MATCH(D$2:D$3074, D$2:D$3074, 0)), ROW(D$2:D$3074)-ROW(D$2)+1) &gt; 0))</f>
        <v>2</v>
      </c>
      <c r="C1133" s="3">
        <v>41100224</v>
      </c>
      <c r="D1133" s="6" t="s">
        <v>2658</v>
      </c>
      <c r="E1133" s="3" t="s">
        <v>1585</v>
      </c>
      <c r="F1133" s="3" t="s">
        <v>1591</v>
      </c>
      <c r="G1133" s="68" t="str">
        <f t="shared" si="75"/>
        <v>SINGLE</v>
      </c>
      <c r="H1133" s="197">
        <f t="shared" si="73"/>
        <v>32</v>
      </c>
      <c r="I1133" s="197">
        <v>8</v>
      </c>
      <c r="J1133" s="197">
        <v>7</v>
      </c>
      <c r="K1133" s="186">
        <f t="shared" si="79"/>
        <v>45876</v>
      </c>
      <c r="L1133" s="3" t="s">
        <v>2391</v>
      </c>
      <c r="M1133" s="3" t="s">
        <v>1468</v>
      </c>
      <c r="N1133" s="3" t="str">
        <f t="shared" si="80"/>
        <v/>
      </c>
    </row>
    <row r="1134" spans="1:19">
      <c r="A1134" s="3">
        <v>5751</v>
      </c>
      <c r="B1134" s="83">
        <f t="array" ref="B1134">SUM(--(FREQUENCY(IF(C$2:C$3074=C1134, MATCH(D$2:D$3074, D$2:D$3074, 0)), ROW(D$2:D$3074)-ROW(D$2)+1) &gt; 0))</f>
        <v>77</v>
      </c>
      <c r="C1134" s="3">
        <v>41200076</v>
      </c>
      <c r="D1134" s="6" t="s">
        <v>2674</v>
      </c>
      <c r="E1134" s="3" t="s">
        <v>1585</v>
      </c>
      <c r="F1134" s="3" t="s">
        <v>1476</v>
      </c>
      <c r="G1134" s="68" t="str">
        <f t="shared" si="75"/>
        <v>DUAL</v>
      </c>
      <c r="H1134" s="197">
        <f t="shared" si="73"/>
        <v>32</v>
      </c>
      <c r="I1134" s="197">
        <v>8</v>
      </c>
      <c r="J1134" s="197">
        <v>8</v>
      </c>
      <c r="K1134" s="186">
        <f t="shared" si="79"/>
        <v>45877</v>
      </c>
      <c r="L1134" s="3" t="s">
        <v>2391</v>
      </c>
      <c r="M1134" s="3" t="s">
        <v>2392</v>
      </c>
      <c r="N1134" s="3" t="str">
        <f t="shared" si="80"/>
        <v/>
      </c>
    </row>
    <row r="1135" spans="1:19">
      <c r="A1135" s="3">
        <v>5827</v>
      </c>
      <c r="B1135" s="83">
        <f t="array" ref="B1135">SUM(--(FREQUENCY(IF(C$2:C$3074=C1135, MATCH(D$2:D$3074, D$2:D$3074, 0)), ROW(D$2:D$3074)-ROW(D$2)+1) &gt; 0))</f>
        <v>18</v>
      </c>
      <c r="C1135" s="3">
        <v>41200053</v>
      </c>
      <c r="D1135" s="6" t="s">
        <v>2665</v>
      </c>
      <c r="E1135" s="3" t="s">
        <v>1405</v>
      </c>
      <c r="F1135" s="3" t="s">
        <v>1616</v>
      </c>
      <c r="G1135" s="68" t="str">
        <f t="shared" ref="G1135:G1168" si="82">IF(OR(ISNUMBER(SEARCH("DUAL",F1135)), ISNUMBER(SEARCH("IVAS",F1135))), "DUAL", "SINGLE")</f>
        <v>SINGLE</v>
      </c>
      <c r="H1135" s="197">
        <f t="shared" si="73"/>
        <v>32</v>
      </c>
      <c r="I1135" s="197">
        <v>8</v>
      </c>
      <c r="J1135" s="197">
        <v>8</v>
      </c>
      <c r="K1135" s="186">
        <f t="shared" si="79"/>
        <v>45877</v>
      </c>
      <c r="L1135" s="3" t="s">
        <v>2392</v>
      </c>
      <c r="M1135" s="3" t="s">
        <v>2392</v>
      </c>
      <c r="N1135" s="3" t="str">
        <f t="shared" si="80"/>
        <v/>
      </c>
    </row>
    <row r="1136" spans="1:19">
      <c r="A1136" s="3">
        <v>5827</v>
      </c>
      <c r="B1136" s="83">
        <f t="array" ref="B1136">SUM(--(FREQUENCY(IF(C$2:C$3074=C1136, MATCH(D$2:D$3074, D$2:D$3074, 0)), ROW(D$2:D$3074)-ROW(D$2)+1) &gt; 0))</f>
        <v>18</v>
      </c>
      <c r="C1136" s="3">
        <v>41200053</v>
      </c>
      <c r="D1136" s="6" t="s">
        <v>2667</v>
      </c>
      <c r="E1136" s="3" t="s">
        <v>1405</v>
      </c>
      <c r="F1136" s="3" t="s">
        <v>1616</v>
      </c>
      <c r="G1136" s="68" t="str">
        <f t="shared" si="82"/>
        <v>SINGLE</v>
      </c>
      <c r="H1136" s="197">
        <f t="shared" si="73"/>
        <v>32</v>
      </c>
      <c r="I1136" s="197">
        <v>8</v>
      </c>
      <c r="J1136" s="197">
        <v>8</v>
      </c>
      <c r="K1136" s="186">
        <f t="shared" si="79"/>
        <v>45877</v>
      </c>
      <c r="L1136" s="3" t="s">
        <v>2392</v>
      </c>
      <c r="M1136" s="3" t="s">
        <v>2392</v>
      </c>
      <c r="N1136" s="3" t="str">
        <f t="shared" si="80"/>
        <v/>
      </c>
    </row>
    <row r="1137" spans="1:20">
      <c r="A1137" s="3">
        <v>5827</v>
      </c>
      <c r="B1137" s="83">
        <f t="array" ref="B1137">SUM(--(FREQUENCY(IF(C$2:C$3074=C1137, MATCH(D$2:D$3074, D$2:D$3074, 0)), ROW(D$2:D$3074)-ROW(D$2)+1) &gt; 0))</f>
        <v>18</v>
      </c>
      <c r="C1137" s="3">
        <v>41200053</v>
      </c>
      <c r="D1137" s="6" t="s">
        <v>2680</v>
      </c>
      <c r="E1137" s="3" t="s">
        <v>1405</v>
      </c>
      <c r="F1137" s="3" t="s">
        <v>1616</v>
      </c>
      <c r="G1137" s="68" t="str">
        <f t="shared" si="82"/>
        <v>SINGLE</v>
      </c>
      <c r="H1137" s="197">
        <f t="shared" si="73"/>
        <v>32</v>
      </c>
      <c r="I1137" s="197">
        <v>8</v>
      </c>
      <c r="J1137" s="197">
        <v>8</v>
      </c>
      <c r="K1137" s="186">
        <f t="shared" si="79"/>
        <v>45877</v>
      </c>
      <c r="L1137" s="3" t="s">
        <v>2392</v>
      </c>
      <c r="M1137" s="3" t="s">
        <v>2392</v>
      </c>
      <c r="N1137" s="3" t="str">
        <f t="shared" si="80"/>
        <v/>
      </c>
    </row>
    <row r="1138" spans="1:20">
      <c r="A1138" s="3">
        <v>5947</v>
      </c>
      <c r="B1138" s="83">
        <f t="array" ref="B1138">SUM(--(FREQUENCY(IF(C$2:C$3074=C1138, MATCH(D$2:D$3074, D$2:D$3074, 0)), ROW(D$2:D$3074)-ROW(D$2)+1) &gt; 0))</f>
        <v>17</v>
      </c>
      <c r="C1138" s="3">
        <v>41000558</v>
      </c>
      <c r="D1138" s="6" t="s">
        <v>5133</v>
      </c>
      <c r="E1138" s="3" t="s">
        <v>1405</v>
      </c>
      <c r="F1138" s="3" t="s">
        <v>1401</v>
      </c>
      <c r="G1138" s="68" t="str">
        <f t="shared" si="82"/>
        <v>SINGLE</v>
      </c>
      <c r="H1138" s="197">
        <f t="shared" si="73"/>
        <v>32</v>
      </c>
      <c r="I1138" s="197">
        <v>8</v>
      </c>
      <c r="J1138" s="197">
        <v>8</v>
      </c>
      <c r="K1138" s="186">
        <f t="shared" si="79"/>
        <v>45877</v>
      </c>
      <c r="L1138" s="3" t="s">
        <v>5127</v>
      </c>
      <c r="M1138" s="3" t="s">
        <v>1469</v>
      </c>
      <c r="N1138" s="3" t="str">
        <f t="shared" si="80"/>
        <v/>
      </c>
    </row>
    <row r="1139" spans="1:20">
      <c r="A1139" s="3">
        <v>5947</v>
      </c>
      <c r="B1139" s="83">
        <f t="array" ref="B1139">SUM(--(FREQUENCY(IF(C$2:C$3074=C1139, MATCH(D$2:D$3074, D$2:D$3074, 0)), ROW(D$2:D$3074)-ROW(D$2)+1) &gt; 0))</f>
        <v>17</v>
      </c>
      <c r="C1139" s="3">
        <v>41000558</v>
      </c>
      <c r="D1139" s="6" t="s">
        <v>5134</v>
      </c>
      <c r="E1139" s="3" t="s">
        <v>1405</v>
      </c>
      <c r="F1139" s="3" t="s">
        <v>1401</v>
      </c>
      <c r="G1139" s="68" t="str">
        <f t="shared" si="82"/>
        <v>SINGLE</v>
      </c>
      <c r="H1139" s="197">
        <f t="shared" si="73"/>
        <v>32</v>
      </c>
      <c r="I1139" s="197">
        <v>8</v>
      </c>
      <c r="J1139" s="197">
        <v>8</v>
      </c>
      <c r="K1139" s="186">
        <f t="shared" si="79"/>
        <v>45877</v>
      </c>
      <c r="L1139" s="3" t="s">
        <v>5127</v>
      </c>
      <c r="M1139" s="3" t="s">
        <v>1469</v>
      </c>
      <c r="N1139" s="3" t="str">
        <f t="shared" si="80"/>
        <v/>
      </c>
    </row>
    <row r="1140" spans="1:20">
      <c r="A1140" s="3">
        <v>5588</v>
      </c>
      <c r="B1140" s="83">
        <f t="array" ref="B1140">SUM(--(FREQUENCY(IF(C$2:C$3074=C1140, MATCH(D$2:D$3074, D$2:D$3074, 0)), ROW(D$2:D$3074)-ROW(D$2)+1) &gt; 0))</f>
        <v>102</v>
      </c>
      <c r="C1140" s="3">
        <v>41200006</v>
      </c>
      <c r="D1140" s="6" t="s">
        <v>2670</v>
      </c>
      <c r="E1140" s="3" t="s">
        <v>1405</v>
      </c>
      <c r="F1140" s="3" t="s">
        <v>1477</v>
      </c>
      <c r="G1140" s="68" t="str">
        <f t="shared" si="82"/>
        <v>SINGLE</v>
      </c>
      <c r="H1140" s="197">
        <f t="shared" si="73"/>
        <v>32</v>
      </c>
      <c r="I1140" s="197">
        <v>8</v>
      </c>
      <c r="J1140" s="197">
        <v>9</v>
      </c>
      <c r="K1140" s="186">
        <f t="shared" si="79"/>
        <v>45878</v>
      </c>
      <c r="L1140" s="3" t="s">
        <v>2391</v>
      </c>
      <c r="M1140" s="3" t="s">
        <v>2392</v>
      </c>
      <c r="N1140" s="3" t="str">
        <f t="shared" si="80"/>
        <v/>
      </c>
    </row>
    <row r="1141" spans="1:20">
      <c r="A1141" s="3">
        <v>5890</v>
      </c>
      <c r="B1141" s="83">
        <f t="array" ref="B1141">SUM(--(FREQUENCY(IF(C$2:C$3074=C1141, MATCH(D$2:D$3074, D$2:D$3074, 0)), ROW(D$2:D$3074)-ROW(D$2)+1) &gt; 0))</f>
        <v>6</v>
      </c>
      <c r="C1141" s="3">
        <v>41200136</v>
      </c>
      <c r="D1141" s="6" t="s">
        <v>2671</v>
      </c>
      <c r="E1141" s="3" t="s">
        <v>1585</v>
      </c>
      <c r="F1141" s="3" t="s">
        <v>1482</v>
      </c>
      <c r="G1141" s="68" t="str">
        <f t="shared" si="82"/>
        <v>SINGLE</v>
      </c>
      <c r="H1141" s="197">
        <f t="shared" si="73"/>
        <v>33</v>
      </c>
      <c r="I1141" s="197">
        <v>8</v>
      </c>
      <c r="J1141" s="197">
        <v>11</v>
      </c>
      <c r="K1141" s="186">
        <f t="shared" si="79"/>
        <v>45880</v>
      </c>
      <c r="L1141" s="3" t="s">
        <v>2395</v>
      </c>
      <c r="M1141" s="3" t="s">
        <v>1468</v>
      </c>
      <c r="N1141" s="3" t="str">
        <f t="shared" si="80"/>
        <v/>
      </c>
    </row>
    <row r="1142" spans="1:20">
      <c r="A1142" s="3">
        <v>5827</v>
      </c>
      <c r="B1142" s="83">
        <f t="array" ref="B1142">SUM(--(FREQUENCY(IF(C$2:C$3074=C1142, MATCH(D$2:D$3074, D$2:D$3074, 0)), ROW(D$2:D$3074)-ROW(D$2)+1) &gt; 0))</f>
        <v>18</v>
      </c>
      <c r="C1142" s="3">
        <v>41200053</v>
      </c>
      <c r="D1142" s="6" t="s">
        <v>2686</v>
      </c>
      <c r="E1142" s="3" t="s">
        <v>1405</v>
      </c>
      <c r="F1142" s="3" t="s">
        <v>1616</v>
      </c>
      <c r="G1142" s="68" t="str">
        <f t="shared" si="82"/>
        <v>SINGLE</v>
      </c>
      <c r="H1142" s="197">
        <f t="shared" si="73"/>
        <v>33</v>
      </c>
      <c r="I1142" s="197">
        <v>8</v>
      </c>
      <c r="J1142" s="197">
        <v>11</v>
      </c>
      <c r="K1142" s="186">
        <f t="shared" si="79"/>
        <v>45880</v>
      </c>
      <c r="L1142" s="3" t="s">
        <v>2392</v>
      </c>
      <c r="M1142" s="3" t="s">
        <v>2392</v>
      </c>
      <c r="N1142" s="3" t="str">
        <f t="shared" si="80"/>
        <v/>
      </c>
    </row>
    <row r="1143" spans="1:20">
      <c r="A1143" s="3">
        <v>5827</v>
      </c>
      <c r="B1143" s="83" cm="1">
        <f t="array" ref="B1143">SUM(--(FREQUENCY(IF(C$2:C$3074=C1143, MATCH(D$2:D$3074, D$2:D$3074, 0)), ROW(D$2:D$3074)-ROW(D$2)+1) &gt; 0))</f>
        <v>18</v>
      </c>
      <c r="C1143" s="3">
        <v>41200053</v>
      </c>
      <c r="D1143" s="6" t="s">
        <v>2689</v>
      </c>
      <c r="E1143" s="3" t="s">
        <v>1405</v>
      </c>
      <c r="F1143" s="3" t="s">
        <v>1616</v>
      </c>
      <c r="G1143" s="68" t="str">
        <f t="shared" si="82"/>
        <v>SINGLE</v>
      </c>
      <c r="H1143" s="197">
        <f t="shared" si="73"/>
        <v>33</v>
      </c>
      <c r="I1143" s="197">
        <v>8</v>
      </c>
      <c r="J1143" s="197">
        <v>11</v>
      </c>
      <c r="K1143" s="186">
        <f t="shared" si="79"/>
        <v>45880</v>
      </c>
      <c r="L1143" s="3" t="s">
        <v>2392</v>
      </c>
      <c r="M1143" s="3" t="s">
        <v>2392</v>
      </c>
      <c r="N1143" s="3" t="str">
        <f t="shared" si="80"/>
        <v/>
      </c>
    </row>
    <row r="1144" spans="1:20">
      <c r="A1144" s="3">
        <v>5827</v>
      </c>
      <c r="B1144" s="83" cm="1">
        <f t="array" ref="B1144">SUM(--(FREQUENCY(IF(C$2:C$3074=C1143, MATCH(D$2:D$3074, D$2:D$3074, 0)), ROW(D$2:D$3074)-ROW(D$2)+1) &gt; 0))</f>
        <v>18</v>
      </c>
      <c r="C1144" s="3">
        <v>41200053</v>
      </c>
      <c r="D1144" s="6" t="s">
        <v>2690</v>
      </c>
      <c r="E1144" s="3" t="s">
        <v>1405</v>
      </c>
      <c r="F1144" s="3" t="s">
        <v>1616</v>
      </c>
      <c r="G1144" s="68" t="str">
        <f t="shared" si="82"/>
        <v>SINGLE</v>
      </c>
      <c r="H1144" s="197">
        <f t="shared" si="73"/>
        <v>33</v>
      </c>
      <c r="I1144" s="197">
        <v>8</v>
      </c>
      <c r="J1144" s="197">
        <v>11</v>
      </c>
      <c r="K1144" s="186">
        <f t="shared" si="79"/>
        <v>45880</v>
      </c>
      <c r="L1144" s="3" t="s">
        <v>2392</v>
      </c>
      <c r="M1144" s="3" t="s">
        <v>2392</v>
      </c>
      <c r="N1144" s="3" t="str">
        <f t="shared" si="80"/>
        <v/>
      </c>
    </row>
    <row r="1145" spans="1:20">
      <c r="A1145" s="3">
        <v>5588</v>
      </c>
      <c r="B1145" s="83" cm="1">
        <f t="array" ref="B1145">SUM(--(FREQUENCY(IF(C$2:C$3074=C1145, MATCH(D$2:D$3074, D$2:D$3074, 0)), ROW(D$2:D$3074)-ROW(D$2)+1) &gt; 0))</f>
        <v>102</v>
      </c>
      <c r="C1145" s="3">
        <v>41200006</v>
      </c>
      <c r="D1145" s="6" t="s">
        <v>2691</v>
      </c>
      <c r="E1145" s="3" t="s">
        <v>1405</v>
      </c>
      <c r="F1145" s="3" t="s">
        <v>1477</v>
      </c>
      <c r="G1145" s="68" t="str">
        <f t="shared" si="82"/>
        <v>SINGLE</v>
      </c>
      <c r="H1145" s="197">
        <f t="shared" si="73"/>
        <v>33</v>
      </c>
      <c r="I1145" s="197">
        <v>8</v>
      </c>
      <c r="J1145" s="197">
        <v>11</v>
      </c>
      <c r="K1145" s="186">
        <f t="shared" si="79"/>
        <v>45880</v>
      </c>
      <c r="L1145" s="3" t="s">
        <v>2391</v>
      </c>
      <c r="M1145" s="3" t="s">
        <v>2392</v>
      </c>
      <c r="N1145" s="3" t="s">
        <v>2877</v>
      </c>
      <c r="O1145" s="3" t="s">
        <v>2368</v>
      </c>
      <c r="P1145" s="3" t="s">
        <v>5088</v>
      </c>
      <c r="Q1145" s="3">
        <v>11100935</v>
      </c>
      <c r="R1145" s="3" t="s">
        <v>932</v>
      </c>
      <c r="S1145" s="3" t="s">
        <v>5135</v>
      </c>
    </row>
    <row r="1146" spans="1:20">
      <c r="A1146" s="3">
        <v>5905</v>
      </c>
      <c r="B1146" s="83">
        <f t="array" ref="B1146">SUM(--(FREQUENCY(IF(C$2:C$3074=C1146, MATCH(D$2:D$3074, D$2:D$3074, 0)), ROW(D$2:D$3074)-ROW(D$2)+1) &gt; 0))</f>
        <v>2</v>
      </c>
      <c r="C1146" s="3">
        <v>41100445</v>
      </c>
      <c r="D1146" s="6" t="s">
        <v>2692</v>
      </c>
      <c r="E1146" s="3" t="s">
        <v>2693</v>
      </c>
      <c r="F1146" s="3" t="s">
        <v>1479</v>
      </c>
      <c r="G1146" s="68" t="str">
        <f t="shared" si="82"/>
        <v>SINGLE</v>
      </c>
      <c r="H1146" s="197">
        <f t="shared" si="73"/>
        <v>33</v>
      </c>
      <c r="I1146" s="197">
        <v>8</v>
      </c>
      <c r="J1146" s="197">
        <v>11</v>
      </c>
      <c r="K1146" s="186">
        <f t="shared" si="79"/>
        <v>45880</v>
      </c>
      <c r="L1146" s="3" t="s">
        <v>2391</v>
      </c>
      <c r="M1146" s="3" t="s">
        <v>1468</v>
      </c>
      <c r="N1146" s="3" t="str">
        <f>IF(O1146&lt;&gt;"", "NG", "")</f>
        <v/>
      </c>
    </row>
    <row r="1147" spans="1:20">
      <c r="A1147" s="3">
        <v>5919</v>
      </c>
      <c r="B1147" s="83">
        <f t="array" ref="B1147">SUM(--(FREQUENCY(IF(C$2:C$3074=C1147, MATCH(D$2:D$3074, D$2:D$3074, 0)), ROW(D$2:D$3074)-ROW(D$2)+1) &gt; 0))</f>
        <v>20</v>
      </c>
      <c r="C1147" s="3">
        <v>41200033</v>
      </c>
      <c r="D1147" s="6" t="s">
        <v>2681</v>
      </c>
      <c r="E1147" s="3" t="s">
        <v>1426</v>
      </c>
      <c r="F1147" s="3" t="s">
        <v>1476</v>
      </c>
      <c r="G1147" s="68" t="str">
        <f t="shared" si="82"/>
        <v>DUAL</v>
      </c>
      <c r="H1147" s="197">
        <f t="shared" si="73"/>
        <v>33</v>
      </c>
      <c r="I1147" s="197">
        <v>8</v>
      </c>
      <c r="J1147" s="197">
        <v>11</v>
      </c>
      <c r="K1147" s="186">
        <f t="shared" si="79"/>
        <v>45880</v>
      </c>
      <c r="L1147" s="3" t="s">
        <v>2395</v>
      </c>
      <c r="M1147" s="3" t="s">
        <v>1469</v>
      </c>
      <c r="N1147" s="3" t="s">
        <v>2877</v>
      </c>
      <c r="O1147" s="3" t="s">
        <v>2368</v>
      </c>
      <c r="P1147" s="3" t="s">
        <v>5088</v>
      </c>
      <c r="Q1147" s="3">
        <v>11002737</v>
      </c>
      <c r="R1147" s="3" t="s">
        <v>735</v>
      </c>
      <c r="S1147" s="3" t="s">
        <v>5136</v>
      </c>
    </row>
    <row r="1148" spans="1:20">
      <c r="A1148" s="3">
        <v>5637</v>
      </c>
      <c r="B1148" s="83">
        <f t="array" ref="B1148">SUM(--(FREQUENCY(IF(C$2:C$3074=C1148, MATCH(D$2:D$3074, D$2:D$3074, 0)), ROW(D$2:D$3074)-ROW(D$2)+1) &gt; 0))</f>
        <v>20</v>
      </c>
      <c r="C1148" s="3">
        <v>41200125</v>
      </c>
      <c r="D1148" s="6" t="s">
        <v>2685</v>
      </c>
      <c r="E1148" s="3" t="s">
        <v>1585</v>
      </c>
      <c r="F1148" s="3" t="s">
        <v>1476</v>
      </c>
      <c r="G1148" s="68" t="str">
        <f t="shared" si="82"/>
        <v>DUAL</v>
      </c>
      <c r="H1148" s="197">
        <f t="shared" si="73"/>
        <v>33</v>
      </c>
      <c r="I1148" s="197">
        <v>8</v>
      </c>
      <c r="J1148" s="197">
        <v>11</v>
      </c>
      <c r="K1148" s="186">
        <f t="shared" si="79"/>
        <v>45880</v>
      </c>
      <c r="L1148" s="3" t="s">
        <v>2391</v>
      </c>
      <c r="M1148" s="3" t="s">
        <v>1469</v>
      </c>
      <c r="N1148" s="3" t="s">
        <v>2877</v>
      </c>
      <c r="O1148" s="3" t="s">
        <v>2368</v>
      </c>
      <c r="P1148" s="3" t="s">
        <v>5088</v>
      </c>
      <c r="Q1148" s="3">
        <v>11002685</v>
      </c>
      <c r="R1148" s="3" t="s">
        <v>5137</v>
      </c>
      <c r="S1148" s="3" t="s">
        <v>5138</v>
      </c>
    </row>
    <row r="1149" spans="1:20">
      <c r="A1149" s="3">
        <v>5930</v>
      </c>
      <c r="B1149" s="83">
        <f t="array" ref="B1149">SUM(--(FREQUENCY(IF(C$2:C$3074=C1149, MATCH(D$2:D$3074, D$2:D$3074, 0)), ROW(D$2:D$3074)-ROW(D$2)+1) &gt; 0))</f>
        <v>5</v>
      </c>
      <c r="C1149" s="3">
        <v>41000559</v>
      </c>
      <c r="D1149" s="6" t="s">
        <v>5139</v>
      </c>
      <c r="E1149" s="3" t="s">
        <v>1413</v>
      </c>
      <c r="F1149" s="3" t="s">
        <v>1401</v>
      </c>
      <c r="G1149" s="68" t="str">
        <f t="shared" si="82"/>
        <v>SINGLE</v>
      </c>
      <c r="H1149" s="197">
        <f t="shared" si="73"/>
        <v>33</v>
      </c>
      <c r="I1149" s="197">
        <v>8</v>
      </c>
      <c r="J1149" s="197">
        <v>12</v>
      </c>
      <c r="K1149" s="186">
        <f t="shared" si="79"/>
        <v>45881</v>
      </c>
      <c r="L1149" s="3" t="s">
        <v>5127</v>
      </c>
      <c r="M1149" s="3" t="s">
        <v>2392</v>
      </c>
      <c r="N1149" s="3" t="str">
        <f>IF(O1149&lt;&gt;"", "NG", "")</f>
        <v/>
      </c>
    </row>
    <row r="1150" spans="1:20">
      <c r="A1150" s="3">
        <v>5826</v>
      </c>
      <c r="B1150" s="83">
        <f t="array" ref="B1150">SUM(--(FREQUENCY(IF(C$2:C$3074=C1150, MATCH(D$2:D$3074, D$2:D$3074, 0)), ROW(D$2:D$3074)-ROW(D$2)+1) &gt; 0))</f>
        <v>144</v>
      </c>
      <c r="C1150" s="3">
        <v>41200007</v>
      </c>
      <c r="D1150" s="6" t="s">
        <v>2694</v>
      </c>
      <c r="E1150" s="3" t="s">
        <v>1405</v>
      </c>
      <c r="F1150" s="3" t="s">
        <v>1591</v>
      </c>
      <c r="G1150" s="68" t="str">
        <f t="shared" si="82"/>
        <v>SINGLE</v>
      </c>
      <c r="H1150" s="197">
        <f t="shared" si="73"/>
        <v>33</v>
      </c>
      <c r="I1150" s="197">
        <v>8</v>
      </c>
      <c r="J1150" s="197">
        <v>12</v>
      </c>
      <c r="K1150" s="186">
        <f t="shared" si="79"/>
        <v>45881</v>
      </c>
      <c r="L1150" s="3" t="s">
        <v>2391</v>
      </c>
      <c r="M1150" s="3" t="s">
        <v>2392</v>
      </c>
      <c r="N1150" s="3" t="str">
        <f>IF(O1150&lt;&gt;"", "NG", "")</f>
        <v/>
      </c>
    </row>
    <row r="1151" spans="1:20">
      <c r="A1151" s="3">
        <v>5826</v>
      </c>
      <c r="B1151" s="83">
        <f t="array" ref="B1151">SUM(--(FREQUENCY(IF(C$2:C$3074=C1151, MATCH(D$2:D$3074, D$2:D$3074, 0)), ROW(D$2:D$3074)-ROW(D$2)+1) &gt; 0))</f>
        <v>144</v>
      </c>
      <c r="C1151" s="3">
        <v>41200007</v>
      </c>
      <c r="D1151" s="6" t="s">
        <v>2695</v>
      </c>
      <c r="E1151" s="3" t="s">
        <v>1405</v>
      </c>
      <c r="F1151" s="3" t="s">
        <v>1591</v>
      </c>
      <c r="G1151" s="68" t="str">
        <f t="shared" si="82"/>
        <v>SINGLE</v>
      </c>
      <c r="H1151" s="197">
        <f t="shared" ref="H1151:H1188" si="83">WEEKNUM(K1151)</f>
        <v>33</v>
      </c>
      <c r="I1151" s="197">
        <v>8</v>
      </c>
      <c r="J1151" s="197">
        <v>12</v>
      </c>
      <c r="K1151" s="186">
        <f t="shared" si="79"/>
        <v>45881</v>
      </c>
      <c r="L1151" s="3" t="s">
        <v>2391</v>
      </c>
      <c r="M1151" s="3" t="s">
        <v>2392</v>
      </c>
      <c r="N1151" s="3" t="str">
        <f>IF(O1151&lt;&gt;"", "NG", "")</f>
        <v/>
      </c>
    </row>
    <row r="1152" spans="1:20">
      <c r="A1152" s="3">
        <v>5919</v>
      </c>
      <c r="B1152" s="83">
        <f t="array" ref="B1152">SUM(--(FREQUENCY(IF(C$2:C$3074=C1152, MATCH(D$2:D$3074, D$2:D$3074, 0)), ROW(D$2:D$3074)-ROW(D$2)+1) &gt; 0))</f>
        <v>20</v>
      </c>
      <c r="C1152" s="3">
        <v>41200033</v>
      </c>
      <c r="D1152" s="6" t="s">
        <v>2698</v>
      </c>
      <c r="E1152" s="3" t="s">
        <v>1426</v>
      </c>
      <c r="F1152" s="3" t="s">
        <v>1476</v>
      </c>
      <c r="G1152" s="68" t="str">
        <f t="shared" si="82"/>
        <v>DUAL</v>
      </c>
      <c r="H1152" s="197">
        <f t="shared" si="83"/>
        <v>33</v>
      </c>
      <c r="I1152" s="197">
        <v>8</v>
      </c>
      <c r="J1152" s="197">
        <v>12</v>
      </c>
      <c r="K1152" s="186">
        <f t="shared" si="79"/>
        <v>45881</v>
      </c>
      <c r="L1152" s="3" t="s">
        <v>2391</v>
      </c>
      <c r="M1152" s="3" t="s">
        <v>2392</v>
      </c>
      <c r="N1152" s="3" t="s">
        <v>2877</v>
      </c>
      <c r="O1152" s="3" t="s">
        <v>2368</v>
      </c>
      <c r="P1152" s="3" t="s">
        <v>1385</v>
      </c>
      <c r="Q1152" s="3">
        <v>13108723</v>
      </c>
      <c r="R1152" s="3" t="s">
        <v>5140</v>
      </c>
      <c r="S1152" s="3" t="s">
        <v>5141</v>
      </c>
      <c r="T1152" s="3" t="s">
        <v>2880</v>
      </c>
    </row>
    <row r="1153" spans="1:20">
      <c r="A1153" s="3">
        <v>5919</v>
      </c>
      <c r="B1153" s="83">
        <f t="array" ref="B1153">SUM(--(FREQUENCY(IF(C$2:C$3074=C1153, MATCH(D$2:D$3074, D$2:D$3074, 0)), ROW(D$2:D$3074)-ROW(D$2)+1) &gt; 0))</f>
        <v>20</v>
      </c>
      <c r="C1153" s="3">
        <v>41200033</v>
      </c>
      <c r="D1153" s="6" t="s">
        <v>2699</v>
      </c>
      <c r="E1153" s="3" t="s">
        <v>1426</v>
      </c>
      <c r="F1153" s="3" t="s">
        <v>1476</v>
      </c>
      <c r="G1153" s="68" t="str">
        <f t="shared" si="82"/>
        <v>DUAL</v>
      </c>
      <c r="H1153" s="197">
        <f t="shared" si="83"/>
        <v>33</v>
      </c>
      <c r="I1153" s="197">
        <v>8</v>
      </c>
      <c r="J1153" s="197">
        <v>12</v>
      </c>
      <c r="K1153" s="186">
        <f t="shared" si="79"/>
        <v>45881</v>
      </c>
      <c r="L1153" s="3" t="s">
        <v>2391</v>
      </c>
      <c r="M1153" s="3" t="s">
        <v>2392</v>
      </c>
      <c r="N1153" s="3" t="str">
        <f>IF(O1153&lt;&gt;"", "NG", "")</f>
        <v/>
      </c>
    </row>
    <row r="1154" spans="1:20">
      <c r="A1154" s="3">
        <v>5792</v>
      </c>
      <c r="B1154" s="83">
        <f t="array" ref="B1154">SUM(--(FREQUENCY(IF(C$2:C$3074=C1154, MATCH(D$2:D$3074, D$2:D$3074, 0)), ROW(D$2:D$3074)-ROW(D$2)+1) &gt; 0))</f>
        <v>77</v>
      </c>
      <c r="C1154" s="3">
        <v>41200076</v>
      </c>
      <c r="D1154" s="6" t="s">
        <v>2700</v>
      </c>
      <c r="E1154" s="3" t="s">
        <v>1585</v>
      </c>
      <c r="F1154" s="3" t="s">
        <v>1476</v>
      </c>
      <c r="G1154" s="68" t="str">
        <f t="shared" si="82"/>
        <v>DUAL</v>
      </c>
      <c r="H1154" s="197">
        <f t="shared" si="83"/>
        <v>33</v>
      </c>
      <c r="I1154" s="197">
        <v>8</v>
      </c>
      <c r="J1154" s="197">
        <v>12</v>
      </c>
      <c r="K1154" s="186">
        <f t="shared" si="79"/>
        <v>45881</v>
      </c>
      <c r="L1154" s="3" t="s">
        <v>2391</v>
      </c>
      <c r="M1154" s="3" t="s">
        <v>2392</v>
      </c>
      <c r="N1154" s="3" t="str">
        <f>IF(O1154&lt;&gt;"", "NG", "")</f>
        <v/>
      </c>
    </row>
    <row r="1155" spans="1:20">
      <c r="A1155" s="3">
        <v>5946</v>
      </c>
      <c r="B1155" s="83">
        <f t="array" ref="B1155">SUM(--(FREQUENCY(IF(C$2:C$3074=C1155, MATCH(D$2:D$3074, D$2:D$3074, 0)), ROW(D$2:D$3074)-ROW(D$2)+1) &gt; 0))</f>
        <v>77</v>
      </c>
      <c r="C1155" s="3">
        <v>41200076</v>
      </c>
      <c r="D1155" s="6" t="s">
        <v>2701</v>
      </c>
      <c r="E1155" s="3" t="s">
        <v>1585</v>
      </c>
      <c r="F1155" s="3" t="s">
        <v>1476</v>
      </c>
      <c r="G1155" s="68" t="str">
        <f t="shared" si="82"/>
        <v>DUAL</v>
      </c>
      <c r="H1155" s="197">
        <f t="shared" si="83"/>
        <v>33</v>
      </c>
      <c r="I1155" s="197">
        <v>8</v>
      </c>
      <c r="J1155" s="197">
        <v>12</v>
      </c>
      <c r="K1155" s="186">
        <f t="shared" si="79"/>
        <v>45881</v>
      </c>
      <c r="L1155" s="3" t="s">
        <v>2395</v>
      </c>
      <c r="M1155" s="3" t="s">
        <v>1468</v>
      </c>
      <c r="N1155" s="3" t="str">
        <f>IF(O1155&lt;&gt;"", "NG", "")</f>
        <v/>
      </c>
    </row>
    <row r="1156" spans="1:20">
      <c r="A1156" s="3">
        <v>5946</v>
      </c>
      <c r="B1156" s="83">
        <f t="array" ref="B1156">SUM(--(FREQUENCY(IF(C$2:C$3074=C1156, MATCH(D$2:D$3074, D$2:D$3074, 0)), ROW(D$2:D$3074)-ROW(D$2)+1) &gt; 0))</f>
        <v>77</v>
      </c>
      <c r="C1156" s="3">
        <v>41200076</v>
      </c>
      <c r="D1156" s="6" t="s">
        <v>2703</v>
      </c>
      <c r="E1156" s="3" t="s">
        <v>1585</v>
      </c>
      <c r="F1156" s="3" t="s">
        <v>1476</v>
      </c>
      <c r="G1156" s="68" t="str">
        <f t="shared" si="82"/>
        <v>DUAL</v>
      </c>
      <c r="H1156" s="197">
        <f t="shared" si="83"/>
        <v>33</v>
      </c>
      <c r="I1156" s="197">
        <v>8</v>
      </c>
      <c r="J1156" s="197">
        <v>12</v>
      </c>
      <c r="K1156" s="186">
        <f t="shared" si="79"/>
        <v>45881</v>
      </c>
      <c r="L1156" s="3" t="s">
        <v>2395</v>
      </c>
      <c r="M1156" s="3" t="s">
        <v>1468</v>
      </c>
      <c r="N1156" s="3" t="s">
        <v>2877</v>
      </c>
      <c r="O1156" s="3" t="s">
        <v>2368</v>
      </c>
      <c r="P1156" s="3" t="s">
        <v>5088</v>
      </c>
      <c r="Q1156" s="3">
        <v>11002283</v>
      </c>
      <c r="R1156" s="3" t="s">
        <v>932</v>
      </c>
      <c r="S1156" s="3" t="s">
        <v>5102</v>
      </c>
      <c r="T1156" s="3" t="s">
        <v>2880</v>
      </c>
    </row>
    <row r="1157" spans="1:20">
      <c r="A1157" s="3">
        <v>5787</v>
      </c>
      <c r="B1157" s="83">
        <f t="array" ref="B1157">SUM(--(FREQUENCY(IF(C$2:C$3074=C1157, MATCH(D$2:D$3074, D$2:D$3074, 0)), ROW(D$2:D$3074)-ROW(D$2)+1) &gt; 0))</f>
        <v>51</v>
      </c>
      <c r="C1157" s="3">
        <v>41200034</v>
      </c>
      <c r="D1157" s="6" t="s">
        <v>2706</v>
      </c>
      <c r="E1157" s="3" t="s">
        <v>1426</v>
      </c>
      <c r="F1157" s="3" t="s">
        <v>1476</v>
      </c>
      <c r="G1157" s="68" t="str">
        <f t="shared" si="82"/>
        <v>DUAL</v>
      </c>
      <c r="H1157" s="197">
        <f t="shared" si="83"/>
        <v>33</v>
      </c>
      <c r="I1157" s="197">
        <v>8</v>
      </c>
      <c r="J1157" s="197">
        <v>12</v>
      </c>
      <c r="K1157" s="186">
        <f t="shared" si="79"/>
        <v>45881</v>
      </c>
      <c r="L1157" s="3" t="s">
        <v>2391</v>
      </c>
      <c r="M1157" s="3" t="s">
        <v>1468</v>
      </c>
      <c r="N1157" s="3" t="str">
        <f>IF(O1157&lt;&gt;"", "NG", "")</f>
        <v/>
      </c>
    </row>
    <row r="1158" spans="1:20">
      <c r="A1158" s="3">
        <v>5889</v>
      </c>
      <c r="B1158" s="83">
        <f t="array" ref="B1158">SUM(--(FREQUENCY(IF(C$2:C$3074=C1158, MATCH(D$2:D$3074, D$2:D$3074, 0)), ROW(D$2:D$3074)-ROW(D$2)+1) &gt; 0))</f>
        <v>32</v>
      </c>
      <c r="C1158" s="3">
        <v>41200127</v>
      </c>
      <c r="D1158" s="6" t="s">
        <v>2707</v>
      </c>
      <c r="E1158" s="3" t="s">
        <v>1431</v>
      </c>
      <c r="F1158" s="3" t="s">
        <v>1591</v>
      </c>
      <c r="G1158" s="68" t="str">
        <f t="shared" si="82"/>
        <v>SINGLE</v>
      </c>
      <c r="H1158" s="197">
        <f t="shared" si="83"/>
        <v>33</v>
      </c>
      <c r="I1158" s="197">
        <v>8</v>
      </c>
      <c r="J1158" s="197">
        <v>13</v>
      </c>
      <c r="K1158" s="186">
        <f t="shared" si="79"/>
        <v>45882</v>
      </c>
      <c r="L1158" s="3" t="s">
        <v>2391</v>
      </c>
      <c r="M1158" s="3" t="s">
        <v>2392</v>
      </c>
      <c r="N1158" s="3" t="str">
        <f>IF(O1158&lt;&gt;"", "NG", "")</f>
        <v/>
      </c>
    </row>
    <row r="1159" spans="1:20">
      <c r="A1159" s="3">
        <v>5889</v>
      </c>
      <c r="B1159" s="83">
        <f t="array" ref="B1159">SUM(--(FREQUENCY(IF(C$2:C$3074=C1159, MATCH(D$2:D$3074, D$2:D$3074, 0)), ROW(D$2:D$3074)-ROW(D$2)+1) &gt; 0))</f>
        <v>32</v>
      </c>
      <c r="C1159" s="3">
        <v>41200127</v>
      </c>
      <c r="D1159" s="6" t="s">
        <v>2708</v>
      </c>
      <c r="E1159" s="3" t="s">
        <v>1431</v>
      </c>
      <c r="F1159" s="3" t="s">
        <v>1591</v>
      </c>
      <c r="G1159" s="68" t="str">
        <f t="shared" si="82"/>
        <v>SINGLE</v>
      </c>
      <c r="H1159" s="197">
        <f t="shared" si="83"/>
        <v>33</v>
      </c>
      <c r="I1159" s="197">
        <v>8</v>
      </c>
      <c r="J1159" s="197">
        <v>13</v>
      </c>
      <c r="K1159" s="186">
        <f t="shared" si="79"/>
        <v>45882</v>
      </c>
      <c r="L1159" s="3" t="s">
        <v>2391</v>
      </c>
      <c r="M1159" s="3" t="s">
        <v>2392</v>
      </c>
      <c r="N1159" s="3" t="str">
        <f>IF(O1159&lt;&gt;"", "NG", "")</f>
        <v/>
      </c>
    </row>
    <row r="1160" spans="1:20">
      <c r="A1160" s="3">
        <v>5771</v>
      </c>
      <c r="B1160" s="83">
        <f t="array" ref="B1160">SUM(--(FREQUENCY(IF(C$2:C$3074=C1160, MATCH(D$2:D$3074, D$2:D$3074, 0)), ROW(D$2:D$3074)-ROW(D$2)+1) &gt; 0))</f>
        <v>77</v>
      </c>
      <c r="C1160" s="3">
        <v>41200076</v>
      </c>
      <c r="D1160" s="6" t="s">
        <v>2709</v>
      </c>
      <c r="E1160" s="3" t="s">
        <v>1585</v>
      </c>
      <c r="F1160" s="3" t="s">
        <v>1476</v>
      </c>
      <c r="G1160" s="68" t="str">
        <f t="shared" si="82"/>
        <v>DUAL</v>
      </c>
      <c r="H1160" s="197">
        <f t="shared" si="83"/>
        <v>33</v>
      </c>
      <c r="I1160" s="197">
        <v>8</v>
      </c>
      <c r="J1160" s="197">
        <v>13</v>
      </c>
      <c r="K1160" s="186">
        <f t="shared" si="79"/>
        <v>45882</v>
      </c>
      <c r="L1160" s="3" t="s">
        <v>2395</v>
      </c>
      <c r="M1160" s="3" t="s">
        <v>2392</v>
      </c>
      <c r="N1160" s="3" t="str">
        <f>IF(O1160&lt;&gt;"", "NG", "")</f>
        <v/>
      </c>
    </row>
    <row r="1161" spans="1:20">
      <c r="A1161" s="3">
        <v>5787</v>
      </c>
      <c r="B1161" s="83">
        <f t="array" ref="B1161">SUM(--(FREQUENCY(IF(C$2:C$3074=C1161, MATCH(D$2:D$3074, D$2:D$3074, 0)), ROW(D$2:D$3074)-ROW(D$2)+1) &gt; 0))</f>
        <v>51</v>
      </c>
      <c r="C1161" s="3">
        <v>41200034</v>
      </c>
      <c r="D1161" s="6" t="s">
        <v>2710</v>
      </c>
      <c r="E1161" s="3" t="s">
        <v>1426</v>
      </c>
      <c r="F1161" s="3" t="s">
        <v>1476</v>
      </c>
      <c r="G1161" s="68" t="str">
        <f t="shared" si="82"/>
        <v>DUAL</v>
      </c>
      <c r="H1161" s="197">
        <f t="shared" si="83"/>
        <v>33</v>
      </c>
      <c r="I1161" s="197">
        <v>8</v>
      </c>
      <c r="J1161" s="197">
        <v>13</v>
      </c>
      <c r="K1161" s="186">
        <f t="shared" si="79"/>
        <v>45882</v>
      </c>
      <c r="L1161" s="3" t="s">
        <v>2391</v>
      </c>
      <c r="M1161" s="3" t="s">
        <v>1468</v>
      </c>
      <c r="N1161" s="3" t="str">
        <f>IF(O1161&lt;&gt;"", "NG", "")</f>
        <v/>
      </c>
    </row>
    <row r="1162" spans="1:20">
      <c r="A1162" s="3">
        <v>5774</v>
      </c>
      <c r="B1162" s="83">
        <f t="array" ref="B1162">SUM(--(FREQUENCY(IF(C$2:C$3074=C1162, MATCH(D$2:D$3074, D$2:D$3074, 0)), ROW(D$2:D$3074)-ROW(D$2)+1) &gt; 0))</f>
        <v>33</v>
      </c>
      <c r="C1162" s="3">
        <v>41100435</v>
      </c>
      <c r="D1162" s="6" t="s">
        <v>2711</v>
      </c>
      <c r="E1162" s="3" t="s">
        <v>1585</v>
      </c>
      <c r="F1162" s="3" t="s">
        <v>1482</v>
      </c>
      <c r="G1162" s="41" t="str">
        <f t="shared" si="82"/>
        <v>SINGLE</v>
      </c>
      <c r="H1162" s="197">
        <f t="shared" si="83"/>
        <v>33</v>
      </c>
      <c r="I1162" s="197">
        <v>8</v>
      </c>
      <c r="J1162" s="197">
        <v>13</v>
      </c>
      <c r="K1162" s="186">
        <f t="shared" si="79"/>
        <v>45882</v>
      </c>
      <c r="L1162" s="3" t="s">
        <v>2391</v>
      </c>
      <c r="M1162" s="3" t="s">
        <v>1468</v>
      </c>
      <c r="N1162" s="3" t="s">
        <v>2877</v>
      </c>
      <c r="O1162" s="3" t="s">
        <v>1569</v>
      </c>
      <c r="P1162" s="3" t="s">
        <v>1385</v>
      </c>
      <c r="Q1162" s="3">
        <v>11006077</v>
      </c>
      <c r="R1162" s="3" t="s">
        <v>473</v>
      </c>
      <c r="S1162" s="3" t="s">
        <v>5142</v>
      </c>
    </row>
    <row r="1163" spans="1:20">
      <c r="A1163" s="3">
        <v>5774</v>
      </c>
      <c r="B1163" s="83">
        <f t="array" ref="B1163">SUM(--(FREQUENCY(IF(C$2:C$3074=C1163, MATCH(D$2:D$3074, D$2:D$3074, 0)), ROW(D$2:D$3074)-ROW(D$2)+1) &gt; 0))</f>
        <v>33</v>
      </c>
      <c r="C1163" s="3">
        <v>41100435</v>
      </c>
      <c r="D1163" s="6" t="s">
        <v>2711</v>
      </c>
      <c r="E1163" s="3" t="s">
        <v>1585</v>
      </c>
      <c r="F1163" s="3" t="s">
        <v>1482</v>
      </c>
      <c r="G1163" s="41" t="str">
        <f t="shared" si="82"/>
        <v>SINGLE</v>
      </c>
      <c r="H1163" s="197">
        <f t="shared" si="83"/>
        <v>33</v>
      </c>
      <c r="I1163" s="197">
        <v>8</v>
      </c>
      <c r="J1163" s="197">
        <v>13</v>
      </c>
      <c r="K1163" s="186">
        <f t="shared" si="79"/>
        <v>45882</v>
      </c>
      <c r="L1163" s="3" t="s">
        <v>2391</v>
      </c>
      <c r="M1163" s="3" t="s">
        <v>1468</v>
      </c>
      <c r="N1163" s="3" t="s">
        <v>2877</v>
      </c>
      <c r="O1163" s="3" t="s">
        <v>2368</v>
      </c>
      <c r="P1163" s="3" t="s">
        <v>5088</v>
      </c>
      <c r="Q1163" s="3">
        <v>11002737</v>
      </c>
      <c r="R1163" s="3" t="s">
        <v>735</v>
      </c>
      <c r="S1163" s="3" t="s">
        <v>5143</v>
      </c>
    </row>
    <row r="1164" spans="1:20">
      <c r="A1164" s="3">
        <v>5959</v>
      </c>
      <c r="B1164" s="83">
        <f t="array" ref="B1164">SUM(--(FREQUENCY(IF(C$2:C$3074=C1164, MATCH(D$2:D$3074, D$2:D$3074, 0)), ROW(D$2:D$3074)-ROW(D$2)+1) &gt; 0))</f>
        <v>6</v>
      </c>
      <c r="C1164" s="3">
        <v>41000544</v>
      </c>
      <c r="D1164" s="6" t="s">
        <v>2712</v>
      </c>
      <c r="E1164" s="3" t="s">
        <v>1405</v>
      </c>
      <c r="F1164" s="3" t="s">
        <v>1476</v>
      </c>
      <c r="G1164" s="41" t="str">
        <f t="shared" si="82"/>
        <v>DUAL</v>
      </c>
      <c r="H1164" s="197">
        <f t="shared" si="83"/>
        <v>33</v>
      </c>
      <c r="I1164" s="197">
        <v>8</v>
      </c>
      <c r="J1164" s="197">
        <v>13</v>
      </c>
      <c r="K1164" s="186">
        <f t="shared" si="79"/>
        <v>45882</v>
      </c>
      <c r="L1164" s="3" t="s">
        <v>2391</v>
      </c>
      <c r="M1164" s="3" t="s">
        <v>1468</v>
      </c>
      <c r="N1164" s="3" t="s">
        <v>2877</v>
      </c>
      <c r="O1164" s="3" t="s">
        <v>2368</v>
      </c>
      <c r="P1164" s="3" t="s">
        <v>2414</v>
      </c>
      <c r="Q1164" s="3">
        <v>11000172</v>
      </c>
      <c r="R1164" s="3" t="s">
        <v>1151</v>
      </c>
      <c r="S1164" s="3" t="s">
        <v>5144</v>
      </c>
    </row>
    <row r="1165" spans="1:20">
      <c r="A1165" s="3">
        <v>5959</v>
      </c>
      <c r="B1165" s="83">
        <f t="array" ref="B1165">SUM(--(FREQUENCY(IF(C$2:C$3074=C1165, MATCH(D$2:D$3074, D$2:D$3074, 0)), ROW(D$2:D$3074)-ROW(D$2)+1) &gt; 0))</f>
        <v>6</v>
      </c>
      <c r="C1165" s="3">
        <v>41000544</v>
      </c>
      <c r="D1165" s="6" t="s">
        <v>2712</v>
      </c>
      <c r="E1165" s="3" t="s">
        <v>1405</v>
      </c>
      <c r="F1165" s="3" t="s">
        <v>1476</v>
      </c>
      <c r="G1165" s="41" t="str">
        <f t="shared" si="82"/>
        <v>DUAL</v>
      </c>
      <c r="H1165" s="197">
        <f t="shared" si="83"/>
        <v>33</v>
      </c>
      <c r="I1165" s="197">
        <v>8</v>
      </c>
      <c r="J1165" s="197">
        <v>13</v>
      </c>
      <c r="K1165" s="186">
        <f t="shared" si="79"/>
        <v>45882</v>
      </c>
      <c r="L1165" s="3" t="s">
        <v>2391</v>
      </c>
      <c r="M1165" s="3" t="s">
        <v>1468</v>
      </c>
      <c r="N1165" s="3" t="s">
        <v>2877</v>
      </c>
      <c r="O1165" s="3" t="s">
        <v>2368</v>
      </c>
      <c r="P1165" s="3" t="s">
        <v>2496</v>
      </c>
      <c r="Q1165" s="3">
        <v>11100776</v>
      </c>
      <c r="R1165" s="3" t="s">
        <v>69</v>
      </c>
      <c r="S1165" s="3" t="s">
        <v>5145</v>
      </c>
    </row>
    <row r="1166" spans="1:20">
      <c r="A1166" s="3">
        <v>5959</v>
      </c>
      <c r="B1166" s="83">
        <f t="array" ref="B1166">SUM(--(FREQUENCY(IF(C$2:C$3074=C1166, MATCH(D$2:D$3074, D$2:D$3074, 0)), ROW(D$2:D$3074)-ROW(D$2)+1) &gt; 0))</f>
        <v>6</v>
      </c>
      <c r="C1166" s="3">
        <v>41000544</v>
      </c>
      <c r="D1166" s="6" t="s">
        <v>2712</v>
      </c>
      <c r="E1166" s="3" t="s">
        <v>1405</v>
      </c>
      <c r="F1166" s="3" t="s">
        <v>1476</v>
      </c>
      <c r="G1166" s="41" t="str">
        <f t="shared" si="82"/>
        <v>DUAL</v>
      </c>
      <c r="H1166" s="197">
        <f t="shared" si="83"/>
        <v>33</v>
      </c>
      <c r="I1166" s="197">
        <v>8</v>
      </c>
      <c r="J1166" s="197">
        <v>13</v>
      </c>
      <c r="K1166" s="186">
        <f t="shared" si="79"/>
        <v>45882</v>
      </c>
      <c r="L1166" s="3" t="s">
        <v>2391</v>
      </c>
      <c r="M1166" s="3" t="s">
        <v>1468</v>
      </c>
      <c r="N1166" s="3" t="s">
        <v>2877</v>
      </c>
      <c r="O1166" s="3" t="s">
        <v>2368</v>
      </c>
      <c r="P1166" s="3" t="s">
        <v>5088</v>
      </c>
      <c r="Q1166" s="3">
        <v>11100934</v>
      </c>
      <c r="R1166" s="3" t="s">
        <v>932</v>
      </c>
      <c r="S1166" s="3" t="s">
        <v>5146</v>
      </c>
    </row>
    <row r="1167" spans="1:20">
      <c r="A1167" s="3">
        <v>5921</v>
      </c>
      <c r="B1167" s="83">
        <f t="array" ref="B1167">SUM(--(FREQUENCY(IF(C$2:C$3074=C1167, MATCH(D$2:D$3074, D$2:D$3074, 0)), ROW(D$2:D$3074)-ROW(D$2)+1) &gt; 0))</f>
        <v>43</v>
      </c>
      <c r="C1167" s="3">
        <v>41200046</v>
      </c>
      <c r="D1167" s="6" t="s">
        <v>2713</v>
      </c>
      <c r="E1167" s="3" t="s">
        <v>1426</v>
      </c>
      <c r="F1167" s="3" t="s">
        <v>1476</v>
      </c>
      <c r="G1167" s="68" t="str">
        <f t="shared" si="82"/>
        <v>DUAL</v>
      </c>
      <c r="H1167" s="197">
        <f t="shared" si="83"/>
        <v>33</v>
      </c>
      <c r="I1167" s="197">
        <v>8</v>
      </c>
      <c r="J1167" s="197">
        <v>13</v>
      </c>
      <c r="K1167" s="186">
        <f t="shared" si="79"/>
        <v>45882</v>
      </c>
      <c r="L1167" s="3" t="s">
        <v>2395</v>
      </c>
      <c r="M1167" s="3" t="s">
        <v>1469</v>
      </c>
      <c r="N1167" s="3" t="s">
        <v>2877</v>
      </c>
      <c r="O1167" s="3" t="s">
        <v>1569</v>
      </c>
      <c r="P1167" s="3" t="s">
        <v>5092</v>
      </c>
      <c r="Q1167" s="3">
        <v>12100990</v>
      </c>
      <c r="R1167" s="3" t="s">
        <v>5147</v>
      </c>
      <c r="S1167" s="3" t="s">
        <v>5148</v>
      </c>
      <c r="T1167" s="3" t="s">
        <v>2880</v>
      </c>
    </row>
    <row r="1168" spans="1:20">
      <c r="A1168" s="3">
        <v>5921</v>
      </c>
      <c r="B1168" s="83">
        <f t="array" ref="B1168">SUM(--(FREQUENCY(IF(C$2:C$3074=C1168, MATCH(D$2:D$3074, D$2:D$3074, 0)), ROW(D$2:D$3074)-ROW(D$2)+1) &gt; 0))</f>
        <v>43</v>
      </c>
      <c r="C1168" s="3">
        <v>41200046</v>
      </c>
      <c r="D1168" s="6" t="s">
        <v>2714</v>
      </c>
      <c r="E1168" s="3" t="s">
        <v>1426</v>
      </c>
      <c r="F1168" s="3" t="s">
        <v>1476</v>
      </c>
      <c r="G1168" s="68" t="str">
        <f t="shared" si="82"/>
        <v>DUAL</v>
      </c>
      <c r="H1168" s="197">
        <f t="shared" si="83"/>
        <v>33</v>
      </c>
      <c r="I1168" s="197">
        <v>8</v>
      </c>
      <c r="J1168" s="197">
        <v>13</v>
      </c>
      <c r="K1168" s="186">
        <f t="shared" si="79"/>
        <v>45882</v>
      </c>
      <c r="L1168" s="3" t="s">
        <v>2395</v>
      </c>
      <c r="M1168" s="3" t="s">
        <v>1469</v>
      </c>
      <c r="N1168" s="3" t="str">
        <f t="shared" ref="N1168:N1199" si="84">IF(O1168&lt;&gt;"", "NG", "")</f>
        <v/>
      </c>
    </row>
    <row r="1169" spans="1:19">
      <c r="A1169" s="3">
        <v>5772</v>
      </c>
      <c r="B1169" s="83">
        <f t="array" ref="B1169">SUM(--(FREQUENCY(IF(C$2:C$3074=C1169, MATCH(D$2:D$3074, D$2:D$3074, 0)), ROW(D$2:D$3074)-ROW(D$2)+1) &gt; 0))</f>
        <v>11</v>
      </c>
      <c r="C1169" s="3">
        <v>41100374</v>
      </c>
      <c r="D1169" s="6" t="s">
        <v>2719</v>
      </c>
      <c r="E1169" s="3" t="s">
        <v>1585</v>
      </c>
      <c r="F1169" s="3" t="s">
        <v>1476</v>
      </c>
      <c r="G1169" s="68" t="str">
        <f t="shared" ref="G1169:G1200" si="85">IF(OR(ISNUMBER(SEARCH("DUAL",F1169)), ISNUMBER(SEARCH("IVAS",F1169))), "DUAL", "SINGLE")</f>
        <v>DUAL</v>
      </c>
      <c r="H1169" s="197">
        <f t="shared" si="83"/>
        <v>33</v>
      </c>
      <c r="I1169" s="197">
        <v>8</v>
      </c>
      <c r="J1169" s="197">
        <v>14</v>
      </c>
      <c r="K1169" s="186">
        <f t="shared" si="79"/>
        <v>45883</v>
      </c>
      <c r="L1169" s="3" t="s">
        <v>2395</v>
      </c>
      <c r="M1169" s="3" t="s">
        <v>2392</v>
      </c>
      <c r="N1169" s="3" t="str">
        <f t="shared" si="84"/>
        <v/>
      </c>
    </row>
    <row r="1170" spans="1:19">
      <c r="A1170" s="3">
        <v>5800</v>
      </c>
      <c r="B1170" s="83">
        <f t="array" ref="B1170">SUM(--(FREQUENCY(IF(C$2:C$3074=C1170, MATCH(D$2:D$3074, D$2:D$3074, 0)), ROW(D$2:D$3074)-ROW(D$2)+1) &gt; 0))</f>
        <v>11</v>
      </c>
      <c r="C1170" s="3">
        <v>41200105</v>
      </c>
      <c r="D1170" s="6" t="s">
        <v>2721</v>
      </c>
      <c r="E1170" s="3" t="s">
        <v>1424</v>
      </c>
      <c r="F1170" s="3" t="s">
        <v>1476</v>
      </c>
      <c r="G1170" s="68" t="str">
        <f t="shared" si="85"/>
        <v>DUAL</v>
      </c>
      <c r="H1170" s="197">
        <f t="shared" si="83"/>
        <v>33</v>
      </c>
      <c r="I1170" s="197">
        <v>8</v>
      </c>
      <c r="J1170" s="197">
        <v>14</v>
      </c>
      <c r="K1170" s="186">
        <f t="shared" si="79"/>
        <v>45883</v>
      </c>
      <c r="L1170" s="3" t="s">
        <v>2391</v>
      </c>
      <c r="M1170" s="3" t="s">
        <v>2392</v>
      </c>
      <c r="N1170" s="3" t="str">
        <f t="shared" si="84"/>
        <v/>
      </c>
    </row>
    <row r="1171" spans="1:19">
      <c r="A1171" s="3">
        <v>5904</v>
      </c>
      <c r="B1171" s="83">
        <f t="array" ref="B1171">SUM(--(FREQUENCY(IF(C$2:C$3074=C1171, MATCH(D$2:D$3074, D$2:D$3074, 0)), ROW(D$2:D$3074)-ROW(D$2)+1) &gt; 0))</f>
        <v>6</v>
      </c>
      <c r="C1171" s="3">
        <v>41200133</v>
      </c>
      <c r="D1171" s="6" t="s">
        <v>2722</v>
      </c>
      <c r="E1171" s="3" t="s">
        <v>1429</v>
      </c>
      <c r="F1171" s="3" t="s">
        <v>1476</v>
      </c>
      <c r="G1171" s="68" t="str">
        <f t="shared" si="85"/>
        <v>DUAL</v>
      </c>
      <c r="H1171" s="197">
        <f t="shared" si="83"/>
        <v>33</v>
      </c>
      <c r="I1171" s="197">
        <v>8</v>
      </c>
      <c r="J1171" s="197">
        <v>14</v>
      </c>
      <c r="K1171" s="186">
        <f t="shared" si="79"/>
        <v>45883</v>
      </c>
      <c r="L1171" s="3" t="s">
        <v>2391</v>
      </c>
      <c r="M1171" s="3" t="s">
        <v>1468</v>
      </c>
      <c r="N1171" s="3" t="str">
        <f t="shared" si="84"/>
        <v/>
      </c>
    </row>
    <row r="1172" spans="1:19">
      <c r="A1172" s="3">
        <v>5926</v>
      </c>
      <c r="B1172" s="83">
        <f t="array" ref="B1172">SUM(--(FREQUENCY(IF(C$2:C$3074=C1172, MATCH(D$2:D$3074, D$2:D$3074, 0)), ROW(D$2:D$3074)-ROW(D$2)+1) &gt; 0))</f>
        <v>25</v>
      </c>
      <c r="C1172" s="3">
        <v>41200128</v>
      </c>
      <c r="D1172" s="6" t="s">
        <v>2723</v>
      </c>
      <c r="E1172" s="3" t="s">
        <v>1429</v>
      </c>
      <c r="F1172" s="3" t="s">
        <v>1591</v>
      </c>
      <c r="G1172" s="68" t="str">
        <f t="shared" si="85"/>
        <v>SINGLE</v>
      </c>
      <c r="H1172" s="197">
        <f t="shared" si="83"/>
        <v>33</v>
      </c>
      <c r="I1172" s="197">
        <v>8</v>
      </c>
      <c r="J1172" s="197">
        <v>14</v>
      </c>
      <c r="K1172" s="186">
        <f t="shared" si="79"/>
        <v>45883</v>
      </c>
      <c r="L1172" s="3" t="s">
        <v>2391</v>
      </c>
      <c r="M1172" s="3" t="s">
        <v>1468</v>
      </c>
      <c r="N1172" s="3" t="str">
        <f t="shared" si="84"/>
        <v/>
      </c>
    </row>
    <row r="1173" spans="1:19">
      <c r="A1173" s="3">
        <v>5921</v>
      </c>
      <c r="B1173" s="83">
        <f t="array" ref="B1173">SUM(--(FREQUENCY(IF(C$2:C$3074=C1173, MATCH(D$2:D$3074, D$2:D$3074, 0)), ROW(D$2:D$3074)-ROW(D$2)+1) &gt; 0))</f>
        <v>43</v>
      </c>
      <c r="C1173" s="3">
        <v>41200046</v>
      </c>
      <c r="D1173" s="6" t="s">
        <v>2724</v>
      </c>
      <c r="E1173" s="3" t="s">
        <v>1426</v>
      </c>
      <c r="F1173" s="3" t="s">
        <v>1476</v>
      </c>
      <c r="G1173" s="68" t="str">
        <f t="shared" si="85"/>
        <v>DUAL</v>
      </c>
      <c r="H1173" s="197">
        <f t="shared" si="83"/>
        <v>33</v>
      </c>
      <c r="I1173" s="197">
        <v>8</v>
      </c>
      <c r="J1173" s="197">
        <v>14</v>
      </c>
      <c r="K1173" s="186">
        <f t="shared" si="79"/>
        <v>45883</v>
      </c>
      <c r="L1173" s="3" t="s">
        <v>2395</v>
      </c>
      <c r="M1173" s="3" t="s">
        <v>1469</v>
      </c>
      <c r="N1173" s="3" t="str">
        <f t="shared" si="84"/>
        <v/>
      </c>
    </row>
    <row r="1174" spans="1:19">
      <c r="A1174" s="3">
        <v>5921</v>
      </c>
      <c r="B1174" s="83">
        <f t="array" ref="B1174">SUM(--(FREQUENCY(IF(C$2:C$3074=C1174, MATCH(D$2:D$3074, D$2:D$3074, 0)), ROW(D$2:D$3074)-ROW(D$2)+1) &gt; 0))</f>
        <v>43</v>
      </c>
      <c r="C1174" s="3">
        <v>41200046</v>
      </c>
      <c r="D1174" s="6" t="s">
        <v>2726</v>
      </c>
      <c r="E1174" s="3" t="s">
        <v>1426</v>
      </c>
      <c r="F1174" s="3" t="s">
        <v>1476</v>
      </c>
      <c r="G1174" s="68" t="str">
        <f t="shared" si="85"/>
        <v>DUAL</v>
      </c>
      <c r="H1174" s="197">
        <f t="shared" si="83"/>
        <v>33</v>
      </c>
      <c r="I1174" s="197">
        <v>8</v>
      </c>
      <c r="J1174" s="197">
        <v>14</v>
      </c>
      <c r="K1174" s="186">
        <f t="shared" si="79"/>
        <v>45883</v>
      </c>
      <c r="L1174" s="3" t="s">
        <v>2395</v>
      </c>
      <c r="M1174" s="3" t="s">
        <v>1469</v>
      </c>
      <c r="N1174" s="3" t="str">
        <f t="shared" si="84"/>
        <v/>
      </c>
    </row>
    <row r="1175" spans="1:19">
      <c r="A1175" s="3">
        <v>5826</v>
      </c>
      <c r="B1175" s="83">
        <f t="array" ref="B1175">SUM(--(FREQUENCY(IF(C$2:C$3074=C1175, MATCH(D$2:D$3074, D$2:D$3074, 0)), ROW(D$2:D$3074)-ROW(D$2)+1) &gt; 0))</f>
        <v>144</v>
      </c>
      <c r="C1175" s="3">
        <v>41200007</v>
      </c>
      <c r="D1175" s="6" t="s">
        <v>2728</v>
      </c>
      <c r="E1175" s="3" t="s">
        <v>1405</v>
      </c>
      <c r="F1175" s="3" t="s">
        <v>1591</v>
      </c>
      <c r="G1175" s="68" t="str">
        <f t="shared" si="85"/>
        <v>SINGLE</v>
      </c>
      <c r="H1175" s="197">
        <f t="shared" si="83"/>
        <v>34</v>
      </c>
      <c r="I1175" s="197">
        <v>8</v>
      </c>
      <c r="J1175" s="197">
        <v>18</v>
      </c>
      <c r="K1175" s="186">
        <f t="shared" si="79"/>
        <v>45887</v>
      </c>
      <c r="L1175" s="3" t="s">
        <v>2391</v>
      </c>
      <c r="M1175" s="3" t="s">
        <v>2392</v>
      </c>
      <c r="N1175" s="3" t="str">
        <f t="shared" si="84"/>
        <v/>
      </c>
    </row>
    <row r="1176" spans="1:19">
      <c r="A1176" s="3">
        <v>5826</v>
      </c>
      <c r="B1176" s="83">
        <f t="array" ref="B1176">SUM(--(FREQUENCY(IF(C$2:C$3074=C1176, MATCH(D$2:D$3074, D$2:D$3074, 0)), ROW(D$2:D$3074)-ROW(D$2)+1) &gt; 0))</f>
        <v>144</v>
      </c>
      <c r="C1176" s="3">
        <v>41200007</v>
      </c>
      <c r="D1176" s="6" t="s">
        <v>2729</v>
      </c>
      <c r="E1176" s="3" t="s">
        <v>1405</v>
      </c>
      <c r="F1176" s="3" t="s">
        <v>1591</v>
      </c>
      <c r="G1176" s="68" t="str">
        <f t="shared" si="85"/>
        <v>SINGLE</v>
      </c>
      <c r="H1176" s="197">
        <f t="shared" si="83"/>
        <v>34</v>
      </c>
      <c r="I1176" s="197">
        <v>8</v>
      </c>
      <c r="J1176" s="197">
        <v>18</v>
      </c>
      <c r="K1176" s="186">
        <f t="shared" si="79"/>
        <v>45887</v>
      </c>
      <c r="L1176" s="3" t="s">
        <v>2391</v>
      </c>
      <c r="M1176" s="3" t="s">
        <v>2392</v>
      </c>
      <c r="N1176" s="3" t="str">
        <f t="shared" si="84"/>
        <v/>
      </c>
    </row>
    <row r="1177" spans="1:19">
      <c r="A1177" s="3">
        <v>5908</v>
      </c>
      <c r="B1177" s="83">
        <f t="array" ref="B1177">SUM(--(FREQUENCY(IF(C$2:C$3074=C1177, MATCH(D$2:D$3074, D$2:D$3074, 0)), ROW(D$2:D$3074)-ROW(D$2)+1) &gt; 0))</f>
        <v>14</v>
      </c>
      <c r="C1177" s="3">
        <v>41200129</v>
      </c>
      <c r="D1177" s="6" t="s">
        <v>2731</v>
      </c>
      <c r="E1177" s="3" t="s">
        <v>1431</v>
      </c>
      <c r="F1177" s="3" t="s">
        <v>1591</v>
      </c>
      <c r="G1177" s="68" t="str">
        <f t="shared" si="85"/>
        <v>SINGLE</v>
      </c>
      <c r="H1177" s="197">
        <f t="shared" si="83"/>
        <v>34</v>
      </c>
      <c r="I1177" s="197">
        <v>8</v>
      </c>
      <c r="J1177" s="197">
        <v>18</v>
      </c>
      <c r="K1177" s="186">
        <f t="shared" si="79"/>
        <v>45887</v>
      </c>
      <c r="L1177" s="3" t="s">
        <v>2391</v>
      </c>
      <c r="M1177" s="3" t="s">
        <v>1468</v>
      </c>
      <c r="N1177" s="3" t="str">
        <f t="shared" si="84"/>
        <v>NG</v>
      </c>
      <c r="O1177" s="3" t="s">
        <v>2368</v>
      </c>
      <c r="P1177" s="3" t="s">
        <v>2997</v>
      </c>
      <c r="Q1177" s="3">
        <v>11001962</v>
      </c>
      <c r="R1177" s="3" t="s">
        <v>562</v>
      </c>
      <c r="S1177" s="3" t="s">
        <v>5149</v>
      </c>
    </row>
    <row r="1178" spans="1:19">
      <c r="A1178" s="3">
        <v>5808</v>
      </c>
      <c r="B1178" s="83">
        <f t="array" ref="B1178">SUM(--(FREQUENCY(IF(C$2:C$3074=C1178, MATCH(D$2:D$3074, D$2:D$3074, 0)), ROW(D$2:D$3074)-ROW(D$2)+1) &gt; 0))</f>
        <v>2</v>
      </c>
      <c r="C1178" s="3">
        <v>41200150</v>
      </c>
      <c r="D1178" s="6" t="s">
        <v>2732</v>
      </c>
      <c r="E1178" s="3" t="s">
        <v>1424</v>
      </c>
      <c r="F1178" s="3" t="s">
        <v>1476</v>
      </c>
      <c r="G1178" s="68" t="str">
        <f t="shared" si="85"/>
        <v>DUAL</v>
      </c>
      <c r="H1178" s="197">
        <f t="shared" si="83"/>
        <v>34</v>
      </c>
      <c r="I1178" s="197">
        <v>8</v>
      </c>
      <c r="J1178" s="197">
        <v>18</v>
      </c>
      <c r="K1178" s="186">
        <f t="shared" si="79"/>
        <v>45887</v>
      </c>
      <c r="L1178" s="3" t="s">
        <v>2395</v>
      </c>
      <c r="M1178" s="3" t="s">
        <v>1468</v>
      </c>
      <c r="N1178" s="3" t="str">
        <f t="shared" si="84"/>
        <v/>
      </c>
    </row>
    <row r="1179" spans="1:19">
      <c r="A1179" s="3">
        <v>5871</v>
      </c>
      <c r="B1179" s="83">
        <f t="array" ref="B1179">SUM(--(FREQUENCY(IF(C$2:C$3074=C1179, MATCH(D$2:D$3074, D$2:D$3074, 0)), ROW(D$2:D$3074)-ROW(D$2)+1) &gt; 0))</f>
        <v>19</v>
      </c>
      <c r="C1179" s="3">
        <v>41200124</v>
      </c>
      <c r="D1179" s="6" t="s">
        <v>2733</v>
      </c>
      <c r="E1179" s="3" t="s">
        <v>1585</v>
      </c>
      <c r="F1179" s="3" t="s">
        <v>1476</v>
      </c>
      <c r="G1179" s="68" t="str">
        <f t="shared" si="85"/>
        <v>DUAL</v>
      </c>
      <c r="H1179" s="197">
        <f t="shared" si="83"/>
        <v>34</v>
      </c>
      <c r="I1179" s="197">
        <v>8</v>
      </c>
      <c r="J1179" s="197">
        <v>18</v>
      </c>
      <c r="K1179" s="186">
        <f t="shared" si="79"/>
        <v>45887</v>
      </c>
      <c r="L1179" s="3" t="s">
        <v>2395</v>
      </c>
      <c r="M1179" s="3" t="s">
        <v>1469</v>
      </c>
      <c r="N1179" s="3" t="str">
        <f t="shared" si="84"/>
        <v/>
      </c>
    </row>
    <row r="1180" spans="1:19">
      <c r="A1180" s="3">
        <v>5820</v>
      </c>
      <c r="B1180" s="83">
        <f t="array" ref="B1180">SUM(--(FREQUENCY(IF(C$2:C$3074=C1180, MATCH(D$2:D$3074, D$2:D$3074, 0)), ROW(D$2:D$3074)-ROW(D$2)+1) &gt; 0))</f>
        <v>26</v>
      </c>
      <c r="C1180" s="3">
        <v>41000590</v>
      </c>
      <c r="D1180" s="6" t="s">
        <v>2735</v>
      </c>
      <c r="E1180" s="3" t="s">
        <v>1405</v>
      </c>
      <c r="F1180" s="3" t="s">
        <v>1616</v>
      </c>
      <c r="G1180" s="68" t="str">
        <f t="shared" si="85"/>
        <v>SINGLE</v>
      </c>
      <c r="H1180" s="197">
        <f t="shared" si="83"/>
        <v>34</v>
      </c>
      <c r="I1180" s="197">
        <v>8</v>
      </c>
      <c r="J1180" s="197">
        <v>18</v>
      </c>
      <c r="K1180" s="186">
        <f t="shared" si="79"/>
        <v>45887</v>
      </c>
      <c r="L1180" s="3" t="s">
        <v>2392</v>
      </c>
      <c r="M1180" s="3" t="s">
        <v>1469</v>
      </c>
      <c r="N1180" s="3" t="str">
        <f t="shared" si="84"/>
        <v/>
      </c>
    </row>
    <row r="1181" spans="1:19">
      <c r="A1181" s="3">
        <v>5820</v>
      </c>
      <c r="B1181" s="83">
        <f t="array" ref="B1181">SUM(--(FREQUENCY(IF(C$2:C$3074=C1181, MATCH(D$2:D$3074, D$2:D$3074, 0)), ROW(D$2:D$3074)-ROW(D$2)+1) &gt; 0))</f>
        <v>26</v>
      </c>
      <c r="C1181" s="3">
        <v>41000590</v>
      </c>
      <c r="D1181" s="6" t="s">
        <v>2736</v>
      </c>
      <c r="E1181" s="3" t="s">
        <v>1405</v>
      </c>
      <c r="F1181" s="3" t="s">
        <v>1616</v>
      </c>
      <c r="G1181" s="68" t="str">
        <f t="shared" si="85"/>
        <v>SINGLE</v>
      </c>
      <c r="H1181" s="197">
        <f t="shared" si="83"/>
        <v>34</v>
      </c>
      <c r="I1181" s="197">
        <v>8</v>
      </c>
      <c r="J1181" s="197">
        <v>18</v>
      </c>
      <c r="K1181" s="186">
        <f t="shared" si="79"/>
        <v>45887</v>
      </c>
      <c r="L1181" s="3" t="s">
        <v>2392</v>
      </c>
      <c r="M1181" s="3" t="s">
        <v>1469</v>
      </c>
      <c r="N1181" s="3" t="str">
        <f t="shared" si="84"/>
        <v/>
      </c>
    </row>
    <row r="1182" spans="1:19">
      <c r="A1182" s="3">
        <v>5902</v>
      </c>
      <c r="B1182" s="83">
        <f t="array" ref="B1182">SUM(--(FREQUENCY(IF(C$2:C$3074=C1182, MATCH(D$2:D$3074, D$2:D$3074, 0)), ROW(D$2:D$3074)-ROW(D$2)+1) &gt; 0))</f>
        <v>1</v>
      </c>
      <c r="C1182" s="3">
        <v>41200166</v>
      </c>
      <c r="D1182" s="6" t="s">
        <v>2737</v>
      </c>
      <c r="E1182" s="3" t="s">
        <v>1422</v>
      </c>
      <c r="F1182" s="3" t="s">
        <v>1476</v>
      </c>
      <c r="G1182" s="68" t="str">
        <f t="shared" si="85"/>
        <v>DUAL</v>
      </c>
      <c r="H1182" s="197">
        <f t="shared" si="83"/>
        <v>34</v>
      </c>
      <c r="I1182" s="197">
        <v>8</v>
      </c>
      <c r="J1182" s="197">
        <v>19</v>
      </c>
      <c r="K1182" s="186">
        <f t="shared" si="79"/>
        <v>45888</v>
      </c>
      <c r="L1182" s="3" t="s">
        <v>2391</v>
      </c>
      <c r="M1182" s="3" t="s">
        <v>2392</v>
      </c>
      <c r="N1182" s="3" t="str">
        <f t="shared" si="84"/>
        <v/>
      </c>
    </row>
    <row r="1183" spans="1:19">
      <c r="A1183" s="3">
        <v>5968</v>
      </c>
      <c r="B1183" s="83">
        <f t="array" ref="B1183">SUM(--(FREQUENCY(IF(C$2:C$3074=C1183, MATCH(D$2:D$3074, D$2:D$3074, 0)), ROW(D$2:D$3074)-ROW(D$2)+1) &gt; 0))</f>
        <v>2</v>
      </c>
      <c r="C1183" s="3">
        <v>41200137</v>
      </c>
      <c r="D1183" s="6" t="s">
        <v>2738</v>
      </c>
      <c r="E1183" s="3" t="s">
        <v>1405</v>
      </c>
      <c r="F1183" s="3" t="s">
        <v>1581</v>
      </c>
      <c r="G1183" s="68" t="str">
        <f t="shared" si="85"/>
        <v>DUAL</v>
      </c>
      <c r="H1183" s="197">
        <f t="shared" si="83"/>
        <v>34</v>
      </c>
      <c r="I1183" s="197">
        <v>8</v>
      </c>
      <c r="J1183" s="197">
        <v>19</v>
      </c>
      <c r="K1183" s="186">
        <f t="shared" si="79"/>
        <v>45888</v>
      </c>
      <c r="L1183" s="3" t="s">
        <v>2392</v>
      </c>
      <c r="M1183" s="3" t="s">
        <v>2392</v>
      </c>
      <c r="N1183" s="3" t="str">
        <f t="shared" si="84"/>
        <v/>
      </c>
    </row>
    <row r="1184" spans="1:19">
      <c r="A1184" s="3">
        <v>5986</v>
      </c>
      <c r="B1184" s="83">
        <f t="array" ref="B1184">SUM(--(FREQUENCY(IF(C$2:C$3074=C1184, MATCH(D$2:D$3074, D$2:D$3074, 0)), ROW(D$2:D$3074)-ROW(D$2)+1) &gt; 0))</f>
        <v>14</v>
      </c>
      <c r="C1184" s="3">
        <v>41000514</v>
      </c>
      <c r="D1184" s="6" t="s">
        <v>2739</v>
      </c>
      <c r="E1184" s="3" t="s">
        <v>1405</v>
      </c>
      <c r="F1184" s="3" t="s">
        <v>1581</v>
      </c>
      <c r="G1184" s="68" t="str">
        <f t="shared" si="85"/>
        <v>DUAL</v>
      </c>
      <c r="H1184" s="197">
        <f t="shared" si="83"/>
        <v>34</v>
      </c>
      <c r="I1184" s="197">
        <v>8</v>
      </c>
      <c r="J1184" s="197">
        <v>19</v>
      </c>
      <c r="K1184" s="186">
        <f t="shared" si="79"/>
        <v>45888</v>
      </c>
      <c r="L1184" s="3" t="s">
        <v>2395</v>
      </c>
      <c r="M1184" s="3" t="s">
        <v>2392</v>
      </c>
      <c r="N1184" s="3" t="str">
        <f t="shared" si="84"/>
        <v/>
      </c>
    </row>
    <row r="1185" spans="1:19">
      <c r="A1185" s="3">
        <v>5920</v>
      </c>
      <c r="B1185" s="83">
        <f t="array" ref="B1185">SUM(--(FREQUENCY(IF(C$2:C$3074=C1185, MATCH(D$2:D$3074, D$2:D$3074, 0)), ROW(D$2:D$3074)-ROW(D$2)+1) &gt; 0))</f>
        <v>18</v>
      </c>
      <c r="C1185" s="3">
        <v>41200039</v>
      </c>
      <c r="D1185" s="6" t="s">
        <v>2740</v>
      </c>
      <c r="E1185" s="3" t="s">
        <v>1426</v>
      </c>
      <c r="F1185" s="3" t="s">
        <v>1476</v>
      </c>
      <c r="G1185" s="68" t="str">
        <f t="shared" si="85"/>
        <v>DUAL</v>
      </c>
      <c r="H1185" s="197">
        <f t="shared" si="83"/>
        <v>34</v>
      </c>
      <c r="I1185" s="197">
        <v>8</v>
      </c>
      <c r="J1185" s="197">
        <v>19</v>
      </c>
      <c r="K1185" s="186">
        <f t="shared" si="79"/>
        <v>45888</v>
      </c>
      <c r="L1185" s="3" t="s">
        <v>2395</v>
      </c>
      <c r="M1185" s="3" t="s">
        <v>2392</v>
      </c>
      <c r="N1185" s="3" t="str">
        <f t="shared" si="84"/>
        <v/>
      </c>
    </row>
    <row r="1186" spans="1:19">
      <c r="A1186" s="3">
        <v>5771</v>
      </c>
      <c r="B1186" s="83">
        <f t="array" ref="B1186">SUM(--(FREQUENCY(IF(C$2:C$3074=C1186, MATCH(D$2:D$3074, D$2:D$3074, 0)), ROW(D$2:D$3074)-ROW(D$2)+1) &gt; 0))</f>
        <v>77</v>
      </c>
      <c r="C1186" s="3">
        <v>41200076</v>
      </c>
      <c r="D1186" s="6" t="s">
        <v>2741</v>
      </c>
      <c r="E1186" s="3" t="s">
        <v>1585</v>
      </c>
      <c r="F1186" s="3" t="s">
        <v>1476</v>
      </c>
      <c r="G1186" s="68" t="str">
        <f t="shared" si="85"/>
        <v>DUAL</v>
      </c>
      <c r="H1186" s="197">
        <f t="shared" si="83"/>
        <v>34</v>
      </c>
      <c r="I1186" s="197">
        <v>8</v>
      </c>
      <c r="J1186" s="197">
        <v>19</v>
      </c>
      <c r="K1186" s="186">
        <f t="shared" si="79"/>
        <v>45888</v>
      </c>
      <c r="L1186" s="3" t="s">
        <v>2395</v>
      </c>
      <c r="M1186" s="3" t="s">
        <v>1468</v>
      </c>
      <c r="N1186" s="3" t="str">
        <f t="shared" si="84"/>
        <v>NG</v>
      </c>
      <c r="O1186" s="3" t="s">
        <v>2368</v>
      </c>
      <c r="P1186" s="3" t="s">
        <v>1421</v>
      </c>
      <c r="Q1186" s="3">
        <v>11001966</v>
      </c>
      <c r="R1186" s="3" t="s">
        <v>1151</v>
      </c>
      <c r="S1186" s="3" t="s">
        <v>5150</v>
      </c>
    </row>
    <row r="1187" spans="1:19">
      <c r="A1187" s="3">
        <v>5967</v>
      </c>
      <c r="B1187" s="83">
        <f t="array" ref="B1187">SUM(--(FREQUENCY(IF(C$2:C$3074=C1187, MATCH(D$2:D$3074, D$2:D$3074, 0)), ROW(D$2:D$3074)-ROW(D$2)+1) &gt; 0))</f>
        <v>18</v>
      </c>
      <c r="C1187" s="3">
        <v>41000584</v>
      </c>
      <c r="D1187" s="6" t="s">
        <v>2742</v>
      </c>
      <c r="E1187" s="3" t="s">
        <v>1405</v>
      </c>
      <c r="F1187" s="3" t="s">
        <v>1581</v>
      </c>
      <c r="G1187" s="68" t="str">
        <f t="shared" si="85"/>
        <v>DUAL</v>
      </c>
      <c r="H1187" s="197">
        <f t="shared" si="83"/>
        <v>34</v>
      </c>
      <c r="I1187" s="197">
        <v>8</v>
      </c>
      <c r="J1187" s="197">
        <v>19</v>
      </c>
      <c r="K1187" s="186">
        <f t="shared" si="79"/>
        <v>45888</v>
      </c>
      <c r="L1187" s="3" t="s">
        <v>2391</v>
      </c>
      <c r="M1187" s="3" t="s">
        <v>1468</v>
      </c>
      <c r="N1187" s="3" t="str">
        <f t="shared" si="84"/>
        <v>NG</v>
      </c>
      <c r="O1187" s="3" t="s">
        <v>2368</v>
      </c>
      <c r="P1187" s="3" t="s">
        <v>5151</v>
      </c>
      <c r="Q1187" s="3">
        <v>11002283</v>
      </c>
      <c r="R1187" s="3" t="s">
        <v>932</v>
      </c>
      <c r="S1187" s="3" t="s">
        <v>5110</v>
      </c>
    </row>
    <row r="1188" spans="1:19">
      <c r="A1188" s="3">
        <v>5924</v>
      </c>
      <c r="B1188" s="83">
        <f t="array" ref="B1188">SUM(--(FREQUENCY(IF(C$2:C$3074=C1188, MATCH(D$2:D$3074, D$2:D$3074, 0)), ROW(D$2:D$3074)-ROW(D$2)+1) &gt; 0))</f>
        <v>14</v>
      </c>
      <c r="C1188" s="3">
        <v>41200038</v>
      </c>
      <c r="D1188" s="6" t="s">
        <v>2745</v>
      </c>
      <c r="E1188" s="3" t="s">
        <v>1426</v>
      </c>
      <c r="F1188" s="3" t="s">
        <v>1476</v>
      </c>
      <c r="G1188" s="68" t="str">
        <f t="shared" si="85"/>
        <v>DUAL</v>
      </c>
      <c r="H1188" s="197">
        <f t="shared" si="83"/>
        <v>34</v>
      </c>
      <c r="I1188" s="197">
        <v>8</v>
      </c>
      <c r="J1188" s="197">
        <v>20</v>
      </c>
      <c r="K1188" s="186">
        <f t="shared" si="79"/>
        <v>45889</v>
      </c>
      <c r="L1188" s="3" t="s">
        <v>2391</v>
      </c>
      <c r="M1188" s="3" t="s">
        <v>1468</v>
      </c>
      <c r="N1188" s="3" t="str">
        <f t="shared" si="84"/>
        <v/>
      </c>
    </row>
    <row r="1189" spans="1:19">
      <c r="A1189" s="3">
        <v>5924</v>
      </c>
      <c r="B1189" s="83">
        <f t="array" ref="B1189">SUM(--(FREQUENCY(IF(C$2:C$3074=C1189, MATCH(D$2:D$3074, D$2:D$3074, 0)), ROW(D$2:D$3074)-ROW(D$2)+1) &gt; 0))</f>
        <v>14</v>
      </c>
      <c r="C1189" s="3">
        <v>41200038</v>
      </c>
      <c r="D1189" s="6" t="s">
        <v>2746</v>
      </c>
      <c r="E1189" s="3" t="s">
        <v>1426</v>
      </c>
      <c r="F1189" s="3" t="s">
        <v>1476</v>
      </c>
      <c r="G1189" s="68" t="str">
        <f t="shared" si="85"/>
        <v>DUAL</v>
      </c>
      <c r="H1189" s="197">
        <f t="shared" ref="H1189:H1202" si="86">WEEKNUM(K1189)</f>
        <v>34</v>
      </c>
      <c r="I1189" s="197">
        <v>8</v>
      </c>
      <c r="J1189" s="197">
        <v>20</v>
      </c>
      <c r="K1189" s="186">
        <f t="shared" ref="K1189:K1202" si="87">DATE(2025, I1189, J1189)</f>
        <v>45889</v>
      </c>
      <c r="L1189" s="3" t="s">
        <v>2391</v>
      </c>
      <c r="M1189" s="3" t="s">
        <v>1468</v>
      </c>
      <c r="N1189" s="3" t="str">
        <f t="shared" si="84"/>
        <v/>
      </c>
    </row>
    <row r="1190" spans="1:19">
      <c r="A1190" s="3">
        <v>5923</v>
      </c>
      <c r="B1190" s="83">
        <f t="array" ref="B1190">SUM(--(FREQUENCY(IF(C$2:C$3074=C1190, MATCH(D$2:D$3074, D$2:D$3074, 0)), ROW(D$2:D$3074)-ROW(D$2)+1) &gt; 0))</f>
        <v>12</v>
      </c>
      <c r="C1190" s="3">
        <v>41200048</v>
      </c>
      <c r="D1190" s="6" t="s">
        <v>2747</v>
      </c>
      <c r="E1190" s="3" t="s">
        <v>1426</v>
      </c>
      <c r="F1190" s="3" t="s">
        <v>1476</v>
      </c>
      <c r="G1190" s="68" t="str">
        <f t="shared" si="85"/>
        <v>DUAL</v>
      </c>
      <c r="H1190" s="197">
        <f t="shared" si="86"/>
        <v>34</v>
      </c>
      <c r="I1190" s="197">
        <v>8</v>
      </c>
      <c r="J1190" s="197">
        <v>20</v>
      </c>
      <c r="K1190" s="186">
        <f t="shared" si="87"/>
        <v>45889</v>
      </c>
      <c r="L1190" s="3" t="s">
        <v>2391</v>
      </c>
      <c r="M1190" s="3" t="s">
        <v>1468</v>
      </c>
      <c r="N1190" s="3" t="str">
        <f t="shared" si="84"/>
        <v/>
      </c>
    </row>
    <row r="1191" spans="1:19">
      <c r="A1191" s="3">
        <v>5923</v>
      </c>
      <c r="B1191" s="83">
        <f t="array" ref="B1191">SUM(--(FREQUENCY(IF(C$2:C$3074=C1191, MATCH(D$2:D$3074, D$2:D$3074, 0)), ROW(D$2:D$3074)-ROW(D$2)+1) &gt; 0))</f>
        <v>12</v>
      </c>
      <c r="C1191" s="3">
        <v>41200048</v>
      </c>
      <c r="D1191" s="6" t="s">
        <v>2748</v>
      </c>
      <c r="E1191" s="3" t="s">
        <v>1426</v>
      </c>
      <c r="F1191" s="3" t="s">
        <v>1476</v>
      </c>
      <c r="G1191" s="68" t="str">
        <f t="shared" si="85"/>
        <v>DUAL</v>
      </c>
      <c r="H1191" s="197">
        <f t="shared" si="86"/>
        <v>34</v>
      </c>
      <c r="I1191" s="197">
        <v>8</v>
      </c>
      <c r="J1191" s="197">
        <v>20</v>
      </c>
      <c r="K1191" s="186">
        <f t="shared" si="87"/>
        <v>45889</v>
      </c>
      <c r="L1191" s="3" t="s">
        <v>2391</v>
      </c>
      <c r="M1191" s="3" t="s">
        <v>1468</v>
      </c>
      <c r="N1191" s="3" t="str">
        <f t="shared" si="84"/>
        <v>NG</v>
      </c>
      <c r="O1191" s="3" t="s">
        <v>2368</v>
      </c>
      <c r="P1191" s="3" t="s">
        <v>5151</v>
      </c>
      <c r="Q1191" s="3">
        <v>11002283</v>
      </c>
      <c r="R1191" s="3" t="s">
        <v>932</v>
      </c>
      <c r="S1191" s="3" t="s">
        <v>5152</v>
      </c>
    </row>
    <row r="1192" spans="1:19">
      <c r="A1192" s="3">
        <v>5844</v>
      </c>
      <c r="B1192" s="83">
        <f t="array" ref="B1192">SUM(--(FREQUENCY(IF(C$2:C$3074=C1192, MATCH(D$2:D$3074, D$2:D$3074, 0)), ROW(D$2:D$3074)-ROW(D$2)+1) &gt; 0))</f>
        <v>20</v>
      </c>
      <c r="C1192" s="3">
        <v>41200125</v>
      </c>
      <c r="D1192" s="6" t="s">
        <v>2749</v>
      </c>
      <c r="E1192" s="3" t="s">
        <v>1585</v>
      </c>
      <c r="F1192" s="3" t="s">
        <v>1476</v>
      </c>
      <c r="G1192" s="68" t="str">
        <f t="shared" si="85"/>
        <v>DUAL</v>
      </c>
      <c r="H1192" s="197">
        <f t="shared" si="86"/>
        <v>34</v>
      </c>
      <c r="I1192" s="197">
        <v>8</v>
      </c>
      <c r="J1192" s="197">
        <v>20</v>
      </c>
      <c r="K1192" s="186">
        <f t="shared" si="87"/>
        <v>45889</v>
      </c>
      <c r="L1192" s="3" t="s">
        <v>2395</v>
      </c>
      <c r="M1192" s="3" t="s">
        <v>1469</v>
      </c>
      <c r="N1192" s="3" t="str">
        <f t="shared" si="84"/>
        <v>NG</v>
      </c>
      <c r="O1192" s="3" t="s">
        <v>2368</v>
      </c>
      <c r="P1192" s="3" t="s">
        <v>5151</v>
      </c>
      <c r="Q1192" s="3">
        <v>11002283</v>
      </c>
      <c r="R1192" s="3" t="s">
        <v>932</v>
      </c>
      <c r="S1192" s="3" t="s">
        <v>5153</v>
      </c>
    </row>
    <row r="1193" spans="1:19">
      <c r="A1193" s="3">
        <v>5886</v>
      </c>
      <c r="B1193" s="83">
        <f t="array" ref="B1193">SUM(--(FREQUENCY(IF(C$2:C$3074=C1193, MATCH(D$2:D$3074, D$2:D$3074, 0)), ROW(D$2:D$3074)-ROW(D$2)+1) &gt; 0))</f>
        <v>102</v>
      </c>
      <c r="C1193" s="3">
        <v>41200006</v>
      </c>
      <c r="D1193" s="6" t="s">
        <v>2751</v>
      </c>
      <c r="E1193" s="3" t="s">
        <v>1405</v>
      </c>
      <c r="F1193" s="3" t="s">
        <v>1477</v>
      </c>
      <c r="G1193" s="68" t="str">
        <f t="shared" si="85"/>
        <v>SINGLE</v>
      </c>
      <c r="H1193" s="197">
        <f t="shared" si="86"/>
        <v>34</v>
      </c>
      <c r="I1193" s="197">
        <v>8</v>
      </c>
      <c r="J1193" s="197">
        <v>20</v>
      </c>
      <c r="K1193" s="186">
        <f t="shared" si="87"/>
        <v>45889</v>
      </c>
      <c r="L1193" s="3" t="s">
        <v>2395</v>
      </c>
      <c r="M1193" s="3" t="s">
        <v>1469</v>
      </c>
      <c r="N1193" s="3" t="str">
        <f t="shared" si="84"/>
        <v/>
      </c>
    </row>
    <row r="1194" spans="1:19">
      <c r="A1194" s="3">
        <v>5886</v>
      </c>
      <c r="B1194" s="83">
        <f t="array" ref="B1194">SUM(--(FREQUENCY(IF(C$2:C$3074=C1194, MATCH(D$2:D$3074, D$2:D$3074, 0)), ROW(D$2:D$3074)-ROW(D$2)+1) &gt; 0))</f>
        <v>102</v>
      </c>
      <c r="C1194" s="3">
        <v>41200006</v>
      </c>
      <c r="D1194" s="6" t="s">
        <v>2752</v>
      </c>
      <c r="E1194" s="3" t="s">
        <v>1405</v>
      </c>
      <c r="F1194" s="3" t="s">
        <v>1477</v>
      </c>
      <c r="G1194" s="68" t="str">
        <f t="shared" si="85"/>
        <v>SINGLE</v>
      </c>
      <c r="H1194" s="197">
        <f t="shared" si="86"/>
        <v>34</v>
      </c>
      <c r="I1194" s="197">
        <v>8</v>
      </c>
      <c r="J1194" s="197">
        <v>20</v>
      </c>
      <c r="K1194" s="186">
        <f t="shared" si="87"/>
        <v>45889</v>
      </c>
      <c r="L1194" s="3" t="s">
        <v>2395</v>
      </c>
      <c r="M1194" s="3" t="s">
        <v>1469</v>
      </c>
      <c r="N1194" s="3" t="str">
        <f t="shared" si="84"/>
        <v/>
      </c>
    </row>
    <row r="1195" spans="1:19">
      <c r="A1195" s="3">
        <v>5822</v>
      </c>
      <c r="B1195" s="83">
        <f t="array" ref="B1195">SUM(--(FREQUENCY(IF(C$2:C$3074=C1195, MATCH(D$2:D$3074, D$2:D$3074, 0)), ROW(D$2:D$3074)-ROW(D$2)+1) &gt; 0))</f>
        <v>102</v>
      </c>
      <c r="C1195" s="3">
        <v>41200006</v>
      </c>
      <c r="D1195" s="6" t="s">
        <v>2755</v>
      </c>
      <c r="E1195" s="3" t="s">
        <v>1405</v>
      </c>
      <c r="F1195" s="3" t="s">
        <v>1477</v>
      </c>
      <c r="G1195" s="68" t="str">
        <f t="shared" si="85"/>
        <v>SINGLE</v>
      </c>
      <c r="H1195" s="197">
        <f t="shared" si="86"/>
        <v>34</v>
      </c>
      <c r="I1195" s="197">
        <v>8</v>
      </c>
      <c r="J1195" s="197">
        <v>21</v>
      </c>
      <c r="K1195" s="186">
        <f t="shared" si="87"/>
        <v>45890</v>
      </c>
      <c r="L1195" s="3" t="s">
        <v>2395</v>
      </c>
      <c r="M1195" s="3" t="s">
        <v>2392</v>
      </c>
      <c r="N1195" s="3" t="str">
        <f t="shared" si="84"/>
        <v/>
      </c>
    </row>
    <row r="1196" spans="1:19">
      <c r="A1196" s="3">
        <v>5775</v>
      </c>
      <c r="B1196" s="83">
        <f t="array" ref="B1196">SUM(--(FREQUENCY(IF(C$2:C$3074=C1196, MATCH(D$2:D$3074, D$2:D$3074, 0)), ROW(D$2:D$3074)-ROW(D$2)+1) &gt; 0))</f>
        <v>33</v>
      </c>
      <c r="C1196" s="3">
        <v>41100435</v>
      </c>
      <c r="D1196" s="6" t="s">
        <v>2756</v>
      </c>
      <c r="E1196" s="3" t="s">
        <v>1585</v>
      </c>
      <c r="F1196" s="3" t="s">
        <v>1482</v>
      </c>
      <c r="G1196" s="68" t="str">
        <f t="shared" si="85"/>
        <v>SINGLE</v>
      </c>
      <c r="H1196" s="197">
        <f t="shared" si="86"/>
        <v>34</v>
      </c>
      <c r="I1196" s="197">
        <v>8</v>
      </c>
      <c r="J1196" s="197">
        <v>21</v>
      </c>
      <c r="K1196" s="186">
        <f t="shared" si="87"/>
        <v>45890</v>
      </c>
      <c r="L1196" s="3" t="s">
        <v>2391</v>
      </c>
      <c r="M1196" s="3" t="s">
        <v>1468</v>
      </c>
      <c r="N1196" s="3" t="str">
        <f t="shared" si="84"/>
        <v/>
      </c>
    </row>
    <row r="1197" spans="1:19">
      <c r="A1197" s="3">
        <v>5773</v>
      </c>
      <c r="B1197" s="83">
        <f t="array" ref="B1197">SUM(--(FREQUENCY(IF(C$2:C$3074=C1197, MATCH(D$2:D$3074, D$2:D$3074, 0)), ROW(D$2:D$3074)-ROW(D$2)+1) &gt; 0))</f>
        <v>33</v>
      </c>
      <c r="C1197" s="3">
        <v>41100435</v>
      </c>
      <c r="D1197" s="6" t="s">
        <v>2757</v>
      </c>
      <c r="E1197" s="3" t="s">
        <v>1585</v>
      </c>
      <c r="F1197" s="3" t="s">
        <v>1482</v>
      </c>
      <c r="G1197" s="68" t="str">
        <f t="shared" si="85"/>
        <v>SINGLE</v>
      </c>
      <c r="H1197" s="197">
        <f t="shared" si="86"/>
        <v>34</v>
      </c>
      <c r="I1197" s="197">
        <v>8</v>
      </c>
      <c r="J1197" s="197">
        <v>21</v>
      </c>
      <c r="K1197" s="186">
        <f t="shared" si="87"/>
        <v>45890</v>
      </c>
      <c r="L1197" s="3" t="s">
        <v>2391</v>
      </c>
      <c r="M1197" s="3" t="s">
        <v>1468</v>
      </c>
      <c r="N1197" s="3" t="str">
        <f t="shared" si="84"/>
        <v/>
      </c>
    </row>
    <row r="1198" spans="1:19">
      <c r="A1198" s="3">
        <v>5852</v>
      </c>
      <c r="B1198" s="83">
        <f t="array" ref="B1198">SUM(--(FREQUENCY(IF(C$2:C$3074=C1198, MATCH(D$2:D$3074, D$2:D$3074, 0)), ROW(D$2:D$3074)-ROW(D$2)+1) &gt; 0))</f>
        <v>1</v>
      </c>
      <c r="C1198" s="3">
        <v>41200021</v>
      </c>
      <c r="D1198" s="6" t="s">
        <v>2758</v>
      </c>
      <c r="E1198" s="3" t="s">
        <v>1424</v>
      </c>
      <c r="F1198" s="3" t="s">
        <v>1476</v>
      </c>
      <c r="G1198" s="68" t="str">
        <f t="shared" si="85"/>
        <v>DUAL</v>
      </c>
      <c r="H1198" s="197">
        <f t="shared" si="86"/>
        <v>34</v>
      </c>
      <c r="I1198" s="197">
        <v>8</v>
      </c>
      <c r="J1198" s="197">
        <v>21</v>
      </c>
      <c r="K1198" s="186">
        <f t="shared" si="87"/>
        <v>45890</v>
      </c>
      <c r="L1198" s="3" t="s">
        <v>2391</v>
      </c>
      <c r="M1198" s="3" t="s">
        <v>1468</v>
      </c>
      <c r="N1198" s="3" t="str">
        <f t="shared" si="84"/>
        <v/>
      </c>
    </row>
    <row r="1199" spans="1:19">
      <c r="A1199" s="3">
        <v>5922</v>
      </c>
      <c r="B1199" s="83">
        <f t="array" ref="B1199">SUM(--(FREQUENCY(IF(C$2:C$3074=C1199, MATCH(D$2:D$3074, D$2:D$3074, 0)), ROW(D$2:D$3074)-ROW(D$2)+1) &gt; 0))</f>
        <v>44</v>
      </c>
      <c r="C1199" s="3">
        <v>41200047</v>
      </c>
      <c r="D1199" s="6" t="s">
        <v>2759</v>
      </c>
      <c r="E1199" s="3" t="s">
        <v>1426</v>
      </c>
      <c r="F1199" s="3" t="s">
        <v>1476</v>
      </c>
      <c r="G1199" s="68" t="str">
        <f t="shared" si="85"/>
        <v>DUAL</v>
      </c>
      <c r="H1199" s="197">
        <f t="shared" si="86"/>
        <v>34</v>
      </c>
      <c r="I1199" s="197">
        <v>8</v>
      </c>
      <c r="J1199" s="197">
        <v>21</v>
      </c>
      <c r="K1199" s="186">
        <f t="shared" si="87"/>
        <v>45890</v>
      </c>
      <c r="L1199" s="3" t="s">
        <v>2395</v>
      </c>
      <c r="M1199" s="3" t="s">
        <v>1469</v>
      </c>
      <c r="N1199" s="3" t="str">
        <f t="shared" si="84"/>
        <v/>
      </c>
    </row>
    <row r="1200" spans="1:19">
      <c r="A1200" s="3">
        <v>5922</v>
      </c>
      <c r="B1200" s="83">
        <f t="array" ref="B1200">SUM(--(FREQUENCY(IF(C$2:C$3074=C1200, MATCH(D$2:D$3074, D$2:D$3074, 0)), ROW(D$2:D$3074)-ROW(D$2)+1) &gt; 0))</f>
        <v>44</v>
      </c>
      <c r="C1200" s="3">
        <v>41200047</v>
      </c>
      <c r="D1200" s="6" t="s">
        <v>2753</v>
      </c>
      <c r="E1200" s="3" t="s">
        <v>1426</v>
      </c>
      <c r="F1200" s="3" t="s">
        <v>1476</v>
      </c>
      <c r="G1200" s="68" t="str">
        <f t="shared" si="85"/>
        <v>DUAL</v>
      </c>
      <c r="H1200" s="197">
        <f t="shared" si="86"/>
        <v>34</v>
      </c>
      <c r="I1200" s="197">
        <v>8</v>
      </c>
      <c r="J1200" s="197">
        <v>21</v>
      </c>
      <c r="K1200" s="186">
        <f t="shared" si="87"/>
        <v>45890</v>
      </c>
      <c r="L1200" s="3" t="s">
        <v>2395</v>
      </c>
      <c r="M1200" s="3" t="s">
        <v>1469</v>
      </c>
      <c r="N1200" s="3" t="str">
        <f t="shared" ref="N1200:N1231" si="88">IF(O1200&lt;&gt;"", "NG", "")</f>
        <v/>
      </c>
    </row>
    <row r="1201" spans="1:19">
      <c r="A1201" s="3">
        <v>5922</v>
      </c>
      <c r="B1201" s="83">
        <f t="array" ref="B1201">SUM(--(FREQUENCY(IF(C$2:C$3074=C1201, MATCH(D$2:D$3074, D$2:D$3074, 0)), ROW(D$2:D$3074)-ROW(D$2)+1) &gt; 0))</f>
        <v>44</v>
      </c>
      <c r="C1201" s="3">
        <v>41200047</v>
      </c>
      <c r="D1201" s="6" t="s">
        <v>2760</v>
      </c>
      <c r="E1201" s="3" t="s">
        <v>1426</v>
      </c>
      <c r="F1201" s="3" t="s">
        <v>1476</v>
      </c>
      <c r="G1201" s="68" t="str">
        <f t="shared" ref="G1201:G1232" si="89">IF(OR(ISNUMBER(SEARCH("DUAL",F1201)), ISNUMBER(SEARCH("IVAS",F1201))), "DUAL", "SINGLE")</f>
        <v>DUAL</v>
      </c>
      <c r="H1201" s="197">
        <f t="shared" si="86"/>
        <v>34</v>
      </c>
      <c r="I1201" s="197">
        <v>8</v>
      </c>
      <c r="J1201" s="197">
        <v>21</v>
      </c>
      <c r="K1201" s="186">
        <f t="shared" si="87"/>
        <v>45890</v>
      </c>
      <c r="L1201" s="3" t="s">
        <v>2395</v>
      </c>
      <c r="M1201" s="3" t="s">
        <v>1469</v>
      </c>
      <c r="N1201" s="3" t="str">
        <f t="shared" si="88"/>
        <v/>
      </c>
    </row>
    <row r="1202" spans="1:19">
      <c r="A1202" s="3">
        <v>5924</v>
      </c>
      <c r="B1202" s="83">
        <f t="array" ref="B1202">SUM(--(FREQUENCY(IF(C$2:C$3074=C1202, MATCH(D$2:D$3074, D$2:D$3074, 0)), ROW(D$2:D$3074)-ROW(D$2)+1) &gt; 0))</f>
        <v>14</v>
      </c>
      <c r="C1202" s="3">
        <v>41200038</v>
      </c>
      <c r="D1202" s="6" t="s">
        <v>2754</v>
      </c>
      <c r="E1202" s="3" t="s">
        <v>1426</v>
      </c>
      <c r="F1202" s="3" t="s">
        <v>1476</v>
      </c>
      <c r="G1202" s="68" t="str">
        <f t="shared" si="89"/>
        <v>DUAL</v>
      </c>
      <c r="H1202" s="197">
        <f t="shared" si="86"/>
        <v>34</v>
      </c>
      <c r="I1202" s="197">
        <v>8</v>
      </c>
      <c r="J1202" s="197">
        <v>22</v>
      </c>
      <c r="K1202" s="186">
        <f t="shared" si="87"/>
        <v>45891</v>
      </c>
      <c r="L1202" s="3" t="s">
        <v>2395</v>
      </c>
      <c r="M1202" s="3" t="s">
        <v>2392</v>
      </c>
      <c r="N1202" s="3" t="str">
        <f t="shared" si="88"/>
        <v/>
      </c>
    </row>
    <row r="1203" spans="1:19">
      <c r="A1203" s="3">
        <v>5908</v>
      </c>
      <c r="B1203" s="83">
        <f t="array" ref="B1203">SUM(--(FREQUENCY(IF(C$2:C$3074=C1203, MATCH(D$2:D$3074, D$2:D$3074, 0)), ROW(D$2:D$3074)-ROW(D$2)+1) &gt; 0))</f>
        <v>14</v>
      </c>
      <c r="C1203" s="3">
        <v>41200129</v>
      </c>
      <c r="D1203" s="6" t="s">
        <v>2761</v>
      </c>
      <c r="E1203" s="3" t="s">
        <v>1431</v>
      </c>
      <c r="F1203" s="3" t="s">
        <v>1591</v>
      </c>
      <c r="G1203" s="68" t="str">
        <f t="shared" si="89"/>
        <v>SINGLE</v>
      </c>
      <c r="H1203" s="197">
        <f t="shared" ref="H1203:H1220" si="90">WEEKNUM(K1203)</f>
        <v>34</v>
      </c>
      <c r="I1203" s="197">
        <v>8</v>
      </c>
      <c r="J1203" s="197">
        <v>22</v>
      </c>
      <c r="K1203" s="186">
        <f t="shared" ref="K1203:K1220" si="91">DATE(2025, I1203, J1203)</f>
        <v>45891</v>
      </c>
      <c r="L1203" s="3" t="s">
        <v>2391</v>
      </c>
      <c r="M1203" s="3" t="s">
        <v>1468</v>
      </c>
      <c r="N1203" s="3" t="str">
        <f t="shared" si="88"/>
        <v/>
      </c>
    </row>
    <row r="1204" spans="1:19">
      <c r="A1204" s="3">
        <v>5908</v>
      </c>
      <c r="B1204" s="83">
        <f t="array" ref="B1204">SUM(--(FREQUENCY(IF(C$2:C$3074=C1204, MATCH(D$2:D$3074, D$2:D$3074, 0)), ROW(D$2:D$3074)-ROW(D$2)+1) &gt; 0))</f>
        <v>14</v>
      </c>
      <c r="C1204" s="3">
        <v>41200129</v>
      </c>
      <c r="D1204" s="6" t="s">
        <v>2762</v>
      </c>
      <c r="E1204" s="3" t="s">
        <v>1431</v>
      </c>
      <c r="F1204" s="3" t="s">
        <v>1591</v>
      </c>
      <c r="G1204" s="68" t="str">
        <f t="shared" si="89"/>
        <v>SINGLE</v>
      </c>
      <c r="H1204" s="197">
        <f t="shared" si="90"/>
        <v>34</v>
      </c>
      <c r="I1204" s="197">
        <v>8</v>
      </c>
      <c r="J1204" s="197">
        <v>22</v>
      </c>
      <c r="K1204" s="186">
        <f t="shared" si="91"/>
        <v>45891</v>
      </c>
      <c r="L1204" s="3" t="s">
        <v>2391</v>
      </c>
      <c r="M1204" s="3" t="s">
        <v>1468</v>
      </c>
      <c r="N1204" s="3" t="str">
        <f t="shared" si="88"/>
        <v/>
      </c>
    </row>
    <row r="1205" spans="1:19">
      <c r="A1205" s="3">
        <v>5813</v>
      </c>
      <c r="B1205" s="83">
        <f t="array" ref="B1205">SUM(--(FREQUENCY(IF(C$2:C$3074=C1205, MATCH(D$2:D$3074, D$2:D$3074, 0)), ROW(D$2:D$3074)-ROW(D$2)+1) &gt; 0))</f>
        <v>4</v>
      </c>
      <c r="C1205" s="326">
        <v>41100227</v>
      </c>
      <c r="D1205" s="6" t="s">
        <v>2786</v>
      </c>
      <c r="E1205" s="3" t="s">
        <v>1424</v>
      </c>
      <c r="F1205" s="3" t="s">
        <v>1476</v>
      </c>
      <c r="G1205" s="68" t="str">
        <f t="shared" si="89"/>
        <v>DUAL</v>
      </c>
      <c r="H1205" s="197">
        <f t="shared" si="90"/>
        <v>34</v>
      </c>
      <c r="I1205" s="197">
        <v>8</v>
      </c>
      <c r="J1205" s="197">
        <v>22</v>
      </c>
      <c r="K1205" s="186">
        <f t="shared" si="91"/>
        <v>45891</v>
      </c>
      <c r="L1205" s="3" t="s">
        <v>2395</v>
      </c>
      <c r="M1205" s="3" t="s">
        <v>1469</v>
      </c>
      <c r="N1205" s="3" t="str">
        <f t="shared" si="88"/>
        <v>NG</v>
      </c>
      <c r="O1205" s="3" t="s">
        <v>2368</v>
      </c>
      <c r="P1205" s="3" t="s">
        <v>1384</v>
      </c>
      <c r="Q1205" s="3">
        <v>11101089</v>
      </c>
      <c r="R1205" s="3" t="s">
        <v>5154</v>
      </c>
      <c r="S1205" s="3" t="s">
        <v>5155</v>
      </c>
    </row>
    <row r="1206" spans="1:19">
      <c r="A1206" s="3">
        <v>5969</v>
      </c>
      <c r="B1206" s="83">
        <f t="array" ref="B1206">SUM(--(FREQUENCY(IF(C$2:C$3074=C1206, MATCH(D$2:D$3074, D$2:D$3074, 0)), ROW(D$2:D$3074)-ROW(D$2)+1) &gt; 0))</f>
        <v>3</v>
      </c>
      <c r="C1206" s="327">
        <v>41200168</v>
      </c>
      <c r="D1206" s="6" t="s">
        <v>2763</v>
      </c>
      <c r="E1206" s="3" t="s">
        <v>1405</v>
      </c>
      <c r="F1206" s="3" t="s">
        <v>1476</v>
      </c>
      <c r="G1206" s="41" t="str">
        <f t="shared" si="89"/>
        <v>DUAL</v>
      </c>
      <c r="H1206" s="197">
        <f t="shared" si="90"/>
        <v>34</v>
      </c>
      <c r="I1206" s="197">
        <v>8</v>
      </c>
      <c r="J1206" s="197">
        <v>22</v>
      </c>
      <c r="K1206" s="186">
        <f t="shared" si="91"/>
        <v>45891</v>
      </c>
      <c r="L1206" s="3" t="s">
        <v>2395</v>
      </c>
      <c r="M1206" s="3" t="s">
        <v>1469</v>
      </c>
      <c r="N1206" s="3" t="str">
        <f t="shared" si="88"/>
        <v>NG</v>
      </c>
      <c r="O1206" s="3" t="s">
        <v>2368</v>
      </c>
      <c r="P1206" s="3" t="s">
        <v>2376</v>
      </c>
      <c r="Q1206" s="3">
        <v>11000127</v>
      </c>
      <c r="R1206" s="3" t="s">
        <v>1049</v>
      </c>
      <c r="S1206" s="3" t="s">
        <v>5156</v>
      </c>
    </row>
    <row r="1207" spans="1:19">
      <c r="A1207" s="3">
        <v>5969</v>
      </c>
      <c r="B1207" s="83">
        <f t="array" ref="B1207">SUM(--(FREQUENCY(IF(C$2:C$3074=C1207, MATCH(D$2:D$3074, D$2:D$3074, 0)), ROW(D$2:D$3074)-ROW(D$2)+1) &gt; 0))</f>
        <v>3</v>
      </c>
      <c r="C1207" s="327">
        <v>41200168</v>
      </c>
      <c r="D1207" s="6" t="s">
        <v>2763</v>
      </c>
      <c r="E1207" s="3" t="s">
        <v>1405</v>
      </c>
      <c r="F1207" s="3" t="s">
        <v>1476</v>
      </c>
      <c r="G1207" s="41" t="str">
        <f t="shared" si="89"/>
        <v>DUAL</v>
      </c>
      <c r="H1207" s="197">
        <f t="shared" ref="H1207" si="92">WEEKNUM(K1207)</f>
        <v>34</v>
      </c>
      <c r="I1207" s="197">
        <v>8</v>
      </c>
      <c r="J1207" s="197">
        <v>22</v>
      </c>
      <c r="K1207" s="186">
        <f t="shared" ref="K1207" si="93">DATE(2025, I1207, J1207)</f>
        <v>45891</v>
      </c>
      <c r="L1207" s="3" t="s">
        <v>2395</v>
      </c>
      <c r="M1207" s="3" t="s">
        <v>1469</v>
      </c>
      <c r="N1207" s="3" t="str">
        <f t="shared" si="88"/>
        <v>NG</v>
      </c>
      <c r="O1207" s="3" t="s">
        <v>2368</v>
      </c>
      <c r="P1207" s="3" t="s">
        <v>1384</v>
      </c>
      <c r="Q1207" s="3">
        <v>11000367</v>
      </c>
      <c r="R1207" s="3" t="s">
        <v>386</v>
      </c>
      <c r="S1207" s="3" t="s">
        <v>5081</v>
      </c>
    </row>
    <row r="1208" spans="1:19">
      <c r="A1208" s="3">
        <v>5969</v>
      </c>
      <c r="B1208" s="83">
        <f t="array" ref="B1208">SUM(--(FREQUENCY(IF(C$2:C$3074=C1208, MATCH(D$2:D$3074, D$2:D$3074, 0)), ROW(D$2:D$3074)-ROW(D$2)+1) &gt; 0))</f>
        <v>3</v>
      </c>
      <c r="C1208" s="3">
        <v>41200168</v>
      </c>
      <c r="D1208" s="6" t="s">
        <v>2767</v>
      </c>
      <c r="E1208" s="3" t="s">
        <v>1405</v>
      </c>
      <c r="F1208" s="3" t="s">
        <v>1476</v>
      </c>
      <c r="G1208" s="68" t="str">
        <f t="shared" si="89"/>
        <v>DUAL</v>
      </c>
      <c r="H1208" s="197">
        <f t="shared" si="90"/>
        <v>34</v>
      </c>
      <c r="I1208" s="197">
        <v>8</v>
      </c>
      <c r="J1208" s="197">
        <v>22</v>
      </c>
      <c r="K1208" s="186">
        <f t="shared" si="91"/>
        <v>45891</v>
      </c>
      <c r="L1208" s="3" t="s">
        <v>2395</v>
      </c>
      <c r="M1208" s="3" t="s">
        <v>1469</v>
      </c>
      <c r="N1208" s="3" t="str">
        <f t="shared" si="88"/>
        <v/>
      </c>
    </row>
    <row r="1209" spans="1:19">
      <c r="A1209" s="3">
        <v>5969</v>
      </c>
      <c r="B1209" s="83">
        <f t="array" ref="B1209">SUM(--(FREQUENCY(IF(C$2:C$3074=C1209, MATCH(D$2:D$3074, D$2:D$3074, 0)), ROW(D$2:D$3074)-ROW(D$2)+1) &gt; 0))</f>
        <v>3</v>
      </c>
      <c r="C1209" s="3">
        <v>41200168</v>
      </c>
      <c r="D1209" s="6" t="s">
        <v>2768</v>
      </c>
      <c r="E1209" s="3" t="s">
        <v>1405</v>
      </c>
      <c r="F1209" s="3" t="s">
        <v>1476</v>
      </c>
      <c r="G1209" s="68" t="str">
        <f t="shared" si="89"/>
        <v>DUAL</v>
      </c>
      <c r="H1209" s="197">
        <f t="shared" si="90"/>
        <v>34</v>
      </c>
      <c r="I1209" s="197">
        <v>8</v>
      </c>
      <c r="J1209" s="197">
        <v>22</v>
      </c>
      <c r="K1209" s="186">
        <f t="shared" si="91"/>
        <v>45891</v>
      </c>
      <c r="L1209" s="3" t="s">
        <v>2395</v>
      </c>
      <c r="M1209" s="3" t="s">
        <v>1469</v>
      </c>
      <c r="N1209" s="3" t="str">
        <f t="shared" si="88"/>
        <v>NG</v>
      </c>
      <c r="O1209" s="3" t="s">
        <v>2368</v>
      </c>
      <c r="P1209" s="3" t="s">
        <v>2376</v>
      </c>
      <c r="Q1209" s="3">
        <v>13106093</v>
      </c>
      <c r="R1209" s="3" t="s">
        <v>958</v>
      </c>
      <c r="S1209" s="3" t="s">
        <v>5157</v>
      </c>
    </row>
    <row r="1210" spans="1:19">
      <c r="A1210" s="3">
        <v>5777</v>
      </c>
      <c r="B1210" s="83">
        <f t="array" ref="B1210">SUM(--(FREQUENCY(IF(C$2:C$3074=C1210, MATCH(D$2:D$3074, D$2:D$3074, 0)), ROW(D$2:D$3074)-ROW(D$2)+1) &gt; 0))</f>
        <v>30</v>
      </c>
      <c r="C1210" s="3">
        <v>41200109</v>
      </c>
      <c r="D1210" s="6" t="s">
        <v>2771</v>
      </c>
      <c r="E1210" s="3" t="s">
        <v>1585</v>
      </c>
      <c r="F1210" s="3" t="s">
        <v>1591</v>
      </c>
      <c r="G1210" s="68" t="str">
        <f t="shared" si="89"/>
        <v>SINGLE</v>
      </c>
      <c r="H1210" s="197">
        <f t="shared" si="90"/>
        <v>35</v>
      </c>
      <c r="I1210" s="197">
        <v>8</v>
      </c>
      <c r="J1210" s="197">
        <v>25</v>
      </c>
      <c r="K1210" s="186">
        <f t="shared" si="91"/>
        <v>45894</v>
      </c>
      <c r="L1210" s="3" t="s">
        <v>2391</v>
      </c>
      <c r="M1210" s="3" t="s">
        <v>2392</v>
      </c>
      <c r="N1210" s="3" t="str">
        <f t="shared" si="88"/>
        <v>NG</v>
      </c>
      <c r="O1210" s="3" t="s">
        <v>2368</v>
      </c>
      <c r="P1210" s="3" t="s">
        <v>1385</v>
      </c>
      <c r="Q1210" s="3">
        <v>11006181</v>
      </c>
      <c r="R1210" s="3" t="s">
        <v>195</v>
      </c>
      <c r="S1210" s="3" t="s">
        <v>5158</v>
      </c>
    </row>
    <row r="1211" spans="1:19">
      <c r="A1211" s="3">
        <v>5777</v>
      </c>
      <c r="B1211" s="83">
        <f t="array" ref="B1211">SUM(--(FREQUENCY(IF(C$2:C$3074=C1211, MATCH(D$2:D$3074, D$2:D$3074, 0)), ROW(D$2:D$3074)-ROW(D$2)+1) &gt; 0))</f>
        <v>30</v>
      </c>
      <c r="C1211" s="3">
        <v>41200109</v>
      </c>
      <c r="D1211" s="6" t="s">
        <v>2772</v>
      </c>
      <c r="E1211" s="3" t="s">
        <v>1585</v>
      </c>
      <c r="F1211" s="3" t="s">
        <v>1591</v>
      </c>
      <c r="G1211" s="68" t="str">
        <f t="shared" si="89"/>
        <v>SINGLE</v>
      </c>
      <c r="H1211" s="197">
        <f t="shared" si="90"/>
        <v>35</v>
      </c>
      <c r="I1211" s="197">
        <v>8</v>
      </c>
      <c r="J1211" s="197">
        <v>25</v>
      </c>
      <c r="K1211" s="186">
        <f t="shared" si="91"/>
        <v>45894</v>
      </c>
      <c r="L1211" s="3" t="s">
        <v>2391</v>
      </c>
      <c r="M1211" s="3" t="s">
        <v>2392</v>
      </c>
      <c r="N1211" s="3" t="str">
        <f t="shared" si="88"/>
        <v/>
      </c>
    </row>
    <row r="1212" spans="1:19">
      <c r="A1212" s="3">
        <v>5856</v>
      </c>
      <c r="B1212" s="83">
        <f t="array" ref="B1212">SUM(--(FREQUENCY(IF(C$2:C$3074=C1212, MATCH(D$2:D$3074, D$2:D$3074, 0)), ROW(D$2:D$3074)-ROW(D$2)+1) &gt; 0))</f>
        <v>30</v>
      </c>
      <c r="C1212" s="3">
        <v>41200109</v>
      </c>
      <c r="D1212" s="6" t="s">
        <v>2773</v>
      </c>
      <c r="E1212" s="3" t="s">
        <v>1585</v>
      </c>
      <c r="F1212" s="3" t="s">
        <v>1591</v>
      </c>
      <c r="G1212" s="68" t="str">
        <f t="shared" si="89"/>
        <v>SINGLE</v>
      </c>
      <c r="H1212" s="197">
        <f t="shared" si="90"/>
        <v>35</v>
      </c>
      <c r="I1212" s="197">
        <v>8</v>
      </c>
      <c r="J1212" s="197">
        <v>25</v>
      </c>
      <c r="K1212" s="186">
        <f t="shared" si="91"/>
        <v>45894</v>
      </c>
      <c r="L1212" s="3" t="s">
        <v>2395</v>
      </c>
      <c r="M1212" s="3" t="s">
        <v>2392</v>
      </c>
      <c r="N1212" s="3" t="str">
        <f t="shared" si="88"/>
        <v/>
      </c>
    </row>
    <row r="1213" spans="1:19">
      <c r="A1213" s="3">
        <v>5856</v>
      </c>
      <c r="B1213" s="83">
        <f t="array" ref="B1213">SUM(--(FREQUENCY(IF(C$2:C$3074=C1213, MATCH(D$2:D$3074, D$2:D$3074, 0)), ROW(D$2:D$3074)-ROW(D$2)+1) &gt; 0))</f>
        <v>30</v>
      </c>
      <c r="C1213" s="3">
        <v>41200109</v>
      </c>
      <c r="D1213" s="6" t="s">
        <v>2774</v>
      </c>
      <c r="E1213" s="3" t="s">
        <v>1585</v>
      </c>
      <c r="F1213" s="3" t="s">
        <v>1591</v>
      </c>
      <c r="G1213" s="68" t="str">
        <f t="shared" si="89"/>
        <v>SINGLE</v>
      </c>
      <c r="H1213" s="197">
        <f t="shared" si="90"/>
        <v>35</v>
      </c>
      <c r="I1213" s="197">
        <v>8</v>
      </c>
      <c r="J1213" s="197">
        <v>25</v>
      </c>
      <c r="K1213" s="186">
        <f t="shared" si="91"/>
        <v>45894</v>
      </c>
      <c r="L1213" s="3" t="s">
        <v>2395</v>
      </c>
      <c r="M1213" s="3" t="s">
        <v>2392</v>
      </c>
      <c r="N1213" s="3" t="str">
        <f t="shared" si="88"/>
        <v/>
      </c>
    </row>
    <row r="1214" spans="1:19">
      <c r="A1214" s="3">
        <v>5811</v>
      </c>
      <c r="B1214" s="83">
        <f t="array" ref="B1214">SUM(--(FREQUENCY(IF(C$2:C$3074=C1214, MATCH(D$2:D$3074, D$2:D$3074, 0)), ROW(D$2:D$3074)-ROW(D$2)+1) &gt; 0))</f>
        <v>12</v>
      </c>
      <c r="C1214" s="3">
        <v>41100550</v>
      </c>
      <c r="D1214" s="6" t="s">
        <v>2777</v>
      </c>
      <c r="E1214" s="3" t="s">
        <v>1405</v>
      </c>
      <c r="F1214" s="3" t="s">
        <v>1477</v>
      </c>
      <c r="G1214" s="68" t="str">
        <f t="shared" si="89"/>
        <v>SINGLE</v>
      </c>
      <c r="H1214" s="197">
        <f t="shared" si="90"/>
        <v>35</v>
      </c>
      <c r="I1214" s="197">
        <v>8</v>
      </c>
      <c r="J1214" s="197">
        <v>25</v>
      </c>
      <c r="K1214" s="186">
        <f t="shared" si="91"/>
        <v>45894</v>
      </c>
      <c r="L1214" s="3" t="s">
        <v>2395</v>
      </c>
      <c r="M1214" s="3" t="s">
        <v>1468</v>
      </c>
      <c r="N1214" s="3" t="str">
        <f t="shared" si="88"/>
        <v/>
      </c>
    </row>
    <row r="1215" spans="1:19">
      <c r="A1215" s="3">
        <v>5811</v>
      </c>
      <c r="B1215" s="83">
        <f t="array" ref="B1215">SUM(--(FREQUENCY(IF(C$2:C$3074=C1215, MATCH(D$2:D$3074, D$2:D$3074, 0)), ROW(D$2:D$3074)-ROW(D$2)+1) &gt; 0))</f>
        <v>12</v>
      </c>
      <c r="C1215" s="3">
        <v>41100550</v>
      </c>
      <c r="D1215" s="6" t="s">
        <v>2779</v>
      </c>
      <c r="E1215" s="3" t="s">
        <v>1405</v>
      </c>
      <c r="F1215" s="3" t="s">
        <v>1477</v>
      </c>
      <c r="G1215" s="68" t="str">
        <f t="shared" si="89"/>
        <v>SINGLE</v>
      </c>
      <c r="H1215" s="197">
        <f t="shared" si="90"/>
        <v>35</v>
      </c>
      <c r="I1215" s="197">
        <v>8</v>
      </c>
      <c r="J1215" s="197">
        <v>25</v>
      </c>
      <c r="K1215" s="186">
        <f t="shared" si="91"/>
        <v>45894</v>
      </c>
      <c r="L1215" s="3" t="s">
        <v>2395</v>
      </c>
      <c r="M1215" s="3" t="s">
        <v>1468</v>
      </c>
      <c r="N1215" s="3" t="str">
        <f t="shared" si="88"/>
        <v/>
      </c>
    </row>
    <row r="1216" spans="1:19">
      <c r="A1216" s="3">
        <v>5954</v>
      </c>
      <c r="B1216" s="83">
        <f t="array" ref="B1216">SUM(--(FREQUENCY(IF(C$2:C$3074=C1216, MATCH(D$2:D$3074, D$2:D$3074, 0)), ROW(D$2:D$3074)-ROW(D$2)+1) &gt; 0))</f>
        <v>102</v>
      </c>
      <c r="C1216" s="3">
        <v>41200006</v>
      </c>
      <c r="D1216" s="6" t="s">
        <v>2781</v>
      </c>
      <c r="E1216" s="3" t="s">
        <v>1405</v>
      </c>
      <c r="F1216" s="3" t="s">
        <v>1477</v>
      </c>
      <c r="G1216" s="68" t="str">
        <f t="shared" si="89"/>
        <v>SINGLE</v>
      </c>
      <c r="H1216" s="197">
        <f t="shared" si="90"/>
        <v>35</v>
      </c>
      <c r="I1216" s="197">
        <v>8</v>
      </c>
      <c r="J1216" s="197">
        <v>25</v>
      </c>
      <c r="K1216" s="186">
        <f t="shared" si="91"/>
        <v>45894</v>
      </c>
      <c r="L1216" s="3" t="s">
        <v>2391</v>
      </c>
      <c r="M1216" s="3" t="s">
        <v>1468</v>
      </c>
      <c r="N1216" s="3" t="str">
        <f t="shared" si="88"/>
        <v/>
      </c>
    </row>
    <row r="1217" spans="1:21">
      <c r="A1217" s="3">
        <v>5954</v>
      </c>
      <c r="B1217" s="83">
        <f t="array" ref="B1217">SUM(--(FREQUENCY(IF(C$2:C$3074=C1217, MATCH(D$2:D$3074, D$2:D$3074, 0)), ROW(D$2:D$3074)-ROW(D$2)+1) &gt; 0))</f>
        <v>102</v>
      </c>
      <c r="C1217" s="3">
        <v>41200006</v>
      </c>
      <c r="D1217" s="6" t="s">
        <v>2782</v>
      </c>
      <c r="E1217" s="3" t="s">
        <v>1405</v>
      </c>
      <c r="F1217" s="3" t="s">
        <v>1477</v>
      </c>
      <c r="G1217" s="68" t="str">
        <f t="shared" si="89"/>
        <v>SINGLE</v>
      </c>
      <c r="H1217" s="197">
        <f t="shared" si="90"/>
        <v>35</v>
      </c>
      <c r="I1217" s="197">
        <v>8</v>
      </c>
      <c r="J1217" s="197">
        <v>25</v>
      </c>
      <c r="K1217" s="186">
        <f t="shared" si="91"/>
        <v>45894</v>
      </c>
      <c r="L1217" s="3" t="s">
        <v>2391</v>
      </c>
      <c r="M1217" s="3" t="s">
        <v>1468</v>
      </c>
      <c r="N1217" s="3" t="str">
        <f t="shared" si="88"/>
        <v/>
      </c>
    </row>
    <row r="1218" spans="1:21">
      <c r="A1218" s="3">
        <v>5886</v>
      </c>
      <c r="B1218" s="83">
        <f t="array" ref="B1218">SUM(--(FREQUENCY(IF(C$2:C$3074=C1218, MATCH(D$2:D$3074, D$2:D$3074, 0)), ROW(D$2:D$3074)-ROW(D$2)+1) &gt; 0))</f>
        <v>102</v>
      </c>
      <c r="C1218" s="3">
        <v>41200006</v>
      </c>
      <c r="D1218" s="6" t="s">
        <v>2783</v>
      </c>
      <c r="E1218" s="3" t="s">
        <v>1405</v>
      </c>
      <c r="F1218" s="3" t="s">
        <v>1477</v>
      </c>
      <c r="G1218" s="68" t="str">
        <f t="shared" si="89"/>
        <v>SINGLE</v>
      </c>
      <c r="H1218" s="197">
        <f t="shared" si="90"/>
        <v>35</v>
      </c>
      <c r="I1218" s="197">
        <v>8</v>
      </c>
      <c r="J1218" s="197">
        <v>25</v>
      </c>
      <c r="K1218" s="186">
        <f t="shared" si="91"/>
        <v>45894</v>
      </c>
      <c r="L1218" s="3" t="s">
        <v>2395</v>
      </c>
      <c r="M1218" s="3" t="s">
        <v>1469</v>
      </c>
      <c r="N1218" s="3" t="str">
        <f t="shared" si="88"/>
        <v/>
      </c>
    </row>
    <row r="1219" spans="1:21">
      <c r="A1219" s="3">
        <v>5886</v>
      </c>
      <c r="B1219" s="83">
        <f t="array" ref="B1219">SUM(--(FREQUENCY(IF(C$2:C$3074=C1219, MATCH(D$2:D$3074, D$2:D$3074, 0)), ROW(D$2:D$3074)-ROW(D$2)+1) &gt; 0))</f>
        <v>102</v>
      </c>
      <c r="C1219" s="3">
        <v>41200006</v>
      </c>
      <c r="D1219" s="6" t="s">
        <v>2785</v>
      </c>
      <c r="E1219" s="3" t="s">
        <v>1405</v>
      </c>
      <c r="F1219" s="3" t="s">
        <v>1477</v>
      </c>
      <c r="G1219" s="68" t="str">
        <f t="shared" si="89"/>
        <v>SINGLE</v>
      </c>
      <c r="H1219" s="197">
        <f t="shared" si="90"/>
        <v>35</v>
      </c>
      <c r="I1219" s="197">
        <v>8</v>
      </c>
      <c r="J1219" s="197">
        <v>25</v>
      </c>
      <c r="K1219" s="186">
        <f t="shared" si="91"/>
        <v>45894</v>
      </c>
      <c r="L1219" s="3" t="s">
        <v>2395</v>
      </c>
      <c r="M1219" s="3" t="s">
        <v>1469</v>
      </c>
      <c r="N1219" s="3" t="str">
        <f t="shared" si="88"/>
        <v/>
      </c>
    </row>
    <row r="1220" spans="1:21">
      <c r="A1220" s="3">
        <v>5914</v>
      </c>
      <c r="B1220" s="83">
        <f t="array" ref="B1220">SUM(--(FREQUENCY(IF(C$2:C$3074=C1220, MATCH(D$2:D$3074, D$2:D$3074, 0)), ROW(D$2:D$3074)-ROW(D$2)+1) &gt; 0))</f>
        <v>25</v>
      </c>
      <c r="C1220" s="3">
        <v>41200128</v>
      </c>
      <c r="D1220" s="6" t="s">
        <v>2787</v>
      </c>
      <c r="E1220" s="3" t="s">
        <v>1431</v>
      </c>
      <c r="F1220" s="3" t="s">
        <v>1591</v>
      </c>
      <c r="G1220" s="68" t="str">
        <f t="shared" si="89"/>
        <v>SINGLE</v>
      </c>
      <c r="H1220" s="197">
        <f t="shared" si="90"/>
        <v>35</v>
      </c>
      <c r="I1220" s="197">
        <v>8</v>
      </c>
      <c r="J1220" s="197">
        <v>26</v>
      </c>
      <c r="K1220" s="186">
        <f t="shared" si="91"/>
        <v>45895</v>
      </c>
      <c r="L1220" s="3" t="s">
        <v>2395</v>
      </c>
      <c r="M1220" s="3" t="s">
        <v>2392</v>
      </c>
      <c r="N1220" s="3" t="str">
        <f t="shared" si="88"/>
        <v/>
      </c>
    </row>
    <row r="1221" spans="1:21">
      <c r="A1221" s="3">
        <v>5953</v>
      </c>
      <c r="B1221" s="83">
        <f t="array" ref="B1221">SUM(--(FREQUENCY(IF(C$2:C$3074=C1221, MATCH(D$2:D$3074, D$2:D$3074, 0)), ROW(D$2:D$3074)-ROW(D$2)+1) &gt; 0))</f>
        <v>26</v>
      </c>
      <c r="C1221" s="3">
        <v>41200074</v>
      </c>
      <c r="D1221" s="6" t="s">
        <v>2788</v>
      </c>
      <c r="E1221" s="3" t="s">
        <v>1405</v>
      </c>
      <c r="F1221" s="3" t="s">
        <v>1478</v>
      </c>
      <c r="G1221" s="68" t="str">
        <f t="shared" si="89"/>
        <v>DUAL</v>
      </c>
      <c r="H1221" s="197">
        <f t="shared" ref="H1221:H1229" si="94">WEEKNUM(K1221)</f>
        <v>35</v>
      </c>
      <c r="I1221" s="197">
        <v>8</v>
      </c>
      <c r="J1221" s="197">
        <v>26</v>
      </c>
      <c r="K1221" s="186">
        <f t="shared" ref="K1221:K1229" si="95">DATE(2025, I1221, J1221)</f>
        <v>45895</v>
      </c>
      <c r="L1221" s="3" t="s">
        <v>2395</v>
      </c>
      <c r="M1221" s="3" t="s">
        <v>2392</v>
      </c>
      <c r="N1221" s="3" t="str">
        <f t="shared" si="88"/>
        <v>NG</v>
      </c>
      <c r="O1221" s="3" t="s">
        <v>2368</v>
      </c>
      <c r="P1221" s="3" t="s">
        <v>5088</v>
      </c>
      <c r="Q1221" s="3">
        <v>11002737</v>
      </c>
      <c r="R1221" s="3" t="s">
        <v>735</v>
      </c>
      <c r="S1221" s="3" t="s">
        <v>5159</v>
      </c>
    </row>
    <row r="1222" spans="1:21">
      <c r="A1222" s="3">
        <v>5953</v>
      </c>
      <c r="B1222" s="83">
        <f t="array" ref="B1222">SUM(--(FREQUENCY(IF(C$2:C$3074=C1222, MATCH(D$2:D$3074, D$2:D$3074, 0)), ROW(D$2:D$3074)-ROW(D$2)+1) &gt; 0))</f>
        <v>26</v>
      </c>
      <c r="C1222" s="3">
        <v>41200074</v>
      </c>
      <c r="D1222" s="6" t="s">
        <v>2789</v>
      </c>
      <c r="E1222" s="3" t="s">
        <v>1405</v>
      </c>
      <c r="F1222" s="3" t="s">
        <v>1478</v>
      </c>
      <c r="G1222" s="41" t="str">
        <f t="shared" si="89"/>
        <v>DUAL</v>
      </c>
      <c r="H1222" s="197">
        <f t="shared" si="94"/>
        <v>35</v>
      </c>
      <c r="I1222" s="197">
        <v>8</v>
      </c>
      <c r="J1222" s="197">
        <v>26</v>
      </c>
      <c r="K1222" s="186">
        <f t="shared" si="95"/>
        <v>45895</v>
      </c>
      <c r="L1222" s="3" t="s">
        <v>2395</v>
      </c>
      <c r="M1222" s="3" t="s">
        <v>2392</v>
      </c>
      <c r="N1222" s="3" t="str">
        <f t="shared" si="88"/>
        <v>NG</v>
      </c>
      <c r="O1222" s="3" t="s">
        <v>2368</v>
      </c>
      <c r="P1222" s="3" t="s">
        <v>5151</v>
      </c>
      <c r="Q1222" s="3">
        <v>11002283</v>
      </c>
      <c r="R1222" s="3" t="s">
        <v>932</v>
      </c>
      <c r="S1222" s="3" t="s">
        <v>5102</v>
      </c>
      <c r="T1222" s="3" t="s">
        <v>2493</v>
      </c>
    </row>
    <row r="1223" spans="1:21">
      <c r="A1223" s="3">
        <v>5953</v>
      </c>
      <c r="B1223" s="83">
        <f t="array" ref="B1223">SUM(--(FREQUENCY(IF(C$2:C$3074=C1223, MATCH(D$2:D$3074, D$2:D$3074, 0)), ROW(D$2:D$3074)-ROW(D$2)+1) &gt; 0))</f>
        <v>26</v>
      </c>
      <c r="C1223" s="3">
        <v>41200074</v>
      </c>
      <c r="D1223" s="6" t="s">
        <v>2789</v>
      </c>
      <c r="E1223" s="3" t="s">
        <v>1405</v>
      </c>
      <c r="F1223" s="3" t="s">
        <v>1478</v>
      </c>
      <c r="G1223" s="41" t="str">
        <f t="shared" si="89"/>
        <v>DUAL</v>
      </c>
      <c r="H1223" s="197">
        <f t="shared" ref="H1223" si="96">WEEKNUM(K1223)</f>
        <v>35</v>
      </c>
      <c r="I1223" s="197">
        <v>8</v>
      </c>
      <c r="J1223" s="197">
        <v>26</v>
      </c>
      <c r="K1223" s="186">
        <f t="shared" ref="K1223" si="97">DATE(2025, I1223, J1223)</f>
        <v>45895</v>
      </c>
      <c r="L1223" s="3" t="s">
        <v>2395</v>
      </c>
      <c r="M1223" s="3" t="s">
        <v>2392</v>
      </c>
      <c r="N1223" s="3" t="str">
        <f t="shared" si="88"/>
        <v>NG</v>
      </c>
      <c r="O1223" s="3" t="s">
        <v>2368</v>
      </c>
      <c r="P1223" s="3" t="s">
        <v>5151</v>
      </c>
      <c r="Q1223" s="3">
        <v>11002283</v>
      </c>
      <c r="R1223" s="3" t="s">
        <v>932</v>
      </c>
      <c r="S1223" s="3" t="s">
        <v>5102</v>
      </c>
      <c r="T1223" s="3" t="s">
        <v>2493</v>
      </c>
    </row>
    <row r="1224" spans="1:21">
      <c r="A1224" s="3">
        <v>5954</v>
      </c>
      <c r="B1224" s="83">
        <f t="array" ref="B1224">SUM(--(FREQUENCY(IF(C$2:C$3074=C1224, MATCH(D$2:D$3074, D$2:D$3074, 0)), ROW(D$2:D$3074)-ROW(D$2)+1) &gt; 0))</f>
        <v>102</v>
      </c>
      <c r="C1224" s="3">
        <v>41200006</v>
      </c>
      <c r="D1224" s="6" t="s">
        <v>2790</v>
      </c>
      <c r="E1224" s="3" t="s">
        <v>1405</v>
      </c>
      <c r="F1224" s="3" t="s">
        <v>1477</v>
      </c>
      <c r="G1224" s="68" t="str">
        <f t="shared" si="89"/>
        <v>SINGLE</v>
      </c>
      <c r="H1224" s="197">
        <f t="shared" si="94"/>
        <v>35</v>
      </c>
      <c r="I1224" s="197">
        <v>8</v>
      </c>
      <c r="J1224" s="197">
        <v>26</v>
      </c>
      <c r="K1224" s="186">
        <f t="shared" si="95"/>
        <v>45895</v>
      </c>
      <c r="L1224" s="3" t="s">
        <v>2391</v>
      </c>
      <c r="M1224" s="3" t="s">
        <v>1468</v>
      </c>
      <c r="N1224" s="3" t="str">
        <f t="shared" si="88"/>
        <v/>
      </c>
    </row>
    <row r="1225" spans="1:21">
      <c r="A1225" s="3">
        <v>5954</v>
      </c>
      <c r="B1225" s="83">
        <f t="array" ref="B1225">SUM(--(FREQUENCY(IF(C$2:C$3074=C1225, MATCH(D$2:D$3074, D$2:D$3074, 0)), ROW(D$2:D$3074)-ROW(D$2)+1) &gt; 0))</f>
        <v>102</v>
      </c>
      <c r="C1225" s="3">
        <v>41200006</v>
      </c>
      <c r="D1225" s="6" t="s">
        <v>2791</v>
      </c>
      <c r="E1225" s="3" t="s">
        <v>1405</v>
      </c>
      <c r="F1225" s="3" t="s">
        <v>1477</v>
      </c>
      <c r="G1225" s="68" t="str">
        <f t="shared" si="89"/>
        <v>SINGLE</v>
      </c>
      <c r="H1225" s="197">
        <f t="shared" si="94"/>
        <v>35</v>
      </c>
      <c r="I1225" s="197">
        <v>8</v>
      </c>
      <c r="J1225" s="197">
        <v>26</v>
      </c>
      <c r="K1225" s="186">
        <f t="shared" si="95"/>
        <v>45895</v>
      </c>
      <c r="L1225" s="3" t="s">
        <v>2391</v>
      </c>
      <c r="M1225" s="3" t="s">
        <v>1468</v>
      </c>
      <c r="N1225" s="3" t="str">
        <f t="shared" si="88"/>
        <v/>
      </c>
    </row>
    <row r="1226" spans="1:21">
      <c r="A1226" s="3">
        <v>5855</v>
      </c>
      <c r="B1226" s="83">
        <f t="array" ref="B1226">SUM(--(FREQUENCY(IF(C$2:C$3074=C1226, MATCH(D$2:D$3074, D$2:D$3074, 0)), ROW(D$2:D$3074)-ROW(D$2)+1) &gt; 0))</f>
        <v>32</v>
      </c>
      <c r="C1226" s="3">
        <v>41200122</v>
      </c>
      <c r="D1226" s="6" t="s">
        <v>2792</v>
      </c>
      <c r="E1226" s="3" t="s">
        <v>1585</v>
      </c>
      <c r="F1226" s="3" t="s">
        <v>1476</v>
      </c>
      <c r="G1226" s="68" t="str">
        <f t="shared" si="89"/>
        <v>DUAL</v>
      </c>
      <c r="H1226" s="197">
        <f t="shared" si="94"/>
        <v>35</v>
      </c>
      <c r="I1226" s="197">
        <v>8</v>
      </c>
      <c r="J1226" s="197">
        <v>26</v>
      </c>
      <c r="K1226" s="186">
        <f t="shared" si="95"/>
        <v>45895</v>
      </c>
      <c r="L1226" s="3" t="s">
        <v>2391</v>
      </c>
      <c r="M1226" s="3" t="s">
        <v>1468</v>
      </c>
      <c r="N1226" s="3" t="str">
        <f t="shared" si="88"/>
        <v/>
      </c>
    </row>
    <row r="1227" spans="1:21">
      <c r="A1227" s="3">
        <v>5874</v>
      </c>
      <c r="B1227" s="83">
        <f t="array" ref="B1227">SUM(--(FREQUENCY(IF(C$2:C$3074=C1227, MATCH(D$2:D$3074, D$2:D$3074, 0)), ROW(D$2:D$3074)-ROW(D$2)+1) &gt; 0))</f>
        <v>6</v>
      </c>
      <c r="C1227" s="3">
        <v>41000556</v>
      </c>
      <c r="D1227" s="6" t="s">
        <v>2793</v>
      </c>
      <c r="E1227" s="3" t="s">
        <v>1585</v>
      </c>
      <c r="F1227" s="3" t="s">
        <v>1476</v>
      </c>
      <c r="G1227" s="68" t="str">
        <f t="shared" si="89"/>
        <v>DUAL</v>
      </c>
      <c r="H1227" s="197">
        <f t="shared" si="94"/>
        <v>35</v>
      </c>
      <c r="I1227" s="197">
        <v>8</v>
      </c>
      <c r="J1227" s="197">
        <v>26</v>
      </c>
      <c r="K1227" s="186">
        <f t="shared" si="95"/>
        <v>45895</v>
      </c>
      <c r="L1227" s="3" t="s">
        <v>2391</v>
      </c>
      <c r="M1227" s="3" t="s">
        <v>1468</v>
      </c>
      <c r="N1227" s="3" t="str">
        <f t="shared" si="88"/>
        <v/>
      </c>
    </row>
    <row r="1228" spans="1:21">
      <c r="A1228" s="3">
        <v>5996</v>
      </c>
      <c r="B1228" s="83">
        <f t="array" ref="B1228">SUM(--(FREQUENCY(IF(C$2:C$3074=C1228, MATCH(D$2:D$3074, D$2:D$3074, 0)), ROW(D$2:D$3074)-ROW(D$2)+1) &gt; 0))</f>
        <v>32</v>
      </c>
      <c r="C1228" s="3">
        <v>41200127</v>
      </c>
      <c r="D1228" s="6" t="s">
        <v>2794</v>
      </c>
      <c r="E1228" s="3" t="s">
        <v>1431</v>
      </c>
      <c r="F1228" s="3" t="s">
        <v>1591</v>
      </c>
      <c r="G1228" s="68" t="str">
        <f t="shared" si="89"/>
        <v>SINGLE</v>
      </c>
      <c r="H1228" s="197">
        <f t="shared" si="94"/>
        <v>35</v>
      </c>
      <c r="I1228" s="197">
        <v>8</v>
      </c>
      <c r="J1228" s="197">
        <v>26</v>
      </c>
      <c r="K1228" s="186">
        <f t="shared" si="95"/>
        <v>45895</v>
      </c>
      <c r="L1228" s="3" t="s">
        <v>2395</v>
      </c>
      <c r="M1228" s="3" t="s">
        <v>1469</v>
      </c>
      <c r="N1228" s="3" t="str">
        <f t="shared" si="88"/>
        <v/>
      </c>
    </row>
    <row r="1229" spans="1:21">
      <c r="A1229" s="3">
        <v>5789</v>
      </c>
      <c r="B1229" s="83">
        <f t="array" ref="B1229">SUM(--(FREQUENCY(IF(C$2:C$3074=C1229, MATCH(D$2:D$3074, D$2:D$3074, 0)), ROW(D$2:D$3074)-ROW(D$2)+1) &gt; 0))</f>
        <v>2</v>
      </c>
      <c r="C1229" s="3">
        <v>41100319</v>
      </c>
      <c r="D1229" s="6" t="s">
        <v>2795</v>
      </c>
      <c r="E1229" s="3" t="s">
        <v>1585</v>
      </c>
      <c r="F1229" s="3" t="s">
        <v>1476</v>
      </c>
      <c r="G1229" s="68" t="str">
        <f t="shared" si="89"/>
        <v>DUAL</v>
      </c>
      <c r="H1229" s="197">
        <f t="shared" si="94"/>
        <v>35</v>
      </c>
      <c r="I1229" s="197">
        <v>8</v>
      </c>
      <c r="J1229" s="197">
        <v>27</v>
      </c>
      <c r="K1229" s="186">
        <f t="shared" si="95"/>
        <v>45896</v>
      </c>
      <c r="L1229" s="3" t="s">
        <v>2395</v>
      </c>
      <c r="M1229" s="3" t="s">
        <v>2392</v>
      </c>
      <c r="N1229" s="3" t="str">
        <f t="shared" si="88"/>
        <v/>
      </c>
    </row>
    <row r="1230" spans="1:21">
      <c r="A1230" s="3">
        <v>5823</v>
      </c>
      <c r="B1230" s="83">
        <f t="array" ref="B1230">SUM(--(FREQUENCY(IF(C$2:C$3074=C1230, MATCH(D$2:D$3074, D$2:D$3074, 0)), ROW(D$2:D$3074)-ROW(D$2)+1) &gt; 0))</f>
        <v>49</v>
      </c>
      <c r="C1230" s="3">
        <v>41200005</v>
      </c>
      <c r="D1230" s="6" t="s">
        <v>2796</v>
      </c>
      <c r="E1230" s="3" t="s">
        <v>1405</v>
      </c>
      <c r="F1230" s="3" t="s">
        <v>1591</v>
      </c>
      <c r="G1230" s="41" t="str">
        <f t="shared" si="89"/>
        <v>SINGLE</v>
      </c>
      <c r="H1230" s="197">
        <f t="shared" ref="H1230:H1240" si="98">WEEKNUM(K1230)</f>
        <v>35</v>
      </c>
      <c r="I1230" s="197">
        <v>8</v>
      </c>
      <c r="J1230" s="197">
        <v>27</v>
      </c>
      <c r="K1230" s="186">
        <f t="shared" ref="K1230:K1240" si="99">DATE(2025, I1230, J1230)</f>
        <v>45896</v>
      </c>
      <c r="L1230" s="3" t="s">
        <v>2391</v>
      </c>
      <c r="M1230" s="3" t="s">
        <v>2392</v>
      </c>
      <c r="N1230" s="3" t="str">
        <f t="shared" si="88"/>
        <v>NG</v>
      </c>
      <c r="O1230" s="3" t="s">
        <v>2368</v>
      </c>
      <c r="P1230" s="3" t="s">
        <v>5151</v>
      </c>
      <c r="Q1230" s="3">
        <v>11100935</v>
      </c>
      <c r="R1230" s="3" t="s">
        <v>932</v>
      </c>
      <c r="S1230" s="3" t="s">
        <v>5160</v>
      </c>
      <c r="U1230" s="3" t="s">
        <v>5161</v>
      </c>
    </row>
    <row r="1231" spans="1:21">
      <c r="A1231" s="3">
        <v>5823</v>
      </c>
      <c r="B1231" s="83">
        <f t="array" ref="B1231">SUM(--(FREQUENCY(IF(C$2:C$3074=C1231, MATCH(D$2:D$3074, D$2:D$3074, 0)), ROW(D$2:D$3074)-ROW(D$2)+1) &gt; 0))</f>
        <v>49</v>
      </c>
      <c r="C1231" s="3">
        <v>41200005</v>
      </c>
      <c r="D1231" s="6" t="s">
        <v>2796</v>
      </c>
      <c r="E1231" s="3" t="s">
        <v>1405</v>
      </c>
      <c r="F1231" s="3" t="s">
        <v>1591</v>
      </c>
      <c r="G1231" s="41" t="str">
        <f t="shared" ref="G1231:G1232" si="100">IF(OR(ISNUMBER(SEARCH("DUAL",F1231)), ISNUMBER(SEARCH("IVAS",F1231))), "DUAL", "SINGLE")</f>
        <v>SINGLE</v>
      </c>
      <c r="H1231" s="197">
        <f t="shared" ref="H1231:H1232" si="101">WEEKNUM(K1231)</f>
        <v>35</v>
      </c>
      <c r="I1231" s="197">
        <v>8</v>
      </c>
      <c r="J1231" s="197">
        <v>27</v>
      </c>
      <c r="K1231" s="186">
        <f t="shared" ref="K1231:K1232" si="102">DATE(2025, I1231, J1231)</f>
        <v>45896</v>
      </c>
      <c r="L1231" s="3" t="s">
        <v>2391</v>
      </c>
      <c r="M1231" s="3" t="s">
        <v>2392</v>
      </c>
      <c r="N1231" s="3" t="str">
        <f t="shared" ref="N1231:N1232" si="103">IF(O1231&lt;&gt;"", "NG", "")</f>
        <v>NG</v>
      </c>
      <c r="O1231" s="3" t="s">
        <v>2368</v>
      </c>
      <c r="P1231" s="3" t="s">
        <v>5151</v>
      </c>
      <c r="Q1231" s="3">
        <v>11100934</v>
      </c>
      <c r="R1231" s="3" t="s">
        <v>932</v>
      </c>
      <c r="S1231" s="3" t="s">
        <v>5160</v>
      </c>
      <c r="U1231" s="3" t="s">
        <v>5161</v>
      </c>
    </row>
    <row r="1232" spans="1:21">
      <c r="A1232" s="3">
        <v>5823</v>
      </c>
      <c r="B1232" s="83">
        <f t="array" ref="B1232">SUM(--(FREQUENCY(IF(C$2:C$3074=C1232, MATCH(D$2:D$3074, D$2:D$3074, 0)), ROW(D$2:D$3074)-ROW(D$2)+1) &gt; 0))</f>
        <v>49</v>
      </c>
      <c r="C1232" s="3">
        <v>41200005</v>
      </c>
      <c r="D1232" s="6" t="s">
        <v>2796</v>
      </c>
      <c r="E1232" s="3" t="s">
        <v>1405</v>
      </c>
      <c r="F1232" s="3" t="s">
        <v>1591</v>
      </c>
      <c r="G1232" s="41" t="str">
        <f t="shared" si="100"/>
        <v>SINGLE</v>
      </c>
      <c r="H1232" s="197">
        <f t="shared" si="101"/>
        <v>35</v>
      </c>
      <c r="I1232" s="197">
        <v>8</v>
      </c>
      <c r="J1232" s="197">
        <v>27</v>
      </c>
      <c r="K1232" s="186">
        <f t="shared" si="102"/>
        <v>45896</v>
      </c>
      <c r="L1232" s="3" t="s">
        <v>2391</v>
      </c>
      <c r="M1232" s="3" t="s">
        <v>2392</v>
      </c>
      <c r="N1232" s="3" t="str">
        <f t="shared" si="103"/>
        <v>NG</v>
      </c>
      <c r="O1232" s="3" t="s">
        <v>2368</v>
      </c>
      <c r="P1232" s="3" t="s">
        <v>5151</v>
      </c>
      <c r="Q1232" s="3">
        <v>11100934</v>
      </c>
      <c r="R1232" s="3" t="s">
        <v>932</v>
      </c>
      <c r="S1232" s="3" t="s">
        <v>5160</v>
      </c>
      <c r="U1232" s="3" t="s">
        <v>5161</v>
      </c>
    </row>
    <row r="1233" spans="1:19">
      <c r="A1233" s="3">
        <v>5823</v>
      </c>
      <c r="B1233" s="83">
        <f t="array" ref="B1233">SUM(--(FREQUENCY(IF(C$2:C$3074=C1233, MATCH(D$2:D$3074, D$2:D$3074, 0)), ROW(D$2:D$3074)-ROW(D$2)+1) &gt; 0))</f>
        <v>49</v>
      </c>
      <c r="C1233" s="3">
        <v>41200005</v>
      </c>
      <c r="D1233" s="6" t="s">
        <v>2797</v>
      </c>
      <c r="E1233" s="3" t="s">
        <v>1405</v>
      </c>
      <c r="F1233" s="3" t="s">
        <v>1591</v>
      </c>
      <c r="G1233" s="68" t="str">
        <f t="shared" ref="G1233:G1246" si="104">IF(OR(ISNUMBER(SEARCH("DUAL",F1233)), ISNUMBER(SEARCH("IVAS",F1233))), "DUAL", "SINGLE")</f>
        <v>SINGLE</v>
      </c>
      <c r="H1233" s="197">
        <f t="shared" si="98"/>
        <v>35</v>
      </c>
      <c r="I1233" s="197">
        <v>8</v>
      </c>
      <c r="J1233" s="197">
        <v>27</v>
      </c>
      <c r="K1233" s="186">
        <f t="shared" si="99"/>
        <v>45896</v>
      </c>
      <c r="L1233" s="3" t="s">
        <v>2391</v>
      </c>
      <c r="M1233" s="3" t="s">
        <v>2392</v>
      </c>
      <c r="N1233" s="3" t="str">
        <f t="shared" ref="N1233:N1245" si="105">IF(O1233&lt;&gt;"", "NG", "")</f>
        <v/>
      </c>
    </row>
    <row r="1234" spans="1:19">
      <c r="A1234" s="3">
        <v>5825</v>
      </c>
      <c r="B1234" s="83">
        <f t="array" ref="B1234">SUM(--(FREQUENCY(IF(C$2:C$3074=C1234, MATCH(D$2:D$3074, D$2:D$3074, 0)), ROW(D$2:D$3074)-ROW(D$2)+1) &gt; 0))</f>
        <v>11</v>
      </c>
      <c r="C1234" s="3">
        <v>41000588</v>
      </c>
      <c r="D1234" s="6" t="s">
        <v>2798</v>
      </c>
      <c r="E1234" s="3" t="s">
        <v>1405</v>
      </c>
      <c r="F1234" s="3" t="s">
        <v>1581</v>
      </c>
      <c r="G1234" s="41" t="str">
        <f t="shared" si="104"/>
        <v>DUAL</v>
      </c>
      <c r="H1234" s="197">
        <f t="shared" si="98"/>
        <v>35</v>
      </c>
      <c r="I1234" s="197">
        <v>8</v>
      </c>
      <c r="J1234" s="197">
        <v>27</v>
      </c>
      <c r="K1234" s="186">
        <f t="shared" si="99"/>
        <v>45896</v>
      </c>
      <c r="L1234" s="3" t="s">
        <v>2392</v>
      </c>
      <c r="M1234" s="3" t="s">
        <v>2392</v>
      </c>
      <c r="N1234" s="3" t="str">
        <f t="shared" si="105"/>
        <v>NG</v>
      </c>
      <c r="O1234" s="3" t="s">
        <v>2368</v>
      </c>
      <c r="P1234" s="3" t="s">
        <v>2376</v>
      </c>
      <c r="Q1234" s="3">
        <v>11000201</v>
      </c>
      <c r="R1234" s="3" t="s">
        <v>816</v>
      </c>
      <c r="S1234" s="3" t="s">
        <v>5162</v>
      </c>
    </row>
    <row r="1235" spans="1:19">
      <c r="A1235" s="3">
        <v>5825</v>
      </c>
      <c r="B1235" s="83">
        <f t="array" ref="B1235">SUM(--(FREQUENCY(IF(C$2:C$3074=C1235, MATCH(D$2:D$3074, D$2:D$3074, 0)), ROW(D$2:D$3074)-ROW(D$2)+1) &gt; 0))</f>
        <v>11</v>
      </c>
      <c r="C1235" s="3">
        <v>41000588</v>
      </c>
      <c r="D1235" s="6" t="s">
        <v>2798</v>
      </c>
      <c r="E1235" s="3" t="s">
        <v>1405</v>
      </c>
      <c r="F1235" s="3" t="s">
        <v>1581</v>
      </c>
      <c r="G1235" s="41" t="str">
        <f t="shared" si="104"/>
        <v>DUAL</v>
      </c>
      <c r="H1235" s="197">
        <f t="shared" ref="H1235" si="106">WEEKNUM(K1235)</f>
        <v>35</v>
      </c>
      <c r="I1235" s="197">
        <v>8</v>
      </c>
      <c r="J1235" s="197">
        <v>27</v>
      </c>
      <c r="K1235" s="186">
        <f t="shared" ref="K1235" si="107">DATE(2025, I1235, J1235)</f>
        <v>45896</v>
      </c>
      <c r="L1235" s="3" t="s">
        <v>2392</v>
      </c>
      <c r="M1235" s="3" t="s">
        <v>2392</v>
      </c>
      <c r="N1235" s="3" t="str">
        <f t="shared" si="105"/>
        <v>NG</v>
      </c>
      <c r="O1235" s="3" t="s">
        <v>2368</v>
      </c>
      <c r="P1235" s="3" t="s">
        <v>2376</v>
      </c>
      <c r="Q1235" s="3">
        <v>13104831</v>
      </c>
      <c r="R1235" s="3" t="s">
        <v>958</v>
      </c>
      <c r="S1235" s="3" t="s">
        <v>5163</v>
      </c>
    </row>
    <row r="1236" spans="1:19">
      <c r="A1236" s="3">
        <v>5909</v>
      </c>
      <c r="B1236" s="83">
        <f t="array" ref="B1236">SUM(--(FREQUENCY(IF(C$2:C$3074=C1236, MATCH(D$2:D$3074, D$2:D$3074, 0)), ROW(D$2:D$3074)-ROW(D$2)+1) &gt; 0))</f>
        <v>25</v>
      </c>
      <c r="C1236" s="326">
        <v>41200128</v>
      </c>
      <c r="D1236" s="6" t="s">
        <v>2799</v>
      </c>
      <c r="E1236" s="3" t="s">
        <v>1431</v>
      </c>
      <c r="F1236" s="3" t="s">
        <v>1591</v>
      </c>
      <c r="G1236" s="68" t="str">
        <f t="shared" si="104"/>
        <v>SINGLE</v>
      </c>
      <c r="H1236" s="197">
        <f t="shared" si="98"/>
        <v>35</v>
      </c>
      <c r="I1236" s="197">
        <v>8</v>
      </c>
      <c r="J1236" s="197">
        <v>27</v>
      </c>
      <c r="K1236" s="186">
        <f t="shared" si="99"/>
        <v>45896</v>
      </c>
      <c r="L1236" s="3" t="s">
        <v>2395</v>
      </c>
      <c r="M1236" s="3" t="s">
        <v>2392</v>
      </c>
      <c r="N1236" s="3" t="str">
        <f t="shared" si="105"/>
        <v/>
      </c>
    </row>
    <row r="1237" spans="1:19">
      <c r="A1237" s="3">
        <v>5921</v>
      </c>
      <c r="B1237" s="83">
        <f t="array" ref="B1237">SUM(--(FREQUENCY(IF(C$2:C$3074=C1237, MATCH(D$2:D$3074, D$2:D$3074, 0)), ROW(D$2:D$3074)-ROW(D$2)+1) &gt; 0))</f>
        <v>43</v>
      </c>
      <c r="C1237" s="327">
        <v>41200046</v>
      </c>
      <c r="D1237" s="6" t="s">
        <v>2800</v>
      </c>
      <c r="E1237" s="3" t="s">
        <v>1426</v>
      </c>
      <c r="F1237" s="3" t="s">
        <v>1476</v>
      </c>
      <c r="G1237" s="68" t="str">
        <f t="shared" si="104"/>
        <v>DUAL</v>
      </c>
      <c r="H1237" s="197">
        <f t="shared" si="98"/>
        <v>35</v>
      </c>
      <c r="I1237" s="197">
        <v>8</v>
      </c>
      <c r="J1237" s="197">
        <v>27</v>
      </c>
      <c r="K1237" s="186">
        <f t="shared" si="99"/>
        <v>45896</v>
      </c>
      <c r="L1237" s="3" t="s">
        <v>2395</v>
      </c>
      <c r="M1237" s="3" t="s">
        <v>1469</v>
      </c>
      <c r="N1237" s="3" t="str">
        <f t="shared" si="105"/>
        <v/>
      </c>
    </row>
    <row r="1238" spans="1:19">
      <c r="A1238" s="3">
        <v>5921</v>
      </c>
      <c r="B1238" s="83">
        <f t="array" ref="B1238">SUM(--(FREQUENCY(IF(C$2:C$3074=C1238, MATCH(D$2:D$3074, D$2:D$3074, 0)), ROW(D$2:D$3074)-ROW(D$2)+1) &gt; 0))</f>
        <v>43</v>
      </c>
      <c r="C1238" s="3">
        <v>41200046</v>
      </c>
      <c r="D1238" s="6" t="s">
        <v>2801</v>
      </c>
      <c r="E1238" s="3" t="s">
        <v>1426</v>
      </c>
      <c r="F1238" s="3" t="s">
        <v>1476</v>
      </c>
      <c r="G1238" s="68" t="str">
        <f t="shared" si="104"/>
        <v>DUAL</v>
      </c>
      <c r="H1238" s="197">
        <f t="shared" si="98"/>
        <v>35</v>
      </c>
      <c r="I1238" s="197">
        <v>8</v>
      </c>
      <c r="J1238" s="197">
        <v>27</v>
      </c>
      <c r="K1238" s="186">
        <f t="shared" si="99"/>
        <v>45896</v>
      </c>
      <c r="L1238" s="3" t="s">
        <v>2395</v>
      </c>
      <c r="M1238" s="3" t="s">
        <v>1469</v>
      </c>
      <c r="N1238" s="3" t="str">
        <f t="shared" si="105"/>
        <v/>
      </c>
    </row>
    <row r="1239" spans="1:19">
      <c r="A1239" s="3">
        <v>5809</v>
      </c>
      <c r="B1239" s="83">
        <f t="array" ref="B1239">SUM(--(FREQUENCY(IF(C$2:C$3074=C1239, MATCH(D$2:D$3074, D$2:D$3074, 0)), ROW(D$2:D$3074)-ROW(D$2)+1) &gt; 0))</f>
        <v>11</v>
      </c>
      <c r="C1239" s="3">
        <v>41200105</v>
      </c>
      <c r="D1239" s="6" t="s">
        <v>2802</v>
      </c>
      <c r="E1239" s="3" t="s">
        <v>1424</v>
      </c>
      <c r="F1239" s="3" t="s">
        <v>1476</v>
      </c>
      <c r="G1239" s="68" t="str">
        <f t="shared" si="104"/>
        <v>DUAL</v>
      </c>
      <c r="H1239" s="197">
        <f t="shared" si="98"/>
        <v>35</v>
      </c>
      <c r="I1239" s="197">
        <v>8</v>
      </c>
      <c r="J1239" s="197">
        <v>27</v>
      </c>
      <c r="K1239" s="186">
        <f t="shared" si="99"/>
        <v>45896</v>
      </c>
      <c r="L1239" s="3" t="s">
        <v>2395</v>
      </c>
      <c r="M1239" s="3" t="s">
        <v>1469</v>
      </c>
      <c r="N1239" s="3" t="str">
        <f t="shared" si="105"/>
        <v>NG</v>
      </c>
      <c r="O1239" s="3" t="s">
        <v>2368</v>
      </c>
      <c r="P1239" s="3" t="s">
        <v>2563</v>
      </c>
      <c r="Q1239" s="3">
        <v>11000088</v>
      </c>
      <c r="R1239" s="3" t="s">
        <v>143</v>
      </c>
      <c r="S1239" s="3" t="s">
        <v>5164</v>
      </c>
    </row>
    <row r="1240" spans="1:19">
      <c r="A1240" s="3">
        <v>5823</v>
      </c>
      <c r="B1240" s="83">
        <f t="array" ref="B1240">SUM(--(FREQUENCY(IF(C$2:C$3074=C1240, MATCH(D$2:D$3074, D$2:D$3074, 0)), ROW(D$2:D$3074)-ROW(D$2)+1) &gt; 0))</f>
        <v>49</v>
      </c>
      <c r="C1240" s="3">
        <v>41200005</v>
      </c>
      <c r="D1240" s="6" t="s">
        <v>2804</v>
      </c>
      <c r="E1240" s="3" t="s">
        <v>1405</v>
      </c>
      <c r="F1240" s="3" t="s">
        <v>1591</v>
      </c>
      <c r="G1240" s="68" t="str">
        <f t="shared" si="104"/>
        <v>SINGLE</v>
      </c>
      <c r="H1240" s="197">
        <f t="shared" si="98"/>
        <v>35</v>
      </c>
      <c r="I1240" s="197">
        <v>8</v>
      </c>
      <c r="J1240" s="197">
        <v>28</v>
      </c>
      <c r="K1240" s="186">
        <f t="shared" si="99"/>
        <v>45897</v>
      </c>
      <c r="L1240" s="3" t="s">
        <v>2391</v>
      </c>
      <c r="M1240" s="3" t="s">
        <v>2392</v>
      </c>
      <c r="N1240" s="3" t="str">
        <f t="shared" si="105"/>
        <v>NG</v>
      </c>
      <c r="O1240" s="3" t="s">
        <v>2368</v>
      </c>
      <c r="P1240" s="3" t="s">
        <v>5151</v>
      </c>
      <c r="Q1240" s="3">
        <v>11100935</v>
      </c>
      <c r="R1240" s="3" t="s">
        <v>932</v>
      </c>
      <c r="S1240" s="3" t="s">
        <v>5160</v>
      </c>
    </row>
    <row r="1241" spans="1:19">
      <c r="A1241" s="3">
        <v>5823</v>
      </c>
      <c r="B1241" s="83">
        <f t="array" ref="B1241">SUM(--(FREQUENCY(IF(C$2:C$3074=C1241, MATCH(D$2:D$3074, D$2:D$3074, 0)), ROW(D$2:D$3074)-ROW(D$2)+1) &gt; 0))</f>
        <v>49</v>
      </c>
      <c r="C1241" s="3">
        <v>41200005</v>
      </c>
      <c r="D1241" s="6" t="s">
        <v>2805</v>
      </c>
      <c r="E1241" s="3" t="s">
        <v>1405</v>
      </c>
      <c r="F1241" s="3" t="s">
        <v>1591</v>
      </c>
      <c r="G1241" s="68" t="str">
        <f t="shared" si="104"/>
        <v>SINGLE</v>
      </c>
      <c r="H1241" s="197">
        <f t="shared" ref="H1241:H1249" si="108">WEEKNUM(K1241)</f>
        <v>35</v>
      </c>
      <c r="I1241" s="197">
        <v>8</v>
      </c>
      <c r="J1241" s="197">
        <v>28</v>
      </c>
      <c r="K1241" s="186">
        <f t="shared" ref="K1241:K1249" si="109">DATE(2025, I1241, J1241)</f>
        <v>45897</v>
      </c>
      <c r="L1241" s="3" t="s">
        <v>2391</v>
      </c>
      <c r="M1241" s="3" t="s">
        <v>2392</v>
      </c>
      <c r="N1241" s="3" t="str">
        <f t="shared" si="105"/>
        <v/>
      </c>
    </row>
    <row r="1242" spans="1:19">
      <c r="A1242" s="3">
        <v>5990</v>
      </c>
      <c r="B1242" s="83">
        <f t="array" ref="B1242">SUM(--(FREQUENCY(IF(C$2:C$3074=C1242, MATCH(D$2:D$3074, D$2:D$3074, 0)), ROW(D$2:D$3074)-ROW(D$2)+1) &gt; 0))</f>
        <v>33</v>
      </c>
      <c r="C1242" s="3">
        <v>41100435</v>
      </c>
      <c r="D1242" s="6" t="s">
        <v>2806</v>
      </c>
      <c r="E1242" s="3" t="s">
        <v>1585</v>
      </c>
      <c r="F1242" s="3" t="s">
        <v>1482</v>
      </c>
      <c r="G1242" s="68" t="str">
        <f t="shared" si="104"/>
        <v>SINGLE</v>
      </c>
      <c r="H1242" s="197">
        <f t="shared" si="108"/>
        <v>35</v>
      </c>
      <c r="I1242" s="197">
        <v>8</v>
      </c>
      <c r="J1242" s="197">
        <v>28</v>
      </c>
      <c r="K1242" s="186">
        <f t="shared" si="109"/>
        <v>45897</v>
      </c>
      <c r="L1242" s="3" t="s">
        <v>2391</v>
      </c>
      <c r="M1242" s="3" t="s">
        <v>2392</v>
      </c>
      <c r="N1242" s="3" t="str">
        <f t="shared" si="105"/>
        <v/>
      </c>
    </row>
    <row r="1243" spans="1:19">
      <c r="A1243" s="3">
        <v>6019</v>
      </c>
      <c r="B1243" s="83">
        <f t="array" ref="B1243">SUM(--(FREQUENCY(IF(C$2:C$3074=C1243, MATCH(D$2:D$3074, D$2:D$3074, 0)), ROW(D$2:D$3074)-ROW(D$2)+1) &gt; 0))</f>
        <v>1</v>
      </c>
      <c r="C1243" s="3">
        <v>41100633</v>
      </c>
      <c r="D1243" s="6" t="s">
        <v>2807</v>
      </c>
      <c r="E1243" s="3" t="s">
        <v>1394</v>
      </c>
      <c r="F1243" s="3" t="s">
        <v>1591</v>
      </c>
      <c r="G1243" s="68" t="str">
        <f t="shared" si="104"/>
        <v>SINGLE</v>
      </c>
      <c r="H1243" s="197">
        <f t="shared" si="108"/>
        <v>35</v>
      </c>
      <c r="I1243" s="197">
        <v>8</v>
      </c>
      <c r="J1243" s="197">
        <v>28</v>
      </c>
      <c r="K1243" s="186">
        <f t="shared" si="109"/>
        <v>45897</v>
      </c>
      <c r="L1243" s="3" t="s">
        <v>2391</v>
      </c>
      <c r="M1243" s="3" t="s">
        <v>2392</v>
      </c>
      <c r="N1243" s="3" t="str">
        <f t="shared" si="105"/>
        <v/>
      </c>
    </row>
    <row r="1244" spans="1:19">
      <c r="A1244" s="3">
        <v>5884</v>
      </c>
      <c r="B1244" s="83">
        <f t="array" ref="B1244">SUM(--(FREQUENCY(IF(C$2:C$3074=C1244, MATCH(D$2:D$3074, D$2:D$3074, 0)), ROW(D$2:D$3074)-ROW(D$2)+1) &gt; 0))</f>
        <v>10</v>
      </c>
      <c r="C1244" s="3">
        <v>41100286</v>
      </c>
      <c r="D1244" s="6" t="s">
        <v>2808</v>
      </c>
      <c r="E1244" s="3" t="s">
        <v>1424</v>
      </c>
      <c r="F1244" s="3" t="s">
        <v>1476</v>
      </c>
      <c r="G1244" s="68" t="str">
        <f t="shared" si="104"/>
        <v>DUAL</v>
      </c>
      <c r="H1244" s="197">
        <f t="shared" si="108"/>
        <v>35</v>
      </c>
      <c r="I1244" s="197">
        <v>8</v>
      </c>
      <c r="J1244" s="197">
        <v>28</v>
      </c>
      <c r="K1244" s="186">
        <f t="shared" si="109"/>
        <v>45897</v>
      </c>
      <c r="L1244" s="3" t="s">
        <v>2391</v>
      </c>
      <c r="M1244" s="3" t="s">
        <v>1468</v>
      </c>
      <c r="N1244" s="3" t="str">
        <f t="shared" si="105"/>
        <v>NG</v>
      </c>
      <c r="O1244" s="3" t="s">
        <v>2368</v>
      </c>
      <c r="P1244" s="3" t="s">
        <v>1384</v>
      </c>
      <c r="S1244" s="3" t="s">
        <v>5165</v>
      </c>
    </row>
    <row r="1245" spans="1:19">
      <c r="A1245" s="3">
        <v>5854</v>
      </c>
      <c r="B1245" s="83">
        <f t="array" ref="B1245">SUM(--(FREQUENCY(IF(C$2:C$3074=C1245, MATCH(D$2:D$3074, D$2:D$3074, 0)), ROW(D$2:D$3074)-ROW(D$2)+1) &gt; 0))</f>
        <v>77</v>
      </c>
      <c r="C1245" s="3">
        <v>41200076</v>
      </c>
      <c r="D1245" s="6" t="s">
        <v>2809</v>
      </c>
      <c r="E1245" s="3" t="s">
        <v>1585</v>
      </c>
      <c r="F1245" s="3" t="s">
        <v>1476</v>
      </c>
      <c r="G1245" s="68" t="str">
        <f t="shared" si="104"/>
        <v>DUAL</v>
      </c>
      <c r="H1245" s="197">
        <f t="shared" si="108"/>
        <v>35</v>
      </c>
      <c r="I1245" s="197">
        <v>8</v>
      </c>
      <c r="J1245" s="197">
        <v>28</v>
      </c>
      <c r="K1245" s="186">
        <f t="shared" si="109"/>
        <v>45897</v>
      </c>
      <c r="L1245" s="3" t="s">
        <v>2391</v>
      </c>
      <c r="M1245" s="3" t="s">
        <v>1469</v>
      </c>
      <c r="N1245" s="3" t="str">
        <f t="shared" si="105"/>
        <v/>
      </c>
    </row>
    <row r="1246" spans="1:19">
      <c r="A1246" s="3">
        <v>5882</v>
      </c>
      <c r="B1246" s="83">
        <f t="array" ref="B1246">SUM(--(FREQUENCY(IF(C$2:C$3074=C1246, MATCH(D$2:D$3074, D$2:D$3074, 0)), ROW(D$2:D$3074)-ROW(D$2)+1) &gt; 0))</f>
        <v>77</v>
      </c>
      <c r="C1246" s="3">
        <v>41200076</v>
      </c>
      <c r="D1246" s="6" t="s">
        <v>2947</v>
      </c>
      <c r="E1246" s="3" t="s">
        <v>1585</v>
      </c>
      <c r="F1246" s="3" t="s">
        <v>1476</v>
      </c>
      <c r="G1246" s="41" t="str">
        <f t="shared" si="104"/>
        <v>DUAL</v>
      </c>
      <c r="H1246" s="197">
        <f t="shared" si="108"/>
        <v>35</v>
      </c>
      <c r="I1246" s="197">
        <v>8</v>
      </c>
      <c r="J1246" s="197">
        <v>28</v>
      </c>
      <c r="K1246" s="186">
        <f t="shared" si="109"/>
        <v>45897</v>
      </c>
      <c r="L1246" s="3" t="s">
        <v>2555</v>
      </c>
      <c r="M1246" s="3" t="s">
        <v>2555</v>
      </c>
      <c r="N1246" s="3" t="str">
        <f t="shared" ref="N1246:N1248" si="110">IF(O1246&lt;&gt;"", "NG", "")</f>
        <v>NG</v>
      </c>
      <c r="O1246" s="3" t="s">
        <v>2368</v>
      </c>
      <c r="P1246" s="3" t="s">
        <v>5166</v>
      </c>
      <c r="Q1246" s="3">
        <v>11000124</v>
      </c>
      <c r="R1246" s="3" t="s">
        <v>1049</v>
      </c>
      <c r="S1246" s="3" t="s">
        <v>5167</v>
      </c>
    </row>
    <row r="1247" spans="1:19">
      <c r="A1247" s="3">
        <v>5882</v>
      </c>
      <c r="B1247" s="83">
        <f t="array" ref="B1247">SUM(--(FREQUENCY(IF(C$2:C$3074=C1247, MATCH(D$2:D$3074, D$2:D$3074, 0)), ROW(D$2:D$3074)-ROW(D$2)+1) &gt; 0))</f>
        <v>77</v>
      </c>
      <c r="C1247" s="3">
        <v>41200076</v>
      </c>
      <c r="D1247" s="6" t="s">
        <v>2947</v>
      </c>
      <c r="E1247" s="3" t="s">
        <v>1585</v>
      </c>
      <c r="F1247" s="3" t="s">
        <v>1476</v>
      </c>
      <c r="G1247" s="41" t="str">
        <f t="shared" ref="G1247:G1248" si="111">IF(OR(ISNUMBER(SEARCH("DUAL",F1247)), ISNUMBER(SEARCH("IVAS",F1247))), "DUAL", "SINGLE")</f>
        <v>DUAL</v>
      </c>
      <c r="H1247" s="197">
        <f t="shared" ref="H1247:H1248" si="112">WEEKNUM(K1247)</f>
        <v>35</v>
      </c>
      <c r="I1247" s="197">
        <v>8</v>
      </c>
      <c r="J1247" s="197">
        <v>28</v>
      </c>
      <c r="K1247" s="186">
        <f t="shared" ref="K1247:K1248" si="113">DATE(2025, I1247, J1247)</f>
        <v>45897</v>
      </c>
      <c r="L1247" s="3" t="s">
        <v>2555</v>
      </c>
      <c r="M1247" s="3" t="s">
        <v>2555</v>
      </c>
      <c r="N1247" s="3" t="str">
        <f t="shared" si="110"/>
        <v>NG</v>
      </c>
      <c r="O1247" s="3" t="s">
        <v>2368</v>
      </c>
      <c r="P1247" s="3" t="s">
        <v>2826</v>
      </c>
      <c r="Q1247" s="3">
        <v>11000411</v>
      </c>
      <c r="R1247" s="3" t="s">
        <v>473</v>
      </c>
      <c r="S1247" s="3" t="s">
        <v>5168</v>
      </c>
    </row>
    <row r="1248" spans="1:19">
      <c r="A1248" s="3">
        <v>5882</v>
      </c>
      <c r="B1248" s="83">
        <f t="array" ref="B1248">SUM(--(FREQUENCY(IF(C$2:C$3074=C1248, MATCH(D$2:D$3074, D$2:D$3074, 0)), ROW(D$2:D$3074)-ROW(D$2)+1) &gt; 0))</f>
        <v>77</v>
      </c>
      <c r="C1248" s="3">
        <v>41200076</v>
      </c>
      <c r="D1248" s="6" t="s">
        <v>2947</v>
      </c>
      <c r="E1248" s="3" t="s">
        <v>1585</v>
      </c>
      <c r="F1248" s="3" t="s">
        <v>1476</v>
      </c>
      <c r="G1248" s="41" t="str">
        <f t="shared" si="111"/>
        <v>DUAL</v>
      </c>
      <c r="H1248" s="197">
        <f t="shared" si="112"/>
        <v>35</v>
      </c>
      <c r="I1248" s="197">
        <v>8</v>
      </c>
      <c r="J1248" s="197">
        <v>28</v>
      </c>
      <c r="K1248" s="186">
        <f t="shared" si="113"/>
        <v>45897</v>
      </c>
      <c r="L1248" s="3" t="s">
        <v>2555</v>
      </c>
      <c r="M1248" s="3" t="s">
        <v>2555</v>
      </c>
      <c r="N1248" s="3" t="str">
        <f t="shared" si="110"/>
        <v>NG</v>
      </c>
      <c r="O1248" s="3" t="s">
        <v>2368</v>
      </c>
      <c r="P1248" s="3" t="s">
        <v>5151</v>
      </c>
      <c r="Q1248" s="3">
        <v>11002283</v>
      </c>
      <c r="R1248" s="3" t="s">
        <v>932</v>
      </c>
      <c r="S1248" s="3" t="s">
        <v>5102</v>
      </c>
    </row>
    <row r="1249" spans="1:20">
      <c r="A1249" s="3">
        <v>5989</v>
      </c>
      <c r="B1249" s="83">
        <f t="array" ref="B1249">SUM(--(FREQUENCY(IF(C$2:C$3074=C1249, MATCH(D$2:D$3074, D$2:D$3074, 0)), ROW(D$2:D$3074)-ROW(D$2)+1) &gt; 0))</f>
        <v>30</v>
      </c>
      <c r="C1249" s="3">
        <v>41200109</v>
      </c>
      <c r="D1249" s="6" t="s">
        <v>2813</v>
      </c>
      <c r="E1249" s="3" t="s">
        <v>1585</v>
      </c>
      <c r="F1249" s="3" t="s">
        <v>1591</v>
      </c>
      <c r="G1249" s="68" t="str">
        <f t="shared" ref="G1249:G1257" si="114">IF(OR(ISNUMBER(SEARCH("DUAL",F1249)), ISNUMBER(SEARCH("IVAS",F1249))), "DUAL", "SINGLE")</f>
        <v>SINGLE</v>
      </c>
      <c r="H1249" s="197">
        <f t="shared" si="108"/>
        <v>35</v>
      </c>
      <c r="I1249" s="197">
        <v>8</v>
      </c>
      <c r="J1249" s="197">
        <v>29</v>
      </c>
      <c r="K1249" s="186">
        <f t="shared" si="109"/>
        <v>45898</v>
      </c>
      <c r="L1249" s="3" t="s">
        <v>2391</v>
      </c>
      <c r="M1249" s="3" t="s">
        <v>2392</v>
      </c>
      <c r="N1249" s="3" t="str">
        <f t="shared" ref="N1249:N1292" si="115">IF(O1249&lt;&gt;"", "NG", "")</f>
        <v/>
      </c>
    </row>
    <row r="1250" spans="1:20">
      <c r="A1250" s="3">
        <v>5989</v>
      </c>
      <c r="B1250" s="83">
        <f t="array" ref="B1250">SUM(--(FREQUENCY(IF(C$2:C$3074=C1250, MATCH(D$2:D$3074, D$2:D$3074, 0)), ROW(D$2:D$3074)-ROW(D$2)+1) &gt; 0))</f>
        <v>30</v>
      </c>
      <c r="C1250" s="3">
        <v>41200109</v>
      </c>
      <c r="D1250" s="6" t="s">
        <v>2815</v>
      </c>
      <c r="E1250" s="3" t="s">
        <v>1585</v>
      </c>
      <c r="F1250" s="3" t="s">
        <v>1591</v>
      </c>
      <c r="G1250" s="68" t="str">
        <f t="shared" si="114"/>
        <v>SINGLE</v>
      </c>
      <c r="H1250" s="197">
        <f t="shared" ref="H1250:H1257" si="116">WEEKNUM(K1250)</f>
        <v>35</v>
      </c>
      <c r="I1250" s="197">
        <v>8</v>
      </c>
      <c r="J1250" s="197">
        <v>29</v>
      </c>
      <c r="K1250" s="186">
        <f t="shared" ref="K1250:K1257" si="117">DATE(2025, I1250, J1250)</f>
        <v>45898</v>
      </c>
      <c r="L1250" s="3" t="s">
        <v>2391</v>
      </c>
      <c r="M1250" s="3" t="s">
        <v>2392</v>
      </c>
      <c r="N1250" s="3" t="str">
        <f t="shared" si="115"/>
        <v/>
      </c>
    </row>
    <row r="1251" spans="1:20">
      <c r="A1251" s="3">
        <v>5986</v>
      </c>
      <c r="B1251" s="83">
        <f t="array" ref="B1251">SUM(--(FREQUENCY(IF(C$2:C$3074=C1251, MATCH(D$2:D$3074, D$2:D$3074, 0)), ROW(D$2:D$3074)-ROW(D$2)+1) &gt; 0))</f>
        <v>14</v>
      </c>
      <c r="C1251" s="3">
        <v>41000514</v>
      </c>
      <c r="D1251" s="6" t="s">
        <v>2816</v>
      </c>
      <c r="E1251" s="3" t="s">
        <v>1405</v>
      </c>
      <c r="F1251" s="3" t="s">
        <v>1581</v>
      </c>
      <c r="G1251" s="68" t="str">
        <f t="shared" si="114"/>
        <v>DUAL</v>
      </c>
      <c r="H1251" s="197">
        <f t="shared" si="116"/>
        <v>35</v>
      </c>
      <c r="I1251" s="197">
        <v>8</v>
      </c>
      <c r="J1251" s="197">
        <v>29</v>
      </c>
      <c r="K1251" s="186">
        <f t="shared" si="117"/>
        <v>45898</v>
      </c>
      <c r="L1251" s="3" t="s">
        <v>2392</v>
      </c>
      <c r="M1251" s="3" t="s">
        <v>2392</v>
      </c>
      <c r="N1251" s="3" t="str">
        <f t="shared" si="115"/>
        <v/>
      </c>
    </row>
    <row r="1252" spans="1:20">
      <c r="A1252" s="3">
        <v>5973</v>
      </c>
      <c r="B1252" s="83">
        <f t="array" ref="B1252">SUM(--(FREQUENCY(IF(C$2:C$3074=C1252, MATCH(D$2:D$3074, D$2:D$3074, 0)), ROW(D$2:D$3074)-ROW(D$2)+1) &gt; 0))</f>
        <v>11</v>
      </c>
      <c r="C1252" s="3">
        <v>41200119</v>
      </c>
      <c r="D1252" s="6" t="s">
        <v>2819</v>
      </c>
      <c r="E1252" s="3" t="s">
        <v>1422</v>
      </c>
      <c r="F1252" s="3" t="s">
        <v>1476</v>
      </c>
      <c r="G1252" s="68" t="str">
        <f t="shared" si="114"/>
        <v>DUAL</v>
      </c>
      <c r="H1252" s="197">
        <f t="shared" si="116"/>
        <v>35</v>
      </c>
      <c r="I1252" s="197">
        <v>8</v>
      </c>
      <c r="J1252" s="197">
        <v>29</v>
      </c>
      <c r="K1252" s="186">
        <f t="shared" si="117"/>
        <v>45898</v>
      </c>
      <c r="L1252" s="3" t="s">
        <v>2391</v>
      </c>
      <c r="M1252" s="3" t="s">
        <v>1468</v>
      </c>
      <c r="N1252" s="3" t="str">
        <f t="shared" si="115"/>
        <v>NG</v>
      </c>
      <c r="O1252" s="3" t="s">
        <v>1569</v>
      </c>
      <c r="P1252" s="3" t="s">
        <v>5092</v>
      </c>
      <c r="Q1252" s="3">
        <v>13001369</v>
      </c>
      <c r="R1252" s="3" t="s">
        <v>651</v>
      </c>
      <c r="S1252" s="3" t="s">
        <v>5169</v>
      </c>
      <c r="T1252" s="3" t="s">
        <v>2493</v>
      </c>
    </row>
    <row r="1253" spans="1:20">
      <c r="A1253" s="3">
        <v>5886</v>
      </c>
      <c r="B1253" s="83">
        <f t="array" ref="B1253">SUM(--(FREQUENCY(IF(C$2:C$3074=C1253, MATCH(D$2:D$3074, D$2:D$3074, 0)), ROW(D$2:D$3074)-ROW(D$2)+1) &gt; 0))</f>
        <v>102</v>
      </c>
      <c r="C1253" s="3">
        <v>41200006</v>
      </c>
      <c r="D1253" s="6" t="s">
        <v>2820</v>
      </c>
      <c r="E1253" s="3" t="s">
        <v>1405</v>
      </c>
      <c r="F1253" s="3" t="s">
        <v>1477</v>
      </c>
      <c r="G1253" s="68" t="str">
        <f t="shared" si="114"/>
        <v>SINGLE</v>
      </c>
      <c r="H1253" s="197">
        <f t="shared" si="116"/>
        <v>35</v>
      </c>
      <c r="I1253" s="197">
        <v>8</v>
      </c>
      <c r="J1253" s="197">
        <v>29</v>
      </c>
      <c r="K1253" s="186">
        <f t="shared" si="117"/>
        <v>45898</v>
      </c>
      <c r="L1253" s="3" t="s">
        <v>2395</v>
      </c>
      <c r="M1253" s="3" t="s">
        <v>1468</v>
      </c>
      <c r="N1253" s="3" t="str">
        <f t="shared" si="115"/>
        <v/>
      </c>
    </row>
    <row r="1254" spans="1:20">
      <c r="A1254" s="3">
        <v>5886</v>
      </c>
      <c r="B1254" s="83">
        <f t="array" ref="B1254">SUM(--(FREQUENCY(IF(C$2:C$3074=C1254, MATCH(D$2:D$3074, D$2:D$3074, 0)), ROW(D$2:D$3074)-ROW(D$2)+1) &gt; 0))</f>
        <v>102</v>
      </c>
      <c r="C1254" s="3">
        <v>41200006</v>
      </c>
      <c r="D1254" s="6" t="s">
        <v>2822</v>
      </c>
      <c r="E1254" s="3" t="s">
        <v>1405</v>
      </c>
      <c r="F1254" s="3" t="s">
        <v>1477</v>
      </c>
      <c r="G1254" s="68" t="str">
        <f t="shared" si="114"/>
        <v>SINGLE</v>
      </c>
      <c r="H1254" s="197">
        <f t="shared" si="116"/>
        <v>35</v>
      </c>
      <c r="I1254" s="197">
        <v>8</v>
      </c>
      <c r="J1254" s="197">
        <v>29</v>
      </c>
      <c r="K1254" s="186">
        <f t="shared" si="117"/>
        <v>45898</v>
      </c>
      <c r="L1254" s="3" t="s">
        <v>2395</v>
      </c>
      <c r="M1254" s="3" t="s">
        <v>1468</v>
      </c>
      <c r="N1254" s="3" t="str">
        <f t="shared" si="115"/>
        <v/>
      </c>
    </row>
    <row r="1255" spans="1:20">
      <c r="A1255" s="3">
        <v>5988</v>
      </c>
      <c r="B1255" s="83">
        <f t="array" ref="B1255">SUM(--(FREQUENCY(IF(C$2:C$3074=C1255, MATCH(D$2:D$3074, D$2:D$3074, 0)), ROW(D$2:D$3074)-ROW(D$2)+1) &gt; 0))</f>
        <v>12</v>
      </c>
      <c r="C1255" s="3">
        <v>41200152</v>
      </c>
      <c r="D1255" s="6" t="s">
        <v>2824</v>
      </c>
      <c r="E1255" s="3" t="s">
        <v>1585</v>
      </c>
      <c r="F1255" s="3" t="s">
        <v>1476</v>
      </c>
      <c r="G1255" s="68" t="str">
        <f t="shared" si="114"/>
        <v>DUAL</v>
      </c>
      <c r="H1255" s="197">
        <f t="shared" si="116"/>
        <v>35</v>
      </c>
      <c r="I1255" s="197">
        <v>8</v>
      </c>
      <c r="J1255" s="197">
        <v>29</v>
      </c>
      <c r="K1255" s="186">
        <f t="shared" si="117"/>
        <v>45898</v>
      </c>
      <c r="L1255" s="3" t="s">
        <v>2395</v>
      </c>
      <c r="M1255" s="3" t="s">
        <v>1469</v>
      </c>
      <c r="N1255" s="3" t="str">
        <f t="shared" si="115"/>
        <v/>
      </c>
    </row>
    <row r="1256" spans="1:20">
      <c r="A1256" s="3">
        <v>5988</v>
      </c>
      <c r="B1256" s="83">
        <f t="array" ref="B1256">SUM(--(FREQUENCY(IF(C$2:C$3074=C1256, MATCH(D$2:D$3074, D$2:D$3074, 0)), ROW(D$2:D$3074)-ROW(D$2)+1) &gt; 0))</f>
        <v>12</v>
      </c>
      <c r="C1256" s="3">
        <v>41200152</v>
      </c>
      <c r="D1256" s="6" t="s">
        <v>2825</v>
      </c>
      <c r="E1256" s="3" t="s">
        <v>1585</v>
      </c>
      <c r="F1256" s="3" t="s">
        <v>1476</v>
      </c>
      <c r="G1256" s="68" t="str">
        <f t="shared" si="114"/>
        <v>DUAL</v>
      </c>
      <c r="H1256" s="197">
        <f t="shared" si="116"/>
        <v>35</v>
      </c>
      <c r="I1256" s="197">
        <v>8</v>
      </c>
      <c r="J1256" s="197">
        <v>29</v>
      </c>
      <c r="K1256" s="186">
        <f t="shared" si="117"/>
        <v>45898</v>
      </c>
      <c r="L1256" s="3" t="s">
        <v>2395</v>
      </c>
      <c r="M1256" s="3" t="s">
        <v>1469</v>
      </c>
      <c r="N1256" s="3" t="str">
        <f t="shared" si="115"/>
        <v/>
      </c>
    </row>
    <row r="1257" spans="1:20">
      <c r="A1257" s="3">
        <v>5882</v>
      </c>
      <c r="B1257" s="83">
        <f t="array" ref="B1257">SUM(--(FREQUENCY(IF(C$2:C$3074=C1257, MATCH(D$2:D$3074, D$2:D$3074, 0)), ROW(D$2:D$3074)-ROW(D$2)+1) &gt; 0))</f>
        <v>51</v>
      </c>
      <c r="C1257" s="3">
        <v>41200034</v>
      </c>
      <c r="D1257" s="6" t="s">
        <v>2837</v>
      </c>
      <c r="E1257" s="3" t="s">
        <v>1426</v>
      </c>
      <c r="F1257" s="3" t="s">
        <v>1476</v>
      </c>
      <c r="G1257" s="41" t="str">
        <f t="shared" si="114"/>
        <v>DUAL</v>
      </c>
      <c r="H1257" s="197">
        <f t="shared" si="116"/>
        <v>35</v>
      </c>
      <c r="I1257" s="197">
        <v>8</v>
      </c>
      <c r="J1257" s="197">
        <v>29</v>
      </c>
      <c r="K1257" s="186">
        <f t="shared" si="117"/>
        <v>45898</v>
      </c>
      <c r="L1257" s="3" t="s">
        <v>2555</v>
      </c>
      <c r="M1257" s="3" t="s">
        <v>2555</v>
      </c>
      <c r="N1257" s="3" t="str">
        <f t="shared" si="115"/>
        <v>NG</v>
      </c>
      <c r="O1257" s="3" t="s">
        <v>2368</v>
      </c>
      <c r="P1257" s="3" t="s">
        <v>5151</v>
      </c>
      <c r="Q1257" s="3">
        <v>11002283</v>
      </c>
      <c r="R1257" s="3" t="s">
        <v>932</v>
      </c>
      <c r="S1257" s="3" t="s">
        <v>5102</v>
      </c>
    </row>
    <row r="1258" spans="1:20">
      <c r="A1258" s="3">
        <v>5882</v>
      </c>
      <c r="B1258" s="83">
        <f t="array" ref="B1258">SUM(--(FREQUENCY(IF(C$2:C$3074=C1258, MATCH(D$2:D$3074, D$2:D$3074, 0)), ROW(D$2:D$3074)-ROW(D$2)+1) &gt; 0))</f>
        <v>51</v>
      </c>
      <c r="C1258" s="3">
        <v>41200034</v>
      </c>
      <c r="D1258" s="6" t="s">
        <v>2837</v>
      </c>
      <c r="E1258" s="3" t="s">
        <v>1426</v>
      </c>
      <c r="F1258" s="3" t="s">
        <v>1476</v>
      </c>
      <c r="G1258" s="41" t="str">
        <f t="shared" ref="G1258:G1259" si="118">IF(OR(ISNUMBER(SEARCH("DUAL",F1258)), ISNUMBER(SEARCH("IVAS",F1258))), "DUAL", "SINGLE")</f>
        <v>DUAL</v>
      </c>
      <c r="H1258" s="197">
        <f t="shared" ref="H1258:H1259" si="119">WEEKNUM(K1258)</f>
        <v>35</v>
      </c>
      <c r="I1258" s="197">
        <v>8</v>
      </c>
      <c r="J1258" s="197">
        <v>29</v>
      </c>
      <c r="K1258" s="186">
        <f t="shared" ref="K1258:K1259" si="120">DATE(2025, I1258, J1258)</f>
        <v>45898</v>
      </c>
      <c r="L1258" s="3" t="s">
        <v>2555</v>
      </c>
      <c r="M1258" s="3" t="s">
        <v>2555</v>
      </c>
      <c r="N1258" s="3" t="str">
        <f t="shared" si="115"/>
        <v>NG</v>
      </c>
      <c r="O1258" s="3" t="s">
        <v>2368</v>
      </c>
      <c r="P1258" s="3" t="s">
        <v>5151</v>
      </c>
      <c r="Q1258" s="3">
        <v>11002737</v>
      </c>
      <c r="R1258" s="3" t="s">
        <v>735</v>
      </c>
      <c r="S1258" s="3" t="s">
        <v>5170</v>
      </c>
    </row>
    <row r="1259" spans="1:20">
      <c r="A1259" s="3">
        <v>5882</v>
      </c>
      <c r="B1259" s="83">
        <f t="array" ref="B1259">SUM(--(FREQUENCY(IF(C$2:C$3074=C1259, MATCH(D$2:D$3074, D$2:D$3074, 0)), ROW(D$2:D$3074)-ROW(D$2)+1) &gt; 0))</f>
        <v>51</v>
      </c>
      <c r="C1259" s="3">
        <v>41200034</v>
      </c>
      <c r="D1259" s="6" t="s">
        <v>2837</v>
      </c>
      <c r="E1259" s="3" t="s">
        <v>1426</v>
      </c>
      <c r="F1259" s="3" t="s">
        <v>1476</v>
      </c>
      <c r="G1259" s="41" t="str">
        <f t="shared" si="118"/>
        <v>DUAL</v>
      </c>
      <c r="H1259" s="197">
        <f t="shared" si="119"/>
        <v>35</v>
      </c>
      <c r="I1259" s="197">
        <v>8</v>
      </c>
      <c r="J1259" s="197">
        <v>29</v>
      </c>
      <c r="K1259" s="186">
        <f t="shared" si="120"/>
        <v>45898</v>
      </c>
      <c r="L1259" s="3" t="s">
        <v>2555</v>
      </c>
      <c r="M1259" s="3" t="s">
        <v>2555</v>
      </c>
      <c r="N1259" s="3" t="str">
        <f t="shared" si="115"/>
        <v>NG</v>
      </c>
      <c r="O1259" s="3" t="s">
        <v>2368</v>
      </c>
      <c r="P1259" s="3" t="s">
        <v>5151</v>
      </c>
      <c r="Q1259" s="3">
        <v>11002615</v>
      </c>
      <c r="R1259" s="3" t="s">
        <v>753</v>
      </c>
      <c r="S1259" s="3" t="s">
        <v>5171</v>
      </c>
    </row>
    <row r="1260" spans="1:20">
      <c r="A1260" s="3">
        <v>5995</v>
      </c>
      <c r="B1260" s="83">
        <f t="array" ref="B1260">SUM(--(FREQUENCY(IF(C$2:C$3074=C1260, MATCH(D$2:D$3074, D$2:D$3074, 0)), ROW(D$2:D$3074)-ROW(D$2)+1) &gt; 0))</f>
        <v>6</v>
      </c>
      <c r="C1260" s="3">
        <v>31200699</v>
      </c>
      <c r="D1260" s="6" t="s">
        <v>5172</v>
      </c>
      <c r="E1260" s="3" t="s">
        <v>1399</v>
      </c>
      <c r="F1260" s="3" t="s">
        <v>5173</v>
      </c>
      <c r="G1260" s="68" t="str">
        <f>IF(OR(ISNUMBER(SEARCH("DUAL",F1260)), ISNUMBER(SEARCH("IVAS",F1260))), "DUAL", "SINGLE")</f>
        <v>SINGLE</v>
      </c>
      <c r="H1260" s="197">
        <f t="shared" ref="H1260" si="121">WEEKNUM(K1260)</f>
        <v>35</v>
      </c>
      <c r="I1260" s="197">
        <v>8</v>
      </c>
      <c r="J1260" s="197">
        <v>29</v>
      </c>
      <c r="K1260" s="186">
        <f t="shared" ref="K1260" si="122">DATE(2025, I1260, J1260)</f>
        <v>45898</v>
      </c>
      <c r="L1260" s="3" t="s">
        <v>2392</v>
      </c>
      <c r="M1260" s="3" t="s">
        <v>1468</v>
      </c>
      <c r="N1260" s="3" t="str">
        <f t="shared" si="115"/>
        <v/>
      </c>
    </row>
    <row r="1261" spans="1:20">
      <c r="A1261" s="3">
        <v>5995</v>
      </c>
      <c r="B1261" s="83">
        <f t="array" ref="B1261">SUM(--(FREQUENCY(IF(C$2:C$3074=C1261, MATCH(D$2:D$3074, D$2:D$3074, 0)), ROW(D$2:D$3074)-ROW(D$2)+1) &gt; 0))</f>
        <v>6</v>
      </c>
      <c r="C1261" s="3">
        <v>31200699</v>
      </c>
      <c r="D1261" s="6" t="s">
        <v>5174</v>
      </c>
      <c r="E1261" s="3" t="s">
        <v>1399</v>
      </c>
      <c r="F1261" s="3" t="s">
        <v>5173</v>
      </c>
      <c r="G1261" s="68" t="str">
        <f>IF(OR(ISNUMBER(SEARCH("DUAL",F1261)), ISNUMBER(SEARCH("IVAS",F1261))), "DUAL", "SINGLE")</f>
        <v>SINGLE</v>
      </c>
      <c r="H1261" s="197">
        <f t="shared" ref="H1261:H1270" si="123">WEEKNUM(K1261)</f>
        <v>35</v>
      </c>
      <c r="I1261" s="197">
        <v>8</v>
      </c>
      <c r="J1261" s="197">
        <v>29</v>
      </c>
      <c r="K1261" s="186">
        <f t="shared" ref="K1261:K1270" si="124">DATE(2025, I1261, J1261)</f>
        <v>45898</v>
      </c>
      <c r="L1261" s="3" t="s">
        <v>2392</v>
      </c>
      <c r="M1261" s="3" t="s">
        <v>1468</v>
      </c>
      <c r="N1261" s="3" t="str">
        <f t="shared" si="115"/>
        <v/>
      </c>
    </row>
    <row r="1262" spans="1:20">
      <c r="A1262" s="3">
        <v>5995</v>
      </c>
      <c r="B1262" s="83">
        <f t="array" ref="B1262">SUM(--(FREQUENCY(IF(C$2:C$3074=C1262, MATCH(D$2:D$3074, D$2:D$3074, 0)), ROW(D$2:D$3074)-ROW(D$2)+1) &gt; 0))</f>
        <v>6</v>
      </c>
      <c r="C1262" s="3">
        <v>31200699</v>
      </c>
      <c r="D1262" s="6" t="s">
        <v>5175</v>
      </c>
      <c r="E1262" s="3" t="s">
        <v>1399</v>
      </c>
      <c r="F1262" s="3" t="s">
        <v>5173</v>
      </c>
      <c r="G1262" s="68" t="str">
        <f>IF(OR(ISNUMBER(SEARCH("DUAL",F1262)), ISNUMBER(SEARCH("IVAS",F1262))), "DUAL", "SINGLE")</f>
        <v>SINGLE</v>
      </c>
      <c r="H1262" s="197">
        <f t="shared" si="123"/>
        <v>35</v>
      </c>
      <c r="I1262" s="197">
        <v>8</v>
      </c>
      <c r="J1262" s="197">
        <v>29</v>
      </c>
      <c r="K1262" s="186">
        <f t="shared" si="124"/>
        <v>45898</v>
      </c>
      <c r="L1262" s="3" t="s">
        <v>2392</v>
      </c>
      <c r="M1262" s="3" t="s">
        <v>1468</v>
      </c>
      <c r="N1262" s="3" t="str">
        <f t="shared" si="115"/>
        <v/>
      </c>
    </row>
    <row r="1263" spans="1:20">
      <c r="A1263" s="3">
        <v>5995</v>
      </c>
      <c r="B1263" s="83">
        <f t="array" ref="B1263">SUM(--(FREQUENCY(IF(C$2:C$3074=C1263, MATCH(D$2:D$3074, D$2:D$3074, 0)), ROW(D$2:D$3074)-ROW(D$2)+1) &gt; 0))</f>
        <v>8</v>
      </c>
      <c r="C1263" s="3">
        <v>31200717</v>
      </c>
      <c r="D1263" s="6" t="s">
        <v>5176</v>
      </c>
      <c r="E1263" s="3" t="s">
        <v>1399</v>
      </c>
      <c r="F1263" s="3" t="s">
        <v>5177</v>
      </c>
      <c r="G1263" s="68" t="s">
        <v>2675</v>
      </c>
      <c r="H1263" s="197">
        <f t="shared" si="123"/>
        <v>35</v>
      </c>
      <c r="I1263" s="197">
        <v>8</v>
      </c>
      <c r="J1263" s="197">
        <v>29</v>
      </c>
      <c r="K1263" s="186">
        <f t="shared" si="124"/>
        <v>45898</v>
      </c>
      <c r="L1263" s="3" t="s">
        <v>2392</v>
      </c>
      <c r="M1263" s="3" t="s">
        <v>1468</v>
      </c>
      <c r="N1263" s="3" t="str">
        <f t="shared" si="115"/>
        <v/>
      </c>
    </row>
    <row r="1264" spans="1:20">
      <c r="A1264" s="3">
        <v>5918</v>
      </c>
      <c r="B1264" s="83">
        <f t="array" ref="B1264">SUM(--(FREQUENCY(IF(C$2:C$3074=C1264, MATCH(D$2:D$3074, D$2:D$3074, 0)), ROW(D$2:D$3074)-ROW(D$2)+1) &gt; 0))</f>
        <v>9</v>
      </c>
      <c r="C1264" s="3">
        <v>31200058</v>
      </c>
      <c r="D1264" s="6" t="s">
        <v>5178</v>
      </c>
      <c r="E1264" s="3" t="s">
        <v>1405</v>
      </c>
      <c r="F1264" s="3" t="s">
        <v>5173</v>
      </c>
      <c r="G1264" s="68" t="str">
        <f>IF(OR(ISNUMBER(SEARCH("DUAL",F1264)), ISNUMBER(SEARCH("IVAS",F1264))), "DUAL", "SINGLE")</f>
        <v>SINGLE</v>
      </c>
      <c r="H1264" s="197">
        <f t="shared" si="123"/>
        <v>35</v>
      </c>
      <c r="I1264" s="197">
        <v>8</v>
      </c>
      <c r="J1264" s="197">
        <v>29</v>
      </c>
      <c r="K1264" s="186">
        <f t="shared" si="124"/>
        <v>45898</v>
      </c>
      <c r="L1264" s="3" t="s">
        <v>2392</v>
      </c>
      <c r="M1264" s="3" t="s">
        <v>1468</v>
      </c>
      <c r="N1264" s="3" t="str">
        <f t="shared" si="115"/>
        <v/>
      </c>
    </row>
    <row r="1265" spans="1:19">
      <c r="A1265" s="3">
        <v>5918</v>
      </c>
      <c r="B1265" s="83">
        <f t="array" ref="B1265">SUM(--(FREQUENCY(IF(C$2:C$3074=C1265, MATCH(D$2:D$3074, D$2:D$3074, 0)), ROW(D$2:D$3074)-ROW(D$2)+1) &gt; 0))</f>
        <v>7</v>
      </c>
      <c r="C1265" s="3">
        <v>31200056</v>
      </c>
      <c r="D1265" s="6" t="s">
        <v>5179</v>
      </c>
      <c r="E1265" s="3" t="s">
        <v>1405</v>
      </c>
      <c r="F1265" s="3" t="s">
        <v>5177</v>
      </c>
      <c r="G1265" s="68" t="s">
        <v>2675</v>
      </c>
      <c r="H1265" s="197">
        <f t="shared" si="123"/>
        <v>35</v>
      </c>
      <c r="I1265" s="197">
        <v>8</v>
      </c>
      <c r="J1265" s="197">
        <v>29</v>
      </c>
      <c r="K1265" s="186">
        <f t="shared" si="124"/>
        <v>45898</v>
      </c>
      <c r="L1265" s="3" t="s">
        <v>2392</v>
      </c>
      <c r="M1265" s="3" t="s">
        <v>1468</v>
      </c>
      <c r="N1265" s="3" t="str">
        <f t="shared" si="115"/>
        <v/>
      </c>
    </row>
    <row r="1266" spans="1:19">
      <c r="A1266" s="3">
        <v>5918</v>
      </c>
      <c r="B1266" s="83">
        <f t="array" ref="B1266">SUM(--(FREQUENCY(IF(C$2:C$3074=C1266, MATCH(D$2:D$3074, D$2:D$3074, 0)), ROW(D$2:D$3074)-ROW(D$2)+1) &gt; 0))</f>
        <v>7</v>
      </c>
      <c r="C1266" s="3">
        <v>31200056</v>
      </c>
      <c r="D1266" s="6" t="s">
        <v>5180</v>
      </c>
      <c r="E1266" s="3" t="s">
        <v>1405</v>
      </c>
      <c r="F1266" s="3" t="s">
        <v>5177</v>
      </c>
      <c r="G1266" s="68" t="s">
        <v>2675</v>
      </c>
      <c r="H1266" s="197">
        <f t="shared" si="123"/>
        <v>35</v>
      </c>
      <c r="I1266" s="197">
        <v>8</v>
      </c>
      <c r="J1266" s="197">
        <v>29</v>
      </c>
      <c r="K1266" s="186">
        <f t="shared" si="124"/>
        <v>45898</v>
      </c>
      <c r="L1266" s="3" t="s">
        <v>2392</v>
      </c>
      <c r="M1266" s="3" t="s">
        <v>1468</v>
      </c>
      <c r="N1266" s="3" t="str">
        <f t="shared" si="115"/>
        <v/>
      </c>
    </row>
    <row r="1267" spans="1:19">
      <c r="A1267" s="3">
        <v>5918</v>
      </c>
      <c r="B1267" s="83">
        <f t="array" ref="B1267">SUM(--(FREQUENCY(IF(C$2:C$3074=C1267, MATCH(D$2:D$3074, D$2:D$3074, 0)), ROW(D$2:D$3074)-ROW(D$2)+1) &gt; 0))</f>
        <v>7</v>
      </c>
      <c r="C1267" s="3">
        <v>31200056</v>
      </c>
      <c r="D1267" s="6" t="s">
        <v>5181</v>
      </c>
      <c r="E1267" s="3" t="s">
        <v>1405</v>
      </c>
      <c r="F1267" s="3" t="s">
        <v>5177</v>
      </c>
      <c r="G1267" s="68" t="s">
        <v>2675</v>
      </c>
      <c r="H1267" s="197">
        <f t="shared" si="123"/>
        <v>35</v>
      </c>
      <c r="I1267" s="197">
        <v>8</v>
      </c>
      <c r="J1267" s="197">
        <v>29</v>
      </c>
      <c r="K1267" s="186">
        <f t="shared" si="124"/>
        <v>45898</v>
      </c>
      <c r="L1267" s="3" t="s">
        <v>2392</v>
      </c>
      <c r="M1267" s="3" t="s">
        <v>1468</v>
      </c>
      <c r="N1267" s="3" t="str">
        <f t="shared" si="115"/>
        <v/>
      </c>
    </row>
    <row r="1268" spans="1:19">
      <c r="A1268" s="3">
        <v>5918</v>
      </c>
      <c r="B1268" s="83">
        <f t="array" ref="B1268">SUM(--(FREQUENCY(IF(C$2:C$3074=C1268, MATCH(D$2:D$3074, D$2:D$3074, 0)), ROW(D$2:D$3074)-ROW(D$2)+1) &gt; 0))</f>
        <v>7</v>
      </c>
      <c r="C1268" s="3">
        <v>31200056</v>
      </c>
      <c r="D1268" s="6" t="s">
        <v>5182</v>
      </c>
      <c r="E1268" s="3" t="s">
        <v>1405</v>
      </c>
      <c r="F1268" s="3" t="s">
        <v>5177</v>
      </c>
      <c r="G1268" s="68" t="s">
        <v>2675</v>
      </c>
      <c r="H1268" s="197">
        <f t="shared" si="123"/>
        <v>35</v>
      </c>
      <c r="I1268" s="197">
        <v>8</v>
      </c>
      <c r="J1268" s="197">
        <v>29</v>
      </c>
      <c r="K1268" s="186">
        <f t="shared" si="124"/>
        <v>45898</v>
      </c>
      <c r="L1268" s="3" t="s">
        <v>2392</v>
      </c>
      <c r="M1268" s="3" t="s">
        <v>1468</v>
      </c>
      <c r="N1268" s="3" t="str">
        <f t="shared" si="115"/>
        <v/>
      </c>
    </row>
    <row r="1269" spans="1:19">
      <c r="A1269" s="3">
        <v>5918</v>
      </c>
      <c r="B1269" s="83">
        <f t="array" ref="B1269">SUM(--(FREQUENCY(IF(C$2:C$3074=C1269, MATCH(D$2:D$3074, D$2:D$3074, 0)), ROW(D$2:D$3074)-ROW(D$2)+1) &gt; 0))</f>
        <v>7</v>
      </c>
      <c r="C1269" s="3">
        <v>31200056</v>
      </c>
      <c r="D1269" s="6" t="s">
        <v>5183</v>
      </c>
      <c r="E1269" s="3" t="s">
        <v>1405</v>
      </c>
      <c r="F1269" s="3" t="s">
        <v>5177</v>
      </c>
      <c r="G1269" s="68" t="s">
        <v>2675</v>
      </c>
      <c r="H1269" s="197">
        <f t="shared" si="123"/>
        <v>35</v>
      </c>
      <c r="I1269" s="197">
        <v>8</v>
      </c>
      <c r="J1269" s="197">
        <v>29</v>
      </c>
      <c r="K1269" s="186">
        <f t="shared" si="124"/>
        <v>45898</v>
      </c>
      <c r="L1269" s="3" t="s">
        <v>2392</v>
      </c>
      <c r="M1269" s="3" t="s">
        <v>1468</v>
      </c>
      <c r="N1269" s="3" t="str">
        <f t="shared" si="115"/>
        <v/>
      </c>
    </row>
    <row r="1270" spans="1:19">
      <c r="A1270" s="3">
        <v>5966</v>
      </c>
      <c r="B1270" s="83">
        <f t="array" ref="B1270">SUM(--(FREQUENCY(IF(C$2:C$3074=C1270, MATCH(D$2:D$3074, D$2:D$3074, 0)), ROW(D$2:D$3074)-ROW(D$2)+1) &gt; 0))</f>
        <v>144</v>
      </c>
      <c r="C1270" s="3">
        <v>41200007</v>
      </c>
      <c r="D1270" s="6" t="s">
        <v>2827</v>
      </c>
      <c r="E1270" s="3" t="s">
        <v>1405</v>
      </c>
      <c r="F1270" s="3" t="s">
        <v>1591</v>
      </c>
      <c r="G1270" s="68" t="str">
        <f t="shared" ref="G1270:G1301" si="125">IF(OR(ISNUMBER(SEARCH("DUAL",F1270)), ISNUMBER(SEARCH("IVAS",F1270))), "DUAL", "SINGLE")</f>
        <v>SINGLE</v>
      </c>
      <c r="H1270" s="197">
        <f t="shared" si="123"/>
        <v>36</v>
      </c>
      <c r="I1270" s="197">
        <v>9</v>
      </c>
      <c r="J1270" s="197">
        <v>1</v>
      </c>
      <c r="K1270" s="186">
        <f t="shared" si="124"/>
        <v>45901</v>
      </c>
      <c r="L1270" s="3" t="s">
        <v>2391</v>
      </c>
      <c r="M1270" s="3" t="s">
        <v>2392</v>
      </c>
      <c r="N1270" s="3" t="str">
        <f t="shared" si="115"/>
        <v/>
      </c>
    </row>
    <row r="1271" spans="1:19">
      <c r="A1271" s="3">
        <v>5966</v>
      </c>
      <c r="B1271" s="83">
        <f t="array" ref="B1271">SUM(--(FREQUENCY(IF(C$2:C$3074=C1271, MATCH(D$2:D$3074, D$2:D$3074, 0)), ROW(D$2:D$3074)-ROW(D$2)+1) &gt; 0))</f>
        <v>144</v>
      </c>
      <c r="C1271" s="3">
        <v>41200007</v>
      </c>
      <c r="D1271" s="6" t="s">
        <v>2830</v>
      </c>
      <c r="E1271" s="3" t="s">
        <v>1405</v>
      </c>
      <c r="F1271" s="3" t="s">
        <v>1591</v>
      </c>
      <c r="G1271" s="68" t="str">
        <f t="shared" si="125"/>
        <v>SINGLE</v>
      </c>
      <c r="H1271" s="197">
        <f t="shared" ref="H1271:H1278" si="126">WEEKNUM(K1271)</f>
        <v>36</v>
      </c>
      <c r="I1271" s="197">
        <v>9</v>
      </c>
      <c r="J1271" s="197">
        <v>1</v>
      </c>
      <c r="K1271" s="186">
        <f t="shared" ref="K1271:K1278" si="127">DATE(2025, I1271, J1271)</f>
        <v>45901</v>
      </c>
      <c r="L1271" s="3" t="s">
        <v>2391</v>
      </c>
      <c r="M1271" s="3" t="s">
        <v>2392</v>
      </c>
      <c r="N1271" s="3" t="str">
        <f t="shared" si="115"/>
        <v/>
      </c>
    </row>
    <row r="1272" spans="1:19">
      <c r="A1272" s="3">
        <v>6008</v>
      </c>
      <c r="B1272" s="83">
        <f t="array" ref="B1272">SUM(--(FREQUENCY(IF(C$2:C$3074=C1272, MATCH(D$2:D$3074, D$2:D$3074, 0)), ROW(D$2:D$3074)-ROW(D$2)+1) &gt; 0))</f>
        <v>18</v>
      </c>
      <c r="C1272" s="3">
        <v>41000584</v>
      </c>
      <c r="D1272" s="6" t="s">
        <v>2833</v>
      </c>
      <c r="E1272" s="3" t="s">
        <v>1405</v>
      </c>
      <c r="F1272" s="3" t="s">
        <v>1581</v>
      </c>
      <c r="G1272" s="41" t="str">
        <f t="shared" si="125"/>
        <v>DUAL</v>
      </c>
      <c r="H1272" s="197">
        <f t="shared" si="126"/>
        <v>36</v>
      </c>
      <c r="I1272" s="197">
        <v>9</v>
      </c>
      <c r="J1272" s="197">
        <v>1</v>
      </c>
      <c r="K1272" s="186">
        <f t="shared" si="127"/>
        <v>45901</v>
      </c>
      <c r="L1272" s="3" t="s">
        <v>2392</v>
      </c>
      <c r="M1272" s="3" t="s">
        <v>2392</v>
      </c>
      <c r="N1272" s="3" t="str">
        <f t="shared" si="115"/>
        <v>NG</v>
      </c>
      <c r="O1272" s="3" t="s">
        <v>2368</v>
      </c>
      <c r="P1272" s="3" t="s">
        <v>5184</v>
      </c>
      <c r="Q1272" s="3">
        <v>11002335</v>
      </c>
      <c r="R1272" s="3" t="s">
        <v>69</v>
      </c>
      <c r="S1272" s="3" t="s">
        <v>5185</v>
      </c>
    </row>
    <row r="1273" spans="1:19">
      <c r="A1273" s="3">
        <v>6008</v>
      </c>
      <c r="B1273" s="83">
        <f t="array" ref="B1273">SUM(--(FREQUENCY(IF(C$2:C$3074=C1273, MATCH(D$2:D$3074, D$2:D$3074, 0)), ROW(D$2:D$3074)-ROW(D$2)+1) &gt; 0))</f>
        <v>18</v>
      </c>
      <c r="C1273" s="3">
        <v>41000584</v>
      </c>
      <c r="D1273" s="6" t="s">
        <v>2833</v>
      </c>
      <c r="E1273" s="3" t="s">
        <v>1405</v>
      </c>
      <c r="F1273" s="3" t="s">
        <v>1581</v>
      </c>
      <c r="G1273" s="41" t="str">
        <f t="shared" si="125"/>
        <v>DUAL</v>
      </c>
      <c r="H1273" s="197">
        <f t="shared" ref="H1273" si="128">WEEKNUM(K1273)</f>
        <v>36</v>
      </c>
      <c r="I1273" s="197">
        <v>9</v>
      </c>
      <c r="J1273" s="197">
        <v>1</v>
      </c>
      <c r="K1273" s="186">
        <f t="shared" ref="K1273" si="129">DATE(2025, I1273, J1273)</f>
        <v>45901</v>
      </c>
      <c r="L1273" s="3" t="s">
        <v>2392</v>
      </c>
      <c r="M1273" s="3" t="s">
        <v>2392</v>
      </c>
      <c r="N1273" s="3" t="str">
        <f t="shared" si="115"/>
        <v>NG</v>
      </c>
      <c r="O1273" s="3" t="s">
        <v>2368</v>
      </c>
      <c r="P1273" s="3" t="s">
        <v>5186</v>
      </c>
      <c r="Q1273" s="3">
        <v>11002335</v>
      </c>
      <c r="R1273" s="3" t="s">
        <v>69</v>
      </c>
      <c r="S1273" s="3" t="s">
        <v>5185</v>
      </c>
    </row>
    <row r="1274" spans="1:19">
      <c r="A1274" s="3">
        <v>5919</v>
      </c>
      <c r="B1274" s="83">
        <f t="array" ref="B1274">SUM(--(FREQUENCY(IF(C$2:C$3074=C1274, MATCH(D$2:D$3074, D$2:D$3074, 0)), ROW(D$2:D$3074)-ROW(D$2)+1) &gt; 0))</f>
        <v>20</v>
      </c>
      <c r="C1274" s="3">
        <v>41200033</v>
      </c>
      <c r="D1274" s="6" t="s">
        <v>2834</v>
      </c>
      <c r="E1274" s="3" t="s">
        <v>1426</v>
      </c>
      <c r="F1274" s="3" t="s">
        <v>1476</v>
      </c>
      <c r="G1274" s="68" t="str">
        <f t="shared" si="125"/>
        <v>DUAL</v>
      </c>
      <c r="H1274" s="197">
        <f t="shared" si="126"/>
        <v>36</v>
      </c>
      <c r="I1274" s="197">
        <v>9</v>
      </c>
      <c r="J1274" s="197">
        <v>1</v>
      </c>
      <c r="K1274" s="186">
        <f t="shared" si="127"/>
        <v>45901</v>
      </c>
      <c r="L1274" s="3" t="s">
        <v>2395</v>
      </c>
      <c r="M1274" s="3" t="s">
        <v>1468</v>
      </c>
      <c r="N1274" s="3" t="str">
        <f t="shared" si="115"/>
        <v/>
      </c>
    </row>
    <row r="1275" spans="1:19">
      <c r="A1275" s="3">
        <v>5919</v>
      </c>
      <c r="B1275" s="83">
        <f t="array" ref="B1275">SUM(--(FREQUENCY(IF(C$2:C$3074=C1275, MATCH(D$2:D$3074, D$2:D$3074, 0)), ROW(D$2:D$3074)-ROW(D$2)+1) &gt; 0))</f>
        <v>20</v>
      </c>
      <c r="C1275" s="3">
        <v>41200033</v>
      </c>
      <c r="D1275" s="6" t="s">
        <v>2835</v>
      </c>
      <c r="E1275" s="3" t="s">
        <v>1426</v>
      </c>
      <c r="F1275" s="3" t="s">
        <v>1476</v>
      </c>
      <c r="G1275" s="68" t="str">
        <f t="shared" si="125"/>
        <v>DUAL</v>
      </c>
      <c r="H1275" s="197">
        <f t="shared" si="126"/>
        <v>36</v>
      </c>
      <c r="I1275" s="197">
        <v>9</v>
      </c>
      <c r="J1275" s="197">
        <v>1</v>
      </c>
      <c r="K1275" s="186">
        <f t="shared" si="127"/>
        <v>45901</v>
      </c>
      <c r="L1275" s="3" t="s">
        <v>2395</v>
      </c>
      <c r="M1275" s="3" t="s">
        <v>1468</v>
      </c>
      <c r="N1275" s="3" t="str">
        <f t="shared" si="115"/>
        <v>NG</v>
      </c>
      <c r="O1275" s="3" t="s">
        <v>2368</v>
      </c>
      <c r="P1275" s="3" t="s">
        <v>1384</v>
      </c>
      <c r="Q1275" s="3">
        <v>11000088</v>
      </c>
      <c r="R1275" s="3" t="s">
        <v>143</v>
      </c>
      <c r="S1275" s="3" t="s">
        <v>5187</v>
      </c>
    </row>
    <row r="1276" spans="1:19">
      <c r="A1276" s="3">
        <v>5919</v>
      </c>
      <c r="B1276" s="83">
        <f t="array" ref="B1276">SUM(--(FREQUENCY(IF(C$2:C$3074=C1276, MATCH(D$2:D$3074, D$2:D$3074, 0)), ROW(D$2:D$3074)-ROW(D$2)+1) &gt; 0))</f>
        <v>20</v>
      </c>
      <c r="C1276" s="3">
        <v>41200033</v>
      </c>
      <c r="D1276" s="6" t="s">
        <v>2836</v>
      </c>
      <c r="E1276" s="3" t="s">
        <v>1426</v>
      </c>
      <c r="F1276" s="3" t="s">
        <v>1476</v>
      </c>
      <c r="G1276" s="68" t="str">
        <f t="shared" si="125"/>
        <v>DUAL</v>
      </c>
      <c r="H1276" s="197">
        <f t="shared" si="126"/>
        <v>36</v>
      </c>
      <c r="I1276" s="197">
        <v>9</v>
      </c>
      <c r="J1276" s="197">
        <v>1</v>
      </c>
      <c r="K1276" s="186">
        <f t="shared" si="127"/>
        <v>45901</v>
      </c>
      <c r="L1276" s="3" t="s">
        <v>2395</v>
      </c>
      <c r="M1276" s="3" t="s">
        <v>1468</v>
      </c>
      <c r="N1276" s="3" t="str">
        <f t="shared" si="115"/>
        <v/>
      </c>
    </row>
    <row r="1277" spans="1:19">
      <c r="A1277" s="3">
        <v>5877</v>
      </c>
      <c r="B1277" s="83">
        <f t="array" ref="B1277">SUM(--(FREQUENCY(IF(C$2:C$3074=C1277, MATCH(D$2:D$3074, D$2:D$3074, 0)), ROW(D$2:D$3074)-ROW(D$2)+1) &gt; 0))</f>
        <v>1</v>
      </c>
      <c r="C1277" s="3">
        <v>41200032</v>
      </c>
      <c r="D1277" s="6" t="s">
        <v>5188</v>
      </c>
      <c r="E1277" s="3" t="s">
        <v>1392</v>
      </c>
      <c r="F1277" s="3" t="s">
        <v>1393</v>
      </c>
      <c r="G1277" s="68" t="str">
        <f t="shared" si="125"/>
        <v>DUAL</v>
      </c>
      <c r="H1277" s="197">
        <f t="shared" si="126"/>
        <v>36</v>
      </c>
      <c r="I1277" s="197">
        <v>9</v>
      </c>
      <c r="J1277" s="197">
        <v>1</v>
      </c>
      <c r="K1277" s="186">
        <f t="shared" si="127"/>
        <v>45901</v>
      </c>
      <c r="L1277" s="3" t="s">
        <v>2395</v>
      </c>
      <c r="M1277" s="3" t="s">
        <v>1469</v>
      </c>
      <c r="N1277" s="3" t="str">
        <f t="shared" si="115"/>
        <v/>
      </c>
    </row>
    <row r="1278" spans="1:19">
      <c r="A1278" s="3">
        <v>5981</v>
      </c>
      <c r="B1278" s="83">
        <f t="array" ref="B1278">SUM(--(FREQUENCY(IF(C$2:C$3074=C1278, MATCH(D$2:D$3074, D$2:D$3074, 0)), ROW(D$2:D$3074)-ROW(D$2)+1) &gt; 0))</f>
        <v>144</v>
      </c>
      <c r="C1278" s="3">
        <v>41200007</v>
      </c>
      <c r="D1278" s="6" t="s">
        <v>2838</v>
      </c>
      <c r="E1278" s="3" t="s">
        <v>1405</v>
      </c>
      <c r="F1278" s="3" t="s">
        <v>1591</v>
      </c>
      <c r="G1278" s="68" t="str">
        <f t="shared" si="125"/>
        <v>SINGLE</v>
      </c>
      <c r="H1278" s="197">
        <f t="shared" si="126"/>
        <v>36</v>
      </c>
      <c r="I1278" s="197">
        <v>9</v>
      </c>
      <c r="J1278" s="197">
        <v>2</v>
      </c>
      <c r="K1278" s="186">
        <f t="shared" si="127"/>
        <v>45902</v>
      </c>
      <c r="L1278" s="3" t="s">
        <v>2391</v>
      </c>
      <c r="M1278" s="3" t="s">
        <v>2392</v>
      </c>
      <c r="N1278" s="3" t="str">
        <f t="shared" si="115"/>
        <v/>
      </c>
    </row>
    <row r="1279" spans="1:19">
      <c r="A1279" s="3">
        <v>5981</v>
      </c>
      <c r="B1279" s="83">
        <f t="array" ref="B1279">SUM(--(FREQUENCY(IF(C$2:C$3074=C1279, MATCH(D$2:D$3074, D$2:D$3074, 0)), ROW(D$2:D$3074)-ROW(D$2)+1) &gt; 0))</f>
        <v>144</v>
      </c>
      <c r="C1279" s="3">
        <v>41200007</v>
      </c>
      <c r="D1279" s="6" t="s">
        <v>2839</v>
      </c>
      <c r="E1279" s="3" t="s">
        <v>1405</v>
      </c>
      <c r="F1279" s="3" t="s">
        <v>1591</v>
      </c>
      <c r="G1279" s="68" t="str">
        <f t="shared" si="125"/>
        <v>SINGLE</v>
      </c>
      <c r="H1279" s="197">
        <f t="shared" ref="H1279:H1284" si="130">WEEKNUM(K1279)</f>
        <v>36</v>
      </c>
      <c r="I1279" s="197">
        <v>9</v>
      </c>
      <c r="J1279" s="197">
        <v>2</v>
      </c>
      <c r="K1279" s="186">
        <f t="shared" ref="K1279:K1284" si="131">DATE(2025, I1279, J1279)</f>
        <v>45902</v>
      </c>
      <c r="L1279" s="3" t="s">
        <v>2391</v>
      </c>
      <c r="M1279" s="3" t="s">
        <v>2392</v>
      </c>
      <c r="N1279" s="3" t="str">
        <f t="shared" si="115"/>
        <v/>
      </c>
    </row>
    <row r="1280" spans="1:19">
      <c r="A1280" s="3">
        <v>5914</v>
      </c>
      <c r="B1280" s="83">
        <f t="array" ref="B1280">SUM(--(FREQUENCY(IF(C$2:C$3074=C1280, MATCH(D$2:D$3074, D$2:D$3074, 0)), ROW(D$2:D$3074)-ROW(D$2)+1) &gt; 0))</f>
        <v>25</v>
      </c>
      <c r="C1280" s="3">
        <v>41200128</v>
      </c>
      <c r="D1280" s="6" t="s">
        <v>2840</v>
      </c>
      <c r="E1280" s="3" t="s">
        <v>1431</v>
      </c>
      <c r="F1280" s="3" t="s">
        <v>1591</v>
      </c>
      <c r="G1280" s="68" t="str">
        <f t="shared" si="125"/>
        <v>SINGLE</v>
      </c>
      <c r="H1280" s="197">
        <f t="shared" si="130"/>
        <v>36</v>
      </c>
      <c r="I1280" s="197">
        <v>9</v>
      </c>
      <c r="J1280" s="197">
        <v>2</v>
      </c>
      <c r="K1280" s="186">
        <f t="shared" si="131"/>
        <v>45902</v>
      </c>
      <c r="L1280" s="3" t="s">
        <v>2391</v>
      </c>
      <c r="M1280" s="3" t="s">
        <v>1468</v>
      </c>
      <c r="N1280" s="3" t="str">
        <f t="shared" si="115"/>
        <v>NG</v>
      </c>
      <c r="O1280" s="3" t="s">
        <v>2368</v>
      </c>
      <c r="P1280" s="3" t="s">
        <v>2414</v>
      </c>
      <c r="Q1280" s="3">
        <v>11002335</v>
      </c>
      <c r="R1280" s="3" t="s">
        <v>69</v>
      </c>
      <c r="S1280" s="124" t="s">
        <v>5189</v>
      </c>
    </row>
    <row r="1281" spans="1:19">
      <c r="A1281" s="3">
        <v>5885</v>
      </c>
      <c r="B1281" s="83">
        <f t="array" ref="B1281">SUM(--(FREQUENCY(IF(C$2:C$3074=C1281, MATCH(D$2:D$3074, D$2:D$3074, 0)), ROW(D$2:D$3074)-ROW(D$2)+1) &gt; 0))</f>
        <v>10</v>
      </c>
      <c r="C1281" s="3">
        <v>41100286</v>
      </c>
      <c r="D1281" s="6" t="s">
        <v>2841</v>
      </c>
      <c r="E1281" s="3" t="s">
        <v>1424</v>
      </c>
      <c r="F1281" s="3" t="s">
        <v>1476</v>
      </c>
      <c r="G1281" s="68" t="str">
        <f t="shared" si="125"/>
        <v>DUAL</v>
      </c>
      <c r="H1281" s="197">
        <f t="shared" si="130"/>
        <v>36</v>
      </c>
      <c r="I1281" s="197">
        <v>9</v>
      </c>
      <c r="J1281" s="197">
        <v>2</v>
      </c>
      <c r="K1281" s="186">
        <f t="shared" si="131"/>
        <v>45902</v>
      </c>
      <c r="L1281" s="3" t="s">
        <v>2391</v>
      </c>
      <c r="M1281" s="3" t="s">
        <v>1468</v>
      </c>
      <c r="N1281" s="3" t="str">
        <f t="shared" si="115"/>
        <v/>
      </c>
    </row>
    <row r="1282" spans="1:19">
      <c r="A1282" s="3">
        <v>5978</v>
      </c>
      <c r="B1282" s="83">
        <f t="array" ref="B1282">SUM(--(FREQUENCY(IF(C$2:C$3074=C1282, MATCH(D$2:D$3074, D$2:D$3074, 0)), ROW(D$2:D$3074)-ROW(D$2)+1) &gt; 0))</f>
        <v>26</v>
      </c>
      <c r="C1282" s="3">
        <v>41200074</v>
      </c>
      <c r="D1282" s="6" t="s">
        <v>2842</v>
      </c>
      <c r="E1282" s="3" t="s">
        <v>1405</v>
      </c>
      <c r="F1282" s="3" t="s">
        <v>1478</v>
      </c>
      <c r="G1282" s="68" t="str">
        <f t="shared" si="125"/>
        <v>DUAL</v>
      </c>
      <c r="H1282" s="197">
        <f t="shared" si="130"/>
        <v>36</v>
      </c>
      <c r="I1282" s="197">
        <v>9</v>
      </c>
      <c r="J1282" s="197">
        <v>2</v>
      </c>
      <c r="K1282" s="186">
        <f t="shared" si="131"/>
        <v>45902</v>
      </c>
      <c r="L1282" s="3" t="s">
        <v>2395</v>
      </c>
      <c r="M1282" s="3" t="s">
        <v>1469</v>
      </c>
      <c r="N1282" s="3" t="str">
        <f t="shared" si="115"/>
        <v/>
      </c>
    </row>
    <row r="1283" spans="1:19">
      <c r="A1283" s="3">
        <v>5936</v>
      </c>
      <c r="B1283" s="83">
        <f t="array" ref="B1283">SUM(--(FREQUENCY(IF(C$2:C$3074=C1283, MATCH(D$2:D$3074, D$2:D$3074, 0)), ROW(D$2:D$3074)-ROW(D$2)+1) &gt; 0))</f>
        <v>77</v>
      </c>
      <c r="C1283" s="3">
        <v>41200076</v>
      </c>
      <c r="D1283" s="6" t="s">
        <v>2843</v>
      </c>
      <c r="E1283" s="3" t="s">
        <v>1585</v>
      </c>
      <c r="F1283" s="3" t="s">
        <v>1476</v>
      </c>
      <c r="G1283" s="68" t="str">
        <f t="shared" si="125"/>
        <v>DUAL</v>
      </c>
      <c r="H1283" s="197">
        <f t="shared" si="130"/>
        <v>36</v>
      </c>
      <c r="I1283" s="197">
        <v>9</v>
      </c>
      <c r="J1283" s="197">
        <v>2</v>
      </c>
      <c r="K1283" s="186">
        <f t="shared" si="131"/>
        <v>45902</v>
      </c>
      <c r="L1283" s="3" t="s">
        <v>2555</v>
      </c>
      <c r="M1283" s="3" t="s">
        <v>2555</v>
      </c>
      <c r="N1283" s="3" t="str">
        <f t="shared" si="115"/>
        <v/>
      </c>
    </row>
    <row r="1284" spans="1:19">
      <c r="A1284" s="3">
        <v>6023</v>
      </c>
      <c r="B1284" s="83">
        <f t="array" ref="B1284">SUM(--(FREQUENCY(IF(C$2:C$3074=C1284, MATCH(D$2:D$3074, D$2:D$3074, 0)), ROW(D$2:D$3074)-ROW(D$2)+1) &gt; 0))</f>
        <v>49</v>
      </c>
      <c r="C1284" s="3">
        <v>41200005</v>
      </c>
      <c r="D1284" s="6" t="s">
        <v>2844</v>
      </c>
      <c r="E1284" s="3" t="s">
        <v>1405</v>
      </c>
      <c r="F1284" s="3" t="s">
        <v>1591</v>
      </c>
      <c r="G1284" s="68" t="str">
        <f t="shared" si="125"/>
        <v>SINGLE</v>
      </c>
      <c r="H1284" s="197">
        <f t="shared" si="130"/>
        <v>36</v>
      </c>
      <c r="I1284" s="197">
        <v>9</v>
      </c>
      <c r="J1284" s="197">
        <v>3</v>
      </c>
      <c r="K1284" s="186">
        <f t="shared" si="131"/>
        <v>45903</v>
      </c>
      <c r="L1284" s="3" t="s">
        <v>2391</v>
      </c>
      <c r="M1284" s="3" t="s">
        <v>1468</v>
      </c>
      <c r="N1284" s="3" t="str">
        <f t="shared" si="115"/>
        <v/>
      </c>
    </row>
    <row r="1285" spans="1:19">
      <c r="A1285" s="3">
        <v>6023</v>
      </c>
      <c r="B1285" s="83">
        <f t="array" ref="B1285">SUM(--(FREQUENCY(IF(C$2:C$3074=C1285, MATCH(D$2:D$3074, D$2:D$3074, 0)), ROW(D$2:D$3074)-ROW(D$2)+1) &gt; 0))</f>
        <v>49</v>
      </c>
      <c r="C1285" s="3">
        <v>41200005</v>
      </c>
      <c r="D1285" s="6" t="s">
        <v>2846</v>
      </c>
      <c r="E1285" s="3" t="s">
        <v>1405</v>
      </c>
      <c r="F1285" s="3" t="s">
        <v>1591</v>
      </c>
      <c r="G1285" s="68" t="str">
        <f t="shared" si="125"/>
        <v>SINGLE</v>
      </c>
      <c r="H1285" s="197">
        <f t="shared" ref="H1285:H1293" si="132">WEEKNUM(K1285)</f>
        <v>36</v>
      </c>
      <c r="I1285" s="197">
        <v>9</v>
      </c>
      <c r="J1285" s="197">
        <v>3</v>
      </c>
      <c r="K1285" s="186">
        <f t="shared" ref="K1285:K1293" si="133">DATE(2025, I1285, J1285)</f>
        <v>45903</v>
      </c>
      <c r="L1285" s="3" t="s">
        <v>2391</v>
      </c>
      <c r="M1285" s="3" t="s">
        <v>1468</v>
      </c>
      <c r="N1285" s="3" t="str">
        <f t="shared" si="115"/>
        <v/>
      </c>
    </row>
    <row r="1286" spans="1:19">
      <c r="A1286" s="3">
        <v>6023</v>
      </c>
      <c r="B1286" s="83">
        <f t="array" ref="B1286">SUM(--(FREQUENCY(IF(C$2:C$3074=C1286, MATCH(D$2:D$3074, D$2:D$3074, 0)), ROW(D$2:D$3074)-ROW(D$2)+1) &gt; 0))</f>
        <v>49</v>
      </c>
      <c r="C1286" s="3">
        <v>41200005</v>
      </c>
      <c r="D1286" s="6" t="s">
        <v>2848</v>
      </c>
      <c r="E1286" s="3" t="s">
        <v>1405</v>
      </c>
      <c r="F1286" s="3" t="s">
        <v>1591</v>
      </c>
      <c r="G1286" s="68" t="str">
        <f t="shared" si="125"/>
        <v>SINGLE</v>
      </c>
      <c r="H1286" s="197">
        <f t="shared" si="132"/>
        <v>36</v>
      </c>
      <c r="I1286" s="197">
        <v>9</v>
      </c>
      <c r="J1286" s="197">
        <v>3</v>
      </c>
      <c r="K1286" s="186">
        <f t="shared" si="133"/>
        <v>45903</v>
      </c>
      <c r="L1286" s="3" t="s">
        <v>2391</v>
      </c>
      <c r="M1286" s="3" t="s">
        <v>1468</v>
      </c>
      <c r="N1286" s="3" t="str">
        <f t="shared" si="115"/>
        <v/>
      </c>
    </row>
    <row r="1287" spans="1:19">
      <c r="A1287" s="3">
        <v>6023</v>
      </c>
      <c r="B1287" s="83">
        <f t="array" ref="B1287">SUM(--(FREQUENCY(IF(C$2:C$3074=C1287, MATCH(D$2:D$3074, D$2:D$3074, 0)), ROW(D$2:D$3074)-ROW(D$2)+1) &gt; 0))</f>
        <v>49</v>
      </c>
      <c r="C1287" s="3">
        <v>41200005</v>
      </c>
      <c r="D1287" s="6" t="s">
        <v>2850</v>
      </c>
      <c r="E1287" s="3" t="s">
        <v>1405</v>
      </c>
      <c r="F1287" s="3" t="s">
        <v>1591</v>
      </c>
      <c r="G1287" s="68" t="str">
        <f t="shared" si="125"/>
        <v>SINGLE</v>
      </c>
      <c r="H1287" s="197">
        <f t="shared" si="132"/>
        <v>36</v>
      </c>
      <c r="I1287" s="197">
        <v>9</v>
      </c>
      <c r="J1287" s="197">
        <v>3</v>
      </c>
      <c r="K1287" s="186">
        <f t="shared" si="133"/>
        <v>45903</v>
      </c>
      <c r="L1287" s="3" t="s">
        <v>2391</v>
      </c>
      <c r="M1287" s="3" t="s">
        <v>1468</v>
      </c>
      <c r="N1287" s="3" t="str">
        <f t="shared" si="115"/>
        <v/>
      </c>
    </row>
    <row r="1288" spans="1:19">
      <c r="A1288" s="3">
        <v>6069</v>
      </c>
      <c r="B1288" s="83">
        <f t="array" ref="B1288">SUM(--(FREQUENCY(IF(C$2:C$3074=C1288, MATCH(D$2:D$3074, D$2:D$3074, 0)), ROW(D$2:D$3074)-ROW(D$2)+1) &gt; 0))</f>
        <v>33</v>
      </c>
      <c r="C1288" s="3">
        <v>41100435</v>
      </c>
      <c r="D1288" s="6" t="s">
        <v>2851</v>
      </c>
      <c r="E1288" s="3" t="s">
        <v>1585</v>
      </c>
      <c r="F1288" s="3" t="s">
        <v>1482</v>
      </c>
      <c r="G1288" s="68" t="str">
        <f t="shared" si="125"/>
        <v>SINGLE</v>
      </c>
      <c r="H1288" s="197">
        <f t="shared" si="132"/>
        <v>36</v>
      </c>
      <c r="I1288" s="197">
        <v>9</v>
      </c>
      <c r="J1288" s="197">
        <v>3</v>
      </c>
      <c r="K1288" s="186">
        <f t="shared" si="133"/>
        <v>45903</v>
      </c>
      <c r="L1288" s="3" t="s">
        <v>2391</v>
      </c>
      <c r="M1288" s="3" t="s">
        <v>1468</v>
      </c>
      <c r="N1288" s="3" t="str">
        <f t="shared" si="115"/>
        <v/>
      </c>
    </row>
    <row r="1289" spans="1:19">
      <c r="A1289" s="3">
        <v>5905</v>
      </c>
      <c r="B1289" s="83">
        <f t="array" ref="B1289">SUM(--(FREQUENCY(IF(C$2:C$3074=C1289, MATCH(D$2:D$3074, D$2:D$3074, 0)), ROW(D$2:D$3074)-ROW(D$2)+1) &gt; 0))</f>
        <v>2</v>
      </c>
      <c r="C1289" s="3">
        <v>41100445</v>
      </c>
      <c r="D1289" s="6" t="s">
        <v>2852</v>
      </c>
      <c r="E1289" s="3" t="s">
        <v>2693</v>
      </c>
      <c r="F1289" s="3" t="s">
        <v>1479</v>
      </c>
      <c r="G1289" s="68" t="str">
        <f t="shared" si="125"/>
        <v>SINGLE</v>
      </c>
      <c r="H1289" s="197">
        <f t="shared" si="132"/>
        <v>36</v>
      </c>
      <c r="I1289" s="197">
        <v>9</v>
      </c>
      <c r="J1289" s="197">
        <v>3</v>
      </c>
      <c r="K1289" s="186">
        <f t="shared" si="133"/>
        <v>45903</v>
      </c>
      <c r="L1289" s="3" t="s">
        <v>2391</v>
      </c>
      <c r="M1289" s="3" t="s">
        <v>1468</v>
      </c>
      <c r="N1289" s="3" t="str">
        <f t="shared" si="115"/>
        <v/>
      </c>
    </row>
    <row r="1290" spans="1:19">
      <c r="A1290" s="3">
        <v>6022</v>
      </c>
      <c r="B1290" s="83">
        <f t="array" ref="B1290">SUM(--(FREQUENCY(IF(C$2:C$3074=C1290, MATCH(D$2:D$3074, D$2:D$3074, 0)), ROW(D$2:D$3074)-ROW(D$2)+1) &gt; 0))</f>
        <v>102</v>
      </c>
      <c r="C1290" s="3">
        <v>41200006</v>
      </c>
      <c r="D1290" s="6" t="s">
        <v>2853</v>
      </c>
      <c r="E1290" s="3" t="s">
        <v>1405</v>
      </c>
      <c r="F1290" s="3" t="s">
        <v>1477</v>
      </c>
      <c r="G1290" s="68" t="str">
        <f t="shared" si="125"/>
        <v>SINGLE</v>
      </c>
      <c r="H1290" s="197">
        <f t="shared" si="132"/>
        <v>36</v>
      </c>
      <c r="I1290" s="197">
        <v>9</v>
      </c>
      <c r="J1290" s="197">
        <v>3</v>
      </c>
      <c r="K1290" s="186">
        <f t="shared" si="133"/>
        <v>45903</v>
      </c>
      <c r="L1290" s="3" t="s">
        <v>2395</v>
      </c>
      <c r="M1290" s="3" t="s">
        <v>1469</v>
      </c>
      <c r="N1290" s="3" t="str">
        <f t="shared" si="115"/>
        <v/>
      </c>
    </row>
    <row r="1291" spans="1:19">
      <c r="A1291" s="3">
        <v>6022</v>
      </c>
      <c r="B1291" s="83">
        <f t="array" ref="B1291">SUM(--(FREQUENCY(IF(C$2:C$3074=C1291, MATCH(D$2:D$3074, D$2:D$3074, 0)), ROW(D$2:D$3074)-ROW(D$2)+1) &gt; 0))</f>
        <v>102</v>
      </c>
      <c r="C1291" s="3">
        <v>41200006</v>
      </c>
      <c r="D1291" s="6" t="s">
        <v>2854</v>
      </c>
      <c r="E1291" s="3" t="s">
        <v>1405</v>
      </c>
      <c r="F1291" s="3" t="s">
        <v>1477</v>
      </c>
      <c r="G1291" s="68" t="str">
        <f t="shared" si="125"/>
        <v>SINGLE</v>
      </c>
      <c r="H1291" s="197">
        <f t="shared" si="132"/>
        <v>36</v>
      </c>
      <c r="I1291" s="197">
        <v>9</v>
      </c>
      <c r="J1291" s="197">
        <v>3</v>
      </c>
      <c r="K1291" s="186">
        <f t="shared" si="133"/>
        <v>45903</v>
      </c>
      <c r="L1291" s="3" t="s">
        <v>2395</v>
      </c>
      <c r="M1291" s="3" t="s">
        <v>1469</v>
      </c>
      <c r="N1291" s="3" t="str">
        <f t="shared" si="115"/>
        <v>NG</v>
      </c>
      <c r="O1291" s="3" t="s">
        <v>2368</v>
      </c>
      <c r="P1291" s="3" t="s">
        <v>5151</v>
      </c>
      <c r="Q1291" s="3">
        <v>11002283</v>
      </c>
      <c r="R1291" s="3" t="s">
        <v>932</v>
      </c>
      <c r="S1291" s="3" t="s">
        <v>5110</v>
      </c>
    </row>
    <row r="1292" spans="1:19">
      <c r="A1292" s="3">
        <v>5978</v>
      </c>
      <c r="B1292" s="83">
        <f t="array" ref="B1292">SUM(--(FREQUENCY(IF(C$2:C$3074=C1292, MATCH(D$2:D$3074, D$2:D$3074, 0)), ROW(D$2:D$3074)-ROW(D$2)+1) &gt; 0))</f>
        <v>26</v>
      </c>
      <c r="C1292" s="3">
        <v>41200074</v>
      </c>
      <c r="D1292" s="6" t="s">
        <v>2855</v>
      </c>
      <c r="E1292" s="3" t="s">
        <v>1405</v>
      </c>
      <c r="F1292" s="3" t="s">
        <v>1478</v>
      </c>
      <c r="G1292" s="68" t="str">
        <f t="shared" si="125"/>
        <v>DUAL</v>
      </c>
      <c r="H1292" s="197">
        <f t="shared" si="132"/>
        <v>36</v>
      </c>
      <c r="I1292" s="197">
        <v>9</v>
      </c>
      <c r="J1292" s="197">
        <v>3</v>
      </c>
      <c r="K1292" s="186">
        <f t="shared" si="133"/>
        <v>45903</v>
      </c>
      <c r="L1292" s="3" t="s">
        <v>2395</v>
      </c>
      <c r="M1292" s="3" t="s">
        <v>1469</v>
      </c>
      <c r="N1292" s="3" t="str">
        <f t="shared" si="115"/>
        <v>NG</v>
      </c>
      <c r="O1292" s="3" t="s">
        <v>2368</v>
      </c>
      <c r="P1292" s="3" t="s">
        <v>5151</v>
      </c>
      <c r="Q1292" s="3">
        <v>11002283</v>
      </c>
      <c r="R1292" s="3" t="s">
        <v>932</v>
      </c>
      <c r="S1292" s="3" t="s">
        <v>5102</v>
      </c>
    </row>
    <row r="1293" spans="1:19">
      <c r="A1293" s="408">
        <v>5822</v>
      </c>
      <c r="B1293" s="83">
        <f t="array" ref="B1293">SUM(--(FREQUENCY(IF(C$2:C$3074=C1293, MATCH(D$2:D$3074, D$2:D$3074, 0)), ROW(D$2:D$3074)-ROW(D$2)+1) &gt; 0))</f>
        <v>102</v>
      </c>
      <c r="C1293" s="408">
        <v>41200006</v>
      </c>
      <c r="D1293" s="408" t="s">
        <v>2857</v>
      </c>
      <c r="E1293" s="3" t="s">
        <v>1405</v>
      </c>
      <c r="F1293" s="3" t="s">
        <v>1477</v>
      </c>
      <c r="G1293" s="68" t="str">
        <f t="shared" si="125"/>
        <v>SINGLE</v>
      </c>
      <c r="H1293" s="197">
        <f t="shared" si="132"/>
        <v>36</v>
      </c>
      <c r="I1293" s="197">
        <v>9</v>
      </c>
      <c r="J1293" s="197">
        <v>4</v>
      </c>
      <c r="K1293" s="186">
        <f t="shared" si="133"/>
        <v>45904</v>
      </c>
      <c r="L1293" s="3" t="s">
        <v>2391</v>
      </c>
      <c r="M1293" s="3" t="s">
        <v>2392</v>
      </c>
    </row>
    <row r="1294" spans="1:19">
      <c r="A1294" s="408">
        <v>5822</v>
      </c>
      <c r="B1294" s="83">
        <f t="array" ref="B1294">SUM(--(FREQUENCY(IF(C$2:C$3074=C1294, MATCH(D$2:D$3074, D$2:D$3074, 0)), ROW(D$2:D$3074)-ROW(D$2)+1) &gt; 0))</f>
        <v>102</v>
      </c>
      <c r="C1294" s="408">
        <v>41200006</v>
      </c>
      <c r="D1294" s="408" t="s">
        <v>2859</v>
      </c>
      <c r="E1294" s="3" t="s">
        <v>1405</v>
      </c>
      <c r="F1294" s="3" t="s">
        <v>1477</v>
      </c>
      <c r="G1294" s="68" t="str">
        <f t="shared" si="125"/>
        <v>SINGLE</v>
      </c>
      <c r="H1294" s="197">
        <f t="shared" ref="H1294:H1301" si="134">WEEKNUM(K1294)</f>
        <v>36</v>
      </c>
      <c r="I1294" s="197">
        <v>9</v>
      </c>
      <c r="J1294" s="197">
        <v>4</v>
      </c>
      <c r="K1294" s="186">
        <f t="shared" ref="K1294:K1301" si="135">DATE(2025, I1294, J1294)</f>
        <v>45904</v>
      </c>
      <c r="L1294" s="3" t="s">
        <v>2391</v>
      </c>
      <c r="M1294" s="3" t="s">
        <v>2392</v>
      </c>
      <c r="N1294" s="3" t="str">
        <f>IF(O1294&lt;&gt;"", "NG", "")</f>
        <v/>
      </c>
    </row>
    <row r="1295" spans="1:19">
      <c r="A1295" s="408">
        <v>5822</v>
      </c>
      <c r="B1295" s="83">
        <f t="array" ref="B1295">SUM(--(FREQUENCY(IF(C$2:C$3074=C1295, MATCH(D$2:D$3074, D$2:D$3074, 0)), ROW(D$2:D$3074)-ROW(D$2)+1) &gt; 0))</f>
        <v>102</v>
      </c>
      <c r="C1295" s="408">
        <v>41200006</v>
      </c>
      <c r="D1295" s="408" t="s">
        <v>2860</v>
      </c>
      <c r="E1295" s="3" t="s">
        <v>1405</v>
      </c>
      <c r="F1295" s="3" t="s">
        <v>1477</v>
      </c>
      <c r="G1295" s="68" t="str">
        <f t="shared" si="125"/>
        <v>SINGLE</v>
      </c>
      <c r="H1295" s="197">
        <f t="shared" si="134"/>
        <v>36</v>
      </c>
      <c r="I1295" s="197">
        <v>9</v>
      </c>
      <c r="J1295" s="197">
        <v>4</v>
      </c>
      <c r="K1295" s="186">
        <f t="shared" si="135"/>
        <v>45904</v>
      </c>
      <c r="L1295" s="3" t="s">
        <v>2391</v>
      </c>
      <c r="M1295" s="3" t="s">
        <v>2392</v>
      </c>
      <c r="N1295" s="3" t="str">
        <f>IF(O1295&lt;&gt;"", "NG", "")</f>
        <v/>
      </c>
    </row>
    <row r="1296" spans="1:19">
      <c r="A1296" s="408">
        <v>6056</v>
      </c>
      <c r="B1296" s="83">
        <f t="array" ref="B1296">SUM(--(FREQUENCY(IF(C$2:C$3074=C1296, MATCH(D$2:D$3074, D$2:D$3074, 0)), ROW(D$2:D$3074)-ROW(D$2)+1) &gt; 0))</f>
        <v>1</v>
      </c>
      <c r="C1296" s="408">
        <v>41100336</v>
      </c>
      <c r="D1296" s="408" t="s">
        <v>2861</v>
      </c>
      <c r="E1296" s="3" t="s">
        <v>1433</v>
      </c>
      <c r="F1296" s="3" t="s">
        <v>1591</v>
      </c>
      <c r="G1296" s="68" t="str">
        <f t="shared" si="125"/>
        <v>SINGLE</v>
      </c>
      <c r="H1296" s="197">
        <f t="shared" si="134"/>
        <v>36</v>
      </c>
      <c r="I1296" s="197">
        <v>9</v>
      </c>
      <c r="J1296" s="197">
        <v>4</v>
      </c>
      <c r="K1296" s="186">
        <f t="shared" si="135"/>
        <v>45904</v>
      </c>
      <c r="L1296" s="3" t="s">
        <v>2391</v>
      </c>
      <c r="M1296" s="3" t="s">
        <v>2392</v>
      </c>
      <c r="N1296" s="3" t="str">
        <f>IF(O1296&lt;&gt;"", "NG", "")</f>
        <v/>
      </c>
    </row>
    <row r="1297" spans="1:20">
      <c r="A1297" s="408">
        <v>5973</v>
      </c>
      <c r="B1297" s="83">
        <f t="array" ref="B1297">SUM(--(FREQUENCY(IF(C$2:C$3074=C1297, MATCH(D$2:D$3074, D$2:D$3074, 0)), ROW(D$2:D$3074)-ROW(D$2)+1) &gt; 0))</f>
        <v>11</v>
      </c>
      <c r="C1297" s="408">
        <v>41200119</v>
      </c>
      <c r="D1297" s="408" t="s">
        <v>2864</v>
      </c>
      <c r="E1297" s="3" t="s">
        <v>1422</v>
      </c>
      <c r="F1297" s="3" t="s">
        <v>1476</v>
      </c>
      <c r="G1297" s="68" t="str">
        <f t="shared" si="125"/>
        <v>DUAL</v>
      </c>
      <c r="H1297" s="197">
        <f t="shared" si="134"/>
        <v>36</v>
      </c>
      <c r="I1297" s="197">
        <v>9</v>
      </c>
      <c r="J1297" s="197">
        <v>4</v>
      </c>
      <c r="K1297" s="186">
        <f t="shared" si="135"/>
        <v>45904</v>
      </c>
      <c r="L1297" s="3" t="s">
        <v>2391</v>
      </c>
      <c r="M1297" s="3" t="s">
        <v>1468</v>
      </c>
      <c r="N1297" s="3" t="str">
        <f>IF(O1297&lt;&gt;"", "NG", "")</f>
        <v/>
      </c>
    </row>
    <row r="1298" spans="1:20">
      <c r="A1298" s="408">
        <v>6018</v>
      </c>
      <c r="B1298" s="83">
        <f t="array" ref="B1298">SUM(--(FREQUENCY(IF(C$2:C$3074=C1298, MATCH(D$2:D$3074, D$2:D$3074, 0)), ROW(D$2:D$3074)-ROW(D$2)+1) &gt; 0))</f>
        <v>11</v>
      </c>
      <c r="C1298" s="408">
        <v>41200119</v>
      </c>
      <c r="D1298" s="408" t="s">
        <v>2865</v>
      </c>
      <c r="E1298" s="3" t="s">
        <v>1422</v>
      </c>
      <c r="F1298" s="3" t="s">
        <v>1476</v>
      </c>
      <c r="G1298" s="41" t="str">
        <f t="shared" si="125"/>
        <v>DUAL</v>
      </c>
      <c r="H1298" s="197">
        <f t="shared" si="134"/>
        <v>36</v>
      </c>
      <c r="I1298" s="197">
        <v>9</v>
      </c>
      <c r="J1298" s="197">
        <v>4</v>
      </c>
      <c r="K1298" s="186">
        <f t="shared" si="135"/>
        <v>45904</v>
      </c>
      <c r="L1298" s="3" t="s">
        <v>2395</v>
      </c>
      <c r="M1298" s="3" t="s">
        <v>1469</v>
      </c>
      <c r="N1298" s="3" t="s">
        <v>2877</v>
      </c>
      <c r="O1298" s="3" t="s">
        <v>2368</v>
      </c>
      <c r="P1298" s="3" t="s">
        <v>3584</v>
      </c>
      <c r="Q1298" s="3">
        <v>11004079</v>
      </c>
      <c r="R1298" s="3" t="s">
        <v>255</v>
      </c>
      <c r="S1298" s="3" t="s">
        <v>5190</v>
      </c>
      <c r="T1298" s="3" t="s">
        <v>2679</v>
      </c>
    </row>
    <row r="1299" spans="1:20">
      <c r="A1299" s="408">
        <v>6018</v>
      </c>
      <c r="B1299" s="83">
        <f t="array" ref="B1299">SUM(--(FREQUENCY(IF(C$2:C$3074=C1299, MATCH(D$2:D$3074, D$2:D$3074, 0)), ROW(D$2:D$3074)-ROW(D$2)+1) &gt; 0))</f>
        <v>11</v>
      </c>
      <c r="C1299" s="408">
        <v>41200119</v>
      </c>
      <c r="D1299" s="408" t="s">
        <v>2865</v>
      </c>
      <c r="E1299" s="3" t="s">
        <v>1422</v>
      </c>
      <c r="F1299" s="3" t="s">
        <v>1476</v>
      </c>
      <c r="G1299" s="41" t="str">
        <f t="shared" si="125"/>
        <v>DUAL</v>
      </c>
      <c r="H1299" s="197">
        <f t="shared" ref="H1299" si="136">WEEKNUM(K1299)</f>
        <v>36</v>
      </c>
      <c r="I1299" s="197">
        <v>9</v>
      </c>
      <c r="J1299" s="197">
        <v>4</v>
      </c>
      <c r="K1299" s="186">
        <f t="shared" ref="K1299" si="137">DATE(2025, I1299, J1299)</f>
        <v>45904</v>
      </c>
      <c r="L1299" s="3" t="s">
        <v>2395</v>
      </c>
      <c r="M1299" s="3" t="s">
        <v>1469</v>
      </c>
      <c r="N1299" s="3" t="s">
        <v>2877</v>
      </c>
      <c r="O1299" s="3" t="s">
        <v>2368</v>
      </c>
      <c r="P1299" s="3" t="s">
        <v>3584</v>
      </c>
      <c r="Q1299" s="3">
        <v>11101478</v>
      </c>
      <c r="R1299" s="3" t="s">
        <v>5066</v>
      </c>
      <c r="S1299" s="3" t="s">
        <v>5191</v>
      </c>
      <c r="T1299" s="3" t="s">
        <v>2679</v>
      </c>
    </row>
    <row r="1300" spans="1:20">
      <c r="A1300" s="408">
        <v>5883</v>
      </c>
      <c r="B1300" s="83">
        <f t="array" ref="B1300">SUM(--(FREQUENCY(IF(C$2:C$3074=C1300, MATCH(D$2:D$3074, D$2:D$3074, 0)), ROW(D$2:D$3074)-ROW(D$2)+1) &gt; 0))</f>
        <v>51</v>
      </c>
      <c r="C1300" s="408">
        <v>41200034</v>
      </c>
      <c r="D1300" s="408" t="s">
        <v>2867</v>
      </c>
      <c r="E1300" s="3" t="s">
        <v>1426</v>
      </c>
      <c r="F1300" s="3" t="s">
        <v>1476</v>
      </c>
      <c r="G1300" s="68" t="str">
        <f t="shared" si="125"/>
        <v>DUAL</v>
      </c>
      <c r="H1300" s="197">
        <f>WEEKNUM(K1300)</f>
        <v>36</v>
      </c>
      <c r="I1300" s="197">
        <v>9</v>
      </c>
      <c r="J1300" s="197">
        <v>4</v>
      </c>
      <c r="K1300" s="186">
        <f t="shared" si="135"/>
        <v>45904</v>
      </c>
      <c r="L1300" s="3" t="s">
        <v>2555</v>
      </c>
      <c r="M1300" s="3" t="s">
        <v>2555</v>
      </c>
      <c r="N1300" s="3" t="str">
        <f t="shared" ref="N1300:N1320" si="138">IF(O1300&lt;&gt;"", "NG", "")</f>
        <v/>
      </c>
    </row>
    <row r="1301" spans="1:20">
      <c r="A1301" s="3">
        <v>5822</v>
      </c>
      <c r="B1301" s="83">
        <f t="array" ref="B1301">SUM(--(FREQUENCY(IF(C$2:C$3074=C1301, MATCH(D$2:D$3074, D$2:D$3074, 0)), ROW(D$2:D$3074)-ROW(D$2)+1) &gt; 0))</f>
        <v>102</v>
      </c>
      <c r="C1301" s="3">
        <v>41200006</v>
      </c>
      <c r="D1301" s="6" t="s">
        <v>2868</v>
      </c>
      <c r="E1301" s="3" t="s">
        <v>1405</v>
      </c>
      <c r="F1301" s="3" t="s">
        <v>1477</v>
      </c>
      <c r="G1301" s="68" t="str">
        <f t="shared" si="125"/>
        <v>SINGLE</v>
      </c>
      <c r="H1301" s="197">
        <f t="shared" si="134"/>
        <v>36</v>
      </c>
      <c r="I1301" s="197">
        <v>9</v>
      </c>
      <c r="J1301" s="197">
        <v>5</v>
      </c>
      <c r="K1301" s="186">
        <f t="shared" si="135"/>
        <v>45905</v>
      </c>
      <c r="L1301" s="3" t="s">
        <v>2391</v>
      </c>
      <c r="M1301" s="3" t="s">
        <v>2392</v>
      </c>
      <c r="N1301" s="3" t="str">
        <f t="shared" si="138"/>
        <v/>
      </c>
    </row>
    <row r="1302" spans="1:20">
      <c r="A1302" s="3">
        <v>5822</v>
      </c>
      <c r="B1302" s="83">
        <f t="array" ref="B1302">SUM(--(FREQUENCY(IF(C$2:C$3074=C1302, MATCH(D$2:D$3074, D$2:D$3074, 0)), ROW(D$2:D$3074)-ROW(D$2)+1) &gt; 0))</f>
        <v>102</v>
      </c>
      <c r="C1302" s="3">
        <v>41200006</v>
      </c>
      <c r="D1302" s="6" t="s">
        <v>2869</v>
      </c>
      <c r="E1302" s="3" t="s">
        <v>1405</v>
      </c>
      <c r="F1302" s="3" t="s">
        <v>1477</v>
      </c>
      <c r="G1302" s="68" t="str">
        <f t="shared" ref="G1302:G1333" si="139">IF(OR(ISNUMBER(SEARCH("DUAL",F1302)), ISNUMBER(SEARCH("IVAS",F1302))), "DUAL", "SINGLE")</f>
        <v>SINGLE</v>
      </c>
      <c r="H1302" s="197">
        <f t="shared" ref="H1302:H1374" si="140">WEEKNUM(K1302)</f>
        <v>36</v>
      </c>
      <c r="I1302" s="197">
        <v>9</v>
      </c>
      <c r="J1302" s="197">
        <v>5</v>
      </c>
      <c r="K1302" s="186">
        <f t="shared" ref="K1302:K1374" si="141">DATE(2025, I1302, J1302)</f>
        <v>45905</v>
      </c>
      <c r="L1302" s="3" t="s">
        <v>2391</v>
      </c>
      <c r="M1302" s="3" t="s">
        <v>2392</v>
      </c>
      <c r="N1302" s="3" t="str">
        <f t="shared" si="138"/>
        <v/>
      </c>
    </row>
    <row r="1303" spans="1:20">
      <c r="A1303" s="3">
        <v>5822</v>
      </c>
      <c r="B1303" s="83">
        <f t="array" ref="B1303">SUM(--(FREQUENCY(IF(C$2:C$3074=C1303, MATCH(D$2:D$3074, D$2:D$3074, 0)), ROW(D$2:D$3074)-ROW(D$2)+1) &gt; 0))</f>
        <v>102</v>
      </c>
      <c r="C1303" s="3">
        <v>41200006</v>
      </c>
      <c r="D1303" s="6" t="s">
        <v>2870</v>
      </c>
      <c r="E1303" s="3" t="s">
        <v>1405</v>
      </c>
      <c r="F1303" s="3" t="s">
        <v>1477</v>
      </c>
      <c r="G1303" s="68" t="str">
        <f t="shared" si="139"/>
        <v>SINGLE</v>
      </c>
      <c r="H1303" s="197">
        <f t="shared" si="140"/>
        <v>36</v>
      </c>
      <c r="I1303" s="197">
        <v>9</v>
      </c>
      <c r="J1303" s="197">
        <v>5</v>
      </c>
      <c r="K1303" s="186">
        <f t="shared" si="141"/>
        <v>45905</v>
      </c>
      <c r="L1303" s="3" t="s">
        <v>2391</v>
      </c>
      <c r="M1303" s="3" t="s">
        <v>2392</v>
      </c>
      <c r="N1303" s="3" t="str">
        <f t="shared" si="138"/>
        <v>NG</v>
      </c>
      <c r="O1303" s="3" t="s">
        <v>2368</v>
      </c>
      <c r="P1303" s="3" t="s">
        <v>3584</v>
      </c>
      <c r="Q1303" s="3">
        <v>11000196</v>
      </c>
      <c r="R1303" s="3" t="s">
        <v>816</v>
      </c>
      <c r="S1303" s="3" t="s">
        <v>5192</v>
      </c>
    </row>
    <row r="1304" spans="1:20">
      <c r="A1304" s="3">
        <v>5822</v>
      </c>
      <c r="B1304" s="83">
        <f t="array" ref="B1304">SUM(--(FREQUENCY(IF(C$2:C$3074=C1304, MATCH(D$2:D$3074, D$2:D$3074, 0)), ROW(D$2:D$3074)-ROW(D$2)+1) &gt; 0))</f>
        <v>102</v>
      </c>
      <c r="C1304" s="3">
        <v>41200006</v>
      </c>
      <c r="D1304" s="6" t="s">
        <v>2871</v>
      </c>
      <c r="E1304" s="3" t="s">
        <v>1405</v>
      </c>
      <c r="F1304" s="3" t="s">
        <v>1477</v>
      </c>
      <c r="G1304" s="68" t="str">
        <f t="shared" si="139"/>
        <v>SINGLE</v>
      </c>
      <c r="H1304" s="197">
        <f t="shared" si="140"/>
        <v>36</v>
      </c>
      <c r="I1304" s="197">
        <v>9</v>
      </c>
      <c r="J1304" s="197">
        <v>5</v>
      </c>
      <c r="K1304" s="186">
        <f t="shared" si="141"/>
        <v>45905</v>
      </c>
      <c r="L1304" s="3" t="s">
        <v>2391</v>
      </c>
      <c r="M1304" s="3" t="s">
        <v>2392</v>
      </c>
      <c r="N1304" s="3" t="str">
        <f t="shared" si="138"/>
        <v/>
      </c>
    </row>
    <row r="1305" spans="1:20">
      <c r="A1305" s="3">
        <v>5854</v>
      </c>
      <c r="B1305" s="83">
        <f t="array" ref="B1305">SUM(--(FREQUENCY(IF(C$2:C$3074=C1305, MATCH(D$2:D$3074, D$2:D$3074, 0)), ROW(D$2:D$3074)-ROW(D$2)+1) &gt; 0))</f>
        <v>77</v>
      </c>
      <c r="C1305" s="3">
        <v>41200076</v>
      </c>
      <c r="D1305" s="6" t="s">
        <v>2872</v>
      </c>
      <c r="E1305" s="3" t="s">
        <v>1585</v>
      </c>
      <c r="F1305" s="3" t="s">
        <v>1476</v>
      </c>
      <c r="G1305" s="68" t="str">
        <f t="shared" si="139"/>
        <v>DUAL</v>
      </c>
      <c r="H1305" s="197">
        <f t="shared" si="140"/>
        <v>36</v>
      </c>
      <c r="I1305" s="197">
        <v>9</v>
      </c>
      <c r="J1305" s="197">
        <v>5</v>
      </c>
      <c r="K1305" s="186">
        <f t="shared" si="141"/>
        <v>45905</v>
      </c>
      <c r="L1305" s="3" t="s">
        <v>2391</v>
      </c>
      <c r="M1305" s="3" t="s">
        <v>1468</v>
      </c>
      <c r="N1305" s="408" t="str">
        <f t="shared" si="138"/>
        <v>NG</v>
      </c>
      <c r="O1305" s="408" t="s">
        <v>2368</v>
      </c>
      <c r="P1305" s="408" t="s">
        <v>2371</v>
      </c>
      <c r="Q1305" s="408">
        <v>11001962</v>
      </c>
      <c r="R1305" s="408" t="s">
        <v>562</v>
      </c>
      <c r="S1305" s="3" t="s">
        <v>5193</v>
      </c>
    </row>
    <row r="1306" spans="1:20">
      <c r="A1306" s="3">
        <v>5972</v>
      </c>
      <c r="B1306" s="83">
        <f t="array" ref="B1306">SUM(--(FREQUENCY(IF(C$2:C$3074=C1306, MATCH(D$2:D$3074, D$2:D$3074, 0)), ROW(D$2:D$3074)-ROW(D$2)+1) &gt; 0))</f>
        <v>12</v>
      </c>
      <c r="C1306" s="3">
        <v>41200048</v>
      </c>
      <c r="D1306" s="6" t="s">
        <v>2873</v>
      </c>
      <c r="E1306" s="3" t="s">
        <v>1426</v>
      </c>
      <c r="F1306" s="3" t="s">
        <v>1476</v>
      </c>
      <c r="G1306" s="41" t="str">
        <f t="shared" si="139"/>
        <v>DUAL</v>
      </c>
      <c r="H1306" s="197">
        <f t="shared" si="140"/>
        <v>36</v>
      </c>
      <c r="I1306" s="197">
        <v>9</v>
      </c>
      <c r="J1306" s="197">
        <v>5</v>
      </c>
      <c r="K1306" s="186">
        <f t="shared" si="141"/>
        <v>45905</v>
      </c>
      <c r="L1306" s="3" t="s">
        <v>2395</v>
      </c>
      <c r="M1306" s="3" t="s">
        <v>1468</v>
      </c>
      <c r="N1306" s="3" t="str">
        <f t="shared" si="138"/>
        <v>NG</v>
      </c>
      <c r="O1306" s="3" t="s">
        <v>2368</v>
      </c>
      <c r="P1306" s="3" t="s">
        <v>3584</v>
      </c>
      <c r="Q1306" s="3">
        <v>11000243</v>
      </c>
      <c r="R1306" s="3" t="s">
        <v>473</v>
      </c>
      <c r="S1306" s="3" t="s">
        <v>5194</v>
      </c>
    </row>
    <row r="1307" spans="1:20">
      <c r="A1307" s="3">
        <v>5972</v>
      </c>
      <c r="B1307" s="83">
        <f t="array" ref="B1307">SUM(--(FREQUENCY(IF(C$2:C$3074=C1307, MATCH(D$2:D$3074, D$2:D$3074, 0)), ROW(D$2:D$3074)-ROW(D$2)+1) &gt; 0))</f>
        <v>12</v>
      </c>
      <c r="C1307" s="3">
        <v>41200048</v>
      </c>
      <c r="D1307" s="6" t="s">
        <v>2873</v>
      </c>
      <c r="E1307" s="3" t="s">
        <v>1426</v>
      </c>
      <c r="F1307" s="3" t="s">
        <v>1476</v>
      </c>
      <c r="G1307" s="41" t="str">
        <f t="shared" si="139"/>
        <v>DUAL</v>
      </c>
      <c r="H1307" s="197">
        <f t="shared" ref="H1307" si="142">WEEKNUM(K1307)</f>
        <v>36</v>
      </c>
      <c r="I1307" s="197">
        <v>9</v>
      </c>
      <c r="J1307" s="197">
        <v>5</v>
      </c>
      <c r="K1307" s="186">
        <f t="shared" ref="K1307" si="143">DATE(2025, I1307, J1307)</f>
        <v>45905</v>
      </c>
      <c r="L1307" s="3" t="s">
        <v>2395</v>
      </c>
      <c r="M1307" s="3" t="s">
        <v>1468</v>
      </c>
      <c r="N1307" s="3" t="str">
        <f t="shared" si="138"/>
        <v>NG</v>
      </c>
      <c r="O1307" s="3" t="s">
        <v>2368</v>
      </c>
      <c r="P1307" s="3" t="s">
        <v>3584</v>
      </c>
      <c r="Q1307" s="3">
        <v>11000136</v>
      </c>
      <c r="R1307" s="3" t="s">
        <v>1049</v>
      </c>
      <c r="S1307" s="3" t="s">
        <v>5195</v>
      </c>
    </row>
    <row r="1308" spans="1:20">
      <c r="A1308" s="3">
        <v>5981</v>
      </c>
      <c r="B1308" s="83">
        <f t="array" ref="B1308">SUM(--(FREQUENCY(IF(C$2:C$3074=C1308, MATCH(D$2:D$3074, D$2:D$3074, 0)), ROW(D$2:D$3074)-ROW(D$2)+1) &gt; 0))</f>
        <v>144</v>
      </c>
      <c r="C1308" s="3">
        <v>41200007</v>
      </c>
      <c r="D1308" s="6" t="s">
        <v>2874</v>
      </c>
      <c r="E1308" s="3" t="s">
        <v>1405</v>
      </c>
      <c r="F1308" s="3" t="s">
        <v>1591</v>
      </c>
      <c r="G1308" s="68" t="str">
        <f t="shared" si="139"/>
        <v>SINGLE</v>
      </c>
      <c r="H1308" s="197">
        <f t="shared" si="140"/>
        <v>36</v>
      </c>
      <c r="I1308" s="197">
        <v>9</v>
      </c>
      <c r="J1308" s="197">
        <v>5</v>
      </c>
      <c r="K1308" s="186">
        <f t="shared" si="141"/>
        <v>45905</v>
      </c>
      <c r="L1308" s="3" t="s">
        <v>2395</v>
      </c>
      <c r="M1308" s="3" t="s">
        <v>1469</v>
      </c>
      <c r="N1308" s="3" t="str">
        <f t="shared" si="138"/>
        <v/>
      </c>
    </row>
    <row r="1309" spans="1:20">
      <c r="A1309" s="3">
        <v>5981</v>
      </c>
      <c r="B1309" s="83">
        <f t="array" ref="B1309">SUM(--(FREQUENCY(IF(C$2:C$3074=C1309, MATCH(D$2:D$3074, D$2:D$3074, 0)), ROW(D$2:D$3074)-ROW(D$2)+1) &gt; 0))</f>
        <v>144</v>
      </c>
      <c r="C1309" s="3">
        <v>41200007</v>
      </c>
      <c r="D1309" s="6" t="s">
        <v>2875</v>
      </c>
      <c r="E1309" s="3" t="s">
        <v>1405</v>
      </c>
      <c r="F1309" s="3" t="s">
        <v>1591</v>
      </c>
      <c r="G1309" s="68" t="str">
        <f t="shared" si="139"/>
        <v>SINGLE</v>
      </c>
      <c r="H1309" s="197">
        <f t="shared" si="140"/>
        <v>36</v>
      </c>
      <c r="I1309" s="197">
        <v>9</v>
      </c>
      <c r="J1309" s="197">
        <v>5</v>
      </c>
      <c r="K1309" s="186">
        <f t="shared" si="141"/>
        <v>45905</v>
      </c>
      <c r="L1309" s="3" t="s">
        <v>2395</v>
      </c>
      <c r="M1309" s="3" t="s">
        <v>1469</v>
      </c>
      <c r="N1309" s="3" t="str">
        <f t="shared" si="138"/>
        <v>NG</v>
      </c>
      <c r="O1309" s="3" t="s">
        <v>2368</v>
      </c>
      <c r="P1309" s="3" t="s">
        <v>5151</v>
      </c>
      <c r="Q1309" s="3">
        <v>11002283</v>
      </c>
      <c r="R1309" s="3" t="s">
        <v>932</v>
      </c>
      <c r="S1309" s="3" t="s">
        <v>5102</v>
      </c>
    </row>
    <row r="1310" spans="1:20">
      <c r="A1310" s="3">
        <v>5931</v>
      </c>
      <c r="B1310" s="83">
        <f t="array" ref="B1310">SUM(--(FREQUENCY(IF(C$2:C$3074=C1310, MATCH(D$2:D$3074, D$2:D$3074, 0)), ROW(D$2:D$3074)-ROW(D$2)+1) &gt; 0))</f>
        <v>3</v>
      </c>
      <c r="C1310" s="3">
        <v>41200029</v>
      </c>
      <c r="D1310" s="6" t="s">
        <v>2876</v>
      </c>
      <c r="E1310" s="3" t="s">
        <v>1405</v>
      </c>
      <c r="F1310" s="3" t="s">
        <v>1476</v>
      </c>
      <c r="G1310" s="68" t="str">
        <f t="shared" si="139"/>
        <v>DUAL</v>
      </c>
      <c r="H1310" s="197">
        <f t="shared" si="140"/>
        <v>37</v>
      </c>
      <c r="I1310" s="197">
        <v>9</v>
      </c>
      <c r="J1310" s="197">
        <v>8</v>
      </c>
      <c r="K1310" s="186">
        <f t="shared" si="141"/>
        <v>45908</v>
      </c>
      <c r="L1310" s="3" t="s">
        <v>2395</v>
      </c>
      <c r="M1310" s="3" t="s">
        <v>2392</v>
      </c>
      <c r="N1310" s="3" t="str">
        <f t="shared" si="138"/>
        <v/>
      </c>
    </row>
    <row r="1311" spans="1:20">
      <c r="A1311" s="3">
        <v>5914</v>
      </c>
      <c r="B1311" s="83">
        <f t="array" ref="B1311">SUM(--(FREQUENCY(IF(C$2:C$3074=C1311, MATCH(D$2:D$3074, D$2:D$3074, 0)), ROW(D$2:D$3074)-ROW(D$2)+1) &gt; 0))</f>
        <v>25</v>
      </c>
      <c r="C1311" s="3">
        <v>41200128</v>
      </c>
      <c r="D1311" s="6" t="s">
        <v>2881</v>
      </c>
      <c r="E1311" s="3" t="s">
        <v>1431</v>
      </c>
      <c r="F1311" s="3" t="s">
        <v>1591</v>
      </c>
      <c r="G1311" s="68" t="str">
        <f t="shared" si="139"/>
        <v>SINGLE</v>
      </c>
      <c r="H1311" s="197">
        <f t="shared" si="140"/>
        <v>37</v>
      </c>
      <c r="I1311" s="197">
        <v>9</v>
      </c>
      <c r="J1311" s="197">
        <v>8</v>
      </c>
      <c r="K1311" s="186">
        <f t="shared" si="141"/>
        <v>45908</v>
      </c>
      <c r="L1311" s="3" t="s">
        <v>2391</v>
      </c>
      <c r="M1311" s="3" t="s">
        <v>1468</v>
      </c>
      <c r="N1311" s="3" t="str">
        <f t="shared" si="138"/>
        <v/>
      </c>
    </row>
    <row r="1312" spans="1:20">
      <c r="A1312" s="3">
        <v>5915</v>
      </c>
      <c r="B1312" s="83">
        <f t="array" ref="B1312">SUM(--(FREQUENCY(IF(C$2:C$3074=C1312, MATCH(D$2:D$3074, D$2:D$3074, 0)), ROW(D$2:D$3074)-ROW(D$2)+1) &gt; 0))</f>
        <v>8</v>
      </c>
      <c r="C1312" s="3">
        <v>41200131</v>
      </c>
      <c r="D1312" s="6" t="s">
        <v>2882</v>
      </c>
      <c r="E1312" s="3" t="s">
        <v>1431</v>
      </c>
      <c r="F1312" s="3" t="s">
        <v>1476</v>
      </c>
      <c r="G1312" s="68" t="str">
        <f t="shared" si="139"/>
        <v>DUAL</v>
      </c>
      <c r="H1312" s="197">
        <f t="shared" si="140"/>
        <v>37</v>
      </c>
      <c r="I1312" s="197">
        <v>9</v>
      </c>
      <c r="J1312" s="197">
        <v>8</v>
      </c>
      <c r="K1312" s="186">
        <f t="shared" si="141"/>
        <v>45908</v>
      </c>
      <c r="L1312" s="3" t="s">
        <v>2395</v>
      </c>
      <c r="M1312" s="3" t="s">
        <v>1468</v>
      </c>
      <c r="N1312" s="3" t="str">
        <f t="shared" si="138"/>
        <v/>
      </c>
    </row>
    <row r="1313" spans="1:19">
      <c r="A1313" s="3">
        <v>5915</v>
      </c>
      <c r="B1313" s="83">
        <f t="array" ref="B1313">SUM(--(FREQUENCY(IF(C$2:C$3074=C1313, MATCH(D$2:D$3074, D$2:D$3074, 0)), ROW(D$2:D$3074)-ROW(D$2)+1) &gt; 0))</f>
        <v>8</v>
      </c>
      <c r="C1313" s="3">
        <v>41200131</v>
      </c>
      <c r="D1313" s="6" t="s">
        <v>2883</v>
      </c>
      <c r="E1313" s="3" t="s">
        <v>1431</v>
      </c>
      <c r="F1313" s="3" t="s">
        <v>1476</v>
      </c>
      <c r="G1313" s="68" t="str">
        <f t="shared" si="139"/>
        <v>DUAL</v>
      </c>
      <c r="H1313" s="197">
        <f t="shared" si="140"/>
        <v>37</v>
      </c>
      <c r="I1313" s="197">
        <v>9</v>
      </c>
      <c r="J1313" s="197">
        <v>8</v>
      </c>
      <c r="K1313" s="186">
        <f t="shared" si="141"/>
        <v>45908</v>
      </c>
      <c r="L1313" s="3" t="s">
        <v>2395</v>
      </c>
      <c r="M1313" s="3" t="s">
        <v>1468</v>
      </c>
      <c r="N1313" s="3" t="str">
        <f t="shared" si="138"/>
        <v/>
      </c>
    </row>
    <row r="1314" spans="1:19">
      <c r="A1314" s="3">
        <v>5978</v>
      </c>
      <c r="B1314" s="83">
        <f t="array" ref="B1314">SUM(--(FREQUENCY(IF(C$2:C$3074=C1314, MATCH(D$2:D$3074, D$2:D$3074, 0)), ROW(D$2:D$3074)-ROW(D$2)+1) &gt; 0))</f>
        <v>26</v>
      </c>
      <c r="C1314" s="3">
        <v>41200074</v>
      </c>
      <c r="D1314" s="6" t="s">
        <v>2885</v>
      </c>
      <c r="E1314" s="3" t="s">
        <v>1405</v>
      </c>
      <c r="F1314" s="3" t="s">
        <v>1478</v>
      </c>
      <c r="G1314" s="68" t="str">
        <f t="shared" si="139"/>
        <v>DUAL</v>
      </c>
      <c r="H1314" s="197">
        <f t="shared" si="140"/>
        <v>37</v>
      </c>
      <c r="I1314" s="197">
        <v>9</v>
      </c>
      <c r="J1314" s="197">
        <v>8</v>
      </c>
      <c r="K1314" s="186">
        <f t="shared" si="141"/>
        <v>45908</v>
      </c>
      <c r="L1314" s="3" t="s">
        <v>2391</v>
      </c>
      <c r="M1314" s="3" t="s">
        <v>1468</v>
      </c>
      <c r="N1314" s="3" t="str">
        <f t="shared" si="138"/>
        <v>NG</v>
      </c>
      <c r="O1314" s="3" t="s">
        <v>2368</v>
      </c>
      <c r="P1314" s="3" t="s">
        <v>1385</v>
      </c>
      <c r="Q1314" s="3">
        <v>11006077</v>
      </c>
      <c r="R1314" s="3" t="s">
        <v>473</v>
      </c>
      <c r="S1314" s="3" t="s">
        <v>5196</v>
      </c>
    </row>
    <row r="1315" spans="1:19">
      <c r="A1315" s="3">
        <v>5978</v>
      </c>
      <c r="B1315" s="83">
        <f t="array" ref="B1315">SUM(--(FREQUENCY(IF(C$2:C$3074=C1315, MATCH(D$2:D$3074, D$2:D$3074, 0)), ROW(D$2:D$3074)-ROW(D$2)+1) &gt; 0))</f>
        <v>26</v>
      </c>
      <c r="C1315" s="3">
        <v>41200074</v>
      </c>
      <c r="D1315" s="6" t="s">
        <v>2891</v>
      </c>
      <c r="E1315" s="3" t="s">
        <v>1405</v>
      </c>
      <c r="F1315" s="3" t="s">
        <v>1478</v>
      </c>
      <c r="G1315" s="68" t="str">
        <f t="shared" si="139"/>
        <v>DUAL</v>
      </c>
      <c r="H1315" s="197">
        <f t="shared" si="140"/>
        <v>37</v>
      </c>
      <c r="I1315" s="197">
        <v>9</v>
      </c>
      <c r="J1315" s="197">
        <v>8</v>
      </c>
      <c r="K1315" s="186">
        <f t="shared" si="141"/>
        <v>45908</v>
      </c>
      <c r="L1315" s="3" t="s">
        <v>2391</v>
      </c>
      <c r="M1315" s="3" t="s">
        <v>1468</v>
      </c>
      <c r="N1315" s="3" t="str">
        <f t="shared" si="138"/>
        <v/>
      </c>
    </row>
    <row r="1316" spans="1:19">
      <c r="A1316" s="3">
        <v>5942</v>
      </c>
      <c r="B1316" s="83">
        <f t="array" ref="B1316">SUM(--(FREQUENCY(IF(C$2:C$3074=C1316, MATCH(D$2:D$3074, D$2:D$3074, 0)), ROW(D$2:D$3074)-ROW(D$2)+1) &gt; 0))</f>
        <v>2</v>
      </c>
      <c r="C1316" s="3">
        <v>41200160</v>
      </c>
      <c r="D1316" s="6" t="s">
        <v>2892</v>
      </c>
      <c r="E1316" s="3" t="s">
        <v>1431</v>
      </c>
      <c r="F1316" s="3" t="s">
        <v>1591</v>
      </c>
      <c r="G1316" s="68" t="str">
        <f t="shared" si="139"/>
        <v>SINGLE</v>
      </c>
      <c r="H1316" s="197">
        <f t="shared" si="140"/>
        <v>37</v>
      </c>
      <c r="I1316" s="197">
        <v>9</v>
      </c>
      <c r="J1316" s="197">
        <v>8</v>
      </c>
      <c r="K1316" s="186">
        <f t="shared" si="141"/>
        <v>45908</v>
      </c>
      <c r="L1316" s="3" t="s">
        <v>2395</v>
      </c>
      <c r="M1316" s="3" t="s">
        <v>1469</v>
      </c>
      <c r="N1316" s="3" t="str">
        <f t="shared" si="138"/>
        <v>NG</v>
      </c>
      <c r="O1316" s="3" t="s">
        <v>2368</v>
      </c>
      <c r="P1316" s="3" t="s">
        <v>5151</v>
      </c>
      <c r="Q1316" s="3">
        <v>11002283</v>
      </c>
      <c r="R1316" s="3" t="s">
        <v>932</v>
      </c>
      <c r="S1316" s="3" t="s">
        <v>5110</v>
      </c>
    </row>
    <row r="1317" spans="1:19">
      <c r="A1317" s="3">
        <v>6052</v>
      </c>
      <c r="B1317" s="83">
        <f t="array" ref="B1317">SUM(--(FREQUENCY(IF(C$2:C$3074=C1317, MATCH(D$2:D$3074, D$2:D$3074, 0)), ROW(D$2:D$3074)-ROW(D$2)+1) &gt; 0))</f>
        <v>33</v>
      </c>
      <c r="C1317" s="3">
        <v>41100435</v>
      </c>
      <c r="D1317" s="6" t="s">
        <v>2907</v>
      </c>
      <c r="E1317" s="3" t="s">
        <v>1585</v>
      </c>
      <c r="F1317" s="3" t="s">
        <v>1482</v>
      </c>
      <c r="G1317" s="68" t="str">
        <f t="shared" si="139"/>
        <v>SINGLE</v>
      </c>
      <c r="H1317" s="197">
        <f t="shared" si="140"/>
        <v>37</v>
      </c>
      <c r="I1317" s="197">
        <v>9</v>
      </c>
      <c r="J1317" s="197">
        <v>8</v>
      </c>
      <c r="K1317" s="186">
        <f t="shared" si="141"/>
        <v>45908</v>
      </c>
      <c r="L1317" s="3" t="s">
        <v>2395</v>
      </c>
      <c r="M1317" s="3" t="s">
        <v>1469</v>
      </c>
      <c r="N1317" s="3" t="str">
        <f t="shared" si="138"/>
        <v/>
      </c>
    </row>
    <row r="1318" spans="1:19">
      <c r="A1318" s="3">
        <v>5797</v>
      </c>
      <c r="B1318" s="83">
        <f t="array" ref="B1318">SUM(--(FREQUENCY(IF(C$2:C$3074=C1318, MATCH(D$2:D$3074, D$2:D$3074, 0)), ROW(D$2:D$3074)-ROW(D$2)+1) &gt; 0))</f>
        <v>18</v>
      </c>
      <c r="C1318" s="3">
        <v>41100264</v>
      </c>
      <c r="D1318" s="6" t="s">
        <v>2893</v>
      </c>
      <c r="E1318" s="3" t="s">
        <v>1585</v>
      </c>
      <c r="F1318" s="3" t="s">
        <v>1591</v>
      </c>
      <c r="G1318" s="68" t="str">
        <f t="shared" si="139"/>
        <v>SINGLE</v>
      </c>
      <c r="H1318" s="197">
        <f t="shared" si="140"/>
        <v>37</v>
      </c>
      <c r="I1318" s="197">
        <v>9</v>
      </c>
      <c r="J1318" s="197">
        <v>9</v>
      </c>
      <c r="K1318" s="186">
        <f t="shared" si="141"/>
        <v>45909</v>
      </c>
      <c r="L1318" s="3" t="s">
        <v>2395</v>
      </c>
      <c r="M1318" s="3" t="s">
        <v>2392</v>
      </c>
      <c r="N1318" s="3" t="str">
        <f t="shared" si="138"/>
        <v/>
      </c>
    </row>
    <row r="1319" spans="1:19">
      <c r="A1319" s="3">
        <v>5797</v>
      </c>
      <c r="B1319" s="83">
        <f t="array" ref="B1319">SUM(--(FREQUENCY(IF(C$2:C$3074=C1319, MATCH(D$2:D$3074, D$2:D$3074, 0)), ROW(D$2:D$3074)-ROW(D$2)+1) &gt; 0))</f>
        <v>18</v>
      </c>
      <c r="C1319" s="3">
        <v>41100264</v>
      </c>
      <c r="D1319" s="6" t="s">
        <v>2897</v>
      </c>
      <c r="E1319" s="3" t="s">
        <v>1585</v>
      </c>
      <c r="F1319" s="3" t="s">
        <v>1591</v>
      </c>
      <c r="G1319" s="68" t="str">
        <f t="shared" si="139"/>
        <v>SINGLE</v>
      </c>
      <c r="H1319" s="197">
        <f t="shared" si="140"/>
        <v>37</v>
      </c>
      <c r="I1319" s="197">
        <v>9</v>
      </c>
      <c r="J1319" s="197">
        <v>9</v>
      </c>
      <c r="K1319" s="186">
        <f t="shared" si="141"/>
        <v>45909</v>
      </c>
      <c r="L1319" s="3" t="s">
        <v>2395</v>
      </c>
      <c r="M1319" s="3" t="s">
        <v>2392</v>
      </c>
      <c r="N1319" s="3" t="str">
        <f t="shared" si="138"/>
        <v/>
      </c>
    </row>
    <row r="1320" spans="1:19">
      <c r="A1320" s="3">
        <v>5917</v>
      </c>
      <c r="B1320" s="83">
        <f t="array" ref="B1320">SUM(--(FREQUENCY(IF(C$2:C$3074=C1320, MATCH(D$2:D$3074, D$2:D$3074, 0)), ROW(D$2:D$3074)-ROW(D$2)+1) &gt; 0))</f>
        <v>6</v>
      </c>
      <c r="C1320" s="3">
        <v>41200136</v>
      </c>
      <c r="D1320" s="6" t="s">
        <v>2901</v>
      </c>
      <c r="E1320" s="3" t="s">
        <v>1431</v>
      </c>
      <c r="F1320" s="3" t="s">
        <v>1482</v>
      </c>
      <c r="G1320" s="68" t="str">
        <f t="shared" si="139"/>
        <v>SINGLE</v>
      </c>
      <c r="H1320" s="197">
        <f t="shared" si="140"/>
        <v>37</v>
      </c>
      <c r="I1320" s="197">
        <v>9</v>
      </c>
      <c r="J1320" s="197">
        <v>9</v>
      </c>
      <c r="K1320" s="186">
        <f t="shared" si="141"/>
        <v>45909</v>
      </c>
      <c r="L1320" s="3" t="s">
        <v>2391</v>
      </c>
      <c r="M1320" s="3" t="s">
        <v>2392</v>
      </c>
      <c r="N1320" s="3" t="str">
        <f t="shared" si="138"/>
        <v/>
      </c>
    </row>
    <row r="1321" spans="1:19">
      <c r="A1321" s="3">
        <v>5916</v>
      </c>
      <c r="B1321" s="83">
        <f t="array" ref="B1321">SUM(--(FREQUENCY(IF(C$2:C$3074=C1321, MATCH(D$2:D$3074, D$2:D$3074, 0)), ROW(D$2:D$3074)-ROW(D$2)+1) &gt; 0))</f>
        <v>32</v>
      </c>
      <c r="C1321" s="3">
        <v>41200127</v>
      </c>
      <c r="D1321" s="6" t="s">
        <v>2900</v>
      </c>
      <c r="E1321" s="3" t="s">
        <v>1431</v>
      </c>
      <c r="F1321" s="3" t="s">
        <v>1591</v>
      </c>
      <c r="G1321" s="68" t="str">
        <f t="shared" si="139"/>
        <v>SINGLE</v>
      </c>
      <c r="H1321" s="197">
        <f t="shared" si="140"/>
        <v>37</v>
      </c>
      <c r="I1321" s="197">
        <v>9</v>
      </c>
      <c r="J1321" s="197">
        <v>9</v>
      </c>
      <c r="K1321" s="186">
        <f t="shared" si="141"/>
        <v>45909</v>
      </c>
      <c r="L1321" s="3" t="s">
        <v>2391</v>
      </c>
      <c r="M1321" s="3" t="s">
        <v>2392</v>
      </c>
      <c r="N1321" s="3" t="s">
        <v>2877</v>
      </c>
      <c r="O1321" s="3" t="s">
        <v>2368</v>
      </c>
      <c r="P1321" s="3" t="s">
        <v>2369</v>
      </c>
      <c r="Q1321" s="3">
        <v>11000090</v>
      </c>
      <c r="R1321" s="3" t="s">
        <v>143</v>
      </c>
      <c r="S1321" s="3" t="s">
        <v>5197</v>
      </c>
    </row>
    <row r="1322" spans="1:19">
      <c r="A1322" s="3">
        <v>6051</v>
      </c>
      <c r="B1322" s="83">
        <f t="array" ref="B1322">SUM(--(FREQUENCY(IF(C$2:C$3074=C1322, MATCH(D$2:D$3074, D$2:D$3074, 0)), ROW(D$2:D$3074)-ROW(D$2)+1) &gt; 0))</f>
        <v>32</v>
      </c>
      <c r="C1322" s="3">
        <v>41200122</v>
      </c>
      <c r="D1322" s="6" t="s">
        <v>2902</v>
      </c>
      <c r="E1322" s="3" t="s">
        <v>1585</v>
      </c>
      <c r="F1322" s="3" t="s">
        <v>1476</v>
      </c>
      <c r="G1322" s="68" t="s">
        <v>2675</v>
      </c>
      <c r="H1322" s="197">
        <f t="shared" si="140"/>
        <v>37</v>
      </c>
      <c r="I1322" s="197">
        <v>9</v>
      </c>
      <c r="J1322" s="197">
        <v>9</v>
      </c>
      <c r="K1322" s="186">
        <f t="shared" si="141"/>
        <v>45909</v>
      </c>
      <c r="L1322" s="3" t="s">
        <v>2395</v>
      </c>
      <c r="M1322" s="3" t="s">
        <v>1468</v>
      </c>
      <c r="N1322" s="3" t="str">
        <f>IF(O1322&lt;&gt;"", "NG", "")</f>
        <v/>
      </c>
    </row>
    <row r="1323" spans="1:19">
      <c r="A1323" s="3">
        <v>5981</v>
      </c>
      <c r="B1323" s="83">
        <f t="array" ref="B1323">SUM(--(FREQUENCY(IF(C$2:C$3074=C1323, MATCH(D$2:D$3074, D$2:D$3074, 0)), ROW(D$2:D$3074)-ROW(D$2)+1) &gt; 0))</f>
        <v>144</v>
      </c>
      <c r="C1323" s="3">
        <v>41200007</v>
      </c>
      <c r="D1323" s="6" t="s">
        <v>2903</v>
      </c>
      <c r="E1323" s="3" t="s">
        <v>1405</v>
      </c>
      <c r="F1323" s="3" t="s">
        <v>1591</v>
      </c>
      <c r="G1323" s="68" t="str">
        <f>IF(OR(ISNUMBER(SEARCH("DUAL",F1323)), ISNUMBER(SEARCH("IVAS",F1323))), "DUAL", "SINGLE")</f>
        <v>SINGLE</v>
      </c>
      <c r="H1323" s="197">
        <f t="shared" si="140"/>
        <v>37</v>
      </c>
      <c r="I1323" s="197">
        <v>9</v>
      </c>
      <c r="J1323" s="197">
        <v>9</v>
      </c>
      <c r="K1323" s="186">
        <f t="shared" si="141"/>
        <v>45909</v>
      </c>
      <c r="L1323" s="3" t="s">
        <v>2395</v>
      </c>
      <c r="M1323" s="3" t="s">
        <v>1468</v>
      </c>
      <c r="N1323" s="3" t="s">
        <v>2877</v>
      </c>
      <c r="O1323" s="3" t="s">
        <v>1569</v>
      </c>
      <c r="P1323" s="3" t="s">
        <v>5092</v>
      </c>
      <c r="Q1323" s="3">
        <v>13001369</v>
      </c>
      <c r="R1323" s="3" t="s">
        <v>651</v>
      </c>
      <c r="S1323" s="3" t="s">
        <v>5198</v>
      </c>
    </row>
    <row r="1324" spans="1:19">
      <c r="A1324" s="3">
        <v>5856</v>
      </c>
      <c r="B1324" s="83">
        <f t="array" ref="B1324">SUM(--(FREQUENCY(IF(C$2:C$3074=C1324, MATCH(D$2:D$3074, D$2:D$3074, 0)), ROW(D$2:D$3074)-ROW(D$2)+1) &gt; 0))</f>
        <v>30</v>
      </c>
      <c r="C1324" s="3">
        <v>41200109</v>
      </c>
      <c r="D1324" s="6" t="s">
        <v>2905</v>
      </c>
      <c r="E1324" s="3" t="s">
        <v>1585</v>
      </c>
      <c r="F1324" s="3" t="s">
        <v>1591</v>
      </c>
      <c r="G1324" s="68" t="str">
        <f>IF(OR(ISNUMBER(SEARCH("DUAL",F1324)), ISNUMBER(SEARCH("IVAS",F1324))), "DUAL", "SINGLE")</f>
        <v>SINGLE</v>
      </c>
      <c r="H1324" s="197">
        <f t="shared" si="140"/>
        <v>37</v>
      </c>
      <c r="I1324" s="197">
        <v>9</v>
      </c>
      <c r="J1324" s="197">
        <v>9</v>
      </c>
      <c r="K1324" s="186">
        <f t="shared" si="141"/>
        <v>45909</v>
      </c>
      <c r="L1324" s="3" t="s">
        <v>2395</v>
      </c>
      <c r="M1324" s="3" t="s">
        <v>1469</v>
      </c>
      <c r="N1324" s="3" t="str">
        <f>IF(O1324&lt;&gt;"", "NG", "")</f>
        <v/>
      </c>
    </row>
    <row r="1325" spans="1:19">
      <c r="A1325" s="3">
        <v>5856</v>
      </c>
      <c r="B1325" s="83">
        <f t="array" ref="B1325">SUM(--(FREQUENCY(IF(C$2:C$3074=C1325, MATCH(D$2:D$3074, D$2:D$3074, 0)), ROW(D$2:D$3074)-ROW(D$2)+1) &gt; 0))</f>
        <v>30</v>
      </c>
      <c r="C1325" s="3">
        <v>41200109</v>
      </c>
      <c r="D1325" s="6" t="s">
        <v>2906</v>
      </c>
      <c r="E1325" s="3" t="s">
        <v>1585</v>
      </c>
      <c r="F1325" s="3" t="s">
        <v>1591</v>
      </c>
      <c r="G1325" s="68" t="str">
        <f>IF(OR(ISNUMBER(SEARCH("DUAL",F1325)), ISNUMBER(SEARCH("IVAS",F1325))), "DUAL", "SINGLE")</f>
        <v>SINGLE</v>
      </c>
      <c r="H1325" s="197">
        <f t="shared" si="140"/>
        <v>37</v>
      </c>
      <c r="I1325" s="197">
        <v>9</v>
      </c>
      <c r="J1325" s="197">
        <v>9</v>
      </c>
      <c r="K1325" s="186">
        <f t="shared" si="141"/>
        <v>45909</v>
      </c>
      <c r="L1325" s="3" t="s">
        <v>2395</v>
      </c>
      <c r="M1325" s="3" t="s">
        <v>1469</v>
      </c>
      <c r="N1325" s="3" t="str">
        <f>IF(O1325&lt;&gt;"", "NG", "")</f>
        <v/>
      </c>
    </row>
    <row r="1326" spans="1:19">
      <c r="A1326" s="3">
        <v>6003</v>
      </c>
      <c r="B1326" s="83">
        <f t="array" ref="B1326">SUM(--(FREQUENCY(IF(C$2:C$3074=C1326, MATCH(D$2:D$3074, D$2:D$3074, 0)), ROW(D$2:D$3074)-ROW(D$2)+1) &gt; 0))</f>
        <v>2</v>
      </c>
      <c r="C1326" s="3">
        <v>41200160</v>
      </c>
      <c r="D1326" s="6" t="s">
        <v>2908</v>
      </c>
      <c r="E1326" s="3" t="s">
        <v>1431</v>
      </c>
      <c r="F1326" s="3" t="s">
        <v>1591</v>
      </c>
      <c r="G1326" s="68" t="str">
        <f>IF(OR(ISNUMBER(SEARCH("DUAL",F1326)), ISNUMBER(SEARCH("IVAS",F1326))), "DUAL", "SINGLE")</f>
        <v>SINGLE</v>
      </c>
      <c r="H1326" s="197">
        <f t="shared" si="140"/>
        <v>37</v>
      </c>
      <c r="I1326" s="197">
        <v>9</v>
      </c>
      <c r="J1326" s="197">
        <v>10</v>
      </c>
      <c r="K1326" s="186">
        <f t="shared" si="141"/>
        <v>45910</v>
      </c>
      <c r="L1326" s="3" t="s">
        <v>2391</v>
      </c>
      <c r="M1326" s="3" t="s">
        <v>2392</v>
      </c>
      <c r="N1326" s="3" t="str">
        <f>IF(O1326&lt;&gt;"", "NG", "")</f>
        <v/>
      </c>
    </row>
    <row r="1327" spans="1:19">
      <c r="A1327" s="3">
        <v>5039</v>
      </c>
      <c r="B1327" s="83">
        <f t="array" ref="B1327">SUM(--(FREQUENCY(IF(C$2:C$3074=C1327, MATCH(D$2:D$3074, D$2:D$3074, 0)), ROW(D$2:D$3074)-ROW(D$2)+1) &gt; 0))</f>
        <v>21</v>
      </c>
      <c r="C1327" s="3">
        <v>41200036</v>
      </c>
      <c r="D1327" s="6" t="s">
        <v>2909</v>
      </c>
      <c r="E1327" s="3" t="s">
        <v>1426</v>
      </c>
      <c r="F1327" s="3" t="s">
        <v>1476</v>
      </c>
      <c r="G1327" s="68" t="s">
        <v>2675</v>
      </c>
      <c r="H1327" s="197">
        <f t="shared" si="140"/>
        <v>37</v>
      </c>
      <c r="I1327" s="197">
        <v>9</v>
      </c>
      <c r="J1327" s="197">
        <v>10</v>
      </c>
      <c r="K1327" s="186">
        <f t="shared" si="141"/>
        <v>45910</v>
      </c>
      <c r="L1327" s="3" t="s">
        <v>2391</v>
      </c>
      <c r="M1327" s="3" t="s">
        <v>2392</v>
      </c>
      <c r="N1327" s="3" t="s">
        <v>2877</v>
      </c>
      <c r="O1327" s="3" t="s">
        <v>2368</v>
      </c>
      <c r="P1327" s="3" t="s">
        <v>5151</v>
      </c>
      <c r="Q1327" s="3">
        <v>11008325</v>
      </c>
      <c r="R1327" s="3" t="s">
        <v>5103</v>
      </c>
      <c r="S1327" s="3" t="s">
        <v>5199</v>
      </c>
    </row>
    <row r="1328" spans="1:19">
      <c r="A1328" s="3">
        <v>6044</v>
      </c>
      <c r="B1328" s="83">
        <f t="array" ref="B1328">SUM(--(FREQUENCY(IF(C$2:C$3074=C1328, MATCH(D$2:D$3074, D$2:D$3074, 0)), ROW(D$2:D$3074)-ROW(D$2)+1) &gt; 0))</f>
        <v>44</v>
      </c>
      <c r="C1328" s="3">
        <v>41200047</v>
      </c>
      <c r="D1328" s="6" t="s">
        <v>2910</v>
      </c>
      <c r="E1328" s="3" t="s">
        <v>1426</v>
      </c>
      <c r="F1328" s="3" t="s">
        <v>1476</v>
      </c>
      <c r="G1328" s="68" t="s">
        <v>2675</v>
      </c>
      <c r="H1328" s="197">
        <f t="shared" si="140"/>
        <v>37</v>
      </c>
      <c r="I1328" s="197">
        <v>9</v>
      </c>
      <c r="J1328" s="197">
        <v>10</v>
      </c>
      <c r="K1328" s="186">
        <f t="shared" si="141"/>
        <v>45910</v>
      </c>
      <c r="L1328" s="3" t="s">
        <v>2391</v>
      </c>
      <c r="M1328" s="3" t="s">
        <v>1468</v>
      </c>
      <c r="N1328" s="3" t="str">
        <f>IF(O1328&lt;&gt;"", "NG", "")</f>
        <v/>
      </c>
    </row>
    <row r="1329" spans="1:19">
      <c r="A1329" s="3">
        <v>6044</v>
      </c>
      <c r="B1329" s="83">
        <f t="array" ref="B1329">SUM(--(FREQUENCY(IF(C$2:C$3074=C1329, MATCH(D$2:D$3074, D$2:D$3074, 0)), ROW(D$2:D$3074)-ROW(D$2)+1) &gt; 0))</f>
        <v>44</v>
      </c>
      <c r="C1329" s="3">
        <v>41200047</v>
      </c>
      <c r="D1329" s="6" t="s">
        <v>2911</v>
      </c>
      <c r="E1329" s="3" t="s">
        <v>1426</v>
      </c>
      <c r="F1329" s="3" t="s">
        <v>1476</v>
      </c>
      <c r="G1329" s="68" t="s">
        <v>2675</v>
      </c>
      <c r="H1329" s="197">
        <f t="shared" si="140"/>
        <v>37</v>
      </c>
      <c r="I1329" s="197">
        <v>9</v>
      </c>
      <c r="J1329" s="197">
        <v>10</v>
      </c>
      <c r="K1329" s="186">
        <f t="shared" si="141"/>
        <v>45910</v>
      </c>
      <c r="L1329" s="3" t="s">
        <v>2391</v>
      </c>
      <c r="M1329" s="3" t="s">
        <v>1468</v>
      </c>
      <c r="N1329" s="3" t="str">
        <f>IF(O1329&lt;&gt;"", "NG", "")</f>
        <v/>
      </c>
    </row>
    <row r="1330" spans="1:19">
      <c r="A1330" s="3">
        <v>6044</v>
      </c>
      <c r="B1330" s="83">
        <f t="array" ref="B1330">SUM(--(FREQUENCY(IF(C$2:C$3074=C1330, MATCH(D$2:D$3074, D$2:D$3074, 0)), ROW(D$2:D$3074)-ROW(D$2)+1) &gt; 0))</f>
        <v>44</v>
      </c>
      <c r="C1330" s="3">
        <v>41200047</v>
      </c>
      <c r="D1330" s="6" t="s">
        <v>2912</v>
      </c>
      <c r="E1330" s="3" t="s">
        <v>1426</v>
      </c>
      <c r="F1330" s="3" t="s">
        <v>1476</v>
      </c>
      <c r="G1330" s="68" t="s">
        <v>2675</v>
      </c>
      <c r="H1330" s="197">
        <f t="shared" si="140"/>
        <v>37</v>
      </c>
      <c r="I1330" s="197">
        <v>9</v>
      </c>
      <c r="J1330" s="197">
        <v>10</v>
      </c>
      <c r="K1330" s="186">
        <f t="shared" si="141"/>
        <v>45910</v>
      </c>
      <c r="L1330" s="3" t="s">
        <v>2391</v>
      </c>
      <c r="M1330" s="3" t="s">
        <v>1468</v>
      </c>
      <c r="N1330" s="3" t="str">
        <f>IF(O1330&lt;&gt;"", "NG", "")</f>
        <v/>
      </c>
    </row>
    <row r="1331" spans="1:19">
      <c r="A1331" s="3">
        <v>5981</v>
      </c>
      <c r="B1331" s="83">
        <f t="array" ref="B1331">SUM(--(FREQUENCY(IF(C$2:C$3074=C1331, MATCH(D$2:D$3074, D$2:D$3074, 0)), ROW(D$2:D$3074)-ROW(D$2)+1) &gt; 0))</f>
        <v>144</v>
      </c>
      <c r="C1331" s="3">
        <v>41200007</v>
      </c>
      <c r="D1331" s="6" t="s">
        <v>2913</v>
      </c>
      <c r="E1331" s="3" t="s">
        <v>1405</v>
      </c>
      <c r="F1331" s="3" t="s">
        <v>1591</v>
      </c>
      <c r="G1331" s="68" t="s">
        <v>2666</v>
      </c>
      <c r="H1331" s="197">
        <f t="shared" si="140"/>
        <v>37</v>
      </c>
      <c r="I1331" s="197">
        <v>9</v>
      </c>
      <c r="J1331" s="197">
        <v>10</v>
      </c>
      <c r="K1331" s="186">
        <f t="shared" si="141"/>
        <v>45910</v>
      </c>
      <c r="L1331" s="3" t="s">
        <v>2395</v>
      </c>
      <c r="M1331" s="3" t="s">
        <v>1468</v>
      </c>
      <c r="N1331" s="3" t="str">
        <f>IF(O1331&lt;&gt;"", "NG", "")</f>
        <v/>
      </c>
    </row>
    <row r="1332" spans="1:19">
      <c r="A1332" s="3">
        <v>6049</v>
      </c>
      <c r="B1332" s="83">
        <f t="array" ref="B1332">SUM(--(FREQUENCY(IF(C$2:C$3074=C1332, MATCH(D$2:D$3074, D$2:D$3074, 0)), ROW(D$2:D$3074)-ROW(D$2)+1) &gt; 0))</f>
        <v>4</v>
      </c>
      <c r="C1332" s="3">
        <v>41200149</v>
      </c>
      <c r="D1332" s="6" t="s">
        <v>2914</v>
      </c>
      <c r="E1332" s="3" t="s">
        <v>1426</v>
      </c>
      <c r="F1332" s="3" t="s">
        <v>1476</v>
      </c>
      <c r="G1332" s="68" t="s">
        <v>2675</v>
      </c>
      <c r="H1332" s="197">
        <f t="shared" si="140"/>
        <v>37</v>
      </c>
      <c r="I1332" s="197">
        <v>9</v>
      </c>
      <c r="J1332" s="197">
        <v>10</v>
      </c>
      <c r="K1332" s="186">
        <f t="shared" si="141"/>
        <v>45910</v>
      </c>
      <c r="L1332" s="3" t="s">
        <v>2395</v>
      </c>
      <c r="M1332" s="3" t="s">
        <v>1469</v>
      </c>
      <c r="N1332" s="3" t="str">
        <f>IF(O1332&lt;&gt;"", "NG", "")</f>
        <v/>
      </c>
    </row>
    <row r="1333" spans="1:19">
      <c r="A1333" s="3">
        <v>6005</v>
      </c>
      <c r="B1333" s="83">
        <f t="array" ref="B1333">SUM(--(FREQUENCY(IF(C$2:C$3074=C1333, MATCH(D$2:D$3074, D$2:D$3074, 0)), ROW(D$2:D$3074)-ROW(D$2)+1) &gt; 0))</f>
        <v>32</v>
      </c>
      <c r="C1333" s="3">
        <v>41200127</v>
      </c>
      <c r="D1333" s="6" t="s">
        <v>2915</v>
      </c>
      <c r="E1333" s="3" t="s">
        <v>1431</v>
      </c>
      <c r="F1333" s="3" t="s">
        <v>1591</v>
      </c>
      <c r="G1333" s="41" t="str">
        <f t="shared" ref="G1333:G1348" si="144">IF(OR(ISNUMBER(SEARCH("DUAL",F1333)), ISNUMBER(SEARCH("IVAS",F1333))), "DUAL", "SINGLE")</f>
        <v>SINGLE</v>
      </c>
      <c r="H1333" s="197">
        <f t="shared" si="140"/>
        <v>37</v>
      </c>
      <c r="I1333" s="197">
        <v>9</v>
      </c>
      <c r="J1333" s="197">
        <v>11</v>
      </c>
      <c r="K1333" s="186">
        <f t="shared" si="141"/>
        <v>45911</v>
      </c>
      <c r="L1333" s="3" t="s">
        <v>2395</v>
      </c>
      <c r="M1333" s="3" t="s">
        <v>2392</v>
      </c>
      <c r="N1333" s="3" t="s">
        <v>2877</v>
      </c>
      <c r="O1333" s="3" t="s">
        <v>2368</v>
      </c>
      <c r="P1333" s="3" t="s">
        <v>5151</v>
      </c>
      <c r="Q1333" s="3">
        <v>11002283</v>
      </c>
      <c r="R1333" s="3" t="s">
        <v>932</v>
      </c>
      <c r="S1333" s="3" t="s">
        <v>5102</v>
      </c>
    </row>
    <row r="1334" spans="1:19">
      <c r="A1334" s="3">
        <v>6005</v>
      </c>
      <c r="B1334" s="83">
        <f t="array" ref="B1334">SUM(--(FREQUENCY(IF(C$2:C$3074=C1334, MATCH(D$2:D$3074, D$2:D$3074, 0)), ROW(D$2:D$3074)-ROW(D$2)+1) &gt; 0))</f>
        <v>32</v>
      </c>
      <c r="C1334" s="3">
        <v>41200127</v>
      </c>
      <c r="D1334" s="6" t="s">
        <v>2915</v>
      </c>
      <c r="E1334" s="3" t="s">
        <v>1431</v>
      </c>
      <c r="F1334" s="3" t="s">
        <v>1591</v>
      </c>
      <c r="G1334" s="41" t="str">
        <f t="shared" si="144"/>
        <v>SINGLE</v>
      </c>
      <c r="H1334" s="197">
        <f t="shared" si="140"/>
        <v>37</v>
      </c>
      <c r="I1334" s="197">
        <v>9</v>
      </c>
      <c r="J1334" s="197">
        <v>11</v>
      </c>
      <c r="K1334" s="186">
        <f t="shared" si="141"/>
        <v>45911</v>
      </c>
      <c r="L1334" s="3" t="s">
        <v>2395</v>
      </c>
      <c r="M1334" s="3" t="s">
        <v>2392</v>
      </c>
      <c r="N1334" s="3" t="s">
        <v>2877</v>
      </c>
      <c r="O1334" s="3" t="s">
        <v>2368</v>
      </c>
      <c r="P1334" s="3" t="s">
        <v>5151</v>
      </c>
      <c r="Q1334" s="3">
        <v>11002283</v>
      </c>
      <c r="R1334" s="3" t="s">
        <v>932</v>
      </c>
      <c r="S1334" s="3" t="s">
        <v>5102</v>
      </c>
    </row>
    <row r="1335" spans="1:19">
      <c r="A1335" s="3">
        <v>5980</v>
      </c>
      <c r="B1335" s="83">
        <f t="array" ref="B1335">SUM(--(FREQUENCY(IF(C$2:C$3074=C1335, MATCH(D$2:D$3074, D$2:D$3074, 0)), ROW(D$2:D$3074)-ROW(D$2)+1) &gt; 0))</f>
        <v>18</v>
      </c>
      <c r="C1335" s="3">
        <v>41200053</v>
      </c>
      <c r="D1335" s="6" t="s">
        <v>2916</v>
      </c>
      <c r="E1335" s="3" t="s">
        <v>1405</v>
      </c>
      <c r="F1335" s="3" t="s">
        <v>1616</v>
      </c>
      <c r="G1335" s="68" t="str">
        <f t="shared" si="144"/>
        <v>SINGLE</v>
      </c>
      <c r="H1335" s="197">
        <f t="shared" si="140"/>
        <v>37</v>
      </c>
      <c r="I1335" s="197">
        <v>9</v>
      </c>
      <c r="J1335" s="197">
        <v>11</v>
      </c>
      <c r="K1335" s="186">
        <f t="shared" si="141"/>
        <v>45911</v>
      </c>
      <c r="L1335" s="3" t="s">
        <v>2392</v>
      </c>
      <c r="M1335" s="3" t="s">
        <v>2392</v>
      </c>
      <c r="N1335" s="3" t="str">
        <f t="shared" ref="N1335:N1350" si="145">IF(O1335&lt;&gt;"", "NG", "")</f>
        <v/>
      </c>
    </row>
    <row r="1336" spans="1:19">
      <c r="A1336" s="3">
        <v>5980</v>
      </c>
      <c r="B1336" s="83">
        <f t="array" ref="B1336">SUM(--(FREQUENCY(IF(C$2:C$3074=C1336, MATCH(D$2:D$3074, D$2:D$3074, 0)), ROW(D$2:D$3074)-ROW(D$2)+1) &gt; 0))</f>
        <v>18</v>
      </c>
      <c r="C1336" s="3">
        <v>41200053</v>
      </c>
      <c r="D1336" s="6" t="s">
        <v>2917</v>
      </c>
      <c r="E1336" s="3" t="s">
        <v>1405</v>
      </c>
      <c r="F1336" s="3" t="s">
        <v>1616</v>
      </c>
      <c r="G1336" s="68" t="str">
        <f t="shared" si="144"/>
        <v>SINGLE</v>
      </c>
      <c r="H1336" s="197">
        <f t="shared" si="140"/>
        <v>37</v>
      </c>
      <c r="I1336" s="197">
        <v>9</v>
      </c>
      <c r="J1336" s="197">
        <v>11</v>
      </c>
      <c r="K1336" s="186">
        <f t="shared" si="141"/>
        <v>45911</v>
      </c>
      <c r="L1336" s="3" t="s">
        <v>2392</v>
      </c>
      <c r="M1336" s="3" t="s">
        <v>2392</v>
      </c>
      <c r="N1336" s="3" t="str">
        <f t="shared" si="145"/>
        <v/>
      </c>
    </row>
    <row r="1337" spans="1:19">
      <c r="A1337" s="3">
        <v>5980</v>
      </c>
      <c r="B1337" s="83" cm="1">
        <f t="array" ref="B1337">SUM(--(FREQUENCY(IF(C$2:C$3074=C1337, MATCH(D$2:D$3074, D$2:D$3074, 0)), ROW(D$2:D$3074)-ROW(D$2)+1) &gt; 0))</f>
        <v>18</v>
      </c>
      <c r="C1337" s="3">
        <v>41200053</v>
      </c>
      <c r="D1337" s="6" t="s">
        <v>2918</v>
      </c>
      <c r="E1337" s="3" t="s">
        <v>1405</v>
      </c>
      <c r="F1337" s="3" t="s">
        <v>1616</v>
      </c>
      <c r="G1337" s="68" t="str">
        <f t="shared" si="144"/>
        <v>SINGLE</v>
      </c>
      <c r="H1337" s="197">
        <f t="shared" si="140"/>
        <v>37</v>
      </c>
      <c r="I1337" s="197">
        <v>9</v>
      </c>
      <c r="J1337" s="197">
        <v>11</v>
      </c>
      <c r="K1337" s="186">
        <f t="shared" si="141"/>
        <v>45911</v>
      </c>
      <c r="L1337" s="3" t="s">
        <v>2392</v>
      </c>
      <c r="M1337" s="3" t="s">
        <v>2392</v>
      </c>
      <c r="N1337" s="3" t="str">
        <f t="shared" si="145"/>
        <v/>
      </c>
    </row>
    <row r="1338" spans="1:19">
      <c r="A1338" s="3">
        <v>5980</v>
      </c>
      <c r="B1338" s="83">
        <f t="array" ref="B1338">SUM(--(FREQUENCY(IF(C$2:C$3074=C1338, MATCH(D$2:D$3074, D$2:D$3074, 0)), ROW(D$2:D$3074)-ROW(D$2)+1) &gt; 0))</f>
        <v>18</v>
      </c>
      <c r="C1338" s="3">
        <v>41200053</v>
      </c>
      <c r="D1338" s="6" t="s">
        <v>2919</v>
      </c>
      <c r="E1338" s="3" t="s">
        <v>1405</v>
      </c>
      <c r="F1338" s="3" t="s">
        <v>1616</v>
      </c>
      <c r="G1338" s="68" t="str">
        <f t="shared" si="144"/>
        <v>SINGLE</v>
      </c>
      <c r="H1338" s="197">
        <f t="shared" si="140"/>
        <v>37</v>
      </c>
      <c r="I1338" s="197">
        <v>9</v>
      </c>
      <c r="J1338" s="197">
        <v>11</v>
      </c>
      <c r="K1338" s="186">
        <f t="shared" si="141"/>
        <v>45911</v>
      </c>
      <c r="L1338" s="3" t="s">
        <v>2392</v>
      </c>
      <c r="M1338" s="3" t="s">
        <v>2392</v>
      </c>
      <c r="N1338" s="3" t="str">
        <f t="shared" si="145"/>
        <v/>
      </c>
    </row>
    <row r="1339" spans="1:19">
      <c r="A1339" s="3">
        <v>5912</v>
      </c>
      <c r="B1339" s="83">
        <f t="array" ref="B1339">SUM(--(FREQUENCY(IF(C$2:C$3074=C1339, MATCH(D$2:D$3074, D$2:D$3074, 0)), ROW(D$2:D$3074)-ROW(D$2)+1) &gt; 0))</f>
        <v>7</v>
      </c>
      <c r="C1339" s="3">
        <v>41200113</v>
      </c>
      <c r="D1339" s="6" t="s">
        <v>2920</v>
      </c>
      <c r="E1339" s="3" t="s">
        <v>1424</v>
      </c>
      <c r="F1339" s="3" t="s">
        <v>1476</v>
      </c>
      <c r="G1339" s="68" t="str">
        <f t="shared" si="144"/>
        <v>DUAL</v>
      </c>
      <c r="H1339" s="197">
        <f t="shared" si="140"/>
        <v>37</v>
      </c>
      <c r="I1339" s="197">
        <v>9</v>
      </c>
      <c r="J1339" s="197">
        <v>11</v>
      </c>
      <c r="K1339" s="186">
        <f t="shared" si="141"/>
        <v>45911</v>
      </c>
      <c r="L1339" s="3" t="s">
        <v>2395</v>
      </c>
      <c r="M1339" s="3" t="s">
        <v>1469</v>
      </c>
      <c r="N1339" s="3" t="str">
        <f t="shared" si="145"/>
        <v/>
      </c>
    </row>
    <row r="1340" spans="1:19">
      <c r="A1340" s="3">
        <v>5918</v>
      </c>
      <c r="B1340" s="83" t="e">
        <f t="array" ref="B1340">SUM(--(FREQUENCY(IF(C$2:C$3060=C1340, MATCH(D$2:D$3060, D$2:D$3060, 0)), ROW(D$2:D$3060)-ROW(D$2)+1) &gt; 0))</f>
        <v>#N/A</v>
      </c>
      <c r="D1340" s="6" t="s">
        <v>5200</v>
      </c>
      <c r="E1340" s="3" t="s">
        <v>1405</v>
      </c>
      <c r="F1340" s="3" t="s">
        <v>5173</v>
      </c>
      <c r="G1340" s="68" t="str">
        <f t="shared" si="144"/>
        <v>SINGLE</v>
      </c>
      <c r="H1340" s="197">
        <f t="shared" si="140"/>
        <v>37</v>
      </c>
      <c r="I1340" s="197">
        <v>9</v>
      </c>
      <c r="J1340" s="197">
        <v>11</v>
      </c>
      <c r="K1340" s="186">
        <f t="shared" si="141"/>
        <v>45911</v>
      </c>
      <c r="L1340" s="3" t="s">
        <v>2392</v>
      </c>
      <c r="M1340" s="3" t="s">
        <v>1468</v>
      </c>
      <c r="N1340" s="3" t="str">
        <f t="shared" si="145"/>
        <v/>
      </c>
    </row>
    <row r="1341" spans="1:19">
      <c r="A1341" s="3">
        <v>5918</v>
      </c>
      <c r="B1341" s="83" t="e">
        <f t="array" ref="B1341">SUM(--(FREQUENCY(IF(C$2:C$3060=C1341, MATCH(D$2:D$3060, D$2:D$3060, 0)), ROW(D$2:D$3060)-ROW(D$2)+1) &gt; 0))</f>
        <v>#N/A</v>
      </c>
      <c r="D1341" s="6" t="s">
        <v>5201</v>
      </c>
      <c r="E1341" s="3" t="s">
        <v>1405</v>
      </c>
      <c r="F1341" s="3" t="s">
        <v>5173</v>
      </c>
      <c r="G1341" s="68" t="str">
        <f t="shared" si="144"/>
        <v>SINGLE</v>
      </c>
      <c r="H1341" s="197">
        <f t="shared" si="140"/>
        <v>37</v>
      </c>
      <c r="I1341" s="197">
        <v>9</v>
      </c>
      <c r="J1341" s="197">
        <v>11</v>
      </c>
      <c r="K1341" s="186">
        <f t="shared" si="141"/>
        <v>45911</v>
      </c>
      <c r="L1341" s="3" t="s">
        <v>2392</v>
      </c>
      <c r="M1341" s="3" t="s">
        <v>1468</v>
      </c>
      <c r="N1341" s="3" t="str">
        <f t="shared" si="145"/>
        <v/>
      </c>
    </row>
    <row r="1342" spans="1:19">
      <c r="A1342" s="3">
        <v>5918</v>
      </c>
      <c r="B1342" s="83" t="e">
        <f t="array" ref="B1342">SUM(--(FREQUENCY(IF(C$2:C$3060=C1342, MATCH(D$2:D$3060, D$2:D$3060, 0)), ROW(D$2:D$3060)-ROW(D$2)+1) &gt; 0))</f>
        <v>#N/A</v>
      </c>
      <c r="D1342" s="6" t="s">
        <v>5202</v>
      </c>
      <c r="E1342" s="3" t="s">
        <v>1405</v>
      </c>
      <c r="F1342" s="3" t="s">
        <v>5173</v>
      </c>
      <c r="G1342" s="68" t="str">
        <f t="shared" si="144"/>
        <v>SINGLE</v>
      </c>
      <c r="H1342" s="197">
        <f t="shared" si="140"/>
        <v>37</v>
      </c>
      <c r="I1342" s="197">
        <v>9</v>
      </c>
      <c r="J1342" s="197">
        <v>11</v>
      </c>
      <c r="K1342" s="186">
        <f t="shared" si="141"/>
        <v>45911</v>
      </c>
      <c r="L1342" s="3" t="s">
        <v>2392</v>
      </c>
      <c r="M1342" s="3" t="s">
        <v>1468</v>
      </c>
      <c r="N1342" s="3" t="str">
        <f t="shared" si="145"/>
        <v/>
      </c>
    </row>
    <row r="1343" spans="1:19">
      <c r="A1343" s="3">
        <v>5918</v>
      </c>
      <c r="B1343" s="83" t="e">
        <f t="array" ref="B1343">SUM(--(FREQUENCY(IF(C$2:C$3060=C1343, MATCH(D$2:D$3060, D$2:D$3060, 0)), ROW(D$2:D$3060)-ROW(D$2)+1) &gt; 0))</f>
        <v>#N/A</v>
      </c>
      <c r="D1343" s="6" t="s">
        <v>5203</v>
      </c>
      <c r="E1343" s="3" t="s">
        <v>1405</v>
      </c>
      <c r="F1343" s="3" t="s">
        <v>5173</v>
      </c>
      <c r="G1343" s="68" t="str">
        <f t="shared" si="144"/>
        <v>SINGLE</v>
      </c>
      <c r="H1343" s="197">
        <f t="shared" si="140"/>
        <v>37</v>
      </c>
      <c r="I1343" s="197">
        <v>9</v>
      </c>
      <c r="J1343" s="197">
        <v>11</v>
      </c>
      <c r="K1343" s="186">
        <f t="shared" si="141"/>
        <v>45911</v>
      </c>
      <c r="L1343" s="3" t="s">
        <v>2392</v>
      </c>
      <c r="M1343" s="3" t="s">
        <v>1468</v>
      </c>
      <c r="N1343" s="3" t="str">
        <f t="shared" si="145"/>
        <v/>
      </c>
    </row>
    <row r="1344" spans="1:19">
      <c r="A1344" s="3">
        <v>6028</v>
      </c>
      <c r="B1344" s="83" t="e">
        <f t="array" ref="B1344">SUM(--(FREQUENCY(IF(C$2:C$3060=C1344, MATCH(D$2:D$3060, D$2:D$3060, 0)), ROW(D$2:D$3060)-ROW(D$2)+1) &gt; 0))</f>
        <v>#N/A</v>
      </c>
      <c r="D1344" s="6" t="s">
        <v>5204</v>
      </c>
      <c r="E1344" s="3" t="s">
        <v>1405</v>
      </c>
      <c r="F1344" s="3" t="s">
        <v>5173</v>
      </c>
      <c r="G1344" s="68" t="str">
        <f t="shared" si="144"/>
        <v>SINGLE</v>
      </c>
      <c r="H1344" s="197">
        <f t="shared" si="140"/>
        <v>37</v>
      </c>
      <c r="I1344" s="197">
        <v>9</v>
      </c>
      <c r="J1344" s="197">
        <v>11</v>
      </c>
      <c r="K1344" s="186">
        <f t="shared" si="141"/>
        <v>45911</v>
      </c>
      <c r="L1344" s="3" t="s">
        <v>2392</v>
      </c>
      <c r="M1344" s="3" t="s">
        <v>2392</v>
      </c>
      <c r="N1344" s="3" t="str">
        <f t="shared" si="145"/>
        <v/>
      </c>
    </row>
    <row r="1345" spans="1:19">
      <c r="A1345" s="3">
        <v>6028</v>
      </c>
      <c r="B1345" s="83" t="e">
        <f t="array" ref="B1345">SUM(--(FREQUENCY(IF(C$2:C$3060=C1345, MATCH(D$2:D$3060, D$2:D$3060, 0)), ROW(D$2:D$3060)-ROW(D$2)+1) &gt; 0))</f>
        <v>#N/A</v>
      </c>
      <c r="D1345" s="6" t="s">
        <v>5205</v>
      </c>
      <c r="E1345" s="3" t="s">
        <v>1405</v>
      </c>
      <c r="F1345" s="3" t="s">
        <v>5173</v>
      </c>
      <c r="G1345" s="68" t="str">
        <f t="shared" si="144"/>
        <v>SINGLE</v>
      </c>
      <c r="H1345" s="197">
        <f t="shared" si="140"/>
        <v>37</v>
      </c>
      <c r="I1345" s="197">
        <v>9</v>
      </c>
      <c r="J1345" s="197">
        <v>11</v>
      </c>
      <c r="K1345" s="186">
        <f t="shared" si="141"/>
        <v>45911</v>
      </c>
      <c r="L1345" s="3" t="s">
        <v>2392</v>
      </c>
      <c r="M1345" s="3" t="s">
        <v>2392</v>
      </c>
      <c r="N1345" s="3" t="str">
        <f t="shared" si="145"/>
        <v/>
      </c>
    </row>
    <row r="1346" spans="1:19">
      <c r="A1346" s="3">
        <v>6028</v>
      </c>
      <c r="B1346" s="83" t="e">
        <f t="array" ref="B1346">SUM(--(FREQUENCY(IF(C$2:C$3060=C1346, MATCH(D$2:D$3060, D$2:D$3060, 0)), ROW(D$2:D$3060)-ROW(D$2)+1) &gt; 0))</f>
        <v>#N/A</v>
      </c>
      <c r="D1346" s="6" t="s">
        <v>5206</v>
      </c>
      <c r="E1346" s="3" t="s">
        <v>1405</v>
      </c>
      <c r="F1346" s="3" t="s">
        <v>5173</v>
      </c>
      <c r="G1346" s="68" t="str">
        <f t="shared" si="144"/>
        <v>SINGLE</v>
      </c>
      <c r="H1346" s="197">
        <f t="shared" si="140"/>
        <v>37</v>
      </c>
      <c r="I1346" s="197">
        <v>9</v>
      </c>
      <c r="J1346" s="197">
        <v>11</v>
      </c>
      <c r="K1346" s="186">
        <f t="shared" si="141"/>
        <v>45911</v>
      </c>
      <c r="L1346" s="3" t="s">
        <v>2392</v>
      </c>
      <c r="M1346" s="3" t="s">
        <v>2392</v>
      </c>
      <c r="N1346" s="3" t="str">
        <f t="shared" si="145"/>
        <v/>
      </c>
    </row>
    <row r="1347" spans="1:19">
      <c r="A1347" s="3">
        <v>6028</v>
      </c>
      <c r="B1347" s="83" t="e">
        <f t="array" ref="B1347">SUM(--(FREQUENCY(IF(C$2:C$3060=C1347, MATCH(D$2:D$3060, D$2:D$3060, 0)), ROW(D$2:D$3060)-ROW(D$2)+1) &gt; 0))</f>
        <v>#N/A</v>
      </c>
      <c r="D1347" s="6" t="s">
        <v>5207</v>
      </c>
      <c r="E1347" s="3" t="s">
        <v>1405</v>
      </c>
      <c r="F1347" s="3" t="s">
        <v>5173</v>
      </c>
      <c r="G1347" s="68" t="str">
        <f t="shared" si="144"/>
        <v>SINGLE</v>
      </c>
      <c r="H1347" s="197">
        <f t="shared" si="140"/>
        <v>37</v>
      </c>
      <c r="I1347" s="197">
        <v>9</v>
      </c>
      <c r="J1347" s="197">
        <v>11</v>
      </c>
      <c r="K1347" s="186">
        <f t="shared" si="141"/>
        <v>45911</v>
      </c>
      <c r="L1347" s="3" t="s">
        <v>2392</v>
      </c>
      <c r="M1347" s="3" t="s">
        <v>2392</v>
      </c>
      <c r="N1347" s="3" t="str">
        <f t="shared" si="145"/>
        <v/>
      </c>
    </row>
    <row r="1348" spans="1:19">
      <c r="A1348" s="3">
        <v>6028</v>
      </c>
      <c r="B1348" s="83" t="e">
        <f t="array" ref="B1348">SUM(--(FREQUENCY(IF(C$2:C$3060=C1348, MATCH(D$2:D$3060, D$2:D$3060, 0)), ROW(D$2:D$3060)-ROW(D$2)+1) &gt; 0))</f>
        <v>#N/A</v>
      </c>
      <c r="D1348" s="6" t="s">
        <v>5208</v>
      </c>
      <c r="E1348" s="3" t="s">
        <v>1405</v>
      </c>
      <c r="F1348" s="3" t="s">
        <v>5173</v>
      </c>
      <c r="G1348" s="68" t="str">
        <f t="shared" si="144"/>
        <v>SINGLE</v>
      </c>
      <c r="H1348" s="197">
        <f t="shared" si="140"/>
        <v>37</v>
      </c>
      <c r="I1348" s="197">
        <v>9</v>
      </c>
      <c r="J1348" s="197">
        <v>11</v>
      </c>
      <c r="K1348" s="186">
        <f t="shared" si="141"/>
        <v>45911</v>
      </c>
      <c r="L1348" s="3" t="s">
        <v>2392</v>
      </c>
      <c r="M1348" s="3" t="s">
        <v>2392</v>
      </c>
      <c r="N1348" s="3" t="str">
        <f t="shared" si="145"/>
        <v/>
      </c>
    </row>
    <row r="1349" spans="1:19">
      <c r="A1349" s="3">
        <v>6002</v>
      </c>
      <c r="B1349" s="83">
        <f t="array" ref="B1349">SUM(--(FREQUENCY(IF(C$2:C$3074=C1349, MATCH(D$2:D$3074, D$2:D$3074, 0)), ROW(D$2:D$3074)-ROW(D$2)+1) &gt; 0))</f>
        <v>8</v>
      </c>
      <c r="C1349" s="3">
        <v>41200131</v>
      </c>
      <c r="D1349" s="6" t="s">
        <v>2921</v>
      </c>
      <c r="E1349" s="3" t="s">
        <v>1431</v>
      </c>
      <c r="F1349" s="3" t="s">
        <v>1476</v>
      </c>
      <c r="G1349" s="68" t="s">
        <v>2675</v>
      </c>
      <c r="H1349" s="197">
        <f t="shared" si="140"/>
        <v>37</v>
      </c>
      <c r="I1349" s="197">
        <v>9</v>
      </c>
      <c r="J1349" s="197">
        <v>12</v>
      </c>
      <c r="K1349" s="186">
        <f t="shared" si="141"/>
        <v>45912</v>
      </c>
      <c r="L1349" s="3" t="s">
        <v>2391</v>
      </c>
      <c r="M1349" s="3" t="s">
        <v>2392</v>
      </c>
      <c r="N1349" s="3" t="str">
        <f t="shared" si="145"/>
        <v/>
      </c>
    </row>
    <row r="1350" spans="1:19">
      <c r="A1350" s="3">
        <v>6041</v>
      </c>
      <c r="B1350" s="83">
        <f t="array" ref="B1350">SUM(--(FREQUENCY(IF(C$2:C$3074=C1350, MATCH(D$2:D$3074, D$2:D$3074, 0)), ROW(D$2:D$3074)-ROW(D$2)+1) &gt; 0))</f>
        <v>18</v>
      </c>
      <c r="C1350" s="3">
        <v>41200039</v>
      </c>
      <c r="D1350" s="6" t="s">
        <v>2923</v>
      </c>
      <c r="E1350" s="3" t="s">
        <v>1426</v>
      </c>
      <c r="F1350" s="3" t="s">
        <v>1476</v>
      </c>
      <c r="G1350" s="68" t="s">
        <v>2675</v>
      </c>
      <c r="H1350" s="197">
        <f t="shared" si="140"/>
        <v>37</v>
      </c>
      <c r="I1350" s="197">
        <v>9</v>
      </c>
      <c r="J1350" s="197">
        <v>12</v>
      </c>
      <c r="K1350" s="186">
        <f t="shared" si="141"/>
        <v>45912</v>
      </c>
      <c r="L1350" s="3" t="s">
        <v>2391</v>
      </c>
      <c r="M1350" s="3" t="s">
        <v>2392</v>
      </c>
      <c r="N1350" s="3" t="str">
        <f t="shared" si="145"/>
        <v/>
      </c>
    </row>
    <row r="1351" spans="1:19">
      <c r="A1351" s="3">
        <v>6001</v>
      </c>
      <c r="B1351" s="83">
        <f t="array" ref="B1351">SUM(--(FREQUENCY(IF(C$2:C$3074=C1350, MATCH(D$2:D$3074, D$2:D$3074, 0)), ROW(D$2:D$3074)-ROW(D$2)+1) &gt; 0))</f>
        <v>18</v>
      </c>
      <c r="C1351" s="3">
        <v>41200129</v>
      </c>
      <c r="D1351" s="6" t="s">
        <v>2925</v>
      </c>
      <c r="E1351" s="3" t="s">
        <v>1431</v>
      </c>
      <c r="F1351" s="3" t="s">
        <v>1591</v>
      </c>
      <c r="G1351" s="68" t="str">
        <f>IF(OR(ISNUMBER(SEARCH("DUAL",F1351)), ISNUMBER(SEARCH("IVAS",F1351))), "DUAL", "SINGLE")</f>
        <v>SINGLE</v>
      </c>
      <c r="H1351" s="197">
        <f t="shared" si="140"/>
        <v>37</v>
      </c>
      <c r="I1351" s="197">
        <v>9</v>
      </c>
      <c r="J1351" s="197">
        <v>12</v>
      </c>
      <c r="K1351" s="186">
        <f t="shared" si="141"/>
        <v>45912</v>
      </c>
      <c r="L1351" s="3" t="s">
        <v>2391</v>
      </c>
      <c r="M1351" s="3" t="s">
        <v>1468</v>
      </c>
      <c r="N1351" s="3" t="s">
        <v>2877</v>
      </c>
      <c r="O1351" s="3" t="s">
        <v>2368</v>
      </c>
      <c r="P1351" s="3" t="s">
        <v>5151</v>
      </c>
      <c r="Q1351" s="3">
        <v>11002283</v>
      </c>
      <c r="R1351" s="3" t="s">
        <v>932</v>
      </c>
      <c r="S1351" s="3" t="s">
        <v>5102</v>
      </c>
    </row>
    <row r="1352" spans="1:19">
      <c r="A1352" s="3">
        <v>5872</v>
      </c>
      <c r="B1352" s="83">
        <f t="array" ref="B1352">SUM(--(FREQUENCY(IF(C$2:C$3074=C1351, MATCH(D$2:D$3074, D$2:D$3074, 0)), ROW(D$2:D$3074)-ROW(D$2)+1) &gt; 0))</f>
        <v>14</v>
      </c>
      <c r="C1352" s="3">
        <v>41200122</v>
      </c>
      <c r="D1352" s="6" t="s">
        <v>2926</v>
      </c>
      <c r="E1352" s="3" t="s">
        <v>1585</v>
      </c>
      <c r="F1352" s="3" t="s">
        <v>1476</v>
      </c>
      <c r="G1352" s="68" t="s">
        <v>2675</v>
      </c>
      <c r="H1352" s="197">
        <f t="shared" si="140"/>
        <v>37</v>
      </c>
      <c r="I1352" s="197">
        <v>9</v>
      </c>
      <c r="J1352" s="197">
        <v>12</v>
      </c>
      <c r="K1352" s="186">
        <f t="shared" si="141"/>
        <v>45912</v>
      </c>
      <c r="L1352" s="3" t="s">
        <v>2391</v>
      </c>
      <c r="M1352" s="3" t="s">
        <v>1468</v>
      </c>
      <c r="N1352" s="3" t="str">
        <f>IF(O1352&lt;&gt;"", "NG", "")</f>
        <v/>
      </c>
    </row>
    <row r="1353" spans="1:19">
      <c r="A1353" s="3">
        <v>6100</v>
      </c>
      <c r="B1353" s="83">
        <f t="array" ref="B1353">SUM(--(FREQUENCY(IF(C$2:C$3074=C1353, MATCH(D$2:D$3074, D$2:D$3074, 0)), ROW(D$2:D$3074)-ROW(D$2)+1) &gt; 0))</f>
        <v>8</v>
      </c>
      <c r="C1353" s="3">
        <v>41200145</v>
      </c>
      <c r="D1353" s="6" t="s">
        <v>1802</v>
      </c>
      <c r="E1353" s="3" t="s">
        <v>1409</v>
      </c>
      <c r="F1353" s="3" t="s">
        <v>1479</v>
      </c>
      <c r="G1353" s="41" t="str">
        <f>IF(OR(ISNUMBER(SEARCH("DUAL",F1353)), ISNUMBER(SEARCH("IVAS",F1353))), "DUAL", "SINGLE")</f>
        <v>SINGLE</v>
      </c>
      <c r="H1353" s="197">
        <f t="shared" si="140"/>
        <v>37</v>
      </c>
      <c r="I1353" s="197">
        <v>9</v>
      </c>
      <c r="J1353" s="197">
        <v>12</v>
      </c>
      <c r="K1353" s="186">
        <f t="shared" si="141"/>
        <v>45912</v>
      </c>
      <c r="L1353" s="3" t="s">
        <v>2391</v>
      </c>
      <c r="M1353" s="3" t="s">
        <v>1468</v>
      </c>
      <c r="N1353" s="3" t="str">
        <f>IF(O1353&lt;&gt;"", "NG", "")</f>
        <v/>
      </c>
    </row>
    <row r="1354" spans="1:19">
      <c r="A1354" s="3">
        <v>6010</v>
      </c>
      <c r="B1354" s="83">
        <f t="array" ref="B1354">SUM(--(FREQUENCY(IF(C$2:C$3074=C1354, MATCH(D$2:D$3074, D$2:D$3074, 0)), ROW(D$2:D$3074)-ROW(D$2)+1) &gt; 0))</f>
        <v>6</v>
      </c>
      <c r="C1354" s="3">
        <v>41200136</v>
      </c>
      <c r="D1354" s="6" t="s">
        <v>2930</v>
      </c>
      <c r="E1354" s="3" t="s">
        <v>1431</v>
      </c>
      <c r="F1354" s="3" t="s">
        <v>1482</v>
      </c>
      <c r="G1354" s="41" t="str">
        <f>IF(OR(ISNUMBER(SEARCH("DUAL",F1354)), ISNUMBER(SEARCH("IVAS",F1354))), "DUAL", "SINGLE")</f>
        <v>SINGLE</v>
      </c>
      <c r="H1354" s="197">
        <f t="shared" si="140"/>
        <v>37</v>
      </c>
      <c r="I1354" s="197">
        <v>9</v>
      </c>
      <c r="J1354" s="197">
        <v>12</v>
      </c>
      <c r="K1354" s="186">
        <f t="shared" si="141"/>
        <v>45912</v>
      </c>
      <c r="L1354" s="3" t="s">
        <v>2395</v>
      </c>
      <c r="M1354" s="3" t="s">
        <v>1469</v>
      </c>
      <c r="N1354" s="3" t="s">
        <v>2877</v>
      </c>
      <c r="O1354" s="3" t="s">
        <v>2368</v>
      </c>
      <c r="P1354" s="3" t="s">
        <v>5151</v>
      </c>
      <c r="Q1354" s="3">
        <v>11002579</v>
      </c>
      <c r="R1354" s="3" t="s">
        <v>1343</v>
      </c>
      <c r="S1354" s="3" t="s">
        <v>5209</v>
      </c>
    </row>
    <row r="1355" spans="1:19">
      <c r="A1355" s="3">
        <v>6010</v>
      </c>
      <c r="B1355" s="83">
        <f t="array" ref="B1355">SUM(--(FREQUENCY(IF(C$2:C$3074=C1355, MATCH(D$2:D$3074, D$2:D$3074, 0)), ROW(D$2:D$3074)-ROW(D$2)+1) &gt; 0))</f>
        <v>6</v>
      </c>
      <c r="C1355" s="3">
        <v>41200136</v>
      </c>
      <c r="D1355" s="6" t="s">
        <v>2930</v>
      </c>
      <c r="E1355" s="3" t="s">
        <v>1431</v>
      </c>
      <c r="F1355" s="3" t="s">
        <v>1482</v>
      </c>
      <c r="G1355" s="41" t="str">
        <f>IF(OR(ISNUMBER(SEARCH("DUAL",F1355)), ISNUMBER(SEARCH("IVAS",F1355))), "DUAL", "SINGLE")</f>
        <v>SINGLE</v>
      </c>
      <c r="H1355" s="197">
        <f t="shared" si="140"/>
        <v>37</v>
      </c>
      <c r="I1355" s="197">
        <v>9</v>
      </c>
      <c r="J1355" s="197">
        <v>12</v>
      </c>
      <c r="K1355" s="186">
        <f t="shared" si="141"/>
        <v>45912</v>
      </c>
      <c r="L1355" s="3" t="s">
        <v>2395</v>
      </c>
      <c r="M1355" s="3" t="s">
        <v>1469</v>
      </c>
      <c r="N1355" s="3" t="s">
        <v>2877</v>
      </c>
      <c r="O1355" s="3" t="s">
        <v>2368</v>
      </c>
      <c r="P1355" s="3" t="s">
        <v>5151</v>
      </c>
      <c r="Q1355" s="3">
        <v>11002737</v>
      </c>
      <c r="R1355" s="3" t="s">
        <v>735</v>
      </c>
      <c r="S1355" s="3" t="s">
        <v>5210</v>
      </c>
    </row>
    <row r="1356" spans="1:19">
      <c r="A1356" s="3">
        <v>6037</v>
      </c>
      <c r="B1356" s="83">
        <f t="array" ref="B1356">SUM(--(FREQUENCY(IF(C$2:C$3074=C1356, MATCH(D$2:D$3074, D$2:D$3074, 0)), ROW(D$2:D$3074)-ROW(D$2)+1) &gt; 0))</f>
        <v>51</v>
      </c>
      <c r="C1356" s="3">
        <v>41200034</v>
      </c>
      <c r="D1356" s="6" t="s">
        <v>2931</v>
      </c>
      <c r="E1356" s="3" t="s">
        <v>1426</v>
      </c>
      <c r="F1356" s="3" t="s">
        <v>1476</v>
      </c>
      <c r="G1356" s="68" t="s">
        <v>2675</v>
      </c>
      <c r="H1356" s="197">
        <f t="shared" si="140"/>
        <v>37</v>
      </c>
      <c r="I1356" s="197">
        <v>9</v>
      </c>
      <c r="J1356" s="197">
        <v>12</v>
      </c>
      <c r="K1356" s="186">
        <f t="shared" si="141"/>
        <v>45912</v>
      </c>
      <c r="L1356" s="3" t="s">
        <v>2395</v>
      </c>
      <c r="M1356" s="3" t="s">
        <v>1469</v>
      </c>
      <c r="N1356" s="3" t="str">
        <f>IF(O1356&lt;&gt;"", "NG", "")</f>
        <v/>
      </c>
    </row>
    <row r="1357" spans="1:19">
      <c r="A1357" s="3">
        <v>6037</v>
      </c>
      <c r="B1357" s="83">
        <f t="array" ref="B1357">SUM(--(FREQUENCY(IF(C$2:C$3074=C1357, MATCH(D$2:D$3074, D$2:D$3074, 0)), ROW(D$2:D$3074)-ROW(D$2)+1) &gt; 0))</f>
        <v>51</v>
      </c>
      <c r="C1357" s="3">
        <v>41200034</v>
      </c>
      <c r="D1357" s="6" t="s">
        <v>2932</v>
      </c>
      <c r="E1357" s="3" t="s">
        <v>1426</v>
      </c>
      <c r="F1357" s="3" t="s">
        <v>1476</v>
      </c>
      <c r="G1357" s="68" t="s">
        <v>2675</v>
      </c>
      <c r="H1357" s="197">
        <f t="shared" si="140"/>
        <v>37</v>
      </c>
      <c r="I1357" s="197">
        <v>9</v>
      </c>
      <c r="J1357" s="197">
        <v>12</v>
      </c>
      <c r="K1357" s="186">
        <f t="shared" si="141"/>
        <v>45912</v>
      </c>
      <c r="L1357" s="3" t="s">
        <v>2395</v>
      </c>
      <c r="M1357" s="3" t="s">
        <v>1469</v>
      </c>
      <c r="N1357" s="3" t="str">
        <f>IF(O1357&lt;&gt;"", "NG", "")</f>
        <v/>
      </c>
    </row>
    <row r="1358" spans="1:19">
      <c r="A1358" s="3">
        <v>6002</v>
      </c>
      <c r="B1358" s="83">
        <f t="array" ref="B1358">SUM(--(FREQUENCY(IF(C$2:C$3074=C1358, MATCH(D$2:D$3074, D$2:D$3074, 0)), ROW(D$2:D$3074)-ROW(D$2)+1) &gt; 0))</f>
        <v>8</v>
      </c>
      <c r="C1358" s="3">
        <v>41200131</v>
      </c>
      <c r="D1358" s="6" t="s">
        <v>2933</v>
      </c>
      <c r="E1358" s="3" t="s">
        <v>1431</v>
      </c>
      <c r="F1358" s="3" t="s">
        <v>1476</v>
      </c>
      <c r="G1358" s="68" t="s">
        <v>2675</v>
      </c>
      <c r="H1358" s="197">
        <f t="shared" si="140"/>
        <v>38</v>
      </c>
      <c r="I1358" s="197">
        <v>9</v>
      </c>
      <c r="J1358" s="197">
        <v>15</v>
      </c>
      <c r="K1358" s="186">
        <f t="shared" si="141"/>
        <v>45915</v>
      </c>
      <c r="L1358" s="3" t="s">
        <v>2391</v>
      </c>
      <c r="M1358" s="3" t="s">
        <v>2392</v>
      </c>
      <c r="N1358" s="3" t="s">
        <v>2877</v>
      </c>
      <c r="O1358" s="3" t="s">
        <v>2368</v>
      </c>
      <c r="P1358" s="3" t="s">
        <v>5151</v>
      </c>
      <c r="Q1358" s="3">
        <v>11002283</v>
      </c>
      <c r="R1358" s="3" t="s">
        <v>932</v>
      </c>
      <c r="S1358" s="3" t="s">
        <v>5102</v>
      </c>
    </row>
    <row r="1359" spans="1:19">
      <c r="A1359" s="3">
        <v>5943</v>
      </c>
      <c r="B1359" s="83">
        <f t="array" ref="B1359">SUM(--(FREQUENCY(IF(C$2:C$3074=C1359, MATCH(D$2:D$3074, D$2:D$3074, 0)), ROW(D$2:D$3074)-ROW(D$2)+1) &gt; 0))</f>
        <v>32</v>
      </c>
      <c r="C1359" s="3">
        <v>41200127</v>
      </c>
      <c r="D1359" s="6" t="s">
        <v>2934</v>
      </c>
      <c r="E1359" s="3" t="s">
        <v>1431</v>
      </c>
      <c r="F1359" s="3" t="s">
        <v>1591</v>
      </c>
      <c r="G1359" s="68" t="str">
        <f>IF(OR(ISNUMBER(SEARCH("DUAL",F1359)), ISNUMBER(SEARCH("IVAS",F1359))), "DUAL", "SINGLE")</f>
        <v>SINGLE</v>
      </c>
      <c r="H1359" s="197">
        <f t="shared" si="140"/>
        <v>38</v>
      </c>
      <c r="I1359" s="197">
        <v>9</v>
      </c>
      <c r="J1359" s="197">
        <v>15</v>
      </c>
      <c r="K1359" s="186">
        <f t="shared" si="141"/>
        <v>45915</v>
      </c>
      <c r="L1359" s="3" t="s">
        <v>2395</v>
      </c>
      <c r="M1359" s="3" t="s">
        <v>2392</v>
      </c>
      <c r="N1359" s="3" t="str">
        <f>IF(O1359&lt;&gt;"", "NG", "")</f>
        <v/>
      </c>
    </row>
    <row r="1360" spans="1:19">
      <c r="A1360" s="3">
        <v>6018</v>
      </c>
      <c r="B1360" s="83">
        <f t="array" ref="B1360">SUM(--(FREQUENCY(IF(C$2:C$3074=C1360, MATCH(D$2:D$3074, D$2:D$3074, 0)), ROW(D$2:D$3074)-ROW(D$2)+1) &gt; 0))</f>
        <v>11</v>
      </c>
      <c r="C1360" s="3">
        <v>41200119</v>
      </c>
      <c r="D1360" s="6" t="s">
        <v>2935</v>
      </c>
      <c r="E1360" s="3" t="s">
        <v>1422</v>
      </c>
      <c r="F1360" s="3" t="s">
        <v>1476</v>
      </c>
      <c r="G1360" s="68" t="s">
        <v>2675</v>
      </c>
      <c r="H1360" s="197">
        <f t="shared" si="140"/>
        <v>38</v>
      </c>
      <c r="I1360" s="197">
        <v>9</v>
      </c>
      <c r="J1360" s="197">
        <v>15</v>
      </c>
      <c r="K1360" s="186">
        <f t="shared" si="141"/>
        <v>45915</v>
      </c>
      <c r="L1360" s="3" t="s">
        <v>2391</v>
      </c>
      <c r="M1360" s="3" t="s">
        <v>1468</v>
      </c>
      <c r="N1360" s="3" t="str">
        <f>IF(O1360&lt;&gt;"", "NG", "")</f>
        <v/>
      </c>
    </row>
    <row r="1361" spans="1:19">
      <c r="A1361" s="3">
        <v>6057</v>
      </c>
      <c r="B1361" s="83">
        <f t="array" ref="B1361">SUM(--(FREQUENCY(IF(C$2:C$3074=C1361, MATCH(D$2:D$3074, D$2:D$3074, 0)), ROW(D$2:D$3074)-ROW(D$2)+1) &gt; 0))</f>
        <v>20</v>
      </c>
      <c r="C1361" s="3">
        <v>41200125</v>
      </c>
      <c r="D1361" s="6" t="s">
        <v>2936</v>
      </c>
      <c r="E1361" s="3" t="s">
        <v>1585</v>
      </c>
      <c r="F1361" s="3" t="s">
        <v>1476</v>
      </c>
      <c r="G1361" s="41" t="s">
        <v>2675</v>
      </c>
      <c r="H1361" s="197">
        <f t="shared" si="140"/>
        <v>38</v>
      </c>
      <c r="I1361" s="197">
        <v>9</v>
      </c>
      <c r="J1361" s="197">
        <v>15</v>
      </c>
      <c r="K1361" s="186">
        <f t="shared" si="141"/>
        <v>45915</v>
      </c>
      <c r="L1361" s="3" t="s">
        <v>2395</v>
      </c>
      <c r="M1361" s="3" t="s">
        <v>1468</v>
      </c>
      <c r="N1361" s="3" t="s">
        <v>2877</v>
      </c>
      <c r="O1361" s="3" t="s">
        <v>2368</v>
      </c>
      <c r="P1361" s="3" t="s">
        <v>5151</v>
      </c>
      <c r="Q1361" s="3">
        <v>11002283</v>
      </c>
      <c r="R1361" s="3" t="s">
        <v>932</v>
      </c>
      <c r="S1361" s="3" t="s">
        <v>5102</v>
      </c>
    </row>
    <row r="1362" spans="1:19">
      <c r="A1362" s="3">
        <v>6057</v>
      </c>
      <c r="B1362" s="83">
        <f t="array" ref="B1362">SUM(--(FREQUENCY(IF(C$2:C$3074=C1362, MATCH(D$2:D$3074, D$2:D$3074, 0)), ROW(D$2:D$3074)-ROW(D$2)+1) &gt; 0))</f>
        <v>20</v>
      </c>
      <c r="C1362" s="3">
        <v>41200125</v>
      </c>
      <c r="D1362" s="6" t="s">
        <v>2936</v>
      </c>
      <c r="E1362" s="3" t="s">
        <v>1585</v>
      </c>
      <c r="F1362" s="3" t="s">
        <v>1476</v>
      </c>
      <c r="G1362" s="41" t="s">
        <v>2675</v>
      </c>
      <c r="H1362" s="197">
        <f t="shared" si="140"/>
        <v>38</v>
      </c>
      <c r="I1362" s="197">
        <v>9</v>
      </c>
      <c r="J1362" s="197">
        <v>15</v>
      </c>
      <c r="K1362" s="186">
        <f t="shared" si="141"/>
        <v>45915</v>
      </c>
      <c r="L1362" s="3" t="s">
        <v>2395</v>
      </c>
      <c r="M1362" s="3" t="s">
        <v>1468</v>
      </c>
      <c r="N1362" s="3" t="s">
        <v>2877</v>
      </c>
      <c r="O1362" s="3" t="s">
        <v>2368</v>
      </c>
      <c r="P1362" s="3" t="s">
        <v>5151</v>
      </c>
      <c r="Q1362" s="3">
        <v>11002283</v>
      </c>
      <c r="R1362" s="3" t="s">
        <v>932</v>
      </c>
      <c r="S1362" s="3" t="s">
        <v>5102</v>
      </c>
    </row>
    <row r="1363" spans="1:19">
      <c r="A1363" s="3">
        <v>6016</v>
      </c>
      <c r="B1363" s="83">
        <f t="array" ref="B1363">SUM(--(FREQUENCY(IF(C$2:C$3074=C1363, MATCH(D$2:D$3074, D$2:D$3074, 0)), ROW(D$2:D$3074)-ROW(D$2)+1) &gt; 0))</f>
        <v>2</v>
      </c>
      <c r="C1363" s="3">
        <v>41200169</v>
      </c>
      <c r="D1363" s="6" t="s">
        <v>2937</v>
      </c>
      <c r="E1363" s="3" t="s">
        <v>1408</v>
      </c>
      <c r="F1363" s="3" t="s">
        <v>1479</v>
      </c>
      <c r="G1363" s="68" t="str">
        <f>IF(OR(ISNUMBER(SEARCH("DUAL",F1363)), ISNUMBER(SEARCH("IVAS",F1363))), "DUAL", "SINGLE")</f>
        <v>SINGLE</v>
      </c>
      <c r="H1363" s="197">
        <f t="shared" si="140"/>
        <v>38</v>
      </c>
      <c r="I1363" s="197">
        <v>9</v>
      </c>
      <c r="J1363" s="197">
        <v>15</v>
      </c>
      <c r="K1363" s="186">
        <f t="shared" si="141"/>
        <v>45915</v>
      </c>
      <c r="L1363" s="3" t="s">
        <v>2395</v>
      </c>
      <c r="M1363" s="3" t="s">
        <v>1469</v>
      </c>
      <c r="N1363" s="3" t="str">
        <f>IF(O1363&lt;&gt;"", "NG", "")</f>
        <v/>
      </c>
    </row>
    <row r="1364" spans="1:19">
      <c r="A1364" s="3">
        <v>6016</v>
      </c>
      <c r="B1364" s="83">
        <f t="array" ref="B1364">SUM(--(FREQUENCY(IF(C$2:C$3074=C1364, MATCH(D$2:D$3074, D$2:D$3074, 0)), ROW(D$2:D$3074)-ROW(D$2)+1) &gt; 0))</f>
        <v>2</v>
      </c>
      <c r="C1364" s="3">
        <v>41200169</v>
      </c>
      <c r="D1364" s="6" t="s">
        <v>2938</v>
      </c>
      <c r="E1364" s="3" t="s">
        <v>1408</v>
      </c>
      <c r="F1364" s="3" t="s">
        <v>1479</v>
      </c>
      <c r="G1364" s="68" t="str">
        <f>IF(OR(ISNUMBER(SEARCH("DUAL",F1364)), ISNUMBER(SEARCH("IVAS",F1364))), "DUAL", "SINGLE")</f>
        <v>SINGLE</v>
      </c>
      <c r="H1364" s="197">
        <f t="shared" si="140"/>
        <v>38</v>
      </c>
      <c r="I1364" s="197">
        <v>9</v>
      </c>
      <c r="J1364" s="197">
        <v>15</v>
      </c>
      <c r="K1364" s="186">
        <f t="shared" si="141"/>
        <v>45915</v>
      </c>
      <c r="L1364" s="3" t="s">
        <v>2395</v>
      </c>
      <c r="M1364" s="3" t="s">
        <v>1469</v>
      </c>
      <c r="N1364" s="3" t="s">
        <v>2877</v>
      </c>
      <c r="O1364" s="3" t="s">
        <v>2368</v>
      </c>
      <c r="P1364" s="3" t="s">
        <v>5151</v>
      </c>
      <c r="Q1364" s="3">
        <v>11002119</v>
      </c>
      <c r="R1364" s="3" t="s">
        <v>932</v>
      </c>
      <c r="S1364" s="3" t="s">
        <v>5102</v>
      </c>
    </row>
    <row r="1365" spans="1:19">
      <c r="A1365" s="3">
        <v>5978</v>
      </c>
      <c r="B1365" s="83">
        <f t="array" ref="B1365">SUM(--(FREQUENCY(IF(C$2:C$3074=C1365, MATCH(D$2:D$3074, D$2:D$3074, 0)), ROW(D$2:D$3074)-ROW(D$2)+1) &gt; 0))</f>
        <v>26</v>
      </c>
      <c r="C1365" s="3">
        <v>41200074</v>
      </c>
      <c r="D1365" s="6" t="s">
        <v>2939</v>
      </c>
      <c r="E1365" s="3" t="s">
        <v>1405</v>
      </c>
      <c r="F1365" s="3" t="s">
        <v>1478</v>
      </c>
      <c r="G1365" s="41" t="s">
        <v>2675</v>
      </c>
      <c r="H1365" s="197">
        <f t="shared" si="140"/>
        <v>38</v>
      </c>
      <c r="I1365" s="197">
        <v>9</v>
      </c>
      <c r="J1365" s="197">
        <v>15</v>
      </c>
      <c r="K1365" s="186">
        <f t="shared" si="141"/>
        <v>45915</v>
      </c>
      <c r="L1365" s="3" t="s">
        <v>2395</v>
      </c>
      <c r="M1365" s="3" t="s">
        <v>1469</v>
      </c>
      <c r="N1365" s="3" t="s">
        <v>2877</v>
      </c>
      <c r="O1365" s="3" t="s">
        <v>2368</v>
      </c>
      <c r="P1365" s="3" t="s">
        <v>5098</v>
      </c>
      <c r="Q1365" s="3">
        <v>11100776</v>
      </c>
      <c r="R1365" s="3" t="s">
        <v>69</v>
      </c>
      <c r="S1365" s="3" t="s">
        <v>5211</v>
      </c>
    </row>
    <row r="1366" spans="1:19">
      <c r="A1366" s="3">
        <v>5978</v>
      </c>
      <c r="B1366" s="83">
        <f t="array" ref="B1366">SUM(--(FREQUENCY(IF(C$2:C$3074=C1366, MATCH(D$2:D$3074, D$2:D$3074, 0)), ROW(D$2:D$3074)-ROW(D$2)+1) &gt; 0))</f>
        <v>26</v>
      </c>
      <c r="C1366" s="3">
        <v>41200074</v>
      </c>
      <c r="D1366" s="6" t="s">
        <v>2939</v>
      </c>
      <c r="E1366" s="3" t="s">
        <v>1405</v>
      </c>
      <c r="F1366" s="3" t="s">
        <v>1478</v>
      </c>
      <c r="G1366" s="41" t="s">
        <v>2675</v>
      </c>
      <c r="H1366" s="197">
        <f t="shared" si="140"/>
        <v>38</v>
      </c>
      <c r="I1366" s="197">
        <v>9</v>
      </c>
      <c r="J1366" s="197">
        <v>15</v>
      </c>
      <c r="K1366" s="186">
        <f t="shared" si="141"/>
        <v>45915</v>
      </c>
      <c r="L1366" s="3" t="s">
        <v>2395</v>
      </c>
      <c r="M1366" s="3" t="s">
        <v>1469</v>
      </c>
      <c r="N1366" s="3" t="s">
        <v>2877</v>
      </c>
      <c r="O1366" s="3" t="s">
        <v>2368</v>
      </c>
      <c r="P1366" s="3" t="s">
        <v>2563</v>
      </c>
      <c r="Q1366" s="3">
        <v>11000172</v>
      </c>
      <c r="R1366" s="3" t="s">
        <v>1151</v>
      </c>
      <c r="S1366" s="3" t="s">
        <v>5212</v>
      </c>
    </row>
    <row r="1367" spans="1:19">
      <c r="A1367" s="3">
        <v>5978</v>
      </c>
      <c r="B1367" s="83">
        <f t="array" ref="B1367">SUM(--(FREQUENCY(IF(C$2:C$3074=C1367, MATCH(D$2:D$3074, D$2:D$3074, 0)), ROW(D$2:D$3074)-ROW(D$2)+1) &gt; 0))</f>
        <v>26</v>
      </c>
      <c r="C1367" s="3">
        <v>41200074</v>
      </c>
      <c r="D1367" s="6" t="s">
        <v>2940</v>
      </c>
      <c r="E1367" s="3" t="s">
        <v>1405</v>
      </c>
      <c r="F1367" s="3" t="s">
        <v>1478</v>
      </c>
      <c r="G1367" s="41" t="s">
        <v>2675</v>
      </c>
      <c r="H1367" s="197">
        <f t="shared" si="140"/>
        <v>38</v>
      </c>
      <c r="I1367" s="197">
        <v>9</v>
      </c>
      <c r="J1367" s="197">
        <v>15</v>
      </c>
      <c r="K1367" s="186">
        <f t="shared" si="141"/>
        <v>45915</v>
      </c>
      <c r="L1367" s="3" t="s">
        <v>2395</v>
      </c>
      <c r="M1367" s="3" t="s">
        <v>1469</v>
      </c>
      <c r="N1367" s="3" t="s">
        <v>2877</v>
      </c>
      <c r="O1367" s="3" t="s">
        <v>2368</v>
      </c>
      <c r="P1367" s="3" t="s">
        <v>5098</v>
      </c>
      <c r="Q1367" s="3">
        <v>11100776</v>
      </c>
      <c r="R1367" s="3" t="s">
        <v>69</v>
      </c>
      <c r="S1367" s="3" t="s">
        <v>5211</v>
      </c>
    </row>
    <row r="1368" spans="1:19">
      <c r="A1368" s="3">
        <v>5978</v>
      </c>
      <c r="B1368" s="83">
        <f t="array" ref="B1368">SUM(--(FREQUENCY(IF(C$2:C$3074=C1368, MATCH(D$2:D$3074, D$2:D$3074, 0)), ROW(D$2:D$3074)-ROW(D$2)+1) &gt; 0))</f>
        <v>26</v>
      </c>
      <c r="C1368" s="3">
        <v>41200074</v>
      </c>
      <c r="D1368" s="6" t="s">
        <v>2940</v>
      </c>
      <c r="E1368" s="3" t="s">
        <v>1405</v>
      </c>
      <c r="F1368" s="3" t="s">
        <v>1478</v>
      </c>
      <c r="G1368" s="41" t="s">
        <v>2675</v>
      </c>
      <c r="H1368" s="197">
        <f t="shared" si="140"/>
        <v>38</v>
      </c>
      <c r="I1368" s="197">
        <v>9</v>
      </c>
      <c r="J1368" s="197">
        <v>15</v>
      </c>
      <c r="K1368" s="186">
        <f t="shared" si="141"/>
        <v>45915</v>
      </c>
      <c r="L1368" s="3" t="s">
        <v>2395</v>
      </c>
      <c r="M1368" s="3" t="s">
        <v>1469</v>
      </c>
      <c r="N1368" s="3" t="s">
        <v>2877</v>
      </c>
      <c r="O1368" s="3" t="s">
        <v>2368</v>
      </c>
      <c r="P1368" s="3" t="s">
        <v>5151</v>
      </c>
      <c r="Q1368" s="3">
        <v>11002283</v>
      </c>
      <c r="R1368" s="3" t="s">
        <v>932</v>
      </c>
      <c r="S1368" s="3" t="s">
        <v>5102</v>
      </c>
    </row>
    <row r="1369" spans="1:19">
      <c r="A1369" s="3">
        <v>5913</v>
      </c>
      <c r="B1369" s="83">
        <f t="array" ref="B1369">SUM(--(FREQUENCY(IF(C$2:C$3074=C1369, MATCH(D$2:D$3074, D$2:D$3074, 0)), ROW(D$2:D$3074)-ROW(D$2)+1) &gt; 0))</f>
        <v>3</v>
      </c>
      <c r="C1369" s="3">
        <v>31102573</v>
      </c>
      <c r="D1369" s="6" t="s">
        <v>5213</v>
      </c>
      <c r="E1369" s="3" t="s">
        <v>1424</v>
      </c>
      <c r="F1369" s="3" t="s">
        <v>1427</v>
      </c>
      <c r="G1369" s="68" t="str">
        <f t="shared" ref="G1369:G1376" si="146">IF(OR(ISNUMBER(SEARCH("DUAL",F1369)), ISNUMBER(SEARCH("IVAS",F1369))), "DUAL", "SINGLE")</f>
        <v>SINGLE</v>
      </c>
      <c r="H1369" s="197">
        <f t="shared" si="140"/>
        <v>38</v>
      </c>
      <c r="I1369" s="197">
        <v>9</v>
      </c>
      <c r="J1369" s="197">
        <v>15</v>
      </c>
      <c r="K1369" s="186">
        <f t="shared" si="141"/>
        <v>45915</v>
      </c>
      <c r="L1369" s="3" t="s">
        <v>2395</v>
      </c>
      <c r="M1369" s="3" t="s">
        <v>1469</v>
      </c>
      <c r="N1369" s="3" t="str">
        <f>IF(O1369&lt;&gt;"", "NG", "")</f>
        <v/>
      </c>
    </row>
    <row r="1370" spans="1:19">
      <c r="A1370" s="3">
        <v>5913</v>
      </c>
      <c r="B1370" s="83">
        <f t="array" ref="B1370">SUM(--(FREQUENCY(IF(C$2:C$3074=C1370, MATCH(D$2:D$3074, D$2:D$3074, 0)), ROW(D$2:D$3074)-ROW(D$2)+1) &gt; 0))</f>
        <v>3</v>
      </c>
      <c r="C1370" s="3">
        <v>31102573</v>
      </c>
      <c r="D1370" s="6" t="s">
        <v>5214</v>
      </c>
      <c r="E1370" s="3" t="s">
        <v>1424</v>
      </c>
      <c r="F1370" s="3" t="s">
        <v>1427</v>
      </c>
      <c r="G1370" s="68" t="str">
        <f t="shared" si="146"/>
        <v>SINGLE</v>
      </c>
      <c r="H1370" s="197">
        <f t="shared" si="140"/>
        <v>38</v>
      </c>
      <c r="I1370" s="197">
        <v>9</v>
      </c>
      <c r="J1370" s="197">
        <v>15</v>
      </c>
      <c r="K1370" s="186">
        <f t="shared" si="141"/>
        <v>45915</v>
      </c>
      <c r="L1370" s="3" t="s">
        <v>2395</v>
      </c>
      <c r="M1370" s="3" t="s">
        <v>1469</v>
      </c>
      <c r="N1370" s="3" t="str">
        <f>IF(O1370&lt;&gt;"", "NG", "")</f>
        <v/>
      </c>
    </row>
    <row r="1371" spans="1:19">
      <c r="A1371" s="3">
        <v>5913</v>
      </c>
      <c r="B1371" s="83">
        <f t="array" ref="B1371">SUM(--(FREQUENCY(IF(C$2:C$3074=C1371, MATCH(D$2:D$3074, D$2:D$3074, 0)), ROW(D$2:D$3074)-ROW(D$2)+1) &gt; 0))</f>
        <v>3</v>
      </c>
      <c r="C1371" s="3">
        <v>31102573</v>
      </c>
      <c r="D1371" s="6" t="s">
        <v>5215</v>
      </c>
      <c r="E1371" s="3" t="s">
        <v>1424</v>
      </c>
      <c r="F1371" s="3" t="s">
        <v>1427</v>
      </c>
      <c r="G1371" s="68" t="str">
        <f t="shared" si="146"/>
        <v>SINGLE</v>
      </c>
      <c r="H1371" s="197">
        <f t="shared" si="140"/>
        <v>38</v>
      </c>
      <c r="I1371" s="197">
        <v>9</v>
      </c>
      <c r="J1371" s="197">
        <v>15</v>
      </c>
      <c r="K1371" s="186">
        <f t="shared" si="141"/>
        <v>45915</v>
      </c>
      <c r="L1371" s="3" t="s">
        <v>2395</v>
      </c>
      <c r="M1371" s="3" t="s">
        <v>1469</v>
      </c>
      <c r="N1371" s="3" t="str">
        <f>IF(O1371&lt;&gt;"", "NG", "")</f>
        <v/>
      </c>
    </row>
    <row r="1372" spans="1:19">
      <c r="A1372" s="3">
        <v>5876</v>
      </c>
      <c r="B1372" s="83">
        <f t="array" ref="B1372">SUM(--(FREQUENCY(IF(C$2:C$3074=C1372, MATCH(D$2:D$3074, D$2:D$3074, 0)), ROW(D$2:D$3074)-ROW(D$2)+1) &gt; 0))</f>
        <v>18</v>
      </c>
      <c r="C1372" s="3">
        <v>41100264</v>
      </c>
      <c r="D1372" s="6" t="s">
        <v>2941</v>
      </c>
      <c r="E1372" s="3" t="s">
        <v>1585</v>
      </c>
      <c r="F1372" s="3" t="s">
        <v>1591</v>
      </c>
      <c r="G1372" s="68" t="str">
        <f t="shared" si="146"/>
        <v>SINGLE</v>
      </c>
      <c r="H1372" s="197">
        <f t="shared" si="140"/>
        <v>38</v>
      </c>
      <c r="I1372" s="197">
        <v>9</v>
      </c>
      <c r="J1372" s="197">
        <v>16</v>
      </c>
      <c r="K1372" s="186">
        <f t="shared" si="141"/>
        <v>45916</v>
      </c>
      <c r="L1372" s="3" t="s">
        <v>2391</v>
      </c>
      <c r="M1372" s="3" t="s">
        <v>2392</v>
      </c>
      <c r="N1372" s="3" t="s">
        <v>2877</v>
      </c>
      <c r="O1372" s="3" t="s">
        <v>2368</v>
      </c>
      <c r="P1372" s="3" t="s">
        <v>1385</v>
      </c>
      <c r="Q1372" s="3">
        <v>11003664</v>
      </c>
      <c r="R1372" s="3" t="s">
        <v>255</v>
      </c>
      <c r="S1372" s="3" t="s">
        <v>5216</v>
      </c>
    </row>
    <row r="1373" spans="1:19">
      <c r="A1373" s="3">
        <v>5876</v>
      </c>
      <c r="B1373" s="83">
        <f t="array" ref="B1373">SUM(--(FREQUENCY(IF(C$2:C$3074=C1373, MATCH(D$2:D$3074, D$2:D$3074, 0)), ROW(D$2:D$3074)-ROW(D$2)+1) &gt; 0))</f>
        <v>18</v>
      </c>
      <c r="C1373" s="3">
        <v>41100264</v>
      </c>
      <c r="D1373" s="6" t="s">
        <v>2942</v>
      </c>
      <c r="E1373" s="3" t="s">
        <v>1585</v>
      </c>
      <c r="F1373" s="3" t="s">
        <v>1591</v>
      </c>
      <c r="G1373" s="68" t="str">
        <f t="shared" si="146"/>
        <v>SINGLE</v>
      </c>
      <c r="H1373" s="197">
        <f t="shared" si="140"/>
        <v>38</v>
      </c>
      <c r="I1373" s="197">
        <v>9</v>
      </c>
      <c r="J1373" s="197">
        <v>16</v>
      </c>
      <c r="K1373" s="186">
        <f t="shared" si="141"/>
        <v>45916</v>
      </c>
      <c r="L1373" s="3" t="s">
        <v>2391</v>
      </c>
      <c r="M1373" s="3" t="s">
        <v>2392</v>
      </c>
      <c r="N1373" s="3" t="str">
        <f>IF(O1373&lt;&gt;"", "NG", "")</f>
        <v/>
      </c>
    </row>
    <row r="1374" spans="1:19">
      <c r="A1374" s="3">
        <v>6100</v>
      </c>
      <c r="B1374" s="83">
        <f t="array" ref="B1374">SUM(--(FREQUENCY(IF(C$2:C$3074=C1374, MATCH(D$2:D$3074, D$2:D$3074, 0)), ROW(D$2:D$3074)-ROW(D$2)+1) &gt; 0))</f>
        <v>8</v>
      </c>
      <c r="C1374" s="3">
        <v>41200145</v>
      </c>
      <c r="D1374" s="6" t="s">
        <v>1869</v>
      </c>
      <c r="E1374" s="3" t="s">
        <v>1409</v>
      </c>
      <c r="F1374" s="3" t="s">
        <v>1479</v>
      </c>
      <c r="G1374" s="41" t="str">
        <f t="shared" si="146"/>
        <v>SINGLE</v>
      </c>
      <c r="H1374" s="197">
        <f t="shared" si="140"/>
        <v>38</v>
      </c>
      <c r="I1374" s="197">
        <v>9</v>
      </c>
      <c r="J1374" s="197">
        <v>16</v>
      </c>
      <c r="K1374" s="186">
        <f t="shared" si="141"/>
        <v>45916</v>
      </c>
      <c r="L1374" s="3" t="s">
        <v>2391</v>
      </c>
      <c r="M1374" s="3" t="s">
        <v>1468</v>
      </c>
      <c r="N1374" s="3" t="s">
        <v>2877</v>
      </c>
      <c r="O1374" s="3" t="s">
        <v>2368</v>
      </c>
      <c r="P1374" s="3" t="s">
        <v>5151</v>
      </c>
      <c r="Q1374" s="3">
        <v>11200358</v>
      </c>
      <c r="R1374" s="3" t="s">
        <v>5217</v>
      </c>
      <c r="S1374" s="3" t="s">
        <v>5218</v>
      </c>
    </row>
    <row r="1375" spans="1:19">
      <c r="A1375" s="3">
        <v>6100</v>
      </c>
      <c r="B1375" s="83">
        <f t="array" ref="B1375">SUM(--(FREQUENCY(IF(C$2:C$3074=C1375, MATCH(D$2:D$3074, D$2:D$3074, 0)), ROW(D$2:D$3074)-ROW(D$2)+1) &gt; 0))</f>
        <v>8</v>
      </c>
      <c r="C1375" s="3">
        <v>41200145</v>
      </c>
      <c r="D1375" s="6" t="s">
        <v>1870</v>
      </c>
      <c r="E1375" s="3" t="s">
        <v>1409</v>
      </c>
      <c r="F1375" s="3" t="s">
        <v>1479</v>
      </c>
      <c r="G1375" s="41" t="str">
        <f t="shared" si="146"/>
        <v>SINGLE</v>
      </c>
      <c r="H1375" s="197">
        <f t="shared" ref="H1375:H1379" si="147">WEEKNUM(K1375)</f>
        <v>38</v>
      </c>
      <c r="I1375" s="197">
        <v>9</v>
      </c>
      <c r="J1375" s="197">
        <v>16</v>
      </c>
      <c r="K1375" s="186">
        <f t="shared" ref="K1375:K1379" si="148">DATE(2025, I1375, J1375)</f>
        <v>45916</v>
      </c>
      <c r="L1375" s="3" t="s">
        <v>2391</v>
      </c>
      <c r="M1375" s="3" t="s">
        <v>1468</v>
      </c>
      <c r="N1375" s="3" t="str">
        <f>IF(O1375&lt;&gt;"", "NG", "")</f>
        <v/>
      </c>
    </row>
    <row r="1376" spans="1:19">
      <c r="A1376" s="3">
        <v>6004</v>
      </c>
      <c r="B1376" s="83">
        <f t="array" ref="B1376">SUM(--(FREQUENCY(IF(C$2:C$3074=C1376, MATCH(D$2:D$3074, D$2:D$3074, 0)), ROW(D$2:D$3074)-ROW(D$2)+1) &gt; 0))</f>
        <v>25</v>
      </c>
      <c r="C1376" s="3">
        <v>41200128</v>
      </c>
      <c r="D1376" s="6" t="s">
        <v>2943</v>
      </c>
      <c r="E1376" s="3" t="s">
        <v>1431</v>
      </c>
      <c r="F1376" s="3" t="s">
        <v>1591</v>
      </c>
      <c r="G1376" s="68" t="str">
        <f t="shared" si="146"/>
        <v>SINGLE</v>
      </c>
      <c r="H1376" s="197">
        <f t="shared" si="147"/>
        <v>38</v>
      </c>
      <c r="I1376" s="197">
        <v>9</v>
      </c>
      <c r="J1376" s="197">
        <v>16</v>
      </c>
      <c r="K1376" s="186">
        <f t="shared" si="148"/>
        <v>45916</v>
      </c>
      <c r="L1376" s="3" t="s">
        <v>2395</v>
      </c>
      <c r="M1376" s="3" t="s">
        <v>1469</v>
      </c>
      <c r="N1376" s="3" t="s">
        <v>2877</v>
      </c>
      <c r="O1376" s="3" t="s">
        <v>2368</v>
      </c>
      <c r="P1376" s="3" t="s">
        <v>5092</v>
      </c>
      <c r="Q1376" s="3">
        <v>11000125</v>
      </c>
      <c r="R1376" s="3" t="s">
        <v>562</v>
      </c>
      <c r="S1376" s="3" t="s">
        <v>5219</v>
      </c>
    </row>
    <row r="1377" spans="1:19">
      <c r="A1377" s="3">
        <v>4299</v>
      </c>
      <c r="B1377" s="83">
        <f t="array" ref="B1377">SUM(--(FREQUENCY(IF(C$2:C$3074=C1377, MATCH(D$2:D$3074, D$2:D$3074, 0)), ROW(D$2:D$3074)-ROW(D$2)+1) &gt; 0))</f>
        <v>1</v>
      </c>
      <c r="C1377" s="3">
        <v>41100548</v>
      </c>
      <c r="D1377" s="6" t="s">
        <v>5220</v>
      </c>
      <c r="E1377" s="3" t="s">
        <v>1392</v>
      </c>
      <c r="F1377" s="3" t="s">
        <v>1393</v>
      </c>
      <c r="G1377" s="68" t="s">
        <v>2675</v>
      </c>
      <c r="H1377" s="197">
        <f t="shared" si="147"/>
        <v>38</v>
      </c>
      <c r="I1377" s="197">
        <v>9</v>
      </c>
      <c r="J1377" s="197">
        <v>16</v>
      </c>
      <c r="K1377" s="186">
        <f t="shared" si="148"/>
        <v>45916</v>
      </c>
      <c r="L1377" s="3" t="s">
        <v>2395</v>
      </c>
      <c r="M1377" s="3" t="s">
        <v>1469</v>
      </c>
      <c r="N1377" s="3" t="str">
        <f t="shared" ref="N1377:N1386" si="149">IF(O1377&lt;&gt;"", "NG", "")</f>
        <v/>
      </c>
    </row>
    <row r="1378" spans="1:19">
      <c r="A1378" s="3">
        <v>6005</v>
      </c>
      <c r="B1378" s="83">
        <f t="array" ref="B1378">SUM(--(FREQUENCY(IF(C$2:C$3074=C1378, MATCH(D$2:D$3074, D$2:D$3074, 0)), ROW(D$2:D$3074)-ROW(D$2)+1) &gt; 0))</f>
        <v>32</v>
      </c>
      <c r="C1378" s="3">
        <v>41200127</v>
      </c>
      <c r="D1378" s="6" t="s">
        <v>2948</v>
      </c>
      <c r="E1378" s="3" t="s">
        <v>1431</v>
      </c>
      <c r="F1378" s="3" t="s">
        <v>1591</v>
      </c>
      <c r="G1378" s="68" t="str">
        <f t="shared" ref="G1378:G1409" si="150">IF(OR(ISNUMBER(SEARCH("DUAL",F1378)), ISNUMBER(SEARCH("IVAS",F1378))), "DUAL", "SINGLE")</f>
        <v>SINGLE</v>
      </c>
      <c r="H1378" s="197">
        <f t="shared" si="147"/>
        <v>38</v>
      </c>
      <c r="I1378" s="197">
        <v>9</v>
      </c>
      <c r="J1378" s="197">
        <v>16</v>
      </c>
      <c r="K1378" s="186">
        <f t="shared" si="148"/>
        <v>45916</v>
      </c>
      <c r="L1378" s="3" t="s">
        <v>2395</v>
      </c>
      <c r="M1378" s="3" t="s">
        <v>1469</v>
      </c>
      <c r="N1378" s="3" t="str">
        <f t="shared" si="149"/>
        <v/>
      </c>
    </row>
    <row r="1379" spans="1:19">
      <c r="A1379" s="3">
        <v>5799</v>
      </c>
      <c r="B1379" s="83">
        <f t="array" ref="B1379">SUM(--(FREQUENCY(IF(C$2:C$3074=C1379, MATCH(D$2:D$3074, D$2:D$3074, 0)), ROW(D$2:D$3074)-ROW(D$2)+1) &gt; 0))</f>
        <v>4</v>
      </c>
      <c r="C1379" s="3">
        <v>41100227</v>
      </c>
      <c r="D1379" s="6" t="s">
        <v>2949</v>
      </c>
      <c r="E1379" s="3" t="s">
        <v>1424</v>
      </c>
      <c r="F1379" s="3" t="s">
        <v>1476</v>
      </c>
      <c r="G1379" s="41" t="str">
        <f t="shared" si="150"/>
        <v>DUAL</v>
      </c>
      <c r="H1379" s="197">
        <f t="shared" si="147"/>
        <v>38</v>
      </c>
      <c r="I1379" s="197">
        <v>9</v>
      </c>
      <c r="J1379" s="197">
        <v>17</v>
      </c>
      <c r="K1379" s="186">
        <f t="shared" si="148"/>
        <v>45917</v>
      </c>
      <c r="L1379" s="3" t="s">
        <v>2395</v>
      </c>
      <c r="M1379" s="3" t="s">
        <v>2392</v>
      </c>
      <c r="N1379" s="3" t="str">
        <f t="shared" si="149"/>
        <v>NG</v>
      </c>
      <c r="O1379" s="3" t="s">
        <v>2368</v>
      </c>
      <c r="P1379" s="3" t="s">
        <v>2508</v>
      </c>
      <c r="Q1379" s="3">
        <v>11200217</v>
      </c>
      <c r="R1379" s="3" t="s">
        <v>2509</v>
      </c>
      <c r="S1379" s="3" t="s">
        <v>5221</v>
      </c>
    </row>
    <row r="1380" spans="1:19">
      <c r="A1380" s="3">
        <v>5799</v>
      </c>
      <c r="B1380" s="83">
        <f t="array" ref="B1380">SUM(--(FREQUENCY(IF(C$2:C$3074=C1380, MATCH(D$2:D$3074, D$2:D$3074, 0)), ROW(D$2:D$3074)-ROW(D$2)+1) &gt; 0))</f>
        <v>4</v>
      </c>
      <c r="C1380" s="3">
        <v>41100227</v>
      </c>
      <c r="D1380" s="6" t="s">
        <v>2949</v>
      </c>
      <c r="E1380" s="3" t="s">
        <v>1424</v>
      </c>
      <c r="F1380" s="3" t="s">
        <v>1476</v>
      </c>
      <c r="G1380" s="41" t="str">
        <f t="shared" si="150"/>
        <v>DUAL</v>
      </c>
      <c r="H1380" s="197">
        <f t="shared" ref="H1380" si="151">WEEKNUM(K1380)</f>
        <v>38</v>
      </c>
      <c r="I1380" s="197">
        <v>9</v>
      </c>
      <c r="J1380" s="197">
        <v>17</v>
      </c>
      <c r="K1380" s="186">
        <f t="shared" ref="K1380" si="152">DATE(2025, I1380, J1380)</f>
        <v>45917</v>
      </c>
      <c r="L1380" s="3" t="s">
        <v>2395</v>
      </c>
      <c r="M1380" s="3" t="s">
        <v>2392</v>
      </c>
      <c r="N1380" s="3" t="str">
        <f t="shared" si="149"/>
        <v>NG</v>
      </c>
      <c r="O1380" s="3" t="s">
        <v>2368</v>
      </c>
      <c r="P1380" s="3" t="s">
        <v>5092</v>
      </c>
      <c r="Q1380" s="3">
        <v>13001369</v>
      </c>
      <c r="R1380" s="3" t="s">
        <v>651</v>
      </c>
      <c r="S1380" s="3" t="s">
        <v>5222</v>
      </c>
    </row>
    <row r="1381" spans="1:19">
      <c r="A1381" s="3">
        <v>5855</v>
      </c>
      <c r="B1381" s="83">
        <f t="array" ref="B1381">SUM(--(FREQUENCY(IF(C$2:C$3074=C1381, MATCH(D$2:D$3074, D$2:D$3074, 0)), ROW(D$2:D$3074)-ROW(D$2)+1) &gt; 0))</f>
        <v>32</v>
      </c>
      <c r="C1381" s="3">
        <v>41200122</v>
      </c>
      <c r="D1381" s="6" t="s">
        <v>2957</v>
      </c>
      <c r="E1381" s="3" t="s">
        <v>1585</v>
      </c>
      <c r="F1381" s="3" t="s">
        <v>1476</v>
      </c>
      <c r="G1381" s="41" t="str">
        <f t="shared" si="150"/>
        <v>DUAL</v>
      </c>
      <c r="H1381" s="197">
        <f t="shared" ref="H1381:H1387" si="153">WEEKNUM(K1381)</f>
        <v>38</v>
      </c>
      <c r="I1381" s="197">
        <v>9</v>
      </c>
      <c r="J1381" s="197">
        <v>17</v>
      </c>
      <c r="K1381" s="186">
        <f t="shared" ref="K1381:K1387" si="154">DATE(2025, I1381, J1381)</f>
        <v>45917</v>
      </c>
      <c r="L1381" s="3" t="s">
        <v>2395</v>
      </c>
      <c r="M1381" s="3" t="s">
        <v>1468</v>
      </c>
      <c r="N1381" s="3" t="str">
        <f t="shared" si="149"/>
        <v>NG</v>
      </c>
      <c r="O1381" s="3" t="s">
        <v>2368</v>
      </c>
      <c r="P1381" s="3" t="s">
        <v>2376</v>
      </c>
      <c r="Q1381" s="3">
        <v>11000290</v>
      </c>
      <c r="R1381" s="3" t="s">
        <v>473</v>
      </c>
      <c r="S1381" s="3" t="s">
        <v>5223</v>
      </c>
    </row>
    <row r="1382" spans="1:19">
      <c r="A1382" s="3">
        <v>5855</v>
      </c>
      <c r="B1382" s="83">
        <f t="array" ref="B1382">SUM(--(FREQUENCY(IF(C$2:C$3074=C1382, MATCH(D$2:D$3074, D$2:D$3074, 0)), ROW(D$2:D$3074)-ROW(D$2)+1) &gt; 0))</f>
        <v>32</v>
      </c>
      <c r="C1382" s="3">
        <v>41200122</v>
      </c>
      <c r="D1382" s="6" t="s">
        <v>2957</v>
      </c>
      <c r="E1382" s="3" t="s">
        <v>1585</v>
      </c>
      <c r="F1382" s="3" t="s">
        <v>1476</v>
      </c>
      <c r="G1382" s="41" t="str">
        <f t="shared" si="150"/>
        <v>DUAL</v>
      </c>
      <c r="H1382" s="197">
        <f t="shared" ref="H1382" si="155">WEEKNUM(K1382)</f>
        <v>38</v>
      </c>
      <c r="I1382" s="197">
        <v>9</v>
      </c>
      <c r="J1382" s="197">
        <v>17</v>
      </c>
      <c r="K1382" s="186">
        <f t="shared" ref="K1382" si="156">DATE(2025, I1382, J1382)</f>
        <v>45917</v>
      </c>
      <c r="L1382" s="3" t="s">
        <v>2395</v>
      </c>
      <c r="M1382" s="3" t="s">
        <v>1468</v>
      </c>
      <c r="N1382" s="3" t="str">
        <f t="shared" si="149"/>
        <v>NG</v>
      </c>
      <c r="O1382" s="3" t="s">
        <v>2368</v>
      </c>
      <c r="P1382" s="3" t="s">
        <v>5151</v>
      </c>
      <c r="Q1382" s="3">
        <v>11002283</v>
      </c>
      <c r="R1382" s="3" t="s">
        <v>932</v>
      </c>
      <c r="S1382" s="3" t="s">
        <v>5102</v>
      </c>
    </row>
    <row r="1383" spans="1:19">
      <c r="A1383" s="3">
        <v>5855</v>
      </c>
      <c r="B1383" s="83">
        <f t="array" ref="B1383">SUM(--(FREQUENCY(IF(C$2:C$3074=C1383, MATCH(D$2:D$3074, D$2:D$3074, 0)), ROW(D$2:D$3074)-ROW(D$2)+1) &gt; 0))</f>
        <v>32</v>
      </c>
      <c r="C1383" s="3">
        <v>41200122</v>
      </c>
      <c r="D1383" s="6" t="s">
        <v>2957</v>
      </c>
      <c r="E1383" s="3" t="s">
        <v>1585</v>
      </c>
      <c r="F1383" s="3" t="s">
        <v>1476</v>
      </c>
      <c r="G1383" s="41" t="str">
        <f t="shared" si="150"/>
        <v>DUAL</v>
      </c>
      <c r="H1383" s="197">
        <f t="shared" ref="H1383" si="157">WEEKNUM(K1383)</f>
        <v>38</v>
      </c>
      <c r="I1383" s="197">
        <v>9</v>
      </c>
      <c r="J1383" s="197">
        <v>17</v>
      </c>
      <c r="K1383" s="186">
        <f t="shared" ref="K1383" si="158">DATE(2025, I1383, J1383)</f>
        <v>45917</v>
      </c>
      <c r="L1383" s="3" t="s">
        <v>2395</v>
      </c>
      <c r="M1383" s="3" t="s">
        <v>1468</v>
      </c>
      <c r="N1383" s="3" t="str">
        <f t="shared" si="149"/>
        <v>NG</v>
      </c>
      <c r="O1383" s="3" t="s">
        <v>2368</v>
      </c>
      <c r="P1383" s="3" t="s">
        <v>1385</v>
      </c>
      <c r="Q1383" s="3">
        <v>11000124</v>
      </c>
      <c r="R1383" s="3" t="s">
        <v>1049</v>
      </c>
      <c r="S1383" s="3" t="s">
        <v>5224</v>
      </c>
    </row>
    <row r="1384" spans="1:19">
      <c r="A1384" s="3">
        <v>6021</v>
      </c>
      <c r="B1384" s="83">
        <f t="array" ref="B1384">SUM(--(FREQUENCY(IF(C$2:C$3074=C1384, MATCH(D$2:D$3074, D$2:D$3074, 0)), ROW(D$2:D$3074)-ROW(D$2)+1) &gt; 0))</f>
        <v>3</v>
      </c>
      <c r="C1384" s="3">
        <v>41200134</v>
      </c>
      <c r="D1384" s="6" t="s">
        <v>2958</v>
      </c>
      <c r="E1384" s="3" t="s">
        <v>1429</v>
      </c>
      <c r="F1384" s="3" t="s">
        <v>1476</v>
      </c>
      <c r="G1384" s="68" t="str">
        <f t="shared" si="150"/>
        <v>DUAL</v>
      </c>
      <c r="H1384" s="197">
        <f t="shared" si="153"/>
        <v>38</v>
      </c>
      <c r="I1384" s="197">
        <v>9</v>
      </c>
      <c r="J1384" s="197">
        <v>17</v>
      </c>
      <c r="K1384" s="186">
        <f t="shared" si="154"/>
        <v>45917</v>
      </c>
      <c r="L1384" s="3" t="s">
        <v>2395</v>
      </c>
      <c r="M1384" s="3" t="s">
        <v>1468</v>
      </c>
      <c r="N1384" s="3" t="str">
        <f t="shared" si="149"/>
        <v/>
      </c>
    </row>
    <row r="1385" spans="1:19">
      <c r="A1385" s="3">
        <v>6005</v>
      </c>
      <c r="B1385" s="83">
        <f t="array" ref="B1385">SUM(--(FREQUENCY(IF(C$2:C$3074=C1385, MATCH(D$2:D$3074, D$2:D$3074, 0)), ROW(D$2:D$3074)-ROW(D$2)+1) &gt; 0))</f>
        <v>32</v>
      </c>
      <c r="C1385" s="3">
        <v>41200127</v>
      </c>
      <c r="D1385" s="6" t="s">
        <v>2959</v>
      </c>
      <c r="E1385" s="3" t="s">
        <v>1431</v>
      </c>
      <c r="F1385" s="3" t="s">
        <v>1591</v>
      </c>
      <c r="G1385" s="68" t="str">
        <f t="shared" si="150"/>
        <v>SINGLE</v>
      </c>
      <c r="H1385" s="197">
        <f t="shared" si="153"/>
        <v>38</v>
      </c>
      <c r="I1385" s="197">
        <v>9</v>
      </c>
      <c r="J1385" s="197">
        <v>17</v>
      </c>
      <c r="K1385" s="186">
        <f t="shared" si="154"/>
        <v>45917</v>
      </c>
      <c r="L1385" s="3" t="s">
        <v>2395</v>
      </c>
      <c r="M1385" s="3" t="s">
        <v>1469</v>
      </c>
      <c r="N1385" s="3" t="str">
        <f t="shared" si="149"/>
        <v/>
      </c>
    </row>
    <row r="1386" spans="1:19">
      <c r="A1386" s="3">
        <v>6005</v>
      </c>
      <c r="B1386" s="83">
        <f t="array" ref="B1386">SUM(--(FREQUENCY(IF(C$2:C$3074=C1386, MATCH(D$2:D$3074, D$2:D$3074, 0)), ROW(D$2:D$3074)-ROW(D$2)+1) &gt; 0))</f>
        <v>32</v>
      </c>
      <c r="C1386" s="3">
        <v>41200127</v>
      </c>
      <c r="D1386" s="6" t="s">
        <v>2960</v>
      </c>
      <c r="E1386" s="3" t="s">
        <v>1431</v>
      </c>
      <c r="F1386" s="3" t="s">
        <v>1591</v>
      </c>
      <c r="G1386" s="68" t="str">
        <f t="shared" si="150"/>
        <v>SINGLE</v>
      </c>
      <c r="H1386" s="197">
        <f t="shared" si="153"/>
        <v>38</v>
      </c>
      <c r="I1386" s="197">
        <v>9</v>
      </c>
      <c r="J1386" s="197">
        <v>17</v>
      </c>
      <c r="K1386" s="186">
        <f t="shared" si="154"/>
        <v>45917</v>
      </c>
      <c r="L1386" s="3" t="s">
        <v>2395</v>
      </c>
      <c r="M1386" s="3" t="s">
        <v>1469</v>
      </c>
      <c r="N1386" s="3" t="str">
        <f t="shared" si="149"/>
        <v/>
      </c>
    </row>
    <row r="1387" spans="1:19">
      <c r="A1387" s="3">
        <v>6006</v>
      </c>
      <c r="B1387" s="83">
        <f t="array" ref="B1387">SUM(--(FREQUENCY(IF(C$2:C$3074=C1387, MATCH(D$2:D$3074, D$2:D$3074, 0)), ROW(D$2:D$3074)-ROW(D$2)+1) &gt; 0))</f>
        <v>102</v>
      </c>
      <c r="C1387" s="3">
        <v>41200006</v>
      </c>
      <c r="D1387" s="6" t="s">
        <v>2961</v>
      </c>
      <c r="E1387" s="3" t="s">
        <v>1405</v>
      </c>
      <c r="F1387" s="3" t="s">
        <v>1477</v>
      </c>
      <c r="G1387" s="68" t="str">
        <f t="shared" si="150"/>
        <v>SINGLE</v>
      </c>
      <c r="H1387" s="197">
        <f t="shared" si="153"/>
        <v>38</v>
      </c>
      <c r="I1387" s="197">
        <v>9</v>
      </c>
      <c r="J1387" s="197">
        <v>18</v>
      </c>
      <c r="K1387" s="186">
        <f t="shared" si="154"/>
        <v>45918</v>
      </c>
      <c r="L1387" s="3" t="s">
        <v>2391</v>
      </c>
      <c r="M1387" s="3" t="s">
        <v>2392</v>
      </c>
    </row>
    <row r="1388" spans="1:19">
      <c r="A1388" s="3">
        <v>6006</v>
      </c>
      <c r="B1388" s="83">
        <f t="array" ref="B1388">SUM(--(FREQUENCY(IF(C$2:C$3074=C1388, MATCH(D$2:D$3074, D$2:D$3074, 0)), ROW(D$2:D$3074)-ROW(D$2)+1) &gt; 0))</f>
        <v>102</v>
      </c>
      <c r="C1388" s="3">
        <v>41200006</v>
      </c>
      <c r="D1388" s="6" t="s">
        <v>2964</v>
      </c>
      <c r="E1388" s="3" t="s">
        <v>1405</v>
      </c>
      <c r="F1388" s="3" t="s">
        <v>1477</v>
      </c>
      <c r="G1388" s="68" t="str">
        <f t="shared" si="150"/>
        <v>SINGLE</v>
      </c>
      <c r="H1388" s="197">
        <f t="shared" ref="H1388:H1394" si="159">WEEKNUM(K1388)</f>
        <v>38</v>
      </c>
      <c r="I1388" s="197">
        <v>9</v>
      </c>
      <c r="J1388" s="197">
        <v>18</v>
      </c>
      <c r="K1388" s="186">
        <f t="shared" ref="K1388:K1394" si="160">DATE(2025, I1388, J1388)</f>
        <v>45918</v>
      </c>
      <c r="L1388" s="3" t="s">
        <v>2391</v>
      </c>
      <c r="M1388" s="3" t="s">
        <v>2392</v>
      </c>
      <c r="N1388" s="3" t="str">
        <f t="shared" ref="N1388:N1419" si="161">IF(O1388&lt;&gt;"", "NG", "")</f>
        <v/>
      </c>
    </row>
    <row r="1389" spans="1:19">
      <c r="A1389" s="3">
        <v>6041</v>
      </c>
      <c r="B1389" s="83">
        <f t="array" ref="B1389">SUM(--(FREQUENCY(IF(C$2:C$3074=C1389, MATCH(D$2:D$3074, D$2:D$3074, 0)), ROW(D$2:D$3074)-ROW(D$2)+1) &gt; 0))</f>
        <v>18</v>
      </c>
      <c r="C1389" s="3">
        <v>41200039</v>
      </c>
      <c r="D1389" s="6" t="s">
        <v>2965</v>
      </c>
      <c r="E1389" s="3" t="s">
        <v>1426</v>
      </c>
      <c r="F1389" s="3" t="s">
        <v>1476</v>
      </c>
      <c r="G1389" s="68" t="str">
        <f t="shared" si="150"/>
        <v>DUAL</v>
      </c>
      <c r="H1389" s="197">
        <f t="shared" si="159"/>
        <v>38</v>
      </c>
      <c r="I1389" s="197">
        <v>9</v>
      </c>
      <c r="J1389" s="197">
        <v>18</v>
      </c>
      <c r="K1389" s="186">
        <f t="shared" si="160"/>
        <v>45918</v>
      </c>
      <c r="L1389" s="3" t="s">
        <v>2391</v>
      </c>
      <c r="M1389" s="3" t="s">
        <v>2392</v>
      </c>
      <c r="N1389" s="3" t="str">
        <f t="shared" si="161"/>
        <v/>
      </c>
    </row>
    <row r="1390" spans="1:19">
      <c r="A1390" s="3">
        <v>6036</v>
      </c>
      <c r="B1390" s="83">
        <f t="array" ref="B1390">SUM(--(FREQUENCY(IF(C$2:C$3074=C1390, MATCH(D$2:D$3074, D$2:D$3074, 0)), ROW(D$2:D$3074)-ROW(D$2)+1) &gt; 0))</f>
        <v>20</v>
      </c>
      <c r="C1390" s="3">
        <v>41200033</v>
      </c>
      <c r="D1390" s="6" t="s">
        <v>2966</v>
      </c>
      <c r="E1390" s="3" t="s">
        <v>1426</v>
      </c>
      <c r="F1390" s="3" t="s">
        <v>1476</v>
      </c>
      <c r="G1390" s="68" t="str">
        <f t="shared" si="150"/>
        <v>DUAL</v>
      </c>
      <c r="H1390" s="197">
        <f t="shared" si="159"/>
        <v>38</v>
      </c>
      <c r="I1390" s="197">
        <v>9</v>
      </c>
      <c r="J1390" s="197">
        <v>18</v>
      </c>
      <c r="K1390" s="186">
        <f t="shared" si="160"/>
        <v>45918</v>
      </c>
      <c r="L1390" s="3" t="s">
        <v>2391</v>
      </c>
      <c r="M1390" s="3" t="s">
        <v>1468</v>
      </c>
      <c r="N1390" s="3" t="str">
        <f t="shared" si="161"/>
        <v/>
      </c>
    </row>
    <row r="1391" spans="1:19">
      <c r="A1391" s="3">
        <v>6100</v>
      </c>
      <c r="B1391" s="83">
        <f t="array" ref="B1391">SUM(--(FREQUENCY(IF(C$2:C$3074=C1391, MATCH(D$2:D$3074, D$2:D$3074, 0)), ROW(D$2:D$3074)-ROW(D$2)+1) &gt; 0))</f>
        <v>8</v>
      </c>
      <c r="C1391" s="3">
        <v>41200145</v>
      </c>
      <c r="D1391" s="6" t="s">
        <v>1871</v>
      </c>
      <c r="E1391" s="3" t="s">
        <v>1409</v>
      </c>
      <c r="F1391" s="3" t="s">
        <v>1479</v>
      </c>
      <c r="G1391" s="41" t="str">
        <f t="shared" si="150"/>
        <v>SINGLE</v>
      </c>
      <c r="H1391" s="197">
        <f t="shared" si="159"/>
        <v>38</v>
      </c>
      <c r="I1391" s="197">
        <v>9</v>
      </c>
      <c r="J1391" s="197">
        <v>18</v>
      </c>
      <c r="K1391" s="186">
        <f t="shared" si="160"/>
        <v>45918</v>
      </c>
      <c r="L1391" s="3" t="s">
        <v>2391</v>
      </c>
      <c r="M1391" s="3" t="s">
        <v>1468</v>
      </c>
      <c r="N1391" s="3" t="str">
        <f t="shared" si="161"/>
        <v/>
      </c>
    </row>
    <row r="1392" spans="1:19">
      <c r="A1392" s="3">
        <v>6011</v>
      </c>
      <c r="B1392" s="83">
        <f t="array" ref="B1392">SUM(--(FREQUENCY(IF(C$2:C$3074=C1392, MATCH(D$2:D$3074, D$2:D$3074, 0)), ROW(D$2:D$3074)-ROW(D$2)+1) &gt; 0))</f>
        <v>18</v>
      </c>
      <c r="C1392" s="3">
        <v>41200171</v>
      </c>
      <c r="D1392" s="6" t="s">
        <v>2967</v>
      </c>
      <c r="E1392" s="3" t="s">
        <v>1394</v>
      </c>
      <c r="F1392" s="3" t="s">
        <v>1479</v>
      </c>
      <c r="G1392" s="68" t="str">
        <f t="shared" si="150"/>
        <v>SINGLE</v>
      </c>
      <c r="H1392" s="197">
        <f t="shared" si="159"/>
        <v>38</v>
      </c>
      <c r="I1392" s="197">
        <v>9</v>
      </c>
      <c r="J1392" s="197">
        <v>18</v>
      </c>
      <c r="K1392" s="186">
        <f t="shared" si="160"/>
        <v>45918</v>
      </c>
      <c r="L1392" s="3" t="s">
        <v>2395</v>
      </c>
      <c r="M1392" s="3" t="s">
        <v>1469</v>
      </c>
      <c r="N1392" s="3" t="str">
        <f t="shared" si="161"/>
        <v/>
      </c>
    </row>
    <row r="1393" spans="1:14">
      <c r="A1393" s="3">
        <v>6011</v>
      </c>
      <c r="B1393" s="83">
        <f t="array" ref="B1393">SUM(--(FREQUENCY(IF(C$2:C$3074=C1393, MATCH(D$2:D$3074, D$2:D$3074, 0)), ROW(D$2:D$3074)-ROW(D$2)+1) &gt; 0))</f>
        <v>18</v>
      </c>
      <c r="C1393" s="3">
        <v>41200171</v>
      </c>
      <c r="D1393" s="6" t="s">
        <v>2969</v>
      </c>
      <c r="E1393" s="3" t="s">
        <v>1394</v>
      </c>
      <c r="F1393" s="3" t="s">
        <v>1479</v>
      </c>
      <c r="G1393" s="68" t="str">
        <f t="shared" si="150"/>
        <v>SINGLE</v>
      </c>
      <c r="H1393" s="197">
        <f t="shared" si="159"/>
        <v>38</v>
      </c>
      <c r="I1393" s="197">
        <v>9</v>
      </c>
      <c r="J1393" s="197">
        <v>18</v>
      </c>
      <c r="K1393" s="186">
        <f t="shared" si="160"/>
        <v>45918</v>
      </c>
      <c r="L1393" s="3" t="s">
        <v>2395</v>
      </c>
      <c r="M1393" s="3" t="s">
        <v>1469</v>
      </c>
      <c r="N1393" s="3" t="str">
        <f t="shared" si="161"/>
        <v/>
      </c>
    </row>
    <row r="1394" spans="1:14">
      <c r="A1394" s="3">
        <v>6011</v>
      </c>
      <c r="B1394" s="83">
        <f t="array" ref="B1394">SUM(--(FREQUENCY(IF(C$2:C$3074=C1394, MATCH(D$2:D$3074, D$2:D$3074, 0)), ROW(D$2:D$3074)-ROW(D$2)+1) &gt; 0))</f>
        <v>18</v>
      </c>
      <c r="C1394" s="3">
        <v>41200171</v>
      </c>
      <c r="D1394" s="6" t="s">
        <v>2970</v>
      </c>
      <c r="E1394" s="3" t="s">
        <v>1394</v>
      </c>
      <c r="F1394" s="3" t="s">
        <v>1479</v>
      </c>
      <c r="G1394" s="68" t="str">
        <f t="shared" si="150"/>
        <v>SINGLE</v>
      </c>
      <c r="H1394" s="197">
        <f t="shared" si="159"/>
        <v>38</v>
      </c>
      <c r="I1394" s="197">
        <v>9</v>
      </c>
      <c r="J1394" s="197">
        <v>18</v>
      </c>
      <c r="K1394" s="186">
        <f t="shared" si="160"/>
        <v>45918</v>
      </c>
      <c r="L1394" s="3" t="s">
        <v>2395</v>
      </c>
      <c r="M1394" s="3" t="s">
        <v>1469</v>
      </c>
      <c r="N1394" s="3" t="str">
        <f t="shared" si="161"/>
        <v/>
      </c>
    </row>
    <row r="1395" spans="1:14">
      <c r="A1395" s="3">
        <v>5918</v>
      </c>
      <c r="B1395" s="83" t="e">
        <f t="array" ref="B1395">SUM(--(FREQUENCY(IF(C$2:C$3074=C1395, MATCH(D$2:D$3074, D$2:D$3074, 0)), ROW(D$2:D$3074)-ROW(D$2)+1) &gt; 0))</f>
        <v>#N/A</v>
      </c>
      <c r="D1395" s="6" t="s">
        <v>5225</v>
      </c>
      <c r="E1395" s="3" t="s">
        <v>1405</v>
      </c>
      <c r="F1395" s="3" t="s">
        <v>5173</v>
      </c>
      <c r="G1395" s="68" t="str">
        <f t="shared" si="150"/>
        <v>SINGLE</v>
      </c>
      <c r="H1395" s="197">
        <f t="shared" ref="H1395:H1417" si="162">WEEKNUM(K1395)</f>
        <v>38</v>
      </c>
      <c r="I1395" s="197">
        <v>9</v>
      </c>
      <c r="J1395" s="197">
        <v>18</v>
      </c>
      <c r="K1395" s="186">
        <f t="shared" ref="K1395:K1417" si="163">DATE(2025, I1395, J1395)</f>
        <v>45918</v>
      </c>
      <c r="L1395" s="3" t="s">
        <v>2392</v>
      </c>
      <c r="M1395" s="3" t="s">
        <v>2392</v>
      </c>
      <c r="N1395" s="3" t="str">
        <f t="shared" si="161"/>
        <v/>
      </c>
    </row>
    <row r="1396" spans="1:14">
      <c r="A1396" s="3">
        <v>5918</v>
      </c>
      <c r="B1396" s="83" t="e">
        <f t="array" ref="B1396">SUM(--(FREQUENCY(IF(C$2:C$3074=C1396, MATCH(D$2:D$3074, D$2:D$3074, 0)), ROW(D$2:D$3074)-ROW(D$2)+1) &gt; 0))</f>
        <v>#N/A</v>
      </c>
      <c r="D1396" s="6" t="s">
        <v>5226</v>
      </c>
      <c r="E1396" s="3" t="s">
        <v>1405</v>
      </c>
      <c r="F1396" s="3" t="s">
        <v>5173</v>
      </c>
      <c r="G1396" s="68" t="str">
        <f t="shared" si="150"/>
        <v>SINGLE</v>
      </c>
      <c r="H1396" s="197">
        <f t="shared" si="162"/>
        <v>38</v>
      </c>
      <c r="I1396" s="197">
        <v>9</v>
      </c>
      <c r="J1396" s="197">
        <v>18</v>
      </c>
      <c r="K1396" s="186">
        <f t="shared" si="163"/>
        <v>45918</v>
      </c>
      <c r="L1396" s="3" t="s">
        <v>2392</v>
      </c>
      <c r="M1396" s="3" t="s">
        <v>2392</v>
      </c>
      <c r="N1396" s="3" t="str">
        <f t="shared" si="161"/>
        <v/>
      </c>
    </row>
    <row r="1397" spans="1:14">
      <c r="A1397" s="3">
        <v>5918</v>
      </c>
      <c r="B1397" s="83" t="e">
        <f t="array" ref="B1397">SUM(--(FREQUENCY(IF(C$2:C$3074=C1397, MATCH(D$2:D$3074, D$2:D$3074, 0)), ROW(D$2:D$3074)-ROW(D$2)+1) &gt; 0))</f>
        <v>#N/A</v>
      </c>
      <c r="D1397" s="6" t="s">
        <v>5227</v>
      </c>
      <c r="E1397" s="3" t="s">
        <v>1405</v>
      </c>
      <c r="F1397" s="3" t="s">
        <v>5173</v>
      </c>
      <c r="G1397" s="68" t="str">
        <f t="shared" si="150"/>
        <v>SINGLE</v>
      </c>
      <c r="H1397" s="197">
        <f t="shared" si="162"/>
        <v>38</v>
      </c>
      <c r="I1397" s="197">
        <v>9</v>
      </c>
      <c r="J1397" s="197">
        <v>18</v>
      </c>
      <c r="K1397" s="186">
        <f t="shared" si="163"/>
        <v>45918</v>
      </c>
      <c r="L1397" s="3" t="s">
        <v>2392</v>
      </c>
      <c r="M1397" s="3" t="s">
        <v>2392</v>
      </c>
      <c r="N1397" s="3" t="str">
        <f t="shared" si="161"/>
        <v/>
      </c>
    </row>
    <row r="1398" spans="1:14">
      <c r="A1398" s="3">
        <v>5918</v>
      </c>
      <c r="B1398" s="83" t="e">
        <f t="array" ref="B1398">SUM(--(FREQUENCY(IF(C$2:C$3074=C1398, MATCH(D$2:D$3074, D$2:D$3074, 0)), ROW(D$2:D$3074)-ROW(D$2)+1) &gt; 0))</f>
        <v>#N/A</v>
      </c>
      <c r="D1398" s="6" t="s">
        <v>5228</v>
      </c>
      <c r="E1398" s="3" t="s">
        <v>1405</v>
      </c>
      <c r="F1398" s="3" t="s">
        <v>5173</v>
      </c>
      <c r="G1398" s="68" t="str">
        <f t="shared" si="150"/>
        <v>SINGLE</v>
      </c>
      <c r="H1398" s="197">
        <f t="shared" si="162"/>
        <v>38</v>
      </c>
      <c r="I1398" s="197">
        <v>9</v>
      </c>
      <c r="J1398" s="197">
        <v>18</v>
      </c>
      <c r="K1398" s="186">
        <f t="shared" si="163"/>
        <v>45918</v>
      </c>
      <c r="L1398" s="3" t="s">
        <v>2392</v>
      </c>
      <c r="M1398" s="3" t="s">
        <v>2392</v>
      </c>
      <c r="N1398" s="3" t="str">
        <f t="shared" si="161"/>
        <v/>
      </c>
    </row>
    <row r="1399" spans="1:14">
      <c r="A1399" s="3">
        <v>5918</v>
      </c>
      <c r="B1399" s="83" t="e">
        <f t="array" ref="B1399">SUM(--(FREQUENCY(IF(C$2:C$3074=C1399, MATCH(D$2:D$3074, D$2:D$3074, 0)), ROW(D$2:D$3074)-ROW(D$2)+1) &gt; 0))</f>
        <v>#N/A</v>
      </c>
      <c r="D1399" s="6" t="s">
        <v>5229</v>
      </c>
      <c r="E1399" s="3" t="s">
        <v>1405</v>
      </c>
      <c r="F1399" s="3" t="s">
        <v>5173</v>
      </c>
      <c r="G1399" s="68" t="str">
        <f t="shared" si="150"/>
        <v>SINGLE</v>
      </c>
      <c r="H1399" s="197">
        <f t="shared" si="162"/>
        <v>38</v>
      </c>
      <c r="I1399" s="197">
        <v>9</v>
      </c>
      <c r="J1399" s="197">
        <v>18</v>
      </c>
      <c r="K1399" s="186">
        <f t="shared" si="163"/>
        <v>45918</v>
      </c>
      <c r="L1399" s="3" t="s">
        <v>2392</v>
      </c>
      <c r="M1399" s="3" t="s">
        <v>2392</v>
      </c>
      <c r="N1399" s="3" t="str">
        <f t="shared" si="161"/>
        <v/>
      </c>
    </row>
    <row r="1400" spans="1:14">
      <c r="A1400" s="3">
        <v>5918</v>
      </c>
      <c r="B1400" s="83" t="e">
        <f t="array" ref="B1400">SUM(--(FREQUENCY(IF(C$2:C$3074=C1400, MATCH(D$2:D$3074, D$2:D$3074, 0)), ROW(D$2:D$3074)-ROW(D$2)+1) &gt; 0))</f>
        <v>#N/A</v>
      </c>
      <c r="D1400" s="6" t="s">
        <v>5230</v>
      </c>
      <c r="E1400" s="3" t="s">
        <v>1405</v>
      </c>
      <c r="F1400" s="3" t="s">
        <v>5173</v>
      </c>
      <c r="G1400" s="68" t="str">
        <f t="shared" si="150"/>
        <v>SINGLE</v>
      </c>
      <c r="H1400" s="197">
        <f t="shared" si="162"/>
        <v>38</v>
      </c>
      <c r="I1400" s="197">
        <v>9</v>
      </c>
      <c r="J1400" s="197">
        <v>18</v>
      </c>
      <c r="K1400" s="186">
        <f t="shared" si="163"/>
        <v>45918</v>
      </c>
      <c r="L1400" s="3" t="s">
        <v>2392</v>
      </c>
      <c r="M1400" s="3" t="s">
        <v>2392</v>
      </c>
      <c r="N1400" s="3" t="str">
        <f t="shared" si="161"/>
        <v/>
      </c>
    </row>
    <row r="1401" spans="1:14">
      <c r="A1401" s="3">
        <v>5918</v>
      </c>
      <c r="B1401" s="83" t="e">
        <f t="array" ref="B1401">SUM(--(FREQUENCY(IF(C$2:C$3074=C1401, MATCH(D$2:D$3074, D$2:D$3074, 0)), ROW(D$2:D$3074)-ROW(D$2)+1) &gt; 0))</f>
        <v>#N/A</v>
      </c>
      <c r="D1401" s="6" t="s">
        <v>5231</v>
      </c>
      <c r="E1401" s="3" t="s">
        <v>1405</v>
      </c>
      <c r="F1401" s="3" t="s">
        <v>5173</v>
      </c>
      <c r="G1401" s="68" t="str">
        <f t="shared" si="150"/>
        <v>SINGLE</v>
      </c>
      <c r="H1401" s="197">
        <f t="shared" si="162"/>
        <v>38</v>
      </c>
      <c r="I1401" s="197">
        <v>9</v>
      </c>
      <c r="J1401" s="197">
        <v>18</v>
      </c>
      <c r="K1401" s="186">
        <f t="shared" si="163"/>
        <v>45918</v>
      </c>
      <c r="L1401" s="3" t="s">
        <v>2392</v>
      </c>
      <c r="M1401" s="3" t="s">
        <v>2392</v>
      </c>
      <c r="N1401" s="3" t="str">
        <f t="shared" si="161"/>
        <v/>
      </c>
    </row>
    <row r="1402" spans="1:14">
      <c r="A1402" s="3">
        <v>6028</v>
      </c>
      <c r="B1402" s="83" t="e">
        <f t="array" ref="B1402">SUM(--(FREQUENCY(IF(C$2:C$3074=C1402, MATCH(D$2:D$3074, D$2:D$3074, 0)), ROW(D$2:D$3074)-ROW(D$2)+1) &gt; 0))</f>
        <v>#N/A</v>
      </c>
      <c r="D1402" s="6" t="s">
        <v>5232</v>
      </c>
      <c r="E1402" s="3" t="s">
        <v>1405</v>
      </c>
      <c r="F1402" s="3" t="s">
        <v>5173</v>
      </c>
      <c r="G1402" s="68" t="str">
        <f t="shared" si="150"/>
        <v>SINGLE</v>
      </c>
      <c r="H1402" s="197">
        <f t="shared" si="162"/>
        <v>38</v>
      </c>
      <c r="I1402" s="197">
        <v>9</v>
      </c>
      <c r="J1402" s="197">
        <v>18</v>
      </c>
      <c r="K1402" s="186">
        <f t="shared" si="163"/>
        <v>45918</v>
      </c>
      <c r="L1402" s="3" t="s">
        <v>2392</v>
      </c>
      <c r="M1402" s="3" t="s">
        <v>2392</v>
      </c>
      <c r="N1402" s="3" t="str">
        <f t="shared" si="161"/>
        <v/>
      </c>
    </row>
    <row r="1403" spans="1:14">
      <c r="A1403" s="3">
        <v>6028</v>
      </c>
      <c r="B1403" s="83" t="e">
        <f t="array" ref="B1403">SUM(--(FREQUENCY(IF(C$2:C$3074=C1403, MATCH(D$2:D$3074, D$2:D$3074, 0)), ROW(D$2:D$3074)-ROW(D$2)+1) &gt; 0))</f>
        <v>#N/A</v>
      </c>
      <c r="D1403" s="6" t="s">
        <v>5233</v>
      </c>
      <c r="E1403" s="3" t="s">
        <v>1405</v>
      </c>
      <c r="F1403" s="3" t="s">
        <v>5173</v>
      </c>
      <c r="G1403" s="68" t="str">
        <f t="shared" si="150"/>
        <v>SINGLE</v>
      </c>
      <c r="H1403" s="197">
        <f t="shared" si="162"/>
        <v>38</v>
      </c>
      <c r="I1403" s="197">
        <v>9</v>
      </c>
      <c r="J1403" s="197">
        <v>18</v>
      </c>
      <c r="K1403" s="186">
        <f t="shared" si="163"/>
        <v>45918</v>
      </c>
      <c r="L1403" s="3" t="s">
        <v>2392</v>
      </c>
      <c r="M1403" s="3" t="s">
        <v>2392</v>
      </c>
      <c r="N1403" s="3" t="str">
        <f t="shared" si="161"/>
        <v/>
      </c>
    </row>
    <row r="1404" spans="1:14">
      <c r="A1404" s="3">
        <v>6028</v>
      </c>
      <c r="B1404" s="83" t="e">
        <f t="array" ref="B1404">SUM(--(FREQUENCY(IF(C$2:C$3074=C1404, MATCH(D$2:D$3074, D$2:D$3074, 0)), ROW(D$2:D$3074)-ROW(D$2)+1) &gt; 0))</f>
        <v>#N/A</v>
      </c>
      <c r="D1404" s="6" t="s">
        <v>5234</v>
      </c>
      <c r="E1404" s="3" t="s">
        <v>1405</v>
      </c>
      <c r="F1404" s="3" t="s">
        <v>5173</v>
      </c>
      <c r="G1404" s="68" t="str">
        <f t="shared" si="150"/>
        <v>SINGLE</v>
      </c>
      <c r="H1404" s="197">
        <f t="shared" si="162"/>
        <v>38</v>
      </c>
      <c r="I1404" s="197">
        <v>9</v>
      </c>
      <c r="J1404" s="197">
        <v>18</v>
      </c>
      <c r="K1404" s="186">
        <f t="shared" si="163"/>
        <v>45918</v>
      </c>
      <c r="L1404" s="3" t="s">
        <v>2392</v>
      </c>
      <c r="M1404" s="3" t="s">
        <v>2392</v>
      </c>
      <c r="N1404" s="3" t="str">
        <f t="shared" si="161"/>
        <v/>
      </c>
    </row>
    <row r="1405" spans="1:14">
      <c r="A1405" s="3">
        <v>6028</v>
      </c>
      <c r="B1405" s="83" t="e">
        <f t="array" ref="B1405">SUM(--(FREQUENCY(IF(C$2:C$3074=C1405, MATCH(D$2:D$3074, D$2:D$3074, 0)), ROW(D$2:D$3074)-ROW(D$2)+1) &gt; 0))</f>
        <v>#N/A</v>
      </c>
      <c r="D1405" s="6" t="s">
        <v>5235</v>
      </c>
      <c r="E1405" s="3" t="s">
        <v>1405</v>
      </c>
      <c r="F1405" s="3" t="s">
        <v>5173</v>
      </c>
      <c r="G1405" s="68" t="str">
        <f t="shared" si="150"/>
        <v>SINGLE</v>
      </c>
      <c r="H1405" s="197">
        <f t="shared" si="162"/>
        <v>38</v>
      </c>
      <c r="I1405" s="197">
        <v>9</v>
      </c>
      <c r="J1405" s="197">
        <v>18</v>
      </c>
      <c r="K1405" s="186">
        <f t="shared" si="163"/>
        <v>45918</v>
      </c>
      <c r="L1405" s="3" t="s">
        <v>2392</v>
      </c>
      <c r="M1405" s="3" t="s">
        <v>2392</v>
      </c>
      <c r="N1405" s="3" t="str">
        <f t="shared" si="161"/>
        <v/>
      </c>
    </row>
    <row r="1406" spans="1:14">
      <c r="A1406" s="3">
        <v>6028</v>
      </c>
      <c r="B1406" s="83" t="e">
        <f t="array" ref="B1406">SUM(--(FREQUENCY(IF(C$2:C$3074=C1406, MATCH(D$2:D$3074, D$2:D$3074, 0)), ROW(D$2:D$3074)-ROW(D$2)+1) &gt; 0))</f>
        <v>#N/A</v>
      </c>
      <c r="D1406" s="6" t="s">
        <v>5236</v>
      </c>
      <c r="E1406" s="3" t="s">
        <v>1405</v>
      </c>
      <c r="F1406" s="3" t="s">
        <v>5173</v>
      </c>
      <c r="G1406" s="68" t="str">
        <f t="shared" si="150"/>
        <v>SINGLE</v>
      </c>
      <c r="H1406" s="197">
        <f t="shared" si="162"/>
        <v>38</v>
      </c>
      <c r="I1406" s="197">
        <v>9</v>
      </c>
      <c r="J1406" s="197">
        <v>18</v>
      </c>
      <c r="K1406" s="186">
        <f t="shared" si="163"/>
        <v>45918</v>
      </c>
      <c r="L1406" s="3" t="s">
        <v>2392</v>
      </c>
      <c r="M1406" s="3" t="s">
        <v>2392</v>
      </c>
      <c r="N1406" s="3" t="str">
        <f t="shared" si="161"/>
        <v/>
      </c>
    </row>
    <row r="1407" spans="1:14">
      <c r="A1407" s="3">
        <v>6028</v>
      </c>
      <c r="B1407" s="83" t="e">
        <f t="array" ref="B1407">SUM(--(FREQUENCY(IF(C$2:C$3074=C1407, MATCH(D$2:D$3074, D$2:D$3074, 0)), ROW(D$2:D$3074)-ROW(D$2)+1) &gt; 0))</f>
        <v>#N/A</v>
      </c>
      <c r="D1407" s="6" t="s">
        <v>5237</v>
      </c>
      <c r="E1407" s="3" t="s">
        <v>1405</v>
      </c>
      <c r="F1407" s="3" t="s">
        <v>5173</v>
      </c>
      <c r="G1407" s="68" t="str">
        <f t="shared" si="150"/>
        <v>SINGLE</v>
      </c>
      <c r="H1407" s="197">
        <f t="shared" si="162"/>
        <v>38</v>
      </c>
      <c r="I1407" s="197">
        <v>9</v>
      </c>
      <c r="J1407" s="197">
        <v>18</v>
      </c>
      <c r="K1407" s="186">
        <f t="shared" si="163"/>
        <v>45918</v>
      </c>
      <c r="L1407" s="3" t="s">
        <v>2392</v>
      </c>
      <c r="M1407" s="3" t="s">
        <v>2392</v>
      </c>
      <c r="N1407" s="3" t="str">
        <f t="shared" si="161"/>
        <v/>
      </c>
    </row>
    <row r="1408" spans="1:14">
      <c r="A1408" s="3">
        <v>6028</v>
      </c>
      <c r="B1408" s="83" t="e">
        <f t="array" ref="B1408">SUM(--(FREQUENCY(IF(C$2:C$3074=C1408, MATCH(D$2:D$3074, D$2:D$3074, 0)), ROW(D$2:D$3074)-ROW(D$2)+1) &gt; 0))</f>
        <v>#N/A</v>
      </c>
      <c r="D1408" s="6" t="s">
        <v>5238</v>
      </c>
      <c r="E1408" s="3" t="s">
        <v>1405</v>
      </c>
      <c r="F1408" s="3" t="s">
        <v>5173</v>
      </c>
      <c r="G1408" s="68" t="str">
        <f t="shared" si="150"/>
        <v>SINGLE</v>
      </c>
      <c r="H1408" s="197">
        <f t="shared" si="162"/>
        <v>38</v>
      </c>
      <c r="I1408" s="197">
        <v>9</v>
      </c>
      <c r="J1408" s="197">
        <v>18</v>
      </c>
      <c r="K1408" s="186">
        <f t="shared" si="163"/>
        <v>45918</v>
      </c>
      <c r="L1408" s="3" t="s">
        <v>2392</v>
      </c>
      <c r="M1408" s="3" t="s">
        <v>2392</v>
      </c>
      <c r="N1408" s="3" t="str">
        <f t="shared" si="161"/>
        <v/>
      </c>
    </row>
    <row r="1409" spans="1:20">
      <c r="A1409" s="3">
        <v>6028</v>
      </c>
      <c r="B1409" s="83" t="e">
        <f t="array" ref="B1409">SUM(--(FREQUENCY(IF(C$2:C$3074=C1409, MATCH(D$2:D$3074, D$2:D$3074, 0)), ROW(D$2:D$3074)-ROW(D$2)+1) &gt; 0))</f>
        <v>#N/A</v>
      </c>
      <c r="D1409" s="6" t="s">
        <v>5239</v>
      </c>
      <c r="E1409" s="3" t="s">
        <v>1405</v>
      </c>
      <c r="F1409" s="3" t="s">
        <v>5173</v>
      </c>
      <c r="G1409" s="68" t="str">
        <f t="shared" si="150"/>
        <v>SINGLE</v>
      </c>
      <c r="H1409" s="197">
        <f t="shared" si="162"/>
        <v>38</v>
      </c>
      <c r="I1409" s="197">
        <v>9</v>
      </c>
      <c r="J1409" s="197">
        <v>18</v>
      </c>
      <c r="K1409" s="186">
        <f t="shared" si="163"/>
        <v>45918</v>
      </c>
      <c r="L1409" s="3" t="s">
        <v>2392</v>
      </c>
      <c r="M1409" s="3" t="s">
        <v>2392</v>
      </c>
      <c r="N1409" s="3" t="str">
        <f t="shared" si="161"/>
        <v/>
      </c>
    </row>
    <row r="1410" spans="1:20">
      <c r="A1410" s="3">
        <v>6028</v>
      </c>
      <c r="B1410" s="83" t="e">
        <f t="array" ref="B1410">SUM(--(FREQUENCY(IF(C$2:C$3074=C1410, MATCH(D$2:D$3074, D$2:D$3074, 0)), ROW(D$2:D$3074)-ROW(D$2)+1) &gt; 0))</f>
        <v>#N/A</v>
      </c>
      <c r="D1410" s="6" t="s">
        <v>5240</v>
      </c>
      <c r="E1410" s="3" t="s">
        <v>1405</v>
      </c>
      <c r="F1410" s="3" t="s">
        <v>5173</v>
      </c>
      <c r="G1410" s="68" t="str">
        <f t="shared" ref="G1410:G1441" si="164">IF(OR(ISNUMBER(SEARCH("DUAL",F1410)), ISNUMBER(SEARCH("IVAS",F1410))), "DUAL", "SINGLE")</f>
        <v>SINGLE</v>
      </c>
      <c r="H1410" s="197">
        <f t="shared" si="162"/>
        <v>38</v>
      </c>
      <c r="I1410" s="197">
        <v>9</v>
      </c>
      <c r="J1410" s="197">
        <v>18</v>
      </c>
      <c r="K1410" s="186">
        <f t="shared" si="163"/>
        <v>45918</v>
      </c>
      <c r="L1410" s="3" t="s">
        <v>2392</v>
      </c>
      <c r="M1410" s="3" t="s">
        <v>2392</v>
      </c>
      <c r="N1410" s="3" t="str">
        <f t="shared" si="161"/>
        <v/>
      </c>
    </row>
    <row r="1411" spans="1:20">
      <c r="A1411" s="3">
        <v>6028</v>
      </c>
      <c r="B1411" s="83" t="e">
        <f t="array" ref="B1411">SUM(--(FREQUENCY(IF(C$2:C$3074=C1411, MATCH(D$2:D$3074, D$2:D$3074, 0)), ROW(D$2:D$3074)-ROW(D$2)+1) &gt; 0))</f>
        <v>#N/A</v>
      </c>
      <c r="D1411" s="6" t="s">
        <v>5241</v>
      </c>
      <c r="E1411" s="3" t="s">
        <v>1405</v>
      </c>
      <c r="F1411" s="3" t="s">
        <v>5173</v>
      </c>
      <c r="G1411" s="68" t="str">
        <f t="shared" si="164"/>
        <v>SINGLE</v>
      </c>
      <c r="H1411" s="197">
        <f t="shared" si="162"/>
        <v>38</v>
      </c>
      <c r="I1411" s="197">
        <v>9</v>
      </c>
      <c r="J1411" s="197">
        <v>18</v>
      </c>
      <c r="K1411" s="186">
        <f t="shared" si="163"/>
        <v>45918</v>
      </c>
      <c r="L1411" s="3" t="s">
        <v>2392</v>
      </c>
      <c r="M1411" s="3" t="s">
        <v>2392</v>
      </c>
      <c r="N1411" s="3" t="str">
        <f t="shared" si="161"/>
        <v/>
      </c>
    </row>
    <row r="1412" spans="1:20">
      <c r="A1412" s="3">
        <v>6028</v>
      </c>
      <c r="B1412" s="83" t="e">
        <f t="array" ref="B1412">SUM(--(FREQUENCY(IF(C$2:C$3074=C1412, MATCH(D$2:D$3074, D$2:D$3074, 0)), ROW(D$2:D$3074)-ROW(D$2)+1) &gt; 0))</f>
        <v>#N/A</v>
      </c>
      <c r="D1412" s="6" t="s">
        <v>5242</v>
      </c>
      <c r="E1412" s="3" t="s">
        <v>1405</v>
      </c>
      <c r="F1412" s="3" t="s">
        <v>5173</v>
      </c>
      <c r="G1412" s="68" t="str">
        <f t="shared" si="164"/>
        <v>SINGLE</v>
      </c>
      <c r="H1412" s="197">
        <f t="shared" si="162"/>
        <v>38</v>
      </c>
      <c r="I1412" s="197">
        <v>9</v>
      </c>
      <c r="J1412" s="197">
        <v>18</v>
      </c>
      <c r="K1412" s="186">
        <f t="shared" si="163"/>
        <v>45918</v>
      </c>
      <c r="L1412" s="3" t="s">
        <v>2392</v>
      </c>
      <c r="M1412" s="3" t="s">
        <v>2392</v>
      </c>
      <c r="N1412" s="3" t="str">
        <f t="shared" si="161"/>
        <v/>
      </c>
    </row>
    <row r="1413" spans="1:20">
      <c r="A1413" s="3">
        <v>6028</v>
      </c>
      <c r="B1413" s="83" t="e">
        <f t="array" ref="B1413">SUM(--(FREQUENCY(IF(C$2:C$3074=C1413, MATCH(D$2:D$3074, D$2:D$3074, 0)), ROW(D$2:D$3074)-ROW(D$2)+1) &gt; 0))</f>
        <v>#N/A</v>
      </c>
      <c r="D1413" s="6" t="s">
        <v>5243</v>
      </c>
      <c r="E1413" s="3" t="s">
        <v>1405</v>
      </c>
      <c r="F1413" s="3" t="s">
        <v>5173</v>
      </c>
      <c r="G1413" s="68" t="str">
        <f t="shared" si="164"/>
        <v>SINGLE</v>
      </c>
      <c r="H1413" s="197">
        <f t="shared" si="162"/>
        <v>38</v>
      </c>
      <c r="I1413" s="197">
        <v>9</v>
      </c>
      <c r="J1413" s="197">
        <v>18</v>
      </c>
      <c r="K1413" s="186">
        <f t="shared" si="163"/>
        <v>45918</v>
      </c>
      <c r="L1413" s="3" t="s">
        <v>2392</v>
      </c>
      <c r="M1413" s="3" t="s">
        <v>2392</v>
      </c>
      <c r="N1413" s="3" t="str">
        <f t="shared" si="161"/>
        <v/>
      </c>
    </row>
    <row r="1414" spans="1:20">
      <c r="A1414" s="3">
        <v>6028</v>
      </c>
      <c r="B1414" s="83" t="e">
        <f t="array" ref="B1414">SUM(--(FREQUENCY(IF(C$2:C$3074=C1414, MATCH(D$2:D$3074, D$2:D$3074, 0)), ROW(D$2:D$3074)-ROW(D$2)+1) &gt; 0))</f>
        <v>#N/A</v>
      </c>
      <c r="D1414" s="6" t="s">
        <v>5244</v>
      </c>
      <c r="E1414" s="3" t="s">
        <v>1405</v>
      </c>
      <c r="F1414" s="3" t="s">
        <v>5173</v>
      </c>
      <c r="G1414" s="68" t="str">
        <f t="shared" si="164"/>
        <v>SINGLE</v>
      </c>
      <c r="H1414" s="197">
        <f t="shared" si="162"/>
        <v>38</v>
      </c>
      <c r="I1414" s="197">
        <v>9</v>
      </c>
      <c r="J1414" s="197">
        <v>18</v>
      </c>
      <c r="K1414" s="186">
        <f t="shared" si="163"/>
        <v>45918</v>
      </c>
      <c r="L1414" s="3" t="s">
        <v>2392</v>
      </c>
      <c r="M1414" s="3" t="s">
        <v>2392</v>
      </c>
      <c r="N1414" s="3" t="str">
        <f t="shared" si="161"/>
        <v/>
      </c>
    </row>
    <row r="1415" spans="1:20">
      <c r="A1415" s="3">
        <v>6028</v>
      </c>
      <c r="B1415" s="83" t="e">
        <f t="array" ref="B1415">SUM(--(FREQUENCY(IF(C$2:C$3074=C1415, MATCH(D$2:D$3074, D$2:D$3074, 0)), ROW(D$2:D$3074)-ROW(D$2)+1) &gt; 0))</f>
        <v>#N/A</v>
      </c>
      <c r="D1415" s="6" t="s">
        <v>5245</v>
      </c>
      <c r="E1415" s="3" t="s">
        <v>1405</v>
      </c>
      <c r="F1415" s="3" t="s">
        <v>5173</v>
      </c>
      <c r="G1415" s="68" t="str">
        <f t="shared" si="164"/>
        <v>SINGLE</v>
      </c>
      <c r="H1415" s="197">
        <f t="shared" si="162"/>
        <v>38</v>
      </c>
      <c r="I1415" s="197">
        <v>9</v>
      </c>
      <c r="J1415" s="197">
        <v>18</v>
      </c>
      <c r="K1415" s="186">
        <f t="shared" si="163"/>
        <v>45918</v>
      </c>
      <c r="L1415" s="3" t="s">
        <v>2392</v>
      </c>
      <c r="M1415" s="3" t="s">
        <v>2392</v>
      </c>
      <c r="N1415" s="3" t="str">
        <f t="shared" si="161"/>
        <v/>
      </c>
    </row>
    <row r="1416" spans="1:20">
      <c r="A1416" s="3">
        <v>6028</v>
      </c>
      <c r="B1416" s="83" t="e">
        <f t="array" ref="B1416">SUM(--(FREQUENCY(IF(C$2:C$3074=C1416, MATCH(D$2:D$3074, D$2:D$3074, 0)), ROW(D$2:D$3074)-ROW(D$2)+1) &gt; 0))</f>
        <v>#N/A</v>
      </c>
      <c r="D1416" s="6" t="s">
        <v>5246</v>
      </c>
      <c r="E1416" s="3" t="s">
        <v>1405</v>
      </c>
      <c r="F1416" s="3" t="s">
        <v>5173</v>
      </c>
      <c r="G1416" s="68" t="str">
        <f t="shared" si="164"/>
        <v>SINGLE</v>
      </c>
      <c r="H1416" s="197">
        <f t="shared" si="162"/>
        <v>38</v>
      </c>
      <c r="I1416" s="197">
        <v>9</v>
      </c>
      <c r="J1416" s="197">
        <v>18</v>
      </c>
      <c r="K1416" s="186">
        <f t="shared" si="163"/>
        <v>45918</v>
      </c>
      <c r="L1416" s="3" t="s">
        <v>2392</v>
      </c>
      <c r="M1416" s="3" t="s">
        <v>2392</v>
      </c>
      <c r="N1416" s="3" t="str">
        <f t="shared" si="161"/>
        <v/>
      </c>
    </row>
    <row r="1417" spans="1:20">
      <c r="A1417" s="3">
        <v>6042</v>
      </c>
      <c r="B1417" s="83">
        <f t="array" ref="B1417">SUM(--(FREQUENCY(IF(C$2:C$3074=C1417, MATCH(D$2:D$3074, D$2:D$3074, 0)), ROW(D$2:D$3074)-ROW(D$2)+1) &gt; 0))</f>
        <v>7</v>
      </c>
      <c r="C1417" s="3">
        <v>41200042</v>
      </c>
      <c r="D1417" s="6" t="s">
        <v>2971</v>
      </c>
      <c r="E1417" s="3" t="s">
        <v>1426</v>
      </c>
      <c r="F1417" s="3" t="s">
        <v>1476</v>
      </c>
      <c r="G1417" s="68" t="str">
        <f t="shared" si="164"/>
        <v>DUAL</v>
      </c>
      <c r="H1417" s="197">
        <f t="shared" si="162"/>
        <v>38</v>
      </c>
      <c r="I1417" s="197">
        <v>9</v>
      </c>
      <c r="J1417" s="197">
        <v>19</v>
      </c>
      <c r="K1417" s="186">
        <f t="shared" si="163"/>
        <v>45919</v>
      </c>
      <c r="L1417" s="3" t="s">
        <v>2391</v>
      </c>
      <c r="M1417" s="3" t="s">
        <v>2392</v>
      </c>
      <c r="N1417" s="3" t="str">
        <f t="shared" si="161"/>
        <v/>
      </c>
    </row>
    <row r="1418" spans="1:20">
      <c r="A1418" s="3">
        <v>6050</v>
      </c>
      <c r="B1418" s="83">
        <f t="array" ref="B1418">SUM(--(FREQUENCY(IF(C$2:C$3074=C1418, MATCH(D$2:D$3074, D$2:D$3074, 0)), ROW(D$2:D$3074)-ROW(D$2)+1) &gt; 0))</f>
        <v>12</v>
      </c>
      <c r="C1418" s="3">
        <v>41200027</v>
      </c>
      <c r="D1418" s="6" t="s">
        <v>2972</v>
      </c>
      <c r="E1418" s="3" t="s">
        <v>1405</v>
      </c>
      <c r="F1418" s="3" t="s">
        <v>1591</v>
      </c>
      <c r="G1418" s="68" t="str">
        <f t="shared" si="164"/>
        <v>SINGLE</v>
      </c>
      <c r="H1418" s="197">
        <f t="shared" ref="H1418:H1424" si="165">WEEKNUM(K1418)</f>
        <v>38</v>
      </c>
      <c r="I1418" s="197">
        <v>9</v>
      </c>
      <c r="J1418" s="197">
        <v>19</v>
      </c>
      <c r="K1418" s="186">
        <f t="shared" ref="K1418:K1424" si="166">DATE(2025, I1418, J1418)</f>
        <v>45919</v>
      </c>
      <c r="L1418" s="3" t="s">
        <v>2391</v>
      </c>
      <c r="M1418" s="3" t="s">
        <v>2392</v>
      </c>
      <c r="N1418" s="3" t="str">
        <f t="shared" si="161"/>
        <v>NG</v>
      </c>
      <c r="O1418" s="3" t="s">
        <v>2368</v>
      </c>
      <c r="P1418" s="3" t="s">
        <v>2482</v>
      </c>
      <c r="Q1418" s="3">
        <v>11100935</v>
      </c>
      <c r="R1418" s="3" t="s">
        <v>932</v>
      </c>
      <c r="S1418" s="3" t="s">
        <v>5160</v>
      </c>
      <c r="T1418" s="3" t="s">
        <v>5247</v>
      </c>
    </row>
    <row r="1419" spans="1:20">
      <c r="A1419" s="3">
        <v>6100</v>
      </c>
      <c r="B1419" s="83">
        <f t="array" ref="B1419">SUM(--(FREQUENCY(IF(C$2:C$3074=C1419, MATCH(D$2:D$3074, D$2:D$3074, 0)), ROW(D$2:D$3074)-ROW(D$2)+1) &gt; 0))</f>
        <v>8</v>
      </c>
      <c r="C1419" s="3">
        <v>41200145</v>
      </c>
      <c r="D1419" s="6" t="s">
        <v>1872</v>
      </c>
      <c r="E1419" s="3" t="s">
        <v>1409</v>
      </c>
      <c r="F1419" s="3" t="s">
        <v>1479</v>
      </c>
      <c r="G1419" s="41" t="str">
        <f t="shared" si="164"/>
        <v>SINGLE</v>
      </c>
      <c r="H1419" s="197">
        <f t="shared" si="165"/>
        <v>38</v>
      </c>
      <c r="I1419" s="197">
        <v>9</v>
      </c>
      <c r="J1419" s="197">
        <v>19</v>
      </c>
      <c r="K1419" s="186">
        <f t="shared" si="166"/>
        <v>45919</v>
      </c>
      <c r="L1419" s="3" t="s">
        <v>2391</v>
      </c>
      <c r="M1419" s="3" t="s">
        <v>1468</v>
      </c>
      <c r="N1419" s="3" t="str">
        <f t="shared" si="161"/>
        <v/>
      </c>
    </row>
    <row r="1420" spans="1:20">
      <c r="A1420" s="3">
        <v>6002</v>
      </c>
      <c r="B1420" s="83">
        <f t="array" ref="B1420">SUM(--(FREQUENCY(IF(C$2:C$3074=C1420, MATCH(D$2:D$3074, D$2:D$3074, 0)), ROW(D$2:D$3074)-ROW(D$2)+1) &gt; 0))</f>
        <v>8</v>
      </c>
      <c r="C1420" s="3">
        <v>41200131</v>
      </c>
      <c r="D1420" s="6" t="s">
        <v>2973</v>
      </c>
      <c r="E1420" s="3" t="s">
        <v>1431</v>
      </c>
      <c r="F1420" s="3" t="s">
        <v>1476</v>
      </c>
      <c r="G1420" s="68" t="str">
        <f t="shared" si="164"/>
        <v>DUAL</v>
      </c>
      <c r="H1420" s="197">
        <f t="shared" si="165"/>
        <v>38</v>
      </c>
      <c r="I1420" s="197">
        <v>9</v>
      </c>
      <c r="J1420" s="197">
        <v>19</v>
      </c>
      <c r="K1420" s="186">
        <f t="shared" si="166"/>
        <v>45919</v>
      </c>
      <c r="L1420" s="3" t="s">
        <v>2391</v>
      </c>
      <c r="M1420" s="3" t="s">
        <v>1468</v>
      </c>
      <c r="N1420" s="3" t="str">
        <f t="shared" ref="N1420:N1451" si="167">IF(O1420&lt;&gt;"", "NG", "")</f>
        <v/>
      </c>
    </row>
    <row r="1421" spans="1:20">
      <c r="A1421" s="3">
        <v>5976</v>
      </c>
      <c r="B1421" s="83">
        <f t="array" ref="B1421">SUM(--(FREQUENCY(IF(C$2:C$3074=C1421, MATCH(D$2:D$3074, D$2:D$3074, 0)), ROW(D$2:D$3074)-ROW(D$2)+1) &gt; 0))</f>
        <v>10</v>
      </c>
      <c r="C1421" s="3">
        <v>41200061</v>
      </c>
      <c r="D1421" s="6" t="s">
        <v>2974</v>
      </c>
      <c r="E1421" s="3" t="s">
        <v>1405</v>
      </c>
      <c r="F1421" s="3" t="s">
        <v>1480</v>
      </c>
      <c r="G1421" s="68" t="str">
        <f t="shared" si="164"/>
        <v>DUAL</v>
      </c>
      <c r="H1421" s="197">
        <f t="shared" si="165"/>
        <v>38</v>
      </c>
      <c r="I1421" s="197">
        <v>9</v>
      </c>
      <c r="J1421" s="197">
        <v>19</v>
      </c>
      <c r="K1421" s="186">
        <f t="shared" si="166"/>
        <v>45919</v>
      </c>
      <c r="L1421" s="3" t="s">
        <v>2395</v>
      </c>
      <c r="M1421" s="3" t="s">
        <v>1469</v>
      </c>
      <c r="N1421" s="3" t="str">
        <f t="shared" si="167"/>
        <v/>
      </c>
    </row>
    <row r="1422" spans="1:20">
      <c r="A1422" s="3">
        <v>5796</v>
      </c>
      <c r="B1422" s="83">
        <f t="array" ref="B1422">SUM(--(FREQUENCY(IF(C$2:C$3074=C1422, MATCH(D$2:D$3074, D$2:D$3074, 0)), ROW(D$2:D$3074)-ROW(D$2)+1) &gt; 0))</f>
        <v>30</v>
      </c>
      <c r="C1422" s="3">
        <v>41200109</v>
      </c>
      <c r="D1422" s="6" t="s">
        <v>2984</v>
      </c>
      <c r="E1422" s="3" t="s">
        <v>1585</v>
      </c>
      <c r="F1422" s="3" t="s">
        <v>1591</v>
      </c>
      <c r="G1422" s="68" t="str">
        <f t="shared" si="164"/>
        <v>SINGLE</v>
      </c>
      <c r="H1422" s="197">
        <f t="shared" si="165"/>
        <v>38</v>
      </c>
      <c r="I1422" s="197">
        <v>9</v>
      </c>
      <c r="J1422" s="197">
        <v>19</v>
      </c>
      <c r="K1422" s="186">
        <f t="shared" si="166"/>
        <v>45919</v>
      </c>
      <c r="L1422" s="3" t="s">
        <v>2395</v>
      </c>
      <c r="M1422" s="3" t="s">
        <v>1469</v>
      </c>
      <c r="N1422" s="3" t="str">
        <f t="shared" si="167"/>
        <v/>
      </c>
    </row>
    <row r="1423" spans="1:20">
      <c r="A1423" s="3">
        <v>5796</v>
      </c>
      <c r="B1423" s="83">
        <f t="array" ref="B1423">SUM(--(FREQUENCY(IF(C$2:C$3074=C1423, MATCH(D$2:D$3074, D$2:D$3074, 0)), ROW(D$2:D$3074)-ROW(D$2)+1) &gt; 0))</f>
        <v>30</v>
      </c>
      <c r="C1423" s="3">
        <v>41200109</v>
      </c>
      <c r="D1423" s="6" t="s">
        <v>2986</v>
      </c>
      <c r="E1423" s="3" t="s">
        <v>1585</v>
      </c>
      <c r="F1423" s="3" t="s">
        <v>1591</v>
      </c>
      <c r="G1423" s="68" t="str">
        <f t="shared" si="164"/>
        <v>SINGLE</v>
      </c>
      <c r="H1423" s="197">
        <f t="shared" si="165"/>
        <v>38</v>
      </c>
      <c r="I1423" s="197">
        <v>9</v>
      </c>
      <c r="J1423" s="197">
        <v>19</v>
      </c>
      <c r="K1423" s="186">
        <f t="shared" si="166"/>
        <v>45919</v>
      </c>
      <c r="L1423" s="3" t="s">
        <v>2395</v>
      </c>
      <c r="M1423" s="3" t="s">
        <v>1469</v>
      </c>
      <c r="N1423" s="3" t="str">
        <f t="shared" si="167"/>
        <v/>
      </c>
    </row>
    <row r="1424" spans="1:20">
      <c r="A1424" s="3">
        <v>5729</v>
      </c>
      <c r="B1424" s="83">
        <f t="array" ref="B1424">SUM(--(FREQUENCY(IF(C$2:C$3074=C1424, MATCH(D$2:D$3074, D$2:D$3074, 0)), ROW(D$2:D$3074)-ROW(D$2)+1) &gt; 0))</f>
        <v>1</v>
      </c>
      <c r="C1424" s="3">
        <v>41200156</v>
      </c>
      <c r="D1424" s="6" t="s">
        <v>2280</v>
      </c>
      <c r="E1424" s="3" t="s">
        <v>1413</v>
      </c>
      <c r="F1424" s="3" t="s">
        <v>1476</v>
      </c>
      <c r="G1424" s="41" t="str">
        <f t="shared" si="164"/>
        <v>DUAL</v>
      </c>
      <c r="H1424" s="197">
        <f t="shared" si="165"/>
        <v>39</v>
      </c>
      <c r="I1424" s="197">
        <v>9</v>
      </c>
      <c r="J1424" s="197">
        <v>22</v>
      </c>
      <c r="K1424" s="186">
        <f t="shared" si="166"/>
        <v>45922</v>
      </c>
      <c r="L1424" s="3" t="s">
        <v>2395</v>
      </c>
      <c r="M1424" s="3" t="s">
        <v>2392</v>
      </c>
      <c r="N1424" s="3" t="str">
        <f t="shared" si="167"/>
        <v/>
      </c>
    </row>
    <row r="1425" spans="1:20">
      <c r="A1425" s="3">
        <v>5993</v>
      </c>
      <c r="B1425" s="83">
        <f t="array" ref="B1425">SUM(--(FREQUENCY(IF(C$2:C$3074=C1425, MATCH(D$2:D$3074, D$2:D$3074, 0)), ROW(D$2:D$3074)-ROW(D$2)+1) &gt; 0))</f>
        <v>10</v>
      </c>
      <c r="C1425" s="3">
        <v>41100286</v>
      </c>
      <c r="D1425" s="6" t="s">
        <v>2988</v>
      </c>
      <c r="E1425" s="3" t="s">
        <v>1424</v>
      </c>
      <c r="F1425" s="3" t="s">
        <v>1476</v>
      </c>
      <c r="G1425" s="68" t="str">
        <f t="shared" si="164"/>
        <v>DUAL</v>
      </c>
      <c r="H1425" s="197">
        <f t="shared" ref="H1425:H1433" si="168">WEEKNUM(K1425)</f>
        <v>39</v>
      </c>
      <c r="I1425" s="197">
        <v>9</v>
      </c>
      <c r="J1425" s="197">
        <v>22</v>
      </c>
      <c r="K1425" s="186">
        <f t="shared" ref="K1425:K1433" si="169">DATE(2025, I1425, J1425)</f>
        <v>45922</v>
      </c>
      <c r="L1425" s="3" t="s">
        <v>2391</v>
      </c>
      <c r="M1425" s="3" t="s">
        <v>1468</v>
      </c>
      <c r="N1425" s="3" t="str">
        <f t="shared" si="167"/>
        <v/>
      </c>
    </row>
    <row r="1426" spans="1:20">
      <c r="A1426" s="3">
        <v>6011</v>
      </c>
      <c r="B1426" s="83">
        <f t="array" ref="B1426">SUM(--(FREQUENCY(IF(C$2:C$3074=C1426, MATCH(D$2:D$3074, D$2:D$3074, 0)), ROW(D$2:D$3074)-ROW(D$2)+1) &gt; 0))</f>
        <v>18</v>
      </c>
      <c r="C1426" s="3">
        <v>41200171</v>
      </c>
      <c r="D1426" s="6" t="s">
        <v>2989</v>
      </c>
      <c r="E1426" s="3" t="s">
        <v>1394</v>
      </c>
      <c r="F1426" s="3" t="s">
        <v>1479</v>
      </c>
      <c r="G1426" s="68" t="str">
        <f t="shared" si="164"/>
        <v>SINGLE</v>
      </c>
      <c r="H1426" s="197">
        <f t="shared" si="168"/>
        <v>39</v>
      </c>
      <c r="I1426" s="197">
        <v>9</v>
      </c>
      <c r="J1426" s="197">
        <v>22</v>
      </c>
      <c r="K1426" s="186">
        <f t="shared" si="169"/>
        <v>45922</v>
      </c>
      <c r="L1426" s="3" t="s">
        <v>2395</v>
      </c>
      <c r="M1426" s="3" t="s">
        <v>1468</v>
      </c>
      <c r="N1426" s="3" t="str">
        <f t="shared" si="167"/>
        <v/>
      </c>
    </row>
    <row r="1427" spans="1:20">
      <c r="A1427" s="3">
        <v>6011</v>
      </c>
      <c r="B1427" s="83">
        <f t="array" ref="B1427">SUM(--(FREQUENCY(IF(C$2:C$3074=C1427, MATCH(D$2:D$3074, D$2:D$3074, 0)), ROW(D$2:D$3074)-ROW(D$2)+1) &gt; 0))</f>
        <v>18</v>
      </c>
      <c r="C1427" s="3">
        <v>41200171</v>
      </c>
      <c r="D1427" s="6" t="s">
        <v>2990</v>
      </c>
      <c r="E1427" s="3" t="s">
        <v>1394</v>
      </c>
      <c r="F1427" s="3" t="s">
        <v>1479</v>
      </c>
      <c r="G1427" s="68" t="str">
        <f t="shared" si="164"/>
        <v>SINGLE</v>
      </c>
      <c r="H1427" s="197">
        <f t="shared" si="168"/>
        <v>39</v>
      </c>
      <c r="I1427" s="197">
        <v>9</v>
      </c>
      <c r="J1427" s="197">
        <v>22</v>
      </c>
      <c r="K1427" s="186">
        <f t="shared" si="169"/>
        <v>45922</v>
      </c>
      <c r="L1427" s="3" t="s">
        <v>2395</v>
      </c>
      <c r="M1427" s="3" t="s">
        <v>1468</v>
      </c>
      <c r="N1427" s="3" t="str">
        <f t="shared" si="167"/>
        <v/>
      </c>
    </row>
    <row r="1428" spans="1:20">
      <c r="A1428" s="3">
        <v>6011</v>
      </c>
      <c r="B1428" s="83">
        <f t="array" ref="B1428">SUM(--(FREQUENCY(IF(C$2:C$3074=C1428, MATCH(D$2:D$3074, D$2:D$3074, 0)), ROW(D$2:D$3074)-ROW(D$2)+1) &gt; 0))</f>
        <v>18</v>
      </c>
      <c r="C1428" s="3">
        <v>41200171</v>
      </c>
      <c r="D1428" s="6" t="s">
        <v>2991</v>
      </c>
      <c r="E1428" s="3" t="s">
        <v>1394</v>
      </c>
      <c r="F1428" s="3" t="s">
        <v>1479</v>
      </c>
      <c r="G1428" s="68" t="str">
        <f t="shared" si="164"/>
        <v>SINGLE</v>
      </c>
      <c r="H1428" s="197">
        <f t="shared" si="168"/>
        <v>39</v>
      </c>
      <c r="I1428" s="197">
        <v>9</v>
      </c>
      <c r="J1428" s="197">
        <v>22</v>
      </c>
      <c r="K1428" s="186">
        <f t="shared" si="169"/>
        <v>45922</v>
      </c>
      <c r="L1428" s="3" t="s">
        <v>2395</v>
      </c>
      <c r="M1428" s="3" t="s">
        <v>1468</v>
      </c>
      <c r="N1428" s="3" t="str">
        <f t="shared" si="167"/>
        <v/>
      </c>
    </row>
    <row r="1429" spans="1:20">
      <c r="A1429" s="3">
        <v>6011</v>
      </c>
      <c r="B1429" s="83">
        <f t="array" ref="B1429">SUM(--(FREQUENCY(IF(C$2:C$3074=C1429, MATCH(D$2:D$3074, D$2:D$3074, 0)), ROW(D$2:D$3074)-ROW(D$2)+1) &gt; 0))</f>
        <v>18</v>
      </c>
      <c r="C1429" s="3">
        <v>41200171</v>
      </c>
      <c r="D1429" s="6" t="s">
        <v>2994</v>
      </c>
      <c r="E1429" s="3" t="s">
        <v>1394</v>
      </c>
      <c r="F1429" s="3" t="s">
        <v>1479</v>
      </c>
      <c r="G1429" s="68" t="str">
        <f t="shared" si="164"/>
        <v>SINGLE</v>
      </c>
      <c r="H1429" s="197">
        <f t="shared" si="168"/>
        <v>39</v>
      </c>
      <c r="I1429" s="197">
        <v>9</v>
      </c>
      <c r="J1429" s="197">
        <v>22</v>
      </c>
      <c r="K1429" s="186">
        <f t="shared" si="169"/>
        <v>45922</v>
      </c>
      <c r="L1429" s="3" t="s">
        <v>2395</v>
      </c>
      <c r="M1429" s="3" t="s">
        <v>1468</v>
      </c>
      <c r="N1429" s="3" t="str">
        <f t="shared" si="167"/>
        <v/>
      </c>
    </row>
    <row r="1430" spans="1:20">
      <c r="A1430" s="3">
        <v>6005</v>
      </c>
      <c r="B1430" s="83">
        <f t="array" ref="B1430">SUM(--(FREQUENCY(IF(C$2:C$3074=C1430, MATCH(D$2:D$3074, D$2:D$3074, 0)), ROW(D$2:D$3074)-ROW(D$2)+1) &gt; 0))</f>
        <v>32</v>
      </c>
      <c r="C1430" s="3">
        <v>41200127</v>
      </c>
      <c r="D1430" s="6" t="s">
        <v>2995</v>
      </c>
      <c r="E1430" s="3" t="s">
        <v>1431</v>
      </c>
      <c r="F1430" s="3" t="s">
        <v>1591</v>
      </c>
      <c r="G1430" s="68" t="str">
        <f t="shared" si="164"/>
        <v>SINGLE</v>
      </c>
      <c r="H1430" s="197">
        <f t="shared" si="168"/>
        <v>39</v>
      </c>
      <c r="I1430" s="197">
        <v>9</v>
      </c>
      <c r="J1430" s="197">
        <v>22</v>
      </c>
      <c r="K1430" s="186">
        <f t="shared" si="169"/>
        <v>45922</v>
      </c>
      <c r="L1430" s="3" t="s">
        <v>2395</v>
      </c>
      <c r="M1430" s="3" t="s">
        <v>1469</v>
      </c>
      <c r="N1430" s="3" t="str">
        <f t="shared" si="167"/>
        <v/>
      </c>
    </row>
    <row r="1431" spans="1:20">
      <c r="A1431" s="3">
        <v>5886</v>
      </c>
      <c r="B1431" s="83">
        <f t="array" ref="B1431">SUM(--(FREQUENCY(IF(C$2:C$3074=C1431, MATCH(D$2:D$3074, D$2:D$3074, 0)), ROW(D$2:D$3074)-ROW(D$2)+1) &gt; 0))</f>
        <v>102</v>
      </c>
      <c r="C1431" s="3">
        <v>41200006</v>
      </c>
      <c r="D1431" s="6" t="s">
        <v>2996</v>
      </c>
      <c r="E1431" s="3" t="s">
        <v>1405</v>
      </c>
      <c r="F1431" s="3" t="s">
        <v>1477</v>
      </c>
      <c r="G1431" s="68" t="str">
        <f t="shared" si="164"/>
        <v>SINGLE</v>
      </c>
      <c r="H1431" s="197">
        <f t="shared" si="168"/>
        <v>39</v>
      </c>
      <c r="I1431" s="197">
        <v>9</v>
      </c>
      <c r="J1431" s="197">
        <v>22</v>
      </c>
      <c r="K1431" s="186">
        <f t="shared" si="169"/>
        <v>45922</v>
      </c>
      <c r="L1431" s="3" t="s">
        <v>2395</v>
      </c>
      <c r="M1431" s="3" t="s">
        <v>1469</v>
      </c>
      <c r="N1431" s="3" t="str">
        <f t="shared" si="167"/>
        <v/>
      </c>
    </row>
    <row r="1432" spans="1:20">
      <c r="A1432" s="3">
        <v>5886</v>
      </c>
      <c r="B1432" s="83">
        <f t="array" ref="B1432">SUM(--(FREQUENCY(IF(C$2:C$3074=C1432, MATCH(D$2:D$3074, D$2:D$3074, 0)), ROW(D$2:D$3074)-ROW(D$2)+1) &gt; 0))</f>
        <v>102</v>
      </c>
      <c r="C1432" s="3">
        <v>41200006</v>
      </c>
      <c r="D1432" s="6" t="s">
        <v>2998</v>
      </c>
      <c r="E1432" s="3" t="s">
        <v>1405</v>
      </c>
      <c r="F1432" s="3" t="s">
        <v>1477</v>
      </c>
      <c r="G1432" s="68" t="str">
        <f t="shared" si="164"/>
        <v>SINGLE</v>
      </c>
      <c r="H1432" s="197">
        <f t="shared" si="168"/>
        <v>39</v>
      </c>
      <c r="I1432" s="197">
        <v>9</v>
      </c>
      <c r="J1432" s="197">
        <v>22</v>
      </c>
      <c r="K1432" s="186">
        <f t="shared" si="169"/>
        <v>45922</v>
      </c>
      <c r="L1432" s="3" t="s">
        <v>2395</v>
      </c>
      <c r="M1432" s="3" t="s">
        <v>1469</v>
      </c>
      <c r="N1432" s="3" t="str">
        <f t="shared" si="167"/>
        <v>NG</v>
      </c>
      <c r="O1432" s="3" t="s">
        <v>2368</v>
      </c>
      <c r="P1432" s="3" t="s">
        <v>2482</v>
      </c>
      <c r="Q1432" s="3">
        <v>11100935</v>
      </c>
      <c r="R1432" s="3" t="s">
        <v>932</v>
      </c>
      <c r="S1432" s="3" t="s">
        <v>5102</v>
      </c>
      <c r="T1432" s="3" t="s">
        <v>5248</v>
      </c>
    </row>
    <row r="1433" spans="1:20">
      <c r="A1433" s="3">
        <v>6011</v>
      </c>
      <c r="B1433" s="83">
        <f t="array" ref="B1433">SUM(--(FREQUENCY(IF(C$2:C$3074=C1433, MATCH(D$2:D$3074, D$2:D$3074, 0)), ROW(D$2:D$3074)-ROW(D$2)+1) &gt; 0))</f>
        <v>18</v>
      </c>
      <c r="C1433" s="3">
        <v>41200171</v>
      </c>
      <c r="D1433" s="6" t="s">
        <v>2999</v>
      </c>
      <c r="E1433" s="3" t="s">
        <v>1394</v>
      </c>
      <c r="F1433" s="3" t="s">
        <v>1479</v>
      </c>
      <c r="G1433" s="68" t="str">
        <f t="shared" si="164"/>
        <v>SINGLE</v>
      </c>
      <c r="H1433" s="197">
        <f t="shared" si="168"/>
        <v>39</v>
      </c>
      <c r="I1433" s="197">
        <v>9</v>
      </c>
      <c r="J1433" s="197">
        <v>23</v>
      </c>
      <c r="K1433" s="186">
        <f t="shared" si="169"/>
        <v>45923</v>
      </c>
      <c r="L1433" s="3" t="s">
        <v>2395</v>
      </c>
      <c r="M1433" s="3" t="s">
        <v>1468</v>
      </c>
      <c r="N1433" s="3" t="str">
        <f t="shared" si="167"/>
        <v>NG</v>
      </c>
      <c r="O1433" s="3" t="s">
        <v>2368</v>
      </c>
      <c r="P1433" s="3" t="s">
        <v>2482</v>
      </c>
      <c r="Q1433" s="3">
        <v>11002283</v>
      </c>
      <c r="R1433" s="3" t="s">
        <v>932</v>
      </c>
      <c r="S1433" s="3" t="s">
        <v>5102</v>
      </c>
      <c r="T1433" s="3" t="s">
        <v>5249</v>
      </c>
    </row>
    <row r="1434" spans="1:20">
      <c r="A1434" s="3">
        <v>6011</v>
      </c>
      <c r="B1434" s="83">
        <f t="array" ref="B1434">SUM(--(FREQUENCY(IF(C$2:C$3074=C1434, MATCH(D$2:D$3074, D$2:D$3074, 0)), ROW(D$2:D$3074)-ROW(D$2)+1) &gt; 0))</f>
        <v>18</v>
      </c>
      <c r="C1434" s="3">
        <v>41200171</v>
      </c>
      <c r="D1434" s="6" t="s">
        <v>3000</v>
      </c>
      <c r="E1434" s="3" t="s">
        <v>1394</v>
      </c>
      <c r="F1434" s="3" t="s">
        <v>1479</v>
      </c>
      <c r="G1434" s="68" t="str">
        <f t="shared" si="164"/>
        <v>SINGLE</v>
      </c>
      <c r="H1434" s="197">
        <f t="shared" ref="H1434:H1442" si="170">WEEKNUM(K1434)</f>
        <v>39</v>
      </c>
      <c r="I1434" s="197">
        <v>9</v>
      </c>
      <c r="J1434" s="197">
        <v>23</v>
      </c>
      <c r="K1434" s="186">
        <f t="shared" ref="K1434:K1442" si="171">DATE(2025, I1434, J1434)</f>
        <v>45923</v>
      </c>
      <c r="L1434" s="3" t="s">
        <v>2395</v>
      </c>
      <c r="M1434" s="3" t="s">
        <v>1468</v>
      </c>
      <c r="N1434" s="3" t="str">
        <f t="shared" si="167"/>
        <v/>
      </c>
    </row>
    <row r="1435" spans="1:20">
      <c r="A1435" s="3">
        <v>6011</v>
      </c>
      <c r="B1435" s="83">
        <f t="array" ref="B1435">SUM(--(FREQUENCY(IF(C$2:C$3074=C1435, MATCH(D$2:D$3074, D$2:D$3074, 0)), ROW(D$2:D$3074)-ROW(D$2)+1) &gt; 0))</f>
        <v>18</v>
      </c>
      <c r="C1435" s="3">
        <v>41200171</v>
      </c>
      <c r="D1435" s="6" t="s">
        <v>3001</v>
      </c>
      <c r="E1435" s="3" t="s">
        <v>1394</v>
      </c>
      <c r="F1435" s="3" t="s">
        <v>1479</v>
      </c>
      <c r="G1435" s="68" t="str">
        <f t="shared" si="164"/>
        <v>SINGLE</v>
      </c>
      <c r="H1435" s="197">
        <f t="shared" si="170"/>
        <v>39</v>
      </c>
      <c r="I1435" s="197">
        <v>9</v>
      </c>
      <c r="J1435" s="197">
        <v>23</v>
      </c>
      <c r="K1435" s="186">
        <f t="shared" si="171"/>
        <v>45923</v>
      </c>
      <c r="L1435" s="3" t="s">
        <v>2395</v>
      </c>
      <c r="M1435" s="3" t="s">
        <v>1468</v>
      </c>
      <c r="N1435" s="3" t="str">
        <f t="shared" si="167"/>
        <v/>
      </c>
    </row>
    <row r="1436" spans="1:20">
      <c r="A1436" s="3">
        <v>6011</v>
      </c>
      <c r="B1436" s="83">
        <f t="array" ref="B1436">SUM(--(FREQUENCY(IF(C$2:C$3074=C1436, MATCH(D$2:D$3074, D$2:D$3074, 0)), ROW(D$2:D$3074)-ROW(D$2)+1) &gt; 0))</f>
        <v>18</v>
      </c>
      <c r="C1436" s="3">
        <v>41200171</v>
      </c>
      <c r="D1436" s="6" t="s">
        <v>3002</v>
      </c>
      <c r="E1436" s="3" t="s">
        <v>1394</v>
      </c>
      <c r="F1436" s="3" t="s">
        <v>1479</v>
      </c>
      <c r="G1436" s="68" t="str">
        <f t="shared" si="164"/>
        <v>SINGLE</v>
      </c>
      <c r="H1436" s="197">
        <f t="shared" si="170"/>
        <v>39</v>
      </c>
      <c r="I1436" s="197">
        <v>9</v>
      </c>
      <c r="J1436" s="197">
        <v>23</v>
      </c>
      <c r="K1436" s="186">
        <f t="shared" si="171"/>
        <v>45923</v>
      </c>
      <c r="L1436" s="3" t="s">
        <v>2395</v>
      </c>
      <c r="M1436" s="3" t="s">
        <v>1468</v>
      </c>
      <c r="N1436" s="3" t="str">
        <f t="shared" si="167"/>
        <v>NG</v>
      </c>
      <c r="O1436" s="3" t="s">
        <v>2368</v>
      </c>
      <c r="P1436" s="3" t="s">
        <v>2482</v>
      </c>
      <c r="Q1436" s="3">
        <v>11002283</v>
      </c>
      <c r="R1436" s="3" t="s">
        <v>932</v>
      </c>
      <c r="S1436" s="3" t="s">
        <v>5102</v>
      </c>
      <c r="T1436" s="3" t="s">
        <v>5250</v>
      </c>
    </row>
    <row r="1437" spans="1:20">
      <c r="A1437" s="3">
        <v>6042</v>
      </c>
      <c r="B1437" s="83">
        <f t="array" ref="B1437">SUM(--(FREQUENCY(IF(C$2:C$3074=C1437, MATCH(D$2:D$3074, D$2:D$3074, 0)), ROW(D$2:D$3074)-ROW(D$2)+1) &gt; 0))</f>
        <v>7</v>
      </c>
      <c r="C1437" s="3">
        <v>41200042</v>
      </c>
      <c r="D1437" s="6" t="s">
        <v>3003</v>
      </c>
      <c r="E1437" s="3" t="s">
        <v>1426</v>
      </c>
      <c r="F1437" s="3" t="s">
        <v>1476</v>
      </c>
      <c r="G1437" s="68" t="str">
        <f t="shared" si="164"/>
        <v>DUAL</v>
      </c>
      <c r="H1437" s="197">
        <f t="shared" si="170"/>
        <v>39</v>
      </c>
      <c r="I1437" s="197">
        <v>9</v>
      </c>
      <c r="J1437" s="197">
        <v>23</v>
      </c>
      <c r="K1437" s="186">
        <f t="shared" si="171"/>
        <v>45923</v>
      </c>
      <c r="L1437" s="3" t="s">
        <v>2391</v>
      </c>
      <c r="M1437" s="3" t="s">
        <v>1468</v>
      </c>
      <c r="N1437" s="3" t="str">
        <f t="shared" si="167"/>
        <v/>
      </c>
    </row>
    <row r="1438" spans="1:20">
      <c r="A1438" s="3">
        <v>5957</v>
      </c>
      <c r="B1438" s="83">
        <f t="array" ref="B1438">SUM(--(FREQUENCY(IF(C$2:C$3074=C1438, MATCH(D$2:D$3074, D$2:D$3074, 0)), ROW(D$2:D$3074)-ROW(D$2)+1) &gt; 0))</f>
        <v>102</v>
      </c>
      <c r="C1438" s="3">
        <v>41200006</v>
      </c>
      <c r="D1438" s="6" t="s">
        <v>3004</v>
      </c>
      <c r="E1438" s="3" t="s">
        <v>1405</v>
      </c>
      <c r="F1438" s="3" t="s">
        <v>1477</v>
      </c>
      <c r="G1438" s="68" t="str">
        <f t="shared" si="164"/>
        <v>SINGLE</v>
      </c>
      <c r="H1438" s="197">
        <f t="shared" si="170"/>
        <v>39</v>
      </c>
      <c r="I1438" s="197">
        <v>9</v>
      </c>
      <c r="J1438" s="197">
        <v>23</v>
      </c>
      <c r="K1438" s="186">
        <f t="shared" si="171"/>
        <v>45923</v>
      </c>
      <c r="L1438" s="3" t="s">
        <v>2395</v>
      </c>
      <c r="M1438" s="3" t="s">
        <v>1469</v>
      </c>
      <c r="N1438" s="3" t="str">
        <f t="shared" si="167"/>
        <v/>
      </c>
    </row>
    <row r="1439" spans="1:20">
      <c r="A1439" s="3">
        <v>5957</v>
      </c>
      <c r="B1439" s="83">
        <f t="array" ref="B1439">SUM(--(FREQUENCY(IF(C$2:C$3074=C1439, MATCH(D$2:D$3074, D$2:D$3074, 0)), ROW(D$2:D$3074)-ROW(D$2)+1) &gt; 0))</f>
        <v>102</v>
      </c>
      <c r="C1439" s="3">
        <v>41200006</v>
      </c>
      <c r="D1439" s="6" t="s">
        <v>3005</v>
      </c>
      <c r="E1439" s="3" t="s">
        <v>1405</v>
      </c>
      <c r="F1439" s="3" t="s">
        <v>1477</v>
      </c>
      <c r="G1439" s="68" t="str">
        <f t="shared" si="164"/>
        <v>SINGLE</v>
      </c>
      <c r="H1439" s="197">
        <f t="shared" si="170"/>
        <v>39</v>
      </c>
      <c r="I1439" s="197">
        <v>9</v>
      </c>
      <c r="J1439" s="197">
        <v>23</v>
      </c>
      <c r="K1439" s="186">
        <f t="shared" si="171"/>
        <v>45923</v>
      </c>
      <c r="L1439" s="3" t="s">
        <v>2395</v>
      </c>
      <c r="M1439" s="3" t="s">
        <v>1469</v>
      </c>
      <c r="N1439" s="3" t="str">
        <f t="shared" si="167"/>
        <v/>
      </c>
    </row>
    <row r="1440" spans="1:20">
      <c r="A1440" s="3">
        <v>6004</v>
      </c>
      <c r="B1440" s="83">
        <f t="array" ref="B1440">SUM(--(FREQUENCY(IF(C$2:C$3074=C1440, MATCH(D$2:D$3074, D$2:D$3074, 0)), ROW(D$2:D$3074)-ROW(D$2)+1) &gt; 0))</f>
        <v>25</v>
      </c>
      <c r="C1440" s="3">
        <v>41200128</v>
      </c>
      <c r="D1440" s="6" t="s">
        <v>3006</v>
      </c>
      <c r="E1440" s="3" t="s">
        <v>1431</v>
      </c>
      <c r="F1440" s="3" t="s">
        <v>1591</v>
      </c>
      <c r="G1440" s="68" t="str">
        <f t="shared" si="164"/>
        <v>SINGLE</v>
      </c>
      <c r="H1440" s="197">
        <f t="shared" si="170"/>
        <v>39</v>
      </c>
      <c r="I1440" s="197">
        <v>9</v>
      </c>
      <c r="J1440" s="197">
        <v>23</v>
      </c>
      <c r="K1440" s="186">
        <f t="shared" si="171"/>
        <v>45923</v>
      </c>
      <c r="L1440" s="3" t="s">
        <v>2555</v>
      </c>
      <c r="M1440" s="3" t="s">
        <v>2555</v>
      </c>
      <c r="N1440" s="3" t="str">
        <f t="shared" si="167"/>
        <v/>
      </c>
    </row>
    <row r="1441" spans="1:20">
      <c r="A1441" s="3">
        <v>6004</v>
      </c>
      <c r="B1441" s="83">
        <f t="array" ref="B1441">SUM(--(FREQUENCY(IF(C$2:C$3074=C1441, MATCH(D$2:D$3074, D$2:D$3074, 0)), ROW(D$2:D$3074)-ROW(D$2)+1) &gt; 0))</f>
        <v>25</v>
      </c>
      <c r="C1441" s="3">
        <v>41200128</v>
      </c>
      <c r="D1441" s="6" t="s">
        <v>3014</v>
      </c>
      <c r="E1441" s="3" t="s">
        <v>1431</v>
      </c>
      <c r="F1441" s="3" t="s">
        <v>1591</v>
      </c>
      <c r="G1441" s="68" t="str">
        <f t="shared" si="164"/>
        <v>SINGLE</v>
      </c>
      <c r="H1441" s="197">
        <f t="shared" si="170"/>
        <v>39</v>
      </c>
      <c r="I1441" s="197">
        <v>9</v>
      </c>
      <c r="J1441" s="197">
        <v>23</v>
      </c>
      <c r="K1441" s="186">
        <f t="shared" si="171"/>
        <v>45923</v>
      </c>
      <c r="L1441" s="3" t="s">
        <v>2555</v>
      </c>
      <c r="M1441" s="3" t="s">
        <v>2555</v>
      </c>
      <c r="N1441" s="3" t="str">
        <f t="shared" si="167"/>
        <v/>
      </c>
    </row>
    <row r="1442" spans="1:20">
      <c r="A1442" s="3">
        <v>6050</v>
      </c>
      <c r="B1442" s="83">
        <f t="array" ref="B1442">SUM(--(FREQUENCY(IF(C$2:C$3074=C1442, MATCH(D$2:D$3074, D$2:D$3074, 0)), ROW(D$2:D$3074)-ROW(D$2)+1) &gt; 0))</f>
        <v>12</v>
      </c>
      <c r="C1442" s="3">
        <v>41200027</v>
      </c>
      <c r="D1442" s="6" t="s">
        <v>3007</v>
      </c>
      <c r="E1442" s="3" t="s">
        <v>1405</v>
      </c>
      <c r="F1442" s="3" t="s">
        <v>1591</v>
      </c>
      <c r="G1442" s="68" t="str">
        <f t="shared" ref="G1442:G1473" si="172">IF(OR(ISNUMBER(SEARCH("DUAL",F1442)), ISNUMBER(SEARCH("IVAS",F1442))), "DUAL", "SINGLE")</f>
        <v>SINGLE</v>
      </c>
      <c r="H1442" s="197">
        <f t="shared" si="170"/>
        <v>39</v>
      </c>
      <c r="I1442" s="197">
        <v>9</v>
      </c>
      <c r="J1442" s="197">
        <v>24</v>
      </c>
      <c r="K1442" s="186">
        <f t="shared" si="171"/>
        <v>45924</v>
      </c>
      <c r="L1442" s="3" t="s">
        <v>2391</v>
      </c>
      <c r="M1442" s="3" t="s">
        <v>1468</v>
      </c>
      <c r="N1442" s="3" t="str">
        <f t="shared" si="167"/>
        <v/>
      </c>
    </row>
    <row r="1443" spans="1:20">
      <c r="A1443" s="3">
        <v>6050</v>
      </c>
      <c r="B1443" s="83">
        <f t="array" ref="B1443">SUM(--(FREQUENCY(IF(C$2:C$3074=C1443, MATCH(D$2:D$3074, D$2:D$3074, 0)), ROW(D$2:D$3074)-ROW(D$2)+1) &gt; 0))</f>
        <v>12</v>
      </c>
      <c r="C1443" s="3">
        <v>41200027</v>
      </c>
      <c r="D1443" s="6" t="s">
        <v>3008</v>
      </c>
      <c r="E1443" s="3" t="s">
        <v>1405</v>
      </c>
      <c r="F1443" s="3" t="s">
        <v>1591</v>
      </c>
      <c r="G1443" s="68" t="str">
        <f t="shared" si="172"/>
        <v>SINGLE</v>
      </c>
      <c r="H1443" s="197">
        <f t="shared" ref="H1443:H1452" si="173">WEEKNUM(K1443)</f>
        <v>39</v>
      </c>
      <c r="I1443" s="197">
        <v>9</v>
      </c>
      <c r="J1443" s="197">
        <v>24</v>
      </c>
      <c r="K1443" s="186">
        <f t="shared" ref="K1443:K1452" si="174">DATE(2025, I1443, J1443)</f>
        <v>45924</v>
      </c>
      <c r="L1443" s="3" t="s">
        <v>2391</v>
      </c>
      <c r="M1443" s="3" t="s">
        <v>1468</v>
      </c>
      <c r="N1443" s="3" t="str">
        <f t="shared" si="167"/>
        <v>NG</v>
      </c>
      <c r="O1443" s="3" t="s">
        <v>2368</v>
      </c>
      <c r="P1443" s="3" t="s">
        <v>2482</v>
      </c>
      <c r="Q1443" s="3">
        <v>11002283</v>
      </c>
      <c r="R1443" s="3" t="s">
        <v>932</v>
      </c>
      <c r="S1443" s="3" t="s">
        <v>5102</v>
      </c>
      <c r="T1443" s="3" t="s">
        <v>5251</v>
      </c>
    </row>
    <row r="1444" spans="1:20">
      <c r="A1444" s="3">
        <v>6011</v>
      </c>
      <c r="B1444" s="83">
        <f t="array" ref="B1444">SUM(--(FREQUENCY(IF(C$2:C$3074=C1444, MATCH(D$2:D$3074, D$2:D$3074, 0)), ROW(D$2:D$3074)-ROW(D$2)+1) &gt; 0))</f>
        <v>18</v>
      </c>
      <c r="C1444" s="3">
        <v>41200171</v>
      </c>
      <c r="D1444" s="6" t="s">
        <v>3009</v>
      </c>
      <c r="E1444" s="3" t="s">
        <v>1394</v>
      </c>
      <c r="F1444" s="3" t="s">
        <v>1479</v>
      </c>
      <c r="G1444" s="41" t="str">
        <f t="shared" si="172"/>
        <v>SINGLE</v>
      </c>
      <c r="H1444" s="197">
        <f t="shared" si="173"/>
        <v>39</v>
      </c>
      <c r="I1444" s="197">
        <v>9</v>
      </c>
      <c r="J1444" s="197">
        <v>24</v>
      </c>
      <c r="K1444" s="186">
        <f t="shared" si="174"/>
        <v>45924</v>
      </c>
      <c r="L1444" s="3" t="s">
        <v>2395</v>
      </c>
      <c r="M1444" s="3" t="s">
        <v>1468</v>
      </c>
      <c r="N1444" s="3" t="str">
        <f t="shared" si="167"/>
        <v>NG</v>
      </c>
      <c r="O1444" s="3" t="s">
        <v>2368</v>
      </c>
      <c r="P1444" s="3" t="s">
        <v>2482</v>
      </c>
      <c r="Q1444" s="3">
        <v>11002283</v>
      </c>
      <c r="R1444" s="3" t="s">
        <v>932</v>
      </c>
      <c r="S1444" s="3" t="s">
        <v>5102</v>
      </c>
      <c r="T1444" s="3" t="s">
        <v>5250</v>
      </c>
    </row>
    <row r="1445" spans="1:20">
      <c r="A1445" s="3">
        <v>6011</v>
      </c>
      <c r="B1445" s="83">
        <f t="array" ref="B1445">SUM(--(FREQUENCY(IF(C$2:C$3074=C1445, MATCH(D$2:D$3074, D$2:D$3074, 0)), ROW(D$2:D$3074)-ROW(D$2)+1) &gt; 0))</f>
        <v>18</v>
      </c>
      <c r="C1445" s="3">
        <v>41200171</v>
      </c>
      <c r="D1445" s="6" t="s">
        <v>3009</v>
      </c>
      <c r="E1445" s="3" t="s">
        <v>1394</v>
      </c>
      <c r="F1445" s="3" t="s">
        <v>1479</v>
      </c>
      <c r="G1445" s="41" t="str">
        <f t="shared" si="172"/>
        <v>SINGLE</v>
      </c>
      <c r="H1445" s="197">
        <f t="shared" ref="H1445" si="175">WEEKNUM(K1445)</f>
        <v>39</v>
      </c>
      <c r="I1445" s="197">
        <v>9</v>
      </c>
      <c r="J1445" s="197">
        <v>24</v>
      </c>
      <c r="K1445" s="186">
        <f t="shared" ref="K1445" si="176">DATE(2025, I1445, J1445)</f>
        <v>45924</v>
      </c>
      <c r="L1445" s="3" t="s">
        <v>2395</v>
      </c>
      <c r="M1445" s="3" t="s">
        <v>1468</v>
      </c>
      <c r="N1445" s="3" t="str">
        <f t="shared" si="167"/>
        <v>NG</v>
      </c>
      <c r="O1445" s="3" t="s">
        <v>2368</v>
      </c>
      <c r="P1445" s="3" t="s">
        <v>2482</v>
      </c>
      <c r="Q1445" s="3">
        <v>11002283</v>
      </c>
      <c r="R1445" s="3" t="s">
        <v>932</v>
      </c>
      <c r="S1445" s="3" t="s">
        <v>5102</v>
      </c>
      <c r="T1445" s="3" t="s">
        <v>5252</v>
      </c>
    </row>
    <row r="1446" spans="1:20">
      <c r="A1446" s="3">
        <v>6011</v>
      </c>
      <c r="B1446" s="83">
        <f t="array" ref="B1446">SUM(--(FREQUENCY(IF(C$2:C$3074=C1446, MATCH(D$2:D$3074, D$2:D$3074, 0)), ROW(D$2:D$3074)-ROW(D$2)+1) &gt; 0))</f>
        <v>18</v>
      </c>
      <c r="C1446" s="3">
        <v>41200171</v>
      </c>
      <c r="D1446" s="6" t="s">
        <v>3010</v>
      </c>
      <c r="E1446" s="3" t="s">
        <v>1394</v>
      </c>
      <c r="F1446" s="3" t="s">
        <v>1479</v>
      </c>
      <c r="G1446" s="68" t="str">
        <f t="shared" si="172"/>
        <v>SINGLE</v>
      </c>
      <c r="H1446" s="197">
        <f t="shared" si="173"/>
        <v>39</v>
      </c>
      <c r="I1446" s="197">
        <v>9</v>
      </c>
      <c r="J1446" s="197">
        <v>24</v>
      </c>
      <c r="K1446" s="186">
        <f t="shared" si="174"/>
        <v>45924</v>
      </c>
      <c r="L1446" s="3" t="s">
        <v>2395</v>
      </c>
      <c r="M1446" s="3" t="s">
        <v>1468</v>
      </c>
      <c r="N1446" s="3" t="str">
        <f t="shared" si="167"/>
        <v>NG</v>
      </c>
      <c r="O1446" s="3" t="s">
        <v>2368</v>
      </c>
      <c r="P1446" s="3" t="s">
        <v>2482</v>
      </c>
      <c r="Q1446" s="3">
        <v>11002283</v>
      </c>
      <c r="R1446" s="3" t="s">
        <v>932</v>
      </c>
      <c r="S1446" s="3" t="s">
        <v>5102</v>
      </c>
      <c r="T1446" s="3" t="s">
        <v>5253</v>
      </c>
    </row>
    <row r="1447" spans="1:20">
      <c r="A1447" s="3">
        <v>6012</v>
      </c>
      <c r="B1447" s="83">
        <f t="array" ref="B1447">SUM(--(FREQUENCY(IF(C$2:C$3074=C1447, MATCH(D$2:D$3074, D$2:D$3074, 0)), ROW(D$2:D$3074)-ROW(D$2)+1) &gt; 0))</f>
        <v>1</v>
      </c>
      <c r="C1447" s="3">
        <v>41200091</v>
      </c>
      <c r="D1447" s="6" t="s">
        <v>3013</v>
      </c>
      <c r="E1447" s="3" t="s">
        <v>1424</v>
      </c>
      <c r="F1447" s="3" t="s">
        <v>1591</v>
      </c>
      <c r="G1447" s="68" t="str">
        <f t="shared" si="172"/>
        <v>SINGLE</v>
      </c>
      <c r="H1447" s="197">
        <f t="shared" si="173"/>
        <v>39</v>
      </c>
      <c r="I1447" s="197">
        <v>9</v>
      </c>
      <c r="J1447" s="197">
        <v>24</v>
      </c>
      <c r="K1447" s="186">
        <f t="shared" si="174"/>
        <v>45924</v>
      </c>
      <c r="L1447" s="3" t="s">
        <v>2395</v>
      </c>
      <c r="M1447" s="3" t="s">
        <v>1468</v>
      </c>
      <c r="N1447" s="3" t="str">
        <f t="shared" si="167"/>
        <v/>
      </c>
    </row>
    <row r="1448" spans="1:20">
      <c r="A1448" s="3">
        <v>6036</v>
      </c>
      <c r="B1448" s="83">
        <f t="array" ref="B1448">SUM(--(FREQUENCY(IF(C$2:C$3074=C1448, MATCH(D$2:D$3074, D$2:D$3074, 0)), ROW(D$2:D$3074)-ROW(D$2)+1) &gt; 0))</f>
        <v>20</v>
      </c>
      <c r="C1448" s="3">
        <v>41200033</v>
      </c>
      <c r="D1448" s="6" t="s">
        <v>3015</v>
      </c>
      <c r="E1448" s="3" t="s">
        <v>1426</v>
      </c>
      <c r="F1448" s="3" t="s">
        <v>1476</v>
      </c>
      <c r="G1448" s="68" t="str">
        <f t="shared" si="172"/>
        <v>DUAL</v>
      </c>
      <c r="H1448" s="197">
        <f t="shared" si="173"/>
        <v>39</v>
      </c>
      <c r="I1448" s="197">
        <v>9</v>
      </c>
      <c r="J1448" s="197">
        <v>24</v>
      </c>
      <c r="K1448" s="186">
        <f t="shared" si="174"/>
        <v>45924</v>
      </c>
      <c r="L1448" s="3" t="s">
        <v>2391</v>
      </c>
      <c r="M1448" s="3" t="s">
        <v>1469</v>
      </c>
      <c r="N1448" s="3" t="str">
        <f t="shared" si="167"/>
        <v/>
      </c>
    </row>
    <row r="1449" spans="1:20">
      <c r="A1449" s="3">
        <v>5981</v>
      </c>
      <c r="B1449" s="83">
        <f t="array" ref="B1449">SUM(--(FREQUENCY(IF(C$2:C$3074=C1449, MATCH(D$2:D$3074, D$2:D$3074, 0)), ROW(D$2:D$3074)-ROW(D$2)+1) &gt; 0))</f>
        <v>144</v>
      </c>
      <c r="C1449" s="3">
        <v>41200007</v>
      </c>
      <c r="D1449" s="6" t="s">
        <v>3017</v>
      </c>
      <c r="E1449" s="3" t="s">
        <v>1405</v>
      </c>
      <c r="F1449" s="3" t="s">
        <v>1591</v>
      </c>
      <c r="G1449" s="68" t="str">
        <f t="shared" si="172"/>
        <v>SINGLE</v>
      </c>
      <c r="H1449" s="197">
        <f t="shared" si="173"/>
        <v>39</v>
      </c>
      <c r="I1449" s="197">
        <v>9</v>
      </c>
      <c r="J1449" s="197">
        <v>24</v>
      </c>
      <c r="K1449" s="186">
        <f t="shared" si="174"/>
        <v>45924</v>
      </c>
      <c r="L1449" s="3" t="s">
        <v>2391</v>
      </c>
      <c r="M1449" s="3" t="s">
        <v>2392</v>
      </c>
      <c r="N1449" s="3" t="str">
        <f t="shared" si="167"/>
        <v/>
      </c>
    </row>
    <row r="1450" spans="1:20">
      <c r="A1450" s="3">
        <v>6050</v>
      </c>
      <c r="B1450" s="83">
        <f t="array" ref="B1450">SUM(--(FREQUENCY(IF(C$2:C$3074=C1450, MATCH(D$2:D$3074, D$2:D$3074, 0)), ROW(D$2:D$3074)-ROW(D$2)+1) &gt; 0))</f>
        <v>12</v>
      </c>
      <c r="C1450" s="3">
        <v>41200027</v>
      </c>
      <c r="D1450" s="6" t="s">
        <v>3019</v>
      </c>
      <c r="E1450" s="3" t="s">
        <v>1405</v>
      </c>
      <c r="F1450" s="3" t="s">
        <v>1591</v>
      </c>
      <c r="G1450" s="68" t="str">
        <f t="shared" si="172"/>
        <v>SINGLE</v>
      </c>
      <c r="H1450" s="197">
        <f t="shared" si="173"/>
        <v>39</v>
      </c>
      <c r="I1450" s="197">
        <v>9</v>
      </c>
      <c r="J1450" s="197">
        <v>24</v>
      </c>
      <c r="K1450" s="186">
        <f t="shared" si="174"/>
        <v>45924</v>
      </c>
      <c r="L1450" s="3" t="s">
        <v>2391</v>
      </c>
      <c r="M1450" s="3" t="s">
        <v>2392</v>
      </c>
      <c r="N1450" s="3" t="str">
        <f t="shared" si="167"/>
        <v/>
      </c>
    </row>
    <row r="1451" spans="1:20">
      <c r="A1451" s="3">
        <v>5938</v>
      </c>
      <c r="B1451" s="83">
        <f t="array" ref="B1451">SUM(--(FREQUENCY(IF(C$2:C$3074=C1451, MATCH(D$2:D$3074, D$2:D$3074, 0)), ROW(D$2:D$3074)-ROW(D$2)+1) &gt; 0))</f>
        <v>18</v>
      </c>
      <c r="C1451" s="3">
        <v>41100264</v>
      </c>
      <c r="D1451" s="6" t="s">
        <v>3020</v>
      </c>
      <c r="E1451" s="3" t="s">
        <v>1585</v>
      </c>
      <c r="F1451" s="3" t="s">
        <v>1591</v>
      </c>
      <c r="G1451" s="68" t="str">
        <f t="shared" si="172"/>
        <v>SINGLE</v>
      </c>
      <c r="H1451" s="197">
        <f t="shared" si="173"/>
        <v>39</v>
      </c>
      <c r="I1451" s="197">
        <v>9</v>
      </c>
      <c r="J1451" s="197">
        <v>24</v>
      </c>
      <c r="K1451" s="186">
        <f t="shared" si="174"/>
        <v>45924</v>
      </c>
      <c r="L1451" s="3" t="s">
        <v>2391</v>
      </c>
      <c r="M1451" s="3" t="s">
        <v>1468</v>
      </c>
      <c r="N1451" s="3" t="str">
        <f t="shared" si="167"/>
        <v/>
      </c>
    </row>
    <row r="1452" spans="1:20">
      <c r="A1452" s="3">
        <v>5938</v>
      </c>
      <c r="B1452" s="83">
        <f t="array" ref="B1452">SUM(--(FREQUENCY(IF(C$2:C$3074=C1452, MATCH(D$2:D$3074, D$2:D$3074, 0)), ROW(D$2:D$3074)-ROW(D$2)+1) &gt; 0))</f>
        <v>18</v>
      </c>
      <c r="C1452" s="3">
        <v>41100264</v>
      </c>
      <c r="D1452" s="6" t="s">
        <v>3021</v>
      </c>
      <c r="E1452" s="3" t="s">
        <v>1585</v>
      </c>
      <c r="F1452" s="3" t="s">
        <v>1591</v>
      </c>
      <c r="G1452" s="68" t="str">
        <f t="shared" si="172"/>
        <v>SINGLE</v>
      </c>
      <c r="H1452" s="197">
        <f t="shared" si="173"/>
        <v>39</v>
      </c>
      <c r="I1452" s="197">
        <v>9</v>
      </c>
      <c r="J1452" s="197">
        <v>24</v>
      </c>
      <c r="K1452" s="186">
        <f t="shared" si="174"/>
        <v>45924</v>
      </c>
      <c r="L1452" s="3" t="s">
        <v>2391</v>
      </c>
      <c r="M1452" s="3" t="s">
        <v>1468</v>
      </c>
      <c r="N1452" s="3" t="str">
        <f t="shared" ref="N1452:N1483" si="177">IF(O1452&lt;&gt;"", "NG", "")</f>
        <v/>
      </c>
    </row>
    <row r="1453" spans="1:20">
      <c r="A1453" s="3">
        <v>5980</v>
      </c>
      <c r="B1453" s="83">
        <f t="array" ref="B1453">SUM(--(FREQUENCY(IF(C$2:C$3074=C1453, MATCH(D$2:D$3074, D$2:D$3074, 0)), ROW(D$2:D$3074)-ROW(D$2)+1) &gt; 0))</f>
        <v>18</v>
      </c>
      <c r="C1453" s="3">
        <v>41200053</v>
      </c>
      <c r="D1453" s="6" t="s">
        <v>3022</v>
      </c>
      <c r="E1453" s="3" t="s">
        <v>1405</v>
      </c>
      <c r="F1453" s="3" t="s">
        <v>1616</v>
      </c>
      <c r="G1453" s="68" t="str">
        <f t="shared" si="172"/>
        <v>SINGLE</v>
      </c>
      <c r="H1453" s="197">
        <f t="shared" ref="H1453:H1463" si="178">WEEKNUM(K1453)</f>
        <v>39</v>
      </c>
      <c r="I1453" s="197">
        <v>9</v>
      </c>
      <c r="J1453" s="197">
        <v>25</v>
      </c>
      <c r="K1453" s="186">
        <f t="shared" ref="K1453:K1463" si="179">DATE(2025, I1453, J1453)</f>
        <v>45925</v>
      </c>
      <c r="L1453" s="3" t="s">
        <v>2392</v>
      </c>
      <c r="M1453" s="3" t="s">
        <v>1469</v>
      </c>
      <c r="N1453" s="3" t="str">
        <f t="shared" si="177"/>
        <v/>
      </c>
    </row>
    <row r="1454" spans="1:20">
      <c r="A1454" s="3">
        <v>5980</v>
      </c>
      <c r="B1454" s="83">
        <f t="array" ref="B1454">SUM(--(FREQUENCY(IF(C$2:C$3074=C1454, MATCH(D$2:D$3074, D$2:D$3074, 0)), ROW(D$2:D$3074)-ROW(D$2)+1) &gt; 0))</f>
        <v>18</v>
      </c>
      <c r="C1454" s="3">
        <v>41200053</v>
      </c>
      <c r="D1454" s="6" t="s">
        <v>3023</v>
      </c>
      <c r="E1454" s="3" t="s">
        <v>1405</v>
      </c>
      <c r="F1454" s="3" t="s">
        <v>1616</v>
      </c>
      <c r="G1454" s="68" t="str">
        <f t="shared" si="172"/>
        <v>SINGLE</v>
      </c>
      <c r="H1454" s="197">
        <f t="shared" si="178"/>
        <v>39</v>
      </c>
      <c r="I1454" s="197">
        <v>9</v>
      </c>
      <c r="J1454" s="197">
        <v>25</v>
      </c>
      <c r="K1454" s="186">
        <f t="shared" si="179"/>
        <v>45925</v>
      </c>
      <c r="L1454" s="3" t="s">
        <v>2392</v>
      </c>
      <c r="M1454" s="3" t="s">
        <v>1469</v>
      </c>
      <c r="N1454" s="3" t="str">
        <f t="shared" si="177"/>
        <v/>
      </c>
    </row>
    <row r="1455" spans="1:20">
      <c r="A1455" s="3">
        <v>6085</v>
      </c>
      <c r="B1455" s="83">
        <f t="array" ref="B1455">SUM(--(FREQUENCY(IF(C$2:C$3074=C1455, MATCH(D$2:D$3074, D$2:D$3074, 0)), ROW(D$2:D$3074)-ROW(D$2)+1) &gt; 0))</f>
        <v>17</v>
      </c>
      <c r="C1455" s="3">
        <v>41000558</v>
      </c>
      <c r="D1455" s="6" t="s">
        <v>5254</v>
      </c>
      <c r="E1455" s="3" t="s">
        <v>1405</v>
      </c>
      <c r="F1455" s="3" t="s">
        <v>1401</v>
      </c>
      <c r="G1455" s="68" t="str">
        <f t="shared" si="172"/>
        <v>SINGLE</v>
      </c>
      <c r="H1455" s="197">
        <f>WEEKNUM(K1455)</f>
        <v>39</v>
      </c>
      <c r="I1455" s="197">
        <v>9</v>
      </c>
      <c r="J1455" s="197">
        <v>25</v>
      </c>
      <c r="K1455" s="186">
        <f>DATE(2025, I1455, J1455)</f>
        <v>45925</v>
      </c>
      <c r="L1455" s="3" t="s">
        <v>5127</v>
      </c>
      <c r="M1455" s="3" t="s">
        <v>2392</v>
      </c>
      <c r="N1455" s="3" t="str">
        <f t="shared" si="177"/>
        <v/>
      </c>
    </row>
    <row r="1456" spans="1:20">
      <c r="A1456" s="3">
        <v>6113</v>
      </c>
      <c r="B1456" s="83">
        <f t="array" ref="B1456">SUM(--(FREQUENCY(IF(C$2:C$3074=C1456, MATCH(D$2:D$3074, D$2:D$3074, 0)), ROW(D$2:D$3074)-ROW(D$2)+1) &gt; 0))</f>
        <v>44</v>
      </c>
      <c r="C1456" s="3">
        <v>41200108</v>
      </c>
      <c r="D1456" s="6" t="s">
        <v>1890</v>
      </c>
      <c r="E1456" s="3" t="s">
        <v>1409</v>
      </c>
      <c r="F1456" s="3" t="s">
        <v>1479</v>
      </c>
      <c r="G1456" s="41" t="str">
        <f t="shared" si="172"/>
        <v>SINGLE</v>
      </c>
      <c r="H1456" s="197">
        <f t="shared" si="178"/>
        <v>39</v>
      </c>
      <c r="I1456" s="197">
        <v>9</v>
      </c>
      <c r="J1456" s="197">
        <v>25</v>
      </c>
      <c r="K1456" s="186">
        <f t="shared" si="179"/>
        <v>45925</v>
      </c>
      <c r="L1456" s="3" t="s">
        <v>2392</v>
      </c>
      <c r="M1456" s="3" t="s">
        <v>1469</v>
      </c>
      <c r="N1456" s="3" t="str">
        <f t="shared" si="177"/>
        <v/>
      </c>
    </row>
    <row r="1457" spans="1:20">
      <c r="A1457" s="3">
        <v>6113</v>
      </c>
      <c r="B1457" s="83">
        <f t="array" ref="B1457">SUM(--(FREQUENCY(IF(C$2:C$3074=C1457, MATCH(D$2:D$3074, D$2:D$3074, 0)), ROW(D$2:D$3074)-ROW(D$2)+1) &gt; 0))</f>
        <v>44</v>
      </c>
      <c r="C1457" s="3">
        <v>41200108</v>
      </c>
      <c r="D1457" s="6" t="s">
        <v>1891</v>
      </c>
      <c r="E1457" s="3" t="s">
        <v>1409</v>
      </c>
      <c r="F1457" s="3" t="s">
        <v>1479</v>
      </c>
      <c r="G1457" s="41" t="str">
        <f t="shared" si="172"/>
        <v>SINGLE</v>
      </c>
      <c r="H1457" s="197">
        <f t="shared" si="178"/>
        <v>39</v>
      </c>
      <c r="I1457" s="197">
        <v>9</v>
      </c>
      <c r="J1457" s="197">
        <v>25</v>
      </c>
      <c r="K1457" s="186">
        <f t="shared" si="179"/>
        <v>45925</v>
      </c>
      <c r="L1457" s="3" t="s">
        <v>2392</v>
      </c>
      <c r="M1457" s="3" t="s">
        <v>1469</v>
      </c>
      <c r="N1457" s="3" t="str">
        <f t="shared" si="177"/>
        <v/>
      </c>
    </row>
    <row r="1458" spans="1:20">
      <c r="A1458" s="3">
        <v>6011</v>
      </c>
      <c r="B1458" s="83">
        <f t="array" ref="B1458">SUM(--(FREQUENCY(IF(C$2:C$3074=C1458, MATCH(D$2:D$3074, D$2:D$3074, 0)), ROW(D$2:D$3074)-ROW(D$2)+1) &gt; 0))</f>
        <v>18</v>
      </c>
      <c r="C1458" s="3">
        <v>41200171</v>
      </c>
      <c r="D1458" s="6" t="s">
        <v>3024</v>
      </c>
      <c r="E1458" s="3" t="s">
        <v>1394</v>
      </c>
      <c r="F1458" s="3" t="s">
        <v>1479</v>
      </c>
      <c r="G1458" s="68" t="str">
        <f t="shared" si="172"/>
        <v>SINGLE</v>
      </c>
      <c r="H1458" s="197">
        <f t="shared" si="178"/>
        <v>39</v>
      </c>
      <c r="I1458" s="197">
        <v>9</v>
      </c>
      <c r="J1458" s="197">
        <v>25</v>
      </c>
      <c r="K1458" s="186">
        <f t="shared" si="179"/>
        <v>45925</v>
      </c>
      <c r="L1458" s="3" t="s">
        <v>2395</v>
      </c>
      <c r="M1458" s="3" t="s">
        <v>1468</v>
      </c>
      <c r="N1458" s="3" t="str">
        <f t="shared" si="177"/>
        <v/>
      </c>
    </row>
    <row r="1459" spans="1:20">
      <c r="A1459" s="3">
        <v>6011</v>
      </c>
      <c r="B1459" s="83">
        <f t="array" ref="B1459">SUM(--(FREQUENCY(IF(C$2:C$3074=C1459, MATCH(D$2:D$3074, D$2:D$3074, 0)), ROW(D$2:D$3074)-ROW(D$2)+1) &gt; 0))</f>
        <v>18</v>
      </c>
      <c r="C1459" s="3">
        <v>41200171</v>
      </c>
      <c r="D1459" s="6" t="s">
        <v>3025</v>
      </c>
      <c r="E1459" s="3" t="s">
        <v>1394</v>
      </c>
      <c r="F1459" s="3" t="s">
        <v>1479</v>
      </c>
      <c r="G1459" s="68" t="str">
        <f t="shared" si="172"/>
        <v>SINGLE</v>
      </c>
      <c r="H1459" s="197">
        <f t="shared" si="178"/>
        <v>39</v>
      </c>
      <c r="I1459" s="197">
        <v>9</v>
      </c>
      <c r="J1459" s="197">
        <v>25</v>
      </c>
      <c r="K1459" s="186">
        <f t="shared" si="179"/>
        <v>45925</v>
      </c>
      <c r="L1459" s="3" t="s">
        <v>2395</v>
      </c>
      <c r="M1459" s="3" t="s">
        <v>1468</v>
      </c>
      <c r="N1459" s="3" t="str">
        <f t="shared" si="177"/>
        <v/>
      </c>
    </row>
    <row r="1460" spans="1:20">
      <c r="A1460" s="3">
        <v>6004</v>
      </c>
      <c r="B1460" s="83">
        <f t="array" ref="B1460">SUM(--(FREQUENCY(IF(C$2:C$3074=C1460, MATCH(D$2:D$3074, D$2:D$3074, 0)), ROW(D$2:D$3074)-ROW(D$2)+1) &gt; 0))</f>
        <v>25</v>
      </c>
      <c r="C1460" s="3">
        <v>41200128</v>
      </c>
      <c r="D1460" s="6" t="s">
        <v>3042</v>
      </c>
      <c r="E1460" s="3" t="s">
        <v>1431</v>
      </c>
      <c r="F1460" s="3" t="s">
        <v>1591</v>
      </c>
      <c r="G1460" s="68" t="str">
        <f t="shared" si="172"/>
        <v>SINGLE</v>
      </c>
      <c r="H1460" s="197">
        <f t="shared" si="178"/>
        <v>39</v>
      </c>
      <c r="I1460" s="197">
        <v>9</v>
      </c>
      <c r="J1460" s="197">
        <v>25</v>
      </c>
      <c r="K1460" s="186">
        <f t="shared" si="179"/>
        <v>45925</v>
      </c>
      <c r="L1460" s="3" t="s">
        <v>2555</v>
      </c>
      <c r="M1460" s="3" t="s">
        <v>2555</v>
      </c>
      <c r="N1460" s="3" t="str">
        <f t="shared" si="177"/>
        <v/>
      </c>
    </row>
    <row r="1461" spans="1:20">
      <c r="A1461" s="3">
        <v>6077</v>
      </c>
      <c r="B1461" s="83">
        <f t="array" ref="B1461">SUM(--(FREQUENCY(IF(C$2:C$3074=C1461, MATCH(D$2:D$3074, D$2:D$3074, 0)), ROW(D$2:D$3074)-ROW(D$2)+1) &gt; 0))</f>
        <v>17</v>
      </c>
      <c r="C1461" s="3">
        <v>41000558</v>
      </c>
      <c r="D1461" s="6" t="s">
        <v>5255</v>
      </c>
      <c r="E1461" s="3" t="s">
        <v>1405</v>
      </c>
      <c r="F1461" s="3" t="s">
        <v>1401</v>
      </c>
      <c r="G1461" s="68" t="str">
        <f t="shared" si="172"/>
        <v>SINGLE</v>
      </c>
      <c r="H1461" s="197">
        <f t="shared" si="178"/>
        <v>39</v>
      </c>
      <c r="I1461" s="197">
        <v>9</v>
      </c>
      <c r="J1461" s="197">
        <v>25</v>
      </c>
      <c r="K1461" s="186">
        <f t="shared" si="179"/>
        <v>45925</v>
      </c>
      <c r="L1461" s="3" t="s">
        <v>5127</v>
      </c>
      <c r="M1461" s="3" t="s">
        <v>2392</v>
      </c>
      <c r="N1461" s="3" t="str">
        <f t="shared" si="177"/>
        <v/>
      </c>
    </row>
    <row r="1462" spans="1:20">
      <c r="A1462" s="3">
        <v>6077</v>
      </c>
      <c r="B1462" s="83">
        <f t="array" ref="B1462">SUM(--(FREQUENCY(IF(C$2:C$3074=C1462, MATCH(D$2:D$3074, D$2:D$3074, 0)), ROW(D$2:D$3074)-ROW(D$2)+1) &gt; 0))</f>
        <v>17</v>
      </c>
      <c r="C1462" s="3">
        <v>41000558</v>
      </c>
      <c r="D1462" s="6" t="s">
        <v>5256</v>
      </c>
      <c r="E1462" s="3" t="s">
        <v>1405</v>
      </c>
      <c r="F1462" s="3" t="s">
        <v>1401</v>
      </c>
      <c r="G1462" s="68" t="str">
        <f t="shared" si="172"/>
        <v>SINGLE</v>
      </c>
      <c r="H1462" s="197">
        <f t="shared" si="178"/>
        <v>39</v>
      </c>
      <c r="I1462" s="197">
        <v>9</v>
      </c>
      <c r="J1462" s="197">
        <v>25</v>
      </c>
      <c r="K1462" s="186">
        <f t="shared" si="179"/>
        <v>45925</v>
      </c>
      <c r="L1462" s="3" t="s">
        <v>5127</v>
      </c>
      <c r="M1462" s="3" t="s">
        <v>2392</v>
      </c>
      <c r="N1462" s="3" t="str">
        <f t="shared" si="177"/>
        <v/>
      </c>
    </row>
    <row r="1463" spans="1:20">
      <c r="A1463" s="3">
        <v>5981</v>
      </c>
      <c r="B1463" s="83">
        <f t="array" ref="B1463">SUM(--(FREQUENCY(IF(C$2:C$3074=C1463, MATCH(D$2:D$3074, D$2:D$3074, 0)), ROW(D$2:D$3074)-ROW(D$2)+1) &gt; 0))</f>
        <v>144</v>
      </c>
      <c r="C1463" s="3">
        <v>41200007</v>
      </c>
      <c r="D1463" s="6" t="s">
        <v>3033</v>
      </c>
      <c r="E1463" s="3" t="s">
        <v>1405</v>
      </c>
      <c r="F1463" s="3" t="s">
        <v>1591</v>
      </c>
      <c r="G1463" s="68" t="str">
        <f t="shared" si="172"/>
        <v>SINGLE</v>
      </c>
      <c r="H1463" s="197">
        <f t="shared" si="178"/>
        <v>39</v>
      </c>
      <c r="I1463" s="197">
        <v>9</v>
      </c>
      <c r="J1463" s="197">
        <v>26</v>
      </c>
      <c r="K1463" s="186">
        <f t="shared" si="179"/>
        <v>45926</v>
      </c>
      <c r="L1463" s="3" t="s">
        <v>2391</v>
      </c>
      <c r="M1463" s="3" t="s">
        <v>2392</v>
      </c>
      <c r="N1463" s="3" t="str">
        <f t="shared" si="177"/>
        <v/>
      </c>
    </row>
    <row r="1464" spans="1:20">
      <c r="A1464" s="3">
        <v>5981</v>
      </c>
      <c r="B1464" s="83">
        <f t="array" ref="B1464">SUM(--(FREQUENCY(IF(C$2:C$3074=C1464, MATCH(D$2:D$3074, D$2:D$3074, 0)), ROW(D$2:D$3074)-ROW(D$2)+1) &gt; 0))</f>
        <v>144</v>
      </c>
      <c r="C1464" s="3">
        <v>41200007</v>
      </c>
      <c r="D1464" s="6" t="s">
        <v>3035</v>
      </c>
      <c r="E1464" s="3" t="s">
        <v>1405</v>
      </c>
      <c r="F1464" s="3" t="s">
        <v>1591</v>
      </c>
      <c r="G1464" s="68" t="str">
        <f t="shared" si="172"/>
        <v>SINGLE</v>
      </c>
      <c r="H1464" s="197">
        <f t="shared" ref="H1464:H1470" si="180">WEEKNUM(K1464)</f>
        <v>39</v>
      </c>
      <c r="I1464" s="197">
        <v>9</v>
      </c>
      <c r="J1464" s="197">
        <v>26</v>
      </c>
      <c r="K1464" s="186">
        <f t="shared" ref="K1464:K1470" si="181">DATE(2025, I1464, J1464)</f>
        <v>45926</v>
      </c>
      <c r="L1464" s="3" t="s">
        <v>2391</v>
      </c>
      <c r="M1464" s="3" t="s">
        <v>2392</v>
      </c>
      <c r="N1464" s="3" t="str">
        <f t="shared" si="177"/>
        <v/>
      </c>
    </row>
    <row r="1465" spans="1:20">
      <c r="A1465" s="3">
        <v>5981</v>
      </c>
      <c r="B1465" s="83">
        <f t="array" ref="B1465">SUM(--(FREQUENCY(IF(C$2:C$3074=C1465, MATCH(D$2:D$3074, D$2:D$3074, 0)), ROW(D$2:D$3074)-ROW(D$2)+1) &gt; 0))</f>
        <v>144</v>
      </c>
      <c r="C1465" s="3">
        <v>41200007</v>
      </c>
      <c r="D1465" s="6" t="s">
        <v>3026</v>
      </c>
      <c r="E1465" s="3" t="s">
        <v>1405</v>
      </c>
      <c r="F1465" s="3" t="s">
        <v>1591</v>
      </c>
      <c r="G1465" s="68" t="str">
        <f t="shared" si="172"/>
        <v>SINGLE</v>
      </c>
      <c r="H1465" s="197">
        <f t="shared" si="180"/>
        <v>39</v>
      </c>
      <c r="I1465" s="197">
        <v>9</v>
      </c>
      <c r="J1465" s="197">
        <v>26</v>
      </c>
      <c r="K1465" s="186">
        <f t="shared" si="181"/>
        <v>45926</v>
      </c>
      <c r="L1465" s="3" t="s">
        <v>2395</v>
      </c>
      <c r="M1465" s="3" t="s">
        <v>1468</v>
      </c>
      <c r="N1465" s="3" t="str">
        <f t="shared" si="177"/>
        <v>NG</v>
      </c>
      <c r="O1465" s="3" t="s">
        <v>2368</v>
      </c>
      <c r="P1465" s="3" t="s">
        <v>2563</v>
      </c>
      <c r="Q1465" s="3">
        <v>11000198</v>
      </c>
      <c r="R1465" s="3" t="s">
        <v>816</v>
      </c>
      <c r="S1465" s="3" t="s">
        <v>5257</v>
      </c>
    </row>
    <row r="1466" spans="1:20">
      <c r="A1466" s="3">
        <v>5981</v>
      </c>
      <c r="B1466" s="83">
        <f t="array" ref="B1466">SUM(--(FREQUENCY(IF(C$2:C$3074=C1466, MATCH(D$2:D$3074, D$2:D$3074, 0)), ROW(D$2:D$3074)-ROW(D$2)+1) &gt; 0))</f>
        <v>144</v>
      </c>
      <c r="C1466" s="3">
        <v>41200007</v>
      </c>
      <c r="D1466" s="6" t="s">
        <v>3027</v>
      </c>
      <c r="E1466" s="3" t="s">
        <v>1405</v>
      </c>
      <c r="F1466" s="3" t="s">
        <v>1591</v>
      </c>
      <c r="G1466" s="68" t="str">
        <f t="shared" si="172"/>
        <v>SINGLE</v>
      </c>
      <c r="H1466" s="197">
        <f t="shared" si="180"/>
        <v>39</v>
      </c>
      <c r="I1466" s="197">
        <v>9</v>
      </c>
      <c r="J1466" s="197">
        <v>26</v>
      </c>
      <c r="K1466" s="186">
        <f t="shared" si="181"/>
        <v>45926</v>
      </c>
      <c r="L1466" s="3" t="s">
        <v>2395</v>
      </c>
      <c r="M1466" s="3" t="s">
        <v>1468</v>
      </c>
      <c r="N1466" s="3" t="str">
        <f t="shared" si="177"/>
        <v/>
      </c>
    </row>
    <row r="1467" spans="1:20">
      <c r="A1467" s="3">
        <v>5842</v>
      </c>
      <c r="B1467" s="83">
        <f t="array" ref="B1467">SUM(--(FREQUENCY(IF(C$2:C$3074=C1467, MATCH(D$2:D$3074, D$2:D$3074, 0)), ROW(D$2:D$3074)-ROW(D$2)+1) &gt; 0))</f>
        <v>77</v>
      </c>
      <c r="C1467" s="3">
        <v>41200076</v>
      </c>
      <c r="D1467" s="6" t="s">
        <v>3028</v>
      </c>
      <c r="E1467" s="3" t="s">
        <v>1585</v>
      </c>
      <c r="F1467" s="3" t="s">
        <v>1476</v>
      </c>
      <c r="G1467" s="68" t="str">
        <f t="shared" si="172"/>
        <v>DUAL</v>
      </c>
      <c r="H1467" s="197">
        <f t="shared" si="180"/>
        <v>39</v>
      </c>
      <c r="I1467" s="197">
        <v>9</v>
      </c>
      <c r="J1467" s="197">
        <v>26</v>
      </c>
      <c r="K1467" s="186">
        <f t="shared" si="181"/>
        <v>45926</v>
      </c>
      <c r="L1467" s="3" t="s">
        <v>2391</v>
      </c>
      <c r="M1467" s="3" t="s">
        <v>1468</v>
      </c>
      <c r="N1467" s="3" t="str">
        <f t="shared" si="177"/>
        <v/>
      </c>
    </row>
    <row r="1468" spans="1:20">
      <c r="A1468" s="3">
        <v>5919</v>
      </c>
      <c r="B1468" s="83">
        <f t="array" ref="B1468">SUM(--(FREQUENCY(IF(C$2:C$3074=C1468, MATCH(D$2:D$3074, D$2:D$3074, 0)), ROW(D$2:D$3074)-ROW(D$2)+1) &gt; 0))</f>
        <v>20</v>
      </c>
      <c r="C1468" s="3">
        <v>41200033</v>
      </c>
      <c r="D1468" s="6" t="s">
        <v>3029</v>
      </c>
      <c r="E1468" s="3" t="s">
        <v>1426</v>
      </c>
      <c r="F1468" s="3" t="s">
        <v>1476</v>
      </c>
      <c r="G1468" s="68" t="str">
        <f t="shared" si="172"/>
        <v>DUAL</v>
      </c>
      <c r="H1468" s="197">
        <f t="shared" si="180"/>
        <v>39</v>
      </c>
      <c r="I1468" s="197">
        <v>9</v>
      </c>
      <c r="J1468" s="197">
        <v>26</v>
      </c>
      <c r="K1468" s="186">
        <f t="shared" si="181"/>
        <v>45926</v>
      </c>
      <c r="L1468" s="3" t="s">
        <v>2391</v>
      </c>
      <c r="M1468" s="3" t="s">
        <v>1468</v>
      </c>
      <c r="N1468" s="3" t="str">
        <f t="shared" si="177"/>
        <v/>
      </c>
    </row>
    <row r="1469" spans="1:20">
      <c r="A1469" s="3">
        <v>5978</v>
      </c>
      <c r="B1469" s="83">
        <f t="array" ref="B1469">SUM(--(FREQUENCY(IF(C$2:C$3074=C1469, MATCH(D$2:D$3074, D$2:D$3074, 0)), ROW(D$2:D$3074)-ROW(D$2)+1) &gt; 0))</f>
        <v>26</v>
      </c>
      <c r="C1469" s="3">
        <v>41200074</v>
      </c>
      <c r="D1469" s="6" t="s">
        <v>3030</v>
      </c>
      <c r="E1469" s="3" t="s">
        <v>1405</v>
      </c>
      <c r="F1469" s="3" t="s">
        <v>1478</v>
      </c>
      <c r="G1469" s="68" t="str">
        <f t="shared" si="172"/>
        <v>DUAL</v>
      </c>
      <c r="H1469" s="197">
        <f t="shared" si="180"/>
        <v>39</v>
      </c>
      <c r="I1469" s="197">
        <v>9</v>
      </c>
      <c r="J1469" s="197">
        <v>26</v>
      </c>
      <c r="K1469" s="186">
        <f t="shared" si="181"/>
        <v>45926</v>
      </c>
      <c r="L1469" s="3" t="s">
        <v>2395</v>
      </c>
      <c r="M1469" s="3" t="s">
        <v>1469</v>
      </c>
      <c r="N1469" s="3" t="str">
        <f t="shared" si="177"/>
        <v/>
      </c>
    </row>
    <row r="1470" spans="1:20">
      <c r="A1470" s="3">
        <v>5978</v>
      </c>
      <c r="B1470" s="83">
        <f t="array" ref="B1470">SUM(--(FREQUENCY(IF(C$2:C$3074=C1470, MATCH(D$2:D$3074, D$2:D$3074, 0)), ROW(D$2:D$3074)-ROW(D$2)+1) &gt; 0))</f>
        <v>26</v>
      </c>
      <c r="C1470" s="3">
        <v>41200074</v>
      </c>
      <c r="D1470" s="6" t="s">
        <v>3031</v>
      </c>
      <c r="E1470" s="3" t="s">
        <v>1405</v>
      </c>
      <c r="F1470" s="3" t="s">
        <v>1478</v>
      </c>
      <c r="G1470" s="41" t="str">
        <f t="shared" si="172"/>
        <v>DUAL</v>
      </c>
      <c r="H1470" s="197">
        <f t="shared" si="180"/>
        <v>39</v>
      </c>
      <c r="I1470" s="197">
        <v>9</v>
      </c>
      <c r="J1470" s="197">
        <v>26</v>
      </c>
      <c r="K1470" s="186">
        <f t="shared" si="181"/>
        <v>45926</v>
      </c>
      <c r="L1470" s="3" t="s">
        <v>2395</v>
      </c>
      <c r="M1470" s="3" t="s">
        <v>1469</v>
      </c>
      <c r="N1470" s="3" t="str">
        <f t="shared" si="177"/>
        <v>NG</v>
      </c>
      <c r="O1470" s="3" t="s">
        <v>2368</v>
      </c>
      <c r="P1470" s="3" t="s">
        <v>2826</v>
      </c>
      <c r="Q1470" s="3">
        <v>11000234</v>
      </c>
      <c r="R1470" s="3" t="s">
        <v>331</v>
      </c>
      <c r="S1470" s="3" t="s">
        <v>5258</v>
      </c>
    </row>
    <row r="1471" spans="1:20">
      <c r="A1471" s="3">
        <v>5978</v>
      </c>
      <c r="B1471" s="83">
        <f t="array" ref="B1471">SUM(--(FREQUENCY(IF(C$2:C$3074=C1471, MATCH(D$2:D$3074, D$2:D$3074, 0)), ROW(D$2:D$3074)-ROW(D$2)+1) &gt; 0))</f>
        <v>26</v>
      </c>
      <c r="C1471" s="3">
        <v>41200074</v>
      </c>
      <c r="D1471" s="6" t="s">
        <v>3031</v>
      </c>
      <c r="E1471" s="3" t="s">
        <v>1405</v>
      </c>
      <c r="F1471" s="3" t="s">
        <v>1478</v>
      </c>
      <c r="G1471" s="41" t="str">
        <f t="shared" si="172"/>
        <v>DUAL</v>
      </c>
      <c r="H1471" s="197">
        <f t="shared" ref="H1471:H1472" si="182">WEEKNUM(K1471)</f>
        <v>39</v>
      </c>
      <c r="I1471" s="197">
        <v>9</v>
      </c>
      <c r="J1471" s="197">
        <v>26</v>
      </c>
      <c r="K1471" s="186">
        <f t="shared" ref="K1471:K1472" si="183">DATE(2025, I1471, J1471)</f>
        <v>45926</v>
      </c>
      <c r="L1471" s="3" t="s">
        <v>2395</v>
      </c>
      <c r="M1471" s="3" t="s">
        <v>1469</v>
      </c>
      <c r="N1471" s="3" t="str">
        <f t="shared" si="177"/>
        <v>NG</v>
      </c>
      <c r="O1471" s="3" t="s">
        <v>2368</v>
      </c>
      <c r="P1471" s="3" t="s">
        <v>2482</v>
      </c>
      <c r="Q1471" s="3">
        <v>11002283</v>
      </c>
      <c r="R1471" s="3" t="s">
        <v>932</v>
      </c>
      <c r="S1471" s="3" t="s">
        <v>5102</v>
      </c>
      <c r="T1471" s="3" t="s">
        <v>5259</v>
      </c>
    </row>
    <row r="1472" spans="1:20">
      <c r="A1472" s="3">
        <v>5955</v>
      </c>
      <c r="B1472" s="83">
        <f t="array" ref="B1472">SUM(--(FREQUENCY(IF(C$2:C$3074=C1472, MATCH(D$2:D$3074, D$2:D$3074, 0)), ROW(D$2:D$3074)-ROW(D$2)+1) &gt; 0))</f>
        <v>7</v>
      </c>
      <c r="C1472" s="3">
        <v>41200113</v>
      </c>
      <c r="D1472" s="6" t="s">
        <v>3046</v>
      </c>
      <c r="E1472" s="3" t="s">
        <v>1424</v>
      </c>
      <c r="F1472" s="3" t="s">
        <v>1476</v>
      </c>
      <c r="G1472" s="68" t="str">
        <f t="shared" si="172"/>
        <v>DUAL</v>
      </c>
      <c r="H1472" s="197">
        <f t="shared" si="182"/>
        <v>40</v>
      </c>
      <c r="I1472" s="197">
        <v>9</v>
      </c>
      <c r="J1472" s="197">
        <v>29</v>
      </c>
      <c r="K1472" s="186">
        <f t="shared" si="183"/>
        <v>45929</v>
      </c>
      <c r="L1472" s="3" t="s">
        <v>2391</v>
      </c>
      <c r="M1472" s="3" t="s">
        <v>2392</v>
      </c>
      <c r="N1472" s="3" t="str">
        <f t="shared" si="177"/>
        <v/>
      </c>
    </row>
    <row r="1473" spans="1:19">
      <c r="A1473" s="3">
        <v>5956</v>
      </c>
      <c r="B1473" s="83">
        <f t="array" ref="B1473">SUM(--(FREQUENCY(IF(C$2:C$3074=C1473, MATCH(D$2:D$3074, D$2:D$3074, 0)), ROW(D$2:D$3074)-ROW(D$2)+1) &gt; 0))</f>
        <v>3</v>
      </c>
      <c r="C1473" s="3">
        <v>41100582</v>
      </c>
      <c r="D1473" s="6" t="s">
        <v>5260</v>
      </c>
      <c r="E1473" s="3" t="s">
        <v>1424</v>
      </c>
      <c r="F1473" s="3" t="s">
        <v>1427</v>
      </c>
      <c r="G1473" s="68" t="str">
        <f t="shared" si="172"/>
        <v>SINGLE</v>
      </c>
      <c r="H1473" s="197">
        <f t="shared" ref="H1473:H1482" si="184">WEEKNUM(K1473)</f>
        <v>40</v>
      </c>
      <c r="I1473" s="197">
        <v>9</v>
      </c>
      <c r="J1473" s="197">
        <v>29</v>
      </c>
      <c r="K1473" s="186">
        <f t="shared" ref="K1473:K1482" si="185">DATE(2025, I1473, J1473)</f>
        <v>45929</v>
      </c>
      <c r="L1473" s="3" t="s">
        <v>2395</v>
      </c>
      <c r="M1473" s="3" t="s">
        <v>2392</v>
      </c>
      <c r="N1473" s="3" t="str">
        <f t="shared" si="177"/>
        <v/>
      </c>
    </row>
    <row r="1474" spans="1:19">
      <c r="A1474" s="3">
        <v>5956</v>
      </c>
      <c r="B1474" s="83">
        <f t="array" ref="B1474">SUM(--(FREQUENCY(IF(C$2:C$3074=C1474, MATCH(D$2:D$3074, D$2:D$3074, 0)), ROW(D$2:D$3074)-ROW(D$2)+1) &gt; 0))</f>
        <v>3</v>
      </c>
      <c r="C1474" s="3">
        <v>41100582</v>
      </c>
      <c r="D1474" s="6" t="s">
        <v>5261</v>
      </c>
      <c r="E1474" s="3" t="s">
        <v>1424</v>
      </c>
      <c r="F1474" s="3" t="s">
        <v>1427</v>
      </c>
      <c r="G1474" s="68" t="str">
        <f t="shared" ref="G1474:G1505" si="186">IF(OR(ISNUMBER(SEARCH("DUAL",F1474)), ISNUMBER(SEARCH("IVAS",F1474))), "DUAL", "SINGLE")</f>
        <v>SINGLE</v>
      </c>
      <c r="H1474" s="197">
        <f t="shared" si="184"/>
        <v>40</v>
      </c>
      <c r="I1474" s="197">
        <v>9</v>
      </c>
      <c r="J1474" s="197">
        <v>29</v>
      </c>
      <c r="K1474" s="186">
        <f t="shared" si="185"/>
        <v>45929</v>
      </c>
      <c r="L1474" s="3" t="s">
        <v>2395</v>
      </c>
      <c r="M1474" s="3" t="s">
        <v>2392</v>
      </c>
      <c r="N1474" s="3" t="str">
        <f t="shared" si="177"/>
        <v/>
      </c>
    </row>
    <row r="1475" spans="1:19">
      <c r="A1475" s="3">
        <v>5956</v>
      </c>
      <c r="B1475" s="83">
        <f t="array" ref="B1475">SUM(--(FREQUENCY(IF(C$2:C$3074=C1475, MATCH(D$2:D$3074, D$2:D$3074, 0)), ROW(D$2:D$3074)-ROW(D$2)+1) &gt; 0))</f>
        <v>3</v>
      </c>
      <c r="C1475" s="3">
        <v>41100582</v>
      </c>
      <c r="D1475" s="6" t="s">
        <v>5262</v>
      </c>
      <c r="E1475" s="3" t="s">
        <v>1424</v>
      </c>
      <c r="F1475" s="3" t="s">
        <v>1427</v>
      </c>
      <c r="G1475" s="68" t="str">
        <f t="shared" si="186"/>
        <v>SINGLE</v>
      </c>
      <c r="H1475" s="197">
        <f t="shared" si="184"/>
        <v>40</v>
      </c>
      <c r="I1475" s="197">
        <v>9</v>
      </c>
      <c r="J1475" s="197">
        <v>29</v>
      </c>
      <c r="K1475" s="186">
        <f t="shared" si="185"/>
        <v>45929</v>
      </c>
      <c r="L1475" s="3" t="s">
        <v>2395</v>
      </c>
      <c r="M1475" s="3" t="s">
        <v>2392</v>
      </c>
      <c r="N1475" s="3" t="str">
        <f t="shared" si="177"/>
        <v/>
      </c>
    </row>
    <row r="1476" spans="1:19">
      <c r="A1476" s="3">
        <v>5981</v>
      </c>
      <c r="B1476" s="83">
        <f t="array" ref="B1476">SUM(--(FREQUENCY(IF(C$2:C$3074=C1476, MATCH(D$2:D$3074, D$2:D$3074, 0)), ROW(D$2:D$3074)-ROW(D$2)+1) &gt; 0))</f>
        <v>144</v>
      </c>
      <c r="C1476" s="3">
        <v>41200007</v>
      </c>
      <c r="D1476" s="6" t="s">
        <v>3038</v>
      </c>
      <c r="E1476" s="3" t="s">
        <v>1405</v>
      </c>
      <c r="F1476" s="3" t="s">
        <v>1591</v>
      </c>
      <c r="G1476" s="68" t="str">
        <f t="shared" si="186"/>
        <v>SINGLE</v>
      </c>
      <c r="H1476" s="197">
        <f t="shared" si="184"/>
        <v>40</v>
      </c>
      <c r="I1476" s="197">
        <v>9</v>
      </c>
      <c r="J1476" s="197">
        <v>29</v>
      </c>
      <c r="K1476" s="186">
        <f t="shared" si="185"/>
        <v>45929</v>
      </c>
      <c r="L1476" s="3" t="s">
        <v>2395</v>
      </c>
      <c r="M1476" s="3" t="s">
        <v>1468</v>
      </c>
      <c r="N1476" s="3" t="str">
        <f t="shared" si="177"/>
        <v/>
      </c>
    </row>
    <row r="1477" spans="1:19">
      <c r="A1477" s="3">
        <v>5981</v>
      </c>
      <c r="B1477" s="83">
        <f t="array" ref="B1477">SUM(--(FREQUENCY(IF(C$2:C$3074=C1477, MATCH(D$2:D$3074, D$2:D$3074, 0)), ROW(D$2:D$3074)-ROW(D$2)+1) &gt; 0))</f>
        <v>144</v>
      </c>
      <c r="C1477" s="3">
        <v>41200007</v>
      </c>
      <c r="D1477" s="6" t="s">
        <v>3039</v>
      </c>
      <c r="E1477" s="3" t="s">
        <v>1405</v>
      </c>
      <c r="F1477" s="3" t="s">
        <v>1591</v>
      </c>
      <c r="G1477" s="68" t="str">
        <f t="shared" si="186"/>
        <v>SINGLE</v>
      </c>
      <c r="H1477" s="197">
        <f t="shared" si="184"/>
        <v>40</v>
      </c>
      <c r="I1477" s="197">
        <v>9</v>
      </c>
      <c r="J1477" s="197">
        <v>29</v>
      </c>
      <c r="K1477" s="186">
        <f t="shared" si="185"/>
        <v>45929</v>
      </c>
      <c r="L1477" s="3" t="s">
        <v>2395</v>
      </c>
      <c r="M1477" s="3" t="s">
        <v>1468</v>
      </c>
      <c r="N1477" s="3" t="str">
        <f t="shared" si="177"/>
        <v/>
      </c>
    </row>
    <row r="1478" spans="1:19">
      <c r="A1478" s="3">
        <v>5981</v>
      </c>
      <c r="B1478" s="83">
        <f t="array" ref="B1478">SUM(--(FREQUENCY(IF(C$2:C$3074=C1478, MATCH(D$2:D$3074, D$2:D$3074, 0)), ROW(D$2:D$3074)-ROW(D$2)+1) &gt; 0))</f>
        <v>144</v>
      </c>
      <c r="C1478" s="3">
        <v>41200007</v>
      </c>
      <c r="D1478" s="6" t="s">
        <v>3036</v>
      </c>
      <c r="E1478" s="3" t="s">
        <v>1405</v>
      </c>
      <c r="F1478" s="3" t="s">
        <v>1591</v>
      </c>
      <c r="G1478" s="68" t="str">
        <f t="shared" si="186"/>
        <v>SINGLE</v>
      </c>
      <c r="H1478" s="197">
        <f t="shared" si="184"/>
        <v>40</v>
      </c>
      <c r="I1478" s="197">
        <v>9</v>
      </c>
      <c r="J1478" s="197">
        <v>29</v>
      </c>
      <c r="K1478" s="186">
        <f t="shared" si="185"/>
        <v>45929</v>
      </c>
      <c r="L1478" s="3" t="s">
        <v>2391</v>
      </c>
      <c r="M1478" s="3" t="s">
        <v>2392</v>
      </c>
      <c r="N1478" s="3" t="str">
        <f t="shared" si="177"/>
        <v/>
      </c>
    </row>
    <row r="1479" spans="1:19">
      <c r="A1479" s="3">
        <v>6039</v>
      </c>
      <c r="B1479" s="83">
        <f t="array" ref="B1479">SUM(--(FREQUENCY(IF(C$2:C$3074=C1479, MATCH(D$2:D$3074, D$2:D$3074, 0)), ROW(D$2:D$3074)-ROW(D$2)+1) &gt; 0))</f>
        <v>21</v>
      </c>
      <c r="C1479" s="3">
        <v>41200036</v>
      </c>
      <c r="D1479" s="6" t="s">
        <v>3040</v>
      </c>
      <c r="E1479" s="3" t="s">
        <v>1426</v>
      </c>
      <c r="F1479" s="3" t="s">
        <v>1476</v>
      </c>
      <c r="G1479" s="68" t="str">
        <f t="shared" si="186"/>
        <v>DUAL</v>
      </c>
      <c r="H1479" s="197">
        <f t="shared" si="184"/>
        <v>40</v>
      </c>
      <c r="I1479" s="197">
        <v>9</v>
      </c>
      <c r="J1479" s="197">
        <v>29</v>
      </c>
      <c r="K1479" s="186">
        <f t="shared" si="185"/>
        <v>45929</v>
      </c>
      <c r="L1479" s="3" t="s">
        <v>2395</v>
      </c>
      <c r="M1479" s="3" t="s">
        <v>1468</v>
      </c>
      <c r="N1479" s="3" t="str">
        <f t="shared" si="177"/>
        <v/>
      </c>
    </row>
    <row r="1480" spans="1:19">
      <c r="A1480" s="3">
        <v>6100</v>
      </c>
      <c r="B1480" s="83">
        <f t="array" ref="B1480">SUM(--(FREQUENCY(IF(C$2:C$3074=C1480, MATCH(D$2:D$3074, D$2:D$3074, 0)), ROW(D$2:D$3074)-ROW(D$2)+1) &gt; 0))</f>
        <v>8</v>
      </c>
      <c r="C1480" s="3">
        <v>41200145</v>
      </c>
      <c r="D1480" s="6" t="s">
        <v>1892</v>
      </c>
      <c r="E1480" s="3" t="s">
        <v>1409</v>
      </c>
      <c r="F1480" s="3" t="s">
        <v>1479</v>
      </c>
      <c r="G1480" s="41" t="str">
        <f t="shared" si="186"/>
        <v>SINGLE</v>
      </c>
      <c r="H1480" s="197">
        <f t="shared" si="184"/>
        <v>40</v>
      </c>
      <c r="I1480" s="197">
        <v>9</v>
      </c>
      <c r="J1480" s="197">
        <v>29</v>
      </c>
      <c r="K1480" s="186">
        <f t="shared" si="185"/>
        <v>45929</v>
      </c>
      <c r="L1480" s="3" t="s">
        <v>2391</v>
      </c>
      <c r="M1480" s="3" t="s">
        <v>1468</v>
      </c>
      <c r="N1480" s="3" t="str">
        <f t="shared" si="177"/>
        <v/>
      </c>
    </row>
    <row r="1481" spans="1:19">
      <c r="A1481" s="3">
        <v>6036</v>
      </c>
      <c r="B1481" s="83">
        <f t="array" ref="B1481">SUM(--(FREQUENCY(IF(C$2:C$3074=C1481, MATCH(D$2:D$3074, D$2:D$3074, 0)), ROW(D$2:D$3074)-ROW(D$2)+1) &gt; 0))</f>
        <v>20</v>
      </c>
      <c r="C1481" s="3">
        <v>41200033</v>
      </c>
      <c r="D1481" s="6" t="s">
        <v>3041</v>
      </c>
      <c r="E1481" s="3" t="s">
        <v>1426</v>
      </c>
      <c r="F1481" s="3" t="s">
        <v>1476</v>
      </c>
      <c r="G1481" s="68" t="str">
        <f t="shared" si="186"/>
        <v>DUAL</v>
      </c>
      <c r="H1481" s="197">
        <f t="shared" si="184"/>
        <v>40</v>
      </c>
      <c r="I1481" s="197">
        <v>9</v>
      </c>
      <c r="J1481" s="197">
        <v>29</v>
      </c>
      <c r="K1481" s="186">
        <f t="shared" si="185"/>
        <v>45929</v>
      </c>
      <c r="L1481" s="3" t="s">
        <v>2395</v>
      </c>
      <c r="M1481" s="3" t="s">
        <v>1469</v>
      </c>
      <c r="N1481" s="3" t="str">
        <f t="shared" si="177"/>
        <v>NG</v>
      </c>
      <c r="O1481" s="3" t="s">
        <v>2368</v>
      </c>
      <c r="P1481" s="3" t="s">
        <v>2414</v>
      </c>
      <c r="Q1481" s="3">
        <v>11001876</v>
      </c>
      <c r="R1481" s="3" t="s">
        <v>4095</v>
      </c>
      <c r="S1481" s="3" t="s">
        <v>5263</v>
      </c>
    </row>
    <row r="1482" spans="1:19">
      <c r="A1482" s="3">
        <v>6054</v>
      </c>
      <c r="B1482" s="83">
        <f t="array" ref="B1482">SUM(--(FREQUENCY(IF(C$2:C$3074=C1482, MATCH(D$2:D$3074, D$2:D$3074, 0)), ROW(D$2:D$3074)-ROW(D$2)+1) &gt; 0))</f>
        <v>6</v>
      </c>
      <c r="C1482" s="3">
        <v>41100584</v>
      </c>
      <c r="D1482" s="6" t="s">
        <v>3045</v>
      </c>
      <c r="E1482" s="3" t="s">
        <v>1422</v>
      </c>
      <c r="F1482" s="3" t="s">
        <v>1591</v>
      </c>
      <c r="G1482" s="68" t="str">
        <f t="shared" si="186"/>
        <v>SINGLE</v>
      </c>
      <c r="H1482" s="197">
        <f t="shared" si="184"/>
        <v>40</v>
      </c>
      <c r="I1482" s="197">
        <v>9</v>
      </c>
      <c r="J1482" s="197">
        <v>30</v>
      </c>
      <c r="K1482" s="186">
        <f t="shared" si="185"/>
        <v>45930</v>
      </c>
      <c r="L1482" s="3" t="s">
        <v>2391</v>
      </c>
      <c r="M1482" s="3" t="s">
        <v>2392</v>
      </c>
      <c r="N1482" s="3" t="str">
        <f t="shared" si="177"/>
        <v/>
      </c>
    </row>
    <row r="1483" spans="1:19">
      <c r="A1483" s="3">
        <v>6046</v>
      </c>
      <c r="B1483" s="83">
        <f t="array" ref="B1483">SUM(--(FREQUENCY(IF(C$2:C$3074=C1483, MATCH(D$2:D$3074, D$2:D$3074, 0)), ROW(D$2:D$3074)-ROW(D$2)+1) &gt; 0))</f>
        <v>1</v>
      </c>
      <c r="C1483" s="3">
        <v>41200172</v>
      </c>
      <c r="D1483" s="6" t="s">
        <v>5264</v>
      </c>
      <c r="E1483" s="3" t="s">
        <v>1405</v>
      </c>
      <c r="F1483" s="3" t="s">
        <v>5265</v>
      </c>
      <c r="G1483" s="41" t="str">
        <f t="shared" si="186"/>
        <v>DUAL</v>
      </c>
      <c r="H1483" s="197">
        <f t="shared" ref="H1483:H1488" si="187">WEEKNUM(K1483)</f>
        <v>40</v>
      </c>
      <c r="I1483" s="197">
        <v>9</v>
      </c>
      <c r="J1483" s="197">
        <v>30</v>
      </c>
      <c r="K1483" s="186">
        <f t="shared" ref="K1483:K1488" si="188">DATE(2025, I1483, J1483)</f>
        <v>45930</v>
      </c>
      <c r="L1483" s="3" t="s">
        <v>2395</v>
      </c>
      <c r="M1483" s="3" t="s">
        <v>2392</v>
      </c>
      <c r="N1483" s="3" t="str">
        <f t="shared" si="177"/>
        <v/>
      </c>
    </row>
    <row r="1484" spans="1:19">
      <c r="A1484" s="3">
        <v>6033</v>
      </c>
      <c r="B1484" s="83">
        <f t="array" ref="B1484">SUM(--(FREQUENCY(IF(C$2:C$3074=C1484, MATCH(D$2:D$3074, D$2:D$3074, 0)), ROW(D$2:D$3074)-ROW(D$2)+1) &gt; 0))</f>
        <v>10</v>
      </c>
      <c r="C1484" s="3">
        <v>41100286</v>
      </c>
      <c r="D1484" s="6" t="s">
        <v>3047</v>
      </c>
      <c r="E1484" s="3" t="s">
        <v>1424</v>
      </c>
      <c r="F1484" s="3" t="s">
        <v>1476</v>
      </c>
      <c r="G1484" s="68" t="str">
        <f t="shared" si="186"/>
        <v>DUAL</v>
      </c>
      <c r="H1484" s="197">
        <f t="shared" si="187"/>
        <v>40</v>
      </c>
      <c r="I1484" s="197">
        <v>9</v>
      </c>
      <c r="J1484" s="197">
        <v>30</v>
      </c>
      <c r="K1484" s="186">
        <f t="shared" si="188"/>
        <v>45930</v>
      </c>
      <c r="L1484" s="3" t="s">
        <v>2391</v>
      </c>
      <c r="M1484" s="3" t="s">
        <v>1468</v>
      </c>
      <c r="N1484" s="3" t="str">
        <f t="shared" ref="N1484:N1515" si="189">IF(O1484&lt;&gt;"", "NG", "")</f>
        <v/>
      </c>
    </row>
    <row r="1485" spans="1:19">
      <c r="A1485" s="3">
        <v>6044</v>
      </c>
      <c r="B1485" s="83">
        <f t="array" ref="B1485">SUM(--(FREQUENCY(IF(C$2:C$3074=C1485, MATCH(D$2:D$3074, D$2:D$3074, 0)), ROW(D$2:D$3074)-ROW(D$2)+1) &gt; 0))</f>
        <v>44</v>
      </c>
      <c r="C1485" s="3">
        <v>41200047</v>
      </c>
      <c r="D1485" s="6" t="s">
        <v>3043</v>
      </c>
      <c r="E1485" s="3" t="s">
        <v>1426</v>
      </c>
      <c r="F1485" s="3" t="s">
        <v>1476</v>
      </c>
      <c r="G1485" s="68" t="str">
        <f t="shared" si="186"/>
        <v>DUAL</v>
      </c>
      <c r="H1485" s="197">
        <f t="shared" si="187"/>
        <v>40</v>
      </c>
      <c r="I1485" s="197">
        <v>9</v>
      </c>
      <c r="J1485" s="197">
        <v>30</v>
      </c>
      <c r="K1485" s="186">
        <f t="shared" si="188"/>
        <v>45930</v>
      </c>
      <c r="L1485" s="3" t="s">
        <v>2395</v>
      </c>
      <c r="M1485" s="3" t="s">
        <v>1469</v>
      </c>
      <c r="N1485" s="3" t="str">
        <f t="shared" si="189"/>
        <v/>
      </c>
    </row>
    <row r="1486" spans="1:19">
      <c r="A1486" s="3">
        <v>6044</v>
      </c>
      <c r="B1486" s="83">
        <f t="array" ref="B1486">SUM(--(FREQUENCY(IF(C$2:C$3074=C1486, MATCH(D$2:D$3074, D$2:D$3074, 0)), ROW(D$2:D$3074)-ROW(D$2)+1) &gt; 0))</f>
        <v>44</v>
      </c>
      <c r="C1486" s="3">
        <v>41200047</v>
      </c>
      <c r="D1486" s="6" t="s">
        <v>3048</v>
      </c>
      <c r="E1486" s="3" t="s">
        <v>1426</v>
      </c>
      <c r="F1486" s="3" t="s">
        <v>1476</v>
      </c>
      <c r="G1486" s="68" t="str">
        <f t="shared" si="186"/>
        <v>DUAL</v>
      </c>
      <c r="H1486" s="197">
        <f t="shared" si="187"/>
        <v>40</v>
      </c>
      <c r="I1486" s="197">
        <v>9</v>
      </c>
      <c r="J1486" s="197">
        <v>30</v>
      </c>
      <c r="K1486" s="186">
        <f t="shared" si="188"/>
        <v>45930</v>
      </c>
      <c r="L1486" s="3" t="s">
        <v>2395</v>
      </c>
      <c r="M1486" s="3" t="s">
        <v>1469</v>
      </c>
      <c r="N1486" s="3" t="str">
        <f t="shared" si="189"/>
        <v/>
      </c>
    </row>
    <row r="1487" spans="1:19">
      <c r="A1487" s="3">
        <v>6044</v>
      </c>
      <c r="B1487" s="83">
        <f t="array" ref="B1487">SUM(--(FREQUENCY(IF(C$2:C$3074=C1487, MATCH(D$2:D$3074, D$2:D$3074, 0)), ROW(D$2:D$3074)-ROW(D$2)+1) &gt; 0))</f>
        <v>44</v>
      </c>
      <c r="C1487" s="3">
        <v>41200047</v>
      </c>
      <c r="D1487" s="6" t="s">
        <v>3049</v>
      </c>
      <c r="E1487" s="3" t="s">
        <v>1426</v>
      </c>
      <c r="F1487" s="3" t="s">
        <v>1476</v>
      </c>
      <c r="G1487" s="68" t="str">
        <f t="shared" si="186"/>
        <v>DUAL</v>
      </c>
      <c r="H1487" s="197">
        <f t="shared" si="187"/>
        <v>40</v>
      </c>
      <c r="I1487" s="197">
        <v>9</v>
      </c>
      <c r="J1487" s="197">
        <v>30</v>
      </c>
      <c r="K1487" s="186">
        <f t="shared" si="188"/>
        <v>45930</v>
      </c>
      <c r="L1487" s="3" t="s">
        <v>2395</v>
      </c>
      <c r="M1487" s="3" t="s">
        <v>1469</v>
      </c>
      <c r="N1487" s="3" t="str">
        <f t="shared" si="189"/>
        <v/>
      </c>
    </row>
    <row r="1488" spans="1:19">
      <c r="A1488" s="3">
        <v>5980</v>
      </c>
      <c r="B1488" s="83">
        <f t="array" ref="B1488">SUM(--(FREQUENCY(IF(C$2:C$3074=C1488, MATCH(D$2:D$3074, D$2:D$3074, 0)), ROW(D$2:D$3074)-ROW(D$2)+1) &gt; 0))</f>
        <v>18</v>
      </c>
      <c r="C1488" s="3">
        <v>41200053</v>
      </c>
      <c r="D1488" s="6" t="s">
        <v>3050</v>
      </c>
      <c r="E1488" s="3" t="s">
        <v>1405</v>
      </c>
      <c r="F1488" s="3" t="s">
        <v>1616</v>
      </c>
      <c r="G1488" s="68" t="str">
        <f t="shared" si="186"/>
        <v>SINGLE</v>
      </c>
      <c r="H1488" s="197">
        <f t="shared" si="187"/>
        <v>40</v>
      </c>
      <c r="I1488" s="197">
        <v>10</v>
      </c>
      <c r="J1488" s="197">
        <v>1</v>
      </c>
      <c r="K1488" s="186">
        <f t="shared" si="188"/>
        <v>45931</v>
      </c>
      <c r="L1488" s="3" t="s">
        <v>2392</v>
      </c>
      <c r="M1488" s="3" t="s">
        <v>2392</v>
      </c>
      <c r="N1488" s="3" t="str">
        <f t="shared" si="189"/>
        <v>NG</v>
      </c>
      <c r="O1488" s="3" t="s">
        <v>2368</v>
      </c>
      <c r="P1488" s="3" t="s">
        <v>2446</v>
      </c>
      <c r="Q1488" s="3">
        <v>11002206</v>
      </c>
      <c r="R1488" s="3" t="s">
        <v>438</v>
      </c>
      <c r="S1488" s="3" t="s">
        <v>5266</v>
      </c>
    </row>
    <row r="1489" spans="1:19">
      <c r="A1489" s="3">
        <v>5980</v>
      </c>
      <c r="B1489" s="83">
        <f t="array" ref="B1489">SUM(--(FREQUENCY(IF(C$2:C$3074=C1489, MATCH(D$2:D$3074, D$2:D$3074, 0)), ROW(D$2:D$3074)-ROW(D$2)+1) &gt; 0))</f>
        <v>18</v>
      </c>
      <c r="C1489" s="3">
        <v>41200053</v>
      </c>
      <c r="D1489" s="6" t="s">
        <v>3051</v>
      </c>
      <c r="E1489" s="3" t="s">
        <v>1405</v>
      </c>
      <c r="F1489" s="3" t="s">
        <v>1616</v>
      </c>
      <c r="G1489" s="68" t="str">
        <f t="shared" si="186"/>
        <v>SINGLE</v>
      </c>
      <c r="H1489" s="197">
        <f t="shared" ref="H1489:H1501" si="190">WEEKNUM(K1489)</f>
        <v>40</v>
      </c>
      <c r="I1489" s="197">
        <v>10</v>
      </c>
      <c r="J1489" s="197">
        <v>1</v>
      </c>
      <c r="K1489" s="186">
        <f t="shared" ref="K1489:K1501" si="191">DATE(2025, I1489, J1489)</f>
        <v>45931</v>
      </c>
      <c r="L1489" s="3" t="s">
        <v>2392</v>
      </c>
      <c r="M1489" s="3" t="s">
        <v>2392</v>
      </c>
      <c r="N1489" s="3" t="str">
        <f t="shared" si="189"/>
        <v/>
      </c>
    </row>
    <row r="1490" spans="1:19">
      <c r="A1490" s="3">
        <v>6058</v>
      </c>
      <c r="B1490" s="83">
        <f t="array" ref="B1490">SUM(--(FREQUENCY(IF(C$2:C$3074=C1490, MATCH(D$2:D$3074, D$2:D$3074, 0)), ROW(D$2:D$3074)-ROW(D$2)+1) &gt; 0))</f>
        <v>41</v>
      </c>
      <c r="C1490" s="3">
        <v>41200101</v>
      </c>
      <c r="D1490" s="6" t="s">
        <v>3438</v>
      </c>
      <c r="E1490" s="3" t="s">
        <v>1585</v>
      </c>
      <c r="F1490" s="3" t="s">
        <v>1476</v>
      </c>
      <c r="G1490" s="68" t="str">
        <f t="shared" si="186"/>
        <v>DUAL</v>
      </c>
      <c r="H1490" s="197">
        <f t="shared" si="190"/>
        <v>40</v>
      </c>
      <c r="I1490" s="197">
        <v>10</v>
      </c>
      <c r="J1490" s="197">
        <v>1</v>
      </c>
      <c r="K1490" s="186">
        <f t="shared" si="191"/>
        <v>45931</v>
      </c>
      <c r="L1490" s="3" t="s">
        <v>2395</v>
      </c>
      <c r="M1490" s="3" t="s">
        <v>1468</v>
      </c>
      <c r="N1490" s="3" t="str">
        <f t="shared" si="189"/>
        <v>NG</v>
      </c>
      <c r="O1490" s="3" t="s">
        <v>2368</v>
      </c>
      <c r="P1490" s="3" t="s">
        <v>2369</v>
      </c>
      <c r="Q1490" s="3">
        <v>11000004</v>
      </c>
      <c r="R1490" s="3" t="s">
        <v>1008</v>
      </c>
      <c r="S1490" s="3" t="s">
        <v>5267</v>
      </c>
    </row>
    <row r="1491" spans="1:19">
      <c r="A1491" s="3">
        <v>6044</v>
      </c>
      <c r="B1491" s="83">
        <f t="array" ref="B1491">SUM(--(FREQUENCY(IF(C$2:C$3074=C1491, MATCH(D$2:D$3074, D$2:D$3074, 0)), ROW(D$2:D$3074)-ROW(D$2)+1) &gt; 0))</f>
        <v>44</v>
      </c>
      <c r="C1491" s="3">
        <v>41200047</v>
      </c>
      <c r="D1491" s="6" t="s">
        <v>3052</v>
      </c>
      <c r="E1491" s="3" t="s">
        <v>1426</v>
      </c>
      <c r="F1491" s="3" t="s">
        <v>1476</v>
      </c>
      <c r="G1491" s="68" t="str">
        <f t="shared" si="186"/>
        <v>DUAL</v>
      </c>
      <c r="H1491" s="197">
        <f t="shared" si="190"/>
        <v>40</v>
      </c>
      <c r="I1491" s="197">
        <v>10</v>
      </c>
      <c r="J1491" s="197">
        <v>1</v>
      </c>
      <c r="K1491" s="186">
        <f t="shared" si="191"/>
        <v>45931</v>
      </c>
      <c r="L1491" s="3" t="s">
        <v>2395</v>
      </c>
      <c r="M1491" s="3" t="s">
        <v>1468</v>
      </c>
      <c r="N1491" s="3" t="str">
        <f t="shared" si="189"/>
        <v>NG</v>
      </c>
      <c r="O1491" s="3" t="s">
        <v>2368</v>
      </c>
      <c r="P1491" s="3" t="s">
        <v>2414</v>
      </c>
      <c r="Q1491" s="3">
        <v>11000196</v>
      </c>
      <c r="R1491" s="3" t="s">
        <v>816</v>
      </c>
      <c r="S1491" s="3" t="s">
        <v>5268</v>
      </c>
    </row>
    <row r="1492" spans="1:19">
      <c r="A1492" s="3">
        <v>6044</v>
      </c>
      <c r="B1492" s="83">
        <f t="array" ref="B1492">SUM(--(FREQUENCY(IF(C$2:C$3074=C1492, MATCH(D$2:D$3074, D$2:D$3074, 0)), ROW(D$2:D$3074)-ROW(D$2)+1) &gt; 0))</f>
        <v>44</v>
      </c>
      <c r="C1492" s="3">
        <v>41200047</v>
      </c>
      <c r="D1492" s="6" t="s">
        <v>3053</v>
      </c>
      <c r="E1492" s="3" t="s">
        <v>1426</v>
      </c>
      <c r="F1492" s="3" t="s">
        <v>1476</v>
      </c>
      <c r="G1492" s="68" t="str">
        <f t="shared" si="186"/>
        <v>DUAL</v>
      </c>
      <c r="H1492" s="197">
        <f t="shared" si="190"/>
        <v>40</v>
      </c>
      <c r="I1492" s="197">
        <v>10</v>
      </c>
      <c r="J1492" s="197">
        <v>1</v>
      </c>
      <c r="K1492" s="186">
        <f t="shared" si="191"/>
        <v>45931</v>
      </c>
      <c r="L1492" s="3" t="s">
        <v>2395</v>
      </c>
      <c r="M1492" s="3" t="s">
        <v>1468</v>
      </c>
      <c r="N1492" s="3" t="str">
        <f t="shared" si="189"/>
        <v/>
      </c>
    </row>
    <row r="1493" spans="1:19">
      <c r="A1493" s="3">
        <v>6036</v>
      </c>
      <c r="B1493" s="83">
        <f t="array" ref="B1493">SUM(--(FREQUENCY(IF(C$2:C$3074=C1493, MATCH(D$2:D$3074, D$2:D$3074, 0)), ROW(D$2:D$3074)-ROW(D$2)+1) &gt; 0))</f>
        <v>20</v>
      </c>
      <c r="C1493" s="3">
        <v>41200033</v>
      </c>
      <c r="D1493" s="6" t="s">
        <v>3055</v>
      </c>
      <c r="E1493" s="3" t="s">
        <v>1426</v>
      </c>
      <c r="F1493" s="3" t="s">
        <v>1476</v>
      </c>
      <c r="G1493" s="68" t="str">
        <f t="shared" si="186"/>
        <v>DUAL</v>
      </c>
      <c r="H1493" s="197">
        <f t="shared" si="190"/>
        <v>40</v>
      </c>
      <c r="I1493" s="197">
        <v>10</v>
      </c>
      <c r="J1493" s="197">
        <v>1</v>
      </c>
      <c r="K1493" s="186">
        <f t="shared" si="191"/>
        <v>45931</v>
      </c>
      <c r="L1493" s="3" t="s">
        <v>2395</v>
      </c>
      <c r="M1493" s="3" t="s">
        <v>1469</v>
      </c>
      <c r="N1493" s="3" t="str">
        <f t="shared" si="189"/>
        <v/>
      </c>
    </row>
    <row r="1494" spans="1:19">
      <c r="A1494" s="3">
        <v>5951</v>
      </c>
      <c r="B1494" s="83">
        <f t="array" ref="B1494">SUM(--(FREQUENCY(IF(C$2:C$3074=C1494, MATCH(D$2:D$3074, D$2:D$3074, 0)), ROW(D$2:D$3074)-ROW(D$2)+1) &gt; 0))</f>
        <v>144</v>
      </c>
      <c r="C1494" s="3">
        <v>41200007</v>
      </c>
      <c r="D1494" s="6" t="s">
        <v>3056</v>
      </c>
      <c r="E1494" s="3" t="s">
        <v>1405</v>
      </c>
      <c r="F1494" s="3" t="s">
        <v>1591</v>
      </c>
      <c r="G1494" s="68" t="str">
        <f t="shared" si="186"/>
        <v>SINGLE</v>
      </c>
      <c r="H1494" s="197">
        <f t="shared" si="190"/>
        <v>40</v>
      </c>
      <c r="I1494" s="197">
        <v>10</v>
      </c>
      <c r="J1494" s="197">
        <v>1</v>
      </c>
      <c r="K1494" s="186">
        <f t="shared" si="191"/>
        <v>45931</v>
      </c>
      <c r="L1494" s="3" t="s">
        <v>2395</v>
      </c>
      <c r="M1494" s="3" t="s">
        <v>1469</v>
      </c>
      <c r="N1494" s="3" t="str">
        <f t="shared" si="189"/>
        <v/>
      </c>
    </row>
    <row r="1495" spans="1:19">
      <c r="A1495" s="3">
        <v>5951</v>
      </c>
      <c r="B1495" s="83">
        <f t="array" ref="B1495">SUM(--(FREQUENCY(IF(C$2:C$3074=C1495, MATCH(D$2:D$3074, D$2:D$3074, 0)), ROW(D$2:D$3074)-ROW(D$2)+1) &gt; 0))</f>
        <v>144</v>
      </c>
      <c r="C1495" s="3">
        <v>41200007</v>
      </c>
      <c r="D1495" s="6" t="s">
        <v>3058</v>
      </c>
      <c r="E1495" s="3" t="s">
        <v>1405</v>
      </c>
      <c r="F1495" s="3" t="s">
        <v>1591</v>
      </c>
      <c r="G1495" s="68" t="str">
        <f t="shared" si="186"/>
        <v>SINGLE</v>
      </c>
      <c r="H1495" s="197">
        <f t="shared" si="190"/>
        <v>40</v>
      </c>
      <c r="I1495" s="197">
        <v>10</v>
      </c>
      <c r="J1495" s="197">
        <v>1</v>
      </c>
      <c r="K1495" s="186">
        <f t="shared" si="191"/>
        <v>45931</v>
      </c>
      <c r="L1495" s="3" t="s">
        <v>2395</v>
      </c>
      <c r="M1495" s="3" t="s">
        <v>1469</v>
      </c>
      <c r="N1495" s="3" t="str">
        <f t="shared" si="189"/>
        <v/>
      </c>
    </row>
    <row r="1496" spans="1:19">
      <c r="A1496" s="3">
        <v>6005</v>
      </c>
      <c r="B1496" s="83">
        <f t="array" ref="B1496">SUM(--(FREQUENCY(IF(C$2:C$3074=C1496, MATCH(D$2:D$3074, D$2:D$3074, 0)), ROW(D$2:D$3074)-ROW(D$2)+1) &gt; 0))</f>
        <v>32</v>
      </c>
      <c r="C1496" s="3">
        <v>41200127</v>
      </c>
      <c r="D1496" s="6" t="s">
        <v>3059</v>
      </c>
      <c r="E1496" s="3" t="s">
        <v>1431</v>
      </c>
      <c r="F1496" s="3" t="s">
        <v>1591</v>
      </c>
      <c r="G1496" s="68" t="str">
        <f t="shared" si="186"/>
        <v>SINGLE</v>
      </c>
      <c r="H1496" s="197">
        <f t="shared" si="190"/>
        <v>40</v>
      </c>
      <c r="I1496" s="197">
        <v>10</v>
      </c>
      <c r="J1496" s="197">
        <v>2</v>
      </c>
      <c r="K1496" s="186">
        <f t="shared" si="191"/>
        <v>45932</v>
      </c>
      <c r="L1496" s="3" t="s">
        <v>2391</v>
      </c>
      <c r="M1496" s="3" t="s">
        <v>2392</v>
      </c>
      <c r="N1496" s="3" t="str">
        <f t="shared" si="189"/>
        <v/>
      </c>
    </row>
    <row r="1497" spans="1:19">
      <c r="A1497" s="3">
        <v>6005</v>
      </c>
      <c r="B1497" s="83">
        <f t="array" ref="B1497">SUM(--(FREQUENCY(IF(C$2:C$3074=C1497, MATCH(D$2:D$3074, D$2:D$3074, 0)), ROW(D$2:D$3074)-ROW(D$2)+1) &gt; 0))</f>
        <v>32</v>
      </c>
      <c r="C1497" s="3">
        <v>41200127</v>
      </c>
      <c r="D1497" s="6" t="s">
        <v>3060</v>
      </c>
      <c r="E1497" s="3" t="s">
        <v>1431</v>
      </c>
      <c r="F1497" s="3" t="s">
        <v>1591</v>
      </c>
      <c r="G1497" s="68" t="str">
        <f t="shared" si="186"/>
        <v>SINGLE</v>
      </c>
      <c r="H1497" s="197">
        <f t="shared" si="190"/>
        <v>40</v>
      </c>
      <c r="I1497" s="197">
        <v>10</v>
      </c>
      <c r="J1497" s="197">
        <v>2</v>
      </c>
      <c r="K1497" s="186">
        <f t="shared" si="191"/>
        <v>45932</v>
      </c>
      <c r="L1497" s="3" t="s">
        <v>2391</v>
      </c>
      <c r="M1497" s="3" t="s">
        <v>2392</v>
      </c>
      <c r="N1497" s="3" t="str">
        <f t="shared" si="189"/>
        <v>NG</v>
      </c>
      <c r="O1497" s="3" t="s">
        <v>2368</v>
      </c>
      <c r="P1497" s="3" t="s">
        <v>2482</v>
      </c>
      <c r="Q1497" s="3">
        <v>11002283</v>
      </c>
      <c r="R1497" s="3" t="s">
        <v>932</v>
      </c>
      <c r="S1497" s="3" t="s">
        <v>5269</v>
      </c>
    </row>
    <row r="1498" spans="1:19">
      <c r="A1498" s="3">
        <v>6102</v>
      </c>
      <c r="B1498" s="83">
        <f t="array" ref="B1498">SUM(--(FREQUENCY(IF(C$2:C$3074=C1498, MATCH(D$2:D$3074, D$2:D$3074, 0)), ROW(D$2:D$3074)-ROW(D$2)+1) &gt; 0))</f>
        <v>4</v>
      </c>
      <c r="C1498" s="3">
        <v>41200173</v>
      </c>
      <c r="D1498" s="6" t="s">
        <v>3061</v>
      </c>
      <c r="E1498" s="3" t="s">
        <v>1405</v>
      </c>
      <c r="F1498" s="3" t="s">
        <v>1591</v>
      </c>
      <c r="G1498" s="68" t="str">
        <f t="shared" si="186"/>
        <v>SINGLE</v>
      </c>
      <c r="H1498" s="197">
        <f t="shared" si="190"/>
        <v>40</v>
      </c>
      <c r="I1498" s="197">
        <v>10</v>
      </c>
      <c r="J1498" s="197">
        <v>2</v>
      </c>
      <c r="K1498" s="186">
        <f t="shared" si="191"/>
        <v>45932</v>
      </c>
      <c r="L1498" s="3" t="s">
        <v>2395</v>
      </c>
      <c r="M1498" s="3" t="s">
        <v>1468</v>
      </c>
      <c r="N1498" s="3" t="str">
        <f t="shared" si="189"/>
        <v/>
      </c>
    </row>
    <row r="1499" spans="1:19">
      <c r="A1499" s="3">
        <v>6102</v>
      </c>
      <c r="B1499" s="83">
        <f t="array" ref="B1499">SUM(--(FREQUENCY(IF(C$2:C$3074=C1499, MATCH(D$2:D$3074, D$2:D$3074, 0)), ROW(D$2:D$3074)-ROW(D$2)+1) &gt; 0))</f>
        <v>4</v>
      </c>
      <c r="C1499" s="3">
        <v>41200173</v>
      </c>
      <c r="D1499" s="6" t="s">
        <v>3062</v>
      </c>
      <c r="E1499" s="3" t="s">
        <v>1405</v>
      </c>
      <c r="F1499" s="3" t="s">
        <v>1591</v>
      </c>
      <c r="G1499" s="68" t="str">
        <f t="shared" si="186"/>
        <v>SINGLE</v>
      </c>
      <c r="H1499" s="197">
        <f t="shared" si="190"/>
        <v>40</v>
      </c>
      <c r="I1499" s="197">
        <v>10</v>
      </c>
      <c r="J1499" s="197">
        <v>2</v>
      </c>
      <c r="K1499" s="186">
        <f t="shared" si="191"/>
        <v>45932</v>
      </c>
      <c r="L1499" s="3" t="s">
        <v>2395</v>
      </c>
      <c r="M1499" s="3" t="s">
        <v>1468</v>
      </c>
      <c r="N1499" s="3" t="str">
        <f t="shared" si="189"/>
        <v>NG</v>
      </c>
      <c r="O1499" s="3" t="s">
        <v>2368</v>
      </c>
      <c r="P1499" s="3" t="s">
        <v>2482</v>
      </c>
      <c r="Q1499" s="3">
        <v>11100935</v>
      </c>
      <c r="R1499" s="3" t="s">
        <v>932</v>
      </c>
      <c r="S1499" s="3" t="s">
        <v>5270</v>
      </c>
    </row>
    <row r="1500" spans="1:19">
      <c r="A1500" s="3">
        <v>5855</v>
      </c>
      <c r="B1500" s="83">
        <f t="array" ref="B1500">SUM(--(FREQUENCY(IF(C$2:C$3074=C1500, MATCH(D$2:D$3074, D$2:D$3074, 0)), ROW(D$2:D$3074)-ROW(D$2)+1) &gt; 0))</f>
        <v>32</v>
      </c>
      <c r="C1500" s="3">
        <v>41200122</v>
      </c>
      <c r="D1500" s="6" t="s">
        <v>3063</v>
      </c>
      <c r="E1500" s="3" t="s">
        <v>1585</v>
      </c>
      <c r="F1500" s="3" t="s">
        <v>1476</v>
      </c>
      <c r="G1500" s="68" t="str">
        <f t="shared" si="186"/>
        <v>DUAL</v>
      </c>
      <c r="H1500" s="197">
        <f t="shared" si="190"/>
        <v>40</v>
      </c>
      <c r="I1500" s="197">
        <v>10</v>
      </c>
      <c r="J1500" s="197">
        <v>2</v>
      </c>
      <c r="K1500" s="186">
        <f t="shared" si="191"/>
        <v>45932</v>
      </c>
      <c r="L1500" s="3" t="s">
        <v>2391</v>
      </c>
      <c r="M1500" s="3" t="s">
        <v>1468</v>
      </c>
      <c r="N1500" s="3" t="str">
        <f t="shared" si="189"/>
        <v>NG</v>
      </c>
      <c r="O1500" s="3" t="s">
        <v>2368</v>
      </c>
      <c r="P1500" s="3" t="s">
        <v>2482</v>
      </c>
      <c r="Q1500" s="3">
        <v>11002283</v>
      </c>
      <c r="R1500" s="3" t="s">
        <v>932</v>
      </c>
      <c r="S1500" s="3" t="s">
        <v>5271</v>
      </c>
    </row>
    <row r="1501" spans="1:19">
      <c r="A1501" s="3">
        <v>6029</v>
      </c>
      <c r="B1501" s="83">
        <f t="array" ref="B1501">SUM(--(FREQUENCY(IF(C$2:C$3074=C1501, MATCH(D$2:D$3074, D$2:D$3074, 0)), ROW(D$2:D$3074)-ROW(D$2)+1) &gt; 0))</f>
        <v>11</v>
      </c>
      <c r="C1501" s="3">
        <v>41200105</v>
      </c>
      <c r="D1501" s="6" t="s">
        <v>3065</v>
      </c>
      <c r="E1501" s="3" t="s">
        <v>1424</v>
      </c>
      <c r="F1501" s="3" t="s">
        <v>1476</v>
      </c>
      <c r="G1501" s="68" t="str">
        <f t="shared" si="186"/>
        <v>DUAL</v>
      </c>
      <c r="H1501" s="197">
        <f t="shared" si="190"/>
        <v>40</v>
      </c>
      <c r="I1501" s="197">
        <v>10</v>
      </c>
      <c r="J1501" s="197">
        <v>2</v>
      </c>
      <c r="K1501" s="186">
        <f t="shared" si="191"/>
        <v>45932</v>
      </c>
      <c r="L1501" s="3" t="s">
        <v>2391</v>
      </c>
      <c r="M1501" s="3" t="s">
        <v>1468</v>
      </c>
      <c r="N1501" s="3" t="str">
        <f t="shared" si="189"/>
        <v/>
      </c>
    </row>
    <row r="1502" spans="1:19">
      <c r="A1502" s="3">
        <v>6075</v>
      </c>
      <c r="B1502" s="83">
        <f t="array" ref="B1502">SUM(--(FREQUENCY(IF(C$2:C$3074=C1502, MATCH(D$2:D$3074, D$2:D$3074, 0)), ROW(D$2:D$3074)-ROW(D$2)+1) &gt; 0))</f>
        <v>2</v>
      </c>
      <c r="C1502" s="3">
        <v>41100075</v>
      </c>
      <c r="D1502" s="6" t="s">
        <v>3079</v>
      </c>
      <c r="E1502" s="3" t="s">
        <v>1415</v>
      </c>
      <c r="F1502" s="3" t="s">
        <v>1911</v>
      </c>
      <c r="G1502" s="68" t="str">
        <f t="shared" si="186"/>
        <v>DUAL</v>
      </c>
      <c r="H1502" s="197">
        <f>WEEKNUM(K1502)</f>
        <v>42</v>
      </c>
      <c r="I1502" s="197">
        <v>10</v>
      </c>
      <c r="J1502" s="197">
        <v>13</v>
      </c>
      <c r="K1502" s="186">
        <f>DATE(2025, I1502, J1502)</f>
        <v>45943</v>
      </c>
      <c r="L1502" s="3" t="s">
        <v>2391</v>
      </c>
      <c r="M1502" s="3" t="s">
        <v>1469</v>
      </c>
      <c r="N1502" s="3" t="str">
        <f t="shared" si="189"/>
        <v/>
      </c>
    </row>
    <row r="1503" spans="1:19">
      <c r="A1503" s="3">
        <v>6058</v>
      </c>
      <c r="B1503" s="83">
        <f t="array" ref="B1503">SUM(--(FREQUENCY(IF(C$2:C$3074=C1503, MATCH(D$2:D$3074, D$2:D$3074, 0)), ROW(D$2:D$3074)-ROW(D$2)+1) &gt; 0))</f>
        <v>41</v>
      </c>
      <c r="C1503" s="3">
        <v>41200101</v>
      </c>
      <c r="D1503" s="6" t="s">
        <v>3069</v>
      </c>
      <c r="E1503" s="3" t="s">
        <v>1585</v>
      </c>
      <c r="F1503" s="3" t="s">
        <v>1476</v>
      </c>
      <c r="G1503" s="68" t="str">
        <f t="shared" si="186"/>
        <v>DUAL</v>
      </c>
      <c r="H1503" s="197">
        <f>WEEKNUM(K1503)</f>
        <v>42</v>
      </c>
      <c r="I1503" s="197">
        <v>10</v>
      </c>
      <c r="J1503" s="197">
        <v>13</v>
      </c>
      <c r="K1503" s="186">
        <f>DATE(2025, I1503, J1503)</f>
        <v>45943</v>
      </c>
      <c r="L1503" s="3" t="s">
        <v>2395</v>
      </c>
      <c r="M1503" s="3" t="s">
        <v>1468</v>
      </c>
      <c r="N1503" s="3" t="str">
        <f t="shared" si="189"/>
        <v>NG</v>
      </c>
      <c r="O1503" s="3" t="s">
        <v>2368</v>
      </c>
      <c r="P1503" s="3" t="s">
        <v>2482</v>
      </c>
      <c r="Q1503" s="3">
        <v>11000136</v>
      </c>
      <c r="R1503" s="3" t="s">
        <v>1049</v>
      </c>
      <c r="S1503" s="3" t="s">
        <v>5272</v>
      </c>
    </row>
    <row r="1504" spans="1:19">
      <c r="A1504" s="3">
        <v>6074</v>
      </c>
      <c r="B1504" s="83">
        <f t="array" ref="B1504">SUM(--(FREQUENCY(IF(C$2:C$3074=C1504, MATCH(D$2:D$3074, D$2:D$3074, 0)), ROW(D$2:D$3074)-ROW(D$2)+1) &gt; 0))</f>
        <v>6</v>
      </c>
      <c r="C1504" s="3">
        <v>41000544</v>
      </c>
      <c r="D1504" s="6" t="s">
        <v>3071</v>
      </c>
      <c r="E1504" s="3" t="s">
        <v>1405</v>
      </c>
      <c r="F1504" s="3" t="s">
        <v>1476</v>
      </c>
      <c r="G1504" s="68" t="str">
        <f t="shared" si="186"/>
        <v>DUAL</v>
      </c>
      <c r="H1504" s="197">
        <f t="shared" ref="H1504:H1511" si="192">WEEKNUM(K1504)</f>
        <v>42</v>
      </c>
      <c r="I1504" s="197">
        <v>10</v>
      </c>
      <c r="J1504" s="197">
        <v>13</v>
      </c>
      <c r="K1504" s="186">
        <f t="shared" ref="K1504:K1511" si="193">DATE(2025, I1504, J1504)</f>
        <v>45943</v>
      </c>
      <c r="L1504" s="3" t="s">
        <v>2391</v>
      </c>
      <c r="M1504" s="3" t="s">
        <v>1468</v>
      </c>
      <c r="N1504" s="3" t="str">
        <f t="shared" si="189"/>
        <v>NG</v>
      </c>
      <c r="O1504" s="3" t="s">
        <v>2368</v>
      </c>
      <c r="P1504" s="3" t="s">
        <v>5098</v>
      </c>
      <c r="Q1504" s="3">
        <v>11000122</v>
      </c>
      <c r="R1504" s="3" t="s">
        <v>1049</v>
      </c>
      <c r="S1504" s="3" t="s">
        <v>5273</v>
      </c>
    </row>
    <row r="1505" spans="1:19">
      <c r="A1505" s="3">
        <v>6002</v>
      </c>
      <c r="B1505" s="83">
        <f t="array" ref="B1505">SUM(--(FREQUENCY(IF(C$2:C$3074=C1505, MATCH(D$2:D$3074, D$2:D$3074, 0)), ROW(D$2:D$3074)-ROW(D$2)+1) &gt; 0))</f>
        <v>8</v>
      </c>
      <c r="C1505" s="3">
        <v>41200131</v>
      </c>
      <c r="D1505" s="6" t="s">
        <v>3072</v>
      </c>
      <c r="E1505" s="3" t="s">
        <v>1431</v>
      </c>
      <c r="F1505" s="3" t="s">
        <v>1476</v>
      </c>
      <c r="G1505" s="68" t="str">
        <f t="shared" si="186"/>
        <v>DUAL</v>
      </c>
      <c r="H1505" s="197">
        <f t="shared" si="192"/>
        <v>42</v>
      </c>
      <c r="I1505" s="197">
        <v>10</v>
      </c>
      <c r="J1505" s="197">
        <v>13</v>
      </c>
      <c r="K1505" s="186">
        <f t="shared" si="193"/>
        <v>45943</v>
      </c>
      <c r="L1505" s="3" t="s">
        <v>2391</v>
      </c>
      <c r="M1505" s="3" t="s">
        <v>1468</v>
      </c>
      <c r="N1505" s="3" t="str">
        <f t="shared" si="189"/>
        <v/>
      </c>
    </row>
    <row r="1506" spans="1:19">
      <c r="A1506" s="3">
        <v>6002</v>
      </c>
      <c r="B1506" s="83">
        <f t="array" ref="B1506">SUM(--(FREQUENCY(IF(C$2:C$3074=C1506, MATCH(D$2:D$3074, D$2:D$3074, 0)), ROW(D$2:D$3074)-ROW(D$2)+1) &gt; 0))</f>
        <v>8</v>
      </c>
      <c r="C1506" s="3">
        <v>41200131</v>
      </c>
      <c r="D1506" s="6" t="s">
        <v>3073</v>
      </c>
      <c r="E1506" s="3" t="s">
        <v>1431</v>
      </c>
      <c r="F1506" s="3" t="s">
        <v>1476</v>
      </c>
      <c r="G1506" s="68" t="str">
        <f t="shared" ref="G1506:G1537" si="194">IF(OR(ISNUMBER(SEARCH("DUAL",F1506)), ISNUMBER(SEARCH("IVAS",F1506))), "DUAL", "SINGLE")</f>
        <v>DUAL</v>
      </c>
      <c r="H1506" s="197">
        <f t="shared" si="192"/>
        <v>42</v>
      </c>
      <c r="I1506" s="197">
        <v>10</v>
      </c>
      <c r="J1506" s="197">
        <v>13</v>
      </c>
      <c r="K1506" s="186">
        <f t="shared" si="193"/>
        <v>45943</v>
      </c>
      <c r="L1506" s="3" t="s">
        <v>2391</v>
      </c>
      <c r="M1506" s="3" t="s">
        <v>1468</v>
      </c>
      <c r="N1506" s="3" t="str">
        <f t="shared" si="189"/>
        <v/>
      </c>
    </row>
    <row r="1507" spans="1:19">
      <c r="A1507" s="3">
        <v>5936</v>
      </c>
      <c r="B1507" s="83">
        <f t="array" ref="B1507">SUM(--(FREQUENCY(IF(C$2:C$3074=C1507, MATCH(D$2:D$3074, D$2:D$3074, 0)), ROW(D$2:D$3074)-ROW(D$2)+1) &gt; 0))</f>
        <v>77</v>
      </c>
      <c r="C1507" s="3">
        <v>41200076</v>
      </c>
      <c r="D1507" s="6" t="s">
        <v>3074</v>
      </c>
      <c r="E1507" s="3" t="s">
        <v>1585</v>
      </c>
      <c r="F1507" s="3" t="s">
        <v>1476</v>
      </c>
      <c r="G1507" s="68" t="str">
        <f t="shared" si="194"/>
        <v>DUAL</v>
      </c>
      <c r="H1507" s="197">
        <f t="shared" si="192"/>
        <v>42</v>
      </c>
      <c r="I1507" s="197">
        <v>10</v>
      </c>
      <c r="J1507" s="197">
        <v>13</v>
      </c>
      <c r="K1507" s="186">
        <f t="shared" si="193"/>
        <v>45943</v>
      </c>
      <c r="L1507" s="3" t="s">
        <v>2395</v>
      </c>
      <c r="M1507" s="3" t="s">
        <v>1469</v>
      </c>
      <c r="N1507" s="3" t="str">
        <f t="shared" si="189"/>
        <v>NG</v>
      </c>
      <c r="O1507" s="3" t="s">
        <v>2368</v>
      </c>
      <c r="P1507" s="3" t="s">
        <v>1384</v>
      </c>
      <c r="Q1507" s="3">
        <v>11000169</v>
      </c>
      <c r="R1507" s="3" t="s">
        <v>1151</v>
      </c>
      <c r="S1507" s="3" t="s">
        <v>5274</v>
      </c>
    </row>
    <row r="1508" spans="1:19">
      <c r="A1508" s="3">
        <v>5936</v>
      </c>
      <c r="B1508" s="83">
        <f t="array" ref="B1508">SUM(--(FREQUENCY(IF(C$2:C$3074=C1508, MATCH(D$2:D$3074, D$2:D$3074, 0)), ROW(D$2:D$3074)-ROW(D$2)+1) &gt; 0))</f>
        <v>77</v>
      </c>
      <c r="C1508" s="3">
        <v>41200076</v>
      </c>
      <c r="D1508" s="6" t="s">
        <v>3076</v>
      </c>
      <c r="E1508" s="3" t="s">
        <v>1585</v>
      </c>
      <c r="F1508" s="3" t="s">
        <v>1476</v>
      </c>
      <c r="G1508" s="41" t="str">
        <f t="shared" si="194"/>
        <v>DUAL</v>
      </c>
      <c r="H1508" s="197">
        <f t="shared" si="192"/>
        <v>42</v>
      </c>
      <c r="I1508" s="197">
        <v>10</v>
      </c>
      <c r="J1508" s="197">
        <v>13</v>
      </c>
      <c r="K1508" s="186">
        <f t="shared" si="193"/>
        <v>45943</v>
      </c>
      <c r="L1508" s="3" t="s">
        <v>2395</v>
      </c>
      <c r="M1508" s="3" t="s">
        <v>1469</v>
      </c>
      <c r="N1508" s="3" t="str">
        <f t="shared" si="189"/>
        <v>NG</v>
      </c>
      <c r="O1508" s="3" t="s">
        <v>2368</v>
      </c>
      <c r="P1508" s="3" t="s">
        <v>2482</v>
      </c>
      <c r="Q1508" s="3">
        <v>11002283</v>
      </c>
      <c r="R1508" s="3" t="s">
        <v>932</v>
      </c>
      <c r="S1508" s="3" t="s">
        <v>5275</v>
      </c>
    </row>
    <row r="1509" spans="1:19">
      <c r="A1509" s="3">
        <v>5936</v>
      </c>
      <c r="B1509" s="83">
        <f t="array" ref="B1509">SUM(--(FREQUENCY(IF(C$2:C$3074=C1509, MATCH(D$2:D$3074, D$2:D$3074, 0)), ROW(D$2:D$3074)-ROW(D$2)+1) &gt; 0))</f>
        <v>77</v>
      </c>
      <c r="C1509" s="3">
        <v>41200076</v>
      </c>
      <c r="D1509" s="6" t="s">
        <v>3076</v>
      </c>
      <c r="E1509" s="3" t="s">
        <v>1585</v>
      </c>
      <c r="F1509" s="3" t="s">
        <v>1476</v>
      </c>
      <c r="G1509" s="41" t="str">
        <f t="shared" si="194"/>
        <v>DUAL</v>
      </c>
      <c r="H1509" s="197">
        <f t="shared" ref="H1509" si="195">WEEKNUM(K1509)</f>
        <v>42</v>
      </c>
      <c r="I1509" s="197">
        <v>10</v>
      </c>
      <c r="J1509" s="197">
        <v>13</v>
      </c>
      <c r="K1509" s="186">
        <f t="shared" ref="K1509" si="196">DATE(2025, I1509, J1509)</f>
        <v>45943</v>
      </c>
      <c r="L1509" s="3" t="s">
        <v>2395</v>
      </c>
      <c r="M1509" s="3" t="s">
        <v>1469</v>
      </c>
      <c r="N1509" s="3" t="str">
        <f t="shared" si="189"/>
        <v>NG</v>
      </c>
      <c r="O1509" s="3" t="s">
        <v>2368</v>
      </c>
      <c r="P1509" s="3" t="s">
        <v>2482</v>
      </c>
      <c r="Q1509" s="3">
        <v>11002283</v>
      </c>
      <c r="R1509" s="3" t="s">
        <v>932</v>
      </c>
      <c r="S1509" s="3" t="s">
        <v>5276</v>
      </c>
    </row>
    <row r="1510" spans="1:19">
      <c r="A1510" s="3">
        <v>6004</v>
      </c>
      <c r="B1510" s="83">
        <f t="array" ref="B1510">SUM(--(FREQUENCY(IF(C$2:C$3074=C1510, MATCH(D$2:D$3074, D$2:D$3074, 0)), ROW(D$2:D$3074)-ROW(D$2)+1) &gt; 0))</f>
        <v>25</v>
      </c>
      <c r="C1510" s="3">
        <v>41200128</v>
      </c>
      <c r="D1510" s="6" t="s">
        <v>3077</v>
      </c>
      <c r="E1510" s="3" t="s">
        <v>1431</v>
      </c>
      <c r="F1510" s="3" t="s">
        <v>1591</v>
      </c>
      <c r="G1510" s="68" t="str">
        <f t="shared" si="194"/>
        <v>SINGLE</v>
      </c>
      <c r="H1510" s="197">
        <f t="shared" si="192"/>
        <v>42</v>
      </c>
      <c r="I1510" s="197">
        <v>10</v>
      </c>
      <c r="J1510" s="197">
        <v>13</v>
      </c>
      <c r="K1510" s="186">
        <f t="shared" si="193"/>
        <v>45943</v>
      </c>
      <c r="L1510" s="3" t="s">
        <v>2395</v>
      </c>
      <c r="M1510" s="3" t="s">
        <v>1469</v>
      </c>
      <c r="N1510" s="3" t="str">
        <f t="shared" si="189"/>
        <v/>
      </c>
    </row>
    <row r="1511" spans="1:19">
      <c r="A1511" s="3">
        <v>6004</v>
      </c>
      <c r="B1511" s="83">
        <f t="array" ref="B1511">SUM(--(FREQUENCY(IF(C$2:C$3074=C1511, MATCH(D$2:D$3074, D$2:D$3074, 0)), ROW(D$2:D$3074)-ROW(D$2)+1) &gt; 0))</f>
        <v>25</v>
      </c>
      <c r="C1511" s="3">
        <v>41200128</v>
      </c>
      <c r="D1511" s="6" t="s">
        <v>3078</v>
      </c>
      <c r="E1511" s="3" t="s">
        <v>1431</v>
      </c>
      <c r="F1511" s="3" t="s">
        <v>1591</v>
      </c>
      <c r="G1511" s="68" t="str">
        <f t="shared" si="194"/>
        <v>SINGLE</v>
      </c>
      <c r="H1511" s="197">
        <f t="shared" si="192"/>
        <v>42</v>
      </c>
      <c r="I1511" s="197">
        <v>10</v>
      </c>
      <c r="J1511" s="197">
        <v>13</v>
      </c>
      <c r="K1511" s="186">
        <f t="shared" si="193"/>
        <v>45943</v>
      </c>
      <c r="L1511" s="3" t="s">
        <v>2395</v>
      </c>
      <c r="M1511" s="3" t="s">
        <v>1469</v>
      </c>
      <c r="N1511" s="3" t="str">
        <f t="shared" si="189"/>
        <v/>
      </c>
    </row>
    <row r="1512" spans="1:19">
      <c r="A1512" s="3">
        <v>5995</v>
      </c>
      <c r="B1512" s="83">
        <f t="array" ref="B1512">SUM(--(FREQUENCY(IF(C$2:C$3074=C1512, MATCH(D$2:D$3074, D$2:D$3074, 0)), ROW(D$2:D$3074)-ROW(D$2)+1) &gt; 0))</f>
        <v>6</v>
      </c>
      <c r="C1512" s="3">
        <v>31200699</v>
      </c>
      <c r="D1512" s="6" t="s">
        <v>5277</v>
      </c>
      <c r="E1512" s="3" t="s">
        <v>1399</v>
      </c>
      <c r="F1512" s="3" t="s">
        <v>5173</v>
      </c>
      <c r="G1512" s="68" t="str">
        <f t="shared" si="194"/>
        <v>SINGLE</v>
      </c>
      <c r="H1512" s="197">
        <f t="shared" ref="H1512:H1525" si="197">WEEKNUM(K1512)</f>
        <v>42</v>
      </c>
      <c r="I1512" s="197">
        <v>10</v>
      </c>
      <c r="J1512" s="197">
        <v>13</v>
      </c>
      <c r="K1512" s="186">
        <f t="shared" ref="K1512:K1525" si="198">DATE(2025, I1512, J1512)</f>
        <v>45943</v>
      </c>
      <c r="L1512" s="3" t="s">
        <v>2392</v>
      </c>
      <c r="M1512" s="3" t="s">
        <v>2392</v>
      </c>
      <c r="N1512" s="3" t="str">
        <f t="shared" si="189"/>
        <v/>
      </c>
    </row>
    <row r="1513" spans="1:19">
      <c r="A1513" s="3">
        <v>5995</v>
      </c>
      <c r="B1513" s="83">
        <f t="array" ref="B1513">SUM(--(FREQUENCY(IF(C$2:C$3074=C1513, MATCH(D$2:D$3074, D$2:D$3074, 0)), ROW(D$2:D$3074)-ROW(D$2)+1) &gt; 0))</f>
        <v>6</v>
      </c>
      <c r="C1513" s="3">
        <v>31200699</v>
      </c>
      <c r="D1513" s="6" t="s">
        <v>5278</v>
      </c>
      <c r="E1513" s="3" t="s">
        <v>1399</v>
      </c>
      <c r="F1513" s="3" t="s">
        <v>5173</v>
      </c>
      <c r="G1513" s="68" t="str">
        <f t="shared" si="194"/>
        <v>SINGLE</v>
      </c>
      <c r="H1513" s="197">
        <f t="shared" si="197"/>
        <v>42</v>
      </c>
      <c r="I1513" s="197">
        <v>10</v>
      </c>
      <c r="J1513" s="197">
        <v>13</v>
      </c>
      <c r="K1513" s="186">
        <f t="shared" si="198"/>
        <v>45943</v>
      </c>
      <c r="L1513" s="3" t="s">
        <v>2392</v>
      </c>
      <c r="M1513" s="3" t="s">
        <v>2392</v>
      </c>
      <c r="N1513" s="3" t="str">
        <f t="shared" si="189"/>
        <v/>
      </c>
    </row>
    <row r="1514" spans="1:19">
      <c r="A1514" s="3">
        <v>5995</v>
      </c>
      <c r="B1514" s="83">
        <f t="array" ref="B1514">SUM(--(FREQUENCY(IF(C$2:C$3074=C1514, MATCH(D$2:D$3074, D$2:D$3074, 0)), ROW(D$2:D$3074)-ROW(D$2)+1) &gt; 0))</f>
        <v>6</v>
      </c>
      <c r="C1514" s="3">
        <v>31200699</v>
      </c>
      <c r="D1514" s="6" t="s">
        <v>5279</v>
      </c>
      <c r="E1514" s="3" t="s">
        <v>1399</v>
      </c>
      <c r="F1514" s="3" t="s">
        <v>5173</v>
      </c>
      <c r="G1514" s="68" t="str">
        <f t="shared" si="194"/>
        <v>SINGLE</v>
      </c>
      <c r="H1514" s="197">
        <f t="shared" si="197"/>
        <v>42</v>
      </c>
      <c r="I1514" s="197">
        <v>10</v>
      </c>
      <c r="J1514" s="197">
        <v>13</v>
      </c>
      <c r="K1514" s="186">
        <f t="shared" si="198"/>
        <v>45943</v>
      </c>
      <c r="L1514" s="3" t="s">
        <v>2392</v>
      </c>
      <c r="M1514" s="3" t="s">
        <v>2392</v>
      </c>
      <c r="N1514" s="3" t="str">
        <f t="shared" si="189"/>
        <v/>
      </c>
    </row>
    <row r="1515" spans="1:19">
      <c r="A1515" s="3">
        <v>6028</v>
      </c>
      <c r="B1515" s="83">
        <f t="array" ref="B1515">SUM(--(FREQUENCY(IF(C$2:C$3074=C1515, MATCH(D$2:D$3074, D$2:D$3074, 0)), ROW(D$2:D$3074)-ROW(D$2)+1) &gt; 0))</f>
        <v>4</v>
      </c>
      <c r="C1515" s="3">
        <v>31200272</v>
      </c>
      <c r="D1515" s="6" t="s">
        <v>5280</v>
      </c>
      <c r="E1515" s="3" t="s">
        <v>1405</v>
      </c>
      <c r="F1515" s="3" t="s">
        <v>5173</v>
      </c>
      <c r="G1515" s="68" t="str">
        <f t="shared" si="194"/>
        <v>SINGLE</v>
      </c>
      <c r="H1515" s="197">
        <f t="shared" si="197"/>
        <v>42</v>
      </c>
      <c r="I1515" s="197">
        <v>10</v>
      </c>
      <c r="J1515" s="197">
        <v>13</v>
      </c>
      <c r="K1515" s="186">
        <f t="shared" si="198"/>
        <v>45943</v>
      </c>
      <c r="L1515" s="3" t="s">
        <v>2392</v>
      </c>
      <c r="M1515" s="3" t="s">
        <v>2392</v>
      </c>
      <c r="N1515" s="3" t="str">
        <f t="shared" si="189"/>
        <v/>
      </c>
    </row>
    <row r="1516" spans="1:19">
      <c r="A1516" s="3">
        <v>6028</v>
      </c>
      <c r="B1516" s="83">
        <f t="array" ref="B1516">SUM(--(FREQUENCY(IF(C$2:C$3074=C1516, MATCH(D$2:D$3074, D$2:D$3074, 0)), ROW(D$2:D$3074)-ROW(D$2)+1) &gt; 0))</f>
        <v>4</v>
      </c>
      <c r="C1516" s="3">
        <v>31200272</v>
      </c>
      <c r="D1516" s="6" t="s">
        <v>5281</v>
      </c>
      <c r="E1516" s="3" t="s">
        <v>1405</v>
      </c>
      <c r="F1516" s="3" t="s">
        <v>5173</v>
      </c>
      <c r="G1516" s="68" t="str">
        <f t="shared" si="194"/>
        <v>SINGLE</v>
      </c>
      <c r="H1516" s="197">
        <f t="shared" si="197"/>
        <v>42</v>
      </c>
      <c r="I1516" s="197">
        <v>10</v>
      </c>
      <c r="J1516" s="197">
        <v>13</v>
      </c>
      <c r="K1516" s="186">
        <f t="shared" si="198"/>
        <v>45943</v>
      </c>
      <c r="L1516" s="3" t="s">
        <v>2392</v>
      </c>
      <c r="M1516" s="3" t="s">
        <v>2392</v>
      </c>
      <c r="N1516" s="3" t="str">
        <f t="shared" ref="N1516:N1547" si="199">IF(O1516&lt;&gt;"", "NG", "")</f>
        <v/>
      </c>
    </row>
    <row r="1517" spans="1:19">
      <c r="A1517" s="3">
        <v>6028</v>
      </c>
      <c r="B1517" s="83">
        <f t="array" ref="B1517">SUM(--(FREQUENCY(IF(C$2:C$3074=C1517, MATCH(D$2:D$3074, D$2:D$3074, 0)), ROW(D$2:D$3074)-ROW(D$2)+1) &gt; 0))</f>
        <v>1</v>
      </c>
      <c r="C1517" s="3">
        <v>31200054</v>
      </c>
      <c r="D1517" s="6" t="s">
        <v>5282</v>
      </c>
      <c r="E1517" s="3" t="s">
        <v>1405</v>
      </c>
      <c r="F1517" s="3" t="s">
        <v>5173</v>
      </c>
      <c r="G1517" s="68" t="str">
        <f t="shared" si="194"/>
        <v>SINGLE</v>
      </c>
      <c r="H1517" s="197">
        <f t="shared" si="197"/>
        <v>42</v>
      </c>
      <c r="I1517" s="197">
        <v>10</v>
      </c>
      <c r="J1517" s="197">
        <v>13</v>
      </c>
      <c r="K1517" s="186">
        <f t="shared" si="198"/>
        <v>45943</v>
      </c>
      <c r="L1517" s="3" t="s">
        <v>2392</v>
      </c>
      <c r="M1517" s="3" t="s">
        <v>2392</v>
      </c>
      <c r="N1517" s="3" t="str">
        <f t="shared" si="199"/>
        <v/>
      </c>
    </row>
    <row r="1518" spans="1:19">
      <c r="A1518" s="3">
        <v>6028</v>
      </c>
      <c r="B1518" s="83">
        <f t="array" ref="B1518">SUM(--(FREQUENCY(IF(C$2:C$3074=C1518, MATCH(D$2:D$3074, D$2:D$3074, 0)), ROW(D$2:D$3074)-ROW(D$2)+1) &gt; 0))</f>
        <v>1</v>
      </c>
      <c r="C1518" s="3">
        <v>31201021</v>
      </c>
      <c r="D1518" s="6" t="s">
        <v>5283</v>
      </c>
      <c r="E1518" s="3" t="s">
        <v>1405</v>
      </c>
      <c r="F1518" s="3" t="s">
        <v>5173</v>
      </c>
      <c r="G1518" s="68" t="str">
        <f t="shared" si="194"/>
        <v>SINGLE</v>
      </c>
      <c r="H1518" s="197">
        <f t="shared" si="197"/>
        <v>42</v>
      </c>
      <c r="I1518" s="197">
        <v>10</v>
      </c>
      <c r="J1518" s="197">
        <v>13</v>
      </c>
      <c r="K1518" s="186">
        <f t="shared" si="198"/>
        <v>45943</v>
      </c>
      <c r="L1518" s="3" t="s">
        <v>2392</v>
      </c>
      <c r="M1518" s="3" t="s">
        <v>2392</v>
      </c>
      <c r="N1518" s="3" t="str">
        <f t="shared" si="199"/>
        <v/>
      </c>
    </row>
    <row r="1519" spans="1:19">
      <c r="A1519" s="3">
        <v>6028</v>
      </c>
      <c r="B1519" s="83">
        <f t="array" ref="B1519">SUM(--(FREQUENCY(IF(C$2:C$3074=C1519, MATCH(D$2:D$3074, D$2:D$3074, 0)), ROW(D$2:D$3074)-ROW(D$2)+1) &gt; 0))</f>
        <v>2</v>
      </c>
      <c r="C1519" s="3">
        <v>31201019</v>
      </c>
      <c r="D1519" s="6" t="s">
        <v>5284</v>
      </c>
      <c r="E1519" s="3" t="s">
        <v>1405</v>
      </c>
      <c r="F1519" s="3" t="s">
        <v>5173</v>
      </c>
      <c r="G1519" s="68" t="str">
        <f t="shared" si="194"/>
        <v>SINGLE</v>
      </c>
      <c r="H1519" s="197">
        <f t="shared" si="197"/>
        <v>42</v>
      </c>
      <c r="I1519" s="197">
        <v>10</v>
      </c>
      <c r="J1519" s="197">
        <v>13</v>
      </c>
      <c r="K1519" s="186">
        <f t="shared" si="198"/>
        <v>45943</v>
      </c>
      <c r="L1519" s="3" t="s">
        <v>2392</v>
      </c>
      <c r="M1519" s="3" t="s">
        <v>2392</v>
      </c>
      <c r="N1519" s="3" t="str">
        <f t="shared" si="199"/>
        <v/>
      </c>
    </row>
    <row r="1520" spans="1:19">
      <c r="A1520" s="3">
        <v>6028</v>
      </c>
      <c r="B1520" s="83">
        <f t="array" ref="B1520">SUM(--(FREQUENCY(IF(C$2:C$3074=C1520, MATCH(D$2:D$3074, D$2:D$3074, 0)), ROW(D$2:D$3074)-ROW(D$2)+1) &gt; 0))</f>
        <v>2</v>
      </c>
      <c r="C1520" s="3">
        <v>31201019</v>
      </c>
      <c r="D1520" s="6" t="s">
        <v>5285</v>
      </c>
      <c r="E1520" s="3" t="s">
        <v>1405</v>
      </c>
      <c r="F1520" s="3" t="s">
        <v>5173</v>
      </c>
      <c r="G1520" s="68" t="str">
        <f t="shared" si="194"/>
        <v>SINGLE</v>
      </c>
      <c r="H1520" s="197">
        <f t="shared" si="197"/>
        <v>42</v>
      </c>
      <c r="I1520" s="197">
        <v>10</v>
      </c>
      <c r="J1520" s="197">
        <v>13</v>
      </c>
      <c r="K1520" s="186">
        <f t="shared" si="198"/>
        <v>45943</v>
      </c>
      <c r="L1520" s="3" t="s">
        <v>2392</v>
      </c>
      <c r="M1520" s="3" t="s">
        <v>2392</v>
      </c>
      <c r="N1520" s="3" t="str">
        <f t="shared" si="199"/>
        <v/>
      </c>
    </row>
    <row r="1521" spans="1:19">
      <c r="A1521" s="3">
        <v>6028</v>
      </c>
      <c r="B1521" s="83">
        <f t="array" ref="B1521">SUM(--(FREQUENCY(IF(C$2:C$3074=C1521, MATCH(D$2:D$3074, D$2:D$3074, 0)), ROW(D$2:D$3074)-ROW(D$2)+1) &gt; 0))</f>
        <v>2</v>
      </c>
      <c r="C1521" s="3">
        <v>31102304</v>
      </c>
      <c r="D1521" s="6" t="s">
        <v>5286</v>
      </c>
      <c r="E1521" s="3" t="s">
        <v>1405</v>
      </c>
      <c r="F1521" s="3" t="s">
        <v>5173</v>
      </c>
      <c r="G1521" s="68" t="str">
        <f t="shared" si="194"/>
        <v>SINGLE</v>
      </c>
      <c r="H1521" s="197">
        <f t="shared" si="197"/>
        <v>42</v>
      </c>
      <c r="I1521" s="197">
        <v>10</v>
      </c>
      <c r="J1521" s="197">
        <v>13</v>
      </c>
      <c r="K1521" s="186">
        <f t="shared" si="198"/>
        <v>45943</v>
      </c>
      <c r="L1521" s="3" t="s">
        <v>2392</v>
      </c>
      <c r="M1521" s="3" t="s">
        <v>2392</v>
      </c>
      <c r="N1521" s="3" t="str">
        <f t="shared" si="199"/>
        <v/>
      </c>
    </row>
    <row r="1522" spans="1:19">
      <c r="A1522" s="3">
        <v>6028</v>
      </c>
      <c r="B1522" s="83">
        <f t="array" ref="B1522">SUM(--(FREQUENCY(IF(C$2:C$3074=C1522, MATCH(D$2:D$3074, D$2:D$3074, 0)), ROW(D$2:D$3074)-ROW(D$2)+1) &gt; 0))</f>
        <v>2</v>
      </c>
      <c r="C1522" s="3">
        <v>31102253</v>
      </c>
      <c r="D1522" s="6" t="s">
        <v>5287</v>
      </c>
      <c r="E1522" s="3" t="s">
        <v>1405</v>
      </c>
      <c r="F1522" s="3" t="s">
        <v>5173</v>
      </c>
      <c r="G1522" s="68" t="str">
        <f t="shared" si="194"/>
        <v>SINGLE</v>
      </c>
      <c r="H1522" s="197">
        <f t="shared" si="197"/>
        <v>42</v>
      </c>
      <c r="I1522" s="197">
        <v>10</v>
      </c>
      <c r="J1522" s="197">
        <v>13</v>
      </c>
      <c r="K1522" s="186">
        <f t="shared" si="198"/>
        <v>45943</v>
      </c>
      <c r="L1522" s="3" t="s">
        <v>2392</v>
      </c>
      <c r="M1522" s="3" t="s">
        <v>2392</v>
      </c>
      <c r="N1522" s="3" t="str">
        <f t="shared" si="199"/>
        <v/>
      </c>
    </row>
    <row r="1523" spans="1:19">
      <c r="A1523" s="3">
        <v>6028</v>
      </c>
      <c r="B1523" s="83">
        <f t="array" ref="B1523">SUM(--(FREQUENCY(IF(C$2:C$3074=C1523, MATCH(D$2:D$3074, D$2:D$3074, 0)), ROW(D$2:D$3074)-ROW(D$2)+1) &gt; 0))</f>
        <v>2</v>
      </c>
      <c r="C1523" s="3">
        <v>31101933</v>
      </c>
      <c r="D1523" s="6" t="s">
        <v>5288</v>
      </c>
      <c r="E1523" s="3" t="s">
        <v>1405</v>
      </c>
      <c r="F1523" s="3" t="s">
        <v>5173</v>
      </c>
      <c r="G1523" s="68" t="str">
        <f t="shared" si="194"/>
        <v>SINGLE</v>
      </c>
      <c r="H1523" s="197">
        <f t="shared" si="197"/>
        <v>42</v>
      </c>
      <c r="I1523" s="197">
        <v>10</v>
      </c>
      <c r="J1523" s="197">
        <v>13</v>
      </c>
      <c r="K1523" s="186">
        <f t="shared" si="198"/>
        <v>45943</v>
      </c>
      <c r="L1523" s="3" t="s">
        <v>2392</v>
      </c>
      <c r="M1523" s="3" t="s">
        <v>2392</v>
      </c>
      <c r="N1523" s="3" t="str">
        <f t="shared" si="199"/>
        <v/>
      </c>
    </row>
    <row r="1524" spans="1:19">
      <c r="A1524" s="3">
        <v>6028</v>
      </c>
      <c r="B1524" s="83">
        <f t="array" ref="B1524">SUM(--(FREQUENCY(IF(C$2:C$3074=C1524, MATCH(D$2:D$3074, D$2:D$3074, 0)), ROW(D$2:D$3074)-ROW(D$2)+1) &gt; 0))</f>
        <v>1</v>
      </c>
      <c r="C1524" s="3">
        <v>31102258</v>
      </c>
      <c r="D1524" s="6" t="s">
        <v>5289</v>
      </c>
      <c r="E1524" s="3" t="s">
        <v>1405</v>
      </c>
      <c r="F1524" s="3" t="s">
        <v>5173</v>
      </c>
      <c r="G1524" s="68" t="str">
        <f t="shared" si="194"/>
        <v>SINGLE</v>
      </c>
      <c r="H1524" s="197">
        <f t="shared" si="197"/>
        <v>42</v>
      </c>
      <c r="I1524" s="197">
        <v>10</v>
      </c>
      <c r="J1524" s="197">
        <v>13</v>
      </c>
      <c r="K1524" s="186">
        <f t="shared" si="198"/>
        <v>45943</v>
      </c>
      <c r="L1524" s="3" t="s">
        <v>2392</v>
      </c>
      <c r="M1524" s="3" t="s">
        <v>2392</v>
      </c>
      <c r="N1524" s="3" t="str">
        <f t="shared" si="199"/>
        <v/>
      </c>
    </row>
    <row r="1525" spans="1:19">
      <c r="A1525" s="3">
        <v>5854</v>
      </c>
      <c r="B1525" s="83">
        <f t="array" ref="B1525">SUM(--(FREQUENCY(IF(C$2:C$3074=C1525, MATCH(D$2:D$3074, D$2:D$3074, 0)), ROW(D$2:D$3074)-ROW(D$2)+1) &gt; 0))</f>
        <v>77</v>
      </c>
      <c r="C1525" s="3">
        <v>41200076</v>
      </c>
      <c r="D1525" s="6" t="s">
        <v>3080</v>
      </c>
      <c r="E1525" s="3" t="s">
        <v>1585</v>
      </c>
      <c r="F1525" s="3" t="s">
        <v>1476</v>
      </c>
      <c r="G1525" s="68" t="str">
        <f t="shared" si="194"/>
        <v>DUAL</v>
      </c>
      <c r="H1525" s="197">
        <f t="shared" si="197"/>
        <v>42</v>
      </c>
      <c r="I1525" s="197">
        <v>10</v>
      </c>
      <c r="J1525" s="197">
        <v>14</v>
      </c>
      <c r="K1525" s="186">
        <f t="shared" si="198"/>
        <v>45944</v>
      </c>
      <c r="L1525" s="3" t="s">
        <v>2391</v>
      </c>
      <c r="M1525" s="3" t="s">
        <v>1468</v>
      </c>
      <c r="N1525" s="3" t="str">
        <f t="shared" si="199"/>
        <v/>
      </c>
    </row>
    <row r="1526" spans="1:19">
      <c r="A1526" s="3">
        <v>6000</v>
      </c>
      <c r="B1526" s="83">
        <f t="array" ref="B1526">SUM(--(FREQUENCY(IF(C$2:C$3074=C1526, MATCH(D$2:D$3074, D$2:D$3074, 0)), ROW(D$2:D$3074)-ROW(D$2)+1) &gt; 0))</f>
        <v>77</v>
      </c>
      <c r="C1526" s="3">
        <v>41200076</v>
      </c>
      <c r="D1526" s="6" t="s">
        <v>3081</v>
      </c>
      <c r="E1526" s="3" t="s">
        <v>1585</v>
      </c>
      <c r="F1526" s="3" t="s">
        <v>1476</v>
      </c>
      <c r="G1526" s="68" t="str">
        <f t="shared" si="194"/>
        <v>DUAL</v>
      </c>
      <c r="H1526" s="197">
        <f t="shared" ref="H1526:H1548" si="200">WEEKNUM(K1526)</f>
        <v>42</v>
      </c>
      <c r="I1526" s="197">
        <v>10</v>
      </c>
      <c r="J1526" s="197">
        <v>14</v>
      </c>
      <c r="K1526" s="186">
        <f t="shared" ref="K1526:K1548" si="201">DATE(2025, I1526, J1526)</f>
        <v>45944</v>
      </c>
      <c r="L1526" s="3" t="s">
        <v>2391</v>
      </c>
      <c r="M1526" s="3" t="s">
        <v>1468</v>
      </c>
      <c r="N1526" s="3" t="str">
        <f t="shared" si="199"/>
        <v/>
      </c>
    </row>
    <row r="1527" spans="1:19">
      <c r="A1527" s="3">
        <v>5971</v>
      </c>
      <c r="B1527" s="83">
        <f t="array" ref="B1527">SUM(--(FREQUENCY(IF(C$2:C$3074=C1527, MATCH(D$2:D$3074, D$2:D$3074, 0)), ROW(D$2:D$3074)-ROW(D$2)+1) &gt; 0))</f>
        <v>44</v>
      </c>
      <c r="C1527" s="3">
        <v>41200047</v>
      </c>
      <c r="D1527" s="6" t="s">
        <v>3082</v>
      </c>
      <c r="E1527" s="3" t="s">
        <v>1426</v>
      </c>
      <c r="F1527" s="3" t="s">
        <v>1476</v>
      </c>
      <c r="G1527" s="68" t="str">
        <f t="shared" si="194"/>
        <v>DUAL</v>
      </c>
      <c r="H1527" s="197">
        <f t="shared" si="200"/>
        <v>42</v>
      </c>
      <c r="I1527" s="197">
        <v>10</v>
      </c>
      <c r="J1527" s="197">
        <v>14</v>
      </c>
      <c r="K1527" s="186">
        <f t="shared" si="201"/>
        <v>45944</v>
      </c>
      <c r="L1527" s="3" t="s">
        <v>2395</v>
      </c>
      <c r="M1527" s="3" t="s">
        <v>1468</v>
      </c>
      <c r="N1527" s="3" t="str">
        <f t="shared" si="199"/>
        <v>NG</v>
      </c>
      <c r="O1527" s="3" t="s">
        <v>2368</v>
      </c>
      <c r="P1527" s="3" t="s">
        <v>2482</v>
      </c>
      <c r="Q1527" s="3">
        <v>11002737</v>
      </c>
      <c r="R1527" s="3" t="s">
        <v>735</v>
      </c>
      <c r="S1527" s="3" t="s">
        <v>5290</v>
      </c>
    </row>
    <row r="1528" spans="1:19">
      <c r="A1528" s="3">
        <v>6040</v>
      </c>
      <c r="B1528" s="83">
        <f t="array" ref="B1528">SUM(--(FREQUENCY(IF(C$2:C$3074=C1528, MATCH(D$2:D$3074, D$2:D$3074, 0)), ROW(D$2:D$3074)-ROW(D$2)+1) &gt; 0))</f>
        <v>14</v>
      </c>
      <c r="C1528" s="3">
        <v>41200038</v>
      </c>
      <c r="D1528" s="6" t="s">
        <v>3083</v>
      </c>
      <c r="E1528" s="3" t="s">
        <v>1426</v>
      </c>
      <c r="F1528" s="3" t="s">
        <v>1476</v>
      </c>
      <c r="G1528" s="68" t="str">
        <f t="shared" si="194"/>
        <v>DUAL</v>
      </c>
      <c r="H1528" s="197">
        <f t="shared" si="200"/>
        <v>42</v>
      </c>
      <c r="I1528" s="197">
        <v>10</v>
      </c>
      <c r="J1528" s="197">
        <v>14</v>
      </c>
      <c r="K1528" s="186">
        <f t="shared" si="201"/>
        <v>45944</v>
      </c>
      <c r="L1528" s="3" t="s">
        <v>2391</v>
      </c>
      <c r="M1528" s="3" t="s">
        <v>1468</v>
      </c>
      <c r="N1528" s="3" t="str">
        <f t="shared" si="199"/>
        <v/>
      </c>
    </row>
    <row r="1529" spans="1:19">
      <c r="A1529" s="3">
        <v>6095</v>
      </c>
      <c r="B1529" s="83">
        <f t="array" ref="B1529">SUM(--(FREQUENCY(IF(C$2:C$3074=C1529, MATCH(D$2:D$3074, D$2:D$3074, 0)), ROW(D$2:D$3074)-ROW(D$2)+1) &gt; 0))</f>
        <v>33</v>
      </c>
      <c r="C1529" s="3">
        <v>41100435</v>
      </c>
      <c r="D1529" s="6" t="s">
        <v>3084</v>
      </c>
      <c r="E1529" s="3" t="s">
        <v>1585</v>
      </c>
      <c r="F1529" s="3" t="s">
        <v>1482</v>
      </c>
      <c r="G1529" s="68" t="str">
        <f t="shared" si="194"/>
        <v>SINGLE</v>
      </c>
      <c r="H1529" s="197">
        <f t="shared" si="200"/>
        <v>42</v>
      </c>
      <c r="I1529" s="197">
        <v>10</v>
      </c>
      <c r="J1529" s="197">
        <v>14</v>
      </c>
      <c r="K1529" s="186">
        <f t="shared" si="201"/>
        <v>45944</v>
      </c>
      <c r="L1529" s="3" t="s">
        <v>2395</v>
      </c>
      <c r="M1529" s="3" t="s">
        <v>1469</v>
      </c>
      <c r="N1529" s="3" t="str">
        <f t="shared" si="199"/>
        <v>NG</v>
      </c>
      <c r="O1529" s="3" t="s">
        <v>2368</v>
      </c>
      <c r="P1529" s="3" t="s">
        <v>2482</v>
      </c>
      <c r="Q1529" s="3">
        <v>11002737</v>
      </c>
      <c r="R1529" s="3" t="s">
        <v>735</v>
      </c>
      <c r="S1529" s="3" t="s">
        <v>5290</v>
      </c>
    </row>
    <row r="1530" spans="1:19">
      <c r="A1530" s="3">
        <v>5322</v>
      </c>
      <c r="B1530" s="83">
        <f t="array" ref="B1530">SUM(--(FREQUENCY(IF(C$2:C$3074=C1530, MATCH(D$2:D$3074, D$2:D$3074, 0)), ROW(D$2:D$3074)-ROW(D$2)+1) &gt; 0))</f>
        <v>8</v>
      </c>
      <c r="C1530" s="3">
        <v>41200088</v>
      </c>
      <c r="D1530" s="6" t="s">
        <v>3086</v>
      </c>
      <c r="E1530" s="3" t="s">
        <v>1422</v>
      </c>
      <c r="F1530" s="3" t="s">
        <v>1476</v>
      </c>
      <c r="G1530" s="68" t="str">
        <f t="shared" si="194"/>
        <v>DUAL</v>
      </c>
      <c r="H1530" s="197">
        <f t="shared" si="200"/>
        <v>42</v>
      </c>
      <c r="I1530" s="197">
        <v>10</v>
      </c>
      <c r="J1530" s="197">
        <v>14</v>
      </c>
      <c r="K1530" s="186">
        <f t="shared" si="201"/>
        <v>45944</v>
      </c>
      <c r="L1530" s="3" t="s">
        <v>2395</v>
      </c>
      <c r="M1530" s="3" t="s">
        <v>1469</v>
      </c>
      <c r="N1530" s="3" t="str">
        <f t="shared" si="199"/>
        <v/>
      </c>
    </row>
    <row r="1531" spans="1:19">
      <c r="A1531" s="3">
        <v>6058</v>
      </c>
      <c r="B1531" s="83">
        <f t="array" ref="B1531">SUM(--(FREQUENCY(IF(C$2:C$3074=C1531, MATCH(D$2:D$3074, D$2:D$3074, 0)), ROW(D$2:D$3074)-ROW(D$2)+1) &gt; 0))</f>
        <v>41</v>
      </c>
      <c r="C1531" s="3">
        <v>41200101</v>
      </c>
      <c r="D1531" s="3" t="s">
        <v>3203</v>
      </c>
      <c r="E1531" s="3" t="s">
        <v>1585</v>
      </c>
      <c r="F1531" s="3" t="s">
        <v>1476</v>
      </c>
      <c r="G1531" s="41" t="str">
        <f t="shared" si="194"/>
        <v>DUAL</v>
      </c>
      <c r="H1531" s="197">
        <f>WEEKNUM(K1531)</f>
        <v>42</v>
      </c>
      <c r="I1531" s="197">
        <v>10</v>
      </c>
      <c r="J1531" s="197">
        <v>14</v>
      </c>
      <c r="K1531" s="186">
        <f>DATE(2025, I1531, J1531)</f>
        <v>45944</v>
      </c>
      <c r="L1531" s="3" t="s">
        <v>2395</v>
      </c>
      <c r="M1531" s="3" t="s">
        <v>1468</v>
      </c>
      <c r="N1531" s="3" t="str">
        <f t="shared" si="199"/>
        <v>NG</v>
      </c>
      <c r="O1531" s="3" t="s">
        <v>2368</v>
      </c>
      <c r="P1531" s="3" t="s">
        <v>2446</v>
      </c>
      <c r="Q1531" s="3">
        <v>11003747</v>
      </c>
      <c r="R1531" s="3" t="s">
        <v>226</v>
      </c>
      <c r="S1531" s="3" t="s">
        <v>5291</v>
      </c>
    </row>
    <row r="1532" spans="1:19">
      <c r="A1532" s="3">
        <v>6058</v>
      </c>
      <c r="B1532" s="83">
        <f t="array" ref="B1532">SUM(--(FREQUENCY(IF(C$2:C$3074=C1532, MATCH(D$2:D$3074, D$2:D$3074, 0)), ROW(D$2:D$3074)-ROW(D$2)+1) &gt; 0))</f>
        <v>41</v>
      </c>
      <c r="C1532" s="3">
        <v>41200101</v>
      </c>
      <c r="D1532" s="3" t="s">
        <v>3203</v>
      </c>
      <c r="E1532" s="3" t="s">
        <v>1585</v>
      </c>
      <c r="F1532" s="3" t="s">
        <v>1476</v>
      </c>
      <c r="G1532" s="41" t="str">
        <f t="shared" si="194"/>
        <v>DUAL</v>
      </c>
      <c r="H1532" s="197">
        <f>WEEKNUM(K1532)</f>
        <v>42</v>
      </c>
      <c r="I1532" s="197">
        <v>10</v>
      </c>
      <c r="J1532" s="197">
        <v>14</v>
      </c>
      <c r="K1532" s="186">
        <f>DATE(2025, I1532, J1532)</f>
        <v>45944</v>
      </c>
      <c r="L1532" s="3" t="s">
        <v>2395</v>
      </c>
      <c r="M1532" s="3" t="s">
        <v>1468</v>
      </c>
      <c r="N1532" s="3" t="str">
        <f t="shared" si="199"/>
        <v>NG</v>
      </c>
      <c r="O1532" s="3" t="s">
        <v>2368</v>
      </c>
      <c r="P1532" s="3" t="s">
        <v>1385</v>
      </c>
      <c r="Q1532" s="3">
        <v>11000124</v>
      </c>
      <c r="R1532" s="3" t="s">
        <v>1049</v>
      </c>
      <c r="S1532" s="3" t="s">
        <v>5292</v>
      </c>
    </row>
    <row r="1533" spans="1:19">
      <c r="A1533" s="3">
        <v>5995</v>
      </c>
      <c r="B1533" s="83">
        <f t="array" ref="B1533">SUM(--(FREQUENCY(IF(C$2:C$3074=C1533, MATCH(D$2:D$3074, D$2:D$3074, 0)), ROW(D$2:D$3074)-ROW(D$2)+1) &gt; 0))</f>
        <v>8</v>
      </c>
      <c r="C1533" s="3">
        <v>31200717</v>
      </c>
      <c r="D1533" s="6" t="s">
        <v>5293</v>
      </c>
      <c r="E1533" s="3" t="s">
        <v>1399</v>
      </c>
      <c r="F1533" s="3" t="s">
        <v>5177</v>
      </c>
      <c r="G1533" s="68" t="str">
        <f t="shared" si="194"/>
        <v>SINGLE</v>
      </c>
      <c r="H1533" s="197">
        <f t="shared" si="200"/>
        <v>42</v>
      </c>
      <c r="I1533" s="197">
        <v>10</v>
      </c>
      <c r="J1533" s="197">
        <v>14</v>
      </c>
      <c r="K1533" s="186">
        <f t="shared" si="201"/>
        <v>45944</v>
      </c>
      <c r="L1533" s="3" t="s">
        <v>2392</v>
      </c>
      <c r="M1533" s="3" t="s">
        <v>2392</v>
      </c>
      <c r="N1533" s="3" t="str">
        <f t="shared" si="199"/>
        <v/>
      </c>
    </row>
    <row r="1534" spans="1:19">
      <c r="A1534" s="3">
        <v>5995</v>
      </c>
      <c r="B1534" s="83">
        <f t="array" ref="B1534">SUM(--(FREQUENCY(IF(C$2:C$3074=C1534, MATCH(D$2:D$3074, D$2:D$3074, 0)), ROW(D$2:D$3074)-ROW(D$2)+1) &gt; 0))</f>
        <v>8</v>
      </c>
      <c r="C1534" s="3">
        <v>31200717</v>
      </c>
      <c r="D1534" s="6" t="s">
        <v>5294</v>
      </c>
      <c r="E1534" s="3" t="s">
        <v>1399</v>
      </c>
      <c r="F1534" s="3" t="s">
        <v>5177</v>
      </c>
      <c r="G1534" s="68" t="str">
        <f t="shared" si="194"/>
        <v>SINGLE</v>
      </c>
      <c r="H1534" s="197">
        <f t="shared" si="200"/>
        <v>42</v>
      </c>
      <c r="I1534" s="197">
        <v>10</v>
      </c>
      <c r="J1534" s="197">
        <v>14</v>
      </c>
      <c r="K1534" s="186">
        <f t="shared" si="201"/>
        <v>45944</v>
      </c>
      <c r="L1534" s="3" t="s">
        <v>2392</v>
      </c>
      <c r="M1534" s="3" t="s">
        <v>2392</v>
      </c>
      <c r="N1534" s="3" t="str">
        <f t="shared" si="199"/>
        <v/>
      </c>
    </row>
    <row r="1535" spans="1:19">
      <c r="A1535" s="3">
        <v>5995</v>
      </c>
      <c r="B1535" s="83">
        <f t="array" ref="B1535">SUM(--(FREQUENCY(IF(C$2:C$3074=C1535, MATCH(D$2:D$3074, D$2:D$3074, 0)), ROW(D$2:D$3074)-ROW(D$2)+1) &gt; 0))</f>
        <v>8</v>
      </c>
      <c r="C1535" s="3">
        <v>31200717</v>
      </c>
      <c r="D1535" s="6" t="s">
        <v>5295</v>
      </c>
      <c r="E1535" s="3" t="s">
        <v>1399</v>
      </c>
      <c r="F1535" s="3" t="s">
        <v>5177</v>
      </c>
      <c r="G1535" s="68" t="str">
        <f t="shared" si="194"/>
        <v>SINGLE</v>
      </c>
      <c r="H1535" s="197">
        <f t="shared" si="200"/>
        <v>42</v>
      </c>
      <c r="I1535" s="197">
        <v>10</v>
      </c>
      <c r="J1535" s="197">
        <v>14</v>
      </c>
      <c r="K1535" s="186">
        <f t="shared" si="201"/>
        <v>45944</v>
      </c>
      <c r="L1535" s="3" t="s">
        <v>2392</v>
      </c>
      <c r="M1535" s="3" t="s">
        <v>2392</v>
      </c>
      <c r="N1535" s="3" t="str">
        <f t="shared" si="199"/>
        <v/>
      </c>
    </row>
    <row r="1536" spans="1:19">
      <c r="A1536" s="3">
        <v>5995</v>
      </c>
      <c r="B1536" s="83">
        <f t="array" ref="B1536">SUM(--(FREQUENCY(IF(C$2:C$3074=C1536, MATCH(D$2:D$3074, D$2:D$3074, 0)), ROW(D$2:D$3074)-ROW(D$2)+1) &gt; 0))</f>
        <v>8</v>
      </c>
      <c r="C1536" s="3">
        <v>31200717</v>
      </c>
      <c r="D1536" s="6" t="s">
        <v>5296</v>
      </c>
      <c r="E1536" s="3" t="s">
        <v>1399</v>
      </c>
      <c r="F1536" s="3" t="s">
        <v>5177</v>
      </c>
      <c r="G1536" s="68" t="str">
        <f t="shared" si="194"/>
        <v>SINGLE</v>
      </c>
      <c r="H1536" s="197">
        <f t="shared" si="200"/>
        <v>42</v>
      </c>
      <c r="I1536" s="197">
        <v>10</v>
      </c>
      <c r="J1536" s="197">
        <v>14</v>
      </c>
      <c r="K1536" s="186">
        <f t="shared" si="201"/>
        <v>45944</v>
      </c>
      <c r="L1536" s="3" t="s">
        <v>2392</v>
      </c>
      <c r="M1536" s="3" t="s">
        <v>2392</v>
      </c>
      <c r="N1536" s="3" t="str">
        <f t="shared" si="199"/>
        <v/>
      </c>
    </row>
    <row r="1537" spans="1:19">
      <c r="A1537" s="3">
        <v>5995</v>
      </c>
      <c r="B1537" s="83">
        <f t="array" ref="B1537">SUM(--(FREQUENCY(IF(C$2:C$3074=C1537, MATCH(D$2:D$3074, D$2:D$3074, 0)), ROW(D$2:D$3074)-ROW(D$2)+1) &gt; 0))</f>
        <v>8</v>
      </c>
      <c r="C1537" s="3">
        <v>31200717</v>
      </c>
      <c r="D1537" s="6" t="s">
        <v>5297</v>
      </c>
      <c r="E1537" s="3" t="s">
        <v>1399</v>
      </c>
      <c r="F1537" s="3" t="s">
        <v>5177</v>
      </c>
      <c r="G1537" s="68" t="str">
        <f t="shared" si="194"/>
        <v>SINGLE</v>
      </c>
      <c r="H1537" s="197">
        <f t="shared" si="200"/>
        <v>42</v>
      </c>
      <c r="I1537" s="197">
        <v>10</v>
      </c>
      <c r="J1537" s="197">
        <v>14</v>
      </c>
      <c r="K1537" s="186">
        <f t="shared" si="201"/>
        <v>45944</v>
      </c>
      <c r="L1537" s="3" t="s">
        <v>2392</v>
      </c>
      <c r="M1537" s="3" t="s">
        <v>2392</v>
      </c>
      <c r="N1537" s="3" t="str">
        <f t="shared" si="199"/>
        <v/>
      </c>
    </row>
    <row r="1538" spans="1:19">
      <c r="A1538" s="3">
        <v>5995</v>
      </c>
      <c r="B1538" s="83">
        <f t="array" ref="B1538">SUM(--(FREQUENCY(IF(C$2:C$3074=C1538, MATCH(D$2:D$3074, D$2:D$3074, 0)), ROW(D$2:D$3074)-ROW(D$2)+1) &gt; 0))</f>
        <v>8</v>
      </c>
      <c r="C1538" s="3">
        <v>31200717</v>
      </c>
      <c r="D1538" s="6" t="s">
        <v>5298</v>
      </c>
      <c r="E1538" s="3" t="s">
        <v>1399</v>
      </c>
      <c r="F1538" s="3" t="s">
        <v>5177</v>
      </c>
      <c r="G1538" s="68" t="str">
        <f t="shared" ref="G1538:G1569" si="202">IF(OR(ISNUMBER(SEARCH("DUAL",F1538)), ISNUMBER(SEARCH("IVAS",F1538))), "DUAL", "SINGLE")</f>
        <v>SINGLE</v>
      </c>
      <c r="H1538" s="197">
        <f t="shared" si="200"/>
        <v>42</v>
      </c>
      <c r="I1538" s="197">
        <v>10</v>
      </c>
      <c r="J1538" s="197">
        <v>14</v>
      </c>
      <c r="K1538" s="186">
        <f t="shared" si="201"/>
        <v>45944</v>
      </c>
      <c r="L1538" s="3" t="s">
        <v>2392</v>
      </c>
      <c r="M1538" s="3" t="s">
        <v>2392</v>
      </c>
      <c r="N1538" s="3" t="str">
        <f t="shared" si="199"/>
        <v/>
      </c>
    </row>
    <row r="1539" spans="1:19">
      <c r="A1539" s="3">
        <v>5995</v>
      </c>
      <c r="B1539" s="83">
        <f t="array" ref="B1539">SUM(--(FREQUENCY(IF(C$2:C$3074=C1539, MATCH(D$2:D$3074, D$2:D$3074, 0)), ROW(D$2:D$3074)-ROW(D$2)+1) &gt; 0))</f>
        <v>8</v>
      </c>
      <c r="C1539" s="3">
        <v>31200717</v>
      </c>
      <c r="D1539" s="6" t="s">
        <v>5299</v>
      </c>
      <c r="E1539" s="3" t="s">
        <v>1399</v>
      </c>
      <c r="F1539" s="3" t="s">
        <v>5177</v>
      </c>
      <c r="G1539" s="68" t="str">
        <f t="shared" si="202"/>
        <v>SINGLE</v>
      </c>
      <c r="H1539" s="197">
        <f t="shared" si="200"/>
        <v>42</v>
      </c>
      <c r="I1539" s="197">
        <v>10</v>
      </c>
      <c r="J1539" s="197">
        <v>14</v>
      </c>
      <c r="K1539" s="186">
        <f t="shared" si="201"/>
        <v>45944</v>
      </c>
      <c r="L1539" s="3" t="s">
        <v>2392</v>
      </c>
      <c r="M1539" s="3" t="s">
        <v>2392</v>
      </c>
      <c r="N1539" s="3" t="str">
        <f t="shared" si="199"/>
        <v/>
      </c>
    </row>
    <row r="1540" spans="1:19">
      <c r="A1540" s="3">
        <v>6028</v>
      </c>
      <c r="B1540" s="83">
        <f t="array" ref="B1540">SUM(--(FREQUENCY(IF(C$2:C$3074=C1540, MATCH(D$2:D$3074, D$2:D$3074, 0)), ROW(D$2:D$3074)-ROW(D$2)+1) &gt; 0))</f>
        <v>4</v>
      </c>
      <c r="C1540" s="3">
        <v>31200272</v>
      </c>
      <c r="D1540" s="6" t="s">
        <v>5300</v>
      </c>
      <c r="E1540" s="3" t="s">
        <v>1405</v>
      </c>
      <c r="F1540" s="3" t="s">
        <v>5173</v>
      </c>
      <c r="G1540" s="68" t="str">
        <f t="shared" si="202"/>
        <v>SINGLE</v>
      </c>
      <c r="H1540" s="197">
        <f t="shared" si="200"/>
        <v>42</v>
      </c>
      <c r="I1540" s="197">
        <v>10</v>
      </c>
      <c r="J1540" s="197">
        <v>14</v>
      </c>
      <c r="K1540" s="186">
        <f t="shared" si="201"/>
        <v>45944</v>
      </c>
      <c r="L1540" s="3" t="s">
        <v>2392</v>
      </c>
      <c r="M1540" s="3" t="s">
        <v>2392</v>
      </c>
      <c r="N1540" s="3" t="str">
        <f t="shared" si="199"/>
        <v/>
      </c>
    </row>
    <row r="1541" spans="1:19">
      <c r="A1541" s="3">
        <v>6028</v>
      </c>
      <c r="B1541" s="83">
        <f t="array" ref="B1541">SUM(--(FREQUENCY(IF(C$2:C$3074=C1541, MATCH(D$2:D$3074, D$2:D$3074, 0)), ROW(D$2:D$3074)-ROW(D$2)+1) &gt; 0))</f>
        <v>6</v>
      </c>
      <c r="C1541" s="3">
        <v>31200260</v>
      </c>
      <c r="D1541" s="6" t="s">
        <v>5301</v>
      </c>
      <c r="E1541" s="3" t="s">
        <v>1405</v>
      </c>
      <c r="F1541" s="3" t="s">
        <v>5173</v>
      </c>
      <c r="G1541" s="68" t="str">
        <f t="shared" si="202"/>
        <v>SINGLE</v>
      </c>
      <c r="H1541" s="197">
        <f t="shared" si="200"/>
        <v>42</v>
      </c>
      <c r="I1541" s="197">
        <v>10</v>
      </c>
      <c r="J1541" s="197">
        <v>14</v>
      </c>
      <c r="K1541" s="186">
        <f t="shared" si="201"/>
        <v>45944</v>
      </c>
      <c r="L1541" s="3" t="s">
        <v>2392</v>
      </c>
      <c r="M1541" s="3" t="s">
        <v>2392</v>
      </c>
      <c r="N1541" s="3" t="str">
        <f t="shared" si="199"/>
        <v/>
      </c>
    </row>
    <row r="1542" spans="1:19">
      <c r="A1542" s="3">
        <v>6028</v>
      </c>
      <c r="B1542" s="83">
        <f t="array" ref="B1542">SUM(--(FREQUENCY(IF(C$2:C$3074=C1542, MATCH(D$2:D$3074, D$2:D$3074, 0)), ROW(D$2:D$3074)-ROW(D$2)+1) &gt; 0))</f>
        <v>7</v>
      </c>
      <c r="C1542" s="3">
        <v>31200056</v>
      </c>
      <c r="D1542" s="6" t="s">
        <v>5302</v>
      </c>
      <c r="E1542" s="3" t="s">
        <v>1405</v>
      </c>
      <c r="F1542" s="3" t="s">
        <v>5177</v>
      </c>
      <c r="G1542" s="68" t="str">
        <f t="shared" si="202"/>
        <v>SINGLE</v>
      </c>
      <c r="H1542" s="197">
        <f t="shared" si="200"/>
        <v>42</v>
      </c>
      <c r="I1542" s="197">
        <v>10</v>
      </c>
      <c r="J1542" s="197">
        <v>14</v>
      </c>
      <c r="K1542" s="186">
        <f t="shared" si="201"/>
        <v>45944</v>
      </c>
      <c r="L1542" s="3" t="s">
        <v>2392</v>
      </c>
      <c r="M1542" s="3" t="s">
        <v>2392</v>
      </c>
      <c r="N1542" s="3" t="str">
        <f t="shared" si="199"/>
        <v/>
      </c>
    </row>
    <row r="1543" spans="1:19">
      <c r="A1543" s="3">
        <v>6028</v>
      </c>
      <c r="B1543" s="83">
        <f t="array" ref="B1543">SUM(--(FREQUENCY(IF(C$2:C$3074=C1543, MATCH(D$2:D$3074, D$2:D$3074, 0)), ROW(D$2:D$3074)-ROW(D$2)+1) &gt; 0))</f>
        <v>7</v>
      </c>
      <c r="C1543" s="3">
        <v>31200056</v>
      </c>
      <c r="D1543" s="6" t="s">
        <v>5303</v>
      </c>
      <c r="E1543" s="3" t="s">
        <v>1405</v>
      </c>
      <c r="F1543" s="3" t="s">
        <v>5177</v>
      </c>
      <c r="G1543" s="68" t="str">
        <f t="shared" si="202"/>
        <v>SINGLE</v>
      </c>
      <c r="H1543" s="197">
        <f t="shared" si="200"/>
        <v>42</v>
      </c>
      <c r="I1543" s="197">
        <v>10</v>
      </c>
      <c r="J1543" s="197">
        <v>14</v>
      </c>
      <c r="K1543" s="186">
        <f t="shared" si="201"/>
        <v>45944</v>
      </c>
      <c r="L1543" s="3" t="s">
        <v>2392</v>
      </c>
      <c r="M1543" s="3" t="s">
        <v>2392</v>
      </c>
      <c r="N1543" s="3" t="str">
        <f t="shared" si="199"/>
        <v/>
      </c>
    </row>
    <row r="1544" spans="1:19">
      <c r="A1544" s="3">
        <v>6028</v>
      </c>
      <c r="B1544" s="83">
        <f t="array" ref="B1544">SUM(--(FREQUENCY(IF(C$2:C$3074=C1544, MATCH(D$2:D$3074, D$2:D$3074, 0)), ROW(D$2:D$3074)-ROW(D$2)+1) &gt; 0))</f>
        <v>2</v>
      </c>
      <c r="C1544" s="3">
        <v>31101694</v>
      </c>
      <c r="D1544" s="6" t="s">
        <v>5304</v>
      </c>
      <c r="E1544" s="3" t="s">
        <v>1405</v>
      </c>
      <c r="F1544" s="3" t="s">
        <v>5173</v>
      </c>
      <c r="G1544" s="68" t="str">
        <f t="shared" si="202"/>
        <v>SINGLE</v>
      </c>
      <c r="H1544" s="197">
        <f t="shared" si="200"/>
        <v>42</v>
      </c>
      <c r="I1544" s="197">
        <v>10</v>
      </c>
      <c r="J1544" s="197">
        <v>14</v>
      </c>
      <c r="K1544" s="186">
        <f t="shared" si="201"/>
        <v>45944</v>
      </c>
      <c r="L1544" s="3" t="s">
        <v>2392</v>
      </c>
      <c r="M1544" s="3" t="s">
        <v>2392</v>
      </c>
      <c r="N1544" s="3" t="str">
        <f t="shared" si="199"/>
        <v/>
      </c>
    </row>
    <row r="1545" spans="1:19">
      <c r="A1545" s="3">
        <v>6028</v>
      </c>
      <c r="B1545" s="83">
        <f t="array" ref="B1545">SUM(--(FREQUENCY(IF(C$2:C$3074=C1545, MATCH(D$2:D$3074, D$2:D$3074, 0)), ROW(D$2:D$3074)-ROW(D$2)+1) &gt; 0))</f>
        <v>3</v>
      </c>
      <c r="C1545" s="3">
        <v>31102257</v>
      </c>
      <c r="D1545" s="6" t="s">
        <v>5305</v>
      </c>
      <c r="E1545" s="3" t="s">
        <v>1405</v>
      </c>
      <c r="F1545" s="3" t="s">
        <v>5173</v>
      </c>
      <c r="G1545" s="68" t="str">
        <f t="shared" si="202"/>
        <v>SINGLE</v>
      </c>
      <c r="H1545" s="197">
        <f t="shared" si="200"/>
        <v>42</v>
      </c>
      <c r="I1545" s="197">
        <v>10</v>
      </c>
      <c r="J1545" s="197">
        <v>14</v>
      </c>
      <c r="K1545" s="186">
        <f t="shared" si="201"/>
        <v>45944</v>
      </c>
      <c r="L1545" s="3" t="s">
        <v>2392</v>
      </c>
      <c r="M1545" s="3" t="s">
        <v>2392</v>
      </c>
      <c r="N1545" s="3" t="str">
        <f t="shared" si="199"/>
        <v/>
      </c>
    </row>
    <row r="1546" spans="1:19">
      <c r="A1546" s="3">
        <v>6028</v>
      </c>
      <c r="B1546" s="83">
        <f t="array" ref="B1546">SUM(--(FREQUENCY(IF(C$2:C$3074=C1546, MATCH(D$2:D$3074, D$2:D$3074, 0)), ROW(D$2:D$3074)-ROW(D$2)+1) &gt; 0))</f>
        <v>3</v>
      </c>
      <c r="C1546" s="3">
        <v>31102257</v>
      </c>
      <c r="D1546" s="6" t="s">
        <v>5306</v>
      </c>
      <c r="E1546" s="3" t="s">
        <v>1405</v>
      </c>
      <c r="F1546" s="3" t="s">
        <v>5173</v>
      </c>
      <c r="G1546" s="68" t="str">
        <f t="shared" si="202"/>
        <v>SINGLE</v>
      </c>
      <c r="H1546" s="197">
        <f t="shared" si="200"/>
        <v>42</v>
      </c>
      <c r="I1546" s="197">
        <v>10</v>
      </c>
      <c r="J1546" s="197">
        <v>14</v>
      </c>
      <c r="K1546" s="186">
        <f t="shared" si="201"/>
        <v>45944</v>
      </c>
      <c r="L1546" s="3" t="s">
        <v>2392</v>
      </c>
      <c r="M1546" s="3" t="s">
        <v>2392</v>
      </c>
      <c r="N1546" s="3" t="str">
        <f t="shared" si="199"/>
        <v/>
      </c>
    </row>
    <row r="1547" spans="1:19">
      <c r="A1547" s="3">
        <v>6028</v>
      </c>
      <c r="B1547" s="83">
        <f t="array" ref="B1547">SUM(--(FREQUENCY(IF(C$2:C$3074=C1547, MATCH(D$2:D$3074, D$2:D$3074, 0)), ROW(D$2:D$3074)-ROW(D$2)+1) &gt; 0))</f>
        <v>1</v>
      </c>
      <c r="C1547" s="3">
        <v>31200275</v>
      </c>
      <c r="D1547" s="6" t="s">
        <v>5307</v>
      </c>
      <c r="E1547" s="3" t="s">
        <v>1405</v>
      </c>
      <c r="F1547" s="3" t="s">
        <v>5173</v>
      </c>
      <c r="G1547" s="68" t="str">
        <f t="shared" si="202"/>
        <v>SINGLE</v>
      </c>
      <c r="H1547" s="197">
        <f t="shared" si="200"/>
        <v>42</v>
      </c>
      <c r="I1547" s="197">
        <v>10</v>
      </c>
      <c r="J1547" s="197">
        <v>14</v>
      </c>
      <c r="K1547" s="186">
        <f t="shared" si="201"/>
        <v>45944</v>
      </c>
      <c r="L1547" s="3" t="s">
        <v>2392</v>
      </c>
      <c r="M1547" s="3" t="s">
        <v>2392</v>
      </c>
      <c r="N1547" s="3" t="str">
        <f t="shared" si="199"/>
        <v/>
      </c>
    </row>
    <row r="1548" spans="1:19">
      <c r="A1548" s="3">
        <v>6036</v>
      </c>
      <c r="B1548" s="83">
        <f t="array" ref="B1548">SUM(--(FREQUENCY(IF(C$2:C$3074=C1548, MATCH(D$2:D$3074, D$2:D$3074, 0)), ROW(D$2:D$3074)-ROW(D$2)+1) &gt; 0))</f>
        <v>20</v>
      </c>
      <c r="C1548" s="3">
        <v>41200033</v>
      </c>
      <c r="D1548" s="6" t="s">
        <v>3087</v>
      </c>
      <c r="E1548" s="3" t="s">
        <v>1426</v>
      </c>
      <c r="F1548" s="3" t="s">
        <v>1476</v>
      </c>
      <c r="G1548" s="68" t="str">
        <f t="shared" si="202"/>
        <v>DUAL</v>
      </c>
      <c r="H1548" s="197">
        <f t="shared" si="200"/>
        <v>42</v>
      </c>
      <c r="I1548" s="197">
        <v>10</v>
      </c>
      <c r="J1548" s="197">
        <v>15</v>
      </c>
      <c r="K1548" s="186">
        <f t="shared" si="201"/>
        <v>45945</v>
      </c>
      <c r="L1548" s="3" t="s">
        <v>2391</v>
      </c>
      <c r="M1548" s="3" t="s">
        <v>1468</v>
      </c>
      <c r="N1548" s="3" t="str">
        <f t="shared" ref="N1548:N1579" si="203">IF(O1548&lt;&gt;"", "NG", "")</f>
        <v/>
      </c>
    </row>
    <row r="1549" spans="1:19">
      <c r="A1549" s="3">
        <v>5886</v>
      </c>
      <c r="B1549" s="83">
        <f t="array" ref="B1549">SUM(--(FREQUENCY(IF(C$2:C$3074=C1549, MATCH(D$2:D$3074, D$2:D$3074, 0)), ROW(D$2:D$3074)-ROW(D$2)+1) &gt; 0))</f>
        <v>102</v>
      </c>
      <c r="C1549" s="3">
        <v>41200006</v>
      </c>
      <c r="D1549" s="6" t="s">
        <v>3090</v>
      </c>
      <c r="E1549" s="3" t="s">
        <v>1405</v>
      </c>
      <c r="F1549" s="3" t="s">
        <v>1477</v>
      </c>
      <c r="G1549" s="68" t="str">
        <f t="shared" si="202"/>
        <v>SINGLE</v>
      </c>
      <c r="H1549" s="197">
        <f t="shared" ref="H1549:H1554" si="204">WEEKNUM(K1549)</f>
        <v>42</v>
      </c>
      <c r="I1549" s="197">
        <v>10</v>
      </c>
      <c r="J1549" s="197">
        <v>15</v>
      </c>
      <c r="K1549" s="186">
        <f t="shared" ref="K1549:K1554" si="205">DATE(2025, I1549, J1549)</f>
        <v>45945</v>
      </c>
      <c r="L1549" s="3" t="s">
        <v>2395</v>
      </c>
      <c r="M1549" s="3" t="s">
        <v>1469</v>
      </c>
      <c r="N1549" s="3" t="str">
        <f t="shared" si="203"/>
        <v/>
      </c>
    </row>
    <row r="1550" spans="1:19">
      <c r="A1550" s="3">
        <v>5981</v>
      </c>
      <c r="B1550" s="83">
        <f t="array" ref="B1550">SUM(--(FREQUENCY(IF(C$2:C$3074=C1550, MATCH(D$2:D$3074, D$2:D$3074, 0)), ROW(D$2:D$3074)-ROW(D$2)+1) &gt; 0))</f>
        <v>144</v>
      </c>
      <c r="C1550" s="3">
        <v>41200007</v>
      </c>
      <c r="D1550" s="6" t="s">
        <v>3092</v>
      </c>
      <c r="E1550" s="3" t="s">
        <v>1405</v>
      </c>
      <c r="F1550" s="3" t="s">
        <v>1591</v>
      </c>
      <c r="G1550" s="68" t="str">
        <f t="shared" si="202"/>
        <v>SINGLE</v>
      </c>
      <c r="H1550" s="197">
        <f t="shared" si="204"/>
        <v>42</v>
      </c>
      <c r="I1550" s="197">
        <v>10</v>
      </c>
      <c r="J1550" s="197">
        <v>15</v>
      </c>
      <c r="K1550" s="186">
        <f t="shared" si="205"/>
        <v>45945</v>
      </c>
      <c r="L1550" s="3" t="s">
        <v>2395</v>
      </c>
      <c r="M1550" s="3" t="s">
        <v>1469</v>
      </c>
      <c r="N1550" s="3" t="str">
        <f t="shared" si="203"/>
        <v/>
      </c>
    </row>
    <row r="1551" spans="1:19">
      <c r="A1551" s="3">
        <v>5981</v>
      </c>
      <c r="B1551" s="83">
        <f t="array" ref="B1551">SUM(--(FREQUENCY(IF(C$2:C$3074=C1551, MATCH(D$2:D$3074, D$2:D$3074, 0)), ROW(D$2:D$3074)-ROW(D$2)+1) &gt; 0))</f>
        <v>144</v>
      </c>
      <c r="C1551" s="3">
        <v>41200007</v>
      </c>
      <c r="D1551" s="6" t="s">
        <v>3095</v>
      </c>
      <c r="E1551" s="3" t="s">
        <v>1405</v>
      </c>
      <c r="F1551" s="3" t="s">
        <v>1591</v>
      </c>
      <c r="G1551" s="68" t="str">
        <f t="shared" si="202"/>
        <v>SINGLE</v>
      </c>
      <c r="H1551" s="197">
        <f t="shared" si="204"/>
        <v>42</v>
      </c>
      <c r="I1551" s="197">
        <v>10</v>
      </c>
      <c r="J1551" s="197">
        <v>15</v>
      </c>
      <c r="K1551" s="186">
        <f t="shared" si="205"/>
        <v>45945</v>
      </c>
      <c r="L1551" s="3" t="s">
        <v>2395</v>
      </c>
      <c r="M1551" s="3" t="s">
        <v>1469</v>
      </c>
      <c r="N1551" s="3" t="str">
        <f t="shared" si="203"/>
        <v/>
      </c>
    </row>
    <row r="1552" spans="1:19">
      <c r="A1552" s="3">
        <v>6099</v>
      </c>
      <c r="B1552" s="83">
        <f t="array" ref="B1552">SUM(--(FREQUENCY(IF(C$2:C$3074=C1552, MATCH(D$2:D$3074, D$2:D$3074, 0)), ROW(D$2:D$3074)-ROW(D$2)+1) &gt; 0))</f>
        <v>32</v>
      </c>
      <c r="C1552" s="3">
        <v>41200122</v>
      </c>
      <c r="D1552" s="6" t="s">
        <v>3097</v>
      </c>
      <c r="E1552" s="3" t="s">
        <v>1585</v>
      </c>
      <c r="F1552" s="3" t="s">
        <v>1476</v>
      </c>
      <c r="G1552" s="68" t="str">
        <f t="shared" si="202"/>
        <v>DUAL</v>
      </c>
      <c r="H1552" s="197">
        <f t="shared" si="204"/>
        <v>42</v>
      </c>
      <c r="I1552" s="197">
        <v>10</v>
      </c>
      <c r="J1552" s="197">
        <v>15</v>
      </c>
      <c r="K1552" s="186">
        <f t="shared" si="205"/>
        <v>45945</v>
      </c>
      <c r="L1552" s="3" t="s">
        <v>2395</v>
      </c>
      <c r="M1552" s="3" t="s">
        <v>1469</v>
      </c>
      <c r="N1552" s="3" t="str">
        <f t="shared" si="203"/>
        <v>NG</v>
      </c>
      <c r="O1552" s="3" t="s">
        <v>2368</v>
      </c>
      <c r="P1552" s="3" t="s">
        <v>1385</v>
      </c>
      <c r="Q1552" s="3">
        <v>11000136</v>
      </c>
      <c r="R1552" s="3" t="s">
        <v>1049</v>
      </c>
      <c r="S1552" s="3" t="s">
        <v>5308</v>
      </c>
    </row>
    <row r="1553" spans="1:19">
      <c r="A1553" s="3">
        <v>6036</v>
      </c>
      <c r="B1553" s="83">
        <f t="array" ref="B1553">SUM(--(FREQUENCY(IF(C$2:C$3074=C1553, MATCH(D$2:D$3074, D$2:D$3074, 0)), ROW(D$2:D$3074)-ROW(D$2)+1) &gt; 0))</f>
        <v>20</v>
      </c>
      <c r="C1553" s="3">
        <v>41200033</v>
      </c>
      <c r="D1553" s="6" t="s">
        <v>3098</v>
      </c>
      <c r="E1553" s="3" t="s">
        <v>1426</v>
      </c>
      <c r="F1553" s="3" t="s">
        <v>1476</v>
      </c>
      <c r="G1553" s="68" t="str">
        <f t="shared" si="202"/>
        <v>DUAL</v>
      </c>
      <c r="H1553" s="197">
        <f t="shared" si="204"/>
        <v>42</v>
      </c>
      <c r="I1553" s="197">
        <v>10</v>
      </c>
      <c r="J1553" s="197">
        <v>15</v>
      </c>
      <c r="K1553" s="186">
        <f t="shared" si="205"/>
        <v>45945</v>
      </c>
      <c r="L1553" s="3" t="s">
        <v>2555</v>
      </c>
      <c r="M1553" s="3" t="s">
        <v>2555</v>
      </c>
      <c r="N1553" s="3" t="str">
        <f t="shared" si="203"/>
        <v/>
      </c>
    </row>
    <row r="1554" spans="1:19">
      <c r="A1554" s="3">
        <v>6106</v>
      </c>
      <c r="B1554" s="83">
        <f t="array" ref="B1554">SUM(--(FREQUENCY(IF(C$2:C$3074=C1554, MATCH(D$2:D$3074, D$2:D$3074, 0)), ROW(D$2:D$3074)-ROW(D$2)+1) &gt; 0))</f>
        <v>6</v>
      </c>
      <c r="C1554" s="3">
        <v>41200133</v>
      </c>
      <c r="D1554" s="6" t="s">
        <v>3099</v>
      </c>
      <c r="E1554" s="3" t="s">
        <v>1429</v>
      </c>
      <c r="F1554" s="3" t="s">
        <v>1476</v>
      </c>
      <c r="G1554" s="68" t="str">
        <f t="shared" si="202"/>
        <v>DUAL</v>
      </c>
      <c r="H1554" s="197">
        <f t="shared" si="204"/>
        <v>42</v>
      </c>
      <c r="I1554" s="197">
        <v>10</v>
      </c>
      <c r="J1554" s="197">
        <v>15</v>
      </c>
      <c r="K1554" s="186">
        <f t="shared" si="205"/>
        <v>45945</v>
      </c>
      <c r="L1554" s="3" t="s">
        <v>2395</v>
      </c>
      <c r="M1554" s="3" t="s">
        <v>1468</v>
      </c>
      <c r="N1554" s="3" t="str">
        <f t="shared" si="203"/>
        <v>NG</v>
      </c>
      <c r="O1554" s="3" t="s">
        <v>2368</v>
      </c>
      <c r="P1554" s="3" t="s">
        <v>2446</v>
      </c>
      <c r="Q1554" s="3">
        <v>11003747</v>
      </c>
      <c r="R1554" s="3" t="s">
        <v>226</v>
      </c>
      <c r="S1554" s="3" t="s">
        <v>5309</v>
      </c>
    </row>
    <row r="1555" spans="1:19">
      <c r="A1555" s="3">
        <v>5792</v>
      </c>
      <c r="B1555" s="83">
        <f t="array" ref="B1555">SUM(--(FREQUENCY(IF(C$2:C$3074=C1555, MATCH(D$2:D$3074, D$2:D$3074, 0)), ROW(D$2:D$3074)-ROW(D$2)+1) &gt; 0))</f>
        <v>77</v>
      </c>
      <c r="C1555" s="3">
        <v>41200076</v>
      </c>
      <c r="D1555" s="6" t="s">
        <v>3102</v>
      </c>
      <c r="E1555" s="3" t="s">
        <v>1585</v>
      </c>
      <c r="F1555" s="3" t="s">
        <v>1476</v>
      </c>
      <c r="G1555" s="68" t="str">
        <f t="shared" si="202"/>
        <v>DUAL</v>
      </c>
      <c r="H1555" s="197">
        <f t="shared" ref="H1555" si="206">WEEKNUM(K1555)</f>
        <v>42</v>
      </c>
      <c r="I1555" s="197">
        <v>10</v>
      </c>
      <c r="J1555" s="197">
        <v>15</v>
      </c>
      <c r="K1555" s="186">
        <f t="shared" ref="K1555" si="207">DATE(2025, I1555, J1555)</f>
        <v>45945</v>
      </c>
      <c r="L1555" s="3" t="s">
        <v>2555</v>
      </c>
      <c r="M1555" s="3" t="s">
        <v>2555</v>
      </c>
      <c r="N1555" s="3" t="str">
        <f t="shared" si="203"/>
        <v/>
      </c>
    </row>
    <row r="1556" spans="1:19">
      <c r="A1556" s="3">
        <v>5935</v>
      </c>
      <c r="B1556" s="83">
        <f t="array" ref="B1556">SUM(--(FREQUENCY(IF(C$2:C$3074=C1556, MATCH(D$2:D$3074, D$2:D$3074, 0)), ROW(D$2:D$3074)-ROW(D$2)+1) &gt; 0))</f>
        <v>32</v>
      </c>
      <c r="C1556" s="3">
        <v>41200122</v>
      </c>
      <c r="D1556" s="6" t="s">
        <v>3114</v>
      </c>
      <c r="E1556" s="3" t="s">
        <v>1585</v>
      </c>
      <c r="F1556" s="3" t="s">
        <v>1476</v>
      </c>
      <c r="G1556" s="68" t="str">
        <f t="shared" si="202"/>
        <v>DUAL</v>
      </c>
      <c r="H1556" s="197">
        <f>WEEKNUM(K1556)</f>
        <v>42</v>
      </c>
      <c r="I1556" s="197">
        <v>10</v>
      </c>
      <c r="J1556" s="197">
        <v>15</v>
      </c>
      <c r="K1556" s="186">
        <f>DATE(2025, I1556, J1556)</f>
        <v>45945</v>
      </c>
      <c r="L1556" s="3" t="s">
        <v>2555</v>
      </c>
      <c r="M1556" s="3" t="s">
        <v>2555</v>
      </c>
      <c r="N1556" s="3" t="str">
        <f t="shared" si="203"/>
        <v/>
      </c>
    </row>
    <row r="1557" spans="1:19">
      <c r="A1557" s="3">
        <v>5886</v>
      </c>
      <c r="B1557" s="83">
        <f t="array" ref="B1557">SUM(--(FREQUENCY(IF(C$2:C$3074=C1557, MATCH(D$2:D$3074, D$2:D$3074, 0)), ROW(D$2:D$3074)-ROW(D$2)+1) &gt; 0))</f>
        <v>102</v>
      </c>
      <c r="C1557" s="3">
        <v>41200006</v>
      </c>
      <c r="D1557" s="6" t="s">
        <v>3100</v>
      </c>
      <c r="E1557" s="3" t="s">
        <v>1405</v>
      </c>
      <c r="F1557" s="3" t="s">
        <v>1477</v>
      </c>
      <c r="G1557" s="68" t="str">
        <f t="shared" si="202"/>
        <v>SINGLE</v>
      </c>
      <c r="H1557" s="197">
        <f>WEEKNUM(K1557)</f>
        <v>42</v>
      </c>
      <c r="I1557" s="197">
        <v>10</v>
      </c>
      <c r="J1557" s="197">
        <v>16</v>
      </c>
      <c r="K1557" s="186">
        <f>DATE(2025, I1557, J1557)</f>
        <v>45946</v>
      </c>
      <c r="L1557" s="3" t="s">
        <v>2395</v>
      </c>
      <c r="M1557" s="3" t="s">
        <v>1469</v>
      </c>
      <c r="N1557" s="3" t="str">
        <f t="shared" si="203"/>
        <v/>
      </c>
    </row>
    <row r="1558" spans="1:19">
      <c r="A1558" s="3">
        <v>6098</v>
      </c>
      <c r="B1558" s="83">
        <f t="array" ref="B1558">SUM(--(FREQUENCY(IF(C$2:C$3074=C1558, MATCH(D$2:D$3074, D$2:D$3074, 0)), ROW(D$2:D$3074)-ROW(D$2)+1) &gt; 0))</f>
        <v>41</v>
      </c>
      <c r="C1558" s="3">
        <v>41200101</v>
      </c>
      <c r="D1558" s="6" t="s">
        <v>3103</v>
      </c>
      <c r="E1558" s="3" t="s">
        <v>1585</v>
      </c>
      <c r="F1558" s="3" t="s">
        <v>1476</v>
      </c>
      <c r="G1558" s="68" t="str">
        <f t="shared" si="202"/>
        <v>DUAL</v>
      </c>
      <c r="H1558" s="197">
        <f>WEEKNUM(K1558)</f>
        <v>42</v>
      </c>
      <c r="I1558" s="197">
        <v>10</v>
      </c>
      <c r="J1558" s="197">
        <v>17</v>
      </c>
      <c r="K1558" s="186">
        <f>DATE(2025, I1558, J1558)</f>
        <v>45947</v>
      </c>
      <c r="L1558" s="3" t="s">
        <v>2391</v>
      </c>
      <c r="M1558" s="3" t="s">
        <v>2392</v>
      </c>
      <c r="N1558" s="3" t="str">
        <f t="shared" si="203"/>
        <v/>
      </c>
    </row>
    <row r="1559" spans="1:19">
      <c r="A1559" s="3">
        <v>6086</v>
      </c>
      <c r="B1559" s="83">
        <f t="array" ref="B1559">SUM(--(FREQUENCY(IF(C$2:C$3074=C1559, MATCH(D$2:D$3074, D$2:D$3074, 0)), ROW(D$2:D$3074)-ROW(D$2)+1) &gt; 0))</f>
        <v>3</v>
      </c>
      <c r="C1559" s="3">
        <v>41200029</v>
      </c>
      <c r="D1559" s="6" t="s">
        <v>3104</v>
      </c>
      <c r="E1559" s="3" t="s">
        <v>1405</v>
      </c>
      <c r="F1559" s="3" t="s">
        <v>1476</v>
      </c>
      <c r="G1559" s="68" t="str">
        <f t="shared" si="202"/>
        <v>DUAL</v>
      </c>
      <c r="H1559" s="197">
        <f t="shared" ref="H1559:H1562" si="208">WEEKNUM(K1559)</f>
        <v>42</v>
      </c>
      <c r="I1559" s="197">
        <v>10</v>
      </c>
      <c r="J1559" s="197">
        <v>17</v>
      </c>
      <c r="K1559" s="186">
        <f t="shared" ref="K1559:K1562" si="209">DATE(2025, I1559, J1559)</f>
        <v>45947</v>
      </c>
      <c r="L1559" s="3" t="s">
        <v>2395</v>
      </c>
      <c r="M1559" s="3" t="s">
        <v>1468</v>
      </c>
      <c r="N1559" s="3" t="str">
        <f t="shared" si="203"/>
        <v>NG</v>
      </c>
      <c r="O1559" s="3" t="s">
        <v>2368</v>
      </c>
      <c r="P1559" s="3" t="s">
        <v>1385</v>
      </c>
      <c r="Q1559" s="3">
        <v>11007507</v>
      </c>
      <c r="R1559" s="3" t="s">
        <v>226</v>
      </c>
      <c r="S1559" s="3" t="s">
        <v>5310</v>
      </c>
    </row>
    <row r="1560" spans="1:19">
      <c r="A1560" s="3">
        <v>6087</v>
      </c>
      <c r="B1560" s="83">
        <f t="array" ref="B1560">SUM(--(FREQUENCY(IF(C$2:C$3074=C1560, MATCH(D$2:D$3074, D$2:D$3074, 0)), ROW(D$2:D$3074)-ROW(D$2)+1) &gt; 0))</f>
        <v>6</v>
      </c>
      <c r="C1560" s="3">
        <v>41000544</v>
      </c>
      <c r="D1560" s="6" t="s">
        <v>3105</v>
      </c>
      <c r="E1560" s="3" t="s">
        <v>1405</v>
      </c>
      <c r="F1560" s="3" t="s">
        <v>1476</v>
      </c>
      <c r="G1560" s="68" t="str">
        <f t="shared" si="202"/>
        <v>DUAL</v>
      </c>
      <c r="H1560" s="197">
        <f t="shared" si="208"/>
        <v>42</v>
      </c>
      <c r="I1560" s="197">
        <v>10</v>
      </c>
      <c r="J1560" s="197">
        <v>17</v>
      </c>
      <c r="K1560" s="186">
        <f t="shared" si="209"/>
        <v>45947</v>
      </c>
      <c r="L1560" s="3" t="s">
        <v>2395</v>
      </c>
      <c r="M1560" s="3" t="s">
        <v>1468</v>
      </c>
      <c r="N1560" s="3" t="str">
        <f t="shared" si="203"/>
        <v>NG</v>
      </c>
      <c r="O1560" s="3" t="s">
        <v>2368</v>
      </c>
      <c r="P1560" s="3" t="s">
        <v>2563</v>
      </c>
      <c r="Q1560" s="3">
        <v>11000125</v>
      </c>
      <c r="R1560" s="3" t="s">
        <v>1049</v>
      </c>
      <c r="S1560" s="3" t="s">
        <v>5311</v>
      </c>
    </row>
    <row r="1561" spans="1:19">
      <c r="A1561" s="3">
        <v>6035</v>
      </c>
      <c r="B1561" s="83">
        <f t="array" ref="B1561">SUM(--(FREQUENCY(IF(C$2:C$3074=C1561, MATCH(D$2:D$3074, D$2:D$3074, 0)), ROW(D$2:D$3074)-ROW(D$2)+1) &gt; 0))</f>
        <v>10</v>
      </c>
      <c r="C1561" s="3">
        <v>41100286</v>
      </c>
      <c r="D1561" s="6" t="s">
        <v>3109</v>
      </c>
      <c r="E1561" s="3" t="s">
        <v>1424</v>
      </c>
      <c r="F1561" s="3" t="s">
        <v>1476</v>
      </c>
      <c r="G1561" s="68" t="str">
        <f t="shared" si="202"/>
        <v>DUAL</v>
      </c>
      <c r="H1561" s="197">
        <f t="shared" ref="H1561" si="210">WEEKNUM(K1561)</f>
        <v>42</v>
      </c>
      <c r="I1561" s="197">
        <v>10</v>
      </c>
      <c r="J1561" s="197">
        <v>17</v>
      </c>
      <c r="K1561" s="186">
        <f t="shared" si="209"/>
        <v>45947</v>
      </c>
      <c r="L1561" s="3" t="s">
        <v>2395</v>
      </c>
      <c r="M1561" s="3" t="s">
        <v>2392</v>
      </c>
      <c r="N1561" s="3" t="str">
        <f t="shared" si="203"/>
        <v/>
      </c>
    </row>
    <row r="1562" spans="1:19">
      <c r="A1562" s="3">
        <v>5886</v>
      </c>
      <c r="B1562" s="83">
        <f t="array" ref="B1562">SUM(--(FREQUENCY(IF(C$2:C$3074=C1562, MATCH(D$2:D$3074, D$2:D$3074, 0)), ROW(D$2:D$3074)-ROW(D$2)+1) &gt; 0))</f>
        <v>102</v>
      </c>
      <c r="C1562" s="3">
        <v>41200006</v>
      </c>
      <c r="D1562" s="6" t="s">
        <v>3110</v>
      </c>
      <c r="E1562" s="3" t="s">
        <v>1405</v>
      </c>
      <c r="F1562" s="3" t="s">
        <v>1477</v>
      </c>
      <c r="G1562" s="68" t="str">
        <f t="shared" si="202"/>
        <v>SINGLE</v>
      </c>
      <c r="H1562" s="197">
        <f t="shared" si="208"/>
        <v>42</v>
      </c>
      <c r="I1562" s="197">
        <v>10</v>
      </c>
      <c r="J1562" s="197">
        <v>17</v>
      </c>
      <c r="K1562" s="186">
        <f t="shared" si="209"/>
        <v>45947</v>
      </c>
      <c r="L1562" s="3" t="s">
        <v>2391</v>
      </c>
      <c r="M1562" s="3" t="s">
        <v>1468</v>
      </c>
      <c r="N1562" s="3" t="str">
        <f t="shared" si="203"/>
        <v/>
      </c>
    </row>
    <row r="1563" spans="1:19">
      <c r="A1563" s="3">
        <v>5886</v>
      </c>
      <c r="B1563" s="83">
        <f t="array" ref="B1563">SUM(--(FREQUENCY(IF(C$2:C$3074=C1563, MATCH(D$2:D$3074, D$2:D$3074, 0)), ROW(D$2:D$3074)-ROW(D$2)+1) &gt; 0))</f>
        <v>102</v>
      </c>
      <c r="C1563" s="3">
        <v>41200006</v>
      </c>
      <c r="D1563" s="6" t="s">
        <v>3111</v>
      </c>
      <c r="E1563" s="3" t="s">
        <v>1405</v>
      </c>
      <c r="F1563" s="3" t="s">
        <v>1477</v>
      </c>
      <c r="G1563" s="68" t="str">
        <f t="shared" si="202"/>
        <v>SINGLE</v>
      </c>
      <c r="H1563" s="197">
        <f t="shared" ref="H1563:H1566" si="211">WEEKNUM(K1563)</f>
        <v>42</v>
      </c>
      <c r="I1563" s="197">
        <v>10</v>
      </c>
      <c r="J1563" s="197">
        <v>17</v>
      </c>
      <c r="K1563" s="186">
        <f t="shared" ref="K1563:K1566" si="212">DATE(2025, I1563, J1563)</f>
        <v>45947</v>
      </c>
      <c r="L1563" s="3" t="s">
        <v>2391</v>
      </c>
      <c r="M1563" s="3" t="s">
        <v>1468</v>
      </c>
      <c r="N1563" s="3" t="str">
        <f t="shared" si="203"/>
        <v/>
      </c>
    </row>
    <row r="1564" spans="1:19">
      <c r="A1564" s="3">
        <v>6094</v>
      </c>
      <c r="B1564" s="83">
        <f t="array" ref="B1564">SUM(--(FREQUENCY(IF(C$2:C$3074=C1564, MATCH(D$2:D$3074, D$2:D$3074, 0)), ROW(D$2:D$3074)-ROW(D$2)+1) &gt; 0))</f>
        <v>1</v>
      </c>
      <c r="C1564" s="3">
        <v>41100478</v>
      </c>
      <c r="D1564" s="6" t="s">
        <v>3112</v>
      </c>
      <c r="E1564" s="3" t="s">
        <v>1585</v>
      </c>
      <c r="F1564" s="3" t="s">
        <v>1476</v>
      </c>
      <c r="G1564" s="68" t="str">
        <f t="shared" si="202"/>
        <v>DUAL</v>
      </c>
      <c r="H1564" s="197">
        <f t="shared" si="211"/>
        <v>42</v>
      </c>
      <c r="I1564" s="197">
        <v>10</v>
      </c>
      <c r="J1564" s="197">
        <v>17</v>
      </c>
      <c r="K1564" s="186">
        <f t="shared" si="212"/>
        <v>45947</v>
      </c>
      <c r="L1564" s="3" t="s">
        <v>2391</v>
      </c>
      <c r="M1564" s="3" t="s">
        <v>1468</v>
      </c>
      <c r="N1564" s="3" t="str">
        <f t="shared" si="203"/>
        <v/>
      </c>
    </row>
    <row r="1565" spans="1:19">
      <c r="A1565" s="3">
        <v>6062</v>
      </c>
      <c r="B1565" s="83">
        <f t="array" ref="B1565">SUM(--(FREQUENCY(IF(C$2:C$3074=C1565, MATCH(D$2:D$3074, D$2:D$3074, 0)), ROW(D$2:D$3074)-ROW(D$2)+1) &gt; 0))</f>
        <v>32</v>
      </c>
      <c r="C1565" s="3">
        <v>41200122</v>
      </c>
      <c r="D1565" s="6" t="s">
        <v>3113</v>
      </c>
      <c r="E1565" s="3" t="s">
        <v>1585</v>
      </c>
      <c r="F1565" s="3" t="s">
        <v>1476</v>
      </c>
      <c r="G1565" s="68" t="str">
        <f t="shared" si="202"/>
        <v>DUAL</v>
      </c>
      <c r="H1565" s="197">
        <f>WEEKNUM(K1565)</f>
        <v>43</v>
      </c>
      <c r="I1565" s="197">
        <v>10</v>
      </c>
      <c r="J1565" s="197">
        <v>20</v>
      </c>
      <c r="K1565" s="186">
        <f>DATE(2025, I1565, J1565)</f>
        <v>45950</v>
      </c>
      <c r="L1565" s="3" t="s">
        <v>2391</v>
      </c>
      <c r="M1565" s="3" t="s">
        <v>1468</v>
      </c>
      <c r="N1565" s="3" t="str">
        <f t="shared" si="203"/>
        <v/>
      </c>
    </row>
    <row r="1566" spans="1:19">
      <c r="A1566" s="3">
        <v>6061</v>
      </c>
      <c r="B1566" s="83">
        <f t="array" ref="B1566">SUM(--(FREQUENCY(IF(C$2:C$3074=C1566, MATCH(D$2:D$3074, D$2:D$3074, 0)), ROW(D$2:D$3074)-ROW(D$2)+1) &gt; 0))</f>
        <v>41</v>
      </c>
      <c r="C1566" s="3">
        <v>41200101</v>
      </c>
      <c r="D1566" s="6" t="s">
        <v>3120</v>
      </c>
      <c r="E1566" s="3" t="s">
        <v>1585</v>
      </c>
      <c r="F1566" s="3" t="s">
        <v>1476</v>
      </c>
      <c r="G1566" s="68" t="str">
        <f t="shared" si="202"/>
        <v>DUAL</v>
      </c>
      <c r="H1566" s="197">
        <f t="shared" si="211"/>
        <v>43</v>
      </c>
      <c r="I1566" s="197">
        <v>10</v>
      </c>
      <c r="J1566" s="197">
        <v>20</v>
      </c>
      <c r="K1566" s="186">
        <f t="shared" si="212"/>
        <v>45950</v>
      </c>
      <c r="L1566" s="3" t="s">
        <v>2395</v>
      </c>
      <c r="M1566" s="3" t="s">
        <v>2392</v>
      </c>
      <c r="N1566" s="3" t="str">
        <f t="shared" si="203"/>
        <v/>
      </c>
    </row>
    <row r="1567" spans="1:19">
      <c r="A1567" s="3">
        <v>6098</v>
      </c>
      <c r="B1567" s="83">
        <f t="array" ref="B1567">SUM(--(FREQUENCY(IF(C$2:C$3074=C1567, MATCH(D$2:D$3074, D$2:D$3074, 0)), ROW(D$2:D$3074)-ROW(D$2)+1) &gt; 0))</f>
        <v>41</v>
      </c>
      <c r="C1567" s="3">
        <v>41200101</v>
      </c>
      <c r="D1567" s="6" t="s">
        <v>3122</v>
      </c>
      <c r="E1567" s="3" t="s">
        <v>1585</v>
      </c>
      <c r="F1567" s="3" t="s">
        <v>1476</v>
      </c>
      <c r="G1567" s="41" t="str">
        <f t="shared" si="202"/>
        <v>DUAL</v>
      </c>
      <c r="H1567" s="197">
        <f t="shared" ref="H1567:H1569" si="213">WEEKNUM(K1567)</f>
        <v>43</v>
      </c>
      <c r="I1567" s="197">
        <v>10</v>
      </c>
      <c r="J1567" s="197">
        <v>20</v>
      </c>
      <c r="K1567" s="186">
        <f t="shared" ref="K1567:K1569" si="214">DATE(2025, I1567, J1567)</f>
        <v>45950</v>
      </c>
      <c r="L1567" s="3" t="s">
        <v>2395</v>
      </c>
      <c r="M1567" s="3" t="s">
        <v>1468</v>
      </c>
      <c r="N1567" s="3" t="str">
        <f t="shared" si="203"/>
        <v>NG</v>
      </c>
      <c r="O1567" s="3" t="s">
        <v>2368</v>
      </c>
      <c r="P1567" s="3" t="s">
        <v>2826</v>
      </c>
      <c r="Q1567" s="3">
        <v>11002198</v>
      </c>
      <c r="R1567" s="3" t="s">
        <v>438</v>
      </c>
      <c r="S1567" s="3" t="s">
        <v>5312</v>
      </c>
    </row>
    <row r="1568" spans="1:19">
      <c r="A1568" s="3">
        <v>6098</v>
      </c>
      <c r="B1568" s="83">
        <f t="array" ref="B1568">SUM(--(FREQUENCY(IF(C$2:C$3074=C1568, MATCH(D$2:D$3074, D$2:D$3074, 0)), ROW(D$2:D$3074)-ROW(D$2)+1) &gt; 0))</f>
        <v>41</v>
      </c>
      <c r="C1568" s="3">
        <v>41200101</v>
      </c>
      <c r="D1568" s="6" t="s">
        <v>3122</v>
      </c>
      <c r="E1568" s="3" t="s">
        <v>1585</v>
      </c>
      <c r="F1568" s="3" t="s">
        <v>1476</v>
      </c>
      <c r="G1568" s="41" t="str">
        <f t="shared" si="202"/>
        <v>DUAL</v>
      </c>
      <c r="H1568" s="197">
        <f t="shared" ref="H1568" si="215">WEEKNUM(K1568)</f>
        <v>43</v>
      </c>
      <c r="I1568" s="197">
        <v>10</v>
      </c>
      <c r="J1568" s="197">
        <v>20</v>
      </c>
      <c r="K1568" s="186">
        <f t="shared" ref="K1568" si="216">DATE(2025, I1568, J1568)</f>
        <v>45950</v>
      </c>
      <c r="L1568" s="3" t="s">
        <v>2395</v>
      </c>
      <c r="M1568" s="3" t="s">
        <v>1468</v>
      </c>
      <c r="N1568" s="3" t="str">
        <f t="shared" si="203"/>
        <v>NG</v>
      </c>
      <c r="O1568" s="3" t="s">
        <v>2368</v>
      </c>
      <c r="P1568" s="3" t="s">
        <v>1385</v>
      </c>
      <c r="Q1568" s="3">
        <v>11002542</v>
      </c>
      <c r="R1568" s="3" t="s">
        <v>1117</v>
      </c>
      <c r="S1568" s="3" t="s">
        <v>5313</v>
      </c>
    </row>
    <row r="1569" spans="1:19">
      <c r="A1569" s="3">
        <v>6063</v>
      </c>
      <c r="B1569" s="83">
        <f t="array" ref="B1569">SUM(--(FREQUENCY(IF(C$2:C$3074=C1569, MATCH(D$2:D$3074, D$2:D$3074, 0)), ROW(D$2:D$3074)-ROW(D$2)+1) &gt; 0))</f>
        <v>15</v>
      </c>
      <c r="C1569" s="3">
        <v>41200087</v>
      </c>
      <c r="D1569" s="6" t="s">
        <v>3115</v>
      </c>
      <c r="E1569" s="3" t="s">
        <v>1585</v>
      </c>
      <c r="F1569" s="3" t="s">
        <v>1476</v>
      </c>
      <c r="G1569" s="41" t="str">
        <f t="shared" si="202"/>
        <v>DUAL</v>
      </c>
      <c r="H1569" s="197">
        <f t="shared" si="213"/>
        <v>43</v>
      </c>
      <c r="I1569" s="197">
        <v>10</v>
      </c>
      <c r="J1569" s="197">
        <v>20</v>
      </c>
      <c r="K1569" s="186">
        <f t="shared" si="214"/>
        <v>45950</v>
      </c>
      <c r="L1569" s="3" t="s">
        <v>2395</v>
      </c>
      <c r="M1569" s="3" t="s">
        <v>2392</v>
      </c>
      <c r="N1569" s="3" t="str">
        <f t="shared" si="203"/>
        <v>NG</v>
      </c>
      <c r="O1569" s="3" t="s">
        <v>2368</v>
      </c>
      <c r="P1569" s="3" t="s">
        <v>1385</v>
      </c>
      <c r="Q1569" s="3">
        <v>11002542</v>
      </c>
      <c r="R1569" s="3" t="s">
        <v>1117</v>
      </c>
      <c r="S1569" s="3" t="s">
        <v>5313</v>
      </c>
    </row>
    <row r="1570" spans="1:19">
      <c r="A1570" s="3">
        <v>6063</v>
      </c>
      <c r="B1570" s="83">
        <f t="array" ref="B1570">SUM(--(FREQUENCY(IF(C$2:C$3074=C1570, MATCH(D$2:D$3074, D$2:D$3074, 0)), ROW(D$2:D$3074)-ROW(D$2)+1) &gt; 0))</f>
        <v>15</v>
      </c>
      <c r="C1570" s="3">
        <v>41200087</v>
      </c>
      <c r="D1570" s="6" t="s">
        <v>3115</v>
      </c>
      <c r="E1570" s="3" t="s">
        <v>1585</v>
      </c>
      <c r="F1570" s="3" t="s">
        <v>1476</v>
      </c>
      <c r="G1570" s="41" t="str">
        <f t="shared" ref="G1570:G1601" si="217">IF(OR(ISNUMBER(SEARCH("DUAL",F1570)), ISNUMBER(SEARCH("IVAS",F1570))), "DUAL", "SINGLE")</f>
        <v>DUAL</v>
      </c>
      <c r="H1570" s="197">
        <f t="shared" ref="H1570:H1574" si="218">WEEKNUM(K1570)</f>
        <v>43</v>
      </c>
      <c r="I1570" s="197">
        <v>10</v>
      </c>
      <c r="J1570" s="197">
        <v>20</v>
      </c>
      <c r="K1570" s="186">
        <f t="shared" ref="K1570:K1574" si="219">DATE(2025, I1570, J1570)</f>
        <v>45950</v>
      </c>
      <c r="L1570" s="3" t="s">
        <v>2395</v>
      </c>
      <c r="M1570" s="3" t="s">
        <v>2392</v>
      </c>
      <c r="N1570" s="3" t="str">
        <f t="shared" si="203"/>
        <v>NG</v>
      </c>
      <c r="O1570" s="3" t="s">
        <v>2368</v>
      </c>
      <c r="P1570" s="3" t="s">
        <v>1385</v>
      </c>
      <c r="Q1570" s="3">
        <v>11002542</v>
      </c>
      <c r="R1570" s="3" t="s">
        <v>1117</v>
      </c>
      <c r="S1570" s="3" t="s">
        <v>5313</v>
      </c>
    </row>
    <row r="1571" spans="1:19">
      <c r="A1571" s="3">
        <v>6108</v>
      </c>
      <c r="B1571" s="83">
        <f t="array" ref="B1571">SUM(--(FREQUENCY(IF(C$2:C$3074=C1571, MATCH(D$2:D$3074, D$2:D$3074, 0)), ROW(D$2:D$3074)-ROW(D$2)+1) &gt; 0))</f>
        <v>3</v>
      </c>
      <c r="C1571" s="3">
        <v>41100666</v>
      </c>
      <c r="D1571" s="6" t="s">
        <v>5314</v>
      </c>
      <c r="E1571" s="3" t="s">
        <v>1416</v>
      </c>
      <c r="F1571" s="3" t="s">
        <v>3180</v>
      </c>
      <c r="G1571" s="68" t="str">
        <f t="shared" ref="G1571:G1573" si="220">IF(OR(ISNUMBER(SEARCH("DUAL",F1571)), ISNUMBER(SEARCH("IVAS",F1571))), "DUAL", "SINGLE")</f>
        <v>SINGLE</v>
      </c>
      <c r="H1571" s="197">
        <f t="shared" ref="H1571:H1573" si="221">WEEKNUM(K1571)</f>
        <v>43</v>
      </c>
      <c r="I1571" s="197">
        <v>10</v>
      </c>
      <c r="J1571" s="197">
        <v>20</v>
      </c>
      <c r="K1571" s="186">
        <f t="shared" ref="K1571:K1573" si="222">DATE(2025, I1571, J1571)</f>
        <v>45950</v>
      </c>
      <c r="L1571" s="3" t="s">
        <v>2395</v>
      </c>
      <c r="M1571" s="3" t="s">
        <v>2392</v>
      </c>
    </row>
    <row r="1572" spans="1:19">
      <c r="A1572" s="3">
        <v>6108</v>
      </c>
      <c r="B1572" s="83">
        <f t="array" ref="B1572">SUM(--(FREQUENCY(IF(C$2:C$3074=C1572, MATCH(D$2:D$3074, D$2:D$3074, 0)), ROW(D$2:D$3074)-ROW(D$2)+1) &gt; 0))</f>
        <v>3</v>
      </c>
      <c r="C1572" s="3">
        <v>41100666</v>
      </c>
      <c r="D1572" s="6" t="s">
        <v>5315</v>
      </c>
      <c r="E1572" s="3" t="s">
        <v>1416</v>
      </c>
      <c r="F1572" s="3" t="s">
        <v>3180</v>
      </c>
      <c r="G1572" s="68" t="str">
        <f t="shared" si="220"/>
        <v>SINGLE</v>
      </c>
      <c r="H1572" s="197">
        <f t="shared" si="221"/>
        <v>43</v>
      </c>
      <c r="I1572" s="197">
        <v>10</v>
      </c>
      <c r="J1572" s="197">
        <v>20</v>
      </c>
      <c r="K1572" s="186">
        <f t="shared" si="222"/>
        <v>45950</v>
      </c>
      <c r="L1572" s="3" t="s">
        <v>2395</v>
      </c>
      <c r="M1572" s="3" t="s">
        <v>2392</v>
      </c>
    </row>
    <row r="1573" spans="1:19">
      <c r="A1573" s="3">
        <v>6108</v>
      </c>
      <c r="B1573" s="83">
        <f t="array" ref="B1573">SUM(--(FREQUENCY(IF(C$2:C$3074=C1573, MATCH(D$2:D$3074, D$2:D$3074, 0)), ROW(D$2:D$3074)-ROW(D$2)+1) &gt; 0))</f>
        <v>3</v>
      </c>
      <c r="C1573" s="3">
        <v>41100666</v>
      </c>
      <c r="D1573" s="6" t="s">
        <v>5316</v>
      </c>
      <c r="E1573" s="3" t="s">
        <v>1416</v>
      </c>
      <c r="F1573" s="3" t="s">
        <v>3180</v>
      </c>
      <c r="G1573" s="68" t="str">
        <f t="shared" si="220"/>
        <v>SINGLE</v>
      </c>
      <c r="H1573" s="197">
        <f t="shared" si="221"/>
        <v>43</v>
      </c>
      <c r="I1573" s="197">
        <v>10</v>
      </c>
      <c r="J1573" s="197">
        <v>20</v>
      </c>
      <c r="K1573" s="186">
        <f t="shared" si="222"/>
        <v>45950</v>
      </c>
      <c r="L1573" s="3" t="s">
        <v>2395</v>
      </c>
      <c r="M1573" s="3" t="s">
        <v>2392</v>
      </c>
    </row>
    <row r="1574" spans="1:19">
      <c r="A1574" s="3">
        <v>6098</v>
      </c>
      <c r="B1574" s="83">
        <f t="array" ref="B1574">SUM(--(FREQUENCY(IF(C$2:C$3074=C1574, MATCH(D$2:D$3074, D$2:D$3074, 0)), ROW(D$2:D$3074)-ROW(D$2)+1) &gt; 0))</f>
        <v>41</v>
      </c>
      <c r="C1574" s="3">
        <v>41200101</v>
      </c>
      <c r="D1574" s="6" t="s">
        <v>3117</v>
      </c>
      <c r="E1574" s="3" t="s">
        <v>1585</v>
      </c>
      <c r="F1574" s="3" t="s">
        <v>1476</v>
      </c>
      <c r="G1574" s="68" t="str">
        <f t="shared" ref="G1574:G1637" si="223">IF(OR(ISNUMBER(SEARCH("DUAL",F1574)), ISNUMBER(SEARCH("IVAS",F1574))), "DUAL", "SINGLE")</f>
        <v>DUAL</v>
      </c>
      <c r="H1574" s="197">
        <f t="shared" si="218"/>
        <v>43</v>
      </c>
      <c r="I1574" s="197">
        <v>10</v>
      </c>
      <c r="J1574" s="197">
        <v>21</v>
      </c>
      <c r="K1574" s="186">
        <f t="shared" si="219"/>
        <v>45951</v>
      </c>
      <c r="L1574" s="3" t="s">
        <v>2391</v>
      </c>
      <c r="M1574" s="3" t="s">
        <v>2392</v>
      </c>
      <c r="N1574" s="3" t="str">
        <f t="shared" ref="N1574:N1605" si="224">IF(O1574&lt;&gt;"", "NG", "")</f>
        <v>NG</v>
      </c>
      <c r="O1574" s="3" t="s">
        <v>2368</v>
      </c>
      <c r="P1574" s="3" t="s">
        <v>2482</v>
      </c>
      <c r="Q1574" s="3">
        <v>11002283</v>
      </c>
      <c r="R1574" s="3" t="s">
        <v>932</v>
      </c>
      <c r="S1574" s="3" t="s">
        <v>5317</v>
      </c>
    </row>
    <row r="1575" spans="1:19">
      <c r="A1575" s="3">
        <v>6074</v>
      </c>
      <c r="B1575" s="83">
        <f t="array" ref="B1575">SUM(--(FREQUENCY(IF(C$2:C$3074=C1575, MATCH(D$2:D$3074, D$2:D$3074, 0)), ROW(D$2:D$3074)-ROW(D$2)+1) &gt; 0))</f>
        <v>6</v>
      </c>
      <c r="C1575" s="3">
        <v>41000544</v>
      </c>
      <c r="D1575" s="6" t="s">
        <v>3118</v>
      </c>
      <c r="E1575" s="3" t="s">
        <v>1405</v>
      </c>
      <c r="F1575" s="3" t="s">
        <v>1476</v>
      </c>
      <c r="G1575" s="68" t="str">
        <f t="shared" si="223"/>
        <v>DUAL</v>
      </c>
      <c r="H1575" s="197">
        <f t="shared" ref="H1575:H1582" si="225">WEEKNUM(K1575)</f>
        <v>43</v>
      </c>
      <c r="I1575" s="197">
        <v>10</v>
      </c>
      <c r="J1575" s="197">
        <v>21</v>
      </c>
      <c r="K1575" s="186">
        <f t="shared" ref="K1575:K1582" si="226">DATE(2025, I1575, J1575)</f>
        <v>45951</v>
      </c>
      <c r="L1575" s="3" t="s">
        <v>2391</v>
      </c>
      <c r="M1575" s="3" t="s">
        <v>1468</v>
      </c>
      <c r="N1575" s="3" t="str">
        <f t="shared" si="224"/>
        <v>NG</v>
      </c>
      <c r="O1575" s="3" t="s">
        <v>2368</v>
      </c>
      <c r="P1575" s="3" t="s">
        <v>1384</v>
      </c>
      <c r="Q1575" s="3">
        <v>11008256</v>
      </c>
      <c r="R1575" s="3" t="s">
        <v>2683</v>
      </c>
      <c r="S1575" s="3" t="s">
        <v>5318</v>
      </c>
    </row>
    <row r="1576" spans="1:19">
      <c r="A1576" s="3">
        <v>6063</v>
      </c>
      <c r="B1576" s="83">
        <f t="array" ref="B1576">SUM(--(FREQUENCY(IF(C$2:C$3074=C1576, MATCH(D$2:D$3074, D$2:D$3074, 0)), ROW(D$2:D$3074)-ROW(D$2)+1) &gt; 0))</f>
        <v>15</v>
      </c>
      <c r="C1576" s="3">
        <v>41200087</v>
      </c>
      <c r="D1576" s="6" t="s">
        <v>3119</v>
      </c>
      <c r="E1576" s="3" t="s">
        <v>1585</v>
      </c>
      <c r="F1576" s="3" t="s">
        <v>1476</v>
      </c>
      <c r="G1576" s="41" t="str">
        <f t="shared" si="223"/>
        <v>DUAL</v>
      </c>
      <c r="H1576" s="197">
        <f t="shared" si="225"/>
        <v>43</v>
      </c>
      <c r="I1576" s="197">
        <v>10</v>
      </c>
      <c r="J1576" s="197">
        <v>21</v>
      </c>
      <c r="K1576" s="186">
        <f t="shared" si="226"/>
        <v>45951</v>
      </c>
      <c r="L1576" s="3" t="s">
        <v>2395</v>
      </c>
      <c r="M1576" s="3" t="s">
        <v>1469</v>
      </c>
      <c r="N1576" s="3" t="str">
        <f t="shared" si="224"/>
        <v>NG</v>
      </c>
      <c r="O1576" s="3" t="s">
        <v>2368</v>
      </c>
      <c r="P1576" s="3" t="s">
        <v>2371</v>
      </c>
      <c r="Q1576" s="3">
        <v>11001964</v>
      </c>
      <c r="R1576" s="3" t="s">
        <v>562</v>
      </c>
      <c r="S1576" s="3" t="s">
        <v>5319</v>
      </c>
    </row>
    <row r="1577" spans="1:19">
      <c r="A1577" s="3">
        <v>6063</v>
      </c>
      <c r="B1577" s="83">
        <f t="array" ref="B1577">SUM(--(FREQUENCY(IF(C$2:C$3074=C1577, MATCH(D$2:D$3074, D$2:D$3074, 0)), ROW(D$2:D$3074)-ROW(D$2)+1) &gt; 0))</f>
        <v>15</v>
      </c>
      <c r="C1577" s="3">
        <v>41200087</v>
      </c>
      <c r="D1577" s="6" t="s">
        <v>3119</v>
      </c>
      <c r="E1577" s="3" t="s">
        <v>1585</v>
      </c>
      <c r="F1577" s="3" t="s">
        <v>1476</v>
      </c>
      <c r="G1577" s="41" t="str">
        <f t="shared" si="223"/>
        <v>DUAL</v>
      </c>
      <c r="H1577" s="197">
        <f t="shared" ref="H1577" si="227">WEEKNUM(K1577)</f>
        <v>43</v>
      </c>
      <c r="I1577" s="197">
        <v>10</v>
      </c>
      <c r="J1577" s="197">
        <v>21</v>
      </c>
      <c r="K1577" s="186">
        <f t="shared" ref="K1577" si="228">DATE(2025, I1577, J1577)</f>
        <v>45951</v>
      </c>
      <c r="L1577" s="3" t="s">
        <v>2395</v>
      </c>
      <c r="M1577" s="3" t="s">
        <v>1469</v>
      </c>
      <c r="N1577" s="3" t="str">
        <f t="shared" si="224"/>
        <v>NG</v>
      </c>
      <c r="O1577" s="3" t="s">
        <v>2368</v>
      </c>
      <c r="P1577" s="3" t="s">
        <v>5092</v>
      </c>
      <c r="Q1577" s="3">
        <v>13104421</v>
      </c>
      <c r="R1577" s="3" t="s">
        <v>5320</v>
      </c>
      <c r="S1577" s="3" t="s">
        <v>5321</v>
      </c>
    </row>
    <row r="1578" spans="1:19">
      <c r="A1578" s="3">
        <v>6063</v>
      </c>
      <c r="B1578" s="83">
        <f t="array" ref="B1578">SUM(--(FREQUENCY(IF(C$2:C$3074=C1578, MATCH(D$2:D$3074, D$2:D$3074, 0)), ROW(D$2:D$3074)-ROW(D$2)+1) &gt; 0))</f>
        <v>15</v>
      </c>
      <c r="C1578" s="3">
        <v>41200087</v>
      </c>
      <c r="D1578" s="6" t="s">
        <v>3119</v>
      </c>
      <c r="E1578" s="3" t="s">
        <v>1585</v>
      </c>
      <c r="F1578" s="3" t="s">
        <v>1476</v>
      </c>
      <c r="G1578" s="41" t="str">
        <f t="shared" si="223"/>
        <v>DUAL</v>
      </c>
      <c r="H1578" s="197">
        <f t="shared" ref="H1578" si="229">WEEKNUM(K1578)</f>
        <v>43</v>
      </c>
      <c r="I1578" s="197">
        <v>10</v>
      </c>
      <c r="J1578" s="197">
        <v>21</v>
      </c>
      <c r="K1578" s="186">
        <f t="shared" ref="K1578" si="230">DATE(2025, I1578, J1578)</f>
        <v>45951</v>
      </c>
      <c r="L1578" s="3" t="s">
        <v>2395</v>
      </c>
      <c r="M1578" s="3" t="s">
        <v>1469</v>
      </c>
      <c r="N1578" s="3" t="str">
        <f t="shared" si="224"/>
        <v>NG</v>
      </c>
      <c r="O1578" s="3" t="s">
        <v>2368</v>
      </c>
      <c r="P1578" s="3" t="s">
        <v>1385</v>
      </c>
      <c r="Q1578" s="3">
        <v>11002542</v>
      </c>
      <c r="R1578" s="3" t="s">
        <v>1117</v>
      </c>
      <c r="S1578" s="3" t="s">
        <v>5322</v>
      </c>
    </row>
    <row r="1579" spans="1:19">
      <c r="A1579" s="3">
        <v>5976</v>
      </c>
      <c r="B1579" s="83">
        <f t="array" ref="B1579">SUM(--(FREQUENCY(IF(C$2:C$3074=C1579, MATCH(D$2:D$3074, D$2:D$3074, 0)), ROW(D$2:D$3074)-ROW(D$2)+1) &gt; 0))</f>
        <v>10</v>
      </c>
      <c r="C1579" s="3">
        <v>41200061</v>
      </c>
      <c r="D1579" s="6" t="s">
        <v>3128</v>
      </c>
      <c r="E1579" s="3" t="s">
        <v>1405</v>
      </c>
      <c r="F1579" s="3" t="s">
        <v>1480</v>
      </c>
      <c r="G1579" s="68" t="str">
        <f t="shared" si="223"/>
        <v>DUAL</v>
      </c>
      <c r="H1579" s="197">
        <f t="shared" si="225"/>
        <v>43</v>
      </c>
      <c r="I1579" s="197">
        <v>10</v>
      </c>
      <c r="J1579" s="197">
        <v>21</v>
      </c>
      <c r="K1579" s="186">
        <f t="shared" si="226"/>
        <v>45951</v>
      </c>
      <c r="L1579" s="3" t="s">
        <v>2391</v>
      </c>
      <c r="M1579" s="3" t="s">
        <v>2392</v>
      </c>
      <c r="N1579" s="3" t="str">
        <f t="shared" si="224"/>
        <v/>
      </c>
    </row>
    <row r="1580" spans="1:19">
      <c r="A1580" s="3">
        <v>6054</v>
      </c>
      <c r="B1580" s="83">
        <f t="array" ref="B1580">SUM(--(FREQUENCY(IF(C$2:C$3074=C1580, MATCH(D$2:D$3074, D$2:D$3074, 0)), ROW(D$2:D$3074)-ROW(D$2)+1) &gt; 0))</f>
        <v>6</v>
      </c>
      <c r="C1580" s="3">
        <v>41100584</v>
      </c>
      <c r="D1580" s="6" t="s">
        <v>3129</v>
      </c>
      <c r="E1580" s="3" t="s">
        <v>1422</v>
      </c>
      <c r="F1580" s="3" t="s">
        <v>1591</v>
      </c>
      <c r="G1580" s="68" t="str">
        <f t="shared" si="223"/>
        <v>SINGLE</v>
      </c>
      <c r="H1580" s="197">
        <f t="shared" si="225"/>
        <v>43</v>
      </c>
      <c r="I1580" s="197">
        <v>10</v>
      </c>
      <c r="J1580" s="197">
        <v>21</v>
      </c>
      <c r="K1580" s="186">
        <f t="shared" si="226"/>
        <v>45951</v>
      </c>
      <c r="L1580" s="3" t="s">
        <v>2391</v>
      </c>
      <c r="M1580" s="3" t="s">
        <v>1468</v>
      </c>
      <c r="N1580" s="3" t="str">
        <f t="shared" si="224"/>
        <v>NG</v>
      </c>
      <c r="O1580" s="3" t="s">
        <v>2368</v>
      </c>
      <c r="P1580" s="3" t="s">
        <v>1386</v>
      </c>
      <c r="S1580" s="3" t="s">
        <v>5323</v>
      </c>
    </row>
    <row r="1581" spans="1:19">
      <c r="A1581" s="3">
        <v>6098</v>
      </c>
      <c r="B1581" s="83">
        <f t="array" ref="B1581">SUM(--(FREQUENCY(IF(C$2:C$3074=C1581, MATCH(D$2:D$3074, D$2:D$3074, 0)), ROW(D$2:D$3074)-ROW(D$2)+1) &gt; 0))</f>
        <v>41</v>
      </c>
      <c r="C1581" s="3">
        <v>41200101</v>
      </c>
      <c r="D1581" s="6" t="s">
        <v>3130</v>
      </c>
      <c r="E1581" s="3" t="s">
        <v>1585</v>
      </c>
      <c r="F1581" s="3" t="s">
        <v>1476</v>
      </c>
      <c r="G1581" s="68" t="str">
        <f t="shared" si="223"/>
        <v>DUAL</v>
      </c>
      <c r="H1581" s="197">
        <f t="shared" si="225"/>
        <v>43</v>
      </c>
      <c r="I1581" s="197">
        <v>10</v>
      </c>
      <c r="J1581" s="197">
        <v>21</v>
      </c>
      <c r="K1581" s="186">
        <f t="shared" si="226"/>
        <v>45951</v>
      </c>
      <c r="L1581" s="3" t="s">
        <v>2395</v>
      </c>
      <c r="M1581" s="3" t="s">
        <v>1468</v>
      </c>
      <c r="N1581" s="3" t="str">
        <f t="shared" si="224"/>
        <v/>
      </c>
    </row>
    <row r="1582" spans="1:19">
      <c r="A1582" s="3">
        <v>6063</v>
      </c>
      <c r="B1582" s="83">
        <f t="array" ref="B1582">SUM(--(FREQUENCY(IF(C$2:C$3074=C1582, MATCH(D$2:D$3074, D$2:D$3074, 0)), ROW(D$2:D$3074)-ROW(D$2)+1) &gt; 0))</f>
        <v>15</v>
      </c>
      <c r="C1582" s="3">
        <v>41200087</v>
      </c>
      <c r="D1582" s="6" t="s">
        <v>3133</v>
      </c>
      <c r="E1582" s="3" t="s">
        <v>1585</v>
      </c>
      <c r="F1582" s="3" t="s">
        <v>1476</v>
      </c>
      <c r="G1582" s="68" t="str">
        <f t="shared" si="223"/>
        <v>DUAL</v>
      </c>
      <c r="H1582" s="197">
        <f t="shared" si="225"/>
        <v>43</v>
      </c>
      <c r="I1582" s="197">
        <v>10</v>
      </c>
      <c r="J1582" s="197">
        <v>21</v>
      </c>
      <c r="K1582" s="186">
        <f t="shared" si="226"/>
        <v>45951</v>
      </c>
      <c r="L1582" s="3" t="s">
        <v>2395</v>
      </c>
      <c r="M1582" s="3" t="s">
        <v>1469</v>
      </c>
      <c r="N1582" s="3" t="str">
        <f t="shared" si="224"/>
        <v>NG</v>
      </c>
      <c r="O1582" s="3" t="s">
        <v>2368</v>
      </c>
      <c r="P1582" s="3" t="s">
        <v>2826</v>
      </c>
      <c r="Q1582" s="3">
        <v>11002198</v>
      </c>
      <c r="R1582" s="3" t="s">
        <v>438</v>
      </c>
      <c r="S1582" s="3" t="s">
        <v>5312</v>
      </c>
    </row>
    <row r="1583" spans="1:19">
      <c r="A1583" s="3">
        <v>6047</v>
      </c>
      <c r="B1583" s="83">
        <f t="array" ref="B1583">SUM(--(FREQUENCY(IF(C$2:C$3074=C1583, MATCH(D$2:D$3074, D$2:D$3074, 0)), ROW(D$2:D$3074)-ROW(D$2)+1) &gt; 0))</f>
        <v>1</v>
      </c>
      <c r="C1583" s="3">
        <v>41200176</v>
      </c>
      <c r="D1583" s="6" t="s">
        <v>5324</v>
      </c>
      <c r="E1583" s="3" t="s">
        <v>1405</v>
      </c>
      <c r="F1583" s="3" t="s">
        <v>5325</v>
      </c>
      <c r="G1583" s="68" t="str">
        <f t="shared" si="223"/>
        <v>SINGLE</v>
      </c>
      <c r="H1583" s="197">
        <f t="shared" ref="H1583:H1584" si="231">WEEKNUM(K1583)</f>
        <v>43</v>
      </c>
      <c r="I1583" s="197">
        <v>10</v>
      </c>
      <c r="J1583" s="197">
        <v>21</v>
      </c>
      <c r="K1583" s="186">
        <f t="shared" ref="K1583:K1584" si="232">DATE(2025, I1583, J1583)</f>
        <v>45951</v>
      </c>
      <c r="L1583" s="3" t="s">
        <v>2391</v>
      </c>
      <c r="M1583" s="3" t="s">
        <v>2392</v>
      </c>
      <c r="N1583" s="3" t="str">
        <f t="shared" si="224"/>
        <v/>
      </c>
    </row>
    <row r="1584" spans="1:19">
      <c r="A1584" s="3">
        <v>5976</v>
      </c>
      <c r="B1584" s="83">
        <f t="array" ref="B1584">SUM(--(FREQUENCY(IF(C$2:C$3074=C1584, MATCH(D$2:D$3074, D$2:D$3074, 0)), ROW(D$2:D$3074)-ROW(D$2)+1) &gt; 0))</f>
        <v>10</v>
      </c>
      <c r="C1584" s="3">
        <v>41200061</v>
      </c>
      <c r="D1584" s="6" t="s">
        <v>3123</v>
      </c>
      <c r="E1584" s="3" t="s">
        <v>1405</v>
      </c>
      <c r="F1584" s="3" t="s">
        <v>1480</v>
      </c>
      <c r="G1584" s="68" t="str">
        <f t="shared" si="223"/>
        <v>DUAL</v>
      </c>
      <c r="H1584" s="197">
        <f t="shared" si="231"/>
        <v>43</v>
      </c>
      <c r="I1584" s="197">
        <v>10</v>
      </c>
      <c r="J1584" s="197">
        <v>22</v>
      </c>
      <c r="K1584" s="186">
        <f t="shared" si="232"/>
        <v>45952</v>
      </c>
      <c r="L1584" s="3" t="s">
        <v>2391</v>
      </c>
      <c r="M1584" s="3" t="s">
        <v>2392</v>
      </c>
      <c r="N1584" s="3" t="str">
        <f t="shared" si="224"/>
        <v/>
      </c>
    </row>
    <row r="1585" spans="1:19">
      <c r="A1585" s="3">
        <v>6090</v>
      </c>
      <c r="B1585" s="83">
        <f t="array" ref="B1585">SUM(--(FREQUENCY(IF(C$2:C$3074=C1585, MATCH(D$2:D$3074, D$2:D$3074, 0)), ROW(D$2:D$3074)-ROW(D$2)+1) &gt; 0))</f>
        <v>14</v>
      </c>
      <c r="C1585" s="3">
        <v>41200129</v>
      </c>
      <c r="D1585" s="6" t="s">
        <v>3124</v>
      </c>
      <c r="E1585" s="3" t="s">
        <v>1431</v>
      </c>
      <c r="F1585" s="3" t="s">
        <v>1591</v>
      </c>
      <c r="G1585" s="68" t="str">
        <f t="shared" si="223"/>
        <v>SINGLE</v>
      </c>
      <c r="H1585" s="197">
        <f t="shared" ref="H1585:H1594" si="233">WEEKNUM(K1585)</f>
        <v>43</v>
      </c>
      <c r="I1585" s="197">
        <v>10</v>
      </c>
      <c r="J1585" s="197">
        <v>22</v>
      </c>
      <c r="K1585" s="186">
        <f t="shared" ref="K1585:K1611" si="234">DATE(2025, I1585, J1585)</f>
        <v>45952</v>
      </c>
      <c r="L1585" s="3" t="s">
        <v>2391</v>
      </c>
      <c r="M1585" s="3" t="s">
        <v>1468</v>
      </c>
      <c r="N1585" s="3" t="str">
        <f t="shared" si="224"/>
        <v/>
      </c>
    </row>
    <row r="1586" spans="1:19">
      <c r="A1586" s="3">
        <v>6096</v>
      </c>
      <c r="B1586" s="83">
        <f t="array" ref="B1586">SUM(--(FREQUENCY(IF(C$2:C$3074=C1586, MATCH(D$2:D$3074, D$2:D$3074, 0)), ROW(D$2:D$3074)-ROW(D$2)+1) &gt; 0))</f>
        <v>77</v>
      </c>
      <c r="C1586" s="3">
        <v>41200076</v>
      </c>
      <c r="D1586" s="6" t="s">
        <v>3125</v>
      </c>
      <c r="E1586" s="3" t="s">
        <v>1585</v>
      </c>
      <c r="F1586" s="3" t="s">
        <v>1476</v>
      </c>
      <c r="G1586" s="68" t="str">
        <f t="shared" si="223"/>
        <v>DUAL</v>
      </c>
      <c r="H1586" s="197">
        <f t="shared" si="233"/>
        <v>43</v>
      </c>
      <c r="I1586" s="197">
        <v>10</v>
      </c>
      <c r="J1586" s="197">
        <v>22</v>
      </c>
      <c r="K1586" s="186">
        <f t="shared" si="234"/>
        <v>45952</v>
      </c>
      <c r="L1586" s="3" t="s">
        <v>2391</v>
      </c>
      <c r="M1586" s="3" t="s">
        <v>1468</v>
      </c>
      <c r="N1586" s="3" t="str">
        <f t="shared" si="224"/>
        <v/>
      </c>
    </row>
    <row r="1587" spans="1:19">
      <c r="A1587" s="3">
        <v>6084</v>
      </c>
      <c r="B1587" s="83">
        <f t="array" ref="B1587">SUM(--(FREQUENCY(IF(C$2:C$3074=C1587, MATCH(D$2:D$3074, D$2:D$3074, 0)), ROW(D$2:D$3074)-ROW(D$2)+1) &gt; 0))</f>
        <v>3</v>
      </c>
      <c r="C1587" s="3">
        <v>41000516</v>
      </c>
      <c r="D1587" s="6" t="s">
        <v>3126</v>
      </c>
      <c r="E1587" s="3" t="s">
        <v>1405</v>
      </c>
      <c r="F1587" s="3" t="s">
        <v>1476</v>
      </c>
      <c r="G1587" s="68" t="str">
        <f t="shared" si="223"/>
        <v>DUAL</v>
      </c>
      <c r="H1587" s="197">
        <f t="shared" si="233"/>
        <v>43</v>
      </c>
      <c r="I1587" s="197">
        <v>10</v>
      </c>
      <c r="J1587" s="197">
        <v>22</v>
      </c>
      <c r="K1587" s="186">
        <f t="shared" si="234"/>
        <v>45952</v>
      </c>
      <c r="L1587" s="3" t="s">
        <v>2395</v>
      </c>
      <c r="M1587" s="3" t="s">
        <v>1469</v>
      </c>
      <c r="N1587" s="3" t="str">
        <f t="shared" si="224"/>
        <v>NG</v>
      </c>
      <c r="O1587" s="3" t="s">
        <v>2368</v>
      </c>
      <c r="P1587" s="3" t="s">
        <v>2482</v>
      </c>
      <c r="Q1587" s="3">
        <v>11002283</v>
      </c>
      <c r="R1587" s="3" t="s">
        <v>932</v>
      </c>
      <c r="S1587" s="3" t="s">
        <v>5326</v>
      </c>
    </row>
    <row r="1588" spans="1:19">
      <c r="A1588" s="3">
        <v>6084</v>
      </c>
      <c r="B1588" s="83">
        <f t="array" ref="B1588">SUM(--(FREQUENCY(IF(C$2:C$3074=C1588, MATCH(D$2:D$3074, D$2:D$3074, 0)), ROW(D$2:D$3074)-ROW(D$2)+1) &gt; 0))</f>
        <v>3</v>
      </c>
      <c r="C1588" s="3">
        <v>41000516</v>
      </c>
      <c r="D1588" s="6" t="s">
        <v>3127</v>
      </c>
      <c r="E1588" s="3" t="s">
        <v>1405</v>
      </c>
      <c r="F1588" s="3" t="s">
        <v>1476</v>
      </c>
      <c r="G1588" s="68" t="str">
        <f t="shared" si="223"/>
        <v>DUAL</v>
      </c>
      <c r="H1588" s="197">
        <f t="shared" si="233"/>
        <v>43</v>
      </c>
      <c r="I1588" s="197">
        <v>10</v>
      </c>
      <c r="J1588" s="197">
        <v>22</v>
      </c>
      <c r="K1588" s="186">
        <f t="shared" si="234"/>
        <v>45952</v>
      </c>
      <c r="L1588" s="3" t="s">
        <v>2395</v>
      </c>
      <c r="M1588" s="3" t="s">
        <v>1469</v>
      </c>
      <c r="N1588" s="3" t="str">
        <f t="shared" si="224"/>
        <v/>
      </c>
    </row>
    <row r="1589" spans="1:19">
      <c r="A1589" s="3">
        <v>6091</v>
      </c>
      <c r="B1589" s="83">
        <f t="array" ref="B1589">SUM(--(FREQUENCY(IF(C$2:C$3074=C1589, MATCH(D$2:D$3074, D$2:D$3074, 0)), ROW(D$2:D$3074)-ROW(D$2)+1) &gt; 0))</f>
        <v>32</v>
      </c>
      <c r="C1589" s="3">
        <v>41200127</v>
      </c>
      <c r="D1589" s="6" t="s">
        <v>3140</v>
      </c>
      <c r="E1589" s="3" t="s">
        <v>1431</v>
      </c>
      <c r="F1589" s="3" t="s">
        <v>1591</v>
      </c>
      <c r="G1589" s="68" t="str">
        <f t="shared" si="223"/>
        <v>SINGLE</v>
      </c>
      <c r="H1589" s="197">
        <f t="shared" si="233"/>
        <v>43</v>
      </c>
      <c r="I1589" s="197">
        <v>10</v>
      </c>
      <c r="J1589" s="197">
        <v>22</v>
      </c>
      <c r="K1589" s="186">
        <f t="shared" si="234"/>
        <v>45952</v>
      </c>
      <c r="L1589" s="3" t="s">
        <v>2391</v>
      </c>
      <c r="M1589" s="3" t="s">
        <v>1468</v>
      </c>
      <c r="N1589" s="3" t="str">
        <f t="shared" si="224"/>
        <v/>
      </c>
    </row>
    <row r="1590" spans="1:19">
      <c r="A1590" s="3">
        <v>5981</v>
      </c>
      <c r="B1590" s="83">
        <f t="array" ref="B1590">SUM(--(FREQUENCY(IF(C$2:C$3074=C1590, MATCH(D$2:D$3074, D$2:D$3074, 0)), ROW(D$2:D$3074)-ROW(D$2)+1) &gt; 0))</f>
        <v>144</v>
      </c>
      <c r="C1590" s="3">
        <v>41200007</v>
      </c>
      <c r="D1590" s="6" t="s">
        <v>3134</v>
      </c>
      <c r="E1590" s="3" t="s">
        <v>1405</v>
      </c>
      <c r="F1590" s="3" t="s">
        <v>1591</v>
      </c>
      <c r="G1590" s="68" t="str">
        <f t="shared" si="223"/>
        <v>SINGLE</v>
      </c>
      <c r="H1590" s="197">
        <f t="shared" si="233"/>
        <v>43</v>
      </c>
      <c r="I1590" s="197">
        <v>10</v>
      </c>
      <c r="J1590" s="197">
        <v>22</v>
      </c>
      <c r="K1590" s="186">
        <f t="shared" si="234"/>
        <v>45952</v>
      </c>
      <c r="L1590" s="3" t="s">
        <v>2395</v>
      </c>
      <c r="M1590" s="3" t="s">
        <v>1469</v>
      </c>
      <c r="N1590" s="3" t="str">
        <f t="shared" si="224"/>
        <v/>
      </c>
    </row>
    <row r="1591" spans="1:19">
      <c r="A1591" s="3">
        <v>6141</v>
      </c>
      <c r="B1591" s="83">
        <f t="array" ref="B1591">SUM(--(FREQUENCY(IF(C$2:C$3074=C1591, MATCH(D$2:D$3074, D$2:D$3074, 0)), ROW(D$2:D$3074)-ROW(D$2)+1) &gt; 0))</f>
        <v>30</v>
      </c>
      <c r="C1591" s="3">
        <v>41200109</v>
      </c>
      <c r="D1591" s="6" t="s">
        <v>3135</v>
      </c>
      <c r="E1591" s="3" t="s">
        <v>1585</v>
      </c>
      <c r="F1591" s="3" t="s">
        <v>1591</v>
      </c>
      <c r="G1591" s="68" t="str">
        <f t="shared" si="223"/>
        <v>SINGLE</v>
      </c>
      <c r="H1591" s="197">
        <f t="shared" si="233"/>
        <v>43</v>
      </c>
      <c r="I1591" s="197">
        <v>10</v>
      </c>
      <c r="J1591" s="197">
        <v>22</v>
      </c>
      <c r="K1591" s="186">
        <f t="shared" si="234"/>
        <v>45952</v>
      </c>
      <c r="L1591" s="3" t="s">
        <v>2395</v>
      </c>
      <c r="M1591" s="3" t="s">
        <v>1468</v>
      </c>
      <c r="N1591" s="3" t="str">
        <f t="shared" si="224"/>
        <v/>
      </c>
    </row>
    <row r="1592" spans="1:19">
      <c r="A1592" s="3">
        <v>6141</v>
      </c>
      <c r="B1592" s="83">
        <f t="array" ref="B1592">SUM(--(FREQUENCY(IF(C$2:C$3074=C1592, MATCH(D$2:D$3074, D$2:D$3074, 0)), ROW(D$2:D$3074)-ROW(D$2)+1) &gt; 0))</f>
        <v>30</v>
      </c>
      <c r="C1592" s="3">
        <v>41200109</v>
      </c>
      <c r="D1592" s="6" t="s">
        <v>3136</v>
      </c>
      <c r="E1592" s="3" t="s">
        <v>1585</v>
      </c>
      <c r="F1592" s="3" t="s">
        <v>1591</v>
      </c>
      <c r="G1592" s="68" t="str">
        <f t="shared" si="223"/>
        <v>SINGLE</v>
      </c>
      <c r="H1592" s="197">
        <f t="shared" si="233"/>
        <v>43</v>
      </c>
      <c r="I1592" s="197">
        <v>10</v>
      </c>
      <c r="J1592" s="197">
        <v>22</v>
      </c>
      <c r="K1592" s="186">
        <f t="shared" si="234"/>
        <v>45952</v>
      </c>
      <c r="L1592" s="3" t="s">
        <v>2395</v>
      </c>
      <c r="M1592" s="3" t="s">
        <v>1468</v>
      </c>
      <c r="N1592" s="3" t="str">
        <f t="shared" si="224"/>
        <v/>
      </c>
    </row>
    <row r="1593" spans="1:19">
      <c r="A1593" s="3">
        <v>6127</v>
      </c>
      <c r="B1593" s="83">
        <f t="array" ref="B1593">SUM(--(FREQUENCY(IF(C$2:C$3074=C1593, MATCH(D$2:D$3074, D$2:D$3074, 0)), ROW(D$2:D$3074)-ROW(D$2)+1) &gt; 0))</f>
        <v>2</v>
      </c>
      <c r="C1593" s="3">
        <v>41200177</v>
      </c>
      <c r="D1593" s="6" t="s">
        <v>3138</v>
      </c>
      <c r="E1593" s="3" t="s">
        <v>1426</v>
      </c>
      <c r="F1593" s="3" t="s">
        <v>1476</v>
      </c>
      <c r="G1593" s="68" t="str">
        <f t="shared" si="223"/>
        <v>DUAL</v>
      </c>
      <c r="H1593" s="197">
        <f t="shared" si="233"/>
        <v>43</v>
      </c>
      <c r="I1593" s="197">
        <v>10</v>
      </c>
      <c r="J1593" s="197">
        <v>22</v>
      </c>
      <c r="K1593" s="186">
        <f t="shared" si="234"/>
        <v>45952</v>
      </c>
      <c r="L1593" s="3" t="s">
        <v>2395</v>
      </c>
      <c r="M1593" s="3" t="s">
        <v>1469</v>
      </c>
      <c r="N1593" s="3" t="str">
        <f t="shared" si="224"/>
        <v/>
      </c>
    </row>
    <row r="1594" spans="1:19">
      <c r="A1594" s="3">
        <v>6032</v>
      </c>
      <c r="B1594" s="83">
        <f t="array" ref="B1594">SUM(--(FREQUENCY(IF(C$2:C$3074=C1594, MATCH(D$2:D$3074, D$2:D$3074, 0)), ROW(D$2:D$3074)-ROW(D$2)+1) &gt; 0))</f>
        <v>3</v>
      </c>
      <c r="C1594" s="3">
        <v>41200004</v>
      </c>
      <c r="D1594" s="6" t="s">
        <v>3141</v>
      </c>
      <c r="E1594" s="3" t="s">
        <v>1424</v>
      </c>
      <c r="F1594" s="3" t="s">
        <v>1476</v>
      </c>
      <c r="G1594" s="68" t="str">
        <f t="shared" si="223"/>
        <v>DUAL</v>
      </c>
      <c r="H1594" s="197">
        <f t="shared" si="233"/>
        <v>43</v>
      </c>
      <c r="I1594" s="197">
        <v>10</v>
      </c>
      <c r="J1594" s="197">
        <v>23</v>
      </c>
      <c r="K1594" s="186">
        <f t="shared" si="234"/>
        <v>45953</v>
      </c>
      <c r="L1594" s="3" t="s">
        <v>2391</v>
      </c>
      <c r="M1594" s="3" t="s">
        <v>1468</v>
      </c>
      <c r="N1594" s="3" t="str">
        <f t="shared" si="224"/>
        <v/>
      </c>
    </row>
    <row r="1595" spans="1:19">
      <c r="A1595" s="3">
        <v>6132</v>
      </c>
      <c r="B1595" s="83">
        <f t="array" ref="B1595">SUM(--(FREQUENCY(IF(C$2:C$3074=C1595, MATCH(D$2:D$3074, D$2:D$3074, 0)), ROW(D$2:D$3074)-ROW(D$2)+1) &gt; 0))</f>
        <v>77</v>
      </c>
      <c r="C1595" s="3">
        <v>41200076</v>
      </c>
      <c r="D1595" s="6" t="s">
        <v>3137</v>
      </c>
      <c r="E1595" s="3" t="s">
        <v>1585</v>
      </c>
      <c r="F1595" s="3" t="s">
        <v>1476</v>
      </c>
      <c r="G1595" s="68" t="str">
        <f t="shared" si="223"/>
        <v>DUAL</v>
      </c>
      <c r="H1595" s="197">
        <f t="shared" ref="H1595:H1611" si="235">WEEKNUM(K1595)</f>
        <v>43</v>
      </c>
      <c r="I1595" s="197">
        <v>10</v>
      </c>
      <c r="J1595" s="197">
        <v>23</v>
      </c>
      <c r="K1595" s="186">
        <f t="shared" si="234"/>
        <v>45953</v>
      </c>
      <c r="L1595" s="3" t="s">
        <v>2395</v>
      </c>
      <c r="M1595" s="3" t="s">
        <v>1468</v>
      </c>
      <c r="N1595" s="3" t="str">
        <f t="shared" si="224"/>
        <v>NG</v>
      </c>
      <c r="O1595" s="3" t="s">
        <v>2368</v>
      </c>
      <c r="P1595" s="3" t="s">
        <v>2482</v>
      </c>
      <c r="Q1595" s="3">
        <v>11002283</v>
      </c>
      <c r="R1595" s="3" t="s">
        <v>932</v>
      </c>
      <c r="S1595" s="3" t="s">
        <v>5327</v>
      </c>
    </row>
    <row r="1596" spans="1:19">
      <c r="A1596" s="3">
        <v>6127</v>
      </c>
      <c r="B1596" s="83">
        <f t="array" ref="B1596">SUM(--(FREQUENCY(IF(C$2:C$3074=C1596, MATCH(D$2:D$3074, D$2:D$3074, 0)), ROW(D$2:D$3074)-ROW(D$2)+1) &gt; 0))</f>
        <v>2</v>
      </c>
      <c r="C1596" s="3">
        <v>41200177</v>
      </c>
      <c r="D1596" s="6" t="s">
        <v>3139</v>
      </c>
      <c r="E1596" s="3" t="s">
        <v>1426</v>
      </c>
      <c r="F1596" s="3" t="s">
        <v>1476</v>
      </c>
      <c r="G1596" s="68" t="str">
        <f t="shared" si="223"/>
        <v>DUAL</v>
      </c>
      <c r="H1596" s="197">
        <f t="shared" si="235"/>
        <v>43</v>
      </c>
      <c r="I1596" s="197">
        <v>10</v>
      </c>
      <c r="J1596" s="197">
        <v>23</v>
      </c>
      <c r="K1596" s="186">
        <f t="shared" si="234"/>
        <v>45953</v>
      </c>
      <c r="L1596" s="3" t="s">
        <v>2395</v>
      </c>
      <c r="M1596" s="3" t="s">
        <v>1469</v>
      </c>
      <c r="N1596" s="3" t="str">
        <f t="shared" si="224"/>
        <v/>
      </c>
    </row>
    <row r="1597" spans="1:19">
      <c r="A1597" s="3">
        <v>6179</v>
      </c>
      <c r="B1597" s="83">
        <f t="array" ref="B1597">SUM(--(FREQUENCY(IF(C$2:C$3074=C1597, MATCH(D$2:D$3074, D$2:D$3074, 0)), ROW(D$2:D$3074)-ROW(D$2)+1) &gt; 0))</f>
        <v>1</v>
      </c>
      <c r="C1597" s="3">
        <v>41200179</v>
      </c>
      <c r="D1597" s="6" t="s">
        <v>5328</v>
      </c>
      <c r="E1597" s="3" t="s">
        <v>1426</v>
      </c>
      <c r="F1597" s="3" t="s">
        <v>1478</v>
      </c>
      <c r="G1597" s="68" t="str">
        <f t="shared" si="223"/>
        <v>DUAL</v>
      </c>
      <c r="H1597" s="197">
        <f t="shared" si="235"/>
        <v>43</v>
      </c>
      <c r="I1597" s="197">
        <v>10</v>
      </c>
      <c r="J1597" s="197">
        <v>23</v>
      </c>
      <c r="K1597" s="186">
        <f t="shared" si="234"/>
        <v>45953</v>
      </c>
      <c r="L1597" s="3" t="s">
        <v>2395</v>
      </c>
      <c r="M1597" s="3" t="s">
        <v>2392</v>
      </c>
      <c r="N1597" s="3" t="str">
        <f t="shared" si="224"/>
        <v>NG</v>
      </c>
      <c r="O1597" s="3" t="s">
        <v>2368</v>
      </c>
      <c r="P1597" s="3" t="s">
        <v>2496</v>
      </c>
      <c r="Q1597" s="3">
        <v>11102260</v>
      </c>
      <c r="R1597" s="3" t="s">
        <v>386</v>
      </c>
      <c r="S1597" s="3" t="s">
        <v>5329</v>
      </c>
    </row>
    <row r="1598" spans="1:19">
      <c r="A1598" s="3">
        <v>6088</v>
      </c>
      <c r="B1598" s="83">
        <f t="array" ref="B1598">SUM(--(FREQUENCY(IF(C$2:C$3074=C1598, MATCH(D$2:D$3074, D$2:D$3074, 0)), ROW(D$2:D$3074)-ROW(D$2)+1) &gt; 0))</f>
        <v>33</v>
      </c>
      <c r="C1598" s="3">
        <v>41100435</v>
      </c>
      <c r="D1598" s="6" t="s">
        <v>3142</v>
      </c>
      <c r="E1598" s="3" t="s">
        <v>1585</v>
      </c>
      <c r="F1598" s="3" t="s">
        <v>1482</v>
      </c>
      <c r="G1598" s="68" t="str">
        <f t="shared" si="223"/>
        <v>SINGLE</v>
      </c>
      <c r="H1598" s="197">
        <f t="shared" si="235"/>
        <v>43</v>
      </c>
      <c r="I1598" s="197">
        <v>10</v>
      </c>
      <c r="J1598" s="197">
        <v>23</v>
      </c>
      <c r="K1598" s="186">
        <f t="shared" si="234"/>
        <v>45953</v>
      </c>
      <c r="L1598" s="3" t="s">
        <v>2391</v>
      </c>
      <c r="M1598" s="3" t="s">
        <v>1468</v>
      </c>
      <c r="N1598" s="3" t="str">
        <f t="shared" si="224"/>
        <v/>
      </c>
    </row>
    <row r="1599" spans="1:19">
      <c r="A1599" s="3">
        <v>6122</v>
      </c>
      <c r="B1599" s="83">
        <f t="array" ref="B1599">SUM(--(FREQUENCY(IF(C$2:C$3074=C1599, MATCH(D$2:D$3074, D$2:D$3074, 0)), ROW(D$2:D$3074)-ROW(D$2)+1) &gt; 0))</f>
        <v>1</v>
      </c>
      <c r="C1599" s="3">
        <v>41100558</v>
      </c>
      <c r="D1599" s="6" t="s">
        <v>5330</v>
      </c>
      <c r="E1599" s="3" t="s">
        <v>1405</v>
      </c>
      <c r="F1599" s="3" t="s">
        <v>1401</v>
      </c>
      <c r="G1599" s="68" t="str">
        <f t="shared" si="223"/>
        <v>SINGLE</v>
      </c>
      <c r="H1599" s="197">
        <f t="shared" si="235"/>
        <v>43</v>
      </c>
      <c r="I1599" s="197">
        <v>10</v>
      </c>
      <c r="J1599" s="197">
        <v>23</v>
      </c>
      <c r="K1599" s="186">
        <f t="shared" si="234"/>
        <v>45953</v>
      </c>
      <c r="L1599" s="3" t="s">
        <v>5127</v>
      </c>
      <c r="M1599" s="3" t="s">
        <v>1469</v>
      </c>
      <c r="N1599" s="3" t="str">
        <f t="shared" si="224"/>
        <v/>
      </c>
    </row>
    <row r="1600" spans="1:19">
      <c r="A1600" s="3">
        <v>6097</v>
      </c>
      <c r="B1600" s="83">
        <f t="array" ref="B1600">SUM(--(FREQUENCY(IF(C$2:C$3074=C1600, MATCH(D$2:D$3074, D$2:D$3074, 0)), ROW(D$2:D$3074)-ROW(D$2)+1) &gt; 0))</f>
        <v>6</v>
      </c>
      <c r="C1600" s="3">
        <v>41000556</v>
      </c>
      <c r="D1600" s="6" t="s">
        <v>3144</v>
      </c>
      <c r="E1600" s="3" t="s">
        <v>1585</v>
      </c>
      <c r="F1600" s="3" t="s">
        <v>1476</v>
      </c>
      <c r="G1600" s="41" t="str">
        <f t="shared" si="223"/>
        <v>DUAL</v>
      </c>
      <c r="H1600" s="197">
        <f t="shared" si="235"/>
        <v>43</v>
      </c>
      <c r="I1600" s="197">
        <v>10</v>
      </c>
      <c r="J1600" s="197">
        <v>23</v>
      </c>
      <c r="K1600" s="186">
        <f t="shared" si="234"/>
        <v>45953</v>
      </c>
      <c r="L1600" s="3" t="s">
        <v>2395</v>
      </c>
      <c r="M1600" s="3" t="s">
        <v>1469</v>
      </c>
      <c r="N1600" s="3" t="str">
        <f t="shared" si="224"/>
        <v>NG</v>
      </c>
      <c r="O1600" s="3" t="s">
        <v>2368</v>
      </c>
      <c r="P1600" s="3" t="s">
        <v>1385</v>
      </c>
      <c r="Q1600" s="3">
        <v>11002542</v>
      </c>
      <c r="R1600" s="3" t="s">
        <v>1117</v>
      </c>
      <c r="S1600" s="3" t="s">
        <v>5313</v>
      </c>
    </row>
    <row r="1601" spans="1:19">
      <c r="A1601" s="3">
        <v>6097</v>
      </c>
      <c r="B1601" s="83">
        <f t="array" ref="B1601">SUM(--(FREQUENCY(IF(C$2:C$3074=C1601, MATCH(D$2:D$3074, D$2:D$3074, 0)), ROW(D$2:D$3074)-ROW(D$2)+1) &gt; 0))</f>
        <v>6</v>
      </c>
      <c r="C1601" s="3">
        <v>41000556</v>
      </c>
      <c r="D1601" s="6" t="s">
        <v>3144</v>
      </c>
      <c r="E1601" s="3" t="s">
        <v>1585</v>
      </c>
      <c r="F1601" s="3" t="s">
        <v>1476</v>
      </c>
      <c r="G1601" s="41" t="str">
        <f t="shared" si="223"/>
        <v>DUAL</v>
      </c>
      <c r="H1601" s="197">
        <f t="shared" ref="H1601" si="236">WEEKNUM(K1601)</f>
        <v>43</v>
      </c>
      <c r="I1601" s="197">
        <v>10</v>
      </c>
      <c r="J1601" s="197">
        <v>23</v>
      </c>
      <c r="K1601" s="186">
        <f t="shared" si="234"/>
        <v>45953</v>
      </c>
      <c r="L1601" s="3" t="s">
        <v>2395</v>
      </c>
      <c r="M1601" s="3" t="s">
        <v>1469</v>
      </c>
      <c r="N1601" s="3" t="str">
        <f t="shared" si="224"/>
        <v>NG</v>
      </c>
      <c r="O1601" s="3" t="s">
        <v>2368</v>
      </c>
      <c r="P1601" s="3" t="s">
        <v>1385</v>
      </c>
      <c r="Q1601" s="3">
        <v>11000136</v>
      </c>
      <c r="R1601" s="3" t="s">
        <v>1049</v>
      </c>
      <c r="S1601" s="3" t="s">
        <v>5331</v>
      </c>
    </row>
    <row r="1602" spans="1:19">
      <c r="A1602" s="3">
        <v>5981</v>
      </c>
      <c r="B1602" s="83">
        <f t="array" ref="B1602">SUM(--(FREQUENCY(IF(C$2:C$3074=C1602, MATCH(D$2:D$3074, D$2:D$3074, 0)), ROW(D$2:D$3074)-ROW(D$2)+1) &gt; 0))</f>
        <v>144</v>
      </c>
      <c r="C1602" s="3">
        <v>41200007</v>
      </c>
      <c r="D1602" s="6" t="s">
        <v>3145</v>
      </c>
      <c r="E1602" s="3" t="s">
        <v>1405</v>
      </c>
      <c r="F1602" s="3" t="s">
        <v>1591</v>
      </c>
      <c r="G1602" s="68" t="str">
        <f t="shared" si="223"/>
        <v>SINGLE</v>
      </c>
      <c r="H1602" s="197">
        <f t="shared" si="235"/>
        <v>43</v>
      </c>
      <c r="I1602" s="197">
        <v>10</v>
      </c>
      <c r="J1602" s="197">
        <v>23</v>
      </c>
      <c r="K1602" s="186">
        <f t="shared" si="234"/>
        <v>45953</v>
      </c>
      <c r="L1602" s="3" t="s">
        <v>2395</v>
      </c>
      <c r="M1602" s="3" t="s">
        <v>1469</v>
      </c>
      <c r="N1602" s="3" t="str">
        <f t="shared" si="224"/>
        <v/>
      </c>
    </row>
    <row r="1603" spans="1:19">
      <c r="A1603" s="3">
        <v>6053</v>
      </c>
      <c r="B1603" s="83">
        <f t="array" ref="B1603">SUM(--(FREQUENCY(IF(C$2:C$3074=C1603, MATCH(D$2:D$3074, D$2:D$3074, 0)), ROW(D$2:D$3074)-ROW(D$2)+1) &gt; 0))</f>
        <v>11</v>
      </c>
      <c r="C1603" s="3">
        <v>41200119</v>
      </c>
      <c r="D1603" s="6" t="s">
        <v>3146</v>
      </c>
      <c r="E1603" s="3" t="s">
        <v>1422</v>
      </c>
      <c r="F1603" s="3" t="s">
        <v>1476</v>
      </c>
      <c r="G1603" s="68" t="str">
        <f t="shared" si="223"/>
        <v>DUAL</v>
      </c>
      <c r="H1603" s="197">
        <f t="shared" si="235"/>
        <v>43</v>
      </c>
      <c r="I1603" s="197">
        <v>10</v>
      </c>
      <c r="J1603" s="197">
        <v>24</v>
      </c>
      <c r="K1603" s="186">
        <f t="shared" si="234"/>
        <v>45954</v>
      </c>
      <c r="L1603" s="3" t="s">
        <v>2395</v>
      </c>
      <c r="M1603" s="3" t="s">
        <v>1469</v>
      </c>
      <c r="N1603" s="3" t="str">
        <f t="shared" si="224"/>
        <v/>
      </c>
    </row>
    <row r="1604" spans="1:19">
      <c r="A1604" s="3">
        <v>6053</v>
      </c>
      <c r="B1604" s="83">
        <f t="array" ref="B1604">SUM(--(FREQUENCY(IF(C$2:C$3074=C1604, MATCH(D$2:D$3074, D$2:D$3074, 0)), ROW(D$2:D$3074)-ROW(D$2)+1) &gt; 0))</f>
        <v>11</v>
      </c>
      <c r="C1604" s="3">
        <v>41200119</v>
      </c>
      <c r="D1604" s="6" t="s">
        <v>3147</v>
      </c>
      <c r="E1604" s="3" t="s">
        <v>1422</v>
      </c>
      <c r="F1604" s="3" t="s">
        <v>1476</v>
      </c>
      <c r="G1604" s="68" t="str">
        <f t="shared" si="223"/>
        <v>DUAL</v>
      </c>
      <c r="H1604" s="197">
        <f t="shared" si="235"/>
        <v>43</v>
      </c>
      <c r="I1604" s="197">
        <v>10</v>
      </c>
      <c r="J1604" s="197">
        <v>24</v>
      </c>
      <c r="K1604" s="186">
        <f t="shared" si="234"/>
        <v>45954</v>
      </c>
      <c r="L1604" s="3" t="s">
        <v>2395</v>
      </c>
      <c r="M1604" s="3" t="s">
        <v>1469</v>
      </c>
      <c r="N1604" s="3" t="str">
        <f t="shared" si="224"/>
        <v/>
      </c>
    </row>
    <row r="1605" spans="1:19">
      <c r="A1605" s="3">
        <v>6141</v>
      </c>
      <c r="B1605" s="83">
        <f t="array" ref="B1605">SUM(--(FREQUENCY(IF(C$2:C$3074=C1605, MATCH(D$2:D$3074, D$2:D$3074, 0)), ROW(D$2:D$3074)-ROW(D$2)+1) &gt; 0))</f>
        <v>30</v>
      </c>
      <c r="C1605" s="3">
        <v>41200109</v>
      </c>
      <c r="D1605" s="6" t="s">
        <v>3148</v>
      </c>
      <c r="E1605" s="3" t="s">
        <v>1585</v>
      </c>
      <c r="F1605" s="3" t="s">
        <v>1591</v>
      </c>
      <c r="G1605" s="68" t="str">
        <f t="shared" si="223"/>
        <v>SINGLE</v>
      </c>
      <c r="H1605" s="197">
        <f t="shared" si="235"/>
        <v>43</v>
      </c>
      <c r="I1605" s="197">
        <v>10</v>
      </c>
      <c r="J1605" s="197">
        <v>24</v>
      </c>
      <c r="K1605" s="186">
        <f t="shared" si="234"/>
        <v>45954</v>
      </c>
      <c r="L1605" s="3" t="s">
        <v>2391</v>
      </c>
      <c r="M1605" s="3" t="s">
        <v>2392</v>
      </c>
      <c r="N1605" s="3" t="str">
        <f t="shared" si="224"/>
        <v/>
      </c>
    </row>
    <row r="1606" spans="1:19">
      <c r="A1606" s="3">
        <v>6141</v>
      </c>
      <c r="B1606" s="83">
        <f t="array" ref="B1606">SUM(--(FREQUENCY(IF(C$2:C$3074=C1606, MATCH(D$2:D$3074, D$2:D$3074, 0)), ROW(D$2:D$3074)-ROW(D$2)+1) &gt; 0))</f>
        <v>30</v>
      </c>
      <c r="C1606" s="3">
        <v>41200109</v>
      </c>
      <c r="D1606" s="6" t="s">
        <v>3149</v>
      </c>
      <c r="E1606" s="3" t="s">
        <v>1585</v>
      </c>
      <c r="F1606" s="3" t="s">
        <v>1591</v>
      </c>
      <c r="G1606" s="68" t="str">
        <f t="shared" si="223"/>
        <v>SINGLE</v>
      </c>
      <c r="H1606" s="197">
        <f t="shared" si="235"/>
        <v>43</v>
      </c>
      <c r="I1606" s="197">
        <v>10</v>
      </c>
      <c r="J1606" s="197">
        <v>24</v>
      </c>
      <c r="K1606" s="186">
        <f t="shared" si="234"/>
        <v>45954</v>
      </c>
      <c r="L1606" s="3" t="s">
        <v>2391</v>
      </c>
      <c r="M1606" s="3" t="s">
        <v>2392</v>
      </c>
      <c r="N1606" s="3" t="str">
        <f t="shared" ref="N1606:N1637" si="237">IF(O1606&lt;&gt;"", "NG", "")</f>
        <v/>
      </c>
    </row>
    <row r="1607" spans="1:19">
      <c r="A1607" s="3">
        <v>6083</v>
      </c>
      <c r="B1607" s="83">
        <f t="array" ref="B1607">SUM(--(FREQUENCY(IF(C$2:C$3074=C1607, MATCH(D$2:D$3074, D$2:D$3074, 0)), ROW(D$2:D$3074)-ROW(D$2)+1) &gt; 0))</f>
        <v>49</v>
      </c>
      <c r="C1607" s="3">
        <v>41200005</v>
      </c>
      <c r="D1607" s="6" t="s">
        <v>3150</v>
      </c>
      <c r="E1607" s="3" t="s">
        <v>1405</v>
      </c>
      <c r="F1607" s="3" t="s">
        <v>1591</v>
      </c>
      <c r="G1607" s="68" t="str">
        <f t="shared" si="223"/>
        <v>SINGLE</v>
      </c>
      <c r="H1607" s="197">
        <f t="shared" si="235"/>
        <v>43</v>
      </c>
      <c r="I1607" s="197">
        <v>10</v>
      </c>
      <c r="J1607" s="197">
        <v>24</v>
      </c>
      <c r="K1607" s="186">
        <f t="shared" si="234"/>
        <v>45954</v>
      </c>
      <c r="L1607" s="3" t="s">
        <v>2395</v>
      </c>
      <c r="M1607" s="3" t="s">
        <v>1469</v>
      </c>
      <c r="N1607" s="3" t="str">
        <f t="shared" si="237"/>
        <v/>
      </c>
    </row>
    <row r="1608" spans="1:19">
      <c r="A1608" s="3">
        <v>6083</v>
      </c>
      <c r="B1608" s="83">
        <f t="array" ref="B1608">SUM(--(FREQUENCY(IF(C$2:C$3074=C1608, MATCH(D$2:D$3074, D$2:D$3074, 0)), ROW(D$2:D$3074)-ROW(D$2)+1) &gt; 0))</f>
        <v>49</v>
      </c>
      <c r="C1608" s="3">
        <v>41200005</v>
      </c>
      <c r="D1608" s="6" t="s">
        <v>3151</v>
      </c>
      <c r="E1608" s="3" t="s">
        <v>1405</v>
      </c>
      <c r="F1608" s="3" t="s">
        <v>1591</v>
      </c>
      <c r="G1608" s="68" t="str">
        <f t="shared" si="223"/>
        <v>SINGLE</v>
      </c>
      <c r="H1608" s="197">
        <f t="shared" si="235"/>
        <v>43</v>
      </c>
      <c r="I1608" s="197">
        <v>10</v>
      </c>
      <c r="J1608" s="197">
        <v>24</v>
      </c>
      <c r="K1608" s="186">
        <f t="shared" si="234"/>
        <v>45954</v>
      </c>
      <c r="L1608" s="3" t="s">
        <v>2395</v>
      </c>
      <c r="M1608" s="3" t="s">
        <v>1469</v>
      </c>
      <c r="N1608" s="3" t="str">
        <f t="shared" si="237"/>
        <v/>
      </c>
    </row>
    <row r="1609" spans="1:19">
      <c r="A1609" s="3">
        <v>6083</v>
      </c>
      <c r="B1609" s="83">
        <f t="array" ref="B1609">SUM(--(FREQUENCY(IF(C$2:C$3074=C1609, MATCH(D$2:D$3074, D$2:D$3074, 0)), ROW(D$2:D$3074)-ROW(D$2)+1) &gt; 0))</f>
        <v>49</v>
      </c>
      <c r="C1609" s="3">
        <v>41200005</v>
      </c>
      <c r="D1609" s="6" t="s">
        <v>3152</v>
      </c>
      <c r="E1609" s="3" t="s">
        <v>1405</v>
      </c>
      <c r="F1609" s="3" t="s">
        <v>1591</v>
      </c>
      <c r="G1609" s="68" t="str">
        <f t="shared" si="223"/>
        <v>SINGLE</v>
      </c>
      <c r="H1609" s="197">
        <f t="shared" si="235"/>
        <v>43</v>
      </c>
      <c r="I1609" s="197">
        <v>10</v>
      </c>
      <c r="J1609" s="197">
        <v>24</v>
      </c>
      <c r="K1609" s="186">
        <f t="shared" si="234"/>
        <v>45954</v>
      </c>
      <c r="L1609" s="3" t="s">
        <v>2395</v>
      </c>
      <c r="M1609" s="3" t="s">
        <v>1469</v>
      </c>
      <c r="N1609" s="3" t="str">
        <f t="shared" si="237"/>
        <v/>
      </c>
    </row>
    <row r="1610" spans="1:19">
      <c r="A1610" s="3">
        <v>6083</v>
      </c>
      <c r="B1610" s="83">
        <f t="array" ref="B1610">SUM(--(FREQUENCY(IF(C$2:C$3074=C1610, MATCH(D$2:D$3074, D$2:D$3074, 0)), ROW(D$2:D$3074)-ROW(D$2)+1) &gt; 0))</f>
        <v>49</v>
      </c>
      <c r="C1610" s="3">
        <v>41200005</v>
      </c>
      <c r="D1610" s="6" t="s">
        <v>3153</v>
      </c>
      <c r="E1610" s="3" t="s">
        <v>1405</v>
      </c>
      <c r="F1610" s="3" t="s">
        <v>1591</v>
      </c>
      <c r="G1610" s="68" t="str">
        <f t="shared" si="223"/>
        <v>SINGLE</v>
      </c>
      <c r="H1610" s="197">
        <f t="shared" si="235"/>
        <v>43</v>
      </c>
      <c r="I1610" s="197">
        <v>10</v>
      </c>
      <c r="J1610" s="197">
        <v>24</v>
      </c>
      <c r="K1610" s="186">
        <f t="shared" si="234"/>
        <v>45954</v>
      </c>
      <c r="L1610" s="3" t="s">
        <v>2395</v>
      </c>
      <c r="M1610" s="3" t="s">
        <v>1469</v>
      </c>
      <c r="N1610" s="3" t="str">
        <f t="shared" si="237"/>
        <v/>
      </c>
    </row>
    <row r="1611" spans="1:19">
      <c r="A1611" s="3">
        <v>6137</v>
      </c>
      <c r="B1611" s="83">
        <f t="array" ref="B1611">SUM(--(FREQUENCY(IF(C$2:C$3074=C1611, MATCH(D$2:D$3074, D$2:D$3074, 0)), ROW(D$2:D$3074)-ROW(D$2)+1) &gt; 0))</f>
        <v>10</v>
      </c>
      <c r="C1611" s="3">
        <v>41100338</v>
      </c>
      <c r="D1611" s="6" t="s">
        <v>3154</v>
      </c>
      <c r="E1611" s="3" t="s">
        <v>1585</v>
      </c>
      <c r="F1611" s="3" t="s">
        <v>1591</v>
      </c>
      <c r="G1611" s="68" t="str">
        <f t="shared" si="223"/>
        <v>SINGLE</v>
      </c>
      <c r="H1611" s="197">
        <f t="shared" si="235"/>
        <v>43</v>
      </c>
      <c r="I1611" s="197">
        <v>10</v>
      </c>
      <c r="J1611" s="197">
        <v>25</v>
      </c>
      <c r="K1611" s="186">
        <f t="shared" si="234"/>
        <v>45955</v>
      </c>
      <c r="L1611" s="3" t="s">
        <v>2395</v>
      </c>
      <c r="M1611" s="3" t="s">
        <v>1469</v>
      </c>
      <c r="N1611" s="3" t="str">
        <f t="shared" si="237"/>
        <v/>
      </c>
    </row>
    <row r="1612" spans="1:19">
      <c r="A1612" s="3">
        <v>6137</v>
      </c>
      <c r="B1612" s="83">
        <f t="array" ref="B1612">SUM(--(FREQUENCY(IF(C$2:C$3074=C1612, MATCH(D$2:D$3074, D$2:D$3074, 0)), ROW(D$2:D$3074)-ROW(D$2)+1) &gt; 0))</f>
        <v>10</v>
      </c>
      <c r="C1612" s="3">
        <v>41100338</v>
      </c>
      <c r="D1612" s="6" t="s">
        <v>3155</v>
      </c>
      <c r="E1612" s="3" t="s">
        <v>1585</v>
      </c>
      <c r="F1612" s="3" t="s">
        <v>1591</v>
      </c>
      <c r="G1612" s="68" t="str">
        <f t="shared" si="223"/>
        <v>SINGLE</v>
      </c>
      <c r="H1612" s="197">
        <f t="shared" ref="H1612:H1618" si="238">WEEKNUM(K1612)</f>
        <v>43</v>
      </c>
      <c r="I1612" s="197">
        <v>10</v>
      </c>
      <c r="J1612" s="197">
        <v>25</v>
      </c>
      <c r="K1612" s="186">
        <f t="shared" ref="K1612:K1618" si="239">DATE(2025, I1612, J1612)</f>
        <v>45955</v>
      </c>
      <c r="L1612" s="3" t="s">
        <v>2395</v>
      </c>
      <c r="M1612" s="3" t="s">
        <v>1469</v>
      </c>
      <c r="N1612" s="3" t="str">
        <f t="shared" si="237"/>
        <v/>
      </c>
    </row>
    <row r="1613" spans="1:19">
      <c r="A1613" s="3">
        <v>6136</v>
      </c>
      <c r="B1613" s="83">
        <f t="array" ref="B1613">SUM(--(FREQUENCY(IF(C$2:C$3074=C1613, MATCH(D$2:D$3074, D$2:D$3074, 0)), ROW(D$2:D$3074)-ROW(D$2)+1) &gt; 0))</f>
        <v>18</v>
      </c>
      <c r="C1613" s="3">
        <v>41100264</v>
      </c>
      <c r="D1613" s="6" t="s">
        <v>3156</v>
      </c>
      <c r="E1613" s="3" t="s">
        <v>1585</v>
      </c>
      <c r="F1613" s="3" t="s">
        <v>1591</v>
      </c>
      <c r="G1613" s="68" t="str">
        <f t="shared" si="223"/>
        <v>SINGLE</v>
      </c>
      <c r="H1613" s="197">
        <f t="shared" si="238"/>
        <v>43</v>
      </c>
      <c r="I1613" s="197">
        <v>10</v>
      </c>
      <c r="J1613" s="197">
        <v>25</v>
      </c>
      <c r="K1613" s="186">
        <f t="shared" si="239"/>
        <v>45955</v>
      </c>
      <c r="L1613" s="3" t="s">
        <v>2395</v>
      </c>
      <c r="M1613" s="3" t="s">
        <v>2392</v>
      </c>
      <c r="N1613" s="3" t="str">
        <f t="shared" si="237"/>
        <v/>
      </c>
    </row>
    <row r="1614" spans="1:19">
      <c r="A1614" s="3">
        <v>6136</v>
      </c>
      <c r="B1614" s="83">
        <f t="array" ref="B1614">SUM(--(FREQUENCY(IF(C$2:C$3074=C1614, MATCH(D$2:D$3074, D$2:D$3074, 0)), ROW(D$2:D$3074)-ROW(D$2)+1) &gt; 0))</f>
        <v>18</v>
      </c>
      <c r="C1614" s="3">
        <v>41100264</v>
      </c>
      <c r="D1614" s="6" t="s">
        <v>3157</v>
      </c>
      <c r="E1614" s="3" t="s">
        <v>1585</v>
      </c>
      <c r="F1614" s="3" t="s">
        <v>1591</v>
      </c>
      <c r="G1614" s="68" t="str">
        <f t="shared" si="223"/>
        <v>SINGLE</v>
      </c>
      <c r="H1614" s="197">
        <f t="shared" si="238"/>
        <v>43</v>
      </c>
      <c r="I1614" s="197">
        <v>10</v>
      </c>
      <c r="J1614" s="197">
        <v>25</v>
      </c>
      <c r="K1614" s="186">
        <f t="shared" si="239"/>
        <v>45955</v>
      </c>
      <c r="L1614" s="3" t="s">
        <v>2395</v>
      </c>
      <c r="M1614" s="3" t="s">
        <v>2392</v>
      </c>
      <c r="N1614" s="3" t="str">
        <f t="shared" si="237"/>
        <v/>
      </c>
    </row>
    <row r="1615" spans="1:19">
      <c r="A1615" s="3">
        <v>6054</v>
      </c>
      <c r="B1615" s="83">
        <f t="array" ref="B1615">SUM(--(FREQUENCY(IF(C$2:C$3074=C1615, MATCH(D$2:D$3074, D$2:D$3074, 0)), ROW(D$2:D$3074)-ROW(D$2)+1) &gt; 0))</f>
        <v>6</v>
      </c>
      <c r="C1615" s="3">
        <v>41100584</v>
      </c>
      <c r="D1615" s="6" t="s">
        <v>3158</v>
      </c>
      <c r="E1615" s="3" t="s">
        <v>1422</v>
      </c>
      <c r="F1615" s="3" t="s">
        <v>1591</v>
      </c>
      <c r="G1615" s="68" t="str">
        <f t="shared" si="223"/>
        <v>SINGLE</v>
      </c>
      <c r="H1615" s="197">
        <f t="shared" si="238"/>
        <v>43</v>
      </c>
      <c r="I1615" s="197">
        <v>10</v>
      </c>
      <c r="J1615" s="197">
        <v>25</v>
      </c>
      <c r="K1615" s="186">
        <f t="shared" si="239"/>
        <v>45955</v>
      </c>
      <c r="L1615" s="3" t="s">
        <v>2391</v>
      </c>
      <c r="M1615" s="3" t="s">
        <v>1468</v>
      </c>
      <c r="N1615" s="3" t="str">
        <f t="shared" si="237"/>
        <v/>
      </c>
    </row>
    <row r="1616" spans="1:19">
      <c r="A1616" s="3">
        <v>6055</v>
      </c>
      <c r="B1616" s="83">
        <f t="array" ref="B1616">SUM(--(FREQUENCY(IF(C$2:C$3074=C1616, MATCH(D$2:D$3074, D$2:D$3074, 0)), ROW(D$2:D$3074)-ROW(D$2)+1) &gt; 0))</f>
        <v>8</v>
      </c>
      <c r="C1616" s="3">
        <v>41200088</v>
      </c>
      <c r="D1616" s="6" t="s">
        <v>3159</v>
      </c>
      <c r="E1616" s="3" t="s">
        <v>1422</v>
      </c>
      <c r="F1616" s="3" t="s">
        <v>1476</v>
      </c>
      <c r="G1616" s="68" t="str">
        <f t="shared" si="223"/>
        <v>DUAL</v>
      </c>
      <c r="H1616" s="197">
        <f t="shared" si="238"/>
        <v>43</v>
      </c>
      <c r="I1616" s="197">
        <v>10</v>
      </c>
      <c r="J1616" s="197">
        <v>25</v>
      </c>
      <c r="K1616" s="186">
        <f t="shared" si="239"/>
        <v>45955</v>
      </c>
      <c r="L1616" s="3" t="s">
        <v>2395</v>
      </c>
      <c r="M1616" s="3" t="s">
        <v>1469</v>
      </c>
      <c r="N1616" s="3" t="str">
        <f t="shared" si="237"/>
        <v/>
      </c>
    </row>
    <row r="1617" spans="1:19">
      <c r="A1617" s="3">
        <v>6055</v>
      </c>
      <c r="B1617" s="83">
        <f t="array" ref="B1617">SUM(--(FREQUENCY(IF(C$2:C$3074=C1617, MATCH(D$2:D$3074, D$2:D$3074, 0)), ROW(D$2:D$3074)-ROW(D$2)+1) &gt; 0))</f>
        <v>8</v>
      </c>
      <c r="C1617" s="3">
        <v>41200088</v>
      </c>
      <c r="D1617" s="6" t="s">
        <v>3160</v>
      </c>
      <c r="E1617" s="3" t="s">
        <v>1422</v>
      </c>
      <c r="F1617" s="3" t="s">
        <v>1476</v>
      </c>
      <c r="G1617" s="68" t="str">
        <f t="shared" si="223"/>
        <v>DUAL</v>
      </c>
      <c r="H1617" s="197">
        <f t="shared" si="238"/>
        <v>43</v>
      </c>
      <c r="I1617" s="197">
        <v>10</v>
      </c>
      <c r="J1617" s="197">
        <v>25</v>
      </c>
      <c r="K1617" s="186">
        <f t="shared" si="239"/>
        <v>45955</v>
      </c>
      <c r="L1617" s="3" t="s">
        <v>2395</v>
      </c>
      <c r="M1617" s="3" t="s">
        <v>1469</v>
      </c>
      <c r="N1617" s="3" t="str">
        <f t="shared" si="237"/>
        <v/>
      </c>
    </row>
    <row r="1618" spans="1:19">
      <c r="A1618" s="3">
        <v>6162</v>
      </c>
      <c r="B1618" s="83">
        <f t="array" ref="B1618">SUM(--(FREQUENCY(IF(C$2:C$3074=C1618, MATCH(D$2:D$3074, D$2:D$3074, 0)), ROW(D$2:D$3074)-ROW(D$2)+1) &gt; 0))</f>
        <v>14</v>
      </c>
      <c r="C1618" s="3">
        <v>41000514</v>
      </c>
      <c r="D1618" s="6" t="s">
        <v>3170</v>
      </c>
      <c r="E1618" s="3" t="s">
        <v>1405</v>
      </c>
      <c r="F1618" s="3" t="s">
        <v>1581</v>
      </c>
      <c r="G1618" s="68" t="str">
        <f t="shared" si="223"/>
        <v>DUAL</v>
      </c>
      <c r="H1618" s="197">
        <f t="shared" si="238"/>
        <v>44</v>
      </c>
      <c r="I1618" s="197">
        <v>10</v>
      </c>
      <c r="J1618" s="197">
        <v>27</v>
      </c>
      <c r="K1618" s="186">
        <f t="shared" si="239"/>
        <v>45957</v>
      </c>
      <c r="L1618" s="3" t="s">
        <v>2392</v>
      </c>
      <c r="M1618" s="3" t="s">
        <v>2392</v>
      </c>
      <c r="N1618" s="3" t="str">
        <f t="shared" si="237"/>
        <v/>
      </c>
    </row>
    <row r="1619" spans="1:19">
      <c r="A1619" s="3">
        <v>6162</v>
      </c>
      <c r="B1619" s="83">
        <f t="array" ref="B1619">SUM(--(FREQUENCY(IF(C$2:C$3074=C1619, MATCH(D$2:D$3074, D$2:D$3074, 0)), ROW(D$2:D$3074)-ROW(D$2)+1) &gt; 0))</f>
        <v>14</v>
      </c>
      <c r="C1619" s="3">
        <v>41000514</v>
      </c>
      <c r="D1619" s="6" t="s">
        <v>3171</v>
      </c>
      <c r="E1619" s="3" t="s">
        <v>1405</v>
      </c>
      <c r="F1619" s="3" t="s">
        <v>1581</v>
      </c>
      <c r="G1619" s="68" t="str">
        <f t="shared" si="223"/>
        <v>DUAL</v>
      </c>
      <c r="H1619" s="197">
        <f t="shared" ref="H1619:H1627" si="240">WEEKNUM(K1619)</f>
        <v>44</v>
      </c>
      <c r="I1619" s="197">
        <v>10</v>
      </c>
      <c r="J1619" s="197">
        <v>27</v>
      </c>
      <c r="K1619" s="186">
        <f t="shared" ref="K1619:K1627" si="241">DATE(2025, I1619, J1619)</f>
        <v>45957</v>
      </c>
      <c r="L1619" s="3" t="s">
        <v>2392</v>
      </c>
      <c r="M1619" s="3" t="s">
        <v>2392</v>
      </c>
      <c r="N1619" s="3" t="str">
        <f t="shared" si="237"/>
        <v/>
      </c>
    </row>
    <row r="1620" spans="1:19">
      <c r="A1620" s="3">
        <v>6063</v>
      </c>
      <c r="B1620" s="83">
        <f t="array" ref="B1620">SUM(--(FREQUENCY(IF(C$2:C$3074=C1620, MATCH(D$2:D$3074, D$2:D$3074, 0)), ROW(D$2:D$3074)-ROW(D$2)+1) &gt; 0))</f>
        <v>12</v>
      </c>
      <c r="C1620" s="3">
        <v>41200152</v>
      </c>
      <c r="D1620" s="6" t="s">
        <v>3161</v>
      </c>
      <c r="E1620" s="3" t="s">
        <v>1585</v>
      </c>
      <c r="F1620" s="3" t="s">
        <v>1476</v>
      </c>
      <c r="G1620" s="68" t="str">
        <f t="shared" si="223"/>
        <v>DUAL</v>
      </c>
      <c r="H1620" s="197">
        <f t="shared" si="240"/>
        <v>44</v>
      </c>
      <c r="I1620" s="197">
        <v>10</v>
      </c>
      <c r="J1620" s="197">
        <v>27</v>
      </c>
      <c r="K1620" s="186">
        <f t="shared" si="241"/>
        <v>45957</v>
      </c>
      <c r="L1620" s="3" t="s">
        <v>2395</v>
      </c>
      <c r="M1620" s="3" t="s">
        <v>2392</v>
      </c>
      <c r="N1620" s="3" t="str">
        <f t="shared" si="237"/>
        <v/>
      </c>
    </row>
    <row r="1621" spans="1:19">
      <c r="A1621" s="3">
        <v>6063</v>
      </c>
      <c r="B1621" s="83">
        <f t="array" ref="B1621">SUM(--(FREQUENCY(IF(C$2:C$3074=C1621, MATCH(D$2:D$3074, D$2:D$3074, 0)), ROW(D$2:D$3074)-ROW(D$2)+1) &gt; 0))</f>
        <v>12</v>
      </c>
      <c r="C1621" s="3">
        <v>41200152</v>
      </c>
      <c r="D1621" s="6" t="s">
        <v>3162</v>
      </c>
      <c r="E1621" s="3" t="s">
        <v>1585</v>
      </c>
      <c r="F1621" s="3" t="s">
        <v>1476</v>
      </c>
      <c r="G1621" s="68" t="str">
        <f t="shared" si="223"/>
        <v>DUAL</v>
      </c>
      <c r="H1621" s="197">
        <f t="shared" si="240"/>
        <v>44</v>
      </c>
      <c r="I1621" s="197">
        <v>10</v>
      </c>
      <c r="J1621" s="197">
        <v>27</v>
      </c>
      <c r="K1621" s="186">
        <f t="shared" si="241"/>
        <v>45957</v>
      </c>
      <c r="L1621" s="3" t="s">
        <v>2395</v>
      </c>
      <c r="M1621" s="3" t="s">
        <v>2392</v>
      </c>
      <c r="N1621" s="3" t="str">
        <f t="shared" si="237"/>
        <v/>
      </c>
    </row>
    <row r="1622" spans="1:19">
      <c r="A1622" s="3">
        <v>6139</v>
      </c>
      <c r="B1622" s="83">
        <f t="array" ref="B1622">SUM(--(FREQUENCY(IF(C$2:C$3074=C1622, MATCH(D$2:D$3074, D$2:D$3074, 0)), ROW(D$2:D$3074)-ROW(D$2)+1) &gt; 0))</f>
        <v>33</v>
      </c>
      <c r="C1622" s="3">
        <v>41100435</v>
      </c>
      <c r="D1622" s="6" t="s">
        <v>3163</v>
      </c>
      <c r="E1622" s="3" t="s">
        <v>1585</v>
      </c>
      <c r="F1622" s="3" t="s">
        <v>1482</v>
      </c>
      <c r="G1622" s="68" t="str">
        <f t="shared" si="223"/>
        <v>SINGLE</v>
      </c>
      <c r="H1622" s="197">
        <f t="shared" si="240"/>
        <v>44</v>
      </c>
      <c r="I1622" s="197">
        <v>10</v>
      </c>
      <c r="J1622" s="197">
        <v>27</v>
      </c>
      <c r="K1622" s="186">
        <f t="shared" si="241"/>
        <v>45957</v>
      </c>
      <c r="L1622" s="3" t="s">
        <v>2391</v>
      </c>
      <c r="M1622" s="3" t="s">
        <v>2392</v>
      </c>
      <c r="N1622" s="3" t="str">
        <f t="shared" si="237"/>
        <v/>
      </c>
    </row>
    <row r="1623" spans="1:19">
      <c r="A1623" s="3">
        <v>6130</v>
      </c>
      <c r="B1623" s="83">
        <f t="array" ref="B1623">SUM(--(FREQUENCY(IF(C$2:C$3074=C1623, MATCH(D$2:D$3074, D$2:D$3074, 0)), ROW(D$2:D$3074)-ROW(D$2)+1) &gt; 0))</f>
        <v>32</v>
      </c>
      <c r="C1623" s="3">
        <v>41200122</v>
      </c>
      <c r="D1623" s="6" t="s">
        <v>3165</v>
      </c>
      <c r="E1623" s="3" t="s">
        <v>1585</v>
      </c>
      <c r="F1623" s="3" t="s">
        <v>1476</v>
      </c>
      <c r="G1623" s="68" t="str">
        <f t="shared" si="223"/>
        <v>DUAL</v>
      </c>
      <c r="H1623" s="197">
        <f t="shared" si="240"/>
        <v>44</v>
      </c>
      <c r="I1623" s="197">
        <v>10</v>
      </c>
      <c r="J1623" s="197">
        <v>27</v>
      </c>
      <c r="K1623" s="186">
        <f t="shared" si="241"/>
        <v>45957</v>
      </c>
      <c r="L1623" s="3" t="s">
        <v>2391</v>
      </c>
      <c r="M1623" s="3" t="s">
        <v>2392</v>
      </c>
      <c r="N1623" s="3" t="str">
        <f t="shared" si="237"/>
        <v>NG</v>
      </c>
      <c r="O1623" s="3" t="s">
        <v>2368</v>
      </c>
      <c r="P1623" s="3" t="s">
        <v>1385</v>
      </c>
      <c r="Q1623" s="3">
        <v>11000136</v>
      </c>
      <c r="R1623" s="3" t="s">
        <v>1049</v>
      </c>
      <c r="S1623" s="3" t="s">
        <v>2856</v>
      </c>
    </row>
    <row r="1624" spans="1:19">
      <c r="A1624" s="3">
        <v>6145</v>
      </c>
      <c r="B1624" s="83">
        <f t="array" ref="B1624">SUM(--(FREQUENCY(IF(C$2:C$3074=C1624, MATCH(D$2:D$3074, D$2:D$3074, 0)), ROW(D$2:D$3074)-ROW(D$2)+1) &gt; 0))</f>
        <v>18</v>
      </c>
      <c r="C1624" s="3">
        <v>41200171</v>
      </c>
      <c r="D1624" s="6" t="s">
        <v>3166</v>
      </c>
      <c r="E1624" s="3" t="s">
        <v>1394</v>
      </c>
      <c r="F1624" s="3" t="s">
        <v>1479</v>
      </c>
      <c r="G1624" s="68" t="str">
        <f t="shared" si="223"/>
        <v>SINGLE</v>
      </c>
      <c r="H1624" s="197">
        <f t="shared" si="240"/>
        <v>44</v>
      </c>
      <c r="I1624" s="197">
        <v>10</v>
      </c>
      <c r="J1624" s="197">
        <v>27</v>
      </c>
      <c r="K1624" s="186">
        <f t="shared" si="241"/>
        <v>45957</v>
      </c>
      <c r="L1624" s="3" t="s">
        <v>2391</v>
      </c>
      <c r="M1624" s="3" t="s">
        <v>1468</v>
      </c>
      <c r="N1624" s="3" t="str">
        <f t="shared" si="237"/>
        <v/>
      </c>
    </row>
    <row r="1625" spans="1:19">
      <c r="A1625" s="3">
        <v>6214</v>
      </c>
      <c r="B1625" s="83">
        <f t="array" ref="B1625">SUM(--(FREQUENCY(IF(C$2:C$3074=C1625, MATCH(D$2:D$3074, D$2:D$3074, 0)), ROW(D$2:D$3074)-ROW(D$2)+1) &gt; 0))</f>
        <v>6</v>
      </c>
      <c r="C1625" s="3">
        <v>41200184</v>
      </c>
      <c r="D1625" s="6" t="s">
        <v>3167</v>
      </c>
      <c r="E1625" s="3" t="s">
        <v>1394</v>
      </c>
      <c r="F1625" s="3" t="s">
        <v>1479</v>
      </c>
      <c r="G1625" s="68" t="str">
        <f t="shared" si="223"/>
        <v>SINGLE</v>
      </c>
      <c r="H1625" s="197">
        <f t="shared" si="240"/>
        <v>44</v>
      </c>
      <c r="I1625" s="197">
        <v>10</v>
      </c>
      <c r="J1625" s="197">
        <v>27</v>
      </c>
      <c r="K1625" s="186">
        <f t="shared" si="241"/>
        <v>45957</v>
      </c>
      <c r="L1625" s="3" t="s">
        <v>2391</v>
      </c>
      <c r="M1625" s="3" t="s">
        <v>1468</v>
      </c>
      <c r="N1625" s="3" t="str">
        <f t="shared" si="237"/>
        <v/>
      </c>
    </row>
    <row r="1626" spans="1:19">
      <c r="A1626" s="3">
        <v>5935</v>
      </c>
      <c r="B1626" s="83">
        <f t="array" ref="B1626">SUM(--(FREQUENCY(IF(C$2:C$3074=C1626, MATCH(D$2:D$3074, D$2:D$3074, 0)), ROW(D$2:D$3074)-ROW(D$2)+1) &gt; 0))</f>
        <v>32</v>
      </c>
      <c r="C1626" s="3">
        <v>41200122</v>
      </c>
      <c r="D1626" s="6" t="s">
        <v>3168</v>
      </c>
      <c r="E1626" s="3" t="s">
        <v>1585</v>
      </c>
      <c r="F1626" s="3" t="s">
        <v>1476</v>
      </c>
      <c r="G1626" s="68" t="str">
        <f t="shared" si="223"/>
        <v>DUAL</v>
      </c>
      <c r="H1626" s="197">
        <f t="shared" si="240"/>
        <v>44</v>
      </c>
      <c r="I1626" s="197">
        <v>10</v>
      </c>
      <c r="J1626" s="197">
        <v>27</v>
      </c>
      <c r="K1626" s="186">
        <f t="shared" si="241"/>
        <v>45957</v>
      </c>
      <c r="L1626" s="3" t="s">
        <v>2395</v>
      </c>
      <c r="M1626" s="3" t="s">
        <v>1469</v>
      </c>
      <c r="N1626" s="3" t="str">
        <f t="shared" si="237"/>
        <v/>
      </c>
    </row>
    <row r="1627" spans="1:19">
      <c r="A1627" s="3">
        <v>6130</v>
      </c>
      <c r="B1627" s="83">
        <f t="array" ref="B1627">SUM(--(FREQUENCY(IF(C$2:C$3074=C1627, MATCH(D$2:D$3074, D$2:D$3074, 0)), ROW(D$2:D$3074)-ROW(D$2)+1) &gt; 0))</f>
        <v>32</v>
      </c>
      <c r="C1627" s="3">
        <v>41200122</v>
      </c>
      <c r="D1627" s="6" t="s">
        <v>3169</v>
      </c>
      <c r="E1627" s="3" t="s">
        <v>1585</v>
      </c>
      <c r="F1627" s="3" t="s">
        <v>1476</v>
      </c>
      <c r="G1627" s="68" t="str">
        <f t="shared" si="223"/>
        <v>DUAL</v>
      </c>
      <c r="H1627" s="197">
        <f t="shared" si="240"/>
        <v>44</v>
      </c>
      <c r="I1627" s="197">
        <v>10</v>
      </c>
      <c r="J1627" s="197">
        <v>28</v>
      </c>
      <c r="K1627" s="186">
        <f t="shared" si="241"/>
        <v>45958</v>
      </c>
      <c r="L1627" s="3" t="s">
        <v>2391</v>
      </c>
      <c r="M1627" s="3" t="s">
        <v>2392</v>
      </c>
      <c r="N1627" s="3" t="str">
        <f t="shared" si="237"/>
        <v/>
      </c>
    </row>
    <row r="1628" spans="1:19">
      <c r="A1628" s="3">
        <v>6214</v>
      </c>
      <c r="B1628" s="83">
        <f t="array" ref="B1628">SUM(--(FREQUENCY(IF(C$2:C$3074=C1628, MATCH(D$2:D$3074, D$2:D$3074, 0)), ROW(D$2:D$3074)-ROW(D$2)+1) &gt; 0))</f>
        <v>6</v>
      </c>
      <c r="C1628" s="3">
        <v>41200184</v>
      </c>
      <c r="D1628" s="6" t="s">
        <v>3173</v>
      </c>
      <c r="E1628" s="3" t="s">
        <v>1394</v>
      </c>
      <c r="F1628" s="3" t="s">
        <v>1479</v>
      </c>
      <c r="G1628" s="41" t="str">
        <f t="shared" si="223"/>
        <v>SINGLE</v>
      </c>
      <c r="H1628" s="197">
        <f t="shared" ref="H1628:H1638" si="242">WEEKNUM(K1628)</f>
        <v>44</v>
      </c>
      <c r="I1628" s="197">
        <v>10</v>
      </c>
      <c r="J1628" s="197">
        <v>28</v>
      </c>
      <c r="K1628" s="186">
        <f t="shared" ref="K1628:K1638" si="243">DATE(2025, I1628, J1628)</f>
        <v>45958</v>
      </c>
      <c r="L1628" s="3" t="s">
        <v>2391</v>
      </c>
      <c r="M1628" s="3" t="s">
        <v>1468</v>
      </c>
      <c r="N1628" s="3" t="str">
        <f t="shared" si="237"/>
        <v>NG</v>
      </c>
      <c r="O1628" s="3" t="s">
        <v>2368</v>
      </c>
      <c r="P1628" s="3" t="s">
        <v>2482</v>
      </c>
      <c r="Q1628" s="3">
        <v>11002283</v>
      </c>
      <c r="R1628" s="3" t="s">
        <v>932</v>
      </c>
      <c r="S1628" s="3" t="s">
        <v>5332</v>
      </c>
    </row>
    <row r="1629" spans="1:19">
      <c r="A1629" s="3">
        <v>6214</v>
      </c>
      <c r="B1629" s="83">
        <f t="array" ref="B1629">SUM(--(FREQUENCY(IF(C$2:C$3074=C1629, MATCH(D$2:D$3074, D$2:D$3074, 0)), ROW(D$2:D$3074)-ROW(D$2)+1) &gt; 0))</f>
        <v>6</v>
      </c>
      <c r="C1629" s="3">
        <v>41200184</v>
      </c>
      <c r="D1629" s="6" t="s">
        <v>3173</v>
      </c>
      <c r="E1629" s="3" t="s">
        <v>1394</v>
      </c>
      <c r="F1629" s="3" t="s">
        <v>1479</v>
      </c>
      <c r="G1629" s="41" t="str">
        <f t="shared" si="223"/>
        <v>SINGLE</v>
      </c>
      <c r="H1629" s="197">
        <f t="shared" ref="H1629" si="244">WEEKNUM(K1629)</f>
        <v>44</v>
      </c>
      <c r="I1629" s="197">
        <v>10</v>
      </c>
      <c r="J1629" s="197">
        <v>28</v>
      </c>
      <c r="K1629" s="186">
        <f t="shared" ref="K1629" si="245">DATE(2025, I1629, J1629)</f>
        <v>45958</v>
      </c>
      <c r="L1629" s="3" t="s">
        <v>2391</v>
      </c>
      <c r="M1629" s="3" t="s">
        <v>1468</v>
      </c>
      <c r="N1629" s="3" t="str">
        <f t="shared" si="237"/>
        <v>NG</v>
      </c>
      <c r="O1629" s="3" t="s">
        <v>2368</v>
      </c>
      <c r="P1629" s="3" t="s">
        <v>2482</v>
      </c>
      <c r="Q1629" s="3">
        <v>11002283</v>
      </c>
      <c r="R1629" s="3" t="s">
        <v>932</v>
      </c>
      <c r="S1629" s="3" t="s">
        <v>5333</v>
      </c>
    </row>
    <row r="1630" spans="1:19">
      <c r="A1630" s="3">
        <v>6214</v>
      </c>
      <c r="B1630" s="83">
        <f t="array" ref="B1630">SUM(--(FREQUENCY(IF(C$2:C$3074=C1630, MATCH(D$2:D$3074, D$2:D$3074, 0)), ROW(D$2:D$3074)-ROW(D$2)+1) &gt; 0))</f>
        <v>6</v>
      </c>
      <c r="C1630" s="3">
        <v>41200184</v>
      </c>
      <c r="D1630" s="6" t="s">
        <v>3174</v>
      </c>
      <c r="E1630" s="3" t="s">
        <v>1394</v>
      </c>
      <c r="F1630" s="3" t="s">
        <v>1479</v>
      </c>
      <c r="G1630" s="68" t="str">
        <f t="shared" si="223"/>
        <v>SINGLE</v>
      </c>
      <c r="H1630" s="197">
        <f t="shared" si="242"/>
        <v>44</v>
      </c>
      <c r="I1630" s="197">
        <v>10</v>
      </c>
      <c r="J1630" s="197">
        <v>28</v>
      </c>
      <c r="K1630" s="186">
        <f t="shared" si="243"/>
        <v>45958</v>
      </c>
      <c r="L1630" s="3" t="s">
        <v>2391</v>
      </c>
      <c r="M1630" s="3" t="s">
        <v>1468</v>
      </c>
      <c r="N1630" s="3" t="str">
        <f t="shared" si="237"/>
        <v/>
      </c>
    </row>
    <row r="1631" spans="1:19">
      <c r="A1631" s="3">
        <v>5935</v>
      </c>
      <c r="B1631" s="83">
        <f t="array" ref="B1631">SUM(--(FREQUENCY(IF(C$2:C$3074=C1631, MATCH(D$2:D$3074, D$2:D$3074, 0)), ROW(D$2:D$3074)-ROW(D$2)+1) &gt; 0))</f>
        <v>32</v>
      </c>
      <c r="C1631" s="3">
        <v>41200122</v>
      </c>
      <c r="D1631" s="6" t="s">
        <v>3175</v>
      </c>
      <c r="E1631" s="3" t="s">
        <v>1585</v>
      </c>
      <c r="F1631" s="3" t="s">
        <v>1476</v>
      </c>
      <c r="G1631" s="68" t="str">
        <f t="shared" si="223"/>
        <v>DUAL</v>
      </c>
      <c r="H1631" s="197">
        <f t="shared" si="242"/>
        <v>44</v>
      </c>
      <c r="I1631" s="197">
        <v>10</v>
      </c>
      <c r="J1631" s="197">
        <v>28</v>
      </c>
      <c r="K1631" s="186">
        <f t="shared" si="243"/>
        <v>45958</v>
      </c>
      <c r="L1631" s="3" t="s">
        <v>2395</v>
      </c>
      <c r="M1631" s="3" t="s">
        <v>1469</v>
      </c>
      <c r="N1631" s="3" t="str">
        <f t="shared" si="237"/>
        <v/>
      </c>
    </row>
    <row r="1632" spans="1:19">
      <c r="A1632" s="3">
        <v>5981</v>
      </c>
      <c r="B1632" s="83">
        <f t="array" ref="B1632">SUM(--(FREQUENCY(IF(C$2:C$3074=C1632, MATCH(D$2:D$3074, D$2:D$3074, 0)), ROW(D$2:D$3074)-ROW(D$2)+1) &gt; 0))</f>
        <v>144</v>
      </c>
      <c r="C1632" s="3">
        <v>41200007</v>
      </c>
      <c r="D1632" s="6" t="s">
        <v>3176</v>
      </c>
      <c r="E1632" s="3" t="s">
        <v>1405</v>
      </c>
      <c r="F1632" s="3" t="s">
        <v>1591</v>
      </c>
      <c r="G1632" s="68" t="str">
        <f t="shared" si="223"/>
        <v>SINGLE</v>
      </c>
      <c r="H1632" s="197">
        <f t="shared" si="242"/>
        <v>44</v>
      </c>
      <c r="I1632" s="197">
        <v>10</v>
      </c>
      <c r="J1632" s="197">
        <v>28</v>
      </c>
      <c r="K1632" s="186">
        <f t="shared" si="243"/>
        <v>45958</v>
      </c>
      <c r="L1632" s="3" t="s">
        <v>2391</v>
      </c>
      <c r="M1632" s="3" t="s">
        <v>2392</v>
      </c>
      <c r="N1632" s="3" t="str">
        <f t="shared" si="237"/>
        <v>NG</v>
      </c>
      <c r="O1632" s="3" t="s">
        <v>2368</v>
      </c>
      <c r="P1632" s="3" t="s">
        <v>2369</v>
      </c>
      <c r="Q1632" s="3">
        <v>13106093</v>
      </c>
      <c r="R1632" s="3" t="s">
        <v>958</v>
      </c>
      <c r="S1632" s="3" t="s">
        <v>5334</v>
      </c>
    </row>
    <row r="1633" spans="1:19">
      <c r="A1633" s="3">
        <v>5981</v>
      </c>
      <c r="B1633" s="83">
        <f t="array" ref="B1633">SUM(--(FREQUENCY(IF(C$2:C$3074=C1633, MATCH(D$2:D$3074, D$2:D$3074, 0)), ROW(D$2:D$3074)-ROW(D$2)+1) &gt; 0))</f>
        <v>144</v>
      </c>
      <c r="C1633" s="3">
        <v>41200007</v>
      </c>
      <c r="D1633" s="6" t="s">
        <v>3177</v>
      </c>
      <c r="E1633" s="3" t="s">
        <v>1405</v>
      </c>
      <c r="F1633" s="3" t="s">
        <v>1591</v>
      </c>
      <c r="G1633" s="68" t="str">
        <f t="shared" si="223"/>
        <v>SINGLE</v>
      </c>
      <c r="H1633" s="197">
        <f t="shared" si="242"/>
        <v>44</v>
      </c>
      <c r="I1633" s="197">
        <v>10</v>
      </c>
      <c r="J1633" s="197">
        <v>28</v>
      </c>
      <c r="K1633" s="186">
        <f t="shared" si="243"/>
        <v>45958</v>
      </c>
      <c r="L1633" s="3" t="s">
        <v>2391</v>
      </c>
      <c r="M1633" s="3" t="s">
        <v>2392</v>
      </c>
      <c r="N1633" s="3" t="str">
        <f t="shared" si="237"/>
        <v/>
      </c>
    </row>
    <row r="1634" spans="1:19">
      <c r="A1634" s="3">
        <v>5981</v>
      </c>
      <c r="B1634" s="83">
        <f t="array" ref="B1634">SUM(--(FREQUENCY(IF(C$2:C$3074=C1634, MATCH(D$2:D$3074, D$2:D$3074, 0)), ROW(D$2:D$3074)-ROW(D$2)+1) &gt; 0))</f>
        <v>144</v>
      </c>
      <c r="C1634" s="3">
        <v>41200007</v>
      </c>
      <c r="D1634" s="6" t="s">
        <v>3178</v>
      </c>
      <c r="E1634" s="3" t="s">
        <v>1405</v>
      </c>
      <c r="F1634" s="3" t="s">
        <v>1591</v>
      </c>
      <c r="G1634" s="68" t="str">
        <f t="shared" si="223"/>
        <v>SINGLE</v>
      </c>
      <c r="H1634" s="197">
        <f t="shared" si="242"/>
        <v>44</v>
      </c>
      <c r="I1634" s="197">
        <v>10</v>
      </c>
      <c r="J1634" s="197">
        <v>28</v>
      </c>
      <c r="K1634" s="186">
        <f t="shared" si="243"/>
        <v>45958</v>
      </c>
      <c r="L1634" s="3" t="s">
        <v>2391</v>
      </c>
      <c r="M1634" s="3" t="s">
        <v>2392</v>
      </c>
      <c r="N1634" s="3" t="str">
        <f t="shared" si="237"/>
        <v>NG</v>
      </c>
      <c r="O1634" s="3" t="s">
        <v>2368</v>
      </c>
      <c r="P1634" s="3" t="s">
        <v>2371</v>
      </c>
      <c r="Q1634" s="3">
        <v>11001966</v>
      </c>
      <c r="R1634" s="3" t="s">
        <v>1151</v>
      </c>
      <c r="S1634" s="3" t="s">
        <v>5335</v>
      </c>
    </row>
    <row r="1635" spans="1:19">
      <c r="A1635" s="3">
        <v>6109</v>
      </c>
      <c r="B1635" s="83">
        <f t="array" ref="B1635">SUM(--(FREQUENCY(IF(C$2:C$3074=C1635, MATCH(D$2:D$3074, D$2:D$3074, 0)), ROW(D$2:D$3074)-ROW(D$2)+1) &gt; 0))</f>
        <v>7</v>
      </c>
      <c r="C1635" s="3">
        <v>41100665</v>
      </c>
      <c r="D1635" s="6" t="s">
        <v>3179</v>
      </c>
      <c r="E1635" s="3" t="s">
        <v>1416</v>
      </c>
      <c r="F1635" s="3" t="s">
        <v>3180</v>
      </c>
      <c r="G1635" s="68" t="str">
        <f t="shared" si="223"/>
        <v>SINGLE</v>
      </c>
      <c r="H1635" s="197">
        <f t="shared" si="242"/>
        <v>44</v>
      </c>
      <c r="I1635" s="197">
        <v>10</v>
      </c>
      <c r="J1635" s="197">
        <v>28</v>
      </c>
      <c r="K1635" s="186">
        <f t="shared" si="243"/>
        <v>45958</v>
      </c>
      <c r="L1635" s="3" t="s">
        <v>2395</v>
      </c>
      <c r="M1635" s="3" t="s">
        <v>1469</v>
      </c>
      <c r="N1635" s="3" t="str">
        <f t="shared" si="237"/>
        <v/>
      </c>
    </row>
    <row r="1636" spans="1:19">
      <c r="A1636" s="3">
        <v>6080</v>
      </c>
      <c r="B1636" s="83">
        <f t="array" ref="B1636">SUM(--(FREQUENCY(IF(C$2:C$3074=C1636, MATCH(D$2:D$3074, D$2:D$3074, 0)), ROW(D$2:D$3074)-ROW(D$2)+1) &gt; 0))</f>
        <v>144</v>
      </c>
      <c r="C1636" s="3">
        <v>41200007</v>
      </c>
      <c r="D1636" s="6" t="s">
        <v>3181</v>
      </c>
      <c r="E1636" s="3" t="s">
        <v>1405</v>
      </c>
      <c r="F1636" s="3" t="s">
        <v>1591</v>
      </c>
      <c r="G1636" s="68" t="str">
        <f t="shared" si="223"/>
        <v>SINGLE</v>
      </c>
      <c r="H1636" s="197">
        <f t="shared" si="242"/>
        <v>44</v>
      </c>
      <c r="I1636" s="197">
        <v>10</v>
      </c>
      <c r="J1636" s="197">
        <v>28</v>
      </c>
      <c r="K1636" s="186">
        <f t="shared" si="243"/>
        <v>45958</v>
      </c>
      <c r="L1636" s="3" t="s">
        <v>2395</v>
      </c>
      <c r="M1636" s="3" t="s">
        <v>1469</v>
      </c>
      <c r="N1636" s="3" t="str">
        <f t="shared" si="237"/>
        <v>NG</v>
      </c>
      <c r="O1636" s="3" t="s">
        <v>2368</v>
      </c>
      <c r="P1636" s="3" t="s">
        <v>1387</v>
      </c>
      <c r="Q1636" s="3">
        <v>11003643</v>
      </c>
      <c r="R1636" s="3" t="s">
        <v>953</v>
      </c>
      <c r="S1636" s="3" t="s">
        <v>4758</v>
      </c>
    </row>
    <row r="1637" spans="1:19">
      <c r="A1637" s="3">
        <v>6080</v>
      </c>
      <c r="B1637" s="83">
        <f t="array" ref="B1637">SUM(--(FREQUENCY(IF(C$2:C$3074=C1637, MATCH(D$2:D$3074, D$2:D$3074, 0)), ROW(D$2:D$3074)-ROW(D$2)+1) &gt; 0))</f>
        <v>144</v>
      </c>
      <c r="C1637" s="3">
        <v>41200007</v>
      </c>
      <c r="D1637" s="6" t="s">
        <v>3182</v>
      </c>
      <c r="E1637" s="3" t="s">
        <v>1405</v>
      </c>
      <c r="F1637" s="3" t="s">
        <v>1591</v>
      </c>
      <c r="G1637" s="68" t="str">
        <f t="shared" si="223"/>
        <v>SINGLE</v>
      </c>
      <c r="H1637" s="197">
        <f t="shared" si="242"/>
        <v>44</v>
      </c>
      <c r="I1637" s="197">
        <v>10</v>
      </c>
      <c r="J1637" s="197">
        <v>28</v>
      </c>
      <c r="K1637" s="186">
        <f t="shared" si="243"/>
        <v>45958</v>
      </c>
      <c r="L1637" s="3" t="s">
        <v>2395</v>
      </c>
      <c r="M1637" s="3" t="s">
        <v>1469</v>
      </c>
      <c r="N1637" s="3" t="str">
        <f t="shared" si="237"/>
        <v/>
      </c>
    </row>
    <row r="1638" spans="1:19">
      <c r="A1638" s="3">
        <v>6120</v>
      </c>
      <c r="B1638" s="83">
        <f t="array" ref="B1638">SUM(--(FREQUENCY(IF(C$2:C$3074=C1638, MATCH(D$2:D$3074, D$2:D$3074, 0)), ROW(D$2:D$3074)-ROW(D$2)+1) &gt; 0))</f>
        <v>20</v>
      </c>
      <c r="C1638" s="3">
        <v>41200125</v>
      </c>
      <c r="D1638" s="6" t="s">
        <v>3183</v>
      </c>
      <c r="E1638" s="3" t="s">
        <v>1585</v>
      </c>
      <c r="F1638" s="3" t="s">
        <v>1476</v>
      </c>
      <c r="G1638" s="68" t="str">
        <f t="shared" ref="G1638:G1704" si="246">IF(OR(ISNUMBER(SEARCH("DUAL",F1638)), ISNUMBER(SEARCH("IVAS",F1638))), "DUAL", "SINGLE")</f>
        <v>DUAL</v>
      </c>
      <c r="H1638" s="197">
        <f t="shared" si="242"/>
        <v>44</v>
      </c>
      <c r="I1638" s="197">
        <v>10</v>
      </c>
      <c r="J1638" s="197">
        <v>29</v>
      </c>
      <c r="K1638" s="186">
        <f t="shared" si="243"/>
        <v>45959</v>
      </c>
      <c r="L1638" s="3" t="s">
        <v>2395</v>
      </c>
      <c r="M1638" s="3" t="s">
        <v>2392</v>
      </c>
      <c r="N1638" s="3" t="str">
        <f t="shared" ref="N1638:N1669" si="247">IF(O1638&lt;&gt;"", "NG", "")</f>
        <v>NG</v>
      </c>
      <c r="O1638" s="3" t="s">
        <v>2368</v>
      </c>
      <c r="P1638" s="3" t="s">
        <v>1385</v>
      </c>
      <c r="Q1638" s="3">
        <v>11000411</v>
      </c>
      <c r="R1638" s="3" t="s">
        <v>473</v>
      </c>
      <c r="S1638" s="3" t="s">
        <v>5336</v>
      </c>
    </row>
    <row r="1639" spans="1:19">
      <c r="A1639" s="3">
        <v>6066</v>
      </c>
      <c r="B1639" s="83">
        <f t="array" ref="B1639">SUM(--(FREQUENCY(IF(C$2:C$3074=C1639, MATCH(D$2:D$3074, D$2:D$3074, 0)), ROW(D$2:D$3074)-ROW(D$2)+1) &gt; 0))</f>
        <v>10</v>
      </c>
      <c r="C1639" s="3">
        <v>41100317</v>
      </c>
      <c r="D1639" s="6" t="s">
        <v>3184</v>
      </c>
      <c r="E1639" s="3" t="s">
        <v>1585</v>
      </c>
      <c r="F1639" s="3" t="s">
        <v>1476</v>
      </c>
      <c r="G1639" s="68" t="str">
        <f t="shared" si="246"/>
        <v>DUAL</v>
      </c>
      <c r="H1639" s="197">
        <f t="shared" ref="H1639:H1646" si="248">WEEKNUM(K1639)</f>
        <v>44</v>
      </c>
      <c r="I1639" s="197">
        <v>10</v>
      </c>
      <c r="J1639" s="197">
        <v>29</v>
      </c>
      <c r="K1639" s="186">
        <f t="shared" ref="K1639:K1646" si="249">DATE(2025, I1639, J1639)</f>
        <v>45959</v>
      </c>
      <c r="L1639" s="3" t="s">
        <v>2391</v>
      </c>
      <c r="M1639" s="3" t="s">
        <v>2392</v>
      </c>
      <c r="N1639" s="3" t="str">
        <f t="shared" si="247"/>
        <v/>
      </c>
    </row>
    <row r="1640" spans="1:19">
      <c r="A1640" s="3">
        <v>5981</v>
      </c>
      <c r="B1640" s="83">
        <f t="array" ref="B1640">SUM(--(FREQUENCY(IF(C$2:C$3074=C1640, MATCH(D$2:D$3074, D$2:D$3074, 0)), ROW(D$2:D$3074)-ROW(D$2)+1) &gt; 0))</f>
        <v>144</v>
      </c>
      <c r="C1640" s="3">
        <v>41200007</v>
      </c>
      <c r="D1640" s="6" t="s">
        <v>3186</v>
      </c>
      <c r="E1640" s="3" t="s">
        <v>1405</v>
      </c>
      <c r="F1640" s="3" t="s">
        <v>1591</v>
      </c>
      <c r="G1640" s="68" t="str">
        <f t="shared" si="246"/>
        <v>SINGLE</v>
      </c>
      <c r="H1640" s="197">
        <f t="shared" si="248"/>
        <v>44</v>
      </c>
      <c r="I1640" s="197">
        <v>10</v>
      </c>
      <c r="J1640" s="197">
        <v>29</v>
      </c>
      <c r="K1640" s="186">
        <f t="shared" si="249"/>
        <v>45959</v>
      </c>
      <c r="L1640" s="3" t="s">
        <v>2391</v>
      </c>
      <c r="M1640" s="3" t="s">
        <v>2392</v>
      </c>
      <c r="N1640" s="3" t="str">
        <f t="shared" si="247"/>
        <v/>
      </c>
    </row>
    <row r="1641" spans="1:19">
      <c r="A1641" s="3">
        <v>5981</v>
      </c>
      <c r="B1641" s="83">
        <f t="array" ref="B1641">SUM(--(FREQUENCY(IF(C$2:C$3074=C1641, MATCH(D$2:D$3074, D$2:D$3074, 0)), ROW(D$2:D$3074)-ROW(D$2)+1) &gt; 0))</f>
        <v>144</v>
      </c>
      <c r="C1641" s="3">
        <v>41200007</v>
      </c>
      <c r="D1641" s="6" t="s">
        <v>3187</v>
      </c>
      <c r="E1641" s="3" t="s">
        <v>1405</v>
      </c>
      <c r="F1641" s="3" t="s">
        <v>1591</v>
      </c>
      <c r="G1641" s="68" t="str">
        <f t="shared" si="246"/>
        <v>SINGLE</v>
      </c>
      <c r="H1641" s="197">
        <f t="shared" si="248"/>
        <v>44</v>
      </c>
      <c r="I1641" s="197">
        <v>10</v>
      </c>
      <c r="J1641" s="197">
        <v>29</v>
      </c>
      <c r="K1641" s="186">
        <f t="shared" si="249"/>
        <v>45959</v>
      </c>
      <c r="L1641" s="3" t="s">
        <v>2391</v>
      </c>
      <c r="M1641" s="3" t="s">
        <v>2392</v>
      </c>
      <c r="N1641" s="3" t="str">
        <f t="shared" si="247"/>
        <v/>
      </c>
    </row>
    <row r="1642" spans="1:19">
      <c r="A1642" s="3">
        <v>5981</v>
      </c>
      <c r="B1642" s="83">
        <f t="array" ref="B1642">SUM(--(FREQUENCY(IF(C$2:C$3074=C1642, MATCH(D$2:D$3074, D$2:D$3074, 0)), ROW(D$2:D$3074)-ROW(D$2)+1) &gt; 0))</f>
        <v>144</v>
      </c>
      <c r="C1642" s="3">
        <v>41200007</v>
      </c>
      <c r="D1642" s="6" t="s">
        <v>3188</v>
      </c>
      <c r="E1642" s="3" t="s">
        <v>1405</v>
      </c>
      <c r="F1642" s="3" t="s">
        <v>1591</v>
      </c>
      <c r="G1642" s="68" t="str">
        <f t="shared" si="246"/>
        <v>SINGLE</v>
      </c>
      <c r="H1642" s="197">
        <f t="shared" si="248"/>
        <v>44</v>
      </c>
      <c r="I1642" s="197">
        <v>10</v>
      </c>
      <c r="J1642" s="197">
        <v>29</v>
      </c>
      <c r="K1642" s="186">
        <f t="shared" si="249"/>
        <v>45959</v>
      </c>
      <c r="L1642" s="3" t="s">
        <v>2391</v>
      </c>
      <c r="M1642" s="3" t="s">
        <v>1468</v>
      </c>
      <c r="N1642" s="3" t="str">
        <f t="shared" si="247"/>
        <v/>
      </c>
    </row>
    <row r="1643" spans="1:19">
      <c r="A1643" s="3">
        <v>5981</v>
      </c>
      <c r="B1643" s="83">
        <f t="array" ref="B1643">SUM(--(FREQUENCY(IF(C$2:C$3074=C1643, MATCH(D$2:D$3074, D$2:D$3074, 0)), ROW(D$2:D$3074)-ROW(D$2)+1) &gt; 0))</f>
        <v>144</v>
      </c>
      <c r="C1643" s="3">
        <v>41200007</v>
      </c>
      <c r="D1643" s="6" t="s">
        <v>3189</v>
      </c>
      <c r="E1643" s="3" t="s">
        <v>1405</v>
      </c>
      <c r="F1643" s="3" t="s">
        <v>1591</v>
      </c>
      <c r="G1643" s="68" t="str">
        <f t="shared" si="246"/>
        <v>SINGLE</v>
      </c>
      <c r="H1643" s="197">
        <f t="shared" si="248"/>
        <v>44</v>
      </c>
      <c r="I1643" s="197">
        <v>10</v>
      </c>
      <c r="J1643" s="197">
        <v>29</v>
      </c>
      <c r="K1643" s="186">
        <f t="shared" si="249"/>
        <v>45959</v>
      </c>
      <c r="L1643" s="3" t="s">
        <v>2391</v>
      </c>
      <c r="M1643" s="3" t="s">
        <v>1468</v>
      </c>
      <c r="N1643" s="3" t="str">
        <f t="shared" si="247"/>
        <v>NG</v>
      </c>
      <c r="O1643" s="3" t="s">
        <v>2368</v>
      </c>
      <c r="P1643" s="3" t="s">
        <v>1387</v>
      </c>
      <c r="Q1643" s="3">
        <v>11003643</v>
      </c>
      <c r="R1643" s="3" t="s">
        <v>953</v>
      </c>
      <c r="S1643" s="3" t="s">
        <v>4758</v>
      </c>
    </row>
    <row r="1644" spans="1:19">
      <c r="A1644" s="3">
        <v>5951</v>
      </c>
      <c r="B1644" s="83">
        <f t="array" ref="B1644">SUM(--(FREQUENCY(IF(C$2:C$3074=C1644, MATCH(D$2:D$3074, D$2:D$3074, 0)), ROW(D$2:D$3074)-ROW(D$2)+1) &gt; 0))</f>
        <v>144</v>
      </c>
      <c r="C1644" s="3">
        <v>41200007</v>
      </c>
      <c r="D1644" s="6" t="s">
        <v>3190</v>
      </c>
      <c r="E1644" s="3" t="s">
        <v>1405</v>
      </c>
      <c r="F1644" s="3" t="s">
        <v>1591</v>
      </c>
      <c r="G1644" s="68" t="str">
        <f t="shared" si="246"/>
        <v>SINGLE</v>
      </c>
      <c r="H1644" s="197">
        <f t="shared" si="248"/>
        <v>44</v>
      </c>
      <c r="I1644" s="197">
        <v>10</v>
      </c>
      <c r="J1644" s="197">
        <v>29</v>
      </c>
      <c r="K1644" s="186">
        <f t="shared" si="249"/>
        <v>45959</v>
      </c>
      <c r="L1644" s="3" t="s">
        <v>2395</v>
      </c>
      <c r="M1644" s="3" t="s">
        <v>1469</v>
      </c>
      <c r="N1644" s="3" t="str">
        <f t="shared" si="247"/>
        <v/>
      </c>
    </row>
    <row r="1645" spans="1:19">
      <c r="A1645" s="3">
        <v>6123</v>
      </c>
      <c r="B1645" s="83">
        <f t="array" ref="B1645">SUM(--(FREQUENCY(IF(C$2:C$3074=C1645, MATCH(D$2:D$3074, D$2:D$3074, 0)), ROW(D$2:D$3074)-ROW(D$2)+1) &gt; 0))</f>
        <v>17</v>
      </c>
      <c r="C1645" s="3">
        <v>41000558</v>
      </c>
      <c r="D1645" s="6" t="s">
        <v>5337</v>
      </c>
      <c r="E1645" s="3" t="s">
        <v>1405</v>
      </c>
      <c r="F1645" s="3" t="s">
        <v>1401</v>
      </c>
      <c r="G1645" s="68" t="str">
        <f t="shared" si="246"/>
        <v>SINGLE</v>
      </c>
      <c r="H1645" s="197">
        <f t="shared" si="248"/>
        <v>44</v>
      </c>
      <c r="I1645" s="197">
        <v>10</v>
      </c>
      <c r="J1645" s="197">
        <v>29</v>
      </c>
      <c r="K1645" s="186">
        <f t="shared" si="249"/>
        <v>45959</v>
      </c>
      <c r="L1645" s="3" t="s">
        <v>5127</v>
      </c>
      <c r="M1645" s="3" t="s">
        <v>1469</v>
      </c>
      <c r="N1645" s="3" t="str">
        <f t="shared" si="247"/>
        <v/>
      </c>
    </row>
    <row r="1646" spans="1:19">
      <c r="A1646" s="3">
        <v>6076</v>
      </c>
      <c r="B1646" s="83">
        <f t="array" ref="B1646">SUM(--(FREQUENCY(IF(C$2:C$3074=C1646, MATCH(D$2:D$3074, D$2:D$3074, 0)), ROW(D$2:D$3074)-ROW(D$2)+1) &gt; 0))</f>
        <v>17</v>
      </c>
      <c r="C1646" s="3">
        <v>41000558</v>
      </c>
      <c r="D1646" s="6" t="s">
        <v>5338</v>
      </c>
      <c r="E1646" s="3" t="s">
        <v>1405</v>
      </c>
      <c r="F1646" s="3" t="s">
        <v>1401</v>
      </c>
      <c r="G1646" s="68" t="str">
        <f t="shared" si="246"/>
        <v>SINGLE</v>
      </c>
      <c r="H1646" s="197">
        <f t="shared" si="248"/>
        <v>44</v>
      </c>
      <c r="I1646" s="197">
        <v>10</v>
      </c>
      <c r="J1646" s="197">
        <v>29</v>
      </c>
      <c r="K1646" s="186">
        <f t="shared" si="249"/>
        <v>45959</v>
      </c>
      <c r="L1646" s="3" t="s">
        <v>5127</v>
      </c>
      <c r="M1646" s="3" t="s">
        <v>1469</v>
      </c>
      <c r="N1646" s="3" t="str">
        <f t="shared" si="247"/>
        <v/>
      </c>
    </row>
    <row r="1647" spans="1:19">
      <c r="A1647" s="3">
        <v>6078</v>
      </c>
      <c r="B1647" s="83">
        <f t="array" ref="B1647">SUM(--(FREQUENCY(IF(C$2:C$3074=C1647, MATCH(D$2:D$3074, D$2:D$3074, 0)), ROW(D$2:D$3074)-ROW(D$2)+1) &gt; 0))</f>
        <v>17</v>
      </c>
      <c r="C1647" s="3">
        <v>41000558</v>
      </c>
      <c r="D1647" s="6" t="s">
        <v>5339</v>
      </c>
      <c r="E1647" s="3" t="s">
        <v>1405</v>
      </c>
      <c r="F1647" s="3" t="s">
        <v>1401</v>
      </c>
      <c r="G1647" s="68" t="str">
        <f t="shared" si="246"/>
        <v>SINGLE</v>
      </c>
      <c r="H1647" s="197">
        <f t="shared" ref="H1647" si="250">WEEKNUM(K1647)</f>
        <v>44</v>
      </c>
      <c r="I1647" s="197">
        <v>10</v>
      </c>
      <c r="J1647" s="197">
        <v>29</v>
      </c>
      <c r="K1647" s="186">
        <f t="shared" ref="K1647" si="251">DATE(2025, I1647, J1647)</f>
        <v>45959</v>
      </c>
      <c r="L1647" s="3" t="s">
        <v>5127</v>
      </c>
      <c r="M1647" s="3" t="s">
        <v>1469</v>
      </c>
    </row>
    <row r="1648" spans="1:19">
      <c r="A1648" s="3">
        <v>6028</v>
      </c>
      <c r="B1648" s="83">
        <f t="array" ref="B1648">SUM(--(FREQUENCY(IF(C$2:C$3074=C1648, MATCH(D$2:D$3074, D$2:D$3074, 0)), ROW(D$2:D$3074)-ROW(D$2)+1) &gt; 0))</f>
        <v>2</v>
      </c>
      <c r="C1648" s="3">
        <v>31101694</v>
      </c>
      <c r="D1648" s="6" t="s">
        <v>5340</v>
      </c>
      <c r="E1648" s="3" t="s">
        <v>1405</v>
      </c>
      <c r="F1648" s="3" t="s">
        <v>5173</v>
      </c>
      <c r="G1648" s="68" t="str">
        <f t="shared" si="246"/>
        <v>SINGLE</v>
      </c>
      <c r="H1648" s="197">
        <f t="shared" ref="H1648:H1658" si="252">WEEKNUM(K1648)</f>
        <v>44</v>
      </c>
      <c r="I1648" s="197">
        <v>10</v>
      </c>
      <c r="J1648" s="197">
        <v>29</v>
      </c>
      <c r="K1648" s="186">
        <f t="shared" ref="K1648:K1658" si="253">DATE(2025, I1648, J1648)</f>
        <v>45959</v>
      </c>
      <c r="L1648" s="3" t="s">
        <v>2392</v>
      </c>
      <c r="M1648" s="3" t="s">
        <v>2392</v>
      </c>
      <c r="N1648" s="3" t="str">
        <f t="shared" ref="N1648:N1716" si="254">IF(O1648&lt;&gt;"", "NG", "")</f>
        <v/>
      </c>
    </row>
    <row r="1649" spans="1:19">
      <c r="A1649" s="3">
        <v>6028</v>
      </c>
      <c r="B1649" s="83">
        <f t="array" ref="B1649">SUM(--(FREQUENCY(IF(C$2:C$3074=C1649, MATCH(D$2:D$3074, D$2:D$3074, 0)), ROW(D$2:D$3074)-ROW(D$2)+1) &gt; 0))</f>
        <v>2</v>
      </c>
      <c r="C1649" s="3">
        <v>31201020</v>
      </c>
      <c r="D1649" s="6" t="s">
        <v>5341</v>
      </c>
      <c r="E1649" s="3" t="s">
        <v>1405</v>
      </c>
      <c r="F1649" s="124" t="s">
        <v>5173</v>
      </c>
      <c r="G1649" s="68" t="str">
        <f t="shared" si="246"/>
        <v>SINGLE</v>
      </c>
      <c r="H1649" s="197">
        <f t="shared" si="252"/>
        <v>44</v>
      </c>
      <c r="I1649" s="197">
        <v>10</v>
      </c>
      <c r="J1649" s="197">
        <v>29</v>
      </c>
      <c r="K1649" s="186">
        <f t="shared" si="253"/>
        <v>45959</v>
      </c>
      <c r="L1649" s="3" t="s">
        <v>2392</v>
      </c>
      <c r="M1649" s="3" t="s">
        <v>2392</v>
      </c>
      <c r="N1649" s="3" t="str">
        <f t="shared" si="254"/>
        <v/>
      </c>
    </row>
    <row r="1650" spans="1:19">
      <c r="A1650" s="3">
        <v>6028</v>
      </c>
      <c r="B1650" s="83">
        <f t="array" ref="B1650">SUM(--(FREQUENCY(IF(C$2:C$3074=C1650, MATCH(D$2:D$3074, D$2:D$3074, 0)), ROW(D$2:D$3074)-ROW(D$2)+1) &gt; 0))</f>
        <v>2</v>
      </c>
      <c r="C1650" s="3">
        <v>31201020</v>
      </c>
      <c r="D1650" s="6" t="s">
        <v>5342</v>
      </c>
      <c r="E1650" s="124" t="s">
        <v>1405</v>
      </c>
      <c r="F1650" s="395" t="s">
        <v>5173</v>
      </c>
      <c r="G1650" s="396" t="str">
        <f t="shared" si="246"/>
        <v>SINGLE</v>
      </c>
      <c r="H1650" s="197">
        <f t="shared" si="252"/>
        <v>44</v>
      </c>
      <c r="I1650" s="197">
        <v>10</v>
      </c>
      <c r="J1650" s="197">
        <v>29</v>
      </c>
      <c r="K1650" s="186">
        <f t="shared" si="253"/>
        <v>45959</v>
      </c>
      <c r="L1650" s="3" t="s">
        <v>2392</v>
      </c>
      <c r="M1650" s="3" t="s">
        <v>2392</v>
      </c>
      <c r="N1650" s="3" t="str">
        <f t="shared" si="254"/>
        <v/>
      </c>
    </row>
    <row r="1651" spans="1:19">
      <c r="A1651" s="3">
        <v>6028</v>
      </c>
      <c r="B1651" s="83">
        <f t="array" ref="B1651">SUM(--(FREQUENCY(IF(C$2:C$3074=C1651, MATCH(D$2:D$3074, D$2:D$3074, 0)), ROW(D$2:D$3074)-ROW(D$2)+1) &gt; 0))</f>
        <v>1</v>
      </c>
      <c r="C1651" s="3">
        <v>31010467</v>
      </c>
      <c r="D1651" s="6" t="s">
        <v>5343</v>
      </c>
      <c r="E1651" s="262" t="s">
        <v>1405</v>
      </c>
      <c r="F1651" s="395" t="s">
        <v>5173</v>
      </c>
      <c r="G1651" s="396" t="str">
        <f t="shared" si="246"/>
        <v>SINGLE</v>
      </c>
      <c r="H1651" s="197">
        <f t="shared" si="252"/>
        <v>44</v>
      </c>
      <c r="I1651" s="197">
        <v>10</v>
      </c>
      <c r="J1651" s="197">
        <v>29</v>
      </c>
      <c r="K1651" s="186">
        <f t="shared" si="253"/>
        <v>45959</v>
      </c>
      <c r="L1651" s="3" t="s">
        <v>2392</v>
      </c>
      <c r="M1651" s="3" t="s">
        <v>2392</v>
      </c>
      <c r="N1651" s="3" t="str">
        <f t="shared" si="254"/>
        <v/>
      </c>
    </row>
    <row r="1652" spans="1:19">
      <c r="A1652" s="3">
        <v>6028</v>
      </c>
      <c r="B1652" s="83">
        <f t="array" ref="B1652">SUM(--(FREQUENCY(IF(C$2:C$3074=C1652, MATCH(D$2:D$3074, D$2:D$3074, 0)), ROW(D$2:D$3074)-ROW(D$2)+1) &gt; 0))</f>
        <v>3</v>
      </c>
      <c r="C1652" s="3">
        <v>31102257</v>
      </c>
      <c r="D1652" s="6" t="s">
        <v>5344</v>
      </c>
      <c r="E1652" s="262" t="s">
        <v>1405</v>
      </c>
      <c r="F1652" s="395" t="s">
        <v>5173</v>
      </c>
      <c r="G1652" s="396" t="str">
        <f t="shared" si="246"/>
        <v>SINGLE</v>
      </c>
      <c r="H1652" s="197">
        <f t="shared" si="252"/>
        <v>44</v>
      </c>
      <c r="I1652" s="197">
        <v>10</v>
      </c>
      <c r="J1652" s="197">
        <v>29</v>
      </c>
      <c r="K1652" s="186">
        <f t="shared" si="253"/>
        <v>45959</v>
      </c>
      <c r="L1652" s="3" t="s">
        <v>2392</v>
      </c>
      <c r="M1652" s="3" t="s">
        <v>2392</v>
      </c>
      <c r="N1652" s="3" t="str">
        <f t="shared" si="254"/>
        <v/>
      </c>
    </row>
    <row r="1653" spans="1:19">
      <c r="A1653" s="3">
        <v>6028</v>
      </c>
      <c r="B1653" s="83">
        <f t="array" ref="B1653">SUM(--(FREQUENCY(IF(C$2:C$3074=C1653, MATCH(D$2:D$3074, D$2:D$3074, 0)), ROW(D$2:D$3074)-ROW(D$2)+1) &gt; 0))</f>
        <v>4</v>
      </c>
      <c r="C1653" s="3">
        <v>31200272</v>
      </c>
      <c r="D1653" s="6" t="s">
        <v>5345</v>
      </c>
      <c r="E1653" s="262" t="s">
        <v>1405</v>
      </c>
      <c r="F1653" s="395" t="s">
        <v>5173</v>
      </c>
      <c r="G1653" s="396" t="str">
        <f t="shared" si="246"/>
        <v>SINGLE</v>
      </c>
      <c r="H1653" s="197">
        <f t="shared" si="252"/>
        <v>44</v>
      </c>
      <c r="I1653" s="197">
        <v>10</v>
      </c>
      <c r="J1653" s="197">
        <v>29</v>
      </c>
      <c r="K1653" s="186">
        <f t="shared" si="253"/>
        <v>45959</v>
      </c>
      <c r="L1653" s="3" t="s">
        <v>2392</v>
      </c>
      <c r="M1653" s="3" t="s">
        <v>2392</v>
      </c>
      <c r="N1653" s="3" t="str">
        <f t="shared" si="254"/>
        <v/>
      </c>
    </row>
    <row r="1654" spans="1:19">
      <c r="A1654" s="3">
        <v>6028</v>
      </c>
      <c r="B1654" s="83">
        <f t="array" ref="B1654">SUM(--(FREQUENCY(IF(C$2:C$3074=C1654, MATCH(D$2:D$3074, D$2:D$3074, 0)), ROW(D$2:D$3074)-ROW(D$2)+1) &gt; 0))</f>
        <v>2</v>
      </c>
      <c r="C1654" s="3">
        <v>31101933</v>
      </c>
      <c r="D1654" s="6" t="s">
        <v>5346</v>
      </c>
      <c r="E1654" s="262" t="s">
        <v>1405</v>
      </c>
      <c r="F1654" s="395" t="s">
        <v>5173</v>
      </c>
      <c r="G1654" s="396" t="str">
        <f t="shared" si="246"/>
        <v>SINGLE</v>
      </c>
      <c r="H1654" s="197">
        <f t="shared" si="252"/>
        <v>44</v>
      </c>
      <c r="I1654" s="197">
        <v>10</v>
      </c>
      <c r="J1654" s="197">
        <v>29</v>
      </c>
      <c r="K1654" s="186">
        <f t="shared" si="253"/>
        <v>45959</v>
      </c>
      <c r="L1654" s="3" t="s">
        <v>2392</v>
      </c>
      <c r="M1654" s="3" t="s">
        <v>2392</v>
      </c>
      <c r="N1654" s="3" t="str">
        <f t="shared" si="254"/>
        <v/>
      </c>
    </row>
    <row r="1655" spans="1:19">
      <c r="A1655" s="3">
        <v>6028</v>
      </c>
      <c r="B1655" s="83">
        <f t="array" ref="B1655">SUM(--(FREQUENCY(IF(C$2:C$3074=C1655, MATCH(D$2:D$3074, D$2:D$3074, 0)), ROW(D$2:D$3074)-ROW(D$2)+1) &gt; 0))</f>
        <v>4</v>
      </c>
      <c r="C1655" s="3">
        <v>31200266</v>
      </c>
      <c r="D1655" s="6" t="s">
        <v>5347</v>
      </c>
      <c r="E1655" s="262" t="s">
        <v>1405</v>
      </c>
      <c r="F1655" s="395" t="s">
        <v>5173</v>
      </c>
      <c r="G1655" s="396" t="str">
        <f t="shared" si="246"/>
        <v>SINGLE</v>
      </c>
      <c r="H1655" s="197">
        <f t="shared" si="252"/>
        <v>44</v>
      </c>
      <c r="I1655" s="197">
        <v>10</v>
      </c>
      <c r="J1655" s="197">
        <v>29</v>
      </c>
      <c r="K1655" s="186">
        <f t="shared" si="253"/>
        <v>45959</v>
      </c>
      <c r="L1655" s="3" t="s">
        <v>2392</v>
      </c>
      <c r="M1655" s="3" t="s">
        <v>2392</v>
      </c>
      <c r="N1655" s="3" t="str">
        <f t="shared" si="254"/>
        <v/>
      </c>
    </row>
    <row r="1656" spans="1:19">
      <c r="A1656" s="3">
        <v>6028</v>
      </c>
      <c r="B1656" s="83">
        <f t="array" ref="B1656">SUM(--(FREQUENCY(IF(C$2:C$3074=C1656, MATCH(D$2:D$3074, D$2:D$3074, 0)), ROW(D$2:D$3074)-ROW(D$2)+1) &gt; 0))</f>
        <v>4</v>
      </c>
      <c r="C1656" s="3">
        <v>31200266</v>
      </c>
      <c r="D1656" s="6" t="s">
        <v>5348</v>
      </c>
      <c r="E1656" s="262" t="s">
        <v>1405</v>
      </c>
      <c r="F1656" s="395" t="s">
        <v>5173</v>
      </c>
      <c r="G1656" s="396" t="str">
        <f t="shared" si="246"/>
        <v>SINGLE</v>
      </c>
      <c r="H1656" s="197">
        <f t="shared" si="252"/>
        <v>44</v>
      </c>
      <c r="I1656" s="197">
        <v>10</v>
      </c>
      <c r="J1656" s="197">
        <v>29</v>
      </c>
      <c r="K1656" s="186">
        <f t="shared" si="253"/>
        <v>45959</v>
      </c>
      <c r="L1656" s="3" t="s">
        <v>2392</v>
      </c>
      <c r="M1656" s="3" t="s">
        <v>2392</v>
      </c>
      <c r="N1656" s="3" t="str">
        <f t="shared" si="254"/>
        <v/>
      </c>
    </row>
    <row r="1657" spans="1:19">
      <c r="A1657" s="3">
        <v>6028</v>
      </c>
      <c r="B1657" s="83">
        <f t="array" ref="B1657">SUM(--(FREQUENCY(IF(C$2:C$3074=C1657, MATCH(D$2:D$3074, D$2:D$3074, 0)), ROW(D$2:D$3074)-ROW(D$2)+1) &gt; 0))</f>
        <v>2</v>
      </c>
      <c r="C1657" s="3">
        <v>31102304</v>
      </c>
      <c r="D1657" s="6" t="s">
        <v>5349</v>
      </c>
      <c r="E1657" s="262" t="s">
        <v>1405</v>
      </c>
      <c r="F1657" s="395" t="s">
        <v>5173</v>
      </c>
      <c r="G1657" s="396" t="str">
        <f t="shared" si="246"/>
        <v>SINGLE</v>
      </c>
      <c r="H1657" s="197">
        <f t="shared" si="252"/>
        <v>44</v>
      </c>
      <c r="I1657" s="197">
        <v>10</v>
      </c>
      <c r="J1657" s="197">
        <v>29</v>
      </c>
      <c r="K1657" s="186">
        <f t="shared" si="253"/>
        <v>45959</v>
      </c>
      <c r="L1657" s="3" t="s">
        <v>2392</v>
      </c>
      <c r="M1657" s="3" t="s">
        <v>2392</v>
      </c>
      <c r="N1657" s="3" t="str">
        <f t="shared" si="254"/>
        <v/>
      </c>
      <c r="S1657" s="3" t="s">
        <v>5332</v>
      </c>
    </row>
    <row r="1658" spans="1:19">
      <c r="A1658" s="3">
        <v>6068</v>
      </c>
      <c r="B1658" s="83">
        <f t="array" ref="B1658">SUM(--(FREQUENCY(IF(C$2:C$3074=C1658, MATCH(D$2:D$3074, D$2:D$3074, 0)), ROW(D$2:D$3074)-ROW(D$2)+1) &gt; 0))</f>
        <v>20</v>
      </c>
      <c r="C1658" s="3">
        <v>41200125</v>
      </c>
      <c r="D1658" s="6" t="s">
        <v>3194</v>
      </c>
      <c r="E1658" s="3" t="s">
        <v>1585</v>
      </c>
      <c r="F1658" s="327" t="s">
        <v>1476</v>
      </c>
      <c r="G1658" s="68" t="str">
        <f t="shared" si="246"/>
        <v>DUAL</v>
      </c>
      <c r="H1658" s="197">
        <f t="shared" si="252"/>
        <v>44</v>
      </c>
      <c r="I1658" s="197">
        <v>10</v>
      </c>
      <c r="J1658" s="197">
        <v>30</v>
      </c>
      <c r="K1658" s="186">
        <f t="shared" si="253"/>
        <v>45960</v>
      </c>
      <c r="L1658" s="3" t="s">
        <v>2391</v>
      </c>
      <c r="M1658" s="3" t="s">
        <v>2392</v>
      </c>
      <c r="N1658" s="3" t="str">
        <f t="shared" si="254"/>
        <v>NG</v>
      </c>
      <c r="O1658" s="3" t="s">
        <v>2368</v>
      </c>
      <c r="P1658" s="3" t="s">
        <v>2482</v>
      </c>
      <c r="Q1658" s="3">
        <v>11002283</v>
      </c>
      <c r="R1658" s="3" t="s">
        <v>932</v>
      </c>
      <c r="S1658" s="3" t="s">
        <v>5350</v>
      </c>
    </row>
    <row r="1659" spans="1:19">
      <c r="A1659" s="3">
        <v>5981</v>
      </c>
      <c r="B1659" s="83">
        <f t="array" ref="B1659">SUM(--(FREQUENCY(IF(C$2:C$3074=C1659, MATCH(D$2:D$3074, D$2:D$3074, 0)), ROW(D$2:D$3074)-ROW(D$2)+1) &gt; 0))</f>
        <v>144</v>
      </c>
      <c r="C1659" s="3">
        <v>41200007</v>
      </c>
      <c r="D1659" s="6" t="s">
        <v>3196</v>
      </c>
      <c r="E1659" s="3" t="s">
        <v>1405</v>
      </c>
      <c r="F1659" s="3" t="s">
        <v>1591</v>
      </c>
      <c r="G1659" s="68" t="str">
        <f t="shared" si="246"/>
        <v>SINGLE</v>
      </c>
      <c r="H1659" s="197">
        <f t="shared" ref="H1659:H1663" si="255">WEEKNUM(K1659)</f>
        <v>44</v>
      </c>
      <c r="I1659" s="197">
        <v>10</v>
      </c>
      <c r="J1659" s="197">
        <v>30</v>
      </c>
      <c r="K1659" s="186">
        <f t="shared" ref="K1659:K1663" si="256">DATE(2025, I1659, J1659)</f>
        <v>45960</v>
      </c>
      <c r="L1659" s="3" t="s">
        <v>2395</v>
      </c>
      <c r="M1659" s="3" t="s">
        <v>1469</v>
      </c>
      <c r="N1659" s="3" t="str">
        <f t="shared" si="254"/>
        <v/>
      </c>
    </row>
    <row r="1660" spans="1:19">
      <c r="A1660" s="3">
        <v>5981</v>
      </c>
      <c r="B1660" s="83">
        <f t="array" ref="B1660">SUM(--(FREQUENCY(IF(C$2:C$3074=C1660, MATCH(D$2:D$3074, D$2:D$3074, 0)), ROW(D$2:D$3074)-ROW(D$2)+1) &gt; 0))</f>
        <v>144</v>
      </c>
      <c r="C1660" s="3">
        <v>41200007</v>
      </c>
      <c r="D1660" s="6" t="s">
        <v>3197</v>
      </c>
      <c r="E1660" s="3" t="s">
        <v>1405</v>
      </c>
      <c r="F1660" s="3" t="s">
        <v>1591</v>
      </c>
      <c r="G1660" s="68" t="str">
        <f t="shared" si="246"/>
        <v>SINGLE</v>
      </c>
      <c r="H1660" s="197">
        <f t="shared" si="255"/>
        <v>44</v>
      </c>
      <c r="I1660" s="197">
        <v>10</v>
      </c>
      <c r="J1660" s="197">
        <v>30</v>
      </c>
      <c r="K1660" s="186">
        <f t="shared" si="256"/>
        <v>45960</v>
      </c>
      <c r="L1660" s="3" t="s">
        <v>2395</v>
      </c>
      <c r="M1660" s="3" t="s">
        <v>1469</v>
      </c>
      <c r="N1660" s="3" t="str">
        <f t="shared" si="254"/>
        <v/>
      </c>
    </row>
    <row r="1661" spans="1:19">
      <c r="A1661" s="3">
        <v>6081</v>
      </c>
      <c r="B1661" s="83">
        <f t="array" ref="B1661">SUM(--(FREQUENCY(IF(C$2:C$3074=C1661, MATCH(D$2:D$3074, D$2:D$3074, 0)), ROW(D$2:D$3074)-ROW(D$2)+1) &gt; 0))</f>
        <v>26</v>
      </c>
      <c r="C1661" s="3">
        <v>41200074</v>
      </c>
      <c r="D1661" s="6" t="s">
        <v>3195</v>
      </c>
      <c r="E1661" s="3" t="s">
        <v>1405</v>
      </c>
      <c r="F1661" s="3" t="s">
        <v>1478</v>
      </c>
      <c r="G1661" s="68" t="str">
        <f t="shared" si="246"/>
        <v>DUAL</v>
      </c>
      <c r="H1661" s="197">
        <f t="shared" si="255"/>
        <v>44</v>
      </c>
      <c r="I1661" s="197">
        <v>10</v>
      </c>
      <c r="J1661" s="197">
        <v>30</v>
      </c>
      <c r="K1661" s="186">
        <f t="shared" si="256"/>
        <v>45960</v>
      </c>
      <c r="L1661" s="3" t="s">
        <v>2391</v>
      </c>
      <c r="M1661" s="3" t="s">
        <v>2392</v>
      </c>
      <c r="N1661" s="3" t="str">
        <f t="shared" si="254"/>
        <v>NG</v>
      </c>
      <c r="O1661" s="3" t="s">
        <v>2368</v>
      </c>
      <c r="P1661" s="3" t="s">
        <v>1385</v>
      </c>
      <c r="Q1661" s="3">
        <v>13104067</v>
      </c>
      <c r="R1661" s="3" t="s">
        <v>5351</v>
      </c>
      <c r="S1661" s="3" t="s">
        <v>5352</v>
      </c>
    </row>
    <row r="1662" spans="1:19">
      <c r="A1662" s="3">
        <v>6081</v>
      </c>
      <c r="B1662" s="83">
        <f t="array" ref="B1662">SUM(--(FREQUENCY(IF(C$2:C$3074=C1662, MATCH(D$2:D$3074, D$2:D$3074, 0)), ROW(D$2:D$3074)-ROW(D$2)+1) &gt; 0))</f>
        <v>26</v>
      </c>
      <c r="C1662" s="3">
        <v>41200074</v>
      </c>
      <c r="D1662" s="6" t="s">
        <v>3191</v>
      </c>
      <c r="E1662" s="3" t="s">
        <v>1405</v>
      </c>
      <c r="F1662" s="3" t="s">
        <v>1478</v>
      </c>
      <c r="G1662" s="68" t="str">
        <f t="shared" si="246"/>
        <v>DUAL</v>
      </c>
      <c r="H1662" s="197">
        <f t="shared" si="255"/>
        <v>44</v>
      </c>
      <c r="I1662" s="197">
        <v>10</v>
      </c>
      <c r="J1662" s="197">
        <v>30</v>
      </c>
      <c r="K1662" s="186">
        <f t="shared" si="256"/>
        <v>45960</v>
      </c>
      <c r="L1662" s="3" t="s">
        <v>2391</v>
      </c>
      <c r="M1662" s="3" t="s">
        <v>2392</v>
      </c>
      <c r="N1662" s="3" t="str">
        <f t="shared" si="254"/>
        <v/>
      </c>
    </row>
    <row r="1663" spans="1:19">
      <c r="A1663" s="3">
        <v>5977</v>
      </c>
      <c r="B1663" s="83">
        <f t="array" ref="B1663">SUM(--(FREQUENCY(IF(C$2:C$3074=C1663, MATCH(D$2:D$3074, D$2:D$3074, 0)), ROW(D$2:D$3074)-ROW(D$2)+1) &gt; 0))</f>
        <v>29</v>
      </c>
      <c r="C1663" s="3">
        <v>41200158</v>
      </c>
      <c r="D1663" s="6" t="s">
        <v>3198</v>
      </c>
      <c r="E1663" s="3" t="s">
        <v>1405</v>
      </c>
      <c r="F1663" s="3" t="s">
        <v>1480</v>
      </c>
      <c r="G1663" s="68" t="str">
        <f t="shared" si="246"/>
        <v>DUAL</v>
      </c>
      <c r="H1663" s="197">
        <f t="shared" si="255"/>
        <v>44</v>
      </c>
      <c r="I1663" s="197">
        <v>10</v>
      </c>
      <c r="J1663" s="197">
        <v>31</v>
      </c>
      <c r="K1663" s="186">
        <f t="shared" si="256"/>
        <v>45961</v>
      </c>
      <c r="L1663" s="3" t="s">
        <v>2391</v>
      </c>
      <c r="M1663" s="3" t="s">
        <v>2392</v>
      </c>
      <c r="N1663" s="3" t="str">
        <f t="shared" si="254"/>
        <v/>
      </c>
    </row>
    <row r="1664" spans="1:19">
      <c r="A1664" s="3">
        <v>5977</v>
      </c>
      <c r="B1664" s="83">
        <f t="array" ref="B1664">SUM(--(FREQUENCY(IF(C$2:C$3074=C1664, MATCH(D$2:D$3074, D$2:D$3074, 0)), ROW(D$2:D$3074)-ROW(D$2)+1) &gt; 0))</f>
        <v>29</v>
      </c>
      <c r="C1664" s="3">
        <v>41200158</v>
      </c>
      <c r="D1664" s="6" t="s">
        <v>3205</v>
      </c>
      <c r="E1664" s="3" t="s">
        <v>1405</v>
      </c>
      <c r="F1664" s="3" t="s">
        <v>1480</v>
      </c>
      <c r="G1664" s="68" t="str">
        <f t="shared" si="246"/>
        <v>DUAL</v>
      </c>
      <c r="H1664" s="197">
        <f t="shared" ref="H1664:H1670" si="257">WEEKNUM(K1664)</f>
        <v>44</v>
      </c>
      <c r="I1664" s="197">
        <v>10</v>
      </c>
      <c r="J1664" s="197">
        <v>31</v>
      </c>
      <c r="K1664" s="186">
        <f t="shared" ref="K1664:K1670" si="258">DATE(2025, I1664, J1664)</f>
        <v>45961</v>
      </c>
      <c r="L1664" s="3" t="s">
        <v>2391</v>
      </c>
      <c r="M1664" s="3" t="s">
        <v>2392</v>
      </c>
      <c r="N1664" s="3" t="str">
        <f t="shared" si="254"/>
        <v/>
      </c>
    </row>
    <row r="1665" spans="1:19">
      <c r="A1665" s="3">
        <v>5977</v>
      </c>
      <c r="B1665" s="83">
        <f t="array" ref="B1665">SUM(--(FREQUENCY(IF(C$2:C$3074=C1665, MATCH(D$2:D$3074, D$2:D$3074, 0)), ROW(D$2:D$3074)-ROW(D$2)+1) &gt; 0))</f>
        <v>29</v>
      </c>
      <c r="C1665" s="3">
        <v>41200158</v>
      </c>
      <c r="D1665" s="6" t="s">
        <v>3206</v>
      </c>
      <c r="E1665" s="3" t="s">
        <v>1405</v>
      </c>
      <c r="F1665" s="3" t="s">
        <v>1480</v>
      </c>
      <c r="G1665" s="68" t="str">
        <f t="shared" si="246"/>
        <v>DUAL</v>
      </c>
      <c r="H1665" s="197">
        <f t="shared" si="257"/>
        <v>44</v>
      </c>
      <c r="I1665" s="197">
        <v>10</v>
      </c>
      <c r="J1665" s="197">
        <v>31</v>
      </c>
      <c r="K1665" s="186">
        <f t="shared" si="258"/>
        <v>45961</v>
      </c>
      <c r="L1665" s="3" t="s">
        <v>2391</v>
      </c>
      <c r="M1665" s="3" t="s">
        <v>2392</v>
      </c>
      <c r="N1665" s="3" t="str">
        <f t="shared" si="254"/>
        <v/>
      </c>
    </row>
    <row r="1666" spans="1:19">
      <c r="A1666" s="3">
        <v>6080</v>
      </c>
      <c r="B1666" s="83">
        <f t="array" ref="B1666">SUM(--(FREQUENCY(IF(C$2:C$3074=C1666, MATCH(D$2:D$3074, D$2:D$3074, 0)), ROW(D$2:D$3074)-ROW(D$2)+1) &gt; 0))</f>
        <v>144</v>
      </c>
      <c r="C1666" s="3">
        <v>41200007</v>
      </c>
      <c r="D1666" s="6" t="s">
        <v>3199</v>
      </c>
      <c r="E1666" s="3" t="s">
        <v>1405</v>
      </c>
      <c r="F1666" s="3" t="s">
        <v>1591</v>
      </c>
      <c r="G1666" s="68" t="str">
        <f t="shared" si="246"/>
        <v>SINGLE</v>
      </c>
      <c r="H1666" s="197">
        <f t="shared" si="257"/>
        <v>44</v>
      </c>
      <c r="I1666" s="197">
        <v>10</v>
      </c>
      <c r="J1666" s="197">
        <v>31</v>
      </c>
      <c r="K1666" s="186">
        <f t="shared" si="258"/>
        <v>45961</v>
      </c>
      <c r="L1666" s="3" t="s">
        <v>2391</v>
      </c>
      <c r="M1666" s="3" t="s">
        <v>2392</v>
      </c>
      <c r="N1666" s="3" t="str">
        <f t="shared" si="254"/>
        <v/>
      </c>
    </row>
    <row r="1667" spans="1:19">
      <c r="A1667" s="3">
        <v>6080</v>
      </c>
      <c r="B1667" s="83">
        <f t="array" ref="B1667">SUM(--(FREQUENCY(IF(C$2:C$3074=C1667, MATCH(D$2:D$3074, D$2:D$3074, 0)), ROW(D$2:D$3074)-ROW(D$2)+1) &gt; 0))</f>
        <v>144</v>
      </c>
      <c r="C1667" s="3">
        <v>41200007</v>
      </c>
      <c r="D1667" s="6" t="s">
        <v>3200</v>
      </c>
      <c r="E1667" s="3" t="s">
        <v>1405</v>
      </c>
      <c r="F1667" s="3" t="s">
        <v>1591</v>
      </c>
      <c r="G1667" s="68" t="str">
        <f t="shared" si="246"/>
        <v>SINGLE</v>
      </c>
      <c r="H1667" s="197">
        <f t="shared" si="257"/>
        <v>44</v>
      </c>
      <c r="I1667" s="197">
        <v>10</v>
      </c>
      <c r="J1667" s="197">
        <v>31</v>
      </c>
      <c r="K1667" s="186">
        <f t="shared" si="258"/>
        <v>45961</v>
      </c>
      <c r="L1667" s="3" t="s">
        <v>2391</v>
      </c>
      <c r="M1667" s="3" t="s">
        <v>2392</v>
      </c>
      <c r="N1667" s="3" t="str">
        <f t="shared" si="254"/>
        <v/>
      </c>
    </row>
    <row r="1668" spans="1:19">
      <c r="A1668" s="3">
        <v>6176</v>
      </c>
      <c r="B1668" s="83">
        <f t="array" ref="B1668">SUM(--(FREQUENCY(IF(C$2:C$3074=C1668, MATCH(D$2:D$3074, D$2:D$3074, 0)), ROW(D$2:D$3074)-ROW(D$2)+1) &gt; 0))</f>
        <v>19</v>
      </c>
      <c r="C1668" s="3">
        <v>41200124</v>
      </c>
      <c r="D1668" s="6" t="s">
        <v>3201</v>
      </c>
      <c r="E1668" s="3" t="s">
        <v>1585</v>
      </c>
      <c r="F1668" s="3" t="s">
        <v>1476</v>
      </c>
      <c r="G1668" s="68" t="str">
        <f t="shared" si="246"/>
        <v>DUAL</v>
      </c>
      <c r="H1668" s="197">
        <f t="shared" si="257"/>
        <v>44</v>
      </c>
      <c r="I1668" s="197">
        <v>10</v>
      </c>
      <c r="J1668" s="197">
        <v>31</v>
      </c>
      <c r="K1668" s="186">
        <f t="shared" si="258"/>
        <v>45961</v>
      </c>
      <c r="L1668" s="3" t="s">
        <v>2395</v>
      </c>
      <c r="M1668" s="3" t="s">
        <v>1469</v>
      </c>
      <c r="N1668" s="3" t="str">
        <f t="shared" si="254"/>
        <v>NG</v>
      </c>
      <c r="O1668" s="3" t="s">
        <v>2368</v>
      </c>
      <c r="P1668" s="3" t="s">
        <v>2563</v>
      </c>
      <c r="Q1668" s="3">
        <v>11000088</v>
      </c>
      <c r="R1668" s="3" t="s">
        <v>143</v>
      </c>
      <c r="S1668" s="3" t="s">
        <v>5353</v>
      </c>
    </row>
    <row r="1669" spans="1:19">
      <c r="A1669" s="3">
        <v>6176</v>
      </c>
      <c r="B1669" s="83">
        <f t="array" ref="B1669">SUM(--(FREQUENCY(IF(C$2:C$3074=C1669, MATCH(D$2:D$3074, D$2:D$3074, 0)), ROW(D$2:D$3074)-ROW(D$2)+1) &gt; 0))</f>
        <v>19</v>
      </c>
      <c r="C1669" s="3">
        <v>41200124</v>
      </c>
      <c r="D1669" s="6" t="s">
        <v>3202</v>
      </c>
      <c r="E1669" s="3" t="s">
        <v>1585</v>
      </c>
      <c r="F1669" s="3" t="s">
        <v>1476</v>
      </c>
      <c r="G1669" s="68" t="str">
        <f t="shared" si="246"/>
        <v>DUAL</v>
      </c>
      <c r="H1669" s="197">
        <f t="shared" si="257"/>
        <v>44</v>
      </c>
      <c r="I1669" s="197">
        <v>10</v>
      </c>
      <c r="J1669" s="197">
        <v>31</v>
      </c>
      <c r="K1669" s="186">
        <f t="shared" si="258"/>
        <v>45961</v>
      </c>
      <c r="L1669" s="3" t="s">
        <v>2395</v>
      </c>
      <c r="M1669" s="3" t="s">
        <v>1469</v>
      </c>
      <c r="N1669" s="3" t="str">
        <f t="shared" si="254"/>
        <v/>
      </c>
    </row>
    <row r="1670" spans="1:19">
      <c r="A1670" s="3">
        <v>6124</v>
      </c>
      <c r="B1670" s="83">
        <f t="array" ref="B1670">SUM(--(FREQUENCY(IF(C$2:C$3074=C1670, MATCH(D$2:D$3074, D$2:D$3074, 0)), ROW(D$2:D$3074)-ROW(D$2)+1) &gt; 0))</f>
        <v>10</v>
      </c>
      <c r="C1670" s="3">
        <v>41100286</v>
      </c>
      <c r="D1670" s="6" t="s">
        <v>3207</v>
      </c>
      <c r="E1670" s="3" t="s">
        <v>1424</v>
      </c>
      <c r="F1670" s="3" t="s">
        <v>1476</v>
      </c>
      <c r="G1670" s="68" t="str">
        <f t="shared" si="246"/>
        <v>DUAL</v>
      </c>
      <c r="H1670" s="197">
        <f t="shared" si="257"/>
        <v>45</v>
      </c>
      <c r="I1670" s="197">
        <v>11</v>
      </c>
      <c r="J1670" s="197">
        <v>3</v>
      </c>
      <c r="K1670" s="186">
        <f t="shared" si="258"/>
        <v>45964</v>
      </c>
      <c r="L1670" s="3" t="s">
        <v>2391</v>
      </c>
      <c r="M1670" s="3" t="s">
        <v>2392</v>
      </c>
      <c r="N1670" s="3" t="str">
        <f t="shared" si="254"/>
        <v/>
      </c>
    </row>
    <row r="1671" spans="1:19">
      <c r="A1671" s="3">
        <v>5937</v>
      </c>
      <c r="B1671" s="83">
        <f t="array" ref="B1671">SUM(--(FREQUENCY(IF(C$2:C$3074=C1671, MATCH(D$2:D$3074, D$2:D$3074, 0)), ROW(D$2:D$3074)-ROW(D$2)+1) &gt; 0))</f>
        <v>33</v>
      </c>
      <c r="C1671" s="3">
        <v>41100435</v>
      </c>
      <c r="D1671" s="6" t="s">
        <v>3208</v>
      </c>
      <c r="E1671" s="3" t="s">
        <v>1585</v>
      </c>
      <c r="F1671" s="3" t="s">
        <v>1482</v>
      </c>
      <c r="G1671" s="68" t="str">
        <f t="shared" si="246"/>
        <v>SINGLE</v>
      </c>
      <c r="H1671" s="197">
        <f t="shared" ref="H1671:H1676" si="259">WEEKNUM(K1671)</f>
        <v>45</v>
      </c>
      <c r="I1671" s="197">
        <v>11</v>
      </c>
      <c r="J1671" s="197">
        <v>3</v>
      </c>
      <c r="K1671" s="186">
        <f t="shared" ref="K1671:K1676" si="260">DATE(2025, I1671, J1671)</f>
        <v>45964</v>
      </c>
      <c r="L1671" s="3" t="s">
        <v>2391</v>
      </c>
      <c r="M1671" s="3" t="s">
        <v>2392</v>
      </c>
      <c r="N1671" s="3" t="str">
        <f t="shared" si="254"/>
        <v/>
      </c>
    </row>
    <row r="1672" spans="1:19">
      <c r="A1672" s="3">
        <v>6174</v>
      </c>
      <c r="B1672" s="83">
        <f t="array" ref="B1672">SUM(--(FREQUENCY(IF(C$2:C$3074=C1672, MATCH(D$2:D$3074, D$2:D$3074, 0)), ROW(D$2:D$3074)-ROW(D$2)+1) &gt; 0))</f>
        <v>33</v>
      </c>
      <c r="C1672" s="3">
        <v>41100435</v>
      </c>
      <c r="D1672" s="6" t="s">
        <v>3204</v>
      </c>
      <c r="E1672" s="3" t="s">
        <v>1585</v>
      </c>
      <c r="F1672" s="3" t="s">
        <v>1482</v>
      </c>
      <c r="G1672" s="68" t="str">
        <f t="shared" si="246"/>
        <v>SINGLE</v>
      </c>
      <c r="H1672" s="197">
        <f t="shared" si="259"/>
        <v>45</v>
      </c>
      <c r="I1672" s="197">
        <v>11</v>
      </c>
      <c r="J1672" s="197">
        <v>3</v>
      </c>
      <c r="K1672" s="186">
        <f t="shared" si="260"/>
        <v>45964</v>
      </c>
      <c r="L1672" s="3" t="s">
        <v>2391</v>
      </c>
      <c r="M1672" s="3" t="s">
        <v>1468</v>
      </c>
      <c r="N1672" s="3" t="str">
        <f t="shared" si="254"/>
        <v/>
      </c>
    </row>
    <row r="1673" spans="1:19">
      <c r="A1673" s="3">
        <v>6193</v>
      </c>
      <c r="B1673" s="83">
        <f t="array" ref="B1673">SUM(--(FREQUENCY(IF(C$2:C$3074=C1673, MATCH(D$2:D$3074, D$2:D$3074, 0)), ROW(D$2:D$3074)-ROW(D$2)+1) &gt; 0))</f>
        <v>12</v>
      </c>
      <c r="C1673" s="3">
        <v>41200048</v>
      </c>
      <c r="D1673" s="6" t="s">
        <v>3209</v>
      </c>
      <c r="E1673" s="3" t="s">
        <v>1426</v>
      </c>
      <c r="F1673" s="3" t="s">
        <v>1476</v>
      </c>
      <c r="G1673" s="41" t="str">
        <f t="shared" si="246"/>
        <v>DUAL</v>
      </c>
      <c r="H1673" s="197">
        <f t="shared" si="259"/>
        <v>45</v>
      </c>
      <c r="I1673" s="197">
        <v>11</v>
      </c>
      <c r="J1673" s="197">
        <v>3</v>
      </c>
      <c r="K1673" s="186">
        <f t="shared" si="260"/>
        <v>45964</v>
      </c>
      <c r="L1673" s="3" t="s">
        <v>2395</v>
      </c>
      <c r="M1673" s="3" t="s">
        <v>1469</v>
      </c>
      <c r="N1673" s="3" t="str">
        <f t="shared" si="254"/>
        <v>NG</v>
      </c>
      <c r="O1673" s="3" t="s">
        <v>2368</v>
      </c>
      <c r="P1673" s="3" t="s">
        <v>1385</v>
      </c>
      <c r="Q1673" s="3">
        <v>11000243</v>
      </c>
      <c r="R1673" s="3" t="s">
        <v>473</v>
      </c>
      <c r="S1673" s="3" t="s">
        <v>5354</v>
      </c>
    </row>
    <row r="1674" spans="1:19">
      <c r="A1674" s="3">
        <v>6193</v>
      </c>
      <c r="B1674" s="83">
        <f t="array" ref="B1674">SUM(--(FREQUENCY(IF(C$2:C$3074=C1674, MATCH(D$2:D$3074, D$2:D$3074, 0)), ROW(D$2:D$3074)-ROW(D$2)+1) &gt; 0))</f>
        <v>12</v>
      </c>
      <c r="C1674" s="3">
        <v>41200048</v>
      </c>
      <c r="D1674" s="6" t="s">
        <v>3209</v>
      </c>
      <c r="E1674" s="3" t="s">
        <v>1426</v>
      </c>
      <c r="F1674" s="3" t="s">
        <v>1476</v>
      </c>
      <c r="G1674" s="41" t="str">
        <f t="shared" ref="G1674" si="261">IF(OR(ISNUMBER(SEARCH("DUAL",F1674)), ISNUMBER(SEARCH("IVAS",F1674))), "DUAL", "SINGLE")</f>
        <v>DUAL</v>
      </c>
      <c r="H1674" s="197">
        <f t="shared" ref="H1674" si="262">WEEKNUM(K1674)</f>
        <v>45</v>
      </c>
      <c r="I1674" s="197">
        <v>11</v>
      </c>
      <c r="J1674" s="197">
        <v>3</v>
      </c>
      <c r="K1674" s="186">
        <f t="shared" ref="K1674" si="263">DATE(2025, I1674, J1674)</f>
        <v>45964</v>
      </c>
      <c r="L1674" s="3" t="s">
        <v>2395</v>
      </c>
      <c r="M1674" s="3" t="s">
        <v>1469</v>
      </c>
      <c r="N1674" s="3" t="str">
        <f t="shared" ref="N1674" si="264">IF(O1674&lt;&gt;"", "NG", "")</f>
        <v>NG</v>
      </c>
      <c r="O1674" s="3" t="s">
        <v>2368</v>
      </c>
      <c r="P1674" s="3" t="s">
        <v>2371</v>
      </c>
      <c r="Q1674" s="3">
        <v>11001966</v>
      </c>
      <c r="R1674" s="3" t="s">
        <v>1151</v>
      </c>
      <c r="S1674" s="3" t="s">
        <v>5355</v>
      </c>
    </row>
    <row r="1675" spans="1:19">
      <c r="A1675" s="3">
        <v>5951</v>
      </c>
      <c r="B1675" s="83">
        <f t="array" ref="B1675">SUM(--(FREQUENCY(IF(C$2:C$3074=C1675, MATCH(D$2:D$3074, D$2:D$3074, 0)), ROW(D$2:D$3074)-ROW(D$2)+1) &gt; 0))</f>
        <v>144</v>
      </c>
      <c r="C1675" s="3">
        <v>41200007</v>
      </c>
      <c r="D1675" s="6" t="s">
        <v>3210</v>
      </c>
      <c r="E1675" s="3" t="s">
        <v>1405</v>
      </c>
      <c r="F1675" s="3" t="s">
        <v>1591</v>
      </c>
      <c r="G1675" s="68" t="str">
        <f t="shared" si="246"/>
        <v>SINGLE</v>
      </c>
      <c r="H1675" s="197">
        <f>WEEKNUM(K1675)</f>
        <v>45</v>
      </c>
      <c r="I1675" s="197">
        <v>11</v>
      </c>
      <c r="J1675" s="197">
        <v>3</v>
      </c>
      <c r="K1675" s="186">
        <f t="shared" si="260"/>
        <v>45964</v>
      </c>
      <c r="L1675" s="3" t="s">
        <v>2395</v>
      </c>
      <c r="M1675" s="3" t="s">
        <v>1469</v>
      </c>
      <c r="N1675" s="3" t="str">
        <f t="shared" si="254"/>
        <v>NG</v>
      </c>
      <c r="O1675" s="3" t="s">
        <v>2368</v>
      </c>
      <c r="P1675" s="3" t="s">
        <v>2563</v>
      </c>
      <c r="Q1675" s="3">
        <v>11000916</v>
      </c>
      <c r="R1675" s="3" t="s">
        <v>347</v>
      </c>
      <c r="S1675" s="3" t="s">
        <v>5356</v>
      </c>
    </row>
    <row r="1676" spans="1:19">
      <c r="A1676" s="3">
        <v>5981</v>
      </c>
      <c r="B1676" s="83">
        <f t="array" ref="B1676">SUM(--(FREQUENCY(IF(C$2:C$3074=C1676, MATCH(D$2:D$3074, D$2:D$3074, 0)), ROW(D$2:D$3074)-ROW(D$2)+1) &gt; 0))</f>
        <v>144</v>
      </c>
      <c r="C1676" s="3">
        <v>41200007</v>
      </c>
      <c r="D1676" s="6" t="s">
        <v>3213</v>
      </c>
      <c r="E1676" s="3" t="s">
        <v>1405</v>
      </c>
      <c r="F1676" s="3" t="s">
        <v>1591</v>
      </c>
      <c r="G1676" s="68" t="str">
        <f t="shared" si="246"/>
        <v>SINGLE</v>
      </c>
      <c r="H1676" s="197">
        <f>WEEKNUM(K1676)</f>
        <v>45</v>
      </c>
      <c r="I1676" s="197">
        <v>11</v>
      </c>
      <c r="J1676" s="197">
        <v>3</v>
      </c>
      <c r="K1676" s="186">
        <f t="shared" si="260"/>
        <v>45964</v>
      </c>
      <c r="L1676" s="3" t="s">
        <v>2391</v>
      </c>
      <c r="M1676" s="3" t="s">
        <v>2392</v>
      </c>
      <c r="N1676" s="3" t="str">
        <f t="shared" si="254"/>
        <v/>
      </c>
    </row>
    <row r="1677" spans="1:19">
      <c r="A1677" s="260">
        <v>5981</v>
      </c>
      <c r="B1677" s="522">
        <f t="array" ref="B1677">SUM(--(FREQUENCY(IF(C$2:C$3074=C1677, MATCH(D$2:D$3074, D$2:D$3074, 0)), ROW(D$2:D$3074)-ROW(D$2)+1) &gt; 0))</f>
        <v>144</v>
      </c>
      <c r="C1677" s="260">
        <v>41200007</v>
      </c>
      <c r="D1677" s="523" t="s">
        <v>3214</v>
      </c>
      <c r="E1677" s="260" t="s">
        <v>1405</v>
      </c>
      <c r="F1677" s="260" t="s">
        <v>1591</v>
      </c>
      <c r="G1677" s="68" t="str">
        <f t="shared" ref="G1677" si="265">IF(OR(ISNUMBER(SEARCH("DUAL",F1677)), ISNUMBER(SEARCH("IVAS",F1677))), "DUAL", "SINGLE")</f>
        <v>SINGLE</v>
      </c>
      <c r="H1677" s="197">
        <f>WEEKNUM(K1677)</f>
        <v>45</v>
      </c>
      <c r="I1677" s="197">
        <v>11</v>
      </c>
      <c r="J1677" s="197">
        <v>4</v>
      </c>
      <c r="K1677" s="186">
        <f t="shared" ref="K1677" si="266">DATE(2025, I1677, J1677)</f>
        <v>45965</v>
      </c>
      <c r="L1677" s="3" t="s">
        <v>2391</v>
      </c>
      <c r="M1677" s="3" t="s">
        <v>2392</v>
      </c>
      <c r="N1677" s="3" t="str">
        <f t="shared" si="254"/>
        <v/>
      </c>
    </row>
    <row r="1678" spans="1:19">
      <c r="A1678" s="293">
        <v>6107</v>
      </c>
      <c r="B1678" s="520">
        <f t="array" ref="B1678">SUM(--(FREQUENCY(IF(C$2:C$3074=C1678, MATCH(D$2:D$3074, D$2:D$3074, 0)), ROW(D$2:D$3074)-ROW(D$2)+1) &gt; 0))</f>
        <v>11</v>
      </c>
      <c r="C1678" s="293">
        <v>41200105</v>
      </c>
      <c r="D1678" s="521" t="s">
        <v>3217</v>
      </c>
      <c r="E1678" s="293" t="s">
        <v>1424</v>
      </c>
      <c r="F1678" s="293" t="s">
        <v>1476</v>
      </c>
      <c r="G1678" s="396" t="str">
        <f t="shared" si="246"/>
        <v>DUAL</v>
      </c>
      <c r="H1678" s="197">
        <f t="shared" ref="H1678:H1705" si="267">WEEKNUM(K1678)</f>
        <v>45</v>
      </c>
      <c r="I1678" s="197">
        <v>11</v>
      </c>
      <c r="J1678" s="197">
        <v>4</v>
      </c>
      <c r="K1678" s="186">
        <f t="shared" ref="K1678:K1683" si="268">DATE(2025, I1678, J1678)</f>
        <v>45965</v>
      </c>
      <c r="L1678" s="3" t="s">
        <v>2395</v>
      </c>
      <c r="M1678" s="3" t="s">
        <v>1468</v>
      </c>
      <c r="N1678" s="3" t="str">
        <f t="shared" si="254"/>
        <v/>
      </c>
    </row>
    <row r="1679" spans="1:19">
      <c r="A1679" s="293">
        <v>6193</v>
      </c>
      <c r="B1679" s="520">
        <f t="array" ref="B1679">SUM(--(FREQUENCY(IF(C$2:C$3074=C1679, MATCH(D$2:D$3074, D$2:D$3074, 0)), ROW(D$2:D$3074)-ROW(D$2)+1) &gt; 0))</f>
        <v>12</v>
      </c>
      <c r="C1679" s="293">
        <v>41200048</v>
      </c>
      <c r="D1679" s="521" t="s">
        <v>3218</v>
      </c>
      <c r="E1679" s="293" t="s">
        <v>1426</v>
      </c>
      <c r="F1679" s="293" t="s">
        <v>1476</v>
      </c>
      <c r="G1679" s="396" t="str">
        <f t="shared" si="246"/>
        <v>DUAL</v>
      </c>
      <c r="H1679" s="197">
        <f t="shared" si="267"/>
        <v>45</v>
      </c>
      <c r="I1679" s="197">
        <v>11</v>
      </c>
      <c r="J1679" s="197">
        <v>4</v>
      </c>
      <c r="K1679" s="186">
        <f t="shared" si="268"/>
        <v>45965</v>
      </c>
      <c r="L1679" s="3" t="s">
        <v>2395</v>
      </c>
      <c r="M1679" s="3" t="s">
        <v>1469</v>
      </c>
      <c r="N1679" s="3" t="str">
        <f t="shared" si="254"/>
        <v>NG</v>
      </c>
      <c r="O1679" s="3" t="s">
        <v>2368</v>
      </c>
      <c r="P1679" s="3" t="s">
        <v>2482</v>
      </c>
      <c r="Q1679" s="3">
        <v>11008325</v>
      </c>
      <c r="R1679" s="3" t="s">
        <v>287</v>
      </c>
      <c r="S1679" s="3" t="s">
        <v>5357</v>
      </c>
    </row>
    <row r="1680" spans="1:19">
      <c r="A1680" s="293">
        <v>6193</v>
      </c>
      <c r="B1680" s="520">
        <f t="array" ref="B1680">SUM(--(FREQUENCY(IF(C$2:C$3074=C1680, MATCH(D$2:D$3074, D$2:D$3074, 0)), ROW(D$2:D$3074)-ROW(D$2)+1) &gt; 0))</f>
        <v>12</v>
      </c>
      <c r="C1680" s="293">
        <v>41200048</v>
      </c>
      <c r="D1680" s="521" t="s">
        <v>3219</v>
      </c>
      <c r="E1680" s="293" t="s">
        <v>1426</v>
      </c>
      <c r="F1680" s="293" t="s">
        <v>1476</v>
      </c>
      <c r="G1680" s="396" t="str">
        <f t="shared" si="246"/>
        <v>DUAL</v>
      </c>
      <c r="H1680" s="197">
        <f t="shared" si="267"/>
        <v>45</v>
      </c>
      <c r="I1680" s="197">
        <v>11</v>
      </c>
      <c r="J1680" s="197">
        <v>4</v>
      </c>
      <c r="K1680" s="186">
        <f t="shared" si="268"/>
        <v>45965</v>
      </c>
      <c r="L1680" s="3" t="s">
        <v>2395</v>
      </c>
      <c r="M1680" s="3" t="s">
        <v>1469</v>
      </c>
      <c r="N1680" s="3" t="str">
        <f t="shared" si="254"/>
        <v>NG</v>
      </c>
      <c r="O1680" s="3" t="s">
        <v>2368</v>
      </c>
      <c r="P1680" s="3" t="s">
        <v>5112</v>
      </c>
      <c r="Q1680" s="3">
        <v>11002195</v>
      </c>
      <c r="R1680" s="3" t="s">
        <v>438</v>
      </c>
      <c r="S1680" s="3" t="s">
        <v>5358</v>
      </c>
    </row>
    <row r="1681" spans="1:21">
      <c r="A1681" s="293">
        <v>6090</v>
      </c>
      <c r="B1681" s="520">
        <f t="array" ref="B1681">SUM(--(FREQUENCY(IF(C$2:C$3074=C1681, MATCH(D$2:D$3074, D$2:D$3074, 0)), ROW(D$2:D$3074)-ROW(D$2)+1) &gt; 0))</f>
        <v>14</v>
      </c>
      <c r="C1681" s="293">
        <v>41200129</v>
      </c>
      <c r="D1681" s="521" t="s">
        <v>3212</v>
      </c>
      <c r="E1681" s="293" t="s">
        <v>1431</v>
      </c>
      <c r="F1681" s="293" t="s">
        <v>1591</v>
      </c>
      <c r="G1681" s="396" t="str">
        <f t="shared" si="246"/>
        <v>SINGLE</v>
      </c>
      <c r="H1681" s="197">
        <f t="shared" si="267"/>
        <v>45</v>
      </c>
      <c r="I1681" s="197">
        <v>11</v>
      </c>
      <c r="J1681" s="197">
        <v>4</v>
      </c>
      <c r="K1681" s="186">
        <f t="shared" si="268"/>
        <v>45965</v>
      </c>
      <c r="L1681" s="3" t="s">
        <v>2395</v>
      </c>
      <c r="M1681" s="3" t="s">
        <v>1469</v>
      </c>
      <c r="N1681" s="3" t="str">
        <f t="shared" si="254"/>
        <v/>
      </c>
    </row>
    <row r="1682" spans="1:21">
      <c r="A1682" s="293">
        <v>6106</v>
      </c>
      <c r="B1682" s="520">
        <f t="array" ref="B1682">SUM(--(FREQUENCY(IF(C$2:C$3074=C1682, MATCH(D$2:D$3074, D$2:D$3074, 0)), ROW(D$2:D$3074)-ROW(D$2)+1) &gt; 0))</f>
        <v>6</v>
      </c>
      <c r="C1682" s="293">
        <v>41200133</v>
      </c>
      <c r="D1682" s="521" t="s">
        <v>3215</v>
      </c>
      <c r="E1682" s="293" t="s">
        <v>1429</v>
      </c>
      <c r="F1682" s="293" t="s">
        <v>1476</v>
      </c>
      <c r="G1682" s="524" t="str">
        <f t="shared" si="246"/>
        <v>DUAL</v>
      </c>
      <c r="H1682" s="197">
        <f t="shared" si="267"/>
        <v>45</v>
      </c>
      <c r="I1682" s="197">
        <v>11</v>
      </c>
      <c r="J1682" s="197">
        <v>4</v>
      </c>
      <c r="K1682" s="186">
        <f t="shared" si="268"/>
        <v>45965</v>
      </c>
      <c r="L1682" s="3" t="s">
        <v>2395</v>
      </c>
      <c r="M1682" s="3" t="s">
        <v>2392</v>
      </c>
      <c r="N1682" s="3" t="str">
        <f t="shared" si="254"/>
        <v>NG</v>
      </c>
      <c r="O1682" s="3" t="s">
        <v>2368</v>
      </c>
      <c r="P1682" s="408" t="s">
        <v>2371</v>
      </c>
      <c r="Q1682" s="417">
        <v>11001966</v>
      </c>
      <c r="R1682" s="417" t="s">
        <v>1151</v>
      </c>
      <c r="S1682" s="408" t="s">
        <v>5359</v>
      </c>
    </row>
    <row r="1683" spans="1:21">
      <c r="A1683" s="293">
        <v>6106</v>
      </c>
      <c r="B1683" s="520">
        <f t="array" ref="B1683">SUM(--(FREQUENCY(IF(C$2:C$3074=C1683, MATCH(D$2:D$3074, D$2:D$3074, 0)), ROW(D$2:D$3074)-ROW(D$2)+1) &gt; 0))</f>
        <v>6</v>
      </c>
      <c r="C1683" s="293">
        <v>41200133</v>
      </c>
      <c r="D1683" s="521" t="s">
        <v>3215</v>
      </c>
      <c r="E1683" s="293" t="s">
        <v>1429</v>
      </c>
      <c r="F1683" s="293" t="s">
        <v>1476</v>
      </c>
      <c r="G1683" s="524" t="str">
        <f t="shared" si="246"/>
        <v>DUAL</v>
      </c>
      <c r="H1683" s="197">
        <f t="shared" si="267"/>
        <v>45</v>
      </c>
      <c r="I1683" s="197">
        <v>11</v>
      </c>
      <c r="J1683" s="197">
        <v>4</v>
      </c>
      <c r="K1683" s="186">
        <f t="shared" si="268"/>
        <v>45965</v>
      </c>
      <c r="L1683" s="3" t="s">
        <v>2395</v>
      </c>
      <c r="M1683" s="3" t="s">
        <v>2392</v>
      </c>
      <c r="N1683" s="3" t="str">
        <f t="shared" ref="N1683" si="269">IF(O1683&lt;&gt;"", "NG", "")</f>
        <v>NG</v>
      </c>
      <c r="O1683" s="3" t="s">
        <v>2368</v>
      </c>
      <c r="P1683" s="3" t="s">
        <v>2541</v>
      </c>
      <c r="Q1683" s="3">
        <v>11000125</v>
      </c>
      <c r="R1683" s="3" t="s">
        <v>1049</v>
      </c>
      <c r="S1683" s="3" t="s">
        <v>5360</v>
      </c>
    </row>
    <row r="1684" spans="1:21">
      <c r="A1684" s="293">
        <v>6106</v>
      </c>
      <c r="B1684" s="520">
        <f t="array" ref="B1684">SUM(--(FREQUENCY(IF(C$2:C$3074=C1684, MATCH(D$2:D$3074, D$2:D$3074, 0)), ROW(D$2:D$3074)-ROW(D$2)+1) &gt; 0))</f>
        <v>6</v>
      </c>
      <c r="C1684" s="293">
        <v>41200133</v>
      </c>
      <c r="D1684" s="521" t="s">
        <v>3216</v>
      </c>
      <c r="E1684" s="293" t="s">
        <v>1429</v>
      </c>
      <c r="F1684" s="293" t="s">
        <v>1476</v>
      </c>
      <c r="G1684" s="396" t="str">
        <f t="shared" ref="G1684" si="270">IF(OR(ISNUMBER(SEARCH("DUAL",F1684)), ISNUMBER(SEARCH("IVAS",F1684))), "DUAL", "SINGLE")</f>
        <v>DUAL</v>
      </c>
      <c r="H1684" s="197">
        <f t="shared" si="267"/>
        <v>45</v>
      </c>
      <c r="I1684" s="197">
        <v>11</v>
      </c>
      <c r="J1684" s="197">
        <v>4</v>
      </c>
      <c r="K1684" s="186">
        <f t="shared" ref="K1684:K1705" si="271">DATE(2025, I1684, J1684)</f>
        <v>45965</v>
      </c>
      <c r="L1684" s="3" t="s">
        <v>2395</v>
      </c>
      <c r="M1684" s="3" t="s">
        <v>2392</v>
      </c>
      <c r="N1684" s="3" t="str">
        <f t="shared" si="254"/>
        <v/>
      </c>
    </row>
    <row r="1685" spans="1:21">
      <c r="A1685" s="3">
        <v>6177</v>
      </c>
      <c r="B1685" s="83">
        <f t="array" ref="B1685">SUM(--(FREQUENCY(IF(C$2:C$3074=C1685, MATCH(D$2:D$3074, D$2:D$3074, 0)), ROW(D$2:D$3074)-ROW(D$2)+1) &gt; 0))</f>
        <v>19</v>
      </c>
      <c r="C1685" s="3">
        <v>41200124</v>
      </c>
      <c r="D1685" s="6" t="s">
        <v>3222</v>
      </c>
      <c r="E1685" s="3" t="s">
        <v>1585</v>
      </c>
      <c r="F1685" s="3" t="s">
        <v>1476</v>
      </c>
      <c r="G1685" s="68" t="s">
        <v>2675</v>
      </c>
      <c r="H1685" s="197">
        <f t="shared" si="267"/>
        <v>45</v>
      </c>
      <c r="I1685" s="197">
        <v>11</v>
      </c>
      <c r="J1685" s="197">
        <v>5</v>
      </c>
      <c r="K1685" s="186">
        <f t="shared" si="271"/>
        <v>45966</v>
      </c>
      <c r="L1685" s="3" t="s">
        <v>2391</v>
      </c>
      <c r="M1685" s="3" t="s">
        <v>2392</v>
      </c>
      <c r="N1685" s="3" t="s">
        <v>2877</v>
      </c>
      <c r="O1685" s="3" t="s">
        <v>2368</v>
      </c>
      <c r="P1685" s="3" t="s">
        <v>1385</v>
      </c>
      <c r="Q1685" s="3">
        <v>11000136</v>
      </c>
      <c r="R1685" s="3" t="s">
        <v>1049</v>
      </c>
      <c r="S1685" s="3" t="s">
        <v>5361</v>
      </c>
    </row>
    <row r="1686" spans="1:21">
      <c r="A1686" s="3">
        <v>6116</v>
      </c>
      <c r="B1686" s="83">
        <f t="array" ref="B1686">SUM(--(FREQUENCY(IF(C$2:C$3074=C1686, MATCH(D$2:D$3074, D$2:D$3074, 0)), ROW(D$2:D$3074)-ROW(D$2)+1) &gt; 0))</f>
        <v>10</v>
      </c>
      <c r="C1686" s="3">
        <v>41100317</v>
      </c>
      <c r="D1686" s="6" t="s">
        <v>3223</v>
      </c>
      <c r="E1686" s="3" t="s">
        <v>1585</v>
      </c>
      <c r="F1686" s="3" t="s">
        <v>1476</v>
      </c>
      <c r="G1686" s="68" t="s">
        <v>2675</v>
      </c>
      <c r="H1686" s="197">
        <f t="shared" si="267"/>
        <v>45</v>
      </c>
      <c r="I1686" s="197">
        <v>11</v>
      </c>
      <c r="J1686" s="197">
        <v>5</v>
      </c>
      <c r="K1686" s="186">
        <f t="shared" si="271"/>
        <v>45966</v>
      </c>
      <c r="L1686" s="3" t="s">
        <v>2391</v>
      </c>
      <c r="M1686" s="3" t="s">
        <v>1468</v>
      </c>
      <c r="N1686" s="3" t="str">
        <f t="shared" si="254"/>
        <v/>
      </c>
    </row>
    <row r="1687" spans="1:21">
      <c r="A1687" s="3">
        <v>6092</v>
      </c>
      <c r="B1687" s="83">
        <f t="array" ref="B1687">SUM(--(FREQUENCY(IF(C$2:C$3074=C1687, MATCH(D$2:D$3074, D$2:D$3074, 0)), ROW(D$2:D$3074)-ROW(D$2)+1) &gt; 0))</f>
        <v>6</v>
      </c>
      <c r="C1687" s="3">
        <v>41200136</v>
      </c>
      <c r="D1687" s="6" t="s">
        <v>3224</v>
      </c>
      <c r="E1687" s="3" t="s">
        <v>1431</v>
      </c>
      <c r="F1687" s="3" t="s">
        <v>1482</v>
      </c>
      <c r="G1687" s="41" t="str">
        <f t="shared" si="246"/>
        <v>SINGLE</v>
      </c>
      <c r="H1687" s="197">
        <f t="shared" si="267"/>
        <v>45</v>
      </c>
      <c r="I1687" s="197">
        <v>11</v>
      </c>
      <c r="J1687" s="197">
        <v>5</v>
      </c>
      <c r="K1687" s="186">
        <f t="shared" si="271"/>
        <v>45966</v>
      </c>
      <c r="L1687" s="3" t="s">
        <v>2395</v>
      </c>
      <c r="M1687" s="3" t="s">
        <v>1469</v>
      </c>
      <c r="N1687" s="3" t="s">
        <v>2877</v>
      </c>
      <c r="O1687" s="3" t="s">
        <v>2368</v>
      </c>
      <c r="P1687" s="3" t="s">
        <v>2482</v>
      </c>
      <c r="Q1687" s="3">
        <v>11002283</v>
      </c>
      <c r="R1687" s="3" t="s">
        <v>932</v>
      </c>
      <c r="S1687" s="11" t="s">
        <v>5362</v>
      </c>
    </row>
    <row r="1688" spans="1:21">
      <c r="A1688" s="3">
        <v>6092</v>
      </c>
      <c r="B1688" s="83">
        <f t="array" ref="B1688">SUM(--(FREQUENCY(IF(C$2:C$3074=C1688, MATCH(D$2:D$3074, D$2:D$3074, 0)), ROW(D$2:D$3074)-ROW(D$2)+1) &gt; 0))</f>
        <v>6</v>
      </c>
      <c r="C1688" s="3">
        <v>41200136</v>
      </c>
      <c r="D1688" s="6" t="s">
        <v>3224</v>
      </c>
      <c r="E1688" s="3" t="s">
        <v>1431</v>
      </c>
      <c r="F1688" s="3" t="s">
        <v>1482</v>
      </c>
      <c r="G1688" s="41" t="str">
        <f t="shared" ref="G1688" si="272">IF(OR(ISNUMBER(SEARCH("DUAL",F1688)), ISNUMBER(SEARCH("IVAS",F1688))), "DUAL", "SINGLE")</f>
        <v>SINGLE</v>
      </c>
      <c r="H1688" s="197">
        <f t="shared" si="267"/>
        <v>45</v>
      </c>
      <c r="I1688" s="197">
        <v>11</v>
      </c>
      <c r="J1688" s="197">
        <v>5</v>
      </c>
      <c r="K1688" s="186">
        <f t="shared" si="271"/>
        <v>45966</v>
      </c>
      <c r="L1688" s="3" t="s">
        <v>2395</v>
      </c>
      <c r="M1688" s="3" t="s">
        <v>1469</v>
      </c>
      <c r="N1688" s="3" t="s">
        <v>2877</v>
      </c>
      <c r="O1688" s="3" t="s">
        <v>2368</v>
      </c>
      <c r="P1688" s="3" t="s">
        <v>2482</v>
      </c>
      <c r="Q1688" s="3">
        <v>11002283</v>
      </c>
      <c r="R1688" s="3" t="s">
        <v>932</v>
      </c>
      <c r="S1688" s="11" t="s">
        <v>5363</v>
      </c>
    </row>
    <row r="1689" spans="1:21">
      <c r="A1689" s="3">
        <v>6214</v>
      </c>
      <c r="B1689" s="83">
        <f t="array" ref="B1689">SUM(--(FREQUENCY(IF(C$2:C$3074=C1689, MATCH(D$2:D$3074, D$2:D$3074, 0)), ROW(D$2:D$3074)-ROW(D$2)+1) &gt; 0))</f>
        <v>6</v>
      </c>
      <c r="C1689" s="3">
        <v>41200184</v>
      </c>
      <c r="D1689" s="6" t="s">
        <v>3225</v>
      </c>
      <c r="E1689" s="3" t="s">
        <v>1394</v>
      </c>
      <c r="F1689" s="3" t="s">
        <v>1479</v>
      </c>
      <c r="G1689" s="68" t="str">
        <f t="shared" si="246"/>
        <v>SINGLE</v>
      </c>
      <c r="H1689" s="197">
        <f t="shared" si="267"/>
        <v>45</v>
      </c>
      <c r="I1689" s="197">
        <v>11</v>
      </c>
      <c r="J1689" s="197">
        <v>5</v>
      </c>
      <c r="K1689" s="186">
        <f t="shared" si="271"/>
        <v>45966</v>
      </c>
      <c r="L1689" s="3" t="s">
        <v>2395</v>
      </c>
      <c r="M1689" s="3" t="s">
        <v>1469</v>
      </c>
      <c r="N1689" s="3" t="str">
        <f t="shared" si="254"/>
        <v/>
      </c>
    </row>
    <row r="1690" spans="1:21">
      <c r="A1690" s="3">
        <v>6214</v>
      </c>
      <c r="B1690" s="83">
        <f t="array" ref="B1690">SUM(--(FREQUENCY(IF(C$2:C$3074=C1690, MATCH(D$2:D$3074, D$2:D$3074, 0)), ROW(D$2:D$3074)-ROW(D$2)+1) &gt; 0))</f>
        <v>6</v>
      </c>
      <c r="C1690" s="3">
        <v>41200184</v>
      </c>
      <c r="D1690" s="6" t="s">
        <v>3226</v>
      </c>
      <c r="E1690" s="3" t="s">
        <v>1394</v>
      </c>
      <c r="F1690" s="3" t="s">
        <v>1479</v>
      </c>
      <c r="G1690" s="68" t="str">
        <f t="shared" si="246"/>
        <v>SINGLE</v>
      </c>
      <c r="H1690" s="197">
        <f t="shared" si="267"/>
        <v>45</v>
      </c>
      <c r="I1690" s="197">
        <v>11</v>
      </c>
      <c r="J1690" s="197">
        <v>5</v>
      </c>
      <c r="K1690" s="186">
        <f t="shared" si="271"/>
        <v>45966</v>
      </c>
      <c r="L1690" s="3" t="s">
        <v>2395</v>
      </c>
      <c r="M1690" s="3" t="s">
        <v>1469</v>
      </c>
      <c r="N1690" s="3" t="str">
        <f t="shared" si="254"/>
        <v/>
      </c>
    </row>
    <row r="1691" spans="1:21">
      <c r="A1691" s="3">
        <v>6214</v>
      </c>
      <c r="B1691" s="83">
        <f t="array" ref="B1691">SUM(--(FREQUENCY(IF(C$2:C$3074=C1691, MATCH(D$2:D$3074, D$2:D$3074, 0)), ROW(D$2:D$3074)-ROW(D$2)+1) &gt; 0))</f>
        <v>6</v>
      </c>
      <c r="C1691" s="3">
        <v>41200184</v>
      </c>
      <c r="D1691" s="6" t="s">
        <v>3228</v>
      </c>
      <c r="E1691" s="3" t="s">
        <v>1394</v>
      </c>
      <c r="F1691" s="3" t="s">
        <v>1479</v>
      </c>
      <c r="G1691" s="68" t="str">
        <f t="shared" si="246"/>
        <v>SINGLE</v>
      </c>
      <c r="H1691" s="197">
        <f t="shared" si="267"/>
        <v>45</v>
      </c>
      <c r="I1691" s="197">
        <v>11</v>
      </c>
      <c r="J1691" s="197">
        <v>5</v>
      </c>
      <c r="K1691" s="186">
        <f t="shared" si="271"/>
        <v>45966</v>
      </c>
      <c r="L1691" s="3" t="s">
        <v>2395</v>
      </c>
      <c r="M1691" s="3" t="s">
        <v>1469</v>
      </c>
      <c r="N1691" s="3" t="str">
        <f t="shared" si="254"/>
        <v/>
      </c>
    </row>
    <row r="1692" spans="1:21">
      <c r="A1692" s="3">
        <v>6172</v>
      </c>
      <c r="B1692" s="83">
        <f t="array" ref="B1692">SUM(--(FREQUENCY(IF(C$2:C$3074=C1692, MATCH(D$2:D$3074, D$2:D$3074, 0)), ROW(D$2:D$3074)-ROW(D$2)+1) &gt; 0))</f>
        <v>30</v>
      </c>
      <c r="C1692" s="3">
        <v>41200109</v>
      </c>
      <c r="D1692" s="6" t="s">
        <v>3229</v>
      </c>
      <c r="E1692" s="3" t="s">
        <v>1585</v>
      </c>
      <c r="F1692" s="3" t="s">
        <v>1591</v>
      </c>
      <c r="G1692" s="68" t="str">
        <f t="shared" si="246"/>
        <v>SINGLE</v>
      </c>
      <c r="H1692" s="197">
        <f t="shared" si="267"/>
        <v>45</v>
      </c>
      <c r="I1692" s="197">
        <v>11</v>
      </c>
      <c r="J1692" s="197">
        <v>5</v>
      </c>
      <c r="K1692" s="186">
        <f t="shared" si="271"/>
        <v>45966</v>
      </c>
      <c r="L1692" s="3" t="s">
        <v>2391</v>
      </c>
      <c r="M1692" s="3" t="s">
        <v>2392</v>
      </c>
      <c r="N1692" s="3" t="str">
        <f t="shared" si="254"/>
        <v/>
      </c>
    </row>
    <row r="1693" spans="1:21">
      <c r="A1693" s="3">
        <v>6172</v>
      </c>
      <c r="B1693" s="83">
        <f t="array" ref="B1693">SUM(--(FREQUENCY(IF(C$2:C$3074=C1693, MATCH(D$2:D$3074, D$2:D$3074, 0)), ROW(D$2:D$3074)-ROW(D$2)+1) &gt; 0))</f>
        <v>30</v>
      </c>
      <c r="C1693" s="3">
        <v>41200109</v>
      </c>
      <c r="D1693" s="6" t="s">
        <v>3230</v>
      </c>
      <c r="E1693" s="3" t="s">
        <v>1585</v>
      </c>
      <c r="F1693" s="3" t="s">
        <v>1591</v>
      </c>
      <c r="G1693" s="68" t="str">
        <f t="shared" si="246"/>
        <v>SINGLE</v>
      </c>
      <c r="H1693" s="197">
        <f t="shared" si="267"/>
        <v>45</v>
      </c>
      <c r="I1693" s="197">
        <v>11</v>
      </c>
      <c r="J1693" s="197">
        <v>5</v>
      </c>
      <c r="K1693" s="186">
        <f t="shared" si="271"/>
        <v>45966</v>
      </c>
      <c r="L1693" s="3" t="s">
        <v>2391</v>
      </c>
      <c r="M1693" s="3" t="s">
        <v>2392</v>
      </c>
      <c r="N1693" s="3" t="str">
        <f t="shared" si="254"/>
        <v/>
      </c>
    </row>
    <row r="1694" spans="1:21">
      <c r="A1694" s="11">
        <v>6248</v>
      </c>
      <c r="B1694" s="123">
        <f t="array" ref="B1694">SUM(--(FREQUENCY(IF(C$2:C$3074=C1694, MATCH(D$2:D$3074, D$2:D$3074, 0)), ROW(D$2:D$3074)-ROW(D$2)+1) &gt; 0))</f>
        <v>33</v>
      </c>
      <c r="C1694" s="11">
        <v>41100435</v>
      </c>
      <c r="D1694" s="11" t="s">
        <v>3231</v>
      </c>
      <c r="E1694" s="11" t="s">
        <v>1585</v>
      </c>
      <c r="F1694" s="11" t="s">
        <v>1482</v>
      </c>
      <c r="G1694" s="41" t="str">
        <f t="shared" si="246"/>
        <v>SINGLE</v>
      </c>
      <c r="H1694" s="197">
        <f t="shared" si="267"/>
        <v>45</v>
      </c>
      <c r="I1694" s="526">
        <v>11</v>
      </c>
      <c r="J1694" s="526">
        <v>5</v>
      </c>
      <c r="K1694" s="186">
        <f t="shared" si="271"/>
        <v>45966</v>
      </c>
      <c r="L1694" s="11" t="s">
        <v>2391</v>
      </c>
      <c r="M1694" s="11" t="s">
        <v>2392</v>
      </c>
      <c r="N1694" s="11" t="s">
        <v>2877</v>
      </c>
      <c r="O1694" s="11" t="s">
        <v>2368</v>
      </c>
      <c r="P1694" s="11" t="s">
        <v>2482</v>
      </c>
      <c r="Q1694" s="11">
        <v>11002737</v>
      </c>
      <c r="R1694" s="11" t="s">
        <v>735</v>
      </c>
      <c r="S1694" s="11" t="s">
        <v>5364</v>
      </c>
      <c r="T1694" s="11"/>
      <c r="U1694" s="11"/>
    </row>
    <row r="1695" spans="1:21">
      <c r="A1695" s="11">
        <v>6248</v>
      </c>
      <c r="B1695" s="123">
        <f t="array" ref="B1695">SUM(--(FREQUENCY(IF(C$2:C$3074=C1695, MATCH(D$2:D$3074, D$2:D$3074, 0)), ROW(D$2:D$3074)-ROW(D$2)+1) &gt; 0))</f>
        <v>33</v>
      </c>
      <c r="C1695" s="11">
        <v>41100435</v>
      </c>
      <c r="D1695" s="11" t="s">
        <v>3231</v>
      </c>
      <c r="E1695" s="11" t="s">
        <v>1585</v>
      </c>
      <c r="F1695" s="11" t="s">
        <v>1482</v>
      </c>
      <c r="G1695" s="41" t="str">
        <f t="shared" ref="G1695" si="273">IF(OR(ISNUMBER(SEARCH("DUAL",F1695)), ISNUMBER(SEARCH("IVAS",F1695))), "DUAL", "SINGLE")</f>
        <v>SINGLE</v>
      </c>
      <c r="H1695" s="197">
        <f t="shared" si="267"/>
        <v>45</v>
      </c>
      <c r="I1695" s="526">
        <v>11</v>
      </c>
      <c r="J1695" s="526">
        <v>5</v>
      </c>
      <c r="K1695" s="186">
        <f t="shared" si="271"/>
        <v>45966</v>
      </c>
      <c r="L1695" s="11" t="s">
        <v>2391</v>
      </c>
      <c r="M1695" s="11" t="s">
        <v>2392</v>
      </c>
      <c r="N1695" s="11" t="s">
        <v>2877</v>
      </c>
      <c r="O1695" s="11" t="s">
        <v>2368</v>
      </c>
      <c r="P1695" s="11" t="s">
        <v>1385</v>
      </c>
      <c r="Q1695" s="11">
        <v>11003722</v>
      </c>
      <c r="R1695" s="11" t="s">
        <v>255</v>
      </c>
      <c r="S1695" s="11" t="s">
        <v>5365</v>
      </c>
      <c r="T1695" s="11"/>
      <c r="U1695" s="11"/>
    </row>
    <row r="1696" spans="1:21">
      <c r="A1696" s="3">
        <v>6248</v>
      </c>
      <c r="B1696" s="83">
        <f t="array" ref="B1696">SUM(--(FREQUENCY(IF(C$2:C$3074=C1696, MATCH(D$2:D$3074, D$2:D$3074, 0)), ROW(D$2:D$3074)-ROW(D$2)+1) &gt; 0))</f>
        <v>33</v>
      </c>
      <c r="C1696" s="3">
        <v>41100435</v>
      </c>
      <c r="D1696" s="6" t="s">
        <v>3232</v>
      </c>
      <c r="E1696" s="3" t="s">
        <v>1585</v>
      </c>
      <c r="F1696" s="3" t="s">
        <v>1482</v>
      </c>
      <c r="G1696" s="68" t="str">
        <f t="shared" si="246"/>
        <v>SINGLE</v>
      </c>
      <c r="H1696" s="197">
        <f t="shared" si="267"/>
        <v>45</v>
      </c>
      <c r="I1696" s="197">
        <v>11</v>
      </c>
      <c r="J1696" s="197">
        <v>5</v>
      </c>
      <c r="K1696" s="186">
        <f t="shared" si="271"/>
        <v>45966</v>
      </c>
      <c r="L1696" s="3" t="s">
        <v>2391</v>
      </c>
      <c r="M1696" s="3" t="s">
        <v>2392</v>
      </c>
      <c r="N1696" s="3" t="str">
        <f t="shared" si="254"/>
        <v/>
      </c>
    </row>
    <row r="1697" spans="1:19">
      <c r="A1697" s="408">
        <v>5981</v>
      </c>
      <c r="B1697" s="83">
        <f t="array" ref="B1697">SUM(--(FREQUENCY(IF(C$2:C$3050=C1697, MATCH(D$2:D$3050, D$2:D$3050, 0)), ROW(D$2:D$3050)-ROW(D$2)+1) &gt; 0))</f>
        <v>144</v>
      </c>
      <c r="C1697" s="260">
        <v>41200007</v>
      </c>
      <c r="D1697" s="408" t="s">
        <v>3233</v>
      </c>
      <c r="E1697" s="3" t="s">
        <v>1405</v>
      </c>
      <c r="F1697" s="3" t="s">
        <v>1591</v>
      </c>
      <c r="G1697" s="68" t="str">
        <f t="shared" si="246"/>
        <v>SINGLE</v>
      </c>
      <c r="H1697" s="197">
        <f t="shared" si="267"/>
        <v>45</v>
      </c>
      <c r="I1697" s="197">
        <v>11</v>
      </c>
      <c r="J1697" s="197">
        <v>6</v>
      </c>
      <c r="K1697" s="186">
        <f t="shared" si="271"/>
        <v>45967</v>
      </c>
      <c r="L1697" s="3" t="s">
        <v>2391</v>
      </c>
      <c r="M1697" s="3" t="s">
        <v>2392</v>
      </c>
      <c r="N1697" s="3" t="str">
        <f t="shared" si="254"/>
        <v/>
      </c>
    </row>
    <row r="1698" spans="1:19">
      <c r="A1698" s="408">
        <v>5981</v>
      </c>
      <c r="B1698" s="83">
        <f t="array" ref="B1698">SUM(--(FREQUENCY(IF(C$2:C$3050=C1698, MATCH(D$2:D$3050, D$2:D$3050, 0)), ROW(D$2:D$3050)-ROW(D$2)+1) &gt; 0))</f>
        <v>144</v>
      </c>
      <c r="C1698" s="260">
        <v>41200007</v>
      </c>
      <c r="D1698" s="408" t="s">
        <v>3234</v>
      </c>
      <c r="E1698" s="3" t="s">
        <v>1405</v>
      </c>
      <c r="F1698" s="3" t="s">
        <v>1591</v>
      </c>
      <c r="G1698" s="68" t="str">
        <f t="shared" si="246"/>
        <v>SINGLE</v>
      </c>
      <c r="H1698" s="197">
        <f t="shared" si="267"/>
        <v>45</v>
      </c>
      <c r="I1698" s="197">
        <v>11</v>
      </c>
      <c r="J1698" s="197">
        <v>6</v>
      </c>
      <c r="K1698" s="186">
        <f t="shared" si="271"/>
        <v>45967</v>
      </c>
      <c r="L1698" s="3" t="s">
        <v>2391</v>
      </c>
      <c r="M1698" s="3" t="s">
        <v>2392</v>
      </c>
      <c r="N1698" s="3" t="str">
        <f t="shared" si="254"/>
        <v/>
      </c>
    </row>
    <row r="1699" spans="1:19">
      <c r="A1699" s="408">
        <v>5981</v>
      </c>
      <c r="B1699" s="83">
        <f t="array" ref="B1699">SUM(--(FREQUENCY(IF(C$2:C$3050=C1699, MATCH(D$2:D$3050, D$2:D$3050, 0)), ROW(D$2:D$3050)-ROW(D$2)+1) &gt; 0))</f>
        <v>144</v>
      </c>
      <c r="C1699" s="260">
        <v>41200007</v>
      </c>
      <c r="D1699" s="408" t="s">
        <v>3235</v>
      </c>
      <c r="E1699" s="3" t="s">
        <v>1405</v>
      </c>
      <c r="F1699" s="3" t="s">
        <v>1591</v>
      </c>
      <c r="G1699" s="68" t="str">
        <f t="shared" si="246"/>
        <v>SINGLE</v>
      </c>
      <c r="H1699" s="197">
        <f t="shared" si="267"/>
        <v>45</v>
      </c>
      <c r="I1699" s="197">
        <v>11</v>
      </c>
      <c r="J1699" s="197">
        <v>6</v>
      </c>
      <c r="K1699" s="186">
        <f t="shared" si="271"/>
        <v>45967</v>
      </c>
      <c r="L1699" s="3" t="s">
        <v>2391</v>
      </c>
      <c r="M1699" s="3" t="s">
        <v>2392</v>
      </c>
      <c r="N1699" s="3" t="str">
        <f t="shared" si="254"/>
        <v/>
      </c>
    </row>
    <row r="1700" spans="1:19">
      <c r="A1700" s="408">
        <v>6101</v>
      </c>
      <c r="B1700" s="83">
        <f t="array" ref="B1700">SUM(--(FREQUENCY(IF(C$2:C$3050=C1700, MATCH(D$2:D$3050, D$2:D$3050, 0)), ROW(D$2:D$3050)-ROW(D$2)+1) &gt; 0))</f>
        <v>4</v>
      </c>
      <c r="C1700" s="408">
        <v>41200025</v>
      </c>
      <c r="D1700" s="408" t="s">
        <v>3236</v>
      </c>
      <c r="E1700" s="3" t="s">
        <v>1405</v>
      </c>
      <c r="F1700" s="3" t="s">
        <v>1616</v>
      </c>
      <c r="G1700" s="68" t="str">
        <f t="shared" si="246"/>
        <v>SINGLE</v>
      </c>
      <c r="H1700" s="197">
        <f t="shared" si="267"/>
        <v>45</v>
      </c>
      <c r="I1700" s="197">
        <v>11</v>
      </c>
      <c r="J1700" s="197">
        <v>6</v>
      </c>
      <c r="K1700" s="186">
        <f t="shared" si="271"/>
        <v>45967</v>
      </c>
      <c r="L1700" s="3" t="s">
        <v>2392</v>
      </c>
      <c r="M1700" s="3" t="s">
        <v>1468</v>
      </c>
      <c r="N1700" s="3" t="str">
        <f t="shared" si="254"/>
        <v/>
      </c>
    </row>
    <row r="1701" spans="1:19">
      <c r="A1701" s="408">
        <v>6101</v>
      </c>
      <c r="B1701" s="83">
        <f t="array" ref="B1701">SUM(--(FREQUENCY(IF(C$2:C$3050=C1701, MATCH(D$2:D$3050, D$2:D$3050, 0)), ROW(D$2:D$3050)-ROW(D$2)+1) &gt; 0))</f>
        <v>4</v>
      </c>
      <c r="C1701" s="408">
        <v>41200025</v>
      </c>
      <c r="D1701" s="408" t="s">
        <v>3237</v>
      </c>
      <c r="E1701" s="3" t="s">
        <v>1405</v>
      </c>
      <c r="F1701" s="3" t="s">
        <v>1616</v>
      </c>
      <c r="G1701" s="68" t="str">
        <f t="shared" si="246"/>
        <v>SINGLE</v>
      </c>
      <c r="H1701" s="197">
        <f t="shared" si="267"/>
        <v>45</v>
      </c>
      <c r="I1701" s="197">
        <v>11</v>
      </c>
      <c r="J1701" s="197">
        <v>6</v>
      </c>
      <c r="K1701" s="186">
        <f t="shared" si="271"/>
        <v>45967</v>
      </c>
      <c r="L1701" s="3" t="s">
        <v>2392</v>
      </c>
      <c r="M1701" s="3" t="s">
        <v>1468</v>
      </c>
      <c r="N1701" s="3" t="str">
        <f t="shared" si="254"/>
        <v/>
      </c>
    </row>
    <row r="1702" spans="1:19">
      <c r="A1702" s="408">
        <v>6082</v>
      </c>
      <c r="B1702" s="83">
        <f t="array" ref="B1702">SUM(--(FREQUENCY(IF(C$2:C$3050=C1702, MATCH(D$2:D$3050, D$2:D$3050, 0)), ROW(D$2:D$3050)-ROW(D$2)+1) &gt; 0))</f>
        <v>102</v>
      </c>
      <c r="C1702" s="408">
        <v>41200006</v>
      </c>
      <c r="D1702" s="408" t="s">
        <v>3238</v>
      </c>
      <c r="E1702" s="3" t="s">
        <v>1405</v>
      </c>
      <c r="F1702" s="3" t="s">
        <v>1477</v>
      </c>
      <c r="G1702" s="68" t="str">
        <f t="shared" si="246"/>
        <v>SINGLE</v>
      </c>
      <c r="H1702" s="197">
        <f t="shared" si="267"/>
        <v>45</v>
      </c>
      <c r="I1702" s="197">
        <v>11</v>
      </c>
      <c r="J1702" s="197">
        <v>6</v>
      </c>
      <c r="K1702" s="186">
        <f t="shared" si="271"/>
        <v>45967</v>
      </c>
      <c r="L1702" s="3" t="s">
        <v>2395</v>
      </c>
      <c r="M1702" s="3" t="s">
        <v>1469</v>
      </c>
      <c r="N1702" s="3" t="str">
        <f t="shared" si="254"/>
        <v>NG</v>
      </c>
      <c r="O1702" s="3" t="s">
        <v>2368</v>
      </c>
      <c r="P1702" s="3" t="s">
        <v>2482</v>
      </c>
      <c r="Q1702" s="3">
        <v>11002283</v>
      </c>
      <c r="R1702" s="3" t="s">
        <v>932</v>
      </c>
      <c r="S1702" s="3" t="s">
        <v>5366</v>
      </c>
    </row>
    <row r="1703" spans="1:19">
      <c r="A1703" s="408">
        <v>6082</v>
      </c>
      <c r="B1703" s="83">
        <f t="array" ref="B1703">SUM(--(FREQUENCY(IF(C$2:C$3050=C1703, MATCH(D$2:D$3050, D$2:D$3050, 0)), ROW(D$2:D$3050)-ROW(D$2)+1) &gt; 0))</f>
        <v>102</v>
      </c>
      <c r="C1703" s="408">
        <v>41200006</v>
      </c>
      <c r="D1703" s="408" t="s">
        <v>3239</v>
      </c>
      <c r="E1703" s="3" t="s">
        <v>1405</v>
      </c>
      <c r="F1703" s="3" t="s">
        <v>1477</v>
      </c>
      <c r="G1703" s="68" t="str">
        <f t="shared" si="246"/>
        <v>SINGLE</v>
      </c>
      <c r="H1703" s="197">
        <f t="shared" si="267"/>
        <v>45</v>
      </c>
      <c r="I1703" s="197">
        <v>11</v>
      </c>
      <c r="J1703" s="197">
        <v>6</v>
      </c>
      <c r="K1703" s="186">
        <f t="shared" si="271"/>
        <v>45967</v>
      </c>
      <c r="L1703" s="3" t="s">
        <v>2395</v>
      </c>
      <c r="M1703" s="3" t="s">
        <v>1469</v>
      </c>
      <c r="N1703" s="3" t="str">
        <f t="shared" si="254"/>
        <v/>
      </c>
    </row>
    <row r="1704" spans="1:19">
      <c r="A1704" s="408">
        <v>6133</v>
      </c>
      <c r="B1704" s="83">
        <f t="array" ref="B1704">SUM(--(FREQUENCY(IF(C$2:C$3050=C1704, MATCH(D$2:D$3050, D$2:D$3050, 0)), ROW(D$2:D$3050)-ROW(D$2)+1) &gt; 0))</f>
        <v>20</v>
      </c>
      <c r="C1704" s="408">
        <v>41200125</v>
      </c>
      <c r="D1704" s="408" t="s">
        <v>3240</v>
      </c>
      <c r="E1704" s="3" t="s">
        <v>1585</v>
      </c>
      <c r="F1704" s="3" t="s">
        <v>1476</v>
      </c>
      <c r="G1704" s="68" t="str">
        <f t="shared" si="246"/>
        <v>DUAL</v>
      </c>
      <c r="H1704" s="197">
        <f t="shared" si="267"/>
        <v>45</v>
      </c>
      <c r="I1704" s="197">
        <v>11</v>
      </c>
      <c r="J1704" s="197">
        <v>6</v>
      </c>
      <c r="K1704" s="186">
        <f t="shared" si="271"/>
        <v>45967</v>
      </c>
      <c r="L1704" s="3" t="s">
        <v>2395</v>
      </c>
      <c r="M1704" s="3" t="s">
        <v>1469</v>
      </c>
      <c r="N1704" s="3" t="str">
        <f t="shared" si="254"/>
        <v>NG</v>
      </c>
      <c r="O1704" s="3" t="s">
        <v>2368</v>
      </c>
      <c r="P1704" s="3" t="s">
        <v>1385</v>
      </c>
      <c r="Q1704" s="3">
        <v>13107238</v>
      </c>
      <c r="R1704" s="3" t="s">
        <v>5367</v>
      </c>
      <c r="S1704" s="3" t="s">
        <v>5368</v>
      </c>
    </row>
    <row r="1705" spans="1:19">
      <c r="A1705" s="3">
        <v>6243</v>
      </c>
      <c r="B1705" s="83">
        <f t="array" ref="B1705">SUM(--(FREQUENCY(IF(C$2:C$3074=C1705, MATCH(D$2:D$3074, D$2:D$3074, 0)), ROW(D$2:D$3074)-ROW(D$2)+1) &gt; 0))</f>
        <v>77</v>
      </c>
      <c r="C1705" s="3">
        <v>41200076</v>
      </c>
      <c r="D1705" s="6" t="s">
        <v>3243</v>
      </c>
      <c r="E1705" s="3" t="s">
        <v>1585</v>
      </c>
      <c r="F1705" s="3" t="s">
        <v>1476</v>
      </c>
      <c r="G1705" s="68" t="str">
        <f t="shared" ref="G1705:G1772" si="274">IF(OR(ISNUMBER(SEARCH("DUAL",F1705)), ISNUMBER(SEARCH("IVAS",F1705))), "DUAL", "SINGLE")</f>
        <v>DUAL</v>
      </c>
      <c r="H1705" s="197">
        <f t="shared" si="267"/>
        <v>45</v>
      </c>
      <c r="I1705" s="197">
        <v>11</v>
      </c>
      <c r="J1705" s="197">
        <v>7</v>
      </c>
      <c r="K1705" s="186">
        <f t="shared" si="271"/>
        <v>45968</v>
      </c>
      <c r="L1705" s="3" t="s">
        <v>2395</v>
      </c>
      <c r="M1705" s="3" t="s">
        <v>2392</v>
      </c>
      <c r="N1705" s="3" t="str">
        <f t="shared" si="254"/>
        <v>NG</v>
      </c>
      <c r="O1705" s="3" t="s">
        <v>2368</v>
      </c>
      <c r="P1705" s="3" t="s">
        <v>2482</v>
      </c>
      <c r="Q1705" s="3">
        <v>11002283</v>
      </c>
      <c r="R1705" s="3" t="s">
        <v>932</v>
      </c>
      <c r="S1705" s="3" t="s">
        <v>5369</v>
      </c>
    </row>
    <row r="1706" spans="1:19">
      <c r="A1706" s="3">
        <v>6243</v>
      </c>
      <c r="B1706" s="83">
        <f t="array" ref="B1706">SUM(--(FREQUENCY(IF(C$2:C$3074=C1706, MATCH(D$2:D$3074, D$2:D$3074, 0)), ROW(D$2:D$3074)-ROW(D$2)+1) &gt; 0))</f>
        <v>77</v>
      </c>
      <c r="C1706" s="3">
        <v>41200076</v>
      </c>
      <c r="D1706" s="6" t="s">
        <v>3244</v>
      </c>
      <c r="E1706" s="3" t="s">
        <v>1585</v>
      </c>
      <c r="F1706" s="3" t="s">
        <v>1476</v>
      </c>
      <c r="G1706" s="68" t="str">
        <f t="shared" si="274"/>
        <v>DUAL</v>
      </c>
      <c r="H1706" s="197">
        <f t="shared" ref="H1706:H1725" si="275">WEEKNUM(K1706)</f>
        <v>45</v>
      </c>
      <c r="I1706" s="197">
        <v>11</v>
      </c>
      <c r="J1706" s="197">
        <v>7</v>
      </c>
      <c r="K1706" s="186">
        <f t="shared" ref="K1706:K1725" si="276">DATE(2025, I1706, J1706)</f>
        <v>45968</v>
      </c>
      <c r="L1706" s="3" t="s">
        <v>2395</v>
      </c>
      <c r="M1706" s="3" t="s">
        <v>2392</v>
      </c>
      <c r="N1706" s="3" t="str">
        <f t="shared" si="254"/>
        <v/>
      </c>
    </row>
    <row r="1707" spans="1:19">
      <c r="A1707" s="3">
        <v>6154</v>
      </c>
      <c r="B1707" s="83">
        <f t="array" ref="B1707">SUM(--(FREQUENCY(IF(C$2:C$3074=C1707, MATCH(D$2:D$3074, D$2:D$3074, 0)), ROW(D$2:D$3074)-ROW(D$2)+1) &gt; 0))</f>
        <v>6</v>
      </c>
      <c r="C1707" s="3">
        <v>41000544</v>
      </c>
      <c r="D1707" s="6" t="s">
        <v>3245</v>
      </c>
      <c r="E1707" s="3" t="s">
        <v>1405</v>
      </c>
      <c r="F1707" s="3" t="s">
        <v>1476</v>
      </c>
      <c r="G1707" s="41" t="str">
        <f t="shared" si="274"/>
        <v>DUAL</v>
      </c>
      <c r="H1707" s="197">
        <f t="shared" si="275"/>
        <v>45</v>
      </c>
      <c r="I1707" s="197">
        <v>11</v>
      </c>
      <c r="J1707" s="197">
        <v>7</v>
      </c>
      <c r="K1707" s="186">
        <f t="shared" si="276"/>
        <v>45968</v>
      </c>
      <c r="L1707" s="3" t="s">
        <v>2391</v>
      </c>
      <c r="M1707" s="3" t="s">
        <v>2392</v>
      </c>
      <c r="N1707" s="3" t="str">
        <f t="shared" ref="N1707:N1708" si="277">IF(O1707&lt;&gt;"", "NG", "")</f>
        <v>NG</v>
      </c>
      <c r="O1707" s="3" t="s">
        <v>2368</v>
      </c>
      <c r="P1707" s="3" t="s">
        <v>2369</v>
      </c>
      <c r="Q1707" s="3">
        <v>13106093</v>
      </c>
      <c r="R1707" s="3" t="s">
        <v>958</v>
      </c>
      <c r="S1707" s="3" t="s">
        <v>5370</v>
      </c>
    </row>
    <row r="1708" spans="1:19">
      <c r="A1708" s="3">
        <v>6154</v>
      </c>
      <c r="B1708" s="83">
        <f t="array" ref="B1708">SUM(--(FREQUENCY(IF(C$2:C$3074=C1708, MATCH(D$2:D$3074, D$2:D$3074, 0)), ROW(D$2:D$3074)-ROW(D$2)+1) &gt; 0))</f>
        <v>6</v>
      </c>
      <c r="C1708" s="3">
        <v>41000544</v>
      </c>
      <c r="D1708" s="6" t="s">
        <v>3245</v>
      </c>
      <c r="E1708" s="3" t="s">
        <v>1405</v>
      </c>
      <c r="F1708" s="3" t="s">
        <v>1476</v>
      </c>
      <c r="G1708" s="41" t="str">
        <f t="shared" ref="G1708" si="278">IF(OR(ISNUMBER(SEARCH("DUAL",F1708)), ISNUMBER(SEARCH("IVAS",F1708))), "DUAL", "SINGLE")</f>
        <v>DUAL</v>
      </c>
      <c r="H1708" s="197">
        <f t="shared" ref="H1708" si="279">WEEKNUM(K1708)</f>
        <v>45</v>
      </c>
      <c r="I1708" s="197">
        <v>11</v>
      </c>
      <c r="J1708" s="197">
        <v>7</v>
      </c>
      <c r="K1708" s="186">
        <f t="shared" ref="K1708" si="280">DATE(2025, I1708, J1708)</f>
        <v>45968</v>
      </c>
      <c r="L1708" s="3" t="s">
        <v>2391</v>
      </c>
      <c r="M1708" s="3" t="s">
        <v>2392</v>
      </c>
      <c r="N1708" s="3" t="str">
        <f t="shared" si="277"/>
        <v>NG</v>
      </c>
      <c r="O1708" s="3" t="s">
        <v>2368</v>
      </c>
      <c r="P1708" s="3" t="s">
        <v>2976</v>
      </c>
      <c r="Q1708" s="3">
        <v>11000088</v>
      </c>
      <c r="R1708" s="3" t="s">
        <v>143</v>
      </c>
      <c r="S1708" s="3" t="s">
        <v>5371</v>
      </c>
    </row>
    <row r="1709" spans="1:19">
      <c r="A1709" s="3">
        <v>6154</v>
      </c>
      <c r="B1709" s="83">
        <f t="array" ref="B1709">SUM(--(FREQUENCY(IF(C$2:C$3074=C1709, MATCH(D$2:D$3074, D$2:D$3074, 0)), ROW(D$2:D$3074)-ROW(D$2)+1) &gt; 0))</f>
        <v>6</v>
      </c>
      <c r="C1709" s="3">
        <v>41000544</v>
      </c>
      <c r="D1709" s="6" t="s">
        <v>3256</v>
      </c>
      <c r="E1709" s="3" t="s">
        <v>1405</v>
      </c>
      <c r="F1709" s="3" t="s">
        <v>1476</v>
      </c>
      <c r="G1709" s="41" t="str">
        <f t="shared" si="274"/>
        <v>DUAL</v>
      </c>
      <c r="H1709" s="197">
        <f t="shared" si="275"/>
        <v>45</v>
      </c>
      <c r="I1709" s="197">
        <v>11</v>
      </c>
      <c r="J1709" s="197">
        <v>7</v>
      </c>
      <c r="K1709" s="186">
        <f t="shared" si="276"/>
        <v>45968</v>
      </c>
      <c r="L1709" s="3" t="s">
        <v>2391</v>
      </c>
      <c r="M1709" s="3" t="s">
        <v>2392</v>
      </c>
      <c r="N1709" s="3" t="str">
        <f t="shared" si="254"/>
        <v>NG</v>
      </c>
      <c r="O1709" s="3" t="s">
        <v>2368</v>
      </c>
      <c r="P1709" s="3" t="s">
        <v>2976</v>
      </c>
      <c r="Q1709" s="3">
        <v>11000088</v>
      </c>
      <c r="R1709" s="3" t="s">
        <v>143</v>
      </c>
      <c r="S1709" s="3" t="s">
        <v>5371</v>
      </c>
    </row>
    <row r="1710" spans="1:19">
      <c r="A1710" s="3">
        <v>6154</v>
      </c>
      <c r="B1710" s="83">
        <f t="array" ref="B1710">SUM(--(FREQUENCY(IF(C$2:C$3074=C1710, MATCH(D$2:D$3074, D$2:D$3074, 0)), ROW(D$2:D$3074)-ROW(D$2)+1) &gt; 0))</f>
        <v>6</v>
      </c>
      <c r="C1710" s="3">
        <v>41000544</v>
      </c>
      <c r="D1710" s="6" t="s">
        <v>3256</v>
      </c>
      <c r="E1710" s="3" t="s">
        <v>1405</v>
      </c>
      <c r="F1710" s="3" t="s">
        <v>1476</v>
      </c>
      <c r="G1710" s="41" t="str">
        <f t="shared" ref="G1710" si="281">IF(OR(ISNUMBER(SEARCH("DUAL",F1710)), ISNUMBER(SEARCH("IVAS",F1710))), "DUAL", "SINGLE")</f>
        <v>DUAL</v>
      </c>
      <c r="H1710" s="197">
        <f t="shared" ref="H1710" si="282">WEEKNUM(K1710)</f>
        <v>45</v>
      </c>
      <c r="I1710" s="197">
        <v>11</v>
      </c>
      <c r="J1710" s="197">
        <v>7</v>
      </c>
      <c r="K1710" s="186">
        <f t="shared" ref="K1710" si="283">DATE(2025, I1710, J1710)</f>
        <v>45968</v>
      </c>
      <c r="L1710" s="3" t="s">
        <v>2391</v>
      </c>
      <c r="M1710" s="3" t="s">
        <v>2392</v>
      </c>
      <c r="N1710" s="3" t="str">
        <f t="shared" ref="N1710" si="284">IF(O1710&lt;&gt;"", "NG", "")</f>
        <v>NG</v>
      </c>
      <c r="O1710" s="3" t="s">
        <v>2368</v>
      </c>
      <c r="P1710" s="3" t="s">
        <v>5092</v>
      </c>
      <c r="Q1710" s="3">
        <v>11101367</v>
      </c>
      <c r="R1710" s="3" t="s">
        <v>473</v>
      </c>
      <c r="S1710" s="3" t="s">
        <v>5372</v>
      </c>
    </row>
    <row r="1711" spans="1:19">
      <c r="A1711" s="3">
        <v>5854</v>
      </c>
      <c r="B1711" s="83">
        <f t="array" ref="B1711">SUM(--(FREQUENCY(IF(C$2:C$3074=C1711, MATCH(D$2:D$3074, D$2:D$3074, 0)), ROW(D$2:D$3074)-ROW(D$2)+1) &gt; 0))</f>
        <v>77</v>
      </c>
      <c r="C1711" s="3">
        <v>41200076</v>
      </c>
      <c r="D1711" s="6" t="s">
        <v>3246</v>
      </c>
      <c r="E1711" s="3" t="s">
        <v>1585</v>
      </c>
      <c r="F1711" s="3" t="s">
        <v>1476</v>
      </c>
      <c r="G1711" s="68" t="str">
        <f t="shared" si="274"/>
        <v>DUAL</v>
      </c>
      <c r="H1711" s="197">
        <f t="shared" si="275"/>
        <v>45</v>
      </c>
      <c r="I1711" s="197">
        <v>11</v>
      </c>
      <c r="J1711" s="197">
        <v>7</v>
      </c>
      <c r="K1711" s="186">
        <f t="shared" si="276"/>
        <v>45968</v>
      </c>
      <c r="L1711" s="3" t="s">
        <v>2395</v>
      </c>
      <c r="M1711" s="3" t="s">
        <v>1468</v>
      </c>
      <c r="N1711" s="3" t="str">
        <f t="shared" si="254"/>
        <v>NG</v>
      </c>
      <c r="O1711" s="3" t="s">
        <v>2368</v>
      </c>
      <c r="P1711" s="3" t="s">
        <v>2482</v>
      </c>
      <c r="Q1711" s="3">
        <v>11002283</v>
      </c>
      <c r="R1711" s="3" t="s">
        <v>932</v>
      </c>
      <c r="S1711" s="3" t="s">
        <v>5373</v>
      </c>
    </row>
    <row r="1712" spans="1:19">
      <c r="A1712" s="3">
        <v>6054</v>
      </c>
      <c r="B1712" s="83">
        <f t="array" ref="B1712">SUM(--(FREQUENCY(IF(C$2:C$3074=C1712, MATCH(D$2:D$3074, D$2:D$3074, 0)), ROW(D$2:D$3074)-ROW(D$2)+1) &gt; 0))</f>
        <v>6</v>
      </c>
      <c r="C1712" s="3">
        <v>41100584</v>
      </c>
      <c r="D1712" s="6" t="s">
        <v>3247</v>
      </c>
      <c r="E1712" s="3" t="s">
        <v>1422</v>
      </c>
      <c r="F1712" s="3" t="s">
        <v>1591</v>
      </c>
      <c r="G1712" s="68" t="str">
        <f t="shared" si="274"/>
        <v>SINGLE</v>
      </c>
      <c r="H1712" s="197">
        <f t="shared" si="275"/>
        <v>45</v>
      </c>
      <c r="I1712" s="197">
        <v>11</v>
      </c>
      <c r="J1712" s="197">
        <v>7</v>
      </c>
      <c r="K1712" s="186">
        <f t="shared" si="276"/>
        <v>45968</v>
      </c>
      <c r="L1712" s="3" t="s">
        <v>2395</v>
      </c>
      <c r="M1712" s="3" t="s">
        <v>1469</v>
      </c>
      <c r="N1712" s="3" t="str">
        <f t="shared" si="254"/>
        <v/>
      </c>
    </row>
    <row r="1713" spans="1:19">
      <c r="A1713" s="3">
        <v>6287</v>
      </c>
      <c r="B1713" s="83">
        <f t="array" ref="B1713">SUM(--(FREQUENCY(IF(C$2:C$3074=C1713, MATCH(D$2:D$3074, D$2:D$3074, 0)), ROW(D$2:D$3074)-ROW(D$2)+1) &gt; 0))</f>
        <v>44</v>
      </c>
      <c r="C1713" s="3">
        <v>41200108</v>
      </c>
      <c r="D1713" s="6" t="s">
        <v>1990</v>
      </c>
      <c r="E1713" s="3" t="s">
        <v>1409</v>
      </c>
      <c r="F1713" s="3" t="s">
        <v>1479</v>
      </c>
      <c r="G1713" s="41" t="str">
        <f t="shared" si="274"/>
        <v>SINGLE</v>
      </c>
      <c r="H1713" s="197">
        <f t="shared" si="275"/>
        <v>46</v>
      </c>
      <c r="I1713" s="197">
        <v>11</v>
      </c>
      <c r="J1713" s="197">
        <v>10</v>
      </c>
      <c r="K1713" s="186">
        <f t="shared" si="276"/>
        <v>45971</v>
      </c>
      <c r="L1713" s="3" t="s">
        <v>2395</v>
      </c>
      <c r="M1713" s="3" t="s">
        <v>2392</v>
      </c>
      <c r="N1713" s="3" t="str">
        <f t="shared" si="254"/>
        <v/>
      </c>
    </row>
    <row r="1714" spans="1:19">
      <c r="A1714" s="3">
        <v>6287</v>
      </c>
      <c r="B1714" s="83">
        <f t="array" ref="B1714">SUM(--(FREQUENCY(IF(C$2:C$3074=C1714, MATCH(D$2:D$3074, D$2:D$3074, 0)), ROW(D$2:D$3074)-ROW(D$2)+1) &gt; 0))</f>
        <v>1</v>
      </c>
      <c r="C1714" s="3">
        <v>41200180</v>
      </c>
      <c r="D1714" s="6" t="s">
        <v>1991</v>
      </c>
      <c r="E1714" s="3" t="s">
        <v>1409</v>
      </c>
      <c r="F1714" s="3" t="s">
        <v>1479</v>
      </c>
      <c r="G1714" s="41" t="str">
        <f>IF(OR(ISNUMBER(SEARCH("DUAL",F1714)), ISNUMBER(SEARCH("IVAS",F1714))), "DUAL", "SINGLE")</f>
        <v>SINGLE</v>
      </c>
      <c r="H1714" s="197">
        <f>WEEKNUM(K1714)</f>
        <v>46</v>
      </c>
      <c r="I1714" s="197">
        <v>11</v>
      </c>
      <c r="J1714" s="197">
        <v>10</v>
      </c>
      <c r="K1714" s="186">
        <f>DATE(2025, I1714, J1714)</f>
        <v>45971</v>
      </c>
      <c r="L1714" s="3" t="s">
        <v>2395</v>
      </c>
      <c r="M1714" s="3" t="s">
        <v>2392</v>
      </c>
      <c r="N1714" s="3" t="str">
        <f>IF(O1714&lt;&gt;"", "NG", "")</f>
        <v/>
      </c>
    </row>
    <row r="1715" spans="1:19">
      <c r="A1715" s="3">
        <v>6251</v>
      </c>
      <c r="B1715" s="83">
        <f t="array" ref="B1715">SUM(--(FREQUENCY(IF(C$2:C$3074=C1715, MATCH(D$2:D$3074, D$2:D$3074, 0)), ROW(D$2:D$3074)-ROW(D$2)+1) &gt; 0))</f>
        <v>33</v>
      </c>
      <c r="C1715" s="3">
        <v>41100435</v>
      </c>
      <c r="D1715" s="6" t="s">
        <v>3241</v>
      </c>
      <c r="E1715" s="3" t="s">
        <v>1585</v>
      </c>
      <c r="F1715" s="3" t="s">
        <v>1482</v>
      </c>
      <c r="G1715" s="68" t="str">
        <f t="shared" si="274"/>
        <v>SINGLE</v>
      </c>
      <c r="H1715" s="197">
        <f t="shared" si="275"/>
        <v>46</v>
      </c>
      <c r="I1715" s="197">
        <v>11</v>
      </c>
      <c r="J1715" s="197">
        <v>10</v>
      </c>
      <c r="K1715" s="186">
        <f t="shared" si="276"/>
        <v>45971</v>
      </c>
      <c r="L1715" s="3" t="s">
        <v>2395</v>
      </c>
      <c r="M1715" s="3" t="s">
        <v>2392</v>
      </c>
      <c r="N1715" s="3" t="str">
        <f t="shared" si="254"/>
        <v>NG</v>
      </c>
      <c r="O1715" s="3" t="s">
        <v>2368</v>
      </c>
      <c r="P1715" s="3" t="s">
        <v>2482</v>
      </c>
      <c r="Q1715" s="3">
        <v>11002578</v>
      </c>
      <c r="R1715" s="3" t="s">
        <v>1343</v>
      </c>
      <c r="S1715" s="3" t="s">
        <v>5374</v>
      </c>
    </row>
    <row r="1716" spans="1:19">
      <c r="A1716" s="3">
        <v>6193</v>
      </c>
      <c r="B1716" s="83">
        <f t="array" ref="B1716">SUM(--(FREQUENCY(IF(C$2:C$3074=C1716, MATCH(D$2:D$3074, D$2:D$3074, 0)), ROW(D$2:D$3074)-ROW(D$2)+1) &gt; 0))</f>
        <v>12</v>
      </c>
      <c r="C1716" s="3">
        <v>41200048</v>
      </c>
      <c r="D1716" s="6" t="s">
        <v>3242</v>
      </c>
      <c r="E1716" s="3" t="s">
        <v>1426</v>
      </c>
      <c r="F1716" s="3" t="s">
        <v>1476</v>
      </c>
      <c r="G1716" s="68" t="str">
        <f t="shared" si="274"/>
        <v>DUAL</v>
      </c>
      <c r="H1716" s="197">
        <f t="shared" si="275"/>
        <v>46</v>
      </c>
      <c r="I1716" s="197">
        <v>11</v>
      </c>
      <c r="J1716" s="197">
        <v>10</v>
      </c>
      <c r="K1716" s="186">
        <f t="shared" si="276"/>
        <v>45971</v>
      </c>
      <c r="L1716" s="3" t="s">
        <v>2391</v>
      </c>
      <c r="M1716" s="3" t="s">
        <v>2392</v>
      </c>
      <c r="N1716" s="3" t="str">
        <f t="shared" si="254"/>
        <v/>
      </c>
    </row>
    <row r="1717" spans="1:19">
      <c r="A1717" s="3">
        <v>5981</v>
      </c>
      <c r="B1717" s="83">
        <f t="array" ref="B1717">SUM(--(FREQUENCY(IF(C$2:C$3074=C1717, MATCH(D$2:D$3074, D$2:D$3074, 0)), ROW(D$2:D$3074)-ROW(D$2)+1) &gt; 0))</f>
        <v>49</v>
      </c>
      <c r="C1717" s="3">
        <v>41200005</v>
      </c>
      <c r="D1717" s="6" t="s">
        <v>3248</v>
      </c>
      <c r="E1717" s="3" t="s">
        <v>1405</v>
      </c>
      <c r="F1717" s="3" t="s">
        <v>1591</v>
      </c>
      <c r="G1717" s="68" t="str">
        <f t="shared" si="274"/>
        <v>SINGLE</v>
      </c>
      <c r="H1717" s="197">
        <f t="shared" si="275"/>
        <v>46</v>
      </c>
      <c r="I1717" s="197">
        <v>11</v>
      </c>
      <c r="J1717" s="197">
        <v>10</v>
      </c>
      <c r="K1717" s="186">
        <f t="shared" si="276"/>
        <v>45971</v>
      </c>
      <c r="L1717" s="3" t="s">
        <v>2391</v>
      </c>
      <c r="M1717" s="3" t="s">
        <v>2392</v>
      </c>
      <c r="N1717" s="3" t="str">
        <f t="shared" ref="N1717:N1783" si="285">IF(O1717&lt;&gt;"", "NG", "")</f>
        <v/>
      </c>
    </row>
    <row r="1718" spans="1:19">
      <c r="A1718" s="3">
        <v>6184</v>
      </c>
      <c r="B1718" s="83">
        <f t="array" ref="B1718">SUM(--(FREQUENCY(IF(C$2:C$3074=C1718, MATCH(D$2:D$3074, D$2:D$3074, 0)), ROW(D$2:D$3074)-ROW(D$2)+1) &gt; 0))</f>
        <v>77</v>
      </c>
      <c r="C1718" s="3">
        <v>41200076</v>
      </c>
      <c r="D1718" s="6" t="s">
        <v>3249</v>
      </c>
      <c r="E1718" s="3" t="s">
        <v>1585</v>
      </c>
      <c r="F1718" s="3" t="s">
        <v>1476</v>
      </c>
      <c r="G1718" s="68" t="str">
        <f t="shared" si="274"/>
        <v>DUAL</v>
      </c>
      <c r="H1718" s="197">
        <f t="shared" si="275"/>
        <v>46</v>
      </c>
      <c r="I1718" s="197">
        <v>11</v>
      </c>
      <c r="J1718" s="197">
        <v>10</v>
      </c>
      <c r="K1718" s="186">
        <f t="shared" si="276"/>
        <v>45971</v>
      </c>
      <c r="L1718" s="3" t="s">
        <v>2391</v>
      </c>
      <c r="M1718" s="3" t="s">
        <v>2392</v>
      </c>
      <c r="N1718" s="3" t="str">
        <f t="shared" si="285"/>
        <v/>
      </c>
    </row>
    <row r="1719" spans="1:19">
      <c r="A1719" s="3">
        <v>6055</v>
      </c>
      <c r="B1719" s="83">
        <f t="array" ref="B1719">SUM(--(FREQUENCY(IF(C$2:C$3074=C1719, MATCH(D$2:D$3074, D$2:D$3074, 0)), ROW(D$2:D$3074)-ROW(D$2)+1) &gt; 0))</f>
        <v>8</v>
      </c>
      <c r="C1719" s="3">
        <v>41200088</v>
      </c>
      <c r="D1719" s="6" t="s">
        <v>3250</v>
      </c>
      <c r="E1719" s="3" t="s">
        <v>1422</v>
      </c>
      <c r="F1719" s="3" t="s">
        <v>1476</v>
      </c>
      <c r="G1719" s="68" t="str">
        <f t="shared" si="274"/>
        <v>DUAL</v>
      </c>
      <c r="H1719" s="197">
        <f t="shared" si="275"/>
        <v>46</v>
      </c>
      <c r="I1719" s="197">
        <v>11</v>
      </c>
      <c r="J1719" s="197">
        <v>10</v>
      </c>
      <c r="K1719" s="186">
        <f t="shared" si="276"/>
        <v>45971</v>
      </c>
      <c r="L1719" s="3" t="s">
        <v>2395</v>
      </c>
      <c r="M1719" s="3" t="s">
        <v>1468</v>
      </c>
      <c r="N1719" s="3" t="str">
        <f t="shared" si="285"/>
        <v/>
      </c>
    </row>
    <row r="1720" spans="1:19">
      <c r="A1720" s="3">
        <v>6090</v>
      </c>
      <c r="B1720" s="83">
        <f t="array" ref="B1720">SUM(--(FREQUENCY(IF(C$2:C$3074=C1720, MATCH(D$2:D$3074, D$2:D$3074, 0)), ROW(D$2:D$3074)-ROW(D$2)+1) &gt; 0))</f>
        <v>14</v>
      </c>
      <c r="C1720" s="3">
        <v>41200129</v>
      </c>
      <c r="D1720" s="6" t="s">
        <v>3251</v>
      </c>
      <c r="E1720" s="3" t="s">
        <v>1431</v>
      </c>
      <c r="F1720" s="3" t="s">
        <v>1591</v>
      </c>
      <c r="G1720" s="68" t="str">
        <f t="shared" si="274"/>
        <v>SINGLE</v>
      </c>
      <c r="H1720" s="197">
        <f t="shared" si="275"/>
        <v>46</v>
      </c>
      <c r="I1720" s="197">
        <v>11</v>
      </c>
      <c r="J1720" s="197">
        <v>10</v>
      </c>
      <c r="K1720" s="186">
        <f t="shared" si="276"/>
        <v>45971</v>
      </c>
      <c r="L1720" s="3" t="s">
        <v>2391</v>
      </c>
      <c r="M1720" s="3" t="s">
        <v>1468</v>
      </c>
      <c r="N1720" s="3" t="str">
        <f t="shared" si="285"/>
        <v/>
      </c>
    </row>
    <row r="1721" spans="1:19">
      <c r="A1721" s="3">
        <v>6090</v>
      </c>
      <c r="B1721" s="83">
        <f t="array" ref="B1721">SUM(--(FREQUENCY(IF(C$2:C$3074=C1721, MATCH(D$2:D$3074, D$2:D$3074, 0)), ROW(D$2:D$3074)-ROW(D$2)+1) &gt; 0))</f>
        <v>14</v>
      </c>
      <c r="C1721" s="3">
        <v>41200129</v>
      </c>
      <c r="D1721" s="6" t="s">
        <v>3252</v>
      </c>
      <c r="E1721" s="3" t="s">
        <v>1431</v>
      </c>
      <c r="F1721" s="3" t="s">
        <v>1591</v>
      </c>
      <c r="G1721" s="68" t="str">
        <f t="shared" si="274"/>
        <v>SINGLE</v>
      </c>
      <c r="H1721" s="197">
        <f t="shared" si="275"/>
        <v>46</v>
      </c>
      <c r="I1721" s="197">
        <v>11</v>
      </c>
      <c r="J1721" s="197">
        <v>10</v>
      </c>
      <c r="K1721" s="186">
        <f t="shared" si="276"/>
        <v>45971</v>
      </c>
      <c r="L1721" s="3" t="s">
        <v>2391</v>
      </c>
      <c r="M1721" s="3" t="s">
        <v>1468</v>
      </c>
      <c r="N1721" s="3" t="str">
        <f t="shared" si="285"/>
        <v/>
      </c>
    </row>
    <row r="1722" spans="1:19">
      <c r="A1722" s="3">
        <v>6103</v>
      </c>
      <c r="B1722" s="83">
        <f t="array" ref="B1722">SUM(--(FREQUENCY(IF(C$2:C$3074=C1722, MATCH(D$2:D$3074, D$2:D$3074, 0)), ROW(D$2:D$3074)-ROW(D$2)+1) &gt; 0))</f>
        <v>32</v>
      </c>
      <c r="C1722" s="3">
        <v>41200127</v>
      </c>
      <c r="D1722" s="6" t="s">
        <v>3253</v>
      </c>
      <c r="E1722" s="3" t="s">
        <v>1431</v>
      </c>
      <c r="F1722" s="3" t="s">
        <v>1591</v>
      </c>
      <c r="G1722" s="68" t="str">
        <f t="shared" si="274"/>
        <v>SINGLE</v>
      </c>
      <c r="H1722" s="197">
        <f t="shared" si="275"/>
        <v>46</v>
      </c>
      <c r="I1722" s="197">
        <v>11</v>
      </c>
      <c r="J1722" s="197">
        <v>10</v>
      </c>
      <c r="K1722" s="186">
        <f t="shared" si="276"/>
        <v>45971</v>
      </c>
      <c r="L1722" s="3" t="s">
        <v>2391</v>
      </c>
      <c r="M1722" s="3" t="s">
        <v>1468</v>
      </c>
      <c r="N1722" s="3" t="str">
        <f t="shared" si="285"/>
        <v/>
      </c>
    </row>
    <row r="1723" spans="1:19">
      <c r="A1723" s="3">
        <v>6181</v>
      </c>
      <c r="B1723" s="83">
        <f t="array" ref="B1723">SUM(--(FREQUENCY(IF(C$2:C$3074=C1723, MATCH(D$2:D$3074, D$2:D$3074, 0)), ROW(D$2:D$3074)-ROW(D$2)+1) &gt; 0))</f>
        <v>32</v>
      </c>
      <c r="C1723" s="3">
        <v>41200122</v>
      </c>
      <c r="D1723" s="6" t="s">
        <v>3254</v>
      </c>
      <c r="E1723" s="3" t="s">
        <v>1585</v>
      </c>
      <c r="F1723" s="3" t="s">
        <v>1476</v>
      </c>
      <c r="G1723" s="68" t="str">
        <f t="shared" si="274"/>
        <v>DUAL</v>
      </c>
      <c r="H1723" s="197">
        <f t="shared" si="275"/>
        <v>46</v>
      </c>
      <c r="I1723" s="197">
        <v>11</v>
      </c>
      <c r="J1723" s="197">
        <v>10</v>
      </c>
      <c r="K1723" s="186">
        <f t="shared" si="276"/>
        <v>45971</v>
      </c>
      <c r="L1723" s="3" t="s">
        <v>2395</v>
      </c>
      <c r="M1723" s="3" t="s">
        <v>1469</v>
      </c>
      <c r="N1723" s="3" t="str">
        <f t="shared" si="285"/>
        <v/>
      </c>
    </row>
    <row r="1724" spans="1:19">
      <c r="A1724" s="3">
        <v>6181</v>
      </c>
      <c r="B1724" s="83">
        <f t="array" ref="B1724">SUM(--(FREQUENCY(IF(C$2:C$3074=C1724, MATCH(D$2:D$3074, D$2:D$3074, 0)), ROW(D$2:D$3074)-ROW(D$2)+1) &gt; 0))</f>
        <v>32</v>
      </c>
      <c r="C1724" s="3">
        <v>41200122</v>
      </c>
      <c r="D1724" s="6" t="s">
        <v>3255</v>
      </c>
      <c r="E1724" s="3" t="s">
        <v>1585</v>
      </c>
      <c r="F1724" s="3" t="s">
        <v>1476</v>
      </c>
      <c r="G1724" s="68" t="str">
        <f t="shared" si="274"/>
        <v>DUAL</v>
      </c>
      <c r="H1724" s="197">
        <f t="shared" si="275"/>
        <v>46</v>
      </c>
      <c r="I1724" s="197">
        <v>11</v>
      </c>
      <c r="J1724" s="197">
        <v>10</v>
      </c>
      <c r="K1724" s="186">
        <f t="shared" si="276"/>
        <v>45971</v>
      </c>
      <c r="L1724" s="3" t="s">
        <v>2395</v>
      </c>
      <c r="M1724" s="3" t="s">
        <v>1469</v>
      </c>
      <c r="N1724" s="3" t="str">
        <f t="shared" si="285"/>
        <v/>
      </c>
    </row>
    <row r="1725" spans="1:19">
      <c r="A1725" s="3">
        <v>6121</v>
      </c>
      <c r="B1725" s="83">
        <f t="array" ref="B1725">SUM(--(FREQUENCY(IF(C$2:C$3074=C1725, MATCH(D$2:D$3074, D$2:D$3074, 0)), ROW(D$2:D$3074)-ROW(D$2)+1) &gt; 0))</f>
        <v>41</v>
      </c>
      <c r="C1725" s="3">
        <v>41200101</v>
      </c>
      <c r="D1725" s="6" t="s">
        <v>3257</v>
      </c>
      <c r="E1725" s="3" t="s">
        <v>1585</v>
      </c>
      <c r="F1725" s="3" t="s">
        <v>1476</v>
      </c>
      <c r="G1725" s="68" t="str">
        <f t="shared" si="274"/>
        <v>DUAL</v>
      </c>
      <c r="H1725" s="197">
        <f t="shared" si="275"/>
        <v>46</v>
      </c>
      <c r="I1725" s="197">
        <v>11</v>
      </c>
      <c r="J1725" s="197">
        <v>11</v>
      </c>
      <c r="K1725" s="186">
        <f t="shared" si="276"/>
        <v>45972</v>
      </c>
      <c r="L1725" s="3" t="s">
        <v>2391</v>
      </c>
      <c r="M1725" s="3" t="s">
        <v>2392</v>
      </c>
      <c r="N1725" s="3" t="str">
        <f t="shared" si="285"/>
        <v>NG</v>
      </c>
      <c r="O1725" s="3" t="s">
        <v>2368</v>
      </c>
      <c r="P1725" s="3" t="s">
        <v>2482</v>
      </c>
      <c r="Q1725" s="3">
        <v>11002283</v>
      </c>
      <c r="R1725" s="3" t="s">
        <v>932</v>
      </c>
      <c r="S1725" s="3" t="s">
        <v>5375</v>
      </c>
    </row>
    <row r="1726" spans="1:19">
      <c r="A1726" s="3">
        <v>6182</v>
      </c>
      <c r="B1726" s="83">
        <f t="array" ref="B1726">SUM(--(FREQUENCY(IF(C$2:C$3074=C1726, MATCH(D$2:D$3074, D$2:D$3074, 0)), ROW(D$2:D$3074)-ROW(D$2)+1) &gt; 0))</f>
        <v>29</v>
      </c>
      <c r="C1726" s="3">
        <v>41200158</v>
      </c>
      <c r="D1726" s="6" t="s">
        <v>3258</v>
      </c>
      <c r="E1726" s="3" t="s">
        <v>1405</v>
      </c>
      <c r="F1726" s="3" t="s">
        <v>1480</v>
      </c>
      <c r="G1726" s="68" t="str">
        <f t="shared" si="274"/>
        <v>DUAL</v>
      </c>
      <c r="H1726" s="197">
        <f t="shared" ref="H1726:H1731" si="286">WEEKNUM(K1726)</f>
        <v>46</v>
      </c>
      <c r="I1726" s="197">
        <v>11</v>
      </c>
      <c r="J1726" s="197">
        <v>11</v>
      </c>
      <c r="K1726" s="186">
        <f t="shared" ref="K1726:K1731" si="287">DATE(2025, I1726, J1726)</f>
        <v>45972</v>
      </c>
      <c r="L1726" s="3" t="s">
        <v>2395</v>
      </c>
      <c r="M1726" s="3" t="s">
        <v>2392</v>
      </c>
      <c r="N1726" s="3" t="str">
        <f t="shared" si="285"/>
        <v/>
      </c>
    </row>
    <row r="1727" spans="1:19">
      <c r="A1727" s="3">
        <v>5981</v>
      </c>
      <c r="B1727" s="83">
        <f t="array" ref="B1727">SUM(--(FREQUENCY(IF(C$2:C$3074=C1727, MATCH(D$2:D$3074, D$2:D$3074, 0)), ROW(D$2:D$3074)-ROW(D$2)+1) &gt; 0))</f>
        <v>144</v>
      </c>
      <c r="C1727" s="3">
        <v>41200007</v>
      </c>
      <c r="D1727" s="6" t="s">
        <v>3259</v>
      </c>
      <c r="E1727" s="3" t="s">
        <v>1405</v>
      </c>
      <c r="F1727" s="3" t="s">
        <v>1591</v>
      </c>
      <c r="G1727" s="68" t="str">
        <f t="shared" si="274"/>
        <v>SINGLE</v>
      </c>
      <c r="H1727" s="197">
        <f t="shared" si="286"/>
        <v>46</v>
      </c>
      <c r="I1727" s="197">
        <v>11</v>
      </c>
      <c r="J1727" s="197">
        <v>11</v>
      </c>
      <c r="K1727" s="186">
        <f t="shared" si="287"/>
        <v>45972</v>
      </c>
      <c r="L1727" s="3" t="s">
        <v>2391</v>
      </c>
      <c r="M1727" s="3" t="s">
        <v>2392</v>
      </c>
      <c r="N1727" s="3" t="str">
        <f t="shared" si="285"/>
        <v/>
      </c>
    </row>
    <row r="1728" spans="1:19">
      <c r="A1728" s="3">
        <v>6103</v>
      </c>
      <c r="B1728" s="83">
        <f t="array" ref="B1728">SUM(--(FREQUENCY(IF(C$2:C$3074=C1728, MATCH(D$2:D$3074, D$2:D$3074, 0)), ROW(D$2:D$3074)-ROW(D$2)+1) &gt; 0))</f>
        <v>32</v>
      </c>
      <c r="C1728" s="3">
        <v>41200127</v>
      </c>
      <c r="D1728" s="6" t="s">
        <v>3260</v>
      </c>
      <c r="E1728" s="3" t="s">
        <v>1431</v>
      </c>
      <c r="F1728" s="3" t="s">
        <v>1591</v>
      </c>
      <c r="G1728" s="68" t="str">
        <f t="shared" si="274"/>
        <v>SINGLE</v>
      </c>
      <c r="H1728" s="197">
        <f t="shared" si="286"/>
        <v>46</v>
      </c>
      <c r="I1728" s="197">
        <v>11</v>
      </c>
      <c r="J1728" s="197">
        <v>11</v>
      </c>
      <c r="K1728" s="186">
        <f t="shared" si="287"/>
        <v>45972</v>
      </c>
      <c r="L1728" s="3" t="s">
        <v>2391</v>
      </c>
      <c r="M1728" s="3" t="s">
        <v>1468</v>
      </c>
      <c r="N1728" s="3" t="str">
        <f t="shared" si="285"/>
        <v/>
      </c>
    </row>
    <row r="1729" spans="1:21">
      <c r="A1729" s="3">
        <v>6103</v>
      </c>
      <c r="B1729" s="83">
        <f t="array" ref="B1729">SUM(--(FREQUENCY(IF(C$2:C$3074=C1729, MATCH(D$2:D$3074, D$2:D$3074, 0)), ROW(D$2:D$3074)-ROW(D$2)+1) &gt; 0))</f>
        <v>32</v>
      </c>
      <c r="C1729" s="3">
        <v>41200127</v>
      </c>
      <c r="D1729" s="6" t="s">
        <v>3261</v>
      </c>
      <c r="E1729" s="3" t="s">
        <v>1431</v>
      </c>
      <c r="F1729" s="3" t="s">
        <v>1591</v>
      </c>
      <c r="G1729" s="68" t="str">
        <f t="shared" si="274"/>
        <v>SINGLE</v>
      </c>
      <c r="H1729" s="197">
        <f t="shared" si="286"/>
        <v>46</v>
      </c>
      <c r="I1729" s="197">
        <v>11</v>
      </c>
      <c r="J1729" s="197">
        <v>11</v>
      </c>
      <c r="K1729" s="186">
        <f t="shared" si="287"/>
        <v>45972</v>
      </c>
      <c r="L1729" s="3" t="s">
        <v>2391</v>
      </c>
      <c r="M1729" s="3" t="s">
        <v>1468</v>
      </c>
      <c r="N1729" s="3" t="str">
        <f t="shared" si="285"/>
        <v/>
      </c>
    </row>
    <row r="1730" spans="1:21">
      <c r="A1730" s="3">
        <v>6182</v>
      </c>
      <c r="B1730" s="83">
        <f t="array" ref="B1730">SUM(--(FREQUENCY(IF(C$2:C$3074=C1730, MATCH(D$2:D$3074, D$2:D$3074, 0)), ROW(D$2:D$3074)-ROW(D$2)+1) &gt; 0))</f>
        <v>29</v>
      </c>
      <c r="C1730" s="3">
        <v>41200158</v>
      </c>
      <c r="D1730" s="6" t="s">
        <v>3262</v>
      </c>
      <c r="E1730" s="3" t="s">
        <v>1405</v>
      </c>
      <c r="F1730" s="3" t="s">
        <v>1480</v>
      </c>
      <c r="G1730" s="68" t="str">
        <f t="shared" si="274"/>
        <v>DUAL</v>
      </c>
      <c r="H1730" s="197">
        <f t="shared" si="286"/>
        <v>46</v>
      </c>
      <c r="I1730" s="197">
        <v>11</v>
      </c>
      <c r="J1730" s="197">
        <v>11</v>
      </c>
      <c r="K1730" s="186">
        <f t="shared" si="287"/>
        <v>45972</v>
      </c>
      <c r="L1730" s="3" t="s">
        <v>2395</v>
      </c>
      <c r="M1730" s="3" t="s">
        <v>1468</v>
      </c>
      <c r="N1730" s="3" t="str">
        <f t="shared" si="285"/>
        <v>NG</v>
      </c>
      <c r="O1730" s="3" t="s">
        <v>2368</v>
      </c>
      <c r="P1730" s="3" t="s">
        <v>1385</v>
      </c>
      <c r="Q1730" s="3">
        <v>13111814</v>
      </c>
      <c r="R1730" s="3" t="s">
        <v>5376</v>
      </c>
      <c r="S1730" s="3" t="s">
        <v>5377</v>
      </c>
    </row>
    <row r="1731" spans="1:21">
      <c r="A1731" s="3">
        <v>6182</v>
      </c>
      <c r="B1731" s="83">
        <f t="array" ref="B1731">SUM(--(FREQUENCY(IF(C$2:C$3074=C1731, MATCH(D$2:D$3074, D$2:D$3074, 0)), ROW(D$2:D$3074)-ROW(D$2)+1) &gt; 0))</f>
        <v>29</v>
      </c>
      <c r="C1731" s="3">
        <v>41200158</v>
      </c>
      <c r="D1731" s="6" t="s">
        <v>3263</v>
      </c>
      <c r="E1731" s="3" t="s">
        <v>1405</v>
      </c>
      <c r="F1731" s="3" t="s">
        <v>1480</v>
      </c>
      <c r="G1731" s="68" t="str">
        <f t="shared" si="274"/>
        <v>DUAL</v>
      </c>
      <c r="H1731" s="197">
        <f t="shared" si="286"/>
        <v>46</v>
      </c>
      <c r="I1731" s="197">
        <v>11</v>
      </c>
      <c r="J1731" s="197">
        <v>11</v>
      </c>
      <c r="K1731" s="186">
        <f t="shared" si="287"/>
        <v>45972</v>
      </c>
      <c r="L1731" s="3" t="s">
        <v>2395</v>
      </c>
      <c r="M1731" s="3" t="s">
        <v>1468</v>
      </c>
      <c r="N1731" s="3" t="str">
        <f t="shared" si="285"/>
        <v/>
      </c>
    </row>
    <row r="1732" spans="1:21">
      <c r="A1732" s="3">
        <v>6028</v>
      </c>
      <c r="B1732" s="83">
        <f t="array" ref="B1732">SUM(--(FREQUENCY(IF(C$2:C$3074=C1732, MATCH(D$2:D$3074, D$2:D$3074, 0)), ROW(D$2:D$3074)-ROW(D$2)+1) &gt; 0))</f>
        <v>4</v>
      </c>
      <c r="C1732" s="3">
        <v>31200266</v>
      </c>
      <c r="D1732" s="6" t="s">
        <v>5378</v>
      </c>
      <c r="E1732" s="3" t="s">
        <v>1405</v>
      </c>
      <c r="F1732" s="3" t="s">
        <v>5173</v>
      </c>
      <c r="G1732" s="68" t="str">
        <f t="shared" si="274"/>
        <v>SINGLE</v>
      </c>
      <c r="H1732" s="197">
        <f t="shared" ref="H1732:H1748" si="288">WEEKNUM(K1732)</f>
        <v>46</v>
      </c>
      <c r="I1732" s="197">
        <v>11</v>
      </c>
      <c r="J1732" s="197">
        <v>11</v>
      </c>
      <c r="K1732" s="186">
        <f t="shared" ref="K1732:K1748" si="289">DATE(2025, I1732, J1732)</f>
        <v>45972</v>
      </c>
      <c r="L1732" s="3" t="s">
        <v>2392</v>
      </c>
      <c r="M1732" s="3" t="s">
        <v>2392</v>
      </c>
      <c r="N1732" s="3" t="str">
        <f t="shared" si="285"/>
        <v/>
      </c>
    </row>
    <row r="1733" spans="1:21">
      <c r="A1733" s="3">
        <v>6028</v>
      </c>
      <c r="B1733" s="83">
        <f t="array" ref="B1733">SUM(--(FREQUENCY(IF(C$2:C$3074=C1733, MATCH(D$2:D$3074, D$2:D$3074, 0)), ROW(D$2:D$3074)-ROW(D$2)+1) &gt; 0))</f>
        <v>4</v>
      </c>
      <c r="C1733" s="3">
        <v>31200266</v>
      </c>
      <c r="D1733" s="6" t="s">
        <v>5379</v>
      </c>
      <c r="E1733" s="3" t="s">
        <v>1405</v>
      </c>
      <c r="F1733" s="3" t="s">
        <v>5173</v>
      </c>
      <c r="G1733" s="68" t="str">
        <f t="shared" si="274"/>
        <v>SINGLE</v>
      </c>
      <c r="H1733" s="197">
        <f t="shared" si="288"/>
        <v>46</v>
      </c>
      <c r="I1733" s="197">
        <v>11</v>
      </c>
      <c r="J1733" s="197">
        <v>11</v>
      </c>
      <c r="K1733" s="186">
        <f t="shared" si="289"/>
        <v>45972</v>
      </c>
      <c r="L1733" s="3" t="s">
        <v>2392</v>
      </c>
      <c r="M1733" s="3" t="s">
        <v>2392</v>
      </c>
      <c r="N1733" s="3" t="str">
        <f t="shared" si="285"/>
        <v/>
      </c>
    </row>
    <row r="1734" spans="1:21">
      <c r="A1734" s="3">
        <v>6028</v>
      </c>
      <c r="B1734" s="83">
        <f t="array" ref="B1734">SUM(--(FREQUENCY(IF(C$2:C$3074=C1734, MATCH(D$2:D$3074, D$2:D$3074, 0)), ROW(D$2:D$3074)-ROW(D$2)+1) &gt; 0))</f>
        <v>2</v>
      </c>
      <c r="C1734" s="3">
        <v>31102253</v>
      </c>
      <c r="D1734" s="6" t="s">
        <v>5380</v>
      </c>
      <c r="E1734" s="3" t="s">
        <v>1405</v>
      </c>
      <c r="F1734" s="3" t="s">
        <v>5173</v>
      </c>
      <c r="G1734" s="68" t="str">
        <f t="shared" si="274"/>
        <v>SINGLE</v>
      </c>
      <c r="H1734" s="197">
        <f t="shared" si="288"/>
        <v>46</v>
      </c>
      <c r="I1734" s="197">
        <v>11</v>
      </c>
      <c r="J1734" s="197">
        <v>11</v>
      </c>
      <c r="K1734" s="186">
        <f t="shared" si="289"/>
        <v>45972</v>
      </c>
      <c r="L1734" s="3" t="s">
        <v>2392</v>
      </c>
      <c r="M1734" s="3" t="s">
        <v>2392</v>
      </c>
      <c r="N1734" s="3" t="str">
        <f t="shared" si="285"/>
        <v/>
      </c>
    </row>
    <row r="1735" spans="1:21">
      <c r="A1735" s="3">
        <v>6028</v>
      </c>
      <c r="B1735" s="83">
        <f t="array" ref="B1735">SUM(--(FREQUENCY(IF(C$2:C$3074=C1735, MATCH(D$2:D$3074, D$2:D$3074, 0)), ROW(D$2:D$3074)-ROW(D$2)+1) &gt; 0))</f>
        <v>1</v>
      </c>
      <c r="C1735" s="3">
        <v>31102262</v>
      </c>
      <c r="D1735" s="6" t="s">
        <v>5381</v>
      </c>
      <c r="E1735" s="3" t="s">
        <v>1405</v>
      </c>
      <c r="F1735" s="3" t="s">
        <v>5173</v>
      </c>
      <c r="G1735" s="68" t="str">
        <f t="shared" si="274"/>
        <v>SINGLE</v>
      </c>
      <c r="H1735" s="197">
        <f t="shared" si="288"/>
        <v>46</v>
      </c>
      <c r="I1735" s="197">
        <v>11</v>
      </c>
      <c r="J1735" s="197">
        <v>11</v>
      </c>
      <c r="K1735" s="186">
        <f t="shared" si="289"/>
        <v>45972</v>
      </c>
      <c r="L1735" s="3" t="s">
        <v>2392</v>
      </c>
      <c r="M1735" s="3" t="s">
        <v>2392</v>
      </c>
      <c r="N1735" s="3" t="str">
        <f t="shared" si="285"/>
        <v/>
      </c>
    </row>
    <row r="1736" spans="1:21">
      <c r="A1736" s="3">
        <v>6028</v>
      </c>
      <c r="B1736" s="83">
        <f t="array" ref="B1736">SUM(--(FREQUENCY(IF(C$2:C$3074=C1736, MATCH(D$2:D$3074, D$2:D$3074, 0)), ROW(D$2:D$3074)-ROW(D$2)+1) &gt; 0))</f>
        <v>6</v>
      </c>
      <c r="C1736" s="3">
        <v>31200260</v>
      </c>
      <c r="D1736" s="6" t="s">
        <v>5382</v>
      </c>
      <c r="E1736" s="3" t="s">
        <v>1405</v>
      </c>
      <c r="F1736" s="3" t="s">
        <v>5173</v>
      </c>
      <c r="G1736" s="68" t="str">
        <f t="shared" si="274"/>
        <v>SINGLE</v>
      </c>
      <c r="H1736" s="197">
        <f t="shared" si="288"/>
        <v>46</v>
      </c>
      <c r="I1736" s="197">
        <v>11</v>
      </c>
      <c r="J1736" s="197">
        <v>11</v>
      </c>
      <c r="K1736" s="186">
        <f t="shared" si="289"/>
        <v>45972</v>
      </c>
      <c r="L1736" s="3" t="s">
        <v>2392</v>
      </c>
      <c r="M1736" s="3" t="s">
        <v>2392</v>
      </c>
      <c r="N1736" s="3" t="str">
        <f t="shared" si="285"/>
        <v/>
      </c>
    </row>
    <row r="1737" spans="1:21">
      <c r="A1737" s="3">
        <v>6028</v>
      </c>
      <c r="B1737" s="83">
        <f t="array" ref="B1737">SUM(--(FREQUENCY(IF(C$2:C$3074=C1737, MATCH(D$2:D$3074, D$2:D$3074, 0)), ROW(D$2:D$3074)-ROW(D$2)+1) &gt; 0))</f>
        <v>6</v>
      </c>
      <c r="C1737" s="3">
        <v>31200260</v>
      </c>
      <c r="D1737" s="6" t="s">
        <v>5383</v>
      </c>
      <c r="E1737" s="3" t="s">
        <v>1405</v>
      </c>
      <c r="F1737" s="3" t="s">
        <v>5173</v>
      </c>
      <c r="G1737" s="68" t="str">
        <f t="shared" si="274"/>
        <v>SINGLE</v>
      </c>
      <c r="H1737" s="197">
        <f t="shared" si="288"/>
        <v>46</v>
      </c>
      <c r="I1737" s="197">
        <v>11</v>
      </c>
      <c r="J1737" s="197">
        <v>11</v>
      </c>
      <c r="K1737" s="186">
        <f t="shared" si="289"/>
        <v>45972</v>
      </c>
      <c r="L1737" s="3" t="s">
        <v>2392</v>
      </c>
      <c r="M1737" s="3" t="s">
        <v>2392</v>
      </c>
      <c r="N1737" s="3" t="str">
        <f t="shared" si="285"/>
        <v/>
      </c>
    </row>
    <row r="1738" spans="1:21">
      <c r="A1738" s="3">
        <v>6028</v>
      </c>
      <c r="B1738" s="83">
        <f t="array" ref="B1738">SUM(--(FREQUENCY(IF(C$2:C$3074=C1738, MATCH(D$2:D$3074, D$2:D$3074, 0)), ROW(D$2:D$3074)-ROW(D$2)+1) &gt; 0))</f>
        <v>6</v>
      </c>
      <c r="C1738" s="3">
        <v>31200260</v>
      </c>
      <c r="D1738" s="6" t="s">
        <v>5384</v>
      </c>
      <c r="E1738" s="3" t="s">
        <v>1405</v>
      </c>
      <c r="F1738" s="3" t="s">
        <v>5173</v>
      </c>
      <c r="G1738" s="68" t="str">
        <f t="shared" si="274"/>
        <v>SINGLE</v>
      </c>
      <c r="H1738" s="197">
        <f t="shared" si="288"/>
        <v>46</v>
      </c>
      <c r="I1738" s="197">
        <v>11</v>
      </c>
      <c r="J1738" s="197">
        <v>11</v>
      </c>
      <c r="K1738" s="186">
        <f t="shared" si="289"/>
        <v>45972</v>
      </c>
      <c r="L1738" s="3" t="s">
        <v>2392</v>
      </c>
      <c r="M1738" s="3" t="s">
        <v>2392</v>
      </c>
      <c r="N1738" s="3" t="str">
        <f t="shared" si="285"/>
        <v/>
      </c>
    </row>
    <row r="1739" spans="1:21">
      <c r="A1739" s="3">
        <v>6028</v>
      </c>
      <c r="B1739" s="83">
        <f t="array" ref="B1739">SUM(--(FREQUENCY(IF(C$2:C$3074=C1739, MATCH(D$2:D$3074, D$2:D$3074, 0)), ROW(D$2:D$3074)-ROW(D$2)+1) &gt; 0))</f>
        <v>6</v>
      </c>
      <c r="C1739" s="3">
        <v>31200260</v>
      </c>
      <c r="D1739" s="6" t="s">
        <v>5385</v>
      </c>
      <c r="E1739" s="3" t="s">
        <v>1405</v>
      </c>
      <c r="F1739" s="3" t="s">
        <v>5173</v>
      </c>
      <c r="G1739" s="68" t="str">
        <f t="shared" si="274"/>
        <v>SINGLE</v>
      </c>
      <c r="H1739" s="197">
        <f t="shared" si="288"/>
        <v>46</v>
      </c>
      <c r="I1739" s="197">
        <v>11</v>
      </c>
      <c r="J1739" s="197">
        <v>11</v>
      </c>
      <c r="K1739" s="186">
        <f t="shared" si="289"/>
        <v>45972</v>
      </c>
      <c r="L1739" s="3" t="s">
        <v>2392</v>
      </c>
      <c r="M1739" s="3" t="s">
        <v>2392</v>
      </c>
      <c r="N1739" s="3" t="str">
        <f t="shared" si="285"/>
        <v/>
      </c>
    </row>
    <row r="1740" spans="1:21">
      <c r="A1740" s="3">
        <v>6028</v>
      </c>
      <c r="B1740" s="83">
        <f t="array" ref="B1740">SUM(--(FREQUENCY(IF(C$2:C$3074=C1740, MATCH(D$2:D$3074, D$2:D$3074, 0)), ROW(D$2:D$3074)-ROW(D$2)+1) &gt; 0))</f>
        <v>6</v>
      </c>
      <c r="C1740" s="3">
        <v>31200260</v>
      </c>
      <c r="D1740" s="6" t="s">
        <v>5386</v>
      </c>
      <c r="E1740" s="3" t="s">
        <v>1405</v>
      </c>
      <c r="F1740" s="3" t="s">
        <v>5173</v>
      </c>
      <c r="G1740" s="68" t="str">
        <f t="shared" ref="G1740" si="290">IF(OR(ISNUMBER(SEARCH("DUAL",F1740)), ISNUMBER(SEARCH("IVAS",F1740))), "DUAL", "SINGLE")</f>
        <v>SINGLE</v>
      </c>
      <c r="H1740" s="197">
        <f t="shared" ref="H1740" si="291">WEEKNUM(K1740)</f>
        <v>46</v>
      </c>
      <c r="I1740" s="197">
        <v>11</v>
      </c>
      <c r="J1740" s="197">
        <v>11</v>
      </c>
      <c r="K1740" s="186">
        <f t="shared" ref="K1740" si="292">DATE(2025, I1740, J1740)</f>
        <v>45972</v>
      </c>
      <c r="L1740" s="3" t="s">
        <v>2392</v>
      </c>
      <c r="M1740" s="3" t="s">
        <v>2392</v>
      </c>
    </row>
    <row r="1741" spans="1:21">
      <c r="A1741" s="3">
        <v>6121</v>
      </c>
      <c r="B1741" s="83">
        <f t="array" ref="B1741">SUM(--(FREQUENCY(IF(C$2:C$3074=C1741, MATCH(D$2:D$3074, D$2:D$3074, 0)), ROW(D$2:D$3074)-ROW(D$2)+1) &gt; 0))</f>
        <v>41</v>
      </c>
      <c r="C1741" s="3">
        <v>41200101</v>
      </c>
      <c r="D1741" s="6" t="s">
        <v>3264</v>
      </c>
      <c r="E1741" s="3" t="s">
        <v>1585</v>
      </c>
      <c r="F1741" s="3" t="s">
        <v>1476</v>
      </c>
      <c r="G1741" s="41" t="str">
        <f t="shared" si="274"/>
        <v>DUAL</v>
      </c>
      <c r="H1741" s="197">
        <f t="shared" si="288"/>
        <v>46</v>
      </c>
      <c r="I1741" s="197">
        <v>11</v>
      </c>
      <c r="J1741" s="197">
        <v>12</v>
      </c>
      <c r="K1741" s="186">
        <f t="shared" si="289"/>
        <v>45973</v>
      </c>
      <c r="L1741" s="3" t="s">
        <v>2391</v>
      </c>
      <c r="M1741" s="3" t="s">
        <v>2392</v>
      </c>
      <c r="N1741" s="3" t="str">
        <f t="shared" si="285"/>
        <v>NG</v>
      </c>
      <c r="O1741" s="3" t="s">
        <v>2368</v>
      </c>
      <c r="P1741" s="3" t="s">
        <v>2482</v>
      </c>
      <c r="Q1741" s="3">
        <v>11002283</v>
      </c>
      <c r="R1741" s="3" t="s">
        <v>932</v>
      </c>
      <c r="S1741" s="3" t="s">
        <v>5387</v>
      </c>
    </row>
    <row r="1742" spans="1:21">
      <c r="A1742" s="3">
        <v>6121</v>
      </c>
      <c r="B1742" s="83">
        <f t="array" ref="B1742">SUM(--(FREQUENCY(IF(C$2:C$3074=C1742, MATCH(D$2:D$3074, D$2:D$3074, 0)), ROW(D$2:D$3074)-ROW(D$2)+1) &gt; 0))</f>
        <v>41</v>
      </c>
      <c r="C1742" s="3">
        <v>41200101</v>
      </c>
      <c r="D1742" s="6" t="s">
        <v>3264</v>
      </c>
      <c r="E1742" s="3" t="s">
        <v>1585</v>
      </c>
      <c r="F1742" s="3" t="s">
        <v>1476</v>
      </c>
      <c r="G1742" s="41" t="str">
        <f t="shared" ref="G1742" si="293">IF(OR(ISNUMBER(SEARCH("DUAL",F1742)), ISNUMBER(SEARCH("IVAS",F1742))), "DUAL", "SINGLE")</f>
        <v>DUAL</v>
      </c>
      <c r="H1742" s="197">
        <f t="shared" ref="H1742" si="294">WEEKNUM(K1742)</f>
        <v>46</v>
      </c>
      <c r="I1742" s="197">
        <v>11</v>
      </c>
      <c r="J1742" s="197">
        <v>12</v>
      </c>
      <c r="K1742" s="186">
        <f t="shared" ref="K1742" si="295">DATE(2025, I1742, J1742)</f>
        <v>45973</v>
      </c>
      <c r="L1742" s="3" t="s">
        <v>2391</v>
      </c>
      <c r="M1742" s="3" t="s">
        <v>2392</v>
      </c>
      <c r="N1742" s="3" t="str">
        <f t="shared" ref="N1742" si="296">IF(O1742&lt;&gt;"", "NG", "")</f>
        <v>NG</v>
      </c>
      <c r="O1742" s="3" t="s">
        <v>2368</v>
      </c>
      <c r="P1742" s="3" t="s">
        <v>2482</v>
      </c>
      <c r="Q1742" s="3">
        <v>11002283</v>
      </c>
      <c r="R1742" s="3" t="s">
        <v>932</v>
      </c>
      <c r="S1742" s="3" t="s">
        <v>5388</v>
      </c>
    </row>
    <row r="1743" spans="1:21">
      <c r="A1743" s="3">
        <v>6066</v>
      </c>
      <c r="B1743" s="83">
        <f t="array" ref="B1743">SUM(--(FREQUENCY(IF(C$2:C$3074=C1743, MATCH(D$2:D$3074, D$2:D$3074, 0)), ROW(D$2:D$3074)-ROW(D$2)+1) &gt; 0))</f>
        <v>10</v>
      </c>
      <c r="C1743" s="3">
        <v>41100317</v>
      </c>
      <c r="D1743" s="6" t="s">
        <v>3265</v>
      </c>
      <c r="E1743" s="3" t="s">
        <v>1585</v>
      </c>
      <c r="F1743" s="3" t="s">
        <v>1476</v>
      </c>
      <c r="G1743" s="68" t="str">
        <f t="shared" si="274"/>
        <v>DUAL</v>
      </c>
      <c r="H1743" s="197">
        <f t="shared" si="288"/>
        <v>46</v>
      </c>
      <c r="I1743" s="197">
        <v>11</v>
      </c>
      <c r="J1743" s="197">
        <v>12</v>
      </c>
      <c r="K1743" s="186">
        <f t="shared" si="289"/>
        <v>45973</v>
      </c>
      <c r="L1743" s="3" t="s">
        <v>2391</v>
      </c>
      <c r="M1743" s="3" t="s">
        <v>1468</v>
      </c>
      <c r="N1743" s="3" t="str">
        <f t="shared" si="285"/>
        <v/>
      </c>
    </row>
    <row r="1744" spans="1:21">
      <c r="A1744" s="3">
        <v>5976</v>
      </c>
      <c r="B1744" s="83">
        <f t="array" ref="B1744">SUM(--(FREQUENCY(IF(C$2:C$3074=C1744, MATCH(D$2:D$3074, D$2:D$3074, 0)), ROW(D$2:D$3074)-ROW(D$2)+1) &gt; 0))</f>
        <v>10</v>
      </c>
      <c r="C1744" s="3">
        <v>41200061</v>
      </c>
      <c r="D1744" s="6" t="s">
        <v>3266</v>
      </c>
      <c r="E1744" s="3" t="s">
        <v>1405</v>
      </c>
      <c r="F1744" s="3" t="s">
        <v>1480</v>
      </c>
      <c r="G1744" s="68" t="str">
        <f t="shared" si="274"/>
        <v>DUAL</v>
      </c>
      <c r="H1744" s="197">
        <f t="shared" si="288"/>
        <v>46</v>
      </c>
      <c r="I1744" s="197">
        <v>11</v>
      </c>
      <c r="J1744" s="197">
        <v>12</v>
      </c>
      <c r="K1744" s="186">
        <f t="shared" si="289"/>
        <v>45973</v>
      </c>
      <c r="L1744" s="3" t="s">
        <v>2391</v>
      </c>
      <c r="M1744" s="3" t="s">
        <v>2392</v>
      </c>
      <c r="N1744" s="3" t="str">
        <f t="shared" si="285"/>
        <v/>
      </c>
      <c r="U1744" s="3" t="s">
        <v>5389</v>
      </c>
    </row>
    <row r="1745" spans="1:21">
      <c r="A1745" s="3">
        <v>5976</v>
      </c>
      <c r="B1745" s="83">
        <f t="array" ref="B1745">SUM(--(FREQUENCY(IF(C$2:C$3074=C1745, MATCH(D$2:D$3074, D$2:D$3074, 0)), ROW(D$2:D$3074)-ROW(D$2)+1) &gt; 0))</f>
        <v>10</v>
      </c>
      <c r="C1745" s="3">
        <v>41200061</v>
      </c>
      <c r="D1745" s="6" t="s">
        <v>3267</v>
      </c>
      <c r="E1745" s="3" t="s">
        <v>1405</v>
      </c>
      <c r="F1745" s="3" t="s">
        <v>1480</v>
      </c>
      <c r="G1745" s="68" t="str">
        <f t="shared" si="274"/>
        <v>DUAL</v>
      </c>
      <c r="H1745" s="197">
        <f t="shared" si="288"/>
        <v>46</v>
      </c>
      <c r="I1745" s="197">
        <v>11</v>
      </c>
      <c r="J1745" s="197">
        <v>12</v>
      </c>
      <c r="K1745" s="186">
        <f t="shared" si="289"/>
        <v>45973</v>
      </c>
      <c r="L1745" s="3" t="s">
        <v>2391</v>
      </c>
      <c r="M1745" s="3" t="s">
        <v>2392</v>
      </c>
      <c r="N1745" s="3" t="str">
        <f t="shared" si="285"/>
        <v/>
      </c>
      <c r="U1745" s="3" t="s">
        <v>5390</v>
      </c>
    </row>
    <row r="1746" spans="1:21">
      <c r="A1746" s="3">
        <v>5981</v>
      </c>
      <c r="B1746" s="83">
        <f t="array" ref="B1746">SUM(--(FREQUENCY(IF(C$2:C$3074=C1746, MATCH(D$2:D$3074, D$2:D$3074, 0)), ROW(D$2:D$3074)-ROW(D$2)+1) &gt; 0))</f>
        <v>144</v>
      </c>
      <c r="C1746" s="3">
        <v>41200007</v>
      </c>
      <c r="D1746" s="6" t="s">
        <v>3269</v>
      </c>
      <c r="E1746" s="3" t="s">
        <v>1405</v>
      </c>
      <c r="F1746" s="3" t="s">
        <v>1591</v>
      </c>
      <c r="G1746" s="68" t="str">
        <f t="shared" si="274"/>
        <v>SINGLE</v>
      </c>
      <c r="H1746" s="197">
        <f t="shared" si="288"/>
        <v>46</v>
      </c>
      <c r="I1746" s="197">
        <v>11</v>
      </c>
      <c r="J1746" s="197">
        <v>12</v>
      </c>
      <c r="K1746" s="186">
        <f t="shared" si="289"/>
        <v>45973</v>
      </c>
      <c r="L1746" s="3" t="s">
        <v>2391</v>
      </c>
      <c r="M1746" s="3" t="s">
        <v>2392</v>
      </c>
      <c r="N1746" s="3" t="str">
        <f t="shared" si="285"/>
        <v/>
      </c>
    </row>
    <row r="1747" spans="1:21">
      <c r="A1747" s="3">
        <v>5975</v>
      </c>
      <c r="B1747" s="83">
        <f t="array" ref="B1747">SUM(--(FREQUENCY(IF(C$2:C$3074=C1747, MATCH(D$2:D$3074, D$2:D$3074, 0)), ROW(D$2:D$3074)-ROW(D$2)+1) &gt; 0))</f>
        <v>22</v>
      </c>
      <c r="C1747" s="3">
        <v>41000598</v>
      </c>
      <c r="D1747" s="6" t="s">
        <v>3270</v>
      </c>
      <c r="E1747" s="3" t="s">
        <v>1405</v>
      </c>
      <c r="F1747" s="3" t="s">
        <v>1480</v>
      </c>
      <c r="G1747" s="41" t="str">
        <f t="shared" si="274"/>
        <v>DUAL</v>
      </c>
      <c r="H1747" s="197">
        <f t="shared" si="288"/>
        <v>46</v>
      </c>
      <c r="I1747" s="197">
        <v>11</v>
      </c>
      <c r="J1747" s="197">
        <v>12</v>
      </c>
      <c r="K1747" s="186">
        <f t="shared" si="289"/>
        <v>45973</v>
      </c>
      <c r="L1747" s="3" t="s">
        <v>2395</v>
      </c>
      <c r="M1747" s="3" t="s">
        <v>1469</v>
      </c>
      <c r="N1747" s="3" t="str">
        <f t="shared" si="285"/>
        <v>NG</v>
      </c>
      <c r="O1747" s="3" t="s">
        <v>2368</v>
      </c>
      <c r="P1747" s="3" t="s">
        <v>2414</v>
      </c>
      <c r="Q1747" s="3">
        <v>11000088</v>
      </c>
      <c r="R1747" s="3" t="s">
        <v>143</v>
      </c>
      <c r="S1747" s="3" t="s">
        <v>5391</v>
      </c>
    </row>
    <row r="1748" spans="1:21">
      <c r="A1748" s="3">
        <v>5975</v>
      </c>
      <c r="B1748" s="83">
        <f t="array" ref="B1748">SUM(--(FREQUENCY(IF(C$2:C$3074=C1748, MATCH(D$2:D$3074, D$2:D$3074, 0)), ROW(D$2:D$3074)-ROW(D$2)+1) &gt; 0))</f>
        <v>22</v>
      </c>
      <c r="C1748" s="3">
        <v>41000598</v>
      </c>
      <c r="D1748" s="6" t="s">
        <v>3270</v>
      </c>
      <c r="E1748" s="3" t="s">
        <v>1405</v>
      </c>
      <c r="F1748" s="3" t="s">
        <v>1480</v>
      </c>
      <c r="G1748" s="41" t="str">
        <f t="shared" ref="G1748:G1749" si="297">IF(OR(ISNUMBER(SEARCH("DUAL",F1748)), ISNUMBER(SEARCH("IVAS",F1748))), "DUAL", "SINGLE")</f>
        <v>DUAL</v>
      </c>
      <c r="H1748" s="197">
        <f t="shared" ref="H1748:H1749" si="298">WEEKNUM(K1748)</f>
        <v>46</v>
      </c>
      <c r="I1748" s="197">
        <v>11</v>
      </c>
      <c r="J1748" s="197">
        <v>12</v>
      </c>
      <c r="K1748" s="186">
        <f t="shared" ref="K1748:K1749" si="299">DATE(2025, I1748, J1748)</f>
        <v>45973</v>
      </c>
      <c r="L1748" s="3" t="s">
        <v>2395</v>
      </c>
      <c r="M1748" s="3" t="s">
        <v>1469</v>
      </c>
      <c r="N1748" s="3" t="str">
        <f t="shared" si="285"/>
        <v>NG</v>
      </c>
      <c r="O1748" s="3" t="s">
        <v>2368</v>
      </c>
      <c r="P1748" s="3" t="s">
        <v>2446</v>
      </c>
      <c r="Q1748" s="3">
        <v>11007507</v>
      </c>
      <c r="R1748" s="3" t="s">
        <v>226</v>
      </c>
      <c r="S1748" s="3" t="s">
        <v>5392</v>
      </c>
    </row>
    <row r="1749" spans="1:21">
      <c r="A1749" s="3">
        <v>5975</v>
      </c>
      <c r="B1749" s="83">
        <f t="array" ref="B1749">SUM(--(FREQUENCY(IF(C$2:C$3074=C1749, MATCH(D$2:D$3074, D$2:D$3074, 0)), ROW(D$2:D$3074)-ROW(D$2)+1) &gt; 0))</f>
        <v>22</v>
      </c>
      <c r="C1749" s="3">
        <v>41000598</v>
      </c>
      <c r="D1749" s="6" t="s">
        <v>3270</v>
      </c>
      <c r="E1749" s="3" t="s">
        <v>1405</v>
      </c>
      <c r="F1749" s="3" t="s">
        <v>1480</v>
      </c>
      <c r="G1749" s="41" t="str">
        <f t="shared" si="297"/>
        <v>DUAL</v>
      </c>
      <c r="H1749" s="197">
        <f t="shared" si="298"/>
        <v>46</v>
      </c>
      <c r="I1749" s="197">
        <v>11</v>
      </c>
      <c r="J1749" s="197">
        <v>12</v>
      </c>
      <c r="K1749" s="186">
        <f t="shared" si="299"/>
        <v>45973</v>
      </c>
      <c r="L1749" s="3" t="s">
        <v>2395</v>
      </c>
      <c r="M1749" s="3" t="s">
        <v>1469</v>
      </c>
      <c r="N1749" s="3" t="str">
        <f t="shared" si="285"/>
        <v>NG</v>
      </c>
      <c r="O1749" s="3" t="s">
        <v>2368</v>
      </c>
      <c r="P1749" s="3" t="s">
        <v>5092</v>
      </c>
      <c r="Q1749" s="3">
        <v>11008397</v>
      </c>
      <c r="R1749" s="3" t="s">
        <v>473</v>
      </c>
      <c r="S1749" s="3" t="s">
        <v>5393</v>
      </c>
      <c r="U1749" s="3" t="s">
        <v>5394</v>
      </c>
    </row>
    <row r="1750" spans="1:21">
      <c r="A1750" s="3">
        <v>6121</v>
      </c>
      <c r="B1750" s="83">
        <f t="array" ref="B1750">SUM(--(FREQUENCY(IF(C$2:C$3074=C1750, MATCH(D$2:D$3074, D$2:D$3074, 0)), ROW(D$2:D$3074)-ROW(D$2)+1) &gt; 0))</f>
        <v>41</v>
      </c>
      <c r="C1750" s="3">
        <v>41200101</v>
      </c>
      <c r="D1750" s="6" t="s">
        <v>3271</v>
      </c>
      <c r="E1750" s="3" t="s">
        <v>1585</v>
      </c>
      <c r="F1750" s="3" t="s">
        <v>1476</v>
      </c>
      <c r="G1750" s="68" t="str">
        <f t="shared" ref="G1750" si="300">IF(OR(ISNUMBER(SEARCH("DUAL",F1750)), ISNUMBER(SEARCH("IVAS",F1750))), "DUAL", "SINGLE")</f>
        <v>DUAL</v>
      </c>
      <c r="H1750" s="197">
        <f t="shared" ref="H1750:H1751" si="301">WEEKNUM(K1750)</f>
        <v>46</v>
      </c>
      <c r="I1750" s="197">
        <v>11</v>
      </c>
      <c r="J1750" s="197">
        <v>12</v>
      </c>
      <c r="K1750" s="186">
        <f t="shared" ref="K1750:K1751" si="302">DATE(2025, I1750, J1750)</f>
        <v>45973</v>
      </c>
      <c r="L1750" s="3" t="s">
        <v>2555</v>
      </c>
      <c r="M1750" s="3" t="s">
        <v>2555</v>
      </c>
      <c r="N1750" s="3" t="str">
        <f t="shared" si="285"/>
        <v/>
      </c>
    </row>
    <row r="1751" spans="1:21">
      <c r="A1751" s="3">
        <v>6132</v>
      </c>
      <c r="B1751" s="83">
        <f t="array" ref="B1751">SUM(--(FREQUENCY(IF(C$2:C$3074=C1751, MATCH(D$2:D$3074, D$2:D$3074, 0)), ROW(D$2:D$3074)-ROW(D$2)+1) &gt; 0))</f>
        <v>77</v>
      </c>
      <c r="C1751" s="3">
        <v>41200076</v>
      </c>
      <c r="D1751" s="6" t="s">
        <v>3278</v>
      </c>
      <c r="E1751" s="3" t="s">
        <v>1585</v>
      </c>
      <c r="F1751" s="3" t="s">
        <v>1476</v>
      </c>
      <c r="G1751" s="68" t="str">
        <f t="shared" si="274"/>
        <v>DUAL</v>
      </c>
      <c r="H1751" s="197">
        <f t="shared" si="301"/>
        <v>46</v>
      </c>
      <c r="I1751" s="197">
        <v>11</v>
      </c>
      <c r="J1751" s="197">
        <v>13</v>
      </c>
      <c r="K1751" s="186">
        <f t="shared" si="302"/>
        <v>45974</v>
      </c>
      <c r="L1751" s="3" t="s">
        <v>2391</v>
      </c>
      <c r="M1751" s="3" t="s">
        <v>2392</v>
      </c>
      <c r="N1751" s="3" t="str">
        <f t="shared" si="285"/>
        <v/>
      </c>
    </row>
    <row r="1752" spans="1:21">
      <c r="A1752" s="3">
        <v>6132</v>
      </c>
      <c r="B1752" s="83">
        <f t="array" ref="B1752">SUM(--(FREQUENCY(IF(C$2:C$3074=C1752, MATCH(D$2:D$3074, D$2:D$3074, 0)), ROW(D$2:D$3074)-ROW(D$2)+1) &gt; 0))</f>
        <v>77</v>
      </c>
      <c r="C1752" s="3">
        <v>41200076</v>
      </c>
      <c r="D1752" s="6" t="s">
        <v>3280</v>
      </c>
      <c r="E1752" s="3" t="s">
        <v>1585</v>
      </c>
      <c r="F1752" s="3" t="s">
        <v>1476</v>
      </c>
      <c r="G1752" s="68" t="str">
        <f t="shared" si="274"/>
        <v>DUAL</v>
      </c>
      <c r="H1752" s="197">
        <f t="shared" ref="H1752:H1815" si="303">WEEKNUM(K1752)</f>
        <v>46</v>
      </c>
      <c r="I1752" s="197">
        <v>11</v>
      </c>
      <c r="J1752" s="197">
        <v>13</v>
      </c>
      <c r="K1752" s="186">
        <f t="shared" ref="K1752:K1815" si="304">DATE(2025, I1752, J1752)</f>
        <v>45974</v>
      </c>
      <c r="L1752" s="3" t="s">
        <v>2391</v>
      </c>
      <c r="M1752" s="3" t="s">
        <v>2392</v>
      </c>
      <c r="N1752" s="3" t="str">
        <f t="shared" si="285"/>
        <v/>
      </c>
    </row>
    <row r="1753" spans="1:21">
      <c r="A1753" s="3">
        <v>6169</v>
      </c>
      <c r="B1753" s="83">
        <f t="array" ref="B1753">SUM(--(FREQUENCY(IF(C$2:C$3074=C1753, MATCH(D$2:D$3074, D$2:D$3074, 0)), ROW(D$2:D$3074)-ROW(D$2)+1) &gt; 0))</f>
        <v>18</v>
      </c>
      <c r="C1753" s="3">
        <v>41200171</v>
      </c>
      <c r="D1753" s="6" t="s">
        <v>3281</v>
      </c>
      <c r="E1753" s="3" t="s">
        <v>1394</v>
      </c>
      <c r="F1753" s="3" t="s">
        <v>1479</v>
      </c>
      <c r="G1753" s="68" t="str">
        <f t="shared" si="274"/>
        <v>SINGLE</v>
      </c>
      <c r="H1753" s="197">
        <f t="shared" si="303"/>
        <v>46</v>
      </c>
      <c r="I1753" s="197">
        <v>11</v>
      </c>
      <c r="J1753" s="197">
        <v>13</v>
      </c>
      <c r="K1753" s="186">
        <f t="shared" si="304"/>
        <v>45974</v>
      </c>
      <c r="L1753" s="3" t="s">
        <v>2391</v>
      </c>
      <c r="M1753" s="3" t="s">
        <v>2392</v>
      </c>
      <c r="N1753" s="3" t="str">
        <f t="shared" si="285"/>
        <v/>
      </c>
    </row>
    <row r="1754" spans="1:21">
      <c r="A1754" s="3">
        <v>6184</v>
      </c>
      <c r="B1754" s="83">
        <f t="array" ref="B1754">SUM(--(FREQUENCY(IF(C$2:C$3074=C1754, MATCH(D$2:D$3074, D$2:D$3074, 0)), ROW(D$2:D$3074)-ROW(D$2)+1) &gt; 0))</f>
        <v>77</v>
      </c>
      <c r="C1754" s="3">
        <v>41200076</v>
      </c>
      <c r="D1754" s="6" t="s">
        <v>3282</v>
      </c>
      <c r="E1754" s="3" t="s">
        <v>1585</v>
      </c>
      <c r="F1754" s="3" t="s">
        <v>1476</v>
      </c>
      <c r="G1754" s="68" t="str">
        <f t="shared" si="274"/>
        <v>DUAL</v>
      </c>
      <c r="H1754" s="197">
        <f t="shared" si="303"/>
        <v>46</v>
      </c>
      <c r="I1754" s="197">
        <v>11</v>
      </c>
      <c r="J1754" s="197">
        <v>13</v>
      </c>
      <c r="K1754" s="186">
        <f t="shared" si="304"/>
        <v>45974</v>
      </c>
      <c r="L1754" s="3" t="s">
        <v>2391</v>
      </c>
      <c r="M1754" s="3" t="s">
        <v>2392</v>
      </c>
      <c r="N1754" s="3" t="str">
        <f t="shared" si="285"/>
        <v/>
      </c>
    </row>
    <row r="1755" spans="1:21">
      <c r="A1755" s="3">
        <v>5981</v>
      </c>
      <c r="B1755" s="83">
        <f t="array" ref="B1755">SUM(--(FREQUENCY(IF(C$2:C$3074=C1755, MATCH(D$2:D$3074, D$2:D$3074, 0)), ROW(D$2:D$3074)-ROW(D$2)+1) &gt; 0))</f>
        <v>144</v>
      </c>
      <c r="C1755" s="3">
        <v>41200007</v>
      </c>
      <c r="D1755" s="6" t="s">
        <v>3276</v>
      </c>
      <c r="E1755" s="3" t="s">
        <v>1405</v>
      </c>
      <c r="F1755" s="3" t="s">
        <v>1591</v>
      </c>
      <c r="G1755" s="68" t="str">
        <f t="shared" si="274"/>
        <v>SINGLE</v>
      </c>
      <c r="H1755" s="197">
        <f t="shared" si="303"/>
        <v>46</v>
      </c>
      <c r="I1755" s="197">
        <v>11</v>
      </c>
      <c r="J1755" s="197">
        <v>13</v>
      </c>
      <c r="K1755" s="186">
        <f t="shared" si="304"/>
        <v>45974</v>
      </c>
      <c r="L1755" s="3" t="s">
        <v>2391</v>
      </c>
      <c r="M1755" s="3" t="s">
        <v>1468</v>
      </c>
      <c r="N1755" s="3" t="str">
        <f t="shared" si="285"/>
        <v/>
      </c>
    </row>
    <row r="1756" spans="1:21">
      <c r="A1756" s="3">
        <v>5981</v>
      </c>
      <c r="B1756" s="83">
        <f t="array" ref="B1756">SUM(--(FREQUENCY(IF(C$2:C$3074=C1756, MATCH(D$2:D$3074, D$2:D$3074, 0)), ROW(D$2:D$3074)-ROW(D$2)+1) &gt; 0))</f>
        <v>144</v>
      </c>
      <c r="C1756" s="3">
        <v>41200007</v>
      </c>
      <c r="D1756" s="6" t="s">
        <v>3272</v>
      </c>
      <c r="E1756" s="3" t="s">
        <v>1405</v>
      </c>
      <c r="F1756" s="3" t="s">
        <v>1591</v>
      </c>
      <c r="G1756" s="68" t="str">
        <f t="shared" si="274"/>
        <v>SINGLE</v>
      </c>
      <c r="H1756" s="197">
        <f t="shared" si="303"/>
        <v>46</v>
      </c>
      <c r="I1756" s="197">
        <v>11</v>
      </c>
      <c r="J1756" s="197">
        <v>13</v>
      </c>
      <c r="K1756" s="186">
        <f t="shared" si="304"/>
        <v>45974</v>
      </c>
      <c r="L1756" s="3" t="s">
        <v>2391</v>
      </c>
      <c r="M1756" s="3" t="s">
        <v>1468</v>
      </c>
      <c r="N1756" s="3" t="str">
        <f t="shared" si="285"/>
        <v/>
      </c>
    </row>
    <row r="1757" spans="1:21">
      <c r="A1757" s="3">
        <v>5981</v>
      </c>
      <c r="B1757" s="83">
        <f t="array" ref="B1757">SUM(--(FREQUENCY(IF(C$2:C$3074=C1757, MATCH(D$2:D$3074, D$2:D$3074, 0)), ROW(D$2:D$3074)-ROW(D$2)+1) &gt; 0))</f>
        <v>144</v>
      </c>
      <c r="C1757" s="3">
        <v>41200007</v>
      </c>
      <c r="D1757" s="6" t="s">
        <v>3274</v>
      </c>
      <c r="E1757" s="3" t="s">
        <v>1405</v>
      </c>
      <c r="F1757" s="3" t="s">
        <v>1591</v>
      </c>
      <c r="G1757" s="68" t="str">
        <f t="shared" si="274"/>
        <v>SINGLE</v>
      </c>
      <c r="H1757" s="197">
        <f t="shared" si="303"/>
        <v>46</v>
      </c>
      <c r="I1757" s="197">
        <v>11</v>
      </c>
      <c r="J1757" s="197">
        <v>13</v>
      </c>
      <c r="K1757" s="186">
        <f t="shared" si="304"/>
        <v>45974</v>
      </c>
      <c r="L1757" s="3" t="s">
        <v>2391</v>
      </c>
      <c r="M1757" s="3" t="s">
        <v>1468</v>
      </c>
      <c r="N1757" s="3" t="str">
        <f t="shared" si="285"/>
        <v/>
      </c>
    </row>
    <row r="1758" spans="1:21">
      <c r="A1758" s="3">
        <v>5974</v>
      </c>
      <c r="B1758" s="83">
        <f t="array" ref="B1758">SUM(--(FREQUENCY(IF(C$2:C$3074=C1758, MATCH(D$2:D$3074, D$2:D$3074, 0)), ROW(D$2:D$3074)-ROW(D$2)+1) &gt; 0))</f>
        <v>18</v>
      </c>
      <c r="C1758" s="3">
        <v>41000584</v>
      </c>
      <c r="D1758" s="6" t="s">
        <v>3283</v>
      </c>
      <c r="E1758" s="3" t="s">
        <v>1405</v>
      </c>
      <c r="F1758" s="3" t="s">
        <v>1581</v>
      </c>
      <c r="G1758" s="68" t="str">
        <f t="shared" si="274"/>
        <v>DUAL</v>
      </c>
      <c r="H1758" s="197">
        <f t="shared" si="303"/>
        <v>46</v>
      </c>
      <c r="I1758" s="197">
        <v>11</v>
      </c>
      <c r="J1758" s="197">
        <v>13</v>
      </c>
      <c r="K1758" s="186">
        <f t="shared" si="304"/>
        <v>45974</v>
      </c>
      <c r="L1758" s="3" t="s">
        <v>2392</v>
      </c>
      <c r="M1758" s="3" t="s">
        <v>1468</v>
      </c>
      <c r="N1758" s="3" t="str">
        <f t="shared" si="285"/>
        <v/>
      </c>
    </row>
    <row r="1759" spans="1:21">
      <c r="A1759" s="3">
        <v>5974</v>
      </c>
      <c r="B1759" s="83">
        <f t="array" ref="B1759">SUM(--(FREQUENCY(IF(C$2:C$3074=C1759, MATCH(D$2:D$3074, D$2:D$3074, 0)), ROW(D$2:D$3074)-ROW(D$2)+1) &gt; 0))</f>
        <v>18</v>
      </c>
      <c r="C1759" s="3">
        <v>41000584</v>
      </c>
      <c r="D1759" s="6" t="s">
        <v>3284</v>
      </c>
      <c r="E1759" s="3" t="s">
        <v>1405</v>
      </c>
      <c r="F1759" s="3" t="s">
        <v>1581</v>
      </c>
      <c r="G1759" s="68" t="str">
        <f t="shared" si="274"/>
        <v>DUAL</v>
      </c>
      <c r="H1759" s="197">
        <f t="shared" si="303"/>
        <v>46</v>
      </c>
      <c r="I1759" s="197">
        <v>11</v>
      </c>
      <c r="J1759" s="197">
        <v>13</v>
      </c>
      <c r="K1759" s="186">
        <f t="shared" si="304"/>
        <v>45974</v>
      </c>
      <c r="L1759" s="3" t="s">
        <v>2392</v>
      </c>
      <c r="M1759" s="3" t="s">
        <v>1468</v>
      </c>
      <c r="N1759" s="3" t="str">
        <f t="shared" si="285"/>
        <v>NG</v>
      </c>
      <c r="O1759" s="3" t="s">
        <v>2368</v>
      </c>
      <c r="P1759" s="3" t="s">
        <v>2496</v>
      </c>
      <c r="Q1759" s="3">
        <v>11000125</v>
      </c>
      <c r="R1759" s="3" t="s">
        <v>1049</v>
      </c>
      <c r="S1759" s="3" t="s">
        <v>5395</v>
      </c>
    </row>
    <row r="1760" spans="1:21">
      <c r="A1760" s="3">
        <v>6188</v>
      </c>
      <c r="B1760" s="83">
        <f t="array" ref="B1760">SUM(--(FREQUENCY(IF(C$2:C$3074=C1760, MATCH(D$2:D$3074, D$2:D$3074, 0)), ROW(D$2:D$3074)-ROW(D$2)+1) &gt; 0))</f>
        <v>3</v>
      </c>
      <c r="C1760" s="3">
        <v>41200029</v>
      </c>
      <c r="D1760" s="6" t="s">
        <v>3285</v>
      </c>
      <c r="E1760" s="3" t="s">
        <v>1405</v>
      </c>
      <c r="F1760" s="3" t="s">
        <v>1476</v>
      </c>
      <c r="G1760" s="68" t="str">
        <f t="shared" si="274"/>
        <v>DUAL</v>
      </c>
      <c r="H1760" s="197">
        <f t="shared" si="303"/>
        <v>46</v>
      </c>
      <c r="I1760" s="197">
        <v>11</v>
      </c>
      <c r="J1760" s="197">
        <v>13</v>
      </c>
      <c r="K1760" s="186">
        <f t="shared" si="304"/>
        <v>45974</v>
      </c>
      <c r="L1760" s="3" t="s">
        <v>2395</v>
      </c>
      <c r="M1760" s="3" t="s">
        <v>1469</v>
      </c>
      <c r="N1760" s="3" t="str">
        <f t="shared" si="285"/>
        <v/>
      </c>
    </row>
    <row r="1761" spans="1:21">
      <c r="A1761" s="3">
        <v>6037</v>
      </c>
      <c r="B1761" s="83">
        <f t="array" ref="B1761">SUM(--(FREQUENCY(IF(C$2:C$3074=C1761, MATCH(D$2:D$3074, D$2:D$3074, 0)), ROW(D$2:D$3074)-ROW(D$2)+1) &gt; 0))</f>
        <v>51</v>
      </c>
      <c r="C1761" s="3">
        <f>IFERROR(INDEX('SCR DATA'!B:B, MATCH($D1761, 'SCR DATA'!A:A, 0)), "")</f>
        <v>41200034</v>
      </c>
      <c r="D1761" s="6" t="s">
        <v>3286</v>
      </c>
      <c r="E1761" s="3" t="str">
        <f>IFERROR(INDEX('SCR DATA'!E:E, MATCH($D1761, 'SCR DATA'!A:A, 0)), "")</f>
        <v>YMTC</v>
      </c>
      <c r="F1761" s="3" t="str">
        <f>IFERROR(INDEX('SCR DATA'!C:C, MATCH($D1761, 'SCR DATA'!A:A, 0)), "")</f>
        <v>GAIA-I DUAL</v>
      </c>
      <c r="G1761" s="68" t="str">
        <f t="shared" si="274"/>
        <v>DUAL</v>
      </c>
      <c r="H1761" s="197">
        <f t="shared" si="303"/>
        <v>46</v>
      </c>
      <c r="I1761" s="197">
        <v>11</v>
      </c>
      <c r="J1761" s="197">
        <v>14</v>
      </c>
      <c r="K1761" s="186">
        <f t="shared" si="304"/>
        <v>45975</v>
      </c>
      <c r="L1761" s="3" t="str">
        <f>IFERROR(INDEX('SCR DATA'!F:F, MATCH($D1761, 'SCR DATA'!A:A, 0)), "")</f>
        <v>FNI</v>
      </c>
      <c r="M1761" s="3" t="str">
        <f>IFERROR(INDEX('SCR DATA'!G:G, MATCH($D1761, 'SCR DATA'!A:A, 0)), "")</f>
        <v>C&amp;A</v>
      </c>
      <c r="N1761" s="3" t="str">
        <f t="shared" si="285"/>
        <v/>
      </c>
    </row>
    <row r="1762" spans="1:21">
      <c r="A1762" s="3">
        <v>5975</v>
      </c>
      <c r="B1762" s="83">
        <f t="array" ref="B1762">SUM(--(FREQUENCY(IF(C$2:C$3074=C1762, MATCH(D$2:D$3074, D$2:D$3074, 0)), ROW(D$2:D$3074)-ROW(D$2)+1) &gt; 0))</f>
        <v>22</v>
      </c>
      <c r="C1762" s="3">
        <f>IFERROR(INDEX('SCR DATA'!B:B, MATCH($D1762, 'SCR DATA'!A:A, 0)), "")</f>
        <v>41000598</v>
      </c>
      <c r="D1762" s="6" t="s">
        <v>3287</v>
      </c>
      <c r="E1762" s="3" t="str">
        <f>IFERROR(INDEX('SCR DATA'!E:E, MATCH($D1762, 'SCR DATA'!A:A, 0)), "")</f>
        <v>SEC</v>
      </c>
      <c r="F1762" s="3" t="str">
        <f>IFERROR(INDEX('SCR DATA'!C:C, MATCH($D1762, 'SCR DATA'!A:A, 0)), "")</f>
        <v>GAIA-P DUAL</v>
      </c>
      <c r="G1762" s="68" t="str">
        <f t="shared" si="274"/>
        <v>DUAL</v>
      </c>
      <c r="H1762" s="197">
        <f t="shared" si="303"/>
        <v>46</v>
      </c>
      <c r="I1762" s="197">
        <v>11</v>
      </c>
      <c r="J1762" s="197">
        <v>14</v>
      </c>
      <c r="K1762" s="186">
        <f t="shared" si="304"/>
        <v>45975</v>
      </c>
      <c r="L1762" s="3" t="str">
        <f>IFERROR(INDEX('SCR DATA'!F:F, MATCH($D1762, 'SCR DATA'!A:A, 0)), "")</f>
        <v>BAT</v>
      </c>
      <c r="M1762" s="3" t="str">
        <f>IFERROR(INDEX('SCR DATA'!G:G, MATCH($D1762, 'SCR DATA'!A:A, 0)), "")</f>
        <v>P&amp;S</v>
      </c>
      <c r="N1762" s="3" t="str">
        <f t="shared" si="285"/>
        <v/>
      </c>
      <c r="U1762" s="3" t="s">
        <v>5396</v>
      </c>
    </row>
    <row r="1763" spans="1:21">
      <c r="A1763" s="3">
        <v>6182</v>
      </c>
      <c r="B1763" s="83">
        <f t="array" ref="B1763">SUM(--(FREQUENCY(IF(C$2:C$3074=C1763, MATCH(D$2:D$3074, D$2:D$3074, 0)), ROW(D$2:D$3074)-ROW(D$2)+1) &gt; 0))</f>
        <v>29</v>
      </c>
      <c r="C1763" s="3">
        <f>IFERROR(INDEX('SCR DATA'!B:B, MATCH($D1763, 'SCR DATA'!A:A, 0)), "")</f>
        <v>41200158</v>
      </c>
      <c r="D1763" s="6" t="s">
        <v>3288</v>
      </c>
      <c r="E1763" s="3" t="str">
        <f>IFERROR(INDEX('SCR DATA'!E:E, MATCH($D1763, 'SCR DATA'!A:A, 0)), "")</f>
        <v>SEC</v>
      </c>
      <c r="F1763" s="3" t="str">
        <f>IFERROR(INDEX('SCR DATA'!C:C, MATCH($D1763, 'SCR DATA'!A:A, 0)), "")</f>
        <v>GAIA-P DUAL</v>
      </c>
      <c r="G1763" s="68" t="str">
        <f t="shared" si="274"/>
        <v>DUAL</v>
      </c>
      <c r="H1763" s="197">
        <f t="shared" si="303"/>
        <v>46</v>
      </c>
      <c r="I1763" s="197">
        <v>11</v>
      </c>
      <c r="J1763" s="197">
        <v>14</v>
      </c>
      <c r="K1763" s="186">
        <f t="shared" si="304"/>
        <v>45975</v>
      </c>
      <c r="L1763" s="3" t="str">
        <f>IFERROR(INDEX('SCR DATA'!F:F, MATCH($D1763, 'SCR DATA'!A:A, 0)), "")</f>
        <v>BAT</v>
      </c>
      <c r="M1763" s="3" t="str">
        <f>IFERROR(INDEX('SCR DATA'!G:G, MATCH($D1763, 'SCR DATA'!A:A, 0)), "")</f>
        <v>TMS</v>
      </c>
      <c r="N1763" s="3" t="str">
        <f t="shared" si="285"/>
        <v/>
      </c>
    </row>
    <row r="1764" spans="1:21">
      <c r="A1764" s="3">
        <v>6182</v>
      </c>
      <c r="B1764" s="83">
        <f t="array" ref="B1764">SUM(--(FREQUENCY(IF(C$2:C$3074=C1764, MATCH(D$2:D$3074, D$2:D$3074, 0)), ROW(D$2:D$3074)-ROW(D$2)+1) &gt; 0))</f>
        <v>29</v>
      </c>
      <c r="C1764" s="3">
        <f>IFERROR(INDEX('SCR DATA'!B:B, MATCH($D1764, 'SCR DATA'!A:A, 0)), "")</f>
        <v>41200158</v>
      </c>
      <c r="D1764" s="6" t="s">
        <v>3289</v>
      </c>
      <c r="E1764" s="3" t="str">
        <f>IFERROR(INDEX('SCR DATA'!E:E, MATCH($D1764, 'SCR DATA'!A:A, 0)), "")</f>
        <v>SEC</v>
      </c>
      <c r="F1764" s="3" t="str">
        <f>IFERROR(INDEX('SCR DATA'!C:C, MATCH($D1764, 'SCR DATA'!A:A, 0)), "")</f>
        <v>GAIA-P DUAL</v>
      </c>
      <c r="G1764" s="68" t="str">
        <f t="shared" si="274"/>
        <v>DUAL</v>
      </c>
      <c r="H1764" s="197">
        <f t="shared" si="303"/>
        <v>46</v>
      </c>
      <c r="I1764" s="197">
        <v>11</v>
      </c>
      <c r="J1764" s="197">
        <v>14</v>
      </c>
      <c r="K1764" s="186">
        <f t="shared" si="304"/>
        <v>45975</v>
      </c>
      <c r="L1764" s="3" t="str">
        <f>IFERROR(INDEX('SCR DATA'!F:F, MATCH($D1764, 'SCR DATA'!A:A, 0)), "")</f>
        <v>BAT</v>
      </c>
      <c r="M1764" s="3" t="str">
        <f>IFERROR(INDEX('SCR DATA'!G:G, MATCH($D1764, 'SCR DATA'!A:A, 0)), "")</f>
        <v>TMS</v>
      </c>
      <c r="N1764" s="3" t="str">
        <f t="shared" si="285"/>
        <v/>
      </c>
    </row>
    <row r="1765" spans="1:21">
      <c r="A1765" s="3">
        <v>6182</v>
      </c>
      <c r="B1765" s="83">
        <f t="array" ref="B1765">SUM(--(FREQUENCY(IF(C$2:C$3074=C1765, MATCH(D$2:D$3074, D$2:D$3074, 0)), ROW(D$2:D$3074)-ROW(D$2)+1) &gt; 0))</f>
        <v>29</v>
      </c>
      <c r="C1765" s="3">
        <f>IFERROR(INDEX('SCR DATA'!B:B, MATCH($D1765, 'SCR DATA'!A:A, 0)), "")</f>
        <v>41200158</v>
      </c>
      <c r="D1765" s="6" t="s">
        <v>3290</v>
      </c>
      <c r="E1765" s="3" t="str">
        <f>IFERROR(INDEX('SCR DATA'!E:E, MATCH($D1765, 'SCR DATA'!A:A, 0)), "")</f>
        <v>SEC</v>
      </c>
      <c r="F1765" s="3" t="str">
        <f>IFERROR(INDEX('SCR DATA'!C:C, MATCH($D1765, 'SCR DATA'!A:A, 0)), "")</f>
        <v>GAIA-P DUAL</v>
      </c>
      <c r="G1765" s="68" t="str">
        <f t="shared" si="274"/>
        <v>DUAL</v>
      </c>
      <c r="H1765" s="197">
        <f t="shared" si="303"/>
        <v>46</v>
      </c>
      <c r="I1765" s="197">
        <v>11</v>
      </c>
      <c r="J1765" s="197">
        <v>14</v>
      </c>
      <c r="K1765" s="186">
        <f t="shared" si="304"/>
        <v>45975</v>
      </c>
      <c r="L1765" s="3" t="str">
        <f>IFERROR(INDEX('SCR DATA'!F:F, MATCH($D1765, 'SCR DATA'!A:A, 0)), "")</f>
        <v>BAT</v>
      </c>
      <c r="M1765" s="3" t="str">
        <f>IFERROR(INDEX('SCR DATA'!G:G, MATCH($D1765, 'SCR DATA'!A:A, 0)), "")</f>
        <v>TMS</v>
      </c>
      <c r="N1765" s="3" t="str">
        <f t="shared" si="285"/>
        <v/>
      </c>
    </row>
    <row r="1766" spans="1:21">
      <c r="A1766" s="3">
        <v>6105</v>
      </c>
      <c r="B1766" s="83">
        <f t="array" ref="B1766">SUM(--(FREQUENCY(IF(C$2:C$3074=C1766, MATCH(D$2:D$3074, D$2:D$3074, 0)), ROW(D$2:D$3074)-ROW(D$2)+1) &gt; 0))</f>
        <v>16</v>
      </c>
      <c r="C1766" s="3">
        <f>IFERROR(INDEX('SCR DATA'!B:B, MATCH($D1766, 'SCR DATA'!A:A, 0)), "")</f>
        <v>41200121</v>
      </c>
      <c r="D1766" s="6" t="s">
        <v>3293</v>
      </c>
      <c r="E1766" s="3" t="str">
        <f>IFERROR(INDEX('SCR DATA'!E:E, MATCH($D1766, 'SCR DATA'!A:A, 0)), "")</f>
        <v>SDC</v>
      </c>
      <c r="F1766" s="3" t="str">
        <f>IFERROR(INDEX('SCR DATA'!C:C, MATCH($D1766, 'SCR DATA'!A:A, 0)), "")</f>
        <v>GAIA-P</v>
      </c>
      <c r="G1766" s="68" t="str">
        <f t="shared" si="274"/>
        <v>SINGLE</v>
      </c>
      <c r="H1766" s="197">
        <f t="shared" si="303"/>
        <v>46</v>
      </c>
      <c r="I1766" s="197">
        <v>11</v>
      </c>
      <c r="J1766" s="197">
        <v>14</v>
      </c>
      <c r="K1766" s="186">
        <f t="shared" si="304"/>
        <v>45975</v>
      </c>
      <c r="L1766" s="3" t="str">
        <f>IFERROR(INDEX('SCR DATA'!F:F, MATCH($D1766, 'SCR DATA'!A:A, 0)), "")</f>
        <v>FNI</v>
      </c>
      <c r="M1766" s="3" t="str">
        <f>IFERROR(INDEX('SCR DATA'!G:G, MATCH($D1766, 'SCR DATA'!A:A, 0)), "")</f>
        <v>TMS</v>
      </c>
      <c r="N1766" s="3" t="str">
        <f t="shared" si="285"/>
        <v/>
      </c>
    </row>
    <row r="1767" spans="1:21">
      <c r="A1767" s="3">
        <v>6098</v>
      </c>
      <c r="B1767" s="83">
        <f t="array" ref="B1767">SUM(--(FREQUENCY(IF(C$2:C$3074=C1767, MATCH(D$2:D$3074, D$2:D$3074, 0)), ROW(D$2:D$3074)-ROW(D$2)+1) &gt; 0))</f>
        <v>41</v>
      </c>
      <c r="C1767" s="3">
        <f>IFERROR(INDEX('SCR DATA'!B:B, MATCH($D1767, 'SCR DATA'!A:A, 0)), "")</f>
        <v>41200101</v>
      </c>
      <c r="D1767" s="6" t="s">
        <v>3294</v>
      </c>
      <c r="E1767" s="3" t="str">
        <f>IFERROR(INDEX('SCR DATA'!E:E, MATCH($D1767, 'SCR DATA'!A:A, 0)), "")</f>
        <v>MICRON TW</v>
      </c>
      <c r="F1767" s="3" t="str">
        <f>IFERROR(INDEX('SCR DATA'!C:C, MATCH($D1767, 'SCR DATA'!A:A, 0)), "")</f>
        <v>GAIA-I DUAL</v>
      </c>
      <c r="G1767" s="68" t="str">
        <f t="shared" si="274"/>
        <v>DUAL</v>
      </c>
      <c r="H1767" s="197">
        <f t="shared" si="303"/>
        <v>46</v>
      </c>
      <c r="I1767" s="197">
        <v>11</v>
      </c>
      <c r="J1767" s="197">
        <v>14</v>
      </c>
      <c r="K1767" s="186">
        <f t="shared" si="304"/>
        <v>45975</v>
      </c>
      <c r="L1767" s="3" t="str">
        <f>IFERROR(INDEX('SCR DATA'!F:F, MATCH($D1767, 'SCR DATA'!A:A, 0)), "")</f>
        <v>BAT</v>
      </c>
      <c r="M1767" s="3" t="str">
        <f>IFERROR(INDEX('SCR DATA'!G:G, MATCH($D1767, 'SCR DATA'!A:A, 0)), "")</f>
        <v>C&amp;A</v>
      </c>
      <c r="N1767" s="3" t="str">
        <f t="shared" si="285"/>
        <v/>
      </c>
    </row>
    <row r="1768" spans="1:21">
      <c r="A1768" s="3">
        <v>6098</v>
      </c>
      <c r="B1768" s="83">
        <f t="array" ref="B1768">SUM(--(FREQUENCY(IF(C$2:C$3074=C1768, MATCH(D$2:D$3074, D$2:D$3074, 0)), ROW(D$2:D$3074)-ROW(D$2)+1) &gt; 0))</f>
        <v>41</v>
      </c>
      <c r="C1768" s="3">
        <f>IFERROR(INDEX('SCR DATA'!B:B, MATCH($D1768, 'SCR DATA'!A:A, 0)), "")</f>
        <v>41200101</v>
      </c>
      <c r="D1768" s="6" t="s">
        <v>3295</v>
      </c>
      <c r="E1768" s="3" t="str">
        <f>IFERROR(INDEX('SCR DATA'!E:E, MATCH($D1768, 'SCR DATA'!A:A, 0)), "")</f>
        <v>MICRON TW</v>
      </c>
      <c r="F1768" s="3" t="str">
        <f>IFERROR(INDEX('SCR DATA'!C:C, MATCH($D1768, 'SCR DATA'!A:A, 0)), "")</f>
        <v>GAIA-I DUAL</v>
      </c>
      <c r="G1768" s="68" t="str">
        <f t="shared" si="274"/>
        <v>DUAL</v>
      </c>
      <c r="H1768" s="197">
        <f t="shared" si="303"/>
        <v>46</v>
      </c>
      <c r="I1768" s="197">
        <v>11</v>
      </c>
      <c r="J1768" s="197">
        <v>14</v>
      </c>
      <c r="K1768" s="186">
        <f t="shared" si="304"/>
        <v>45975</v>
      </c>
      <c r="L1768" s="3" t="str">
        <f>IFERROR(INDEX('SCR DATA'!F:F, MATCH($D1768, 'SCR DATA'!A:A, 0)), "")</f>
        <v>BAT</v>
      </c>
      <c r="M1768" s="3" t="str">
        <f>IFERROR(INDEX('SCR DATA'!G:G, MATCH($D1768, 'SCR DATA'!A:A, 0)), "")</f>
        <v>C&amp;A</v>
      </c>
      <c r="N1768" s="3" t="str">
        <f t="shared" si="285"/>
        <v/>
      </c>
    </row>
    <row r="1769" spans="1:21">
      <c r="A1769" s="3">
        <v>6172</v>
      </c>
      <c r="B1769" s="83">
        <f t="array" ref="B1769">SUM(--(FREQUENCY(IF(C$2:C$3074=C1769, MATCH(D$2:D$3074, D$2:D$3074, 0)), ROW(D$2:D$3074)-ROW(D$2)+1) &gt; 0))</f>
        <v>30</v>
      </c>
      <c r="C1769" s="3">
        <f>IFERROR(INDEX('SCR DATA'!B:B, MATCH($D1769, 'SCR DATA'!A:A, 0)), "")</f>
        <v>41200109</v>
      </c>
      <c r="D1769" s="6" t="s">
        <v>3291</v>
      </c>
      <c r="E1769" s="3" t="str">
        <f>IFERROR(INDEX('SCR DATA'!E:E, MATCH($D1769, 'SCR DATA'!A:A, 0)), "")</f>
        <v>MICRON TW</v>
      </c>
      <c r="F1769" s="3" t="str">
        <f>IFERROR(INDEX('SCR DATA'!C:C, MATCH($D1769, 'SCR DATA'!A:A, 0)), "")</f>
        <v>GAIA-I</v>
      </c>
      <c r="G1769" s="68" t="str">
        <f t="shared" si="274"/>
        <v>SINGLE</v>
      </c>
      <c r="H1769" s="197">
        <f t="shared" si="303"/>
        <v>46</v>
      </c>
      <c r="I1769" s="197">
        <v>11</v>
      </c>
      <c r="J1769" s="197">
        <v>15</v>
      </c>
      <c r="K1769" s="186">
        <f t="shared" si="304"/>
        <v>45976</v>
      </c>
      <c r="L1769" s="3" t="str">
        <f>IFERROR(INDEX('SCR DATA'!F:F, MATCH($D1769, 'SCR DATA'!A:A, 0)), "")</f>
        <v>FNI</v>
      </c>
      <c r="M1769" s="3" t="str">
        <f>IFERROR(INDEX('SCR DATA'!G:G, MATCH($D1769, 'SCR DATA'!A:A, 0)), "")</f>
        <v>TMS</v>
      </c>
      <c r="N1769" s="3" t="str">
        <f t="shared" si="285"/>
        <v>NG</v>
      </c>
      <c r="O1769" s="3" t="s">
        <v>2368</v>
      </c>
      <c r="P1769" s="3" t="s">
        <v>2482</v>
      </c>
      <c r="Q1769" s="3">
        <v>11002283</v>
      </c>
      <c r="R1769" s="3" t="s">
        <v>932</v>
      </c>
      <c r="S1769" s="3" t="s">
        <v>5397</v>
      </c>
    </row>
    <row r="1770" spans="1:21">
      <c r="A1770" s="3">
        <v>6172</v>
      </c>
      <c r="B1770" s="83">
        <f t="array" ref="B1770">SUM(--(FREQUENCY(IF(C$2:C$3074=C1770, MATCH(D$2:D$3074, D$2:D$3074, 0)), ROW(D$2:D$3074)-ROW(D$2)+1) &gt; 0))</f>
        <v>30</v>
      </c>
      <c r="C1770" s="3">
        <f>IFERROR(INDEX('SCR DATA'!B:B, MATCH($D1770, 'SCR DATA'!A:A, 0)), "")</f>
        <v>41200109</v>
      </c>
      <c r="D1770" s="6" t="s">
        <v>3292</v>
      </c>
      <c r="E1770" s="3" t="str">
        <f>IFERROR(INDEX('SCR DATA'!E:E, MATCH($D1770, 'SCR DATA'!A:A, 0)), "")</f>
        <v>MICRON TW</v>
      </c>
      <c r="F1770" s="3" t="str">
        <f>IFERROR(INDEX('SCR DATA'!C:C, MATCH($D1770, 'SCR DATA'!A:A, 0)), "")</f>
        <v>GAIA-I</v>
      </c>
      <c r="G1770" s="41" t="str">
        <f t="shared" si="274"/>
        <v>SINGLE</v>
      </c>
      <c r="H1770" s="197">
        <f t="shared" si="303"/>
        <v>46</v>
      </c>
      <c r="I1770" s="197">
        <v>11</v>
      </c>
      <c r="J1770" s="197">
        <v>15</v>
      </c>
      <c r="K1770" s="186">
        <f t="shared" si="304"/>
        <v>45976</v>
      </c>
      <c r="L1770" s="3" t="str">
        <f>IFERROR(INDEX('SCR DATA'!F:F, MATCH($D1770, 'SCR DATA'!A:A, 0)), "")</f>
        <v>FNI</v>
      </c>
      <c r="M1770" s="3" t="str">
        <f>IFERROR(INDEX('SCR DATA'!G:G, MATCH($D1770, 'SCR DATA'!A:A, 0)), "")</f>
        <v>TMS</v>
      </c>
      <c r="N1770" s="3" t="str">
        <f t="shared" ref="N1770" si="305">IF(O1770&lt;&gt;"", "NG", "")</f>
        <v>NG</v>
      </c>
      <c r="O1770" s="3" t="s">
        <v>2368</v>
      </c>
      <c r="P1770" s="3" t="s">
        <v>2482</v>
      </c>
      <c r="Q1770" s="3">
        <v>11002283</v>
      </c>
      <c r="R1770" s="3" t="s">
        <v>932</v>
      </c>
      <c r="S1770" s="3" t="s">
        <v>5398</v>
      </c>
    </row>
    <row r="1771" spans="1:21">
      <c r="A1771" s="3">
        <v>6172</v>
      </c>
      <c r="B1771" s="83">
        <f t="array" ref="B1771">SUM(--(FREQUENCY(IF(C$2:C$3074=C1771, MATCH(D$2:D$3074, D$2:D$3074, 0)), ROW(D$2:D$3074)-ROW(D$2)+1) &gt; 0))</f>
        <v>30</v>
      </c>
      <c r="C1771" s="3">
        <f>IFERROR(INDEX('SCR DATA'!B:B, MATCH($D1771, 'SCR DATA'!A:A, 0)), "")</f>
        <v>41200109</v>
      </c>
      <c r="D1771" s="6" t="s">
        <v>3292</v>
      </c>
      <c r="E1771" s="3" t="str">
        <f>IFERROR(INDEX('SCR DATA'!E:E, MATCH($D1771, 'SCR DATA'!A:A, 0)), "")</f>
        <v>MICRON TW</v>
      </c>
      <c r="F1771" s="3" t="str">
        <f>IFERROR(INDEX('SCR DATA'!C:C, MATCH($D1771, 'SCR DATA'!A:A, 0)), "")</f>
        <v>GAIA-I</v>
      </c>
      <c r="G1771" s="41" t="str">
        <f t="shared" ref="G1771" si="306">IF(OR(ISNUMBER(SEARCH("DUAL",F1771)), ISNUMBER(SEARCH("IVAS",F1771))), "DUAL", "SINGLE")</f>
        <v>SINGLE</v>
      </c>
      <c r="H1771" s="197">
        <f t="shared" ref="H1771" si="307">WEEKNUM(K1771)</f>
        <v>46</v>
      </c>
      <c r="I1771" s="197">
        <v>11</v>
      </c>
      <c r="J1771" s="197">
        <v>15</v>
      </c>
      <c r="K1771" s="186">
        <f t="shared" ref="K1771" si="308">DATE(2025, I1771, J1771)</f>
        <v>45976</v>
      </c>
      <c r="L1771" s="3" t="str">
        <f>IFERROR(INDEX('SCR DATA'!F:F, MATCH($D1771, 'SCR DATA'!A:A, 0)), "")</f>
        <v>FNI</v>
      </c>
      <c r="M1771" s="3" t="str">
        <f>IFERROR(INDEX('SCR DATA'!G:G, MATCH($D1771, 'SCR DATA'!A:A, 0)), "")</f>
        <v>TMS</v>
      </c>
      <c r="N1771" s="3" t="str">
        <f t="shared" ref="N1771" si="309">IF(O1771&lt;&gt;"", "NG", "")</f>
        <v>NG</v>
      </c>
      <c r="O1771" s="3" t="s">
        <v>2368</v>
      </c>
      <c r="P1771" s="3" t="s">
        <v>2482</v>
      </c>
      <c r="Q1771" s="3">
        <v>11002283</v>
      </c>
      <c r="R1771" s="3" t="s">
        <v>932</v>
      </c>
      <c r="S1771" s="3" t="s">
        <v>5375</v>
      </c>
    </row>
    <row r="1772" spans="1:21">
      <c r="A1772" s="3">
        <v>6128</v>
      </c>
      <c r="B1772" s="83">
        <f t="array" ref="B1772">SUM(--(FREQUENCY(IF(C$2:C$3074=C1772, MATCH(D$2:D$3074, D$2:D$3074, 0)), ROW(D$2:D$3074)-ROW(D$2)+1) &gt; 0))</f>
        <v>18</v>
      </c>
      <c r="C1772" s="3">
        <f>IFERROR(INDEX('SCR DATA'!B:B, MATCH($D1772, 'SCR DATA'!A:A, 0)), "")</f>
        <v>41100264</v>
      </c>
      <c r="D1772" s="6" t="s">
        <v>3296</v>
      </c>
      <c r="E1772" s="3" t="str">
        <f>IFERROR(INDEX('SCR DATA'!E:E, MATCH($D1772, 'SCR DATA'!A:A, 0)), "")</f>
        <v>MICRON TW</v>
      </c>
      <c r="F1772" s="3" t="str">
        <f>IFERROR(INDEX('SCR DATA'!C:C, MATCH($D1772, 'SCR DATA'!A:A, 0)), "")</f>
        <v>GAIA-I</v>
      </c>
      <c r="G1772" s="68" t="str">
        <f t="shared" si="274"/>
        <v>SINGLE</v>
      </c>
      <c r="H1772" s="197">
        <f t="shared" si="303"/>
        <v>46</v>
      </c>
      <c r="I1772" s="197">
        <v>11</v>
      </c>
      <c r="J1772" s="197">
        <v>15</v>
      </c>
      <c r="K1772" s="186">
        <f t="shared" si="304"/>
        <v>45976</v>
      </c>
      <c r="L1772" s="3" t="str">
        <f>IFERROR(INDEX('SCR DATA'!F:F, MATCH($D1772, 'SCR DATA'!A:A, 0)), "")</f>
        <v>FNI</v>
      </c>
      <c r="M1772" s="3" t="str">
        <f>IFERROR(INDEX('SCR DATA'!G:G, MATCH($D1772, 'SCR DATA'!A:A, 0)), "")</f>
        <v>C&amp;A</v>
      </c>
      <c r="N1772" s="3" t="str">
        <f t="shared" si="285"/>
        <v/>
      </c>
    </row>
    <row r="1773" spans="1:21">
      <c r="A1773" s="3">
        <v>6128</v>
      </c>
      <c r="B1773" s="83">
        <f t="array" ref="B1773">SUM(--(FREQUENCY(IF(C$2:C$3074=C1773, MATCH(D$2:D$3074, D$2:D$3074, 0)), ROW(D$2:D$3074)-ROW(D$2)+1) &gt; 0))</f>
        <v>18</v>
      </c>
      <c r="C1773" s="3">
        <f>IFERROR(INDEX('SCR DATA'!B:B, MATCH($D1773, 'SCR DATA'!A:A, 0)), "")</f>
        <v>41100264</v>
      </c>
      <c r="D1773" s="6" t="s">
        <v>3297</v>
      </c>
      <c r="E1773" s="3" t="str">
        <f>IFERROR(INDEX('SCR DATA'!E:E, MATCH($D1773, 'SCR DATA'!A:A, 0)), "")</f>
        <v>MICRON TW</v>
      </c>
      <c r="F1773" s="3" t="str">
        <f>IFERROR(INDEX('SCR DATA'!C:C, MATCH($D1773, 'SCR DATA'!A:A, 0)), "")</f>
        <v>GAIA-I</v>
      </c>
      <c r="G1773" s="68" t="str">
        <f t="shared" ref="G1773:G1844" si="310">IF(OR(ISNUMBER(SEARCH("DUAL",F1773)), ISNUMBER(SEARCH("IVAS",F1773))), "DUAL", "SINGLE")</f>
        <v>SINGLE</v>
      </c>
      <c r="H1773" s="197">
        <f t="shared" si="303"/>
        <v>46</v>
      </c>
      <c r="I1773" s="197">
        <v>11</v>
      </c>
      <c r="J1773" s="197">
        <v>15</v>
      </c>
      <c r="K1773" s="186">
        <f t="shared" si="304"/>
        <v>45976</v>
      </c>
      <c r="L1773" s="3" t="str">
        <f>IFERROR(INDEX('SCR DATA'!F:F, MATCH($D1773, 'SCR DATA'!A:A, 0)), "")</f>
        <v>FNI</v>
      </c>
      <c r="M1773" s="3" t="str">
        <f>IFERROR(INDEX('SCR DATA'!G:G, MATCH($D1773, 'SCR DATA'!A:A, 0)), "")</f>
        <v>C&amp;A</v>
      </c>
      <c r="N1773" s="3" t="str">
        <f t="shared" si="285"/>
        <v/>
      </c>
    </row>
    <row r="1774" spans="1:21">
      <c r="A1774" s="3">
        <v>6082</v>
      </c>
      <c r="B1774" s="83">
        <f t="array" ref="B1774">SUM(--(FREQUENCY(IF(C$2:C$3074=C1774, MATCH(D$2:D$3074, D$2:D$3074, 0)), ROW(D$2:D$3074)-ROW(D$2)+1) &gt; 0))</f>
        <v>102</v>
      </c>
      <c r="C1774" s="3">
        <f>IFERROR(INDEX('SCR DATA'!B:B, MATCH($D1774, 'SCR DATA'!A:A, 0)), "")</f>
        <v>41200006</v>
      </c>
      <c r="D1774" s="6" t="s">
        <v>3298</v>
      </c>
      <c r="E1774" s="3" t="str">
        <f>IFERROR(INDEX('SCR DATA'!E:E, MATCH($D1774, 'SCR DATA'!A:A, 0)), "")</f>
        <v>SEC</v>
      </c>
      <c r="F1774" s="3" t="str">
        <f>IFERROR(INDEX('SCR DATA'!C:C, MATCH($D1774, 'SCR DATA'!A:A, 0)), "")</f>
        <v>GAIA-II</v>
      </c>
      <c r="G1774" s="68" t="str">
        <f t="shared" si="310"/>
        <v>SINGLE</v>
      </c>
      <c r="H1774" s="197">
        <f t="shared" si="303"/>
        <v>46</v>
      </c>
      <c r="I1774" s="197">
        <v>11</v>
      </c>
      <c r="J1774" s="197">
        <v>15</v>
      </c>
      <c r="K1774" s="186">
        <f t="shared" si="304"/>
        <v>45976</v>
      </c>
      <c r="L1774" s="3" t="str">
        <f>IFERROR(INDEX('SCR DATA'!F:F, MATCH($D1774, 'SCR DATA'!A:A, 0)), "")</f>
        <v>BAT</v>
      </c>
      <c r="M1774" s="3" t="str">
        <f>IFERROR(INDEX('SCR DATA'!G:G, MATCH($D1774, 'SCR DATA'!A:A, 0)), "")</f>
        <v>P&amp;S</v>
      </c>
      <c r="N1774" s="3" t="str">
        <f t="shared" si="285"/>
        <v/>
      </c>
    </row>
    <row r="1775" spans="1:21">
      <c r="A1775" s="3">
        <v>6082</v>
      </c>
      <c r="B1775" s="83">
        <f t="array" ref="B1775">SUM(--(FREQUENCY(IF(C$2:C$3074=C1775, MATCH(D$2:D$3074, D$2:D$3074, 0)), ROW(D$2:D$3074)-ROW(D$2)+1) &gt; 0))</f>
        <v>102</v>
      </c>
      <c r="C1775" s="3">
        <f>IFERROR(INDEX('SCR DATA'!B:B, MATCH($D1775, 'SCR DATA'!A:A, 0)), "")</f>
        <v>41200006</v>
      </c>
      <c r="D1775" s="6" t="s">
        <v>3299</v>
      </c>
      <c r="E1775" s="3" t="str">
        <f>IFERROR(INDEX('SCR DATA'!E:E, MATCH($D1775, 'SCR DATA'!A:A, 0)), "")</f>
        <v>SEC</v>
      </c>
      <c r="F1775" s="3" t="str">
        <f>IFERROR(INDEX('SCR DATA'!C:C, MATCH($D1775, 'SCR DATA'!A:A, 0)), "")</f>
        <v>GAIA-II</v>
      </c>
      <c r="G1775" s="68" t="str">
        <f t="shared" si="310"/>
        <v>SINGLE</v>
      </c>
      <c r="H1775" s="197">
        <f t="shared" si="303"/>
        <v>46</v>
      </c>
      <c r="I1775" s="197">
        <v>11</v>
      </c>
      <c r="J1775" s="197">
        <v>15</v>
      </c>
      <c r="K1775" s="186">
        <f t="shared" si="304"/>
        <v>45976</v>
      </c>
      <c r="L1775" s="3" t="str">
        <f>IFERROR(INDEX('SCR DATA'!F:F, MATCH($D1775, 'SCR DATA'!A:A, 0)), "")</f>
        <v>BAT</v>
      </c>
      <c r="M1775" s="3" t="str">
        <f>IFERROR(INDEX('SCR DATA'!G:G, MATCH($D1775, 'SCR DATA'!A:A, 0)), "")</f>
        <v>P&amp;S</v>
      </c>
      <c r="N1775" s="3" t="str">
        <f t="shared" si="285"/>
        <v/>
      </c>
    </row>
    <row r="1776" spans="1:21">
      <c r="A1776" s="3">
        <v>6134</v>
      </c>
      <c r="B1776" s="83">
        <f t="array" ref="B1776">SUM(--(FREQUENCY(IF(C$2:C$3074=C1776, MATCH(D$2:D$3074, D$2:D$3074, 0)), ROW(D$2:D$3074)-ROW(D$2)+1) &gt; 0))</f>
        <v>11</v>
      </c>
      <c r="C1776" s="3">
        <f>IFERROR(INDEX('SCR DATA'!B:B, MATCH($D1776, 'SCR DATA'!A:A, 0)), "")</f>
        <v>41100374</v>
      </c>
      <c r="D1776" s="6" t="s">
        <v>3301</v>
      </c>
      <c r="E1776" s="3" t="str">
        <f>IFERROR(INDEX('SCR DATA'!E:E, MATCH($D1776, 'SCR DATA'!A:A, 0)), "")</f>
        <v>MICRON TW</v>
      </c>
      <c r="F1776" s="3" t="str">
        <f>IFERROR(INDEX('SCR DATA'!C:C, MATCH($D1776, 'SCR DATA'!A:A, 0)), "")</f>
        <v>GAIA-I DUAL</v>
      </c>
      <c r="G1776" s="68" t="str">
        <f t="shared" si="310"/>
        <v>DUAL</v>
      </c>
      <c r="H1776" s="197">
        <f t="shared" si="303"/>
        <v>47</v>
      </c>
      <c r="I1776" s="197">
        <v>11</v>
      </c>
      <c r="J1776" s="197">
        <v>17</v>
      </c>
      <c r="K1776" s="186">
        <f t="shared" si="304"/>
        <v>45978</v>
      </c>
      <c r="L1776" s="3" t="str">
        <f>IFERROR(INDEX('SCR DATA'!F:F, MATCH($D1776, 'SCR DATA'!A:A, 0)), "")</f>
        <v>FNI</v>
      </c>
      <c r="M1776" s="3" t="str">
        <f>IFERROR(INDEX('SCR DATA'!G:G, MATCH($D1776, 'SCR DATA'!A:A, 0)), "")</f>
        <v>TMS</v>
      </c>
      <c r="N1776" s="3" t="str">
        <f t="shared" si="285"/>
        <v/>
      </c>
    </row>
    <row r="1777" spans="1:19">
      <c r="A1777" s="3">
        <v>6212</v>
      </c>
      <c r="B1777" s="83">
        <f t="array" ref="B1777">SUM(--(FREQUENCY(IF(C$2:C$3074=C1777, MATCH(D$2:D$3074, D$2:D$3074, 0)), ROW(D$2:D$3074)-ROW(D$2)+1) &gt; 0))</f>
        <v>1</v>
      </c>
      <c r="C1777" s="3">
        <f>IFERROR(INDEX('SCR DATA'!B:B, MATCH($D1777, 'SCR DATA'!A:A, 0)), "")</f>
        <v>41200132</v>
      </c>
      <c r="D1777" s="6" t="s">
        <v>3302</v>
      </c>
      <c r="E1777" s="3" t="str">
        <f>IFERROR(INDEX('SCR DATA'!E:E, MATCH($D1777, 'SCR DATA'!A:A, 0)), "")</f>
        <v>MICRON VA</v>
      </c>
      <c r="F1777" s="3" t="str">
        <f>IFERROR(INDEX('SCR DATA'!C:C, MATCH($D1777, 'SCR DATA'!A:A, 0)), "")</f>
        <v>GAIA-I DUAL</v>
      </c>
      <c r="G1777" s="41" t="str">
        <f t="shared" si="310"/>
        <v>DUAL</v>
      </c>
      <c r="H1777" s="197">
        <f t="shared" si="303"/>
        <v>47</v>
      </c>
      <c r="I1777" s="197">
        <v>11</v>
      </c>
      <c r="J1777" s="197">
        <v>17</v>
      </c>
      <c r="K1777" s="186">
        <f t="shared" si="304"/>
        <v>45978</v>
      </c>
      <c r="L1777" s="3" t="str">
        <f>IFERROR(INDEX('SCR DATA'!F:F, MATCH($D1777, 'SCR DATA'!A:A, 0)), "")</f>
        <v>BAT</v>
      </c>
      <c r="M1777" s="3" t="str">
        <f>IFERROR(INDEX('SCR DATA'!G:G, MATCH($D1777, 'SCR DATA'!A:A, 0)), "")</f>
        <v>TMS</v>
      </c>
      <c r="N1777" s="3" t="str">
        <f t="shared" si="285"/>
        <v>NG</v>
      </c>
      <c r="O1777" s="3" t="s">
        <v>2368</v>
      </c>
      <c r="P1777" s="3" t="s">
        <v>2482</v>
      </c>
      <c r="Q1777" s="3">
        <v>11002283</v>
      </c>
      <c r="R1777" s="3" t="s">
        <v>932</v>
      </c>
      <c r="S1777" s="3" t="s">
        <v>5399</v>
      </c>
    </row>
    <row r="1778" spans="1:19">
      <c r="A1778" s="3">
        <v>6212</v>
      </c>
      <c r="B1778" s="83">
        <f t="array" ref="B1778">SUM(--(FREQUENCY(IF(C$2:C$3074=C1778, MATCH(D$2:D$3074, D$2:D$3074, 0)), ROW(D$2:D$3074)-ROW(D$2)+1) &gt; 0))</f>
        <v>1</v>
      </c>
      <c r="C1778" s="3">
        <f>IFERROR(INDEX('SCR DATA'!B:B, MATCH($D1778, 'SCR DATA'!A:A, 0)), "")</f>
        <v>41200132</v>
      </c>
      <c r="D1778" s="6" t="s">
        <v>3302</v>
      </c>
      <c r="E1778" s="3" t="str">
        <f>IFERROR(INDEX('SCR DATA'!E:E, MATCH($D1778, 'SCR DATA'!A:A, 0)), "")</f>
        <v>MICRON VA</v>
      </c>
      <c r="F1778" s="3" t="str">
        <f>IFERROR(INDEX('SCR DATA'!C:C, MATCH($D1778, 'SCR DATA'!A:A, 0)), "")</f>
        <v>GAIA-I DUAL</v>
      </c>
      <c r="G1778" s="41" t="str">
        <f t="shared" ref="G1778" si="311">IF(OR(ISNUMBER(SEARCH("DUAL",F1778)), ISNUMBER(SEARCH("IVAS",F1778))), "DUAL", "SINGLE")</f>
        <v>DUAL</v>
      </c>
      <c r="H1778" s="197">
        <f t="shared" ref="H1778" si="312">WEEKNUM(K1778)</f>
        <v>47</v>
      </c>
      <c r="I1778" s="197">
        <v>11</v>
      </c>
      <c r="J1778" s="197">
        <v>17</v>
      </c>
      <c r="K1778" s="186">
        <f t="shared" ref="K1778" si="313">DATE(2025, I1778, J1778)</f>
        <v>45978</v>
      </c>
      <c r="L1778" s="3" t="str">
        <f>IFERROR(INDEX('SCR DATA'!F:F, MATCH($D1778, 'SCR DATA'!A:A, 0)), "")</f>
        <v>BAT</v>
      </c>
      <c r="M1778" s="3" t="str">
        <f>IFERROR(INDEX('SCR DATA'!G:G, MATCH($D1778, 'SCR DATA'!A:A, 0)), "")</f>
        <v>TMS</v>
      </c>
      <c r="N1778" s="3" t="str">
        <f t="shared" ref="N1778" si="314">IF(O1778&lt;&gt;"", "NG", "")</f>
        <v>NG</v>
      </c>
      <c r="O1778" s="3" t="s">
        <v>2368</v>
      </c>
      <c r="P1778" s="3" t="s">
        <v>2482</v>
      </c>
      <c r="Q1778" s="3">
        <v>11002283</v>
      </c>
      <c r="R1778" s="3" t="s">
        <v>932</v>
      </c>
      <c r="S1778" s="3" t="s">
        <v>5400</v>
      </c>
    </row>
    <row r="1779" spans="1:19">
      <c r="A1779" s="3">
        <v>6173</v>
      </c>
      <c r="B1779" s="83">
        <f t="array" ref="B1779">SUM(--(FREQUENCY(IF(C$2:C$3074=C1779, MATCH(D$2:D$3074, D$2:D$3074, 0)), ROW(D$2:D$3074)-ROW(D$2)+1) &gt; 0))</f>
        <v>14</v>
      </c>
      <c r="C1779" s="3">
        <f>IFERROR(INDEX('SCR DATA'!B:B, MATCH($D1779, 'SCR DATA'!A:A, 0)), "")</f>
        <v>41100502</v>
      </c>
      <c r="D1779" s="6" t="s">
        <v>3303</v>
      </c>
      <c r="E1779" s="3" t="str">
        <f>IFERROR(INDEX('SCR DATA'!E:E, MATCH($D1779, 'SCR DATA'!A:A, 0)), "")</f>
        <v>MICRON TW</v>
      </c>
      <c r="F1779" s="3" t="str">
        <f>IFERROR(INDEX('SCR DATA'!C:C, MATCH($D1779, 'SCR DATA'!A:A, 0)), "")</f>
        <v>GAIA-I</v>
      </c>
      <c r="G1779" s="68" t="str">
        <f t="shared" si="310"/>
        <v>SINGLE</v>
      </c>
      <c r="H1779" s="197">
        <f t="shared" si="303"/>
        <v>47</v>
      </c>
      <c r="I1779" s="197">
        <v>11</v>
      </c>
      <c r="J1779" s="197">
        <v>17</v>
      </c>
      <c r="K1779" s="186">
        <f t="shared" si="304"/>
        <v>45978</v>
      </c>
      <c r="L1779" s="3" t="str">
        <f>IFERROR(INDEX('SCR DATA'!F:F, MATCH($D1779, 'SCR DATA'!A:A, 0)), "")</f>
        <v>FNI</v>
      </c>
      <c r="M1779" s="3" t="str">
        <f>IFERROR(INDEX('SCR DATA'!G:G, MATCH($D1779, 'SCR DATA'!A:A, 0)), "")</f>
        <v>C&amp;A</v>
      </c>
      <c r="N1779" s="3" t="str">
        <f t="shared" si="285"/>
        <v/>
      </c>
    </row>
    <row r="1780" spans="1:19">
      <c r="A1780" s="3">
        <v>6173</v>
      </c>
      <c r="B1780" s="83">
        <f t="array" ref="B1780">SUM(--(FREQUENCY(IF(C$2:C$3074=C1780, MATCH(D$2:D$3074, D$2:D$3074, 0)), ROW(D$2:D$3074)-ROW(D$2)+1) &gt; 0))</f>
        <v>14</v>
      </c>
      <c r="C1780" s="3">
        <f>IFERROR(INDEX('SCR DATA'!B:B, MATCH($D1780, 'SCR DATA'!A:A, 0)), "")</f>
        <v>41100502</v>
      </c>
      <c r="D1780" s="6" t="s">
        <v>3304</v>
      </c>
      <c r="E1780" s="3" t="str">
        <f>IFERROR(INDEX('SCR DATA'!E:E, MATCH($D1780, 'SCR DATA'!A:A, 0)), "")</f>
        <v>MICRON TW</v>
      </c>
      <c r="F1780" s="3" t="str">
        <f>IFERROR(INDEX('SCR DATA'!C:C, MATCH($D1780, 'SCR DATA'!A:A, 0)), "")</f>
        <v>GAIA-I</v>
      </c>
      <c r="G1780" s="68" t="str">
        <f t="shared" si="310"/>
        <v>SINGLE</v>
      </c>
      <c r="H1780" s="197">
        <f t="shared" si="303"/>
        <v>47</v>
      </c>
      <c r="I1780" s="197">
        <v>11</v>
      </c>
      <c r="J1780" s="197">
        <v>17</v>
      </c>
      <c r="K1780" s="186">
        <f t="shared" si="304"/>
        <v>45978</v>
      </c>
      <c r="L1780" s="3" t="str">
        <f>IFERROR(INDEX('SCR DATA'!F:F, MATCH($D1780, 'SCR DATA'!A:A, 0)), "")</f>
        <v>FNI</v>
      </c>
      <c r="M1780" s="3" t="str">
        <f>IFERROR(INDEX('SCR DATA'!G:G, MATCH($D1780, 'SCR DATA'!A:A, 0)), "")</f>
        <v>C&amp;A</v>
      </c>
      <c r="N1780" s="3" t="str">
        <f t="shared" si="285"/>
        <v>NG</v>
      </c>
      <c r="O1780" s="3" t="s">
        <v>2368</v>
      </c>
      <c r="P1780" s="3" t="s">
        <v>255</v>
      </c>
      <c r="Q1780" s="3">
        <v>11003664</v>
      </c>
      <c r="R1780" s="3" t="s">
        <v>255</v>
      </c>
      <c r="S1780" s="3" t="s">
        <v>5401</v>
      </c>
    </row>
    <row r="1781" spans="1:19">
      <c r="A1781" s="3">
        <v>5977</v>
      </c>
      <c r="B1781" s="83">
        <f t="array" ref="B1781">SUM(--(FREQUENCY(IF(C$2:C$3074=C1781, MATCH(D$2:D$3074, D$2:D$3074, 0)), ROW(D$2:D$3074)-ROW(D$2)+1) &gt; 0))</f>
        <v>29</v>
      </c>
      <c r="C1781" s="3">
        <f>IFERROR(INDEX('SCR DATA'!B:B, MATCH($D1781, 'SCR DATA'!A:A, 0)), "")</f>
        <v>41200158</v>
      </c>
      <c r="D1781" s="6" t="s">
        <v>3305</v>
      </c>
      <c r="E1781" s="3" t="str">
        <f>IFERROR(INDEX('SCR DATA'!E:E, MATCH($D1781, 'SCR DATA'!A:A, 0)), "")</f>
        <v>SEC</v>
      </c>
      <c r="F1781" s="3" t="str">
        <f>IFERROR(INDEX('SCR DATA'!C:C, MATCH($D1781, 'SCR DATA'!A:A, 0)), "")</f>
        <v>GAIA-P DUAL</v>
      </c>
      <c r="G1781" s="68" t="str">
        <f t="shared" si="310"/>
        <v>DUAL</v>
      </c>
      <c r="H1781" s="197">
        <f t="shared" si="303"/>
        <v>47</v>
      </c>
      <c r="I1781" s="197">
        <v>11</v>
      </c>
      <c r="J1781" s="197">
        <v>17</v>
      </c>
      <c r="K1781" s="186">
        <f t="shared" si="304"/>
        <v>45978</v>
      </c>
      <c r="L1781" s="3" t="str">
        <f>IFERROR(INDEX('SCR DATA'!F:F, MATCH($D1781, 'SCR DATA'!A:A, 0)), "")</f>
        <v>BAT</v>
      </c>
      <c r="M1781" s="3" t="str">
        <f>IFERROR(INDEX('SCR DATA'!G:G, MATCH($D1781, 'SCR DATA'!A:A, 0)), "")</f>
        <v>P&amp;S</v>
      </c>
      <c r="N1781" s="3" t="str">
        <f t="shared" si="285"/>
        <v/>
      </c>
    </row>
    <row r="1782" spans="1:19">
      <c r="A1782" s="3">
        <v>5977</v>
      </c>
      <c r="B1782" s="83">
        <f t="array" ref="B1782">SUM(--(FREQUENCY(IF(C$2:C$3074=C1782, MATCH(D$2:D$3074, D$2:D$3074, 0)), ROW(D$2:D$3074)-ROW(D$2)+1) &gt; 0))</f>
        <v>29</v>
      </c>
      <c r="C1782" s="3">
        <f>IFERROR(INDEX('SCR DATA'!B:B, MATCH($D1782, 'SCR DATA'!A:A, 0)), "")</f>
        <v>41200158</v>
      </c>
      <c r="D1782" s="6" t="s">
        <v>3306</v>
      </c>
      <c r="E1782" s="3" t="str">
        <f>IFERROR(INDEX('SCR DATA'!E:E, MATCH($D1782, 'SCR DATA'!A:A, 0)), "")</f>
        <v>SEC</v>
      </c>
      <c r="F1782" s="3" t="str">
        <f>IFERROR(INDEX('SCR DATA'!C:C, MATCH($D1782, 'SCR DATA'!A:A, 0)), "")</f>
        <v>GAIA-P DUAL</v>
      </c>
      <c r="G1782" s="68" t="str">
        <f t="shared" si="310"/>
        <v>DUAL</v>
      </c>
      <c r="H1782" s="197">
        <f t="shared" si="303"/>
        <v>47</v>
      </c>
      <c r="I1782" s="197">
        <v>11</v>
      </c>
      <c r="J1782" s="197">
        <v>17</v>
      </c>
      <c r="K1782" s="186">
        <f t="shared" si="304"/>
        <v>45978</v>
      </c>
      <c r="L1782" s="3" t="str">
        <f>IFERROR(INDEX('SCR DATA'!F:F, MATCH($D1782, 'SCR DATA'!A:A, 0)), "")</f>
        <v>BAT</v>
      </c>
      <c r="M1782" s="3" t="str">
        <f>IFERROR(INDEX('SCR DATA'!G:G, MATCH($D1782, 'SCR DATA'!A:A, 0)), "")</f>
        <v>P&amp;S</v>
      </c>
      <c r="N1782" s="3" t="str">
        <f t="shared" si="285"/>
        <v/>
      </c>
    </row>
    <row r="1783" spans="1:19">
      <c r="A1783" s="3">
        <v>6185</v>
      </c>
      <c r="B1783" s="83">
        <f t="array" ref="B1783">SUM(--(FREQUENCY(IF(C$2:C$3074=C1783, MATCH(D$2:D$3074, D$2:D$3074, 0)), ROW(D$2:D$3074)-ROW(D$2)+1) &gt; 0))</f>
        <v>12</v>
      </c>
      <c r="C1783" s="3">
        <f>IFERROR(INDEX('SCR DATA'!B:B, MATCH($D1783, 'SCR DATA'!A:A, 0)), "")</f>
        <v>41200152</v>
      </c>
      <c r="D1783" s="6" t="s">
        <v>3300</v>
      </c>
      <c r="E1783" s="3" t="str">
        <f>IFERROR(INDEX('SCR DATA'!E:E, MATCH($D1783, 'SCR DATA'!A:A, 0)), "")</f>
        <v>MICRON TW</v>
      </c>
      <c r="F1783" s="3" t="str">
        <f>IFERROR(INDEX('SCR DATA'!C:C, MATCH($D1783, 'SCR DATA'!A:A, 0)), "")</f>
        <v>GAIA-I DUAL</v>
      </c>
      <c r="G1783" s="41" t="str">
        <f t="shared" si="310"/>
        <v>DUAL</v>
      </c>
      <c r="H1783" s="197">
        <f t="shared" si="303"/>
        <v>47</v>
      </c>
      <c r="I1783" s="197">
        <v>11</v>
      </c>
      <c r="J1783" s="197">
        <v>17</v>
      </c>
      <c r="K1783" s="186">
        <f t="shared" si="304"/>
        <v>45978</v>
      </c>
      <c r="L1783" s="3" t="str">
        <f>IFERROR(INDEX('SCR DATA'!F:F, MATCH($D1783, 'SCR DATA'!A:A, 0)), "")</f>
        <v>BAT</v>
      </c>
      <c r="M1783" s="3" t="str">
        <f>IFERROR(INDEX('SCR DATA'!G:G, MATCH($D1783, 'SCR DATA'!A:A, 0)), "")</f>
        <v>P&amp;S</v>
      </c>
      <c r="N1783" s="3" t="str">
        <f t="shared" si="285"/>
        <v>NG</v>
      </c>
      <c r="O1783" s="3" t="s">
        <v>2368</v>
      </c>
      <c r="P1783" s="3" t="s">
        <v>2508</v>
      </c>
      <c r="Q1783" s="3">
        <v>11200217</v>
      </c>
      <c r="R1783" s="3" t="s">
        <v>2509</v>
      </c>
      <c r="S1783" s="3" t="s">
        <v>5402</v>
      </c>
    </row>
    <row r="1784" spans="1:19">
      <c r="A1784" s="3">
        <v>6185</v>
      </c>
      <c r="B1784" s="83">
        <f t="array" ref="B1784">SUM(--(FREQUENCY(IF(C$2:C$3074=C1784, MATCH(D$2:D$3074, D$2:D$3074, 0)), ROW(D$2:D$3074)-ROW(D$2)+1) &gt; 0))</f>
        <v>12</v>
      </c>
      <c r="C1784" s="3">
        <f>IFERROR(INDEX('SCR DATA'!B:B, MATCH($D1784, 'SCR DATA'!A:A, 0)), "")</f>
        <v>41200152</v>
      </c>
      <c r="D1784" s="6" t="s">
        <v>3300</v>
      </c>
      <c r="E1784" s="3" t="str">
        <f>IFERROR(INDEX('SCR DATA'!E:E, MATCH($D1784, 'SCR DATA'!A:A, 0)), "")</f>
        <v>MICRON TW</v>
      </c>
      <c r="F1784" s="3" t="str">
        <f>IFERROR(INDEX('SCR DATA'!C:C, MATCH($D1784, 'SCR DATA'!A:A, 0)), "")</f>
        <v>GAIA-I DUAL</v>
      </c>
      <c r="G1784" s="41" t="str">
        <f t="shared" ref="G1784" si="315">IF(OR(ISNUMBER(SEARCH("DUAL",F1784)), ISNUMBER(SEARCH("IVAS",F1784))), "DUAL", "SINGLE")</f>
        <v>DUAL</v>
      </c>
      <c r="H1784" s="197">
        <f t="shared" ref="H1784" si="316">WEEKNUM(K1784)</f>
        <v>47</v>
      </c>
      <c r="I1784" s="197">
        <v>11</v>
      </c>
      <c r="J1784" s="197">
        <v>17</v>
      </c>
      <c r="K1784" s="186">
        <f t="shared" ref="K1784" si="317">DATE(2025, I1784, J1784)</f>
        <v>45978</v>
      </c>
      <c r="L1784" s="3" t="str">
        <f>IFERROR(INDEX('SCR DATA'!F:F, MATCH($D1784, 'SCR DATA'!A:A, 0)), "")</f>
        <v>BAT</v>
      </c>
      <c r="M1784" s="3" t="str">
        <f>IFERROR(INDEX('SCR DATA'!G:G, MATCH($D1784, 'SCR DATA'!A:A, 0)), "")</f>
        <v>P&amp;S</v>
      </c>
      <c r="N1784" s="3" t="str">
        <f t="shared" ref="N1784" si="318">IF(O1784&lt;&gt;"", "NG", "")</f>
        <v>NG</v>
      </c>
      <c r="O1784" s="3" t="s">
        <v>2368</v>
      </c>
      <c r="P1784" s="3" t="s">
        <v>2482</v>
      </c>
      <c r="Q1784" s="3">
        <v>11002283</v>
      </c>
      <c r="R1784" s="3" t="s">
        <v>932</v>
      </c>
      <c r="S1784" s="3" t="s">
        <v>5403</v>
      </c>
    </row>
    <row r="1785" spans="1:19">
      <c r="A1785" s="3">
        <v>6185</v>
      </c>
      <c r="B1785" s="83">
        <f t="array" ref="B1785">SUM(--(FREQUENCY(IF(C$2:C$3074=C1785, MATCH(D$2:D$3074, D$2:D$3074, 0)), ROW(D$2:D$3074)-ROW(D$2)+1) &gt; 0))</f>
        <v>12</v>
      </c>
      <c r="C1785" s="3">
        <f>IFERROR(INDEX('SCR DATA'!B:B, MATCH($D1785, 'SCR DATA'!A:A, 0)), "")</f>
        <v>41200152</v>
      </c>
      <c r="D1785" s="6" t="s">
        <v>3307</v>
      </c>
      <c r="E1785" s="3" t="str">
        <f>IFERROR(INDEX('SCR DATA'!E:E, MATCH($D1785, 'SCR DATA'!A:A, 0)), "")</f>
        <v>MICRON TW</v>
      </c>
      <c r="F1785" s="3" t="str">
        <f>IFERROR(INDEX('SCR DATA'!C:C, MATCH($D1785, 'SCR DATA'!A:A, 0)), "")</f>
        <v>GAIA-I DUAL</v>
      </c>
      <c r="G1785" s="68" t="str">
        <f t="shared" si="310"/>
        <v>DUAL</v>
      </c>
      <c r="H1785" s="197">
        <f t="shared" si="303"/>
        <v>47</v>
      </c>
      <c r="I1785" s="197">
        <v>11</v>
      </c>
      <c r="J1785" s="197">
        <v>17</v>
      </c>
      <c r="K1785" s="186">
        <f t="shared" si="304"/>
        <v>45978</v>
      </c>
      <c r="L1785" s="3" t="str">
        <f>IFERROR(INDEX('SCR DATA'!F:F, MATCH($D1785, 'SCR DATA'!A:A, 0)), "")</f>
        <v>BAT</v>
      </c>
      <c r="M1785" s="3" t="str">
        <f>IFERROR(INDEX('SCR DATA'!G:G, MATCH($D1785, 'SCR DATA'!A:A, 0)), "")</f>
        <v>P&amp;S</v>
      </c>
      <c r="N1785" s="3" t="str">
        <f t="shared" ref="N1785:N1854" si="319">IF(O1785&lt;&gt;"", "NG", "")</f>
        <v/>
      </c>
    </row>
    <row r="1786" spans="1:19">
      <c r="A1786" s="3">
        <v>6206</v>
      </c>
      <c r="B1786" s="83">
        <f t="array" ref="B1786">SUM(--(FREQUENCY(IF(C$2:C$3074=C1786, MATCH(D$2:D$3074, D$2:D$3074, 0)), ROW(D$2:D$3074)-ROW(D$2)+1) &gt; 0))</f>
        <v>1</v>
      </c>
      <c r="C1786" s="3">
        <f>IFERROR(INDEX('SCR DATA'!B:B, MATCH($D1786, 'SCR DATA'!A:A, 0)), "")</f>
        <v>41200183</v>
      </c>
      <c r="D1786" s="6" t="s">
        <v>5404</v>
      </c>
      <c r="E1786" s="3" t="s">
        <v>1392</v>
      </c>
      <c r="F1786" s="3" t="str">
        <f>IFERROR(INDEX('SCR DATA'!C:C, MATCH($D1786, 'SCR DATA'!A:A, 0)), "")</f>
        <v>IVAS</v>
      </c>
      <c r="G1786" s="68" t="str">
        <f t="shared" si="310"/>
        <v>DUAL</v>
      </c>
      <c r="H1786" s="197">
        <f t="shared" si="303"/>
        <v>47</v>
      </c>
      <c r="I1786" s="197">
        <v>11</v>
      </c>
      <c r="J1786" s="197">
        <v>17</v>
      </c>
      <c r="K1786" s="186">
        <f t="shared" si="304"/>
        <v>45978</v>
      </c>
      <c r="L1786" s="3" t="str">
        <f>IFERROR(INDEX('SCR DATA'!F:F, MATCH($D1786, 'SCR DATA'!A:A, 0)), "")</f>
        <v>BAT</v>
      </c>
      <c r="M1786" s="3" t="str">
        <f>IFERROR(INDEX('SCR DATA'!G:G, MATCH($D1786, 'SCR DATA'!A:A, 0)), "")</f>
        <v>P&amp;S</v>
      </c>
      <c r="N1786" s="3" t="str">
        <f t="shared" si="319"/>
        <v/>
      </c>
    </row>
    <row r="1787" spans="1:19">
      <c r="A1787" s="3">
        <v>6030</v>
      </c>
      <c r="B1787" s="83">
        <f t="array" ref="B1787">SUM(--(FREQUENCY(IF(C$2:C$3074=C1787, MATCH(D$2:D$3074, D$2:D$3074, 0)), ROW(D$2:D$3074)-ROW(D$2)+1) &gt; 0))</f>
        <v>10</v>
      </c>
      <c r="C1787" s="3">
        <f>IFERROR(INDEX('SCR DATA'!B:B, MATCH($D1787, 'SCR DATA'!A:A, 0)), "")</f>
        <v>41100286</v>
      </c>
      <c r="D1787" s="6" t="s">
        <v>3308</v>
      </c>
      <c r="E1787" s="3" t="str">
        <f>IFERROR(INDEX('SCR DATA'!E:E, MATCH($D1787, 'SCR DATA'!A:A, 0)), "")</f>
        <v>MICRON JP</v>
      </c>
      <c r="F1787" s="3" t="str">
        <f>IFERROR(INDEX('SCR DATA'!C:C, MATCH($D1787, 'SCR DATA'!A:A, 0)), "")</f>
        <v>GAIA-I DUAL</v>
      </c>
      <c r="G1787" s="68" t="str">
        <f t="shared" si="310"/>
        <v>DUAL</v>
      </c>
      <c r="H1787" s="197">
        <f t="shared" si="303"/>
        <v>47</v>
      </c>
      <c r="I1787" s="197">
        <v>11</v>
      </c>
      <c r="J1787" s="197">
        <v>18</v>
      </c>
      <c r="K1787" s="186">
        <f t="shared" si="304"/>
        <v>45979</v>
      </c>
      <c r="L1787" s="3" t="str">
        <f>IFERROR(INDEX('SCR DATA'!F:F, MATCH($D1787, 'SCR DATA'!A:A, 0)), "")</f>
        <v>FNI</v>
      </c>
      <c r="M1787" s="3" t="str">
        <f>IFERROR(INDEX('SCR DATA'!G:G, MATCH($D1787, 'SCR DATA'!A:A, 0)), "")</f>
        <v>TMS</v>
      </c>
      <c r="N1787" s="3" t="str">
        <f t="shared" si="319"/>
        <v/>
      </c>
    </row>
    <row r="1788" spans="1:19">
      <c r="A1788" s="3">
        <v>6054</v>
      </c>
      <c r="B1788" s="83">
        <f t="array" ref="B1788">SUM(--(FREQUENCY(IF(C$2:C$3074=C1788, MATCH(D$2:D$3074, D$2:D$3074, 0)), ROW(D$2:D$3074)-ROW(D$2)+1) &gt; 0))</f>
        <v>6</v>
      </c>
      <c r="C1788" s="3">
        <f>IFERROR(INDEX('SCR DATA'!B:B, MATCH($D1788, 'SCR DATA'!A:A, 0)), "")</f>
        <v>41100584</v>
      </c>
      <c r="D1788" s="6" t="s">
        <v>3309</v>
      </c>
      <c r="E1788" s="3" t="str">
        <f>IFERROR(INDEX('SCR DATA'!E:E, MATCH($D1788, 'SCR DATA'!A:A, 0)), "")</f>
        <v>MICRON SG</v>
      </c>
      <c r="F1788" s="3" t="str">
        <f>IFERROR(INDEX('SCR DATA'!C:C, MATCH($D1788, 'SCR DATA'!A:A, 0)), "")</f>
        <v>GAIA-I</v>
      </c>
      <c r="G1788" s="68" t="str">
        <f t="shared" si="310"/>
        <v>SINGLE</v>
      </c>
      <c r="H1788" s="197">
        <f t="shared" si="303"/>
        <v>47</v>
      </c>
      <c r="I1788" s="197">
        <v>11</v>
      </c>
      <c r="J1788" s="197">
        <v>18</v>
      </c>
      <c r="K1788" s="186">
        <f t="shared" si="304"/>
        <v>45979</v>
      </c>
      <c r="L1788" s="3" t="str">
        <f>IFERROR(INDEX('SCR DATA'!F:F, MATCH($D1788, 'SCR DATA'!A:A, 0)), "")</f>
        <v>FNI</v>
      </c>
      <c r="M1788" s="3" t="str">
        <f>IFERROR(INDEX('SCR DATA'!G:G, MATCH($D1788, 'SCR DATA'!A:A, 0)), "")</f>
        <v>TMS</v>
      </c>
      <c r="N1788" s="3" t="str">
        <f t="shared" si="319"/>
        <v/>
      </c>
    </row>
    <row r="1789" spans="1:19">
      <c r="A1789" s="3">
        <v>6083</v>
      </c>
      <c r="B1789" s="83">
        <f t="array" ref="B1789">SUM(--(FREQUENCY(IF(C$2:C$3074=C1789, MATCH(D$2:D$3074, D$2:D$3074, 0)), ROW(D$2:D$3074)-ROW(D$2)+1) &gt; 0))</f>
        <v>49</v>
      </c>
      <c r="C1789" s="3">
        <f>IFERROR(INDEX('SCR DATA'!B:B, MATCH($D1789, 'SCR DATA'!A:A, 0)), "")</f>
        <v>41200005</v>
      </c>
      <c r="D1789" s="6" t="s">
        <v>3310</v>
      </c>
      <c r="E1789" s="3" t="str">
        <f>IFERROR(INDEX('SCR DATA'!E:E, MATCH($D1789, 'SCR DATA'!A:A, 0)), "")</f>
        <v>SEC</v>
      </c>
      <c r="F1789" s="3" t="str">
        <f>IFERROR(INDEX('SCR DATA'!C:C, MATCH($D1789, 'SCR DATA'!A:A, 0)), "")</f>
        <v>GAIA-I</v>
      </c>
      <c r="G1789" s="68" t="str">
        <f t="shared" si="310"/>
        <v>SINGLE</v>
      </c>
      <c r="H1789" s="197">
        <f t="shared" si="303"/>
        <v>47</v>
      </c>
      <c r="I1789" s="197">
        <v>11</v>
      </c>
      <c r="J1789" s="197">
        <v>18</v>
      </c>
      <c r="K1789" s="186">
        <f t="shared" si="304"/>
        <v>45979</v>
      </c>
      <c r="L1789" s="3" t="str">
        <f>IFERROR(INDEX('SCR DATA'!F:F, MATCH($D1789, 'SCR DATA'!A:A, 0)), "")</f>
        <v>FNI</v>
      </c>
      <c r="M1789" s="3" t="str">
        <f>IFERROR(INDEX('SCR DATA'!G:G, MATCH($D1789, 'SCR DATA'!A:A, 0)), "")</f>
        <v>C&amp;A</v>
      </c>
      <c r="N1789" s="3" t="str">
        <f t="shared" si="319"/>
        <v/>
      </c>
    </row>
    <row r="1790" spans="1:19">
      <c r="A1790" s="3">
        <v>6083</v>
      </c>
      <c r="B1790" s="83">
        <f t="array" ref="B1790">SUM(--(FREQUENCY(IF(C$2:C$3074=C1790, MATCH(D$2:D$3074, D$2:D$3074, 0)), ROW(D$2:D$3074)-ROW(D$2)+1) &gt; 0))</f>
        <v>49</v>
      </c>
      <c r="C1790" s="3">
        <f>IFERROR(INDEX('SCR DATA'!B:B, MATCH($D1790, 'SCR DATA'!A:A, 0)), "")</f>
        <v>41200005</v>
      </c>
      <c r="D1790" s="6" t="s">
        <v>3312</v>
      </c>
      <c r="E1790" s="3" t="str">
        <f>IFERROR(INDEX('SCR DATA'!E:E, MATCH($D1790, 'SCR DATA'!A:A, 0)), "")</f>
        <v>SEC</v>
      </c>
      <c r="F1790" s="3" t="str">
        <f>IFERROR(INDEX('SCR DATA'!C:C, MATCH($D1790, 'SCR DATA'!A:A, 0)), "")</f>
        <v>GAIA-I</v>
      </c>
      <c r="G1790" s="68" t="str">
        <f t="shared" si="310"/>
        <v>SINGLE</v>
      </c>
      <c r="H1790" s="197">
        <f t="shared" si="303"/>
        <v>47</v>
      </c>
      <c r="I1790" s="197">
        <v>11</v>
      </c>
      <c r="J1790" s="197">
        <v>18</v>
      </c>
      <c r="K1790" s="186">
        <f t="shared" si="304"/>
        <v>45979</v>
      </c>
      <c r="L1790" s="3" t="str">
        <f>IFERROR(INDEX('SCR DATA'!F:F, MATCH($D1790, 'SCR DATA'!A:A, 0)), "")</f>
        <v>FNI</v>
      </c>
      <c r="M1790" s="3" t="str">
        <f>IFERROR(INDEX('SCR DATA'!G:G, MATCH($D1790, 'SCR DATA'!A:A, 0)), "")</f>
        <v>C&amp;A</v>
      </c>
      <c r="N1790" s="3" t="str">
        <f t="shared" si="319"/>
        <v/>
      </c>
    </row>
    <row r="1791" spans="1:19">
      <c r="A1791" s="3">
        <v>6055</v>
      </c>
      <c r="B1791" s="83">
        <f t="array" ref="B1791">SUM(--(FREQUENCY(IF(C$2:C$3074=C1791, MATCH(D$2:D$3074, D$2:D$3074, 0)), ROW(D$2:D$3074)-ROW(D$2)+1) &gt; 0))</f>
        <v>8</v>
      </c>
      <c r="C1791" s="3">
        <f>IFERROR(INDEX('SCR DATA'!B:B, MATCH($D1791, 'SCR DATA'!A:A, 0)), "")</f>
        <v>41200088</v>
      </c>
      <c r="D1791" s="6" t="s">
        <v>3313</v>
      </c>
      <c r="E1791" s="3" t="str">
        <f>IFERROR(INDEX('SCR DATA'!E:E, MATCH($D1791, 'SCR DATA'!A:A, 0)), "")</f>
        <v>MICRON SG</v>
      </c>
      <c r="F1791" s="3" t="str">
        <f>IFERROR(INDEX('SCR DATA'!C:C, MATCH($D1791, 'SCR DATA'!A:A, 0)), "")</f>
        <v>GAIA-I DUAL</v>
      </c>
      <c r="G1791" s="68" t="str">
        <f t="shared" si="310"/>
        <v>DUAL</v>
      </c>
      <c r="H1791" s="197">
        <f t="shared" si="303"/>
        <v>47</v>
      </c>
      <c r="I1791" s="197">
        <v>11</v>
      </c>
      <c r="J1791" s="197">
        <v>18</v>
      </c>
      <c r="K1791" s="186">
        <f t="shared" si="304"/>
        <v>45979</v>
      </c>
      <c r="L1791" s="3" t="str">
        <f>IFERROR(INDEX('SCR DATA'!F:F, MATCH($D1791, 'SCR DATA'!A:A, 0)), "")</f>
        <v>BAT</v>
      </c>
      <c r="M1791" s="3" t="str">
        <f>IFERROR(INDEX('SCR DATA'!G:G, MATCH($D1791, 'SCR DATA'!A:A, 0)), "")</f>
        <v>P&amp;S</v>
      </c>
      <c r="N1791" s="3" t="str">
        <f t="shared" si="319"/>
        <v/>
      </c>
    </row>
    <row r="1792" spans="1:19">
      <c r="A1792" s="3">
        <v>5977</v>
      </c>
      <c r="B1792" s="83">
        <f t="array" ref="B1792">SUM(--(FREQUENCY(IF(C$2:C$3074=C1792, MATCH(D$2:D$3074, D$2:D$3074, 0)), ROW(D$2:D$3074)-ROW(D$2)+1) &gt; 0))</f>
        <v>29</v>
      </c>
      <c r="C1792" s="3">
        <f>IFERROR(INDEX('SCR DATA'!B:B, MATCH($D1792, 'SCR DATA'!A:A, 0)), "")</f>
        <v>41200158</v>
      </c>
      <c r="D1792" s="6" t="s">
        <v>3314</v>
      </c>
      <c r="E1792" s="3" t="str">
        <f>IFERROR(INDEX('SCR DATA'!E:E, MATCH($D1792, 'SCR DATA'!A:A, 0)), "")</f>
        <v>SEC</v>
      </c>
      <c r="F1792" s="3" t="str">
        <f>IFERROR(INDEX('SCR DATA'!C:C, MATCH($D1792, 'SCR DATA'!A:A, 0)), "")</f>
        <v>GAIA-P DUAL</v>
      </c>
      <c r="G1792" s="68" t="str">
        <f t="shared" si="310"/>
        <v>DUAL</v>
      </c>
      <c r="H1792" s="197">
        <f t="shared" si="303"/>
        <v>47</v>
      </c>
      <c r="I1792" s="197">
        <v>11</v>
      </c>
      <c r="J1792" s="197">
        <v>18</v>
      </c>
      <c r="K1792" s="186">
        <f t="shared" si="304"/>
        <v>45979</v>
      </c>
      <c r="L1792" s="3" t="str">
        <f>IFERROR(INDEX('SCR DATA'!F:F, MATCH($D1792, 'SCR DATA'!A:A, 0)), "")</f>
        <v>BAT</v>
      </c>
      <c r="M1792" s="3" t="str">
        <f>IFERROR(INDEX('SCR DATA'!G:G, MATCH($D1792, 'SCR DATA'!A:A, 0)), "")</f>
        <v>P&amp;S</v>
      </c>
      <c r="N1792" s="3" t="str">
        <f t="shared" si="319"/>
        <v>NG</v>
      </c>
      <c r="O1792" s="3" t="s">
        <v>2368</v>
      </c>
      <c r="P1792" s="3" t="s">
        <v>2414</v>
      </c>
      <c r="S1792" s="3" t="s">
        <v>5405</v>
      </c>
    </row>
    <row r="1793" spans="1:19">
      <c r="A1793" s="3">
        <v>6118</v>
      </c>
      <c r="B1793" s="83">
        <f t="array" ref="B1793">SUM(--(FREQUENCY(IF(C$2:C$3074=C1793, MATCH(D$2:D$3074, D$2:D$3074, 0)), ROW(D$2:D$3074)-ROW(D$2)+1) &gt; 0))</f>
        <v>32</v>
      </c>
      <c r="C1793" s="3">
        <f>IFERROR(INDEX('SCR DATA'!B:B, MATCH($D1793, 'SCR DATA'!A:A, 0)), "")</f>
        <v>41200122</v>
      </c>
      <c r="D1793" s="6" t="s">
        <v>3315</v>
      </c>
      <c r="E1793" s="3" t="str">
        <f>IFERROR(INDEX('SCR DATA'!E:E, MATCH($D1793, 'SCR DATA'!A:A, 0)), "")</f>
        <v>MICRON TW</v>
      </c>
      <c r="F1793" s="3" t="str">
        <f>IFERROR(INDEX('SCR DATA'!C:C, MATCH($D1793, 'SCR DATA'!A:A, 0)), "")</f>
        <v>GAIA-I DUAL</v>
      </c>
      <c r="G1793" s="68" t="str">
        <f t="shared" si="310"/>
        <v>DUAL</v>
      </c>
      <c r="H1793" s="197">
        <f t="shared" si="303"/>
        <v>47</v>
      </c>
      <c r="I1793" s="197">
        <v>11</v>
      </c>
      <c r="J1793" s="197">
        <v>18</v>
      </c>
      <c r="K1793" s="186">
        <f t="shared" si="304"/>
        <v>45979</v>
      </c>
      <c r="L1793" s="3" t="str">
        <f>IFERROR(INDEX('SCR DATA'!F:F, MATCH($D1793, 'SCR DATA'!A:A, 0)), "")</f>
        <v>GST</v>
      </c>
      <c r="M1793" s="3" t="str">
        <f>IFERROR(INDEX('SCR DATA'!G:G, MATCH($D1793, 'SCR DATA'!A:A, 0)), "")</f>
        <v>GST</v>
      </c>
      <c r="N1793" s="3" t="str">
        <f t="shared" si="319"/>
        <v/>
      </c>
    </row>
    <row r="1794" spans="1:19">
      <c r="A1794" s="3">
        <v>6176</v>
      </c>
      <c r="B1794" s="83">
        <f t="array" ref="B1794">SUM(--(FREQUENCY(IF(C$2:C$3074=C1794, MATCH(D$2:D$3074, D$2:D$3074, 0)), ROW(D$2:D$3074)-ROW(D$2)+1) &gt; 0))</f>
        <v>1</v>
      </c>
      <c r="C1794" s="3">
        <f>IFERROR(INDEX('SCR DATA'!B:B, MATCH($D1794, 'SCR DATA'!A:A, 0)), "")</f>
        <v>41200182</v>
      </c>
      <c r="D1794" s="6" t="s">
        <v>5406</v>
      </c>
      <c r="E1794" s="3" t="s">
        <v>1392</v>
      </c>
      <c r="F1794" s="3" t="str">
        <f>IFERROR(INDEX('SCR DATA'!C:C, MATCH($D1794, 'SCR DATA'!A:A, 0)), "")</f>
        <v>IVAS</v>
      </c>
      <c r="G1794" s="68" t="str">
        <f t="shared" si="310"/>
        <v>DUAL</v>
      </c>
      <c r="H1794" s="197">
        <f t="shared" si="303"/>
        <v>47</v>
      </c>
      <c r="I1794" s="197">
        <v>11</v>
      </c>
      <c r="J1794" s="197">
        <v>19</v>
      </c>
      <c r="K1794" s="186">
        <f t="shared" si="304"/>
        <v>45980</v>
      </c>
      <c r="L1794" s="3" t="str">
        <f>IFERROR(INDEX('SCR DATA'!F:F, MATCH($D1794, 'SCR DATA'!A:A, 0)), "")</f>
        <v>BAT</v>
      </c>
      <c r="M1794" s="3" t="str">
        <f>IFERROR(INDEX('SCR DATA'!G:G, MATCH($D1794, 'SCR DATA'!A:A, 0)), "")</f>
        <v>TMS</v>
      </c>
      <c r="N1794" s="3" t="str">
        <f t="shared" si="319"/>
        <v>NG</v>
      </c>
      <c r="O1794" s="3" t="s">
        <v>2368</v>
      </c>
      <c r="P1794" s="3" t="s">
        <v>2563</v>
      </c>
      <c r="Q1794" s="3">
        <v>11000197</v>
      </c>
      <c r="R1794" s="3" t="s">
        <v>816</v>
      </c>
      <c r="S1794" s="3" t="s">
        <v>5407</v>
      </c>
    </row>
    <row r="1795" spans="1:19">
      <c r="A1795" s="3">
        <v>6226</v>
      </c>
      <c r="B1795" s="83">
        <f t="array" ref="B1795">SUM(--(FREQUENCY(IF(C$2:C$3074=C1795, MATCH(D$2:D$3074, D$2:D$3074, 0)), ROW(D$2:D$3074)-ROW(D$2)+1) &gt; 0))</f>
        <v>9</v>
      </c>
      <c r="C1795" s="3">
        <f>IFERROR(INDEX('SCR DATA'!B:B, MATCH($D1795, 'SCR DATA'!A:A, 0)), "")</f>
        <v>41200153</v>
      </c>
      <c r="D1795" s="6" t="s">
        <v>3317</v>
      </c>
      <c r="E1795" s="3" t="str">
        <f>IFERROR(INDEX('SCR DATA'!E:E, MATCH($D1795, 'SCR DATA'!A:A, 0)), "")</f>
        <v>MICRON SG</v>
      </c>
      <c r="F1795" s="3" t="str">
        <f>IFERROR(INDEX('SCR DATA'!C:C, MATCH($D1795, 'SCR DATA'!A:A, 0)), "")</f>
        <v>GAIA-I DUAL</v>
      </c>
      <c r="G1795" s="68" t="str">
        <f t="shared" si="310"/>
        <v>DUAL</v>
      </c>
      <c r="H1795" s="197">
        <f t="shared" si="303"/>
        <v>47</v>
      </c>
      <c r="I1795" s="197">
        <v>11</v>
      </c>
      <c r="J1795" s="197">
        <v>19</v>
      </c>
      <c r="K1795" s="186">
        <f t="shared" si="304"/>
        <v>45980</v>
      </c>
      <c r="L1795" s="3" t="str">
        <f>IFERROR(INDEX('SCR DATA'!F:F, MATCH($D1795, 'SCR DATA'!A:A, 0)), "")</f>
        <v>FNI</v>
      </c>
      <c r="M1795" s="3" t="str">
        <f>IFERROR(INDEX('SCR DATA'!G:G, MATCH($D1795, 'SCR DATA'!A:A, 0)), "")</f>
        <v>C&amp;A</v>
      </c>
      <c r="N1795" s="3" t="str">
        <f t="shared" si="319"/>
        <v/>
      </c>
    </row>
    <row r="1796" spans="1:19">
      <c r="A1796" s="3">
        <v>6226</v>
      </c>
      <c r="B1796" s="83">
        <f t="array" ref="B1796">SUM(--(FREQUENCY(IF(C$2:C$3074=C1796, MATCH(D$2:D$3074, D$2:D$3074, 0)), ROW(D$2:D$3074)-ROW(D$2)+1) &gt; 0))</f>
        <v>9</v>
      </c>
      <c r="C1796" s="3">
        <f>IFERROR(INDEX('SCR DATA'!B:B, MATCH($D1796, 'SCR DATA'!A:A, 0)), "")</f>
        <v>41200153</v>
      </c>
      <c r="D1796" s="6" t="s">
        <v>3322</v>
      </c>
      <c r="E1796" s="3" t="str">
        <f>IFERROR(INDEX('SCR DATA'!E:E, MATCH($D1796, 'SCR DATA'!A:A, 0)), "")</f>
        <v>MICRON SG</v>
      </c>
      <c r="F1796" s="3" t="str">
        <f>IFERROR(INDEX('SCR DATA'!C:C, MATCH($D1796, 'SCR DATA'!A:A, 0)), "")</f>
        <v>GAIA-I DUAL</v>
      </c>
      <c r="G1796" s="68" t="str">
        <f t="shared" si="310"/>
        <v>DUAL</v>
      </c>
      <c r="H1796" s="197">
        <f t="shared" si="303"/>
        <v>47</v>
      </c>
      <c r="I1796" s="197">
        <v>11</v>
      </c>
      <c r="J1796" s="197">
        <v>19</v>
      </c>
      <c r="K1796" s="186">
        <f t="shared" si="304"/>
        <v>45980</v>
      </c>
      <c r="L1796" s="3" t="str">
        <f>IFERROR(INDEX('SCR DATA'!F:F, MATCH($D1796, 'SCR DATA'!A:A, 0)), "")</f>
        <v>FNI</v>
      </c>
      <c r="M1796" s="3" t="str">
        <f>IFERROR(INDEX('SCR DATA'!G:G, MATCH($D1796, 'SCR DATA'!A:A, 0)), "")</f>
        <v>C&amp;A</v>
      </c>
      <c r="N1796" s="3" t="str">
        <f t="shared" si="319"/>
        <v/>
      </c>
    </row>
    <row r="1797" spans="1:19">
      <c r="A1797" s="3">
        <v>6171</v>
      </c>
      <c r="B1797" s="83">
        <f t="array" ref="B1797">SUM(--(FREQUENCY(IF(C$2:C$3074=C1797, MATCH(D$2:D$3074, D$2:D$3074, 0)), ROW(D$2:D$3074)-ROW(D$2)+1) &gt; 0))</f>
        <v>33</v>
      </c>
      <c r="C1797" s="3">
        <f>IFERROR(INDEX('SCR DATA'!B:B, MATCH($D1797, 'SCR DATA'!A:A, 0)), "")</f>
        <v>41100435</v>
      </c>
      <c r="D1797" s="6" t="s">
        <v>3318</v>
      </c>
      <c r="E1797" s="3" t="str">
        <f>IFERROR(INDEX('SCR DATA'!E:E, MATCH($D1797, 'SCR DATA'!A:A, 0)), "")</f>
        <v>MICRON TW</v>
      </c>
      <c r="F1797" s="3" t="str">
        <f>IFERROR(INDEX('SCR DATA'!C:C, MATCH($D1797, 'SCR DATA'!A:A, 0)), "")</f>
        <v>WET 1000</v>
      </c>
      <c r="G1797" s="68" t="str">
        <f t="shared" si="310"/>
        <v>SINGLE</v>
      </c>
      <c r="H1797" s="197">
        <f t="shared" si="303"/>
        <v>47</v>
      </c>
      <c r="I1797" s="197">
        <v>11</v>
      </c>
      <c r="J1797" s="197">
        <v>19</v>
      </c>
      <c r="K1797" s="186">
        <f t="shared" si="304"/>
        <v>45980</v>
      </c>
      <c r="L1797" s="3" t="str">
        <f>IFERROR(INDEX('SCR DATA'!F:F, MATCH($D1797, 'SCR DATA'!A:A, 0)), "")</f>
        <v>FNI</v>
      </c>
      <c r="M1797" s="3" t="str">
        <f>IFERROR(INDEX('SCR DATA'!G:G, MATCH($D1797, 'SCR DATA'!A:A, 0)), "")</f>
        <v>C&amp;A</v>
      </c>
      <c r="N1797" s="3" t="str">
        <f t="shared" si="319"/>
        <v/>
      </c>
    </row>
    <row r="1798" spans="1:19">
      <c r="A1798" s="3">
        <v>6083</v>
      </c>
      <c r="B1798" s="83">
        <f t="array" ref="B1798">SUM(--(FREQUENCY(IF(C$2:C$3074=C1798, MATCH(D$2:D$3074, D$2:D$3074, 0)), ROW(D$2:D$3074)-ROW(D$2)+1) &gt; 0))</f>
        <v>49</v>
      </c>
      <c r="C1798" s="3">
        <f>IFERROR(INDEX('SCR DATA'!B:B, MATCH($D1798, 'SCR DATA'!A:A, 0)), "")</f>
        <v>41200005</v>
      </c>
      <c r="D1798" s="6" t="s">
        <v>3320</v>
      </c>
      <c r="E1798" s="3" t="str">
        <f>IFERROR(INDEX('SCR DATA'!E:E, MATCH($D1798, 'SCR DATA'!A:A, 0)), "")</f>
        <v>SEC</v>
      </c>
      <c r="F1798" s="3" t="str">
        <f>IFERROR(INDEX('SCR DATA'!C:C, MATCH($D1798, 'SCR DATA'!A:A, 0)), "")</f>
        <v>GAIA-I</v>
      </c>
      <c r="G1798" s="68" t="str">
        <f t="shared" si="310"/>
        <v>SINGLE</v>
      </c>
      <c r="H1798" s="197">
        <f t="shared" si="303"/>
        <v>47</v>
      </c>
      <c r="I1798" s="197">
        <v>11</v>
      </c>
      <c r="J1798" s="197">
        <v>19</v>
      </c>
      <c r="K1798" s="186">
        <f t="shared" si="304"/>
        <v>45980</v>
      </c>
      <c r="L1798" s="3" t="str">
        <f>IFERROR(INDEX('SCR DATA'!F:F, MATCH($D1798, 'SCR DATA'!A:A, 0)), "")</f>
        <v>BAT</v>
      </c>
      <c r="M1798" s="3" t="str">
        <f>IFERROR(INDEX('SCR DATA'!G:G, MATCH($D1798, 'SCR DATA'!A:A, 0)), "")</f>
        <v>P&amp;S</v>
      </c>
      <c r="N1798" s="3" t="str">
        <f t="shared" si="319"/>
        <v/>
      </c>
    </row>
    <row r="1799" spans="1:19">
      <c r="A1799" s="3">
        <v>6083</v>
      </c>
      <c r="B1799" s="83">
        <f t="array" ref="B1799">SUM(--(FREQUENCY(IF(C$2:C$3074=C1799, MATCH(D$2:D$3074, D$2:D$3074, 0)), ROW(D$2:D$3074)-ROW(D$2)+1) &gt; 0))</f>
        <v>49</v>
      </c>
      <c r="C1799" s="3">
        <f>IFERROR(INDEX('SCR DATA'!B:B, MATCH($D1799, 'SCR DATA'!A:A, 0)), "")</f>
        <v>41200005</v>
      </c>
      <c r="D1799" s="6" t="s">
        <v>3319</v>
      </c>
      <c r="E1799" s="3" t="str">
        <f>IFERROR(INDEX('SCR DATA'!E:E, MATCH($D1799, 'SCR DATA'!A:A, 0)), "")</f>
        <v>SEC</v>
      </c>
      <c r="F1799" s="3" t="str">
        <f>IFERROR(INDEX('SCR DATA'!C:C, MATCH($D1799, 'SCR DATA'!A:A, 0)), "")</f>
        <v>GAIA-I</v>
      </c>
      <c r="G1799" s="68" t="str">
        <f t="shared" si="310"/>
        <v>SINGLE</v>
      </c>
      <c r="H1799" s="197">
        <f t="shared" si="303"/>
        <v>47</v>
      </c>
      <c r="I1799" s="197">
        <v>11</v>
      </c>
      <c r="J1799" s="197">
        <v>19</v>
      </c>
      <c r="K1799" s="186">
        <f t="shared" si="304"/>
        <v>45980</v>
      </c>
      <c r="L1799" s="3" t="str">
        <f>IFERROR(INDEX('SCR DATA'!F:F, MATCH($D1799, 'SCR DATA'!A:A, 0)), "")</f>
        <v>BAT</v>
      </c>
      <c r="M1799" s="3" t="str">
        <f>IFERROR(INDEX('SCR DATA'!G:G, MATCH($D1799, 'SCR DATA'!A:A, 0)), "")</f>
        <v>P&amp;S</v>
      </c>
      <c r="N1799" s="3" t="str">
        <f t="shared" si="319"/>
        <v>NG</v>
      </c>
      <c r="O1799" s="3" t="s">
        <v>2368</v>
      </c>
      <c r="P1799" s="3" t="s">
        <v>1385</v>
      </c>
      <c r="Q1799" s="3">
        <v>11007507</v>
      </c>
      <c r="R1799" s="3" t="s">
        <v>226</v>
      </c>
      <c r="S1799" s="3" t="s">
        <v>5408</v>
      </c>
    </row>
    <row r="1800" spans="1:19">
      <c r="A1800" s="3">
        <v>6131</v>
      </c>
      <c r="B1800" s="83">
        <f t="array" ref="B1800">SUM(--(FREQUENCY(IF(C$2:C$3074=C1800, MATCH(D$2:D$3074, D$2:D$3074, 0)), ROW(D$2:D$3074)-ROW(D$2)+1) &gt; 0))</f>
        <v>19</v>
      </c>
      <c r="C1800" s="3">
        <f>IFERROR(INDEX('SCR DATA'!B:B, MATCH($D1800, 'SCR DATA'!A:A, 0)), "")</f>
        <v>41200124</v>
      </c>
      <c r="D1800" s="6" t="s">
        <v>3316</v>
      </c>
      <c r="E1800" s="3" t="str">
        <f>IFERROR(INDEX('SCR DATA'!E:E, MATCH($D1800, 'SCR DATA'!A:A, 0)), "")</f>
        <v>MICRON TW</v>
      </c>
      <c r="F1800" s="3" t="str">
        <f>IFERROR(INDEX('SCR DATA'!C:C, MATCH($D1800, 'SCR DATA'!A:A, 0)), "")</f>
        <v>GAIA-I DUAL</v>
      </c>
      <c r="G1800" s="68" t="str">
        <f t="shared" si="310"/>
        <v>DUAL</v>
      </c>
      <c r="H1800" s="197">
        <f t="shared" si="303"/>
        <v>47</v>
      </c>
      <c r="I1800" s="197">
        <v>11</v>
      </c>
      <c r="J1800" s="197">
        <v>19</v>
      </c>
      <c r="K1800" s="186">
        <f t="shared" si="304"/>
        <v>45980</v>
      </c>
      <c r="L1800" s="3" t="str">
        <f>IFERROR(INDEX('SCR DATA'!F:F, MATCH($D1800, 'SCR DATA'!A:A, 0)), "")</f>
        <v>GST</v>
      </c>
      <c r="M1800" s="3" t="str">
        <f>IFERROR(INDEX('SCR DATA'!G:G, MATCH($D1800, 'SCR DATA'!A:A, 0)), "")</f>
        <v>GST</v>
      </c>
      <c r="N1800" s="3" t="str">
        <f t="shared" si="319"/>
        <v/>
      </c>
    </row>
    <row r="1801" spans="1:19">
      <c r="A1801" s="3">
        <v>6226</v>
      </c>
      <c r="B1801" s="83">
        <f t="array" ref="B1801">SUM(--(FREQUENCY(IF(C$2:C$3074=C1801, MATCH(D$2:D$3074, D$2:D$3074, 0)), ROW(D$2:D$3074)-ROW(D$2)+1) &gt; 0))</f>
        <v>9</v>
      </c>
      <c r="C1801" s="3">
        <f>IFERROR(INDEX('SCR DATA'!B:B, MATCH($D1801, 'SCR DATA'!A:A, 0)), "")</f>
        <v>41200153</v>
      </c>
      <c r="D1801" s="6" t="s">
        <v>3321</v>
      </c>
      <c r="E1801" s="3" t="str">
        <f>IFERROR(INDEX('SCR DATA'!E:E, MATCH($D1801, 'SCR DATA'!A:A, 0)), "")</f>
        <v>MICRON SG</v>
      </c>
      <c r="F1801" s="3" t="str">
        <f>IFERROR(INDEX('SCR DATA'!C:C, MATCH($D1801, 'SCR DATA'!A:A, 0)), "")</f>
        <v>GAIA-I DUAL</v>
      </c>
      <c r="G1801" s="68" t="str">
        <f t="shared" si="310"/>
        <v>DUAL</v>
      </c>
      <c r="H1801" s="197">
        <f t="shared" si="303"/>
        <v>47</v>
      </c>
      <c r="I1801" s="197">
        <v>11</v>
      </c>
      <c r="J1801" s="197">
        <v>19</v>
      </c>
      <c r="K1801" s="186">
        <f t="shared" si="304"/>
        <v>45980</v>
      </c>
      <c r="L1801" s="3" t="str">
        <f>IFERROR(INDEX('SCR DATA'!F:F, MATCH($D1801, 'SCR DATA'!A:A, 0)), "")</f>
        <v>FNI</v>
      </c>
      <c r="M1801" s="3" t="str">
        <f>IFERROR(INDEX('SCR DATA'!G:G, MATCH($D1801, 'SCR DATA'!A:A, 0)), "")</f>
        <v>C&amp;A</v>
      </c>
      <c r="N1801" s="3" t="str">
        <f t="shared" si="319"/>
        <v/>
      </c>
    </row>
    <row r="1802" spans="1:19">
      <c r="A1802" s="3">
        <v>6226</v>
      </c>
      <c r="B1802" s="83">
        <f t="array" ref="B1802">SUM(--(FREQUENCY(IF(C$2:C$3074=C1802, MATCH(D$2:D$3074, D$2:D$3074, 0)), ROW(D$2:D$3074)-ROW(D$2)+1) &gt; 0))</f>
        <v>9</v>
      </c>
      <c r="C1802" s="3">
        <f>IFERROR(INDEX('SCR DATA'!B:B, MATCH($D1802, 'SCR DATA'!A:A, 0)), "")</f>
        <v>41200153</v>
      </c>
      <c r="D1802" s="6" t="s">
        <v>3325</v>
      </c>
      <c r="E1802" s="3" t="str">
        <f>IFERROR(INDEX('SCR DATA'!E:E, MATCH($D1802, 'SCR DATA'!A:A, 0)), "")</f>
        <v>MICRON SG</v>
      </c>
      <c r="F1802" s="3" t="str">
        <f>IFERROR(INDEX('SCR DATA'!C:C, MATCH($D1802, 'SCR DATA'!A:A, 0)), "")</f>
        <v>GAIA-I DUAL</v>
      </c>
      <c r="G1802" s="68" t="str">
        <f t="shared" si="310"/>
        <v>DUAL</v>
      </c>
      <c r="H1802" s="197">
        <f t="shared" si="303"/>
        <v>47</v>
      </c>
      <c r="I1802" s="197">
        <v>11</v>
      </c>
      <c r="J1802" s="197">
        <v>19</v>
      </c>
      <c r="K1802" s="186">
        <f t="shared" si="304"/>
        <v>45980</v>
      </c>
      <c r="L1802" s="3" t="str">
        <f>IFERROR(INDEX('SCR DATA'!F:F, MATCH($D1802, 'SCR DATA'!A:A, 0)), "")</f>
        <v>FNI</v>
      </c>
      <c r="M1802" s="3" t="str">
        <f>IFERROR(INDEX('SCR DATA'!G:G, MATCH($D1802, 'SCR DATA'!A:A, 0)), "")</f>
        <v>C&amp;A</v>
      </c>
      <c r="N1802" s="3" t="str">
        <f t="shared" si="319"/>
        <v>NG</v>
      </c>
      <c r="O1802" s="3" t="s">
        <v>2368</v>
      </c>
      <c r="P1802" s="3" t="s">
        <v>2508</v>
      </c>
      <c r="Q1802" s="3">
        <v>11200217</v>
      </c>
      <c r="R1802" s="3" t="s">
        <v>2509</v>
      </c>
      <c r="S1802" s="3" t="s">
        <v>5402</v>
      </c>
    </row>
    <row r="1803" spans="1:19">
      <c r="A1803" s="3">
        <v>5977</v>
      </c>
      <c r="B1803" s="83">
        <f t="array" ref="B1803">SUM(--(FREQUENCY(IF(C$2:C$3074=C1803, MATCH(D$2:D$3074, D$2:D$3074, 0)), ROW(D$2:D$3074)-ROW(D$2)+1) &gt; 0))</f>
        <v>29</v>
      </c>
      <c r="C1803" s="3">
        <f>IFERROR(INDEX('SCR DATA'!B:B, MATCH($D1803, 'SCR DATA'!A:A, 0)), "")</f>
        <v>41200158</v>
      </c>
      <c r="D1803" s="6" t="s">
        <v>3326</v>
      </c>
      <c r="E1803" s="3" t="str">
        <f>IFERROR(INDEX('SCR DATA'!E:E, MATCH($D1803, 'SCR DATA'!A:A, 0)), "")</f>
        <v>SEC</v>
      </c>
      <c r="F1803" s="3" t="str">
        <f>IFERROR(INDEX('SCR DATA'!C:C, MATCH($D1803, 'SCR DATA'!A:A, 0)), "")</f>
        <v>GAIA-P DUAL</v>
      </c>
      <c r="G1803" s="68" t="str">
        <f t="shared" si="310"/>
        <v>DUAL</v>
      </c>
      <c r="H1803" s="197">
        <f t="shared" si="303"/>
        <v>47</v>
      </c>
      <c r="I1803" s="197">
        <v>11</v>
      </c>
      <c r="J1803" s="197">
        <v>20</v>
      </c>
      <c r="K1803" s="186">
        <f t="shared" si="304"/>
        <v>45981</v>
      </c>
      <c r="L1803" s="3" t="str">
        <f>IFERROR(INDEX('SCR DATA'!F:F, MATCH($D1803, 'SCR DATA'!A:A, 0)), "")</f>
        <v>BAT</v>
      </c>
      <c r="M1803" s="3" t="str">
        <f>IFERROR(INDEX('SCR DATA'!G:G, MATCH($D1803, 'SCR DATA'!A:A, 0)), "")</f>
        <v>P&amp;S</v>
      </c>
      <c r="N1803" s="3" t="str">
        <f t="shared" si="319"/>
        <v/>
      </c>
    </row>
    <row r="1804" spans="1:19">
      <c r="A1804" s="3">
        <v>5977</v>
      </c>
      <c r="B1804" s="83">
        <f t="array" ref="B1804">SUM(--(FREQUENCY(IF(C$2:C$3074=C1804, MATCH(D$2:D$3074, D$2:D$3074, 0)), ROW(D$2:D$3074)-ROW(D$2)+1) &gt; 0))</f>
        <v>29</v>
      </c>
      <c r="C1804" s="3">
        <f>IFERROR(INDEX('SCR DATA'!B:B, MATCH($D1804, 'SCR DATA'!A:A, 0)), "")</f>
        <v>41200158</v>
      </c>
      <c r="D1804" s="6" t="s">
        <v>3327</v>
      </c>
      <c r="E1804" s="3" t="str">
        <f>IFERROR(INDEX('SCR DATA'!E:E, MATCH($D1804, 'SCR DATA'!A:A, 0)), "")</f>
        <v>SEC</v>
      </c>
      <c r="F1804" s="3" t="str">
        <f>IFERROR(INDEX('SCR DATA'!C:C, MATCH($D1804, 'SCR DATA'!A:A, 0)), "")</f>
        <v>GAIA-P DUAL</v>
      </c>
      <c r="G1804" s="68" t="str">
        <f t="shared" si="310"/>
        <v>DUAL</v>
      </c>
      <c r="H1804" s="197">
        <f t="shared" si="303"/>
        <v>47</v>
      </c>
      <c r="I1804" s="197">
        <v>11</v>
      </c>
      <c r="J1804" s="197">
        <v>20</v>
      </c>
      <c r="K1804" s="186">
        <f t="shared" si="304"/>
        <v>45981</v>
      </c>
      <c r="L1804" s="3" t="str">
        <f>IFERROR(INDEX('SCR DATA'!F:F, MATCH($D1804, 'SCR DATA'!A:A, 0)), "")</f>
        <v>BAT</v>
      </c>
      <c r="M1804" s="3" t="str">
        <f>IFERROR(INDEX('SCR DATA'!G:G, MATCH($D1804, 'SCR DATA'!A:A, 0)), "")</f>
        <v>P&amp;S</v>
      </c>
      <c r="N1804" s="3" t="str">
        <f t="shared" si="319"/>
        <v/>
      </c>
    </row>
    <row r="1805" spans="1:19">
      <c r="A1805" s="3">
        <v>5977</v>
      </c>
      <c r="B1805" s="83">
        <f t="array" ref="B1805">SUM(--(FREQUENCY(IF(C$2:C$3074=C1805, MATCH(D$2:D$3074, D$2:D$3074, 0)), ROW(D$2:D$3074)-ROW(D$2)+1) &gt; 0))</f>
        <v>29</v>
      </c>
      <c r="C1805" s="3">
        <f>IFERROR(INDEX('SCR DATA'!B:B, MATCH($D1805, 'SCR DATA'!A:A, 0)), "")</f>
        <v>41200158</v>
      </c>
      <c r="D1805" s="6" t="s">
        <v>3328</v>
      </c>
      <c r="E1805" s="3" t="str">
        <f>IFERROR(INDEX('SCR DATA'!E:E, MATCH($D1805, 'SCR DATA'!A:A, 0)), "")</f>
        <v>SEC</v>
      </c>
      <c r="F1805" s="3" t="str">
        <f>IFERROR(INDEX('SCR DATA'!C:C, MATCH($D1805, 'SCR DATA'!A:A, 0)), "")</f>
        <v>GAIA-P DUAL</v>
      </c>
      <c r="G1805" s="68" t="str">
        <f t="shared" si="310"/>
        <v>DUAL</v>
      </c>
      <c r="H1805" s="197">
        <f t="shared" si="303"/>
        <v>47</v>
      </c>
      <c r="I1805" s="197">
        <v>11</v>
      </c>
      <c r="J1805" s="197">
        <v>20</v>
      </c>
      <c r="K1805" s="186">
        <f t="shared" si="304"/>
        <v>45981</v>
      </c>
      <c r="L1805" s="3" t="str">
        <f>IFERROR(INDEX('SCR DATA'!F:F, MATCH($D1805, 'SCR DATA'!A:A, 0)), "")</f>
        <v>BAT</v>
      </c>
      <c r="M1805" s="3" t="str">
        <f>IFERROR(INDEX('SCR DATA'!G:G, MATCH($D1805, 'SCR DATA'!A:A, 0)), "")</f>
        <v>P&amp;S</v>
      </c>
      <c r="N1805" s="3" t="str">
        <f t="shared" si="319"/>
        <v/>
      </c>
    </row>
    <row r="1806" spans="1:19">
      <c r="A1806" s="3">
        <v>6210</v>
      </c>
      <c r="B1806" s="83">
        <f t="array" ref="B1806">SUM(--(FREQUENCY(IF(C$2:C$3074=C1806, MATCH(D$2:D$3074, D$2:D$3074, 0)), ROW(D$2:D$3074)-ROW(D$2)+1) &gt; 0))</f>
        <v>6</v>
      </c>
      <c r="C1806" s="3">
        <f>IFERROR(INDEX('SCR DATA'!B:B, MATCH($D1806, 'SCR DATA'!A:A, 0)), "")</f>
        <v>41200133</v>
      </c>
      <c r="D1806" s="6" t="s">
        <v>3329</v>
      </c>
      <c r="E1806" s="3" t="str">
        <f>IFERROR(INDEX('SCR DATA'!E:E, MATCH($D1806, 'SCR DATA'!A:A, 0)), "")</f>
        <v>MICRON BOISE</v>
      </c>
      <c r="F1806" s="3" t="str">
        <f>IFERROR(INDEX('SCR DATA'!C:C, MATCH($D1806, 'SCR DATA'!A:A, 0)), "")</f>
        <v>GAIA-I DUAL</v>
      </c>
      <c r="G1806" s="68" t="str">
        <f t="shared" si="310"/>
        <v>DUAL</v>
      </c>
      <c r="H1806" s="197">
        <f t="shared" si="303"/>
        <v>47</v>
      </c>
      <c r="I1806" s="197">
        <v>11</v>
      </c>
      <c r="J1806" s="197">
        <v>20</v>
      </c>
      <c r="K1806" s="186">
        <f t="shared" si="304"/>
        <v>45981</v>
      </c>
      <c r="L1806" s="3" t="str">
        <f>IFERROR(INDEX('SCR DATA'!F:F, MATCH($D1806, 'SCR DATA'!A:A, 0)), "")</f>
        <v>FNI</v>
      </c>
      <c r="M1806" s="3" t="str">
        <f>IFERROR(INDEX('SCR DATA'!G:G, MATCH($D1806, 'SCR DATA'!A:A, 0)), "")</f>
        <v>TMS</v>
      </c>
      <c r="N1806" s="3" t="str">
        <f t="shared" si="319"/>
        <v/>
      </c>
    </row>
    <row r="1807" spans="1:19">
      <c r="A1807" s="3">
        <v>6183</v>
      </c>
      <c r="B1807" s="83">
        <f t="array" ref="B1807">SUM(--(FREQUENCY(IF(C$2:C$3074=C1807, MATCH(D$2:D$3074, D$2:D$3074, 0)), ROW(D$2:D$3074)-ROW(D$2)+1) &gt; 0))</f>
        <v>19</v>
      </c>
      <c r="C1807" s="3">
        <f>IFERROR(INDEX('SCR DATA'!B:B, MATCH($D1807, 'SCR DATA'!A:A, 0)), "")</f>
        <v>41200124</v>
      </c>
      <c r="D1807" s="6" t="s">
        <v>3330</v>
      </c>
      <c r="E1807" s="3" t="str">
        <f>IFERROR(INDEX('SCR DATA'!E:E, MATCH($D1807, 'SCR DATA'!A:A, 0)), "")</f>
        <v>MICRON TW</v>
      </c>
      <c r="F1807" s="3" t="str">
        <f>IFERROR(INDEX('SCR DATA'!C:C, MATCH($D1807, 'SCR DATA'!A:A, 0)), "")</f>
        <v>GAIA-I DUAL</v>
      </c>
      <c r="G1807" s="68" t="str">
        <f t="shared" si="310"/>
        <v>DUAL</v>
      </c>
      <c r="H1807" s="197">
        <f t="shared" si="303"/>
        <v>47</v>
      </c>
      <c r="I1807" s="197">
        <v>11</v>
      </c>
      <c r="J1807" s="197">
        <v>20</v>
      </c>
      <c r="K1807" s="186">
        <f t="shared" si="304"/>
        <v>45981</v>
      </c>
      <c r="L1807" s="3" t="str">
        <f>IFERROR(INDEX('SCR DATA'!F:F, MATCH($D1807, 'SCR DATA'!A:A, 0)), "")</f>
        <v>FNI</v>
      </c>
      <c r="M1807" s="3" t="str">
        <f>IFERROR(INDEX('SCR DATA'!G:G, MATCH($D1807, 'SCR DATA'!A:A, 0)), "")</f>
        <v>TMS</v>
      </c>
      <c r="N1807" s="3" t="str">
        <f t="shared" si="319"/>
        <v/>
      </c>
    </row>
    <row r="1808" spans="1:19">
      <c r="A1808" s="3">
        <v>6183</v>
      </c>
      <c r="B1808" s="83">
        <f t="array" ref="B1808">SUM(--(FREQUENCY(IF(C$2:C$3074=C1808, MATCH(D$2:D$3074, D$2:D$3074, 0)), ROW(D$2:D$3074)-ROW(D$2)+1) &gt; 0))</f>
        <v>19</v>
      </c>
      <c r="C1808" s="3">
        <f>IFERROR(INDEX('SCR DATA'!B:B, MATCH($D1808, 'SCR DATA'!A:A, 0)), "")</f>
        <v>41200124</v>
      </c>
      <c r="D1808" s="6" t="s">
        <v>3331</v>
      </c>
      <c r="E1808" s="3" t="str">
        <f>IFERROR(INDEX('SCR DATA'!E:E, MATCH($D1808, 'SCR DATA'!A:A, 0)), "")</f>
        <v>MICRON TW</v>
      </c>
      <c r="F1808" s="3" t="str">
        <f>IFERROR(INDEX('SCR DATA'!C:C, MATCH($D1808, 'SCR DATA'!A:A, 0)), "")</f>
        <v>GAIA-I DUAL</v>
      </c>
      <c r="G1808" s="68" t="str">
        <f t="shared" si="310"/>
        <v>DUAL</v>
      </c>
      <c r="H1808" s="197">
        <f t="shared" si="303"/>
        <v>47</v>
      </c>
      <c r="I1808" s="197">
        <v>11</v>
      </c>
      <c r="J1808" s="197">
        <v>20</v>
      </c>
      <c r="K1808" s="186">
        <f t="shared" si="304"/>
        <v>45981</v>
      </c>
      <c r="L1808" s="3" t="str">
        <f>IFERROR(INDEX('SCR DATA'!F:F, MATCH($D1808, 'SCR DATA'!A:A, 0)), "")</f>
        <v>FNI</v>
      </c>
      <c r="M1808" s="3" t="str">
        <f>IFERROR(INDEX('SCR DATA'!G:G, MATCH($D1808, 'SCR DATA'!A:A, 0)), "")</f>
        <v>TMS</v>
      </c>
      <c r="N1808" s="3" t="str">
        <f t="shared" si="319"/>
        <v/>
      </c>
    </row>
    <row r="1809" spans="1:19">
      <c r="A1809" s="3">
        <v>6247</v>
      </c>
      <c r="B1809" s="83">
        <f t="array" ref="B1809">SUM(--(FREQUENCY(IF(C$2:C$3074=C1809, MATCH(D$2:D$3074, D$2:D$3074, 0)), ROW(D$2:D$3074)-ROW(D$2)+1) &gt; 0))</f>
        <v>77</v>
      </c>
      <c r="C1809" s="3">
        <f>IFERROR(INDEX('SCR DATA'!B:B, MATCH($D1809, 'SCR DATA'!A:A, 0)), "")</f>
        <v>41200076</v>
      </c>
      <c r="D1809" s="6" t="s">
        <v>3332</v>
      </c>
      <c r="E1809" s="3" t="str">
        <f>IFERROR(INDEX('SCR DATA'!E:E, MATCH($D1809, 'SCR DATA'!A:A, 0)), "")</f>
        <v>MICRON TW</v>
      </c>
      <c r="F1809" s="3" t="str">
        <f>IFERROR(INDEX('SCR DATA'!C:C, MATCH($D1809, 'SCR DATA'!A:A, 0)), "")</f>
        <v>GAIA-I DUAL</v>
      </c>
      <c r="G1809" s="68" t="str">
        <f t="shared" si="310"/>
        <v>DUAL</v>
      </c>
      <c r="H1809" s="197">
        <f t="shared" si="303"/>
        <v>47</v>
      </c>
      <c r="I1809" s="197">
        <v>11</v>
      </c>
      <c r="J1809" s="197">
        <v>20</v>
      </c>
      <c r="K1809" s="186">
        <f t="shared" si="304"/>
        <v>45981</v>
      </c>
      <c r="L1809" s="3" t="str">
        <f>IFERROR(INDEX('SCR DATA'!F:F, MATCH($D1809, 'SCR DATA'!A:A, 0)), "")</f>
        <v>BAT</v>
      </c>
      <c r="M1809" s="3" t="str">
        <f>IFERROR(INDEX('SCR DATA'!G:G, MATCH($D1809, 'SCR DATA'!A:A, 0)), "")</f>
        <v>P&amp;S</v>
      </c>
      <c r="N1809" s="3" t="s">
        <v>2877</v>
      </c>
      <c r="O1809" s="3" t="s">
        <v>2368</v>
      </c>
      <c r="P1809" s="3" t="s">
        <v>1385</v>
      </c>
      <c r="Q1809" s="3">
        <v>11002198</v>
      </c>
      <c r="R1809" s="3" t="s">
        <v>438</v>
      </c>
      <c r="S1809" s="3" t="s">
        <v>5409</v>
      </c>
    </row>
    <row r="1810" spans="1:19">
      <c r="A1810" s="3">
        <v>6131</v>
      </c>
      <c r="B1810" s="83">
        <f t="array" ref="B1810">SUM(--(FREQUENCY(IF(C$2:C$3074=C1810, MATCH(D$2:D$3074, D$2:D$3074, 0)), ROW(D$2:D$3074)-ROW(D$2)+1) &gt; 0))</f>
        <v>19</v>
      </c>
      <c r="C1810" s="3">
        <f>IFERROR(INDEX('SCR DATA'!B:B, MATCH($D1810, 'SCR DATA'!A:A, 0)), "")</f>
        <v>41200124</v>
      </c>
      <c r="D1810" s="6" t="s">
        <v>3334</v>
      </c>
      <c r="E1810" s="3" t="str">
        <f>IFERROR(INDEX('SCR DATA'!E:E, MATCH($D1810, 'SCR DATA'!A:A, 0)), "")</f>
        <v>MICRON TW</v>
      </c>
      <c r="F1810" s="3" t="str">
        <f>IFERROR(INDEX('SCR DATA'!C:C, MATCH($D1810, 'SCR DATA'!A:A, 0)), "")</f>
        <v>GAIA-I DUAL</v>
      </c>
      <c r="G1810" s="68" t="str">
        <f t="shared" si="310"/>
        <v>DUAL</v>
      </c>
      <c r="H1810" s="197">
        <f t="shared" si="303"/>
        <v>47</v>
      </c>
      <c r="I1810" s="197">
        <v>11</v>
      </c>
      <c r="J1810" s="197">
        <v>20</v>
      </c>
      <c r="K1810" s="186">
        <f t="shared" si="304"/>
        <v>45981</v>
      </c>
      <c r="L1810" s="3" t="str">
        <f>IFERROR(INDEX('SCR DATA'!F:F, MATCH($D1810, 'SCR DATA'!A:A, 0)), "")</f>
        <v>GST</v>
      </c>
      <c r="M1810" s="3" t="str">
        <f>IFERROR(INDEX('SCR DATA'!G:G, MATCH($D1810, 'SCR DATA'!A:A, 0)), "")</f>
        <v>GST</v>
      </c>
      <c r="N1810" s="3" t="str">
        <f t="shared" si="319"/>
        <v/>
      </c>
    </row>
    <row r="1811" spans="1:19">
      <c r="A1811" s="3">
        <v>5935</v>
      </c>
      <c r="B1811" s="83">
        <f t="array" ref="B1811">SUM(--(FREQUENCY(IF(C$2:C$3074=C1811, MATCH(D$2:D$3074, D$2:D$3074, 0)), ROW(D$2:D$3074)-ROW(D$2)+1) &gt; 0))</f>
        <v>32</v>
      </c>
      <c r="C1811" s="3">
        <f>IFERROR(INDEX('SCR DATA'!B:B, MATCH($D1811, 'SCR DATA'!A:A, 0)), "")</f>
        <v>41200122</v>
      </c>
      <c r="D1811" s="6" t="s">
        <v>3339</v>
      </c>
      <c r="E1811" s="3" t="str">
        <f>IFERROR(INDEX('SCR DATA'!E:E, MATCH($D1811, 'SCR DATA'!A:A, 0)), "")</f>
        <v>MICRON TW</v>
      </c>
      <c r="F1811" s="3" t="str">
        <f>IFERROR(INDEX('SCR DATA'!C:C, MATCH($D1811, 'SCR DATA'!A:A, 0)), "")</f>
        <v>GAIA-I DUAL</v>
      </c>
      <c r="G1811" s="68" t="str">
        <f t="shared" si="310"/>
        <v>DUAL</v>
      </c>
      <c r="H1811" s="197">
        <f t="shared" si="303"/>
        <v>47</v>
      </c>
      <c r="I1811" s="197">
        <v>11</v>
      </c>
      <c r="J1811" s="197">
        <v>21</v>
      </c>
      <c r="K1811" s="186">
        <f t="shared" si="304"/>
        <v>45982</v>
      </c>
      <c r="L1811" s="3" t="str">
        <f>IFERROR(INDEX('SCR DATA'!F:F, MATCH($D1811, 'SCR DATA'!A:A, 0)), "")</f>
        <v>FNI</v>
      </c>
      <c r="M1811" s="3" t="str">
        <f>IFERROR(INDEX('SCR DATA'!G:G, MATCH($D1811, 'SCR DATA'!A:A, 0)), "")</f>
        <v>TMS</v>
      </c>
      <c r="N1811" s="3" t="str">
        <f t="shared" si="319"/>
        <v/>
      </c>
    </row>
    <row r="1812" spans="1:19">
      <c r="A1812" s="3">
        <v>6170</v>
      </c>
      <c r="B1812" s="83">
        <f t="array" ref="B1812">SUM(--(FREQUENCY(IF(C$2:C$3074=C1812, MATCH(D$2:D$3074, D$2:D$3074, 0)), ROW(D$2:D$3074)-ROW(D$2)+1) &gt; 0))</f>
        <v>20</v>
      </c>
      <c r="C1812" s="3">
        <f>IFERROR(INDEX('SCR DATA'!B:B, MATCH($D1812, 'SCR DATA'!A:A, 0)), "")</f>
        <v>41200125</v>
      </c>
      <c r="D1812" s="6" t="s">
        <v>3343</v>
      </c>
      <c r="E1812" s="3" t="str">
        <f>IFERROR(INDEX('SCR DATA'!E:E, MATCH($D1812, 'SCR DATA'!A:A, 0)), "")</f>
        <v>MICRON TW</v>
      </c>
      <c r="F1812" s="3" t="str">
        <f>IFERROR(INDEX('SCR DATA'!C:C, MATCH($D1812, 'SCR DATA'!A:A, 0)), "")</f>
        <v>GAIA-I DUAL</v>
      </c>
      <c r="G1812" s="68" t="str">
        <f t="shared" si="310"/>
        <v>DUAL</v>
      </c>
      <c r="H1812" s="197">
        <f t="shared" si="303"/>
        <v>47</v>
      </c>
      <c r="I1812" s="197">
        <v>11</v>
      </c>
      <c r="J1812" s="197">
        <v>21</v>
      </c>
      <c r="K1812" s="186">
        <f t="shared" si="304"/>
        <v>45982</v>
      </c>
      <c r="L1812" s="3" t="str">
        <f>IFERROR(INDEX('SCR DATA'!F:F, MATCH($D1812, 'SCR DATA'!A:A, 0)), "")</f>
        <v>FNI</v>
      </c>
      <c r="M1812" s="3" t="str">
        <f>IFERROR(INDEX('SCR DATA'!G:G, MATCH($D1812, 'SCR DATA'!A:A, 0)), "")</f>
        <v>C&amp;A</v>
      </c>
      <c r="N1812" s="3" t="str">
        <f t="shared" si="319"/>
        <v/>
      </c>
    </row>
    <row r="1813" spans="1:19">
      <c r="A1813" s="3">
        <v>6227</v>
      </c>
      <c r="B1813" s="83">
        <f t="array" ref="B1813">SUM(--(FREQUENCY(IF(C$2:C$3074=C1813, MATCH(D$2:D$3074, D$2:D$3074, 0)), ROW(D$2:D$3074)-ROW(D$2)+1) &gt; 0))</f>
        <v>5</v>
      </c>
      <c r="C1813" s="3">
        <f>IFERROR(INDEX('SCR DATA'!B:B, MATCH($D1813, 'SCR DATA'!A:A, 0)), "")</f>
        <v>41100321</v>
      </c>
      <c r="D1813" s="6" t="s">
        <v>3335</v>
      </c>
      <c r="E1813" s="3" t="str">
        <f>IFERROR(INDEX('SCR DATA'!E:E, MATCH($D1813, 'SCR DATA'!A:A, 0)), "")</f>
        <v>MICRON SG</v>
      </c>
      <c r="F1813" s="3" t="str">
        <f>IFERROR(INDEX('SCR DATA'!C:C, MATCH($D1813, 'SCR DATA'!A:A, 0)), "")</f>
        <v>GAIA-I DUAL</v>
      </c>
      <c r="G1813" s="68" t="str">
        <f t="shared" si="310"/>
        <v>DUAL</v>
      </c>
      <c r="H1813" s="197">
        <f t="shared" si="303"/>
        <v>47</v>
      </c>
      <c r="I1813" s="197">
        <v>11</v>
      </c>
      <c r="J1813" s="197">
        <v>21</v>
      </c>
      <c r="K1813" s="186">
        <f t="shared" si="304"/>
        <v>45982</v>
      </c>
      <c r="L1813" s="3" t="str">
        <f>IFERROR(INDEX('SCR DATA'!F:F, MATCH($D1813, 'SCR DATA'!A:A, 0)), "")</f>
        <v>FNI</v>
      </c>
      <c r="M1813" s="3" t="str">
        <f>IFERROR(INDEX('SCR DATA'!G:G, MATCH($D1813, 'SCR DATA'!A:A, 0)), "")</f>
        <v>C&amp;A</v>
      </c>
      <c r="N1813" s="3" t="str">
        <f t="shared" si="319"/>
        <v/>
      </c>
    </row>
    <row r="1814" spans="1:19">
      <c r="A1814" s="3">
        <v>6227</v>
      </c>
      <c r="B1814" s="83">
        <f t="array" ref="B1814">SUM(--(FREQUENCY(IF(C$2:C$3074=C1814, MATCH(D$2:D$3074, D$2:D$3074, 0)), ROW(D$2:D$3074)-ROW(D$2)+1) &gt; 0))</f>
        <v>5</v>
      </c>
      <c r="C1814" s="3">
        <f>IFERROR(INDEX('SCR DATA'!B:B, MATCH($D1814, 'SCR DATA'!A:A, 0)), "")</f>
        <v>41100321</v>
      </c>
      <c r="D1814" s="6" t="s">
        <v>3336</v>
      </c>
      <c r="E1814" s="3" t="str">
        <f>IFERROR(INDEX('SCR DATA'!E:E, MATCH($D1814, 'SCR DATA'!A:A, 0)), "")</f>
        <v>MICRON SG</v>
      </c>
      <c r="F1814" s="3" t="str">
        <f>IFERROR(INDEX('SCR DATA'!C:C, MATCH($D1814, 'SCR DATA'!A:A, 0)), "")</f>
        <v>GAIA-I DUAL</v>
      </c>
      <c r="G1814" s="68" t="str">
        <f t="shared" si="310"/>
        <v>DUAL</v>
      </c>
      <c r="H1814" s="197">
        <f t="shared" si="303"/>
        <v>47</v>
      </c>
      <c r="I1814" s="197">
        <v>11</v>
      </c>
      <c r="J1814" s="197">
        <v>21</v>
      </c>
      <c r="K1814" s="186">
        <f t="shared" si="304"/>
        <v>45982</v>
      </c>
      <c r="L1814" s="3" t="str">
        <f>IFERROR(INDEX('SCR DATA'!F:F, MATCH($D1814, 'SCR DATA'!A:A, 0)), "")</f>
        <v>FNI</v>
      </c>
      <c r="M1814" s="3" t="str">
        <f>IFERROR(INDEX('SCR DATA'!G:G, MATCH($D1814, 'SCR DATA'!A:A, 0)), "")</f>
        <v>C&amp;A</v>
      </c>
      <c r="N1814" s="3" t="str">
        <f t="shared" si="319"/>
        <v/>
      </c>
    </row>
    <row r="1815" spans="1:19">
      <c r="A1815" s="3">
        <v>6255</v>
      </c>
      <c r="B1815" s="83">
        <f t="array" ref="B1815">SUM(--(FREQUENCY(IF(C$2:C$3074=C1815, MATCH(D$2:D$3074, D$2:D$3074, 0)), ROW(D$2:D$3074)-ROW(D$2)+1) &gt; 0))</f>
        <v>5</v>
      </c>
      <c r="C1815" s="3">
        <f>IFERROR(INDEX('SCR DATA'!B:B, MATCH($D1815, 'SCR DATA'!A:A, 0)), "")</f>
        <v>41100321</v>
      </c>
      <c r="D1815" s="6" t="s">
        <v>3337</v>
      </c>
      <c r="E1815" s="3" t="str">
        <f>IFERROR(INDEX('SCR DATA'!E:E, MATCH($D1815, 'SCR DATA'!A:A, 0)), "")</f>
        <v>MICRON SG</v>
      </c>
      <c r="F1815" s="3" t="str">
        <f>IFERROR(INDEX('SCR DATA'!C:C, MATCH($D1815, 'SCR DATA'!A:A, 0)), "")</f>
        <v>GAIA-I DUAL</v>
      </c>
      <c r="G1815" s="68" t="str">
        <f t="shared" si="310"/>
        <v>DUAL</v>
      </c>
      <c r="H1815" s="197">
        <f t="shared" si="303"/>
        <v>47</v>
      </c>
      <c r="I1815" s="197">
        <v>11</v>
      </c>
      <c r="J1815" s="197">
        <v>21</v>
      </c>
      <c r="K1815" s="186">
        <f t="shared" si="304"/>
        <v>45982</v>
      </c>
      <c r="L1815" s="3" t="str">
        <f>IFERROR(INDEX('SCR DATA'!F:F, MATCH($D1815, 'SCR DATA'!A:A, 0)), "")</f>
        <v>BAT</v>
      </c>
      <c r="M1815" s="3" t="str">
        <f>IFERROR(INDEX('SCR DATA'!G:G, MATCH($D1815, 'SCR DATA'!A:A, 0)), "")</f>
        <v>P&amp;S</v>
      </c>
      <c r="N1815" s="3" t="str">
        <f t="shared" si="319"/>
        <v/>
      </c>
    </row>
    <row r="1816" spans="1:19">
      <c r="A1816" s="3">
        <v>6175</v>
      </c>
      <c r="B1816" s="83">
        <f t="array" ref="B1816">SUM(--(FREQUENCY(IF(C$2:C$3074=C1816, MATCH(D$2:D$3074, D$2:D$3074, 0)), ROW(D$2:D$3074)-ROW(D$2)+1) &gt; 0))</f>
        <v>20</v>
      </c>
      <c r="C1816" s="3">
        <f>IFERROR(INDEX('SCR DATA'!B:B, MATCH($D1816, 'SCR DATA'!A:A, 0)), "")</f>
        <v>41200125</v>
      </c>
      <c r="D1816" s="6" t="s">
        <v>3338</v>
      </c>
      <c r="E1816" s="3" t="str">
        <f>IFERROR(INDEX('SCR DATA'!E:E, MATCH($D1816, 'SCR DATA'!A:A, 0)), "")</f>
        <v>MICRON TW</v>
      </c>
      <c r="F1816" s="3" t="str">
        <f>IFERROR(INDEX('SCR DATA'!C:C, MATCH($D1816, 'SCR DATA'!A:A, 0)), "")</f>
        <v>GAIA-I DUAL</v>
      </c>
      <c r="G1816" s="68" t="str">
        <f t="shared" si="310"/>
        <v>DUAL</v>
      </c>
      <c r="H1816" s="197">
        <f t="shared" ref="H1816:H1879" si="320">WEEKNUM(K1816)</f>
        <v>47</v>
      </c>
      <c r="I1816" s="197">
        <v>11</v>
      </c>
      <c r="J1816" s="197">
        <v>21</v>
      </c>
      <c r="K1816" s="186">
        <f t="shared" ref="K1816:K1879" si="321">DATE(2025, I1816, J1816)</f>
        <v>45982</v>
      </c>
      <c r="L1816" s="3" t="str">
        <f>IFERROR(INDEX('SCR DATA'!F:F, MATCH($D1816, 'SCR DATA'!A:A, 0)), "")</f>
        <v>BAT</v>
      </c>
      <c r="M1816" s="3" t="str">
        <f>IFERROR(INDEX('SCR DATA'!G:G, MATCH($D1816, 'SCR DATA'!A:A, 0)), "")</f>
        <v>P&amp;S</v>
      </c>
      <c r="N1816" s="3" t="str">
        <f t="shared" si="319"/>
        <v/>
      </c>
    </row>
    <row r="1817" spans="1:19">
      <c r="A1817" s="3">
        <v>6138</v>
      </c>
      <c r="B1817" s="83">
        <f t="array" ref="B1817">SUM(--(FREQUENCY(IF(C$2:C$3074=C1817, MATCH(D$2:D$3074, D$2:D$3074, 0)), ROW(D$2:D$3074)-ROW(D$2)+1) &gt; 0))</f>
        <v>4</v>
      </c>
      <c r="C1817" s="3">
        <v>41100375</v>
      </c>
      <c r="D1817" s="6" t="s">
        <v>5410</v>
      </c>
      <c r="E1817" s="3" t="s">
        <v>1585</v>
      </c>
      <c r="F1817" s="3" t="s">
        <v>1591</v>
      </c>
      <c r="G1817" s="68" t="str">
        <f t="shared" si="310"/>
        <v>SINGLE</v>
      </c>
      <c r="H1817" s="197">
        <f t="shared" si="320"/>
        <v>47</v>
      </c>
      <c r="I1817" s="197">
        <v>11</v>
      </c>
      <c r="J1817" s="197">
        <v>22</v>
      </c>
      <c r="K1817" s="186">
        <f t="shared" si="321"/>
        <v>45983</v>
      </c>
      <c r="L1817" s="3" t="str">
        <f>IFERROR(INDEX('SCR DATA'!F:F, MATCH($D1817, 'SCR DATA'!A:A, 0)), "")</f>
        <v>BAT</v>
      </c>
      <c r="M1817" s="3" t="str">
        <f>IFERROR(INDEX('SCR DATA'!G:G, MATCH($D1817, 'SCR DATA'!A:A, 0)), "")</f>
        <v>P&amp;S</v>
      </c>
    </row>
    <row r="1818" spans="1:19">
      <c r="A1818" s="3">
        <v>6138</v>
      </c>
      <c r="B1818" s="83">
        <f t="array" ref="B1818">SUM(--(FREQUENCY(IF(C$2:C$3074=C1818, MATCH(D$2:D$3074, D$2:D$3074, 0)), ROW(D$2:D$3074)-ROW(D$2)+1) &gt; 0))</f>
        <v>4</v>
      </c>
      <c r="C1818" s="3">
        <v>41100375</v>
      </c>
      <c r="D1818" s="6" t="s">
        <v>5411</v>
      </c>
      <c r="E1818" s="3" t="s">
        <v>1585</v>
      </c>
      <c r="F1818" s="3" t="s">
        <v>1591</v>
      </c>
      <c r="G1818" s="68" t="str">
        <f t="shared" si="310"/>
        <v>SINGLE</v>
      </c>
      <c r="H1818" s="197">
        <f t="shared" si="320"/>
        <v>47</v>
      </c>
      <c r="I1818" s="197">
        <v>11</v>
      </c>
      <c r="J1818" s="197">
        <v>22</v>
      </c>
      <c r="K1818" s="186">
        <f t="shared" si="321"/>
        <v>45983</v>
      </c>
      <c r="L1818" s="3" t="str">
        <f>IFERROR(INDEX('SCR DATA'!F:F, MATCH($D1818, 'SCR DATA'!A:A, 0)), "")</f>
        <v>BAT</v>
      </c>
      <c r="M1818" s="3" t="str">
        <f>IFERROR(INDEX('SCR DATA'!G:G, MATCH($D1818, 'SCR DATA'!A:A, 0)), "")</f>
        <v>P&amp;S</v>
      </c>
    </row>
    <row r="1819" spans="1:19">
      <c r="A1819" s="3">
        <v>6230</v>
      </c>
      <c r="B1819" s="83">
        <f t="array" ref="B1819">SUM(--(FREQUENCY(IF(C$2:C$3074=C1819, MATCH(D$2:D$3074, D$2:D$3074, 0)), ROW(D$2:D$3074)-ROW(D$2)+1) &gt; 0))</f>
        <v>13</v>
      </c>
      <c r="C1819" s="3">
        <v>41100696</v>
      </c>
      <c r="D1819" s="6" t="s">
        <v>3340</v>
      </c>
      <c r="E1819" s="3" t="s">
        <v>1433</v>
      </c>
      <c r="F1819" s="3" t="s">
        <v>1581</v>
      </c>
      <c r="G1819" s="68" t="str">
        <f t="shared" si="310"/>
        <v>DUAL</v>
      </c>
      <c r="H1819" s="197">
        <f t="shared" si="320"/>
        <v>47</v>
      </c>
      <c r="I1819" s="197">
        <v>11</v>
      </c>
      <c r="J1819" s="197">
        <v>22</v>
      </c>
      <c r="K1819" s="186">
        <f t="shared" si="321"/>
        <v>45983</v>
      </c>
      <c r="L1819" s="3" t="str">
        <f>IFERROR(INDEX('SCR DATA'!F:F, MATCH($D1819, 'SCR DATA'!A:A, 0)), "")</f>
        <v>TMS</v>
      </c>
      <c r="M1819" s="3" t="str">
        <f>IFERROR(INDEX('SCR DATA'!G:G, MATCH($D1819, 'SCR DATA'!A:A, 0)), "")</f>
        <v>TMS</v>
      </c>
    </row>
    <row r="1820" spans="1:19">
      <c r="A1820" s="3">
        <v>6230</v>
      </c>
      <c r="B1820" s="83">
        <f t="array" ref="B1820">SUM(--(FREQUENCY(IF(C$2:C$3074=C1820, MATCH(D$2:D$3074, D$2:D$3074, 0)), ROW(D$2:D$3074)-ROW(D$2)+1) &gt; 0))</f>
        <v>13</v>
      </c>
      <c r="C1820" s="3">
        <v>41100696</v>
      </c>
      <c r="D1820" s="6" t="s">
        <v>3342</v>
      </c>
      <c r="E1820" s="3" t="s">
        <v>1433</v>
      </c>
      <c r="F1820" s="3" t="s">
        <v>1581</v>
      </c>
      <c r="G1820" s="68" t="str">
        <f t="shared" si="310"/>
        <v>DUAL</v>
      </c>
      <c r="H1820" s="197">
        <f t="shared" si="320"/>
        <v>47</v>
      </c>
      <c r="I1820" s="197">
        <v>11</v>
      </c>
      <c r="J1820" s="197">
        <v>22</v>
      </c>
      <c r="K1820" s="186">
        <f t="shared" si="321"/>
        <v>45983</v>
      </c>
      <c r="L1820" s="3" t="str">
        <f>IFERROR(INDEX('SCR DATA'!F:F, MATCH($D1820, 'SCR DATA'!A:A, 0)), "")</f>
        <v>TMS</v>
      </c>
      <c r="M1820" s="3" t="str">
        <f>IFERROR(INDEX('SCR DATA'!G:G, MATCH($D1820, 'SCR DATA'!A:A, 0)), "")</f>
        <v>TMS</v>
      </c>
    </row>
    <row r="1821" spans="1:19">
      <c r="A1821" s="3">
        <v>6227</v>
      </c>
      <c r="B1821" s="83">
        <f t="array" ref="B1821">SUM(--(FREQUENCY(IF(C$2:C$3074=C1821, MATCH(D$2:D$3074, D$2:D$3074, 0)), ROW(D$2:D$3074)-ROW(D$2)+1) &gt; 0))</f>
        <v>5</v>
      </c>
      <c r="C1821" s="3">
        <v>41100321</v>
      </c>
      <c r="D1821" s="6" t="s">
        <v>3344</v>
      </c>
      <c r="E1821" s="3" t="s">
        <v>1422</v>
      </c>
      <c r="F1821" s="3" t="s">
        <v>1476</v>
      </c>
      <c r="G1821" s="68" t="str">
        <f t="shared" si="310"/>
        <v>DUAL</v>
      </c>
      <c r="H1821" s="197">
        <f t="shared" si="320"/>
        <v>47</v>
      </c>
      <c r="I1821" s="197">
        <v>11</v>
      </c>
      <c r="J1821" s="197">
        <v>22</v>
      </c>
      <c r="K1821" s="186">
        <f t="shared" si="321"/>
        <v>45983</v>
      </c>
      <c r="L1821" s="3" t="str">
        <f>IFERROR(INDEX('SCR DATA'!F:F, MATCH($D1821, 'SCR DATA'!A:A, 0)), "")</f>
        <v>BAT</v>
      </c>
      <c r="M1821" s="3" t="str">
        <f>IFERROR(INDEX('SCR DATA'!G:G, MATCH($D1821, 'SCR DATA'!A:A, 0)), "")</f>
        <v>P&amp;S</v>
      </c>
    </row>
    <row r="1822" spans="1:19">
      <c r="A1822" s="3">
        <v>6227</v>
      </c>
      <c r="B1822" s="83">
        <f t="array" ref="B1822">SUM(--(FREQUENCY(IF(C$2:C$3074=C1822, MATCH(D$2:D$3074, D$2:D$3074, 0)), ROW(D$2:D$3074)-ROW(D$2)+1) &gt; 0))</f>
        <v>5</v>
      </c>
      <c r="C1822" s="3">
        <v>41100321</v>
      </c>
      <c r="D1822" s="6" t="s">
        <v>3345</v>
      </c>
      <c r="E1822" s="3" t="s">
        <v>1422</v>
      </c>
      <c r="F1822" s="3" t="s">
        <v>1476</v>
      </c>
      <c r="G1822" s="68" t="str">
        <f t="shared" si="310"/>
        <v>DUAL</v>
      </c>
      <c r="H1822" s="197">
        <f t="shared" si="320"/>
        <v>47</v>
      </c>
      <c r="I1822" s="197">
        <v>11</v>
      </c>
      <c r="J1822" s="197">
        <v>22</v>
      </c>
      <c r="K1822" s="186">
        <f t="shared" si="321"/>
        <v>45983</v>
      </c>
      <c r="L1822" s="3" t="str">
        <f>IFERROR(INDEX('SCR DATA'!F:F, MATCH($D1822, 'SCR DATA'!A:A, 0)), "")</f>
        <v>BAT</v>
      </c>
      <c r="M1822" s="3" t="str">
        <f>IFERROR(INDEX('SCR DATA'!G:G, MATCH($D1822, 'SCR DATA'!A:A, 0)), "")</f>
        <v>P&amp;S</v>
      </c>
    </row>
    <row r="1823" spans="1:19">
      <c r="A1823" s="3">
        <v>6054</v>
      </c>
      <c r="B1823" s="83">
        <f t="array" ref="B1823">SUM(--(FREQUENCY(IF(C$2:C$3074=C1823, MATCH(D$2:D$3074, D$2:D$3074, 0)), ROW(D$2:D$3074)-ROW(D$2)+1) &gt; 0))</f>
        <v>6</v>
      </c>
      <c r="C1823" s="3">
        <v>41100584</v>
      </c>
      <c r="D1823" s="6" t="s">
        <v>3350</v>
      </c>
      <c r="E1823" s="3" t="s">
        <v>1422</v>
      </c>
      <c r="F1823" s="3" t="s">
        <v>1591</v>
      </c>
      <c r="G1823" s="68" t="str">
        <f t="shared" si="310"/>
        <v>SINGLE</v>
      </c>
      <c r="H1823" s="197">
        <f t="shared" si="320"/>
        <v>48</v>
      </c>
      <c r="I1823" s="197">
        <v>11</v>
      </c>
      <c r="J1823" s="197">
        <v>24</v>
      </c>
      <c r="K1823" s="186">
        <f t="shared" si="321"/>
        <v>45985</v>
      </c>
      <c r="L1823" s="3" t="str">
        <f>IFERROR(INDEX('SCR DATA'!F:F, MATCH($D1823, 'SCR DATA'!A:A, 0)), "")</f>
        <v>FNI</v>
      </c>
      <c r="M1823" s="3" t="str">
        <f>IFERROR(INDEX('SCR DATA'!G:G, MATCH($D1823, 'SCR DATA'!A:A, 0)), "")</f>
        <v>C&amp;A</v>
      </c>
      <c r="N1823" s="3" t="str">
        <f t="shared" si="319"/>
        <v/>
      </c>
    </row>
    <row r="1824" spans="1:19">
      <c r="A1824" s="3">
        <v>6246</v>
      </c>
      <c r="B1824" s="83">
        <f t="array" ref="B1824">SUM(--(FREQUENCY(IF(C$2:C$3074=C1824, MATCH(D$2:D$3074, D$2:D$3074, 0)), ROW(D$2:D$3074)-ROW(D$2)+1) &gt; 0))</f>
        <v>3</v>
      </c>
      <c r="C1824" s="3">
        <v>41200004</v>
      </c>
      <c r="D1824" s="6" t="s">
        <v>3351</v>
      </c>
      <c r="E1824" s="3" t="s">
        <v>1424</v>
      </c>
      <c r="F1824" s="3" t="s">
        <v>1476</v>
      </c>
      <c r="G1824" s="68" t="str">
        <f t="shared" si="310"/>
        <v>DUAL</v>
      </c>
      <c r="H1824" s="197">
        <f t="shared" si="320"/>
        <v>48</v>
      </c>
      <c r="I1824" s="197">
        <v>11</v>
      </c>
      <c r="J1824" s="197">
        <v>24</v>
      </c>
      <c r="K1824" s="186">
        <f t="shared" si="321"/>
        <v>45985</v>
      </c>
      <c r="L1824" s="3" t="str">
        <f>IFERROR(INDEX('SCR DATA'!F:F, MATCH($D1824, 'SCR DATA'!A:A, 0)), "")</f>
        <v>BAT</v>
      </c>
      <c r="M1824" s="3" t="str">
        <f>IFERROR(INDEX('SCR DATA'!G:G, MATCH($D1824, 'SCR DATA'!A:A, 0)), "")</f>
        <v>P&amp;S</v>
      </c>
      <c r="N1824" s="3" t="str">
        <f t="shared" si="319"/>
        <v/>
      </c>
    </row>
    <row r="1825" spans="1:19">
      <c r="A1825" s="3">
        <v>6006</v>
      </c>
      <c r="B1825" s="83">
        <f t="array" ref="B1825">SUM(--(FREQUENCY(IF(C$2:C$3074=C1825, MATCH(D$2:D$3074, D$2:D$3074, 0)), ROW(D$2:D$3074)-ROW(D$2)+1) &gt; 0))</f>
        <v>102</v>
      </c>
      <c r="C1825" s="3">
        <v>41200006</v>
      </c>
      <c r="D1825" s="6" t="s">
        <v>3346</v>
      </c>
      <c r="E1825" s="3" t="s">
        <v>1405</v>
      </c>
      <c r="F1825" s="3" t="s">
        <v>1477</v>
      </c>
      <c r="G1825" s="68" t="str">
        <f t="shared" si="310"/>
        <v>SINGLE</v>
      </c>
      <c r="H1825" s="197">
        <f t="shared" si="320"/>
        <v>48</v>
      </c>
      <c r="I1825" s="197">
        <v>11</v>
      </c>
      <c r="J1825" s="197">
        <v>24</v>
      </c>
      <c r="K1825" s="186">
        <f t="shared" si="321"/>
        <v>45985</v>
      </c>
      <c r="L1825" s="3" t="str">
        <f>IFERROR(INDEX('SCR DATA'!F:F, MATCH($D1825, 'SCR DATA'!A:A, 0)), "")</f>
        <v>FNI</v>
      </c>
      <c r="M1825" s="3" t="str">
        <f>IFERROR(INDEX('SCR DATA'!G:G, MATCH($D1825, 'SCR DATA'!A:A, 0)), "")</f>
        <v>TMS</v>
      </c>
      <c r="N1825" s="3" t="str">
        <f t="shared" si="319"/>
        <v/>
      </c>
    </row>
    <row r="1826" spans="1:19">
      <c r="A1826" s="3">
        <v>6006</v>
      </c>
      <c r="B1826" s="83">
        <f t="array" ref="B1826">SUM(--(FREQUENCY(IF(C$2:C$3074=C1826, MATCH(D$2:D$3074, D$2:D$3074, 0)), ROW(D$2:D$3074)-ROW(D$2)+1) &gt; 0))</f>
        <v>102</v>
      </c>
      <c r="C1826" s="3">
        <v>41200006</v>
      </c>
      <c r="D1826" s="6" t="s">
        <v>3347</v>
      </c>
      <c r="E1826" s="3" t="s">
        <v>1405</v>
      </c>
      <c r="F1826" s="3" t="s">
        <v>1477</v>
      </c>
      <c r="G1826" s="68" t="str">
        <f t="shared" si="310"/>
        <v>SINGLE</v>
      </c>
      <c r="H1826" s="197">
        <f t="shared" si="320"/>
        <v>48</v>
      </c>
      <c r="I1826" s="197">
        <v>11</v>
      </c>
      <c r="J1826" s="197">
        <v>24</v>
      </c>
      <c r="K1826" s="186">
        <f t="shared" si="321"/>
        <v>45985</v>
      </c>
      <c r="L1826" s="3" t="str">
        <f>IFERROR(INDEX('SCR DATA'!F:F, MATCH($D1826, 'SCR DATA'!A:A, 0)), "")</f>
        <v>FNI</v>
      </c>
      <c r="M1826" s="3" t="str">
        <f>IFERROR(INDEX('SCR DATA'!G:G, MATCH($D1826, 'SCR DATA'!A:A, 0)), "")</f>
        <v>TMS</v>
      </c>
      <c r="N1826" s="3" t="str">
        <f t="shared" si="319"/>
        <v/>
      </c>
    </row>
    <row r="1827" spans="1:19">
      <c r="A1827" s="3">
        <v>6137</v>
      </c>
      <c r="B1827" s="83">
        <f t="array" ref="B1827">SUM(--(FREQUENCY(IF(C$2:C$3074=C1827, MATCH(D$2:D$3074, D$2:D$3074, 0)), ROW(D$2:D$3074)-ROW(D$2)+1) &gt; 0))</f>
        <v>10</v>
      </c>
      <c r="C1827" s="3">
        <v>41100338</v>
      </c>
      <c r="D1827" s="6" t="s">
        <v>3348</v>
      </c>
      <c r="E1827" s="3" t="s">
        <v>1405</v>
      </c>
      <c r="F1827" s="3" t="s">
        <v>1591</v>
      </c>
      <c r="G1827" s="68" t="str">
        <f t="shared" si="310"/>
        <v>SINGLE</v>
      </c>
      <c r="H1827" s="197">
        <f t="shared" si="320"/>
        <v>48</v>
      </c>
      <c r="I1827" s="197">
        <v>11</v>
      </c>
      <c r="J1827" s="197">
        <v>24</v>
      </c>
      <c r="K1827" s="186">
        <f t="shared" si="321"/>
        <v>45985</v>
      </c>
      <c r="L1827" s="3" t="str">
        <f>IFERROR(INDEX('SCR DATA'!F:F, MATCH($D1827, 'SCR DATA'!A:A, 0)), "")</f>
        <v>FNI</v>
      </c>
      <c r="M1827" s="3" t="str">
        <f>IFERROR(INDEX('SCR DATA'!G:G, MATCH($D1827, 'SCR DATA'!A:A, 0)), "")</f>
        <v>TMS</v>
      </c>
      <c r="N1827" s="3" t="str">
        <f t="shared" si="319"/>
        <v/>
      </c>
    </row>
    <row r="1828" spans="1:19">
      <c r="A1828" s="3">
        <v>6137</v>
      </c>
      <c r="B1828" s="83">
        <f t="array" ref="B1828">SUM(--(FREQUENCY(IF(C$2:C$3074=C1828, MATCH(D$2:D$3074, D$2:D$3074, 0)), ROW(D$2:D$3074)-ROW(D$2)+1) &gt; 0))</f>
        <v>10</v>
      </c>
      <c r="C1828" s="3">
        <v>41100338</v>
      </c>
      <c r="D1828" s="6" t="s">
        <v>3349</v>
      </c>
      <c r="E1828" s="3" t="s">
        <v>1405</v>
      </c>
      <c r="F1828" s="3" t="s">
        <v>1591</v>
      </c>
      <c r="G1828" s="68" t="str">
        <f t="shared" si="310"/>
        <v>SINGLE</v>
      </c>
      <c r="H1828" s="197">
        <f t="shared" si="320"/>
        <v>48</v>
      </c>
      <c r="I1828" s="197">
        <v>11</v>
      </c>
      <c r="J1828" s="197">
        <v>24</v>
      </c>
      <c r="K1828" s="186">
        <f t="shared" si="321"/>
        <v>45985</v>
      </c>
      <c r="L1828" s="3" t="str">
        <f>IFERROR(INDEX('SCR DATA'!F:F, MATCH($D1828, 'SCR DATA'!A:A, 0)), "")</f>
        <v>FNI</v>
      </c>
      <c r="M1828" s="3" t="str">
        <f>IFERROR(INDEX('SCR DATA'!G:G, MATCH($D1828, 'SCR DATA'!A:A, 0)), "")</f>
        <v>TMS</v>
      </c>
      <c r="N1828" s="3" t="str">
        <f t="shared" si="319"/>
        <v/>
      </c>
    </row>
    <row r="1829" spans="1:19">
      <c r="A1829" s="3">
        <v>5981</v>
      </c>
      <c r="B1829" s="83">
        <f t="array" ref="B1829">SUM(--(FREQUENCY(IF(C$2:C$3074=C1829, MATCH(D$2:D$3074, D$2:D$3074, 0)), ROW(D$2:D$3074)-ROW(D$2)+1) &gt; 0))</f>
        <v>144</v>
      </c>
      <c r="C1829" s="3">
        <v>41200007</v>
      </c>
      <c r="D1829" s="6" t="s">
        <v>3352</v>
      </c>
      <c r="E1829" s="3" t="s">
        <v>1405</v>
      </c>
      <c r="F1829" s="3" t="s">
        <v>1591</v>
      </c>
      <c r="G1829" s="68" t="str">
        <f t="shared" si="310"/>
        <v>SINGLE</v>
      </c>
      <c r="H1829" s="197">
        <f t="shared" si="320"/>
        <v>48</v>
      </c>
      <c r="I1829" s="197">
        <v>11</v>
      </c>
      <c r="J1829" s="197">
        <v>24</v>
      </c>
      <c r="K1829" s="186">
        <f t="shared" si="321"/>
        <v>45985</v>
      </c>
      <c r="L1829" s="3" t="str">
        <f>IFERROR(INDEX('SCR DATA'!F:F, MATCH($D1829, 'SCR DATA'!A:A, 0)), "")</f>
        <v>BAT</v>
      </c>
      <c r="M1829" s="3" t="str">
        <f>IFERROR(INDEX('SCR DATA'!G:G, MATCH($D1829, 'SCR DATA'!A:A, 0)), "")</f>
        <v>P&amp;S</v>
      </c>
      <c r="N1829" s="3" t="str">
        <f t="shared" si="319"/>
        <v/>
      </c>
    </row>
    <row r="1830" spans="1:19">
      <c r="A1830" s="3">
        <v>5981</v>
      </c>
      <c r="B1830" s="83">
        <f t="array" ref="B1830">SUM(--(FREQUENCY(IF(C$2:C$3074=C1830, MATCH(D$2:D$3074, D$2:D$3074, 0)), ROW(D$2:D$3074)-ROW(D$2)+1) &gt; 0))</f>
        <v>144</v>
      </c>
      <c r="C1830" s="3">
        <v>41200007</v>
      </c>
      <c r="D1830" s="6" t="s">
        <v>3353</v>
      </c>
      <c r="E1830" s="3" t="s">
        <v>1405</v>
      </c>
      <c r="F1830" s="3" t="s">
        <v>1591</v>
      </c>
      <c r="G1830" s="68" t="str">
        <f t="shared" si="310"/>
        <v>SINGLE</v>
      </c>
      <c r="H1830" s="197">
        <f t="shared" si="320"/>
        <v>48</v>
      </c>
      <c r="I1830" s="197">
        <v>11</v>
      </c>
      <c r="J1830" s="197">
        <v>24</v>
      </c>
      <c r="K1830" s="186">
        <f t="shared" si="321"/>
        <v>45985</v>
      </c>
      <c r="L1830" s="3" t="str">
        <f>IFERROR(INDEX('SCR DATA'!F:F, MATCH($D1830, 'SCR DATA'!A:A, 0)), "")</f>
        <v>BAT</v>
      </c>
      <c r="M1830" s="3" t="str">
        <f>IFERROR(INDEX('SCR DATA'!G:G, MATCH($D1830, 'SCR DATA'!A:A, 0)), "")</f>
        <v>P&amp;S</v>
      </c>
      <c r="N1830" s="3" t="str">
        <f t="shared" si="319"/>
        <v/>
      </c>
    </row>
    <row r="1831" spans="1:19">
      <c r="A1831" s="3">
        <v>6281</v>
      </c>
      <c r="B1831" s="83">
        <f t="array" ref="B1831">SUM(--(FREQUENCY(IF(C$2:C$3074=C1831, MATCH(D$2:D$3074, D$2:D$3074, 0)), ROW(D$2:D$3074)-ROW(D$2)+1) &gt; 0))</f>
        <v>1</v>
      </c>
      <c r="C1831" s="3">
        <v>41200037</v>
      </c>
      <c r="D1831" s="6" t="s">
        <v>2909</v>
      </c>
      <c r="E1831" s="3" t="s">
        <v>1426</v>
      </c>
      <c r="F1831" s="3" t="s">
        <v>1476</v>
      </c>
      <c r="G1831" s="41" t="str">
        <f t="shared" si="310"/>
        <v>DUAL</v>
      </c>
      <c r="H1831" s="197">
        <f t="shared" si="320"/>
        <v>48</v>
      </c>
      <c r="I1831" s="197">
        <v>11</v>
      </c>
      <c r="J1831" s="197">
        <v>25</v>
      </c>
      <c r="K1831" s="186">
        <f t="shared" si="321"/>
        <v>45986</v>
      </c>
      <c r="L1831" s="3" t="str">
        <f>IFERROR(INDEX('SCR DATA'!F:F, MATCH($D1831, 'SCR DATA'!A:A, 0)), "")</f>
        <v>FNI</v>
      </c>
      <c r="M1831" s="3" t="str">
        <f>IFERROR(INDEX('SCR DATA'!G:G, MATCH($D1831, 'SCR DATA'!A:A, 0)), "")</f>
        <v>TMS</v>
      </c>
      <c r="N1831" s="3" t="str">
        <f t="shared" si="319"/>
        <v/>
      </c>
    </row>
    <row r="1832" spans="1:19">
      <c r="A1832" s="3">
        <v>6055</v>
      </c>
      <c r="B1832" s="83">
        <f t="array" ref="B1832">SUM(--(FREQUENCY(IF(C$2:C$3074=C1832, MATCH(D$2:D$3074, D$2:D$3074, 0)), ROW(D$2:D$3074)-ROW(D$2)+1) &gt; 0))</f>
        <v>8</v>
      </c>
      <c r="C1832" s="3">
        <v>41200088</v>
      </c>
      <c r="D1832" s="6" t="s">
        <v>3354</v>
      </c>
      <c r="E1832" s="3" t="s">
        <v>1422</v>
      </c>
      <c r="F1832" s="3" t="s">
        <v>1476</v>
      </c>
      <c r="G1832" s="68" t="str">
        <f t="shared" si="310"/>
        <v>DUAL</v>
      </c>
      <c r="H1832" s="197">
        <f t="shared" si="320"/>
        <v>48</v>
      </c>
      <c r="I1832" s="197">
        <v>11</v>
      </c>
      <c r="J1832" s="197">
        <v>25</v>
      </c>
      <c r="K1832" s="186">
        <f t="shared" si="321"/>
        <v>45986</v>
      </c>
      <c r="L1832" s="3" t="str">
        <f>IFERROR(INDEX('SCR DATA'!F:F, MATCH($D1832, 'SCR DATA'!A:A, 0)), "")</f>
        <v>FNI</v>
      </c>
      <c r="M1832" s="3" t="str">
        <f>IFERROR(INDEX('SCR DATA'!G:G, MATCH($D1832, 'SCR DATA'!A:A, 0)), "")</f>
        <v>TMS</v>
      </c>
      <c r="N1832" s="3" t="str">
        <f t="shared" si="319"/>
        <v/>
      </c>
    </row>
    <row r="1833" spans="1:19">
      <c r="A1833" s="3">
        <v>6007</v>
      </c>
      <c r="B1833" s="83">
        <f t="array" ref="B1833">SUM(--(FREQUENCY(IF(C$2:C$3074=C1833, MATCH(D$2:D$3074, D$2:D$3074, 0)), ROW(D$2:D$3074)-ROW(D$2)+1) &gt; 0))</f>
        <v>49</v>
      </c>
      <c r="C1833" s="3">
        <v>41200005</v>
      </c>
      <c r="D1833" s="6" t="s">
        <v>3355</v>
      </c>
      <c r="E1833" s="3" t="s">
        <v>1405</v>
      </c>
      <c r="F1833" s="3" t="s">
        <v>1591</v>
      </c>
      <c r="G1833" s="68" t="str">
        <f t="shared" si="310"/>
        <v>SINGLE</v>
      </c>
      <c r="H1833" s="197">
        <f t="shared" si="320"/>
        <v>48</v>
      </c>
      <c r="I1833" s="197">
        <v>11</v>
      </c>
      <c r="J1833" s="197">
        <v>25</v>
      </c>
      <c r="K1833" s="186">
        <f t="shared" si="321"/>
        <v>45986</v>
      </c>
      <c r="L1833" s="3" t="str">
        <f>IFERROR(INDEX('SCR DATA'!F:F, MATCH($D1833, 'SCR DATA'!A:A, 0)), "")</f>
        <v>FNI</v>
      </c>
      <c r="M1833" s="3" t="str">
        <f>IFERROR(INDEX('SCR DATA'!G:G, MATCH($D1833, 'SCR DATA'!A:A, 0)), "")</f>
        <v>TMS</v>
      </c>
      <c r="N1833" s="3" t="s">
        <v>2877</v>
      </c>
      <c r="O1833" s="3" t="s">
        <v>2368</v>
      </c>
      <c r="P1833" s="3" t="s">
        <v>2376</v>
      </c>
      <c r="Q1833" s="3">
        <v>11000090</v>
      </c>
      <c r="R1833" s="3" t="s">
        <v>143</v>
      </c>
      <c r="S1833" s="3" t="s">
        <v>5412</v>
      </c>
    </row>
    <row r="1834" spans="1:19">
      <c r="A1834" s="3">
        <v>6148</v>
      </c>
      <c r="B1834" s="83">
        <f t="array" ref="B1834">SUM(--(FREQUENCY(IF(C$2:C$3074=C1834, MATCH(D$2:D$3074, D$2:D$3074, 0)), ROW(D$2:D$3074)-ROW(D$2)+1) &gt; 0))</f>
        <v>1</v>
      </c>
      <c r="C1834" s="3">
        <v>41200181</v>
      </c>
      <c r="D1834" s="6" t="s">
        <v>3356</v>
      </c>
      <c r="E1834" s="3" t="s">
        <v>1405</v>
      </c>
      <c r="F1834" s="3" t="s">
        <v>1581</v>
      </c>
      <c r="G1834" s="68" t="str">
        <f t="shared" si="310"/>
        <v>DUAL</v>
      </c>
      <c r="H1834" s="197">
        <f t="shared" si="320"/>
        <v>48</v>
      </c>
      <c r="I1834" s="197">
        <v>11</v>
      </c>
      <c r="J1834" s="197">
        <v>25</v>
      </c>
      <c r="K1834" s="186">
        <f t="shared" si="321"/>
        <v>45986</v>
      </c>
      <c r="L1834" s="3" t="str">
        <f>IFERROR(INDEX('SCR DATA'!F:F, MATCH($D1834, 'SCR DATA'!A:A, 0)), "")</f>
        <v>TMS</v>
      </c>
      <c r="M1834" s="3" t="str">
        <f>IFERROR(INDEX('SCR DATA'!G:G, MATCH($D1834, 'SCR DATA'!A:A, 0)), "")</f>
        <v>TMS</v>
      </c>
      <c r="N1834" s="3" t="str">
        <f t="shared" si="319"/>
        <v/>
      </c>
    </row>
    <row r="1835" spans="1:19">
      <c r="A1835" s="3">
        <v>6007</v>
      </c>
      <c r="B1835" s="83">
        <f t="array" ref="B1835">SUM(--(FREQUENCY(IF(C$2:C$3074=C1835, MATCH(D$2:D$3074, D$2:D$3074, 0)), ROW(D$2:D$3074)-ROW(D$2)+1) &gt; 0))</f>
        <v>49</v>
      </c>
      <c r="C1835" s="3">
        <v>41200005</v>
      </c>
      <c r="D1835" s="6" t="s">
        <v>3357</v>
      </c>
      <c r="E1835" s="3" t="s">
        <v>1405</v>
      </c>
      <c r="F1835" s="3" t="s">
        <v>1591</v>
      </c>
      <c r="G1835" s="68" t="str">
        <f t="shared" si="310"/>
        <v>SINGLE</v>
      </c>
      <c r="H1835" s="197">
        <f t="shared" si="320"/>
        <v>48</v>
      </c>
      <c r="I1835" s="197">
        <v>11</v>
      </c>
      <c r="J1835" s="197">
        <v>25</v>
      </c>
      <c r="K1835" s="186">
        <f t="shared" si="321"/>
        <v>45986</v>
      </c>
      <c r="L1835" s="3" t="str">
        <f>IFERROR(INDEX('SCR DATA'!F:F, MATCH($D1835, 'SCR DATA'!A:A, 0)), "")</f>
        <v>FNI</v>
      </c>
      <c r="M1835" s="3" t="str">
        <f>IFERROR(INDEX('SCR DATA'!G:G, MATCH($D1835, 'SCR DATA'!A:A, 0)), "")</f>
        <v>TMS</v>
      </c>
      <c r="N1835" s="3" t="str">
        <f t="shared" si="319"/>
        <v/>
      </c>
    </row>
    <row r="1836" spans="1:19">
      <c r="A1836" s="3">
        <v>6207</v>
      </c>
      <c r="B1836" s="83">
        <f t="array" ref="B1836">SUM(--(FREQUENCY(IF(C$2:C$3074=C1836, MATCH(D$2:D$3074, D$2:D$3074, 0)), ROW(D$2:D$3074)-ROW(D$2)+1) &gt; 0))</f>
        <v>144</v>
      </c>
      <c r="C1836" s="3">
        <v>41200007</v>
      </c>
      <c r="D1836" s="6" t="s">
        <v>3358</v>
      </c>
      <c r="E1836" s="3" t="s">
        <v>1405</v>
      </c>
      <c r="F1836" s="3" t="s">
        <v>1591</v>
      </c>
      <c r="G1836" s="68" t="str">
        <f t="shared" si="310"/>
        <v>SINGLE</v>
      </c>
      <c r="H1836" s="197">
        <f t="shared" si="320"/>
        <v>48</v>
      </c>
      <c r="I1836" s="197">
        <v>11</v>
      </c>
      <c r="J1836" s="197">
        <v>25</v>
      </c>
      <c r="K1836" s="186">
        <f t="shared" si="321"/>
        <v>45986</v>
      </c>
      <c r="L1836" s="3" t="str">
        <f>IFERROR(INDEX('SCR DATA'!F:F, MATCH($D1836, 'SCR DATA'!A:A, 0)), "")</f>
        <v>FNI</v>
      </c>
      <c r="M1836" s="3" t="str">
        <f>IFERROR(INDEX('SCR DATA'!G:G, MATCH($D1836, 'SCR DATA'!A:A, 0)), "")</f>
        <v>C&amp;A</v>
      </c>
      <c r="N1836" s="3" t="str">
        <f t="shared" si="319"/>
        <v/>
      </c>
    </row>
    <row r="1837" spans="1:19">
      <c r="A1837" s="3">
        <v>6207</v>
      </c>
      <c r="B1837" s="83">
        <f t="array" ref="B1837">SUM(--(FREQUENCY(IF(C$2:C$3074=C1837, MATCH(D$2:D$3074, D$2:D$3074, 0)), ROW(D$2:D$3074)-ROW(D$2)+1) &gt; 0))</f>
        <v>144</v>
      </c>
      <c r="C1837" s="3">
        <v>41200007</v>
      </c>
      <c r="D1837" s="6" t="s">
        <v>3359</v>
      </c>
      <c r="E1837" s="3" t="s">
        <v>1405</v>
      </c>
      <c r="F1837" s="3" t="s">
        <v>1591</v>
      </c>
      <c r="G1837" s="68" t="str">
        <f t="shared" si="310"/>
        <v>SINGLE</v>
      </c>
      <c r="H1837" s="197">
        <f t="shared" si="320"/>
        <v>48</v>
      </c>
      <c r="I1837" s="197">
        <v>11</v>
      </c>
      <c r="J1837" s="197">
        <v>25</v>
      </c>
      <c r="K1837" s="186">
        <f t="shared" si="321"/>
        <v>45986</v>
      </c>
      <c r="L1837" s="3" t="str">
        <f>IFERROR(INDEX('SCR DATA'!F:F, MATCH($D1837, 'SCR DATA'!A:A, 0)), "")</f>
        <v>FNI</v>
      </c>
      <c r="M1837" s="3" t="str">
        <f>IFERROR(INDEX('SCR DATA'!G:G, MATCH($D1837, 'SCR DATA'!A:A, 0)), "")</f>
        <v>C&amp;A</v>
      </c>
      <c r="N1837" s="3" t="str">
        <f t="shared" si="319"/>
        <v/>
      </c>
    </row>
    <row r="1838" spans="1:19">
      <c r="A1838" s="3">
        <v>6102</v>
      </c>
      <c r="B1838" s="83">
        <f t="array" ref="B1838">SUM(--(FREQUENCY(IF(C$2:C$3074=C1838, MATCH(D$2:D$3074, D$2:D$3074, 0)), ROW(D$2:D$3074)-ROW(D$2)+1) &gt; 0))</f>
        <v>4</v>
      </c>
      <c r="C1838" s="3">
        <v>41200173</v>
      </c>
      <c r="D1838" s="6" t="s">
        <v>3362</v>
      </c>
      <c r="E1838" s="3" t="s">
        <v>1405</v>
      </c>
      <c r="F1838" s="3" t="s">
        <v>1591</v>
      </c>
      <c r="G1838" s="68" t="str">
        <f t="shared" si="310"/>
        <v>SINGLE</v>
      </c>
      <c r="H1838" s="197">
        <f t="shared" si="320"/>
        <v>48</v>
      </c>
      <c r="I1838" s="197">
        <v>11</v>
      </c>
      <c r="J1838" s="197">
        <v>25</v>
      </c>
      <c r="K1838" s="186">
        <f t="shared" si="321"/>
        <v>45986</v>
      </c>
      <c r="L1838" s="3" t="str">
        <f>IFERROR(INDEX('SCR DATA'!F:F, MATCH($D1838, 'SCR DATA'!A:A, 0)), "")</f>
        <v>BAT</v>
      </c>
      <c r="M1838" s="3" t="str">
        <f>IFERROR(INDEX('SCR DATA'!G:G, MATCH($D1838, 'SCR DATA'!A:A, 0)), "")</f>
        <v>P&amp;S</v>
      </c>
      <c r="N1838" s="3" t="str">
        <f t="shared" si="319"/>
        <v/>
      </c>
    </row>
    <row r="1839" spans="1:19">
      <c r="A1839" s="3">
        <v>6102</v>
      </c>
      <c r="B1839" s="83">
        <f t="array" ref="B1839">SUM(--(FREQUENCY(IF(C$2:C$3074=C1839, MATCH(D$2:D$3074, D$2:D$3074, 0)), ROW(D$2:D$3074)-ROW(D$2)+1) &gt; 0))</f>
        <v>4</v>
      </c>
      <c r="C1839" s="3">
        <v>41200173</v>
      </c>
      <c r="D1839" s="6" t="s">
        <v>3363</v>
      </c>
      <c r="E1839" s="3" t="s">
        <v>1405</v>
      </c>
      <c r="F1839" s="3" t="s">
        <v>1591</v>
      </c>
      <c r="G1839" s="68" t="str">
        <f t="shared" si="310"/>
        <v>SINGLE</v>
      </c>
      <c r="H1839" s="197">
        <f t="shared" si="320"/>
        <v>48</v>
      </c>
      <c r="I1839" s="197">
        <v>11</v>
      </c>
      <c r="J1839" s="197">
        <v>25</v>
      </c>
      <c r="K1839" s="186">
        <f t="shared" si="321"/>
        <v>45986</v>
      </c>
      <c r="L1839" s="3" t="str">
        <f>IFERROR(INDEX('SCR DATA'!F:F, MATCH($D1839, 'SCR DATA'!A:A, 0)), "")</f>
        <v>BAT</v>
      </c>
      <c r="M1839" s="3" t="str">
        <f>IFERROR(INDEX('SCR DATA'!G:G, MATCH($D1839, 'SCR DATA'!A:A, 0)), "")</f>
        <v>P&amp;S</v>
      </c>
      <c r="N1839" s="3" t="str">
        <f t="shared" si="319"/>
        <v/>
      </c>
    </row>
    <row r="1840" spans="1:19">
      <c r="A1840" s="3">
        <v>6041</v>
      </c>
      <c r="B1840" s="83">
        <f t="array" ref="B1840">SUM(--(FREQUENCY(IF(C$2:C$3074=C1840, MATCH(D$2:D$3074, D$2:D$3074, 0)), ROW(D$2:D$3074)-ROW(D$2)+1) &gt; 0))</f>
        <v>18</v>
      </c>
      <c r="C1840" s="3">
        <v>41200039</v>
      </c>
      <c r="D1840" s="6" t="s">
        <v>3368</v>
      </c>
      <c r="E1840" s="3" t="s">
        <v>1426</v>
      </c>
      <c r="F1840" s="3" t="s">
        <v>1476</v>
      </c>
      <c r="G1840" s="68" t="str">
        <f t="shared" si="310"/>
        <v>DUAL</v>
      </c>
      <c r="H1840" s="197">
        <f t="shared" si="320"/>
        <v>48</v>
      </c>
      <c r="I1840" s="197">
        <v>11</v>
      </c>
      <c r="J1840" s="197">
        <v>26</v>
      </c>
      <c r="K1840" s="186">
        <f t="shared" si="321"/>
        <v>45987</v>
      </c>
      <c r="L1840" s="3" t="str">
        <f>IFERROR(INDEX('SCR DATA'!F:F, MATCH($D1840, 'SCR DATA'!A:A, 0)), "")</f>
        <v>FNI</v>
      </c>
      <c r="M1840" s="3" t="str">
        <f>IFERROR(INDEX('SCR DATA'!G:G, MATCH($D1840, 'SCR DATA'!A:A, 0)), "")</f>
        <v>C&amp;A</v>
      </c>
      <c r="N1840" s="3" t="str">
        <f t="shared" si="319"/>
        <v/>
      </c>
    </row>
    <row r="1841" spans="1:19">
      <c r="A1841" s="3">
        <v>6197</v>
      </c>
      <c r="B1841" s="83">
        <f t="array" ref="B1841">SUM(--(FREQUENCY(IF(C$2:C$3074=C1841, MATCH(D$2:D$3074, D$2:D$3074, 0)), ROW(D$2:D$3074)-ROW(D$2)+1) &gt; 0))</f>
        <v>102</v>
      </c>
      <c r="C1841" s="3">
        <v>41200006</v>
      </c>
      <c r="D1841" s="6" t="s">
        <v>3372</v>
      </c>
      <c r="E1841" s="3" t="s">
        <v>1405</v>
      </c>
      <c r="F1841" s="3" t="s">
        <v>1477</v>
      </c>
      <c r="G1841" s="68" t="str">
        <f t="shared" si="310"/>
        <v>SINGLE</v>
      </c>
      <c r="H1841" s="197">
        <f t="shared" si="320"/>
        <v>48</v>
      </c>
      <c r="I1841" s="197">
        <v>11</v>
      </c>
      <c r="J1841" s="197">
        <v>26</v>
      </c>
      <c r="K1841" s="186">
        <f t="shared" si="321"/>
        <v>45987</v>
      </c>
      <c r="L1841" s="3" t="str">
        <f>IFERROR(INDEX('SCR DATA'!F:F, MATCH($D1841, 'SCR DATA'!A:A, 0)), "")</f>
        <v>BAT</v>
      </c>
      <c r="M1841" s="3" t="str">
        <f>IFERROR(INDEX('SCR DATA'!G:G, MATCH($D1841, 'SCR DATA'!A:A, 0)), "")</f>
        <v>P&amp;S</v>
      </c>
      <c r="N1841" s="3" t="str">
        <f t="shared" si="319"/>
        <v/>
      </c>
    </row>
    <row r="1842" spans="1:19">
      <c r="A1842" s="3">
        <v>6197</v>
      </c>
      <c r="B1842" s="83">
        <f t="array" ref="B1842">SUM(--(FREQUENCY(IF(C$2:C$3074=C1842, MATCH(D$2:D$3074, D$2:D$3074, 0)), ROW(D$2:D$3074)-ROW(D$2)+1) &gt; 0))</f>
        <v>102</v>
      </c>
      <c r="C1842" s="3">
        <v>41200006</v>
      </c>
      <c r="D1842" s="6" t="s">
        <v>3373</v>
      </c>
      <c r="E1842" s="3" t="s">
        <v>1405</v>
      </c>
      <c r="F1842" s="3" t="s">
        <v>1477</v>
      </c>
      <c r="G1842" s="68" t="str">
        <f t="shared" si="310"/>
        <v>SINGLE</v>
      </c>
      <c r="H1842" s="197">
        <f t="shared" si="320"/>
        <v>48</v>
      </c>
      <c r="I1842" s="197">
        <v>11</v>
      </c>
      <c r="J1842" s="197">
        <v>26</v>
      </c>
      <c r="K1842" s="186">
        <f t="shared" si="321"/>
        <v>45987</v>
      </c>
      <c r="L1842" s="3" t="str">
        <f>IFERROR(INDEX('SCR DATA'!F:F, MATCH($D1842, 'SCR DATA'!A:A, 0)), "")</f>
        <v>BAT</v>
      </c>
      <c r="M1842" s="3" t="str">
        <f>IFERROR(INDEX('SCR DATA'!G:G, MATCH($D1842, 'SCR DATA'!A:A, 0)), "")</f>
        <v>P&amp;S</v>
      </c>
      <c r="N1842" s="3" t="s">
        <v>2877</v>
      </c>
      <c r="O1842" s="3" t="s">
        <v>2368</v>
      </c>
      <c r="P1842" s="3" t="s">
        <v>2482</v>
      </c>
      <c r="Q1842" s="3">
        <v>11002283</v>
      </c>
      <c r="R1842" s="3" t="s">
        <v>5413</v>
      </c>
      <c r="S1842" s="3" t="s">
        <v>5414</v>
      </c>
    </row>
    <row r="1843" spans="1:19">
      <c r="A1843" s="3">
        <v>6199</v>
      </c>
      <c r="B1843" s="83">
        <f t="array" ref="B1843">SUM(--(FREQUENCY(IF(C$2:C$3074=C1843, MATCH(D$2:D$3074, D$2:D$3074, 0)), ROW(D$2:D$3074)-ROW(D$2)+1) &gt; 0))</f>
        <v>18</v>
      </c>
      <c r="C1843" s="3">
        <v>41200053</v>
      </c>
      <c r="D1843" s="6" t="s">
        <v>3364</v>
      </c>
      <c r="E1843" s="3" t="s">
        <v>1405</v>
      </c>
      <c r="F1843" s="3" t="s">
        <v>1616</v>
      </c>
      <c r="G1843" s="68" t="str">
        <f t="shared" si="310"/>
        <v>SINGLE</v>
      </c>
      <c r="H1843" s="197">
        <f t="shared" si="320"/>
        <v>48</v>
      </c>
      <c r="I1843" s="197">
        <v>11</v>
      </c>
      <c r="J1843" s="197">
        <v>26</v>
      </c>
      <c r="K1843" s="186">
        <f t="shared" si="321"/>
        <v>45987</v>
      </c>
      <c r="L1843" s="3" t="str">
        <f>IFERROR(INDEX('SCR DATA'!F:F, MATCH($D1843, 'SCR DATA'!A:A, 0)), "")</f>
        <v>TMS</v>
      </c>
      <c r="M1843" s="3" t="str">
        <f>IFERROR(INDEX('SCR DATA'!G:G, MATCH($D1843, 'SCR DATA'!A:A, 0)), "")</f>
        <v>TMS</v>
      </c>
      <c r="N1843" s="3" t="str">
        <f t="shared" si="319"/>
        <v/>
      </c>
    </row>
    <row r="1844" spans="1:19">
      <c r="A1844" s="3">
        <v>6199</v>
      </c>
      <c r="B1844" s="83">
        <f t="array" ref="B1844">SUM(--(FREQUENCY(IF(C$2:C$3074=C1844, MATCH(D$2:D$3074, D$2:D$3074, 0)), ROW(D$2:D$3074)-ROW(D$2)+1) &gt; 0))</f>
        <v>18</v>
      </c>
      <c r="C1844" s="3">
        <v>41200053</v>
      </c>
      <c r="D1844" s="6" t="s">
        <v>3365</v>
      </c>
      <c r="E1844" s="3" t="s">
        <v>1405</v>
      </c>
      <c r="F1844" s="3" t="s">
        <v>1616</v>
      </c>
      <c r="G1844" s="68" t="str">
        <f t="shared" si="310"/>
        <v>SINGLE</v>
      </c>
      <c r="H1844" s="197">
        <f t="shared" si="320"/>
        <v>48</v>
      </c>
      <c r="I1844" s="197">
        <v>11</v>
      </c>
      <c r="J1844" s="197">
        <v>26</v>
      </c>
      <c r="K1844" s="186">
        <f t="shared" si="321"/>
        <v>45987</v>
      </c>
      <c r="L1844" s="3" t="str">
        <f>IFERROR(INDEX('SCR DATA'!F:F, MATCH($D1844, 'SCR DATA'!A:A, 0)), "")</f>
        <v>TMS</v>
      </c>
      <c r="M1844" s="3" t="str">
        <f>IFERROR(INDEX('SCR DATA'!G:G, MATCH($D1844, 'SCR DATA'!A:A, 0)), "")</f>
        <v>TMS</v>
      </c>
      <c r="N1844" s="3" t="str">
        <f t="shared" si="319"/>
        <v/>
      </c>
    </row>
    <row r="1845" spans="1:19">
      <c r="A1845" s="3">
        <v>6199</v>
      </c>
      <c r="B1845" s="83">
        <f t="array" ref="B1845">SUM(--(FREQUENCY(IF(C$2:C$3074=C1845, MATCH(D$2:D$3074, D$2:D$3074, 0)), ROW(D$2:D$3074)-ROW(D$2)+1) &gt; 0))</f>
        <v>18</v>
      </c>
      <c r="C1845" s="3">
        <v>41200053</v>
      </c>
      <c r="D1845" s="6" t="s">
        <v>3366</v>
      </c>
      <c r="E1845" s="3" t="s">
        <v>1405</v>
      </c>
      <c r="F1845" s="3" t="s">
        <v>1616</v>
      </c>
      <c r="G1845" s="68" t="str">
        <f t="shared" ref="G1845:G1856" si="322">IF(OR(ISNUMBER(SEARCH("DUAL",F1845)), ISNUMBER(SEARCH("IVAS",F1845))), "DUAL", "SINGLE")</f>
        <v>SINGLE</v>
      </c>
      <c r="H1845" s="197">
        <f t="shared" si="320"/>
        <v>48</v>
      </c>
      <c r="I1845" s="197">
        <v>11</v>
      </c>
      <c r="J1845" s="197">
        <v>26</v>
      </c>
      <c r="K1845" s="186">
        <f t="shared" si="321"/>
        <v>45987</v>
      </c>
      <c r="L1845" s="3" t="str">
        <f>IFERROR(INDEX('SCR DATA'!F:F, MATCH($D1845, 'SCR DATA'!A:A, 0)), "")</f>
        <v>TMS</v>
      </c>
      <c r="M1845" s="3" t="str">
        <f>IFERROR(INDEX('SCR DATA'!G:G, MATCH($D1845, 'SCR DATA'!A:A, 0)), "")</f>
        <v>TMS</v>
      </c>
      <c r="N1845" s="3" t="str">
        <f t="shared" si="319"/>
        <v/>
      </c>
    </row>
    <row r="1846" spans="1:19">
      <c r="A1846" s="3">
        <v>6264</v>
      </c>
      <c r="B1846" s="83">
        <f t="array" ref="B1846">SUM(--(FREQUENCY(IF(C$2:C$3074=C1846, MATCH(D$2:D$3074, D$2:D$3074, 0)), ROW(D$2:D$3074)-ROW(D$2)+1) &gt; 0))</f>
        <v>18</v>
      </c>
      <c r="C1846" s="3">
        <v>41200053</v>
      </c>
      <c r="D1846" s="6" t="s">
        <v>3367</v>
      </c>
      <c r="E1846" s="3" t="s">
        <v>1405</v>
      </c>
      <c r="F1846" s="3" t="s">
        <v>1616</v>
      </c>
      <c r="G1846" s="68" t="str">
        <f t="shared" si="322"/>
        <v>SINGLE</v>
      </c>
      <c r="H1846" s="197">
        <f t="shared" si="320"/>
        <v>48</v>
      </c>
      <c r="I1846" s="197">
        <v>11</v>
      </c>
      <c r="J1846" s="197">
        <v>26</v>
      </c>
      <c r="K1846" s="186">
        <f t="shared" si="321"/>
        <v>45987</v>
      </c>
      <c r="L1846" s="3" t="str">
        <f>IFERROR(INDEX('SCR DATA'!F:F, MATCH($D1846, 'SCR DATA'!A:A, 0)), "")</f>
        <v>TMS</v>
      </c>
      <c r="M1846" s="3" t="str">
        <f>IFERROR(INDEX('SCR DATA'!G:G, MATCH($D1846, 'SCR DATA'!A:A, 0)), "")</f>
        <v>TMS</v>
      </c>
      <c r="N1846" s="3" t="str">
        <f t="shared" si="319"/>
        <v/>
      </c>
    </row>
    <row r="1847" spans="1:19">
      <c r="A1847" s="3">
        <v>6117</v>
      </c>
      <c r="B1847" s="83">
        <f t="array" ref="B1847">SUM(--(FREQUENCY(IF(C$2:C$3074=C1847, MATCH(D$2:D$3074, D$2:D$3074, 0)), ROW(D$2:D$3074)-ROW(D$2)+1) &gt; 0))</f>
        <v>22</v>
      </c>
      <c r="C1847" s="3">
        <v>41200075</v>
      </c>
      <c r="D1847" s="6" t="s">
        <v>3369</v>
      </c>
      <c r="E1847" s="3" t="s">
        <v>1585</v>
      </c>
      <c r="F1847" s="3" t="s">
        <v>1476</v>
      </c>
      <c r="G1847" s="68" t="str">
        <f t="shared" si="322"/>
        <v>DUAL</v>
      </c>
      <c r="H1847" s="197">
        <f t="shared" si="320"/>
        <v>48</v>
      </c>
      <c r="I1847" s="197">
        <v>11</v>
      </c>
      <c r="J1847" s="197">
        <v>26</v>
      </c>
      <c r="K1847" s="186">
        <f t="shared" si="321"/>
        <v>45987</v>
      </c>
      <c r="L1847" s="3" t="str">
        <f>IFERROR(INDEX('SCR DATA'!F:F, MATCH($D1847, 'SCR DATA'!A:A, 0)), "")</f>
        <v>FNI</v>
      </c>
      <c r="M1847" s="3" t="str">
        <f>IFERROR(INDEX('SCR DATA'!G:G, MATCH($D1847, 'SCR DATA'!A:A, 0)), "")</f>
        <v>C&amp;A</v>
      </c>
      <c r="N1847" s="3" t="s">
        <v>2877</v>
      </c>
      <c r="O1847" s="3" t="s">
        <v>2368</v>
      </c>
      <c r="P1847" s="3" t="s">
        <v>1385</v>
      </c>
      <c r="Q1847" s="3">
        <v>11003664</v>
      </c>
      <c r="R1847" s="3" t="s">
        <v>255</v>
      </c>
      <c r="S1847" s="3" t="s">
        <v>5415</v>
      </c>
    </row>
    <row r="1848" spans="1:19">
      <c r="A1848" s="3">
        <v>6117</v>
      </c>
      <c r="B1848" s="83">
        <f t="array" ref="B1848">SUM(--(FREQUENCY(IF(C$2:C$3074=C1848, MATCH(D$2:D$3074, D$2:D$3074, 0)), ROW(D$2:D$3074)-ROW(D$2)+1) &gt; 0))</f>
        <v>22</v>
      </c>
      <c r="C1848" s="3">
        <v>41200075</v>
      </c>
      <c r="D1848" s="6" t="s">
        <v>3370</v>
      </c>
      <c r="E1848" s="3" t="s">
        <v>1585</v>
      </c>
      <c r="F1848" s="3" t="s">
        <v>1476</v>
      </c>
      <c r="G1848" s="68" t="str">
        <f t="shared" si="322"/>
        <v>DUAL</v>
      </c>
      <c r="H1848" s="197">
        <f t="shared" si="320"/>
        <v>48</v>
      </c>
      <c r="I1848" s="197">
        <v>11</v>
      </c>
      <c r="J1848" s="197">
        <v>26</v>
      </c>
      <c r="K1848" s="186">
        <f t="shared" si="321"/>
        <v>45987</v>
      </c>
      <c r="L1848" s="3" t="str">
        <f>IFERROR(INDEX('SCR DATA'!F:F, MATCH($D1848, 'SCR DATA'!A:A, 0)), "")</f>
        <v>FNI</v>
      </c>
      <c r="M1848" s="3" t="str">
        <f>IFERROR(INDEX('SCR DATA'!G:G, MATCH($D1848, 'SCR DATA'!A:A, 0)), "")</f>
        <v>C&amp;A</v>
      </c>
      <c r="N1848" s="3" t="str">
        <f t="shared" si="319"/>
        <v/>
      </c>
    </row>
    <row r="1849" spans="1:19">
      <c r="A1849" s="3">
        <v>6294</v>
      </c>
      <c r="B1849" s="83">
        <f t="array" ref="B1849">SUM(--(FREQUENCY(IF(C$2:C$3074=C1849, MATCH(D$2:D$3074, D$2:D$3074, 0)), ROW(D$2:D$3074)-ROW(D$2)+1) &gt; 0))</f>
        <v>13</v>
      </c>
      <c r="C1849" s="326">
        <v>41100696</v>
      </c>
      <c r="D1849" s="540" t="s">
        <v>3376</v>
      </c>
      <c r="E1849" s="3" t="s">
        <v>1433</v>
      </c>
      <c r="F1849" s="3" t="s">
        <v>1581</v>
      </c>
      <c r="G1849" s="68" t="str">
        <f t="shared" si="322"/>
        <v>DUAL</v>
      </c>
      <c r="H1849" s="197">
        <f t="shared" si="320"/>
        <v>48</v>
      </c>
      <c r="I1849" s="197">
        <v>11</v>
      </c>
      <c r="J1849" s="197">
        <v>27</v>
      </c>
      <c r="K1849" s="186">
        <f t="shared" si="321"/>
        <v>45988</v>
      </c>
      <c r="L1849" s="3" t="str">
        <f>IFERROR(INDEX('SCR DATA'!F:F, MATCH($D1849, 'SCR DATA'!A:A, 0)), "")</f>
        <v>TMS</v>
      </c>
      <c r="M1849" s="3" t="str">
        <f>IFERROR(INDEX('SCR DATA'!G:G, MATCH($D1849, 'SCR DATA'!A:A, 0)), "")</f>
        <v>TMS</v>
      </c>
      <c r="N1849" s="3" t="str">
        <f t="shared" si="319"/>
        <v/>
      </c>
    </row>
    <row r="1850" spans="1:19">
      <c r="A1850" s="3">
        <v>6195</v>
      </c>
      <c r="B1850" s="83">
        <f t="array" ref="B1850">SUM(--(FREQUENCY(IF(C$2:C$3074=C1850, MATCH(D$2:D$3074, D$2:D$3074, 0)), ROW(D$2:D$3074)-ROW(D$2)+1) &gt; 0))</f>
        <v>9</v>
      </c>
      <c r="C1850" s="327">
        <v>41200153</v>
      </c>
      <c r="D1850" s="541" t="s">
        <v>3377</v>
      </c>
      <c r="E1850" s="3" t="s">
        <v>1422</v>
      </c>
      <c r="F1850" s="3" t="s">
        <v>1476</v>
      </c>
      <c r="G1850" s="68" t="str">
        <f t="shared" si="322"/>
        <v>DUAL</v>
      </c>
      <c r="H1850" s="197">
        <f t="shared" si="320"/>
        <v>48</v>
      </c>
      <c r="I1850" s="197">
        <v>11</v>
      </c>
      <c r="J1850" s="197">
        <v>27</v>
      </c>
      <c r="K1850" s="186">
        <f t="shared" si="321"/>
        <v>45988</v>
      </c>
      <c r="L1850" s="3" t="str">
        <f>IFERROR(INDEX('SCR DATA'!F:F, MATCH($D1850, 'SCR DATA'!A:A, 0)), "")</f>
        <v>FNI</v>
      </c>
      <c r="M1850" s="3" t="str">
        <f>IFERROR(INDEX('SCR DATA'!G:G, MATCH($D1850, 'SCR DATA'!A:A, 0)), "")</f>
        <v>C&amp;A</v>
      </c>
      <c r="N1850" s="3" t="str">
        <f t="shared" si="319"/>
        <v/>
      </c>
    </row>
    <row r="1851" spans="1:19">
      <c r="A1851" s="3">
        <v>6141</v>
      </c>
      <c r="B1851" s="83">
        <f t="array" ref="B1851">SUM(--(FREQUENCY(IF(C$2:C$3074=C1851, MATCH(D$2:D$3074, D$2:D$3074, 0)), ROW(D$2:D$3074)-ROW(D$2)+1) &gt; 0))</f>
        <v>30</v>
      </c>
      <c r="C1851" s="3">
        <v>41200109</v>
      </c>
      <c r="D1851" s="6" t="s">
        <v>3378</v>
      </c>
      <c r="E1851" s="3" t="s">
        <v>1585</v>
      </c>
      <c r="F1851" s="3" t="s">
        <v>1591</v>
      </c>
      <c r="G1851" s="68" t="str">
        <f t="shared" si="322"/>
        <v>SINGLE</v>
      </c>
      <c r="H1851" s="197">
        <f t="shared" si="320"/>
        <v>48</v>
      </c>
      <c r="I1851" s="197">
        <v>11</v>
      </c>
      <c r="J1851" s="197">
        <v>27</v>
      </c>
      <c r="K1851" s="186">
        <f t="shared" si="321"/>
        <v>45988</v>
      </c>
      <c r="L1851" s="3" t="str">
        <f>IFERROR(INDEX('SCR DATA'!F:F, MATCH($D1851, 'SCR DATA'!A:A, 0)), "")</f>
        <v>FNI</v>
      </c>
      <c r="M1851" s="3" t="str">
        <f>IFERROR(INDEX('SCR DATA'!G:G, MATCH($D1851, 'SCR DATA'!A:A, 0)), "")</f>
        <v>C&amp;A</v>
      </c>
      <c r="N1851" s="3" t="str">
        <f t="shared" si="319"/>
        <v/>
      </c>
    </row>
    <row r="1852" spans="1:19">
      <c r="A1852" s="3">
        <v>6141</v>
      </c>
      <c r="B1852" s="83">
        <f t="array" ref="B1852">SUM(--(FREQUENCY(IF(C$2:C$3074=C1852, MATCH(D$2:D$3074, D$2:D$3074, 0)), ROW(D$2:D$3074)-ROW(D$2)+1) &gt; 0))</f>
        <v>30</v>
      </c>
      <c r="C1852" s="3">
        <v>41200109</v>
      </c>
      <c r="D1852" s="6" t="s">
        <v>3379</v>
      </c>
      <c r="E1852" s="3" t="s">
        <v>1585</v>
      </c>
      <c r="F1852" s="3" t="s">
        <v>1591</v>
      </c>
      <c r="G1852" s="68" t="str">
        <f t="shared" si="322"/>
        <v>SINGLE</v>
      </c>
      <c r="H1852" s="197">
        <f t="shared" si="320"/>
        <v>48</v>
      </c>
      <c r="I1852" s="197">
        <v>11</v>
      </c>
      <c r="J1852" s="197">
        <v>27</v>
      </c>
      <c r="K1852" s="186">
        <f t="shared" si="321"/>
        <v>45988</v>
      </c>
      <c r="L1852" s="3" t="str">
        <f>IFERROR(INDEX('SCR DATA'!F:F, MATCH($D1852, 'SCR DATA'!A:A, 0)), "")</f>
        <v>FNI</v>
      </c>
      <c r="M1852" s="3" t="str">
        <f>IFERROR(INDEX('SCR DATA'!G:G, MATCH($D1852, 'SCR DATA'!A:A, 0)), "")</f>
        <v>C&amp;A</v>
      </c>
      <c r="N1852" s="3" t="str">
        <f t="shared" si="319"/>
        <v/>
      </c>
    </row>
    <row r="1853" spans="1:19">
      <c r="A1853" s="3">
        <v>6082</v>
      </c>
      <c r="B1853" s="83">
        <f t="array" ref="B1853">SUM(--(FREQUENCY(IF(C$2:C$3074=C1853, MATCH(D$2:D$3074, D$2:D$3074, 0)), ROW(D$2:D$3074)-ROW(D$2)+1) &gt; 0))</f>
        <v>102</v>
      </c>
      <c r="C1853" s="3">
        <v>41200006</v>
      </c>
      <c r="D1853" s="6" t="s">
        <v>3380</v>
      </c>
      <c r="E1853" s="3" t="s">
        <v>1405</v>
      </c>
      <c r="F1853" s="3" t="s">
        <v>1477</v>
      </c>
      <c r="G1853" s="68" t="str">
        <f t="shared" si="322"/>
        <v>SINGLE</v>
      </c>
      <c r="H1853" s="197">
        <f t="shared" si="320"/>
        <v>48</v>
      </c>
      <c r="I1853" s="197">
        <v>11</v>
      </c>
      <c r="J1853" s="197">
        <v>27</v>
      </c>
      <c r="K1853" s="186">
        <f t="shared" si="321"/>
        <v>45988</v>
      </c>
      <c r="L1853" s="3" t="str">
        <f>IFERROR(INDEX('SCR DATA'!F:F, MATCH($D1853, 'SCR DATA'!A:A, 0)), "")</f>
        <v>BAT</v>
      </c>
      <c r="M1853" s="3" t="str">
        <f>IFERROR(INDEX('SCR DATA'!G:G, MATCH($D1853, 'SCR DATA'!A:A, 0)), "")</f>
        <v>P&amp;S</v>
      </c>
      <c r="N1853" s="3" t="str">
        <f t="shared" si="319"/>
        <v/>
      </c>
    </row>
    <row r="1854" spans="1:19">
      <c r="A1854" s="3">
        <v>6181</v>
      </c>
      <c r="B1854" s="83">
        <f t="array" ref="B1854">SUM(--(FREQUENCY(IF(C$2:C$3074=C1854, MATCH(D$2:D$3074, D$2:D$3074, 0)), ROW(D$2:D$3074)-ROW(D$2)+1) &gt; 0))</f>
        <v>32</v>
      </c>
      <c r="C1854" s="3">
        <v>41200122</v>
      </c>
      <c r="D1854" s="6" t="s">
        <v>3386</v>
      </c>
      <c r="E1854" s="3" t="s">
        <v>1585</v>
      </c>
      <c r="F1854" s="3" t="s">
        <v>1476</v>
      </c>
      <c r="G1854" s="68" t="str">
        <f t="shared" si="322"/>
        <v>DUAL</v>
      </c>
      <c r="H1854" s="197">
        <f t="shared" si="320"/>
        <v>48</v>
      </c>
      <c r="I1854" s="197">
        <v>11</v>
      </c>
      <c r="J1854" s="197">
        <v>27</v>
      </c>
      <c r="K1854" s="186">
        <f t="shared" si="321"/>
        <v>45988</v>
      </c>
      <c r="L1854" s="3" t="str">
        <f>IFERROR(INDEX('SCR DATA'!F:F, MATCH($D1854, 'SCR DATA'!A:A, 0)), "")</f>
        <v>FNI</v>
      </c>
      <c r="M1854" s="3" t="str">
        <f>IFERROR(INDEX('SCR DATA'!G:G, MATCH($D1854, 'SCR DATA'!A:A, 0)), "")</f>
        <v>TMS</v>
      </c>
      <c r="N1854" s="3" t="str">
        <f t="shared" si="319"/>
        <v/>
      </c>
    </row>
    <row r="1855" spans="1:19">
      <c r="A1855" s="3">
        <v>6067</v>
      </c>
      <c r="B1855" s="83">
        <f t="array" ref="B1855">SUM(--(FREQUENCY(IF(C$2:C$3074=C1855, MATCH(D$2:D$3074, D$2:D$3074, 0)), ROW(D$2:D$3074)-ROW(D$2)+1) &gt; 0))</f>
        <v>33</v>
      </c>
      <c r="C1855" s="3">
        <v>41100435</v>
      </c>
      <c r="D1855" s="6" t="s">
        <v>3394</v>
      </c>
      <c r="E1855" s="3" t="s">
        <v>1585</v>
      </c>
      <c r="F1855" s="3" t="s">
        <v>1482</v>
      </c>
      <c r="G1855" s="68" t="str">
        <f t="shared" si="322"/>
        <v>SINGLE</v>
      </c>
      <c r="H1855" s="197">
        <f t="shared" si="320"/>
        <v>48</v>
      </c>
      <c r="I1855" s="197">
        <v>11</v>
      </c>
      <c r="J1855" s="197">
        <v>27</v>
      </c>
      <c r="K1855" s="186">
        <f t="shared" si="321"/>
        <v>45988</v>
      </c>
      <c r="L1855" s="3" t="str">
        <f>IFERROR(INDEX('SCR DATA'!F:F, MATCH($D1855, 'SCR DATA'!A:A, 0)), "")</f>
        <v>FNI</v>
      </c>
      <c r="M1855" s="3" t="str">
        <f>IFERROR(INDEX('SCR DATA'!G:G, MATCH($D1855, 'SCR DATA'!A:A, 0)), "")</f>
        <v>TMS</v>
      </c>
      <c r="N1855" s="3" t="str">
        <f t="shared" ref="N1855:N1916" si="323">IF(O1855&lt;&gt;"", "NG", "")</f>
        <v/>
      </c>
    </row>
    <row r="1856" spans="1:19">
      <c r="A1856" s="3">
        <v>6036</v>
      </c>
      <c r="B1856" s="83">
        <f t="array" ref="B1856">SUM(--(FREQUENCY(IF(C$2:C$3074=C1856, MATCH(D$2:D$3074, D$2:D$3074, 0)), ROW(D$2:D$3074)-ROW(D$2)+1) &gt; 0))</f>
        <v>20</v>
      </c>
      <c r="C1856" s="3">
        <v>41200033</v>
      </c>
      <c r="D1856" s="6" t="s">
        <v>3384</v>
      </c>
      <c r="E1856" s="3" t="s">
        <v>1426</v>
      </c>
      <c r="F1856" s="3" t="s">
        <v>1476</v>
      </c>
      <c r="G1856" s="68" t="str">
        <f t="shared" si="322"/>
        <v>DUAL</v>
      </c>
      <c r="H1856" s="197">
        <f t="shared" si="320"/>
        <v>48</v>
      </c>
      <c r="I1856" s="197">
        <v>11</v>
      </c>
      <c r="J1856" s="197">
        <v>27</v>
      </c>
      <c r="K1856" s="186">
        <f t="shared" si="321"/>
        <v>45988</v>
      </c>
      <c r="L1856" s="3" t="str">
        <f>IFERROR(INDEX('SCR DATA'!F:F, MATCH($D1856, 'SCR DATA'!A:A, 0)), "")</f>
        <v>GST</v>
      </c>
      <c r="M1856" s="3" t="str">
        <f>IFERROR(INDEX('SCR DATA'!G:G, MATCH($D1856, 'SCR DATA'!A:A, 0)), "")</f>
        <v>GST</v>
      </c>
      <c r="N1856" s="3" t="str">
        <f t="shared" si="323"/>
        <v/>
      </c>
    </row>
    <row r="1857" spans="1:19">
      <c r="A1857" s="3">
        <v>6229</v>
      </c>
      <c r="B1857" s="83">
        <f t="array" ref="B1857">SUM(--(FREQUENCY(IF(C$2:C$3074=C1857, MATCH(D$2:D$3074, D$2:D$3074, 0)), ROW(D$2:D$3074)-ROW(D$2)+1) &gt; 0))</f>
        <v>1</v>
      </c>
      <c r="C1857" s="3">
        <f>IFERROR(INDEX('SCR DATA'!B:B, MATCH($D1857, 'SCR DATA'!A:A, 0)), "")</f>
        <v>41200175</v>
      </c>
      <c r="D1857" s="6" t="s">
        <v>3385</v>
      </c>
      <c r="E1857" s="3" t="str">
        <f>IFERROR(INDEX('SCR DATA'!E:E, MATCH($D1857, 'SCR DATA'!A:A, 0)), "")</f>
        <v>MICRON JP</v>
      </c>
      <c r="F1857" s="3" t="str">
        <f>IFERROR(INDEX('SCR DATA'!C:C, MATCH($D1857, 'SCR DATA'!A:A, 0)), "")</f>
        <v>GAIA-I DUAL</v>
      </c>
      <c r="G1857" s="68" t="str">
        <f t="shared" ref="G1857:G1905" si="324">IF(OR(ISNUMBER(SEARCH("DUAL",F1857)), ISNUMBER(SEARCH("IVAS",F1857))), "DUAL", "SINGLE")</f>
        <v>DUAL</v>
      </c>
      <c r="H1857" s="197">
        <f t="shared" si="320"/>
        <v>48</v>
      </c>
      <c r="I1857" s="197">
        <v>11</v>
      </c>
      <c r="J1857" s="197">
        <v>28</v>
      </c>
      <c r="K1857" s="186">
        <f t="shared" si="321"/>
        <v>45989</v>
      </c>
      <c r="L1857" s="3" t="str">
        <f>IFERROR(INDEX('SCR DATA'!F:F, MATCH($D1857, 'SCR DATA'!A:A, 0)), "")</f>
        <v>BAT</v>
      </c>
      <c r="M1857" s="3" t="str">
        <f>IFERROR(INDEX('SCR DATA'!G:G, MATCH($D1857, 'SCR DATA'!A:A, 0)), "")</f>
        <v>P&amp;S</v>
      </c>
      <c r="N1857" s="3" t="str">
        <f t="shared" si="323"/>
        <v/>
      </c>
    </row>
    <row r="1858" spans="1:19">
      <c r="A1858" s="3">
        <v>6064</v>
      </c>
      <c r="B1858" s="83">
        <f t="array" ref="B1858">SUM(--(FREQUENCY(IF(C$2:C$3074=C1858, MATCH(D$2:D$3074, D$2:D$3074, 0)), ROW(D$2:D$3074)-ROW(D$2)+1) &gt; 0))</f>
        <v>3</v>
      </c>
      <c r="C1858" s="3">
        <f>IFERROR(INDEX('SCR DATA'!B:B, MATCH($D1858, 'SCR DATA'!A:A, 0)), "")</f>
        <v>41200066</v>
      </c>
      <c r="D1858" s="6" t="s">
        <v>3400</v>
      </c>
      <c r="E1858" s="3" t="str">
        <f>IFERROR(INDEX('SCR DATA'!E:E, MATCH($D1858, 'SCR DATA'!A:A, 0)), "")</f>
        <v>MICRON JP</v>
      </c>
      <c r="F1858" s="3" t="str">
        <f>IFERROR(INDEX('SCR DATA'!C:C, MATCH($D1858, 'SCR DATA'!A:A, 0)), "")</f>
        <v>GAIA-I DUAL</v>
      </c>
      <c r="G1858" s="68" t="str">
        <f t="shared" si="324"/>
        <v>DUAL</v>
      </c>
      <c r="H1858" s="197">
        <f t="shared" si="320"/>
        <v>48</v>
      </c>
      <c r="I1858" s="197">
        <v>11</v>
      </c>
      <c r="J1858" s="197">
        <v>28</v>
      </c>
      <c r="K1858" s="186">
        <f t="shared" si="321"/>
        <v>45989</v>
      </c>
      <c r="L1858" s="3" t="str">
        <f>IFERROR(INDEX('SCR DATA'!F:F, MATCH($D1858, 'SCR DATA'!A:A, 0)), "")</f>
        <v>BAT</v>
      </c>
      <c r="M1858" s="3" t="str">
        <f>IFERROR(INDEX('SCR DATA'!G:G, MATCH($D1858, 'SCR DATA'!A:A, 0)), "")</f>
        <v>P&amp;S</v>
      </c>
      <c r="N1858" s="3" t="str">
        <f t="shared" si="323"/>
        <v>NG</v>
      </c>
      <c r="O1858" s="3" t="s">
        <v>61</v>
      </c>
      <c r="P1858" s="3" t="s">
        <v>1385</v>
      </c>
      <c r="Q1858" s="3">
        <v>11002195</v>
      </c>
      <c r="R1858" s="3" t="s">
        <v>438</v>
      </c>
      <c r="S1858" s="3" t="s">
        <v>5416</v>
      </c>
    </row>
    <row r="1859" spans="1:19">
      <c r="A1859" s="3">
        <v>6207</v>
      </c>
      <c r="B1859" s="83">
        <f t="array" ref="B1859">SUM(--(FREQUENCY(IF(C$2:C$3074=C1859, MATCH(D$2:D$3074, D$2:D$3074, 0)), ROW(D$2:D$3074)-ROW(D$2)+1) &gt; 0))</f>
        <v>144</v>
      </c>
      <c r="C1859" s="3">
        <f>IFERROR(INDEX('SCR DATA'!B:B, MATCH($D1859, 'SCR DATA'!A:A, 0)), "")</f>
        <v>41200007</v>
      </c>
      <c r="D1859" s="6" t="s">
        <v>3382</v>
      </c>
      <c r="E1859" s="3" t="str">
        <f>IFERROR(INDEX('SCR DATA'!E:E, MATCH($D1859, 'SCR DATA'!A:A, 0)), "")</f>
        <v>SEC</v>
      </c>
      <c r="F1859" s="3" t="str">
        <f>IFERROR(INDEX('SCR DATA'!C:C, MATCH($D1859, 'SCR DATA'!A:A, 0)), "")</f>
        <v>GAIA-I</v>
      </c>
      <c r="G1859" s="41" t="str">
        <f t="shared" si="324"/>
        <v>SINGLE</v>
      </c>
      <c r="H1859" s="197">
        <f t="shared" si="320"/>
        <v>48</v>
      </c>
      <c r="I1859" s="197">
        <v>11</v>
      </c>
      <c r="J1859" s="197">
        <v>28</v>
      </c>
      <c r="K1859" s="186">
        <f t="shared" si="321"/>
        <v>45989</v>
      </c>
      <c r="L1859" s="3" t="str">
        <f>IFERROR(INDEX('SCR DATA'!F:F, MATCH($D1859, 'SCR DATA'!A:A, 0)), "")</f>
        <v>BAT</v>
      </c>
      <c r="M1859" s="3" t="str">
        <f>IFERROR(INDEX('SCR DATA'!G:G, MATCH($D1859, 'SCR DATA'!A:A, 0)), "")</f>
        <v>P&amp;S</v>
      </c>
      <c r="N1859" s="3" t="str">
        <f t="shared" si="323"/>
        <v>NG</v>
      </c>
      <c r="O1859" s="3" t="s">
        <v>2368</v>
      </c>
      <c r="P1859" s="3" t="s">
        <v>2563</v>
      </c>
      <c r="Q1859" s="3">
        <v>11000198</v>
      </c>
      <c r="R1859" s="3" t="s">
        <v>816</v>
      </c>
      <c r="S1859" s="3" t="s">
        <v>5417</v>
      </c>
    </row>
    <row r="1860" spans="1:19">
      <c r="A1860" s="3">
        <v>6207</v>
      </c>
      <c r="B1860" s="83">
        <f t="array" ref="B1860">SUM(--(FREQUENCY(IF(C$2:C$3074=C1860, MATCH(D$2:D$3074, D$2:D$3074, 0)), ROW(D$2:D$3074)-ROW(D$2)+1) &gt; 0))</f>
        <v>144</v>
      </c>
      <c r="C1860" s="3">
        <f>IFERROR(INDEX('SCR DATA'!B:B, MATCH($D1860, 'SCR DATA'!A:A, 0)), "")</f>
        <v>41200007</v>
      </c>
      <c r="D1860" s="6" t="s">
        <v>3382</v>
      </c>
      <c r="E1860" s="3" t="str">
        <f>IFERROR(INDEX('SCR DATA'!E:E, MATCH($D1860, 'SCR DATA'!A:A, 0)), "")</f>
        <v>SEC</v>
      </c>
      <c r="F1860" s="3" t="str">
        <f>IFERROR(INDEX('SCR DATA'!C:C, MATCH($D1860, 'SCR DATA'!A:A, 0)), "")</f>
        <v>GAIA-I</v>
      </c>
      <c r="G1860" s="41" t="str">
        <f t="shared" ref="G1860" si="325">IF(OR(ISNUMBER(SEARCH("DUAL",F1860)), ISNUMBER(SEARCH("IVAS",F1860))), "DUAL", "SINGLE")</f>
        <v>SINGLE</v>
      </c>
      <c r="H1860" s="197">
        <f t="shared" ref="H1860" si="326">WEEKNUM(K1860)</f>
        <v>48</v>
      </c>
      <c r="I1860" s="197">
        <v>11</v>
      </c>
      <c r="J1860" s="197">
        <v>28</v>
      </c>
      <c r="K1860" s="186">
        <f t="shared" ref="K1860" si="327">DATE(2025, I1860, J1860)</f>
        <v>45989</v>
      </c>
      <c r="L1860" s="3" t="str">
        <f>IFERROR(INDEX('SCR DATA'!F:F, MATCH($D1860, 'SCR DATA'!A:A, 0)), "")</f>
        <v>BAT</v>
      </c>
      <c r="M1860" s="3" t="str">
        <f>IFERROR(INDEX('SCR DATA'!G:G, MATCH($D1860, 'SCR DATA'!A:A, 0)), "")</f>
        <v>P&amp;S</v>
      </c>
      <c r="N1860" s="3" t="str">
        <f t="shared" si="323"/>
        <v>NG</v>
      </c>
      <c r="O1860" s="3" t="s">
        <v>2368</v>
      </c>
      <c r="P1860" s="3" t="s">
        <v>1387</v>
      </c>
      <c r="Q1860" s="3">
        <v>11003643</v>
      </c>
      <c r="R1860" s="3" t="s">
        <v>953</v>
      </c>
      <c r="S1860" s="3" t="s">
        <v>4758</v>
      </c>
    </row>
    <row r="1861" spans="1:19">
      <c r="A1861" s="3">
        <v>6207</v>
      </c>
      <c r="B1861" s="83">
        <f t="array" ref="B1861">SUM(--(FREQUENCY(IF(C$2:C$3074=C1861, MATCH(D$2:D$3074, D$2:D$3074, 0)), ROW(D$2:D$3074)-ROW(D$2)+1) &gt; 0))</f>
        <v>144</v>
      </c>
      <c r="C1861" s="3">
        <f>IFERROR(INDEX('SCR DATA'!B:B, MATCH($D1861, 'SCR DATA'!A:A, 0)), "")</f>
        <v>41200007</v>
      </c>
      <c r="D1861" s="6" t="s">
        <v>3383</v>
      </c>
      <c r="E1861" s="3" t="str">
        <f>IFERROR(INDEX('SCR DATA'!E:E, MATCH($D1861, 'SCR DATA'!A:A, 0)), "")</f>
        <v>SEC</v>
      </c>
      <c r="F1861" s="3" t="str">
        <f>IFERROR(INDEX('SCR DATA'!C:C, MATCH($D1861, 'SCR DATA'!A:A, 0)), "")</f>
        <v>GAIA-I</v>
      </c>
      <c r="G1861" s="68" t="str">
        <f t="shared" ref="G1861" si="328">IF(OR(ISNUMBER(SEARCH("DUAL",F1861)), ISNUMBER(SEARCH("IVAS",F1861))), "DUAL", "SINGLE")</f>
        <v>SINGLE</v>
      </c>
      <c r="H1861" s="197">
        <f t="shared" ref="H1861" si="329">WEEKNUM(K1861)</f>
        <v>48</v>
      </c>
      <c r="I1861" s="197">
        <v>11</v>
      </c>
      <c r="J1861" s="197">
        <v>28</v>
      </c>
      <c r="K1861" s="186">
        <f t="shared" ref="K1861" si="330">DATE(2025, I1861, J1861)</f>
        <v>45989</v>
      </c>
      <c r="L1861" s="3" t="str">
        <f>IFERROR(INDEX('SCR DATA'!F:F, MATCH($D1861, 'SCR DATA'!A:A, 0)), "")</f>
        <v>BAT</v>
      </c>
      <c r="M1861" s="3" t="str">
        <f>IFERROR(INDEX('SCR DATA'!G:G, MATCH($D1861, 'SCR DATA'!A:A, 0)), "")</f>
        <v>P&amp;S</v>
      </c>
      <c r="N1861" s="3" t="str">
        <f t="shared" ref="N1861" si="331">IF(O1861&lt;&gt;"", "NG", "")</f>
        <v>NG</v>
      </c>
      <c r="O1861" s="3" t="s">
        <v>2368</v>
      </c>
      <c r="P1861" s="3" t="s">
        <v>2563</v>
      </c>
      <c r="Q1861" s="3">
        <v>11000198</v>
      </c>
      <c r="R1861" s="3" t="s">
        <v>816</v>
      </c>
      <c r="S1861" s="3" t="s">
        <v>5417</v>
      </c>
    </row>
    <row r="1862" spans="1:19">
      <c r="A1862" s="3">
        <v>6351</v>
      </c>
      <c r="B1862" s="83">
        <f t="array" ref="B1862">SUM(--(FREQUENCY(IF(C$2:C$3074=C1862, MATCH(D$2:D$3074, D$2:D$3074, 0)), ROW(D$2:D$3074)-ROW(D$2)+1) &gt; 0))</f>
        <v>7</v>
      </c>
      <c r="C1862" s="3">
        <f>IFERROR(INDEX('SCR DATA'!B:B, MATCH($D1862, 'SCR DATA'!A:A, 0)), "")</f>
        <v>41200042</v>
      </c>
      <c r="D1862" s="6" t="s">
        <v>3381</v>
      </c>
      <c r="E1862" s="3" t="str">
        <f>IFERROR(INDEX('SCR DATA'!E:E, MATCH($D1862, 'SCR DATA'!A:A, 0)), "")</f>
        <v>YMTC</v>
      </c>
      <c r="F1862" s="3" t="str">
        <f>IFERROR(INDEX('SCR DATA'!C:C, MATCH($D1862, 'SCR DATA'!A:A, 0)), "")</f>
        <v>GAIA-I DUAL</v>
      </c>
      <c r="G1862" s="68" t="str">
        <f t="shared" si="324"/>
        <v>DUAL</v>
      </c>
      <c r="H1862" s="197">
        <f t="shared" si="320"/>
        <v>49</v>
      </c>
      <c r="I1862" s="197">
        <v>12</v>
      </c>
      <c r="J1862" s="197">
        <v>1</v>
      </c>
      <c r="K1862" s="186">
        <f t="shared" si="321"/>
        <v>45992</v>
      </c>
      <c r="L1862" s="3" t="str">
        <f>IFERROR(INDEX('SCR DATA'!F:F, MATCH($D1862, 'SCR DATA'!A:A, 0)), "")</f>
        <v>FNI</v>
      </c>
      <c r="M1862" s="3" t="str">
        <f>IFERROR(INDEX('SCR DATA'!G:G, MATCH($D1862, 'SCR DATA'!A:A, 0)), "")</f>
        <v>C&amp;A</v>
      </c>
      <c r="N1862" s="3" t="str">
        <f t="shared" si="323"/>
        <v/>
      </c>
    </row>
    <row r="1863" spans="1:19">
      <c r="A1863" s="3">
        <v>6289</v>
      </c>
      <c r="B1863" s="83">
        <f t="array" ref="B1863">SUM(--(FREQUENCY(IF(C$2:C$3074=C1863, MATCH(D$2:D$3074, D$2:D$3074, 0)), ROW(D$2:D$3074)-ROW(D$2)+1) &gt; 0))</f>
        <v>4</v>
      </c>
      <c r="C1863" s="3">
        <f>IFERROR(INDEX('SCR DATA'!B:B, MATCH($D1863, 'SCR DATA'!A:A, 0)), "")</f>
        <v>41200149</v>
      </c>
      <c r="D1863" s="6" t="s">
        <v>3388</v>
      </c>
      <c r="E1863" s="3" t="str">
        <f>IFERROR(INDEX('SCR DATA'!E:E, MATCH($D1863, 'SCR DATA'!A:A, 0)), "")</f>
        <v>YMTC</v>
      </c>
      <c r="F1863" s="3" t="str">
        <f>IFERROR(INDEX('SCR DATA'!C:C, MATCH($D1863, 'SCR DATA'!A:A, 0)), "")</f>
        <v>GAIA-I DUAL</v>
      </c>
      <c r="G1863" s="68" t="str">
        <f t="shared" si="324"/>
        <v>DUAL</v>
      </c>
      <c r="H1863" s="197">
        <f t="shared" si="320"/>
        <v>49</v>
      </c>
      <c r="I1863" s="197">
        <v>12</v>
      </c>
      <c r="J1863" s="197">
        <v>1</v>
      </c>
      <c r="K1863" s="186">
        <f t="shared" si="321"/>
        <v>45992</v>
      </c>
      <c r="L1863" s="3" t="str">
        <f>IFERROR(INDEX('SCR DATA'!F:F, MATCH($D1863, 'SCR DATA'!A:A, 0)), "")</f>
        <v>FNI</v>
      </c>
      <c r="M1863" s="3" t="str">
        <f>IFERROR(INDEX('SCR DATA'!G:G, MATCH($D1863, 'SCR DATA'!A:A, 0)), "")</f>
        <v>TMS</v>
      </c>
      <c r="N1863" s="3" t="str">
        <f t="shared" si="323"/>
        <v/>
      </c>
    </row>
    <row r="1864" spans="1:19">
      <c r="A1864" s="3">
        <v>6185</v>
      </c>
      <c r="B1864" s="83">
        <f t="array" ref="B1864">SUM(--(FREQUENCY(IF(C$2:C$3074=C1864, MATCH(D$2:D$3074, D$2:D$3074, 0)), ROW(D$2:D$3074)-ROW(D$2)+1) &gt; 0))</f>
        <v>12</v>
      </c>
      <c r="C1864" s="3">
        <f>IFERROR(INDEX('SCR DATA'!B:B, MATCH($D1864, 'SCR DATA'!A:A, 0)), "")</f>
        <v>41200152</v>
      </c>
      <c r="D1864" s="6" t="s">
        <v>3389</v>
      </c>
      <c r="E1864" s="3" t="str">
        <f>IFERROR(INDEX('SCR DATA'!E:E, MATCH($D1864, 'SCR DATA'!A:A, 0)), "")</f>
        <v>MICRON TW</v>
      </c>
      <c r="F1864" s="3" t="str">
        <f>IFERROR(INDEX('SCR DATA'!C:C, MATCH($D1864, 'SCR DATA'!A:A, 0)), "")</f>
        <v>GAIA-I DUAL</v>
      </c>
      <c r="G1864" s="68" t="str">
        <f t="shared" si="324"/>
        <v>DUAL</v>
      </c>
      <c r="H1864" s="197">
        <f t="shared" si="320"/>
        <v>49</v>
      </c>
      <c r="I1864" s="197">
        <v>12</v>
      </c>
      <c r="J1864" s="197">
        <v>1</v>
      </c>
      <c r="K1864" s="186">
        <f t="shared" si="321"/>
        <v>45992</v>
      </c>
      <c r="L1864" s="3" t="str">
        <f>IFERROR(INDEX('SCR DATA'!F:F, MATCH($D1864, 'SCR DATA'!A:A, 0)), "")</f>
        <v>GST</v>
      </c>
      <c r="M1864" s="3" t="str">
        <f>IFERROR(INDEX('SCR DATA'!G:G, MATCH($D1864, 'SCR DATA'!A:A, 0)), "")</f>
        <v>GST</v>
      </c>
      <c r="N1864" s="3" t="str">
        <f t="shared" si="323"/>
        <v/>
      </c>
    </row>
    <row r="1865" spans="1:19">
      <c r="A1865" s="3">
        <v>6185</v>
      </c>
      <c r="B1865" s="83">
        <f t="array" ref="B1865">SUM(--(FREQUENCY(IF(C$2:C$3074=C1865, MATCH(D$2:D$3074, D$2:D$3074, 0)), ROW(D$2:D$3074)-ROW(D$2)+1) &gt; 0))</f>
        <v>12</v>
      </c>
      <c r="C1865" s="3">
        <f>IFERROR(INDEX('SCR DATA'!B:B, MATCH($D1865, 'SCR DATA'!A:A, 0)), "")</f>
        <v>41200152</v>
      </c>
      <c r="D1865" s="6" t="s">
        <v>3390</v>
      </c>
      <c r="E1865" s="3" t="str">
        <f>IFERROR(INDEX('SCR DATA'!E:E, MATCH($D1865, 'SCR DATA'!A:A, 0)), "")</f>
        <v>MICRON TW</v>
      </c>
      <c r="F1865" s="3" t="str">
        <f>IFERROR(INDEX('SCR DATA'!C:C, MATCH($D1865, 'SCR DATA'!A:A, 0)), "")</f>
        <v>GAIA-I DUAL</v>
      </c>
      <c r="G1865" s="68" t="str">
        <f t="shared" si="324"/>
        <v>DUAL</v>
      </c>
      <c r="H1865" s="197">
        <f t="shared" si="320"/>
        <v>49</v>
      </c>
      <c r="I1865" s="197">
        <v>12</v>
      </c>
      <c r="J1865" s="197">
        <v>1</v>
      </c>
      <c r="K1865" s="186">
        <f t="shared" si="321"/>
        <v>45992</v>
      </c>
      <c r="L1865" s="3" t="str">
        <f>IFERROR(INDEX('SCR DATA'!F:F, MATCH($D1865, 'SCR DATA'!A:A, 0)), "")</f>
        <v>GST</v>
      </c>
      <c r="M1865" s="3" t="str">
        <f>IFERROR(INDEX('SCR DATA'!G:G, MATCH($D1865, 'SCR DATA'!A:A, 0)), "")</f>
        <v>GST</v>
      </c>
      <c r="N1865" s="3" t="str">
        <f t="shared" si="323"/>
        <v/>
      </c>
    </row>
    <row r="1866" spans="1:19">
      <c r="A1866" s="3">
        <v>6207</v>
      </c>
      <c r="B1866" s="83">
        <f t="array" ref="B1866">SUM(--(FREQUENCY(IF(C$2:C$3074=C1866, MATCH(D$2:D$3074, D$2:D$3074, 0)), ROW(D$2:D$3074)-ROW(D$2)+1) &gt; 0))</f>
        <v>144</v>
      </c>
      <c r="C1866" s="3">
        <f>IFERROR(INDEX('SCR DATA'!B:B, MATCH($D1866, 'SCR DATA'!A:A, 0)), "")</f>
        <v>41200007</v>
      </c>
      <c r="D1866" s="6" t="s">
        <v>3391</v>
      </c>
      <c r="E1866" s="3" t="str">
        <f>IFERROR(INDEX('SCR DATA'!E:E, MATCH($D1866, 'SCR DATA'!A:A, 0)), "")</f>
        <v>SEC</v>
      </c>
      <c r="F1866" s="3" t="str">
        <f>IFERROR(INDEX('SCR DATA'!C:C, MATCH($D1866, 'SCR DATA'!A:A, 0)), "")</f>
        <v>GAIA-I</v>
      </c>
      <c r="G1866" s="68" t="str">
        <f t="shared" si="324"/>
        <v>SINGLE</v>
      </c>
      <c r="H1866" s="197">
        <f t="shared" si="320"/>
        <v>49</v>
      </c>
      <c r="I1866" s="197">
        <v>12</v>
      </c>
      <c r="J1866" s="197">
        <v>1</v>
      </c>
      <c r="K1866" s="186">
        <f t="shared" si="321"/>
        <v>45992</v>
      </c>
      <c r="L1866" s="3" t="str">
        <f>IFERROR(INDEX('SCR DATA'!F:F, MATCH($D1866, 'SCR DATA'!A:A, 0)), "")</f>
        <v>BAT</v>
      </c>
      <c r="M1866" s="3" t="str">
        <f>IFERROR(INDEX('SCR DATA'!G:G, MATCH($D1866, 'SCR DATA'!A:A, 0)), "")</f>
        <v>P&amp;S</v>
      </c>
      <c r="N1866" s="3" t="str">
        <f t="shared" si="323"/>
        <v/>
      </c>
    </row>
    <row r="1867" spans="1:19">
      <c r="A1867" s="3">
        <v>6207</v>
      </c>
      <c r="B1867" s="83">
        <f t="array" ref="B1867">SUM(--(FREQUENCY(IF(C$2:C$3074=C1867, MATCH(D$2:D$3074, D$2:D$3074, 0)), ROW(D$2:D$3074)-ROW(D$2)+1) &gt; 0))</f>
        <v>144</v>
      </c>
      <c r="C1867" s="3">
        <f>IFERROR(INDEX('SCR DATA'!B:B, MATCH($D1867, 'SCR DATA'!A:A, 0)), "")</f>
        <v>41200007</v>
      </c>
      <c r="D1867" s="6" t="s">
        <v>3392</v>
      </c>
      <c r="E1867" s="3" t="str">
        <f>IFERROR(INDEX('SCR DATA'!E:E, MATCH($D1867, 'SCR DATA'!A:A, 0)), "")</f>
        <v>SEC</v>
      </c>
      <c r="F1867" s="3" t="str">
        <f>IFERROR(INDEX('SCR DATA'!C:C, MATCH($D1867, 'SCR DATA'!A:A, 0)), "")</f>
        <v>GAIA-I</v>
      </c>
      <c r="G1867" s="68" t="str">
        <f t="shared" si="324"/>
        <v>SINGLE</v>
      </c>
      <c r="H1867" s="197">
        <f t="shared" si="320"/>
        <v>49</v>
      </c>
      <c r="I1867" s="197">
        <v>12</v>
      </c>
      <c r="J1867" s="197">
        <v>1</v>
      </c>
      <c r="K1867" s="186">
        <f t="shared" si="321"/>
        <v>45992</v>
      </c>
      <c r="L1867" s="3" t="str">
        <f>IFERROR(INDEX('SCR DATA'!F:F, MATCH($D1867, 'SCR DATA'!A:A, 0)), "")</f>
        <v>BAT</v>
      </c>
      <c r="M1867" s="3" t="str">
        <f>IFERROR(INDEX('SCR DATA'!G:G, MATCH($D1867, 'SCR DATA'!A:A, 0)), "")</f>
        <v>P&amp;S</v>
      </c>
      <c r="N1867" s="3" t="str">
        <f t="shared" si="323"/>
        <v/>
      </c>
    </row>
    <row r="1868" spans="1:19">
      <c r="A1868" s="3">
        <v>6207</v>
      </c>
      <c r="B1868" s="83">
        <f t="array" ref="B1868">SUM(--(FREQUENCY(IF(C$2:C$3074=C1868, MATCH(D$2:D$3074, D$2:D$3074, 0)), ROW(D$2:D$3074)-ROW(D$2)+1) &gt; 0))</f>
        <v>144</v>
      </c>
      <c r="C1868" s="3">
        <f>IFERROR(INDEX('SCR DATA'!B:B, MATCH($D1868, 'SCR DATA'!A:A, 0)), "")</f>
        <v>41200007</v>
      </c>
      <c r="D1868" s="6" t="s">
        <v>3393</v>
      </c>
      <c r="E1868" s="3" t="str">
        <f>IFERROR(INDEX('SCR DATA'!E:E, MATCH($D1868, 'SCR DATA'!A:A, 0)), "")</f>
        <v>SEC</v>
      </c>
      <c r="F1868" s="3" t="str">
        <f>IFERROR(INDEX('SCR DATA'!C:C, MATCH($D1868, 'SCR DATA'!A:A, 0)), "")</f>
        <v>GAIA-I</v>
      </c>
      <c r="G1868" s="68" t="str">
        <f t="shared" si="324"/>
        <v>SINGLE</v>
      </c>
      <c r="H1868" s="197">
        <f t="shared" si="320"/>
        <v>49</v>
      </c>
      <c r="I1868" s="197">
        <v>12</v>
      </c>
      <c r="J1868" s="197">
        <v>1</v>
      </c>
      <c r="K1868" s="186">
        <f t="shared" si="321"/>
        <v>45992</v>
      </c>
      <c r="L1868" s="3" t="str">
        <f>IFERROR(INDEX('SCR DATA'!F:F, MATCH($D1868, 'SCR DATA'!A:A, 0)), "")</f>
        <v>BAT</v>
      </c>
      <c r="M1868" s="3" t="str">
        <f>IFERROR(INDEX('SCR DATA'!G:G, MATCH($D1868, 'SCR DATA'!A:A, 0)), "")</f>
        <v>P&amp;S</v>
      </c>
      <c r="N1868" s="3" t="str">
        <f t="shared" si="323"/>
        <v/>
      </c>
    </row>
    <row r="1869" spans="1:19">
      <c r="A1869" s="3">
        <v>5974</v>
      </c>
      <c r="B1869" s="83">
        <f t="array" ref="B1869">SUM(--(FREQUENCY(IF(C$2:C$3074=C1869, MATCH(D$2:D$3074, D$2:D$3074, 0)), ROW(D$2:D$3074)-ROW(D$2)+1) &gt; 0))</f>
        <v>18</v>
      </c>
      <c r="C1869" s="3">
        <f>IFERROR(INDEX('SCR DATA'!B:B, MATCH($D1869, 'SCR DATA'!A:A, 0)), "")</f>
        <v>41000584</v>
      </c>
      <c r="D1869" s="6" t="s">
        <v>3398</v>
      </c>
      <c r="E1869" s="3" t="s">
        <v>1405</v>
      </c>
      <c r="F1869" s="3" t="s">
        <v>1581</v>
      </c>
      <c r="G1869" s="68" t="str">
        <f t="shared" si="324"/>
        <v>DUAL</v>
      </c>
      <c r="H1869" s="197">
        <f t="shared" si="320"/>
        <v>49</v>
      </c>
      <c r="I1869" s="197">
        <v>12</v>
      </c>
      <c r="J1869" s="197">
        <v>2</v>
      </c>
      <c r="K1869" s="186">
        <f t="shared" si="321"/>
        <v>45993</v>
      </c>
      <c r="L1869" s="3" t="str">
        <f>IFERROR(INDEX('SCR DATA'!F:F, MATCH($D1869, 'SCR DATA'!A:A, 0)), "")</f>
        <v>TMS</v>
      </c>
      <c r="M1869" s="3" t="str">
        <f>IFERROR(INDEX('SCR DATA'!G:G, MATCH($D1869, 'SCR DATA'!A:A, 0)), "")</f>
        <v>TMS</v>
      </c>
      <c r="N1869" s="3" t="str">
        <f t="shared" si="323"/>
        <v/>
      </c>
    </row>
    <row r="1870" spans="1:19">
      <c r="A1870" s="3">
        <v>6254</v>
      </c>
      <c r="B1870" s="83">
        <f t="array" ref="B1870">SUM(--(FREQUENCY(IF(C$2:C$3074=C1870, MATCH(D$2:D$3074, D$2:D$3074, 0)), ROW(D$2:D$3074)-ROW(D$2)+1) &gt; 0))</f>
        <v>77</v>
      </c>
      <c r="C1870" s="3">
        <f>IFERROR(INDEX('SCR DATA'!B:B, MATCH($D1870, 'SCR DATA'!A:A, 0)), "")</f>
        <v>41200076</v>
      </c>
      <c r="D1870" s="6" t="s">
        <v>3399</v>
      </c>
      <c r="E1870" s="3" t="s">
        <v>1585</v>
      </c>
      <c r="F1870" s="3" t="str">
        <f>IFERROR(INDEX('SCR DATA'!C:C, MATCH($D1870, 'SCR DATA'!A:A, 0)), "")</f>
        <v>GAIA-I DUAL</v>
      </c>
      <c r="G1870" s="68" t="str">
        <f t="shared" si="324"/>
        <v>DUAL</v>
      </c>
      <c r="H1870" s="197">
        <f t="shared" si="320"/>
        <v>49</v>
      </c>
      <c r="I1870" s="197">
        <v>12</v>
      </c>
      <c r="J1870" s="197">
        <v>2</v>
      </c>
      <c r="K1870" s="186">
        <f t="shared" si="321"/>
        <v>45993</v>
      </c>
      <c r="L1870" s="3" t="str">
        <f>IFERROR(INDEX('SCR DATA'!F:F, MATCH($D1870, 'SCR DATA'!A:A, 0)), "")</f>
        <v>FNI</v>
      </c>
      <c r="M1870" s="3" t="str">
        <f>IFERROR(INDEX('SCR DATA'!G:G, MATCH($D1870, 'SCR DATA'!A:A, 0)), "")</f>
        <v>C&amp;A</v>
      </c>
      <c r="N1870" s="3" t="str">
        <f t="shared" si="323"/>
        <v>NG</v>
      </c>
      <c r="O1870" s="3" t="s">
        <v>2368</v>
      </c>
      <c r="P1870" s="3" t="s">
        <v>2482</v>
      </c>
      <c r="Q1870" s="3">
        <v>11002283</v>
      </c>
      <c r="R1870" s="3" t="s">
        <v>932</v>
      </c>
      <c r="S1870" s="3" t="s">
        <v>5418</v>
      </c>
    </row>
    <row r="1871" spans="1:19">
      <c r="A1871" s="3">
        <v>4297</v>
      </c>
      <c r="B1871" s="83">
        <f t="array" ref="B1871">SUM(--(FREQUENCY(IF(C$2:C$3074=C1871, MATCH(D$2:D$3074, D$2:D$3074, 0)), ROW(D$2:D$3074)-ROW(D$2)+1) &gt; 0))</f>
        <v>1</v>
      </c>
      <c r="C1871" s="3">
        <v>41000538</v>
      </c>
      <c r="D1871" s="6" t="s">
        <v>5419</v>
      </c>
      <c r="E1871" s="3" t="s">
        <v>1392</v>
      </c>
      <c r="F1871" s="3" t="s">
        <v>1393</v>
      </c>
      <c r="G1871" s="68" t="str">
        <f t="shared" si="324"/>
        <v>DUAL</v>
      </c>
      <c r="H1871" s="197">
        <f t="shared" si="320"/>
        <v>49</v>
      </c>
      <c r="I1871" s="197">
        <v>12</v>
      </c>
      <c r="J1871" s="197">
        <v>2</v>
      </c>
      <c r="K1871" s="186">
        <f t="shared" si="321"/>
        <v>45993</v>
      </c>
      <c r="L1871" s="3" t="s">
        <v>2395</v>
      </c>
      <c r="M1871" s="3" t="s">
        <v>2392</v>
      </c>
      <c r="N1871" s="3" t="str">
        <f t="shared" si="323"/>
        <v/>
      </c>
    </row>
    <row r="1872" spans="1:19">
      <c r="A1872" s="3">
        <v>6208</v>
      </c>
      <c r="B1872" s="83">
        <f t="array" ref="B1872">SUM(--(FREQUENCY(IF(C$2:C$3074=C1872, MATCH(D$2:D$3074, D$2:D$3074, 0)), ROW(D$2:D$3074)-ROW(D$2)+1) &gt; 0))</f>
        <v>22</v>
      </c>
      <c r="C1872" s="3">
        <f>IFERROR(INDEX('SCR DATA'!B:B, MATCH($D1872, 'SCR DATA'!A:A, 0)), "")</f>
        <v>41000598</v>
      </c>
      <c r="D1872" s="6" t="s">
        <v>3395</v>
      </c>
      <c r="E1872" s="3" t="s">
        <v>1405</v>
      </c>
      <c r="F1872" s="3" t="str">
        <f>IFERROR(INDEX('SCR DATA'!C:C, MATCH($D1872, 'SCR DATA'!A:A, 0)), "")</f>
        <v>GAIA-P DUAL</v>
      </c>
      <c r="G1872" s="68" t="str">
        <f t="shared" si="324"/>
        <v>DUAL</v>
      </c>
      <c r="H1872" s="197">
        <f t="shared" si="320"/>
        <v>49</v>
      </c>
      <c r="I1872" s="197">
        <v>12</v>
      </c>
      <c r="J1872" s="197">
        <v>2</v>
      </c>
      <c r="K1872" s="186">
        <f t="shared" si="321"/>
        <v>45993</v>
      </c>
      <c r="L1872" s="3" t="str">
        <f>IFERROR(INDEX('SCR DATA'!F:F, MATCH($D1872, 'SCR DATA'!A:A, 0)), "")</f>
        <v>BAT</v>
      </c>
      <c r="M1872" s="3" t="str">
        <f>IFERROR(INDEX('SCR DATA'!G:G, MATCH($D1872, 'SCR DATA'!A:A, 0)), "")</f>
        <v>P&amp;S</v>
      </c>
      <c r="N1872" s="3" t="str">
        <f t="shared" si="323"/>
        <v/>
      </c>
    </row>
    <row r="1873" spans="1:19">
      <c r="A1873" s="3">
        <v>6166</v>
      </c>
      <c r="B1873" s="83">
        <f t="array" ref="B1873">SUM(--(FREQUENCY(IF(C$2:C$3074=C1873, MATCH(D$2:D$3074, D$2:D$3074, 0)), ROW(D$2:D$3074)-ROW(D$2)+1) &gt; 0))</f>
        <v>15</v>
      </c>
      <c r="C1873" s="3">
        <f>IFERROR(INDEX('SCR DATA'!B:B, MATCH($D1873, 'SCR DATA'!A:A, 0)), "")</f>
        <v>41200087</v>
      </c>
      <c r="D1873" s="6" t="s">
        <v>3396</v>
      </c>
      <c r="E1873" s="3" t="s">
        <v>1429</v>
      </c>
      <c r="F1873" s="3" t="str">
        <f>IFERROR(INDEX('SCR DATA'!C:C, MATCH($D1873, 'SCR DATA'!A:A, 0)), "")</f>
        <v>GAIA-I DUAL</v>
      </c>
      <c r="G1873" s="68" t="str">
        <f t="shared" si="324"/>
        <v>DUAL</v>
      </c>
      <c r="H1873" s="197">
        <f t="shared" si="320"/>
        <v>49</v>
      </c>
      <c r="I1873" s="197">
        <v>12</v>
      </c>
      <c r="J1873" s="197">
        <v>2</v>
      </c>
      <c r="K1873" s="186">
        <f t="shared" si="321"/>
        <v>45993</v>
      </c>
      <c r="L1873" s="3" t="str">
        <f>IFERROR(INDEX('SCR DATA'!F:F, MATCH($D1873, 'SCR DATA'!A:A, 0)), "")</f>
        <v>GST</v>
      </c>
      <c r="M1873" s="3" t="str">
        <f>IFERROR(INDEX('SCR DATA'!G:G, MATCH($D1873, 'SCR DATA'!A:A, 0)), "")</f>
        <v>GST</v>
      </c>
      <c r="N1873" s="3" t="str">
        <f t="shared" si="323"/>
        <v/>
      </c>
    </row>
    <row r="1874" spans="1:19">
      <c r="A1874" s="3">
        <v>6166</v>
      </c>
      <c r="B1874" s="83">
        <f t="array" ref="B1874">SUM(--(FREQUENCY(IF(C$2:C$3074=C1874, MATCH(D$2:D$3074, D$2:D$3074, 0)), ROW(D$2:D$3074)-ROW(D$2)+1) &gt; 0))</f>
        <v>15</v>
      </c>
      <c r="C1874" s="3">
        <f>IFERROR(INDEX('SCR DATA'!B:B, MATCH($D1874, 'SCR DATA'!A:A, 0)), "")</f>
        <v>41200087</v>
      </c>
      <c r="D1874" s="6" t="s">
        <v>3397</v>
      </c>
      <c r="E1874" s="3" t="str">
        <f>IFERROR(INDEX('SCR DATA'!E:E, MATCH($D1874, 'SCR DATA'!A:A, 0)), "")</f>
        <v>MICRON BOISE</v>
      </c>
      <c r="F1874" s="3" t="str">
        <f>IFERROR(INDEX('SCR DATA'!C:C, MATCH($D1874, 'SCR DATA'!A:A, 0)), "")</f>
        <v>GAIA-I DUAL</v>
      </c>
      <c r="G1874" s="68" t="str">
        <f t="shared" si="324"/>
        <v>DUAL</v>
      </c>
      <c r="H1874" s="197">
        <f t="shared" si="320"/>
        <v>49</v>
      </c>
      <c r="I1874" s="197">
        <v>12</v>
      </c>
      <c r="J1874" s="197">
        <v>2</v>
      </c>
      <c r="K1874" s="186">
        <f t="shared" si="321"/>
        <v>45993</v>
      </c>
      <c r="L1874" s="3" t="str">
        <f>IFERROR(INDEX('SCR DATA'!F:F, MATCH($D1874, 'SCR DATA'!A:A, 0)), "")</f>
        <v>GST</v>
      </c>
      <c r="M1874" s="3" t="str">
        <f>IFERROR(INDEX('SCR DATA'!G:G, MATCH($D1874, 'SCR DATA'!A:A, 0)), "")</f>
        <v>GST</v>
      </c>
      <c r="N1874" s="3" t="str">
        <f t="shared" si="323"/>
        <v/>
      </c>
    </row>
    <row r="1875" spans="1:19">
      <c r="A1875" s="3">
        <v>6233</v>
      </c>
      <c r="B1875" s="83">
        <f t="array" ref="B1875">SUM(--(FREQUENCY(IF(C$2:C$3074=C1875, MATCH(D$2:D$3074, D$2:D$3074, 0)), ROW(D$2:D$3074)-ROW(D$2)+1) &gt; 0))</f>
        <v>1</v>
      </c>
      <c r="C1875" s="3">
        <f>IFERROR(INDEX('SCR DATA'!B:B, MATCH($D1875, 'SCR DATA'!A:A, 0)), "")</f>
        <v>41200185</v>
      </c>
      <c r="D1875" s="6" t="s">
        <v>5420</v>
      </c>
      <c r="E1875" s="3" t="str">
        <f>IFERROR(INDEX('SCR DATA'!E:E, MATCH($D1875, 'SCR DATA'!A:A, 0)), "")</f>
        <v>PV</v>
      </c>
      <c r="F1875" s="3" t="str">
        <f>IFERROR(INDEX('SCR DATA'!C:C, MATCH($D1875, 'SCR DATA'!A:A, 0)), "")</f>
        <v>IVAS</v>
      </c>
      <c r="G1875" s="68" t="str">
        <f>IF(OR(ISNUMBER(SEARCH("DUAL",F1875)), ISNUMBER(SEARCH("IVAS",F1875))), "DUAL", "SINGLE")</f>
        <v>DUAL</v>
      </c>
      <c r="H1875" s="197">
        <f>WEEKNUM(K1875)</f>
        <v>49</v>
      </c>
      <c r="I1875" s="197">
        <v>12</v>
      </c>
      <c r="J1875" s="197">
        <v>3</v>
      </c>
      <c r="K1875" s="186">
        <f>DATE(2025, I1875, J1875)</f>
        <v>45994</v>
      </c>
      <c r="L1875" s="3" t="str">
        <f>IFERROR(INDEX('SCR DATA'!F:F, MATCH($D1875, 'SCR DATA'!A:A, 0)), "")</f>
        <v>BAT</v>
      </c>
      <c r="M1875" s="3" t="str">
        <f>IFERROR(INDEX('SCR DATA'!G:G, MATCH($D1875, 'SCR DATA'!A:A, 0)), "")</f>
        <v>P&amp;S</v>
      </c>
      <c r="N1875" s="3" t="str">
        <f>IF(O1875&lt;&gt;"", "NG", "")</f>
        <v/>
      </c>
    </row>
    <row r="1876" spans="1:19">
      <c r="A1876" s="3">
        <v>6221</v>
      </c>
      <c r="B1876" s="83">
        <f t="array" ref="B1876">SUM(--(FREQUENCY(IF(C$2:C$3074=C1876, MATCH(D$2:D$3074, D$2:D$3074, 0)), ROW(D$2:D$3074)-ROW(D$2)+1) &gt; 0))</f>
        <v>32</v>
      </c>
      <c r="C1876" s="3">
        <f>IFERROR(INDEX('SCR DATA'!B:B, MATCH($D1876, 'SCR DATA'!A:A, 0)), "")</f>
        <v>41200127</v>
      </c>
      <c r="D1876" s="6" t="s">
        <v>3401</v>
      </c>
      <c r="E1876" s="3" t="str">
        <f>IFERROR(INDEX('SCR DATA'!E:E, MATCH($D1876, 'SCR DATA'!A:A, 0)), "")</f>
        <v>MICRON VA</v>
      </c>
      <c r="F1876" s="3" t="str">
        <f>IFERROR(INDEX('SCR DATA'!C:C, MATCH($D1876, 'SCR DATA'!A:A, 0)), "")</f>
        <v>GAIA-I</v>
      </c>
      <c r="G1876" s="68" t="str">
        <f t="shared" si="324"/>
        <v>SINGLE</v>
      </c>
      <c r="H1876" s="197">
        <f t="shared" si="320"/>
        <v>49</v>
      </c>
      <c r="I1876" s="197">
        <v>12</v>
      </c>
      <c r="J1876" s="197">
        <v>3</v>
      </c>
      <c r="K1876" s="186">
        <f t="shared" si="321"/>
        <v>45994</v>
      </c>
      <c r="L1876" s="3" t="str">
        <f>IFERROR(INDEX('SCR DATA'!F:F, MATCH($D1876, 'SCR DATA'!A:A, 0)), "")</f>
        <v>FNI</v>
      </c>
      <c r="M1876" s="3" t="str">
        <f>IFERROR(INDEX('SCR DATA'!G:G, MATCH($D1876, 'SCR DATA'!A:A, 0)), "")</f>
        <v>TMS</v>
      </c>
      <c r="N1876" s="3" t="str">
        <f t="shared" si="323"/>
        <v>NG</v>
      </c>
      <c r="O1876" s="3" t="s">
        <v>2368</v>
      </c>
      <c r="P1876" s="3" t="s">
        <v>1385</v>
      </c>
      <c r="Q1876" s="3">
        <v>11006181</v>
      </c>
      <c r="R1876" s="3" t="s">
        <v>195</v>
      </c>
      <c r="S1876" s="3" t="s">
        <v>5421</v>
      </c>
    </row>
    <row r="1877" spans="1:19">
      <c r="A1877" s="3">
        <v>6331</v>
      </c>
      <c r="B1877" s="83">
        <f t="array" ref="B1877">SUM(--(FREQUENCY(IF(C$2:C$3074=C1877, MATCH(D$2:D$3074, D$2:D$3074, 0)), ROW(D$2:D$3074)-ROW(D$2)+1) &gt; 0))</f>
        <v>1</v>
      </c>
      <c r="C1877" s="3">
        <f>IFERROR(INDEX('SCR DATA'!B:B, MATCH($D1877, 'SCR DATA'!A:A, 0)), "")</f>
        <v>41100064</v>
      </c>
      <c r="D1877" s="6" t="s">
        <v>3402</v>
      </c>
      <c r="E1877" s="3" t="str">
        <f>IFERROR(INDEX('SCR DATA'!E:E, MATCH($D1877, 'SCR DATA'!A:A, 0)), "")</f>
        <v>NEXCHIP</v>
      </c>
      <c r="F1877" s="3" t="s">
        <v>1480</v>
      </c>
      <c r="G1877" s="68" t="str">
        <f t="shared" si="324"/>
        <v>DUAL</v>
      </c>
      <c r="H1877" s="197">
        <f t="shared" si="320"/>
        <v>49</v>
      </c>
      <c r="I1877" s="197">
        <v>12</v>
      </c>
      <c r="J1877" s="197">
        <v>3</v>
      </c>
      <c r="K1877" s="186">
        <f t="shared" si="321"/>
        <v>45994</v>
      </c>
      <c r="L1877" s="3" t="str">
        <f>IFERROR(INDEX('SCR DATA'!F:F, MATCH($D1877, 'SCR DATA'!A:A, 0)), "")</f>
        <v>FNI</v>
      </c>
      <c r="M1877" s="3" t="str">
        <f>IFERROR(INDEX('SCR DATA'!G:G, MATCH($D1877, 'SCR DATA'!A:A, 0)), "")</f>
        <v>TMS</v>
      </c>
      <c r="N1877" s="3" t="str">
        <f t="shared" si="323"/>
        <v/>
      </c>
    </row>
    <row r="1878" spans="1:19">
      <c r="A1878" s="3">
        <v>6116</v>
      </c>
      <c r="B1878" s="83">
        <f t="array" ref="B1878">SUM(--(FREQUENCY(IF(C$2:C$3074=C1878, MATCH(D$2:D$3074, D$2:D$3074, 0)), ROW(D$2:D$3074)-ROW(D$2)+1) &gt; 0))</f>
        <v>10</v>
      </c>
      <c r="C1878" s="3">
        <f>IFERROR(INDEX('SCR DATA'!B:B, MATCH($D1878, 'SCR DATA'!A:A, 0)), "")</f>
        <v>41100317</v>
      </c>
      <c r="D1878" s="6" t="s">
        <v>3403</v>
      </c>
      <c r="E1878" s="3" t="str">
        <f>IFERROR(INDEX('SCR DATA'!E:E, MATCH($D1878, 'SCR DATA'!A:A, 0)), "")</f>
        <v>MICRON TW</v>
      </c>
      <c r="F1878" s="3" t="str">
        <f>IFERROR(INDEX('SCR DATA'!C:C, MATCH($D1878, 'SCR DATA'!A:A, 0)), "")</f>
        <v>GAIA-I DUAL</v>
      </c>
      <c r="G1878" s="68" t="str">
        <f t="shared" si="324"/>
        <v>DUAL</v>
      </c>
      <c r="H1878" s="197">
        <f t="shared" si="320"/>
        <v>49</v>
      </c>
      <c r="I1878" s="197">
        <v>12</v>
      </c>
      <c r="J1878" s="197">
        <v>3</v>
      </c>
      <c r="K1878" s="186">
        <f t="shared" si="321"/>
        <v>45994</v>
      </c>
      <c r="L1878" s="3" t="str">
        <f>IFERROR(INDEX('SCR DATA'!F:F, MATCH($D1878, 'SCR DATA'!A:A, 0)), "")</f>
        <v>FNI</v>
      </c>
      <c r="M1878" s="3" t="str">
        <f>IFERROR(INDEX('SCR DATA'!G:G, MATCH($D1878, 'SCR DATA'!A:A, 0)), "")</f>
        <v>C&amp;A</v>
      </c>
      <c r="N1878" s="3" t="str">
        <f t="shared" si="323"/>
        <v/>
      </c>
    </row>
    <row r="1879" spans="1:19">
      <c r="A1879" s="3">
        <v>6082</v>
      </c>
      <c r="B1879" s="83">
        <f t="array" ref="B1879">SUM(--(FREQUENCY(IF(C$2:C$3074=C1879, MATCH(D$2:D$3074, D$2:D$3074, 0)), ROW(D$2:D$3074)-ROW(D$2)+1) &gt; 0))</f>
        <v>102</v>
      </c>
      <c r="C1879" s="3">
        <f>IFERROR(INDEX('SCR DATA'!B:B, MATCH($D1879, 'SCR DATA'!A:A, 0)), "")</f>
        <v>41200006</v>
      </c>
      <c r="D1879" s="6" t="s">
        <v>3405</v>
      </c>
      <c r="E1879" s="3" t="str">
        <f>IFERROR(INDEX('SCR DATA'!E:E, MATCH($D1879, 'SCR DATA'!A:A, 0)), "")</f>
        <v>SEC</v>
      </c>
      <c r="F1879" s="3" t="str">
        <f>IFERROR(INDEX('SCR DATA'!C:C, MATCH($D1879, 'SCR DATA'!A:A, 0)), "")</f>
        <v>GAIA-II</v>
      </c>
      <c r="G1879" s="68" t="str">
        <f t="shared" si="324"/>
        <v>SINGLE</v>
      </c>
      <c r="H1879" s="197">
        <f t="shared" si="320"/>
        <v>49</v>
      </c>
      <c r="I1879" s="197">
        <v>12</v>
      </c>
      <c r="J1879" s="197">
        <v>3</v>
      </c>
      <c r="K1879" s="186">
        <f t="shared" si="321"/>
        <v>45994</v>
      </c>
      <c r="L1879" s="3" t="str">
        <f>IFERROR(INDEX('SCR DATA'!F:F, MATCH($D1879, 'SCR DATA'!A:A, 0)), "")</f>
        <v>BAT</v>
      </c>
      <c r="M1879" s="3" t="str">
        <f>IFERROR(INDEX('SCR DATA'!G:G, MATCH($D1879, 'SCR DATA'!A:A, 0)), "")</f>
        <v>P&amp;S</v>
      </c>
      <c r="N1879" s="3" t="str">
        <f t="shared" si="323"/>
        <v/>
      </c>
    </row>
    <row r="1880" spans="1:19">
      <c r="A1880" s="3">
        <v>6082</v>
      </c>
      <c r="B1880" s="83">
        <f t="array" ref="B1880">SUM(--(FREQUENCY(IF(C$2:C$3074=C1880, MATCH(D$2:D$3074, D$2:D$3074, 0)), ROW(D$2:D$3074)-ROW(D$2)+1) &gt; 0))</f>
        <v>102</v>
      </c>
      <c r="C1880" s="3">
        <f>IFERROR(INDEX('SCR DATA'!B:B, MATCH($D1880, 'SCR DATA'!A:A, 0)), "")</f>
        <v>41200006</v>
      </c>
      <c r="D1880" s="6" t="s">
        <v>3406</v>
      </c>
      <c r="E1880" s="3" t="str">
        <f>IFERROR(INDEX('SCR DATA'!E:E, MATCH($D1880, 'SCR DATA'!A:A, 0)), "")</f>
        <v>SEC</v>
      </c>
      <c r="F1880" s="3" t="str">
        <f>IFERROR(INDEX('SCR DATA'!C:C, MATCH($D1880, 'SCR DATA'!A:A, 0)), "")</f>
        <v>GAIA-II</v>
      </c>
      <c r="G1880" s="68" t="str">
        <f t="shared" si="324"/>
        <v>SINGLE</v>
      </c>
      <c r="H1880" s="197">
        <f t="shared" ref="H1880:H1896" si="332">WEEKNUM(K1880)</f>
        <v>49</v>
      </c>
      <c r="I1880" s="197">
        <v>12</v>
      </c>
      <c r="J1880" s="197">
        <v>3</v>
      </c>
      <c r="K1880" s="186">
        <f t="shared" ref="K1880:K1896" si="333">DATE(2025, I1880, J1880)</f>
        <v>45994</v>
      </c>
      <c r="L1880" s="3" t="str">
        <f>IFERROR(INDEX('SCR DATA'!F:F, MATCH($D1880, 'SCR DATA'!A:A, 0)), "")</f>
        <v>BAT</v>
      </c>
      <c r="M1880" s="3" t="str">
        <f>IFERROR(INDEX('SCR DATA'!G:G, MATCH($D1880, 'SCR DATA'!A:A, 0)), "")</f>
        <v>P&amp;S</v>
      </c>
      <c r="N1880" s="3" t="str">
        <f t="shared" si="323"/>
        <v/>
      </c>
    </row>
    <row r="1881" spans="1:19">
      <c r="A1881" s="3">
        <v>5975</v>
      </c>
      <c r="B1881" s="83">
        <f t="array" ref="B1881">SUM(--(FREQUENCY(IF(C$2:C$3074=C1881, MATCH(D$2:D$3074, D$2:D$3074, 0)), ROW(D$2:D$3074)-ROW(D$2)+1) &gt; 0))</f>
        <v>22</v>
      </c>
      <c r="C1881" s="3">
        <f>IFERROR(INDEX('SCR DATA'!B:B, MATCH($D1881, 'SCR DATA'!A:A, 0)), "")</f>
        <v>41000598</v>
      </c>
      <c r="D1881" s="6" t="s">
        <v>3409</v>
      </c>
      <c r="E1881" s="3" t="str">
        <f>IFERROR(INDEX('SCR DATA'!E:E, MATCH($D1881, 'SCR DATA'!A:A, 0)), "")</f>
        <v>SEC</v>
      </c>
      <c r="F1881" s="3" t="str">
        <f>IFERROR(INDEX('SCR DATA'!C:C, MATCH($D1881, 'SCR DATA'!A:A, 0)), "")</f>
        <v>GAIA-P DUAL</v>
      </c>
      <c r="G1881" s="68" t="str">
        <f t="shared" si="324"/>
        <v>DUAL</v>
      </c>
      <c r="H1881" s="197">
        <f t="shared" si="332"/>
        <v>49</v>
      </c>
      <c r="I1881" s="197">
        <v>12</v>
      </c>
      <c r="J1881" s="197">
        <v>4</v>
      </c>
      <c r="K1881" s="186">
        <f t="shared" si="333"/>
        <v>45995</v>
      </c>
      <c r="L1881" s="3" t="str">
        <f>IFERROR(INDEX('SCR DATA'!F:F, MATCH($D1881, 'SCR DATA'!A:A, 0)), "")</f>
        <v>FNI</v>
      </c>
      <c r="M1881" s="3" t="str">
        <f>IFERROR(INDEX('SCR DATA'!G:G, MATCH($D1881, 'SCR DATA'!A:A, 0)), "")</f>
        <v>TMS</v>
      </c>
      <c r="N1881" s="3" t="str">
        <f t="shared" si="323"/>
        <v>NG</v>
      </c>
      <c r="O1881" s="3" t="s">
        <v>2368</v>
      </c>
      <c r="P1881" s="3" t="s">
        <v>5422</v>
      </c>
      <c r="Q1881" s="3">
        <v>13109655</v>
      </c>
      <c r="R1881" s="3" t="s">
        <v>5423</v>
      </c>
      <c r="S1881" s="3" t="s">
        <v>5424</v>
      </c>
    </row>
    <row r="1882" spans="1:19">
      <c r="A1882" s="3">
        <v>5975</v>
      </c>
      <c r="B1882" s="83">
        <f t="array" ref="B1882">SUM(--(FREQUENCY(IF(C$2:C$3074=C1882, MATCH(D$2:D$3074, D$2:D$3074, 0)), ROW(D$2:D$3074)-ROW(D$2)+1) &gt; 0))</f>
        <v>22</v>
      </c>
      <c r="C1882" s="3">
        <f>IFERROR(INDEX('SCR DATA'!B:B, MATCH($D1882, 'SCR DATA'!A:A, 0)), "")</f>
        <v>41000598</v>
      </c>
      <c r="D1882" s="6" t="s">
        <v>3410</v>
      </c>
      <c r="E1882" s="3" t="str">
        <f>IFERROR(INDEX('SCR DATA'!E:E, MATCH($D1882, 'SCR DATA'!A:A, 0)), "")</f>
        <v>SEC</v>
      </c>
      <c r="F1882" s="3" t="str">
        <f>IFERROR(INDEX('SCR DATA'!C:C, MATCH($D1882, 'SCR DATA'!A:A, 0)), "")</f>
        <v>GAIA-P DUAL</v>
      </c>
      <c r="G1882" s="68" t="str">
        <f t="shared" si="324"/>
        <v>DUAL</v>
      </c>
      <c r="H1882" s="197">
        <f t="shared" si="332"/>
        <v>49</v>
      </c>
      <c r="I1882" s="197">
        <v>12</v>
      </c>
      <c r="J1882" s="197">
        <v>4</v>
      </c>
      <c r="K1882" s="186">
        <f t="shared" si="333"/>
        <v>45995</v>
      </c>
      <c r="L1882" s="3" t="str">
        <f>IFERROR(INDEX('SCR DATA'!F:F, MATCH($D1882, 'SCR DATA'!A:A, 0)), "")</f>
        <v>FNI</v>
      </c>
      <c r="M1882" s="3" t="str">
        <f>IFERROR(INDEX('SCR DATA'!G:G, MATCH($D1882, 'SCR DATA'!A:A, 0)), "")</f>
        <v>TMS</v>
      </c>
      <c r="N1882" s="3" t="str">
        <f t="shared" si="323"/>
        <v/>
      </c>
    </row>
    <row r="1883" spans="1:19">
      <c r="A1883" s="3">
        <v>5976</v>
      </c>
      <c r="B1883" s="83">
        <f t="array" ref="B1883">SUM(--(FREQUENCY(IF(C$2:C$3074=C1883, MATCH(D$2:D$3074, D$2:D$3074, 0)), ROW(D$2:D$3074)-ROW(D$2)+1) &gt; 0))</f>
        <v>10</v>
      </c>
      <c r="C1883" s="3">
        <f>IFERROR(INDEX('SCR DATA'!B:B, MATCH($D1883, 'SCR DATA'!A:A, 0)), "")</f>
        <v>41200061</v>
      </c>
      <c r="D1883" s="6" t="s">
        <v>3413</v>
      </c>
      <c r="E1883" s="3" t="str">
        <f>IFERROR(INDEX('SCR DATA'!E:E, MATCH($D1883, 'SCR DATA'!A:A, 0)), "")</f>
        <v>SEC</v>
      </c>
      <c r="F1883" s="3" t="str">
        <f>IFERROR(INDEX('SCR DATA'!C:C, MATCH($D1883, 'SCR DATA'!A:A, 0)), "")</f>
        <v>GAIA-P DUAL</v>
      </c>
      <c r="G1883" s="41" t="str">
        <f t="shared" si="324"/>
        <v>DUAL</v>
      </c>
      <c r="H1883" s="197">
        <f t="shared" si="332"/>
        <v>49</v>
      </c>
      <c r="I1883" s="197">
        <v>12</v>
      </c>
      <c r="J1883" s="197">
        <v>4</v>
      </c>
      <c r="K1883" s="186">
        <f t="shared" si="333"/>
        <v>45995</v>
      </c>
      <c r="L1883" s="3" t="str">
        <f>IFERROR(INDEX('SCR DATA'!F:F, MATCH($D1883, 'SCR DATA'!A:A, 0)), "")</f>
        <v>BAT</v>
      </c>
      <c r="M1883" s="3" t="str">
        <f>IFERROR(INDEX('SCR DATA'!G:G, MATCH($D1883, 'SCR DATA'!A:A, 0)), "")</f>
        <v>P&amp;S</v>
      </c>
      <c r="N1883" s="3" t="str">
        <f t="shared" si="323"/>
        <v>NG</v>
      </c>
      <c r="O1883" s="3" t="s">
        <v>2368</v>
      </c>
      <c r="P1883" s="3" t="s">
        <v>1387</v>
      </c>
      <c r="Q1883" s="3">
        <v>11003643</v>
      </c>
      <c r="R1883" s="3" t="s">
        <v>953</v>
      </c>
      <c r="S1883" s="3" t="s">
        <v>4758</v>
      </c>
    </row>
    <row r="1884" spans="1:19">
      <c r="A1884" s="3">
        <v>5976</v>
      </c>
      <c r="B1884" s="83">
        <f t="array" ref="B1884">SUM(--(FREQUENCY(IF(C$2:C$3074=C1884, MATCH(D$2:D$3074, D$2:D$3074, 0)), ROW(D$2:D$3074)-ROW(D$2)+1) &gt; 0))</f>
        <v>10</v>
      </c>
      <c r="C1884" s="3">
        <f>IFERROR(INDEX('SCR DATA'!B:B, MATCH($D1884, 'SCR DATA'!A:A, 0)), "")</f>
        <v>41200061</v>
      </c>
      <c r="D1884" s="6" t="s">
        <v>3413</v>
      </c>
      <c r="E1884" s="3" t="str">
        <f>IFERROR(INDEX('SCR DATA'!E:E, MATCH($D1884, 'SCR DATA'!A:A, 0)), "")</f>
        <v>SEC</v>
      </c>
      <c r="F1884" s="3" t="str">
        <f>IFERROR(INDEX('SCR DATA'!C:C, MATCH($D1884, 'SCR DATA'!A:A, 0)), "")</f>
        <v>GAIA-P DUAL</v>
      </c>
      <c r="G1884" s="41" t="str">
        <f t="shared" ref="G1884" si="334">IF(OR(ISNUMBER(SEARCH("DUAL",F1884)), ISNUMBER(SEARCH("IVAS",F1884))), "DUAL", "SINGLE")</f>
        <v>DUAL</v>
      </c>
      <c r="H1884" s="197">
        <f t="shared" ref="H1884" si="335">WEEKNUM(K1884)</f>
        <v>49</v>
      </c>
      <c r="I1884" s="197">
        <v>12</v>
      </c>
      <c r="J1884" s="197">
        <v>4</v>
      </c>
      <c r="K1884" s="186">
        <f t="shared" ref="K1884" si="336">DATE(2025, I1884, J1884)</f>
        <v>45995</v>
      </c>
      <c r="L1884" s="3" t="str">
        <f>IFERROR(INDEX('SCR DATA'!F:F, MATCH($D1884, 'SCR DATA'!A:A, 0)), "")</f>
        <v>BAT</v>
      </c>
      <c r="M1884" s="3" t="str">
        <f>IFERROR(INDEX('SCR DATA'!G:G, MATCH($D1884, 'SCR DATA'!A:A, 0)), "")</f>
        <v>P&amp;S</v>
      </c>
      <c r="N1884" s="3" t="str">
        <f t="shared" si="323"/>
        <v>NG</v>
      </c>
      <c r="O1884" s="3" t="s">
        <v>2368</v>
      </c>
      <c r="P1884" s="3" t="s">
        <v>2371</v>
      </c>
      <c r="Q1884" s="3">
        <v>11001964</v>
      </c>
      <c r="R1884" s="3" t="s">
        <v>562</v>
      </c>
      <c r="S1884" s="3" t="s">
        <v>5425</v>
      </c>
    </row>
    <row r="1885" spans="1:19">
      <c r="A1885" s="3">
        <v>6163</v>
      </c>
      <c r="B1885" s="83">
        <f t="array" ref="B1885">SUM(--(FREQUENCY(IF(C$2:C$3074=C1885, MATCH(D$2:D$3074, D$2:D$3074, 0)), ROW(D$2:D$3074)-ROW(D$2)+1) &gt; 0))</f>
        <v>6</v>
      </c>
      <c r="C1885" s="3">
        <f>IFERROR(INDEX('SCR DATA'!B:B, MATCH($D1885, 'SCR DATA'!A:A, 0)), "")</f>
        <v>41200133</v>
      </c>
      <c r="D1885" s="6" t="s">
        <v>3408</v>
      </c>
      <c r="E1885" s="3" t="str">
        <f>IFERROR(INDEX('SCR DATA'!E:E, MATCH($D1885, 'SCR DATA'!A:A, 0)), "")</f>
        <v>MICRON BOISE</v>
      </c>
      <c r="F1885" s="3" t="str">
        <f>IFERROR(INDEX('SCR DATA'!C:C, MATCH($D1885, 'SCR DATA'!A:A, 0)), "")</f>
        <v>GAIA-I DUAL</v>
      </c>
      <c r="G1885" s="68" t="str">
        <f t="shared" si="324"/>
        <v>DUAL</v>
      </c>
      <c r="H1885" s="197">
        <f t="shared" si="332"/>
        <v>49</v>
      </c>
      <c r="I1885" s="197">
        <v>12</v>
      </c>
      <c r="J1885" s="197">
        <v>4</v>
      </c>
      <c r="K1885" s="186">
        <f t="shared" si="333"/>
        <v>45995</v>
      </c>
      <c r="L1885" s="3" t="str">
        <f>IFERROR(INDEX('SCR DATA'!F:F, MATCH($D1885, 'SCR DATA'!A:A, 0)), "")</f>
        <v>FNI</v>
      </c>
      <c r="M1885" s="3" t="str">
        <f>IFERROR(INDEX('SCR DATA'!G:G, MATCH($D1885, 'SCR DATA'!A:A, 0)), "")</f>
        <v>C&amp;A</v>
      </c>
      <c r="N1885" s="3" t="str">
        <f t="shared" si="323"/>
        <v/>
      </c>
    </row>
    <row r="1886" spans="1:19">
      <c r="A1886" s="3">
        <v>6435</v>
      </c>
      <c r="B1886" s="83">
        <f t="array" ref="B1886">SUM(--(FREQUENCY(IF(C$2:C$3074=C1886, MATCH(D$2:D$3074, D$2:D$3074, 0)), ROW(D$2:D$3074)-ROW(D$2)+1) &gt; 0))</f>
        <v>16</v>
      </c>
      <c r="C1886" s="3">
        <v>41200096</v>
      </c>
      <c r="D1886" s="3" t="s">
        <v>1901</v>
      </c>
      <c r="E1886" s="3" t="s">
        <v>4326</v>
      </c>
      <c r="F1886" s="3" t="s">
        <v>1479</v>
      </c>
      <c r="G1886" s="41" t="str">
        <f t="shared" si="324"/>
        <v>SINGLE</v>
      </c>
      <c r="H1886" s="197">
        <f t="shared" si="332"/>
        <v>49</v>
      </c>
      <c r="I1886" s="197">
        <v>12</v>
      </c>
      <c r="J1886" s="197">
        <v>4</v>
      </c>
      <c r="K1886" s="186">
        <f t="shared" si="333"/>
        <v>45995</v>
      </c>
      <c r="L1886" s="3" t="s">
        <v>2391</v>
      </c>
      <c r="M1886" s="3" t="s">
        <v>1468</v>
      </c>
      <c r="N1886" s="3" t="str">
        <f t="shared" si="323"/>
        <v/>
      </c>
    </row>
    <row r="1887" spans="1:19">
      <c r="A1887" s="3">
        <v>6435</v>
      </c>
      <c r="B1887" s="83">
        <f t="array" ref="B1887">SUM(--(FREQUENCY(IF(C$2:C$3074=C1887, MATCH(D$2:D$3074, D$2:D$3074, 0)), ROW(D$2:D$3074)-ROW(D$2)+1) &gt; 0))</f>
        <v>16</v>
      </c>
      <c r="C1887" s="3">
        <v>41200096</v>
      </c>
      <c r="D1887" s="6" t="s">
        <v>1902</v>
      </c>
      <c r="E1887" s="3" t="s">
        <v>4326</v>
      </c>
      <c r="F1887" s="3" t="s">
        <v>1479</v>
      </c>
      <c r="G1887" s="41" t="str">
        <f t="shared" si="324"/>
        <v>SINGLE</v>
      </c>
      <c r="H1887" s="197">
        <f t="shared" si="332"/>
        <v>49</v>
      </c>
      <c r="I1887" s="197">
        <v>12</v>
      </c>
      <c r="J1887" s="197">
        <v>4</v>
      </c>
      <c r="K1887" s="186">
        <f t="shared" si="333"/>
        <v>45995</v>
      </c>
      <c r="L1887" s="3" t="s">
        <v>2391</v>
      </c>
      <c r="M1887" s="3" t="s">
        <v>1468</v>
      </c>
      <c r="N1887" s="3" t="str">
        <f t="shared" si="323"/>
        <v/>
      </c>
    </row>
    <row r="1888" spans="1:19">
      <c r="A1888" s="3">
        <v>6082</v>
      </c>
      <c r="B1888" s="83">
        <f t="array" ref="B1888">SUM(--(FREQUENCY(IF(C$2:C$3074=C1888, MATCH(D$2:D$3074, D$2:D$3074, 0)), ROW(D$2:D$3074)-ROW(D$2)+1) &gt; 0))</f>
        <v>102</v>
      </c>
      <c r="C1888" s="3">
        <f>IFERROR(INDEX('SCR DATA'!B:B, MATCH($D1888, 'SCR DATA'!A:A, 0)), "")</f>
        <v>41200006</v>
      </c>
      <c r="D1888" s="6" t="s">
        <v>3407</v>
      </c>
      <c r="E1888" s="3" t="str">
        <f>IFERROR(INDEX('SCR DATA'!E:E, MATCH($D1888, 'SCR DATA'!A:A, 0)), "")</f>
        <v>SEC</v>
      </c>
      <c r="F1888" s="3" t="str">
        <f>IFERROR(INDEX('SCR DATA'!C:C, MATCH($D1888, 'SCR DATA'!A:A, 0)), "")</f>
        <v>GAIA-II</v>
      </c>
      <c r="G1888" s="68" t="str">
        <f t="shared" si="324"/>
        <v>SINGLE</v>
      </c>
      <c r="H1888" s="197">
        <f t="shared" si="332"/>
        <v>49</v>
      </c>
      <c r="I1888" s="197">
        <v>12</v>
      </c>
      <c r="J1888" s="197">
        <v>4</v>
      </c>
      <c r="K1888" s="186">
        <f t="shared" si="333"/>
        <v>45995</v>
      </c>
      <c r="L1888" s="3" t="str">
        <f>IFERROR(INDEX('SCR DATA'!F:F, MATCH($D1888, 'SCR DATA'!A:A, 0)), "")</f>
        <v>BAT</v>
      </c>
      <c r="M1888" s="3" t="str">
        <f>IFERROR(INDEX('SCR DATA'!G:G, MATCH($D1888, 'SCR DATA'!A:A, 0)), "")</f>
        <v>P&amp;S</v>
      </c>
      <c r="N1888" s="3" t="str">
        <f t="shared" si="323"/>
        <v/>
      </c>
    </row>
    <row r="1889" spans="1:21">
      <c r="A1889" s="3">
        <v>6213</v>
      </c>
      <c r="B1889" s="83">
        <f t="array" ref="B1889">SUM(--(FREQUENCY(IF(C$2:C$3074=C1889, MATCH(D$2:D$3074, D$2:D$3074, 0)), ROW(D$2:D$3074)-ROW(D$2)+1) &gt; 0))</f>
        <v>14</v>
      </c>
      <c r="C1889" s="3">
        <f>IFERROR(INDEX('SCR DATA'!B:B, MATCH($D1889, 'SCR DATA'!A:A, 0)), "")</f>
        <v>41200129</v>
      </c>
      <c r="D1889" s="6" t="s">
        <v>3412</v>
      </c>
      <c r="E1889" s="3" t="str">
        <f>IFERROR(INDEX('SCR DATA'!E:E, MATCH($D1889, 'SCR DATA'!A:A, 0)), "")</f>
        <v>MICRON VA</v>
      </c>
      <c r="F1889" s="3" t="str">
        <f>IFERROR(INDEX('SCR DATA'!C:C, MATCH($D1889, 'SCR DATA'!A:A, 0)), "")</f>
        <v>GAIA-I</v>
      </c>
      <c r="G1889" s="68" t="str">
        <f t="shared" si="324"/>
        <v>SINGLE</v>
      </c>
      <c r="H1889" s="197">
        <f t="shared" si="332"/>
        <v>49</v>
      </c>
      <c r="I1889" s="197">
        <v>12</v>
      </c>
      <c r="J1889" s="197">
        <v>5</v>
      </c>
      <c r="K1889" s="186">
        <f t="shared" si="333"/>
        <v>45996</v>
      </c>
      <c r="L1889" s="3" t="str">
        <f>IFERROR(INDEX('SCR DATA'!F:F, MATCH($D1889, 'SCR DATA'!A:A, 0)), "")</f>
        <v>FNI</v>
      </c>
      <c r="M1889" s="3" t="str">
        <f>IFERROR(INDEX('SCR DATA'!G:G, MATCH($D1889, 'SCR DATA'!A:A, 0)), "")</f>
        <v>C&amp;A</v>
      </c>
      <c r="N1889" s="3" t="str">
        <f t="shared" si="323"/>
        <v/>
      </c>
    </row>
    <row r="1890" spans="1:21">
      <c r="A1890" s="3">
        <v>6104</v>
      </c>
      <c r="B1890" s="83">
        <f t="array" ref="B1890">SUM(--(FREQUENCY(IF(C$2:C$3074=C1890, MATCH(D$2:D$3074, D$2:D$3074, 0)), ROW(D$2:D$3074)-ROW(D$2)+1) &gt; 0))</f>
        <v>2</v>
      </c>
      <c r="C1890" s="3">
        <f>IFERROR(INDEX('SCR DATA'!B:B, MATCH($D1890, 'SCR DATA'!A:A, 0)), "")</f>
        <v>41200092</v>
      </c>
      <c r="D1890" s="6" t="s">
        <v>3414</v>
      </c>
      <c r="E1890" s="3" t="str">
        <f>IFERROR(INDEX('SCR DATA'!E:E, MATCH($D1890, 'SCR DATA'!A:A, 0)), "")</f>
        <v>MICRON JP</v>
      </c>
      <c r="F1890" s="3" t="str">
        <f>IFERROR(INDEX('SCR DATA'!C:C, MATCH($D1890, 'SCR DATA'!A:A, 0)), "")</f>
        <v>GAIA-I DUAL</v>
      </c>
      <c r="G1890" s="68" t="str">
        <f t="shared" si="324"/>
        <v>DUAL</v>
      </c>
      <c r="H1890" s="197">
        <f t="shared" si="332"/>
        <v>49</v>
      </c>
      <c r="I1890" s="197">
        <v>12</v>
      </c>
      <c r="J1890" s="197">
        <v>5</v>
      </c>
      <c r="K1890" s="186">
        <f t="shared" si="333"/>
        <v>45996</v>
      </c>
      <c r="L1890" s="3" t="str">
        <f>IFERROR(INDEX('SCR DATA'!F:F, MATCH($D1890, 'SCR DATA'!A:A, 0)), "")</f>
        <v>FNI</v>
      </c>
      <c r="M1890" s="3" t="str">
        <f>IFERROR(INDEX('SCR DATA'!G:G, MATCH($D1890, 'SCR DATA'!A:A, 0)), "")</f>
        <v>C&amp;A</v>
      </c>
      <c r="N1890" s="3" t="str">
        <f t="shared" si="323"/>
        <v/>
      </c>
    </row>
    <row r="1891" spans="1:21">
      <c r="A1891" s="3">
        <v>6140</v>
      </c>
      <c r="B1891" s="83">
        <f t="array" ref="B1891">SUM(--(FREQUENCY(IF(C$2:C$3074=C1891, MATCH(D$2:D$3074, D$2:D$3074, 0)), ROW(D$2:D$3074)-ROW(D$2)+1) &gt; 0))</f>
        <v>14</v>
      </c>
      <c r="C1891" s="3">
        <f>IFERROR(INDEX('SCR DATA'!B:B, MATCH($D1891, 'SCR DATA'!A:A, 0)), "")</f>
        <v>41100502</v>
      </c>
      <c r="D1891" s="6" t="s">
        <v>3415</v>
      </c>
      <c r="E1891" s="3" t="str">
        <f>IFERROR(INDEX('SCR DATA'!E:E, MATCH($D1891, 'SCR DATA'!A:A, 0)), "")</f>
        <v>MICRON TW</v>
      </c>
      <c r="F1891" s="3" t="str">
        <f>IFERROR(INDEX('SCR DATA'!C:C, MATCH($D1891, 'SCR DATA'!A:A, 0)), "")</f>
        <v>GAIA-I</v>
      </c>
      <c r="G1891" s="68" t="str">
        <f t="shared" si="324"/>
        <v>SINGLE</v>
      </c>
      <c r="H1891" s="197">
        <f t="shared" si="332"/>
        <v>49</v>
      </c>
      <c r="I1891" s="197">
        <v>12</v>
      </c>
      <c r="J1891" s="197">
        <v>5</v>
      </c>
      <c r="K1891" s="186">
        <f t="shared" si="333"/>
        <v>45996</v>
      </c>
      <c r="L1891" s="3" t="str">
        <f>IFERROR(INDEX('SCR DATA'!F:F, MATCH($D1891, 'SCR DATA'!A:A, 0)), "")</f>
        <v>BAT</v>
      </c>
      <c r="M1891" s="3" t="str">
        <f>IFERROR(INDEX('SCR DATA'!G:G, MATCH($D1891, 'SCR DATA'!A:A, 0)), "")</f>
        <v>P&amp;S</v>
      </c>
      <c r="N1891" s="3" t="str">
        <f t="shared" si="323"/>
        <v/>
      </c>
    </row>
    <row r="1892" spans="1:21">
      <c r="A1892" s="3">
        <v>6140</v>
      </c>
      <c r="B1892" s="83">
        <f t="array" ref="B1892">SUM(--(FREQUENCY(IF(C$2:C$3074=C1892, MATCH(D$2:D$3074, D$2:D$3074, 0)), ROW(D$2:D$3074)-ROW(D$2)+1) &gt; 0))</f>
        <v>14</v>
      </c>
      <c r="C1892" s="3">
        <f>IFERROR(INDEX('SCR DATA'!B:B, MATCH($D1892, 'SCR DATA'!A:A, 0)), "")</f>
        <v>41100502</v>
      </c>
      <c r="D1892" s="6" t="s">
        <v>3416</v>
      </c>
      <c r="E1892" s="3" t="str">
        <f>IFERROR(INDEX('SCR DATA'!E:E, MATCH($D1892, 'SCR DATA'!A:A, 0)), "")</f>
        <v>MICRON TW</v>
      </c>
      <c r="F1892" s="3" t="str">
        <f>IFERROR(INDEX('SCR DATA'!C:C, MATCH($D1892, 'SCR DATA'!A:A, 0)), "")</f>
        <v>GAIA-I</v>
      </c>
      <c r="G1892" s="68" t="str">
        <f t="shared" si="324"/>
        <v>SINGLE</v>
      </c>
      <c r="H1892" s="197">
        <f t="shared" si="332"/>
        <v>49</v>
      </c>
      <c r="I1892" s="197">
        <v>12</v>
      </c>
      <c r="J1892" s="197">
        <v>5</v>
      </c>
      <c r="K1892" s="186">
        <f t="shared" si="333"/>
        <v>45996</v>
      </c>
      <c r="L1892" s="3" t="str">
        <f>IFERROR(INDEX('SCR DATA'!F:F, MATCH($D1892, 'SCR DATA'!A:A, 0)), "")</f>
        <v>BAT</v>
      </c>
      <c r="M1892" s="3" t="str">
        <f>IFERROR(INDEX('SCR DATA'!G:G, MATCH($D1892, 'SCR DATA'!A:A, 0)), "")</f>
        <v>P&amp;S</v>
      </c>
      <c r="N1892" s="3" t="str">
        <f t="shared" si="323"/>
        <v/>
      </c>
    </row>
    <row r="1893" spans="1:21">
      <c r="A1893" s="3">
        <v>5977</v>
      </c>
      <c r="B1893" s="83">
        <f t="array" ref="B1893">SUM(--(FREQUENCY(IF(C$2:C$3074=C1893, MATCH(D$2:D$3074, D$2:D$3074, 0)), ROW(D$2:D$3074)-ROW(D$2)+1) &gt; 0))</f>
        <v>29</v>
      </c>
      <c r="C1893" s="3">
        <f>IFERROR(INDEX('SCR DATA'!B:B, MATCH($D1893, 'SCR DATA'!A:A, 0)), "")</f>
        <v>41200158</v>
      </c>
      <c r="D1893" s="6" t="s">
        <v>3417</v>
      </c>
      <c r="E1893" s="3" t="str">
        <f>IFERROR(INDEX('SCR DATA'!E:E, MATCH($D1893, 'SCR DATA'!A:A, 0)), "")</f>
        <v>SEC</v>
      </c>
      <c r="F1893" s="3" t="str">
        <f>IFERROR(INDEX('SCR DATA'!C:C, MATCH($D1893, 'SCR DATA'!A:A, 0)), "")</f>
        <v>GAIA-P DUAL</v>
      </c>
      <c r="G1893" s="68" t="str">
        <f t="shared" si="324"/>
        <v>DUAL</v>
      </c>
      <c r="H1893" s="197">
        <f t="shared" si="332"/>
        <v>49</v>
      </c>
      <c r="I1893" s="197">
        <v>12</v>
      </c>
      <c r="J1893" s="197">
        <v>5</v>
      </c>
      <c r="K1893" s="186">
        <f t="shared" si="333"/>
        <v>45996</v>
      </c>
      <c r="L1893" s="3" t="str">
        <f>IFERROR(INDEX('SCR DATA'!F:F, MATCH($D1893, 'SCR DATA'!A:A, 0)), "")</f>
        <v>BAT</v>
      </c>
      <c r="M1893" s="3" t="str">
        <f>IFERROR(INDEX('SCR DATA'!G:G, MATCH($D1893, 'SCR DATA'!A:A, 0)), "")</f>
        <v>P&amp;S</v>
      </c>
      <c r="N1893" s="3" t="str">
        <f t="shared" si="323"/>
        <v/>
      </c>
    </row>
    <row r="1894" spans="1:21">
      <c r="A1894" s="3">
        <v>5977</v>
      </c>
      <c r="B1894" s="83">
        <f t="array" ref="B1894">SUM(--(FREQUENCY(IF(C$2:C$3074=C1894, MATCH(D$2:D$3074, D$2:D$3074, 0)), ROW(D$2:D$3074)-ROW(D$2)+1) &gt; 0))</f>
        <v>29</v>
      </c>
      <c r="C1894" s="3">
        <f>IFERROR(INDEX('SCR DATA'!B:B, MATCH($D1894, 'SCR DATA'!A:A, 0)), "")</f>
        <v>41200158</v>
      </c>
      <c r="D1894" s="6" t="s">
        <v>3418</v>
      </c>
      <c r="E1894" s="3" t="str">
        <f>IFERROR(INDEX('SCR DATA'!E:E, MATCH($D1894, 'SCR DATA'!A:A, 0)), "")</f>
        <v>SEC</v>
      </c>
      <c r="F1894" s="3" t="str">
        <f>IFERROR(INDEX('SCR DATA'!C:C, MATCH($D1894, 'SCR DATA'!A:A, 0)), "")</f>
        <v>GAIA-P DUAL</v>
      </c>
      <c r="G1894" s="68" t="str">
        <f t="shared" si="324"/>
        <v>DUAL</v>
      </c>
      <c r="H1894" s="197">
        <f t="shared" si="332"/>
        <v>49</v>
      </c>
      <c r="I1894" s="197">
        <v>12</v>
      </c>
      <c r="J1894" s="197">
        <v>5</v>
      </c>
      <c r="K1894" s="186">
        <f t="shared" si="333"/>
        <v>45996</v>
      </c>
      <c r="L1894" s="3" t="str">
        <f>IFERROR(INDEX('SCR DATA'!F:F, MATCH($D1894, 'SCR DATA'!A:A, 0)), "")</f>
        <v>BAT</v>
      </c>
      <c r="M1894" s="3" t="str">
        <f>IFERROR(INDEX('SCR DATA'!G:G, MATCH($D1894, 'SCR DATA'!A:A, 0)), "")</f>
        <v>P&amp;S</v>
      </c>
      <c r="N1894" s="3" t="str">
        <f t="shared" si="323"/>
        <v/>
      </c>
    </row>
    <row r="1895" spans="1:21">
      <c r="A1895" s="3">
        <v>6204</v>
      </c>
      <c r="B1895" s="83">
        <f t="array" ref="B1895">SUM(--(FREQUENCY(IF(C$2:C$3074=C1895, MATCH(D$2:D$3074, D$2:D$3074, 0)), ROW(D$2:D$3074)-ROW(D$2)+1) &gt; 0))</f>
        <v>17</v>
      </c>
      <c r="C1895" s="3">
        <f>IFERROR(INDEX('SCR DATA'!B:B, MATCH($D1895, 'SCR DATA'!A:A, 0)), "")</f>
        <v>41000558</v>
      </c>
      <c r="D1895" s="6" t="s">
        <v>5426</v>
      </c>
      <c r="E1895" s="3" t="str">
        <f>IFERROR(INDEX('SCR DATA'!E:E, MATCH($D1895, 'SCR DATA'!A:A, 0)), "")</f>
        <v>SEC</v>
      </c>
      <c r="F1895" s="3" t="s">
        <v>1401</v>
      </c>
      <c r="G1895" s="68" t="str">
        <f t="shared" si="324"/>
        <v>SINGLE</v>
      </c>
      <c r="H1895" s="197">
        <f t="shared" si="332"/>
        <v>49</v>
      </c>
      <c r="I1895" s="197">
        <v>12</v>
      </c>
      <c r="J1895" s="197">
        <v>5</v>
      </c>
      <c r="K1895" s="186">
        <f t="shared" si="333"/>
        <v>45996</v>
      </c>
      <c r="L1895" s="3" t="str">
        <f>IFERROR(INDEX('SCR DATA'!F:F, MATCH($D1895, 'SCR DATA'!A:A, 0)), "")</f>
        <v>SH</v>
      </c>
      <c r="M1895" s="3" t="str">
        <f>IFERROR(INDEX('SCR DATA'!G:G, MATCH($D1895, 'SCR DATA'!A:A, 0)), "")</f>
        <v>TMS</v>
      </c>
      <c r="N1895" s="3" t="str">
        <f t="shared" si="323"/>
        <v/>
      </c>
    </row>
    <row r="1896" spans="1:21">
      <c r="A1896" s="3">
        <v>5977</v>
      </c>
      <c r="B1896" s="83">
        <f t="array" ref="B1896">SUM(--(FREQUENCY(IF(C$2:C$3074=C1896, MATCH(D$2:D$3074, D$2:D$3074, 0)), ROW(D$2:D$3074)-ROW(D$2)+1) &gt; 0))</f>
        <v>29</v>
      </c>
      <c r="C1896" s="3">
        <f>IFERROR(INDEX('SCR DATA'!B:B, MATCH($D1896, 'SCR DATA'!A:A, 0)), "")</f>
        <v>41200158</v>
      </c>
      <c r="D1896" s="6" t="s">
        <v>3419</v>
      </c>
      <c r="E1896" s="3" t="str">
        <f>IFERROR(INDEX('SCR DATA'!E:E, MATCH($D1896, 'SCR DATA'!A:A, 0)), "")</f>
        <v>SEC</v>
      </c>
      <c r="F1896" s="3" t="str">
        <f>IFERROR(INDEX('SCR DATA'!C:C, MATCH($D1896, 'SCR DATA'!A:A, 0)), "")</f>
        <v>GAIA-P DUAL</v>
      </c>
      <c r="G1896" s="68" t="str">
        <f t="shared" si="324"/>
        <v>DUAL</v>
      </c>
      <c r="H1896" s="197">
        <f t="shared" si="332"/>
        <v>50</v>
      </c>
      <c r="I1896" s="197">
        <v>12</v>
      </c>
      <c r="J1896" s="197">
        <v>8</v>
      </c>
      <c r="K1896" s="186">
        <f t="shared" si="333"/>
        <v>45999</v>
      </c>
      <c r="L1896" s="3" t="str">
        <f>IFERROR(INDEX('SCR DATA'!F:F, MATCH($D1896, 'SCR DATA'!A:A, 0)), "")</f>
        <v>FNI</v>
      </c>
      <c r="M1896" s="3" t="str">
        <f>IFERROR(INDEX('SCR DATA'!G:G, MATCH($D1896, 'SCR DATA'!A:A, 0)), "")</f>
        <v>TMS</v>
      </c>
      <c r="N1896" s="3" t="str">
        <f t="shared" si="323"/>
        <v>NG</v>
      </c>
      <c r="O1896" s="3" t="s">
        <v>2368</v>
      </c>
      <c r="P1896" s="3" t="s">
        <v>2826</v>
      </c>
      <c r="Q1896" s="3">
        <v>11001720</v>
      </c>
      <c r="R1896" s="3" t="s">
        <v>696</v>
      </c>
      <c r="S1896" s="3" t="s">
        <v>5427</v>
      </c>
    </row>
    <row r="1897" spans="1:21">
      <c r="A1897" s="3">
        <v>5977</v>
      </c>
      <c r="B1897" s="83">
        <f t="array" ref="B1897">SUM(--(FREQUENCY(IF(C$2:C$3074=C1897, MATCH(D$2:D$3074, D$2:D$3074, 0)), ROW(D$2:D$3074)-ROW(D$2)+1) &gt; 0))</f>
        <v>29</v>
      </c>
      <c r="C1897" s="3">
        <f>IFERROR(INDEX('SCR DATA'!B:B, MATCH($D1897, 'SCR DATA'!A:A, 0)), "")</f>
        <v>41200158</v>
      </c>
      <c r="D1897" s="6" t="s">
        <v>3420</v>
      </c>
      <c r="E1897" s="3" t="str">
        <f>IFERROR(INDEX('SCR DATA'!E:E, MATCH($D1897, 'SCR DATA'!A:A, 0)), "")</f>
        <v>SEC</v>
      </c>
      <c r="F1897" s="3" t="str">
        <f>IFERROR(INDEX('SCR DATA'!C:C, MATCH($D1897, 'SCR DATA'!A:A, 0)), "")</f>
        <v>GAIA-P DUAL</v>
      </c>
      <c r="G1897" s="68" t="str">
        <f t="shared" si="324"/>
        <v>DUAL</v>
      </c>
      <c r="H1897" s="197">
        <f t="shared" ref="H1897:H1900" si="337">WEEKNUM(K1897)</f>
        <v>50</v>
      </c>
      <c r="I1897" s="197">
        <v>12</v>
      </c>
      <c r="J1897" s="197">
        <v>8</v>
      </c>
      <c r="K1897" s="186">
        <f t="shared" ref="K1897:K1900" si="338">DATE(2025, I1897, J1897)</f>
        <v>45999</v>
      </c>
      <c r="L1897" s="3" t="str">
        <f>IFERROR(INDEX('SCR DATA'!F:F, MATCH($D1897, 'SCR DATA'!A:A, 0)), "")</f>
        <v>FNI</v>
      </c>
      <c r="M1897" s="3" t="str">
        <f>IFERROR(INDEX('SCR DATA'!G:G, MATCH($D1897, 'SCR DATA'!A:A, 0)), "")</f>
        <v>TMS</v>
      </c>
      <c r="N1897" s="3" t="str">
        <f t="shared" si="323"/>
        <v>NG</v>
      </c>
      <c r="O1897" s="3" t="s">
        <v>2368</v>
      </c>
      <c r="P1897" s="3" t="s">
        <v>2826</v>
      </c>
      <c r="Q1897" s="3">
        <v>11001720</v>
      </c>
      <c r="R1897" s="3" t="s">
        <v>696</v>
      </c>
      <c r="S1897" s="3" t="s">
        <v>5427</v>
      </c>
    </row>
    <row r="1898" spans="1:21">
      <c r="A1898" s="3">
        <v>6119</v>
      </c>
      <c r="B1898" s="83">
        <f t="array" ref="B1898">SUM(--(FREQUENCY(IF(C$2:C$3074=C1898, MATCH(D$2:D$3074, D$2:D$3074, 0)), ROW(D$2:D$3074)-ROW(D$2)+1) &gt; 0))</f>
        <v>77</v>
      </c>
      <c r="C1898" s="3">
        <f>IFERROR(INDEX('SCR DATA'!B:B, MATCH($D1898, 'SCR DATA'!A:A, 0)), "")</f>
        <v>41200076</v>
      </c>
      <c r="D1898" s="6" t="s">
        <v>3421</v>
      </c>
      <c r="E1898" s="3" t="str">
        <f>IFERROR(INDEX('SCR DATA'!E:E, MATCH($D1898, 'SCR DATA'!A:A, 0)), "")</f>
        <v>MICRON TW</v>
      </c>
      <c r="F1898" s="3" t="str">
        <f>IFERROR(INDEX('SCR DATA'!C:C, MATCH($D1898, 'SCR DATA'!A:A, 0)), "")</f>
        <v>GAIA-I DUAL</v>
      </c>
      <c r="G1898" s="68" t="str">
        <f t="shared" si="324"/>
        <v>DUAL</v>
      </c>
      <c r="H1898" s="197">
        <f t="shared" si="337"/>
        <v>50</v>
      </c>
      <c r="I1898" s="197">
        <v>12</v>
      </c>
      <c r="J1898" s="197">
        <v>8</v>
      </c>
      <c r="K1898" s="186">
        <f t="shared" si="338"/>
        <v>45999</v>
      </c>
      <c r="L1898" s="3" t="str">
        <f>IFERROR(INDEX('SCR DATA'!F:F, MATCH($D1898, 'SCR DATA'!A:A, 0)), "")</f>
        <v>FNI</v>
      </c>
      <c r="M1898" s="3" t="str">
        <f>IFERROR(INDEX('SCR DATA'!G:G, MATCH($D1898, 'SCR DATA'!A:A, 0)), "")</f>
        <v>TMS</v>
      </c>
      <c r="N1898" s="3" t="str">
        <f t="shared" si="323"/>
        <v/>
      </c>
    </row>
    <row r="1899" spans="1:21">
      <c r="A1899" s="3">
        <v>5504</v>
      </c>
      <c r="B1899" s="83">
        <f t="array" ref="B1899">SUM(--(FREQUENCY(IF(C$2:C$3074=C1899, MATCH(D$2:D$3074, D$2:D$3074, 0)), ROW(D$2:D$3074)-ROW(D$2)+1) &gt; 0))</f>
        <v>44</v>
      </c>
      <c r="C1899" s="3">
        <v>41200108</v>
      </c>
      <c r="D1899" s="6" t="s">
        <v>1989</v>
      </c>
      <c r="E1899" s="3" t="s">
        <v>1409</v>
      </c>
      <c r="F1899" s="3" t="s">
        <v>1479</v>
      </c>
      <c r="G1899" s="41" t="str">
        <f t="shared" si="324"/>
        <v>SINGLE</v>
      </c>
      <c r="H1899" s="197">
        <f t="shared" si="337"/>
        <v>50</v>
      </c>
      <c r="I1899" s="197">
        <v>12</v>
      </c>
      <c r="J1899" s="197">
        <v>8</v>
      </c>
      <c r="K1899" s="186">
        <f t="shared" si="338"/>
        <v>45999</v>
      </c>
      <c r="L1899" s="3" t="s">
        <v>2392</v>
      </c>
      <c r="M1899" s="3" t="s">
        <v>1469</v>
      </c>
      <c r="N1899" s="3" t="str">
        <f t="shared" si="323"/>
        <v/>
      </c>
      <c r="U1899" s="3" t="s">
        <v>5428</v>
      </c>
    </row>
    <row r="1900" spans="1:21">
      <c r="A1900" s="3">
        <v>6118</v>
      </c>
      <c r="B1900" s="83">
        <f t="array" ref="B1900">SUM(--(FREQUENCY(IF(C$2:C$3074=C1900, MATCH(D$2:D$3074, D$2:D$3074, 0)), ROW(D$2:D$3074)-ROW(D$2)+1) &gt; 0))</f>
        <v>32</v>
      </c>
      <c r="C1900" s="3">
        <f>IFERROR(INDEX('SCR DATA'!B:B, MATCH($D1900, 'SCR DATA'!A:A, 0)), "")</f>
        <v>41200122</v>
      </c>
      <c r="D1900" s="6" t="s">
        <v>3422</v>
      </c>
      <c r="E1900" s="3" t="str">
        <f>IFERROR(INDEX('SCR DATA'!E:E, MATCH($D1900, 'SCR DATA'!A:A, 0)), "")</f>
        <v>MICRON TW</v>
      </c>
      <c r="F1900" s="3" t="str">
        <f>IFERROR(INDEX('SCR DATA'!C:C, MATCH($D1900, 'SCR DATA'!A:A, 0)), "")</f>
        <v>GAIA-I DUAL</v>
      </c>
      <c r="G1900" s="68" t="str">
        <f t="shared" si="324"/>
        <v>DUAL</v>
      </c>
      <c r="H1900" s="197">
        <f t="shared" si="337"/>
        <v>50</v>
      </c>
      <c r="I1900" s="197">
        <v>12</v>
      </c>
      <c r="J1900" s="197">
        <v>8</v>
      </c>
      <c r="K1900" s="186">
        <f t="shared" si="338"/>
        <v>45999</v>
      </c>
      <c r="L1900" s="3" t="str">
        <f>IFERROR(INDEX('SCR DATA'!F:F, MATCH($D1900, 'SCR DATA'!A:A, 0)), "")</f>
        <v>GST</v>
      </c>
      <c r="M1900" s="3" t="str">
        <f>IFERROR(INDEX('SCR DATA'!G:G, MATCH($D1900, 'SCR DATA'!A:A, 0)), "")</f>
        <v>GST</v>
      </c>
      <c r="N1900" s="3" t="str">
        <f t="shared" si="323"/>
        <v/>
      </c>
    </row>
    <row r="1901" spans="1:21">
      <c r="A1901" s="3">
        <v>6109</v>
      </c>
      <c r="B1901" s="83">
        <f t="array" ref="B1901">SUM(--(FREQUENCY(IF(C$2:C$3074=C1901, MATCH(D$2:D$3074, D$2:D$3074, 0)), ROW(D$2:D$3074)-ROW(D$2)+1) &gt; 0))</f>
        <v>7</v>
      </c>
      <c r="C1901" s="3">
        <f>IFERROR(INDEX('SCR DATA'!B:B, MATCH($D1901, 'SCR DATA'!A:A, 0)), "")</f>
        <v>41100665</v>
      </c>
      <c r="D1901" s="6" t="s">
        <v>3435</v>
      </c>
      <c r="E1901" s="3" t="str">
        <f>IFERROR(INDEX('SCR DATA'!E:E, MATCH($D1901, 'SCR DATA'!A:A, 0)), "")</f>
        <v>TIANMA</v>
      </c>
      <c r="F1901" s="3" t="str">
        <f>IFERROR(INDEX('SCR DATA'!C:C, MATCH($D1901, 'SCR DATA'!A:A, 0)), "")</f>
        <v>GALLANT-A</v>
      </c>
      <c r="G1901" s="68" t="str">
        <f t="shared" si="324"/>
        <v>SINGLE</v>
      </c>
      <c r="H1901" s="197">
        <f t="shared" ref="H1901:H1907" si="339">WEEKNUM(K1901)</f>
        <v>50</v>
      </c>
      <c r="I1901" s="197">
        <v>12</v>
      </c>
      <c r="J1901" s="197">
        <v>8</v>
      </c>
      <c r="K1901" s="186">
        <f t="shared" ref="K1901:K1907" si="340">DATE(2025, I1901, J1901)</f>
        <v>45999</v>
      </c>
      <c r="L1901" s="3" t="str">
        <f>IFERROR(INDEX('SCR DATA'!F:F, MATCH($D1901, 'SCR DATA'!A:A, 0)), "")</f>
        <v>BAT</v>
      </c>
      <c r="M1901" s="3" t="str">
        <f>IFERROR(INDEX('SCR DATA'!G:G, MATCH($D1901, 'SCR DATA'!A:A, 0)), "")</f>
        <v>P&amp;S</v>
      </c>
      <c r="N1901" s="3" t="str">
        <f t="shared" si="323"/>
        <v/>
      </c>
    </row>
    <row r="1902" spans="1:21">
      <c r="A1902" s="3">
        <v>6109</v>
      </c>
      <c r="B1902" s="83">
        <f t="array" ref="B1902">SUM(--(FREQUENCY(IF(C$2:C$3074=C1902, MATCH(D$2:D$3074, D$2:D$3074, 0)), ROW(D$2:D$3074)-ROW(D$2)+1) &gt; 0))</f>
        <v>7</v>
      </c>
      <c r="C1902" s="3">
        <f>IFERROR(INDEX('SCR DATA'!B:B, MATCH($D1902, 'SCR DATA'!A:A, 0)), "")</f>
        <v>41100665</v>
      </c>
      <c r="D1902" s="6" t="s">
        <v>3436</v>
      </c>
      <c r="E1902" s="3" t="str">
        <f>IFERROR(INDEX('SCR DATA'!E:E, MATCH($D1902, 'SCR DATA'!A:A, 0)), "")</f>
        <v>TIANMA</v>
      </c>
      <c r="F1902" s="3" t="str">
        <f>IFERROR(INDEX('SCR DATA'!C:C, MATCH($D1902, 'SCR DATA'!A:A, 0)), "")</f>
        <v>GALLANT-A</v>
      </c>
      <c r="G1902" s="68" t="str">
        <f t="shared" si="324"/>
        <v>SINGLE</v>
      </c>
      <c r="H1902" s="197">
        <f t="shared" si="339"/>
        <v>50</v>
      </c>
      <c r="I1902" s="197">
        <v>12</v>
      </c>
      <c r="J1902" s="197">
        <v>8</v>
      </c>
      <c r="K1902" s="186">
        <f t="shared" si="340"/>
        <v>45999</v>
      </c>
      <c r="L1902" s="3" t="str">
        <f>IFERROR(INDEX('SCR DATA'!F:F, MATCH($D1902, 'SCR DATA'!A:A, 0)), "")</f>
        <v>BAT</v>
      </c>
      <c r="M1902" s="3" t="str">
        <f>IFERROR(INDEX('SCR DATA'!G:G, MATCH($D1902, 'SCR DATA'!A:A, 0)), "")</f>
        <v>P&amp;S</v>
      </c>
      <c r="N1902" s="3" t="str">
        <f t="shared" si="323"/>
        <v/>
      </c>
    </row>
    <row r="1903" spans="1:21">
      <c r="A1903" s="3">
        <v>6109</v>
      </c>
      <c r="B1903" s="83">
        <f t="array" ref="B1903">SUM(--(FREQUENCY(IF(C$2:C$3074=C1903, MATCH(D$2:D$3074, D$2:D$3074, 0)), ROW(D$2:D$3074)-ROW(D$2)+1) &gt; 0))</f>
        <v>7</v>
      </c>
      <c r="C1903" s="3">
        <f>IFERROR(INDEX('SCR DATA'!B:B, MATCH($D1903, 'SCR DATA'!A:A, 0)), "")</f>
        <v>41100665</v>
      </c>
      <c r="D1903" s="6" t="s">
        <v>3437</v>
      </c>
      <c r="E1903" s="3" t="str">
        <f>IFERROR(INDEX('SCR DATA'!E:E, MATCH($D1903, 'SCR DATA'!A:A, 0)), "")</f>
        <v>TIANMA</v>
      </c>
      <c r="F1903" s="3" t="str">
        <f>IFERROR(INDEX('SCR DATA'!C:C, MATCH($D1903, 'SCR DATA'!A:A, 0)), "")</f>
        <v>GALLANT-A</v>
      </c>
      <c r="G1903" s="68" t="str">
        <f t="shared" si="324"/>
        <v>SINGLE</v>
      </c>
      <c r="H1903" s="197">
        <f t="shared" si="339"/>
        <v>50</v>
      </c>
      <c r="I1903" s="197">
        <v>12</v>
      </c>
      <c r="J1903" s="197">
        <v>8</v>
      </c>
      <c r="K1903" s="186">
        <f t="shared" si="340"/>
        <v>45999</v>
      </c>
      <c r="L1903" s="3" t="str">
        <f>IFERROR(INDEX('SCR DATA'!F:F, MATCH($D1903, 'SCR DATA'!A:A, 0)), "")</f>
        <v>BAT</v>
      </c>
      <c r="M1903" s="3" t="str">
        <f>IFERROR(INDEX('SCR DATA'!G:G, MATCH($D1903, 'SCR DATA'!A:A, 0)), "")</f>
        <v>P&amp;S</v>
      </c>
      <c r="N1903" s="3" t="str">
        <f t="shared" si="323"/>
        <v/>
      </c>
    </row>
    <row r="1904" spans="1:21">
      <c r="A1904" s="3">
        <v>6109</v>
      </c>
      <c r="B1904" s="83">
        <f t="array" ref="B1904">SUM(--(FREQUENCY(IF(C$2:C$3074=C1904, MATCH(D$2:D$3074, D$2:D$3074, 0)), ROW(D$2:D$3074)-ROW(D$2)+1) &gt; 0))</f>
        <v>7</v>
      </c>
      <c r="C1904" s="3">
        <f>IFERROR(INDEX('SCR DATA'!B:B, MATCH($D1904, 'SCR DATA'!A:A, 0)), "")</f>
        <v>41100665</v>
      </c>
      <c r="D1904" s="6" t="s">
        <v>3439</v>
      </c>
      <c r="E1904" s="3" t="str">
        <f>IFERROR(INDEX('SCR DATA'!E:E, MATCH($D1904, 'SCR DATA'!A:A, 0)), "")</f>
        <v>TIANMA</v>
      </c>
      <c r="F1904" s="3" t="str">
        <f>IFERROR(INDEX('SCR DATA'!C:C, MATCH($D1904, 'SCR DATA'!A:A, 0)), "")</f>
        <v>GALLANT-A</v>
      </c>
      <c r="G1904" s="68" t="str">
        <f t="shared" si="324"/>
        <v>SINGLE</v>
      </c>
      <c r="H1904" s="197">
        <f t="shared" si="339"/>
        <v>50</v>
      </c>
      <c r="I1904" s="197">
        <v>12</v>
      </c>
      <c r="J1904" s="197">
        <v>8</v>
      </c>
      <c r="K1904" s="186">
        <f t="shared" si="340"/>
        <v>45999</v>
      </c>
      <c r="L1904" s="3" t="str">
        <f>IFERROR(INDEX('SCR DATA'!F:F, MATCH($D1904, 'SCR DATA'!A:A, 0)), "")</f>
        <v>BAT</v>
      </c>
      <c r="M1904" s="3" t="str">
        <f>IFERROR(INDEX('SCR DATA'!G:G, MATCH($D1904, 'SCR DATA'!A:A, 0)), "")</f>
        <v>TMS</v>
      </c>
      <c r="N1904" s="3" t="str">
        <f t="shared" si="323"/>
        <v/>
      </c>
    </row>
    <row r="1905" spans="1:19">
      <c r="A1905" s="3">
        <v>6109</v>
      </c>
      <c r="B1905" s="83">
        <f t="array" ref="B1905">SUM(--(FREQUENCY(IF(C$2:C$3074=C1905, MATCH(D$2:D$3074, D$2:D$3074, 0)), ROW(D$2:D$3074)-ROW(D$2)+1) &gt; 0))</f>
        <v>7</v>
      </c>
      <c r="C1905" s="3">
        <f>IFERROR(INDEX('SCR DATA'!B:B, MATCH($D1905, 'SCR DATA'!A:A, 0)), "")</f>
        <v>41100665</v>
      </c>
      <c r="D1905" s="6" t="s">
        <v>3440</v>
      </c>
      <c r="E1905" s="3" t="str">
        <f>IFERROR(INDEX('SCR DATA'!E:E, MATCH($D1905, 'SCR DATA'!A:A, 0)), "")</f>
        <v>TIANMA</v>
      </c>
      <c r="F1905" s="3" t="str">
        <f>IFERROR(INDEX('SCR DATA'!C:C, MATCH($D1905, 'SCR DATA'!A:A, 0)), "")</f>
        <v>GALLANT-A</v>
      </c>
      <c r="G1905" s="68" t="str">
        <f t="shared" si="324"/>
        <v>SINGLE</v>
      </c>
      <c r="H1905" s="197">
        <f t="shared" si="339"/>
        <v>50</v>
      </c>
      <c r="I1905" s="197">
        <v>12</v>
      </c>
      <c r="J1905" s="197">
        <v>8</v>
      </c>
      <c r="K1905" s="186">
        <f t="shared" si="340"/>
        <v>45999</v>
      </c>
      <c r="L1905" s="3" t="str">
        <f>IFERROR(INDEX('SCR DATA'!F:F, MATCH($D1905, 'SCR DATA'!A:A, 0)), "")</f>
        <v>BAT</v>
      </c>
      <c r="M1905" s="3" t="str">
        <f>IFERROR(INDEX('SCR DATA'!G:G, MATCH($D1905, 'SCR DATA'!A:A, 0)), "")</f>
        <v>TMS</v>
      </c>
      <c r="N1905" s="3" t="str">
        <f t="shared" si="323"/>
        <v/>
      </c>
    </row>
    <row r="1906" spans="1:19">
      <c r="A1906" s="3">
        <v>6109</v>
      </c>
      <c r="B1906" s="83">
        <f t="array" ref="B1906">SUM(--(FREQUENCY(IF(C$2:C$3074=C1906, MATCH(D$2:D$3074, D$2:D$3074, 0)), ROW(D$2:D$3074)-ROW(D$2)+1) &gt; 0))</f>
        <v>7</v>
      </c>
      <c r="C1906" s="3">
        <f>IFERROR(INDEX('SCR DATA'!B:B, MATCH($D1906, 'SCR DATA'!A:A, 0)), "")</f>
        <v>41100665</v>
      </c>
      <c r="D1906" s="6" t="s">
        <v>3441</v>
      </c>
      <c r="E1906" s="3" t="str">
        <f>IFERROR(INDEX('SCR DATA'!E:E, MATCH($D1906, 'SCR DATA'!A:A, 0)), "")</f>
        <v>TIANMA</v>
      </c>
      <c r="F1906" s="3" t="str">
        <f>IFERROR(INDEX('SCR DATA'!C:C, MATCH($D1906, 'SCR DATA'!A:A, 0)), "")</f>
        <v>GALLANT-A</v>
      </c>
      <c r="G1906" s="68" t="str">
        <f t="shared" ref="G1906:G1971" si="341">IF(OR(ISNUMBER(SEARCH("DUAL",F1906)), ISNUMBER(SEARCH("IVAS",F1906))), "DUAL", "SINGLE")</f>
        <v>SINGLE</v>
      </c>
      <c r="H1906" s="197">
        <f t="shared" si="339"/>
        <v>50</v>
      </c>
      <c r="I1906" s="197">
        <v>12</v>
      </c>
      <c r="J1906" s="197">
        <v>8</v>
      </c>
      <c r="K1906" s="186">
        <f t="shared" si="340"/>
        <v>45999</v>
      </c>
      <c r="L1906" s="3" t="str">
        <f>IFERROR(INDEX('SCR DATA'!F:F, MATCH($D1906, 'SCR DATA'!A:A, 0)), "")</f>
        <v>BAT</v>
      </c>
      <c r="M1906" s="3" t="str">
        <f>IFERROR(INDEX('SCR DATA'!G:G, MATCH($D1906, 'SCR DATA'!A:A, 0)), "")</f>
        <v>TMS</v>
      </c>
      <c r="N1906" s="3" t="str">
        <f t="shared" si="323"/>
        <v/>
      </c>
    </row>
    <row r="1907" spans="1:19">
      <c r="A1907" s="3">
        <v>6291</v>
      </c>
      <c r="B1907" s="83">
        <f t="array" ref="B1907">SUM(--(FREQUENCY(IF(C$2:C$3074=C1907, MATCH(D$2:D$3074, D$2:D$3074, 0)), ROW(D$2:D$3074)-ROW(D$2)+1) &gt; 0))</f>
        <v>2</v>
      </c>
      <c r="C1907" s="3">
        <f>IFERROR(INDEX('SCR DATA'!B:B, MATCH($D1907, 'SCR DATA'!A:A, 0)), "")</f>
        <v>41200198</v>
      </c>
      <c r="D1907" s="6" t="s">
        <v>3427</v>
      </c>
      <c r="E1907" s="3" t="str">
        <f>IFERROR(INDEX('SCR DATA'!E:E, MATCH($D1907, 'SCR DATA'!A:A, 0)), "")</f>
        <v>SAS</v>
      </c>
      <c r="F1907" s="3" t="str">
        <f>IFERROR(INDEX('SCR DATA'!C:C, MATCH($D1907, 'SCR DATA'!A:A, 0)), "")</f>
        <v>GAIA-I DUAL</v>
      </c>
      <c r="G1907" s="68" t="str">
        <f t="shared" si="341"/>
        <v>DUAL</v>
      </c>
      <c r="H1907" s="197">
        <f t="shared" si="339"/>
        <v>50</v>
      </c>
      <c r="I1907" s="197">
        <v>12</v>
      </c>
      <c r="J1907" s="197">
        <v>9</v>
      </c>
      <c r="K1907" s="186">
        <f t="shared" si="340"/>
        <v>46000</v>
      </c>
      <c r="L1907" s="3" t="str">
        <f>IFERROR(INDEX('SCR DATA'!F:F, MATCH($D1907, 'SCR DATA'!A:A, 0)), "")</f>
        <v>FNI</v>
      </c>
      <c r="M1907" s="3" t="str">
        <f>IFERROR(INDEX('SCR DATA'!G:G, MATCH($D1907, 'SCR DATA'!A:A, 0)), "")</f>
        <v>TMS</v>
      </c>
      <c r="N1907" s="3" t="str">
        <f t="shared" si="323"/>
        <v/>
      </c>
    </row>
    <row r="1908" spans="1:19">
      <c r="A1908" s="3">
        <v>6290</v>
      </c>
      <c r="B1908" s="83">
        <f t="array" ref="B1908">SUM(--(FREQUENCY(IF(C$2:C$3074=C1908, MATCH(D$2:D$3074, D$2:D$3074, 0)), ROW(D$2:D$3074)-ROW(D$2)+1) &gt; 0))</f>
        <v>6</v>
      </c>
      <c r="C1908" s="3">
        <f>IFERROR(INDEX('SCR DATA'!B:B, MATCH($D1908, 'SCR DATA'!A:A, 0)), "")</f>
        <v>41200193</v>
      </c>
      <c r="D1908" s="6" t="s">
        <v>3432</v>
      </c>
      <c r="E1908" s="3" t="str">
        <f>IFERROR(INDEX('SCR DATA'!E:E, MATCH($D1908, 'SCR DATA'!A:A, 0)), "")</f>
        <v>SAS</v>
      </c>
      <c r="F1908" s="3" t="str">
        <f>IFERROR(INDEX('SCR DATA'!C:C, MATCH($D1908, 'SCR DATA'!A:A, 0)), "")</f>
        <v>GAIA-I DUAL</v>
      </c>
      <c r="G1908" s="41" t="str">
        <f t="shared" si="341"/>
        <v>DUAL</v>
      </c>
      <c r="H1908" s="197">
        <f t="shared" ref="H1908:H1912" si="342">WEEKNUM(K1908)</f>
        <v>50</v>
      </c>
      <c r="I1908" s="197">
        <v>12</v>
      </c>
      <c r="J1908" s="197">
        <v>9</v>
      </c>
      <c r="K1908" s="186">
        <f t="shared" ref="K1908:K1912" si="343">DATE(2025, I1908, J1908)</f>
        <v>46000</v>
      </c>
      <c r="L1908" s="3" t="str">
        <f>IFERROR(INDEX('SCR DATA'!F:F, MATCH($D1908, 'SCR DATA'!A:A, 0)), "")</f>
        <v>FNI</v>
      </c>
      <c r="M1908" s="3" t="str">
        <f>IFERROR(INDEX('SCR DATA'!G:G, MATCH($D1908, 'SCR DATA'!A:A, 0)), "")</f>
        <v>TMS</v>
      </c>
      <c r="N1908" s="3" t="s">
        <v>2877</v>
      </c>
      <c r="O1908" s="3" t="s">
        <v>2368</v>
      </c>
      <c r="P1908" s="3" t="s">
        <v>1384</v>
      </c>
      <c r="Q1908" s="3">
        <v>11000125</v>
      </c>
      <c r="R1908" s="3" t="s">
        <v>1049</v>
      </c>
      <c r="S1908" s="3" t="s">
        <v>5429</v>
      </c>
    </row>
    <row r="1909" spans="1:19">
      <c r="A1909" s="3">
        <v>6290</v>
      </c>
      <c r="B1909" s="83">
        <f t="array" ref="B1909">SUM(--(FREQUENCY(IF(C$2:C$3074=C1909, MATCH(D$2:D$3074, D$2:D$3074, 0)), ROW(D$2:D$3074)-ROW(D$2)+1) &gt; 0))</f>
        <v>6</v>
      </c>
      <c r="C1909" s="3">
        <f>IFERROR(INDEX('SCR DATA'!B:B, MATCH($D1909, 'SCR DATA'!A:A, 0)), "")</f>
        <v>41200193</v>
      </c>
      <c r="D1909" s="6" t="s">
        <v>3432</v>
      </c>
      <c r="E1909" s="3" t="str">
        <f>IFERROR(INDEX('SCR DATA'!E:E, MATCH($D1909, 'SCR DATA'!A:A, 0)), "")</f>
        <v>SAS</v>
      </c>
      <c r="F1909" s="3" t="str">
        <f>IFERROR(INDEX('SCR DATA'!C:C, MATCH($D1909, 'SCR DATA'!A:A, 0)), "")</f>
        <v>GAIA-I DUAL</v>
      </c>
      <c r="G1909" s="41" t="str">
        <f t="shared" ref="G1909" si="344">IF(OR(ISNUMBER(SEARCH("DUAL",F1909)), ISNUMBER(SEARCH("IVAS",F1909))), "DUAL", "SINGLE")</f>
        <v>DUAL</v>
      </c>
      <c r="H1909" s="197">
        <f t="shared" ref="H1909" si="345">WEEKNUM(K1909)</f>
        <v>50</v>
      </c>
      <c r="I1909" s="197">
        <v>12</v>
      </c>
      <c r="J1909" s="197">
        <v>9</v>
      </c>
      <c r="K1909" s="186">
        <f t="shared" ref="K1909" si="346">DATE(2025, I1909, J1909)</f>
        <v>46000</v>
      </c>
      <c r="L1909" s="3" t="str">
        <f>IFERROR(INDEX('SCR DATA'!F:F, MATCH($D1909, 'SCR DATA'!A:A, 0)), "")</f>
        <v>FNI</v>
      </c>
      <c r="M1909" s="3" t="str">
        <f>IFERROR(INDEX('SCR DATA'!G:G, MATCH($D1909, 'SCR DATA'!A:A, 0)), "")</f>
        <v>TMS</v>
      </c>
      <c r="N1909" s="3" t="s">
        <v>2877</v>
      </c>
      <c r="O1909" s="3" t="s">
        <v>2368</v>
      </c>
      <c r="P1909" s="3" t="s">
        <v>2496</v>
      </c>
      <c r="Q1909" s="3">
        <v>11000198</v>
      </c>
      <c r="R1909" s="3" t="s">
        <v>816</v>
      </c>
      <c r="S1909" s="3" t="s">
        <v>5430</v>
      </c>
    </row>
    <row r="1910" spans="1:19">
      <c r="A1910" s="3">
        <v>6349</v>
      </c>
      <c r="B1910" s="83">
        <f t="array" ref="B1910">SUM(--(FREQUENCY(IF(C$2:C$3074=C1910, MATCH(D$2:D$3074, D$2:D$3074, 0)), ROW(D$2:D$3074)-ROW(D$2)+1) &gt; 0))</f>
        <v>2</v>
      </c>
      <c r="C1910" s="3">
        <f>IFERROR(INDEX('SCR DATA'!B:B, MATCH($D1910, 'SCR DATA'!A:A, 0)), "")</f>
        <v>41200201</v>
      </c>
      <c r="D1910" s="6" t="s">
        <v>3423</v>
      </c>
      <c r="E1910" s="3" t="str">
        <f>IFERROR(INDEX('SCR DATA'!E:E, MATCH($D1910, 'SCR DATA'!A:A, 0)), "")</f>
        <v>GF</v>
      </c>
      <c r="F1910" s="3" t="str">
        <f>IFERROR(INDEX('SCR DATA'!C:C, MATCH($D1910, 'SCR DATA'!A:A, 0)), "")</f>
        <v>GAIA-P</v>
      </c>
      <c r="G1910" s="68" t="str">
        <f t="shared" si="341"/>
        <v>SINGLE</v>
      </c>
      <c r="H1910" s="197">
        <f t="shared" si="342"/>
        <v>50</v>
      </c>
      <c r="I1910" s="197">
        <v>12</v>
      </c>
      <c r="J1910" s="197">
        <v>9</v>
      </c>
      <c r="K1910" s="186">
        <f t="shared" si="343"/>
        <v>46000</v>
      </c>
      <c r="L1910" s="3" t="str">
        <f>IFERROR(INDEX('SCR DATA'!F:F, MATCH($D1910, 'SCR DATA'!A:A, 0)), "")</f>
        <v>FNI</v>
      </c>
      <c r="M1910" s="3" t="str">
        <f>IFERROR(INDEX('SCR DATA'!G:G, MATCH($D1910, 'SCR DATA'!A:A, 0)), "")</f>
        <v>C&amp;A</v>
      </c>
      <c r="N1910" s="3" t="str">
        <f t="shared" si="323"/>
        <v/>
      </c>
    </row>
    <row r="1911" spans="1:19">
      <c r="A1911" s="3">
        <v>6349</v>
      </c>
      <c r="B1911" s="83">
        <f t="array" ref="B1911">SUM(--(FREQUENCY(IF(C$2:C$3074=C1911, MATCH(D$2:D$3074, D$2:D$3074, 0)), ROW(D$2:D$3074)-ROW(D$2)+1) &gt; 0))</f>
        <v>2</v>
      </c>
      <c r="C1911" s="3">
        <f>IFERROR(INDEX('SCR DATA'!B:B, MATCH($D1911, 'SCR DATA'!A:A, 0)), "")</f>
        <v>41200201</v>
      </c>
      <c r="D1911" s="6" t="s">
        <v>3426</v>
      </c>
      <c r="E1911" s="3" t="str">
        <f>IFERROR(INDEX('SCR DATA'!E:E, MATCH($D1911, 'SCR DATA'!A:A, 0)), "")</f>
        <v>GF</v>
      </c>
      <c r="F1911" s="3" t="str">
        <f>IFERROR(INDEX('SCR DATA'!C:C, MATCH($D1911, 'SCR DATA'!A:A, 0)), "")</f>
        <v>GAIA-P</v>
      </c>
      <c r="G1911" s="68" t="str">
        <f t="shared" si="341"/>
        <v>SINGLE</v>
      </c>
      <c r="H1911" s="197">
        <f t="shared" si="342"/>
        <v>50</v>
      </c>
      <c r="I1911" s="197">
        <v>12</v>
      </c>
      <c r="J1911" s="197">
        <v>9</v>
      </c>
      <c r="K1911" s="186">
        <f t="shared" si="343"/>
        <v>46000</v>
      </c>
      <c r="L1911" s="3" t="str">
        <f>IFERROR(INDEX('SCR DATA'!F:F, MATCH($D1911, 'SCR DATA'!A:A, 0)), "")</f>
        <v>FNI</v>
      </c>
      <c r="M1911" s="3" t="str">
        <f>IFERROR(INDEX('SCR DATA'!G:G, MATCH($D1911, 'SCR DATA'!A:A, 0)), "")</f>
        <v>C&amp;A</v>
      </c>
      <c r="N1911" s="3" t="str">
        <f t="shared" si="323"/>
        <v/>
      </c>
    </row>
    <row r="1912" spans="1:19">
      <c r="A1912" s="3">
        <v>6038</v>
      </c>
      <c r="B1912" s="83">
        <f t="array" ref="B1912">SUM(--(FREQUENCY(IF(C$2:C$3074=C1912, MATCH(D$2:D$3074, D$2:D$3074, 0)), ROW(D$2:D$3074)-ROW(D$2)+1) &gt; 0))</f>
        <v>2</v>
      </c>
      <c r="C1912" s="3">
        <f>IFERROR(INDEX('SCR DATA'!B:B, MATCH($D1912, 'SCR DATA'!A:A, 0)), "")</f>
        <v>41200035</v>
      </c>
      <c r="D1912" s="6" t="s">
        <v>3433</v>
      </c>
      <c r="E1912" s="3" t="str">
        <f>IFERROR(INDEX('SCR DATA'!E:E, MATCH($D1912, 'SCR DATA'!A:A, 0)), "")</f>
        <v>YMTC</v>
      </c>
      <c r="F1912" s="3" t="str">
        <f>IFERROR(INDEX('SCR DATA'!C:C, MATCH($D1912, 'SCR DATA'!A:A, 0)), "")</f>
        <v>GAIA-I DUAL</v>
      </c>
      <c r="G1912" s="68" t="str">
        <f t="shared" si="341"/>
        <v>DUAL</v>
      </c>
      <c r="H1912" s="197">
        <f t="shared" si="342"/>
        <v>50</v>
      </c>
      <c r="I1912" s="197">
        <v>12</v>
      </c>
      <c r="J1912" s="197">
        <v>9</v>
      </c>
      <c r="K1912" s="186">
        <f t="shared" si="343"/>
        <v>46000</v>
      </c>
      <c r="L1912" s="3" t="str">
        <f>IFERROR(INDEX('SCR DATA'!F:F, MATCH($D1912, 'SCR DATA'!A:A, 0)), "")</f>
        <v>FNI</v>
      </c>
      <c r="M1912" s="3" t="str">
        <f>IFERROR(INDEX('SCR DATA'!G:G, MATCH($D1912, 'SCR DATA'!A:A, 0)), "")</f>
        <v>C&amp;A</v>
      </c>
      <c r="N1912" s="3" t="str">
        <f t="shared" si="323"/>
        <v/>
      </c>
    </row>
    <row r="1913" spans="1:19">
      <c r="A1913" s="3">
        <v>6228</v>
      </c>
      <c r="B1913" s="83">
        <f t="array" ref="B1913">SUM(--(FREQUENCY(IF(C$2:C$3074=C1913, MATCH(D$2:D$3074, D$2:D$3074, 0)), ROW(D$2:D$3074)-ROW(D$2)+1) &gt; 0))</f>
        <v>1</v>
      </c>
      <c r="C1913" s="3">
        <f>IFERROR(INDEX('SCR DATA'!B:B, MATCH($D1913, 'SCR DATA'!A:A, 0)), "")</f>
        <v>41200174</v>
      </c>
      <c r="D1913" s="6" t="s">
        <v>3442</v>
      </c>
      <c r="E1913" s="3" t="str">
        <f>IFERROR(INDEX('SCR DATA'!E:E, MATCH($D1913, 'SCR DATA'!A:A, 0)), "")</f>
        <v>MICRON JP</v>
      </c>
      <c r="F1913" s="3" t="str">
        <f>IFERROR(INDEX('SCR DATA'!C:C, MATCH($D1913, 'SCR DATA'!A:A, 0)), "")</f>
        <v>GAIA-I DUAL</v>
      </c>
      <c r="G1913" s="68" t="str">
        <f t="shared" si="341"/>
        <v>DUAL</v>
      </c>
      <c r="H1913" s="197">
        <f t="shared" ref="H1913:H1917" si="347">WEEKNUM(K1913)</f>
        <v>50</v>
      </c>
      <c r="I1913" s="197">
        <v>12</v>
      </c>
      <c r="J1913" s="197">
        <v>10</v>
      </c>
      <c r="K1913" s="186">
        <f t="shared" ref="K1913:K1927" si="348">DATE(2025, I1913, J1913)</f>
        <v>46001</v>
      </c>
      <c r="L1913" s="3" t="str">
        <f>IFERROR(INDEX('SCR DATA'!F:F, MATCH($D1913, 'SCR DATA'!A:A, 0)), "")</f>
        <v>BAT</v>
      </c>
      <c r="M1913" s="3" t="str">
        <f>IFERROR(INDEX('SCR DATA'!G:G, MATCH($D1913, 'SCR DATA'!A:A, 0)), "")</f>
        <v>P&amp;S</v>
      </c>
      <c r="N1913" s="3" t="str">
        <f t="shared" si="323"/>
        <v/>
      </c>
    </row>
    <row r="1914" spans="1:19">
      <c r="A1914" s="3">
        <v>6080</v>
      </c>
      <c r="B1914" s="83">
        <f t="array" ref="B1914">SUM(--(FREQUENCY(IF(C$2:C$3074=C1914, MATCH(D$2:D$3074, D$2:D$3074, 0)), ROW(D$2:D$3074)-ROW(D$2)+1) &gt; 0))</f>
        <v>144</v>
      </c>
      <c r="C1914" s="3">
        <f>IFERROR(INDEX('SCR DATA'!B:B, MATCH($D1914, 'SCR DATA'!A:A, 0)), "")</f>
        <v>41200007</v>
      </c>
      <c r="D1914" s="6" t="s">
        <v>3446</v>
      </c>
      <c r="E1914" s="3" t="str">
        <f>IFERROR(INDEX('SCR DATA'!E:E, MATCH($D1914, 'SCR DATA'!A:A, 0)), "")</f>
        <v>SEC</v>
      </c>
      <c r="F1914" s="3" t="str">
        <f>IFERROR(INDEX('SCR DATA'!C:C, MATCH($D1914, 'SCR DATA'!A:A, 0)), "")</f>
        <v>GAIA-I</v>
      </c>
      <c r="G1914" s="68" t="str">
        <f t="shared" si="341"/>
        <v>SINGLE</v>
      </c>
      <c r="H1914" s="197">
        <f t="shared" si="347"/>
        <v>50</v>
      </c>
      <c r="I1914" s="197">
        <v>12</v>
      </c>
      <c r="J1914" s="197">
        <v>10</v>
      </c>
      <c r="K1914" s="186">
        <f t="shared" si="348"/>
        <v>46001</v>
      </c>
      <c r="L1914" s="3" t="str">
        <f>IFERROR(INDEX('SCR DATA'!F:F, MATCH($D1914, 'SCR DATA'!A:A, 0)), "")</f>
        <v>FNI</v>
      </c>
      <c r="M1914" s="3" t="str">
        <f>IFERROR(INDEX('SCR DATA'!G:G, MATCH($D1914, 'SCR DATA'!A:A, 0)), "")</f>
        <v>TMS</v>
      </c>
      <c r="N1914" s="3" t="str">
        <f t="shared" si="323"/>
        <v/>
      </c>
    </row>
    <row r="1915" spans="1:19">
      <c r="A1915" s="3">
        <v>6080</v>
      </c>
      <c r="B1915" s="83">
        <f t="array" ref="B1915">SUM(--(FREQUENCY(IF(C$2:C$3074=C1915, MATCH(D$2:D$3074, D$2:D$3074, 0)), ROW(D$2:D$3074)-ROW(D$2)+1) &gt; 0))</f>
        <v>144</v>
      </c>
      <c r="C1915" s="3">
        <f>IFERROR(INDEX('SCR DATA'!B:B, MATCH($D1915, 'SCR DATA'!A:A, 0)), "")</f>
        <v>41200007</v>
      </c>
      <c r="D1915" s="6" t="s">
        <v>3445</v>
      </c>
      <c r="E1915" s="3" t="str">
        <f>IFERROR(INDEX('SCR DATA'!E:E, MATCH($D1915, 'SCR DATA'!A:A, 0)), "")</f>
        <v>SEC</v>
      </c>
      <c r="F1915" s="3" t="str">
        <f>IFERROR(INDEX('SCR DATA'!C:C, MATCH($D1915, 'SCR DATA'!A:A, 0)), "")</f>
        <v>GAIA-I</v>
      </c>
      <c r="G1915" s="68" t="str">
        <f t="shared" si="341"/>
        <v>SINGLE</v>
      </c>
      <c r="H1915" s="197">
        <f t="shared" si="347"/>
        <v>50</v>
      </c>
      <c r="I1915" s="197">
        <v>12</v>
      </c>
      <c r="J1915" s="197">
        <v>10</v>
      </c>
      <c r="K1915" s="186">
        <f t="shared" si="348"/>
        <v>46001</v>
      </c>
      <c r="L1915" s="3" t="str">
        <f>IFERROR(INDEX('SCR DATA'!F:F, MATCH($D1915, 'SCR DATA'!A:A, 0)), "")</f>
        <v>FNI</v>
      </c>
      <c r="M1915" s="3" t="str">
        <f>IFERROR(INDEX('SCR DATA'!G:G, MATCH($D1915, 'SCR DATA'!A:A, 0)), "")</f>
        <v>TMS</v>
      </c>
      <c r="N1915" s="3" t="str">
        <f t="shared" si="323"/>
        <v/>
      </c>
    </row>
    <row r="1916" spans="1:19">
      <c r="A1916" s="3">
        <v>6184</v>
      </c>
      <c r="B1916" s="83">
        <f t="array" ref="B1916">SUM(--(FREQUENCY(IF(C$2:C$3074=C1916, MATCH(D$2:D$3074, D$2:D$3074, 0)), ROW(D$2:D$3074)-ROW(D$2)+1) &gt; 0))</f>
        <v>77</v>
      </c>
      <c r="C1916" s="3">
        <f>IFERROR(INDEX('SCR DATA'!B:B, MATCH($D1916, 'SCR DATA'!A:A, 0)), "")</f>
        <v>41200076</v>
      </c>
      <c r="D1916" s="6" t="s">
        <v>3453</v>
      </c>
      <c r="E1916" s="3" t="str">
        <f>IFERROR(INDEX('SCR DATA'!E:E, MATCH($D1916, 'SCR DATA'!A:A, 0)), "")</f>
        <v>MICRON TW</v>
      </c>
      <c r="F1916" s="3" t="str">
        <f>IFERROR(INDEX('SCR DATA'!C:C, MATCH($D1916, 'SCR DATA'!A:A, 0)), "")</f>
        <v>GAIA-I DUAL</v>
      </c>
      <c r="G1916" s="68" t="str">
        <f t="shared" si="341"/>
        <v>DUAL</v>
      </c>
      <c r="H1916" s="197">
        <f t="shared" si="347"/>
        <v>50</v>
      </c>
      <c r="I1916" s="197">
        <v>12</v>
      </c>
      <c r="J1916" s="197">
        <v>10</v>
      </c>
      <c r="K1916" s="186">
        <f t="shared" si="348"/>
        <v>46001</v>
      </c>
      <c r="L1916" s="3" t="str">
        <f>IFERROR(INDEX('SCR DATA'!F:F, MATCH($D1916, 'SCR DATA'!A:A, 0)), "")</f>
        <v>BAT</v>
      </c>
      <c r="M1916" s="3" t="str">
        <f>IFERROR(INDEX('SCR DATA'!G:G, MATCH($D1916, 'SCR DATA'!A:A, 0)), "")</f>
        <v>C&amp;A</v>
      </c>
      <c r="N1916" s="3" t="str">
        <f t="shared" si="323"/>
        <v/>
      </c>
    </row>
    <row r="1917" spans="1:19">
      <c r="A1917" s="3">
        <v>6184</v>
      </c>
      <c r="B1917" s="83">
        <f t="array" ref="B1917">SUM(--(FREQUENCY(IF(C$2:C$3074=C1917, MATCH(D$2:D$3074, D$2:D$3074, 0)), ROW(D$2:D$3074)-ROW(D$2)+1) &gt; 0))</f>
        <v>77</v>
      </c>
      <c r="C1917" s="3">
        <f>IFERROR(INDEX('SCR DATA'!B:B, MATCH($D1917, 'SCR DATA'!A:A, 0)), "")</f>
        <v>41200076</v>
      </c>
      <c r="D1917" s="6" t="s">
        <v>3454</v>
      </c>
      <c r="E1917" s="3" t="str">
        <f>IFERROR(INDEX('SCR DATA'!E:E, MATCH($D1917, 'SCR DATA'!A:A, 0)), "")</f>
        <v>MICRON TW</v>
      </c>
      <c r="F1917" s="3" t="str">
        <f>IFERROR(INDEX('SCR DATA'!C:C, MATCH($D1917, 'SCR DATA'!A:A, 0)), "")</f>
        <v>GAIA-I DUAL</v>
      </c>
      <c r="G1917" s="68" t="str">
        <f t="shared" si="341"/>
        <v>DUAL</v>
      </c>
      <c r="H1917" s="197">
        <f t="shared" si="347"/>
        <v>50</v>
      </c>
      <c r="I1917" s="197">
        <v>12</v>
      </c>
      <c r="J1917" s="197">
        <v>10</v>
      </c>
      <c r="K1917" s="186">
        <f t="shared" si="348"/>
        <v>46001</v>
      </c>
      <c r="L1917" s="3" t="str">
        <f>IFERROR(INDEX('SCR DATA'!F:F, MATCH($D1917, 'SCR DATA'!A:A, 0)), "")</f>
        <v>BAT</v>
      </c>
      <c r="M1917" s="3" t="str">
        <f>IFERROR(INDEX('SCR DATA'!G:G, MATCH($D1917, 'SCR DATA'!A:A, 0)), "")</f>
        <v>C&amp;A</v>
      </c>
      <c r="N1917" s="3" t="str">
        <f t="shared" ref="N1917:N1981" si="349">IF(O1917&lt;&gt;"", "NG", "")</f>
        <v/>
      </c>
    </row>
    <row r="1918" spans="1:19">
      <c r="A1918" s="3">
        <v>6302</v>
      </c>
      <c r="B1918" s="83">
        <f t="array" ref="B1918">SUM(--(FREQUENCY(IF(C$2:C$3074=C1918, MATCH(D$2:D$3074, D$2:D$3074, 0)), ROW(D$2:D$3074)-ROW(D$2)+1) &gt; 0))</f>
        <v>6</v>
      </c>
      <c r="C1918" s="3">
        <f>IFERROR(INDEX('SCR DATA'!B:B, MATCH($D1918, 'SCR DATA'!A:A, 0)), "")</f>
        <v>41200193</v>
      </c>
      <c r="D1918" s="6" t="s">
        <v>3443</v>
      </c>
      <c r="E1918" s="3" t="str">
        <f>IFERROR(INDEX('SCR DATA'!E:E, MATCH($D1918, 'SCR DATA'!A:A, 0)), "")</f>
        <v>SAS</v>
      </c>
      <c r="F1918" s="3" t="str">
        <f>IFERROR(INDEX('SCR DATA'!C:C, MATCH($D1918, 'SCR DATA'!A:A, 0)), "")</f>
        <v>GAIA-I DUAL</v>
      </c>
      <c r="G1918" s="68" t="str">
        <f t="shared" ref="G1918:G1982" si="350">IF(OR(ISNUMBER(SEARCH("DUAL",F1918)), ISNUMBER(SEARCH("IVAS",F1918))), "DUAL", "SINGLE")</f>
        <v>DUAL</v>
      </c>
      <c r="H1918" s="197">
        <f t="shared" ref="H1918:H1982" si="351">WEEKNUM(K1918)</f>
        <v>50</v>
      </c>
      <c r="I1918" s="197">
        <v>12</v>
      </c>
      <c r="J1918" s="197">
        <v>11</v>
      </c>
      <c r="K1918" s="186">
        <f t="shared" si="348"/>
        <v>46002</v>
      </c>
      <c r="L1918" s="3" t="str">
        <f>IFERROR(INDEX('SCR DATA'!F:F, MATCH($D1918, 'SCR DATA'!A:A, 0)), "")</f>
        <v>FNI</v>
      </c>
      <c r="M1918" s="3" t="str">
        <f>IFERROR(INDEX('SCR DATA'!G:G, MATCH($D1918, 'SCR DATA'!A:A, 0)), "")</f>
        <v>TMS</v>
      </c>
      <c r="N1918" s="3" t="str">
        <f t="shared" si="349"/>
        <v/>
      </c>
    </row>
    <row r="1919" spans="1:19">
      <c r="A1919" s="3">
        <v>6302</v>
      </c>
      <c r="B1919" s="83">
        <f t="array" ref="B1919">SUM(--(FREQUENCY(IF(C$2:C$3074=C1919, MATCH(D$2:D$3074, D$2:D$3074, 0)), ROW(D$2:D$3074)-ROW(D$2)+1) &gt; 0))</f>
        <v>6</v>
      </c>
      <c r="C1919" s="3">
        <f>IFERROR(INDEX('SCR DATA'!B:B, MATCH($D1919, 'SCR DATA'!A:A, 0)), "")</f>
        <v>41200193</v>
      </c>
      <c r="D1919" s="6" t="s">
        <v>3444</v>
      </c>
      <c r="E1919" s="3" t="str">
        <f>IFERROR(INDEX('SCR DATA'!E:E, MATCH($D1919, 'SCR DATA'!A:A, 0)), "")</f>
        <v>SAS</v>
      </c>
      <c r="F1919" s="3" t="str">
        <f>IFERROR(INDEX('SCR DATA'!C:C, MATCH($D1919, 'SCR DATA'!A:A, 0)), "")</f>
        <v>GAIA-I DUAL</v>
      </c>
      <c r="G1919" s="68" t="str">
        <f t="shared" si="350"/>
        <v>DUAL</v>
      </c>
      <c r="H1919" s="197">
        <f t="shared" si="351"/>
        <v>50</v>
      </c>
      <c r="I1919" s="197">
        <v>12</v>
      </c>
      <c r="J1919" s="197">
        <v>11</v>
      </c>
      <c r="K1919" s="186">
        <f t="shared" si="348"/>
        <v>46002</v>
      </c>
      <c r="L1919" s="3" t="str">
        <f>IFERROR(INDEX('SCR DATA'!F:F, MATCH($D1919, 'SCR DATA'!A:A, 0)), "")</f>
        <v>FNI</v>
      </c>
      <c r="M1919" s="3" t="str">
        <f>IFERROR(INDEX('SCR DATA'!G:G, MATCH($D1919, 'SCR DATA'!A:A, 0)), "")</f>
        <v>TMS</v>
      </c>
      <c r="N1919" s="3" t="str">
        <f t="shared" si="349"/>
        <v/>
      </c>
    </row>
    <row r="1920" spans="1:19">
      <c r="A1920" s="3">
        <v>6130</v>
      </c>
      <c r="B1920" s="83">
        <f t="array" ref="B1920">SUM(--(FREQUENCY(IF(C$2:C$3074=C1920, MATCH(D$2:D$3074, D$2:D$3074, 0)), ROW(D$2:D$3074)-ROW(D$2)+1) &gt; 0))</f>
        <v>32</v>
      </c>
      <c r="C1920" s="3">
        <f>IFERROR(INDEX('SCR DATA'!B:B, MATCH($D1920, 'SCR DATA'!A:A, 0)), "")</f>
        <v>41200122</v>
      </c>
      <c r="D1920" s="6" t="s">
        <v>3447</v>
      </c>
      <c r="E1920" s="3" t="str">
        <f>IFERROR(INDEX('SCR DATA'!E:E, MATCH($D1920, 'SCR DATA'!A:A, 0)), "")</f>
        <v>MICRON TW</v>
      </c>
      <c r="F1920" s="3" t="str">
        <f>IFERROR(INDEX('SCR DATA'!C:C, MATCH($D1920, 'SCR DATA'!A:A, 0)), "")</f>
        <v>GAIA-I DUAL</v>
      </c>
      <c r="G1920" s="68" t="str">
        <f t="shared" si="350"/>
        <v>DUAL</v>
      </c>
      <c r="H1920" s="197">
        <f t="shared" si="351"/>
        <v>50</v>
      </c>
      <c r="I1920" s="197">
        <v>12</v>
      </c>
      <c r="J1920" s="197">
        <v>11</v>
      </c>
      <c r="K1920" s="186">
        <f t="shared" si="348"/>
        <v>46002</v>
      </c>
      <c r="L1920" s="3" t="str">
        <f>IFERROR(INDEX('SCR DATA'!F:F, MATCH($D1920, 'SCR DATA'!A:A, 0)), "")</f>
        <v>BAT</v>
      </c>
      <c r="M1920" s="3" t="str">
        <f>IFERROR(INDEX('SCR DATA'!G:G, MATCH($D1920, 'SCR DATA'!A:A, 0)), "")</f>
        <v>TMS</v>
      </c>
      <c r="N1920" s="3" t="str">
        <f t="shared" si="349"/>
        <v/>
      </c>
    </row>
    <row r="1921" spans="1:19">
      <c r="A1921" s="3">
        <v>6409</v>
      </c>
      <c r="B1921" s="83">
        <f t="array" ref="B1921">SUM(--(FREQUENCY(IF(C$2:C$3074=C1921, MATCH(D$2:D$3074, D$2:D$3074, 0)), ROW(D$2:D$3074)-ROW(D$2)+1) &gt; 0))</f>
        <v>77</v>
      </c>
      <c r="C1921" s="3">
        <f>IFERROR(INDEX('SCR DATA'!B:B, MATCH($D1921, 'SCR DATA'!A:A, 0)), "")</f>
        <v>41200076</v>
      </c>
      <c r="D1921" s="6" t="s">
        <v>3448</v>
      </c>
      <c r="E1921" s="3" t="str">
        <f>IFERROR(INDEX('SCR DATA'!E:E, MATCH($D1921, 'SCR DATA'!A:A, 0)), "")</f>
        <v>MICRON TW</v>
      </c>
      <c r="F1921" s="3" t="str">
        <f>IFERROR(INDEX('SCR DATA'!C:C, MATCH($D1921, 'SCR DATA'!A:A, 0)), "")</f>
        <v>GAIA-I DUAL</v>
      </c>
      <c r="G1921" s="68" t="str">
        <f t="shared" si="350"/>
        <v>DUAL</v>
      </c>
      <c r="H1921" s="197">
        <f t="shared" si="351"/>
        <v>50</v>
      </c>
      <c r="I1921" s="197">
        <v>12</v>
      </c>
      <c r="J1921" s="197">
        <v>11</v>
      </c>
      <c r="K1921" s="186">
        <f t="shared" si="348"/>
        <v>46002</v>
      </c>
      <c r="L1921" s="3" t="str">
        <f>IFERROR(INDEX('SCR DATA'!F:F, MATCH($D1921, 'SCR DATA'!A:A, 0)), "")</f>
        <v>BAT</v>
      </c>
      <c r="M1921" s="3" t="str">
        <f>IFERROR(INDEX('SCR DATA'!G:G, MATCH($D1921, 'SCR DATA'!A:A, 0)), "")</f>
        <v>C&amp;A</v>
      </c>
      <c r="N1921" s="3" t="str">
        <f t="shared" si="349"/>
        <v/>
      </c>
    </row>
    <row r="1922" spans="1:19">
      <c r="A1922" s="3">
        <v>5977</v>
      </c>
      <c r="B1922" s="83">
        <f t="array" ref="B1922">SUM(--(FREQUENCY(IF(C$2:C$3074=C1922, MATCH(D$2:D$3074, D$2:D$3074, 0)), ROW(D$2:D$3074)-ROW(D$2)+1) &gt; 0))</f>
        <v>29</v>
      </c>
      <c r="C1922" s="3">
        <f>IFERROR(INDEX('SCR DATA'!B:B, MATCH($D1922, 'SCR DATA'!A:A, 0)), "")</f>
        <v>41200158</v>
      </c>
      <c r="D1922" s="6" t="s">
        <v>3449</v>
      </c>
      <c r="E1922" s="3" t="str">
        <f>IFERROR(INDEX('SCR DATA'!E:E, MATCH($D1922, 'SCR DATA'!A:A, 0)), "")</f>
        <v>SEC</v>
      </c>
      <c r="F1922" s="3" t="str">
        <f>IFERROR(INDEX('SCR DATA'!C:C, MATCH($D1922, 'SCR DATA'!A:A, 0)), "")</f>
        <v>GAIA-P DUAL</v>
      </c>
      <c r="G1922" s="68" t="str">
        <f t="shared" si="350"/>
        <v>DUAL</v>
      </c>
      <c r="H1922" s="197">
        <f t="shared" si="351"/>
        <v>50</v>
      </c>
      <c r="I1922" s="197">
        <v>12</v>
      </c>
      <c r="J1922" s="197">
        <v>11</v>
      </c>
      <c r="K1922" s="186">
        <f t="shared" si="348"/>
        <v>46002</v>
      </c>
      <c r="L1922" s="3" t="str">
        <f>IFERROR(INDEX('SCR DATA'!F:F, MATCH($D1922, 'SCR DATA'!A:A, 0)), "")</f>
        <v>BAT</v>
      </c>
      <c r="M1922" s="3" t="str">
        <f>IFERROR(INDEX('SCR DATA'!G:G, MATCH($D1922, 'SCR DATA'!A:A, 0)), "")</f>
        <v>P&amp;S</v>
      </c>
      <c r="N1922" s="3" t="str">
        <f t="shared" si="349"/>
        <v>NG</v>
      </c>
      <c r="O1922" s="3" t="s">
        <v>61</v>
      </c>
      <c r="P1922" s="3" t="s">
        <v>2446</v>
      </c>
      <c r="Q1922" s="3">
        <v>11002201</v>
      </c>
      <c r="R1922" s="3" t="s">
        <v>438</v>
      </c>
      <c r="S1922" s="3" t="s">
        <v>5431</v>
      </c>
    </row>
    <row r="1923" spans="1:19">
      <c r="A1923" s="3">
        <v>5977</v>
      </c>
      <c r="B1923" s="83">
        <f t="array" ref="B1923">SUM(--(FREQUENCY(IF(C$2:C$3074=C1923, MATCH(D$2:D$3074, D$2:D$3074, 0)), ROW(D$2:D$3074)-ROW(D$2)+1) &gt; 0))</f>
        <v>29</v>
      </c>
      <c r="C1923" s="3">
        <f>IFERROR(INDEX('SCR DATA'!B:B, MATCH($D1923, 'SCR DATA'!A:A, 0)), "")</f>
        <v>41200158</v>
      </c>
      <c r="D1923" s="6" t="s">
        <v>3452</v>
      </c>
      <c r="E1923" s="3" t="str">
        <f>IFERROR(INDEX('SCR DATA'!E:E, MATCH($D1923, 'SCR DATA'!A:A, 0)), "")</f>
        <v>SEC</v>
      </c>
      <c r="F1923" s="3" t="str">
        <f>IFERROR(INDEX('SCR DATA'!C:C, MATCH($D1923, 'SCR DATA'!A:A, 0)), "")</f>
        <v>GAIA-P DUAL</v>
      </c>
      <c r="G1923" s="68" t="str">
        <f t="shared" si="350"/>
        <v>DUAL</v>
      </c>
      <c r="H1923" s="197">
        <f t="shared" si="351"/>
        <v>50</v>
      </c>
      <c r="I1923" s="197">
        <v>12</v>
      </c>
      <c r="J1923" s="197">
        <v>11</v>
      </c>
      <c r="K1923" s="186">
        <f t="shared" si="348"/>
        <v>46002</v>
      </c>
      <c r="L1923" s="3" t="str">
        <f>IFERROR(INDEX('SCR DATA'!F:F, MATCH($D1923, 'SCR DATA'!A:A, 0)), "")</f>
        <v>BAT</v>
      </c>
      <c r="M1923" s="3" t="str">
        <f>IFERROR(INDEX('SCR DATA'!G:G, MATCH($D1923, 'SCR DATA'!A:A, 0)), "")</f>
        <v>P&amp;S</v>
      </c>
      <c r="N1923" s="3" t="str">
        <f t="shared" si="349"/>
        <v/>
      </c>
    </row>
    <row r="1924" spans="1:19">
      <c r="A1924" s="3">
        <v>6311</v>
      </c>
      <c r="B1924" s="83">
        <f t="array" ref="B1924">SUM(--(FREQUENCY(IF(C$2:C$3074=C1924, MATCH(D$2:D$3074, D$2:D$3074, 0)), ROW(D$2:D$3074)-ROW(D$2)+1) &gt; 0))</f>
        <v>32</v>
      </c>
      <c r="C1924" s="3">
        <f>IFERROR(INDEX('SCR DATA'!B:B, MATCH($D1924, 'SCR DATA'!A:A, 0)), "")</f>
        <v>41200122</v>
      </c>
      <c r="D1924" s="6" t="s">
        <v>3455</v>
      </c>
      <c r="E1924" s="3" t="str">
        <f>IFERROR(INDEX('SCR DATA'!E:E, MATCH($D1924, 'SCR DATA'!A:A, 0)), "")</f>
        <v>MICRON TW</v>
      </c>
      <c r="F1924" s="3" t="str">
        <f>IFERROR(INDEX('SCR DATA'!C:C, MATCH($D1924, 'SCR DATA'!A:A, 0)), "")</f>
        <v>GAIA-I DUAL</v>
      </c>
      <c r="G1924" s="68" t="str">
        <f t="shared" si="350"/>
        <v>DUAL</v>
      </c>
      <c r="H1924" s="197">
        <f t="shared" si="351"/>
        <v>50</v>
      </c>
      <c r="I1924" s="197">
        <v>12</v>
      </c>
      <c r="J1924" s="197">
        <v>12</v>
      </c>
      <c r="K1924" s="186">
        <f t="shared" si="348"/>
        <v>46003</v>
      </c>
      <c r="L1924" s="3" t="str">
        <f>IFERROR(INDEX('SCR DATA'!F:F, MATCH($D1924, 'SCR DATA'!A:A, 0)), "")</f>
        <v>BAT</v>
      </c>
      <c r="M1924" s="3" t="str">
        <f>IFERROR(INDEX('SCR DATA'!G:G, MATCH($D1924, 'SCR DATA'!A:A, 0)), "")</f>
        <v>TMS</v>
      </c>
      <c r="N1924" s="3" t="str">
        <f t="shared" si="349"/>
        <v>NG</v>
      </c>
      <c r="O1924" s="3" t="s">
        <v>2368</v>
      </c>
      <c r="P1924" s="3" t="s">
        <v>2446</v>
      </c>
      <c r="Q1924" s="3">
        <v>11000124</v>
      </c>
      <c r="R1924" s="3" t="s">
        <v>1049</v>
      </c>
      <c r="S1924" s="3" t="s">
        <v>5432</v>
      </c>
    </row>
    <row r="1925" spans="1:19">
      <c r="A1925" s="3">
        <v>6236</v>
      </c>
      <c r="B1925" s="83">
        <f t="array" ref="B1925">SUM(--(FREQUENCY(IF(C$2:C$3074=C1925, MATCH(D$2:D$3074, D$2:D$3074, 0)), ROW(D$2:D$3074)-ROW(D$2)+1) &gt; 0))</f>
        <v>1</v>
      </c>
      <c r="C1925" s="3">
        <f>IFERROR(INDEX('SCR DATA'!B:B, MATCH($D1925, 'SCR DATA'!A:A, 0)), "")</f>
        <v>41100538</v>
      </c>
      <c r="D1925" s="6" t="s">
        <v>5433</v>
      </c>
      <c r="E1925" s="3" t="str">
        <f>IFERROR(INDEX('SCR DATA'!E:E, MATCH($D1925, 'SCR DATA'!A:A, 0)), "")</f>
        <v>MICRON JP</v>
      </c>
      <c r="F1925" s="3" t="str">
        <f>IFERROR(INDEX('SCR DATA'!C:C, MATCH($D1925, 'SCR DATA'!A:A, 0)), "")</f>
        <v>GAIA-I DUAL</v>
      </c>
      <c r="G1925" s="68" t="str">
        <f t="shared" si="350"/>
        <v>DUAL</v>
      </c>
      <c r="H1925" s="197">
        <f t="shared" si="351"/>
        <v>50</v>
      </c>
      <c r="I1925" s="197">
        <v>12</v>
      </c>
      <c r="J1925" s="197">
        <v>12</v>
      </c>
      <c r="K1925" s="186">
        <f t="shared" si="348"/>
        <v>46003</v>
      </c>
      <c r="L1925" s="3" t="str">
        <f>IFERROR(INDEX('SCR DATA'!F:F, MATCH($D1925, 'SCR DATA'!A:A, 0)), "")</f>
        <v>FNI</v>
      </c>
      <c r="M1925" s="3" t="str">
        <f>IFERROR(INDEX('SCR DATA'!G:G, MATCH($D1925, 'SCR DATA'!A:A, 0)), "")</f>
        <v>TMS</v>
      </c>
      <c r="N1925" s="3" t="str">
        <f t="shared" si="349"/>
        <v>NG</v>
      </c>
      <c r="O1925" s="3" t="s">
        <v>2368</v>
      </c>
      <c r="P1925" s="3" t="s">
        <v>1385</v>
      </c>
      <c r="Q1925" s="3">
        <v>11003596</v>
      </c>
      <c r="R1925" s="3" t="s">
        <v>255</v>
      </c>
      <c r="S1925" s="3" t="s">
        <v>5434</v>
      </c>
    </row>
    <row r="1926" spans="1:19">
      <c r="A1926" s="3">
        <v>5977</v>
      </c>
      <c r="B1926" s="83">
        <f t="array" ref="B1926">SUM(--(FREQUENCY(IF(C$2:C$3074=C1926, MATCH(D$2:D$3074, D$2:D$3074, 0)), ROW(D$2:D$3074)-ROW(D$2)+1) &gt; 0))</f>
        <v>29</v>
      </c>
      <c r="C1926" s="3">
        <f>IFERROR(INDEX('SCR DATA'!B:B, MATCH($D1926, 'SCR DATA'!A:A, 0)), "")</f>
        <v>41200158</v>
      </c>
      <c r="D1926" s="6" t="s">
        <v>3456</v>
      </c>
      <c r="E1926" s="3" t="str">
        <f>IFERROR(INDEX('SCR DATA'!E:E, MATCH($D1926, 'SCR DATA'!A:A, 0)), "")</f>
        <v>SEC</v>
      </c>
      <c r="F1926" s="3" t="str">
        <f>IFERROR(INDEX('SCR DATA'!C:C, MATCH($D1926, 'SCR DATA'!A:A, 0)), "")</f>
        <v>GAIA-P DUAL</v>
      </c>
      <c r="G1926" s="68" t="str">
        <f t="shared" si="350"/>
        <v>DUAL</v>
      </c>
      <c r="H1926" s="197">
        <f t="shared" si="351"/>
        <v>50</v>
      </c>
      <c r="I1926" s="197">
        <v>12</v>
      </c>
      <c r="J1926" s="197">
        <v>12</v>
      </c>
      <c r="K1926" s="186">
        <f t="shared" si="348"/>
        <v>46003</v>
      </c>
      <c r="L1926" s="3" t="str">
        <f>IFERROR(INDEX('SCR DATA'!F:F, MATCH($D1926, 'SCR DATA'!A:A, 0)), "")</f>
        <v>BAT</v>
      </c>
      <c r="M1926" s="3" t="str">
        <f>IFERROR(INDEX('SCR DATA'!G:G, MATCH($D1926, 'SCR DATA'!A:A, 0)), "")</f>
        <v>C&amp;A</v>
      </c>
      <c r="N1926" s="3" t="str">
        <f t="shared" si="349"/>
        <v/>
      </c>
    </row>
    <row r="1927" spans="1:19">
      <c r="A1927" s="3">
        <v>5977</v>
      </c>
      <c r="B1927" s="83">
        <f t="array" ref="B1927">SUM(--(FREQUENCY(IF(C$2:C$3074=C1927, MATCH(D$2:D$3074, D$2:D$3074, 0)), ROW(D$2:D$3074)-ROW(D$2)+1) &gt; 0))</f>
        <v>29</v>
      </c>
      <c r="C1927" s="3">
        <f>IFERROR(INDEX('SCR DATA'!B:B, MATCH($D1927, 'SCR DATA'!A:A, 0)), "")</f>
        <v>41200158</v>
      </c>
      <c r="D1927" s="6" t="s">
        <v>3465</v>
      </c>
      <c r="E1927" s="3" t="str">
        <f>IFERROR(INDEX('SCR DATA'!E:E, MATCH($D1927, 'SCR DATA'!A:A, 0)), "")</f>
        <v>SEC</v>
      </c>
      <c r="F1927" s="3" t="str">
        <f>IFERROR(INDEX('SCR DATA'!C:C, MATCH($D1927, 'SCR DATA'!A:A, 0)), "")</f>
        <v>GAIA-P DUAL</v>
      </c>
      <c r="G1927" s="41" t="str">
        <f t="shared" si="350"/>
        <v>DUAL</v>
      </c>
      <c r="H1927" s="197">
        <f t="shared" si="351"/>
        <v>50</v>
      </c>
      <c r="I1927" s="197">
        <v>12</v>
      </c>
      <c r="J1927" s="197">
        <v>12</v>
      </c>
      <c r="K1927" s="186">
        <f t="shared" si="348"/>
        <v>46003</v>
      </c>
      <c r="L1927" s="3" t="str">
        <f>IFERROR(INDEX('SCR DATA'!F:F, MATCH($D1927, 'SCR DATA'!A:A, 0)), "")</f>
        <v>BAT</v>
      </c>
      <c r="M1927" s="3" t="str">
        <f>IFERROR(INDEX('SCR DATA'!G:G, MATCH($D1927, 'SCR DATA'!A:A, 0)), "")</f>
        <v>C&amp;A</v>
      </c>
      <c r="N1927" s="3" t="str">
        <f t="shared" si="349"/>
        <v>NG</v>
      </c>
      <c r="O1927" s="3" t="s">
        <v>2368</v>
      </c>
      <c r="P1927" s="3" t="s">
        <v>5098</v>
      </c>
      <c r="Q1927" s="3">
        <v>11000087</v>
      </c>
      <c r="R1927" s="3" t="s">
        <v>143</v>
      </c>
      <c r="S1927" s="3" t="s">
        <v>5435</v>
      </c>
    </row>
    <row r="1928" spans="1:19">
      <c r="A1928" s="3">
        <v>5977</v>
      </c>
      <c r="B1928" s="83">
        <f t="array" ref="B1928">SUM(--(FREQUENCY(IF(C$2:C$3074=C1928, MATCH(D$2:D$3074, D$2:D$3074, 0)), ROW(D$2:D$3074)-ROW(D$2)+1) &gt; 0))</f>
        <v>29</v>
      </c>
      <c r="C1928" s="3">
        <f>IFERROR(INDEX('SCR DATA'!B:B, MATCH($D1928, 'SCR DATA'!A:A, 0)), "")</f>
        <v>41200158</v>
      </c>
      <c r="D1928" s="6" t="s">
        <v>3465</v>
      </c>
      <c r="E1928" s="3" t="str">
        <f>IFERROR(INDEX('SCR DATA'!E:E, MATCH($D1928, 'SCR DATA'!A:A, 0)), "")</f>
        <v>SEC</v>
      </c>
      <c r="F1928" s="3" t="str">
        <f>IFERROR(INDEX('SCR DATA'!C:C, MATCH($D1928, 'SCR DATA'!A:A, 0)), "")</f>
        <v>GAIA-P DUAL</v>
      </c>
      <c r="G1928" s="41" t="str">
        <f t="shared" ref="G1928" si="352">IF(OR(ISNUMBER(SEARCH("DUAL",F1928)), ISNUMBER(SEARCH("IVAS",F1928))), "DUAL", "SINGLE")</f>
        <v>DUAL</v>
      </c>
      <c r="H1928" s="197">
        <f t="shared" ref="H1928" si="353">WEEKNUM(K1928)</f>
        <v>50</v>
      </c>
      <c r="I1928" s="197">
        <v>12</v>
      </c>
      <c r="J1928" s="197">
        <v>12</v>
      </c>
      <c r="K1928" s="186">
        <f t="shared" ref="K1928:K1937" si="354">DATE(2025, I1928, J1928)</f>
        <v>46003</v>
      </c>
      <c r="L1928" s="3" t="str">
        <f>IFERROR(INDEX('SCR DATA'!F:F, MATCH($D1928, 'SCR DATA'!A:A, 0)), "")</f>
        <v>BAT</v>
      </c>
      <c r="M1928" s="3" t="str">
        <f>IFERROR(INDEX('SCR DATA'!G:G, MATCH($D1928, 'SCR DATA'!A:A, 0)), "")</f>
        <v>C&amp;A</v>
      </c>
      <c r="N1928" s="3" t="str">
        <f t="shared" ref="N1928" si="355">IF(O1928&lt;&gt;"", "NG", "")</f>
        <v>NG</v>
      </c>
      <c r="O1928" s="3" t="s">
        <v>2368</v>
      </c>
      <c r="P1928" s="3" t="s">
        <v>3450</v>
      </c>
      <c r="Q1928" s="3">
        <v>11006165</v>
      </c>
      <c r="R1928" s="3" t="s">
        <v>69</v>
      </c>
      <c r="S1928" s="3" t="s">
        <v>5436</v>
      </c>
    </row>
    <row r="1929" spans="1:19">
      <c r="A1929" s="3">
        <v>6303</v>
      </c>
      <c r="B1929" s="83">
        <f t="array" ref="B1929">SUM(--(FREQUENCY(IF(C$2:C$3074=C1929, MATCH(D$2:D$3074, D$2:D$3074, 0)), ROW(D$2:D$3074)-ROW(D$2)+1) &gt; 0))</f>
        <v>2</v>
      </c>
      <c r="C1929" s="3">
        <f>IFERROR(INDEX('SCR DATA'!B:B, MATCH($D1929, 'SCR DATA'!A:A, 0)), "")</f>
        <v>41200198</v>
      </c>
      <c r="D1929" s="6" t="s">
        <v>3468</v>
      </c>
      <c r="E1929" s="3" t="str">
        <f>IFERROR(INDEX('SCR DATA'!E:E, MATCH($D1929, 'SCR DATA'!A:A, 0)), "")</f>
        <v>SAS</v>
      </c>
      <c r="F1929" s="3" t="str">
        <f>IFERROR(INDEX('SCR DATA'!C:C, MATCH($D1929, 'SCR DATA'!A:A, 0)), "")</f>
        <v>GAIA-I DUAL</v>
      </c>
      <c r="G1929" s="68" t="str">
        <f t="shared" si="350"/>
        <v>DUAL</v>
      </c>
      <c r="H1929" s="197">
        <f t="shared" si="351"/>
        <v>51</v>
      </c>
      <c r="I1929" s="197">
        <v>12</v>
      </c>
      <c r="J1929" s="197">
        <v>15</v>
      </c>
      <c r="K1929" s="186">
        <f t="shared" si="354"/>
        <v>46006</v>
      </c>
      <c r="L1929" s="3" t="str">
        <f>IFERROR(INDEX('SCR DATA'!F:F, MATCH($D1929, 'SCR DATA'!A:A, 0)), "")</f>
        <v>FNI</v>
      </c>
      <c r="M1929" s="3" t="str">
        <f>IFERROR(INDEX('SCR DATA'!G:G, MATCH($D1929, 'SCR DATA'!A:A, 0)), "")</f>
        <v>TMS</v>
      </c>
      <c r="N1929" s="3" t="str">
        <f t="shared" si="349"/>
        <v/>
      </c>
    </row>
    <row r="1930" spans="1:19">
      <c r="A1930" s="3">
        <v>6345</v>
      </c>
      <c r="B1930" s="83">
        <f t="array" ref="B1930">SUM(--(FREQUENCY(IF(C$2:C$3074=C1930, MATCH(D$2:D$3074, D$2:D$3074, 0)), ROW(D$2:D$3074)-ROW(D$2)+1) &gt; 0))</f>
        <v>18</v>
      </c>
      <c r="C1930" s="3">
        <f>IFERROR(INDEX('SCR DATA'!B:B, MATCH($D1930, 'SCR DATA'!A:A, 0)), "")</f>
        <v>41200039</v>
      </c>
      <c r="D1930" s="6" t="s">
        <v>3472</v>
      </c>
      <c r="E1930" s="3" t="str">
        <f>IFERROR(INDEX('SCR DATA'!E:E, MATCH($D1930, 'SCR DATA'!A:A, 0)), "")</f>
        <v>YMTC</v>
      </c>
      <c r="F1930" s="3" t="str">
        <f>IFERROR(INDEX('SCR DATA'!C:C, MATCH($D1930, 'SCR DATA'!A:A, 0)), "")</f>
        <v>GAIA-I DUAL</v>
      </c>
      <c r="G1930" s="68" t="str">
        <f t="shared" si="350"/>
        <v>DUAL</v>
      </c>
      <c r="H1930" s="197">
        <f t="shared" si="351"/>
        <v>51</v>
      </c>
      <c r="I1930" s="197">
        <v>12</v>
      </c>
      <c r="J1930" s="197">
        <v>15</v>
      </c>
      <c r="K1930" s="186">
        <f t="shared" si="354"/>
        <v>46006</v>
      </c>
      <c r="L1930" s="3" t="str">
        <f>IFERROR(INDEX('SCR DATA'!F:F, MATCH($D1930, 'SCR DATA'!A:A, 0)), "")</f>
        <v>FNI</v>
      </c>
      <c r="M1930" s="3" t="str">
        <f>IFERROR(INDEX('SCR DATA'!G:G, MATCH($D1930, 'SCR DATA'!A:A, 0)), "")</f>
        <v>C&amp;A</v>
      </c>
      <c r="N1930" s="3" t="str">
        <f t="shared" si="349"/>
        <v/>
      </c>
    </row>
    <row r="1931" spans="1:19">
      <c r="A1931" s="3">
        <v>6249</v>
      </c>
      <c r="B1931" s="83">
        <f t="array" ref="B1931">SUM(--(FREQUENCY(IF(C$2:C$3074=C1931, MATCH(D$2:D$3074, D$2:D$3074, 0)), ROW(D$2:D$3074)-ROW(D$2)+1) &gt; 0))</f>
        <v>10</v>
      </c>
      <c r="C1931" s="3">
        <f>IFERROR(INDEX('SCR DATA'!B:B, MATCH($D1931, 'SCR DATA'!A:A, 0)), "")</f>
        <v>41100286</v>
      </c>
      <c r="D1931" s="6" t="s">
        <v>3473</v>
      </c>
      <c r="E1931" s="3" t="str">
        <f>IFERROR(INDEX('SCR DATA'!E:E, MATCH($D1931, 'SCR DATA'!A:A, 0)), "")</f>
        <v>MICRON JP</v>
      </c>
      <c r="F1931" s="3" t="str">
        <f>IFERROR(INDEX('SCR DATA'!C:C, MATCH($D1931, 'SCR DATA'!A:A, 0)), "")</f>
        <v>GAIA-I DUAL</v>
      </c>
      <c r="G1931" s="68" t="str">
        <f t="shared" si="350"/>
        <v>DUAL</v>
      </c>
      <c r="H1931" s="197">
        <f t="shared" si="351"/>
        <v>51</v>
      </c>
      <c r="I1931" s="197">
        <v>12</v>
      </c>
      <c r="J1931" s="197">
        <v>15</v>
      </c>
      <c r="K1931" s="186">
        <f t="shared" si="354"/>
        <v>46006</v>
      </c>
      <c r="L1931" s="3" t="str">
        <f>IFERROR(INDEX('SCR DATA'!F:F, MATCH($D1931, 'SCR DATA'!A:A, 0)), "")</f>
        <v>BAT</v>
      </c>
      <c r="M1931" s="3" t="str">
        <f>IFERROR(INDEX('SCR DATA'!G:G, MATCH($D1931, 'SCR DATA'!A:A, 0)), "")</f>
        <v>P&amp;S</v>
      </c>
      <c r="N1931" s="3" t="str">
        <f t="shared" si="349"/>
        <v/>
      </c>
    </row>
    <row r="1932" spans="1:19">
      <c r="A1932" s="3">
        <v>6342</v>
      </c>
      <c r="B1932" s="83">
        <f t="array" ref="B1932">SUM(--(FREQUENCY(IF(C$2:C$3074=C1932, MATCH(D$2:D$3074, D$2:D$3074, 0)), ROW(D$2:D$3074)-ROW(D$2)+1) &gt; 0))</f>
        <v>20</v>
      </c>
      <c r="C1932" s="3">
        <f>IFERROR(INDEX('SCR DATA'!B:B, MATCH($D1932, 'SCR DATA'!A:A, 0)), "")</f>
        <v>41200033</v>
      </c>
      <c r="D1932" s="6" t="s">
        <v>3474</v>
      </c>
      <c r="E1932" s="3" t="str">
        <f>IFERROR(INDEX('SCR DATA'!E:E, MATCH($D1932, 'SCR DATA'!A:A, 0)), "")</f>
        <v>YMTC</v>
      </c>
      <c r="F1932" s="3" t="str">
        <f>IFERROR(INDEX('SCR DATA'!C:C, MATCH($D1932, 'SCR DATA'!A:A, 0)), "")</f>
        <v>GAIA-I DUAL</v>
      </c>
      <c r="G1932" s="68" t="str">
        <f t="shared" si="350"/>
        <v>DUAL</v>
      </c>
      <c r="H1932" s="197">
        <f t="shared" si="351"/>
        <v>51</v>
      </c>
      <c r="I1932" s="197">
        <v>12</v>
      </c>
      <c r="J1932" s="197">
        <v>15</v>
      </c>
      <c r="K1932" s="186">
        <f t="shared" si="354"/>
        <v>46006</v>
      </c>
      <c r="L1932" s="3" t="str">
        <f>IFERROR(INDEX('SCR DATA'!F:F, MATCH($D1932, 'SCR DATA'!A:A, 0)), "")</f>
        <v>BAT</v>
      </c>
      <c r="M1932" s="3" t="str">
        <f>IFERROR(INDEX('SCR DATA'!G:G, MATCH($D1932, 'SCR DATA'!A:A, 0)), "")</f>
        <v>TMS</v>
      </c>
      <c r="N1932" s="3" t="str">
        <f t="shared" si="349"/>
        <v/>
      </c>
    </row>
    <row r="1933" spans="1:19">
      <c r="A1933" s="3">
        <v>6342</v>
      </c>
      <c r="B1933" s="83">
        <f t="array" ref="B1933">SUM(--(FREQUENCY(IF(C$2:C$3074=C1933, MATCH(D$2:D$3074, D$2:D$3074, 0)), ROW(D$2:D$3074)-ROW(D$2)+1) &gt; 0))</f>
        <v>20</v>
      </c>
      <c r="C1933" s="3">
        <f>IFERROR(INDEX('SCR DATA'!B:B, MATCH($D1933, 'SCR DATA'!A:A, 0)), "")</f>
        <v>41200033</v>
      </c>
      <c r="D1933" s="6" t="s">
        <v>3475</v>
      </c>
      <c r="E1933" s="3" t="str">
        <f>IFERROR(INDEX('SCR DATA'!E:E, MATCH($D1933, 'SCR DATA'!A:A, 0)), "")</f>
        <v>YMTC</v>
      </c>
      <c r="F1933" s="3" t="str">
        <f>IFERROR(INDEX('SCR DATA'!C:C, MATCH($D1933, 'SCR DATA'!A:A, 0)), "")</f>
        <v>GAIA-I DUAL</v>
      </c>
      <c r="G1933" s="68" t="str">
        <f t="shared" si="350"/>
        <v>DUAL</v>
      </c>
      <c r="H1933" s="197">
        <f t="shared" si="351"/>
        <v>51</v>
      </c>
      <c r="I1933" s="197">
        <v>12</v>
      </c>
      <c r="J1933" s="197">
        <v>15</v>
      </c>
      <c r="K1933" s="186">
        <f t="shared" si="354"/>
        <v>46006</v>
      </c>
      <c r="L1933" s="3" t="str">
        <f>IFERROR(INDEX('SCR DATA'!F:F, MATCH($D1933, 'SCR DATA'!A:A, 0)), "")</f>
        <v>BAT</v>
      </c>
      <c r="M1933" s="3" t="str">
        <f>IFERROR(INDEX('SCR DATA'!G:G, MATCH($D1933, 'SCR DATA'!A:A, 0)), "")</f>
        <v>TMS</v>
      </c>
      <c r="N1933" s="3" t="str">
        <f t="shared" si="349"/>
        <v>NG</v>
      </c>
      <c r="O1933" s="3" t="s">
        <v>2368</v>
      </c>
      <c r="P1933" s="3" t="s">
        <v>1385</v>
      </c>
      <c r="Q1933" s="3">
        <v>11003596</v>
      </c>
      <c r="R1933" s="3" t="s">
        <v>255</v>
      </c>
      <c r="S1933" s="3" t="s">
        <v>5437</v>
      </c>
    </row>
    <row r="1934" spans="1:19">
      <c r="A1934" s="3">
        <v>6293</v>
      </c>
      <c r="B1934" s="83">
        <f t="array" ref="B1934">SUM(--(FREQUENCY(IF(C$2:C$3074=C1934, MATCH(D$2:D$3074, D$2:D$3074, 0)), ROW(D$2:D$3074)-ROW(D$2)+1) &gt; 0))</f>
        <v>1</v>
      </c>
      <c r="C1934" s="3">
        <f>IFERROR(INDEX('SCR DATA'!B:B, MATCH($D1934, 'SCR DATA'!A:A, 0)), "")</f>
        <v>41200069</v>
      </c>
      <c r="D1934" s="6" t="s">
        <v>3476</v>
      </c>
      <c r="E1934" s="3" t="str">
        <f>IFERROR(INDEX('SCR DATA'!E:E, MATCH($D1934, 'SCR DATA'!A:A, 0)), "")</f>
        <v>NEXCHIP</v>
      </c>
      <c r="F1934" s="3" t="s">
        <v>1591</v>
      </c>
      <c r="G1934" s="68" t="str">
        <f t="shared" si="350"/>
        <v>SINGLE</v>
      </c>
      <c r="H1934" s="197">
        <f t="shared" si="351"/>
        <v>51</v>
      </c>
      <c r="I1934" s="197">
        <v>12</v>
      </c>
      <c r="J1934" s="197">
        <v>15</v>
      </c>
      <c r="K1934" s="186">
        <f t="shared" si="354"/>
        <v>46006</v>
      </c>
      <c r="L1934" s="3" t="str">
        <f>IFERROR(INDEX('SCR DATA'!F:F, MATCH($D1934, 'SCR DATA'!A:A, 0)), "")</f>
        <v>FNI</v>
      </c>
      <c r="M1934" s="3" t="str">
        <f>IFERROR(INDEX('SCR DATA'!G:G, MATCH($D1934, 'SCR DATA'!A:A, 0)), "")</f>
        <v>C&amp;A</v>
      </c>
    </row>
    <row r="1935" spans="1:19">
      <c r="A1935" s="3">
        <v>6288</v>
      </c>
      <c r="B1935" s="83">
        <f t="array" ref="B1935">SUM(--(FREQUENCY(IF(C$2:C$3074=C1935, MATCH(D$2:D$3074, D$2:D$3074, 0)), ROW(D$2:D$3074)-ROW(D$2)+1) &gt; 0))</f>
        <v>11</v>
      </c>
      <c r="C1935" s="3">
        <f>IFERROR(INDEX('SCR DATA'!B:B, MATCH($D1935, 'SCR DATA'!A:A, 0)), "")</f>
        <v>41100695</v>
      </c>
      <c r="D1935" s="6" t="s">
        <v>3477</v>
      </c>
      <c r="E1935" s="3" t="str">
        <f>IFERROR(INDEX('SCR DATA'!E:E, MATCH($D1935, 'SCR DATA'!A:A, 0)), "")</f>
        <v>NEXCHIP</v>
      </c>
      <c r="F1935" s="3" t="s">
        <v>1616</v>
      </c>
      <c r="G1935" s="68" t="str">
        <f t="shared" si="350"/>
        <v>SINGLE</v>
      </c>
      <c r="H1935" s="197">
        <f t="shared" si="351"/>
        <v>51</v>
      </c>
      <c r="I1935" s="197">
        <v>12</v>
      </c>
      <c r="J1935" s="197">
        <v>15</v>
      </c>
      <c r="K1935" s="186">
        <f t="shared" si="354"/>
        <v>46006</v>
      </c>
      <c r="L1935" s="3" t="str">
        <f>IFERROR(INDEX('SCR DATA'!F:F, MATCH($D1935, 'SCR DATA'!A:A, 0)), "")</f>
        <v>TMS</v>
      </c>
      <c r="M1935" s="3" t="str">
        <f>IFERROR(INDEX('SCR DATA'!G:G, MATCH($D1935, 'SCR DATA'!A:A, 0)), "")</f>
        <v>TMS</v>
      </c>
      <c r="N1935" s="3" t="str">
        <f t="shared" si="349"/>
        <v/>
      </c>
    </row>
    <row r="1936" spans="1:19">
      <c r="A1936" s="3">
        <v>6288</v>
      </c>
      <c r="B1936" s="83">
        <f t="array" ref="B1936">SUM(--(FREQUENCY(IF(C$2:C$3074=C1936, MATCH(D$2:D$3074, D$2:D$3074, 0)), ROW(D$2:D$3074)-ROW(D$2)+1) &gt; 0))</f>
        <v>11</v>
      </c>
      <c r="C1936" s="3">
        <f>IFERROR(INDEX('SCR DATA'!B:B, MATCH($D1936, 'SCR DATA'!A:A, 0)), "")</f>
        <v>41100695</v>
      </c>
      <c r="D1936" s="6" t="s">
        <v>3478</v>
      </c>
      <c r="E1936" s="3" t="str">
        <f>IFERROR(INDEX('SCR DATA'!E:E, MATCH($D1936, 'SCR DATA'!A:A, 0)), "")</f>
        <v>NEXCHIP</v>
      </c>
      <c r="F1936" s="3" t="s">
        <v>1616</v>
      </c>
      <c r="G1936" s="68" t="str">
        <f t="shared" si="350"/>
        <v>SINGLE</v>
      </c>
      <c r="H1936" s="197">
        <f t="shared" si="351"/>
        <v>51</v>
      </c>
      <c r="I1936" s="197">
        <v>12</v>
      </c>
      <c r="J1936" s="197">
        <v>15</v>
      </c>
      <c r="K1936" s="186">
        <f t="shared" si="354"/>
        <v>46006</v>
      </c>
      <c r="L1936" s="3" t="str">
        <f>IFERROR(INDEX('SCR DATA'!F:F, MATCH($D1936, 'SCR DATA'!A:A, 0)), "")</f>
        <v>TMS</v>
      </c>
      <c r="M1936" s="3" t="str">
        <f>IFERROR(INDEX('SCR DATA'!G:G, MATCH($D1936, 'SCR DATA'!A:A, 0)), "")</f>
        <v>TMS</v>
      </c>
      <c r="N1936" s="3" t="str">
        <f t="shared" si="349"/>
        <v/>
      </c>
    </row>
    <row r="1937" spans="1:19">
      <c r="A1937" s="3">
        <v>6344</v>
      </c>
      <c r="B1937" s="83">
        <f t="array" ref="B1937">SUM(--(FREQUENCY(IF(C$2:C$3074=C1937, MATCH(D$2:D$3074, D$2:D$3074, 0)), ROW(D$2:D$3074)-ROW(D$2)+1) &gt; 0))</f>
        <v>51</v>
      </c>
      <c r="C1937" s="3">
        <f>IFERROR(INDEX('SCR DATA'!B:B, MATCH($D1937, 'SCR DATA'!A:A, 0)), "")</f>
        <v>41200034</v>
      </c>
      <c r="D1937" s="6" t="s">
        <v>3480</v>
      </c>
      <c r="E1937" s="3" t="str">
        <f>IFERROR(INDEX('SCR DATA'!E:E, MATCH($D1937, 'SCR DATA'!A:A, 0)), "")</f>
        <v>YMTC</v>
      </c>
      <c r="F1937" s="3" t="str">
        <f>IFERROR(INDEX('SCR DATA'!C:C, MATCH($D1937, 'SCR DATA'!A:A, 0)), "")</f>
        <v>GAIA-I DUAL</v>
      </c>
      <c r="G1937" s="68" t="str">
        <f t="shared" si="350"/>
        <v>DUAL</v>
      </c>
      <c r="H1937" s="197">
        <f t="shared" si="351"/>
        <v>51</v>
      </c>
      <c r="I1937" s="197">
        <v>12</v>
      </c>
      <c r="J1937" s="197">
        <v>16</v>
      </c>
      <c r="K1937" s="186">
        <f t="shared" si="354"/>
        <v>46007</v>
      </c>
      <c r="L1937" s="3" t="str">
        <f>IFERROR(INDEX('SCR DATA'!F:F, MATCH($D1937, 'SCR DATA'!A:A, 0)), "")</f>
        <v>BAT</v>
      </c>
      <c r="M1937" s="3" t="str">
        <f>IFERROR(INDEX('SCR DATA'!G:G, MATCH($D1937, 'SCR DATA'!A:A, 0)), "")</f>
        <v>TMS</v>
      </c>
      <c r="N1937" s="3" t="str">
        <f t="shared" si="349"/>
        <v/>
      </c>
    </row>
    <row r="1938" spans="1:19">
      <c r="A1938" s="3">
        <v>6344</v>
      </c>
      <c r="B1938" s="83">
        <f t="array" ref="B1938">SUM(--(FREQUENCY(IF(C$2:C$3074=C1938, MATCH(D$2:D$3074, D$2:D$3074, 0)), ROW(D$2:D$3074)-ROW(D$2)+1) &gt; 0))</f>
        <v>51</v>
      </c>
      <c r="C1938" s="3">
        <f>IFERROR(INDEX('SCR DATA'!B:B, MATCH($D1938, 'SCR DATA'!A:A, 0)), "")</f>
        <v>41200034</v>
      </c>
      <c r="D1938" s="6" t="s">
        <v>3481</v>
      </c>
      <c r="E1938" s="3" t="str">
        <f>IFERROR(INDEX('SCR DATA'!E:E, MATCH($D1938, 'SCR DATA'!A:A, 0)), "")</f>
        <v>YMTC</v>
      </c>
      <c r="F1938" s="3" t="str">
        <f>IFERROR(INDEX('SCR DATA'!C:C, MATCH($D1938, 'SCR DATA'!A:A, 0)), "")</f>
        <v>GAIA-I DUAL</v>
      </c>
      <c r="G1938" s="68" t="str">
        <f t="shared" si="350"/>
        <v>DUAL</v>
      </c>
      <c r="H1938" s="197">
        <f t="shared" ref="H1938:H1955" si="356">WEEKNUM(K1938)</f>
        <v>51</v>
      </c>
      <c r="I1938" s="197">
        <v>12</v>
      </c>
      <c r="J1938" s="197">
        <v>16</v>
      </c>
      <c r="K1938" s="186">
        <f t="shared" ref="K1938:K1955" si="357">DATE(2025, I1938, J1938)</f>
        <v>46007</v>
      </c>
      <c r="L1938" s="3" t="str">
        <f>IFERROR(INDEX('SCR DATA'!F:F, MATCH($D1938, 'SCR DATA'!A:A, 0)), "")</f>
        <v>BAT</v>
      </c>
      <c r="M1938" s="3" t="str">
        <f>IFERROR(INDEX('SCR DATA'!G:G, MATCH($D1938, 'SCR DATA'!A:A, 0)), "")</f>
        <v>TMS</v>
      </c>
      <c r="N1938" s="3" t="str">
        <f t="shared" si="349"/>
        <v/>
      </c>
    </row>
    <row r="1939" spans="1:19">
      <c r="A1939" s="3">
        <v>6346</v>
      </c>
      <c r="B1939" s="83">
        <f t="array" ref="B1939">SUM(--(FREQUENCY(IF(C$2:C$3074=C1939, MATCH(D$2:D$3074, D$2:D$3074, 0)), ROW(D$2:D$3074)-ROW(D$2)+1) &gt; 0))</f>
        <v>1</v>
      </c>
      <c r="C1939" s="3">
        <f>IFERROR(INDEX('SCR DATA'!B:B, MATCH($D1939, 'SCR DATA'!A:A, 0)), "")</f>
        <v>41200043</v>
      </c>
      <c r="D1939" s="6" t="s">
        <v>3482</v>
      </c>
      <c r="E1939" s="3" t="str">
        <f>IFERROR(INDEX('SCR DATA'!E:E, MATCH($D1939, 'SCR DATA'!A:A, 0)), "")</f>
        <v>YMTC</v>
      </c>
      <c r="F1939" s="3" t="str">
        <f>IFERROR(INDEX('SCR DATA'!C:C, MATCH($D1939, 'SCR DATA'!A:A, 0)), "")</f>
        <v>GAIA-I DUAL</v>
      </c>
      <c r="G1939" s="68" t="str">
        <f t="shared" si="350"/>
        <v>DUAL</v>
      </c>
      <c r="H1939" s="197">
        <f t="shared" si="356"/>
        <v>51</v>
      </c>
      <c r="I1939" s="197">
        <v>12</v>
      </c>
      <c r="J1939" s="197">
        <v>16</v>
      </c>
      <c r="K1939" s="186">
        <f t="shared" si="357"/>
        <v>46007</v>
      </c>
      <c r="L1939" s="3" t="str">
        <f>IFERROR(INDEX('SCR DATA'!F:F, MATCH($D1939, 'SCR DATA'!A:A, 0)), "")</f>
        <v>BAT</v>
      </c>
      <c r="M1939" s="3" t="str">
        <f>IFERROR(INDEX('SCR DATA'!G:G, MATCH($D1939, 'SCR DATA'!A:A, 0)), "")</f>
        <v>P&amp;S</v>
      </c>
      <c r="N1939" s="3" t="str">
        <f t="shared" si="349"/>
        <v/>
      </c>
    </row>
    <row r="1940" spans="1:19">
      <c r="A1940" s="3">
        <v>6345</v>
      </c>
      <c r="B1940" s="83">
        <f t="array" ref="B1940">SUM(--(FREQUENCY(IF(C$2:C$3074=C1940, MATCH(D$2:D$3074, D$2:D$3074, 0)), ROW(D$2:D$3074)-ROW(D$2)+1) &gt; 0))</f>
        <v>18</v>
      </c>
      <c r="C1940" s="3">
        <f>IFERROR(INDEX('SCR DATA'!B:B, MATCH($D1940, 'SCR DATA'!A:A, 0)), "")</f>
        <v>41200039</v>
      </c>
      <c r="D1940" s="6" t="s">
        <v>3483</v>
      </c>
      <c r="E1940" s="3" t="str">
        <f>IFERROR(INDEX('SCR DATA'!E:E, MATCH($D1940, 'SCR DATA'!A:A, 0)), "")</f>
        <v>YMTC</v>
      </c>
      <c r="F1940" s="3" t="str">
        <f>IFERROR(INDEX('SCR DATA'!C:C, MATCH($D1940, 'SCR DATA'!A:A, 0)), "")</f>
        <v>GAIA-I DUAL</v>
      </c>
      <c r="G1940" s="68" t="str">
        <f t="shared" si="350"/>
        <v>DUAL</v>
      </c>
      <c r="H1940" s="197">
        <f t="shared" si="356"/>
        <v>51</v>
      </c>
      <c r="I1940" s="197">
        <v>12</v>
      </c>
      <c r="J1940" s="197">
        <v>16</v>
      </c>
      <c r="K1940" s="186">
        <f t="shared" si="357"/>
        <v>46007</v>
      </c>
      <c r="L1940" s="3" t="str">
        <f>IFERROR(INDEX('SCR DATA'!F:F, MATCH($D1940, 'SCR DATA'!A:A, 0)), "")</f>
        <v>FNI</v>
      </c>
      <c r="M1940" s="3" t="str">
        <f>IFERROR(INDEX('SCR DATA'!G:G, MATCH($D1940, 'SCR DATA'!A:A, 0)), "")</f>
        <v>C&amp;A</v>
      </c>
      <c r="N1940" s="3" t="str">
        <f t="shared" si="349"/>
        <v/>
      </c>
    </row>
    <row r="1941" spans="1:19">
      <c r="A1941" s="3">
        <v>6304</v>
      </c>
      <c r="B1941" s="83">
        <f t="array" ref="B1941">SUM(--(FREQUENCY(IF(C$2:C$3074=C1941, MATCH(D$2:D$3074, D$2:D$3074, 0)), ROW(D$2:D$3074)-ROW(D$2)+1) &gt; 0))</f>
        <v>144</v>
      </c>
      <c r="C1941" s="3">
        <f>IFERROR(INDEX('SCR DATA'!B:B, MATCH($D1941, 'SCR DATA'!A:A, 0)), "")</f>
        <v>41200007</v>
      </c>
      <c r="D1941" s="6" t="s">
        <v>3484</v>
      </c>
      <c r="E1941" s="3" t="str">
        <f>IFERROR(INDEX('SCR DATA'!E:E, MATCH($D1941, 'SCR DATA'!A:A, 0)), "")</f>
        <v>SEC</v>
      </c>
      <c r="F1941" s="3" t="str">
        <f>IFERROR(INDEX('SCR DATA'!C:C, MATCH($D1941, 'SCR DATA'!A:A, 0)), "")</f>
        <v>GAIA-I</v>
      </c>
      <c r="G1941" s="68" t="str">
        <f t="shared" si="350"/>
        <v>SINGLE</v>
      </c>
      <c r="H1941" s="197">
        <f t="shared" si="356"/>
        <v>51</v>
      </c>
      <c r="I1941" s="197">
        <v>12</v>
      </c>
      <c r="J1941" s="197">
        <v>16</v>
      </c>
      <c r="K1941" s="186">
        <f t="shared" si="357"/>
        <v>46007</v>
      </c>
      <c r="L1941" s="3" t="str">
        <f>IFERROR(INDEX('SCR DATA'!F:F, MATCH($D1941, 'SCR DATA'!A:A, 0)), "")</f>
        <v>BAT</v>
      </c>
      <c r="M1941" s="3" t="str">
        <f>IFERROR(INDEX('SCR DATA'!G:G, MATCH($D1941, 'SCR DATA'!A:A, 0)), "")</f>
        <v>P&amp;S</v>
      </c>
      <c r="N1941" s="3" t="str">
        <f t="shared" si="349"/>
        <v/>
      </c>
    </row>
    <row r="1942" spans="1:19">
      <c r="A1942" s="3">
        <v>6304</v>
      </c>
      <c r="B1942" s="83">
        <f t="array" ref="B1942">SUM(--(FREQUENCY(IF(C$2:C$3074=C1942, MATCH(D$2:D$3074, D$2:D$3074, 0)), ROW(D$2:D$3074)-ROW(D$2)+1) &gt; 0))</f>
        <v>144</v>
      </c>
      <c r="C1942" s="3">
        <f>IFERROR(INDEX('SCR DATA'!B:B, MATCH($D1942, 'SCR DATA'!A:A, 0)), "")</f>
        <v>41200007</v>
      </c>
      <c r="D1942" s="6" t="s">
        <v>3485</v>
      </c>
      <c r="E1942" s="3" t="str">
        <f>IFERROR(INDEX('SCR DATA'!E:E, MATCH($D1942, 'SCR DATA'!A:A, 0)), "")</f>
        <v>SEC</v>
      </c>
      <c r="F1942" s="3" t="str">
        <f>IFERROR(INDEX('SCR DATA'!C:C, MATCH($D1942, 'SCR DATA'!A:A, 0)), "")</f>
        <v>GAIA-I</v>
      </c>
      <c r="G1942" s="68" t="str">
        <f t="shared" si="350"/>
        <v>SINGLE</v>
      </c>
      <c r="H1942" s="197">
        <f t="shared" si="356"/>
        <v>51</v>
      </c>
      <c r="I1942" s="197">
        <v>12</v>
      </c>
      <c r="J1942" s="197">
        <v>16</v>
      </c>
      <c r="K1942" s="186">
        <f t="shared" si="357"/>
        <v>46007</v>
      </c>
      <c r="L1942" s="3" t="str">
        <f>IFERROR(INDEX('SCR DATA'!F:F, MATCH($D1942, 'SCR DATA'!A:A, 0)), "")</f>
        <v>BAT</v>
      </c>
      <c r="M1942" s="3" t="str">
        <f>IFERROR(INDEX('SCR DATA'!G:G, MATCH($D1942, 'SCR DATA'!A:A, 0)), "")</f>
        <v>P&amp;S</v>
      </c>
      <c r="N1942" s="3" t="str">
        <f t="shared" si="349"/>
        <v/>
      </c>
    </row>
    <row r="1943" spans="1:19">
      <c r="A1943" s="3">
        <v>6125</v>
      </c>
      <c r="B1943" s="83">
        <f t="array" ref="B1943">SUM(--(FREQUENCY(IF(C$2:C$3074=C1943, MATCH(D$2:D$3074, D$2:D$3074, 0)), ROW(D$2:D$3074)-ROW(D$2)+1) &gt; 0))</f>
        <v>14</v>
      </c>
      <c r="C1943" s="3">
        <f>IFERROR(INDEX('SCR DATA'!B:B, MATCH($D1943, 'SCR DATA'!A:A, 0)), "")</f>
        <v>41100502</v>
      </c>
      <c r="D1943" s="6" t="s">
        <v>3486</v>
      </c>
      <c r="E1943" s="3" t="str">
        <f>IFERROR(INDEX('SCR DATA'!E:E, MATCH($D1943, 'SCR DATA'!A:A, 0)), "")</f>
        <v>MICRON TW</v>
      </c>
      <c r="F1943" s="3" t="str">
        <f>IFERROR(INDEX('SCR DATA'!C:C, MATCH($D1943, 'SCR DATA'!A:A, 0)), "")</f>
        <v>GAIA-I</v>
      </c>
      <c r="G1943" s="68" t="str">
        <f t="shared" si="350"/>
        <v>SINGLE</v>
      </c>
      <c r="H1943" s="197">
        <f t="shared" si="356"/>
        <v>51</v>
      </c>
      <c r="I1943" s="197">
        <v>12</v>
      </c>
      <c r="J1943" s="197">
        <v>16</v>
      </c>
      <c r="K1943" s="186">
        <f t="shared" si="357"/>
        <v>46007</v>
      </c>
      <c r="L1943" s="3" t="str">
        <f>IFERROR(INDEX('SCR DATA'!F:F, MATCH($D1943, 'SCR DATA'!A:A, 0)), "")</f>
        <v>BAT</v>
      </c>
      <c r="M1943" s="3" t="str">
        <f>IFERROR(INDEX('SCR DATA'!G:G, MATCH($D1943, 'SCR DATA'!A:A, 0)), "")</f>
        <v>P&amp;S</v>
      </c>
      <c r="N1943" s="3" t="str">
        <f t="shared" si="349"/>
        <v/>
      </c>
    </row>
    <row r="1944" spans="1:19">
      <c r="A1944" s="3">
        <v>6125</v>
      </c>
      <c r="B1944" s="83">
        <f t="array" ref="B1944">SUM(--(FREQUENCY(IF(C$2:C$3074=C1944, MATCH(D$2:D$3074, D$2:D$3074, 0)), ROW(D$2:D$3074)-ROW(D$2)+1) &gt; 0))</f>
        <v>14</v>
      </c>
      <c r="C1944" s="3">
        <f>IFERROR(INDEX('SCR DATA'!B:B, MATCH($D1944, 'SCR DATA'!A:A, 0)), "")</f>
        <v>41100502</v>
      </c>
      <c r="D1944" s="6" t="s">
        <v>3488</v>
      </c>
      <c r="E1944" s="3" t="str">
        <f>IFERROR(INDEX('SCR DATA'!E:E, MATCH($D1944, 'SCR DATA'!A:A, 0)), "")</f>
        <v>MICRON TW</v>
      </c>
      <c r="F1944" s="3" t="str">
        <f>IFERROR(INDEX('SCR DATA'!C:C, MATCH($D1944, 'SCR DATA'!A:A, 0)), "")</f>
        <v>GAIA-I</v>
      </c>
      <c r="G1944" s="68" t="str">
        <f t="shared" si="350"/>
        <v>SINGLE</v>
      </c>
      <c r="H1944" s="197">
        <f t="shared" si="356"/>
        <v>51</v>
      </c>
      <c r="I1944" s="197">
        <v>12</v>
      </c>
      <c r="J1944" s="197">
        <v>16</v>
      </c>
      <c r="K1944" s="186">
        <f t="shared" si="357"/>
        <v>46007</v>
      </c>
      <c r="L1944" s="3" t="str">
        <f>IFERROR(INDEX('SCR DATA'!F:F, MATCH($D1944, 'SCR DATA'!A:A, 0)), "")</f>
        <v>BAT</v>
      </c>
      <c r="M1944" s="3" t="str">
        <f>IFERROR(INDEX('SCR DATA'!G:G, MATCH($D1944, 'SCR DATA'!A:A, 0)), "")</f>
        <v>P&amp;S</v>
      </c>
      <c r="N1944" s="3" t="str">
        <f t="shared" si="349"/>
        <v/>
      </c>
    </row>
    <row r="1945" spans="1:19">
      <c r="A1945" s="3">
        <v>6348</v>
      </c>
      <c r="B1945" s="83">
        <f t="array" ref="B1945">SUM(--(FREQUENCY(IF(C$2:C$3074=C1945, MATCH(D$2:D$3074, D$2:D$3074, 0)), ROW(D$2:D$3074)-ROW(D$2)+1) &gt; 0))</f>
        <v>44</v>
      </c>
      <c r="C1945" s="3">
        <f>IFERROR(INDEX('SCR DATA'!B:B, MATCH($D1945, 'SCR DATA'!A:A, 0)), "")</f>
        <v>41200047</v>
      </c>
      <c r="D1945" s="6" t="s">
        <v>3497</v>
      </c>
      <c r="E1945" s="3" t="str">
        <f>IFERROR(INDEX('SCR DATA'!E:E, MATCH($D1945, 'SCR DATA'!A:A, 0)), "")</f>
        <v>YMTC</v>
      </c>
      <c r="F1945" s="3" t="str">
        <f>IFERROR(INDEX('SCR DATA'!C:C, MATCH($D1945, 'SCR DATA'!A:A, 0)), "")</f>
        <v>GAIA-I DUAL</v>
      </c>
      <c r="G1945" s="68" t="str">
        <f t="shared" si="350"/>
        <v>DUAL</v>
      </c>
      <c r="H1945" s="197">
        <f t="shared" si="356"/>
        <v>51</v>
      </c>
      <c r="I1945" s="197">
        <v>12</v>
      </c>
      <c r="J1945" s="197">
        <v>17</v>
      </c>
      <c r="K1945" s="186">
        <f t="shared" si="357"/>
        <v>46008</v>
      </c>
      <c r="L1945" s="3" t="str">
        <f>IFERROR(INDEX('SCR DATA'!F:F, MATCH($D1945, 'SCR DATA'!A:A, 0)), "")</f>
        <v>BAT</v>
      </c>
      <c r="M1945" s="3" t="str">
        <f>IFERROR(INDEX('SCR DATA'!G:G, MATCH($D1945, 'SCR DATA'!A:A, 0)), "")</f>
        <v>P&amp;S</v>
      </c>
      <c r="N1945" s="3" t="str">
        <f t="shared" si="349"/>
        <v/>
      </c>
    </row>
    <row r="1946" spans="1:19">
      <c r="A1946" s="3">
        <v>6348</v>
      </c>
      <c r="B1946" s="83">
        <f t="array" ref="B1946">SUM(--(FREQUENCY(IF(C$2:C$3074=C1946, MATCH(D$2:D$3074, D$2:D$3074, 0)), ROW(D$2:D$3074)-ROW(D$2)+1) &gt; 0))</f>
        <v>44</v>
      </c>
      <c r="C1946" s="3">
        <f>IFERROR(INDEX('SCR DATA'!B:B, MATCH($D1946, 'SCR DATA'!A:A, 0)), "")</f>
        <v>41200047</v>
      </c>
      <c r="D1946" s="6" t="s">
        <v>3499</v>
      </c>
      <c r="E1946" s="3" t="str">
        <f>IFERROR(INDEX('SCR DATA'!E:E, MATCH($D1946, 'SCR DATA'!A:A, 0)), "")</f>
        <v>YMTC</v>
      </c>
      <c r="F1946" s="3" t="str">
        <f>IFERROR(INDEX('SCR DATA'!C:C, MATCH($D1946, 'SCR DATA'!A:A, 0)), "")</f>
        <v>GAIA-I DUAL</v>
      </c>
      <c r="G1946" s="68" t="str">
        <f t="shared" si="350"/>
        <v>DUAL</v>
      </c>
      <c r="H1946" s="197">
        <f t="shared" si="356"/>
        <v>51</v>
      </c>
      <c r="I1946" s="197">
        <v>12</v>
      </c>
      <c r="J1946" s="197">
        <v>17</v>
      </c>
      <c r="K1946" s="186">
        <f t="shared" si="357"/>
        <v>46008</v>
      </c>
      <c r="L1946" s="3" t="str">
        <f>IFERROR(INDEX('SCR DATA'!F:F, MATCH($D1946, 'SCR DATA'!A:A, 0)), "")</f>
        <v>BAT</v>
      </c>
      <c r="M1946" s="3" t="str">
        <f>IFERROR(INDEX('SCR DATA'!G:G, MATCH($D1946, 'SCR DATA'!A:A, 0)), "")</f>
        <v>P&amp;S</v>
      </c>
      <c r="N1946" s="3" t="str">
        <f t="shared" si="349"/>
        <v/>
      </c>
    </row>
    <row r="1947" spans="1:19">
      <c r="A1947" s="3">
        <v>6348</v>
      </c>
      <c r="B1947" s="83">
        <f t="array" ref="B1947">SUM(--(FREQUENCY(IF(C$2:C$3074=C1947, MATCH(D$2:D$3074, D$2:D$3074, 0)), ROW(D$2:D$3074)-ROW(D$2)+1) &gt; 0))</f>
        <v>44</v>
      </c>
      <c r="C1947" s="3">
        <f>IFERROR(INDEX('SCR DATA'!B:B, MATCH($D1947, 'SCR DATA'!A:A, 0)), "")</f>
        <v>41200047</v>
      </c>
      <c r="D1947" s="6" t="s">
        <v>3501</v>
      </c>
      <c r="E1947" s="3" t="str">
        <f>IFERROR(INDEX('SCR DATA'!E:E, MATCH($D1947, 'SCR DATA'!A:A, 0)), "")</f>
        <v>YMTC</v>
      </c>
      <c r="F1947" s="3" t="str">
        <f>IFERROR(INDEX('SCR DATA'!C:C, MATCH($D1947, 'SCR DATA'!A:A, 0)), "")</f>
        <v>GAIA-I DUAL</v>
      </c>
      <c r="G1947" s="68" t="str">
        <f t="shared" si="350"/>
        <v>DUAL</v>
      </c>
      <c r="H1947" s="197">
        <f t="shared" si="356"/>
        <v>51</v>
      </c>
      <c r="I1947" s="197">
        <v>12</v>
      </c>
      <c r="J1947" s="197">
        <v>17</v>
      </c>
      <c r="K1947" s="186">
        <f t="shared" si="357"/>
        <v>46008</v>
      </c>
      <c r="L1947" s="3" t="str">
        <f>IFERROR(INDEX('SCR DATA'!F:F, MATCH($D1947, 'SCR DATA'!A:A, 0)), "")</f>
        <v>BAT</v>
      </c>
      <c r="M1947" s="3" t="str">
        <f>IFERROR(INDEX('SCR DATA'!G:G, MATCH($D1947, 'SCR DATA'!A:A, 0)), "")</f>
        <v>P&amp;S</v>
      </c>
      <c r="N1947" s="3" t="str">
        <f t="shared" si="349"/>
        <v/>
      </c>
    </row>
    <row r="1948" spans="1:19">
      <c r="A1948" s="3">
        <v>6299</v>
      </c>
      <c r="B1948" s="83">
        <f t="array" ref="B1948">SUM(--(FREQUENCY(IF(C$2:C$3074=C1948, MATCH(D$2:D$3074, D$2:D$3074, 0)), ROW(D$2:D$3074)-ROW(D$2)+1) &gt; 0))</f>
        <v>2</v>
      </c>
      <c r="C1948" s="3">
        <f>IFERROR(INDEX('SCR DATA'!B:B, MATCH($D1948, 'SCR DATA'!A:A, 0)), "")</f>
        <v>41200195</v>
      </c>
      <c r="D1948" s="6" t="s">
        <v>3502</v>
      </c>
      <c r="E1948" s="3" t="str">
        <f>IFERROR(INDEX('SCR DATA'!E:E, MATCH($D1948, 'SCR DATA'!A:A, 0)), "")</f>
        <v>SAS</v>
      </c>
      <c r="F1948" s="3" t="str">
        <f>IFERROR(INDEX('SCR DATA'!C:C, MATCH($D1948, 'SCR DATA'!A:A, 0)), "")</f>
        <v>GAIA-I DUAL</v>
      </c>
      <c r="G1948" s="68" t="str">
        <f t="shared" si="350"/>
        <v>DUAL</v>
      </c>
      <c r="H1948" s="197">
        <f t="shared" si="356"/>
        <v>51</v>
      </c>
      <c r="I1948" s="197">
        <v>12</v>
      </c>
      <c r="J1948" s="197">
        <v>17</v>
      </c>
      <c r="K1948" s="186">
        <f t="shared" si="357"/>
        <v>46008</v>
      </c>
      <c r="L1948" s="3" t="str">
        <f>IFERROR(INDEX('SCR DATA'!F:F, MATCH($D1948, 'SCR DATA'!A:A, 0)), "")</f>
        <v>FNI</v>
      </c>
      <c r="M1948" s="3" t="str">
        <f>IFERROR(INDEX('SCR DATA'!G:G, MATCH($D1948, 'SCR DATA'!A:A, 0)), "")</f>
        <v>TMS</v>
      </c>
      <c r="N1948" s="3" t="str">
        <f t="shared" si="349"/>
        <v/>
      </c>
    </row>
    <row r="1949" spans="1:19">
      <c r="A1949" s="3">
        <v>6299</v>
      </c>
      <c r="B1949" s="83">
        <f t="array" ref="B1949">SUM(--(FREQUENCY(IF(C$2:C$3074=C1949, MATCH(D$2:D$3074, D$2:D$3074, 0)), ROW(D$2:D$3074)-ROW(D$2)+1) &gt; 0))</f>
        <v>2</v>
      </c>
      <c r="C1949" s="3">
        <f>IFERROR(INDEX('SCR DATA'!B:B, MATCH($D1949, 'SCR DATA'!A:A, 0)), "")</f>
        <v>41200195</v>
      </c>
      <c r="D1949" s="6" t="s">
        <v>3503</v>
      </c>
      <c r="E1949" s="3" t="str">
        <f>IFERROR(INDEX('SCR DATA'!E:E, MATCH($D1949, 'SCR DATA'!A:A, 0)), "")</f>
        <v>SAS</v>
      </c>
      <c r="F1949" s="3" t="str">
        <f>IFERROR(INDEX('SCR DATA'!C:C, MATCH($D1949, 'SCR DATA'!A:A, 0)), "")</f>
        <v>GAIA-I DUAL</v>
      </c>
      <c r="G1949" s="68" t="str">
        <f t="shared" si="350"/>
        <v>DUAL</v>
      </c>
      <c r="H1949" s="197">
        <f t="shared" si="356"/>
        <v>51</v>
      </c>
      <c r="I1949" s="197">
        <v>12</v>
      </c>
      <c r="J1949" s="197">
        <v>17</v>
      </c>
      <c r="K1949" s="186">
        <f t="shared" si="357"/>
        <v>46008</v>
      </c>
      <c r="L1949" s="3" t="str">
        <f>IFERROR(INDEX('SCR DATA'!F:F, MATCH($D1949, 'SCR DATA'!A:A, 0)), "")</f>
        <v>FNI</v>
      </c>
      <c r="M1949" s="3" t="str">
        <f>IFERROR(INDEX('SCR DATA'!G:G, MATCH($D1949, 'SCR DATA'!A:A, 0)), "")</f>
        <v>TMS</v>
      </c>
      <c r="N1949" s="3" t="str">
        <f t="shared" si="349"/>
        <v/>
      </c>
    </row>
    <row r="1950" spans="1:19">
      <c r="A1950" s="3">
        <v>6042</v>
      </c>
      <c r="B1950" s="83">
        <f t="array" ref="B1950">SUM(--(FREQUENCY(IF(C$2:C$3074=C1950, MATCH(D$2:D$3074, D$2:D$3074, 0)), ROW(D$2:D$3074)-ROW(D$2)+1) &gt; 0))</f>
        <v>7</v>
      </c>
      <c r="C1950" s="3">
        <f>IFERROR(INDEX('SCR DATA'!B:B, MATCH($D1950, 'SCR DATA'!A:A, 0)), "")</f>
        <v>41200042</v>
      </c>
      <c r="D1950" s="6" t="s">
        <v>3489</v>
      </c>
      <c r="E1950" s="3" t="str">
        <f>IFERROR(INDEX('SCR DATA'!E:E, MATCH($D1950, 'SCR DATA'!A:A, 0)), "")</f>
        <v>YMTC</v>
      </c>
      <c r="F1950" s="3" t="str">
        <f>IFERROR(INDEX('SCR DATA'!C:C, MATCH($D1950, 'SCR DATA'!A:A, 0)), "")</f>
        <v>GAIA-I DUAL</v>
      </c>
      <c r="G1950" s="41" t="str">
        <f t="shared" si="350"/>
        <v>DUAL</v>
      </c>
      <c r="H1950" s="197">
        <f t="shared" si="356"/>
        <v>51</v>
      </c>
      <c r="I1950" s="197">
        <v>12</v>
      </c>
      <c r="J1950" s="197">
        <v>17</v>
      </c>
      <c r="K1950" s="186">
        <f t="shared" si="357"/>
        <v>46008</v>
      </c>
      <c r="L1950" s="3" t="str">
        <f>IFERROR(INDEX('SCR DATA'!F:F, MATCH($D1950, 'SCR DATA'!A:A, 0)), "")</f>
        <v>FNI</v>
      </c>
      <c r="M1950" s="3" t="str">
        <f>IFERROR(INDEX('SCR DATA'!G:G, MATCH($D1950, 'SCR DATA'!A:A, 0)), "")</f>
        <v>TMS</v>
      </c>
      <c r="N1950" s="3" t="str">
        <f t="shared" si="349"/>
        <v>NG</v>
      </c>
      <c r="O1950" s="3" t="s">
        <v>2368</v>
      </c>
      <c r="P1950" s="3" t="s">
        <v>5438</v>
      </c>
      <c r="Q1950" s="3">
        <v>11002283</v>
      </c>
      <c r="R1950" s="3" t="s">
        <v>932</v>
      </c>
      <c r="S1950" s="3" t="s">
        <v>5439</v>
      </c>
    </row>
    <row r="1951" spans="1:19">
      <c r="A1951" s="3">
        <v>6042</v>
      </c>
      <c r="B1951" s="83">
        <f t="array" ref="B1951">SUM(--(FREQUENCY(IF(C$2:C$3074=C1951, MATCH(D$2:D$3074, D$2:D$3074, 0)), ROW(D$2:D$3074)-ROW(D$2)+1) &gt; 0))</f>
        <v>7</v>
      </c>
      <c r="C1951" s="3">
        <f>IFERROR(INDEX('SCR DATA'!B:B, MATCH($D1951, 'SCR DATA'!A:A, 0)), "")</f>
        <v>41200042</v>
      </c>
      <c r="D1951" s="6" t="s">
        <v>3489</v>
      </c>
      <c r="E1951" s="3" t="str">
        <f>IFERROR(INDEX('SCR DATA'!E:E, MATCH($D1951, 'SCR DATA'!A:A, 0)), "")</f>
        <v>YMTC</v>
      </c>
      <c r="F1951" s="3" t="str">
        <f>IFERROR(INDEX('SCR DATA'!C:C, MATCH($D1951, 'SCR DATA'!A:A, 0)), "")</f>
        <v>GAIA-I DUAL</v>
      </c>
      <c r="G1951" s="41" t="str">
        <f t="shared" ref="G1951" si="358">IF(OR(ISNUMBER(SEARCH("DUAL",F1951)), ISNUMBER(SEARCH("IVAS",F1951))), "DUAL", "SINGLE")</f>
        <v>DUAL</v>
      </c>
      <c r="H1951" s="197">
        <f t="shared" ref="H1951" si="359">WEEKNUM(K1951)</f>
        <v>51</v>
      </c>
      <c r="I1951" s="197">
        <v>12</v>
      </c>
      <c r="J1951" s="197">
        <v>17</v>
      </c>
      <c r="K1951" s="186">
        <f t="shared" ref="K1951" si="360">DATE(2025, I1951, J1951)</f>
        <v>46008</v>
      </c>
      <c r="L1951" s="3" t="str">
        <f>IFERROR(INDEX('SCR DATA'!F:F, MATCH($D1951, 'SCR DATA'!A:A, 0)), "")</f>
        <v>FNI</v>
      </c>
      <c r="M1951" s="3" t="str">
        <f>IFERROR(INDEX('SCR DATA'!G:G, MATCH($D1951, 'SCR DATA'!A:A, 0)), "")</f>
        <v>TMS</v>
      </c>
      <c r="N1951" s="3" t="str">
        <f t="shared" ref="N1951" si="361">IF(O1951&lt;&gt;"", "NG", "")</f>
        <v>NG</v>
      </c>
      <c r="O1951" s="3" t="s">
        <v>2368</v>
      </c>
      <c r="P1951" s="3" t="s">
        <v>5438</v>
      </c>
      <c r="Q1951" s="3">
        <v>11002283</v>
      </c>
      <c r="R1951" s="3" t="s">
        <v>932</v>
      </c>
      <c r="S1951" s="3" t="s">
        <v>5440</v>
      </c>
    </row>
    <row r="1952" spans="1:19">
      <c r="A1952" s="3">
        <v>6037</v>
      </c>
      <c r="B1952" s="83">
        <f t="array" ref="B1952">SUM(--(FREQUENCY(IF(C$2:C$3074=C1952, MATCH(D$2:D$3074, D$2:D$3074, 0)), ROW(D$2:D$3074)-ROW(D$2)+1) &gt; 0))</f>
        <v>51</v>
      </c>
      <c r="C1952" s="3">
        <f>IFERROR(INDEX('SCR DATA'!B:B, MATCH($D1952, 'SCR DATA'!A:A, 0)), "")</f>
        <v>41200034</v>
      </c>
      <c r="D1952" s="6" t="s">
        <v>3491</v>
      </c>
      <c r="E1952" s="3" t="str">
        <f>IFERROR(INDEX('SCR DATA'!E:E, MATCH($D1952, 'SCR DATA'!A:A, 0)), "")</f>
        <v>YMTC</v>
      </c>
      <c r="F1952" s="3" t="str">
        <f>IFERROR(INDEX('SCR DATA'!C:C, MATCH($D1952, 'SCR DATA'!A:A, 0)), "")</f>
        <v>GAIA-I DUAL</v>
      </c>
      <c r="G1952" s="68" t="str">
        <f t="shared" si="350"/>
        <v>DUAL</v>
      </c>
      <c r="H1952" s="197">
        <f t="shared" si="356"/>
        <v>51</v>
      </c>
      <c r="I1952" s="197">
        <v>12</v>
      </c>
      <c r="J1952" s="197">
        <v>17</v>
      </c>
      <c r="K1952" s="186">
        <f t="shared" si="357"/>
        <v>46008</v>
      </c>
      <c r="L1952" s="3" t="str">
        <f>IFERROR(INDEX('SCR DATA'!F:F, MATCH($D1952, 'SCR DATA'!A:A, 0)), "")</f>
        <v>BAT</v>
      </c>
      <c r="M1952" s="3" t="str">
        <f>IFERROR(INDEX('SCR DATA'!G:G, MATCH($D1952, 'SCR DATA'!A:A, 0)), "")</f>
        <v>C&amp;A</v>
      </c>
      <c r="N1952" s="3" t="str">
        <f t="shared" si="349"/>
        <v/>
      </c>
    </row>
    <row r="1953" spans="1:19">
      <c r="A1953" s="3">
        <v>6155</v>
      </c>
      <c r="B1953" s="83">
        <f t="array" ref="B1953">SUM(--(FREQUENCY(IF(C$2:C$3074=C1953, MATCH(D$2:D$3074, D$2:D$3074, 0)), ROW(D$2:D$3074)-ROW(D$2)+1) &gt; 0))</f>
        <v>2</v>
      </c>
      <c r="C1953" s="3">
        <f>IFERROR(INDEX('SCR DATA'!B:B, MATCH($D1953, 'SCR DATA'!A:A, 0)), "")</f>
        <v>41200079</v>
      </c>
      <c r="D1953" s="6" t="s">
        <v>3492</v>
      </c>
      <c r="E1953" s="3" t="str">
        <f>IFERROR(INDEX('SCR DATA'!E:E, MATCH($D1953, 'SCR DATA'!A:A, 0)), "")</f>
        <v>SEC</v>
      </c>
      <c r="F1953" s="3" t="str">
        <f>IFERROR(INDEX('SCR DATA'!C:C, MATCH($D1953, 'SCR DATA'!A:A, 0)), "")</f>
        <v>GAIA-P DUAL</v>
      </c>
      <c r="G1953" s="68" t="str">
        <f t="shared" si="350"/>
        <v>DUAL</v>
      </c>
      <c r="H1953" s="197">
        <f t="shared" si="356"/>
        <v>51</v>
      </c>
      <c r="I1953" s="197">
        <v>12</v>
      </c>
      <c r="J1953" s="197">
        <v>17</v>
      </c>
      <c r="K1953" s="186">
        <f t="shared" si="357"/>
        <v>46008</v>
      </c>
      <c r="L1953" s="3" t="str">
        <f>IFERROR(INDEX('SCR DATA'!F:F, MATCH($D1953, 'SCR DATA'!A:A, 0)), "")</f>
        <v>BAT</v>
      </c>
      <c r="M1953" s="3" t="str">
        <f>IFERROR(INDEX('SCR DATA'!G:G, MATCH($D1953, 'SCR DATA'!A:A, 0)), "")</f>
        <v>C&amp;A</v>
      </c>
      <c r="N1953" s="3" t="str">
        <f t="shared" si="349"/>
        <v>NG</v>
      </c>
      <c r="O1953" s="3" t="s">
        <v>2368</v>
      </c>
      <c r="P1953" s="3" t="s">
        <v>5098</v>
      </c>
      <c r="Q1953" s="3">
        <v>11006165</v>
      </c>
      <c r="R1953" s="3" t="s">
        <v>69</v>
      </c>
      <c r="S1953" s="3" t="s">
        <v>5441</v>
      </c>
    </row>
    <row r="1954" spans="1:19">
      <c r="A1954" s="3">
        <v>5977</v>
      </c>
      <c r="B1954" s="83">
        <f t="array" ref="B1954">SUM(--(FREQUENCY(IF(C$2:C$3074=C1954, MATCH(D$2:D$3074, D$2:D$3074, 0)), ROW(D$2:D$3074)-ROW(D$2)+1) &gt; 0))</f>
        <v>29</v>
      </c>
      <c r="C1954" s="3">
        <f>IFERROR(INDEX('SCR DATA'!B:B, MATCH($D1954, 'SCR DATA'!A:A, 0)), "")</f>
        <v>41200158</v>
      </c>
      <c r="D1954" s="6" t="s">
        <v>3495</v>
      </c>
      <c r="E1954" s="3" t="str">
        <f>IFERROR(INDEX('SCR DATA'!E:E, MATCH($D1954, 'SCR DATA'!A:A, 0)), "")</f>
        <v>SEC</v>
      </c>
      <c r="F1954" s="3" t="str">
        <f>IFERROR(INDEX('SCR DATA'!C:C, MATCH($D1954, 'SCR DATA'!A:A, 0)), "")</f>
        <v>GAIA-P DUAL</v>
      </c>
      <c r="G1954" s="68" t="str">
        <f t="shared" si="350"/>
        <v>DUAL</v>
      </c>
      <c r="H1954" s="197">
        <f t="shared" si="356"/>
        <v>51</v>
      </c>
      <c r="I1954" s="197">
        <v>12</v>
      </c>
      <c r="J1954" s="197">
        <v>17</v>
      </c>
      <c r="K1954" s="186">
        <f t="shared" si="357"/>
        <v>46008</v>
      </c>
      <c r="L1954" s="3" t="str">
        <f>IFERROR(INDEX('SCR DATA'!F:F, MATCH($D1954, 'SCR DATA'!A:A, 0)), "")</f>
        <v>BAT</v>
      </c>
      <c r="M1954" s="3" t="str">
        <f>IFERROR(INDEX('SCR DATA'!G:G, MATCH($D1954, 'SCR DATA'!A:A, 0)), "")</f>
        <v>C&amp;A</v>
      </c>
      <c r="N1954" s="3" t="str">
        <f t="shared" si="349"/>
        <v>NG</v>
      </c>
      <c r="O1954" s="3" t="s">
        <v>2368</v>
      </c>
      <c r="P1954" s="3" t="s">
        <v>5098</v>
      </c>
      <c r="Q1954" s="3">
        <v>11100776</v>
      </c>
      <c r="R1954" s="3" t="s">
        <v>69</v>
      </c>
      <c r="S1954" s="3" t="s">
        <v>5442</v>
      </c>
    </row>
    <row r="1955" spans="1:19">
      <c r="A1955" s="3">
        <v>6234</v>
      </c>
      <c r="B1955" s="83">
        <f t="array" ref="B1955">SUM(--(FREQUENCY(IF(C$2:C$3074=C1955, MATCH(D$2:D$3074, D$2:D$3074, 0)), ROW(D$2:D$3074)-ROW(D$2)+1) &gt; 0))</f>
        <v>4</v>
      </c>
      <c r="C1955" s="3">
        <f>IFERROR(INDEX('SCR DATA'!B:B, MATCH($D1955, 'SCR DATA'!A:A, 0)), "")</f>
        <v>41100227</v>
      </c>
      <c r="D1955" s="6" t="s">
        <v>3506</v>
      </c>
      <c r="E1955" s="3" t="str">
        <f>IFERROR(INDEX('SCR DATA'!E:E, MATCH($D1955, 'SCR DATA'!A:A, 0)), "")</f>
        <v>MICRON JP</v>
      </c>
      <c r="F1955" s="3" t="str">
        <f>IFERROR(INDEX('SCR DATA'!C:C, MATCH($D1955, 'SCR DATA'!A:A, 0)), "")</f>
        <v>GAIA-I DUAL</v>
      </c>
      <c r="G1955" s="68" t="str">
        <f t="shared" si="350"/>
        <v>DUAL</v>
      </c>
      <c r="H1955" s="197">
        <f t="shared" si="356"/>
        <v>51</v>
      </c>
      <c r="I1955" s="197">
        <v>12</v>
      </c>
      <c r="J1955" s="197">
        <v>18</v>
      </c>
      <c r="K1955" s="186">
        <f t="shared" si="357"/>
        <v>46009</v>
      </c>
      <c r="L1955" s="3" t="str">
        <f>IFERROR(INDEX('SCR DATA'!F:F, MATCH($D1955, 'SCR DATA'!A:A, 0)), "")</f>
        <v>FNI</v>
      </c>
      <c r="M1955" s="3" t="str">
        <f>IFERROR(INDEX('SCR DATA'!G:G, MATCH($D1955, 'SCR DATA'!A:A, 0)), "")</f>
        <v>TMS</v>
      </c>
      <c r="N1955" s="3" t="str">
        <f t="shared" si="349"/>
        <v/>
      </c>
    </row>
    <row r="1956" spans="1:19">
      <c r="A1956" s="3">
        <v>6378</v>
      </c>
      <c r="B1956" s="83">
        <f t="array" ref="B1956">SUM(--(FREQUENCY(IF(C$2:C$3074=C1956, MATCH(D$2:D$3074, D$2:D$3074, 0)), ROW(D$2:D$3074)-ROW(D$2)+1) &gt; 0))</f>
        <v>9</v>
      </c>
      <c r="C1956" s="3">
        <f>IFERROR(INDEX('SCR DATA'!B:B, MATCH($D1956, 'SCR DATA'!A:A, 0)), "")</f>
        <v>41200153</v>
      </c>
      <c r="D1956" s="6" t="s">
        <v>3507</v>
      </c>
      <c r="E1956" s="3" t="str">
        <f>IFERROR(INDEX('SCR DATA'!E:E, MATCH($D1956, 'SCR DATA'!A:A, 0)), "")</f>
        <v>MICRON SG</v>
      </c>
      <c r="F1956" s="3" t="str">
        <f>IFERROR(INDEX('SCR DATA'!C:C, MATCH($D1956, 'SCR DATA'!A:A, 0)), "")</f>
        <v>GAIA-I DUAL</v>
      </c>
      <c r="G1956" s="68" t="str">
        <f t="shared" si="350"/>
        <v>DUAL</v>
      </c>
      <c r="H1956" s="197">
        <f t="shared" ref="H1956:H1961" si="362">WEEKNUM(K1956)</f>
        <v>51</v>
      </c>
      <c r="I1956" s="197">
        <v>12</v>
      </c>
      <c r="J1956" s="197">
        <v>18</v>
      </c>
      <c r="K1956" s="186">
        <f t="shared" ref="K1956:K1962" si="363">DATE(2025, I1956, J1956)</f>
        <v>46009</v>
      </c>
      <c r="L1956" s="3" t="str">
        <f>IFERROR(INDEX('SCR DATA'!F:F, MATCH($D1956, 'SCR DATA'!A:A, 0)), "")</f>
        <v>BAT</v>
      </c>
      <c r="M1956" s="3" t="str">
        <f>IFERROR(INDEX('SCR DATA'!G:G, MATCH($D1956, 'SCR DATA'!A:A, 0)), "")</f>
        <v>TMS</v>
      </c>
      <c r="N1956" s="3" t="str">
        <f t="shared" si="349"/>
        <v>NG</v>
      </c>
      <c r="O1956" s="3" t="s">
        <v>2368</v>
      </c>
      <c r="P1956" s="3" t="s">
        <v>2482</v>
      </c>
      <c r="Q1956" s="3">
        <v>11002283</v>
      </c>
      <c r="R1956" s="3" t="s">
        <v>932</v>
      </c>
      <c r="S1956" s="3" t="s">
        <v>5443</v>
      </c>
    </row>
    <row r="1957" spans="1:19">
      <c r="A1957" s="3">
        <v>6302</v>
      </c>
      <c r="B1957" s="83">
        <f t="array" ref="B1957">SUM(--(FREQUENCY(IF(C$2:C$3074=C1957, MATCH(D$2:D$3074, D$2:D$3074, 0)), ROW(D$2:D$3074)-ROW(D$2)+1) &gt; 0))</f>
        <v>6</v>
      </c>
      <c r="C1957" s="3">
        <f>IFERROR(INDEX('SCR DATA'!B:B, MATCH($D1957, 'SCR DATA'!A:A, 0)), "")</f>
        <v>41200193</v>
      </c>
      <c r="D1957" s="6" t="s">
        <v>3511</v>
      </c>
      <c r="E1957" s="3" t="str">
        <f>IFERROR(INDEX('SCR DATA'!E:E, MATCH($D1957, 'SCR DATA'!A:A, 0)), "")</f>
        <v>SAS</v>
      </c>
      <c r="F1957" s="3" t="str">
        <f>IFERROR(INDEX('SCR DATA'!C:C, MATCH($D1957, 'SCR DATA'!A:A, 0)), "")</f>
        <v>GAIA-I DUAL</v>
      </c>
      <c r="G1957" s="68" t="str">
        <f t="shared" si="350"/>
        <v>DUAL</v>
      </c>
      <c r="H1957" s="197">
        <f t="shared" si="362"/>
        <v>51</v>
      </c>
      <c r="I1957" s="197">
        <v>12</v>
      </c>
      <c r="J1957" s="197">
        <v>18</v>
      </c>
      <c r="K1957" s="186">
        <f t="shared" si="363"/>
        <v>46009</v>
      </c>
      <c r="L1957" s="3" t="str">
        <f>IFERROR(INDEX('SCR DATA'!F:F, MATCH($D1957, 'SCR DATA'!A:A, 0)), "")</f>
        <v>FNI</v>
      </c>
      <c r="M1957" s="3" t="str">
        <f>IFERROR(INDEX('SCR DATA'!G:G, MATCH($D1957, 'SCR DATA'!A:A, 0)), "")</f>
        <v>TMS</v>
      </c>
      <c r="N1957" s="3" t="str">
        <f t="shared" si="349"/>
        <v/>
      </c>
    </row>
    <row r="1958" spans="1:19">
      <c r="A1958" s="3">
        <v>6377</v>
      </c>
      <c r="B1958" s="83">
        <f t="array" ref="B1958">SUM(--(FREQUENCY(IF(C$2:C$3074=C1958, MATCH(D$2:D$3074, D$2:D$3074, 0)), ROW(D$2:D$3074)-ROW(D$2)+1) &gt; 0))</f>
        <v>11</v>
      </c>
      <c r="C1958" s="3">
        <f>IFERROR(INDEX('SCR DATA'!B:B, MATCH($D1958, 'SCR DATA'!A:A, 0)), "")</f>
        <v>41200119</v>
      </c>
      <c r="D1958" s="6" t="s">
        <v>3512</v>
      </c>
      <c r="E1958" s="3" t="str">
        <f>IFERROR(INDEX('SCR DATA'!E:E, MATCH($D1958, 'SCR DATA'!A:A, 0)), "")</f>
        <v>MICRON SG</v>
      </c>
      <c r="F1958" s="3" t="str">
        <f>IFERROR(INDEX('SCR DATA'!C:C, MATCH($D1958, 'SCR DATA'!A:A, 0)), "")</f>
        <v>GAIA-I DUAL</v>
      </c>
      <c r="G1958" s="68" t="str">
        <f t="shared" si="350"/>
        <v>DUAL</v>
      </c>
      <c r="H1958" s="197">
        <f t="shared" si="362"/>
        <v>51</v>
      </c>
      <c r="I1958" s="197">
        <v>12</v>
      </c>
      <c r="J1958" s="197">
        <v>18</v>
      </c>
      <c r="K1958" s="186">
        <f t="shared" si="363"/>
        <v>46009</v>
      </c>
      <c r="L1958" s="3" t="str">
        <f>IFERROR(INDEX('SCR DATA'!F:F, MATCH($D1958, 'SCR DATA'!A:A, 0)), "")</f>
        <v>FNI</v>
      </c>
      <c r="M1958" s="3" t="str">
        <f>IFERROR(INDEX('SCR DATA'!G:G, MATCH($D1958, 'SCR DATA'!A:A, 0)), "")</f>
        <v>C&amp;A</v>
      </c>
      <c r="N1958" s="3" t="str">
        <f t="shared" si="349"/>
        <v/>
      </c>
    </row>
    <row r="1959" spans="1:19">
      <c r="A1959" s="3">
        <v>6325</v>
      </c>
      <c r="B1959" s="83">
        <f t="array" ref="B1959">SUM(--(FREQUENCY(IF(C$2:C$3074=C1959, MATCH(D$2:D$3074, D$2:D$3074, 0)), ROW(D$2:D$3074)-ROW(D$2)+1) &gt; 0))</f>
        <v>6</v>
      </c>
      <c r="C1959" s="3">
        <f>IFERROR(INDEX('SCR DATA'!B:B, MATCH($D1959, 'SCR DATA'!A:A, 0)), "")</f>
        <v>41200116</v>
      </c>
      <c r="D1959" s="6" t="s">
        <v>3515</v>
      </c>
      <c r="E1959" s="3" t="str">
        <f>IFERROR(INDEX('SCR DATA'!E:E, MATCH($D1959, 'SCR DATA'!A:A, 0)), "")</f>
        <v>SK-HYNIX</v>
      </c>
      <c r="F1959" s="3" t="str">
        <f>IFERROR(INDEX('SCR DATA'!C:C, MATCH($D1959, 'SCR DATA'!A:A, 0)), "")</f>
        <v>GAIA-P</v>
      </c>
      <c r="G1959" s="68" t="str">
        <f t="shared" si="350"/>
        <v>SINGLE</v>
      </c>
      <c r="H1959" s="197">
        <f t="shared" si="362"/>
        <v>51</v>
      </c>
      <c r="I1959" s="197">
        <v>12</v>
      </c>
      <c r="J1959" s="197">
        <v>18</v>
      </c>
      <c r="K1959" s="186">
        <f t="shared" si="363"/>
        <v>46009</v>
      </c>
      <c r="L1959" s="3" t="str">
        <f>IFERROR(INDEX('SCR DATA'!F:F, MATCH($D1959, 'SCR DATA'!A:A, 0)), "")</f>
        <v>FNI</v>
      </c>
      <c r="M1959" s="3" t="str">
        <f>IFERROR(INDEX('SCR DATA'!G:G, MATCH($D1959, 'SCR DATA'!A:A, 0)), "")</f>
        <v>C&amp;A</v>
      </c>
      <c r="N1959" s="3" t="str">
        <f t="shared" si="349"/>
        <v/>
      </c>
    </row>
    <row r="1960" spans="1:19">
      <c r="A1960" s="3">
        <v>6325</v>
      </c>
      <c r="B1960" s="83">
        <f t="array" ref="B1960">SUM(--(FREQUENCY(IF(C$2:C$3074=C1960, MATCH(D$2:D$3074, D$2:D$3074, 0)), ROW(D$2:D$3074)-ROW(D$2)+1) &gt; 0))</f>
        <v>6</v>
      </c>
      <c r="C1960" s="3">
        <f>IFERROR(INDEX('SCR DATA'!B:B, MATCH($D1960, 'SCR DATA'!A:A, 0)), "")</f>
        <v>41200116</v>
      </c>
      <c r="D1960" s="6" t="s">
        <v>3517</v>
      </c>
      <c r="E1960" s="3" t="str">
        <f>IFERROR(INDEX('SCR DATA'!E:E, MATCH($D1960, 'SCR DATA'!A:A, 0)), "")</f>
        <v>SK-HYNIX</v>
      </c>
      <c r="F1960" s="3" t="str">
        <f>IFERROR(INDEX('SCR DATA'!C:C, MATCH($D1960, 'SCR DATA'!A:A, 0)), "")</f>
        <v>GAIA-P</v>
      </c>
      <c r="G1960" s="68" t="str">
        <f t="shared" si="350"/>
        <v>SINGLE</v>
      </c>
      <c r="H1960" s="197">
        <f t="shared" si="362"/>
        <v>51</v>
      </c>
      <c r="I1960" s="197">
        <v>12</v>
      </c>
      <c r="J1960" s="197">
        <v>18</v>
      </c>
      <c r="K1960" s="186">
        <f t="shared" si="363"/>
        <v>46009</v>
      </c>
      <c r="L1960" s="3" t="str">
        <f>IFERROR(INDEX('SCR DATA'!F:F, MATCH($D1960, 'SCR DATA'!A:A, 0)), "")</f>
        <v>FNI</v>
      </c>
      <c r="M1960" s="3" t="str">
        <f>IFERROR(INDEX('SCR DATA'!G:G, MATCH($D1960, 'SCR DATA'!A:A, 0)), "")</f>
        <v>C&amp;A</v>
      </c>
      <c r="N1960" s="3" t="str">
        <f t="shared" si="349"/>
        <v/>
      </c>
    </row>
    <row r="1961" spans="1:19">
      <c r="A1961" s="3">
        <v>6325</v>
      </c>
      <c r="B1961" s="83">
        <f t="array" ref="B1961">SUM(--(FREQUENCY(IF(C$2:C$3074=C1961, MATCH(D$2:D$3074, D$2:D$3074, 0)), ROW(D$2:D$3074)-ROW(D$2)+1) &gt; 0))</f>
        <v>6</v>
      </c>
      <c r="C1961" s="3">
        <f>IFERROR(INDEX('SCR DATA'!B:B, MATCH($D1961, 'SCR DATA'!A:A, 0)), "")</f>
        <v>41200116</v>
      </c>
      <c r="D1961" s="6" t="s">
        <v>3518</v>
      </c>
      <c r="E1961" s="3" t="str">
        <f>IFERROR(INDEX('SCR DATA'!E:E, MATCH($D1961, 'SCR DATA'!A:A, 0)), "")</f>
        <v>SK-HYNIX</v>
      </c>
      <c r="F1961" s="3" t="str">
        <f>IFERROR(INDEX('SCR DATA'!C:C, MATCH($D1961, 'SCR DATA'!A:A, 0)), "")</f>
        <v>GAIA-P</v>
      </c>
      <c r="G1961" s="68" t="str">
        <f t="shared" si="350"/>
        <v>SINGLE</v>
      </c>
      <c r="H1961" s="197">
        <f t="shared" si="362"/>
        <v>51</v>
      </c>
      <c r="I1961" s="197">
        <v>12</v>
      </c>
      <c r="J1961" s="197">
        <v>18</v>
      </c>
      <c r="K1961" s="186">
        <f t="shared" si="363"/>
        <v>46009</v>
      </c>
      <c r="L1961" s="3" t="str">
        <f>IFERROR(INDEX('SCR DATA'!F:F, MATCH($D1961, 'SCR DATA'!A:A, 0)), "")</f>
        <v>FNI</v>
      </c>
      <c r="M1961" s="3" t="str">
        <f>IFERROR(INDEX('SCR DATA'!G:G, MATCH($D1961, 'SCR DATA'!A:A, 0)), "")</f>
        <v>C&amp;A</v>
      </c>
      <c r="N1961" s="3" t="str">
        <f t="shared" si="349"/>
        <v/>
      </c>
    </row>
    <row r="1962" spans="1:19">
      <c r="A1962" s="3">
        <v>6298</v>
      </c>
      <c r="B1962" s="83">
        <f t="array" ref="B1962">SUM(--(FREQUENCY(IF(C$2:C$3074=C1962, MATCH(D$2:D$3074, D$2:D$3074, 0)), ROW(D$2:D$3074)-ROW(D$2)+1) &gt; 0))</f>
        <v>2</v>
      </c>
      <c r="C1962" s="3">
        <f>IFERROR(INDEX('SCR DATA'!B:B, MATCH($D1962, 'SCR DATA'!A:A, 0)), "")</f>
        <v>41200191</v>
      </c>
      <c r="D1962" s="6" t="s">
        <v>3520</v>
      </c>
      <c r="E1962" s="3" t="str">
        <f>IFERROR(INDEX('SCR DATA'!E:E, MATCH($D1962, 'SCR DATA'!A:A, 0)), "")</f>
        <v>SAS</v>
      </c>
      <c r="F1962" s="3" t="str">
        <f>IFERROR(INDEX('SCR DATA'!C:C, MATCH($D1962, 'SCR DATA'!A:A, 0)), "")</f>
        <v>GAIA-I DUAL</v>
      </c>
      <c r="G1962" s="68" t="str">
        <f t="shared" si="350"/>
        <v>DUAL</v>
      </c>
      <c r="H1962" s="197">
        <f t="shared" si="351"/>
        <v>51</v>
      </c>
      <c r="I1962" s="197">
        <v>12</v>
      </c>
      <c r="J1962" s="197">
        <v>19</v>
      </c>
      <c r="K1962" s="186">
        <f t="shared" si="363"/>
        <v>46010</v>
      </c>
      <c r="L1962" s="3" t="str">
        <f>IFERROR(INDEX('SCR DATA'!F:F, MATCH($D1962, 'SCR DATA'!A:A, 0)), "")</f>
        <v>FNI</v>
      </c>
      <c r="M1962" s="3" t="str">
        <f>IFERROR(INDEX('SCR DATA'!G:G, MATCH($D1962, 'SCR DATA'!A:A, 0)), "")</f>
        <v>TMS</v>
      </c>
      <c r="N1962" s="3" t="str">
        <f t="shared" si="349"/>
        <v/>
      </c>
    </row>
    <row r="1963" spans="1:19">
      <c r="A1963" s="3">
        <v>6298</v>
      </c>
      <c r="B1963" s="83">
        <f t="array" ref="B1963">SUM(--(FREQUENCY(IF(C$2:C$3074=C1963, MATCH(D$2:D$3074, D$2:D$3074, 0)), ROW(D$2:D$3074)-ROW(D$2)+1) &gt; 0))</f>
        <v>2</v>
      </c>
      <c r="C1963" s="3">
        <f>IFERROR(INDEX('SCR DATA'!B:B, MATCH($D1963, 'SCR DATA'!A:A, 0)), "")</f>
        <v>41200191</v>
      </c>
      <c r="D1963" s="6" t="s">
        <v>3523</v>
      </c>
      <c r="E1963" s="3" t="str">
        <f>IFERROR(INDEX('SCR DATA'!E:E, MATCH($D1963, 'SCR DATA'!A:A, 0)), "")</f>
        <v>SAS</v>
      </c>
      <c r="F1963" s="3" t="str">
        <f>IFERROR(INDEX('SCR DATA'!C:C, MATCH($D1963, 'SCR DATA'!A:A, 0)), "")</f>
        <v>GAIA-I DUAL</v>
      </c>
      <c r="G1963" s="68" t="str">
        <f t="shared" si="350"/>
        <v>DUAL</v>
      </c>
      <c r="H1963" s="197">
        <f t="shared" ref="H1963:H1969" si="364">WEEKNUM(K1963)</f>
        <v>51</v>
      </c>
      <c r="I1963" s="197">
        <v>12</v>
      </c>
      <c r="J1963" s="197">
        <v>19</v>
      </c>
      <c r="K1963" s="186">
        <f t="shared" ref="K1963:K1970" si="365">DATE(2025, I1963, J1963)</f>
        <v>46010</v>
      </c>
      <c r="L1963" s="3" t="str">
        <f>IFERROR(INDEX('SCR DATA'!F:F, MATCH($D1963, 'SCR DATA'!A:A, 0)), "")</f>
        <v>FNI</v>
      </c>
      <c r="M1963" s="3" t="str">
        <f>IFERROR(INDEX('SCR DATA'!G:G, MATCH($D1963, 'SCR DATA'!A:A, 0)), "")</f>
        <v>TMS</v>
      </c>
      <c r="N1963" s="3" t="str">
        <f t="shared" si="349"/>
        <v/>
      </c>
    </row>
    <row r="1964" spans="1:19">
      <c r="A1964" s="3">
        <v>6300</v>
      </c>
      <c r="B1964" s="83">
        <f t="array" ref="B1964">SUM(--(FREQUENCY(IF(C$2:C$3074=C1964, MATCH(D$2:D$3074, D$2:D$3074, 0)), ROW(D$2:D$3074)-ROW(D$2)+1) &gt; 0))</f>
        <v>1</v>
      </c>
      <c r="C1964" s="3">
        <f>IFERROR(INDEX('SCR DATA'!B:B, MATCH($D1964, 'SCR DATA'!A:A, 0)), "")</f>
        <v>41200196</v>
      </c>
      <c r="D1964" s="6" t="s">
        <v>3525</v>
      </c>
      <c r="E1964" s="3" t="str">
        <f>IFERROR(INDEX('SCR DATA'!E:E, MATCH($D1964, 'SCR DATA'!A:A, 0)), "")</f>
        <v>SAS</v>
      </c>
      <c r="F1964" s="3" t="str">
        <f>IFERROR(INDEX('SCR DATA'!C:C, MATCH($D1964, 'SCR DATA'!A:A, 0)), "")</f>
        <v>GAIA-I DUAL</v>
      </c>
      <c r="G1964" s="68" t="str">
        <f t="shared" si="350"/>
        <v>DUAL</v>
      </c>
      <c r="H1964" s="197">
        <f t="shared" si="364"/>
        <v>51</v>
      </c>
      <c r="I1964" s="197">
        <v>12</v>
      </c>
      <c r="J1964" s="197">
        <v>19</v>
      </c>
      <c r="K1964" s="186">
        <f t="shared" si="365"/>
        <v>46010</v>
      </c>
      <c r="L1964" s="3" t="str">
        <f>IFERROR(INDEX('SCR DATA'!F:F, MATCH($D1964, 'SCR DATA'!A:A, 0)), "")</f>
        <v>FNI</v>
      </c>
      <c r="M1964" s="3" t="str">
        <f>IFERROR(INDEX('SCR DATA'!G:G, MATCH($D1964, 'SCR DATA'!A:A, 0)), "")</f>
        <v>TMS</v>
      </c>
      <c r="N1964" s="3" t="str">
        <f t="shared" si="349"/>
        <v/>
      </c>
    </row>
    <row r="1965" spans="1:19">
      <c r="A1965" s="3">
        <v>6347</v>
      </c>
      <c r="B1965" s="83">
        <f t="array" ref="B1965">SUM(--(FREQUENCY(IF(C$2:C$3074=C1965, MATCH(D$2:D$3074, D$2:D$3074, 0)), ROW(D$2:D$3074)-ROW(D$2)+1) &gt; 0))</f>
        <v>12</v>
      </c>
      <c r="C1965" s="3">
        <f>IFERROR(INDEX('SCR DATA'!B:B, MATCH($D1965, 'SCR DATA'!A:A, 0)), "")</f>
        <v>41200048</v>
      </c>
      <c r="D1965" s="6" t="s">
        <v>3526</v>
      </c>
      <c r="E1965" s="3" t="str">
        <f>IFERROR(INDEX('SCR DATA'!E:E, MATCH($D1965, 'SCR DATA'!A:A, 0)), "")</f>
        <v>YMTC</v>
      </c>
      <c r="F1965" s="3" t="str">
        <f>IFERROR(INDEX('SCR DATA'!C:C, MATCH($D1965, 'SCR DATA'!A:A, 0)), "")</f>
        <v>GAIA-I DUAL</v>
      </c>
      <c r="G1965" s="68" t="str">
        <f t="shared" si="350"/>
        <v>DUAL</v>
      </c>
      <c r="H1965" s="197">
        <f t="shared" si="364"/>
        <v>51</v>
      </c>
      <c r="I1965" s="197">
        <v>12</v>
      </c>
      <c r="J1965" s="197">
        <v>19</v>
      </c>
      <c r="K1965" s="186">
        <f t="shared" si="365"/>
        <v>46010</v>
      </c>
      <c r="L1965" s="3" t="str">
        <f>IFERROR(INDEX('SCR DATA'!F:F, MATCH($D1965, 'SCR DATA'!A:A, 0)), "")</f>
        <v>FNI</v>
      </c>
      <c r="M1965" s="3" t="str">
        <f>IFERROR(INDEX('SCR DATA'!G:G, MATCH($D1965, 'SCR DATA'!A:A, 0)), "")</f>
        <v>TMS</v>
      </c>
      <c r="N1965" s="3" t="str">
        <f t="shared" si="349"/>
        <v/>
      </c>
    </row>
    <row r="1966" spans="1:19">
      <c r="A1966" s="3">
        <v>6356</v>
      </c>
      <c r="B1966" s="83">
        <f t="array" ref="B1966">SUM(--(FREQUENCY(IF(C$2:C$3074=C1966, MATCH(D$2:D$3074, D$2:D$3074, 0)), ROW(D$2:D$3074)-ROW(D$2)+1) &gt; 0))</f>
        <v>20</v>
      </c>
      <c r="C1966" s="3">
        <f>IFERROR(INDEX('SCR DATA'!B:B, MATCH($D1966, 'SCR DATA'!A:A, 0)), "")</f>
        <v>41200125</v>
      </c>
      <c r="D1966" s="6" t="s">
        <v>3527</v>
      </c>
      <c r="E1966" s="3" t="str">
        <f>IFERROR(INDEX('SCR DATA'!E:E, MATCH($D1966, 'SCR DATA'!A:A, 0)), "")</f>
        <v>MICRON TW</v>
      </c>
      <c r="F1966" s="3" t="str">
        <f>IFERROR(INDEX('SCR DATA'!C:C, MATCH($D1966, 'SCR DATA'!A:A, 0)), "")</f>
        <v>GAIA-I DUAL</v>
      </c>
      <c r="G1966" s="68" t="str">
        <f t="shared" si="350"/>
        <v>DUAL</v>
      </c>
      <c r="H1966" s="197">
        <f t="shared" si="364"/>
        <v>51</v>
      </c>
      <c r="I1966" s="197">
        <v>12</v>
      </c>
      <c r="J1966" s="197">
        <v>19</v>
      </c>
      <c r="K1966" s="186">
        <f t="shared" si="365"/>
        <v>46010</v>
      </c>
      <c r="L1966" s="3" t="str">
        <f>IFERROR(INDEX('SCR DATA'!F:F, MATCH($D1966, 'SCR DATA'!A:A, 0)), "")</f>
        <v>BAT</v>
      </c>
      <c r="M1966" s="3" t="str">
        <f>IFERROR(INDEX('SCR DATA'!G:G, MATCH($D1966, 'SCR DATA'!A:A, 0)), "")</f>
        <v>C&amp;A</v>
      </c>
      <c r="N1966" s="3" t="str">
        <f t="shared" si="349"/>
        <v/>
      </c>
    </row>
    <row r="1967" spans="1:19">
      <c r="A1967" s="3">
        <v>6150</v>
      </c>
      <c r="B1967" s="83">
        <f t="array" ref="B1967">SUM(--(FREQUENCY(IF(C$2:C$3074=C1967, MATCH(D$2:D$3074, D$2:D$3074, 0)), ROW(D$2:D$3074)-ROW(D$2)+1) &gt; 0))</f>
        <v>14</v>
      </c>
      <c r="C1967" s="3">
        <f>IFERROR(INDEX('SCR DATA'!B:B, MATCH($D1967, 'SCR DATA'!A:A, 0)), "")</f>
        <v>41200038</v>
      </c>
      <c r="D1967" s="6" t="s">
        <v>3528</v>
      </c>
      <c r="E1967" s="3" t="str">
        <f>IFERROR(INDEX('SCR DATA'!E:E, MATCH($D1967, 'SCR DATA'!A:A, 0)), "")</f>
        <v>YMTC</v>
      </c>
      <c r="F1967" s="3" t="str">
        <f>IFERROR(INDEX('SCR DATA'!C:C, MATCH($D1967, 'SCR DATA'!A:A, 0)), "")</f>
        <v>GAIA-I DUAL</v>
      </c>
      <c r="G1967" s="68" t="str">
        <f t="shared" si="350"/>
        <v>DUAL</v>
      </c>
      <c r="H1967" s="197">
        <f t="shared" si="364"/>
        <v>51</v>
      </c>
      <c r="I1967" s="197">
        <v>12</v>
      </c>
      <c r="J1967" s="197">
        <v>19</v>
      </c>
      <c r="K1967" s="186">
        <f t="shared" si="365"/>
        <v>46010</v>
      </c>
      <c r="L1967" s="3" t="str">
        <f>IFERROR(INDEX('SCR DATA'!F:F, MATCH($D1967, 'SCR DATA'!A:A, 0)), "")</f>
        <v>BAT</v>
      </c>
      <c r="M1967" s="3" t="str">
        <f>IFERROR(INDEX('SCR DATA'!G:G, MATCH($D1967, 'SCR DATA'!A:A, 0)), "")</f>
        <v>C&amp;A</v>
      </c>
      <c r="N1967" s="3" t="str">
        <f t="shared" si="349"/>
        <v>NG</v>
      </c>
      <c r="O1967" s="3" t="s">
        <v>2368</v>
      </c>
      <c r="P1967" s="3" t="s">
        <v>2482</v>
      </c>
      <c r="Q1967" s="3">
        <v>11002283</v>
      </c>
      <c r="R1967" s="3" t="s">
        <v>932</v>
      </c>
      <c r="S1967" s="3" t="s">
        <v>5444</v>
      </c>
    </row>
    <row r="1968" spans="1:19">
      <c r="A1968" s="3">
        <v>6334</v>
      </c>
      <c r="B1968" s="83">
        <f t="array" ref="B1968">SUM(--(FREQUENCY(IF(C$2:C$3074=C1968, MATCH(D$2:D$3074, D$2:D$3074, 0)), ROW(D$2:D$3074)-ROW(D$2)+1) &gt; 0))</f>
        <v>30</v>
      </c>
      <c r="C1968" s="3">
        <f>IFERROR(INDEX('SCR DATA'!B:B, MATCH($D1968, 'SCR DATA'!A:A, 0)), "")</f>
        <v>41200109</v>
      </c>
      <c r="D1968" s="6" t="s">
        <v>3529</v>
      </c>
      <c r="E1968" s="3" t="str">
        <f>IFERROR(INDEX('SCR DATA'!E:E, MATCH($D1968, 'SCR DATA'!A:A, 0)), "")</f>
        <v>MICRON TW</v>
      </c>
      <c r="F1968" s="3" t="str">
        <f>IFERROR(INDEX('SCR DATA'!C:C, MATCH($D1968, 'SCR DATA'!A:A, 0)), "")</f>
        <v>GAIA-I</v>
      </c>
      <c r="G1968" s="68" t="str">
        <f t="shared" si="350"/>
        <v>SINGLE</v>
      </c>
      <c r="H1968" s="197">
        <f t="shared" si="364"/>
        <v>51</v>
      </c>
      <c r="I1968" s="197">
        <v>12</v>
      </c>
      <c r="J1968" s="197">
        <v>19</v>
      </c>
      <c r="K1968" s="186">
        <f t="shared" si="365"/>
        <v>46010</v>
      </c>
      <c r="L1968" s="3" t="str">
        <f>IFERROR(INDEX('SCR DATA'!F:F, MATCH($D1968, 'SCR DATA'!A:A, 0)), "")</f>
        <v>BAT</v>
      </c>
      <c r="M1968" s="3" t="str">
        <f>IFERROR(INDEX('SCR DATA'!G:G, MATCH($D1968, 'SCR DATA'!A:A, 0)), "")</f>
        <v>P&amp;S</v>
      </c>
      <c r="N1968" s="3" t="str">
        <f t="shared" si="349"/>
        <v/>
      </c>
    </row>
    <row r="1969" spans="1:19">
      <c r="A1969" s="3">
        <v>6334</v>
      </c>
      <c r="B1969" s="83">
        <f t="array" ref="B1969">SUM(--(FREQUENCY(IF(C$2:C$3074=C1969, MATCH(D$2:D$3074, D$2:D$3074, 0)), ROW(D$2:D$3074)-ROW(D$2)+1) &gt; 0))</f>
        <v>30</v>
      </c>
      <c r="C1969" s="3">
        <f>IFERROR(INDEX('SCR DATA'!B:B, MATCH($D1969, 'SCR DATA'!A:A, 0)), "")</f>
        <v>41200109</v>
      </c>
      <c r="D1969" s="6" t="s">
        <v>3530</v>
      </c>
      <c r="E1969" s="3" t="str">
        <f>IFERROR(INDEX('SCR DATA'!E:E, MATCH($D1969, 'SCR DATA'!A:A, 0)), "")</f>
        <v>MICRON TW</v>
      </c>
      <c r="F1969" s="3" t="str">
        <f>IFERROR(INDEX('SCR DATA'!C:C, MATCH($D1969, 'SCR DATA'!A:A, 0)), "")</f>
        <v>GAIA-I</v>
      </c>
      <c r="G1969" s="68" t="str">
        <f t="shared" si="350"/>
        <v>SINGLE</v>
      </c>
      <c r="H1969" s="197">
        <f t="shared" si="364"/>
        <v>51</v>
      </c>
      <c r="I1969" s="197">
        <v>12</v>
      </c>
      <c r="J1969" s="197">
        <v>19</v>
      </c>
      <c r="K1969" s="186">
        <f t="shared" si="365"/>
        <v>46010</v>
      </c>
      <c r="L1969" s="3" t="str">
        <f>IFERROR(INDEX('SCR DATA'!F:F, MATCH($D1969, 'SCR DATA'!A:A, 0)), "")</f>
        <v>BAT</v>
      </c>
      <c r="M1969" s="3" t="str">
        <f>IFERROR(INDEX('SCR DATA'!G:G, MATCH($D1969, 'SCR DATA'!A:A, 0)), "")</f>
        <v>P&amp;S</v>
      </c>
      <c r="N1969" s="3" t="str">
        <f t="shared" si="349"/>
        <v/>
      </c>
    </row>
    <row r="1970" spans="1:19">
      <c r="A1970" s="3">
        <v>6352</v>
      </c>
      <c r="B1970" s="83">
        <f t="array" ref="B1970">SUM(--(FREQUENCY(IF(C$2:C$3074=C1970, MATCH(D$2:D$3074, D$2:D$3074, 0)), ROW(D$2:D$3074)-ROW(D$2)+1) &gt; 0))</f>
        <v>77</v>
      </c>
      <c r="C1970" s="3">
        <f>IFERROR(INDEX('SCR DATA'!B:B, MATCH($D1970, 'SCR DATA'!A:A, 0)), "")</f>
        <v>41200076</v>
      </c>
      <c r="D1970" s="6" t="s">
        <v>3531</v>
      </c>
      <c r="E1970" s="3" t="str">
        <f>IFERROR(INDEX('SCR DATA'!E:E, MATCH($D1970, 'SCR DATA'!A:A, 0)), "")</f>
        <v>MICRON TW</v>
      </c>
      <c r="F1970" s="3" t="str">
        <f>IFERROR(INDEX('SCR DATA'!C:C, MATCH($D1970, 'SCR DATA'!A:A, 0)), "")</f>
        <v>GAIA-I DUAL</v>
      </c>
      <c r="G1970" s="68" t="str">
        <f t="shared" si="350"/>
        <v>DUAL</v>
      </c>
      <c r="H1970" s="197">
        <f t="shared" si="351"/>
        <v>52</v>
      </c>
      <c r="I1970" s="197">
        <v>12</v>
      </c>
      <c r="J1970" s="197">
        <v>22</v>
      </c>
      <c r="K1970" s="186">
        <f t="shared" si="365"/>
        <v>46013</v>
      </c>
      <c r="L1970" s="3" t="str">
        <f>IFERROR(INDEX('SCR DATA'!F:F, MATCH($D1970, 'SCR DATA'!A:A, 0)), "")</f>
        <v>BAT</v>
      </c>
      <c r="M1970" s="3" t="str">
        <f>IFERROR(INDEX('SCR DATA'!G:G, MATCH($D1970, 'SCR DATA'!A:A, 0)), "")</f>
        <v>TMS</v>
      </c>
      <c r="N1970" s="3" t="str">
        <f t="shared" si="349"/>
        <v/>
      </c>
    </row>
    <row r="1971" spans="1:19">
      <c r="A1971" s="3">
        <v>6332</v>
      </c>
      <c r="B1971" s="83">
        <f t="array" ref="B1971">SUM(--(FREQUENCY(IF(C$2:C$3074=C1971, MATCH(D$2:D$3074, D$2:D$3074, 0)), ROW(D$2:D$3074)-ROW(D$2)+1) &gt; 0))</f>
        <v>19</v>
      </c>
      <c r="C1971" s="3">
        <f>IFERROR(INDEX('SCR DATA'!B:B, MATCH($D1971, 'SCR DATA'!A:A, 0)), "")</f>
        <v>41200124</v>
      </c>
      <c r="D1971" s="6" t="s">
        <v>3532</v>
      </c>
      <c r="E1971" s="3" t="str">
        <f>IFERROR(INDEX('SCR DATA'!E:E, MATCH($D1971, 'SCR DATA'!A:A, 0)), "")</f>
        <v>MICRON TW</v>
      </c>
      <c r="F1971" s="3" t="str">
        <f>IFERROR(INDEX('SCR DATA'!C:C, MATCH($D1971, 'SCR DATA'!A:A, 0)), "")</f>
        <v>GAIA-I DUAL</v>
      </c>
      <c r="G1971" s="68" t="str">
        <f t="shared" si="350"/>
        <v>DUAL</v>
      </c>
      <c r="H1971" s="197">
        <f t="shared" ref="H1971:H1976" si="366">WEEKNUM(K1971)</f>
        <v>52</v>
      </c>
      <c r="I1971" s="197">
        <v>12</v>
      </c>
      <c r="J1971" s="197">
        <v>22</v>
      </c>
      <c r="K1971" s="186">
        <f t="shared" ref="K1971:K1982" si="367">DATE(2025, I1971, J1971)</f>
        <v>46013</v>
      </c>
      <c r="L1971" s="3" t="str">
        <f>IFERROR(INDEX('SCR DATA'!F:F, MATCH($D1971, 'SCR DATA'!A:A, 0)), "")</f>
        <v>BAT</v>
      </c>
      <c r="M1971" s="3" t="str">
        <f>IFERROR(INDEX('SCR DATA'!G:G, MATCH($D1971, 'SCR DATA'!A:A, 0)), "")</f>
        <v>P&amp;S</v>
      </c>
      <c r="N1971" s="3" t="str">
        <f t="shared" si="349"/>
        <v/>
      </c>
    </row>
    <row r="1972" spans="1:19">
      <c r="A1972" s="3">
        <v>6332</v>
      </c>
      <c r="B1972" s="83">
        <f t="array" ref="B1972">SUM(--(FREQUENCY(IF(C$2:C$3074=C1972, MATCH(D$2:D$3074, D$2:D$3074, 0)), ROW(D$2:D$3074)-ROW(D$2)+1) &gt; 0))</f>
        <v>19</v>
      </c>
      <c r="C1972" s="3">
        <f>IFERROR(INDEX('SCR DATA'!B:B, MATCH($D1972, 'SCR DATA'!A:A, 0)), "")</f>
        <v>41200124</v>
      </c>
      <c r="D1972" s="6" t="s">
        <v>3533</v>
      </c>
      <c r="E1972" s="3" t="str">
        <f>IFERROR(INDEX('SCR DATA'!E:E, MATCH($D1972, 'SCR DATA'!A:A, 0)), "")</f>
        <v>MICRON TW</v>
      </c>
      <c r="F1972" s="3" t="str">
        <f>IFERROR(INDEX('SCR DATA'!C:C, MATCH($D1972, 'SCR DATA'!A:A, 0)), "")</f>
        <v>GAIA-I DUAL</v>
      </c>
      <c r="G1972" s="68" t="str">
        <f t="shared" si="350"/>
        <v>DUAL</v>
      </c>
      <c r="H1972" s="197">
        <f t="shared" si="366"/>
        <v>52</v>
      </c>
      <c r="I1972" s="197">
        <v>12</v>
      </c>
      <c r="J1972" s="197">
        <v>22</v>
      </c>
      <c r="K1972" s="186">
        <f t="shared" si="367"/>
        <v>46013</v>
      </c>
      <c r="L1972" s="3" t="str">
        <f>IFERROR(INDEX('SCR DATA'!F:F, MATCH($D1972, 'SCR DATA'!A:A, 0)), "")</f>
        <v>BAT</v>
      </c>
      <c r="M1972" s="3" t="str">
        <f>IFERROR(INDEX('SCR DATA'!G:G, MATCH($D1972, 'SCR DATA'!A:A, 0)), "")</f>
        <v>P&amp;S</v>
      </c>
      <c r="N1972" s="3" t="str">
        <f t="shared" si="349"/>
        <v/>
      </c>
    </row>
    <row r="1973" spans="1:19">
      <c r="A1973" s="3">
        <v>6295</v>
      </c>
      <c r="B1973" s="83">
        <f t="array" ref="B1973">SUM(--(FREQUENCY(IF(C$2:C$3074=C1973, MATCH(D$2:D$3074, D$2:D$3074, 0)), ROW(D$2:D$3074)-ROW(D$2)+1) &gt; 0))</f>
        <v>44</v>
      </c>
      <c r="C1973" s="3">
        <f>IFERROR(INDEX('SCR DATA'!B:B, MATCH($D1973, 'SCR DATA'!A:A, 0)), "")</f>
        <v>41200108</v>
      </c>
      <c r="D1973" s="6" t="s">
        <v>3534</v>
      </c>
      <c r="E1973" s="3" t="str">
        <f>IFERROR(INDEX('SCR DATA'!E:E, MATCH($D1973, 'SCR DATA'!A:A, 0)), "")</f>
        <v>SK-HYNIX</v>
      </c>
      <c r="F1973" s="3" t="str">
        <f>IFERROR(INDEX('SCR DATA'!C:C, MATCH($D1973, 'SCR DATA'!A:A, 0)), "")</f>
        <v>GAIA-P</v>
      </c>
      <c r="G1973" s="68" t="str">
        <f t="shared" si="350"/>
        <v>SINGLE</v>
      </c>
      <c r="H1973" s="197">
        <f t="shared" si="366"/>
        <v>52</v>
      </c>
      <c r="I1973" s="197">
        <v>12</v>
      </c>
      <c r="J1973" s="197">
        <v>22</v>
      </c>
      <c r="K1973" s="186">
        <f t="shared" si="367"/>
        <v>46013</v>
      </c>
      <c r="L1973" s="3" t="str">
        <f>IFERROR(INDEX('SCR DATA'!F:F, MATCH($D1973, 'SCR DATA'!A:A, 0)), "")</f>
        <v>FNI</v>
      </c>
      <c r="M1973" s="3" t="str">
        <f>IFERROR(INDEX('SCR DATA'!G:G, MATCH($D1973, 'SCR DATA'!A:A, 0)), "")</f>
        <v>TMS</v>
      </c>
      <c r="N1973" s="3" t="str">
        <f t="shared" si="349"/>
        <v/>
      </c>
    </row>
    <row r="1974" spans="1:19">
      <c r="A1974" s="3">
        <v>6295</v>
      </c>
      <c r="B1974" s="83">
        <f t="array" ref="B1974">SUM(--(FREQUENCY(IF(C$2:C$3074=C1974, MATCH(D$2:D$3074, D$2:D$3074, 0)), ROW(D$2:D$3074)-ROW(D$2)+1) &gt; 0))</f>
        <v>44</v>
      </c>
      <c r="C1974" s="3">
        <f>IFERROR(INDEX('SCR DATA'!B:B, MATCH($D1974, 'SCR DATA'!A:A, 0)), "")</f>
        <v>41200108</v>
      </c>
      <c r="D1974" s="6" t="s">
        <v>3535</v>
      </c>
      <c r="E1974" s="3" t="str">
        <f>IFERROR(INDEX('SCR DATA'!E:E, MATCH($D1974, 'SCR DATA'!A:A, 0)), "")</f>
        <v>SK-HYNIX</v>
      </c>
      <c r="F1974" s="3" t="str">
        <f>IFERROR(INDEX('SCR DATA'!C:C, MATCH($D1974, 'SCR DATA'!A:A, 0)), "")</f>
        <v>GAIA-P</v>
      </c>
      <c r="G1974" s="68" t="str">
        <f t="shared" si="350"/>
        <v>SINGLE</v>
      </c>
      <c r="H1974" s="197">
        <f t="shared" si="366"/>
        <v>52</v>
      </c>
      <c r="I1974" s="197">
        <v>12</v>
      </c>
      <c r="J1974" s="197">
        <v>22</v>
      </c>
      <c r="K1974" s="186">
        <f t="shared" si="367"/>
        <v>46013</v>
      </c>
      <c r="L1974" s="3" t="str">
        <f>IFERROR(INDEX('SCR DATA'!F:F, MATCH($D1974, 'SCR DATA'!A:A, 0)), "")</f>
        <v>FNI</v>
      </c>
      <c r="M1974" s="3" t="str">
        <f>IFERROR(INDEX('SCR DATA'!G:G, MATCH($D1974, 'SCR DATA'!A:A, 0)), "")</f>
        <v>TMS</v>
      </c>
      <c r="N1974" s="3" t="str">
        <f t="shared" si="349"/>
        <v/>
      </c>
    </row>
    <row r="1975" spans="1:19">
      <c r="A1975" s="3">
        <v>6302</v>
      </c>
      <c r="B1975" s="83">
        <f t="array" ref="B1975">SUM(--(FREQUENCY(IF(C$2:C$3074=C1975, MATCH(D$2:D$3074, D$2:D$3074, 0)), ROW(D$2:D$3074)-ROW(D$2)+1) &gt; 0))</f>
        <v>6</v>
      </c>
      <c r="C1975" s="3">
        <f>IFERROR(INDEX('SCR DATA'!B:B, MATCH($D1975, 'SCR DATA'!A:A, 0)), "")</f>
        <v>41200193</v>
      </c>
      <c r="D1975" s="6" t="s">
        <v>3536</v>
      </c>
      <c r="E1975" s="3" t="str">
        <f>IFERROR(INDEX('SCR DATA'!E:E, MATCH($D1975, 'SCR DATA'!A:A, 0)), "")</f>
        <v>SAS</v>
      </c>
      <c r="F1975" s="3" t="str">
        <f>IFERROR(INDEX('SCR DATA'!C:C, MATCH($D1975, 'SCR DATA'!A:A, 0)), "")</f>
        <v>GAIA-I DUAL</v>
      </c>
      <c r="G1975" s="68" t="str">
        <f t="shared" si="350"/>
        <v>DUAL</v>
      </c>
      <c r="H1975" s="197">
        <f t="shared" si="366"/>
        <v>52</v>
      </c>
      <c r="I1975" s="197">
        <v>12</v>
      </c>
      <c r="J1975" s="197">
        <v>22</v>
      </c>
      <c r="K1975" s="186">
        <f t="shared" si="367"/>
        <v>46013</v>
      </c>
      <c r="L1975" s="3" t="str">
        <f>IFERROR(INDEX('SCR DATA'!F:F, MATCH($D1975, 'SCR DATA'!A:A, 0)), "")</f>
        <v>FNI</v>
      </c>
      <c r="M1975" s="3" t="str">
        <f>IFERROR(INDEX('SCR DATA'!G:G, MATCH($D1975, 'SCR DATA'!A:A, 0)), "")</f>
        <v>TMS</v>
      </c>
      <c r="N1975" s="3" t="str">
        <f t="shared" si="349"/>
        <v/>
      </c>
    </row>
    <row r="1976" spans="1:19">
      <c r="A1976" s="3">
        <v>6121</v>
      </c>
      <c r="B1976" s="83">
        <f t="array" ref="B1976">SUM(--(FREQUENCY(IF(C$2:C$3074=C1976, MATCH(D$2:D$3074, D$2:D$3074, 0)), ROW(D$2:D$3074)-ROW(D$2)+1) &gt; 0))</f>
        <v>41</v>
      </c>
      <c r="C1976" s="3">
        <f>IFERROR(INDEX('SCR DATA'!B:B, MATCH($D1976, 'SCR DATA'!A:A, 0)), "")</f>
        <v>41200101</v>
      </c>
      <c r="D1976" s="6" t="s">
        <v>3537</v>
      </c>
      <c r="E1976" s="3" t="str">
        <f>IFERROR(INDEX('SCR DATA'!E:E, MATCH($D1976, 'SCR DATA'!A:A, 0)), "")</f>
        <v>MICRON TW</v>
      </c>
      <c r="F1976" s="3" t="str">
        <f>IFERROR(INDEX('SCR DATA'!C:C, MATCH($D1976, 'SCR DATA'!A:A, 0)), "")</f>
        <v>GAIA-I DUAL</v>
      </c>
      <c r="G1976" s="68" t="str">
        <f t="shared" si="350"/>
        <v>DUAL</v>
      </c>
      <c r="H1976" s="197">
        <f t="shared" si="366"/>
        <v>52</v>
      </c>
      <c r="I1976" s="197">
        <v>12</v>
      </c>
      <c r="J1976" s="197">
        <v>22</v>
      </c>
      <c r="K1976" s="186">
        <f t="shared" si="367"/>
        <v>46013</v>
      </c>
      <c r="L1976" s="3" t="str">
        <f>IFERROR(INDEX('SCR DATA'!F:F, MATCH($D1976, 'SCR DATA'!A:A, 0)), "")</f>
        <v>GST</v>
      </c>
      <c r="M1976" s="3" t="str">
        <f>IFERROR(INDEX('SCR DATA'!G:G, MATCH($D1976, 'SCR DATA'!A:A, 0)), "")</f>
        <v>GST</v>
      </c>
      <c r="N1976" s="3" t="str">
        <f t="shared" si="349"/>
        <v/>
      </c>
    </row>
    <row r="1977" spans="1:19">
      <c r="A1977" s="3">
        <v>6350</v>
      </c>
      <c r="B1977" s="83">
        <f t="array" ref="B1977">SUM(--(FREQUENCY(IF(C$2:C$3074=C1977, MATCH(D$2:D$3074, D$2:D$3074, 0)), ROW(D$2:D$3074)-ROW(D$2)+1) &gt; 0))</f>
        <v>1</v>
      </c>
      <c r="C1977" s="3">
        <f>IFERROR(INDEX('SCR DATA'!B:B, MATCH($D1977, 'SCR DATA'!A:A, 0)), "")</f>
        <v>41200203</v>
      </c>
      <c r="D1977" s="6" t="s">
        <v>5445</v>
      </c>
      <c r="E1977" s="3" t="str">
        <f>IFERROR(INDEX('SCR DATA'!E:E, MATCH($D1977, 'SCR DATA'!A:A, 0)), "")</f>
        <v>PV</v>
      </c>
      <c r="F1977" s="3" t="str">
        <f>IFERROR(INDEX('SCR DATA'!C:C, MATCH($D1977, 'SCR DATA'!A:A, 0)), "")</f>
        <v>IVAS</v>
      </c>
      <c r="G1977" s="68" t="str">
        <f t="shared" si="350"/>
        <v>DUAL</v>
      </c>
      <c r="H1977" s="197">
        <f t="shared" si="351"/>
        <v>52</v>
      </c>
      <c r="I1977" s="197">
        <v>12</v>
      </c>
      <c r="J1977" s="197">
        <v>23</v>
      </c>
      <c r="K1977" s="186">
        <f t="shared" si="367"/>
        <v>46014</v>
      </c>
      <c r="L1977" s="3" t="str">
        <f>IFERROR(INDEX('SCR DATA'!F:F, MATCH($D1977, 'SCR DATA'!A:A, 0)), "")</f>
        <v>BAT</v>
      </c>
      <c r="M1977" s="3" t="str">
        <f>IFERROR(INDEX('SCR DATA'!G:G, MATCH($D1977, 'SCR DATA'!A:A, 0)), "")</f>
        <v>TMS</v>
      </c>
      <c r="N1977" s="3" t="str">
        <f t="shared" si="349"/>
        <v>NG</v>
      </c>
      <c r="O1977" s="3" t="s">
        <v>2368</v>
      </c>
      <c r="P1977" s="3" t="s">
        <v>2563</v>
      </c>
      <c r="Q1977" s="3">
        <v>11100627</v>
      </c>
      <c r="R1977" s="3" t="s">
        <v>386</v>
      </c>
      <c r="S1977" s="3" t="s">
        <v>5446</v>
      </c>
    </row>
    <row r="1978" spans="1:19">
      <c r="A1978" s="3">
        <v>6333</v>
      </c>
      <c r="B1978" s="83">
        <f t="array" ref="B1978">SUM(--(FREQUENCY(IF(C$2:C$3074=C1978, MATCH(D$2:D$3074, D$2:D$3074, 0)), ROW(D$2:D$3074)-ROW(D$2)+1) &gt; 0))</f>
        <v>32</v>
      </c>
      <c r="C1978" s="3">
        <f>IFERROR(INDEX('SCR DATA'!B:B, MATCH($D1978, 'SCR DATA'!A:A, 0)), "")</f>
        <v>41200122</v>
      </c>
      <c r="D1978" s="6" t="s">
        <v>3538</v>
      </c>
      <c r="E1978" s="3" t="str">
        <f>IFERROR(INDEX('SCR DATA'!E:E, MATCH($D1978, 'SCR DATA'!A:A, 0)), "")</f>
        <v>MICRON TW</v>
      </c>
      <c r="F1978" s="3" t="str">
        <f>IFERROR(INDEX('SCR DATA'!C:C, MATCH($D1978, 'SCR DATA'!A:A, 0)), "")</f>
        <v>GAIA-I DUAL</v>
      </c>
      <c r="G1978" s="68" t="str">
        <f t="shared" si="350"/>
        <v>DUAL</v>
      </c>
      <c r="H1978" s="197">
        <f t="shared" si="351"/>
        <v>52</v>
      </c>
      <c r="I1978" s="197">
        <v>12</v>
      </c>
      <c r="J1978" s="197">
        <v>23</v>
      </c>
      <c r="K1978" s="186">
        <f t="shared" si="367"/>
        <v>46014</v>
      </c>
      <c r="L1978" s="3" t="str">
        <f>IFERROR(INDEX('SCR DATA'!F:F, MATCH($D1978, 'SCR DATA'!A:A, 0)), "")</f>
        <v>FNI</v>
      </c>
      <c r="M1978" s="3" t="str">
        <f>IFERROR(INDEX('SCR DATA'!G:G, MATCH($D1978, 'SCR DATA'!A:A, 0)), "")</f>
        <v>TMS</v>
      </c>
      <c r="N1978" s="3" t="str">
        <f t="shared" si="349"/>
        <v/>
      </c>
    </row>
    <row r="1979" spans="1:19">
      <c r="A1979" s="3">
        <v>6252</v>
      </c>
      <c r="B1979" s="83">
        <f t="array" ref="B1979">SUM(--(FREQUENCY(IF(C$2:C$3074=C1979, MATCH(D$2:D$3074, D$2:D$3074, 0)), ROW(D$2:D$3074)-ROW(D$2)+1) &gt; 0))</f>
        <v>10</v>
      </c>
      <c r="C1979" s="3">
        <f>IFERROR(INDEX('SCR DATA'!B:B, MATCH($D1979, 'SCR DATA'!A:A, 0)), "")</f>
        <v>41100317</v>
      </c>
      <c r="D1979" s="6" t="s">
        <v>3539</v>
      </c>
      <c r="E1979" s="3" t="str">
        <f>IFERROR(INDEX('SCR DATA'!E:E, MATCH($D1979, 'SCR DATA'!A:A, 0)), "")</f>
        <v>MICRON TW</v>
      </c>
      <c r="F1979" s="3" t="str">
        <f>IFERROR(INDEX('SCR DATA'!C:C, MATCH($D1979, 'SCR DATA'!A:A, 0)), "")</f>
        <v>GAIA-I DUAL</v>
      </c>
      <c r="G1979" s="68" t="str">
        <f t="shared" si="350"/>
        <v>DUAL</v>
      </c>
      <c r="H1979" s="197">
        <f t="shared" si="351"/>
        <v>52</v>
      </c>
      <c r="I1979" s="197">
        <v>12</v>
      </c>
      <c r="J1979" s="197">
        <v>23</v>
      </c>
      <c r="K1979" s="186">
        <f t="shared" si="367"/>
        <v>46014</v>
      </c>
      <c r="L1979" s="3" t="str">
        <f>IFERROR(INDEX('SCR DATA'!F:F, MATCH($D1979, 'SCR DATA'!A:A, 0)), "")</f>
        <v>FNI</v>
      </c>
      <c r="M1979" s="3" t="str">
        <f>IFERROR(INDEX('SCR DATA'!G:G, MATCH($D1979, 'SCR DATA'!A:A, 0)), "")</f>
        <v>C&amp;A</v>
      </c>
      <c r="N1979" s="3" t="str">
        <f t="shared" si="349"/>
        <v/>
      </c>
    </row>
    <row r="1980" spans="1:19">
      <c r="A1980" s="3">
        <v>6371</v>
      </c>
      <c r="B1980" s="83">
        <f t="array" ref="B1980">SUM(--(FREQUENCY(IF(C$2:C$3074=C1980, MATCH(D$2:D$3074, D$2:D$3074, 0)), ROW(D$2:D$3074)-ROW(D$2)+1) &gt; 0))</f>
        <v>18</v>
      </c>
      <c r="C1980" s="3">
        <f>IFERROR(INDEX('SCR DATA'!B:B, MATCH($D1980, 'SCR DATA'!A:A, 0)), "")</f>
        <v>41200171</v>
      </c>
      <c r="D1980" s="6" t="s">
        <v>3540</v>
      </c>
      <c r="E1980" s="3" t="str">
        <f>IFERROR(INDEX('SCR DATA'!E:E, MATCH($D1980, 'SCR DATA'!A:A, 0)), "")</f>
        <v>BAZM</v>
      </c>
      <c r="F1980" s="3" t="str">
        <f>IFERROR(INDEX('SCR DATA'!C:C, MATCH($D1980, 'SCR DATA'!A:A, 0)), "")</f>
        <v>GAIA-P</v>
      </c>
      <c r="G1980" s="68" t="str">
        <f t="shared" si="350"/>
        <v>SINGLE</v>
      </c>
      <c r="H1980" s="197">
        <f t="shared" si="351"/>
        <v>52</v>
      </c>
      <c r="I1980" s="197">
        <v>12</v>
      </c>
      <c r="J1980" s="197">
        <v>23</v>
      </c>
      <c r="K1980" s="186">
        <f t="shared" si="367"/>
        <v>46014</v>
      </c>
      <c r="L1980" s="3" t="str">
        <f>IFERROR(INDEX('SCR DATA'!F:F, MATCH($D1980, 'SCR DATA'!A:A, 0)), "")</f>
        <v>BAT</v>
      </c>
      <c r="M1980" s="3" t="str">
        <f>IFERROR(INDEX('SCR DATA'!G:G, MATCH($D1980, 'SCR DATA'!A:A, 0)), "")</f>
        <v>TMS</v>
      </c>
      <c r="N1980" s="3" t="str">
        <f t="shared" si="349"/>
        <v/>
      </c>
    </row>
    <row r="1981" spans="1:19">
      <c r="A1981" s="3">
        <v>6341</v>
      </c>
      <c r="B1981" s="83">
        <f t="array" ref="B1981">SUM(--(FREQUENCY(IF(C$2:C$3074=C1981, MATCH(D$2:D$3074, D$2:D$3074, 0)), ROW(D$2:D$3074)-ROW(D$2)+1) &gt; 0))</f>
        <v>2</v>
      </c>
      <c r="C1981" s="3">
        <f>IFERROR(INDEX('SCR DATA'!B:B, MATCH($D1981, 'SCR DATA'!A:A, 0)), "")</f>
        <v>41000600</v>
      </c>
      <c r="D1981" s="6" t="s">
        <v>3544</v>
      </c>
      <c r="E1981" s="3" t="str">
        <f>IFERROR(INDEX('SCR DATA'!E:E, MATCH($D1981, 'SCR DATA'!A:A, 0)), "")</f>
        <v>SEC</v>
      </c>
      <c r="F1981" s="3" t="str">
        <f>IFERROR(INDEX('SCR DATA'!C:C, MATCH($D1981, 'SCR DATA'!A:A, 0)), "")</f>
        <v>GAIA-P</v>
      </c>
      <c r="G1981" s="68" t="str">
        <f t="shared" si="350"/>
        <v>SINGLE</v>
      </c>
      <c r="H1981" s="197">
        <f t="shared" si="351"/>
        <v>52</v>
      </c>
      <c r="I1981" s="197">
        <v>12</v>
      </c>
      <c r="J1981" s="197">
        <v>23</v>
      </c>
      <c r="K1981" s="186">
        <f t="shared" si="367"/>
        <v>46014</v>
      </c>
      <c r="L1981" s="3" t="str">
        <f>IFERROR(INDEX('SCR DATA'!F:F, MATCH($D1981, 'SCR DATA'!A:A, 0)), "")</f>
        <v>FNI</v>
      </c>
      <c r="M1981" s="3" t="str">
        <f>IFERROR(INDEX('SCR DATA'!G:G, MATCH($D1981, 'SCR DATA'!A:A, 0)), "")</f>
        <v>TMS</v>
      </c>
      <c r="N1981" s="3" t="str">
        <f t="shared" si="349"/>
        <v/>
      </c>
    </row>
    <row r="1982" spans="1:19">
      <c r="A1982" s="3">
        <v>6341</v>
      </c>
      <c r="B1982" s="83">
        <f t="array" ref="B1982">SUM(--(FREQUENCY(IF(C$2:C$3074=C1982, MATCH(D$2:D$3074, D$2:D$3074, 0)), ROW(D$2:D$3074)-ROW(D$2)+1) &gt; 0))</f>
        <v>2</v>
      </c>
      <c r="C1982" s="3">
        <f>IFERROR(INDEX('SCR DATA'!B:B, MATCH($D1982, 'SCR DATA'!A:A, 0)), "")</f>
        <v>41000600</v>
      </c>
      <c r="D1982" s="6" t="s">
        <v>3545</v>
      </c>
      <c r="E1982" s="3" t="str">
        <f>IFERROR(INDEX('SCR DATA'!E:E, MATCH($D1982, 'SCR DATA'!A:A, 0)), "")</f>
        <v>SEC</v>
      </c>
      <c r="F1982" s="3" t="str">
        <f>IFERROR(INDEX('SCR DATA'!C:C, MATCH($D1982, 'SCR DATA'!A:A, 0)), "")</f>
        <v>GAIA-P</v>
      </c>
      <c r="G1982" s="68" t="str">
        <f t="shared" si="350"/>
        <v>SINGLE</v>
      </c>
      <c r="H1982" s="197">
        <f t="shared" si="351"/>
        <v>52</v>
      </c>
      <c r="I1982" s="197">
        <v>12</v>
      </c>
      <c r="J1982" s="197">
        <v>24</v>
      </c>
      <c r="K1982" s="186">
        <f t="shared" si="367"/>
        <v>46015</v>
      </c>
      <c r="L1982" s="3" t="str">
        <f>IFERROR(INDEX('SCR DATA'!F:F, MATCH($D1982, 'SCR DATA'!A:A, 0)), "")</f>
        <v>FNI</v>
      </c>
      <c r="M1982" s="3" t="str">
        <f>IFERROR(INDEX('SCR DATA'!G:G, MATCH($D1982, 'SCR DATA'!A:A, 0)), "")</f>
        <v>TMS</v>
      </c>
      <c r="N1982" s="3" t="str">
        <f t="shared" ref="N1982:N2046" si="368">IF(O1982&lt;&gt;"", "NG", "")</f>
        <v/>
      </c>
    </row>
    <row r="1983" spans="1:19">
      <c r="A1983" s="3">
        <v>6290</v>
      </c>
      <c r="B1983" s="83">
        <f t="array" ref="B1983">SUM(--(FREQUENCY(IF(C$2:C$3074=C1983, MATCH(D$2:D$3074, D$2:D$3074, 0)), ROW(D$2:D$3074)-ROW(D$2)+1) &gt; 0))</f>
        <v>6</v>
      </c>
      <c r="C1983" s="3">
        <f>IFERROR(INDEX('SCR DATA'!B:B, MATCH($D1983, 'SCR DATA'!A:A, 0)), "")</f>
        <v>41200193</v>
      </c>
      <c r="D1983" s="6" t="s">
        <v>3546</v>
      </c>
      <c r="E1983" s="3" t="str">
        <f>IFERROR(INDEX('SCR DATA'!E:E, MATCH($D1983, 'SCR DATA'!A:A, 0)), "")</f>
        <v>SAS</v>
      </c>
      <c r="F1983" s="3" t="str">
        <f>IFERROR(INDEX('SCR DATA'!C:C, MATCH($D1983, 'SCR DATA'!A:A, 0)), "")</f>
        <v>GAIA-I DUAL</v>
      </c>
      <c r="G1983" s="68" t="str">
        <f t="shared" ref="G1983:G2047" si="369">IF(OR(ISNUMBER(SEARCH("DUAL",F1983)), ISNUMBER(SEARCH("IVAS",F1983))), "DUAL", "SINGLE")</f>
        <v>DUAL</v>
      </c>
      <c r="H1983" s="197">
        <f t="shared" ref="H1983:H1991" si="370">WEEKNUM(K1983)</f>
        <v>52</v>
      </c>
      <c r="I1983" s="197">
        <v>12</v>
      </c>
      <c r="J1983" s="197">
        <v>24</v>
      </c>
      <c r="K1983" s="186">
        <f t="shared" ref="K1983:K2004" si="371">DATE(2025, I1983, J1983)</f>
        <v>46015</v>
      </c>
      <c r="L1983" s="3" t="str">
        <f>IFERROR(INDEX('SCR DATA'!F:F, MATCH($D1983, 'SCR DATA'!A:A, 0)), "")</f>
        <v>FNI</v>
      </c>
      <c r="M1983" s="3" t="str">
        <f>IFERROR(INDEX('SCR DATA'!G:G, MATCH($D1983, 'SCR DATA'!A:A, 0)), "")</f>
        <v>TMS</v>
      </c>
      <c r="N1983" s="3" t="str">
        <f t="shared" si="368"/>
        <v/>
      </c>
    </row>
    <row r="1984" spans="1:19">
      <c r="A1984" s="3">
        <v>6292</v>
      </c>
      <c r="B1984" s="83">
        <f t="array" ref="B1984">SUM(--(FREQUENCY(IF(C$2:C$3074=C1984, MATCH(D$2:D$3074, D$2:D$3074, 0)), ROW(D$2:D$3074)-ROW(D$2)+1) &gt; 0))</f>
        <v>5</v>
      </c>
      <c r="C1984" s="3">
        <f>IFERROR(INDEX('SCR DATA'!B:B, MATCH($D1984, 'SCR DATA'!A:A, 0)), "")</f>
        <v>41200200</v>
      </c>
      <c r="D1984" s="6" t="s">
        <v>3549</v>
      </c>
      <c r="E1984" s="3" t="str">
        <f>IFERROR(INDEX('SCR DATA'!E:E, MATCH($D1984, 'SCR DATA'!A:A, 0)), "")</f>
        <v>SAS</v>
      </c>
      <c r="F1984" s="3" t="str">
        <f>IFERROR(INDEX('SCR DATA'!C:C, MATCH($D1984, 'SCR DATA'!A:A, 0)), "")</f>
        <v>GAIA-II DUAL</v>
      </c>
      <c r="G1984" s="68" t="str">
        <f t="shared" si="369"/>
        <v>DUAL</v>
      </c>
      <c r="H1984" s="197">
        <f t="shared" si="370"/>
        <v>52</v>
      </c>
      <c r="I1984" s="197">
        <v>12</v>
      </c>
      <c r="J1984" s="197">
        <v>24</v>
      </c>
      <c r="K1984" s="186">
        <f t="shared" si="371"/>
        <v>46015</v>
      </c>
      <c r="L1984" s="3" t="str">
        <f>IFERROR(INDEX('SCR DATA'!F:F, MATCH($D1984, 'SCR DATA'!A:A, 0)), "")</f>
        <v>BAT</v>
      </c>
      <c r="M1984" s="3" t="str">
        <f>IFERROR(INDEX('SCR DATA'!G:G, MATCH($D1984, 'SCR DATA'!A:A, 0)), "")</f>
        <v>P&amp;S</v>
      </c>
      <c r="N1984" s="3" t="str">
        <f t="shared" si="368"/>
        <v/>
      </c>
    </row>
    <row r="1985" spans="1:19">
      <c r="A1985" s="3">
        <v>6065</v>
      </c>
      <c r="B1985" s="83">
        <f t="array" ref="B1985">SUM(--(FREQUENCY(IF(C$2:C$3074=C1985, MATCH(D$2:D$3074, D$2:D$3074, 0)), ROW(D$2:D$3074)-ROW(D$2)+1) &gt; 0))</f>
        <v>41</v>
      </c>
      <c r="C1985" s="3">
        <f>IFERROR(INDEX('SCR DATA'!B:B, MATCH($D1985, 'SCR DATA'!A:A, 0)), "")</f>
        <v>41200101</v>
      </c>
      <c r="D1985" s="6" t="s">
        <v>3550</v>
      </c>
      <c r="E1985" s="3" t="str">
        <f>IFERROR(INDEX('SCR DATA'!E:E, MATCH($D1985, 'SCR DATA'!A:A, 0)), "")</f>
        <v>MICRON TW</v>
      </c>
      <c r="F1985" s="3" t="str">
        <f>IFERROR(INDEX('SCR DATA'!C:C, MATCH($D1985, 'SCR DATA'!A:A, 0)), "")</f>
        <v>GAIA-I DUAL</v>
      </c>
      <c r="G1985" s="68" t="str">
        <f t="shared" si="369"/>
        <v>DUAL</v>
      </c>
      <c r="H1985" s="197">
        <f t="shared" si="370"/>
        <v>52</v>
      </c>
      <c r="I1985" s="197">
        <v>12</v>
      </c>
      <c r="J1985" s="197">
        <v>24</v>
      </c>
      <c r="K1985" s="186">
        <f t="shared" si="371"/>
        <v>46015</v>
      </c>
      <c r="L1985" s="3" t="str">
        <f>IFERROR(INDEX('SCR DATA'!F:F, MATCH($D1985, 'SCR DATA'!A:A, 0)), "")</f>
        <v>BAT</v>
      </c>
      <c r="M1985" s="3" t="str">
        <f>IFERROR(INDEX('SCR DATA'!G:G, MATCH($D1985, 'SCR DATA'!A:A, 0)), "")</f>
        <v>TMS</v>
      </c>
      <c r="N1985" s="3" t="str">
        <f t="shared" si="368"/>
        <v/>
      </c>
    </row>
    <row r="1986" spans="1:19">
      <c r="A1986" s="3">
        <v>6065</v>
      </c>
      <c r="B1986" s="83">
        <f t="array" ref="B1986">SUM(--(FREQUENCY(IF(C$2:C$3074=C1986, MATCH(D$2:D$3074, D$2:D$3074, 0)), ROW(D$2:D$3074)-ROW(D$2)+1) &gt; 0))</f>
        <v>41</v>
      </c>
      <c r="C1986" s="3">
        <f>IFERROR(INDEX('SCR DATA'!B:B, MATCH($D1986, 'SCR DATA'!A:A, 0)), "")</f>
        <v>41200101</v>
      </c>
      <c r="D1986" s="6" t="s">
        <v>3552</v>
      </c>
      <c r="E1986" s="3" t="str">
        <f>IFERROR(INDEX('SCR DATA'!E:E, MATCH($D1986, 'SCR DATA'!A:A, 0)), "")</f>
        <v>MICRON TW</v>
      </c>
      <c r="F1986" s="3" t="str">
        <f>IFERROR(INDEX('SCR DATA'!C:C, MATCH($D1986, 'SCR DATA'!A:A, 0)), "")</f>
        <v>GAIA-I DUAL</v>
      </c>
      <c r="G1986" s="68" t="str">
        <f t="shared" si="369"/>
        <v>DUAL</v>
      </c>
      <c r="H1986" s="197">
        <f t="shared" si="370"/>
        <v>52</v>
      </c>
      <c r="I1986" s="197">
        <v>12</v>
      </c>
      <c r="J1986" s="197">
        <v>24</v>
      </c>
      <c r="K1986" s="186">
        <f t="shared" si="371"/>
        <v>46015</v>
      </c>
      <c r="L1986" s="3" t="str">
        <f>IFERROR(INDEX('SCR DATA'!F:F, MATCH($D1986, 'SCR DATA'!A:A, 0)), "")</f>
        <v>BAT</v>
      </c>
      <c r="M1986" s="3" t="str">
        <f>IFERROR(INDEX('SCR DATA'!G:G, MATCH($D1986, 'SCR DATA'!A:A, 0)), "")</f>
        <v>TMS</v>
      </c>
      <c r="N1986" s="3" t="str">
        <f t="shared" si="368"/>
        <v/>
      </c>
    </row>
    <row r="1987" spans="1:19">
      <c r="A1987" s="3">
        <v>6301</v>
      </c>
      <c r="B1987" s="83">
        <f t="array" ref="B1987">SUM(--(FREQUENCY(IF(C$2:C$3074=C1987, MATCH(D$2:D$3074, D$2:D$3074, 0)), ROW(D$2:D$3074)-ROW(D$2)+1) &gt; 0))</f>
        <v>5</v>
      </c>
      <c r="C1987" s="3">
        <f>IFERROR(INDEX('SCR DATA'!B:B, MATCH($D1987, 'SCR DATA'!A:A, 0)), "")</f>
        <v>41200200</v>
      </c>
      <c r="D1987" s="6" t="s">
        <v>3554</v>
      </c>
      <c r="E1987" s="3" t="str">
        <f>IFERROR(INDEX('SCR DATA'!E:E, MATCH($D1987, 'SCR DATA'!A:A, 0)), "")</f>
        <v>SAS</v>
      </c>
      <c r="F1987" s="3" t="str">
        <f>IFERROR(INDEX('SCR DATA'!C:C, MATCH($D1987, 'SCR DATA'!A:A, 0)), "")</f>
        <v>GAIA-II DUAL</v>
      </c>
      <c r="G1987" s="68" t="str">
        <f t="shared" si="369"/>
        <v>DUAL</v>
      </c>
      <c r="H1987" s="197">
        <f t="shared" si="370"/>
        <v>52</v>
      </c>
      <c r="I1987" s="197">
        <v>12</v>
      </c>
      <c r="J1987" s="197">
        <v>24</v>
      </c>
      <c r="K1987" s="186">
        <f t="shared" si="371"/>
        <v>46015</v>
      </c>
      <c r="L1987" s="3" t="str">
        <f>IFERROR(INDEX('SCR DATA'!F:F, MATCH($D1987, 'SCR DATA'!A:A, 0)), "")</f>
        <v>BAT</v>
      </c>
      <c r="M1987" s="3" t="str">
        <f>IFERROR(INDEX('SCR DATA'!G:G, MATCH($D1987, 'SCR DATA'!A:A, 0)), "")</f>
        <v>P&amp;S</v>
      </c>
      <c r="N1987" s="3" t="str">
        <f t="shared" si="368"/>
        <v/>
      </c>
    </row>
    <row r="1988" spans="1:19">
      <c r="A1988" s="3">
        <v>6301</v>
      </c>
      <c r="B1988" s="83">
        <f t="array" ref="B1988">SUM(--(FREQUENCY(IF(C$2:C$3074=C1988, MATCH(D$2:D$3074, D$2:D$3074, 0)), ROW(D$2:D$3074)-ROW(D$2)+1) &gt; 0))</f>
        <v>5</v>
      </c>
      <c r="C1988" s="3">
        <f>IFERROR(INDEX('SCR DATA'!B:B, MATCH($D1988, 'SCR DATA'!A:A, 0)), "")</f>
        <v>41200200</v>
      </c>
      <c r="D1988" s="6" t="s">
        <v>3566</v>
      </c>
      <c r="E1988" s="3" t="str">
        <f>IFERROR(INDEX('SCR DATA'!E:E, MATCH($D1988, 'SCR DATA'!A:A, 0)), "")</f>
        <v>SAS</v>
      </c>
      <c r="F1988" s="3" t="str">
        <f>IFERROR(INDEX('SCR DATA'!C:C, MATCH($D1988, 'SCR DATA'!A:A, 0)), "")</f>
        <v>GAIA-II DUAL</v>
      </c>
      <c r="G1988" s="41" t="str">
        <f t="shared" si="369"/>
        <v>DUAL</v>
      </c>
      <c r="H1988" s="197">
        <f t="shared" si="370"/>
        <v>52</v>
      </c>
      <c r="I1988" s="197">
        <v>12</v>
      </c>
      <c r="J1988" s="197">
        <v>24</v>
      </c>
      <c r="K1988" s="186">
        <f t="shared" si="371"/>
        <v>46015</v>
      </c>
      <c r="L1988" s="3" t="str">
        <f>IFERROR(INDEX('SCR DATA'!F:F, MATCH($D1988, 'SCR DATA'!A:A, 0)), "")</f>
        <v>BAT</v>
      </c>
      <c r="M1988" s="3" t="str">
        <f>IFERROR(INDEX('SCR DATA'!G:G, MATCH($D1988, 'SCR DATA'!A:A, 0)), "")</f>
        <v>P&amp;S</v>
      </c>
      <c r="N1988" s="3" t="str">
        <f t="shared" si="368"/>
        <v>NG</v>
      </c>
      <c r="O1988" s="3" t="s">
        <v>2368</v>
      </c>
      <c r="P1988" s="3" t="s">
        <v>5447</v>
      </c>
      <c r="Q1988" s="3">
        <v>12200515</v>
      </c>
      <c r="R1988" s="3" t="s">
        <v>5448</v>
      </c>
      <c r="S1988" s="3" t="s">
        <v>5449</v>
      </c>
    </row>
    <row r="1989" spans="1:19">
      <c r="A1989" s="3">
        <v>6301</v>
      </c>
      <c r="B1989" s="83">
        <f t="array" ref="B1989">SUM(--(FREQUENCY(IF(C$2:C$3074=C1989, MATCH(D$2:D$3074, D$2:D$3074, 0)), ROW(D$2:D$3074)-ROW(D$2)+1) &gt; 0))</f>
        <v>5</v>
      </c>
      <c r="C1989" s="3">
        <f>IFERROR(INDEX('SCR DATA'!B:B, MATCH($D1989, 'SCR DATA'!A:A, 0)), "")</f>
        <v>41200200</v>
      </c>
      <c r="D1989" s="6" t="s">
        <v>3566</v>
      </c>
      <c r="E1989" s="3" t="str">
        <f>IFERROR(INDEX('SCR DATA'!E:E, MATCH($D1989, 'SCR DATA'!A:A, 0)), "")</f>
        <v>SAS</v>
      </c>
      <c r="F1989" s="3" t="str">
        <f>IFERROR(INDEX('SCR DATA'!C:C, MATCH($D1989, 'SCR DATA'!A:A, 0)), "")</f>
        <v>GAIA-II DUAL</v>
      </c>
      <c r="G1989" s="41" t="str">
        <f t="shared" ref="G1989" si="372">IF(OR(ISNUMBER(SEARCH("DUAL",F1989)), ISNUMBER(SEARCH("IVAS",F1989))), "DUAL", "SINGLE")</f>
        <v>DUAL</v>
      </c>
      <c r="H1989" s="197">
        <f t="shared" ref="H1989" si="373">WEEKNUM(K1989)</f>
        <v>52</v>
      </c>
      <c r="I1989" s="197">
        <v>12</v>
      </c>
      <c r="J1989" s="197">
        <v>24</v>
      </c>
      <c r="K1989" s="186">
        <f t="shared" si="371"/>
        <v>46015</v>
      </c>
      <c r="L1989" s="3" t="str">
        <f>IFERROR(INDEX('SCR DATA'!F:F, MATCH($D1989, 'SCR DATA'!A:A, 0)), "")</f>
        <v>BAT</v>
      </c>
      <c r="M1989" s="3" t="str">
        <f>IFERROR(INDEX('SCR DATA'!G:G, MATCH($D1989, 'SCR DATA'!A:A, 0)), "")</f>
        <v>P&amp;S</v>
      </c>
      <c r="N1989" s="3" t="str">
        <f t="shared" ref="N1989" si="374">IF(O1989&lt;&gt;"", "NG", "")</f>
        <v>NG</v>
      </c>
      <c r="O1989" s="3" t="s">
        <v>2368</v>
      </c>
      <c r="P1989" s="3" t="s">
        <v>2482</v>
      </c>
      <c r="Q1989" s="3">
        <v>11002283</v>
      </c>
      <c r="R1989" s="3" t="s">
        <v>932</v>
      </c>
      <c r="S1989" s="3" t="s">
        <v>5450</v>
      </c>
    </row>
    <row r="1990" spans="1:19">
      <c r="A1990" s="3">
        <v>6301</v>
      </c>
      <c r="B1990" s="83">
        <f t="array" ref="B1990">SUM(--(FREQUENCY(IF(C$2:C$3074=C1990, MATCH(D$2:D$3074, D$2:D$3074, 0)), ROW(D$2:D$3074)-ROW(D$2)+1) &gt; 0))</f>
        <v>5</v>
      </c>
      <c r="C1990" s="3">
        <f>IFERROR(INDEX('SCR DATA'!B:B, MATCH($D1990, 'SCR DATA'!A:A, 0)), "")</f>
        <v>41200200</v>
      </c>
      <c r="D1990" s="6" t="s">
        <v>3555</v>
      </c>
      <c r="E1990" s="3" t="str">
        <f>IFERROR(INDEX('SCR DATA'!E:E, MATCH($D1990, 'SCR DATA'!A:A, 0)), "")</f>
        <v>SAS</v>
      </c>
      <c r="F1990" s="3" t="str">
        <f>IFERROR(INDEX('SCR DATA'!C:C, MATCH($D1990, 'SCR DATA'!A:A, 0)), "")</f>
        <v>GAIA-II DUAL</v>
      </c>
      <c r="G1990" s="68" t="str">
        <f t="shared" si="369"/>
        <v>DUAL</v>
      </c>
      <c r="H1990" s="197">
        <f t="shared" si="370"/>
        <v>52</v>
      </c>
      <c r="I1990" s="197">
        <v>12</v>
      </c>
      <c r="J1990" s="197">
        <v>24</v>
      </c>
      <c r="K1990" s="186">
        <f t="shared" si="371"/>
        <v>46015</v>
      </c>
      <c r="L1990" s="3" t="str">
        <f>IFERROR(INDEX('SCR DATA'!F:F, MATCH($D1990, 'SCR DATA'!A:A, 0)), "")</f>
        <v>BAT</v>
      </c>
      <c r="M1990" s="3" t="str">
        <f>IFERROR(INDEX('SCR DATA'!G:G, MATCH($D1990, 'SCR DATA'!A:A, 0)), "")</f>
        <v>P&amp;S</v>
      </c>
      <c r="N1990" s="3" t="str">
        <f t="shared" ref="N1990" si="375">IF(O1990&lt;&gt;"", "NG", "")</f>
        <v>NG</v>
      </c>
      <c r="O1990" s="3" t="s">
        <v>2368</v>
      </c>
      <c r="P1990" s="3" t="s">
        <v>2482</v>
      </c>
      <c r="Q1990" s="3">
        <v>11002283</v>
      </c>
      <c r="R1990" s="3" t="s">
        <v>932</v>
      </c>
      <c r="S1990" s="3" t="s">
        <v>5451</v>
      </c>
    </row>
    <row r="1991" spans="1:19">
      <c r="A1991" s="3">
        <v>6301</v>
      </c>
      <c r="B1991" s="83">
        <f t="array" ref="B1991">SUM(--(FREQUENCY(IF(C$2:C$3074=C1991, MATCH(D$2:D$3074, D$2:D$3074, 0)), ROW(D$2:D$3074)-ROW(D$2)+1) &gt; 0))</f>
        <v>5</v>
      </c>
      <c r="C1991" s="3">
        <f>IFERROR(INDEX('SCR DATA'!B:B, MATCH($D1991, 'SCR DATA'!A:A, 0)), "")</f>
        <v>41200200</v>
      </c>
      <c r="D1991" s="6" t="s">
        <v>3556</v>
      </c>
      <c r="E1991" s="3" t="str">
        <f>IFERROR(INDEX('SCR DATA'!E:E, MATCH($D1991, 'SCR DATA'!A:A, 0)), "")</f>
        <v>SAS</v>
      </c>
      <c r="F1991" s="3" t="str">
        <f>IFERROR(INDEX('SCR DATA'!C:C, MATCH($D1991, 'SCR DATA'!A:A, 0)), "")</f>
        <v>GAIA-II DUAL</v>
      </c>
      <c r="G1991" s="41" t="str">
        <f t="shared" si="369"/>
        <v>DUAL</v>
      </c>
      <c r="H1991" s="197">
        <f t="shared" si="370"/>
        <v>52</v>
      </c>
      <c r="I1991" s="197">
        <v>12</v>
      </c>
      <c r="J1991" s="197">
        <v>24</v>
      </c>
      <c r="K1991" s="186">
        <f t="shared" si="371"/>
        <v>46015</v>
      </c>
      <c r="L1991" s="3" t="str">
        <f>IFERROR(INDEX('SCR DATA'!F:F, MATCH($D1991, 'SCR DATA'!A:A, 0)), "")</f>
        <v>BAT</v>
      </c>
      <c r="M1991" s="3" t="str">
        <f>IFERROR(INDEX('SCR DATA'!G:G, MATCH($D1991, 'SCR DATA'!A:A, 0)), "")</f>
        <v>P&amp;S</v>
      </c>
      <c r="N1991" s="3" t="str">
        <f t="shared" si="368"/>
        <v>NG</v>
      </c>
      <c r="O1991" s="3" t="s">
        <v>2368</v>
      </c>
      <c r="P1991" s="3" t="s">
        <v>2482</v>
      </c>
      <c r="Q1991" s="3">
        <v>11002283</v>
      </c>
      <c r="R1991" s="3" t="s">
        <v>932</v>
      </c>
      <c r="S1991" s="3" t="s">
        <v>5452</v>
      </c>
    </row>
    <row r="1992" spans="1:19">
      <c r="A1992" s="3">
        <v>6301</v>
      </c>
      <c r="B1992" s="83">
        <f t="array" ref="B1992">SUM(--(FREQUENCY(IF(C$2:C$3074=C1992, MATCH(D$2:D$3074, D$2:D$3074, 0)), ROW(D$2:D$3074)-ROW(D$2)+1) &gt; 0))</f>
        <v>5</v>
      </c>
      <c r="C1992" s="3">
        <f>IFERROR(INDEX('SCR DATA'!B:B, MATCH($D1992, 'SCR DATA'!A:A, 0)), "")</f>
        <v>41200200</v>
      </c>
      <c r="D1992" s="6" t="s">
        <v>3556</v>
      </c>
      <c r="E1992" s="3" t="str">
        <f>IFERROR(INDEX('SCR DATA'!E:E, MATCH($D1992, 'SCR DATA'!A:A, 0)), "")</f>
        <v>SAS</v>
      </c>
      <c r="F1992" s="3" t="str">
        <f>IFERROR(INDEX('SCR DATA'!C:C, MATCH($D1992, 'SCR DATA'!A:A, 0)), "")</f>
        <v>GAIA-II DUAL</v>
      </c>
      <c r="G1992" s="41" t="str">
        <f t="shared" ref="G1992:G1993" si="376">IF(OR(ISNUMBER(SEARCH("DUAL",F1992)), ISNUMBER(SEARCH("IVAS",F1992))), "DUAL", "SINGLE")</f>
        <v>DUAL</v>
      </c>
      <c r="H1992" s="197">
        <f t="shared" ref="H1992:H1993" si="377">WEEKNUM(K1992)</f>
        <v>52</v>
      </c>
      <c r="I1992" s="197">
        <v>12</v>
      </c>
      <c r="J1992" s="197">
        <v>24</v>
      </c>
      <c r="K1992" s="186">
        <f t="shared" si="371"/>
        <v>46015</v>
      </c>
      <c r="L1992" s="3" t="str">
        <f>IFERROR(INDEX('SCR DATA'!F:F, MATCH($D1992, 'SCR DATA'!A:A, 0)), "")</f>
        <v>BAT</v>
      </c>
      <c r="M1992" s="3" t="str">
        <f>IFERROR(INDEX('SCR DATA'!G:G, MATCH($D1992, 'SCR DATA'!A:A, 0)), "")</f>
        <v>P&amp;S</v>
      </c>
      <c r="N1992" s="3" t="str">
        <f t="shared" ref="N1992:N1993" si="378">IF(O1992&lt;&gt;"", "NG", "")</f>
        <v>NG</v>
      </c>
      <c r="O1992" s="3" t="s">
        <v>2368</v>
      </c>
      <c r="P1992" s="3" t="s">
        <v>2482</v>
      </c>
      <c r="Q1992" s="3">
        <v>11002283</v>
      </c>
      <c r="R1992" s="3" t="s">
        <v>932</v>
      </c>
      <c r="S1992" s="3" t="s">
        <v>5453</v>
      </c>
    </row>
    <row r="1993" spans="1:19">
      <c r="A1993" s="3">
        <v>6301</v>
      </c>
      <c r="B1993" s="83">
        <f t="array" ref="B1993">SUM(--(FREQUENCY(IF(C$2:C$3074=C1993, MATCH(D$2:D$3074, D$2:D$3074, 0)), ROW(D$2:D$3074)-ROW(D$2)+1) &gt; 0))</f>
        <v>5</v>
      </c>
      <c r="C1993" s="3">
        <f>IFERROR(INDEX('SCR DATA'!B:B, MATCH($D1993, 'SCR DATA'!A:A, 0)), "")</f>
        <v>41200200</v>
      </c>
      <c r="D1993" s="6" t="s">
        <v>3556</v>
      </c>
      <c r="E1993" s="3" t="str">
        <f>IFERROR(INDEX('SCR DATA'!E:E, MATCH($D1993, 'SCR DATA'!A:A, 0)), "")</f>
        <v>SAS</v>
      </c>
      <c r="F1993" s="3" t="str">
        <f>IFERROR(INDEX('SCR DATA'!C:C, MATCH($D1993, 'SCR DATA'!A:A, 0)), "")</f>
        <v>GAIA-II DUAL</v>
      </c>
      <c r="G1993" s="41" t="str">
        <f t="shared" si="376"/>
        <v>DUAL</v>
      </c>
      <c r="H1993" s="197">
        <f t="shared" si="377"/>
        <v>52</v>
      </c>
      <c r="I1993" s="197">
        <v>12</v>
      </c>
      <c r="J1993" s="197">
        <v>24</v>
      </c>
      <c r="K1993" s="186">
        <f t="shared" si="371"/>
        <v>46015</v>
      </c>
      <c r="L1993" s="3" t="str">
        <f>IFERROR(INDEX('SCR DATA'!F:F, MATCH($D1993, 'SCR DATA'!A:A, 0)), "")</f>
        <v>BAT</v>
      </c>
      <c r="M1993" s="3" t="str">
        <f>IFERROR(INDEX('SCR DATA'!G:G, MATCH($D1993, 'SCR DATA'!A:A, 0)), "")</f>
        <v>P&amp;S</v>
      </c>
      <c r="N1993" s="3" t="str">
        <f t="shared" si="378"/>
        <v>NG</v>
      </c>
      <c r="O1993" s="3" t="s">
        <v>2368</v>
      </c>
      <c r="P1993" s="3" t="s">
        <v>2482</v>
      </c>
      <c r="Q1993" s="3">
        <v>11002283</v>
      </c>
      <c r="R1993" s="3" t="s">
        <v>932</v>
      </c>
      <c r="S1993" s="3" t="s">
        <v>5454</v>
      </c>
    </row>
    <row r="1994" spans="1:19">
      <c r="A1994" s="3">
        <v>6396</v>
      </c>
      <c r="B1994" s="83">
        <f t="array" ref="B1994">SUM(--(FREQUENCY(IF(C$2:C$3074=C1994, MATCH(D$2:D$3074, D$2:D$3074, 0)), ROW(D$2:D$3074)-ROW(D$2)+1) &gt; 0))</f>
        <v>1</v>
      </c>
      <c r="C1994" s="3">
        <f>IFERROR(INDEX('SCR DATA'!B:B, MATCH($D1994, 'SCR DATA'!A:A, 0)), "")</f>
        <v>41200202</v>
      </c>
      <c r="D1994" s="6" t="s">
        <v>3560</v>
      </c>
      <c r="E1994" s="3" t="s">
        <v>1424</v>
      </c>
      <c r="F1994" s="3" t="s">
        <v>1476</v>
      </c>
      <c r="G1994" s="68" t="s">
        <v>2675</v>
      </c>
      <c r="H1994" s="197">
        <f t="shared" ref="H1983:H2047" si="379">WEEKNUM(K1994)</f>
        <v>52</v>
      </c>
      <c r="I1994" s="197">
        <v>12</v>
      </c>
      <c r="J1994" s="197">
        <v>26</v>
      </c>
      <c r="K1994" s="186">
        <f t="shared" si="371"/>
        <v>46017</v>
      </c>
      <c r="L1994" s="3" t="s">
        <v>2391</v>
      </c>
      <c r="M1994" s="3" t="s">
        <v>2392</v>
      </c>
      <c r="N1994" s="3" t="str">
        <f t="shared" si="368"/>
        <v/>
      </c>
    </row>
    <row r="1995" spans="1:19">
      <c r="A1995" s="3">
        <v>6316</v>
      </c>
      <c r="B1995" s="83">
        <f t="array" ref="B1995">SUM(--(FREQUENCY(IF(C$2:C$3074=C1995, MATCH(D$2:D$3074, D$2:D$3074, 0)), ROW(D$2:D$3074)-ROW(D$2)+1) &gt; 0))</f>
        <v>11</v>
      </c>
      <c r="C1995" s="3">
        <f>IFERROR(INDEX('SCR DATA'!B:B, MATCH($D1995, 'SCR DATA'!A:A, 0)), "")</f>
        <v>41200105</v>
      </c>
      <c r="D1995" s="6" t="s">
        <v>3562</v>
      </c>
      <c r="E1995" s="3" t="s">
        <v>1424</v>
      </c>
      <c r="F1995" s="3" t="s">
        <v>1476</v>
      </c>
      <c r="G1995" s="68" t="s">
        <v>2675</v>
      </c>
      <c r="H1995" s="197">
        <f t="shared" si="379"/>
        <v>52</v>
      </c>
      <c r="I1995" s="197">
        <v>12</v>
      </c>
      <c r="J1995" s="197">
        <v>26</v>
      </c>
      <c r="K1995" s="186">
        <f t="shared" si="371"/>
        <v>46017</v>
      </c>
      <c r="L1995" s="3" t="s">
        <v>2391</v>
      </c>
      <c r="M1995" s="3" t="s">
        <v>1468</v>
      </c>
      <c r="N1995" s="3" t="str">
        <f t="shared" si="368"/>
        <v/>
      </c>
    </row>
    <row r="1996" spans="1:19">
      <c r="A1996" s="3">
        <v>6405</v>
      </c>
      <c r="B1996" s="83">
        <f t="array" ref="B1996">SUM(--(FREQUENCY(IF(C$2:C$3074=C1996, MATCH(D$2:D$3074, D$2:D$3074, 0)), ROW(D$2:D$3074)-ROW(D$2)+1) &gt; 0))</f>
        <v>1</v>
      </c>
      <c r="C1996" s="3">
        <f>IFERROR(INDEX('SCR DATA'!B:B, MATCH($D1996, 'SCR DATA'!A:A, 0)), "")</f>
        <v>41000583</v>
      </c>
      <c r="D1996" s="6" t="s">
        <v>3563</v>
      </c>
      <c r="E1996" s="3" t="s">
        <v>3564</v>
      </c>
      <c r="F1996" s="3" t="s">
        <v>3565</v>
      </c>
      <c r="G1996" s="68" t="str">
        <f t="shared" si="369"/>
        <v>SINGLE</v>
      </c>
      <c r="H1996" s="197">
        <f t="shared" si="379"/>
        <v>52</v>
      </c>
      <c r="I1996" s="197">
        <v>12</v>
      </c>
      <c r="J1996" s="197">
        <v>26</v>
      </c>
      <c r="K1996" s="186">
        <f t="shared" si="371"/>
        <v>46017</v>
      </c>
      <c r="L1996" s="3" t="s">
        <v>2391</v>
      </c>
      <c r="M1996" s="3" t="s">
        <v>2392</v>
      </c>
      <c r="N1996" s="3" t="str">
        <f t="shared" si="368"/>
        <v/>
      </c>
    </row>
    <row r="1997" spans="1:19">
      <c r="A1997" s="3">
        <v>6327</v>
      </c>
      <c r="B1997" s="83">
        <f t="array" ref="B1997">SUM(--(FREQUENCY(IF(C$2:C$3074=C1997, MATCH(D$2:D$3074, D$2:D$3074, 0)), ROW(D$2:D$3074)-ROW(D$2)+1) &gt; 0))</f>
        <v>18</v>
      </c>
      <c r="C1997" s="3">
        <f>IFERROR(INDEX('SCR DATA'!B:B, MATCH($D1997, 'SCR DATA'!A:A, 0)), "")</f>
        <v>41200039</v>
      </c>
      <c r="D1997" s="6" t="s">
        <v>3567</v>
      </c>
      <c r="E1997" s="3" t="str">
        <f>IFERROR(INDEX('SCR DATA'!E:E, MATCH($D1997, 'SCR DATA'!A:A, 0)), "")</f>
        <v>YMTC</v>
      </c>
      <c r="F1997" s="3" t="str">
        <f>IFERROR(INDEX('SCR DATA'!C:C, MATCH($D1997, 'SCR DATA'!A:A, 0)), "")</f>
        <v>GAIA-I DUAL</v>
      </c>
      <c r="G1997" s="68" t="str">
        <f t="shared" si="369"/>
        <v>DUAL</v>
      </c>
      <c r="H1997" s="197">
        <f t="shared" si="379"/>
        <v>53</v>
      </c>
      <c r="I1997" s="197">
        <v>12</v>
      </c>
      <c r="J1997" s="197">
        <v>29</v>
      </c>
      <c r="K1997" s="186">
        <f t="shared" si="371"/>
        <v>46020</v>
      </c>
      <c r="L1997" s="3" t="str">
        <f>IFERROR(INDEX('SCR DATA'!F:F, MATCH($D1997, 'SCR DATA'!A:A, 0)), "")</f>
        <v>FNI</v>
      </c>
      <c r="M1997" s="3" t="str">
        <f>IFERROR(INDEX('SCR DATA'!G:G, MATCH($D1997, 'SCR DATA'!A:A, 0)), "")</f>
        <v>TMS</v>
      </c>
      <c r="N1997" s="3" t="str">
        <f t="shared" si="368"/>
        <v/>
      </c>
    </row>
    <row r="1998" spans="1:19">
      <c r="A1998" s="3">
        <v>6361</v>
      </c>
      <c r="B1998" s="83">
        <f t="array" ref="B1998">SUM(--(FREQUENCY(IF(C$2:C$3074=C1998, MATCH(D$2:D$3074, D$2:D$3074, 0)), ROW(D$2:D$3074)-ROW(D$2)+1) &gt; 0))</f>
        <v>77</v>
      </c>
      <c r="C1998" s="3">
        <f>IFERROR(INDEX('SCR DATA'!B:B, MATCH($D1998, 'SCR DATA'!A:A, 0)), "")</f>
        <v>41200076</v>
      </c>
      <c r="D1998" s="6" t="s">
        <v>3569</v>
      </c>
      <c r="E1998" s="3" t="str">
        <f>IFERROR(INDEX('SCR DATA'!E:E, MATCH($D1998, 'SCR DATA'!A:A, 0)), "")</f>
        <v>MICRON TW</v>
      </c>
      <c r="F1998" s="3" t="str">
        <f>IFERROR(INDEX('SCR DATA'!C:C, MATCH($D1998, 'SCR DATA'!A:A, 0)), "")</f>
        <v>GAIA-I DUAL</v>
      </c>
      <c r="G1998" s="68" t="str">
        <f t="shared" si="369"/>
        <v>DUAL</v>
      </c>
      <c r="H1998" s="197">
        <f t="shared" ref="H1998:H2003" si="380">WEEKNUM(K1998)</f>
        <v>53</v>
      </c>
      <c r="I1998" s="197">
        <v>12</v>
      </c>
      <c r="J1998" s="197">
        <v>29</v>
      </c>
      <c r="K1998" s="186">
        <f t="shared" si="371"/>
        <v>46020</v>
      </c>
      <c r="L1998" s="3" t="str">
        <f>IFERROR(INDEX('SCR DATA'!F:F, MATCH($D1998, 'SCR DATA'!A:A, 0)), "")</f>
        <v>FNI</v>
      </c>
      <c r="M1998" s="3" t="str">
        <f>IFERROR(INDEX('SCR DATA'!G:G, MATCH($D1998, 'SCR DATA'!A:A, 0)), "")</f>
        <v>TMS</v>
      </c>
      <c r="N1998" s="3" t="str">
        <f t="shared" si="368"/>
        <v/>
      </c>
    </row>
    <row r="1999" spans="1:19">
      <c r="A1999" s="3">
        <v>6309</v>
      </c>
      <c r="B1999" s="83">
        <f t="array" ref="B1999">SUM(--(FREQUENCY(IF(C$2:C$3074=C1999, MATCH(D$2:D$3074, D$2:D$3074, 0)), ROW(D$2:D$3074)-ROW(D$2)+1) &gt; 0))</f>
        <v>41</v>
      </c>
      <c r="C1999" s="3">
        <f>IFERROR(INDEX('SCR DATA'!B:B, MATCH($D1999, 'SCR DATA'!A:A, 0)), "")</f>
        <v>41200101</v>
      </c>
      <c r="D1999" s="6" t="s">
        <v>3570</v>
      </c>
      <c r="E1999" s="3" t="str">
        <f>IFERROR(INDEX('SCR DATA'!E:E, MATCH($D1999, 'SCR DATA'!A:A, 0)), "")</f>
        <v>MICRON TW</v>
      </c>
      <c r="F1999" s="3" t="str">
        <f>IFERROR(INDEX('SCR DATA'!C:C, MATCH($D1999, 'SCR DATA'!A:A, 0)), "")</f>
        <v>GAIA-I DUAL</v>
      </c>
      <c r="G1999" s="68" t="str">
        <f t="shared" si="369"/>
        <v>DUAL</v>
      </c>
      <c r="H1999" s="197">
        <f t="shared" si="380"/>
        <v>53</v>
      </c>
      <c r="I1999" s="197">
        <v>12</v>
      </c>
      <c r="J1999" s="197">
        <v>29</v>
      </c>
      <c r="K1999" s="186">
        <f t="shared" si="371"/>
        <v>46020</v>
      </c>
      <c r="L1999" s="3" t="str">
        <f>IFERROR(INDEX('SCR DATA'!F:F, MATCH($D1999, 'SCR DATA'!A:A, 0)), "")</f>
        <v>FNI</v>
      </c>
      <c r="M1999" s="3" t="str">
        <f>IFERROR(INDEX('SCR DATA'!G:G, MATCH($D1999, 'SCR DATA'!A:A, 0)), "")</f>
        <v>C&amp;A</v>
      </c>
      <c r="N1999" s="3" t="str">
        <f t="shared" si="368"/>
        <v/>
      </c>
    </row>
    <row r="2000" spans="1:19">
      <c r="A2000" s="3">
        <v>6348</v>
      </c>
      <c r="B2000" s="83">
        <f t="array" ref="B2000">SUM(--(FREQUENCY(IF(C$2:C$3074=C2000, MATCH(D$2:D$3074, D$2:D$3074, 0)), ROW(D$2:D$3074)-ROW(D$2)+1) &gt; 0))</f>
        <v>44</v>
      </c>
      <c r="C2000" s="3">
        <f>IFERROR(INDEX('SCR DATA'!B:B, MATCH($D2000, 'SCR DATA'!A:A, 0)), "")</f>
        <v>41200047</v>
      </c>
      <c r="D2000" s="6" t="s">
        <v>3571</v>
      </c>
      <c r="E2000" s="3" t="str">
        <f>IFERROR(INDEX('SCR DATA'!E:E, MATCH($D2000, 'SCR DATA'!A:A, 0)), "")</f>
        <v>YMTC</v>
      </c>
      <c r="F2000" s="3" t="str">
        <f>IFERROR(INDEX('SCR DATA'!C:C, MATCH($D2000, 'SCR DATA'!A:A, 0)), "")</f>
        <v>GAIA-I DUAL</v>
      </c>
      <c r="G2000" s="68" t="str">
        <f t="shared" si="369"/>
        <v>DUAL</v>
      </c>
      <c r="H2000" s="197">
        <f t="shared" si="380"/>
        <v>53</v>
      </c>
      <c r="I2000" s="197">
        <v>12</v>
      </c>
      <c r="J2000" s="197">
        <v>29</v>
      </c>
      <c r="K2000" s="186">
        <f t="shared" si="371"/>
        <v>46020</v>
      </c>
      <c r="L2000" s="3" t="str">
        <f>IFERROR(INDEX('SCR DATA'!F:F, MATCH($D2000, 'SCR DATA'!A:A, 0)), "")</f>
        <v>FNI</v>
      </c>
      <c r="M2000" s="3" t="str">
        <f>IFERROR(INDEX('SCR DATA'!G:G, MATCH($D2000, 'SCR DATA'!A:A, 0)), "")</f>
        <v>C&amp;A</v>
      </c>
      <c r="N2000" s="3" t="str">
        <f t="shared" si="368"/>
        <v/>
      </c>
    </row>
    <row r="2001" spans="1:14">
      <c r="A2001" s="3">
        <v>6348</v>
      </c>
      <c r="B2001" s="83">
        <f t="array" ref="B2001">SUM(--(FREQUENCY(IF(C$2:C$3074=C2001, MATCH(D$2:D$3074, D$2:D$3074, 0)), ROW(D$2:D$3074)-ROW(D$2)+1) &gt; 0))</f>
        <v>44</v>
      </c>
      <c r="C2001" s="3">
        <f>IFERROR(INDEX('SCR DATA'!B:B, MATCH($D2001, 'SCR DATA'!A:A, 0)), "")</f>
        <v>41200047</v>
      </c>
      <c r="D2001" s="6" t="s">
        <v>3572</v>
      </c>
      <c r="E2001" s="3" t="str">
        <f>IFERROR(INDEX('SCR DATA'!E:E, MATCH($D2001, 'SCR DATA'!A:A, 0)), "")</f>
        <v>YMTC</v>
      </c>
      <c r="F2001" s="3" t="str">
        <f>IFERROR(INDEX('SCR DATA'!C:C, MATCH($D2001, 'SCR DATA'!A:A, 0)), "")</f>
        <v>GAIA-I DUAL</v>
      </c>
      <c r="G2001" s="68" t="str">
        <f t="shared" si="369"/>
        <v>DUAL</v>
      </c>
      <c r="H2001" s="197">
        <f t="shared" si="380"/>
        <v>53</v>
      </c>
      <c r="I2001" s="197">
        <v>12</v>
      </c>
      <c r="J2001" s="197">
        <v>29</v>
      </c>
      <c r="K2001" s="186">
        <f t="shared" si="371"/>
        <v>46020</v>
      </c>
      <c r="L2001" s="3" t="str">
        <f>IFERROR(INDEX('SCR DATA'!F:F, MATCH($D2001, 'SCR DATA'!A:A, 0)), "")</f>
        <v>FNI</v>
      </c>
      <c r="M2001" s="3" t="str">
        <f>IFERROR(INDEX('SCR DATA'!G:G, MATCH($D2001, 'SCR DATA'!A:A, 0)), "")</f>
        <v>C&amp;A</v>
      </c>
      <c r="N2001" s="3" t="str">
        <f t="shared" si="368"/>
        <v/>
      </c>
    </row>
    <row r="2002" spans="1:14">
      <c r="A2002" s="3">
        <v>6348</v>
      </c>
      <c r="B2002" s="83">
        <f t="array" ref="B2002">SUM(--(FREQUENCY(IF(C$2:C$3074=C2002, MATCH(D$2:D$3074, D$2:D$3074, 0)), ROW(D$2:D$3074)-ROW(D$2)+1) &gt; 0))</f>
        <v>44</v>
      </c>
      <c r="C2002" s="3">
        <f>IFERROR(INDEX('SCR DATA'!B:B, MATCH($D2002, 'SCR DATA'!A:A, 0)), "")</f>
        <v>41200047</v>
      </c>
      <c r="D2002" s="6" t="s">
        <v>3574</v>
      </c>
      <c r="E2002" s="3" t="str">
        <f>IFERROR(INDEX('SCR DATA'!E:E, MATCH($D2002, 'SCR DATA'!A:A, 0)), "")</f>
        <v>YMTC</v>
      </c>
      <c r="F2002" s="3" t="str">
        <f>IFERROR(INDEX('SCR DATA'!C:C, MATCH($D2002, 'SCR DATA'!A:A, 0)), "")</f>
        <v>GAIA-I DUAL</v>
      </c>
      <c r="G2002" s="68" t="str">
        <f t="shared" si="369"/>
        <v>DUAL</v>
      </c>
      <c r="H2002" s="197">
        <f t="shared" si="380"/>
        <v>53</v>
      </c>
      <c r="I2002" s="197">
        <v>12</v>
      </c>
      <c r="J2002" s="197">
        <v>29</v>
      </c>
      <c r="K2002" s="186">
        <f t="shared" si="371"/>
        <v>46020</v>
      </c>
      <c r="L2002" s="3" t="str">
        <f>IFERROR(INDEX('SCR DATA'!F:F, MATCH($D2002, 'SCR DATA'!A:A, 0)), "")</f>
        <v>FNI</v>
      </c>
      <c r="M2002" s="3" t="str">
        <f>IFERROR(INDEX('SCR DATA'!G:G, MATCH($D2002, 'SCR DATA'!A:A, 0)), "")</f>
        <v>C&amp;A</v>
      </c>
      <c r="N2002" s="3" t="str">
        <f t="shared" si="368"/>
        <v/>
      </c>
    </row>
    <row r="2003" spans="1:14">
      <c r="A2003" s="3">
        <v>6305</v>
      </c>
      <c r="B2003" s="83">
        <f t="array" ref="B2003">SUM(--(FREQUENCY(IF(C$2:C$3074=C2003, MATCH(D$2:D$3074, D$2:D$3074, 0)), ROW(D$2:D$3074)-ROW(D$2)+1) &gt; 0))</f>
        <v>18</v>
      </c>
      <c r="C2003" s="3">
        <f>IFERROR(INDEX('SCR DATA'!B:B, MATCH($D2003, 'SCR DATA'!A:A, 0)), "")</f>
        <v>41000584</v>
      </c>
      <c r="D2003" s="6" t="s">
        <v>5455</v>
      </c>
      <c r="E2003" s="3" t="str">
        <f>IFERROR(INDEX('SCR DATA'!E:E, MATCH($D2003, 'SCR DATA'!A:A, 0)), "")</f>
        <v>SEC</v>
      </c>
      <c r="F2003" s="3" t="str">
        <f>IFERROR(INDEX('SCR DATA'!C:C, MATCH($D2003, 'SCR DATA'!A:A, 0)), "")</f>
        <v>DRAGON AB DUAL</v>
      </c>
      <c r="G2003" s="68" t="str">
        <f t="shared" si="369"/>
        <v>DUAL</v>
      </c>
      <c r="H2003" s="197">
        <f t="shared" si="380"/>
        <v>53</v>
      </c>
      <c r="I2003" s="197">
        <v>12</v>
      </c>
      <c r="J2003" s="197">
        <v>29</v>
      </c>
      <c r="K2003" s="186">
        <f t="shared" si="371"/>
        <v>46020</v>
      </c>
      <c r="L2003" s="3" t="str">
        <f>IFERROR(INDEX('SCR DATA'!F:F, MATCH($D2003, 'SCR DATA'!A:A, 0)), "")</f>
        <v>FNI</v>
      </c>
      <c r="M2003" s="3" t="str">
        <f>IFERROR(INDEX('SCR DATA'!G:G, MATCH($D2003, 'SCR DATA'!A:A, 0)), "")</f>
        <v>TMS</v>
      </c>
      <c r="N2003" s="3" t="str">
        <f t="shared" si="368"/>
        <v/>
      </c>
    </row>
    <row r="2004" spans="1:14">
      <c r="A2004" s="3">
        <v>6364</v>
      </c>
      <c r="B2004" s="83">
        <f t="array" ref="B2004">SUM(--(FREQUENCY(IF(C$2:C$3074=C2004, MATCH(D$2:D$3074, D$2:D$3074, 0)), ROW(D$2:D$3074)-ROW(D$2)+1) &gt; 0))</f>
        <v>12</v>
      </c>
      <c r="C2004" s="3">
        <f>IFERROR(INDEX('SCR DATA'!B:B, MATCH($D2004, 'SCR DATA'!A:A, 0)), "")</f>
        <v>41100550</v>
      </c>
      <c r="D2004" s="6" t="s">
        <v>5456</v>
      </c>
      <c r="E2004" s="3" t="str">
        <f>IFERROR(INDEX('SCR DATA'!E:E, MATCH($D2004, 'SCR DATA'!A:A, 0)), "")</f>
        <v>SEC</v>
      </c>
      <c r="F2004" s="3" t="str">
        <f>IFERROR(INDEX('SCR DATA'!C:C, MATCH($D2004, 'SCR DATA'!A:A, 0)), "")</f>
        <v>GAIA-II</v>
      </c>
      <c r="G2004" s="68" t="str">
        <f t="shared" si="369"/>
        <v>SINGLE</v>
      </c>
      <c r="H2004" s="197">
        <f t="shared" si="379"/>
        <v>53</v>
      </c>
      <c r="I2004" s="197">
        <v>12</v>
      </c>
      <c r="J2004" s="197">
        <v>30</v>
      </c>
      <c r="K2004" s="186">
        <f t="shared" si="371"/>
        <v>46021</v>
      </c>
      <c r="L2004" s="3" t="str">
        <f>IFERROR(INDEX('SCR DATA'!F:F, MATCH($D2004, 'SCR DATA'!A:A, 0)), "")</f>
        <v>BAT</v>
      </c>
      <c r="M2004" s="3" t="str">
        <f>IFERROR(INDEX('SCR DATA'!G:G, MATCH($D2004, 'SCR DATA'!A:A, 0)), "")</f>
        <v>TMS</v>
      </c>
      <c r="N2004" s="3" t="str">
        <f t="shared" si="368"/>
        <v/>
      </c>
    </row>
    <row r="2005" spans="1:14">
      <c r="A2005" s="3">
        <v>6364</v>
      </c>
      <c r="B2005" s="83">
        <f t="array" ref="B2005">SUM(--(FREQUENCY(IF(C$2:C$3074=C2005, MATCH(D$2:D$3074, D$2:D$3074, 0)), ROW(D$2:D$3074)-ROW(D$2)+1) &gt; 0))</f>
        <v>12</v>
      </c>
      <c r="C2005" s="3">
        <f>IFERROR(INDEX('SCR DATA'!B:B, MATCH($D2005, 'SCR DATA'!A:A, 0)), "")</f>
        <v>41100550</v>
      </c>
      <c r="D2005" s="6" t="s">
        <v>5457</v>
      </c>
      <c r="E2005" s="3" t="str">
        <f>IFERROR(INDEX('SCR DATA'!E:E, MATCH($D2005, 'SCR DATA'!A:A, 0)), "")</f>
        <v>SEC</v>
      </c>
      <c r="F2005" s="3" t="str">
        <f>IFERROR(INDEX('SCR DATA'!C:C, MATCH($D2005, 'SCR DATA'!A:A, 0)), "")</f>
        <v>GAIA-II</v>
      </c>
      <c r="G2005" s="68" t="str">
        <f t="shared" si="369"/>
        <v>SINGLE</v>
      </c>
      <c r="H2005" s="197">
        <f t="shared" ref="H2005:H2009" si="381">WEEKNUM(K2005)</f>
        <v>53</v>
      </c>
      <c r="I2005" s="197">
        <v>12</v>
      </c>
      <c r="J2005" s="197">
        <v>30</v>
      </c>
      <c r="K2005" s="186">
        <f t="shared" ref="K2005:K2009" si="382">DATE(2025, I2005, J2005)</f>
        <v>46021</v>
      </c>
      <c r="L2005" s="3" t="str">
        <f>IFERROR(INDEX('SCR DATA'!F:F, MATCH($D2005, 'SCR DATA'!A:A, 0)), "")</f>
        <v>BAT</v>
      </c>
      <c r="M2005" s="3" t="str">
        <f>IFERROR(INDEX('SCR DATA'!G:G, MATCH($D2005, 'SCR DATA'!A:A, 0)), "")</f>
        <v>TMS</v>
      </c>
      <c r="N2005" s="3" t="str">
        <f t="shared" si="368"/>
        <v/>
      </c>
    </row>
    <row r="2006" spans="1:14">
      <c r="A2006" s="3">
        <v>6310</v>
      </c>
      <c r="B2006" s="83">
        <f t="array" ref="B2006">SUM(--(FREQUENCY(IF(C$2:C$3074=C2006, MATCH(D$2:D$3074, D$2:D$3074, 0)), ROW(D$2:D$3074)-ROW(D$2)+1) &gt; 0))</f>
        <v>12</v>
      </c>
      <c r="C2006" s="3">
        <f>IFERROR(INDEX('SCR DATA'!B:B, MATCH($D2006, 'SCR DATA'!A:A, 0)), "")</f>
        <v>41200152</v>
      </c>
      <c r="D2006" s="6" t="s">
        <v>5458</v>
      </c>
      <c r="E2006" s="3" t="str">
        <f>IFERROR(INDEX('SCR DATA'!E:E, MATCH($D2006, 'SCR DATA'!A:A, 0)), "")</f>
        <v>MICRON TW</v>
      </c>
      <c r="F2006" s="3" t="str">
        <f>IFERROR(INDEX('SCR DATA'!C:C, MATCH($D2006, 'SCR DATA'!A:A, 0)), "")</f>
        <v>GAIA-I DUAL</v>
      </c>
      <c r="G2006" s="68" t="str">
        <f t="shared" si="369"/>
        <v>DUAL</v>
      </c>
      <c r="H2006" s="197">
        <f t="shared" si="381"/>
        <v>53</v>
      </c>
      <c r="I2006" s="197">
        <v>12</v>
      </c>
      <c r="J2006" s="197">
        <v>30</v>
      </c>
      <c r="K2006" s="186">
        <f t="shared" si="382"/>
        <v>46021</v>
      </c>
      <c r="L2006" s="3" t="str">
        <f>IFERROR(INDEX('SCR DATA'!F:F, MATCH($D2006, 'SCR DATA'!A:A, 0)), "")</f>
        <v>FNI</v>
      </c>
      <c r="M2006" s="3" t="str">
        <f>IFERROR(INDEX('SCR DATA'!G:G, MATCH($D2006, 'SCR DATA'!A:A, 0)), "")</f>
        <v>C&amp;A</v>
      </c>
      <c r="N2006" s="3" t="str">
        <f t="shared" si="368"/>
        <v/>
      </c>
    </row>
    <row r="2007" spans="1:14">
      <c r="A2007" s="3">
        <v>6310</v>
      </c>
      <c r="B2007" s="83">
        <f t="array" ref="B2007">SUM(--(FREQUENCY(IF(C$2:C$3074=C2007, MATCH(D$2:D$3074, D$2:D$3074, 0)), ROW(D$2:D$3074)-ROW(D$2)+1) &gt; 0))</f>
        <v>12</v>
      </c>
      <c r="C2007" s="3">
        <f>IFERROR(INDEX('SCR DATA'!B:B, MATCH($D2007, 'SCR DATA'!A:A, 0)), "")</f>
        <v>41200152</v>
      </c>
      <c r="D2007" s="6" t="s">
        <v>5459</v>
      </c>
      <c r="E2007" s="3" t="str">
        <f>IFERROR(INDEX('SCR DATA'!E:E, MATCH($D2007, 'SCR DATA'!A:A, 0)), "")</f>
        <v>MICRON TW</v>
      </c>
      <c r="F2007" s="3" t="str">
        <f>IFERROR(INDEX('SCR DATA'!C:C, MATCH($D2007, 'SCR DATA'!A:A, 0)), "")</f>
        <v>GAIA-I DUAL</v>
      </c>
      <c r="G2007" s="68" t="str">
        <f t="shared" si="369"/>
        <v>DUAL</v>
      </c>
      <c r="H2007" s="197">
        <f t="shared" si="381"/>
        <v>53</v>
      </c>
      <c r="I2007" s="197">
        <v>12</v>
      </c>
      <c r="J2007" s="197">
        <v>30</v>
      </c>
      <c r="K2007" s="186">
        <f t="shared" si="382"/>
        <v>46021</v>
      </c>
      <c r="L2007" s="3" t="str">
        <f>IFERROR(INDEX('SCR DATA'!F:F, MATCH($D2007, 'SCR DATA'!A:A, 0)), "")</f>
        <v>FNI</v>
      </c>
      <c r="M2007" s="3" t="str">
        <f>IFERROR(INDEX('SCR DATA'!G:G, MATCH($D2007, 'SCR DATA'!A:A, 0)), "")</f>
        <v>C&amp;A</v>
      </c>
      <c r="N2007" s="3" t="str">
        <f t="shared" si="368"/>
        <v/>
      </c>
    </row>
    <row r="2008" spans="1:14">
      <c r="A2008" s="3">
        <v>6326</v>
      </c>
      <c r="B2008" s="83">
        <f t="array" ref="B2008">SUM(--(FREQUENCY(IF(C$2:C$3074=C2008, MATCH(D$2:D$3074, D$2:D$3074, 0)), ROW(D$2:D$3074)-ROW(D$2)+1) &gt; 0))</f>
        <v>7</v>
      </c>
      <c r="C2008" s="3">
        <f>IFERROR(INDEX('SCR DATA'!B:B, MATCH($D2008, 'SCR DATA'!A:A, 0)), "")</f>
        <v>41200042</v>
      </c>
      <c r="D2008" s="6" t="s">
        <v>5460</v>
      </c>
      <c r="E2008" s="3" t="str">
        <f>IFERROR(INDEX('SCR DATA'!E:E, MATCH($D2008, 'SCR DATA'!A:A, 0)), "")</f>
        <v>YMTC</v>
      </c>
      <c r="F2008" s="3" t="str">
        <f>IFERROR(INDEX('SCR DATA'!C:C, MATCH($D2008, 'SCR DATA'!A:A, 0)), "")</f>
        <v>GAIA-I DUAL</v>
      </c>
      <c r="G2008" s="68" t="str">
        <f t="shared" si="369"/>
        <v>DUAL</v>
      </c>
      <c r="H2008" s="197">
        <f t="shared" si="381"/>
        <v>53</v>
      </c>
      <c r="I2008" s="197">
        <v>12</v>
      </c>
      <c r="J2008" s="197">
        <v>30</v>
      </c>
      <c r="K2008" s="186">
        <f t="shared" si="382"/>
        <v>46021</v>
      </c>
      <c r="L2008" s="3" t="str">
        <f>IFERROR(INDEX('SCR DATA'!F:F, MATCH($D2008, 'SCR DATA'!A:A, 0)), "")</f>
        <v>FNI</v>
      </c>
      <c r="M2008" s="3" t="str">
        <f>IFERROR(INDEX('SCR DATA'!G:G, MATCH($D2008, 'SCR DATA'!A:A, 0)), "")</f>
        <v>C&amp;A</v>
      </c>
      <c r="N2008" s="3" t="str">
        <f t="shared" si="368"/>
        <v/>
      </c>
    </row>
    <row r="2009" spans="1:14">
      <c r="A2009" s="3">
        <v>6151</v>
      </c>
      <c r="B2009" s="83">
        <f t="array" ref="B2009">SUM(--(FREQUENCY(IF(C$2:C$3074=C2009, MATCH(D$2:D$3074, D$2:D$3074, 0)), ROW(D$2:D$3074)-ROW(D$2)+1) &gt; 0))</f>
        <v>1</v>
      </c>
      <c r="C2009" s="3">
        <f>IFERROR(INDEX('SCR DATA'!B:B, MATCH($D2009, 'SCR DATA'!A:A, 0)), "")</f>
        <v>41100715</v>
      </c>
      <c r="D2009" s="6" t="s">
        <v>5461</v>
      </c>
      <c r="E2009" s="3" t="str">
        <f>IFERROR(INDEX('SCR DATA'!E:E, MATCH($D2009, 'SCR DATA'!A:A, 0)), "")</f>
        <v>TIANMA</v>
      </c>
      <c r="F2009" s="3" t="str">
        <f>IFERROR(INDEX('SCR DATA'!C:C, MATCH($D2009, 'SCR DATA'!A:A, 0)), "")</f>
        <v>GALLANT-C-II</v>
      </c>
      <c r="G2009" s="68" t="str">
        <f t="shared" si="369"/>
        <v>SINGLE</v>
      </c>
      <c r="H2009" s="197">
        <f t="shared" si="381"/>
        <v>53</v>
      </c>
      <c r="I2009" s="197">
        <v>12</v>
      </c>
      <c r="J2009" s="197">
        <v>30</v>
      </c>
      <c r="K2009" s="186">
        <f t="shared" si="382"/>
        <v>46021</v>
      </c>
      <c r="L2009" s="3" t="str">
        <f>IFERROR(INDEX('SCR DATA'!F:F, MATCH($D2009, 'SCR DATA'!A:A, 0)), "")</f>
        <v>BAT</v>
      </c>
      <c r="M2009" s="3" t="str">
        <f>IFERROR(INDEX('SCR DATA'!G:G, MATCH($D2009, 'SCR DATA'!A:A, 0)), "")</f>
        <v>P&amp;S</v>
      </c>
      <c r="N2009" s="3" t="str">
        <f t="shared" si="368"/>
        <v/>
      </c>
    </row>
    <row r="2010" spans="1:14">
      <c r="B2010" s="83" t="e">
        <f t="array" ref="B2010">SUM(--(FREQUENCY(IF(C$2:C$3074=C2010, MATCH(D$2:D$3074, D$2:D$3074, 0)), ROW(D$2:D$3074)-ROW(D$2)+1) &gt; 0))</f>
        <v>#N/A</v>
      </c>
      <c r="C2010" s="3" t="str">
        <f>IFERROR(INDEX('SCR DATA'!B:B, MATCH($D2010, 'SCR DATA'!A:A, 0)), "")</f>
        <v/>
      </c>
      <c r="E2010" s="3" t="str">
        <f>IFERROR(INDEX('SCR DATA'!E:E, MATCH($D2010, 'SCR DATA'!A:A, 0)), "")</f>
        <v/>
      </c>
      <c r="F2010" s="3" t="str">
        <f>IFERROR(INDEX('SCR DATA'!C:C, MATCH($D2010, 'SCR DATA'!A:A, 0)), "")</f>
        <v/>
      </c>
      <c r="G2010" s="68" t="str">
        <f t="shared" si="369"/>
        <v>SINGLE</v>
      </c>
      <c r="H2010" s="197">
        <f t="shared" si="379"/>
        <v>0</v>
      </c>
      <c r="K2010" s="186"/>
      <c r="N2010" s="3" t="str">
        <f t="shared" si="368"/>
        <v/>
      </c>
    </row>
    <row r="2011" spans="1:14">
      <c r="B2011" s="83" t="e">
        <f t="array" ref="B2011">SUM(--(FREQUENCY(IF(C$2:C$3074=C2011, MATCH(D$2:D$3074, D$2:D$3074, 0)), ROW(D$2:D$3074)-ROW(D$2)+1) &gt; 0))</f>
        <v>#N/A</v>
      </c>
      <c r="C2011" s="3" t="str">
        <f>IFERROR(INDEX('SCR DATA'!B:B, MATCH($D2011, 'SCR DATA'!A:A, 0)), "")</f>
        <v/>
      </c>
      <c r="E2011" s="3" t="str">
        <f>IFERROR(INDEX('SCR DATA'!E:E, MATCH($D2011, 'SCR DATA'!A:A, 0)), "")</f>
        <v/>
      </c>
      <c r="F2011" s="3" t="str">
        <f>IFERROR(INDEX('SCR DATA'!C:C, MATCH($D2011, 'SCR DATA'!A:A, 0)), "")</f>
        <v/>
      </c>
      <c r="G2011" s="68" t="str">
        <f t="shared" si="369"/>
        <v>SINGLE</v>
      </c>
      <c r="H2011" s="197">
        <f t="shared" si="379"/>
        <v>0</v>
      </c>
      <c r="K2011" s="186"/>
      <c r="N2011" s="3" t="str">
        <f t="shared" si="368"/>
        <v/>
      </c>
    </row>
    <row r="2012" spans="1:14">
      <c r="B2012" s="83" t="e">
        <f t="array" ref="B2012">SUM(--(FREQUENCY(IF(C$2:C$3074=C2012, MATCH(D$2:D$3074, D$2:D$3074, 0)), ROW(D$2:D$3074)-ROW(D$2)+1) &gt; 0))</f>
        <v>#N/A</v>
      </c>
      <c r="C2012" s="3" t="str">
        <f>IFERROR(INDEX('SCR DATA'!B:B, MATCH($D2012, 'SCR DATA'!A:A, 0)), "")</f>
        <v/>
      </c>
      <c r="E2012" s="3" t="str">
        <f>IFERROR(INDEX('SCR DATA'!E:E, MATCH($D2012, 'SCR DATA'!A:A, 0)), "")</f>
        <v/>
      </c>
      <c r="G2012" s="68" t="str">
        <f t="shared" si="369"/>
        <v>SINGLE</v>
      </c>
      <c r="H2012" s="197">
        <f t="shared" si="379"/>
        <v>0</v>
      </c>
      <c r="K2012" s="186"/>
      <c r="N2012" s="3" t="str">
        <f t="shared" si="368"/>
        <v/>
      </c>
    </row>
    <row r="2013" spans="1:14">
      <c r="B2013" s="83" t="e">
        <f t="array" ref="B2013">SUM(--(FREQUENCY(IF(C$2:C$3074=C2013, MATCH(D$2:D$3074, D$2:D$3074, 0)), ROW(D$2:D$3074)-ROW(D$2)+1) &gt; 0))</f>
        <v>#N/A</v>
      </c>
      <c r="C2013" s="3" t="str">
        <f>IFERROR(INDEX('SCR DATA'!B:B, MATCH($D2013, 'SCR DATA'!A:A, 0)), "")</f>
        <v/>
      </c>
      <c r="E2013" s="3" t="str">
        <f>IFERROR(INDEX('SCR DATA'!E:E, MATCH($D2013, 'SCR DATA'!A:A, 0)), "")</f>
        <v/>
      </c>
      <c r="F2013" s="3" t="str">
        <f>IFERROR(INDEX('SCR DATA'!C:C, MATCH($D2013, 'SCR DATA'!A:A, 0)), "")</f>
        <v/>
      </c>
      <c r="G2013" s="68" t="str">
        <f t="shared" si="369"/>
        <v>SINGLE</v>
      </c>
      <c r="H2013" s="197">
        <f t="shared" si="379"/>
        <v>0</v>
      </c>
      <c r="K2013" s="186"/>
      <c r="N2013" s="3" t="str">
        <f t="shared" si="368"/>
        <v/>
      </c>
    </row>
    <row r="2014" spans="1:14">
      <c r="B2014" s="83" t="e">
        <f t="array" ref="B2014">SUM(--(FREQUENCY(IF(C$2:C$3074=C2014, MATCH(D$2:D$3074, D$2:D$3074, 0)), ROW(D$2:D$3074)-ROW(D$2)+1) &gt; 0))</f>
        <v>#N/A</v>
      </c>
      <c r="C2014" s="3" t="str">
        <f>IFERROR(INDEX('SCR DATA'!B:B, MATCH($D2014, 'SCR DATA'!A:A, 0)), "")</f>
        <v/>
      </c>
      <c r="E2014" s="3" t="str">
        <f>IFERROR(INDEX('SCR DATA'!E:E, MATCH($D2014, 'SCR DATA'!A:A, 0)), "")</f>
        <v/>
      </c>
      <c r="F2014" s="3" t="str">
        <f>IFERROR(INDEX('SCR DATA'!C:C, MATCH($D2014, 'SCR DATA'!A:A, 0)), "")</f>
        <v/>
      </c>
      <c r="G2014" s="68" t="str">
        <f t="shared" si="369"/>
        <v>SINGLE</v>
      </c>
      <c r="H2014" s="197">
        <f t="shared" si="379"/>
        <v>0</v>
      </c>
      <c r="K2014" s="186"/>
      <c r="N2014" s="3" t="str">
        <f t="shared" si="368"/>
        <v/>
      </c>
    </row>
    <row r="2015" spans="1:14">
      <c r="B2015" s="83" t="e">
        <f t="array" ref="B2015">SUM(--(FREQUENCY(IF(C$2:C$3074=C2015, MATCH(D$2:D$3074, D$2:D$3074, 0)), ROW(D$2:D$3074)-ROW(D$2)+1) &gt; 0))</f>
        <v>#N/A</v>
      </c>
      <c r="C2015" s="3" t="str">
        <f>IFERROR(INDEX('SCR DATA'!B:B, MATCH($D2015, 'SCR DATA'!A:A, 0)), "")</f>
        <v/>
      </c>
      <c r="E2015" s="3" t="str">
        <f>IFERROR(INDEX('SCR DATA'!E:E, MATCH($D2015, 'SCR DATA'!A:A, 0)), "")</f>
        <v/>
      </c>
      <c r="F2015" s="3" t="str">
        <f>IFERROR(INDEX('SCR DATA'!C:C, MATCH($D2015, 'SCR DATA'!A:A, 0)), "")</f>
        <v/>
      </c>
      <c r="G2015" s="68" t="str">
        <f t="shared" si="369"/>
        <v>SINGLE</v>
      </c>
      <c r="H2015" s="197">
        <f t="shared" si="379"/>
        <v>0</v>
      </c>
      <c r="K2015" s="186"/>
      <c r="N2015" s="3" t="str">
        <f t="shared" si="368"/>
        <v/>
      </c>
    </row>
    <row r="2016" spans="1:14">
      <c r="B2016" s="83" t="e">
        <f t="array" ref="B2016">SUM(--(FREQUENCY(IF(C$2:C$3074=C2016, MATCH(D$2:D$3074, D$2:D$3074, 0)), ROW(D$2:D$3074)-ROW(D$2)+1) &gt; 0))</f>
        <v>#N/A</v>
      </c>
      <c r="C2016" s="3" t="str">
        <f>IFERROR(INDEX('SCR DATA'!B:B, MATCH($D2016, 'SCR DATA'!A:A, 0)), "")</f>
        <v/>
      </c>
      <c r="E2016" s="3" t="str">
        <f>IFERROR(INDEX('SCR DATA'!E:E, MATCH($D2016, 'SCR DATA'!A:A, 0)), "")</f>
        <v/>
      </c>
      <c r="F2016" s="3" t="str">
        <f>IFERROR(INDEX('SCR DATA'!C:C, MATCH($D2016, 'SCR DATA'!A:A, 0)), "")</f>
        <v/>
      </c>
      <c r="G2016" s="68" t="str">
        <f t="shared" si="369"/>
        <v>SINGLE</v>
      </c>
      <c r="H2016" s="197">
        <f t="shared" si="379"/>
        <v>0</v>
      </c>
      <c r="K2016" s="186"/>
      <c r="N2016" s="3" t="str">
        <f t="shared" si="368"/>
        <v/>
      </c>
    </row>
    <row r="2017" spans="2:14">
      <c r="B2017" s="83" t="e">
        <f t="array" ref="B2017">SUM(--(FREQUENCY(IF(C$2:C$3074=C2017, MATCH(D$2:D$3074, D$2:D$3074, 0)), ROW(D$2:D$3074)-ROW(D$2)+1) &gt; 0))</f>
        <v>#N/A</v>
      </c>
      <c r="C2017" s="3" t="str">
        <f>IFERROR(INDEX('SCR DATA'!B:B, MATCH($D2017, 'SCR DATA'!A:A, 0)), "")</f>
        <v/>
      </c>
      <c r="E2017" s="3" t="str">
        <f>IFERROR(INDEX('SCR DATA'!E:E, MATCH($D2017, 'SCR DATA'!A:A, 0)), "")</f>
        <v/>
      </c>
      <c r="F2017" s="3" t="str">
        <f>IFERROR(INDEX('SCR DATA'!C:C, MATCH($D2017, 'SCR DATA'!A:A, 0)), "")</f>
        <v/>
      </c>
      <c r="G2017" s="68" t="str">
        <f t="shared" si="369"/>
        <v>SINGLE</v>
      </c>
      <c r="H2017" s="197">
        <f t="shared" si="379"/>
        <v>0</v>
      </c>
      <c r="K2017" s="186"/>
      <c r="N2017" s="3" t="str">
        <f t="shared" si="368"/>
        <v/>
      </c>
    </row>
    <row r="2018" spans="2:14">
      <c r="B2018" s="83" t="e">
        <f t="array" ref="B2018">SUM(--(FREQUENCY(IF(C$2:C$3074=C2018, MATCH(D$2:D$3074, D$2:D$3074, 0)), ROW(D$2:D$3074)-ROW(D$2)+1) &gt; 0))</f>
        <v>#N/A</v>
      </c>
      <c r="C2018" s="3" t="str">
        <f>IFERROR(INDEX('SCR DATA'!B:B, MATCH($D2018, 'SCR DATA'!A:A, 0)), "")</f>
        <v/>
      </c>
      <c r="E2018" s="3" t="str">
        <f>IFERROR(INDEX('SCR DATA'!E:E, MATCH($D2018, 'SCR DATA'!A:A, 0)), "")</f>
        <v/>
      </c>
      <c r="F2018" s="3" t="str">
        <f>IFERROR(INDEX('SCR DATA'!C:C, MATCH($D2018, 'SCR DATA'!A:A, 0)), "")</f>
        <v/>
      </c>
      <c r="G2018" s="68" t="str">
        <f t="shared" si="369"/>
        <v>SINGLE</v>
      </c>
      <c r="H2018" s="197">
        <f t="shared" si="379"/>
        <v>0</v>
      </c>
      <c r="K2018" s="186"/>
      <c r="N2018" s="3" t="str">
        <f t="shared" si="368"/>
        <v/>
      </c>
    </row>
    <row r="2019" spans="2:14">
      <c r="B2019" s="83" t="e">
        <f t="array" ref="B2019">SUM(--(FREQUENCY(IF(C$2:C$3074=C2019, MATCH(D$2:D$3074, D$2:D$3074, 0)), ROW(D$2:D$3074)-ROW(D$2)+1) &gt; 0))</f>
        <v>#N/A</v>
      </c>
      <c r="C2019" s="3" t="str">
        <f>IFERROR(INDEX('SCR DATA'!B:B, MATCH($D2019, 'SCR DATA'!A:A, 0)), "")</f>
        <v/>
      </c>
      <c r="E2019" s="3" t="str">
        <f>IFERROR(INDEX('SCR DATA'!E:E, MATCH($D2019, 'SCR DATA'!A:A, 0)), "")</f>
        <v/>
      </c>
      <c r="F2019" s="3" t="str">
        <f>IFERROR(INDEX('SCR DATA'!C:C, MATCH($D2019, 'SCR DATA'!A:A, 0)), "")</f>
        <v/>
      </c>
      <c r="G2019" s="68" t="str">
        <f t="shared" si="369"/>
        <v>SINGLE</v>
      </c>
      <c r="H2019" s="197">
        <f t="shared" si="379"/>
        <v>0</v>
      </c>
      <c r="K2019" s="186"/>
      <c r="N2019" s="3" t="str">
        <f t="shared" si="368"/>
        <v/>
      </c>
    </row>
    <row r="2020" spans="2:14">
      <c r="B2020" s="83" t="e">
        <f t="array" ref="B2020">SUM(--(FREQUENCY(IF(C$2:C$3074=C2020, MATCH(D$2:D$3074, D$2:D$3074, 0)), ROW(D$2:D$3074)-ROW(D$2)+1) &gt; 0))</f>
        <v>#N/A</v>
      </c>
      <c r="C2020" s="3" t="str">
        <f>IFERROR(INDEX('SCR DATA'!B:B, MATCH($D2020, 'SCR DATA'!A:A, 0)), "")</f>
        <v/>
      </c>
      <c r="E2020" s="3" t="str">
        <f>IFERROR(INDEX('SCR DATA'!E:E, MATCH($D2020, 'SCR DATA'!A:A, 0)), "")</f>
        <v/>
      </c>
      <c r="F2020" s="3" t="str">
        <f>IFERROR(INDEX('SCR DATA'!C:C, MATCH($D2020, 'SCR DATA'!A:A, 0)), "")</f>
        <v/>
      </c>
      <c r="G2020" s="68" t="str">
        <f t="shared" si="369"/>
        <v>SINGLE</v>
      </c>
      <c r="H2020" s="197">
        <f t="shared" si="379"/>
        <v>0</v>
      </c>
      <c r="K2020" s="186"/>
      <c r="N2020" s="3" t="str">
        <f t="shared" si="368"/>
        <v/>
      </c>
    </row>
    <row r="2021" spans="2:14">
      <c r="B2021" s="83" t="e">
        <f t="array" ref="B2021">SUM(--(FREQUENCY(IF(C$2:C$3074=C2021, MATCH(D$2:D$3074, D$2:D$3074, 0)), ROW(D$2:D$3074)-ROW(D$2)+1) &gt; 0))</f>
        <v>#N/A</v>
      </c>
      <c r="C2021" s="3" t="str">
        <f>IFERROR(INDEX('SCR DATA'!B:B, MATCH($D2021, 'SCR DATA'!A:A, 0)), "")</f>
        <v/>
      </c>
      <c r="E2021" s="3" t="str">
        <f>IFERROR(INDEX('SCR DATA'!E:E, MATCH($D2021, 'SCR DATA'!A:A, 0)), "")</f>
        <v/>
      </c>
      <c r="F2021" s="3" t="str">
        <f>IFERROR(INDEX('SCR DATA'!C:C, MATCH($D2021, 'SCR DATA'!A:A, 0)), "")</f>
        <v/>
      </c>
      <c r="G2021" s="68" t="str">
        <f t="shared" si="369"/>
        <v>SINGLE</v>
      </c>
      <c r="H2021" s="197">
        <f t="shared" si="379"/>
        <v>0</v>
      </c>
      <c r="K2021" s="186"/>
      <c r="N2021" s="3" t="str">
        <f t="shared" si="368"/>
        <v/>
      </c>
    </row>
    <row r="2022" spans="2:14">
      <c r="B2022" s="83" t="e">
        <f t="array" ref="B2022">SUM(--(FREQUENCY(IF(C$2:C$3074=C2022, MATCH(D$2:D$3074, D$2:D$3074, 0)), ROW(D$2:D$3074)-ROW(D$2)+1) &gt; 0))</f>
        <v>#N/A</v>
      </c>
      <c r="C2022" s="3" t="str">
        <f>IFERROR(INDEX('SCR DATA'!B:B, MATCH($D2022, 'SCR DATA'!A:A, 0)), "")</f>
        <v/>
      </c>
      <c r="E2022" s="3" t="str">
        <f>IFERROR(INDEX('SCR DATA'!E:E, MATCH($D2022, 'SCR DATA'!A:A, 0)), "")</f>
        <v/>
      </c>
      <c r="F2022" s="3" t="str">
        <f>IFERROR(INDEX('SCR DATA'!C:C, MATCH($D2022, 'SCR DATA'!A:A, 0)), "")</f>
        <v/>
      </c>
      <c r="G2022" s="68" t="str">
        <f t="shared" si="369"/>
        <v>SINGLE</v>
      </c>
      <c r="H2022" s="197">
        <f t="shared" si="379"/>
        <v>0</v>
      </c>
      <c r="K2022" s="186"/>
      <c r="N2022" s="3" t="str">
        <f t="shared" si="368"/>
        <v/>
      </c>
    </row>
    <row r="2023" spans="2:14">
      <c r="B2023" s="83" t="e">
        <f t="array" ref="B2023">SUM(--(FREQUENCY(IF(C$2:C$3074=C2023, MATCH(D$2:D$3074, D$2:D$3074, 0)), ROW(D$2:D$3074)-ROW(D$2)+1) &gt; 0))</f>
        <v>#N/A</v>
      </c>
      <c r="C2023" s="3" t="str">
        <f>IFERROR(INDEX('SCR DATA'!B:B, MATCH($D2023, 'SCR DATA'!A:A, 0)), "")</f>
        <v/>
      </c>
      <c r="E2023" s="3" t="str">
        <f>IFERROR(INDEX('SCR DATA'!E:E, MATCH($D2023, 'SCR DATA'!A:A, 0)), "")</f>
        <v/>
      </c>
      <c r="F2023" s="3" t="str">
        <f>IFERROR(INDEX('SCR DATA'!C:C, MATCH($D2023, 'SCR DATA'!A:A, 0)), "")</f>
        <v/>
      </c>
      <c r="G2023" s="68" t="str">
        <f t="shared" si="369"/>
        <v>SINGLE</v>
      </c>
      <c r="H2023" s="197">
        <f t="shared" si="379"/>
        <v>0</v>
      </c>
      <c r="K2023" s="186"/>
      <c r="N2023" s="3" t="str">
        <f t="shared" si="368"/>
        <v/>
      </c>
    </row>
    <row r="2024" spans="2:14">
      <c r="B2024" s="83" t="e">
        <f t="array" ref="B2024">SUM(--(FREQUENCY(IF(C$2:C$3074=C2024, MATCH(D$2:D$3074, D$2:D$3074, 0)), ROW(D$2:D$3074)-ROW(D$2)+1) &gt; 0))</f>
        <v>#N/A</v>
      </c>
      <c r="C2024" s="3" t="str">
        <f>IFERROR(INDEX('SCR DATA'!B:B, MATCH($D2024, 'SCR DATA'!A:A, 0)), "")</f>
        <v/>
      </c>
      <c r="E2024" s="3" t="str">
        <f>IFERROR(INDEX('SCR DATA'!E:E, MATCH($D2024, 'SCR DATA'!A:A, 0)), "")</f>
        <v/>
      </c>
      <c r="F2024" s="3" t="str">
        <f>IFERROR(INDEX('SCR DATA'!C:C, MATCH($D2024, 'SCR DATA'!A:A, 0)), "")</f>
        <v/>
      </c>
      <c r="G2024" s="68" t="str">
        <f t="shared" si="369"/>
        <v>SINGLE</v>
      </c>
      <c r="H2024" s="197">
        <f t="shared" si="379"/>
        <v>0</v>
      </c>
      <c r="K2024" s="186"/>
      <c r="N2024" s="3" t="str">
        <f t="shared" si="368"/>
        <v/>
      </c>
    </row>
    <row r="2025" spans="2:14">
      <c r="B2025" s="83" t="e">
        <f t="array" ref="B2025">SUM(--(FREQUENCY(IF(C$2:C$3074=C2025, MATCH(D$2:D$3074, D$2:D$3074, 0)), ROW(D$2:D$3074)-ROW(D$2)+1) &gt; 0))</f>
        <v>#N/A</v>
      </c>
      <c r="C2025" s="3" t="str">
        <f>IFERROR(INDEX('SCR DATA'!B:B, MATCH($D2025, 'SCR DATA'!A:A, 0)), "")</f>
        <v/>
      </c>
      <c r="E2025" s="3" t="str">
        <f>IFERROR(INDEX('SCR DATA'!E:E, MATCH($D2025, 'SCR DATA'!A:A, 0)), "")</f>
        <v/>
      </c>
      <c r="F2025" s="3" t="str">
        <f>IFERROR(INDEX('SCR DATA'!C:C, MATCH($D2025, 'SCR DATA'!A:A, 0)), "")</f>
        <v/>
      </c>
      <c r="G2025" s="68" t="str">
        <f t="shared" si="369"/>
        <v>SINGLE</v>
      </c>
      <c r="H2025" s="197">
        <f t="shared" si="379"/>
        <v>0</v>
      </c>
      <c r="K2025" s="186"/>
      <c r="N2025" s="3" t="str">
        <f t="shared" si="368"/>
        <v/>
      </c>
    </row>
    <row r="2026" spans="2:14">
      <c r="B2026" s="83" t="e">
        <f t="array" ref="B2026">SUM(--(FREQUENCY(IF(C$2:C$3074=C2026, MATCH(D$2:D$3074, D$2:D$3074, 0)), ROW(D$2:D$3074)-ROW(D$2)+1) &gt; 0))</f>
        <v>#N/A</v>
      </c>
      <c r="C2026" s="3" t="str">
        <f>IFERROR(INDEX('SCR DATA'!B:B, MATCH($D2026, 'SCR DATA'!A:A, 0)), "")</f>
        <v/>
      </c>
      <c r="E2026" s="3" t="str">
        <f>IFERROR(INDEX('SCR DATA'!E:E, MATCH($D2026, 'SCR DATA'!A:A, 0)), "")</f>
        <v/>
      </c>
      <c r="F2026" s="3" t="str">
        <f>IFERROR(INDEX('SCR DATA'!C:C, MATCH($D2026, 'SCR DATA'!A:A, 0)), "")</f>
        <v/>
      </c>
      <c r="G2026" s="68" t="str">
        <f t="shared" si="369"/>
        <v>SINGLE</v>
      </c>
      <c r="H2026" s="197">
        <f t="shared" si="379"/>
        <v>0</v>
      </c>
      <c r="K2026" s="186"/>
      <c r="N2026" s="3" t="str">
        <f t="shared" si="368"/>
        <v/>
      </c>
    </row>
    <row r="2027" spans="2:14">
      <c r="B2027" s="83" t="e">
        <f t="array" ref="B2027">SUM(--(FREQUENCY(IF(C$2:C$3074=C2027, MATCH(D$2:D$3074, D$2:D$3074, 0)), ROW(D$2:D$3074)-ROW(D$2)+1) &gt; 0))</f>
        <v>#N/A</v>
      </c>
      <c r="C2027" s="3" t="str">
        <f>IFERROR(INDEX('SCR DATA'!B:B, MATCH($D2027, 'SCR DATA'!A:A, 0)), "")</f>
        <v/>
      </c>
      <c r="E2027" s="3" t="str">
        <f>IFERROR(INDEX('SCR DATA'!E:E, MATCH($D2027, 'SCR DATA'!A:A, 0)), "")</f>
        <v/>
      </c>
      <c r="F2027" s="3" t="str">
        <f>IFERROR(INDEX('SCR DATA'!C:C, MATCH($D2027, 'SCR DATA'!A:A, 0)), "")</f>
        <v/>
      </c>
      <c r="G2027" s="68" t="str">
        <f t="shared" si="369"/>
        <v>SINGLE</v>
      </c>
      <c r="H2027" s="197">
        <f t="shared" si="379"/>
        <v>0</v>
      </c>
      <c r="K2027" s="186"/>
      <c r="N2027" s="3" t="str">
        <f t="shared" si="368"/>
        <v/>
      </c>
    </row>
    <row r="2028" spans="2:14">
      <c r="B2028" s="83" t="e">
        <f t="array" ref="B2028">SUM(--(FREQUENCY(IF(C$2:C$3074=C2028, MATCH(D$2:D$3074, D$2:D$3074, 0)), ROW(D$2:D$3074)-ROW(D$2)+1) &gt; 0))</f>
        <v>#N/A</v>
      </c>
      <c r="C2028" s="3" t="str">
        <f>IFERROR(INDEX('SCR DATA'!B:B, MATCH($D2028, 'SCR DATA'!A:A, 0)), "")</f>
        <v/>
      </c>
      <c r="E2028" s="3" t="str">
        <f>IFERROR(INDEX('SCR DATA'!E:E, MATCH($D2028, 'SCR DATA'!A:A, 0)), "")</f>
        <v/>
      </c>
      <c r="F2028" s="3" t="str">
        <f>IFERROR(INDEX('SCR DATA'!C:C, MATCH($D2028, 'SCR DATA'!A:A, 0)), "")</f>
        <v/>
      </c>
      <c r="G2028" s="68" t="str">
        <f t="shared" si="369"/>
        <v>SINGLE</v>
      </c>
      <c r="H2028" s="197">
        <f t="shared" si="379"/>
        <v>0</v>
      </c>
      <c r="K2028" s="186"/>
      <c r="N2028" s="3" t="str">
        <f t="shared" si="368"/>
        <v/>
      </c>
    </row>
    <row r="2029" spans="2:14">
      <c r="B2029" s="83" t="e">
        <f t="array" ref="B2029">SUM(--(FREQUENCY(IF(C$2:C$3074=C2029, MATCH(D$2:D$3074, D$2:D$3074, 0)), ROW(D$2:D$3074)-ROW(D$2)+1) &gt; 0))</f>
        <v>#N/A</v>
      </c>
      <c r="C2029" s="3" t="str">
        <f>IFERROR(INDEX('SCR DATA'!B:B, MATCH($D2029, 'SCR DATA'!A:A, 0)), "")</f>
        <v/>
      </c>
      <c r="E2029" s="3" t="str">
        <f>IFERROR(INDEX('SCR DATA'!E:E, MATCH($D2029, 'SCR DATA'!A:A, 0)), "")</f>
        <v/>
      </c>
      <c r="F2029" s="3" t="str">
        <f>IFERROR(INDEX('SCR DATA'!C:C, MATCH($D2029, 'SCR DATA'!A:A, 0)), "")</f>
        <v/>
      </c>
      <c r="G2029" s="68" t="str">
        <f t="shared" si="369"/>
        <v>SINGLE</v>
      </c>
      <c r="H2029" s="197">
        <f t="shared" si="379"/>
        <v>0</v>
      </c>
      <c r="K2029" s="186"/>
      <c r="N2029" s="3" t="str">
        <f t="shared" si="368"/>
        <v/>
      </c>
    </row>
    <row r="2030" spans="2:14">
      <c r="B2030" s="83" t="e">
        <f t="array" ref="B2030">SUM(--(FREQUENCY(IF(C$2:C$3074=C2030, MATCH(D$2:D$3074, D$2:D$3074, 0)), ROW(D$2:D$3074)-ROW(D$2)+1) &gt; 0))</f>
        <v>#N/A</v>
      </c>
      <c r="C2030" s="3" t="str">
        <f>IFERROR(INDEX('SCR DATA'!B:B, MATCH($D2030, 'SCR DATA'!A:A, 0)), "")</f>
        <v/>
      </c>
      <c r="E2030" s="3" t="str">
        <f>IFERROR(INDEX('SCR DATA'!E:E, MATCH($D2030, 'SCR DATA'!A:A, 0)), "")</f>
        <v/>
      </c>
      <c r="F2030" s="3" t="str">
        <f>IFERROR(INDEX('SCR DATA'!C:C, MATCH($D2030, 'SCR DATA'!A:A, 0)), "")</f>
        <v/>
      </c>
      <c r="G2030" s="68" t="str">
        <f t="shared" si="369"/>
        <v>SINGLE</v>
      </c>
      <c r="H2030" s="197">
        <f t="shared" si="379"/>
        <v>0</v>
      </c>
      <c r="K2030" s="186"/>
      <c r="N2030" s="3" t="str">
        <f t="shared" si="368"/>
        <v/>
      </c>
    </row>
    <row r="2031" spans="2:14">
      <c r="B2031" s="83" t="e">
        <f t="array" ref="B2031">SUM(--(FREQUENCY(IF(C$2:C$3074=C2031, MATCH(D$2:D$3074, D$2:D$3074, 0)), ROW(D$2:D$3074)-ROW(D$2)+1) &gt; 0))</f>
        <v>#N/A</v>
      </c>
      <c r="C2031" s="3" t="str">
        <f>IFERROR(INDEX('SCR DATA'!B:B, MATCH($D2031, 'SCR DATA'!A:A, 0)), "")</f>
        <v/>
      </c>
      <c r="E2031" s="3" t="str">
        <f>IFERROR(INDEX('SCR DATA'!E:E, MATCH($D2031, 'SCR DATA'!A:A, 0)), "")</f>
        <v/>
      </c>
      <c r="F2031" s="3" t="str">
        <f>IFERROR(INDEX('SCR DATA'!C:C, MATCH($D2031, 'SCR DATA'!A:A, 0)), "")</f>
        <v/>
      </c>
      <c r="G2031" s="68" t="str">
        <f t="shared" si="369"/>
        <v>SINGLE</v>
      </c>
      <c r="H2031" s="197">
        <f t="shared" si="379"/>
        <v>0</v>
      </c>
      <c r="K2031" s="186"/>
      <c r="N2031" s="3" t="str">
        <f t="shared" si="368"/>
        <v/>
      </c>
    </row>
    <row r="2032" spans="2:14">
      <c r="B2032" s="83" t="e">
        <f t="array" ref="B2032">SUM(--(FREQUENCY(IF(C$2:C$3074=C2032, MATCH(D$2:D$3074, D$2:D$3074, 0)), ROW(D$2:D$3074)-ROW(D$2)+1) &gt; 0))</f>
        <v>#N/A</v>
      </c>
      <c r="C2032" s="3" t="str">
        <f>IFERROR(INDEX('SCR DATA'!B:B, MATCH($D2032, 'SCR DATA'!A:A, 0)), "")</f>
        <v/>
      </c>
      <c r="E2032" s="3" t="str">
        <f>IFERROR(INDEX('SCR DATA'!E:E, MATCH($D2032, 'SCR DATA'!A:A, 0)), "")</f>
        <v/>
      </c>
      <c r="F2032" s="3" t="str">
        <f>IFERROR(INDEX('SCR DATA'!C:C, MATCH($D2032, 'SCR DATA'!A:A, 0)), "")</f>
        <v/>
      </c>
      <c r="G2032" s="68" t="str">
        <f t="shared" si="369"/>
        <v>SINGLE</v>
      </c>
      <c r="H2032" s="197">
        <f t="shared" si="379"/>
        <v>0</v>
      </c>
      <c r="K2032" s="186"/>
      <c r="N2032" s="3" t="str">
        <f t="shared" si="368"/>
        <v/>
      </c>
    </row>
    <row r="2033" spans="2:14">
      <c r="B2033" s="83" t="e">
        <f t="array" ref="B2033">SUM(--(FREQUENCY(IF(C$2:C$3074=C2033, MATCH(D$2:D$3074, D$2:D$3074, 0)), ROW(D$2:D$3074)-ROW(D$2)+1) &gt; 0))</f>
        <v>#N/A</v>
      </c>
      <c r="C2033" s="3" t="str">
        <f>IFERROR(INDEX('SCR DATA'!B:B, MATCH($D2033, 'SCR DATA'!A:A, 0)), "")</f>
        <v/>
      </c>
      <c r="E2033" s="3" t="str">
        <f>IFERROR(INDEX('SCR DATA'!E:E, MATCH($D2033, 'SCR DATA'!A:A, 0)), "")</f>
        <v/>
      </c>
      <c r="F2033" s="3" t="str">
        <f>IFERROR(INDEX('SCR DATA'!C:C, MATCH($D2033, 'SCR DATA'!A:A, 0)), "")</f>
        <v/>
      </c>
      <c r="G2033" s="68" t="str">
        <f t="shared" si="369"/>
        <v>SINGLE</v>
      </c>
      <c r="H2033" s="197">
        <f t="shared" si="379"/>
        <v>0</v>
      </c>
      <c r="K2033" s="186"/>
      <c r="N2033" s="3" t="str">
        <f t="shared" si="368"/>
        <v/>
      </c>
    </row>
    <row r="2034" spans="2:14">
      <c r="B2034" s="83" t="e">
        <f t="array" ref="B2034">SUM(--(FREQUENCY(IF(C$2:C$3074=C2034, MATCH(D$2:D$3074, D$2:D$3074, 0)), ROW(D$2:D$3074)-ROW(D$2)+1) &gt; 0))</f>
        <v>#N/A</v>
      </c>
      <c r="C2034" s="3" t="str">
        <f>IFERROR(INDEX('SCR DATA'!B:B, MATCH($D2034, 'SCR DATA'!A:A, 0)), "")</f>
        <v/>
      </c>
      <c r="E2034" s="3" t="str">
        <f>IFERROR(INDEX('SCR DATA'!E:E, MATCH($D2034, 'SCR DATA'!A:A, 0)), "")</f>
        <v/>
      </c>
      <c r="F2034" s="3" t="str">
        <f>IFERROR(INDEX('SCR DATA'!C:C, MATCH($D2034, 'SCR DATA'!A:A, 0)), "")</f>
        <v/>
      </c>
      <c r="G2034" s="68" t="str">
        <f t="shared" si="369"/>
        <v>SINGLE</v>
      </c>
      <c r="H2034" s="197">
        <f t="shared" si="379"/>
        <v>0</v>
      </c>
      <c r="K2034" s="186"/>
      <c r="N2034" s="3" t="str">
        <f t="shared" si="368"/>
        <v/>
      </c>
    </row>
    <row r="2035" spans="2:14">
      <c r="B2035" s="83" t="e">
        <f t="array" ref="B2035">SUM(--(FREQUENCY(IF(C$2:C$3074=C2035, MATCH(D$2:D$3074, D$2:D$3074, 0)), ROW(D$2:D$3074)-ROW(D$2)+1) &gt; 0))</f>
        <v>#N/A</v>
      </c>
      <c r="C2035" s="3" t="str">
        <f>IFERROR(INDEX('SCR DATA'!B:B, MATCH($D2035, 'SCR DATA'!A:A, 0)), "")</f>
        <v/>
      </c>
      <c r="E2035" s="3" t="str">
        <f>IFERROR(INDEX('SCR DATA'!E:E, MATCH($D2035, 'SCR DATA'!A:A, 0)), "")</f>
        <v/>
      </c>
      <c r="F2035" s="3" t="str">
        <f>IFERROR(INDEX('SCR DATA'!C:C, MATCH($D2035, 'SCR DATA'!A:A, 0)), "")</f>
        <v/>
      </c>
      <c r="G2035" s="68" t="str">
        <f t="shared" si="369"/>
        <v>SINGLE</v>
      </c>
      <c r="H2035" s="197">
        <f t="shared" si="379"/>
        <v>0</v>
      </c>
      <c r="K2035" s="186"/>
      <c r="N2035" s="3" t="str">
        <f t="shared" si="368"/>
        <v/>
      </c>
    </row>
    <row r="2036" spans="2:14">
      <c r="B2036" s="83" t="e">
        <f t="array" ref="B2036">SUM(--(FREQUENCY(IF(C$2:C$3074=C2036, MATCH(D$2:D$3074, D$2:D$3074, 0)), ROW(D$2:D$3074)-ROW(D$2)+1) &gt; 0))</f>
        <v>#N/A</v>
      </c>
      <c r="C2036" s="3" t="str">
        <f>IFERROR(INDEX('SCR DATA'!B:B, MATCH($D2036, 'SCR DATA'!A:A, 0)), "")</f>
        <v/>
      </c>
      <c r="E2036" s="3" t="str">
        <f>IFERROR(INDEX('SCR DATA'!E:E, MATCH($D2036, 'SCR DATA'!A:A, 0)), "")</f>
        <v/>
      </c>
      <c r="F2036" s="3" t="str">
        <f>IFERROR(INDEX('SCR DATA'!C:C, MATCH($D2036, 'SCR DATA'!A:A, 0)), "")</f>
        <v/>
      </c>
      <c r="G2036" s="68" t="str">
        <f t="shared" si="369"/>
        <v>SINGLE</v>
      </c>
      <c r="H2036" s="197">
        <f t="shared" si="379"/>
        <v>0</v>
      </c>
      <c r="K2036" s="186"/>
      <c r="N2036" s="3" t="str">
        <f t="shared" si="368"/>
        <v/>
      </c>
    </row>
    <row r="2037" spans="2:14">
      <c r="B2037" s="83" t="e">
        <f t="array" ref="B2037">SUM(--(FREQUENCY(IF(C$2:C$3074=C2037, MATCH(D$2:D$3074, D$2:D$3074, 0)), ROW(D$2:D$3074)-ROW(D$2)+1) &gt; 0))</f>
        <v>#N/A</v>
      </c>
      <c r="C2037" s="3" t="str">
        <f>IFERROR(INDEX('SCR DATA'!B:B, MATCH($D2037, 'SCR DATA'!A:A, 0)), "")</f>
        <v/>
      </c>
      <c r="E2037" s="3" t="str">
        <f>IFERROR(INDEX('SCR DATA'!E:E, MATCH($D2037, 'SCR DATA'!A:A, 0)), "")</f>
        <v/>
      </c>
      <c r="F2037" s="3" t="str">
        <f>IFERROR(INDEX('SCR DATA'!C:C, MATCH($D2037, 'SCR DATA'!A:A, 0)), "")</f>
        <v/>
      </c>
      <c r="G2037" s="68" t="str">
        <f t="shared" si="369"/>
        <v>SINGLE</v>
      </c>
      <c r="H2037" s="197">
        <f t="shared" si="379"/>
        <v>0</v>
      </c>
      <c r="K2037" s="186"/>
      <c r="N2037" s="3" t="str">
        <f t="shared" si="368"/>
        <v/>
      </c>
    </row>
    <row r="2038" spans="2:14">
      <c r="B2038" s="83" t="e">
        <f t="array" ref="B2038">SUM(--(FREQUENCY(IF(C$2:C$3074=C2038, MATCH(D$2:D$3074, D$2:D$3074, 0)), ROW(D$2:D$3074)-ROW(D$2)+1) &gt; 0))</f>
        <v>#N/A</v>
      </c>
      <c r="C2038" s="3" t="str">
        <f>IFERROR(INDEX('SCR DATA'!B:B, MATCH($D2038, 'SCR DATA'!A:A, 0)), "")</f>
        <v/>
      </c>
      <c r="E2038" s="3" t="str">
        <f>IFERROR(INDEX('SCR DATA'!E:E, MATCH($D2038, 'SCR DATA'!A:A, 0)), "")</f>
        <v/>
      </c>
      <c r="F2038" s="3" t="str">
        <f>IFERROR(INDEX('SCR DATA'!C:C, MATCH($D2038, 'SCR DATA'!A:A, 0)), "")</f>
        <v/>
      </c>
      <c r="G2038" s="68" t="str">
        <f t="shared" si="369"/>
        <v>SINGLE</v>
      </c>
      <c r="H2038" s="197">
        <f t="shared" si="379"/>
        <v>0</v>
      </c>
      <c r="K2038" s="186"/>
      <c r="N2038" s="3" t="str">
        <f t="shared" si="368"/>
        <v/>
      </c>
    </row>
    <row r="2039" spans="2:14">
      <c r="B2039" s="83" t="e">
        <f t="array" ref="B2039">SUM(--(FREQUENCY(IF(C$2:C$3074=C2039, MATCH(D$2:D$3074, D$2:D$3074, 0)), ROW(D$2:D$3074)-ROW(D$2)+1) &gt; 0))</f>
        <v>#N/A</v>
      </c>
      <c r="C2039" s="3" t="str">
        <f>IFERROR(INDEX('SCR DATA'!B:B, MATCH($D2039, 'SCR DATA'!A:A, 0)), "")</f>
        <v/>
      </c>
      <c r="E2039" s="3" t="str">
        <f>IFERROR(INDEX('SCR DATA'!E:E, MATCH($D2039, 'SCR DATA'!A:A, 0)), "")</f>
        <v/>
      </c>
      <c r="F2039" s="3" t="str">
        <f>IFERROR(INDEX('SCR DATA'!C:C, MATCH($D2039, 'SCR DATA'!A:A, 0)), "")</f>
        <v/>
      </c>
      <c r="G2039" s="68" t="str">
        <f t="shared" si="369"/>
        <v>SINGLE</v>
      </c>
      <c r="H2039" s="197">
        <f t="shared" si="379"/>
        <v>0</v>
      </c>
      <c r="K2039" s="186"/>
      <c r="N2039" s="3" t="str">
        <f t="shared" si="368"/>
        <v/>
      </c>
    </row>
    <row r="2040" spans="2:14">
      <c r="B2040" s="83" t="e">
        <f t="array" ref="B2040">SUM(--(FREQUENCY(IF(C$2:C$3074=C2040, MATCH(D$2:D$3074, D$2:D$3074, 0)), ROW(D$2:D$3074)-ROW(D$2)+1) &gt; 0))</f>
        <v>#N/A</v>
      </c>
      <c r="C2040" s="3" t="str">
        <f>IFERROR(INDEX('SCR DATA'!B:B, MATCH($D2040, 'SCR DATA'!A:A, 0)), "")</f>
        <v/>
      </c>
      <c r="E2040" s="3" t="str">
        <f>IFERROR(INDEX('SCR DATA'!E:E, MATCH($D2040, 'SCR DATA'!A:A, 0)), "")</f>
        <v/>
      </c>
      <c r="F2040" s="3" t="str">
        <f>IFERROR(INDEX('SCR DATA'!C:C, MATCH($D2040, 'SCR DATA'!A:A, 0)), "")</f>
        <v/>
      </c>
      <c r="G2040" s="68" t="str">
        <f t="shared" si="369"/>
        <v>SINGLE</v>
      </c>
      <c r="H2040" s="197">
        <f t="shared" si="379"/>
        <v>0</v>
      </c>
      <c r="K2040" s="186"/>
      <c r="N2040" s="3" t="str">
        <f t="shared" si="368"/>
        <v/>
      </c>
    </row>
    <row r="2041" spans="2:14">
      <c r="B2041" s="83" t="e">
        <f t="array" ref="B2041">SUM(--(FREQUENCY(IF(C$2:C$3074=C2041, MATCH(D$2:D$3074, D$2:D$3074, 0)), ROW(D$2:D$3074)-ROW(D$2)+1) &gt; 0))</f>
        <v>#N/A</v>
      </c>
      <c r="C2041" s="3" t="str">
        <f>IFERROR(INDEX('SCR DATA'!B:B, MATCH($D2041, 'SCR DATA'!A:A, 0)), "")</f>
        <v/>
      </c>
      <c r="E2041" s="3" t="str">
        <f>IFERROR(INDEX('SCR DATA'!E:E, MATCH($D2041, 'SCR DATA'!A:A, 0)), "")</f>
        <v/>
      </c>
      <c r="F2041" s="3" t="str">
        <f>IFERROR(INDEX('SCR DATA'!C:C, MATCH($D2041, 'SCR DATA'!A:A, 0)), "")</f>
        <v/>
      </c>
      <c r="G2041" s="68" t="str">
        <f t="shared" si="369"/>
        <v>SINGLE</v>
      </c>
      <c r="H2041" s="197">
        <f t="shared" si="379"/>
        <v>0</v>
      </c>
      <c r="K2041" s="186"/>
      <c r="N2041" s="3" t="str">
        <f t="shared" si="368"/>
        <v/>
      </c>
    </row>
    <row r="2042" spans="2:14">
      <c r="B2042" s="83" t="e">
        <f t="array" ref="B2042">SUM(--(FREQUENCY(IF(C$2:C$3074=C2042, MATCH(D$2:D$3074, D$2:D$3074, 0)), ROW(D$2:D$3074)-ROW(D$2)+1) &gt; 0))</f>
        <v>#N/A</v>
      </c>
      <c r="C2042" s="3" t="str">
        <f>IFERROR(INDEX('SCR DATA'!B:B, MATCH($D2042, 'SCR DATA'!A:A, 0)), "")</f>
        <v/>
      </c>
      <c r="E2042" s="3" t="str">
        <f>IFERROR(INDEX('SCR DATA'!E:E, MATCH($D2042, 'SCR DATA'!A:A, 0)), "")</f>
        <v/>
      </c>
      <c r="F2042" s="3" t="str">
        <f>IFERROR(INDEX('SCR DATA'!C:C, MATCH($D2042, 'SCR DATA'!A:A, 0)), "")</f>
        <v/>
      </c>
      <c r="G2042" s="68" t="str">
        <f t="shared" si="369"/>
        <v>SINGLE</v>
      </c>
      <c r="H2042" s="197">
        <f t="shared" si="379"/>
        <v>0</v>
      </c>
      <c r="K2042" s="186"/>
      <c r="N2042" s="3" t="str">
        <f t="shared" si="368"/>
        <v/>
      </c>
    </row>
    <row r="2043" spans="2:14">
      <c r="B2043" s="83" t="e">
        <f t="array" ref="B2043">SUM(--(FREQUENCY(IF(C$2:C$3074=C2043, MATCH(D$2:D$3074, D$2:D$3074, 0)), ROW(D$2:D$3074)-ROW(D$2)+1) &gt; 0))</f>
        <v>#N/A</v>
      </c>
      <c r="C2043" s="3" t="str">
        <f>IFERROR(INDEX('SCR DATA'!B:B, MATCH($D2043, 'SCR DATA'!A:A, 0)), "")</f>
        <v/>
      </c>
      <c r="E2043" s="3" t="str">
        <f>IFERROR(INDEX('SCR DATA'!E:E, MATCH($D2043, 'SCR DATA'!A:A, 0)), "")</f>
        <v/>
      </c>
      <c r="F2043" s="3" t="str">
        <f>IFERROR(INDEX('SCR DATA'!C:C, MATCH($D2043, 'SCR DATA'!A:A, 0)), "")</f>
        <v/>
      </c>
      <c r="G2043" s="68" t="str">
        <f t="shared" si="369"/>
        <v>SINGLE</v>
      </c>
      <c r="H2043" s="197">
        <f t="shared" si="379"/>
        <v>0</v>
      </c>
      <c r="K2043" s="186"/>
      <c r="N2043" s="3" t="str">
        <f t="shared" si="368"/>
        <v/>
      </c>
    </row>
    <row r="2044" spans="2:14">
      <c r="B2044" s="83" t="e">
        <f t="array" ref="B2044">SUM(--(FREQUENCY(IF(C$2:C$3074=C2044, MATCH(D$2:D$3074, D$2:D$3074, 0)), ROW(D$2:D$3074)-ROW(D$2)+1) &gt; 0))</f>
        <v>#N/A</v>
      </c>
      <c r="C2044" s="3" t="str">
        <f>IFERROR(INDEX('SCR DATA'!B:B, MATCH($D2044, 'SCR DATA'!A:A, 0)), "")</f>
        <v/>
      </c>
      <c r="E2044" s="3" t="str">
        <f>IFERROR(INDEX('SCR DATA'!E:E, MATCH($D2044, 'SCR DATA'!A:A, 0)), "")</f>
        <v/>
      </c>
      <c r="F2044" s="3" t="str">
        <f>IFERROR(INDEX('SCR DATA'!C:C, MATCH($D2044, 'SCR DATA'!A:A, 0)), "")</f>
        <v/>
      </c>
      <c r="G2044" s="68" t="str">
        <f t="shared" si="369"/>
        <v>SINGLE</v>
      </c>
      <c r="H2044" s="197">
        <f t="shared" si="379"/>
        <v>0</v>
      </c>
      <c r="K2044" s="186"/>
      <c r="N2044" s="3" t="str">
        <f t="shared" si="368"/>
        <v/>
      </c>
    </row>
    <row r="2045" spans="2:14">
      <c r="B2045" s="83" t="e">
        <f t="array" ref="B2045">SUM(--(FREQUENCY(IF(C$2:C$3074=C2045, MATCH(D$2:D$3074, D$2:D$3074, 0)), ROW(D$2:D$3074)-ROW(D$2)+1) &gt; 0))</f>
        <v>#N/A</v>
      </c>
      <c r="C2045" s="3" t="str">
        <f>IFERROR(INDEX('SCR DATA'!B:B, MATCH($D2045, 'SCR DATA'!A:A, 0)), "")</f>
        <v/>
      </c>
      <c r="E2045" s="3" t="str">
        <f>IFERROR(INDEX('SCR DATA'!E:E, MATCH($D2045, 'SCR DATA'!A:A, 0)), "")</f>
        <v/>
      </c>
      <c r="F2045" s="3" t="str">
        <f>IFERROR(INDEX('SCR DATA'!C:C, MATCH($D2045, 'SCR DATA'!A:A, 0)), "")</f>
        <v/>
      </c>
      <c r="G2045" s="68" t="str">
        <f t="shared" si="369"/>
        <v>SINGLE</v>
      </c>
      <c r="H2045" s="197">
        <f t="shared" si="379"/>
        <v>0</v>
      </c>
      <c r="K2045" s="186"/>
      <c r="N2045" s="3" t="str">
        <f t="shared" si="368"/>
        <v/>
      </c>
    </row>
    <row r="2046" spans="2:14">
      <c r="B2046" s="83" t="e">
        <f t="array" ref="B2046">SUM(--(FREQUENCY(IF(C$2:C$3074=C2046, MATCH(D$2:D$3074, D$2:D$3074, 0)), ROW(D$2:D$3074)-ROW(D$2)+1) &gt; 0))</f>
        <v>#N/A</v>
      </c>
      <c r="C2046" s="3" t="str">
        <f>IFERROR(INDEX('SCR DATA'!B:B, MATCH($D2046, 'SCR DATA'!A:A, 0)), "")</f>
        <v/>
      </c>
      <c r="E2046" s="3" t="str">
        <f>IFERROR(INDEX('SCR DATA'!E:E, MATCH($D2046, 'SCR DATA'!A:A, 0)), "")</f>
        <v/>
      </c>
      <c r="F2046" s="3" t="str">
        <f>IFERROR(INDEX('SCR DATA'!C:C, MATCH($D2046, 'SCR DATA'!A:A, 0)), "")</f>
        <v/>
      </c>
      <c r="G2046" s="68" t="str">
        <f t="shared" si="369"/>
        <v>SINGLE</v>
      </c>
      <c r="H2046" s="197">
        <f t="shared" si="379"/>
        <v>0</v>
      </c>
      <c r="K2046" s="186"/>
      <c r="N2046" s="3" t="str">
        <f t="shared" si="368"/>
        <v/>
      </c>
    </row>
    <row r="2047" spans="2:14">
      <c r="B2047" s="83" t="e">
        <f t="array" ref="B2047">SUM(--(FREQUENCY(IF(C$2:C$3074=C2047, MATCH(D$2:D$3074, D$2:D$3074, 0)), ROW(D$2:D$3074)-ROW(D$2)+1) &gt; 0))</f>
        <v>#N/A</v>
      </c>
      <c r="C2047" s="3" t="str">
        <f>IFERROR(INDEX('SCR DATA'!B:B, MATCH($D2047, 'SCR DATA'!A:A, 0)), "")</f>
        <v/>
      </c>
      <c r="E2047" s="3" t="str">
        <f>IFERROR(INDEX('SCR DATA'!E:E, MATCH($D2047, 'SCR DATA'!A:A, 0)), "")</f>
        <v/>
      </c>
      <c r="F2047" s="3" t="str">
        <f>IFERROR(INDEX('SCR DATA'!C:C, MATCH($D2047, 'SCR DATA'!A:A, 0)), "")</f>
        <v/>
      </c>
      <c r="G2047" s="68" t="str">
        <f t="shared" si="369"/>
        <v>SINGLE</v>
      </c>
      <c r="H2047" s="197">
        <f t="shared" si="379"/>
        <v>0</v>
      </c>
      <c r="K2047" s="186"/>
      <c r="N2047" s="3" t="str">
        <f t="shared" ref="N2047:N2110" si="383">IF(O2047&lt;&gt;"", "NG", "")</f>
        <v/>
      </c>
    </row>
    <row r="2048" spans="2:14">
      <c r="B2048" s="83" t="e">
        <f t="array" ref="B2048">SUM(--(FREQUENCY(IF(C$2:C$3074=C2048, MATCH(D$2:D$3074, D$2:D$3074, 0)), ROW(D$2:D$3074)-ROW(D$2)+1) &gt; 0))</f>
        <v>#N/A</v>
      </c>
      <c r="C2048" s="3" t="str">
        <f>IFERROR(INDEX('SCR DATA'!B:B, MATCH($D2048, 'SCR DATA'!A:A, 0)), "")</f>
        <v/>
      </c>
      <c r="E2048" s="3" t="str">
        <f>IFERROR(INDEX('SCR DATA'!E:E, MATCH($D2048, 'SCR DATA'!A:A, 0)), "")</f>
        <v/>
      </c>
      <c r="F2048" s="3" t="str">
        <f>IFERROR(INDEX('SCR DATA'!C:C, MATCH($D2048, 'SCR DATA'!A:A, 0)), "")</f>
        <v/>
      </c>
      <c r="G2048" s="68" t="str">
        <f t="shared" ref="G2048:G2107" si="384">IF(OR(ISNUMBER(SEARCH("DUAL",F2048)), ISNUMBER(SEARCH("IVAS",F2048))), "DUAL", "SINGLE")</f>
        <v>SINGLE</v>
      </c>
      <c r="H2048" s="197">
        <f t="shared" ref="H2048:H2107" si="385">WEEKNUM(K2048)</f>
        <v>0</v>
      </c>
      <c r="K2048" s="186"/>
      <c r="N2048" s="3" t="str">
        <f t="shared" si="383"/>
        <v/>
      </c>
    </row>
    <row r="2049" spans="2:14">
      <c r="B2049" s="83" t="e">
        <f t="array" ref="B2049">SUM(--(FREQUENCY(IF(C$2:C$3074=C2049, MATCH(D$2:D$3074, D$2:D$3074, 0)), ROW(D$2:D$3074)-ROW(D$2)+1) &gt; 0))</f>
        <v>#N/A</v>
      </c>
      <c r="C2049" s="3" t="str">
        <f>IFERROR(INDEX('SCR DATA'!B:B, MATCH($D2049, 'SCR DATA'!A:A, 0)), "")</f>
        <v/>
      </c>
      <c r="E2049" s="3" t="str">
        <f>IFERROR(INDEX('SCR DATA'!E:E, MATCH($D2049, 'SCR DATA'!A:A, 0)), "")</f>
        <v/>
      </c>
      <c r="F2049" s="3" t="str">
        <f>IFERROR(INDEX('SCR DATA'!C:C, MATCH($D2049, 'SCR DATA'!A:A, 0)), "")</f>
        <v/>
      </c>
      <c r="G2049" s="68" t="str">
        <f t="shared" si="384"/>
        <v>SINGLE</v>
      </c>
      <c r="H2049" s="197">
        <f t="shared" si="385"/>
        <v>0</v>
      </c>
      <c r="K2049" s="186"/>
      <c r="N2049" s="3" t="str">
        <f t="shared" si="383"/>
        <v/>
      </c>
    </row>
    <row r="2050" spans="2:14">
      <c r="B2050" s="83" t="e">
        <f t="array" ref="B2050">SUM(--(FREQUENCY(IF(C$2:C$3074=C2050, MATCH(D$2:D$3074, D$2:D$3074, 0)), ROW(D$2:D$3074)-ROW(D$2)+1) &gt; 0))</f>
        <v>#N/A</v>
      </c>
      <c r="C2050" s="3" t="str">
        <f>IFERROR(INDEX('SCR DATA'!B:B, MATCH($D2050, 'SCR DATA'!A:A, 0)), "")</f>
        <v/>
      </c>
      <c r="E2050" s="3" t="str">
        <f>IFERROR(INDEX('SCR DATA'!E:E, MATCH($D2050, 'SCR DATA'!A:A, 0)), "")</f>
        <v/>
      </c>
      <c r="F2050" s="3" t="str">
        <f>IFERROR(INDEX('SCR DATA'!C:C, MATCH($D2050, 'SCR DATA'!A:A, 0)), "")</f>
        <v/>
      </c>
      <c r="G2050" s="68" t="str">
        <f t="shared" si="384"/>
        <v>SINGLE</v>
      </c>
      <c r="H2050" s="197">
        <f t="shared" si="385"/>
        <v>0</v>
      </c>
      <c r="K2050" s="186"/>
      <c r="N2050" s="3" t="str">
        <f t="shared" si="383"/>
        <v/>
      </c>
    </row>
    <row r="2051" spans="2:14">
      <c r="B2051" s="83" t="e">
        <f t="array" ref="B2051">SUM(--(FREQUENCY(IF(C$2:C$3074=C2051, MATCH(D$2:D$3074, D$2:D$3074, 0)), ROW(D$2:D$3074)-ROW(D$2)+1) &gt; 0))</f>
        <v>#N/A</v>
      </c>
      <c r="C2051" s="3" t="str">
        <f>IFERROR(INDEX('SCR DATA'!B:B, MATCH($D2051, 'SCR DATA'!A:A, 0)), "")</f>
        <v/>
      </c>
      <c r="E2051" s="3" t="str">
        <f>IFERROR(INDEX('SCR DATA'!E:E, MATCH($D2051, 'SCR DATA'!A:A, 0)), "")</f>
        <v/>
      </c>
      <c r="F2051" s="3" t="str">
        <f>IFERROR(INDEX('SCR DATA'!C:C, MATCH($D2051, 'SCR DATA'!A:A, 0)), "")</f>
        <v/>
      </c>
      <c r="G2051" s="68" t="str">
        <f t="shared" si="384"/>
        <v>SINGLE</v>
      </c>
      <c r="H2051" s="197">
        <f t="shared" si="385"/>
        <v>0</v>
      </c>
      <c r="K2051" s="186"/>
      <c r="N2051" s="3" t="str">
        <f t="shared" si="383"/>
        <v/>
      </c>
    </row>
    <row r="2052" spans="2:14">
      <c r="B2052" s="83" t="e">
        <f t="array" ref="B2052">SUM(--(FREQUENCY(IF(C$2:C$3074=C2052, MATCH(D$2:D$3074, D$2:D$3074, 0)), ROW(D$2:D$3074)-ROW(D$2)+1) &gt; 0))</f>
        <v>#N/A</v>
      </c>
      <c r="C2052" s="3" t="str">
        <f>IFERROR(INDEX('SCR DATA'!B:B, MATCH($D2052, 'SCR DATA'!A:A, 0)), "")</f>
        <v/>
      </c>
      <c r="E2052" s="3" t="str">
        <f>IFERROR(INDEX('SCR DATA'!E:E, MATCH($D2052, 'SCR DATA'!A:A, 0)), "")</f>
        <v/>
      </c>
      <c r="F2052" s="3" t="str">
        <f>IFERROR(INDEX('SCR DATA'!C:C, MATCH($D2052, 'SCR DATA'!A:A, 0)), "")</f>
        <v/>
      </c>
      <c r="G2052" s="68" t="str">
        <f t="shared" si="384"/>
        <v>SINGLE</v>
      </c>
      <c r="H2052" s="197">
        <f t="shared" si="385"/>
        <v>0</v>
      </c>
      <c r="K2052" s="186"/>
      <c r="N2052" s="3" t="str">
        <f t="shared" si="383"/>
        <v/>
      </c>
    </row>
    <row r="2053" spans="2:14">
      <c r="B2053" s="83" t="e">
        <f t="array" ref="B2053">SUM(--(FREQUENCY(IF(C$2:C$3074=C2053, MATCH(D$2:D$3074, D$2:D$3074, 0)), ROW(D$2:D$3074)-ROW(D$2)+1) &gt; 0))</f>
        <v>#N/A</v>
      </c>
      <c r="C2053" s="3" t="str">
        <f>IFERROR(INDEX('SCR DATA'!B:B, MATCH($D2053, 'SCR DATA'!A:A, 0)), "")</f>
        <v/>
      </c>
      <c r="E2053" s="3" t="str">
        <f>IFERROR(INDEX('SCR DATA'!E:E, MATCH($D2053, 'SCR DATA'!A:A, 0)), "")</f>
        <v/>
      </c>
      <c r="F2053" s="3" t="str">
        <f>IFERROR(INDEX('SCR DATA'!C:C, MATCH($D2053, 'SCR DATA'!A:A, 0)), "")</f>
        <v/>
      </c>
      <c r="G2053" s="68" t="str">
        <f t="shared" si="384"/>
        <v>SINGLE</v>
      </c>
      <c r="H2053" s="197">
        <f t="shared" si="385"/>
        <v>0</v>
      </c>
      <c r="K2053" s="186"/>
      <c r="N2053" s="3" t="str">
        <f t="shared" si="383"/>
        <v/>
      </c>
    </row>
    <row r="2054" spans="2:14">
      <c r="B2054" s="83" t="e">
        <f t="array" ref="B2054">SUM(--(FREQUENCY(IF(C$2:C$3074=C2054, MATCH(D$2:D$3074, D$2:D$3074, 0)), ROW(D$2:D$3074)-ROW(D$2)+1) &gt; 0))</f>
        <v>#N/A</v>
      </c>
      <c r="C2054" s="3" t="str">
        <f>IFERROR(INDEX('SCR DATA'!B:B, MATCH($D2054, 'SCR DATA'!A:A, 0)), "")</f>
        <v/>
      </c>
      <c r="E2054" s="3" t="str">
        <f>IFERROR(INDEX('SCR DATA'!E:E, MATCH($D2054, 'SCR DATA'!A:A, 0)), "")</f>
        <v/>
      </c>
      <c r="F2054" s="3" t="str">
        <f>IFERROR(INDEX('SCR DATA'!C:C, MATCH($D2054, 'SCR DATA'!A:A, 0)), "")</f>
        <v/>
      </c>
      <c r="G2054" s="68" t="str">
        <f t="shared" si="384"/>
        <v>SINGLE</v>
      </c>
      <c r="H2054" s="197">
        <f t="shared" si="385"/>
        <v>0</v>
      </c>
      <c r="K2054" s="186"/>
      <c r="N2054" s="3" t="str">
        <f t="shared" si="383"/>
        <v/>
      </c>
    </row>
    <row r="2055" spans="2:14">
      <c r="B2055" s="83" t="e">
        <f t="array" ref="B2055">SUM(--(FREQUENCY(IF(C$2:C$3074=C2055, MATCH(D$2:D$3074, D$2:D$3074, 0)), ROW(D$2:D$3074)-ROW(D$2)+1) &gt; 0))</f>
        <v>#N/A</v>
      </c>
      <c r="C2055" s="3" t="str">
        <f>IFERROR(INDEX('SCR DATA'!B:B, MATCH($D2055, 'SCR DATA'!A:A, 0)), "")</f>
        <v/>
      </c>
      <c r="E2055" s="3" t="str">
        <f>IFERROR(INDEX('SCR DATA'!E:E, MATCH($D2055, 'SCR DATA'!A:A, 0)), "")</f>
        <v/>
      </c>
      <c r="F2055" s="3" t="str">
        <f>IFERROR(INDEX('SCR DATA'!C:C, MATCH($D2055, 'SCR DATA'!A:A, 0)), "")</f>
        <v/>
      </c>
      <c r="G2055" s="68" t="str">
        <f t="shared" si="384"/>
        <v>SINGLE</v>
      </c>
      <c r="H2055" s="197">
        <f t="shared" si="385"/>
        <v>0</v>
      </c>
      <c r="K2055" s="186"/>
      <c r="N2055" s="3" t="str">
        <f t="shared" si="383"/>
        <v/>
      </c>
    </row>
    <row r="2056" spans="2:14">
      <c r="B2056" s="83" t="e">
        <f t="array" ref="B2056">SUM(--(FREQUENCY(IF(C$2:C$3074=C2056, MATCH(D$2:D$3074, D$2:D$3074, 0)), ROW(D$2:D$3074)-ROW(D$2)+1) &gt; 0))</f>
        <v>#N/A</v>
      </c>
      <c r="C2056" s="3" t="str">
        <f>IFERROR(INDEX('SCR DATA'!B:B, MATCH($D2056, 'SCR DATA'!A:A, 0)), "")</f>
        <v/>
      </c>
      <c r="E2056" s="3" t="str">
        <f>IFERROR(INDEX('SCR DATA'!E:E, MATCH($D2056, 'SCR DATA'!A:A, 0)), "")</f>
        <v/>
      </c>
      <c r="F2056" s="3" t="str">
        <f>IFERROR(INDEX('SCR DATA'!C:C, MATCH($D2056, 'SCR DATA'!A:A, 0)), "")</f>
        <v/>
      </c>
      <c r="G2056" s="68" t="str">
        <f t="shared" si="384"/>
        <v>SINGLE</v>
      </c>
      <c r="H2056" s="197">
        <f t="shared" si="385"/>
        <v>0</v>
      </c>
      <c r="K2056" s="186"/>
      <c r="N2056" s="3" t="str">
        <f t="shared" si="383"/>
        <v/>
      </c>
    </row>
    <row r="2057" spans="2:14">
      <c r="B2057" s="83" t="e">
        <f t="array" ref="B2057">SUM(--(FREQUENCY(IF(C$2:C$3074=C2057, MATCH(D$2:D$3074, D$2:D$3074, 0)), ROW(D$2:D$3074)-ROW(D$2)+1) &gt; 0))</f>
        <v>#N/A</v>
      </c>
      <c r="C2057" s="3" t="str">
        <f>IFERROR(INDEX('SCR DATA'!B:B, MATCH($D2057, 'SCR DATA'!A:A, 0)), "")</f>
        <v/>
      </c>
      <c r="E2057" s="3" t="str">
        <f>IFERROR(INDEX('SCR DATA'!E:E, MATCH($D2057, 'SCR DATA'!A:A, 0)), "")</f>
        <v/>
      </c>
      <c r="F2057" s="3" t="str">
        <f>IFERROR(INDEX('SCR DATA'!C:C, MATCH($D2057, 'SCR DATA'!A:A, 0)), "")</f>
        <v/>
      </c>
      <c r="G2057" s="68" t="str">
        <f t="shared" si="384"/>
        <v>SINGLE</v>
      </c>
      <c r="H2057" s="197">
        <f t="shared" si="385"/>
        <v>0</v>
      </c>
      <c r="K2057" s="186"/>
      <c r="N2057" s="3" t="str">
        <f t="shared" si="383"/>
        <v/>
      </c>
    </row>
    <row r="2058" spans="2:14">
      <c r="B2058" s="83" t="e">
        <f t="array" ref="B2058">SUM(--(FREQUENCY(IF(C$2:C$3074=C2058, MATCH(D$2:D$3074, D$2:D$3074, 0)), ROW(D$2:D$3074)-ROW(D$2)+1) &gt; 0))</f>
        <v>#N/A</v>
      </c>
      <c r="C2058" s="3" t="str">
        <f>IFERROR(INDEX('SCR DATA'!B:B, MATCH($D2058, 'SCR DATA'!A:A, 0)), "")</f>
        <v/>
      </c>
      <c r="E2058" s="3" t="str">
        <f>IFERROR(INDEX('SCR DATA'!E:E, MATCH($D2058, 'SCR DATA'!A:A, 0)), "")</f>
        <v/>
      </c>
      <c r="F2058" s="3" t="str">
        <f>IFERROR(INDEX('SCR DATA'!C:C, MATCH($D2058, 'SCR DATA'!A:A, 0)), "")</f>
        <v/>
      </c>
      <c r="G2058" s="68" t="str">
        <f t="shared" si="384"/>
        <v>SINGLE</v>
      </c>
      <c r="H2058" s="197">
        <f t="shared" si="385"/>
        <v>0</v>
      </c>
      <c r="K2058" s="186"/>
      <c r="N2058" s="3" t="str">
        <f t="shared" si="383"/>
        <v/>
      </c>
    </row>
    <row r="2059" spans="2:14">
      <c r="B2059" s="83" t="e">
        <f t="array" ref="B2059">SUM(--(FREQUENCY(IF(C$2:C$3074=C2059, MATCH(D$2:D$3074, D$2:D$3074, 0)), ROW(D$2:D$3074)-ROW(D$2)+1) &gt; 0))</f>
        <v>#N/A</v>
      </c>
      <c r="C2059" s="3" t="str">
        <f>IFERROR(INDEX('SCR DATA'!B:B, MATCH($D2059, 'SCR DATA'!A:A, 0)), "")</f>
        <v/>
      </c>
      <c r="E2059" s="3" t="str">
        <f>IFERROR(INDEX('SCR DATA'!E:E, MATCH($D2059, 'SCR DATA'!A:A, 0)), "")</f>
        <v/>
      </c>
      <c r="F2059" s="3" t="str">
        <f>IFERROR(INDEX('SCR DATA'!C:C, MATCH($D2059, 'SCR DATA'!A:A, 0)), "")</f>
        <v/>
      </c>
      <c r="G2059" s="68" t="str">
        <f t="shared" si="384"/>
        <v>SINGLE</v>
      </c>
      <c r="H2059" s="197">
        <f t="shared" si="385"/>
        <v>0</v>
      </c>
      <c r="K2059" s="186"/>
      <c r="N2059" s="3" t="str">
        <f t="shared" si="383"/>
        <v/>
      </c>
    </row>
    <row r="2060" spans="2:14">
      <c r="B2060" s="83" t="e">
        <f t="array" ref="B2060">SUM(--(FREQUENCY(IF(C$2:C$3074=C2060, MATCH(D$2:D$3074, D$2:D$3074, 0)), ROW(D$2:D$3074)-ROW(D$2)+1) &gt; 0))</f>
        <v>#N/A</v>
      </c>
      <c r="C2060" s="3" t="str">
        <f>IFERROR(INDEX('SCR DATA'!B:B, MATCH($D2060, 'SCR DATA'!A:A, 0)), "")</f>
        <v/>
      </c>
      <c r="E2060" s="3" t="str">
        <f>IFERROR(INDEX('SCR DATA'!E:E, MATCH($D2060, 'SCR DATA'!A:A, 0)), "")</f>
        <v/>
      </c>
      <c r="F2060" s="3" t="str">
        <f>IFERROR(INDEX('SCR DATA'!C:C, MATCH($D2060, 'SCR DATA'!A:A, 0)), "")</f>
        <v/>
      </c>
      <c r="G2060" s="68" t="str">
        <f t="shared" si="384"/>
        <v>SINGLE</v>
      </c>
      <c r="H2060" s="197">
        <f t="shared" si="385"/>
        <v>0</v>
      </c>
      <c r="K2060" s="186"/>
      <c r="N2060" s="3" t="str">
        <f t="shared" si="383"/>
        <v/>
      </c>
    </row>
    <row r="2061" spans="2:14">
      <c r="B2061" s="83" t="e">
        <f t="array" ref="B2061">SUM(--(FREQUENCY(IF(C$2:C$3074=C2061, MATCH(D$2:D$3074, D$2:D$3074, 0)), ROW(D$2:D$3074)-ROW(D$2)+1) &gt; 0))</f>
        <v>#N/A</v>
      </c>
      <c r="C2061" s="3" t="str">
        <f>IFERROR(INDEX('SCR DATA'!B:B, MATCH($D2061, 'SCR DATA'!A:A, 0)), "")</f>
        <v/>
      </c>
      <c r="E2061" s="3" t="str">
        <f>IFERROR(INDEX('SCR DATA'!E:E, MATCH($D2061, 'SCR DATA'!A:A, 0)), "")</f>
        <v/>
      </c>
      <c r="F2061" s="3" t="str">
        <f>IFERROR(INDEX('SCR DATA'!C:C, MATCH($D2061, 'SCR DATA'!A:A, 0)), "")</f>
        <v/>
      </c>
      <c r="G2061" s="68" t="str">
        <f t="shared" si="384"/>
        <v>SINGLE</v>
      </c>
      <c r="H2061" s="197">
        <f t="shared" si="385"/>
        <v>0</v>
      </c>
      <c r="K2061" s="186"/>
      <c r="N2061" s="3" t="str">
        <f t="shared" si="383"/>
        <v/>
      </c>
    </row>
    <row r="2062" spans="2:14">
      <c r="B2062" s="83" t="e">
        <f t="array" ref="B2062">SUM(--(FREQUENCY(IF(C$2:C$3074=C2062, MATCH(D$2:D$3074, D$2:D$3074, 0)), ROW(D$2:D$3074)-ROW(D$2)+1) &gt; 0))</f>
        <v>#N/A</v>
      </c>
      <c r="C2062" s="3" t="str">
        <f>IFERROR(INDEX('SCR DATA'!B:B, MATCH($D2062, 'SCR DATA'!A:A, 0)), "")</f>
        <v/>
      </c>
      <c r="E2062" s="3" t="str">
        <f>IFERROR(INDEX('SCR DATA'!E:E, MATCH($D2062, 'SCR DATA'!A:A, 0)), "")</f>
        <v/>
      </c>
      <c r="F2062" s="3" t="str">
        <f>IFERROR(INDEX('SCR DATA'!C:C, MATCH($D2062, 'SCR DATA'!A:A, 0)), "")</f>
        <v/>
      </c>
      <c r="G2062" s="68" t="str">
        <f t="shared" si="384"/>
        <v>SINGLE</v>
      </c>
      <c r="H2062" s="197">
        <f t="shared" si="385"/>
        <v>0</v>
      </c>
      <c r="K2062" s="186"/>
      <c r="N2062" s="3" t="str">
        <f t="shared" si="383"/>
        <v/>
      </c>
    </row>
    <row r="2063" spans="2:14">
      <c r="B2063" s="83" t="e">
        <f t="array" ref="B2063">SUM(--(FREQUENCY(IF(C$2:C$3074=C2063, MATCH(D$2:D$3074, D$2:D$3074, 0)), ROW(D$2:D$3074)-ROW(D$2)+1) &gt; 0))</f>
        <v>#N/A</v>
      </c>
      <c r="C2063" s="3" t="str">
        <f>IFERROR(INDEX('SCR DATA'!B:B, MATCH($D2063, 'SCR DATA'!A:A, 0)), "")</f>
        <v/>
      </c>
      <c r="E2063" s="3" t="str">
        <f>IFERROR(INDEX('SCR DATA'!E:E, MATCH($D2063, 'SCR DATA'!A:A, 0)), "")</f>
        <v/>
      </c>
      <c r="F2063" s="3" t="str">
        <f>IFERROR(INDEX('SCR DATA'!C:C, MATCH($D2063, 'SCR DATA'!A:A, 0)), "")</f>
        <v/>
      </c>
      <c r="G2063" s="68" t="str">
        <f t="shared" si="384"/>
        <v>SINGLE</v>
      </c>
      <c r="H2063" s="197">
        <f t="shared" si="385"/>
        <v>0</v>
      </c>
      <c r="K2063" s="186"/>
      <c r="N2063" s="3" t="str">
        <f t="shared" si="383"/>
        <v/>
      </c>
    </row>
    <row r="2064" spans="2:14">
      <c r="B2064" s="83" t="e">
        <f t="array" ref="B2064">SUM(--(FREQUENCY(IF(C$2:C$3074=C2064, MATCH(D$2:D$3074, D$2:D$3074, 0)), ROW(D$2:D$3074)-ROW(D$2)+1) &gt; 0))</f>
        <v>#N/A</v>
      </c>
      <c r="C2064" s="3" t="str">
        <f>IFERROR(INDEX('SCR DATA'!B:B, MATCH($D2064, 'SCR DATA'!A:A, 0)), "")</f>
        <v/>
      </c>
      <c r="E2064" s="3" t="str">
        <f>IFERROR(INDEX('SCR DATA'!E:E, MATCH($D2064, 'SCR DATA'!A:A, 0)), "")</f>
        <v/>
      </c>
      <c r="F2064" s="3" t="str">
        <f>IFERROR(INDEX('SCR DATA'!C:C, MATCH($D2064, 'SCR DATA'!A:A, 0)), "")</f>
        <v/>
      </c>
      <c r="G2064" s="68" t="str">
        <f t="shared" si="384"/>
        <v>SINGLE</v>
      </c>
      <c r="H2064" s="197">
        <f t="shared" si="385"/>
        <v>0</v>
      </c>
      <c r="K2064" s="186"/>
      <c r="N2064" s="3" t="str">
        <f t="shared" si="383"/>
        <v/>
      </c>
    </row>
    <row r="2065" spans="2:14">
      <c r="B2065" s="83" t="e">
        <f t="array" ref="B2065">SUM(--(FREQUENCY(IF(C$2:C$3074=C2065, MATCH(D$2:D$3074, D$2:D$3074, 0)), ROW(D$2:D$3074)-ROW(D$2)+1) &gt; 0))</f>
        <v>#N/A</v>
      </c>
      <c r="C2065" s="3" t="str">
        <f>IFERROR(INDEX('SCR DATA'!B:B, MATCH($D2065, 'SCR DATA'!A:A, 0)), "")</f>
        <v/>
      </c>
      <c r="E2065" s="3" t="str">
        <f>IFERROR(INDEX('SCR DATA'!E:E, MATCH($D2065, 'SCR DATA'!A:A, 0)), "")</f>
        <v/>
      </c>
      <c r="F2065" s="3" t="str">
        <f>IFERROR(INDEX('SCR DATA'!C:C, MATCH($D2065, 'SCR DATA'!A:A, 0)), "")</f>
        <v/>
      </c>
      <c r="G2065" s="68" t="str">
        <f t="shared" si="384"/>
        <v>SINGLE</v>
      </c>
      <c r="H2065" s="197">
        <f t="shared" si="385"/>
        <v>0</v>
      </c>
      <c r="K2065" s="186"/>
      <c r="N2065" s="3" t="str">
        <f t="shared" si="383"/>
        <v/>
      </c>
    </row>
    <row r="2066" spans="2:14">
      <c r="B2066" s="83" t="e">
        <f t="array" ref="B2066">SUM(--(FREQUENCY(IF(C$2:C$3074=C2066, MATCH(D$2:D$3074, D$2:D$3074, 0)), ROW(D$2:D$3074)-ROW(D$2)+1) &gt; 0))</f>
        <v>#N/A</v>
      </c>
      <c r="C2066" s="3" t="str">
        <f>IFERROR(INDEX('SCR DATA'!B:B, MATCH($D2066, 'SCR DATA'!A:A, 0)), "")</f>
        <v/>
      </c>
      <c r="E2066" s="3" t="str">
        <f>IFERROR(INDEX('SCR DATA'!E:E, MATCH($D2066, 'SCR DATA'!A:A, 0)), "")</f>
        <v/>
      </c>
      <c r="F2066" s="3" t="str">
        <f>IFERROR(INDEX('SCR DATA'!C:C, MATCH($D2066, 'SCR DATA'!A:A, 0)), "")</f>
        <v/>
      </c>
      <c r="G2066" s="68" t="str">
        <f t="shared" si="384"/>
        <v>SINGLE</v>
      </c>
      <c r="H2066" s="197">
        <f t="shared" si="385"/>
        <v>0</v>
      </c>
      <c r="K2066" s="186"/>
      <c r="N2066" s="3" t="str">
        <f t="shared" si="383"/>
        <v/>
      </c>
    </row>
    <row r="2067" spans="2:14">
      <c r="B2067" s="83" t="e">
        <f t="array" ref="B2067">SUM(--(FREQUENCY(IF(C$2:C$3074=C2067, MATCH(D$2:D$3074, D$2:D$3074, 0)), ROW(D$2:D$3074)-ROW(D$2)+1) &gt; 0))</f>
        <v>#N/A</v>
      </c>
      <c r="C2067" s="3" t="str">
        <f>IFERROR(INDEX('SCR DATA'!B:B, MATCH($D2067, 'SCR DATA'!A:A, 0)), "")</f>
        <v/>
      </c>
      <c r="E2067" s="3" t="str">
        <f>IFERROR(INDEX('SCR DATA'!E:E, MATCH($D2067, 'SCR DATA'!A:A, 0)), "")</f>
        <v/>
      </c>
      <c r="F2067" s="3" t="str">
        <f>IFERROR(INDEX('SCR DATA'!C:C, MATCH($D2067, 'SCR DATA'!A:A, 0)), "")</f>
        <v/>
      </c>
      <c r="G2067" s="68" t="str">
        <f t="shared" si="384"/>
        <v>SINGLE</v>
      </c>
      <c r="H2067" s="197">
        <f t="shared" si="385"/>
        <v>0</v>
      </c>
      <c r="K2067" s="186"/>
      <c r="N2067" s="3" t="str">
        <f t="shared" si="383"/>
        <v/>
      </c>
    </row>
    <row r="2068" spans="2:14">
      <c r="B2068" s="83" t="e">
        <f t="array" ref="B2068">SUM(--(FREQUENCY(IF(C$2:C$3074=C2068, MATCH(D$2:D$3074, D$2:D$3074, 0)), ROW(D$2:D$3074)-ROW(D$2)+1) &gt; 0))</f>
        <v>#N/A</v>
      </c>
      <c r="C2068" s="3" t="str">
        <f>IFERROR(INDEX('SCR DATA'!B:B, MATCH($D2068, 'SCR DATA'!A:A, 0)), "")</f>
        <v/>
      </c>
      <c r="E2068" s="3" t="str">
        <f>IFERROR(INDEX('SCR DATA'!E:E, MATCH($D2068, 'SCR DATA'!A:A, 0)), "")</f>
        <v/>
      </c>
      <c r="F2068" s="3" t="str">
        <f>IFERROR(INDEX('SCR DATA'!C:C, MATCH($D2068, 'SCR DATA'!A:A, 0)), "")</f>
        <v/>
      </c>
      <c r="G2068" s="68" t="str">
        <f t="shared" si="384"/>
        <v>SINGLE</v>
      </c>
      <c r="H2068" s="197">
        <f t="shared" si="385"/>
        <v>0</v>
      </c>
      <c r="K2068" s="186"/>
      <c r="N2068" s="3" t="str">
        <f t="shared" si="383"/>
        <v/>
      </c>
    </row>
    <row r="2069" spans="2:14">
      <c r="B2069" s="83" t="e">
        <f t="array" ref="B2069">SUM(--(FREQUENCY(IF(C$2:C$3074=C2069, MATCH(D$2:D$3074, D$2:D$3074, 0)), ROW(D$2:D$3074)-ROW(D$2)+1) &gt; 0))</f>
        <v>#N/A</v>
      </c>
      <c r="C2069" s="3" t="str">
        <f>IFERROR(INDEX('SCR DATA'!B:B, MATCH($D2069, 'SCR DATA'!A:A, 0)), "")</f>
        <v/>
      </c>
      <c r="E2069" s="3" t="str">
        <f>IFERROR(INDEX('SCR DATA'!E:E, MATCH($D2069, 'SCR DATA'!A:A, 0)), "")</f>
        <v/>
      </c>
      <c r="F2069" s="3" t="str">
        <f>IFERROR(INDEX('SCR DATA'!C:C, MATCH($D2069, 'SCR DATA'!A:A, 0)), "")</f>
        <v/>
      </c>
      <c r="G2069" s="68" t="str">
        <f t="shared" si="384"/>
        <v>SINGLE</v>
      </c>
      <c r="H2069" s="197">
        <f t="shared" si="385"/>
        <v>0</v>
      </c>
      <c r="K2069" s="186"/>
      <c r="N2069" s="3" t="str">
        <f t="shared" si="383"/>
        <v/>
      </c>
    </row>
    <row r="2070" spans="2:14">
      <c r="B2070" s="83" t="e">
        <f t="array" ref="B2070">SUM(--(FREQUENCY(IF(C$2:C$3074=C2070, MATCH(D$2:D$3074, D$2:D$3074, 0)), ROW(D$2:D$3074)-ROW(D$2)+1) &gt; 0))</f>
        <v>#N/A</v>
      </c>
      <c r="C2070" s="3" t="str">
        <f>IFERROR(INDEX('SCR DATA'!B:B, MATCH($D2070, 'SCR DATA'!A:A, 0)), "")</f>
        <v/>
      </c>
      <c r="E2070" s="3" t="str">
        <f>IFERROR(INDEX('SCR DATA'!E:E, MATCH($D2070, 'SCR DATA'!A:A, 0)), "")</f>
        <v/>
      </c>
      <c r="F2070" s="3" t="str">
        <f>IFERROR(INDEX('SCR DATA'!C:C, MATCH($D2070, 'SCR DATA'!A:A, 0)), "")</f>
        <v/>
      </c>
      <c r="G2070" s="68" t="str">
        <f t="shared" si="384"/>
        <v>SINGLE</v>
      </c>
      <c r="H2070" s="197">
        <f t="shared" si="385"/>
        <v>0</v>
      </c>
      <c r="K2070" s="186"/>
      <c r="N2070" s="3" t="str">
        <f t="shared" si="383"/>
        <v/>
      </c>
    </row>
    <row r="2071" spans="2:14">
      <c r="B2071" s="83" t="e">
        <f t="array" ref="B2071">SUM(--(FREQUENCY(IF(C$2:C$3074=C2071, MATCH(D$2:D$3074, D$2:D$3074, 0)), ROW(D$2:D$3074)-ROW(D$2)+1) &gt; 0))</f>
        <v>#N/A</v>
      </c>
      <c r="C2071" s="3" t="str">
        <f>IFERROR(INDEX('SCR DATA'!B:B, MATCH($D2071, 'SCR DATA'!A:A, 0)), "")</f>
        <v/>
      </c>
      <c r="E2071" s="3" t="str">
        <f>IFERROR(INDEX('SCR DATA'!E:E, MATCH($D2071, 'SCR DATA'!A:A, 0)), "")</f>
        <v/>
      </c>
      <c r="F2071" s="3" t="str">
        <f>IFERROR(INDEX('SCR DATA'!C:C, MATCH($D2071, 'SCR DATA'!A:A, 0)), "")</f>
        <v/>
      </c>
      <c r="G2071" s="68" t="str">
        <f t="shared" si="384"/>
        <v>SINGLE</v>
      </c>
      <c r="H2071" s="197">
        <f t="shared" si="385"/>
        <v>0</v>
      </c>
      <c r="K2071" s="186"/>
      <c r="N2071" s="3" t="str">
        <f t="shared" si="383"/>
        <v/>
      </c>
    </row>
    <row r="2072" spans="2:14">
      <c r="B2072" s="83" t="e">
        <f t="array" ref="B2072">SUM(--(FREQUENCY(IF(C$2:C$3074=C2072, MATCH(D$2:D$3074, D$2:D$3074, 0)), ROW(D$2:D$3074)-ROW(D$2)+1) &gt; 0))</f>
        <v>#N/A</v>
      </c>
      <c r="C2072" s="3" t="str">
        <f>IFERROR(INDEX('SCR DATA'!B:B, MATCH($D2072, 'SCR DATA'!A:A, 0)), "")</f>
        <v/>
      </c>
      <c r="E2072" s="3" t="str">
        <f>IFERROR(INDEX('SCR DATA'!E:E, MATCH($D2072, 'SCR DATA'!A:A, 0)), "")</f>
        <v/>
      </c>
      <c r="F2072" s="3" t="str">
        <f>IFERROR(INDEX('SCR DATA'!C:C, MATCH($D2072, 'SCR DATA'!A:A, 0)), "")</f>
        <v/>
      </c>
      <c r="G2072" s="68" t="str">
        <f t="shared" si="384"/>
        <v>SINGLE</v>
      </c>
      <c r="H2072" s="197">
        <f t="shared" si="385"/>
        <v>0</v>
      </c>
      <c r="K2072" s="186"/>
      <c r="N2072" s="3" t="str">
        <f t="shared" si="383"/>
        <v/>
      </c>
    </row>
    <row r="2073" spans="2:14">
      <c r="B2073" s="83" t="e">
        <f t="array" ref="B2073">SUM(--(FREQUENCY(IF(C$2:C$3074=C2073, MATCH(D$2:D$3074, D$2:D$3074, 0)), ROW(D$2:D$3074)-ROW(D$2)+1) &gt; 0))</f>
        <v>#N/A</v>
      </c>
      <c r="C2073" s="3" t="str">
        <f>IFERROR(INDEX('SCR DATA'!B:B, MATCH($D2073, 'SCR DATA'!A:A, 0)), "")</f>
        <v/>
      </c>
      <c r="E2073" s="3" t="str">
        <f>IFERROR(INDEX('SCR DATA'!E:E, MATCH($D2073, 'SCR DATA'!A:A, 0)), "")</f>
        <v/>
      </c>
      <c r="F2073" s="3" t="str">
        <f>IFERROR(INDEX('SCR DATA'!C:C, MATCH($D2073, 'SCR DATA'!A:A, 0)), "")</f>
        <v/>
      </c>
      <c r="G2073" s="68" t="str">
        <f t="shared" si="384"/>
        <v>SINGLE</v>
      </c>
      <c r="H2073" s="197">
        <f t="shared" si="385"/>
        <v>0</v>
      </c>
      <c r="K2073" s="186"/>
      <c r="N2073" s="3" t="str">
        <f t="shared" si="383"/>
        <v/>
      </c>
    </row>
    <row r="2074" spans="2:14">
      <c r="B2074" s="83" t="e">
        <f t="array" ref="B2074">SUM(--(FREQUENCY(IF(C$2:C$3074=C2074, MATCH(D$2:D$3074, D$2:D$3074, 0)), ROW(D$2:D$3074)-ROW(D$2)+1) &gt; 0))</f>
        <v>#N/A</v>
      </c>
      <c r="C2074" s="3" t="str">
        <f>IFERROR(INDEX('SCR DATA'!B:B, MATCH($D2074, 'SCR DATA'!A:A, 0)), "")</f>
        <v/>
      </c>
      <c r="E2074" s="3" t="str">
        <f>IFERROR(INDEX('SCR DATA'!E:E, MATCH($D2074, 'SCR DATA'!A:A, 0)), "")</f>
        <v/>
      </c>
      <c r="F2074" s="3" t="str">
        <f>IFERROR(INDEX('SCR DATA'!C:C, MATCH($D2074, 'SCR DATA'!A:A, 0)), "")</f>
        <v/>
      </c>
      <c r="G2074" s="68" t="str">
        <f t="shared" si="384"/>
        <v>SINGLE</v>
      </c>
      <c r="H2074" s="197">
        <f t="shared" si="385"/>
        <v>0</v>
      </c>
      <c r="K2074" s="186"/>
      <c r="N2074" s="3" t="str">
        <f t="shared" si="383"/>
        <v/>
      </c>
    </row>
    <row r="2075" spans="2:14">
      <c r="B2075" s="83" t="e">
        <f t="array" ref="B2075">SUM(--(FREQUENCY(IF(C$2:C$3074=C2075, MATCH(D$2:D$3074, D$2:D$3074, 0)), ROW(D$2:D$3074)-ROW(D$2)+1) &gt; 0))</f>
        <v>#N/A</v>
      </c>
      <c r="C2075" s="3" t="str">
        <f>IFERROR(INDEX('SCR DATA'!B:B, MATCH($D2075, 'SCR DATA'!A:A, 0)), "")</f>
        <v/>
      </c>
      <c r="E2075" s="3" t="str">
        <f>IFERROR(INDEX('SCR DATA'!E:E, MATCH($D2075, 'SCR DATA'!A:A, 0)), "")</f>
        <v/>
      </c>
      <c r="F2075" s="3" t="str">
        <f>IFERROR(INDEX('SCR DATA'!C:C, MATCH($D2075, 'SCR DATA'!A:A, 0)), "")</f>
        <v/>
      </c>
      <c r="G2075" s="68" t="str">
        <f t="shared" si="384"/>
        <v>SINGLE</v>
      </c>
      <c r="H2075" s="197">
        <f t="shared" si="385"/>
        <v>0</v>
      </c>
      <c r="K2075" s="186"/>
      <c r="N2075" s="3" t="str">
        <f t="shared" si="383"/>
        <v/>
      </c>
    </row>
    <row r="2076" spans="2:14">
      <c r="B2076" s="83" t="e">
        <f t="array" ref="B2076">SUM(--(FREQUENCY(IF(C$2:C$3074=C2076, MATCH(D$2:D$3074, D$2:D$3074, 0)), ROW(D$2:D$3074)-ROW(D$2)+1) &gt; 0))</f>
        <v>#N/A</v>
      </c>
      <c r="C2076" s="3" t="str">
        <f>IFERROR(INDEX('SCR DATA'!B:B, MATCH($D2076, 'SCR DATA'!A:A, 0)), "")</f>
        <v/>
      </c>
      <c r="E2076" s="3" t="str">
        <f>IFERROR(INDEX('SCR DATA'!E:E, MATCH($D2076, 'SCR DATA'!A:A, 0)), "")</f>
        <v/>
      </c>
      <c r="F2076" s="3" t="str">
        <f>IFERROR(INDEX('SCR DATA'!C:C, MATCH($D2076, 'SCR DATA'!A:A, 0)), "")</f>
        <v/>
      </c>
      <c r="G2076" s="68" t="str">
        <f t="shared" si="384"/>
        <v>SINGLE</v>
      </c>
      <c r="H2076" s="197">
        <f t="shared" si="385"/>
        <v>0</v>
      </c>
      <c r="K2076" s="186"/>
      <c r="N2076" s="3" t="str">
        <f t="shared" si="383"/>
        <v/>
      </c>
    </row>
    <row r="2077" spans="2:14">
      <c r="B2077" s="83" t="e">
        <f t="array" ref="B2077">SUM(--(FREQUENCY(IF(C$2:C$3074=C2077, MATCH(D$2:D$3074, D$2:D$3074, 0)), ROW(D$2:D$3074)-ROW(D$2)+1) &gt; 0))</f>
        <v>#N/A</v>
      </c>
      <c r="C2077" s="3" t="str">
        <f>IFERROR(INDEX('SCR DATA'!B:B, MATCH($D2077, 'SCR DATA'!A:A, 0)), "")</f>
        <v/>
      </c>
      <c r="E2077" s="3" t="str">
        <f>IFERROR(INDEX('SCR DATA'!E:E, MATCH($D2077, 'SCR DATA'!A:A, 0)), "")</f>
        <v/>
      </c>
      <c r="F2077" s="3" t="str">
        <f>IFERROR(INDEX('SCR DATA'!C:C, MATCH($D2077, 'SCR DATA'!A:A, 0)), "")</f>
        <v/>
      </c>
      <c r="G2077" s="68" t="str">
        <f t="shared" si="384"/>
        <v>SINGLE</v>
      </c>
      <c r="H2077" s="197">
        <f t="shared" si="385"/>
        <v>0</v>
      </c>
      <c r="K2077" s="186"/>
      <c r="N2077" s="3" t="str">
        <f t="shared" si="383"/>
        <v/>
      </c>
    </row>
    <row r="2078" spans="2:14">
      <c r="B2078" s="83" t="e">
        <f t="array" ref="B2078">SUM(--(FREQUENCY(IF(C$2:C$3074=C2078, MATCH(D$2:D$3074, D$2:D$3074, 0)), ROW(D$2:D$3074)-ROW(D$2)+1) &gt; 0))</f>
        <v>#N/A</v>
      </c>
      <c r="C2078" s="3" t="str">
        <f>IFERROR(INDEX('SCR DATA'!B:B, MATCH($D2078, 'SCR DATA'!A:A, 0)), "")</f>
        <v/>
      </c>
      <c r="E2078" s="3" t="str">
        <f>IFERROR(INDEX('SCR DATA'!E:E, MATCH($D2078, 'SCR DATA'!A:A, 0)), "")</f>
        <v/>
      </c>
      <c r="F2078" s="3" t="str">
        <f>IFERROR(INDEX('SCR DATA'!C:C, MATCH($D2078, 'SCR DATA'!A:A, 0)), "")</f>
        <v/>
      </c>
      <c r="G2078" s="68" t="str">
        <f t="shared" si="384"/>
        <v>SINGLE</v>
      </c>
      <c r="H2078" s="197">
        <f t="shared" si="385"/>
        <v>0</v>
      </c>
      <c r="K2078" s="186"/>
      <c r="N2078" s="3" t="str">
        <f t="shared" si="383"/>
        <v/>
      </c>
    </row>
    <row r="2079" spans="2:14">
      <c r="B2079" s="83" t="e">
        <f t="array" ref="B2079">SUM(--(FREQUENCY(IF(C$2:C$3074=C2079, MATCH(D$2:D$3074, D$2:D$3074, 0)), ROW(D$2:D$3074)-ROW(D$2)+1) &gt; 0))</f>
        <v>#N/A</v>
      </c>
      <c r="C2079" s="3" t="str">
        <f>IFERROR(INDEX('SCR DATA'!B:B, MATCH($D2079, 'SCR DATA'!A:A, 0)), "")</f>
        <v/>
      </c>
      <c r="E2079" s="3" t="str">
        <f>IFERROR(INDEX('SCR DATA'!E:E, MATCH($D2079, 'SCR DATA'!A:A, 0)), "")</f>
        <v/>
      </c>
      <c r="F2079" s="3" t="str">
        <f>IFERROR(INDEX('SCR DATA'!C:C, MATCH($D2079, 'SCR DATA'!A:A, 0)), "")</f>
        <v/>
      </c>
      <c r="G2079" s="68" t="str">
        <f t="shared" si="384"/>
        <v>SINGLE</v>
      </c>
      <c r="H2079" s="197">
        <f t="shared" si="385"/>
        <v>0</v>
      </c>
      <c r="K2079" s="186"/>
      <c r="N2079" s="3" t="str">
        <f t="shared" si="383"/>
        <v/>
      </c>
    </row>
    <row r="2080" spans="2:14">
      <c r="B2080" s="83" t="e">
        <f t="array" ref="B2080">SUM(--(FREQUENCY(IF(C$2:C$3074=C2080, MATCH(D$2:D$3074, D$2:D$3074, 0)), ROW(D$2:D$3074)-ROW(D$2)+1) &gt; 0))</f>
        <v>#N/A</v>
      </c>
      <c r="C2080" s="3" t="str">
        <f>IFERROR(INDEX('SCR DATA'!B:B, MATCH($D2080, 'SCR DATA'!A:A, 0)), "")</f>
        <v/>
      </c>
      <c r="E2080" s="3" t="str">
        <f>IFERROR(INDEX('SCR DATA'!E:E, MATCH($D2080, 'SCR DATA'!A:A, 0)), "")</f>
        <v/>
      </c>
      <c r="F2080" s="3" t="str">
        <f>IFERROR(INDEX('SCR DATA'!C:C, MATCH($D2080, 'SCR DATA'!A:A, 0)), "")</f>
        <v/>
      </c>
      <c r="G2080" s="68" t="str">
        <f t="shared" si="384"/>
        <v>SINGLE</v>
      </c>
      <c r="H2080" s="197">
        <f t="shared" si="385"/>
        <v>0</v>
      </c>
      <c r="K2080" s="186"/>
      <c r="N2080" s="3" t="str">
        <f t="shared" si="383"/>
        <v/>
      </c>
    </row>
    <row r="2081" spans="2:14">
      <c r="B2081" s="83" t="e">
        <f t="array" ref="B2081">SUM(--(FREQUENCY(IF(C$2:C$3074=C2081, MATCH(D$2:D$3074, D$2:D$3074, 0)), ROW(D$2:D$3074)-ROW(D$2)+1) &gt; 0))</f>
        <v>#N/A</v>
      </c>
      <c r="C2081" s="3" t="str">
        <f>IFERROR(INDEX('SCR DATA'!B:B, MATCH($D2081, 'SCR DATA'!A:A, 0)), "")</f>
        <v/>
      </c>
      <c r="E2081" s="3" t="str">
        <f>IFERROR(INDEX('SCR DATA'!E:E, MATCH($D2081, 'SCR DATA'!A:A, 0)), "")</f>
        <v/>
      </c>
      <c r="F2081" s="3" t="str">
        <f>IFERROR(INDEX('SCR DATA'!C:C, MATCH($D2081, 'SCR DATA'!A:A, 0)), "")</f>
        <v/>
      </c>
      <c r="G2081" s="68" t="str">
        <f t="shared" si="384"/>
        <v>SINGLE</v>
      </c>
      <c r="H2081" s="197">
        <f t="shared" si="385"/>
        <v>0</v>
      </c>
      <c r="K2081" s="186"/>
      <c r="N2081" s="3" t="str">
        <f t="shared" si="383"/>
        <v/>
      </c>
    </row>
    <row r="2082" spans="2:14">
      <c r="B2082" s="83" t="e">
        <f t="array" ref="B2082">SUM(--(FREQUENCY(IF(C$2:C$3074=C2082, MATCH(D$2:D$3074, D$2:D$3074, 0)), ROW(D$2:D$3074)-ROW(D$2)+1) &gt; 0))</f>
        <v>#N/A</v>
      </c>
      <c r="C2082" s="3" t="str">
        <f>IFERROR(INDEX('SCR DATA'!B:B, MATCH($D2082, 'SCR DATA'!A:A, 0)), "")</f>
        <v/>
      </c>
      <c r="E2082" s="3" t="str">
        <f>IFERROR(INDEX('SCR DATA'!E:E, MATCH($D2082, 'SCR DATA'!A:A, 0)), "")</f>
        <v/>
      </c>
      <c r="F2082" s="3" t="str">
        <f>IFERROR(INDEX('SCR DATA'!C:C, MATCH($D2082, 'SCR DATA'!A:A, 0)), "")</f>
        <v/>
      </c>
      <c r="G2082" s="68" t="str">
        <f t="shared" si="384"/>
        <v>SINGLE</v>
      </c>
      <c r="H2082" s="197">
        <f t="shared" si="385"/>
        <v>0</v>
      </c>
      <c r="K2082" s="186"/>
      <c r="N2082" s="3" t="str">
        <f t="shared" si="383"/>
        <v/>
      </c>
    </row>
    <row r="2083" spans="2:14">
      <c r="B2083" s="83" t="e">
        <f t="array" ref="B2083">SUM(--(FREQUENCY(IF(C$2:C$3074=C2083, MATCH(D$2:D$3074, D$2:D$3074, 0)), ROW(D$2:D$3074)-ROW(D$2)+1) &gt; 0))</f>
        <v>#N/A</v>
      </c>
      <c r="C2083" s="3" t="str">
        <f>IFERROR(INDEX('SCR DATA'!B:B, MATCH($D2083, 'SCR DATA'!A:A, 0)), "")</f>
        <v/>
      </c>
      <c r="E2083" s="3" t="str">
        <f>IFERROR(INDEX('SCR DATA'!E:E, MATCH($D2083, 'SCR DATA'!A:A, 0)), "")</f>
        <v/>
      </c>
      <c r="F2083" s="3" t="str">
        <f>IFERROR(INDEX('SCR DATA'!C:C, MATCH($D2083, 'SCR DATA'!A:A, 0)), "")</f>
        <v/>
      </c>
      <c r="G2083" s="68" t="str">
        <f t="shared" si="384"/>
        <v>SINGLE</v>
      </c>
      <c r="H2083" s="197">
        <f t="shared" si="385"/>
        <v>0</v>
      </c>
      <c r="K2083" s="186"/>
      <c r="N2083" s="3" t="str">
        <f t="shared" si="383"/>
        <v/>
      </c>
    </row>
    <row r="2084" spans="2:14">
      <c r="B2084" s="83" t="e">
        <f t="array" ref="B2084">SUM(--(FREQUENCY(IF(C$2:C$3074=C2084, MATCH(D$2:D$3074, D$2:D$3074, 0)), ROW(D$2:D$3074)-ROW(D$2)+1) &gt; 0))</f>
        <v>#N/A</v>
      </c>
      <c r="C2084" s="3" t="str">
        <f>IFERROR(INDEX('SCR DATA'!B:B, MATCH($D2084, 'SCR DATA'!A:A, 0)), "")</f>
        <v/>
      </c>
      <c r="E2084" s="3" t="str">
        <f>IFERROR(INDEX('SCR DATA'!E:E, MATCH($D2084, 'SCR DATA'!A:A, 0)), "")</f>
        <v/>
      </c>
      <c r="F2084" s="3" t="str">
        <f>IFERROR(INDEX('SCR DATA'!C:C, MATCH($D2084, 'SCR DATA'!A:A, 0)), "")</f>
        <v/>
      </c>
      <c r="G2084" s="68" t="str">
        <f t="shared" si="384"/>
        <v>SINGLE</v>
      </c>
      <c r="H2084" s="197">
        <f t="shared" si="385"/>
        <v>0</v>
      </c>
      <c r="K2084" s="186"/>
      <c r="N2084" s="3" t="str">
        <f t="shared" si="383"/>
        <v/>
      </c>
    </row>
    <row r="2085" spans="2:14">
      <c r="B2085" s="83" t="e">
        <f t="array" ref="B2085">SUM(--(FREQUENCY(IF(C$2:C$3074=C2085, MATCH(D$2:D$3074, D$2:D$3074, 0)), ROW(D$2:D$3074)-ROW(D$2)+1) &gt; 0))</f>
        <v>#N/A</v>
      </c>
      <c r="C2085" s="3" t="str">
        <f>IFERROR(INDEX('SCR DATA'!B:B, MATCH($D2085, 'SCR DATA'!A:A, 0)), "")</f>
        <v/>
      </c>
      <c r="E2085" s="3" t="str">
        <f>IFERROR(INDEX('SCR DATA'!E:E, MATCH($D2085, 'SCR DATA'!A:A, 0)), "")</f>
        <v/>
      </c>
      <c r="F2085" s="3" t="str">
        <f>IFERROR(INDEX('SCR DATA'!C:C, MATCH($D2085, 'SCR DATA'!A:A, 0)), "")</f>
        <v/>
      </c>
      <c r="G2085" s="68" t="str">
        <f t="shared" si="384"/>
        <v>SINGLE</v>
      </c>
      <c r="H2085" s="197">
        <f t="shared" si="385"/>
        <v>0</v>
      </c>
      <c r="K2085" s="186"/>
      <c r="N2085" s="3" t="str">
        <f t="shared" si="383"/>
        <v/>
      </c>
    </row>
    <row r="2086" spans="2:14">
      <c r="B2086" s="83" t="e">
        <f t="array" ref="B2086">SUM(--(FREQUENCY(IF(C$2:C$3074=C2086, MATCH(D$2:D$3074, D$2:D$3074, 0)), ROW(D$2:D$3074)-ROW(D$2)+1) &gt; 0))</f>
        <v>#N/A</v>
      </c>
      <c r="C2086" s="3" t="str">
        <f>IFERROR(INDEX('SCR DATA'!B:B, MATCH($D2086, 'SCR DATA'!A:A, 0)), "")</f>
        <v/>
      </c>
      <c r="E2086" s="3" t="str">
        <f>IFERROR(INDEX('SCR DATA'!E:E, MATCH($D2086, 'SCR DATA'!A:A, 0)), "")</f>
        <v/>
      </c>
      <c r="F2086" s="3" t="str">
        <f>IFERROR(INDEX('SCR DATA'!C:C, MATCH($D2086, 'SCR DATA'!A:A, 0)), "")</f>
        <v/>
      </c>
      <c r="G2086" s="68" t="str">
        <f t="shared" si="384"/>
        <v>SINGLE</v>
      </c>
      <c r="H2086" s="197">
        <f t="shared" si="385"/>
        <v>0</v>
      </c>
      <c r="K2086" s="186"/>
      <c r="N2086" s="3" t="str">
        <f t="shared" si="383"/>
        <v/>
      </c>
    </row>
    <row r="2087" spans="2:14">
      <c r="B2087" s="83" t="e">
        <f t="array" ref="B2087">SUM(--(FREQUENCY(IF(C$2:C$3074=C2087, MATCH(D$2:D$3074, D$2:D$3074, 0)), ROW(D$2:D$3074)-ROW(D$2)+1) &gt; 0))</f>
        <v>#N/A</v>
      </c>
      <c r="C2087" s="3" t="str">
        <f>IFERROR(INDEX('SCR DATA'!B:B, MATCH($D2087, 'SCR DATA'!A:A, 0)), "")</f>
        <v/>
      </c>
      <c r="E2087" s="3" t="str">
        <f>IFERROR(INDEX('SCR DATA'!E:E, MATCH($D2087, 'SCR DATA'!A:A, 0)), "")</f>
        <v/>
      </c>
      <c r="F2087" s="3" t="str">
        <f>IFERROR(INDEX('SCR DATA'!C:C, MATCH($D2087, 'SCR DATA'!A:A, 0)), "")</f>
        <v/>
      </c>
      <c r="G2087" s="68" t="str">
        <f t="shared" si="384"/>
        <v>SINGLE</v>
      </c>
      <c r="H2087" s="197">
        <f t="shared" si="385"/>
        <v>0</v>
      </c>
      <c r="K2087" s="186"/>
      <c r="N2087" s="3" t="str">
        <f t="shared" si="383"/>
        <v/>
      </c>
    </row>
    <row r="2088" spans="2:14">
      <c r="B2088" s="83" t="e">
        <f t="array" ref="B2088">SUM(--(FREQUENCY(IF(C$2:C$3074=C2088, MATCH(D$2:D$3074, D$2:D$3074, 0)), ROW(D$2:D$3074)-ROW(D$2)+1) &gt; 0))</f>
        <v>#N/A</v>
      </c>
      <c r="C2088" s="3" t="str">
        <f>IFERROR(INDEX('SCR DATA'!B:B, MATCH($D2088, 'SCR DATA'!A:A, 0)), "")</f>
        <v/>
      </c>
      <c r="E2088" s="3" t="str">
        <f>IFERROR(INDEX('SCR DATA'!E:E, MATCH($D2088, 'SCR DATA'!A:A, 0)), "")</f>
        <v/>
      </c>
      <c r="F2088" s="3" t="str">
        <f>IFERROR(INDEX('SCR DATA'!C:C, MATCH($D2088, 'SCR DATA'!A:A, 0)), "")</f>
        <v/>
      </c>
      <c r="G2088" s="68" t="str">
        <f t="shared" si="384"/>
        <v>SINGLE</v>
      </c>
      <c r="H2088" s="197">
        <f t="shared" si="385"/>
        <v>0</v>
      </c>
      <c r="K2088" s="186"/>
      <c r="N2088" s="3" t="str">
        <f t="shared" si="383"/>
        <v/>
      </c>
    </row>
    <row r="2089" spans="2:14">
      <c r="B2089" s="83" t="e">
        <f t="array" ref="B2089">SUM(--(FREQUENCY(IF(C$2:C$3074=C2089, MATCH(D$2:D$3074, D$2:D$3074, 0)), ROW(D$2:D$3074)-ROW(D$2)+1) &gt; 0))</f>
        <v>#N/A</v>
      </c>
      <c r="C2089" s="3" t="str">
        <f>IFERROR(INDEX('SCR DATA'!B:B, MATCH($D2089, 'SCR DATA'!A:A, 0)), "")</f>
        <v/>
      </c>
      <c r="E2089" s="3" t="str">
        <f>IFERROR(INDEX('SCR DATA'!E:E, MATCH($D2089, 'SCR DATA'!A:A, 0)), "")</f>
        <v/>
      </c>
      <c r="F2089" s="3" t="str">
        <f>IFERROR(INDEX('SCR DATA'!C:C, MATCH($D2089, 'SCR DATA'!A:A, 0)), "")</f>
        <v/>
      </c>
      <c r="G2089" s="68" t="str">
        <f t="shared" si="384"/>
        <v>SINGLE</v>
      </c>
      <c r="H2089" s="197">
        <f t="shared" si="385"/>
        <v>0</v>
      </c>
      <c r="K2089" s="186"/>
      <c r="N2089" s="3" t="str">
        <f t="shared" si="383"/>
        <v/>
      </c>
    </row>
    <row r="2090" spans="2:14">
      <c r="B2090" s="83" t="e">
        <f t="array" ref="B2090">SUM(--(FREQUENCY(IF(C$2:C$3074=C2090, MATCH(D$2:D$3074, D$2:D$3074, 0)), ROW(D$2:D$3074)-ROW(D$2)+1) &gt; 0))</f>
        <v>#N/A</v>
      </c>
      <c r="C2090" s="3" t="str">
        <f>IFERROR(INDEX('SCR DATA'!B:B, MATCH($D2090, 'SCR DATA'!A:A, 0)), "")</f>
        <v/>
      </c>
      <c r="E2090" s="3" t="str">
        <f>IFERROR(INDEX('SCR DATA'!E:E, MATCH($D2090, 'SCR DATA'!A:A, 0)), "")</f>
        <v/>
      </c>
      <c r="F2090" s="3" t="str">
        <f>IFERROR(INDEX('SCR DATA'!C:C, MATCH($D2090, 'SCR DATA'!A:A, 0)), "")</f>
        <v/>
      </c>
      <c r="G2090" s="68" t="str">
        <f t="shared" si="384"/>
        <v>SINGLE</v>
      </c>
      <c r="H2090" s="197">
        <f t="shared" si="385"/>
        <v>0</v>
      </c>
      <c r="K2090" s="186"/>
      <c r="N2090" s="3" t="str">
        <f t="shared" si="383"/>
        <v/>
      </c>
    </row>
    <row r="2091" spans="2:14">
      <c r="B2091" s="83" t="e">
        <f t="array" ref="B2091">SUM(--(FREQUENCY(IF(C$2:C$3074=C2091, MATCH(D$2:D$3074, D$2:D$3074, 0)), ROW(D$2:D$3074)-ROW(D$2)+1) &gt; 0))</f>
        <v>#N/A</v>
      </c>
      <c r="C2091" s="3" t="str">
        <f>IFERROR(INDEX('SCR DATA'!B:B, MATCH($D2091, 'SCR DATA'!A:A, 0)), "")</f>
        <v/>
      </c>
      <c r="E2091" s="3" t="str">
        <f>IFERROR(INDEX('SCR DATA'!E:E, MATCH($D2091, 'SCR DATA'!A:A, 0)), "")</f>
        <v/>
      </c>
      <c r="F2091" s="3" t="str">
        <f>IFERROR(INDEX('SCR DATA'!C:C, MATCH($D2091, 'SCR DATA'!A:A, 0)), "")</f>
        <v/>
      </c>
      <c r="G2091" s="68" t="str">
        <f t="shared" si="384"/>
        <v>SINGLE</v>
      </c>
      <c r="H2091" s="197">
        <f t="shared" si="385"/>
        <v>0</v>
      </c>
      <c r="K2091" s="186"/>
      <c r="N2091" s="3" t="str">
        <f t="shared" si="383"/>
        <v/>
      </c>
    </row>
    <row r="2092" spans="2:14">
      <c r="B2092" s="83" t="e">
        <f t="array" ref="B2092">SUM(--(FREQUENCY(IF(C$2:C$3074=C2092, MATCH(D$2:D$3074, D$2:D$3074, 0)), ROW(D$2:D$3074)-ROW(D$2)+1) &gt; 0))</f>
        <v>#N/A</v>
      </c>
      <c r="C2092" s="3" t="str">
        <f>IFERROR(INDEX('SCR DATA'!B:B, MATCH($D2092, 'SCR DATA'!A:A, 0)), "")</f>
        <v/>
      </c>
      <c r="E2092" s="3" t="str">
        <f>IFERROR(INDEX('SCR DATA'!E:E, MATCH($D2092, 'SCR DATA'!A:A, 0)), "")</f>
        <v/>
      </c>
      <c r="F2092" s="3" t="str">
        <f>IFERROR(INDEX('SCR DATA'!C:C, MATCH($D2092, 'SCR DATA'!A:A, 0)), "")</f>
        <v/>
      </c>
      <c r="G2092" s="68" t="str">
        <f t="shared" si="384"/>
        <v>SINGLE</v>
      </c>
      <c r="H2092" s="197">
        <f t="shared" si="385"/>
        <v>0</v>
      </c>
      <c r="K2092" s="186"/>
      <c r="N2092" s="3" t="str">
        <f t="shared" si="383"/>
        <v/>
      </c>
    </row>
    <row r="2093" spans="2:14">
      <c r="B2093" s="83" t="e">
        <f t="array" ref="B2093">SUM(--(FREQUENCY(IF(C$2:C$3074=C2093, MATCH(D$2:D$3074, D$2:D$3074, 0)), ROW(D$2:D$3074)-ROW(D$2)+1) &gt; 0))</f>
        <v>#N/A</v>
      </c>
      <c r="C2093" s="3" t="str">
        <f>IFERROR(INDEX('SCR DATA'!B:B, MATCH($D2093, 'SCR DATA'!A:A, 0)), "")</f>
        <v/>
      </c>
      <c r="E2093" s="3" t="str">
        <f>IFERROR(INDEX('SCR DATA'!E:E, MATCH($D2093, 'SCR DATA'!A:A, 0)), "")</f>
        <v/>
      </c>
      <c r="F2093" s="3" t="str">
        <f>IFERROR(INDEX('SCR DATA'!C:C, MATCH($D2093, 'SCR DATA'!A:A, 0)), "")</f>
        <v/>
      </c>
      <c r="G2093" s="68" t="str">
        <f t="shared" si="384"/>
        <v>SINGLE</v>
      </c>
      <c r="H2093" s="197">
        <f t="shared" si="385"/>
        <v>0</v>
      </c>
      <c r="K2093" s="186"/>
      <c r="N2093" s="3" t="str">
        <f t="shared" si="383"/>
        <v/>
      </c>
    </row>
    <row r="2094" spans="2:14">
      <c r="B2094" s="83" t="e">
        <f t="array" ref="B2094">SUM(--(FREQUENCY(IF(C$2:C$3074=C2094, MATCH(D$2:D$3074, D$2:D$3074, 0)), ROW(D$2:D$3074)-ROW(D$2)+1) &gt; 0))</f>
        <v>#N/A</v>
      </c>
      <c r="C2094" s="3" t="str">
        <f>IFERROR(INDEX('SCR DATA'!B:B, MATCH($D2094, 'SCR DATA'!A:A, 0)), "")</f>
        <v/>
      </c>
      <c r="E2094" s="3" t="str">
        <f>IFERROR(INDEX('SCR DATA'!E:E, MATCH($D2094, 'SCR DATA'!A:A, 0)), "")</f>
        <v/>
      </c>
      <c r="F2094" s="3" t="str">
        <f>IFERROR(INDEX('SCR DATA'!C:C, MATCH($D2094, 'SCR DATA'!A:A, 0)), "")</f>
        <v/>
      </c>
      <c r="G2094" s="68" t="str">
        <f t="shared" si="384"/>
        <v>SINGLE</v>
      </c>
      <c r="H2094" s="197">
        <f t="shared" si="385"/>
        <v>0</v>
      </c>
      <c r="K2094" s="186"/>
      <c r="N2094" s="3" t="str">
        <f t="shared" si="383"/>
        <v/>
      </c>
    </row>
    <row r="2095" spans="2:14">
      <c r="B2095" s="83" t="e">
        <f t="array" ref="B2095">SUM(--(FREQUENCY(IF(C$2:C$3074=C2095, MATCH(D$2:D$3074, D$2:D$3074, 0)), ROW(D$2:D$3074)-ROW(D$2)+1) &gt; 0))</f>
        <v>#N/A</v>
      </c>
      <c r="C2095" s="3" t="str">
        <f>IFERROR(INDEX('SCR DATA'!B:B, MATCH($D2095, 'SCR DATA'!A:A, 0)), "")</f>
        <v/>
      </c>
      <c r="E2095" s="3" t="str">
        <f>IFERROR(INDEX('SCR DATA'!E:E, MATCH($D2095, 'SCR DATA'!A:A, 0)), "")</f>
        <v/>
      </c>
      <c r="F2095" s="3" t="str">
        <f>IFERROR(INDEX('SCR DATA'!C:C, MATCH($D2095, 'SCR DATA'!A:A, 0)), "")</f>
        <v/>
      </c>
      <c r="G2095" s="68" t="str">
        <f t="shared" si="384"/>
        <v>SINGLE</v>
      </c>
      <c r="H2095" s="197">
        <f t="shared" si="385"/>
        <v>0</v>
      </c>
      <c r="K2095" s="186"/>
      <c r="N2095" s="3" t="str">
        <f t="shared" si="383"/>
        <v/>
      </c>
    </row>
    <row r="2096" spans="2:14">
      <c r="B2096" s="83" t="e">
        <f t="array" ref="B2096">SUM(--(FREQUENCY(IF(C$2:C$3074=C2096, MATCH(D$2:D$3074, D$2:D$3074, 0)), ROW(D$2:D$3074)-ROW(D$2)+1) &gt; 0))</f>
        <v>#N/A</v>
      </c>
      <c r="C2096" s="3" t="str">
        <f>IFERROR(INDEX('SCR DATA'!B:B, MATCH($D2096, 'SCR DATA'!A:A, 0)), "")</f>
        <v/>
      </c>
      <c r="E2096" s="3" t="str">
        <f>IFERROR(INDEX('SCR DATA'!E:E, MATCH($D2096, 'SCR DATA'!A:A, 0)), "")</f>
        <v/>
      </c>
      <c r="F2096" s="3" t="str">
        <f>IFERROR(INDEX('SCR DATA'!C:C, MATCH($D2096, 'SCR DATA'!A:A, 0)), "")</f>
        <v/>
      </c>
      <c r="G2096" s="68" t="str">
        <f t="shared" si="384"/>
        <v>SINGLE</v>
      </c>
      <c r="H2096" s="197">
        <f t="shared" si="385"/>
        <v>0</v>
      </c>
      <c r="K2096" s="186"/>
      <c r="N2096" s="3" t="str">
        <f t="shared" si="383"/>
        <v/>
      </c>
    </row>
    <row r="2097" spans="2:14">
      <c r="B2097" s="83" t="e">
        <f t="array" ref="B2097">SUM(--(FREQUENCY(IF(C$2:C$3074=C2097, MATCH(D$2:D$3074, D$2:D$3074, 0)), ROW(D$2:D$3074)-ROW(D$2)+1) &gt; 0))</f>
        <v>#N/A</v>
      </c>
      <c r="C2097" s="3" t="str">
        <f>IFERROR(INDEX('SCR DATA'!B:B, MATCH($D2097, 'SCR DATA'!A:A, 0)), "")</f>
        <v/>
      </c>
      <c r="E2097" s="3" t="str">
        <f>IFERROR(INDEX('SCR DATA'!E:E, MATCH($D2097, 'SCR DATA'!A:A, 0)), "")</f>
        <v/>
      </c>
      <c r="F2097" s="3" t="str">
        <f>IFERROR(INDEX('SCR DATA'!C:C, MATCH($D2097, 'SCR DATA'!A:A, 0)), "")</f>
        <v/>
      </c>
      <c r="G2097" s="68" t="str">
        <f t="shared" si="384"/>
        <v>SINGLE</v>
      </c>
      <c r="H2097" s="197">
        <f t="shared" si="385"/>
        <v>0</v>
      </c>
      <c r="K2097" s="186"/>
      <c r="N2097" s="3" t="str">
        <f t="shared" si="383"/>
        <v/>
      </c>
    </row>
    <row r="2098" spans="2:14">
      <c r="B2098" s="83" t="e">
        <f t="array" ref="B2098">SUM(--(FREQUENCY(IF(C$2:C$3074=C2098, MATCH(D$2:D$3074, D$2:D$3074, 0)), ROW(D$2:D$3074)-ROW(D$2)+1) &gt; 0))</f>
        <v>#N/A</v>
      </c>
      <c r="C2098" s="3" t="str">
        <f>IFERROR(INDEX('SCR DATA'!B:B, MATCH($D2098, 'SCR DATA'!A:A, 0)), "")</f>
        <v/>
      </c>
      <c r="E2098" s="3" t="str">
        <f>IFERROR(INDEX('SCR DATA'!E:E, MATCH($D2098, 'SCR DATA'!A:A, 0)), "")</f>
        <v/>
      </c>
      <c r="F2098" s="3" t="str">
        <f>IFERROR(INDEX('SCR DATA'!C:C, MATCH($D2098, 'SCR DATA'!A:A, 0)), "")</f>
        <v/>
      </c>
      <c r="G2098" s="68" t="str">
        <f t="shared" si="384"/>
        <v>SINGLE</v>
      </c>
      <c r="H2098" s="197">
        <f t="shared" si="385"/>
        <v>0</v>
      </c>
      <c r="K2098" s="186"/>
      <c r="N2098" s="3" t="str">
        <f t="shared" si="383"/>
        <v/>
      </c>
    </row>
    <row r="2099" spans="2:14">
      <c r="B2099" s="83" t="e">
        <f t="array" ref="B2099">SUM(--(FREQUENCY(IF(C$2:C$3074=C2099, MATCH(D$2:D$3074, D$2:D$3074, 0)), ROW(D$2:D$3074)-ROW(D$2)+1) &gt; 0))</f>
        <v>#N/A</v>
      </c>
      <c r="C2099" s="3" t="str">
        <f>IFERROR(INDEX('SCR DATA'!B:B, MATCH($D2099, 'SCR DATA'!A:A, 0)), "")</f>
        <v/>
      </c>
      <c r="E2099" s="3" t="str">
        <f>IFERROR(INDEX('SCR DATA'!E:E, MATCH($D2099, 'SCR DATA'!A:A, 0)), "")</f>
        <v/>
      </c>
      <c r="F2099" s="3" t="str">
        <f>IFERROR(INDEX('SCR DATA'!C:C, MATCH($D2099, 'SCR DATA'!A:A, 0)), "")</f>
        <v/>
      </c>
      <c r="G2099" s="68" t="str">
        <f t="shared" si="384"/>
        <v>SINGLE</v>
      </c>
      <c r="H2099" s="197">
        <f t="shared" si="385"/>
        <v>0</v>
      </c>
      <c r="K2099" s="186"/>
      <c r="N2099" s="3" t="str">
        <f t="shared" si="383"/>
        <v/>
      </c>
    </row>
    <row r="2100" spans="2:14">
      <c r="B2100" s="83" t="e">
        <f t="array" ref="B2100">SUM(--(FREQUENCY(IF(C$2:C$3074=C2100, MATCH(D$2:D$3074, D$2:D$3074, 0)), ROW(D$2:D$3074)-ROW(D$2)+1) &gt; 0))</f>
        <v>#N/A</v>
      </c>
      <c r="C2100" s="3" t="str">
        <f>IFERROR(INDEX('SCR DATA'!B:B, MATCH($D2100, 'SCR DATA'!A:A, 0)), "")</f>
        <v/>
      </c>
      <c r="E2100" s="3" t="str">
        <f>IFERROR(INDEX('SCR DATA'!E:E, MATCH($D2100, 'SCR DATA'!A:A, 0)), "")</f>
        <v/>
      </c>
      <c r="F2100" s="3" t="str">
        <f>IFERROR(INDEX('SCR DATA'!C:C, MATCH($D2100, 'SCR DATA'!A:A, 0)), "")</f>
        <v/>
      </c>
      <c r="G2100" s="68" t="str">
        <f t="shared" si="384"/>
        <v>SINGLE</v>
      </c>
      <c r="H2100" s="197">
        <f t="shared" si="385"/>
        <v>0</v>
      </c>
      <c r="K2100" s="186"/>
      <c r="N2100" s="3" t="str">
        <f t="shared" si="383"/>
        <v/>
      </c>
    </row>
    <row r="2101" spans="2:14">
      <c r="B2101" s="83" t="e">
        <f t="array" ref="B2101">SUM(--(FREQUENCY(IF(C$2:C$3074=C2101, MATCH(D$2:D$3074, D$2:D$3074, 0)), ROW(D$2:D$3074)-ROW(D$2)+1) &gt; 0))</f>
        <v>#N/A</v>
      </c>
      <c r="C2101" s="3" t="str">
        <f>IFERROR(INDEX('SCR DATA'!B:B, MATCH($D2101, 'SCR DATA'!A:A, 0)), "")</f>
        <v/>
      </c>
      <c r="E2101" s="3" t="str">
        <f>IFERROR(INDEX('SCR DATA'!E:E, MATCH($D2101, 'SCR DATA'!A:A, 0)), "")</f>
        <v/>
      </c>
      <c r="F2101" s="3" t="str">
        <f>IFERROR(INDEX('SCR DATA'!C:C, MATCH($D2101, 'SCR DATA'!A:A, 0)), "")</f>
        <v/>
      </c>
      <c r="G2101" s="68" t="str">
        <f t="shared" si="384"/>
        <v>SINGLE</v>
      </c>
      <c r="H2101" s="197">
        <f t="shared" si="385"/>
        <v>0</v>
      </c>
      <c r="K2101" s="186"/>
      <c r="N2101" s="3" t="str">
        <f t="shared" si="383"/>
        <v/>
      </c>
    </row>
    <row r="2102" spans="2:14">
      <c r="B2102" s="83" t="e">
        <f t="array" ref="B2102">SUM(--(FREQUENCY(IF(C$2:C$3074=C2102, MATCH(D$2:D$3074, D$2:D$3074, 0)), ROW(D$2:D$3074)-ROW(D$2)+1) &gt; 0))</f>
        <v>#N/A</v>
      </c>
      <c r="C2102" s="3" t="str">
        <f>IFERROR(INDEX('SCR DATA'!B:B, MATCH($D2102, 'SCR DATA'!A:A, 0)), "")</f>
        <v/>
      </c>
      <c r="E2102" s="3" t="str">
        <f>IFERROR(INDEX('SCR DATA'!E:E, MATCH($D2102, 'SCR DATA'!A:A, 0)), "")</f>
        <v/>
      </c>
      <c r="F2102" s="3" t="str">
        <f>IFERROR(INDEX('SCR DATA'!C:C, MATCH($D2102, 'SCR DATA'!A:A, 0)), "")</f>
        <v/>
      </c>
      <c r="G2102" s="68" t="str">
        <f t="shared" si="384"/>
        <v>SINGLE</v>
      </c>
      <c r="H2102" s="197">
        <f t="shared" si="385"/>
        <v>0</v>
      </c>
      <c r="K2102" s="186"/>
      <c r="N2102" s="3" t="str">
        <f t="shared" si="383"/>
        <v/>
      </c>
    </row>
    <row r="2103" spans="2:14">
      <c r="B2103" s="83" t="e">
        <f t="array" ref="B2103">SUM(--(FREQUENCY(IF(C$2:C$3074=C2103, MATCH(D$2:D$3074, D$2:D$3074, 0)), ROW(D$2:D$3074)-ROW(D$2)+1) &gt; 0))</f>
        <v>#N/A</v>
      </c>
      <c r="C2103" s="3" t="str">
        <f>IFERROR(INDEX('SCR DATA'!B:B, MATCH($D2103, 'SCR DATA'!A:A, 0)), "")</f>
        <v/>
      </c>
      <c r="E2103" s="3" t="str">
        <f>IFERROR(INDEX('SCR DATA'!E:E, MATCH($D2103, 'SCR DATA'!A:A, 0)), "")</f>
        <v/>
      </c>
      <c r="F2103" s="3" t="str">
        <f>IFERROR(INDEX('SCR DATA'!C:C, MATCH($D2103, 'SCR DATA'!A:A, 0)), "")</f>
        <v/>
      </c>
      <c r="G2103" s="68" t="str">
        <f t="shared" si="384"/>
        <v>SINGLE</v>
      </c>
      <c r="H2103" s="197">
        <f t="shared" si="385"/>
        <v>0</v>
      </c>
      <c r="K2103" s="186"/>
      <c r="N2103" s="3" t="str">
        <f t="shared" si="383"/>
        <v/>
      </c>
    </row>
    <row r="2104" spans="2:14">
      <c r="B2104" s="83" t="e">
        <f t="array" ref="B2104">SUM(--(FREQUENCY(IF(C$2:C$3074=C2104, MATCH(D$2:D$3074, D$2:D$3074, 0)), ROW(D$2:D$3074)-ROW(D$2)+1) &gt; 0))</f>
        <v>#N/A</v>
      </c>
      <c r="C2104" s="3" t="str">
        <f>IFERROR(INDEX('SCR DATA'!B:B, MATCH($D2104, 'SCR DATA'!A:A, 0)), "")</f>
        <v/>
      </c>
      <c r="E2104" s="3" t="str">
        <f>IFERROR(INDEX('SCR DATA'!E:E, MATCH($D2104, 'SCR DATA'!A:A, 0)), "")</f>
        <v/>
      </c>
      <c r="F2104" s="3" t="str">
        <f>IFERROR(INDEX('SCR DATA'!C:C, MATCH($D2104, 'SCR DATA'!A:A, 0)), "")</f>
        <v/>
      </c>
      <c r="G2104" s="68" t="str">
        <f t="shared" si="384"/>
        <v>SINGLE</v>
      </c>
      <c r="H2104" s="197">
        <f t="shared" si="385"/>
        <v>0</v>
      </c>
      <c r="K2104" s="186"/>
      <c r="N2104" s="3" t="str">
        <f t="shared" si="383"/>
        <v/>
      </c>
    </row>
    <row r="2105" spans="2:14">
      <c r="B2105" s="83" t="e">
        <f t="array" ref="B2105">SUM(--(FREQUENCY(IF(C$2:C$3074=C2105, MATCH(D$2:D$3074, D$2:D$3074, 0)), ROW(D$2:D$3074)-ROW(D$2)+1) &gt; 0))</f>
        <v>#N/A</v>
      </c>
      <c r="C2105" s="3" t="str">
        <f>IFERROR(INDEX('SCR DATA'!B:B, MATCH($D2105, 'SCR DATA'!A:A, 0)), "")</f>
        <v/>
      </c>
      <c r="E2105" s="3" t="str">
        <f>IFERROR(INDEX('SCR DATA'!E:E, MATCH($D2105, 'SCR DATA'!A:A, 0)), "")</f>
        <v/>
      </c>
      <c r="F2105" s="3" t="str">
        <f>IFERROR(INDEX('SCR DATA'!C:C, MATCH($D2105, 'SCR DATA'!A:A, 0)), "")</f>
        <v/>
      </c>
      <c r="G2105" s="68" t="str">
        <f t="shared" si="384"/>
        <v>SINGLE</v>
      </c>
      <c r="H2105" s="197">
        <f t="shared" si="385"/>
        <v>0</v>
      </c>
      <c r="K2105" s="186"/>
      <c r="N2105" s="3" t="str">
        <f t="shared" si="383"/>
        <v/>
      </c>
    </row>
    <row r="2106" spans="2:14">
      <c r="B2106" s="83" t="e">
        <f t="array" ref="B2106">SUM(--(FREQUENCY(IF(C$2:C$3074=C2106, MATCH(D$2:D$3074, D$2:D$3074, 0)), ROW(D$2:D$3074)-ROW(D$2)+1) &gt; 0))</f>
        <v>#N/A</v>
      </c>
      <c r="C2106" s="3" t="str">
        <f>IFERROR(INDEX('SCR DATA'!B:B, MATCH($D2106, 'SCR DATA'!A:A, 0)), "")</f>
        <v/>
      </c>
      <c r="E2106" s="3" t="str">
        <f>IFERROR(INDEX('SCR DATA'!E:E, MATCH($D2106, 'SCR DATA'!A:A, 0)), "")</f>
        <v/>
      </c>
      <c r="F2106" s="3" t="str">
        <f>IFERROR(INDEX('SCR DATA'!C:C, MATCH($D2106, 'SCR DATA'!A:A, 0)), "")</f>
        <v/>
      </c>
      <c r="G2106" s="68" t="str">
        <f t="shared" si="384"/>
        <v>SINGLE</v>
      </c>
      <c r="H2106" s="197">
        <f t="shared" si="385"/>
        <v>0</v>
      </c>
      <c r="K2106" s="186"/>
      <c r="N2106" s="3" t="str">
        <f t="shared" si="383"/>
        <v/>
      </c>
    </row>
    <row r="2107" spans="2:14">
      <c r="B2107" s="83" t="e">
        <f t="array" ref="B2107">SUM(--(FREQUENCY(IF(C$2:C$3074=C2107, MATCH(D$2:D$3074, D$2:D$3074, 0)), ROW(D$2:D$3074)-ROW(D$2)+1) &gt; 0))</f>
        <v>#N/A</v>
      </c>
      <c r="C2107" s="3" t="str">
        <f>IFERROR(INDEX('SCR DATA'!B:B, MATCH($D2107, 'SCR DATA'!A:A, 0)), "")</f>
        <v/>
      </c>
      <c r="E2107" s="3" t="str">
        <f>IFERROR(INDEX('SCR DATA'!E:E, MATCH($D2107, 'SCR DATA'!A:A, 0)), "")</f>
        <v/>
      </c>
      <c r="F2107" s="3" t="str">
        <f>IFERROR(INDEX('SCR DATA'!C:C, MATCH($D2107, 'SCR DATA'!A:A, 0)), "")</f>
        <v/>
      </c>
      <c r="G2107" s="68" t="str">
        <f t="shared" si="384"/>
        <v>SINGLE</v>
      </c>
      <c r="H2107" s="197">
        <f t="shared" si="385"/>
        <v>0</v>
      </c>
      <c r="K2107" s="186"/>
      <c r="N2107" s="3" t="str">
        <f t="shared" si="383"/>
        <v/>
      </c>
    </row>
    <row r="2108" spans="2:14">
      <c r="B2108" s="83" t="e">
        <f t="array" ref="B2108">SUM(--(FREQUENCY(IF(C$2:C$3074=C2108, MATCH(D$2:D$3074, D$2:D$3074, 0)), ROW(D$2:D$3074)-ROW(D$2)+1) &gt; 0))</f>
        <v>#N/A</v>
      </c>
      <c r="C2108" s="3" t="str">
        <f>IFERROR(INDEX('SCR DATA'!B:B, MATCH($D2108, 'SCR DATA'!A:A, 0)), "")</f>
        <v/>
      </c>
      <c r="G2108" s="68" t="str">
        <f t="shared" ref="G2101:G2164" si="386">IF(OR(ISNUMBER(SEARCH("DUAL",F2108)), ISNUMBER(SEARCH("IVAS",F2108))), "DUAL", "SINGLE")</f>
        <v>SINGLE</v>
      </c>
      <c r="K2108" s="186"/>
      <c r="N2108" s="3" t="str">
        <f t="shared" si="383"/>
        <v/>
      </c>
    </row>
    <row r="2109" spans="2:14">
      <c r="B2109" s="83" t="e">
        <f t="array" ref="B2109">SUM(--(FREQUENCY(IF(C$2:C$3074=C2109, MATCH(D$2:D$3074, D$2:D$3074, 0)), ROW(D$2:D$3074)-ROW(D$2)+1) &gt; 0))</f>
        <v>#N/A</v>
      </c>
      <c r="C2109" s="3" t="str">
        <f>IFERROR(INDEX('SCR DATA'!B:B, MATCH($D2109, 'SCR DATA'!A:A, 0)), "")</f>
        <v/>
      </c>
      <c r="G2109" s="68" t="str">
        <f t="shared" si="386"/>
        <v>SINGLE</v>
      </c>
      <c r="K2109" s="186"/>
      <c r="N2109" s="3" t="str">
        <f t="shared" si="383"/>
        <v/>
      </c>
    </row>
    <row r="2110" spans="2:14">
      <c r="B2110" s="83" t="e">
        <f t="array" ref="B2110">SUM(--(FREQUENCY(IF(C$2:C$3074=C2110, MATCH(D$2:D$3074, D$2:D$3074, 0)), ROW(D$2:D$3074)-ROW(D$2)+1) &gt; 0))</f>
        <v>#N/A</v>
      </c>
      <c r="C2110" s="3" t="str">
        <f>IFERROR(INDEX('SCR DATA'!B:B, MATCH($D2110, 'SCR DATA'!A:A, 0)), "")</f>
        <v/>
      </c>
      <c r="G2110" s="68" t="str">
        <f t="shared" si="386"/>
        <v>SINGLE</v>
      </c>
      <c r="K2110" s="186"/>
      <c r="N2110" s="3" t="str">
        <f t="shared" si="383"/>
        <v/>
      </c>
    </row>
    <row r="2111" spans="2:14">
      <c r="B2111" s="83" t="e">
        <f t="array" ref="B2111">SUM(--(FREQUENCY(IF(C$2:C$3074=C2111, MATCH(D$2:D$3074, D$2:D$3074, 0)), ROW(D$2:D$3074)-ROW(D$2)+1) &gt; 0))</f>
        <v>#N/A</v>
      </c>
      <c r="C2111" s="3" t="str">
        <f>IFERROR(INDEX('SCR DATA'!B:B, MATCH($D2111, 'SCR DATA'!A:A, 0)), "")</f>
        <v/>
      </c>
      <c r="G2111" s="68" t="str">
        <f t="shared" si="386"/>
        <v>SINGLE</v>
      </c>
      <c r="K2111" s="186"/>
      <c r="N2111" s="3" t="str">
        <f t="shared" ref="N2111:N2174" si="387">IF(O2111&lt;&gt;"", "NG", "")</f>
        <v/>
      </c>
    </row>
    <row r="2112" spans="2:14">
      <c r="B2112" s="83" t="e">
        <f t="array" ref="B2112">SUM(--(FREQUENCY(IF(C$2:C$3074=C2112, MATCH(D$2:D$3074, D$2:D$3074, 0)), ROW(D$2:D$3074)-ROW(D$2)+1) &gt; 0))</f>
        <v>#N/A</v>
      </c>
      <c r="C2112" s="3" t="str">
        <f>IFERROR(INDEX('SCR DATA'!B:B, MATCH($D2112, 'SCR DATA'!A:A, 0)), "")</f>
        <v/>
      </c>
      <c r="G2112" s="68" t="str">
        <f t="shared" si="386"/>
        <v>SINGLE</v>
      </c>
      <c r="K2112" s="186"/>
      <c r="N2112" s="3" t="str">
        <f t="shared" si="387"/>
        <v/>
      </c>
    </row>
    <row r="2113" spans="2:14">
      <c r="B2113" s="83" t="e">
        <f t="array" ref="B2113">SUM(--(FREQUENCY(IF(C$2:C$3074=C2113, MATCH(D$2:D$3074, D$2:D$3074, 0)), ROW(D$2:D$3074)-ROW(D$2)+1) &gt; 0))</f>
        <v>#N/A</v>
      </c>
      <c r="C2113" s="3" t="str">
        <f>IFERROR(INDEX('SCR DATA'!B:B, MATCH($D2113, 'SCR DATA'!A:A, 0)), "")</f>
        <v/>
      </c>
      <c r="G2113" s="68" t="str">
        <f t="shared" si="386"/>
        <v>SINGLE</v>
      </c>
      <c r="K2113" s="186"/>
      <c r="N2113" s="3" t="str">
        <f t="shared" si="387"/>
        <v/>
      </c>
    </row>
    <row r="2114" spans="2:14">
      <c r="B2114" s="83" t="e">
        <f t="array" ref="B2114">SUM(--(FREQUENCY(IF(C$2:C$3074=C2114, MATCH(D$2:D$3074, D$2:D$3074, 0)), ROW(D$2:D$3074)-ROW(D$2)+1) &gt; 0))</f>
        <v>#N/A</v>
      </c>
      <c r="C2114" s="3" t="str">
        <f>IFERROR(INDEX('SCR DATA'!B:B, MATCH($D2114, 'SCR DATA'!A:A, 0)), "")</f>
        <v/>
      </c>
      <c r="G2114" s="68" t="str">
        <f t="shared" si="386"/>
        <v>SINGLE</v>
      </c>
      <c r="K2114" s="186"/>
      <c r="N2114" s="3" t="str">
        <f t="shared" si="387"/>
        <v/>
      </c>
    </row>
    <row r="2115" spans="2:14">
      <c r="B2115" s="83" t="e">
        <f t="array" ref="B2115">SUM(--(FREQUENCY(IF(C$2:C$3074=C2115, MATCH(D$2:D$3074, D$2:D$3074, 0)), ROW(D$2:D$3074)-ROW(D$2)+1) &gt; 0))</f>
        <v>#N/A</v>
      </c>
      <c r="C2115" s="3" t="str">
        <f>IFERROR(INDEX('SCR DATA'!B:B, MATCH($D2115, 'SCR DATA'!A:A, 0)), "")</f>
        <v/>
      </c>
      <c r="G2115" s="68" t="str">
        <f t="shared" si="386"/>
        <v>SINGLE</v>
      </c>
      <c r="K2115" s="186"/>
      <c r="N2115" s="3" t="str">
        <f t="shared" si="387"/>
        <v/>
      </c>
    </row>
    <row r="2116" spans="2:14">
      <c r="B2116" s="83" t="e">
        <f t="array" ref="B2116">SUM(--(FREQUENCY(IF(C$2:C$3074=C2116, MATCH(D$2:D$3074, D$2:D$3074, 0)), ROW(D$2:D$3074)-ROW(D$2)+1) &gt; 0))</f>
        <v>#N/A</v>
      </c>
      <c r="C2116" s="3" t="str">
        <f>IFERROR(INDEX('SCR DATA'!B:B, MATCH($D2116, 'SCR DATA'!A:A, 0)), "")</f>
        <v/>
      </c>
      <c r="G2116" s="68" t="str">
        <f t="shared" si="386"/>
        <v>SINGLE</v>
      </c>
      <c r="K2116" s="186"/>
      <c r="N2116" s="3" t="str">
        <f t="shared" si="387"/>
        <v/>
      </c>
    </row>
    <row r="2117" spans="2:14">
      <c r="B2117" s="83" t="e">
        <f t="array" ref="B2117">SUM(--(FREQUENCY(IF(C$2:C$3074=C2117, MATCH(D$2:D$3074, D$2:D$3074, 0)), ROW(D$2:D$3074)-ROW(D$2)+1) &gt; 0))</f>
        <v>#N/A</v>
      </c>
      <c r="C2117" s="3" t="str">
        <f>IFERROR(INDEX('SCR DATA'!B:B, MATCH($D2117, 'SCR DATA'!A:A, 0)), "")</f>
        <v/>
      </c>
      <c r="G2117" s="68" t="str">
        <f t="shared" si="386"/>
        <v>SINGLE</v>
      </c>
      <c r="K2117" s="186"/>
      <c r="N2117" s="3" t="str">
        <f t="shared" si="387"/>
        <v/>
      </c>
    </row>
    <row r="2118" spans="2:14">
      <c r="B2118" s="83" t="e">
        <f t="array" ref="B2118">SUM(--(FREQUENCY(IF(C$2:C$3074=C2118, MATCH(D$2:D$3074, D$2:D$3074, 0)), ROW(D$2:D$3074)-ROW(D$2)+1) &gt; 0))</f>
        <v>#N/A</v>
      </c>
      <c r="C2118" s="3" t="str">
        <f>IFERROR(INDEX('SCR DATA'!B:B, MATCH($D2118, 'SCR DATA'!A:A, 0)), "")</f>
        <v/>
      </c>
      <c r="G2118" s="68" t="str">
        <f t="shared" si="386"/>
        <v>SINGLE</v>
      </c>
      <c r="K2118" s="186"/>
      <c r="N2118" s="3" t="str">
        <f t="shared" si="387"/>
        <v/>
      </c>
    </row>
    <row r="2119" spans="2:14">
      <c r="B2119" s="83" t="e">
        <f t="array" ref="B2119">SUM(--(FREQUENCY(IF(C$2:C$3074=C2119, MATCH(D$2:D$3074, D$2:D$3074, 0)), ROW(D$2:D$3074)-ROW(D$2)+1) &gt; 0))</f>
        <v>#N/A</v>
      </c>
      <c r="C2119" s="3" t="str">
        <f>IFERROR(INDEX('SCR DATA'!B:B, MATCH($D2119, 'SCR DATA'!A:A, 0)), "")</f>
        <v/>
      </c>
      <c r="G2119" s="68" t="str">
        <f t="shared" si="386"/>
        <v>SINGLE</v>
      </c>
      <c r="K2119" s="186"/>
      <c r="N2119" s="3" t="str">
        <f t="shared" si="387"/>
        <v/>
      </c>
    </row>
    <row r="2120" spans="2:14">
      <c r="B2120" s="83" t="e">
        <f t="array" ref="B2120">SUM(--(FREQUENCY(IF(C$2:C$3074=C2120, MATCH(D$2:D$3074, D$2:D$3074, 0)), ROW(D$2:D$3074)-ROW(D$2)+1) &gt; 0))</f>
        <v>#N/A</v>
      </c>
      <c r="C2120" s="3" t="str">
        <f>IFERROR(INDEX('SCR DATA'!B:B, MATCH($D2120, 'SCR DATA'!A:A, 0)), "")</f>
        <v/>
      </c>
      <c r="G2120" s="68" t="str">
        <f t="shared" si="386"/>
        <v>SINGLE</v>
      </c>
      <c r="K2120" s="186"/>
      <c r="N2120" s="3" t="str">
        <f t="shared" si="387"/>
        <v/>
      </c>
    </row>
    <row r="2121" spans="2:14">
      <c r="B2121" s="83" t="e">
        <f t="array" ref="B2121">SUM(--(FREQUENCY(IF(C$2:C$3074=C2121, MATCH(D$2:D$3074, D$2:D$3074, 0)), ROW(D$2:D$3074)-ROW(D$2)+1) &gt; 0))</f>
        <v>#N/A</v>
      </c>
      <c r="C2121" s="3" t="str">
        <f>IFERROR(INDEX('SCR DATA'!B:B, MATCH($D2121, 'SCR DATA'!A:A, 0)), "")</f>
        <v/>
      </c>
      <c r="G2121" s="68" t="str">
        <f t="shared" si="386"/>
        <v>SINGLE</v>
      </c>
      <c r="K2121" s="186"/>
      <c r="N2121" s="3" t="str">
        <f t="shared" si="387"/>
        <v/>
      </c>
    </row>
    <row r="2122" spans="2:14">
      <c r="B2122" s="83" t="e">
        <f t="array" ref="B2122">SUM(--(FREQUENCY(IF(C$2:C$3074=C2122, MATCH(D$2:D$3074, D$2:D$3074, 0)), ROW(D$2:D$3074)-ROW(D$2)+1) &gt; 0))</f>
        <v>#N/A</v>
      </c>
      <c r="C2122" s="3" t="str">
        <f>IFERROR(INDEX('SCR DATA'!B:B, MATCH($D2122, 'SCR DATA'!A:A, 0)), "")</f>
        <v/>
      </c>
      <c r="G2122" s="68" t="str">
        <f t="shared" si="386"/>
        <v>SINGLE</v>
      </c>
      <c r="K2122" s="186"/>
      <c r="N2122" s="3" t="str">
        <f t="shared" si="387"/>
        <v/>
      </c>
    </row>
    <row r="2123" spans="2:14">
      <c r="B2123" s="83" t="e">
        <f t="array" ref="B2123">SUM(--(FREQUENCY(IF(C$2:C$3074=C2123, MATCH(D$2:D$3074, D$2:D$3074, 0)), ROW(D$2:D$3074)-ROW(D$2)+1) &gt; 0))</f>
        <v>#N/A</v>
      </c>
      <c r="C2123" s="3" t="str">
        <f>IFERROR(INDEX('SCR DATA'!B:B, MATCH($D2123, 'SCR DATA'!A:A, 0)), "")</f>
        <v/>
      </c>
      <c r="G2123" s="68" t="str">
        <f t="shared" si="386"/>
        <v>SINGLE</v>
      </c>
      <c r="K2123" s="186"/>
      <c r="N2123" s="3" t="str">
        <f t="shared" si="387"/>
        <v/>
      </c>
    </row>
    <row r="2124" spans="2:14">
      <c r="B2124" s="83" t="e">
        <f t="array" ref="B2124">SUM(--(FREQUENCY(IF(C$2:C$3074=C2124, MATCH(D$2:D$3074, D$2:D$3074, 0)), ROW(D$2:D$3074)-ROW(D$2)+1) &gt; 0))</f>
        <v>#N/A</v>
      </c>
      <c r="C2124" s="3" t="str">
        <f>IFERROR(INDEX('SCR DATA'!B:B, MATCH($D2124, 'SCR DATA'!A:A, 0)), "")</f>
        <v/>
      </c>
      <c r="G2124" s="68" t="str">
        <f t="shared" si="386"/>
        <v>SINGLE</v>
      </c>
      <c r="K2124" s="186"/>
      <c r="N2124" s="3" t="str">
        <f t="shared" si="387"/>
        <v/>
      </c>
    </row>
    <row r="2125" spans="2:14">
      <c r="B2125" s="83" t="e">
        <f t="array" ref="B2125">SUM(--(FREQUENCY(IF(C$2:C$3074=C2125, MATCH(D$2:D$3074, D$2:D$3074, 0)), ROW(D$2:D$3074)-ROW(D$2)+1) &gt; 0))</f>
        <v>#N/A</v>
      </c>
      <c r="C2125" s="3" t="str">
        <f>IFERROR(INDEX('SCR DATA'!B:B, MATCH($D2125, 'SCR DATA'!A:A, 0)), "")</f>
        <v/>
      </c>
      <c r="G2125" s="68" t="str">
        <f t="shared" si="386"/>
        <v>SINGLE</v>
      </c>
      <c r="K2125" s="186"/>
      <c r="N2125" s="3" t="str">
        <f t="shared" si="387"/>
        <v/>
      </c>
    </row>
    <row r="2126" spans="2:14">
      <c r="B2126" s="83" t="e">
        <f t="array" ref="B2126">SUM(--(FREQUENCY(IF(C$2:C$3074=C2126, MATCH(D$2:D$3074, D$2:D$3074, 0)), ROW(D$2:D$3074)-ROW(D$2)+1) &gt; 0))</f>
        <v>#N/A</v>
      </c>
      <c r="C2126" s="3" t="str">
        <f>IFERROR(INDEX('SCR DATA'!B:B, MATCH($D2126, 'SCR DATA'!A:A, 0)), "")</f>
        <v/>
      </c>
      <c r="G2126" s="68" t="str">
        <f t="shared" si="386"/>
        <v>SINGLE</v>
      </c>
      <c r="K2126" s="186"/>
      <c r="N2126" s="3" t="str">
        <f t="shared" si="387"/>
        <v/>
      </c>
    </row>
    <row r="2127" spans="2:14">
      <c r="B2127" s="83" t="e">
        <f t="array" ref="B2127">SUM(--(FREQUENCY(IF(C$2:C$3074=C2127, MATCH(D$2:D$3074, D$2:D$3074, 0)), ROW(D$2:D$3074)-ROW(D$2)+1) &gt; 0))</f>
        <v>#N/A</v>
      </c>
      <c r="C2127" s="3" t="str">
        <f>IFERROR(INDEX('SCR DATA'!B:B, MATCH($D2127, 'SCR DATA'!A:A, 0)), "")</f>
        <v/>
      </c>
      <c r="G2127" s="68" t="str">
        <f t="shared" si="386"/>
        <v>SINGLE</v>
      </c>
      <c r="K2127" s="186"/>
      <c r="N2127" s="3" t="str">
        <f t="shared" si="387"/>
        <v/>
      </c>
    </row>
    <row r="2128" spans="2:14">
      <c r="B2128" s="83" t="e">
        <f t="array" ref="B2128">SUM(--(FREQUENCY(IF(C$2:C$3074=C2128, MATCH(D$2:D$3074, D$2:D$3074, 0)), ROW(D$2:D$3074)-ROW(D$2)+1) &gt; 0))</f>
        <v>#N/A</v>
      </c>
      <c r="C2128" s="3" t="str">
        <f>IFERROR(INDEX('SCR DATA'!B:B, MATCH($D2128, 'SCR DATA'!A:A, 0)), "")</f>
        <v/>
      </c>
      <c r="G2128" s="68" t="str">
        <f t="shared" si="386"/>
        <v>SINGLE</v>
      </c>
      <c r="K2128" s="186"/>
      <c r="N2128" s="3" t="str">
        <f t="shared" si="387"/>
        <v/>
      </c>
    </row>
    <row r="2129" spans="2:14">
      <c r="B2129" s="83" t="e">
        <f t="array" ref="B2129">SUM(--(FREQUENCY(IF(C$2:C$3074=C2129, MATCH(D$2:D$3074, D$2:D$3074, 0)), ROW(D$2:D$3074)-ROW(D$2)+1) &gt; 0))</f>
        <v>#N/A</v>
      </c>
      <c r="C2129" s="3" t="str">
        <f>IFERROR(INDEX('SCR DATA'!B:B, MATCH($D2129, 'SCR DATA'!A:A, 0)), "")</f>
        <v/>
      </c>
      <c r="G2129" s="68" t="str">
        <f t="shared" si="386"/>
        <v>SINGLE</v>
      </c>
      <c r="K2129" s="186"/>
      <c r="N2129" s="3" t="str">
        <f t="shared" si="387"/>
        <v/>
      </c>
    </row>
    <row r="2130" spans="2:14">
      <c r="B2130" s="83" t="e">
        <f t="array" ref="B2130">SUM(--(FREQUENCY(IF(C$2:C$3074=C2130, MATCH(D$2:D$3074, D$2:D$3074, 0)), ROW(D$2:D$3074)-ROW(D$2)+1) &gt; 0))</f>
        <v>#N/A</v>
      </c>
      <c r="C2130" s="3" t="str">
        <f>IFERROR(INDEX('SCR DATA'!B:B, MATCH($D2130, 'SCR DATA'!A:A, 0)), "")</f>
        <v/>
      </c>
      <c r="G2130" s="68" t="str">
        <f t="shared" si="386"/>
        <v>SINGLE</v>
      </c>
      <c r="K2130" s="186"/>
      <c r="N2130" s="3" t="str">
        <f t="shared" si="387"/>
        <v/>
      </c>
    </row>
    <row r="2131" spans="2:14">
      <c r="B2131" s="83" t="e">
        <f t="array" ref="B2131">SUM(--(FREQUENCY(IF(C$2:C$3074=C2131, MATCH(D$2:D$3074, D$2:D$3074, 0)), ROW(D$2:D$3074)-ROW(D$2)+1) &gt; 0))</f>
        <v>#N/A</v>
      </c>
      <c r="C2131" s="3" t="str">
        <f>IFERROR(INDEX('SCR DATA'!B:B, MATCH($D2131, 'SCR DATA'!A:A, 0)), "")</f>
        <v/>
      </c>
      <c r="G2131" s="68" t="str">
        <f t="shared" si="386"/>
        <v>SINGLE</v>
      </c>
      <c r="K2131" s="186"/>
      <c r="N2131" s="3" t="str">
        <f t="shared" si="387"/>
        <v/>
      </c>
    </row>
    <row r="2132" spans="2:14">
      <c r="B2132" s="83" t="e">
        <f t="array" ref="B2132">SUM(--(FREQUENCY(IF(C$2:C$3074=C2132, MATCH(D$2:D$3074, D$2:D$3074, 0)), ROW(D$2:D$3074)-ROW(D$2)+1) &gt; 0))</f>
        <v>#N/A</v>
      </c>
      <c r="C2132" s="3" t="str">
        <f>IFERROR(INDEX('SCR DATA'!B:B, MATCH($D2132, 'SCR DATA'!A:A, 0)), "")</f>
        <v/>
      </c>
      <c r="G2132" s="68" t="str">
        <f t="shared" si="386"/>
        <v>SINGLE</v>
      </c>
      <c r="K2132" s="186"/>
      <c r="N2132" s="3" t="str">
        <f t="shared" si="387"/>
        <v/>
      </c>
    </row>
    <row r="2133" spans="2:14">
      <c r="B2133" s="83" t="e">
        <f t="array" ref="B2133">SUM(--(FREQUENCY(IF(C$2:C$3074=C2133, MATCH(D$2:D$3074, D$2:D$3074, 0)), ROW(D$2:D$3074)-ROW(D$2)+1) &gt; 0))</f>
        <v>#N/A</v>
      </c>
      <c r="C2133" s="3" t="str">
        <f>IFERROR(INDEX('SCR DATA'!B:B, MATCH($D2133, 'SCR DATA'!A:A, 0)), "")</f>
        <v/>
      </c>
      <c r="G2133" s="68" t="str">
        <f t="shared" si="386"/>
        <v>SINGLE</v>
      </c>
      <c r="K2133" s="186"/>
      <c r="N2133" s="3" t="str">
        <f t="shared" si="387"/>
        <v/>
      </c>
    </row>
    <row r="2134" spans="2:14">
      <c r="B2134" s="83" t="e">
        <f t="array" ref="B2134">SUM(--(FREQUENCY(IF(C$2:C$3074=C2134, MATCH(D$2:D$3074, D$2:D$3074, 0)), ROW(D$2:D$3074)-ROW(D$2)+1) &gt; 0))</f>
        <v>#N/A</v>
      </c>
      <c r="C2134" s="3" t="str">
        <f>IFERROR(INDEX('SCR DATA'!B:B, MATCH($D2134, 'SCR DATA'!A:A, 0)), "")</f>
        <v/>
      </c>
      <c r="G2134" s="68" t="str">
        <f t="shared" si="386"/>
        <v>SINGLE</v>
      </c>
      <c r="K2134" s="186"/>
      <c r="N2134" s="3" t="str">
        <f t="shared" si="387"/>
        <v/>
      </c>
    </row>
    <row r="2135" spans="2:14">
      <c r="B2135" s="83" t="e">
        <f t="array" ref="B2135">SUM(--(FREQUENCY(IF(C$2:C$3074=C2135, MATCH(D$2:D$3074, D$2:D$3074, 0)), ROW(D$2:D$3074)-ROW(D$2)+1) &gt; 0))</f>
        <v>#N/A</v>
      </c>
      <c r="C2135" s="3" t="str">
        <f>IFERROR(INDEX('SCR DATA'!B:B, MATCH($D2135, 'SCR DATA'!A:A, 0)), "")</f>
        <v/>
      </c>
      <c r="G2135" s="68" t="str">
        <f t="shared" si="386"/>
        <v>SINGLE</v>
      </c>
      <c r="K2135" s="186"/>
      <c r="N2135" s="3" t="str">
        <f t="shared" si="387"/>
        <v/>
      </c>
    </row>
    <row r="2136" spans="2:14">
      <c r="B2136" s="83" t="e">
        <f t="array" ref="B2136">SUM(--(FREQUENCY(IF(C$2:C$3074=C2136, MATCH(D$2:D$3074, D$2:D$3074, 0)), ROW(D$2:D$3074)-ROW(D$2)+1) &gt; 0))</f>
        <v>#N/A</v>
      </c>
      <c r="C2136" s="3" t="str">
        <f>IFERROR(INDEX('SCR DATA'!B:B, MATCH($D2136, 'SCR DATA'!A:A, 0)), "")</f>
        <v/>
      </c>
      <c r="G2136" s="68" t="str">
        <f t="shared" si="386"/>
        <v>SINGLE</v>
      </c>
      <c r="K2136" s="186"/>
      <c r="N2136" s="3" t="str">
        <f t="shared" si="387"/>
        <v/>
      </c>
    </row>
    <row r="2137" spans="2:14">
      <c r="B2137" s="83" t="e">
        <f t="array" ref="B2137">SUM(--(FREQUENCY(IF(C$2:C$3074=C2137, MATCH(D$2:D$3074, D$2:D$3074, 0)), ROW(D$2:D$3074)-ROW(D$2)+1) &gt; 0))</f>
        <v>#N/A</v>
      </c>
      <c r="C2137" s="3" t="str">
        <f>IFERROR(INDEX('SCR DATA'!B:B, MATCH($D2137, 'SCR DATA'!A:A, 0)), "")</f>
        <v/>
      </c>
      <c r="G2137" s="68" t="str">
        <f t="shared" si="386"/>
        <v>SINGLE</v>
      </c>
      <c r="K2137" s="186"/>
      <c r="N2137" s="3" t="str">
        <f t="shared" si="387"/>
        <v/>
      </c>
    </row>
    <row r="2138" spans="2:14">
      <c r="B2138" s="83" t="e">
        <f t="array" ref="B2138">SUM(--(FREQUENCY(IF(C$2:C$3074=C2138, MATCH(D$2:D$3074, D$2:D$3074, 0)), ROW(D$2:D$3074)-ROW(D$2)+1) &gt; 0))</f>
        <v>#N/A</v>
      </c>
      <c r="C2138" s="3" t="str">
        <f>IFERROR(INDEX('SCR DATA'!B:B, MATCH($D2138, 'SCR DATA'!A:A, 0)), "")</f>
        <v/>
      </c>
      <c r="G2138" s="68" t="str">
        <f t="shared" si="386"/>
        <v>SINGLE</v>
      </c>
      <c r="K2138" s="186"/>
      <c r="N2138" s="3" t="str">
        <f t="shared" si="387"/>
        <v/>
      </c>
    </row>
    <row r="2139" spans="2:14">
      <c r="B2139" s="83" t="e">
        <f t="array" ref="B2139">SUM(--(FREQUENCY(IF(C$2:C$3074=C2139, MATCH(D$2:D$3074, D$2:D$3074, 0)), ROW(D$2:D$3074)-ROW(D$2)+1) &gt; 0))</f>
        <v>#N/A</v>
      </c>
      <c r="C2139" s="3" t="str">
        <f>IFERROR(INDEX('SCR DATA'!B:B, MATCH($D2139, 'SCR DATA'!A:A, 0)), "")</f>
        <v/>
      </c>
      <c r="G2139" s="68" t="str">
        <f t="shared" si="386"/>
        <v>SINGLE</v>
      </c>
      <c r="K2139" s="186"/>
      <c r="N2139" s="3" t="str">
        <f t="shared" si="387"/>
        <v/>
      </c>
    </row>
    <row r="2140" spans="2:14">
      <c r="B2140" s="83" t="e">
        <f t="array" ref="B2140">SUM(--(FREQUENCY(IF(C$2:C$3074=C2140, MATCH(D$2:D$3074, D$2:D$3074, 0)), ROW(D$2:D$3074)-ROW(D$2)+1) &gt; 0))</f>
        <v>#N/A</v>
      </c>
      <c r="C2140" s="3" t="str">
        <f>IFERROR(INDEX('SCR DATA'!B:B, MATCH($D2140, 'SCR DATA'!A:A, 0)), "")</f>
        <v/>
      </c>
      <c r="G2140" s="68" t="str">
        <f t="shared" si="386"/>
        <v>SINGLE</v>
      </c>
      <c r="K2140" s="186"/>
      <c r="N2140" s="3" t="str">
        <f t="shared" si="387"/>
        <v/>
      </c>
    </row>
    <row r="2141" spans="2:14">
      <c r="B2141" s="83" t="e">
        <f t="array" ref="B2141">SUM(--(FREQUENCY(IF(C$2:C$3074=C2141, MATCH(D$2:D$3074, D$2:D$3074, 0)), ROW(D$2:D$3074)-ROW(D$2)+1) &gt; 0))</f>
        <v>#N/A</v>
      </c>
      <c r="C2141" s="3" t="str">
        <f>IFERROR(INDEX('SCR DATA'!B:B, MATCH($D2141, 'SCR DATA'!A:A, 0)), "")</f>
        <v/>
      </c>
      <c r="G2141" s="68" t="str">
        <f t="shared" si="386"/>
        <v>SINGLE</v>
      </c>
      <c r="K2141" s="186"/>
      <c r="N2141" s="3" t="str">
        <f t="shared" si="387"/>
        <v/>
      </c>
    </row>
    <row r="2142" spans="2:14">
      <c r="B2142" s="83" t="e">
        <f t="array" ref="B2142">SUM(--(FREQUENCY(IF(C$2:C$3074=C2142, MATCH(D$2:D$3074, D$2:D$3074, 0)), ROW(D$2:D$3074)-ROW(D$2)+1) &gt; 0))</f>
        <v>#N/A</v>
      </c>
      <c r="C2142" s="3" t="str">
        <f>IFERROR(INDEX('SCR DATA'!B:B, MATCH($D2142, 'SCR DATA'!A:A, 0)), "")</f>
        <v/>
      </c>
      <c r="G2142" s="68" t="str">
        <f t="shared" si="386"/>
        <v>SINGLE</v>
      </c>
      <c r="K2142" s="186"/>
      <c r="N2142" s="3" t="str">
        <f t="shared" si="387"/>
        <v/>
      </c>
    </row>
    <row r="2143" spans="2:14">
      <c r="B2143" s="83" t="e">
        <f t="array" ref="B2143">SUM(--(FREQUENCY(IF(C$2:C$3074=C2143, MATCH(D$2:D$3074, D$2:D$3074, 0)), ROW(D$2:D$3074)-ROW(D$2)+1) &gt; 0))</f>
        <v>#N/A</v>
      </c>
      <c r="C2143" s="3" t="str">
        <f>IFERROR(INDEX('SCR DATA'!B:B, MATCH($D2143, 'SCR DATA'!A:A, 0)), "")</f>
        <v/>
      </c>
      <c r="G2143" s="68" t="str">
        <f t="shared" si="386"/>
        <v>SINGLE</v>
      </c>
      <c r="K2143" s="186"/>
      <c r="N2143" s="3" t="str">
        <f t="shared" si="387"/>
        <v/>
      </c>
    </row>
    <row r="2144" spans="2:14">
      <c r="B2144" s="83" t="e">
        <f t="array" ref="B2144">SUM(--(FREQUENCY(IF(C$2:C$3074=C2144, MATCH(D$2:D$3074, D$2:D$3074, 0)), ROW(D$2:D$3074)-ROW(D$2)+1) &gt; 0))</f>
        <v>#N/A</v>
      </c>
      <c r="G2144" s="68" t="str">
        <f t="shared" si="386"/>
        <v>SINGLE</v>
      </c>
      <c r="K2144" s="186"/>
      <c r="N2144" s="3" t="str">
        <f t="shared" si="387"/>
        <v/>
      </c>
    </row>
    <row r="2145" spans="2:14">
      <c r="B2145" s="83" t="e">
        <f t="array" ref="B2145">SUM(--(FREQUENCY(IF(C$2:C$3074=C2145, MATCH(D$2:D$3074, D$2:D$3074, 0)), ROW(D$2:D$3074)-ROW(D$2)+1) &gt; 0))</f>
        <v>#N/A</v>
      </c>
      <c r="G2145" s="68" t="str">
        <f t="shared" si="386"/>
        <v>SINGLE</v>
      </c>
      <c r="K2145" s="186"/>
      <c r="N2145" s="3" t="str">
        <f t="shared" si="387"/>
        <v/>
      </c>
    </row>
    <row r="2146" spans="2:14">
      <c r="B2146" s="83" t="e">
        <f t="array" ref="B2146">SUM(--(FREQUENCY(IF(C$2:C$3074=C2146, MATCH(D$2:D$3074, D$2:D$3074, 0)), ROW(D$2:D$3074)-ROW(D$2)+1) &gt; 0))</f>
        <v>#N/A</v>
      </c>
      <c r="G2146" s="68" t="str">
        <f t="shared" si="386"/>
        <v>SINGLE</v>
      </c>
      <c r="K2146" s="186"/>
      <c r="N2146" s="3" t="str">
        <f t="shared" si="387"/>
        <v/>
      </c>
    </row>
    <row r="2147" spans="2:14">
      <c r="B2147" s="83" t="e">
        <f t="array" ref="B2147">SUM(--(FREQUENCY(IF(C$2:C$3074=C2147, MATCH(D$2:D$3074, D$2:D$3074, 0)), ROW(D$2:D$3074)-ROW(D$2)+1) &gt; 0))</f>
        <v>#N/A</v>
      </c>
      <c r="G2147" s="68" t="str">
        <f t="shared" si="386"/>
        <v>SINGLE</v>
      </c>
      <c r="K2147" s="186"/>
      <c r="N2147" s="3" t="str">
        <f t="shared" si="387"/>
        <v/>
      </c>
    </row>
    <row r="2148" spans="2:14">
      <c r="B2148" s="83" t="e">
        <f t="array" ref="B2148">SUM(--(FREQUENCY(IF(C$2:C$3074=C2148, MATCH(D$2:D$3074, D$2:D$3074, 0)), ROW(D$2:D$3074)-ROW(D$2)+1) &gt; 0))</f>
        <v>#N/A</v>
      </c>
      <c r="G2148" s="68" t="str">
        <f t="shared" si="386"/>
        <v>SINGLE</v>
      </c>
      <c r="K2148" s="186"/>
      <c r="N2148" s="3" t="str">
        <f t="shared" si="387"/>
        <v/>
      </c>
    </row>
    <row r="2149" spans="2:14">
      <c r="B2149" s="83" t="e">
        <f t="array" ref="B2149">SUM(--(FREQUENCY(IF(C$2:C$3074=C2149, MATCH(D$2:D$3074, D$2:D$3074, 0)), ROW(D$2:D$3074)-ROW(D$2)+1) &gt; 0))</f>
        <v>#N/A</v>
      </c>
      <c r="G2149" s="68" t="str">
        <f t="shared" si="386"/>
        <v>SINGLE</v>
      </c>
      <c r="K2149" s="186"/>
      <c r="N2149" s="3" t="str">
        <f t="shared" si="387"/>
        <v/>
      </c>
    </row>
    <row r="2150" spans="2:14">
      <c r="B2150" s="83" t="e">
        <f t="array" ref="B2150">SUM(--(FREQUENCY(IF(C$2:C$3074=C2150, MATCH(D$2:D$3074, D$2:D$3074, 0)), ROW(D$2:D$3074)-ROW(D$2)+1) &gt; 0))</f>
        <v>#N/A</v>
      </c>
      <c r="G2150" s="68" t="str">
        <f t="shared" si="386"/>
        <v>SINGLE</v>
      </c>
      <c r="K2150" s="186"/>
      <c r="N2150" s="3" t="str">
        <f t="shared" si="387"/>
        <v/>
      </c>
    </row>
    <row r="2151" spans="2:14">
      <c r="B2151" s="83" t="e">
        <f t="array" ref="B2151">SUM(--(FREQUENCY(IF(C$2:C$3074=C2151, MATCH(D$2:D$3074, D$2:D$3074, 0)), ROW(D$2:D$3074)-ROW(D$2)+1) &gt; 0))</f>
        <v>#N/A</v>
      </c>
      <c r="G2151" s="68" t="str">
        <f t="shared" si="386"/>
        <v>SINGLE</v>
      </c>
      <c r="K2151" s="186"/>
      <c r="N2151" s="3" t="str">
        <f t="shared" si="387"/>
        <v/>
      </c>
    </row>
    <row r="2152" spans="2:14">
      <c r="B2152" s="83" t="e">
        <f t="array" ref="B2152">SUM(--(FREQUENCY(IF(C$2:C$3074=C2152, MATCH(D$2:D$3074, D$2:D$3074, 0)), ROW(D$2:D$3074)-ROW(D$2)+1) &gt; 0))</f>
        <v>#N/A</v>
      </c>
      <c r="G2152" s="68" t="str">
        <f t="shared" si="386"/>
        <v>SINGLE</v>
      </c>
      <c r="K2152" s="186"/>
      <c r="N2152" s="3" t="str">
        <f t="shared" si="387"/>
        <v/>
      </c>
    </row>
    <row r="2153" spans="2:14">
      <c r="B2153" s="83" t="e">
        <f t="array" ref="B2153">SUM(--(FREQUENCY(IF(C$2:C$3074=C2153, MATCH(D$2:D$3074, D$2:D$3074, 0)), ROW(D$2:D$3074)-ROW(D$2)+1) &gt; 0))</f>
        <v>#N/A</v>
      </c>
      <c r="G2153" s="68" t="str">
        <f t="shared" si="386"/>
        <v>SINGLE</v>
      </c>
      <c r="K2153" s="186"/>
      <c r="N2153" s="3" t="str">
        <f t="shared" si="387"/>
        <v/>
      </c>
    </row>
    <row r="2154" spans="2:14">
      <c r="B2154" s="83" t="e">
        <f t="array" ref="B2154">SUM(--(FREQUENCY(IF(C$2:C$3074=C2154, MATCH(D$2:D$3074, D$2:D$3074, 0)), ROW(D$2:D$3074)-ROW(D$2)+1) &gt; 0))</f>
        <v>#N/A</v>
      </c>
      <c r="G2154" s="68" t="str">
        <f t="shared" si="386"/>
        <v>SINGLE</v>
      </c>
      <c r="K2154" s="186"/>
      <c r="N2154" s="3" t="str">
        <f t="shared" si="387"/>
        <v/>
      </c>
    </row>
    <row r="2155" spans="2:14">
      <c r="B2155" s="83" t="e">
        <f t="array" ref="B2155">SUM(--(FREQUENCY(IF(C$2:C$3074=C2155, MATCH(D$2:D$3074, D$2:D$3074, 0)), ROW(D$2:D$3074)-ROW(D$2)+1) &gt; 0))</f>
        <v>#N/A</v>
      </c>
      <c r="G2155" s="68" t="str">
        <f t="shared" si="386"/>
        <v>SINGLE</v>
      </c>
      <c r="K2155" s="186"/>
      <c r="N2155" s="3" t="str">
        <f t="shared" si="387"/>
        <v/>
      </c>
    </row>
    <row r="2156" spans="2:14">
      <c r="B2156" s="83" t="e">
        <f t="array" ref="B2156">SUM(--(FREQUENCY(IF(C$2:C$3074=C2156, MATCH(D$2:D$3074, D$2:D$3074, 0)), ROW(D$2:D$3074)-ROW(D$2)+1) &gt; 0))</f>
        <v>#N/A</v>
      </c>
      <c r="G2156" s="68" t="str">
        <f t="shared" si="386"/>
        <v>SINGLE</v>
      </c>
      <c r="K2156" s="186"/>
      <c r="N2156" s="3" t="str">
        <f t="shared" si="387"/>
        <v/>
      </c>
    </row>
    <row r="2157" spans="2:14">
      <c r="B2157" s="83" t="e">
        <f t="array" ref="B2157">SUM(--(FREQUENCY(IF(C$2:C$3074=C2157, MATCH(D$2:D$3074, D$2:D$3074, 0)), ROW(D$2:D$3074)-ROW(D$2)+1) &gt; 0))</f>
        <v>#N/A</v>
      </c>
      <c r="G2157" s="68" t="str">
        <f t="shared" si="386"/>
        <v>SINGLE</v>
      </c>
      <c r="K2157" s="186"/>
      <c r="N2157" s="3" t="str">
        <f t="shared" si="387"/>
        <v/>
      </c>
    </row>
    <row r="2158" spans="2:14">
      <c r="B2158" s="83" t="e">
        <f t="array" ref="B2158">SUM(--(FREQUENCY(IF(C$2:C$3074=C2158, MATCH(D$2:D$3074, D$2:D$3074, 0)), ROW(D$2:D$3074)-ROW(D$2)+1) &gt; 0))</f>
        <v>#N/A</v>
      </c>
      <c r="G2158" s="68" t="str">
        <f t="shared" si="386"/>
        <v>SINGLE</v>
      </c>
      <c r="K2158" s="186"/>
      <c r="N2158" s="3" t="str">
        <f t="shared" si="387"/>
        <v/>
      </c>
    </row>
    <row r="2159" spans="2:14">
      <c r="B2159" s="83" t="e">
        <f t="array" ref="B2159">SUM(--(FREQUENCY(IF(C$2:C$3074=C2159, MATCH(D$2:D$3074, D$2:D$3074, 0)), ROW(D$2:D$3074)-ROW(D$2)+1) &gt; 0))</f>
        <v>#N/A</v>
      </c>
      <c r="G2159" s="68" t="str">
        <f t="shared" si="386"/>
        <v>SINGLE</v>
      </c>
      <c r="K2159" s="186"/>
      <c r="N2159" s="3" t="str">
        <f t="shared" si="387"/>
        <v/>
      </c>
    </row>
    <row r="2160" spans="2:14">
      <c r="B2160" s="83" t="e">
        <f t="array" ref="B2160">SUM(--(FREQUENCY(IF(C$2:C$3074=C2160, MATCH(D$2:D$3074, D$2:D$3074, 0)), ROW(D$2:D$3074)-ROW(D$2)+1) &gt; 0))</f>
        <v>#N/A</v>
      </c>
      <c r="G2160" s="68" t="str">
        <f t="shared" si="386"/>
        <v>SINGLE</v>
      </c>
      <c r="K2160" s="186"/>
      <c r="N2160" s="3" t="str">
        <f t="shared" si="387"/>
        <v/>
      </c>
    </row>
    <row r="2161" spans="2:14">
      <c r="B2161" s="83" t="e">
        <f t="array" ref="B2161">SUM(--(FREQUENCY(IF(C$2:C$3074=C2161, MATCH(D$2:D$3074, D$2:D$3074, 0)), ROW(D$2:D$3074)-ROW(D$2)+1) &gt; 0))</f>
        <v>#N/A</v>
      </c>
      <c r="G2161" s="68" t="str">
        <f t="shared" si="386"/>
        <v>SINGLE</v>
      </c>
      <c r="K2161" s="186"/>
      <c r="N2161" s="3" t="str">
        <f t="shared" si="387"/>
        <v/>
      </c>
    </row>
    <row r="2162" spans="2:14">
      <c r="B2162" s="83" t="e">
        <f t="array" ref="B2162">SUM(--(FREQUENCY(IF(C$2:C$3074=C2162, MATCH(D$2:D$3074, D$2:D$3074, 0)), ROW(D$2:D$3074)-ROW(D$2)+1) &gt; 0))</f>
        <v>#N/A</v>
      </c>
      <c r="G2162" s="68" t="str">
        <f t="shared" si="386"/>
        <v>SINGLE</v>
      </c>
      <c r="K2162" s="186"/>
      <c r="N2162" s="3" t="str">
        <f t="shared" si="387"/>
        <v/>
      </c>
    </row>
    <row r="2163" spans="2:14">
      <c r="B2163" s="83" t="e">
        <f t="array" ref="B2163">SUM(--(FREQUENCY(IF(C$2:C$3074=C2163, MATCH(D$2:D$3074, D$2:D$3074, 0)), ROW(D$2:D$3074)-ROW(D$2)+1) &gt; 0))</f>
        <v>#N/A</v>
      </c>
      <c r="G2163" s="68" t="str">
        <f t="shared" si="386"/>
        <v>SINGLE</v>
      </c>
      <c r="K2163" s="186"/>
      <c r="N2163" s="3" t="str">
        <f t="shared" si="387"/>
        <v/>
      </c>
    </row>
    <row r="2164" spans="2:14">
      <c r="B2164" s="83" t="e">
        <f t="array" ref="B2164">SUM(--(FREQUENCY(IF(C$2:C$3074=C2164, MATCH(D$2:D$3074, D$2:D$3074, 0)), ROW(D$2:D$3074)-ROW(D$2)+1) &gt; 0))</f>
        <v>#N/A</v>
      </c>
      <c r="G2164" s="68" t="str">
        <f t="shared" si="386"/>
        <v>SINGLE</v>
      </c>
      <c r="K2164" s="186"/>
      <c r="N2164" s="3" t="str">
        <f t="shared" si="387"/>
        <v/>
      </c>
    </row>
    <row r="2165" spans="2:14">
      <c r="B2165" s="83" t="e">
        <f t="array" ref="B2165">SUM(--(FREQUENCY(IF(C$2:C$3074=C2165, MATCH(D$2:D$3074, D$2:D$3074, 0)), ROW(D$2:D$3074)-ROW(D$2)+1) &gt; 0))</f>
        <v>#N/A</v>
      </c>
      <c r="G2165" s="68" t="str">
        <f t="shared" ref="G2165:G2228" si="388">IF(OR(ISNUMBER(SEARCH("DUAL",F2165)), ISNUMBER(SEARCH("IVAS",F2165))), "DUAL", "SINGLE")</f>
        <v>SINGLE</v>
      </c>
      <c r="K2165" s="186"/>
      <c r="N2165" s="3" t="str">
        <f t="shared" si="387"/>
        <v/>
      </c>
    </row>
    <row r="2166" spans="2:14">
      <c r="B2166" s="83" t="e">
        <f t="array" ref="B2166">SUM(--(FREQUENCY(IF(C$2:C$3074=C2166, MATCH(D$2:D$3074, D$2:D$3074, 0)), ROW(D$2:D$3074)-ROW(D$2)+1) &gt; 0))</f>
        <v>#N/A</v>
      </c>
      <c r="G2166" s="68" t="str">
        <f t="shared" si="388"/>
        <v>SINGLE</v>
      </c>
      <c r="K2166" s="186"/>
      <c r="N2166" s="3" t="str">
        <f t="shared" si="387"/>
        <v/>
      </c>
    </row>
    <row r="2167" spans="2:14">
      <c r="B2167" s="83" t="e">
        <f t="array" ref="B2167">SUM(--(FREQUENCY(IF(C$2:C$3074=C2167, MATCH(D$2:D$3074, D$2:D$3074, 0)), ROW(D$2:D$3074)-ROW(D$2)+1) &gt; 0))</f>
        <v>#N/A</v>
      </c>
      <c r="G2167" s="68" t="str">
        <f t="shared" si="388"/>
        <v>SINGLE</v>
      </c>
      <c r="K2167" s="186"/>
      <c r="N2167" s="3" t="str">
        <f t="shared" si="387"/>
        <v/>
      </c>
    </row>
    <row r="2168" spans="2:14">
      <c r="B2168" s="83" t="e">
        <f t="array" ref="B2168">SUM(--(FREQUENCY(IF(C$2:C$3074=C2168, MATCH(D$2:D$3074, D$2:D$3074, 0)), ROW(D$2:D$3074)-ROW(D$2)+1) &gt; 0))</f>
        <v>#N/A</v>
      </c>
      <c r="G2168" s="68" t="str">
        <f t="shared" si="388"/>
        <v>SINGLE</v>
      </c>
      <c r="K2168" s="186"/>
      <c r="N2168" s="3" t="str">
        <f t="shared" si="387"/>
        <v/>
      </c>
    </row>
    <row r="2169" spans="2:14">
      <c r="B2169" s="83" t="e">
        <f t="array" ref="B2169">SUM(--(FREQUENCY(IF(C$2:C$3074=C2169, MATCH(D$2:D$3074, D$2:D$3074, 0)), ROW(D$2:D$3074)-ROW(D$2)+1) &gt; 0))</f>
        <v>#N/A</v>
      </c>
      <c r="G2169" s="68" t="str">
        <f t="shared" si="388"/>
        <v>SINGLE</v>
      </c>
      <c r="K2169" s="186"/>
      <c r="N2169" s="3" t="str">
        <f t="shared" si="387"/>
        <v/>
      </c>
    </row>
    <row r="2170" spans="2:14">
      <c r="B2170" s="83" t="e">
        <f t="array" ref="B2170">SUM(--(FREQUENCY(IF(C$2:C$3074=C2170, MATCH(D$2:D$3074, D$2:D$3074, 0)), ROW(D$2:D$3074)-ROW(D$2)+1) &gt; 0))</f>
        <v>#N/A</v>
      </c>
      <c r="G2170" s="68" t="str">
        <f t="shared" si="388"/>
        <v>SINGLE</v>
      </c>
      <c r="K2170" s="186"/>
      <c r="N2170" s="3" t="str">
        <f t="shared" si="387"/>
        <v/>
      </c>
    </row>
    <row r="2171" spans="2:14">
      <c r="B2171" s="83" t="e">
        <f t="array" ref="B2171">SUM(--(FREQUENCY(IF(C$2:C$3074=C2171, MATCH(D$2:D$3074, D$2:D$3074, 0)), ROW(D$2:D$3074)-ROW(D$2)+1) &gt; 0))</f>
        <v>#N/A</v>
      </c>
      <c r="G2171" s="68" t="str">
        <f t="shared" si="388"/>
        <v>SINGLE</v>
      </c>
      <c r="K2171" s="186"/>
      <c r="N2171" s="3" t="str">
        <f t="shared" si="387"/>
        <v/>
      </c>
    </row>
    <row r="2172" spans="2:14">
      <c r="B2172" s="83" t="e">
        <f t="array" ref="B2172">SUM(--(FREQUENCY(IF(C$2:C$3074=C2172, MATCH(D$2:D$3074, D$2:D$3074, 0)), ROW(D$2:D$3074)-ROW(D$2)+1) &gt; 0))</f>
        <v>#N/A</v>
      </c>
      <c r="G2172" s="68" t="str">
        <f t="shared" si="388"/>
        <v>SINGLE</v>
      </c>
      <c r="K2172" s="186"/>
      <c r="N2172" s="3" t="str">
        <f t="shared" si="387"/>
        <v/>
      </c>
    </row>
    <row r="2173" spans="2:14">
      <c r="B2173" s="83" t="e">
        <f t="array" ref="B2173">SUM(--(FREQUENCY(IF(C$2:C$3074=C2173, MATCH(D$2:D$3074, D$2:D$3074, 0)), ROW(D$2:D$3074)-ROW(D$2)+1) &gt; 0))</f>
        <v>#N/A</v>
      </c>
      <c r="G2173" s="68" t="str">
        <f t="shared" si="388"/>
        <v>SINGLE</v>
      </c>
      <c r="K2173" s="186"/>
      <c r="N2173" s="3" t="str">
        <f t="shared" si="387"/>
        <v/>
      </c>
    </row>
    <row r="2174" spans="2:14">
      <c r="B2174" s="83" t="e">
        <f t="array" ref="B2174">SUM(--(FREQUENCY(IF(C$2:C$3074=C2174, MATCH(D$2:D$3074, D$2:D$3074, 0)), ROW(D$2:D$3074)-ROW(D$2)+1) &gt; 0))</f>
        <v>#N/A</v>
      </c>
      <c r="G2174" s="68" t="str">
        <f t="shared" si="388"/>
        <v>SINGLE</v>
      </c>
      <c r="K2174" s="186"/>
      <c r="N2174" s="3" t="str">
        <f t="shared" si="387"/>
        <v/>
      </c>
    </row>
    <row r="2175" spans="2:14">
      <c r="B2175" s="83" t="e">
        <f t="array" ref="B2175">SUM(--(FREQUENCY(IF(C$2:C$3074=C2175, MATCH(D$2:D$3074, D$2:D$3074, 0)), ROW(D$2:D$3074)-ROW(D$2)+1) &gt; 0))</f>
        <v>#N/A</v>
      </c>
      <c r="G2175" s="68" t="str">
        <f t="shared" si="388"/>
        <v>SINGLE</v>
      </c>
      <c r="K2175" s="186"/>
      <c r="N2175" s="3" t="str">
        <f t="shared" ref="N2175:N2238" si="389">IF(O2175&lt;&gt;"", "NG", "")</f>
        <v/>
      </c>
    </row>
    <row r="2176" spans="2:14">
      <c r="B2176" s="83" t="e">
        <f t="array" ref="B2176">SUM(--(FREQUENCY(IF(C$2:C$3074=C2176, MATCH(D$2:D$3074, D$2:D$3074, 0)), ROW(D$2:D$3074)-ROW(D$2)+1) &gt; 0))</f>
        <v>#N/A</v>
      </c>
      <c r="G2176" s="68" t="str">
        <f t="shared" si="388"/>
        <v>SINGLE</v>
      </c>
      <c r="K2176" s="186"/>
      <c r="N2176" s="3" t="str">
        <f t="shared" si="389"/>
        <v/>
      </c>
    </row>
    <row r="2177" spans="2:14">
      <c r="B2177" s="83" t="e">
        <f t="array" ref="B2177">SUM(--(FREQUENCY(IF(C$2:C$3074=C2177, MATCH(D$2:D$3074, D$2:D$3074, 0)), ROW(D$2:D$3074)-ROW(D$2)+1) &gt; 0))</f>
        <v>#N/A</v>
      </c>
      <c r="G2177" s="68" t="str">
        <f t="shared" si="388"/>
        <v>SINGLE</v>
      </c>
      <c r="K2177" s="186"/>
      <c r="N2177" s="3" t="str">
        <f t="shared" si="389"/>
        <v/>
      </c>
    </row>
    <row r="2178" spans="2:14">
      <c r="B2178" s="83" t="e">
        <f t="array" ref="B2178">SUM(--(FREQUENCY(IF(C$2:C$3074=C2178, MATCH(D$2:D$3074, D$2:D$3074, 0)), ROW(D$2:D$3074)-ROW(D$2)+1) &gt; 0))</f>
        <v>#N/A</v>
      </c>
      <c r="G2178" s="68" t="str">
        <f t="shared" si="388"/>
        <v>SINGLE</v>
      </c>
      <c r="K2178" s="186"/>
      <c r="N2178" s="3" t="str">
        <f t="shared" si="389"/>
        <v/>
      </c>
    </row>
    <row r="2179" spans="2:14">
      <c r="B2179" s="83" t="e">
        <f t="array" ref="B2179">SUM(--(FREQUENCY(IF(C$2:C$3074=C2179, MATCH(D$2:D$3074, D$2:D$3074, 0)), ROW(D$2:D$3074)-ROW(D$2)+1) &gt; 0))</f>
        <v>#N/A</v>
      </c>
      <c r="G2179" s="68" t="str">
        <f t="shared" si="388"/>
        <v>SINGLE</v>
      </c>
      <c r="K2179" s="186"/>
      <c r="N2179" s="3" t="str">
        <f t="shared" si="389"/>
        <v/>
      </c>
    </row>
    <row r="2180" spans="2:14">
      <c r="B2180" s="83" t="e">
        <f t="array" ref="B2180">SUM(--(FREQUENCY(IF(C$2:C$3074=C2180, MATCH(D$2:D$3074, D$2:D$3074, 0)), ROW(D$2:D$3074)-ROW(D$2)+1) &gt; 0))</f>
        <v>#N/A</v>
      </c>
      <c r="G2180" s="68" t="str">
        <f t="shared" si="388"/>
        <v>SINGLE</v>
      </c>
      <c r="K2180" s="186"/>
      <c r="N2180" s="3" t="str">
        <f t="shared" si="389"/>
        <v/>
      </c>
    </row>
    <row r="2181" spans="2:14">
      <c r="B2181" s="83" t="e">
        <f t="array" ref="B2181">SUM(--(FREQUENCY(IF(C$2:C$3074=C2181, MATCH(D$2:D$3074, D$2:D$3074, 0)), ROW(D$2:D$3074)-ROW(D$2)+1) &gt; 0))</f>
        <v>#N/A</v>
      </c>
      <c r="G2181" s="68" t="str">
        <f t="shared" si="388"/>
        <v>SINGLE</v>
      </c>
      <c r="K2181" s="186"/>
      <c r="N2181" s="3" t="str">
        <f t="shared" si="389"/>
        <v/>
      </c>
    </row>
    <row r="2182" spans="2:14">
      <c r="B2182" s="83" t="e">
        <f t="array" ref="B2182">SUM(--(FREQUENCY(IF(C$2:C$3074=C2182, MATCH(D$2:D$3074, D$2:D$3074, 0)), ROW(D$2:D$3074)-ROW(D$2)+1) &gt; 0))</f>
        <v>#N/A</v>
      </c>
      <c r="G2182" s="68" t="str">
        <f t="shared" si="388"/>
        <v>SINGLE</v>
      </c>
      <c r="K2182" s="186"/>
      <c r="N2182" s="3" t="str">
        <f t="shared" si="389"/>
        <v/>
      </c>
    </row>
    <row r="2183" spans="2:14">
      <c r="B2183" s="83" t="e">
        <f t="array" ref="B2183">SUM(--(FREQUENCY(IF(C$2:C$3074=C2183, MATCH(D$2:D$3074, D$2:D$3074, 0)), ROW(D$2:D$3074)-ROW(D$2)+1) &gt; 0))</f>
        <v>#N/A</v>
      </c>
      <c r="G2183" s="68" t="str">
        <f t="shared" si="388"/>
        <v>SINGLE</v>
      </c>
      <c r="K2183" s="186"/>
      <c r="N2183" s="3" t="str">
        <f t="shared" si="389"/>
        <v/>
      </c>
    </row>
    <row r="2184" spans="2:14">
      <c r="B2184" s="83" t="e">
        <f t="array" ref="B2184">SUM(--(FREQUENCY(IF(C$2:C$3074=C2184, MATCH(D$2:D$3074, D$2:D$3074, 0)), ROW(D$2:D$3074)-ROW(D$2)+1) &gt; 0))</f>
        <v>#N/A</v>
      </c>
      <c r="G2184" s="68" t="str">
        <f t="shared" si="388"/>
        <v>SINGLE</v>
      </c>
      <c r="K2184" s="186"/>
      <c r="N2184" s="3" t="str">
        <f t="shared" si="389"/>
        <v/>
      </c>
    </row>
    <row r="2185" spans="2:14">
      <c r="B2185" s="83" t="e">
        <f t="array" ref="B2185">SUM(--(FREQUENCY(IF(C$2:C$3074=C2185, MATCH(D$2:D$3074, D$2:D$3074, 0)), ROW(D$2:D$3074)-ROW(D$2)+1) &gt; 0))</f>
        <v>#N/A</v>
      </c>
      <c r="G2185" s="68" t="str">
        <f t="shared" si="388"/>
        <v>SINGLE</v>
      </c>
      <c r="K2185" s="186"/>
      <c r="N2185" s="3" t="str">
        <f t="shared" si="389"/>
        <v/>
      </c>
    </row>
    <row r="2186" spans="2:14">
      <c r="B2186" s="83" t="e">
        <f t="array" ref="B2186">SUM(--(FREQUENCY(IF(C$2:C$3074=C2186, MATCH(D$2:D$3074, D$2:D$3074, 0)), ROW(D$2:D$3074)-ROW(D$2)+1) &gt; 0))</f>
        <v>#N/A</v>
      </c>
      <c r="G2186" s="68" t="str">
        <f t="shared" si="388"/>
        <v>SINGLE</v>
      </c>
      <c r="K2186" s="186"/>
      <c r="N2186" s="3" t="str">
        <f t="shared" si="389"/>
        <v/>
      </c>
    </row>
    <row r="2187" spans="2:14">
      <c r="B2187" s="83" t="e">
        <f t="array" ref="B2187">SUM(--(FREQUENCY(IF(C$2:C$3074=C2187, MATCH(D$2:D$3074, D$2:D$3074, 0)), ROW(D$2:D$3074)-ROW(D$2)+1) &gt; 0))</f>
        <v>#N/A</v>
      </c>
      <c r="G2187" s="68" t="str">
        <f t="shared" si="388"/>
        <v>SINGLE</v>
      </c>
      <c r="K2187" s="186"/>
      <c r="N2187" s="3" t="str">
        <f t="shared" si="389"/>
        <v/>
      </c>
    </row>
    <row r="2188" spans="2:14">
      <c r="B2188" s="83" t="e">
        <f t="array" ref="B2188">SUM(--(FREQUENCY(IF(C$2:C$3074=C2188, MATCH(D$2:D$3074, D$2:D$3074, 0)), ROW(D$2:D$3074)-ROW(D$2)+1) &gt; 0))</f>
        <v>#N/A</v>
      </c>
      <c r="G2188" s="68" t="str">
        <f t="shared" si="388"/>
        <v>SINGLE</v>
      </c>
      <c r="K2188" s="186"/>
      <c r="N2188" s="3" t="str">
        <f t="shared" si="389"/>
        <v/>
      </c>
    </row>
    <row r="2189" spans="2:14">
      <c r="B2189" s="83" t="e">
        <f t="array" ref="B2189">SUM(--(FREQUENCY(IF(C$2:C$3074=C2189, MATCH(D$2:D$3074, D$2:D$3074, 0)), ROW(D$2:D$3074)-ROW(D$2)+1) &gt; 0))</f>
        <v>#N/A</v>
      </c>
      <c r="G2189" s="68" t="str">
        <f t="shared" si="388"/>
        <v>SINGLE</v>
      </c>
      <c r="K2189" s="186"/>
      <c r="N2189" s="3" t="str">
        <f t="shared" si="389"/>
        <v/>
      </c>
    </row>
    <row r="2190" spans="2:14">
      <c r="B2190" s="83" t="e">
        <f t="array" ref="B2190">SUM(--(FREQUENCY(IF(C$2:C$3074=C2190, MATCH(D$2:D$3074, D$2:D$3074, 0)), ROW(D$2:D$3074)-ROW(D$2)+1) &gt; 0))</f>
        <v>#N/A</v>
      </c>
      <c r="G2190" s="68" t="str">
        <f t="shared" si="388"/>
        <v>SINGLE</v>
      </c>
      <c r="K2190" s="186"/>
      <c r="N2190" s="3" t="str">
        <f t="shared" si="389"/>
        <v/>
      </c>
    </row>
    <row r="2191" spans="2:14">
      <c r="B2191" s="83" t="e">
        <f t="array" ref="B2191">SUM(--(FREQUENCY(IF(C$2:C$3074=C2191, MATCH(D$2:D$3074, D$2:D$3074, 0)), ROW(D$2:D$3074)-ROW(D$2)+1) &gt; 0))</f>
        <v>#N/A</v>
      </c>
      <c r="G2191" s="68" t="str">
        <f t="shared" si="388"/>
        <v>SINGLE</v>
      </c>
      <c r="K2191" s="186"/>
      <c r="N2191" s="3" t="str">
        <f t="shared" si="389"/>
        <v/>
      </c>
    </row>
    <row r="2192" spans="2:14">
      <c r="B2192" s="83" t="e">
        <f t="array" ref="B2192">SUM(--(FREQUENCY(IF(C$2:C$3074=C2192, MATCH(D$2:D$3074, D$2:D$3074, 0)), ROW(D$2:D$3074)-ROW(D$2)+1) &gt; 0))</f>
        <v>#N/A</v>
      </c>
      <c r="G2192" s="68" t="str">
        <f t="shared" si="388"/>
        <v>SINGLE</v>
      </c>
      <c r="K2192" s="186"/>
      <c r="N2192" s="3" t="str">
        <f t="shared" si="389"/>
        <v/>
      </c>
    </row>
    <row r="2193" spans="2:14">
      <c r="B2193" s="83" t="e">
        <f t="array" ref="B2193">SUM(--(FREQUENCY(IF(C$2:C$3074=C2193, MATCH(D$2:D$3074, D$2:D$3074, 0)), ROW(D$2:D$3074)-ROW(D$2)+1) &gt; 0))</f>
        <v>#N/A</v>
      </c>
      <c r="G2193" s="68" t="str">
        <f t="shared" si="388"/>
        <v>SINGLE</v>
      </c>
      <c r="K2193" s="186"/>
      <c r="N2193" s="3" t="str">
        <f t="shared" si="389"/>
        <v/>
      </c>
    </row>
    <row r="2194" spans="2:14">
      <c r="B2194" s="83" t="e">
        <f t="array" ref="B2194">SUM(--(FREQUENCY(IF(C$2:C$3074=C2194, MATCH(D$2:D$3074, D$2:D$3074, 0)), ROW(D$2:D$3074)-ROW(D$2)+1) &gt; 0))</f>
        <v>#N/A</v>
      </c>
      <c r="G2194" s="68" t="str">
        <f t="shared" si="388"/>
        <v>SINGLE</v>
      </c>
      <c r="K2194" s="186"/>
      <c r="N2194" s="3" t="str">
        <f t="shared" si="389"/>
        <v/>
      </c>
    </row>
    <row r="2195" spans="2:14">
      <c r="B2195" s="83" t="e">
        <f t="array" ref="B2195">SUM(--(FREQUENCY(IF(C$2:C$3074=C2195, MATCH(D$2:D$3074, D$2:D$3074, 0)), ROW(D$2:D$3074)-ROW(D$2)+1) &gt; 0))</f>
        <v>#N/A</v>
      </c>
      <c r="G2195" s="68" t="str">
        <f t="shared" si="388"/>
        <v>SINGLE</v>
      </c>
      <c r="K2195" s="186"/>
      <c r="N2195" s="3" t="str">
        <f t="shared" si="389"/>
        <v/>
      </c>
    </row>
    <row r="2196" spans="2:14">
      <c r="B2196" s="83" t="e">
        <f t="array" ref="B2196">SUM(--(FREQUENCY(IF(C$2:C$3074=C2196, MATCH(D$2:D$3074, D$2:D$3074, 0)), ROW(D$2:D$3074)-ROW(D$2)+1) &gt; 0))</f>
        <v>#N/A</v>
      </c>
      <c r="G2196" s="68" t="str">
        <f t="shared" si="388"/>
        <v>SINGLE</v>
      </c>
      <c r="K2196" s="186"/>
      <c r="N2196" s="3" t="str">
        <f t="shared" si="389"/>
        <v/>
      </c>
    </row>
    <row r="2197" spans="2:14">
      <c r="B2197" s="83" t="e">
        <f t="array" ref="B2197">SUM(--(FREQUENCY(IF(C$2:C$3074=C2197, MATCH(D$2:D$3074, D$2:D$3074, 0)), ROW(D$2:D$3074)-ROW(D$2)+1) &gt; 0))</f>
        <v>#N/A</v>
      </c>
      <c r="G2197" s="68" t="str">
        <f t="shared" si="388"/>
        <v>SINGLE</v>
      </c>
      <c r="K2197" s="186"/>
      <c r="N2197" s="3" t="str">
        <f t="shared" si="389"/>
        <v/>
      </c>
    </row>
    <row r="2198" spans="2:14">
      <c r="B2198" s="83" t="e">
        <f t="array" ref="B2198">SUM(--(FREQUENCY(IF(C$2:C$3074=C2198, MATCH(D$2:D$3074, D$2:D$3074, 0)), ROW(D$2:D$3074)-ROW(D$2)+1) &gt; 0))</f>
        <v>#N/A</v>
      </c>
      <c r="G2198" s="68" t="str">
        <f t="shared" si="388"/>
        <v>SINGLE</v>
      </c>
      <c r="K2198" s="186"/>
      <c r="N2198" s="3" t="str">
        <f t="shared" si="389"/>
        <v/>
      </c>
    </row>
    <row r="2199" spans="2:14">
      <c r="B2199" s="83" t="e">
        <f t="array" ref="B2199">SUM(--(FREQUENCY(IF(C$2:C$3074=C2199, MATCH(D$2:D$3074, D$2:D$3074, 0)), ROW(D$2:D$3074)-ROW(D$2)+1) &gt; 0))</f>
        <v>#N/A</v>
      </c>
      <c r="G2199" s="68" t="str">
        <f t="shared" si="388"/>
        <v>SINGLE</v>
      </c>
      <c r="K2199" s="186"/>
      <c r="N2199" s="3" t="str">
        <f t="shared" si="389"/>
        <v/>
      </c>
    </row>
    <row r="2200" spans="2:14">
      <c r="B2200" s="83" t="e">
        <f t="array" ref="B2200">SUM(--(FREQUENCY(IF(C$2:C$3074=C2200, MATCH(D$2:D$3074, D$2:D$3074, 0)), ROW(D$2:D$3074)-ROW(D$2)+1) &gt; 0))</f>
        <v>#N/A</v>
      </c>
      <c r="G2200" s="68" t="str">
        <f t="shared" si="388"/>
        <v>SINGLE</v>
      </c>
      <c r="K2200" s="186"/>
      <c r="N2200" s="3" t="str">
        <f t="shared" si="389"/>
        <v/>
      </c>
    </row>
    <row r="2201" spans="2:14">
      <c r="B2201" s="83" t="e">
        <f t="array" ref="B2201">SUM(--(FREQUENCY(IF(C$2:C$3074=C2201, MATCH(D$2:D$3074, D$2:D$3074, 0)), ROW(D$2:D$3074)-ROW(D$2)+1) &gt; 0))</f>
        <v>#N/A</v>
      </c>
      <c r="G2201" s="68" t="str">
        <f t="shared" si="388"/>
        <v>SINGLE</v>
      </c>
      <c r="K2201" s="186"/>
      <c r="N2201" s="3" t="str">
        <f t="shared" si="389"/>
        <v/>
      </c>
    </row>
    <row r="2202" spans="2:14">
      <c r="B2202" s="83" t="e">
        <f t="array" ref="B2202">SUM(--(FREQUENCY(IF(C$2:C$3074=C2202, MATCH(D$2:D$3074, D$2:D$3074, 0)), ROW(D$2:D$3074)-ROW(D$2)+1) &gt; 0))</f>
        <v>#N/A</v>
      </c>
      <c r="G2202" s="68" t="str">
        <f t="shared" si="388"/>
        <v>SINGLE</v>
      </c>
      <c r="K2202" s="186"/>
      <c r="N2202" s="3" t="str">
        <f t="shared" si="389"/>
        <v/>
      </c>
    </row>
    <row r="2203" spans="2:14">
      <c r="B2203" s="83" t="e">
        <f t="array" ref="B2203">SUM(--(FREQUENCY(IF(C$2:C$3074=C2203, MATCH(D$2:D$3074, D$2:D$3074, 0)), ROW(D$2:D$3074)-ROW(D$2)+1) &gt; 0))</f>
        <v>#N/A</v>
      </c>
      <c r="G2203" s="68" t="str">
        <f t="shared" si="388"/>
        <v>SINGLE</v>
      </c>
      <c r="K2203" s="186"/>
      <c r="N2203" s="3" t="str">
        <f t="shared" si="389"/>
        <v/>
      </c>
    </row>
    <row r="2204" spans="2:14">
      <c r="B2204" s="83" t="e">
        <f t="array" ref="B2204">SUM(--(FREQUENCY(IF(C$2:C$3074=C2204, MATCH(D$2:D$3074, D$2:D$3074, 0)), ROW(D$2:D$3074)-ROW(D$2)+1) &gt; 0))</f>
        <v>#N/A</v>
      </c>
      <c r="G2204" s="68" t="str">
        <f t="shared" si="388"/>
        <v>SINGLE</v>
      </c>
      <c r="K2204" s="186"/>
      <c r="N2204" s="3" t="str">
        <f t="shared" si="389"/>
        <v/>
      </c>
    </row>
    <row r="2205" spans="2:14">
      <c r="B2205" s="83" t="e">
        <f t="array" ref="B2205">SUM(--(FREQUENCY(IF(C$2:C$3074=C2205, MATCH(D$2:D$3074, D$2:D$3074, 0)), ROW(D$2:D$3074)-ROW(D$2)+1) &gt; 0))</f>
        <v>#N/A</v>
      </c>
      <c r="G2205" s="68" t="str">
        <f t="shared" si="388"/>
        <v>SINGLE</v>
      </c>
      <c r="K2205" s="186"/>
      <c r="N2205" s="3" t="str">
        <f t="shared" si="389"/>
        <v/>
      </c>
    </row>
    <row r="2206" spans="2:14">
      <c r="B2206" s="83" t="e">
        <f t="array" ref="B2206">SUM(--(FREQUENCY(IF(C$2:C$3074=C2206, MATCH(D$2:D$3074, D$2:D$3074, 0)), ROW(D$2:D$3074)-ROW(D$2)+1) &gt; 0))</f>
        <v>#N/A</v>
      </c>
      <c r="G2206" s="68" t="str">
        <f t="shared" si="388"/>
        <v>SINGLE</v>
      </c>
      <c r="K2206" s="186"/>
      <c r="N2206" s="3" t="str">
        <f t="shared" si="389"/>
        <v/>
      </c>
    </row>
    <row r="2207" spans="2:14">
      <c r="B2207" s="83" t="e">
        <f t="array" ref="B2207">SUM(--(FREQUENCY(IF(C$2:C$3074=C2207, MATCH(D$2:D$3074, D$2:D$3074, 0)), ROW(D$2:D$3074)-ROW(D$2)+1) &gt; 0))</f>
        <v>#N/A</v>
      </c>
      <c r="G2207" s="68" t="str">
        <f t="shared" si="388"/>
        <v>SINGLE</v>
      </c>
      <c r="K2207" s="186"/>
      <c r="N2207" s="3" t="str">
        <f t="shared" si="389"/>
        <v/>
      </c>
    </row>
    <row r="2208" spans="2:14">
      <c r="B2208" s="83" t="e">
        <f t="array" ref="B2208">SUM(--(FREQUENCY(IF(C$2:C$3074=C2208, MATCH(D$2:D$3074, D$2:D$3074, 0)), ROW(D$2:D$3074)-ROW(D$2)+1) &gt; 0))</f>
        <v>#N/A</v>
      </c>
      <c r="G2208" s="68" t="str">
        <f t="shared" si="388"/>
        <v>SINGLE</v>
      </c>
      <c r="K2208" s="186"/>
      <c r="N2208" s="3" t="str">
        <f t="shared" si="389"/>
        <v/>
      </c>
    </row>
    <row r="2209" spans="2:14">
      <c r="B2209" s="83" t="e">
        <f t="array" ref="B2209">SUM(--(FREQUENCY(IF(C$2:C$3074=C2209, MATCH(D$2:D$3074, D$2:D$3074, 0)), ROW(D$2:D$3074)-ROW(D$2)+1) &gt; 0))</f>
        <v>#N/A</v>
      </c>
      <c r="G2209" s="68" t="str">
        <f t="shared" si="388"/>
        <v>SINGLE</v>
      </c>
      <c r="K2209" s="186"/>
      <c r="N2209" s="3" t="str">
        <f t="shared" si="389"/>
        <v/>
      </c>
    </row>
    <row r="2210" spans="2:14">
      <c r="B2210" s="83" t="e">
        <f t="array" ref="B2210">SUM(--(FREQUENCY(IF(C$2:C$3074=C2210, MATCH(D$2:D$3074, D$2:D$3074, 0)), ROW(D$2:D$3074)-ROW(D$2)+1) &gt; 0))</f>
        <v>#N/A</v>
      </c>
      <c r="G2210" s="68" t="str">
        <f t="shared" si="388"/>
        <v>SINGLE</v>
      </c>
      <c r="K2210" s="186"/>
      <c r="N2210" s="3" t="str">
        <f t="shared" si="389"/>
        <v/>
      </c>
    </row>
    <row r="2211" spans="2:14">
      <c r="B2211" s="83" t="e">
        <f t="array" ref="B2211">SUM(--(FREQUENCY(IF(C$2:C$3074=C2211, MATCH(D$2:D$3074, D$2:D$3074, 0)), ROW(D$2:D$3074)-ROW(D$2)+1) &gt; 0))</f>
        <v>#N/A</v>
      </c>
      <c r="G2211" s="68" t="str">
        <f t="shared" si="388"/>
        <v>SINGLE</v>
      </c>
      <c r="K2211" s="186"/>
      <c r="N2211" s="3" t="str">
        <f t="shared" si="389"/>
        <v/>
      </c>
    </row>
    <row r="2212" spans="2:14">
      <c r="B2212" s="83" t="e">
        <f t="array" ref="B2212">SUM(--(FREQUENCY(IF(C$2:C$3074=C2212, MATCH(D$2:D$3074, D$2:D$3074, 0)), ROW(D$2:D$3074)-ROW(D$2)+1) &gt; 0))</f>
        <v>#N/A</v>
      </c>
      <c r="G2212" s="68" t="str">
        <f t="shared" si="388"/>
        <v>SINGLE</v>
      </c>
      <c r="K2212" s="186"/>
      <c r="N2212" s="3" t="str">
        <f t="shared" si="389"/>
        <v/>
      </c>
    </row>
    <row r="2213" spans="2:14">
      <c r="B2213" s="83" t="e">
        <f t="array" ref="B2213">SUM(--(FREQUENCY(IF(C$2:C$3074=C2213, MATCH(D$2:D$3074, D$2:D$3074, 0)), ROW(D$2:D$3074)-ROW(D$2)+1) &gt; 0))</f>
        <v>#N/A</v>
      </c>
      <c r="G2213" s="68" t="str">
        <f t="shared" si="388"/>
        <v>SINGLE</v>
      </c>
      <c r="K2213" s="186"/>
      <c r="N2213" s="3" t="str">
        <f t="shared" si="389"/>
        <v/>
      </c>
    </row>
    <row r="2214" spans="2:14">
      <c r="B2214" s="83" t="e">
        <f t="array" ref="B2214">SUM(--(FREQUENCY(IF(C$2:C$3074=C2214, MATCH(D$2:D$3074, D$2:D$3074, 0)), ROW(D$2:D$3074)-ROW(D$2)+1) &gt; 0))</f>
        <v>#N/A</v>
      </c>
      <c r="G2214" s="68" t="str">
        <f t="shared" si="388"/>
        <v>SINGLE</v>
      </c>
      <c r="K2214" s="186"/>
      <c r="N2214" s="3" t="str">
        <f t="shared" si="389"/>
        <v/>
      </c>
    </row>
    <row r="2215" spans="2:14">
      <c r="B2215" s="83" t="e">
        <f t="array" ref="B2215">SUM(--(FREQUENCY(IF(C$2:C$3074=C2215, MATCH(D$2:D$3074, D$2:D$3074, 0)), ROW(D$2:D$3074)-ROW(D$2)+1) &gt; 0))</f>
        <v>#N/A</v>
      </c>
      <c r="G2215" s="68" t="str">
        <f t="shared" si="388"/>
        <v>SINGLE</v>
      </c>
      <c r="K2215" s="186"/>
      <c r="N2215" s="3" t="str">
        <f t="shared" si="389"/>
        <v/>
      </c>
    </row>
    <row r="2216" spans="2:14">
      <c r="B2216" s="83" t="e">
        <f t="array" ref="B2216">SUM(--(FREQUENCY(IF(C$2:C$3074=C2216, MATCH(D$2:D$3074, D$2:D$3074, 0)), ROW(D$2:D$3074)-ROW(D$2)+1) &gt; 0))</f>
        <v>#N/A</v>
      </c>
      <c r="G2216" s="68" t="str">
        <f t="shared" si="388"/>
        <v>SINGLE</v>
      </c>
      <c r="K2216" s="186"/>
      <c r="N2216" s="3" t="str">
        <f t="shared" si="389"/>
        <v/>
      </c>
    </row>
    <row r="2217" spans="2:14">
      <c r="B2217" s="83" t="e">
        <f t="array" ref="B2217">SUM(--(FREQUENCY(IF(C$2:C$3074=C2217, MATCH(D$2:D$3074, D$2:D$3074, 0)), ROW(D$2:D$3074)-ROW(D$2)+1) &gt; 0))</f>
        <v>#N/A</v>
      </c>
      <c r="G2217" s="68" t="str">
        <f t="shared" si="388"/>
        <v>SINGLE</v>
      </c>
      <c r="K2217" s="186"/>
      <c r="N2217" s="3" t="str">
        <f t="shared" si="389"/>
        <v/>
      </c>
    </row>
    <row r="2218" spans="2:14">
      <c r="B2218" s="83" t="e">
        <f t="array" ref="B2218">SUM(--(FREQUENCY(IF(C$2:C$3074=C2218, MATCH(D$2:D$3074, D$2:D$3074, 0)), ROW(D$2:D$3074)-ROW(D$2)+1) &gt; 0))</f>
        <v>#N/A</v>
      </c>
      <c r="G2218" s="68" t="str">
        <f t="shared" si="388"/>
        <v>SINGLE</v>
      </c>
      <c r="K2218" s="186"/>
      <c r="N2218" s="3" t="str">
        <f t="shared" si="389"/>
        <v/>
      </c>
    </row>
    <row r="2219" spans="2:14">
      <c r="B2219" s="83" t="e">
        <f t="array" ref="B2219">SUM(--(FREQUENCY(IF(C$2:C$3074=C2219, MATCH(D$2:D$3074, D$2:D$3074, 0)), ROW(D$2:D$3074)-ROW(D$2)+1) &gt; 0))</f>
        <v>#N/A</v>
      </c>
      <c r="G2219" s="68" t="str">
        <f t="shared" si="388"/>
        <v>SINGLE</v>
      </c>
      <c r="K2219" s="186"/>
      <c r="N2219" s="3" t="str">
        <f t="shared" si="389"/>
        <v/>
      </c>
    </row>
    <row r="2220" spans="2:14">
      <c r="B2220" s="83" t="e">
        <f t="array" ref="B2220">SUM(--(FREQUENCY(IF(C$2:C$3074=C2220, MATCH(D$2:D$3074, D$2:D$3074, 0)), ROW(D$2:D$3074)-ROW(D$2)+1) &gt; 0))</f>
        <v>#N/A</v>
      </c>
      <c r="G2220" s="68" t="str">
        <f t="shared" si="388"/>
        <v>SINGLE</v>
      </c>
      <c r="K2220" s="186"/>
      <c r="N2220" s="3" t="str">
        <f t="shared" si="389"/>
        <v/>
      </c>
    </row>
    <row r="2221" spans="2:14">
      <c r="B2221" s="83" t="e">
        <f t="array" ref="B2221">SUM(--(FREQUENCY(IF(C$2:C$3074=C2221, MATCH(D$2:D$3074, D$2:D$3074, 0)), ROW(D$2:D$3074)-ROW(D$2)+1) &gt; 0))</f>
        <v>#N/A</v>
      </c>
      <c r="G2221" s="68" t="str">
        <f t="shared" si="388"/>
        <v>SINGLE</v>
      </c>
      <c r="K2221" s="186"/>
      <c r="N2221" s="3" t="str">
        <f t="shared" si="389"/>
        <v/>
      </c>
    </row>
    <row r="2222" spans="2:14">
      <c r="B2222" s="83" t="e">
        <f t="array" ref="B2222">SUM(--(FREQUENCY(IF(C$2:C$3074=C2222, MATCH(D$2:D$3074, D$2:D$3074, 0)), ROW(D$2:D$3074)-ROW(D$2)+1) &gt; 0))</f>
        <v>#N/A</v>
      </c>
      <c r="G2222" s="68" t="str">
        <f t="shared" si="388"/>
        <v>SINGLE</v>
      </c>
      <c r="K2222" s="186"/>
      <c r="N2222" s="3" t="str">
        <f t="shared" si="389"/>
        <v/>
      </c>
    </row>
    <row r="2223" spans="2:14">
      <c r="B2223" s="83" t="e">
        <f t="array" ref="B2223">SUM(--(FREQUENCY(IF(C$2:C$3074=C2223, MATCH(D$2:D$3074, D$2:D$3074, 0)), ROW(D$2:D$3074)-ROW(D$2)+1) &gt; 0))</f>
        <v>#N/A</v>
      </c>
      <c r="G2223" s="68" t="str">
        <f t="shared" si="388"/>
        <v>SINGLE</v>
      </c>
      <c r="K2223" s="186"/>
      <c r="N2223" s="3" t="str">
        <f t="shared" si="389"/>
        <v/>
      </c>
    </row>
    <row r="2224" spans="2:14">
      <c r="B2224" s="83" t="e">
        <f t="array" ref="B2224">SUM(--(FREQUENCY(IF(C$2:C$3074=C2224, MATCH(D$2:D$3074, D$2:D$3074, 0)), ROW(D$2:D$3074)-ROW(D$2)+1) &gt; 0))</f>
        <v>#N/A</v>
      </c>
      <c r="G2224" s="68" t="str">
        <f t="shared" si="388"/>
        <v>SINGLE</v>
      </c>
      <c r="K2224" s="186"/>
      <c r="N2224" s="3" t="str">
        <f t="shared" si="389"/>
        <v/>
      </c>
    </row>
    <row r="2225" spans="2:14">
      <c r="B2225" s="83" t="e">
        <f t="array" ref="B2225">SUM(--(FREQUENCY(IF(C$2:C$3074=C2225, MATCH(D$2:D$3074, D$2:D$3074, 0)), ROW(D$2:D$3074)-ROW(D$2)+1) &gt; 0))</f>
        <v>#N/A</v>
      </c>
      <c r="G2225" s="68" t="str">
        <f t="shared" si="388"/>
        <v>SINGLE</v>
      </c>
      <c r="K2225" s="186"/>
      <c r="N2225" s="3" t="str">
        <f t="shared" si="389"/>
        <v/>
      </c>
    </row>
    <row r="2226" spans="2:14">
      <c r="B2226" s="83" t="e">
        <f t="array" ref="B2226">SUM(--(FREQUENCY(IF(C$2:C$3074=C2226, MATCH(D$2:D$3074, D$2:D$3074, 0)), ROW(D$2:D$3074)-ROW(D$2)+1) &gt; 0))</f>
        <v>#N/A</v>
      </c>
      <c r="G2226" s="68" t="str">
        <f t="shared" si="388"/>
        <v>SINGLE</v>
      </c>
      <c r="K2226" s="186"/>
      <c r="N2226" s="3" t="str">
        <f t="shared" si="389"/>
        <v/>
      </c>
    </row>
    <row r="2227" spans="2:14">
      <c r="B2227" s="83" t="e">
        <f t="array" ref="B2227">SUM(--(FREQUENCY(IF(C$2:C$3074=C2227, MATCH(D$2:D$3074, D$2:D$3074, 0)), ROW(D$2:D$3074)-ROW(D$2)+1) &gt; 0))</f>
        <v>#N/A</v>
      </c>
      <c r="G2227" s="68" t="str">
        <f t="shared" si="388"/>
        <v>SINGLE</v>
      </c>
      <c r="K2227" s="186"/>
      <c r="N2227" s="3" t="str">
        <f t="shared" si="389"/>
        <v/>
      </c>
    </row>
    <row r="2228" spans="2:14">
      <c r="B2228" s="83" t="e">
        <f t="array" ref="B2228">SUM(--(FREQUENCY(IF(C$2:C$3074=C2228, MATCH(D$2:D$3074, D$2:D$3074, 0)), ROW(D$2:D$3074)-ROW(D$2)+1) &gt; 0))</f>
        <v>#N/A</v>
      </c>
      <c r="G2228" s="68" t="str">
        <f t="shared" si="388"/>
        <v>SINGLE</v>
      </c>
      <c r="K2228" s="186"/>
      <c r="N2228" s="3" t="str">
        <f t="shared" si="389"/>
        <v/>
      </c>
    </row>
    <row r="2229" spans="2:14">
      <c r="B2229" s="83" t="e">
        <f t="array" ref="B2229">SUM(--(FREQUENCY(IF(C$2:C$3074=C2229, MATCH(D$2:D$3074, D$2:D$3074, 0)), ROW(D$2:D$3074)-ROW(D$2)+1) &gt; 0))</f>
        <v>#N/A</v>
      </c>
      <c r="G2229" s="68" t="str">
        <f t="shared" ref="G2229:G2292" si="390">IF(OR(ISNUMBER(SEARCH("DUAL",F2229)), ISNUMBER(SEARCH("IVAS",F2229))), "DUAL", "SINGLE")</f>
        <v>SINGLE</v>
      </c>
      <c r="K2229" s="186"/>
      <c r="N2229" s="3" t="str">
        <f t="shared" si="389"/>
        <v/>
      </c>
    </row>
    <row r="2230" spans="2:14">
      <c r="B2230" s="83" t="e">
        <f t="array" ref="B2230">SUM(--(FREQUENCY(IF(C$2:C$3074=C2230, MATCH(D$2:D$3074, D$2:D$3074, 0)), ROW(D$2:D$3074)-ROW(D$2)+1) &gt; 0))</f>
        <v>#N/A</v>
      </c>
      <c r="G2230" s="68" t="str">
        <f t="shared" si="390"/>
        <v>SINGLE</v>
      </c>
      <c r="K2230" s="186"/>
      <c r="N2230" s="3" t="str">
        <f t="shared" si="389"/>
        <v/>
      </c>
    </row>
    <row r="2231" spans="2:14">
      <c r="B2231" s="83" t="e">
        <f t="array" ref="B2231">SUM(--(FREQUENCY(IF(C$2:C$3074=C2231, MATCH(D$2:D$3074, D$2:D$3074, 0)), ROW(D$2:D$3074)-ROW(D$2)+1) &gt; 0))</f>
        <v>#N/A</v>
      </c>
      <c r="G2231" s="68" t="str">
        <f t="shared" si="390"/>
        <v>SINGLE</v>
      </c>
      <c r="K2231" s="186"/>
      <c r="N2231" s="3" t="str">
        <f t="shared" si="389"/>
        <v/>
      </c>
    </row>
    <row r="2232" spans="2:14">
      <c r="B2232" s="83" t="e">
        <f t="array" ref="B2232">SUM(--(FREQUENCY(IF(C$2:C$3074=C2232, MATCH(D$2:D$3074, D$2:D$3074, 0)), ROW(D$2:D$3074)-ROW(D$2)+1) &gt; 0))</f>
        <v>#N/A</v>
      </c>
      <c r="G2232" s="68" t="str">
        <f t="shared" si="390"/>
        <v>SINGLE</v>
      </c>
      <c r="K2232" s="186"/>
      <c r="N2232" s="3" t="str">
        <f t="shared" si="389"/>
        <v/>
      </c>
    </row>
    <row r="2233" spans="2:14">
      <c r="B2233" s="83" t="e">
        <f t="array" ref="B2233">SUM(--(FREQUENCY(IF(C$2:C$3074=C2233, MATCH(D$2:D$3074, D$2:D$3074, 0)), ROW(D$2:D$3074)-ROW(D$2)+1) &gt; 0))</f>
        <v>#N/A</v>
      </c>
      <c r="G2233" s="68" t="str">
        <f t="shared" si="390"/>
        <v>SINGLE</v>
      </c>
      <c r="K2233" s="186"/>
      <c r="N2233" s="3" t="str">
        <f t="shared" si="389"/>
        <v/>
      </c>
    </row>
    <row r="2234" spans="2:14">
      <c r="B2234" s="83" t="e">
        <f t="array" ref="B2234">SUM(--(FREQUENCY(IF(C$2:C$3074=C2234, MATCH(D$2:D$3074, D$2:D$3074, 0)), ROW(D$2:D$3074)-ROW(D$2)+1) &gt; 0))</f>
        <v>#N/A</v>
      </c>
      <c r="G2234" s="68" t="str">
        <f t="shared" si="390"/>
        <v>SINGLE</v>
      </c>
      <c r="K2234" s="186"/>
      <c r="N2234" s="3" t="str">
        <f t="shared" si="389"/>
        <v/>
      </c>
    </row>
    <row r="2235" spans="2:14">
      <c r="B2235" s="83" t="e">
        <f t="array" ref="B2235">SUM(--(FREQUENCY(IF(C$2:C$3074=C2235, MATCH(D$2:D$3074, D$2:D$3074, 0)), ROW(D$2:D$3074)-ROW(D$2)+1) &gt; 0))</f>
        <v>#N/A</v>
      </c>
      <c r="G2235" s="68" t="str">
        <f t="shared" si="390"/>
        <v>SINGLE</v>
      </c>
      <c r="K2235" s="186"/>
      <c r="N2235" s="3" t="str">
        <f t="shared" si="389"/>
        <v/>
      </c>
    </row>
    <row r="2236" spans="2:14">
      <c r="B2236" s="83" t="e">
        <f t="array" ref="B2236">SUM(--(FREQUENCY(IF(C$2:C$3074=C2236, MATCH(D$2:D$3074, D$2:D$3074, 0)), ROW(D$2:D$3074)-ROW(D$2)+1) &gt; 0))</f>
        <v>#N/A</v>
      </c>
      <c r="G2236" s="68" t="str">
        <f t="shared" si="390"/>
        <v>SINGLE</v>
      </c>
      <c r="K2236" s="186"/>
      <c r="N2236" s="3" t="str">
        <f t="shared" si="389"/>
        <v/>
      </c>
    </row>
    <row r="2237" spans="2:14">
      <c r="B2237" s="83" t="e">
        <f t="array" ref="B2237">SUM(--(FREQUENCY(IF(C$2:C$3074=C2237, MATCH(D$2:D$3074, D$2:D$3074, 0)), ROW(D$2:D$3074)-ROW(D$2)+1) &gt; 0))</f>
        <v>#N/A</v>
      </c>
      <c r="G2237" s="68" t="str">
        <f t="shared" si="390"/>
        <v>SINGLE</v>
      </c>
      <c r="K2237" s="186"/>
      <c r="N2237" s="3" t="str">
        <f t="shared" si="389"/>
        <v/>
      </c>
    </row>
    <row r="2238" spans="2:14">
      <c r="B2238" s="83" t="e">
        <f t="array" ref="B2238">SUM(--(FREQUENCY(IF(C$2:C$3074=C2238, MATCH(D$2:D$3074, D$2:D$3074, 0)), ROW(D$2:D$3074)-ROW(D$2)+1) &gt; 0))</f>
        <v>#N/A</v>
      </c>
      <c r="G2238" s="68" t="str">
        <f t="shared" si="390"/>
        <v>SINGLE</v>
      </c>
      <c r="K2238" s="186"/>
      <c r="N2238" s="3" t="str">
        <f t="shared" si="389"/>
        <v/>
      </c>
    </row>
    <row r="2239" spans="2:14">
      <c r="B2239" s="83" t="e">
        <f t="array" ref="B2239">SUM(--(FREQUENCY(IF(C$2:C$3074=C2239, MATCH(D$2:D$3074, D$2:D$3074, 0)), ROW(D$2:D$3074)-ROW(D$2)+1) &gt; 0))</f>
        <v>#N/A</v>
      </c>
      <c r="G2239" s="68" t="str">
        <f t="shared" si="390"/>
        <v>SINGLE</v>
      </c>
      <c r="K2239" s="186"/>
      <c r="N2239" s="3" t="str">
        <f t="shared" ref="N2239:N2302" si="391">IF(O2239&lt;&gt;"", "NG", "")</f>
        <v/>
      </c>
    </row>
    <row r="2240" spans="2:14">
      <c r="B2240" s="83" t="e">
        <f t="array" ref="B2240">SUM(--(FREQUENCY(IF(C$2:C$3074=C2240, MATCH(D$2:D$3074, D$2:D$3074, 0)), ROW(D$2:D$3074)-ROW(D$2)+1) &gt; 0))</f>
        <v>#N/A</v>
      </c>
      <c r="G2240" s="68" t="str">
        <f t="shared" si="390"/>
        <v>SINGLE</v>
      </c>
      <c r="K2240" s="186"/>
      <c r="N2240" s="3" t="str">
        <f t="shared" si="391"/>
        <v/>
      </c>
    </row>
    <row r="2241" spans="2:14">
      <c r="B2241" s="83" t="e">
        <f t="array" ref="B2241">SUM(--(FREQUENCY(IF(C$2:C$3074=C2241, MATCH(D$2:D$3074, D$2:D$3074, 0)), ROW(D$2:D$3074)-ROW(D$2)+1) &gt; 0))</f>
        <v>#N/A</v>
      </c>
      <c r="G2241" s="68" t="str">
        <f t="shared" si="390"/>
        <v>SINGLE</v>
      </c>
      <c r="K2241" s="186"/>
      <c r="N2241" s="3" t="str">
        <f t="shared" si="391"/>
        <v/>
      </c>
    </row>
    <row r="2242" spans="2:14">
      <c r="B2242" s="83" t="e">
        <f t="array" ref="B2242">SUM(--(FREQUENCY(IF(C$2:C$3074=C2242, MATCH(D$2:D$3074, D$2:D$3074, 0)), ROW(D$2:D$3074)-ROW(D$2)+1) &gt; 0))</f>
        <v>#N/A</v>
      </c>
      <c r="G2242" s="68" t="str">
        <f t="shared" si="390"/>
        <v>SINGLE</v>
      </c>
      <c r="K2242" s="186"/>
      <c r="N2242" s="3" t="str">
        <f t="shared" si="391"/>
        <v/>
      </c>
    </row>
    <row r="2243" spans="2:14">
      <c r="B2243" s="83" t="e">
        <f t="array" ref="B2243">SUM(--(FREQUENCY(IF(C$2:C$3074=C2243, MATCH(D$2:D$3074, D$2:D$3074, 0)), ROW(D$2:D$3074)-ROW(D$2)+1) &gt; 0))</f>
        <v>#N/A</v>
      </c>
      <c r="G2243" s="68" t="str">
        <f t="shared" si="390"/>
        <v>SINGLE</v>
      </c>
      <c r="K2243" s="186"/>
      <c r="N2243" s="3" t="str">
        <f t="shared" si="391"/>
        <v/>
      </c>
    </row>
    <row r="2244" spans="2:14">
      <c r="B2244" s="83" t="e">
        <f t="array" ref="B2244">SUM(--(FREQUENCY(IF(C$2:C$3074=C2244, MATCH(D$2:D$3074, D$2:D$3074, 0)), ROW(D$2:D$3074)-ROW(D$2)+1) &gt; 0))</f>
        <v>#N/A</v>
      </c>
      <c r="G2244" s="68" t="str">
        <f t="shared" si="390"/>
        <v>SINGLE</v>
      </c>
      <c r="K2244" s="186"/>
      <c r="N2244" s="3" t="str">
        <f t="shared" si="391"/>
        <v/>
      </c>
    </row>
    <row r="2245" spans="2:14">
      <c r="B2245" s="83" t="e">
        <f t="array" ref="B2245">SUM(--(FREQUENCY(IF(C$2:C$3074=C2245, MATCH(D$2:D$3074, D$2:D$3074, 0)), ROW(D$2:D$3074)-ROW(D$2)+1) &gt; 0))</f>
        <v>#N/A</v>
      </c>
      <c r="G2245" s="68" t="str">
        <f t="shared" si="390"/>
        <v>SINGLE</v>
      </c>
      <c r="K2245" s="186"/>
      <c r="N2245" s="3" t="str">
        <f t="shared" si="391"/>
        <v/>
      </c>
    </row>
    <row r="2246" spans="2:14">
      <c r="B2246" s="83" t="e">
        <f t="array" ref="B2246">SUM(--(FREQUENCY(IF(C$2:C$3074=C2246, MATCH(D$2:D$3074, D$2:D$3074, 0)), ROW(D$2:D$3074)-ROW(D$2)+1) &gt; 0))</f>
        <v>#N/A</v>
      </c>
      <c r="G2246" s="68" t="str">
        <f t="shared" si="390"/>
        <v>SINGLE</v>
      </c>
      <c r="K2246" s="186"/>
      <c r="N2246" s="3" t="str">
        <f t="shared" si="391"/>
        <v/>
      </c>
    </row>
    <row r="2247" spans="2:14">
      <c r="B2247" s="83" t="e">
        <f t="array" ref="B2247">SUM(--(FREQUENCY(IF(C$2:C$3074=C2247, MATCH(D$2:D$3074, D$2:D$3074, 0)), ROW(D$2:D$3074)-ROW(D$2)+1) &gt; 0))</f>
        <v>#N/A</v>
      </c>
      <c r="G2247" s="68" t="str">
        <f t="shared" si="390"/>
        <v>SINGLE</v>
      </c>
      <c r="K2247" s="186"/>
      <c r="N2247" s="3" t="str">
        <f t="shared" si="391"/>
        <v/>
      </c>
    </row>
    <row r="2248" spans="2:14">
      <c r="B2248" s="83" t="e">
        <f t="array" ref="B2248">SUM(--(FREQUENCY(IF(C$2:C$3074=C2248, MATCH(D$2:D$3074, D$2:D$3074, 0)), ROW(D$2:D$3074)-ROW(D$2)+1) &gt; 0))</f>
        <v>#N/A</v>
      </c>
      <c r="G2248" s="68" t="str">
        <f t="shared" si="390"/>
        <v>SINGLE</v>
      </c>
      <c r="K2248" s="186"/>
      <c r="N2248" s="3" t="str">
        <f t="shared" si="391"/>
        <v/>
      </c>
    </row>
    <row r="2249" spans="2:14">
      <c r="B2249" s="83" t="e">
        <f t="array" ref="B2249">SUM(--(FREQUENCY(IF(C$2:C$3074=C2249, MATCH(D$2:D$3074, D$2:D$3074, 0)), ROW(D$2:D$3074)-ROW(D$2)+1) &gt; 0))</f>
        <v>#N/A</v>
      </c>
      <c r="G2249" s="68" t="str">
        <f t="shared" si="390"/>
        <v>SINGLE</v>
      </c>
      <c r="K2249" s="186"/>
      <c r="N2249" s="3" t="str">
        <f t="shared" si="391"/>
        <v/>
      </c>
    </row>
    <row r="2250" spans="2:14">
      <c r="B2250" s="83" t="e">
        <f t="array" ref="B2250">SUM(--(FREQUENCY(IF(C$2:C$3074=C2250, MATCH(D$2:D$3074, D$2:D$3074, 0)), ROW(D$2:D$3074)-ROW(D$2)+1) &gt; 0))</f>
        <v>#N/A</v>
      </c>
      <c r="G2250" s="68" t="str">
        <f t="shared" si="390"/>
        <v>SINGLE</v>
      </c>
      <c r="K2250" s="186"/>
      <c r="N2250" s="3" t="str">
        <f t="shared" si="391"/>
        <v/>
      </c>
    </row>
    <row r="2251" spans="2:14">
      <c r="B2251" s="83" t="e">
        <f t="array" ref="B2251">SUM(--(FREQUENCY(IF(C$2:C$3074=C2251, MATCH(D$2:D$3074, D$2:D$3074, 0)), ROW(D$2:D$3074)-ROW(D$2)+1) &gt; 0))</f>
        <v>#N/A</v>
      </c>
      <c r="G2251" s="68" t="str">
        <f t="shared" si="390"/>
        <v>SINGLE</v>
      </c>
      <c r="K2251" s="186"/>
      <c r="N2251" s="3" t="str">
        <f t="shared" si="391"/>
        <v/>
      </c>
    </row>
    <row r="2252" spans="2:14">
      <c r="B2252" s="83" t="e">
        <f t="array" ref="B2252">SUM(--(FREQUENCY(IF(C$2:C$3074=C2252, MATCH(D$2:D$3074, D$2:D$3074, 0)), ROW(D$2:D$3074)-ROW(D$2)+1) &gt; 0))</f>
        <v>#N/A</v>
      </c>
      <c r="G2252" s="68" t="str">
        <f t="shared" si="390"/>
        <v>SINGLE</v>
      </c>
      <c r="K2252" s="186"/>
      <c r="N2252" s="3" t="str">
        <f t="shared" si="391"/>
        <v/>
      </c>
    </row>
    <row r="2253" spans="2:14">
      <c r="B2253" s="83" t="e">
        <f t="array" ref="B2253">SUM(--(FREQUENCY(IF(C$2:C$3074=C2253, MATCH(D$2:D$3074, D$2:D$3074, 0)), ROW(D$2:D$3074)-ROW(D$2)+1) &gt; 0))</f>
        <v>#N/A</v>
      </c>
      <c r="G2253" s="68" t="str">
        <f t="shared" si="390"/>
        <v>SINGLE</v>
      </c>
      <c r="K2253" s="186"/>
      <c r="N2253" s="3" t="str">
        <f t="shared" si="391"/>
        <v/>
      </c>
    </row>
    <row r="2254" spans="2:14">
      <c r="B2254" s="83" t="e">
        <f t="array" ref="B2254">SUM(--(FREQUENCY(IF(C$2:C$3074=C2254, MATCH(D$2:D$3074, D$2:D$3074, 0)), ROW(D$2:D$3074)-ROW(D$2)+1) &gt; 0))</f>
        <v>#N/A</v>
      </c>
      <c r="G2254" s="68" t="str">
        <f t="shared" si="390"/>
        <v>SINGLE</v>
      </c>
      <c r="K2254" s="186"/>
      <c r="N2254" s="3" t="str">
        <f t="shared" si="391"/>
        <v/>
      </c>
    </row>
    <row r="2255" spans="2:14">
      <c r="B2255" s="83" t="e">
        <f t="array" ref="B2255">SUM(--(FREQUENCY(IF(C$2:C$3074=C2255, MATCH(D$2:D$3074, D$2:D$3074, 0)), ROW(D$2:D$3074)-ROW(D$2)+1) &gt; 0))</f>
        <v>#N/A</v>
      </c>
      <c r="G2255" s="68" t="str">
        <f t="shared" si="390"/>
        <v>SINGLE</v>
      </c>
      <c r="K2255" s="186"/>
      <c r="N2255" s="3" t="str">
        <f t="shared" si="391"/>
        <v/>
      </c>
    </row>
    <row r="2256" spans="2:14">
      <c r="B2256" s="83" t="e">
        <f t="array" ref="B2256">SUM(--(FREQUENCY(IF(C$2:C$3074=C2256, MATCH(D$2:D$3074, D$2:D$3074, 0)), ROW(D$2:D$3074)-ROW(D$2)+1) &gt; 0))</f>
        <v>#N/A</v>
      </c>
      <c r="G2256" s="68" t="str">
        <f t="shared" si="390"/>
        <v>SINGLE</v>
      </c>
      <c r="K2256" s="186"/>
      <c r="N2256" s="3" t="str">
        <f t="shared" si="391"/>
        <v/>
      </c>
    </row>
    <row r="2257" spans="2:14">
      <c r="B2257" s="83" t="e">
        <f t="array" ref="B2257">SUM(--(FREQUENCY(IF(C$2:C$3074=C2257, MATCH(D$2:D$3074, D$2:D$3074, 0)), ROW(D$2:D$3074)-ROW(D$2)+1) &gt; 0))</f>
        <v>#N/A</v>
      </c>
      <c r="G2257" s="68" t="str">
        <f t="shared" si="390"/>
        <v>SINGLE</v>
      </c>
      <c r="K2257" s="186"/>
      <c r="N2257" s="3" t="str">
        <f t="shared" si="391"/>
        <v/>
      </c>
    </row>
    <row r="2258" spans="2:14">
      <c r="B2258" s="83" t="e">
        <f t="array" ref="B2258">SUM(--(FREQUENCY(IF(C$2:C$3074=C2258, MATCH(D$2:D$3074, D$2:D$3074, 0)), ROW(D$2:D$3074)-ROW(D$2)+1) &gt; 0))</f>
        <v>#N/A</v>
      </c>
      <c r="G2258" s="68" t="str">
        <f t="shared" si="390"/>
        <v>SINGLE</v>
      </c>
      <c r="K2258" s="186"/>
      <c r="N2258" s="3" t="str">
        <f t="shared" si="391"/>
        <v/>
      </c>
    </row>
    <row r="2259" spans="2:14">
      <c r="B2259" s="83" t="e">
        <f t="array" ref="B2259">SUM(--(FREQUENCY(IF(C$2:C$3074=C2259, MATCH(D$2:D$3074, D$2:D$3074, 0)), ROW(D$2:D$3074)-ROW(D$2)+1) &gt; 0))</f>
        <v>#N/A</v>
      </c>
      <c r="G2259" s="68" t="str">
        <f t="shared" si="390"/>
        <v>SINGLE</v>
      </c>
      <c r="K2259" s="186"/>
      <c r="N2259" s="3" t="str">
        <f t="shared" si="391"/>
        <v/>
      </c>
    </row>
    <row r="2260" spans="2:14">
      <c r="B2260" s="83" t="e">
        <f t="array" ref="B2260">SUM(--(FREQUENCY(IF(C$2:C$3074=C2260, MATCH(D$2:D$3074, D$2:D$3074, 0)), ROW(D$2:D$3074)-ROW(D$2)+1) &gt; 0))</f>
        <v>#N/A</v>
      </c>
      <c r="G2260" s="68" t="str">
        <f t="shared" si="390"/>
        <v>SINGLE</v>
      </c>
      <c r="K2260" s="186"/>
      <c r="N2260" s="3" t="str">
        <f t="shared" si="391"/>
        <v/>
      </c>
    </row>
    <row r="2261" spans="2:14">
      <c r="B2261" s="83" t="e">
        <f t="array" ref="B2261">SUM(--(FREQUENCY(IF(C$2:C$3074=C2261, MATCH(D$2:D$3074, D$2:D$3074, 0)), ROW(D$2:D$3074)-ROW(D$2)+1) &gt; 0))</f>
        <v>#N/A</v>
      </c>
      <c r="G2261" s="68" t="str">
        <f t="shared" si="390"/>
        <v>SINGLE</v>
      </c>
      <c r="K2261" s="186"/>
      <c r="N2261" s="3" t="str">
        <f t="shared" si="391"/>
        <v/>
      </c>
    </row>
    <row r="2262" spans="2:14">
      <c r="B2262" s="83" t="e">
        <f t="array" ref="B2262">SUM(--(FREQUENCY(IF(C$2:C$3074=C2262, MATCH(D$2:D$3074, D$2:D$3074, 0)), ROW(D$2:D$3074)-ROW(D$2)+1) &gt; 0))</f>
        <v>#N/A</v>
      </c>
      <c r="G2262" s="68" t="str">
        <f t="shared" si="390"/>
        <v>SINGLE</v>
      </c>
      <c r="K2262" s="186"/>
      <c r="N2262" s="3" t="str">
        <f t="shared" si="391"/>
        <v/>
      </c>
    </row>
    <row r="2263" spans="2:14">
      <c r="B2263" s="83" t="e">
        <f t="array" ref="B2263">SUM(--(FREQUENCY(IF(C$2:C$3074=C2263, MATCH(D$2:D$3074, D$2:D$3074, 0)), ROW(D$2:D$3074)-ROW(D$2)+1) &gt; 0))</f>
        <v>#N/A</v>
      </c>
      <c r="G2263" s="68" t="str">
        <f t="shared" si="390"/>
        <v>SINGLE</v>
      </c>
      <c r="K2263" s="186"/>
      <c r="N2263" s="3" t="str">
        <f t="shared" si="391"/>
        <v/>
      </c>
    </row>
    <row r="2264" spans="2:14">
      <c r="B2264" s="83" t="e">
        <f t="array" ref="B2264">SUM(--(FREQUENCY(IF(C$2:C$3074=C2264, MATCH(D$2:D$3074, D$2:D$3074, 0)), ROW(D$2:D$3074)-ROW(D$2)+1) &gt; 0))</f>
        <v>#N/A</v>
      </c>
      <c r="G2264" s="68" t="str">
        <f t="shared" si="390"/>
        <v>SINGLE</v>
      </c>
      <c r="K2264" s="186"/>
      <c r="N2264" s="3" t="str">
        <f t="shared" si="391"/>
        <v/>
      </c>
    </row>
    <row r="2265" spans="2:14">
      <c r="B2265" s="83" t="e">
        <f t="array" ref="B2265">SUM(--(FREQUENCY(IF(C$2:C$3074=C2265, MATCH(D$2:D$3074, D$2:D$3074, 0)), ROW(D$2:D$3074)-ROW(D$2)+1) &gt; 0))</f>
        <v>#N/A</v>
      </c>
      <c r="G2265" s="68" t="str">
        <f t="shared" si="390"/>
        <v>SINGLE</v>
      </c>
      <c r="K2265" s="186"/>
      <c r="N2265" s="3" t="str">
        <f t="shared" si="391"/>
        <v/>
      </c>
    </row>
    <row r="2266" spans="2:14">
      <c r="B2266" s="83" t="e">
        <f t="array" ref="B2266">SUM(--(FREQUENCY(IF(C$2:C$3074=C2266, MATCH(D$2:D$3074, D$2:D$3074, 0)), ROW(D$2:D$3074)-ROW(D$2)+1) &gt; 0))</f>
        <v>#N/A</v>
      </c>
      <c r="G2266" s="68" t="str">
        <f t="shared" si="390"/>
        <v>SINGLE</v>
      </c>
      <c r="K2266" s="186"/>
      <c r="N2266" s="3" t="str">
        <f t="shared" si="391"/>
        <v/>
      </c>
    </row>
    <row r="2267" spans="2:14">
      <c r="B2267" s="83" t="e">
        <f t="array" ref="B2267">SUM(--(FREQUENCY(IF(C$2:C$3074=C2267, MATCH(D$2:D$3074, D$2:D$3074, 0)), ROW(D$2:D$3074)-ROW(D$2)+1) &gt; 0))</f>
        <v>#N/A</v>
      </c>
      <c r="G2267" s="68" t="str">
        <f t="shared" si="390"/>
        <v>SINGLE</v>
      </c>
      <c r="K2267" s="186"/>
      <c r="N2267" s="3" t="str">
        <f t="shared" si="391"/>
        <v/>
      </c>
    </row>
    <row r="2268" spans="2:14">
      <c r="B2268" s="83" t="e">
        <f t="array" ref="B2268">SUM(--(FREQUENCY(IF(C$2:C$3074=C2268, MATCH(D$2:D$3074, D$2:D$3074, 0)), ROW(D$2:D$3074)-ROW(D$2)+1) &gt; 0))</f>
        <v>#N/A</v>
      </c>
      <c r="G2268" s="68" t="str">
        <f t="shared" si="390"/>
        <v>SINGLE</v>
      </c>
      <c r="K2268" s="186"/>
      <c r="N2268" s="3" t="str">
        <f t="shared" si="391"/>
        <v/>
      </c>
    </row>
    <row r="2269" spans="2:14">
      <c r="B2269" s="83" t="e">
        <f t="array" ref="B2269">SUM(--(FREQUENCY(IF(C$2:C$3074=C2269, MATCH(D$2:D$3074, D$2:D$3074, 0)), ROW(D$2:D$3074)-ROW(D$2)+1) &gt; 0))</f>
        <v>#N/A</v>
      </c>
      <c r="G2269" s="68" t="str">
        <f t="shared" si="390"/>
        <v>SINGLE</v>
      </c>
      <c r="K2269" s="186"/>
      <c r="N2269" s="3" t="str">
        <f t="shared" si="391"/>
        <v/>
      </c>
    </row>
    <row r="2270" spans="2:14">
      <c r="B2270" s="83" t="e">
        <f t="array" ref="B2270">SUM(--(FREQUENCY(IF(C$2:C$3074=C2270, MATCH(D$2:D$3074, D$2:D$3074, 0)), ROW(D$2:D$3074)-ROW(D$2)+1) &gt; 0))</f>
        <v>#N/A</v>
      </c>
      <c r="G2270" s="68" t="str">
        <f t="shared" si="390"/>
        <v>SINGLE</v>
      </c>
      <c r="K2270" s="186"/>
      <c r="N2270" s="3" t="str">
        <f t="shared" si="391"/>
        <v/>
      </c>
    </row>
    <row r="2271" spans="2:14">
      <c r="B2271" s="83" t="e">
        <f t="array" ref="B2271">SUM(--(FREQUENCY(IF(C$2:C$3074=C2271, MATCH(D$2:D$3074, D$2:D$3074, 0)), ROW(D$2:D$3074)-ROW(D$2)+1) &gt; 0))</f>
        <v>#N/A</v>
      </c>
      <c r="G2271" s="68" t="str">
        <f t="shared" si="390"/>
        <v>SINGLE</v>
      </c>
      <c r="K2271" s="186"/>
      <c r="N2271" s="3" t="str">
        <f t="shared" si="391"/>
        <v/>
      </c>
    </row>
    <row r="2272" spans="2:14">
      <c r="B2272" s="83" t="e">
        <f t="array" ref="B2272">SUM(--(FREQUENCY(IF(C$2:C$3074=C2272, MATCH(D$2:D$3074, D$2:D$3074, 0)), ROW(D$2:D$3074)-ROW(D$2)+1) &gt; 0))</f>
        <v>#N/A</v>
      </c>
      <c r="G2272" s="68" t="str">
        <f t="shared" si="390"/>
        <v>SINGLE</v>
      </c>
      <c r="K2272" s="186"/>
      <c r="N2272" s="3" t="str">
        <f t="shared" si="391"/>
        <v/>
      </c>
    </row>
    <row r="2273" spans="2:14">
      <c r="B2273" s="83" t="e">
        <f t="array" ref="B2273">SUM(--(FREQUENCY(IF(C$2:C$3074=C2273, MATCH(D$2:D$3074, D$2:D$3074, 0)), ROW(D$2:D$3074)-ROW(D$2)+1) &gt; 0))</f>
        <v>#N/A</v>
      </c>
      <c r="G2273" s="68" t="str">
        <f t="shared" si="390"/>
        <v>SINGLE</v>
      </c>
      <c r="K2273" s="186"/>
      <c r="N2273" s="3" t="str">
        <f t="shared" si="391"/>
        <v/>
      </c>
    </row>
    <row r="2274" spans="2:14">
      <c r="B2274" s="83" t="e">
        <f t="array" ref="B2274">SUM(--(FREQUENCY(IF(C$2:C$3074=C2274, MATCH(D$2:D$3074, D$2:D$3074, 0)), ROW(D$2:D$3074)-ROW(D$2)+1) &gt; 0))</f>
        <v>#N/A</v>
      </c>
      <c r="G2274" s="68" t="str">
        <f t="shared" si="390"/>
        <v>SINGLE</v>
      </c>
      <c r="K2274" s="186"/>
      <c r="N2274" s="3" t="str">
        <f t="shared" si="391"/>
        <v/>
      </c>
    </row>
    <row r="2275" spans="2:14">
      <c r="B2275" s="83" t="e">
        <f t="array" ref="B2275">SUM(--(FREQUENCY(IF(C$2:C$3074=C2275, MATCH(D$2:D$3074, D$2:D$3074, 0)), ROW(D$2:D$3074)-ROW(D$2)+1) &gt; 0))</f>
        <v>#N/A</v>
      </c>
      <c r="G2275" s="68" t="str">
        <f t="shared" si="390"/>
        <v>SINGLE</v>
      </c>
      <c r="K2275" s="186"/>
      <c r="N2275" s="3" t="str">
        <f t="shared" si="391"/>
        <v/>
      </c>
    </row>
    <row r="2276" spans="2:14">
      <c r="B2276" s="83" t="e">
        <f t="array" ref="B2276">SUM(--(FREQUENCY(IF(C$2:C$3074=C2276, MATCH(D$2:D$3074, D$2:D$3074, 0)), ROW(D$2:D$3074)-ROW(D$2)+1) &gt; 0))</f>
        <v>#N/A</v>
      </c>
      <c r="G2276" s="68" t="str">
        <f t="shared" si="390"/>
        <v>SINGLE</v>
      </c>
      <c r="K2276" s="186"/>
      <c r="N2276" s="3" t="str">
        <f t="shared" si="391"/>
        <v/>
      </c>
    </row>
    <row r="2277" spans="2:14">
      <c r="B2277" s="83" t="e">
        <f t="array" ref="B2277">SUM(--(FREQUENCY(IF(C$2:C$3074=C2277, MATCH(D$2:D$3074, D$2:D$3074, 0)), ROW(D$2:D$3074)-ROW(D$2)+1) &gt; 0))</f>
        <v>#N/A</v>
      </c>
      <c r="G2277" s="68" t="str">
        <f t="shared" si="390"/>
        <v>SINGLE</v>
      </c>
      <c r="K2277" s="186"/>
      <c r="N2277" s="3" t="str">
        <f t="shared" si="391"/>
        <v/>
      </c>
    </row>
    <row r="2278" spans="2:14">
      <c r="B2278" s="83" t="e">
        <f t="array" ref="B2278">SUM(--(FREQUENCY(IF(C$2:C$3074=C2278, MATCH(D$2:D$3074, D$2:D$3074, 0)), ROW(D$2:D$3074)-ROW(D$2)+1) &gt; 0))</f>
        <v>#N/A</v>
      </c>
      <c r="G2278" s="68" t="str">
        <f t="shared" si="390"/>
        <v>SINGLE</v>
      </c>
      <c r="K2278" s="186"/>
      <c r="N2278" s="3" t="str">
        <f t="shared" si="391"/>
        <v/>
      </c>
    </row>
    <row r="2279" spans="2:14">
      <c r="B2279" s="83" t="e">
        <f t="array" ref="B2279">SUM(--(FREQUENCY(IF(C$2:C$3074=C2279, MATCH(D$2:D$3074, D$2:D$3074, 0)), ROW(D$2:D$3074)-ROW(D$2)+1) &gt; 0))</f>
        <v>#N/A</v>
      </c>
      <c r="G2279" s="68" t="str">
        <f t="shared" si="390"/>
        <v>SINGLE</v>
      </c>
      <c r="K2279" s="186"/>
      <c r="N2279" s="3" t="str">
        <f t="shared" si="391"/>
        <v/>
      </c>
    </row>
    <row r="2280" spans="2:14">
      <c r="B2280" s="83" t="e">
        <f t="array" ref="B2280">SUM(--(FREQUENCY(IF(C$2:C$3074=C2280, MATCH(D$2:D$3074, D$2:D$3074, 0)), ROW(D$2:D$3074)-ROW(D$2)+1) &gt; 0))</f>
        <v>#N/A</v>
      </c>
      <c r="G2280" s="68" t="str">
        <f t="shared" si="390"/>
        <v>SINGLE</v>
      </c>
      <c r="K2280" s="186"/>
      <c r="N2280" s="3" t="str">
        <f t="shared" si="391"/>
        <v/>
      </c>
    </row>
    <row r="2281" spans="2:14">
      <c r="B2281" s="83" t="e">
        <f t="array" ref="B2281">SUM(--(FREQUENCY(IF(C$2:C$3074=C2281, MATCH(D$2:D$3074, D$2:D$3074, 0)), ROW(D$2:D$3074)-ROW(D$2)+1) &gt; 0))</f>
        <v>#N/A</v>
      </c>
      <c r="G2281" s="68" t="str">
        <f t="shared" si="390"/>
        <v>SINGLE</v>
      </c>
      <c r="K2281" s="186"/>
      <c r="N2281" s="3" t="str">
        <f t="shared" si="391"/>
        <v/>
      </c>
    </row>
    <row r="2282" spans="2:14">
      <c r="B2282" s="83" t="e">
        <f t="array" ref="B2282">SUM(--(FREQUENCY(IF(C$2:C$3074=C2282, MATCH(D$2:D$3074, D$2:D$3074, 0)), ROW(D$2:D$3074)-ROW(D$2)+1) &gt; 0))</f>
        <v>#N/A</v>
      </c>
      <c r="G2282" s="68" t="str">
        <f t="shared" si="390"/>
        <v>SINGLE</v>
      </c>
      <c r="K2282" s="186"/>
      <c r="N2282" s="3" t="str">
        <f t="shared" si="391"/>
        <v/>
      </c>
    </row>
    <row r="2283" spans="2:14">
      <c r="B2283" s="83" t="e">
        <f t="array" ref="B2283">SUM(--(FREQUENCY(IF(C$2:C$3074=C2283, MATCH(D$2:D$3074, D$2:D$3074, 0)), ROW(D$2:D$3074)-ROW(D$2)+1) &gt; 0))</f>
        <v>#N/A</v>
      </c>
      <c r="G2283" s="68" t="str">
        <f t="shared" si="390"/>
        <v>SINGLE</v>
      </c>
      <c r="K2283" s="186"/>
      <c r="N2283" s="3" t="str">
        <f t="shared" si="391"/>
        <v/>
      </c>
    </row>
    <row r="2284" spans="2:14">
      <c r="B2284" s="83" t="e">
        <f t="array" ref="B2284">SUM(--(FREQUENCY(IF(C$2:C$3074=C2284, MATCH(D$2:D$3074, D$2:D$3074, 0)), ROW(D$2:D$3074)-ROW(D$2)+1) &gt; 0))</f>
        <v>#N/A</v>
      </c>
      <c r="G2284" s="68" t="str">
        <f t="shared" si="390"/>
        <v>SINGLE</v>
      </c>
      <c r="K2284" s="186"/>
      <c r="N2284" s="3" t="str">
        <f t="shared" si="391"/>
        <v/>
      </c>
    </row>
    <row r="2285" spans="2:14">
      <c r="B2285" s="83" t="e">
        <f t="array" ref="B2285">SUM(--(FREQUENCY(IF(C$2:C$3074=C2285, MATCH(D$2:D$3074, D$2:D$3074, 0)), ROW(D$2:D$3074)-ROW(D$2)+1) &gt; 0))</f>
        <v>#N/A</v>
      </c>
      <c r="G2285" s="68" t="str">
        <f t="shared" si="390"/>
        <v>SINGLE</v>
      </c>
      <c r="K2285" s="186"/>
      <c r="N2285" s="3" t="str">
        <f t="shared" si="391"/>
        <v/>
      </c>
    </row>
    <row r="2286" spans="2:14">
      <c r="B2286" s="83" t="e">
        <f t="array" ref="B2286">SUM(--(FREQUENCY(IF(C$2:C$3074=C2286, MATCH(D$2:D$3074, D$2:D$3074, 0)), ROW(D$2:D$3074)-ROW(D$2)+1) &gt; 0))</f>
        <v>#N/A</v>
      </c>
      <c r="G2286" s="68" t="str">
        <f t="shared" si="390"/>
        <v>SINGLE</v>
      </c>
      <c r="K2286" s="186"/>
      <c r="N2286" s="3" t="str">
        <f t="shared" si="391"/>
        <v/>
      </c>
    </row>
    <row r="2287" spans="2:14">
      <c r="B2287" s="83" t="e">
        <f t="array" ref="B2287">SUM(--(FREQUENCY(IF(C$2:C$3074=C2287, MATCH(D$2:D$3074, D$2:D$3074, 0)), ROW(D$2:D$3074)-ROW(D$2)+1) &gt; 0))</f>
        <v>#N/A</v>
      </c>
      <c r="G2287" s="68" t="str">
        <f t="shared" si="390"/>
        <v>SINGLE</v>
      </c>
      <c r="K2287" s="186"/>
      <c r="N2287" s="3" t="str">
        <f t="shared" si="391"/>
        <v/>
      </c>
    </row>
    <row r="2288" spans="2:14">
      <c r="B2288" s="83" t="e">
        <f t="array" ref="B2288">SUM(--(FREQUENCY(IF(C$2:C$3074=C2288, MATCH(D$2:D$3074, D$2:D$3074, 0)), ROW(D$2:D$3074)-ROW(D$2)+1) &gt; 0))</f>
        <v>#N/A</v>
      </c>
      <c r="G2288" s="68" t="str">
        <f t="shared" si="390"/>
        <v>SINGLE</v>
      </c>
      <c r="K2288" s="186"/>
      <c r="N2288" s="3" t="str">
        <f t="shared" si="391"/>
        <v/>
      </c>
    </row>
    <row r="2289" spans="2:14">
      <c r="B2289" s="83" t="e">
        <f t="array" ref="B2289">SUM(--(FREQUENCY(IF(C$2:C$3074=C2289, MATCH(D$2:D$3074, D$2:D$3074, 0)), ROW(D$2:D$3074)-ROW(D$2)+1) &gt; 0))</f>
        <v>#N/A</v>
      </c>
      <c r="G2289" s="68" t="str">
        <f t="shared" si="390"/>
        <v>SINGLE</v>
      </c>
      <c r="K2289" s="186"/>
      <c r="N2289" s="3" t="str">
        <f t="shared" si="391"/>
        <v/>
      </c>
    </row>
    <row r="2290" spans="2:14">
      <c r="B2290" s="83" t="e">
        <f t="array" ref="B2290">SUM(--(FREQUENCY(IF(C$2:C$3074=C2290, MATCH(D$2:D$3074, D$2:D$3074, 0)), ROW(D$2:D$3074)-ROW(D$2)+1) &gt; 0))</f>
        <v>#N/A</v>
      </c>
      <c r="G2290" s="68" t="str">
        <f t="shared" si="390"/>
        <v>SINGLE</v>
      </c>
      <c r="K2290" s="186"/>
      <c r="N2290" s="3" t="str">
        <f t="shared" si="391"/>
        <v/>
      </c>
    </row>
    <row r="2291" spans="2:14">
      <c r="B2291" s="83" t="e">
        <f t="array" ref="B2291">SUM(--(FREQUENCY(IF(C$2:C$3074=C2291, MATCH(D$2:D$3074, D$2:D$3074, 0)), ROW(D$2:D$3074)-ROW(D$2)+1) &gt; 0))</f>
        <v>#N/A</v>
      </c>
      <c r="G2291" s="68" t="str">
        <f t="shared" si="390"/>
        <v>SINGLE</v>
      </c>
      <c r="K2291" s="186"/>
      <c r="N2291" s="3" t="str">
        <f t="shared" si="391"/>
        <v/>
      </c>
    </row>
    <row r="2292" spans="2:14">
      <c r="B2292" s="83" t="e">
        <f t="array" ref="B2292">SUM(--(FREQUENCY(IF(C$2:C$3074=C2292, MATCH(D$2:D$3074, D$2:D$3074, 0)), ROW(D$2:D$3074)-ROW(D$2)+1) &gt; 0))</f>
        <v>#N/A</v>
      </c>
      <c r="G2292" s="68" t="str">
        <f t="shared" si="390"/>
        <v>SINGLE</v>
      </c>
      <c r="K2292" s="186"/>
      <c r="N2292" s="3" t="str">
        <f t="shared" si="391"/>
        <v/>
      </c>
    </row>
    <row r="2293" spans="2:14">
      <c r="B2293" s="83" t="e">
        <f t="array" ref="B2293">SUM(--(FREQUENCY(IF(C$2:C$3074=C2293, MATCH(D$2:D$3074, D$2:D$3074, 0)), ROW(D$2:D$3074)-ROW(D$2)+1) &gt; 0))</f>
        <v>#N/A</v>
      </c>
      <c r="G2293" s="68" t="str">
        <f t="shared" ref="G2293:G2356" si="392">IF(OR(ISNUMBER(SEARCH("DUAL",F2293)), ISNUMBER(SEARCH("IVAS",F2293))), "DUAL", "SINGLE")</f>
        <v>SINGLE</v>
      </c>
      <c r="K2293" s="186"/>
      <c r="N2293" s="3" t="str">
        <f t="shared" si="391"/>
        <v/>
      </c>
    </row>
    <row r="2294" spans="2:14">
      <c r="B2294" s="83" t="e">
        <f t="array" ref="B2294">SUM(--(FREQUENCY(IF(C$2:C$3074=C2294, MATCH(D$2:D$3074, D$2:D$3074, 0)), ROW(D$2:D$3074)-ROW(D$2)+1) &gt; 0))</f>
        <v>#N/A</v>
      </c>
      <c r="G2294" s="68" t="str">
        <f t="shared" si="392"/>
        <v>SINGLE</v>
      </c>
      <c r="K2294" s="186"/>
      <c r="N2294" s="3" t="str">
        <f t="shared" si="391"/>
        <v/>
      </c>
    </row>
    <row r="2295" spans="2:14">
      <c r="B2295" s="83" t="e">
        <f t="array" ref="B2295">SUM(--(FREQUENCY(IF(C$2:C$3074=C2295, MATCH(D$2:D$3074, D$2:D$3074, 0)), ROW(D$2:D$3074)-ROW(D$2)+1) &gt; 0))</f>
        <v>#N/A</v>
      </c>
      <c r="G2295" s="68" t="str">
        <f t="shared" si="392"/>
        <v>SINGLE</v>
      </c>
      <c r="K2295" s="186"/>
      <c r="N2295" s="3" t="str">
        <f t="shared" si="391"/>
        <v/>
      </c>
    </row>
    <row r="2296" spans="2:14">
      <c r="B2296" s="83" t="e">
        <f t="array" ref="B2296">SUM(--(FREQUENCY(IF(C$2:C$3074=C2296, MATCH(D$2:D$3074, D$2:D$3074, 0)), ROW(D$2:D$3074)-ROW(D$2)+1) &gt; 0))</f>
        <v>#N/A</v>
      </c>
      <c r="G2296" s="68" t="str">
        <f t="shared" si="392"/>
        <v>SINGLE</v>
      </c>
      <c r="K2296" s="186"/>
      <c r="N2296" s="3" t="str">
        <f t="shared" si="391"/>
        <v/>
      </c>
    </row>
    <row r="2297" spans="2:14">
      <c r="B2297" s="83" t="e">
        <f t="array" ref="B2297">SUM(--(FREQUENCY(IF(C$2:C$3074=C2297, MATCH(D$2:D$3074, D$2:D$3074, 0)), ROW(D$2:D$3074)-ROW(D$2)+1) &gt; 0))</f>
        <v>#N/A</v>
      </c>
      <c r="G2297" s="68" t="str">
        <f t="shared" si="392"/>
        <v>SINGLE</v>
      </c>
      <c r="K2297" s="186"/>
      <c r="N2297" s="3" t="str">
        <f t="shared" si="391"/>
        <v/>
      </c>
    </row>
    <row r="2298" spans="2:14">
      <c r="B2298" s="83" t="e">
        <f t="array" ref="B2298">SUM(--(FREQUENCY(IF(C$2:C$3074=C2298, MATCH(D$2:D$3074, D$2:D$3074, 0)), ROW(D$2:D$3074)-ROW(D$2)+1) &gt; 0))</f>
        <v>#N/A</v>
      </c>
      <c r="G2298" s="68" t="str">
        <f t="shared" si="392"/>
        <v>SINGLE</v>
      </c>
      <c r="K2298" s="186"/>
      <c r="N2298" s="3" t="str">
        <f t="shared" si="391"/>
        <v/>
      </c>
    </row>
    <row r="2299" spans="2:14">
      <c r="B2299" s="83" t="e">
        <f t="array" ref="B2299">SUM(--(FREQUENCY(IF(C$2:C$3074=C2299, MATCH(D$2:D$3074, D$2:D$3074, 0)), ROW(D$2:D$3074)-ROW(D$2)+1) &gt; 0))</f>
        <v>#N/A</v>
      </c>
      <c r="G2299" s="68" t="str">
        <f t="shared" si="392"/>
        <v>SINGLE</v>
      </c>
      <c r="K2299" s="186"/>
      <c r="N2299" s="3" t="str">
        <f t="shared" si="391"/>
        <v/>
      </c>
    </row>
    <row r="2300" spans="2:14">
      <c r="B2300" s="83" t="e">
        <f t="array" ref="B2300">SUM(--(FREQUENCY(IF(C$2:C$3074=C2300, MATCH(D$2:D$3074, D$2:D$3074, 0)), ROW(D$2:D$3074)-ROW(D$2)+1) &gt; 0))</f>
        <v>#N/A</v>
      </c>
      <c r="G2300" s="68" t="str">
        <f t="shared" si="392"/>
        <v>SINGLE</v>
      </c>
      <c r="K2300" s="186"/>
      <c r="N2300" s="3" t="str">
        <f t="shared" si="391"/>
        <v/>
      </c>
    </row>
    <row r="2301" spans="2:14">
      <c r="B2301" s="83" t="e">
        <f t="array" ref="B2301">SUM(--(FREQUENCY(IF(C$2:C$3074=C2301, MATCH(D$2:D$3074, D$2:D$3074, 0)), ROW(D$2:D$3074)-ROW(D$2)+1) &gt; 0))</f>
        <v>#N/A</v>
      </c>
      <c r="G2301" s="68" t="str">
        <f t="shared" si="392"/>
        <v>SINGLE</v>
      </c>
      <c r="K2301" s="186"/>
      <c r="N2301" s="3" t="str">
        <f t="shared" si="391"/>
        <v/>
      </c>
    </row>
    <row r="2302" spans="2:14">
      <c r="B2302" s="83" t="e">
        <f t="array" ref="B2302">SUM(--(FREQUENCY(IF(C$2:C$3074=C2302, MATCH(D$2:D$3074, D$2:D$3074, 0)), ROW(D$2:D$3074)-ROW(D$2)+1) &gt; 0))</f>
        <v>#N/A</v>
      </c>
      <c r="G2302" s="68" t="str">
        <f t="shared" si="392"/>
        <v>SINGLE</v>
      </c>
      <c r="K2302" s="186"/>
      <c r="N2302" s="3" t="str">
        <f t="shared" si="391"/>
        <v/>
      </c>
    </row>
    <row r="2303" spans="2:14">
      <c r="B2303" s="83" t="e">
        <f t="array" ref="B2303">SUM(--(FREQUENCY(IF(C$2:C$3074=C2303, MATCH(D$2:D$3074, D$2:D$3074, 0)), ROW(D$2:D$3074)-ROW(D$2)+1) &gt; 0))</f>
        <v>#N/A</v>
      </c>
      <c r="G2303" s="68" t="str">
        <f t="shared" si="392"/>
        <v>SINGLE</v>
      </c>
      <c r="K2303" s="186"/>
      <c r="N2303" s="3" t="str">
        <f t="shared" ref="N2303:N2366" si="393">IF(O2303&lt;&gt;"", "NG", "")</f>
        <v/>
      </c>
    </row>
    <row r="2304" spans="2:14">
      <c r="B2304" s="83" t="e">
        <f t="array" ref="B2304">SUM(--(FREQUENCY(IF(C$2:C$3074=C2304, MATCH(D$2:D$3074, D$2:D$3074, 0)), ROW(D$2:D$3074)-ROW(D$2)+1) &gt; 0))</f>
        <v>#N/A</v>
      </c>
      <c r="G2304" s="68" t="str">
        <f t="shared" si="392"/>
        <v>SINGLE</v>
      </c>
      <c r="K2304" s="186"/>
      <c r="N2304" s="3" t="str">
        <f t="shared" si="393"/>
        <v/>
      </c>
    </row>
    <row r="2305" spans="2:14">
      <c r="B2305" s="83" t="e">
        <f t="array" ref="B2305">SUM(--(FREQUENCY(IF(C$2:C$3074=C2305, MATCH(D$2:D$3074, D$2:D$3074, 0)), ROW(D$2:D$3074)-ROW(D$2)+1) &gt; 0))</f>
        <v>#N/A</v>
      </c>
      <c r="G2305" s="68" t="str">
        <f t="shared" si="392"/>
        <v>SINGLE</v>
      </c>
      <c r="K2305" s="186"/>
      <c r="N2305" s="3" t="str">
        <f t="shared" si="393"/>
        <v/>
      </c>
    </row>
    <row r="2306" spans="2:14">
      <c r="B2306" s="83" t="e">
        <f t="array" ref="B2306">SUM(--(FREQUENCY(IF(C$2:C$3074=C2306, MATCH(D$2:D$3074, D$2:D$3074, 0)), ROW(D$2:D$3074)-ROW(D$2)+1) &gt; 0))</f>
        <v>#N/A</v>
      </c>
      <c r="G2306" s="68" t="str">
        <f t="shared" si="392"/>
        <v>SINGLE</v>
      </c>
      <c r="K2306" s="186"/>
      <c r="N2306" s="3" t="str">
        <f t="shared" si="393"/>
        <v/>
      </c>
    </row>
    <row r="2307" spans="2:14">
      <c r="B2307" s="83" t="e">
        <f t="array" ref="B2307">SUM(--(FREQUENCY(IF(C$2:C$3074=C2307, MATCH(D$2:D$3074, D$2:D$3074, 0)), ROW(D$2:D$3074)-ROW(D$2)+1) &gt; 0))</f>
        <v>#N/A</v>
      </c>
      <c r="G2307" s="68" t="str">
        <f t="shared" si="392"/>
        <v>SINGLE</v>
      </c>
      <c r="K2307" s="186"/>
      <c r="N2307" s="3" t="str">
        <f t="shared" si="393"/>
        <v/>
      </c>
    </row>
    <row r="2308" spans="2:14">
      <c r="B2308" s="83" t="e">
        <f t="array" ref="B2308">SUM(--(FREQUENCY(IF(C$2:C$3074=C2308, MATCH(D$2:D$3074, D$2:D$3074, 0)), ROW(D$2:D$3074)-ROW(D$2)+1) &gt; 0))</f>
        <v>#N/A</v>
      </c>
      <c r="G2308" s="68" t="str">
        <f t="shared" si="392"/>
        <v>SINGLE</v>
      </c>
      <c r="K2308" s="186"/>
      <c r="N2308" s="3" t="str">
        <f t="shared" si="393"/>
        <v/>
      </c>
    </row>
    <row r="2309" spans="2:14">
      <c r="B2309" s="83" t="e">
        <f t="array" ref="B2309">SUM(--(FREQUENCY(IF(C$2:C$3074=C2309, MATCH(D$2:D$3074, D$2:D$3074, 0)), ROW(D$2:D$3074)-ROW(D$2)+1) &gt; 0))</f>
        <v>#N/A</v>
      </c>
      <c r="G2309" s="68" t="str">
        <f t="shared" si="392"/>
        <v>SINGLE</v>
      </c>
      <c r="K2309" s="186"/>
      <c r="N2309" s="3" t="str">
        <f t="shared" si="393"/>
        <v/>
      </c>
    </row>
    <row r="2310" spans="2:14">
      <c r="B2310" s="83" t="e">
        <f t="array" ref="B2310">SUM(--(FREQUENCY(IF(C$2:C$3074=C2310, MATCH(D$2:D$3074, D$2:D$3074, 0)), ROW(D$2:D$3074)-ROW(D$2)+1) &gt; 0))</f>
        <v>#N/A</v>
      </c>
      <c r="G2310" s="68" t="str">
        <f t="shared" si="392"/>
        <v>SINGLE</v>
      </c>
      <c r="K2310" s="186"/>
      <c r="N2310" s="3" t="str">
        <f t="shared" si="393"/>
        <v/>
      </c>
    </row>
    <row r="2311" spans="2:14">
      <c r="B2311" s="83" t="e">
        <f t="array" ref="B2311">SUM(--(FREQUENCY(IF(C$2:C$3074=C2311, MATCH(D$2:D$3074, D$2:D$3074, 0)), ROW(D$2:D$3074)-ROW(D$2)+1) &gt; 0))</f>
        <v>#N/A</v>
      </c>
      <c r="G2311" s="68" t="str">
        <f t="shared" si="392"/>
        <v>SINGLE</v>
      </c>
      <c r="K2311" s="186"/>
      <c r="N2311" s="3" t="str">
        <f t="shared" si="393"/>
        <v/>
      </c>
    </row>
    <row r="2312" spans="2:14">
      <c r="B2312" s="83" t="e">
        <f t="array" ref="B2312">SUM(--(FREQUENCY(IF(C$2:C$3074=C2312, MATCH(D$2:D$3074, D$2:D$3074, 0)), ROW(D$2:D$3074)-ROW(D$2)+1) &gt; 0))</f>
        <v>#N/A</v>
      </c>
      <c r="G2312" s="68" t="str">
        <f t="shared" si="392"/>
        <v>SINGLE</v>
      </c>
      <c r="K2312" s="186"/>
      <c r="N2312" s="3" t="str">
        <f t="shared" si="393"/>
        <v/>
      </c>
    </row>
    <row r="2313" spans="2:14">
      <c r="B2313" s="83" t="e">
        <f t="array" ref="B2313">SUM(--(FREQUENCY(IF(C$2:C$3074=C2313, MATCH(D$2:D$3074, D$2:D$3074, 0)), ROW(D$2:D$3074)-ROW(D$2)+1) &gt; 0))</f>
        <v>#N/A</v>
      </c>
      <c r="G2313" s="68" t="str">
        <f t="shared" si="392"/>
        <v>SINGLE</v>
      </c>
      <c r="K2313" s="186"/>
      <c r="N2313" s="3" t="str">
        <f t="shared" si="393"/>
        <v/>
      </c>
    </row>
    <row r="2314" spans="2:14">
      <c r="B2314" s="83" t="e">
        <f t="array" ref="B2314">SUM(--(FREQUENCY(IF(C$2:C$3074=C2314, MATCH(D$2:D$3074, D$2:D$3074, 0)), ROW(D$2:D$3074)-ROW(D$2)+1) &gt; 0))</f>
        <v>#N/A</v>
      </c>
      <c r="G2314" s="68" t="str">
        <f t="shared" si="392"/>
        <v>SINGLE</v>
      </c>
      <c r="K2314" s="186"/>
      <c r="N2314" s="3" t="str">
        <f t="shared" si="393"/>
        <v/>
      </c>
    </row>
    <row r="2315" spans="2:14">
      <c r="B2315" s="83" t="e">
        <f t="array" ref="B2315">SUM(--(FREQUENCY(IF(C$2:C$3074=C2315, MATCH(D$2:D$3074, D$2:D$3074, 0)), ROW(D$2:D$3074)-ROW(D$2)+1) &gt; 0))</f>
        <v>#N/A</v>
      </c>
      <c r="G2315" s="68" t="str">
        <f t="shared" si="392"/>
        <v>SINGLE</v>
      </c>
      <c r="K2315" s="186"/>
      <c r="N2315" s="3" t="str">
        <f t="shared" si="393"/>
        <v/>
      </c>
    </row>
    <row r="2316" spans="2:14">
      <c r="B2316" s="83" t="e">
        <f t="array" ref="B2316">SUM(--(FREQUENCY(IF(C$2:C$3074=C2316, MATCH(D$2:D$3074, D$2:D$3074, 0)), ROW(D$2:D$3074)-ROW(D$2)+1) &gt; 0))</f>
        <v>#N/A</v>
      </c>
      <c r="G2316" s="68" t="str">
        <f t="shared" si="392"/>
        <v>SINGLE</v>
      </c>
      <c r="K2316" s="186"/>
      <c r="N2316" s="3" t="str">
        <f t="shared" si="393"/>
        <v/>
      </c>
    </row>
    <row r="2317" spans="2:14">
      <c r="B2317" s="83" t="e">
        <f t="array" ref="B2317">SUM(--(FREQUENCY(IF(C$2:C$3074=C2317, MATCH(D$2:D$3074, D$2:D$3074, 0)), ROW(D$2:D$3074)-ROW(D$2)+1) &gt; 0))</f>
        <v>#N/A</v>
      </c>
      <c r="G2317" s="68" t="str">
        <f t="shared" si="392"/>
        <v>SINGLE</v>
      </c>
      <c r="K2317" s="186"/>
      <c r="N2317" s="3" t="str">
        <f t="shared" si="393"/>
        <v/>
      </c>
    </row>
    <row r="2318" spans="2:14">
      <c r="B2318" s="83" t="e">
        <f t="array" ref="B2318">SUM(--(FREQUENCY(IF(C$2:C$3074=C2318, MATCH(D$2:D$3074, D$2:D$3074, 0)), ROW(D$2:D$3074)-ROW(D$2)+1) &gt; 0))</f>
        <v>#N/A</v>
      </c>
      <c r="G2318" s="68" t="str">
        <f t="shared" si="392"/>
        <v>SINGLE</v>
      </c>
      <c r="K2318" s="186"/>
      <c r="N2318" s="3" t="str">
        <f t="shared" si="393"/>
        <v/>
      </c>
    </row>
    <row r="2319" spans="2:14">
      <c r="B2319" s="83" t="e">
        <f t="array" ref="B2319">SUM(--(FREQUENCY(IF(C$2:C$3074=C2319, MATCH(D$2:D$3074, D$2:D$3074, 0)), ROW(D$2:D$3074)-ROW(D$2)+1) &gt; 0))</f>
        <v>#N/A</v>
      </c>
      <c r="G2319" s="68" t="str">
        <f t="shared" si="392"/>
        <v>SINGLE</v>
      </c>
      <c r="K2319" s="186"/>
      <c r="N2319" s="3" t="str">
        <f t="shared" si="393"/>
        <v/>
      </c>
    </row>
    <row r="2320" spans="2:14">
      <c r="B2320" s="83" t="e">
        <f t="array" ref="B2320">SUM(--(FREQUENCY(IF(C$2:C$3074=C2320, MATCH(D$2:D$3074, D$2:D$3074, 0)), ROW(D$2:D$3074)-ROW(D$2)+1) &gt; 0))</f>
        <v>#N/A</v>
      </c>
      <c r="G2320" s="68" t="str">
        <f t="shared" si="392"/>
        <v>SINGLE</v>
      </c>
      <c r="K2320" s="186"/>
      <c r="N2320" s="3" t="str">
        <f t="shared" si="393"/>
        <v/>
      </c>
    </row>
    <row r="2321" spans="2:14">
      <c r="B2321" s="83" t="e">
        <f t="array" ref="B2321">SUM(--(FREQUENCY(IF(C$2:C$3074=C2321, MATCH(D$2:D$3074, D$2:D$3074, 0)), ROW(D$2:D$3074)-ROW(D$2)+1) &gt; 0))</f>
        <v>#N/A</v>
      </c>
      <c r="G2321" s="68" t="str">
        <f t="shared" si="392"/>
        <v>SINGLE</v>
      </c>
      <c r="K2321" s="186"/>
      <c r="N2321" s="3" t="str">
        <f t="shared" si="393"/>
        <v/>
      </c>
    </row>
    <row r="2322" spans="2:14">
      <c r="B2322" s="83" t="e">
        <f t="array" ref="B2322">SUM(--(FREQUENCY(IF(C$2:C$3074=C2322, MATCH(D$2:D$3074, D$2:D$3074, 0)), ROW(D$2:D$3074)-ROW(D$2)+1) &gt; 0))</f>
        <v>#N/A</v>
      </c>
      <c r="G2322" s="68" t="str">
        <f t="shared" si="392"/>
        <v>SINGLE</v>
      </c>
      <c r="K2322" s="186"/>
      <c r="N2322" s="3" t="str">
        <f t="shared" si="393"/>
        <v/>
      </c>
    </row>
    <row r="2323" spans="2:14">
      <c r="B2323" s="83" t="e">
        <f t="array" ref="B2323">SUM(--(FREQUENCY(IF(C$2:C$3074=C2323, MATCH(D$2:D$3074, D$2:D$3074, 0)), ROW(D$2:D$3074)-ROW(D$2)+1) &gt; 0))</f>
        <v>#N/A</v>
      </c>
      <c r="G2323" s="68" t="str">
        <f t="shared" si="392"/>
        <v>SINGLE</v>
      </c>
      <c r="K2323" s="186"/>
      <c r="N2323" s="3" t="str">
        <f t="shared" si="393"/>
        <v/>
      </c>
    </row>
    <row r="2324" spans="2:14">
      <c r="B2324" s="83" t="e">
        <f t="array" ref="B2324">SUM(--(FREQUENCY(IF(C$2:C$3074=C2324, MATCH(D$2:D$3074, D$2:D$3074, 0)), ROW(D$2:D$3074)-ROW(D$2)+1) &gt; 0))</f>
        <v>#N/A</v>
      </c>
      <c r="G2324" s="68" t="str">
        <f t="shared" si="392"/>
        <v>SINGLE</v>
      </c>
      <c r="K2324" s="186"/>
      <c r="N2324" s="3" t="str">
        <f t="shared" si="393"/>
        <v/>
      </c>
    </row>
    <row r="2325" spans="2:14">
      <c r="B2325" s="83" t="e">
        <f t="array" ref="B2325">SUM(--(FREQUENCY(IF(C$2:C$3074=C2325, MATCH(D$2:D$3074, D$2:D$3074, 0)), ROW(D$2:D$3074)-ROW(D$2)+1) &gt; 0))</f>
        <v>#N/A</v>
      </c>
      <c r="G2325" s="68" t="str">
        <f t="shared" si="392"/>
        <v>SINGLE</v>
      </c>
      <c r="K2325" s="186"/>
      <c r="N2325" s="3" t="str">
        <f t="shared" si="393"/>
        <v/>
      </c>
    </row>
    <row r="2326" spans="2:14">
      <c r="B2326" s="83" t="e">
        <f t="array" ref="B2326">SUM(--(FREQUENCY(IF(C$2:C$3074=C2326, MATCH(D$2:D$3074, D$2:D$3074, 0)), ROW(D$2:D$3074)-ROW(D$2)+1) &gt; 0))</f>
        <v>#N/A</v>
      </c>
      <c r="G2326" s="68" t="str">
        <f t="shared" si="392"/>
        <v>SINGLE</v>
      </c>
      <c r="K2326" s="186"/>
      <c r="N2326" s="3" t="str">
        <f t="shared" si="393"/>
        <v/>
      </c>
    </row>
    <row r="2327" spans="2:14">
      <c r="B2327" s="83" t="e">
        <f t="array" ref="B2327">SUM(--(FREQUENCY(IF(C$2:C$3074=C2327, MATCH(D$2:D$3074, D$2:D$3074, 0)), ROW(D$2:D$3074)-ROW(D$2)+1) &gt; 0))</f>
        <v>#N/A</v>
      </c>
      <c r="G2327" s="68" t="str">
        <f t="shared" si="392"/>
        <v>SINGLE</v>
      </c>
      <c r="K2327" s="186"/>
      <c r="N2327" s="3" t="str">
        <f t="shared" si="393"/>
        <v/>
      </c>
    </row>
    <row r="2328" spans="2:14">
      <c r="B2328" s="83" t="e">
        <f t="array" ref="B2328">SUM(--(FREQUENCY(IF(C$2:C$3074=C2328, MATCH(D$2:D$3074, D$2:D$3074, 0)), ROW(D$2:D$3074)-ROW(D$2)+1) &gt; 0))</f>
        <v>#N/A</v>
      </c>
      <c r="G2328" s="68" t="str">
        <f t="shared" si="392"/>
        <v>SINGLE</v>
      </c>
      <c r="K2328" s="186"/>
      <c r="N2328" s="3" t="str">
        <f t="shared" si="393"/>
        <v/>
      </c>
    </row>
    <row r="2329" spans="2:14">
      <c r="B2329" s="83" t="e">
        <f t="array" ref="B2329">SUM(--(FREQUENCY(IF(C$2:C$3074=C2329, MATCH(D$2:D$3074, D$2:D$3074, 0)), ROW(D$2:D$3074)-ROW(D$2)+1) &gt; 0))</f>
        <v>#N/A</v>
      </c>
      <c r="G2329" s="68" t="str">
        <f t="shared" si="392"/>
        <v>SINGLE</v>
      </c>
      <c r="K2329" s="186"/>
      <c r="N2329" s="3" t="str">
        <f t="shared" si="393"/>
        <v/>
      </c>
    </row>
    <row r="2330" spans="2:14">
      <c r="B2330" s="83" t="e">
        <f t="array" ref="B2330">SUM(--(FREQUENCY(IF(C$2:C$3074=C2330, MATCH(D$2:D$3074, D$2:D$3074, 0)), ROW(D$2:D$3074)-ROW(D$2)+1) &gt; 0))</f>
        <v>#N/A</v>
      </c>
      <c r="G2330" s="68" t="str">
        <f t="shared" si="392"/>
        <v>SINGLE</v>
      </c>
      <c r="K2330" s="186"/>
      <c r="N2330" s="3" t="str">
        <f t="shared" si="393"/>
        <v/>
      </c>
    </row>
    <row r="2331" spans="2:14">
      <c r="B2331" s="83" t="e">
        <f t="array" ref="B2331">SUM(--(FREQUENCY(IF(C$2:C$3074=C2331, MATCH(D$2:D$3074, D$2:D$3074, 0)), ROW(D$2:D$3074)-ROW(D$2)+1) &gt; 0))</f>
        <v>#N/A</v>
      </c>
      <c r="G2331" s="68" t="str">
        <f t="shared" si="392"/>
        <v>SINGLE</v>
      </c>
      <c r="K2331" s="186"/>
      <c r="N2331" s="3" t="str">
        <f t="shared" si="393"/>
        <v/>
      </c>
    </row>
    <row r="2332" spans="2:14">
      <c r="B2332" s="83" t="e">
        <f t="array" ref="B2332">SUM(--(FREQUENCY(IF(C$2:C$3074=C2332, MATCH(D$2:D$3074, D$2:D$3074, 0)), ROW(D$2:D$3074)-ROW(D$2)+1) &gt; 0))</f>
        <v>#N/A</v>
      </c>
      <c r="G2332" s="68" t="str">
        <f t="shared" si="392"/>
        <v>SINGLE</v>
      </c>
      <c r="K2332" s="186"/>
      <c r="N2332" s="3" t="str">
        <f t="shared" si="393"/>
        <v/>
      </c>
    </row>
    <row r="2333" spans="2:14">
      <c r="B2333" s="83" t="e">
        <f t="array" ref="B2333">SUM(--(FREQUENCY(IF(C$2:C$3074=C2333, MATCH(D$2:D$3074, D$2:D$3074, 0)), ROW(D$2:D$3074)-ROW(D$2)+1) &gt; 0))</f>
        <v>#N/A</v>
      </c>
      <c r="G2333" s="68" t="str">
        <f t="shared" si="392"/>
        <v>SINGLE</v>
      </c>
      <c r="K2333" s="186"/>
      <c r="N2333" s="3" t="str">
        <f t="shared" si="393"/>
        <v/>
      </c>
    </row>
    <row r="2334" spans="2:14">
      <c r="B2334" s="83" t="e">
        <f t="array" ref="B2334">SUM(--(FREQUENCY(IF(C$2:C$3074=C2334, MATCH(D$2:D$3074, D$2:D$3074, 0)), ROW(D$2:D$3074)-ROW(D$2)+1) &gt; 0))</f>
        <v>#N/A</v>
      </c>
      <c r="G2334" s="68" t="str">
        <f t="shared" si="392"/>
        <v>SINGLE</v>
      </c>
      <c r="K2334" s="186"/>
      <c r="N2334" s="3" t="str">
        <f t="shared" si="393"/>
        <v/>
      </c>
    </row>
    <row r="2335" spans="2:14">
      <c r="B2335" s="83" t="e">
        <f t="array" ref="B2335">SUM(--(FREQUENCY(IF(C$2:C$3074=C2335, MATCH(D$2:D$3074, D$2:D$3074, 0)), ROW(D$2:D$3074)-ROW(D$2)+1) &gt; 0))</f>
        <v>#N/A</v>
      </c>
      <c r="G2335" s="68" t="str">
        <f t="shared" si="392"/>
        <v>SINGLE</v>
      </c>
      <c r="K2335" s="186"/>
      <c r="N2335" s="3" t="str">
        <f t="shared" si="393"/>
        <v/>
      </c>
    </row>
    <row r="2336" spans="2:14">
      <c r="B2336" s="83" t="e">
        <f t="array" ref="B2336">SUM(--(FREQUENCY(IF(C$2:C$3074=C2336, MATCH(D$2:D$3074, D$2:D$3074, 0)), ROW(D$2:D$3074)-ROW(D$2)+1) &gt; 0))</f>
        <v>#N/A</v>
      </c>
      <c r="G2336" s="68" t="str">
        <f t="shared" si="392"/>
        <v>SINGLE</v>
      </c>
      <c r="K2336" s="186"/>
      <c r="N2336" s="3" t="str">
        <f t="shared" si="393"/>
        <v/>
      </c>
    </row>
    <row r="2337" spans="2:14">
      <c r="B2337" s="83" t="e">
        <f t="array" ref="B2337">SUM(--(FREQUENCY(IF(C$2:C$3074=C2337, MATCH(D$2:D$3074, D$2:D$3074, 0)), ROW(D$2:D$3074)-ROW(D$2)+1) &gt; 0))</f>
        <v>#N/A</v>
      </c>
      <c r="G2337" s="68" t="str">
        <f t="shared" si="392"/>
        <v>SINGLE</v>
      </c>
      <c r="K2337" s="186"/>
      <c r="N2337" s="3" t="str">
        <f t="shared" si="393"/>
        <v/>
      </c>
    </row>
    <row r="2338" spans="2:14">
      <c r="B2338" s="83" t="e">
        <f t="array" ref="B2338">SUM(--(FREQUENCY(IF(C$2:C$3074=C2338, MATCH(D$2:D$3074, D$2:D$3074, 0)), ROW(D$2:D$3074)-ROW(D$2)+1) &gt; 0))</f>
        <v>#N/A</v>
      </c>
      <c r="G2338" s="68" t="str">
        <f t="shared" si="392"/>
        <v>SINGLE</v>
      </c>
      <c r="K2338" s="186"/>
      <c r="N2338" s="3" t="str">
        <f t="shared" si="393"/>
        <v/>
      </c>
    </row>
    <row r="2339" spans="2:14">
      <c r="B2339" s="83" t="e">
        <f t="array" ref="B2339">SUM(--(FREQUENCY(IF(C$2:C$3074=C2339, MATCH(D$2:D$3074, D$2:D$3074, 0)), ROW(D$2:D$3074)-ROW(D$2)+1) &gt; 0))</f>
        <v>#N/A</v>
      </c>
      <c r="G2339" s="68" t="str">
        <f t="shared" si="392"/>
        <v>SINGLE</v>
      </c>
      <c r="K2339" s="186"/>
      <c r="N2339" s="3" t="str">
        <f t="shared" si="393"/>
        <v/>
      </c>
    </row>
    <row r="2340" spans="2:14">
      <c r="B2340" s="83" t="e">
        <f t="array" ref="B2340">SUM(--(FREQUENCY(IF(C$2:C$3074=C2340, MATCH(D$2:D$3074, D$2:D$3074, 0)), ROW(D$2:D$3074)-ROW(D$2)+1) &gt; 0))</f>
        <v>#N/A</v>
      </c>
      <c r="G2340" s="68" t="str">
        <f t="shared" si="392"/>
        <v>SINGLE</v>
      </c>
      <c r="K2340" s="186"/>
      <c r="N2340" s="3" t="str">
        <f t="shared" si="393"/>
        <v/>
      </c>
    </row>
    <row r="2341" spans="2:14">
      <c r="B2341" s="83" t="e">
        <f t="array" ref="B2341">SUM(--(FREQUENCY(IF(C$2:C$3074=C2341, MATCH(D$2:D$3074, D$2:D$3074, 0)), ROW(D$2:D$3074)-ROW(D$2)+1) &gt; 0))</f>
        <v>#N/A</v>
      </c>
      <c r="G2341" s="68" t="str">
        <f t="shared" si="392"/>
        <v>SINGLE</v>
      </c>
      <c r="K2341" s="186"/>
      <c r="N2341" s="3" t="str">
        <f t="shared" si="393"/>
        <v/>
      </c>
    </row>
    <row r="2342" spans="2:14">
      <c r="B2342" s="83" t="e">
        <f t="array" ref="B2342">SUM(--(FREQUENCY(IF(C$2:C$3074=C2342, MATCH(D$2:D$3074, D$2:D$3074, 0)), ROW(D$2:D$3074)-ROW(D$2)+1) &gt; 0))</f>
        <v>#N/A</v>
      </c>
      <c r="G2342" s="68" t="str">
        <f t="shared" si="392"/>
        <v>SINGLE</v>
      </c>
      <c r="K2342" s="186"/>
      <c r="N2342" s="3" t="str">
        <f t="shared" si="393"/>
        <v/>
      </c>
    </row>
    <row r="2343" spans="2:14">
      <c r="B2343" s="83" t="e">
        <f t="array" ref="B2343">SUM(--(FREQUENCY(IF(C$2:C$3074=C2343, MATCH(D$2:D$3074, D$2:D$3074, 0)), ROW(D$2:D$3074)-ROW(D$2)+1) &gt; 0))</f>
        <v>#N/A</v>
      </c>
      <c r="G2343" s="68" t="str">
        <f t="shared" si="392"/>
        <v>SINGLE</v>
      </c>
      <c r="K2343" s="186"/>
      <c r="N2343" s="3" t="str">
        <f t="shared" si="393"/>
        <v/>
      </c>
    </row>
    <row r="2344" spans="2:14">
      <c r="B2344" s="83" t="e">
        <f t="array" ref="B2344">SUM(--(FREQUENCY(IF(C$2:C$3074=C2344, MATCH(D$2:D$3074, D$2:D$3074, 0)), ROW(D$2:D$3074)-ROW(D$2)+1) &gt; 0))</f>
        <v>#N/A</v>
      </c>
      <c r="G2344" s="68" t="str">
        <f t="shared" si="392"/>
        <v>SINGLE</v>
      </c>
      <c r="K2344" s="186"/>
      <c r="N2344" s="3" t="str">
        <f t="shared" si="393"/>
        <v/>
      </c>
    </row>
    <row r="2345" spans="2:14">
      <c r="B2345" s="83" t="e">
        <f t="array" ref="B2345">SUM(--(FREQUENCY(IF(C$2:C$3074=C2345, MATCH(D$2:D$3074, D$2:D$3074, 0)), ROW(D$2:D$3074)-ROW(D$2)+1) &gt; 0))</f>
        <v>#N/A</v>
      </c>
      <c r="G2345" s="68" t="str">
        <f t="shared" si="392"/>
        <v>SINGLE</v>
      </c>
      <c r="K2345" s="186"/>
      <c r="N2345" s="3" t="str">
        <f t="shared" si="393"/>
        <v/>
      </c>
    </row>
    <row r="2346" spans="2:14">
      <c r="B2346" s="83" t="e">
        <f t="array" ref="B2346">SUM(--(FREQUENCY(IF(C$2:C$3074=C2346, MATCH(D$2:D$3074, D$2:D$3074, 0)), ROW(D$2:D$3074)-ROW(D$2)+1) &gt; 0))</f>
        <v>#N/A</v>
      </c>
      <c r="G2346" s="68" t="str">
        <f t="shared" si="392"/>
        <v>SINGLE</v>
      </c>
      <c r="K2346" s="186"/>
      <c r="N2346" s="3" t="str">
        <f t="shared" si="393"/>
        <v/>
      </c>
    </row>
    <row r="2347" spans="2:14">
      <c r="B2347" s="83" t="e">
        <f t="array" ref="B2347">SUM(--(FREQUENCY(IF(C$2:C$3074=C2347, MATCH(D$2:D$3074, D$2:D$3074, 0)), ROW(D$2:D$3074)-ROW(D$2)+1) &gt; 0))</f>
        <v>#N/A</v>
      </c>
      <c r="G2347" s="68" t="str">
        <f t="shared" si="392"/>
        <v>SINGLE</v>
      </c>
      <c r="K2347" s="186"/>
      <c r="N2347" s="3" t="str">
        <f t="shared" si="393"/>
        <v/>
      </c>
    </row>
    <row r="2348" spans="2:14">
      <c r="B2348" s="83" t="e">
        <f t="array" ref="B2348">SUM(--(FREQUENCY(IF(C$2:C$3074=C2348, MATCH(D$2:D$3074, D$2:D$3074, 0)), ROW(D$2:D$3074)-ROW(D$2)+1) &gt; 0))</f>
        <v>#N/A</v>
      </c>
      <c r="G2348" s="68" t="str">
        <f t="shared" si="392"/>
        <v>SINGLE</v>
      </c>
      <c r="K2348" s="186"/>
      <c r="N2348" s="3" t="str">
        <f t="shared" si="393"/>
        <v/>
      </c>
    </row>
    <row r="2349" spans="2:14">
      <c r="B2349" s="83" t="e">
        <f t="array" ref="B2349">SUM(--(FREQUENCY(IF(C$2:C$3074=C2349, MATCH(D$2:D$3074, D$2:D$3074, 0)), ROW(D$2:D$3074)-ROW(D$2)+1) &gt; 0))</f>
        <v>#N/A</v>
      </c>
      <c r="G2349" s="68" t="str">
        <f t="shared" si="392"/>
        <v>SINGLE</v>
      </c>
      <c r="K2349" s="186"/>
      <c r="N2349" s="3" t="str">
        <f t="shared" si="393"/>
        <v/>
      </c>
    </row>
    <row r="2350" spans="2:14">
      <c r="B2350" s="83" t="e">
        <f t="array" ref="B2350">SUM(--(FREQUENCY(IF(C$2:C$3074=C2350, MATCH(D$2:D$3074, D$2:D$3074, 0)), ROW(D$2:D$3074)-ROW(D$2)+1) &gt; 0))</f>
        <v>#N/A</v>
      </c>
      <c r="G2350" s="68" t="str">
        <f t="shared" si="392"/>
        <v>SINGLE</v>
      </c>
      <c r="K2350" s="186"/>
      <c r="N2350" s="3" t="str">
        <f t="shared" si="393"/>
        <v/>
      </c>
    </row>
    <row r="2351" spans="2:14">
      <c r="B2351" s="83" t="e">
        <f t="array" ref="B2351">SUM(--(FREQUENCY(IF(C$2:C$3074=C2351, MATCH(D$2:D$3074, D$2:D$3074, 0)), ROW(D$2:D$3074)-ROW(D$2)+1) &gt; 0))</f>
        <v>#N/A</v>
      </c>
      <c r="G2351" s="68" t="str">
        <f t="shared" si="392"/>
        <v>SINGLE</v>
      </c>
      <c r="K2351" s="186"/>
      <c r="N2351" s="3" t="str">
        <f t="shared" si="393"/>
        <v/>
      </c>
    </row>
    <row r="2352" spans="2:14">
      <c r="B2352" s="83" t="e">
        <f t="array" ref="B2352">SUM(--(FREQUENCY(IF(C$2:C$3074=C2352, MATCH(D$2:D$3074, D$2:D$3074, 0)), ROW(D$2:D$3074)-ROW(D$2)+1) &gt; 0))</f>
        <v>#N/A</v>
      </c>
      <c r="G2352" s="68" t="str">
        <f t="shared" si="392"/>
        <v>SINGLE</v>
      </c>
      <c r="K2352" s="186"/>
      <c r="N2352" s="3" t="str">
        <f t="shared" si="393"/>
        <v/>
      </c>
    </row>
    <row r="2353" spans="2:14">
      <c r="B2353" s="83" t="e">
        <f t="array" ref="B2353">SUM(--(FREQUENCY(IF(C$2:C$3074=C2353, MATCH(D$2:D$3074, D$2:D$3074, 0)), ROW(D$2:D$3074)-ROW(D$2)+1) &gt; 0))</f>
        <v>#N/A</v>
      </c>
      <c r="G2353" s="68" t="str">
        <f t="shared" si="392"/>
        <v>SINGLE</v>
      </c>
      <c r="K2353" s="186"/>
      <c r="N2353" s="3" t="str">
        <f t="shared" si="393"/>
        <v/>
      </c>
    </row>
    <row r="2354" spans="2:14">
      <c r="B2354" s="83" t="e">
        <f t="array" ref="B2354">SUM(--(FREQUENCY(IF(C$2:C$3074=C2354, MATCH(D$2:D$3074, D$2:D$3074, 0)), ROW(D$2:D$3074)-ROW(D$2)+1) &gt; 0))</f>
        <v>#N/A</v>
      </c>
      <c r="G2354" s="68" t="str">
        <f t="shared" si="392"/>
        <v>SINGLE</v>
      </c>
      <c r="K2354" s="186"/>
      <c r="N2354" s="3" t="str">
        <f t="shared" si="393"/>
        <v/>
      </c>
    </row>
    <row r="2355" spans="2:14">
      <c r="B2355" s="83" t="e">
        <f t="array" ref="B2355">SUM(--(FREQUENCY(IF(C$2:C$3074=C2355, MATCH(D$2:D$3074, D$2:D$3074, 0)), ROW(D$2:D$3074)-ROW(D$2)+1) &gt; 0))</f>
        <v>#N/A</v>
      </c>
      <c r="G2355" s="68" t="str">
        <f t="shared" si="392"/>
        <v>SINGLE</v>
      </c>
      <c r="K2355" s="186"/>
      <c r="N2355" s="3" t="str">
        <f t="shared" si="393"/>
        <v/>
      </c>
    </row>
    <row r="2356" spans="2:14">
      <c r="B2356" s="83" t="e">
        <f t="array" ref="B2356">SUM(--(FREQUENCY(IF(C$2:C$3074=C2356, MATCH(D$2:D$3074, D$2:D$3074, 0)), ROW(D$2:D$3074)-ROW(D$2)+1) &gt; 0))</f>
        <v>#N/A</v>
      </c>
      <c r="G2356" s="68" t="str">
        <f t="shared" si="392"/>
        <v>SINGLE</v>
      </c>
      <c r="K2356" s="186"/>
      <c r="N2356" s="3" t="str">
        <f t="shared" si="393"/>
        <v/>
      </c>
    </row>
    <row r="2357" spans="2:14">
      <c r="B2357" s="83" t="e">
        <f t="array" ref="B2357">SUM(--(FREQUENCY(IF(C$2:C$3074=C2357, MATCH(D$2:D$3074, D$2:D$3074, 0)), ROW(D$2:D$3074)-ROW(D$2)+1) &gt; 0))</f>
        <v>#N/A</v>
      </c>
      <c r="G2357" s="68" t="str">
        <f t="shared" ref="G2357:G2420" si="394">IF(OR(ISNUMBER(SEARCH("DUAL",F2357)), ISNUMBER(SEARCH("IVAS",F2357))), "DUAL", "SINGLE")</f>
        <v>SINGLE</v>
      </c>
      <c r="K2357" s="186"/>
      <c r="N2357" s="3" t="str">
        <f t="shared" si="393"/>
        <v/>
      </c>
    </row>
    <row r="2358" spans="2:14">
      <c r="B2358" s="83" t="e">
        <f t="array" ref="B2358">SUM(--(FREQUENCY(IF(C$2:C$3074=C2358, MATCH(D$2:D$3074, D$2:D$3074, 0)), ROW(D$2:D$3074)-ROW(D$2)+1) &gt; 0))</f>
        <v>#N/A</v>
      </c>
      <c r="G2358" s="68" t="str">
        <f t="shared" si="394"/>
        <v>SINGLE</v>
      </c>
      <c r="K2358" s="186"/>
      <c r="N2358" s="3" t="str">
        <f t="shared" si="393"/>
        <v/>
      </c>
    </row>
    <row r="2359" spans="2:14">
      <c r="B2359" s="83" t="e">
        <f t="array" ref="B2359">SUM(--(FREQUENCY(IF(C$2:C$3074=C2359, MATCH(D$2:D$3074, D$2:D$3074, 0)), ROW(D$2:D$3074)-ROW(D$2)+1) &gt; 0))</f>
        <v>#N/A</v>
      </c>
      <c r="G2359" s="68" t="str">
        <f t="shared" si="394"/>
        <v>SINGLE</v>
      </c>
      <c r="K2359" s="186"/>
      <c r="N2359" s="3" t="str">
        <f t="shared" si="393"/>
        <v/>
      </c>
    </row>
    <row r="2360" spans="2:14">
      <c r="B2360" s="83" t="e">
        <f t="array" ref="B2360">SUM(--(FREQUENCY(IF(C$2:C$3074=C2360, MATCH(D$2:D$3074, D$2:D$3074, 0)), ROW(D$2:D$3074)-ROW(D$2)+1) &gt; 0))</f>
        <v>#N/A</v>
      </c>
      <c r="G2360" s="68" t="str">
        <f t="shared" si="394"/>
        <v>SINGLE</v>
      </c>
      <c r="K2360" s="186"/>
      <c r="N2360" s="3" t="str">
        <f t="shared" si="393"/>
        <v/>
      </c>
    </row>
    <row r="2361" spans="2:14">
      <c r="B2361" s="83" t="e">
        <f t="array" ref="B2361">SUM(--(FREQUENCY(IF(C$2:C$3074=C2361, MATCH(D$2:D$3074, D$2:D$3074, 0)), ROW(D$2:D$3074)-ROW(D$2)+1) &gt; 0))</f>
        <v>#N/A</v>
      </c>
      <c r="G2361" s="68" t="str">
        <f t="shared" si="394"/>
        <v>SINGLE</v>
      </c>
      <c r="K2361" s="186"/>
      <c r="N2361" s="3" t="str">
        <f t="shared" si="393"/>
        <v/>
      </c>
    </row>
    <row r="2362" spans="2:14">
      <c r="B2362" s="83" t="e">
        <f t="array" ref="B2362">SUM(--(FREQUENCY(IF(C$2:C$3074=C2362, MATCH(D$2:D$3074, D$2:D$3074, 0)), ROW(D$2:D$3074)-ROW(D$2)+1) &gt; 0))</f>
        <v>#N/A</v>
      </c>
      <c r="G2362" s="68" t="str">
        <f t="shared" si="394"/>
        <v>SINGLE</v>
      </c>
      <c r="K2362" s="186"/>
      <c r="N2362" s="3" t="str">
        <f t="shared" si="393"/>
        <v/>
      </c>
    </row>
    <row r="2363" spans="2:14">
      <c r="B2363" s="83" t="e">
        <f t="array" ref="B2363">SUM(--(FREQUENCY(IF(C$2:C$3074=C2363, MATCH(D$2:D$3074, D$2:D$3074, 0)), ROW(D$2:D$3074)-ROW(D$2)+1) &gt; 0))</f>
        <v>#N/A</v>
      </c>
      <c r="G2363" s="68" t="str">
        <f t="shared" si="394"/>
        <v>SINGLE</v>
      </c>
      <c r="K2363" s="186"/>
      <c r="N2363" s="3" t="str">
        <f t="shared" si="393"/>
        <v/>
      </c>
    </row>
    <row r="2364" spans="2:14">
      <c r="B2364" s="83" t="e">
        <f t="array" ref="B2364">SUM(--(FREQUENCY(IF(C$2:C$3074=C2364, MATCH(D$2:D$3074, D$2:D$3074, 0)), ROW(D$2:D$3074)-ROW(D$2)+1) &gt; 0))</f>
        <v>#N/A</v>
      </c>
      <c r="G2364" s="68" t="str">
        <f t="shared" si="394"/>
        <v>SINGLE</v>
      </c>
      <c r="K2364" s="186"/>
      <c r="N2364" s="3" t="str">
        <f t="shared" si="393"/>
        <v/>
      </c>
    </row>
    <row r="2365" spans="2:14">
      <c r="B2365" s="83" t="e">
        <f t="array" ref="B2365">SUM(--(FREQUENCY(IF(C$2:C$3074=C2365, MATCH(D$2:D$3074, D$2:D$3074, 0)), ROW(D$2:D$3074)-ROW(D$2)+1) &gt; 0))</f>
        <v>#N/A</v>
      </c>
      <c r="G2365" s="68" t="str">
        <f t="shared" si="394"/>
        <v>SINGLE</v>
      </c>
      <c r="K2365" s="186"/>
      <c r="N2365" s="3" t="str">
        <f t="shared" si="393"/>
        <v/>
      </c>
    </row>
    <row r="2366" spans="2:14">
      <c r="B2366" s="83" t="e">
        <f t="array" ref="B2366">SUM(--(FREQUENCY(IF(C$2:C$3074=C2366, MATCH(D$2:D$3074, D$2:D$3074, 0)), ROW(D$2:D$3074)-ROW(D$2)+1) &gt; 0))</f>
        <v>#N/A</v>
      </c>
      <c r="G2366" s="68" t="str">
        <f t="shared" si="394"/>
        <v>SINGLE</v>
      </c>
      <c r="K2366" s="186"/>
      <c r="N2366" s="3" t="str">
        <f t="shared" si="393"/>
        <v/>
      </c>
    </row>
    <row r="2367" spans="2:14">
      <c r="B2367" s="83" t="e">
        <f t="array" ref="B2367">SUM(--(FREQUENCY(IF(C$2:C$3074=C2367, MATCH(D$2:D$3074, D$2:D$3074, 0)), ROW(D$2:D$3074)-ROW(D$2)+1) &gt; 0))</f>
        <v>#N/A</v>
      </c>
      <c r="G2367" s="68" t="str">
        <f t="shared" si="394"/>
        <v>SINGLE</v>
      </c>
      <c r="K2367" s="186"/>
      <c r="N2367" s="3" t="str">
        <f t="shared" ref="N2367:N2430" si="395">IF(O2367&lt;&gt;"", "NG", "")</f>
        <v/>
      </c>
    </row>
    <row r="2368" spans="2:14">
      <c r="B2368" s="83" t="e">
        <f t="array" ref="B2368">SUM(--(FREQUENCY(IF(C$2:C$3074=C2368, MATCH(D$2:D$3074, D$2:D$3074, 0)), ROW(D$2:D$3074)-ROW(D$2)+1) &gt; 0))</f>
        <v>#N/A</v>
      </c>
      <c r="G2368" s="68" t="str">
        <f t="shared" si="394"/>
        <v>SINGLE</v>
      </c>
      <c r="K2368" s="186"/>
      <c r="N2368" s="3" t="str">
        <f t="shared" si="395"/>
        <v/>
      </c>
    </row>
    <row r="2369" spans="2:14">
      <c r="B2369" s="83" t="e">
        <f t="array" ref="B2369">SUM(--(FREQUENCY(IF(C$2:C$3074=C2369, MATCH(D$2:D$3074, D$2:D$3074, 0)), ROW(D$2:D$3074)-ROW(D$2)+1) &gt; 0))</f>
        <v>#N/A</v>
      </c>
      <c r="G2369" s="68" t="str">
        <f t="shared" si="394"/>
        <v>SINGLE</v>
      </c>
      <c r="K2369" s="186"/>
      <c r="N2369" s="3" t="str">
        <f t="shared" si="395"/>
        <v/>
      </c>
    </row>
    <row r="2370" spans="2:14">
      <c r="B2370" s="83" t="e">
        <f t="array" ref="B2370">SUM(--(FREQUENCY(IF(C$2:C$3074=C2370, MATCH(D$2:D$3074, D$2:D$3074, 0)), ROW(D$2:D$3074)-ROW(D$2)+1) &gt; 0))</f>
        <v>#N/A</v>
      </c>
      <c r="G2370" s="68" t="str">
        <f t="shared" si="394"/>
        <v>SINGLE</v>
      </c>
      <c r="K2370" s="186"/>
      <c r="N2370" s="3" t="str">
        <f t="shared" si="395"/>
        <v/>
      </c>
    </row>
    <row r="2371" spans="2:14">
      <c r="B2371" s="83" t="e">
        <f t="array" ref="B2371">SUM(--(FREQUENCY(IF(C$2:C$3074=C2371, MATCH(D$2:D$3074, D$2:D$3074, 0)), ROW(D$2:D$3074)-ROW(D$2)+1) &gt; 0))</f>
        <v>#N/A</v>
      </c>
      <c r="G2371" s="68" t="str">
        <f t="shared" si="394"/>
        <v>SINGLE</v>
      </c>
      <c r="K2371" s="186"/>
      <c r="N2371" s="3" t="str">
        <f t="shared" si="395"/>
        <v/>
      </c>
    </row>
    <row r="2372" spans="2:14">
      <c r="B2372" s="83" t="e">
        <f t="array" ref="B2372">SUM(--(FREQUENCY(IF(C$2:C$3074=C2372, MATCH(D$2:D$3074, D$2:D$3074, 0)), ROW(D$2:D$3074)-ROW(D$2)+1) &gt; 0))</f>
        <v>#N/A</v>
      </c>
      <c r="G2372" s="68" t="str">
        <f t="shared" si="394"/>
        <v>SINGLE</v>
      </c>
      <c r="K2372" s="186"/>
      <c r="N2372" s="3" t="str">
        <f t="shared" si="395"/>
        <v/>
      </c>
    </row>
    <row r="2373" spans="2:14">
      <c r="B2373" s="83" t="e">
        <f t="array" ref="B2373">SUM(--(FREQUENCY(IF(C$2:C$3074=C2373, MATCH(D$2:D$3074, D$2:D$3074, 0)), ROW(D$2:D$3074)-ROW(D$2)+1) &gt; 0))</f>
        <v>#N/A</v>
      </c>
      <c r="G2373" s="68" t="str">
        <f t="shared" si="394"/>
        <v>SINGLE</v>
      </c>
      <c r="K2373" s="186"/>
      <c r="N2373" s="3" t="str">
        <f t="shared" si="395"/>
        <v/>
      </c>
    </row>
    <row r="2374" spans="2:14">
      <c r="B2374" s="83" t="e">
        <f t="array" ref="B2374">SUM(--(FREQUENCY(IF(C$2:C$3074=C2374, MATCH(D$2:D$3074, D$2:D$3074, 0)), ROW(D$2:D$3074)-ROW(D$2)+1) &gt; 0))</f>
        <v>#N/A</v>
      </c>
      <c r="G2374" s="68" t="str">
        <f t="shared" si="394"/>
        <v>SINGLE</v>
      </c>
      <c r="K2374" s="186"/>
      <c r="N2374" s="3" t="str">
        <f t="shared" si="395"/>
        <v/>
      </c>
    </row>
    <row r="2375" spans="2:14">
      <c r="B2375" s="83" t="e">
        <f t="array" ref="B2375">SUM(--(FREQUENCY(IF(C$2:C$3074=C2375, MATCH(D$2:D$3074, D$2:D$3074, 0)), ROW(D$2:D$3074)-ROW(D$2)+1) &gt; 0))</f>
        <v>#N/A</v>
      </c>
      <c r="G2375" s="68" t="str">
        <f t="shared" si="394"/>
        <v>SINGLE</v>
      </c>
      <c r="K2375" s="186"/>
      <c r="N2375" s="3" t="str">
        <f t="shared" si="395"/>
        <v/>
      </c>
    </row>
    <row r="2376" spans="2:14">
      <c r="B2376" s="83" t="e">
        <f t="array" ref="B2376">SUM(--(FREQUENCY(IF(C$2:C$3074=C2376, MATCH(D$2:D$3074, D$2:D$3074, 0)), ROW(D$2:D$3074)-ROW(D$2)+1) &gt; 0))</f>
        <v>#N/A</v>
      </c>
      <c r="G2376" s="68" t="str">
        <f t="shared" si="394"/>
        <v>SINGLE</v>
      </c>
      <c r="K2376" s="186"/>
      <c r="N2376" s="3" t="str">
        <f t="shared" si="395"/>
        <v/>
      </c>
    </row>
    <row r="2377" spans="2:14">
      <c r="B2377" s="83" t="e">
        <f t="array" ref="B2377">SUM(--(FREQUENCY(IF(C$2:C$3074=C2377, MATCH(D$2:D$3074, D$2:D$3074, 0)), ROW(D$2:D$3074)-ROW(D$2)+1) &gt; 0))</f>
        <v>#N/A</v>
      </c>
      <c r="G2377" s="68" t="str">
        <f t="shared" si="394"/>
        <v>SINGLE</v>
      </c>
      <c r="K2377" s="186"/>
      <c r="N2377" s="3" t="str">
        <f t="shared" si="395"/>
        <v/>
      </c>
    </row>
    <row r="2378" spans="2:14">
      <c r="B2378" s="83" t="e">
        <f t="array" ref="B2378">SUM(--(FREQUENCY(IF(C$2:C$3074=C2378, MATCH(D$2:D$3074, D$2:D$3074, 0)), ROW(D$2:D$3074)-ROW(D$2)+1) &gt; 0))</f>
        <v>#N/A</v>
      </c>
      <c r="G2378" s="68" t="str">
        <f t="shared" si="394"/>
        <v>SINGLE</v>
      </c>
      <c r="K2378" s="186"/>
      <c r="N2378" s="3" t="str">
        <f t="shared" si="395"/>
        <v/>
      </c>
    </row>
    <row r="2379" spans="2:14">
      <c r="B2379" s="83" t="e">
        <f t="array" ref="B2379">SUM(--(FREQUENCY(IF(C$2:C$3074=C2379, MATCH(D$2:D$3074, D$2:D$3074, 0)), ROW(D$2:D$3074)-ROW(D$2)+1) &gt; 0))</f>
        <v>#N/A</v>
      </c>
      <c r="G2379" s="68" t="str">
        <f t="shared" si="394"/>
        <v>SINGLE</v>
      </c>
      <c r="K2379" s="186"/>
      <c r="N2379" s="3" t="str">
        <f t="shared" si="395"/>
        <v/>
      </c>
    </row>
    <row r="2380" spans="2:14">
      <c r="B2380" s="83" t="e">
        <f t="array" ref="B2380">SUM(--(FREQUENCY(IF(C$2:C$3074=C2380, MATCH(D$2:D$3074, D$2:D$3074, 0)), ROW(D$2:D$3074)-ROW(D$2)+1) &gt; 0))</f>
        <v>#N/A</v>
      </c>
      <c r="G2380" s="68" t="str">
        <f t="shared" si="394"/>
        <v>SINGLE</v>
      </c>
      <c r="K2380" s="186"/>
      <c r="N2380" s="3" t="str">
        <f t="shared" si="395"/>
        <v/>
      </c>
    </row>
    <row r="2381" spans="2:14">
      <c r="B2381" s="83" t="e">
        <f t="array" ref="B2381">SUM(--(FREQUENCY(IF(C$2:C$3074=C2381, MATCH(D$2:D$3074, D$2:D$3074, 0)), ROW(D$2:D$3074)-ROW(D$2)+1) &gt; 0))</f>
        <v>#N/A</v>
      </c>
      <c r="G2381" s="68" t="str">
        <f t="shared" si="394"/>
        <v>SINGLE</v>
      </c>
      <c r="K2381" s="186"/>
      <c r="N2381" s="3" t="str">
        <f t="shared" si="395"/>
        <v/>
      </c>
    </row>
    <row r="2382" spans="2:14">
      <c r="B2382" s="83" t="e">
        <f t="array" ref="B2382">SUM(--(FREQUENCY(IF(C$2:C$3074=C2382, MATCH(D$2:D$3074, D$2:D$3074, 0)), ROW(D$2:D$3074)-ROW(D$2)+1) &gt; 0))</f>
        <v>#N/A</v>
      </c>
      <c r="G2382" s="68" t="str">
        <f t="shared" si="394"/>
        <v>SINGLE</v>
      </c>
      <c r="K2382" s="186"/>
      <c r="N2382" s="3" t="str">
        <f t="shared" si="395"/>
        <v/>
      </c>
    </row>
    <row r="2383" spans="2:14">
      <c r="B2383" s="83" t="e">
        <f t="array" ref="B2383">SUM(--(FREQUENCY(IF(C$2:C$3074=C2383, MATCH(D$2:D$3074, D$2:D$3074, 0)), ROW(D$2:D$3074)-ROW(D$2)+1) &gt; 0))</f>
        <v>#N/A</v>
      </c>
      <c r="G2383" s="68" t="str">
        <f t="shared" si="394"/>
        <v>SINGLE</v>
      </c>
      <c r="K2383" s="186"/>
      <c r="N2383" s="3" t="str">
        <f t="shared" si="395"/>
        <v/>
      </c>
    </row>
    <row r="2384" spans="2:14">
      <c r="B2384" s="83" t="e">
        <f t="array" ref="B2384">SUM(--(FREQUENCY(IF(C$2:C$3074=C2384, MATCH(D$2:D$3074, D$2:D$3074, 0)), ROW(D$2:D$3074)-ROW(D$2)+1) &gt; 0))</f>
        <v>#N/A</v>
      </c>
      <c r="G2384" s="68" t="str">
        <f t="shared" si="394"/>
        <v>SINGLE</v>
      </c>
      <c r="K2384" s="186"/>
      <c r="N2384" s="3" t="str">
        <f t="shared" si="395"/>
        <v/>
      </c>
    </row>
    <row r="2385" spans="2:14">
      <c r="B2385" s="83" t="e">
        <f t="array" ref="B2385">SUM(--(FREQUENCY(IF(C$2:C$3074=C2385, MATCH(D$2:D$3074, D$2:D$3074, 0)), ROW(D$2:D$3074)-ROW(D$2)+1) &gt; 0))</f>
        <v>#N/A</v>
      </c>
      <c r="G2385" s="68" t="str">
        <f t="shared" si="394"/>
        <v>SINGLE</v>
      </c>
      <c r="K2385" s="186"/>
      <c r="N2385" s="3" t="str">
        <f t="shared" si="395"/>
        <v/>
      </c>
    </row>
    <row r="2386" spans="2:14">
      <c r="B2386" s="83" t="e">
        <f t="array" ref="B2386">SUM(--(FREQUENCY(IF(C$2:C$3074=C2386, MATCH(D$2:D$3074, D$2:D$3074, 0)), ROW(D$2:D$3074)-ROW(D$2)+1) &gt; 0))</f>
        <v>#N/A</v>
      </c>
      <c r="G2386" s="68" t="str">
        <f t="shared" si="394"/>
        <v>SINGLE</v>
      </c>
      <c r="K2386" s="186"/>
      <c r="N2386" s="3" t="str">
        <f t="shared" si="395"/>
        <v/>
      </c>
    </row>
    <row r="2387" spans="2:14">
      <c r="B2387" s="83" t="e">
        <f t="array" ref="B2387">SUM(--(FREQUENCY(IF(C$2:C$3074=C2387, MATCH(D$2:D$3074, D$2:D$3074, 0)), ROW(D$2:D$3074)-ROW(D$2)+1) &gt; 0))</f>
        <v>#N/A</v>
      </c>
      <c r="G2387" s="68" t="str">
        <f t="shared" si="394"/>
        <v>SINGLE</v>
      </c>
      <c r="K2387" s="186"/>
      <c r="N2387" s="3" t="str">
        <f t="shared" si="395"/>
        <v/>
      </c>
    </row>
    <row r="2388" spans="2:14">
      <c r="B2388" s="83" t="e">
        <f t="array" ref="B2388">SUM(--(FREQUENCY(IF(C$2:C$3074=C2388, MATCH(D$2:D$3074, D$2:D$3074, 0)), ROW(D$2:D$3074)-ROW(D$2)+1) &gt; 0))</f>
        <v>#N/A</v>
      </c>
      <c r="G2388" s="68" t="str">
        <f t="shared" si="394"/>
        <v>SINGLE</v>
      </c>
      <c r="K2388" s="186"/>
      <c r="N2388" s="3" t="str">
        <f t="shared" si="395"/>
        <v/>
      </c>
    </row>
    <row r="2389" spans="2:14">
      <c r="B2389" s="83" t="e">
        <f t="array" ref="B2389">SUM(--(FREQUENCY(IF(C$2:C$3074=C2389, MATCH(D$2:D$3074, D$2:D$3074, 0)), ROW(D$2:D$3074)-ROW(D$2)+1) &gt; 0))</f>
        <v>#N/A</v>
      </c>
      <c r="G2389" s="68" t="str">
        <f t="shared" si="394"/>
        <v>SINGLE</v>
      </c>
      <c r="K2389" s="186"/>
      <c r="N2389" s="3" t="str">
        <f t="shared" si="395"/>
        <v/>
      </c>
    </row>
    <row r="2390" spans="2:14">
      <c r="B2390" s="83" t="e">
        <f t="array" ref="B2390">SUM(--(FREQUENCY(IF(C$2:C$3074=C2390, MATCH(D$2:D$3074, D$2:D$3074, 0)), ROW(D$2:D$3074)-ROW(D$2)+1) &gt; 0))</f>
        <v>#N/A</v>
      </c>
      <c r="G2390" s="68" t="str">
        <f t="shared" si="394"/>
        <v>SINGLE</v>
      </c>
      <c r="K2390" s="186"/>
      <c r="N2390" s="3" t="str">
        <f t="shared" si="395"/>
        <v/>
      </c>
    </row>
    <row r="2391" spans="2:14">
      <c r="B2391" s="83" t="e">
        <f t="array" ref="B2391">SUM(--(FREQUENCY(IF(C$2:C$3074=C2391, MATCH(D$2:D$3074, D$2:D$3074, 0)), ROW(D$2:D$3074)-ROW(D$2)+1) &gt; 0))</f>
        <v>#N/A</v>
      </c>
      <c r="G2391" s="68" t="str">
        <f t="shared" si="394"/>
        <v>SINGLE</v>
      </c>
      <c r="K2391" s="186"/>
      <c r="N2391" s="3" t="str">
        <f t="shared" si="395"/>
        <v/>
      </c>
    </row>
    <row r="2392" spans="2:14">
      <c r="B2392" s="83" t="e">
        <f t="array" ref="B2392">SUM(--(FREQUENCY(IF(C$2:C$3074=C2392, MATCH(D$2:D$3074, D$2:D$3074, 0)), ROW(D$2:D$3074)-ROW(D$2)+1) &gt; 0))</f>
        <v>#N/A</v>
      </c>
      <c r="G2392" s="68" t="str">
        <f t="shared" si="394"/>
        <v>SINGLE</v>
      </c>
      <c r="K2392" s="186"/>
      <c r="N2392" s="3" t="str">
        <f t="shared" si="395"/>
        <v/>
      </c>
    </row>
    <row r="2393" spans="2:14">
      <c r="B2393" s="83" t="e">
        <f t="array" ref="B2393">SUM(--(FREQUENCY(IF(C$2:C$3074=C2393, MATCH(D$2:D$3074, D$2:D$3074, 0)), ROW(D$2:D$3074)-ROW(D$2)+1) &gt; 0))</f>
        <v>#N/A</v>
      </c>
      <c r="G2393" s="68" t="str">
        <f t="shared" si="394"/>
        <v>SINGLE</v>
      </c>
      <c r="K2393" s="186"/>
      <c r="N2393" s="3" t="str">
        <f t="shared" si="395"/>
        <v/>
      </c>
    </row>
    <row r="2394" spans="2:14">
      <c r="B2394" s="83" t="e">
        <f t="array" ref="B2394">SUM(--(FREQUENCY(IF(C$2:C$3074=C2394, MATCH(D$2:D$3074, D$2:D$3074, 0)), ROW(D$2:D$3074)-ROW(D$2)+1) &gt; 0))</f>
        <v>#N/A</v>
      </c>
      <c r="G2394" s="68" t="str">
        <f t="shared" si="394"/>
        <v>SINGLE</v>
      </c>
      <c r="K2394" s="186"/>
      <c r="N2394" s="3" t="str">
        <f t="shared" si="395"/>
        <v/>
      </c>
    </row>
    <row r="2395" spans="2:14">
      <c r="B2395" s="83" t="e">
        <f t="array" ref="B2395">SUM(--(FREQUENCY(IF(C$2:C$3074=C2395, MATCH(D$2:D$3074, D$2:D$3074, 0)), ROW(D$2:D$3074)-ROW(D$2)+1) &gt; 0))</f>
        <v>#N/A</v>
      </c>
      <c r="G2395" s="68" t="str">
        <f t="shared" si="394"/>
        <v>SINGLE</v>
      </c>
      <c r="K2395" s="186"/>
      <c r="N2395" s="3" t="str">
        <f t="shared" si="395"/>
        <v/>
      </c>
    </row>
    <row r="2396" spans="2:14">
      <c r="B2396" s="83" t="e">
        <f t="array" ref="B2396">SUM(--(FREQUENCY(IF(C$2:C$3074=C2396, MATCH(D$2:D$3074, D$2:D$3074, 0)), ROW(D$2:D$3074)-ROW(D$2)+1) &gt; 0))</f>
        <v>#N/A</v>
      </c>
      <c r="G2396" s="68" t="str">
        <f t="shared" si="394"/>
        <v>SINGLE</v>
      </c>
      <c r="K2396" s="186"/>
      <c r="N2396" s="3" t="str">
        <f t="shared" si="395"/>
        <v/>
      </c>
    </row>
    <row r="2397" spans="2:14">
      <c r="B2397" s="83" t="e">
        <f t="array" ref="B2397">SUM(--(FREQUENCY(IF(C$2:C$3074=C2397, MATCH(D$2:D$3074, D$2:D$3074, 0)), ROW(D$2:D$3074)-ROW(D$2)+1) &gt; 0))</f>
        <v>#N/A</v>
      </c>
      <c r="G2397" s="68" t="str">
        <f t="shared" si="394"/>
        <v>SINGLE</v>
      </c>
      <c r="K2397" s="186"/>
      <c r="N2397" s="3" t="str">
        <f t="shared" si="395"/>
        <v/>
      </c>
    </row>
    <row r="2398" spans="2:14">
      <c r="B2398" s="83" t="e">
        <f t="array" ref="B2398">SUM(--(FREQUENCY(IF(C$2:C$3074=C2398, MATCH(D$2:D$3074, D$2:D$3074, 0)), ROW(D$2:D$3074)-ROW(D$2)+1) &gt; 0))</f>
        <v>#N/A</v>
      </c>
      <c r="G2398" s="68" t="str">
        <f t="shared" si="394"/>
        <v>SINGLE</v>
      </c>
      <c r="K2398" s="186"/>
      <c r="N2398" s="3" t="str">
        <f t="shared" si="395"/>
        <v/>
      </c>
    </row>
    <row r="2399" spans="2:14">
      <c r="B2399" s="83" t="e">
        <f t="array" ref="B2399">SUM(--(FREQUENCY(IF(C$2:C$3074=C2399, MATCH(D$2:D$3074, D$2:D$3074, 0)), ROW(D$2:D$3074)-ROW(D$2)+1) &gt; 0))</f>
        <v>#N/A</v>
      </c>
      <c r="G2399" s="68" t="str">
        <f t="shared" si="394"/>
        <v>SINGLE</v>
      </c>
      <c r="K2399" s="186"/>
      <c r="N2399" s="3" t="str">
        <f t="shared" si="395"/>
        <v/>
      </c>
    </row>
    <row r="2400" spans="2:14">
      <c r="B2400" s="83" t="e">
        <f t="array" ref="B2400">SUM(--(FREQUENCY(IF(C$2:C$3074=C2400, MATCH(D$2:D$3074, D$2:D$3074, 0)), ROW(D$2:D$3074)-ROW(D$2)+1) &gt; 0))</f>
        <v>#N/A</v>
      </c>
      <c r="G2400" s="68" t="str">
        <f t="shared" si="394"/>
        <v>SINGLE</v>
      </c>
      <c r="K2400" s="186"/>
      <c r="N2400" s="3" t="str">
        <f t="shared" si="395"/>
        <v/>
      </c>
    </row>
    <row r="2401" spans="2:14">
      <c r="B2401" s="83" t="e">
        <f t="array" ref="B2401">SUM(--(FREQUENCY(IF(C$2:C$3074=C2401, MATCH(D$2:D$3074, D$2:D$3074, 0)), ROW(D$2:D$3074)-ROW(D$2)+1) &gt; 0))</f>
        <v>#N/A</v>
      </c>
      <c r="G2401" s="68" t="str">
        <f t="shared" si="394"/>
        <v>SINGLE</v>
      </c>
      <c r="K2401" s="186"/>
      <c r="N2401" s="3" t="str">
        <f t="shared" si="395"/>
        <v/>
      </c>
    </row>
    <row r="2402" spans="2:14">
      <c r="B2402" s="83" t="e">
        <f t="array" ref="B2402">SUM(--(FREQUENCY(IF(C$2:C$3074=C2402, MATCH(D$2:D$3074, D$2:D$3074, 0)), ROW(D$2:D$3074)-ROW(D$2)+1) &gt; 0))</f>
        <v>#N/A</v>
      </c>
      <c r="G2402" s="68" t="str">
        <f t="shared" si="394"/>
        <v>SINGLE</v>
      </c>
      <c r="K2402" s="186"/>
      <c r="N2402" s="3" t="str">
        <f t="shared" si="395"/>
        <v/>
      </c>
    </row>
    <row r="2403" spans="2:14">
      <c r="B2403" s="83" t="e">
        <f t="array" ref="B2403">SUM(--(FREQUENCY(IF(C$2:C$3074=C2403, MATCH(D$2:D$3074, D$2:D$3074, 0)), ROW(D$2:D$3074)-ROW(D$2)+1) &gt; 0))</f>
        <v>#N/A</v>
      </c>
      <c r="G2403" s="68" t="str">
        <f t="shared" si="394"/>
        <v>SINGLE</v>
      </c>
      <c r="K2403" s="186"/>
      <c r="N2403" s="3" t="str">
        <f t="shared" si="395"/>
        <v/>
      </c>
    </row>
    <row r="2404" spans="2:14">
      <c r="B2404" s="83" t="e">
        <f t="array" ref="B2404">SUM(--(FREQUENCY(IF(C$2:C$3074=C2404, MATCH(D$2:D$3074, D$2:D$3074, 0)), ROW(D$2:D$3074)-ROW(D$2)+1) &gt; 0))</f>
        <v>#N/A</v>
      </c>
      <c r="G2404" s="68" t="str">
        <f t="shared" si="394"/>
        <v>SINGLE</v>
      </c>
      <c r="K2404" s="186"/>
      <c r="N2404" s="3" t="str">
        <f t="shared" si="395"/>
        <v/>
      </c>
    </row>
    <row r="2405" spans="2:14">
      <c r="B2405" s="83" t="e">
        <f t="array" ref="B2405">SUM(--(FREQUENCY(IF(C$2:C$3074=C2405, MATCH(D$2:D$3074, D$2:D$3074, 0)), ROW(D$2:D$3074)-ROW(D$2)+1) &gt; 0))</f>
        <v>#N/A</v>
      </c>
      <c r="G2405" s="68" t="str">
        <f t="shared" si="394"/>
        <v>SINGLE</v>
      </c>
      <c r="K2405" s="186"/>
      <c r="N2405" s="3" t="str">
        <f t="shared" si="395"/>
        <v/>
      </c>
    </row>
    <row r="2406" spans="2:14">
      <c r="B2406" s="83" t="e">
        <f t="array" ref="B2406">SUM(--(FREQUENCY(IF(C$2:C$3074=C2406, MATCH(D$2:D$3074, D$2:D$3074, 0)), ROW(D$2:D$3074)-ROW(D$2)+1) &gt; 0))</f>
        <v>#N/A</v>
      </c>
      <c r="G2406" s="68" t="str">
        <f t="shared" si="394"/>
        <v>SINGLE</v>
      </c>
      <c r="K2406" s="186"/>
      <c r="N2406" s="3" t="str">
        <f t="shared" si="395"/>
        <v/>
      </c>
    </row>
    <row r="2407" spans="2:14">
      <c r="B2407" s="83" t="e">
        <f t="array" ref="B2407">SUM(--(FREQUENCY(IF(C$2:C$3074=C2407, MATCH(D$2:D$3074, D$2:D$3074, 0)), ROW(D$2:D$3074)-ROW(D$2)+1) &gt; 0))</f>
        <v>#N/A</v>
      </c>
      <c r="G2407" s="68" t="str">
        <f t="shared" si="394"/>
        <v>SINGLE</v>
      </c>
      <c r="K2407" s="186"/>
      <c r="N2407" s="3" t="str">
        <f t="shared" si="395"/>
        <v/>
      </c>
    </row>
    <row r="2408" spans="2:14">
      <c r="B2408" s="83" t="e">
        <f t="array" ref="B2408">SUM(--(FREQUENCY(IF(C$2:C$3074=C2408, MATCH(D$2:D$3074, D$2:D$3074, 0)), ROW(D$2:D$3074)-ROW(D$2)+1) &gt; 0))</f>
        <v>#N/A</v>
      </c>
      <c r="G2408" s="68" t="str">
        <f t="shared" si="394"/>
        <v>SINGLE</v>
      </c>
      <c r="K2408" s="186"/>
      <c r="N2408" s="3" t="str">
        <f t="shared" si="395"/>
        <v/>
      </c>
    </row>
    <row r="2409" spans="2:14">
      <c r="B2409" s="83" t="e">
        <f t="array" ref="B2409">SUM(--(FREQUENCY(IF(C$2:C$3074=C2409, MATCH(D$2:D$3074, D$2:D$3074, 0)), ROW(D$2:D$3074)-ROW(D$2)+1) &gt; 0))</f>
        <v>#N/A</v>
      </c>
      <c r="G2409" s="68" t="str">
        <f t="shared" si="394"/>
        <v>SINGLE</v>
      </c>
      <c r="K2409" s="186"/>
      <c r="N2409" s="3" t="str">
        <f t="shared" si="395"/>
        <v/>
      </c>
    </row>
    <row r="2410" spans="2:14">
      <c r="B2410" s="83" t="e">
        <f t="array" ref="B2410">SUM(--(FREQUENCY(IF(C$2:C$3074=C2410, MATCH(D$2:D$3074, D$2:D$3074, 0)), ROW(D$2:D$3074)-ROW(D$2)+1) &gt; 0))</f>
        <v>#N/A</v>
      </c>
      <c r="G2410" s="68" t="str">
        <f t="shared" si="394"/>
        <v>SINGLE</v>
      </c>
      <c r="K2410" s="186"/>
      <c r="N2410" s="3" t="str">
        <f t="shared" si="395"/>
        <v/>
      </c>
    </row>
    <row r="2411" spans="2:14">
      <c r="B2411" s="83" t="e">
        <f t="array" ref="B2411">SUM(--(FREQUENCY(IF(C$2:C$3074=C2411, MATCH(D$2:D$3074, D$2:D$3074, 0)), ROW(D$2:D$3074)-ROW(D$2)+1) &gt; 0))</f>
        <v>#N/A</v>
      </c>
      <c r="G2411" s="68" t="str">
        <f t="shared" si="394"/>
        <v>SINGLE</v>
      </c>
      <c r="K2411" s="186"/>
      <c r="N2411" s="3" t="str">
        <f t="shared" si="395"/>
        <v/>
      </c>
    </row>
    <row r="2412" spans="2:14">
      <c r="B2412" s="83" t="e">
        <f t="array" ref="B2412">SUM(--(FREQUENCY(IF(C$2:C$3074=C2412, MATCH(D$2:D$3074, D$2:D$3074, 0)), ROW(D$2:D$3074)-ROW(D$2)+1) &gt; 0))</f>
        <v>#N/A</v>
      </c>
      <c r="G2412" s="68" t="str">
        <f t="shared" si="394"/>
        <v>SINGLE</v>
      </c>
      <c r="K2412" s="186"/>
      <c r="N2412" s="3" t="str">
        <f t="shared" si="395"/>
        <v/>
      </c>
    </row>
    <row r="2413" spans="2:14">
      <c r="B2413" s="83" t="e">
        <f t="array" ref="B2413">SUM(--(FREQUENCY(IF(C$2:C$3074=C2413, MATCH(D$2:D$3074, D$2:D$3074, 0)), ROW(D$2:D$3074)-ROW(D$2)+1) &gt; 0))</f>
        <v>#N/A</v>
      </c>
      <c r="G2413" s="68" t="str">
        <f t="shared" si="394"/>
        <v>SINGLE</v>
      </c>
      <c r="K2413" s="186"/>
      <c r="N2413" s="3" t="str">
        <f t="shared" si="395"/>
        <v/>
      </c>
    </row>
    <row r="2414" spans="2:14">
      <c r="B2414" s="83" t="e">
        <f t="array" ref="B2414">SUM(--(FREQUENCY(IF(C$2:C$3074=C2414, MATCH(D$2:D$3074, D$2:D$3074, 0)), ROW(D$2:D$3074)-ROW(D$2)+1) &gt; 0))</f>
        <v>#N/A</v>
      </c>
      <c r="G2414" s="68" t="str">
        <f t="shared" si="394"/>
        <v>SINGLE</v>
      </c>
      <c r="K2414" s="186"/>
      <c r="N2414" s="3" t="str">
        <f t="shared" si="395"/>
        <v/>
      </c>
    </row>
    <row r="2415" spans="2:14">
      <c r="B2415" s="83" t="e">
        <f t="array" ref="B2415">SUM(--(FREQUENCY(IF(C$2:C$3074=C2415, MATCH(D$2:D$3074, D$2:D$3074, 0)), ROW(D$2:D$3074)-ROW(D$2)+1) &gt; 0))</f>
        <v>#N/A</v>
      </c>
      <c r="G2415" s="68" t="str">
        <f t="shared" si="394"/>
        <v>SINGLE</v>
      </c>
      <c r="K2415" s="186"/>
      <c r="N2415" s="3" t="str">
        <f t="shared" si="395"/>
        <v/>
      </c>
    </row>
    <row r="2416" spans="2:14">
      <c r="B2416" s="83" t="e">
        <f t="array" ref="B2416">SUM(--(FREQUENCY(IF(C$2:C$3074=C2416, MATCH(D$2:D$3074, D$2:D$3074, 0)), ROW(D$2:D$3074)-ROW(D$2)+1) &gt; 0))</f>
        <v>#N/A</v>
      </c>
      <c r="G2416" s="68" t="str">
        <f t="shared" si="394"/>
        <v>SINGLE</v>
      </c>
      <c r="K2416" s="186"/>
      <c r="N2416" s="3" t="str">
        <f t="shared" si="395"/>
        <v/>
      </c>
    </row>
    <row r="2417" spans="2:14">
      <c r="B2417" s="83" t="e">
        <f t="array" ref="B2417">SUM(--(FREQUENCY(IF(C$2:C$3074=C2417, MATCH(D$2:D$3074, D$2:D$3074, 0)), ROW(D$2:D$3074)-ROW(D$2)+1) &gt; 0))</f>
        <v>#N/A</v>
      </c>
      <c r="G2417" s="68" t="str">
        <f t="shared" si="394"/>
        <v>SINGLE</v>
      </c>
      <c r="K2417" s="186"/>
      <c r="N2417" s="3" t="str">
        <f t="shared" si="395"/>
        <v/>
      </c>
    </row>
    <row r="2418" spans="2:14">
      <c r="B2418" s="83" t="e">
        <f t="array" ref="B2418">SUM(--(FREQUENCY(IF(C$2:C$3074=C2418, MATCH(D$2:D$3074, D$2:D$3074, 0)), ROW(D$2:D$3074)-ROW(D$2)+1) &gt; 0))</f>
        <v>#N/A</v>
      </c>
      <c r="G2418" s="68" t="str">
        <f t="shared" si="394"/>
        <v>SINGLE</v>
      </c>
      <c r="K2418" s="186"/>
      <c r="N2418" s="3" t="str">
        <f t="shared" si="395"/>
        <v/>
      </c>
    </row>
    <row r="2419" spans="2:14">
      <c r="B2419" s="83" t="e">
        <f t="array" ref="B2419">SUM(--(FREQUENCY(IF(C$2:C$3074=C2419, MATCH(D$2:D$3074, D$2:D$3074, 0)), ROW(D$2:D$3074)-ROW(D$2)+1) &gt; 0))</f>
        <v>#N/A</v>
      </c>
      <c r="G2419" s="68" t="str">
        <f t="shared" si="394"/>
        <v>SINGLE</v>
      </c>
      <c r="K2419" s="186"/>
      <c r="N2419" s="3" t="str">
        <f t="shared" si="395"/>
        <v/>
      </c>
    </row>
    <row r="2420" spans="2:14">
      <c r="B2420" s="83" t="e">
        <f t="array" ref="B2420">SUM(--(FREQUENCY(IF(C$2:C$3074=C2420, MATCH(D$2:D$3074, D$2:D$3074, 0)), ROW(D$2:D$3074)-ROW(D$2)+1) &gt; 0))</f>
        <v>#N/A</v>
      </c>
      <c r="G2420" s="68" t="str">
        <f t="shared" si="394"/>
        <v>SINGLE</v>
      </c>
      <c r="K2420" s="186"/>
      <c r="N2420" s="3" t="str">
        <f t="shared" si="395"/>
        <v/>
      </c>
    </row>
    <row r="2421" spans="2:14">
      <c r="B2421" s="83" t="e">
        <f t="array" ref="B2421">SUM(--(FREQUENCY(IF(C$2:C$3074=C2421, MATCH(D$2:D$3074, D$2:D$3074, 0)), ROW(D$2:D$3074)-ROW(D$2)+1) &gt; 0))</f>
        <v>#N/A</v>
      </c>
      <c r="G2421" s="68" t="str">
        <f t="shared" ref="G2421:G2484" si="396">IF(OR(ISNUMBER(SEARCH("DUAL",F2421)), ISNUMBER(SEARCH("IVAS",F2421))), "DUAL", "SINGLE")</f>
        <v>SINGLE</v>
      </c>
      <c r="K2421" s="186"/>
      <c r="N2421" s="3" t="str">
        <f t="shared" si="395"/>
        <v/>
      </c>
    </row>
    <row r="2422" spans="2:14">
      <c r="B2422" s="83" t="e">
        <f t="array" ref="B2422">SUM(--(FREQUENCY(IF(C$2:C$3074=C2422, MATCH(D$2:D$3074, D$2:D$3074, 0)), ROW(D$2:D$3074)-ROW(D$2)+1) &gt; 0))</f>
        <v>#N/A</v>
      </c>
      <c r="G2422" s="68" t="str">
        <f t="shared" si="396"/>
        <v>SINGLE</v>
      </c>
      <c r="K2422" s="186"/>
      <c r="N2422" s="3" t="str">
        <f t="shared" si="395"/>
        <v/>
      </c>
    </row>
    <row r="2423" spans="2:14">
      <c r="B2423" s="83" t="e">
        <f t="array" ref="B2423">SUM(--(FREQUENCY(IF(C$2:C$3074=C2423, MATCH(D$2:D$3074, D$2:D$3074, 0)), ROW(D$2:D$3074)-ROW(D$2)+1) &gt; 0))</f>
        <v>#N/A</v>
      </c>
      <c r="G2423" s="68" t="str">
        <f t="shared" si="396"/>
        <v>SINGLE</v>
      </c>
      <c r="K2423" s="186"/>
      <c r="N2423" s="3" t="str">
        <f t="shared" si="395"/>
        <v/>
      </c>
    </row>
    <row r="2424" spans="2:14">
      <c r="B2424" s="83" t="e">
        <f t="array" ref="B2424">SUM(--(FREQUENCY(IF(C$2:C$3074=C2424, MATCH(D$2:D$3074, D$2:D$3074, 0)), ROW(D$2:D$3074)-ROW(D$2)+1) &gt; 0))</f>
        <v>#N/A</v>
      </c>
      <c r="G2424" s="68" t="str">
        <f t="shared" si="396"/>
        <v>SINGLE</v>
      </c>
      <c r="K2424" s="186"/>
      <c r="N2424" s="3" t="str">
        <f t="shared" si="395"/>
        <v/>
      </c>
    </row>
    <row r="2425" spans="2:14">
      <c r="B2425" s="83" t="e">
        <f t="array" ref="B2425">SUM(--(FREQUENCY(IF(C$2:C$3074=C2425, MATCH(D$2:D$3074, D$2:D$3074, 0)), ROW(D$2:D$3074)-ROW(D$2)+1) &gt; 0))</f>
        <v>#N/A</v>
      </c>
      <c r="G2425" s="68" t="str">
        <f t="shared" si="396"/>
        <v>SINGLE</v>
      </c>
      <c r="K2425" s="186"/>
      <c r="N2425" s="3" t="str">
        <f t="shared" si="395"/>
        <v/>
      </c>
    </row>
    <row r="2426" spans="2:14">
      <c r="B2426" s="83" t="e">
        <f t="array" ref="B2426">SUM(--(FREQUENCY(IF(C$2:C$3074=C2426, MATCH(D$2:D$3074, D$2:D$3074, 0)), ROW(D$2:D$3074)-ROW(D$2)+1) &gt; 0))</f>
        <v>#N/A</v>
      </c>
      <c r="G2426" s="68" t="str">
        <f t="shared" si="396"/>
        <v>SINGLE</v>
      </c>
      <c r="K2426" s="186"/>
      <c r="N2426" s="3" t="str">
        <f t="shared" si="395"/>
        <v/>
      </c>
    </row>
    <row r="2427" spans="2:14">
      <c r="B2427" s="83" t="e">
        <f t="array" ref="B2427">SUM(--(FREQUENCY(IF(C$2:C$3074=C2427, MATCH(D$2:D$3074, D$2:D$3074, 0)), ROW(D$2:D$3074)-ROW(D$2)+1) &gt; 0))</f>
        <v>#N/A</v>
      </c>
      <c r="G2427" s="68" t="str">
        <f t="shared" si="396"/>
        <v>SINGLE</v>
      </c>
      <c r="K2427" s="186"/>
      <c r="N2427" s="3" t="str">
        <f t="shared" si="395"/>
        <v/>
      </c>
    </row>
    <row r="2428" spans="2:14">
      <c r="B2428" s="83" t="e">
        <f t="array" ref="B2428">SUM(--(FREQUENCY(IF(C$2:C$3074=C2428, MATCH(D$2:D$3074, D$2:D$3074, 0)), ROW(D$2:D$3074)-ROW(D$2)+1) &gt; 0))</f>
        <v>#N/A</v>
      </c>
      <c r="G2428" s="68" t="str">
        <f t="shared" si="396"/>
        <v>SINGLE</v>
      </c>
      <c r="K2428" s="186"/>
      <c r="N2428" s="3" t="str">
        <f t="shared" si="395"/>
        <v/>
      </c>
    </row>
    <row r="2429" spans="2:14">
      <c r="B2429" s="83" t="e">
        <f t="array" ref="B2429">SUM(--(FREQUENCY(IF(C$2:C$3074=C2429, MATCH(D$2:D$3074, D$2:D$3074, 0)), ROW(D$2:D$3074)-ROW(D$2)+1) &gt; 0))</f>
        <v>#N/A</v>
      </c>
      <c r="G2429" s="68" t="str">
        <f t="shared" si="396"/>
        <v>SINGLE</v>
      </c>
      <c r="K2429" s="186"/>
      <c r="N2429" s="3" t="str">
        <f t="shared" si="395"/>
        <v/>
      </c>
    </row>
    <row r="2430" spans="2:14">
      <c r="B2430" s="83" t="e">
        <f t="array" ref="B2430">SUM(--(FREQUENCY(IF(C$2:C$3074=C2430, MATCH(D$2:D$3074, D$2:D$3074, 0)), ROW(D$2:D$3074)-ROW(D$2)+1) &gt; 0))</f>
        <v>#N/A</v>
      </c>
      <c r="G2430" s="68" t="str">
        <f t="shared" si="396"/>
        <v>SINGLE</v>
      </c>
      <c r="K2430" s="186"/>
      <c r="N2430" s="3" t="str">
        <f t="shared" si="395"/>
        <v/>
      </c>
    </row>
    <row r="2431" spans="2:14">
      <c r="B2431" s="83" t="e">
        <f t="array" ref="B2431">SUM(--(FREQUENCY(IF(C$2:C$3074=C2431, MATCH(D$2:D$3074, D$2:D$3074, 0)), ROW(D$2:D$3074)-ROW(D$2)+1) &gt; 0))</f>
        <v>#N/A</v>
      </c>
      <c r="G2431" s="68" t="str">
        <f t="shared" si="396"/>
        <v>SINGLE</v>
      </c>
      <c r="K2431" s="186"/>
      <c r="N2431" s="3" t="str">
        <f t="shared" ref="N2431:N2494" si="397">IF(O2431&lt;&gt;"", "NG", "")</f>
        <v/>
      </c>
    </row>
    <row r="2432" spans="2:14">
      <c r="B2432" s="83" t="e">
        <f t="array" ref="B2432">SUM(--(FREQUENCY(IF(C$2:C$3074=C2432, MATCH(D$2:D$3074, D$2:D$3074, 0)), ROW(D$2:D$3074)-ROW(D$2)+1) &gt; 0))</f>
        <v>#N/A</v>
      </c>
      <c r="G2432" s="68" t="str">
        <f t="shared" si="396"/>
        <v>SINGLE</v>
      </c>
      <c r="K2432" s="186"/>
      <c r="N2432" s="3" t="str">
        <f t="shared" si="397"/>
        <v/>
      </c>
    </row>
    <row r="2433" spans="2:14">
      <c r="B2433" s="83" t="e">
        <f t="array" ref="B2433">SUM(--(FREQUENCY(IF(C$2:C$3074=C2433, MATCH(D$2:D$3074, D$2:D$3074, 0)), ROW(D$2:D$3074)-ROW(D$2)+1) &gt; 0))</f>
        <v>#N/A</v>
      </c>
      <c r="G2433" s="68" t="str">
        <f t="shared" si="396"/>
        <v>SINGLE</v>
      </c>
      <c r="K2433" s="186"/>
      <c r="N2433" s="3" t="str">
        <f t="shared" si="397"/>
        <v/>
      </c>
    </row>
    <row r="2434" spans="2:14">
      <c r="B2434" s="83" t="e">
        <f t="array" ref="B2434">SUM(--(FREQUENCY(IF(C$2:C$3074=C2434, MATCH(D$2:D$3074, D$2:D$3074, 0)), ROW(D$2:D$3074)-ROW(D$2)+1) &gt; 0))</f>
        <v>#N/A</v>
      </c>
      <c r="G2434" s="68" t="str">
        <f t="shared" si="396"/>
        <v>SINGLE</v>
      </c>
      <c r="K2434" s="186"/>
      <c r="N2434" s="3" t="str">
        <f t="shared" si="397"/>
        <v/>
      </c>
    </row>
    <row r="2435" spans="2:14">
      <c r="B2435" s="83" t="e">
        <f t="array" ref="B2435">SUM(--(FREQUENCY(IF(C$2:C$3074=C2435, MATCH(D$2:D$3074, D$2:D$3074, 0)), ROW(D$2:D$3074)-ROW(D$2)+1) &gt; 0))</f>
        <v>#N/A</v>
      </c>
      <c r="G2435" s="68" t="str">
        <f t="shared" si="396"/>
        <v>SINGLE</v>
      </c>
      <c r="K2435" s="186"/>
      <c r="N2435" s="3" t="str">
        <f t="shared" si="397"/>
        <v/>
      </c>
    </row>
    <row r="2436" spans="2:14">
      <c r="B2436" s="83" t="e">
        <f t="array" ref="B2436">SUM(--(FREQUENCY(IF(C$2:C$3074=C2436, MATCH(D$2:D$3074, D$2:D$3074, 0)), ROW(D$2:D$3074)-ROW(D$2)+1) &gt; 0))</f>
        <v>#N/A</v>
      </c>
      <c r="G2436" s="68" t="str">
        <f t="shared" si="396"/>
        <v>SINGLE</v>
      </c>
      <c r="K2436" s="186"/>
      <c r="N2436" s="3" t="str">
        <f t="shared" si="397"/>
        <v/>
      </c>
    </row>
    <row r="2437" spans="2:14">
      <c r="B2437" s="83" t="e">
        <f t="array" ref="B2437">SUM(--(FREQUENCY(IF(C$2:C$3074=C2437, MATCH(D$2:D$3074, D$2:D$3074, 0)), ROW(D$2:D$3074)-ROW(D$2)+1) &gt; 0))</f>
        <v>#N/A</v>
      </c>
      <c r="G2437" s="68" t="str">
        <f t="shared" si="396"/>
        <v>SINGLE</v>
      </c>
      <c r="K2437" s="186"/>
      <c r="N2437" s="3" t="str">
        <f t="shared" si="397"/>
        <v/>
      </c>
    </row>
    <row r="2438" spans="2:14">
      <c r="B2438" s="83" t="e">
        <f t="array" ref="B2438">SUM(--(FREQUENCY(IF(C$2:C$3074=C2438, MATCH(D$2:D$3074, D$2:D$3074, 0)), ROW(D$2:D$3074)-ROW(D$2)+1) &gt; 0))</f>
        <v>#N/A</v>
      </c>
      <c r="G2438" s="68" t="str">
        <f t="shared" si="396"/>
        <v>SINGLE</v>
      </c>
      <c r="K2438" s="186"/>
      <c r="N2438" s="3" t="str">
        <f t="shared" si="397"/>
        <v/>
      </c>
    </row>
    <row r="2439" spans="2:14">
      <c r="B2439" s="83" t="e">
        <f t="array" ref="B2439">SUM(--(FREQUENCY(IF(C$2:C$3074=C2439, MATCH(D$2:D$3074, D$2:D$3074, 0)), ROW(D$2:D$3074)-ROW(D$2)+1) &gt; 0))</f>
        <v>#N/A</v>
      </c>
      <c r="G2439" s="68" t="str">
        <f t="shared" si="396"/>
        <v>SINGLE</v>
      </c>
      <c r="K2439" s="186"/>
      <c r="N2439" s="3" t="str">
        <f t="shared" si="397"/>
        <v/>
      </c>
    </row>
    <row r="2440" spans="2:14">
      <c r="B2440" s="83" t="e">
        <f t="array" ref="B2440">SUM(--(FREQUENCY(IF(C$2:C$3074=C2440, MATCH(D$2:D$3074, D$2:D$3074, 0)), ROW(D$2:D$3074)-ROW(D$2)+1) &gt; 0))</f>
        <v>#N/A</v>
      </c>
      <c r="G2440" s="68" t="str">
        <f t="shared" si="396"/>
        <v>SINGLE</v>
      </c>
      <c r="K2440" s="186"/>
      <c r="N2440" s="3" t="str">
        <f t="shared" si="397"/>
        <v/>
      </c>
    </row>
    <row r="2441" spans="2:14">
      <c r="B2441" s="83" t="e">
        <f t="array" ref="B2441">SUM(--(FREQUENCY(IF(C$2:C$3074=C2441, MATCH(D$2:D$3074, D$2:D$3074, 0)), ROW(D$2:D$3074)-ROW(D$2)+1) &gt; 0))</f>
        <v>#N/A</v>
      </c>
      <c r="G2441" s="68" t="str">
        <f t="shared" si="396"/>
        <v>SINGLE</v>
      </c>
      <c r="K2441" s="186"/>
      <c r="N2441" s="3" t="str">
        <f t="shared" si="397"/>
        <v/>
      </c>
    </row>
    <row r="2442" spans="2:14">
      <c r="B2442" s="83" t="e">
        <f t="array" ref="B2442">SUM(--(FREQUENCY(IF(C$2:C$3074=C2442, MATCH(D$2:D$3074, D$2:D$3074, 0)), ROW(D$2:D$3074)-ROW(D$2)+1) &gt; 0))</f>
        <v>#N/A</v>
      </c>
      <c r="G2442" s="68" t="str">
        <f t="shared" si="396"/>
        <v>SINGLE</v>
      </c>
      <c r="K2442" s="186"/>
      <c r="N2442" s="3" t="str">
        <f t="shared" si="397"/>
        <v/>
      </c>
    </row>
    <row r="2443" spans="2:14">
      <c r="B2443" s="83" t="e">
        <f t="array" ref="B2443">SUM(--(FREQUENCY(IF(C$2:C$3074=C2443, MATCH(D$2:D$3074, D$2:D$3074, 0)), ROW(D$2:D$3074)-ROW(D$2)+1) &gt; 0))</f>
        <v>#N/A</v>
      </c>
      <c r="G2443" s="68" t="str">
        <f t="shared" si="396"/>
        <v>SINGLE</v>
      </c>
      <c r="K2443" s="186"/>
      <c r="N2443" s="3" t="str">
        <f t="shared" si="397"/>
        <v/>
      </c>
    </row>
    <row r="2444" spans="2:14">
      <c r="B2444" s="83" t="e">
        <f t="array" ref="B2444">SUM(--(FREQUENCY(IF(C$2:C$3074=C2444, MATCH(D$2:D$3074, D$2:D$3074, 0)), ROW(D$2:D$3074)-ROW(D$2)+1) &gt; 0))</f>
        <v>#N/A</v>
      </c>
      <c r="G2444" s="68" t="str">
        <f t="shared" si="396"/>
        <v>SINGLE</v>
      </c>
      <c r="K2444" s="186"/>
      <c r="N2444" s="3" t="str">
        <f t="shared" si="397"/>
        <v/>
      </c>
    </row>
    <row r="2445" spans="2:14">
      <c r="B2445" s="83" t="e">
        <f t="array" ref="B2445">SUM(--(FREQUENCY(IF(C$2:C$3074=C2445, MATCH(D$2:D$3074, D$2:D$3074, 0)), ROW(D$2:D$3074)-ROW(D$2)+1) &gt; 0))</f>
        <v>#N/A</v>
      </c>
      <c r="G2445" s="68" t="str">
        <f t="shared" si="396"/>
        <v>SINGLE</v>
      </c>
      <c r="K2445" s="186"/>
      <c r="N2445" s="3" t="str">
        <f t="shared" si="397"/>
        <v/>
      </c>
    </row>
    <row r="2446" spans="2:14">
      <c r="B2446" s="83" t="e">
        <f t="array" ref="B2446">SUM(--(FREQUENCY(IF(C$2:C$3074=C2446, MATCH(D$2:D$3074, D$2:D$3074, 0)), ROW(D$2:D$3074)-ROW(D$2)+1) &gt; 0))</f>
        <v>#N/A</v>
      </c>
      <c r="G2446" s="68" t="str">
        <f t="shared" si="396"/>
        <v>SINGLE</v>
      </c>
      <c r="K2446" s="186"/>
      <c r="N2446" s="3" t="str">
        <f t="shared" si="397"/>
        <v/>
      </c>
    </row>
    <row r="2447" spans="2:14">
      <c r="B2447" s="83" t="e">
        <f t="array" ref="B2447">SUM(--(FREQUENCY(IF(C$2:C$3074=C2447, MATCH(D$2:D$3074, D$2:D$3074, 0)), ROW(D$2:D$3074)-ROW(D$2)+1) &gt; 0))</f>
        <v>#N/A</v>
      </c>
      <c r="G2447" s="68" t="str">
        <f t="shared" si="396"/>
        <v>SINGLE</v>
      </c>
      <c r="K2447" s="186"/>
      <c r="N2447" s="3" t="str">
        <f t="shared" si="397"/>
        <v/>
      </c>
    </row>
    <row r="2448" spans="2:14">
      <c r="B2448" s="83" t="e">
        <f t="array" ref="B2448">SUM(--(FREQUENCY(IF(C$2:C$3074=C2448, MATCH(D$2:D$3074, D$2:D$3074, 0)), ROW(D$2:D$3074)-ROW(D$2)+1) &gt; 0))</f>
        <v>#N/A</v>
      </c>
      <c r="G2448" s="68" t="str">
        <f t="shared" si="396"/>
        <v>SINGLE</v>
      </c>
      <c r="K2448" s="186"/>
      <c r="N2448" s="3" t="str">
        <f t="shared" si="397"/>
        <v/>
      </c>
    </row>
    <row r="2449" spans="2:14">
      <c r="B2449" s="83" t="e">
        <f t="array" ref="B2449">SUM(--(FREQUENCY(IF(C$2:C$3074=C2449, MATCH(D$2:D$3074, D$2:D$3074, 0)), ROW(D$2:D$3074)-ROW(D$2)+1) &gt; 0))</f>
        <v>#N/A</v>
      </c>
      <c r="G2449" s="68" t="str">
        <f t="shared" si="396"/>
        <v>SINGLE</v>
      </c>
      <c r="K2449" s="186"/>
      <c r="N2449" s="3" t="str">
        <f t="shared" si="397"/>
        <v/>
      </c>
    </row>
    <row r="2450" spans="2:14">
      <c r="B2450" s="83" t="e">
        <f t="array" ref="B2450">SUM(--(FREQUENCY(IF(C$2:C$3074=C2450, MATCH(D$2:D$3074, D$2:D$3074, 0)), ROW(D$2:D$3074)-ROW(D$2)+1) &gt; 0))</f>
        <v>#N/A</v>
      </c>
      <c r="G2450" s="68" t="str">
        <f t="shared" si="396"/>
        <v>SINGLE</v>
      </c>
      <c r="K2450" s="186"/>
      <c r="N2450" s="3" t="str">
        <f t="shared" si="397"/>
        <v/>
      </c>
    </row>
    <row r="2451" spans="2:14">
      <c r="B2451" s="83" t="e">
        <f t="array" ref="B2451">SUM(--(FREQUENCY(IF(C$2:C$3074=C2451, MATCH(D$2:D$3074, D$2:D$3074, 0)), ROW(D$2:D$3074)-ROW(D$2)+1) &gt; 0))</f>
        <v>#N/A</v>
      </c>
      <c r="G2451" s="68" t="str">
        <f t="shared" si="396"/>
        <v>SINGLE</v>
      </c>
      <c r="K2451" s="186"/>
      <c r="N2451" s="3" t="str">
        <f t="shared" si="397"/>
        <v/>
      </c>
    </row>
    <row r="2452" spans="2:14">
      <c r="B2452" s="83" t="e">
        <f t="array" ref="B2452">SUM(--(FREQUENCY(IF(C$2:C$3074=C2452, MATCH(D$2:D$3074, D$2:D$3074, 0)), ROW(D$2:D$3074)-ROW(D$2)+1) &gt; 0))</f>
        <v>#N/A</v>
      </c>
      <c r="G2452" s="68" t="str">
        <f t="shared" si="396"/>
        <v>SINGLE</v>
      </c>
      <c r="K2452" s="186"/>
      <c r="N2452" s="3" t="str">
        <f t="shared" si="397"/>
        <v/>
      </c>
    </row>
    <row r="2453" spans="2:14">
      <c r="B2453" s="83" t="e">
        <f t="array" ref="B2453">SUM(--(FREQUENCY(IF(C$2:C$3074=C2453, MATCH(D$2:D$3074, D$2:D$3074, 0)), ROW(D$2:D$3074)-ROW(D$2)+1) &gt; 0))</f>
        <v>#N/A</v>
      </c>
      <c r="G2453" s="68" t="str">
        <f t="shared" si="396"/>
        <v>SINGLE</v>
      </c>
      <c r="K2453" s="186"/>
      <c r="N2453" s="3" t="str">
        <f t="shared" si="397"/>
        <v/>
      </c>
    </row>
    <row r="2454" spans="2:14">
      <c r="B2454" s="83" t="e">
        <f t="array" ref="B2454">SUM(--(FREQUENCY(IF(C$2:C$3074=C2454, MATCH(D$2:D$3074, D$2:D$3074, 0)), ROW(D$2:D$3074)-ROW(D$2)+1) &gt; 0))</f>
        <v>#N/A</v>
      </c>
      <c r="G2454" s="68" t="str">
        <f t="shared" si="396"/>
        <v>SINGLE</v>
      </c>
      <c r="K2454" s="186"/>
      <c r="N2454" s="3" t="str">
        <f t="shared" si="397"/>
        <v/>
      </c>
    </row>
    <row r="2455" spans="2:14">
      <c r="B2455" s="83" t="e">
        <f t="array" ref="B2455">SUM(--(FREQUENCY(IF(C$2:C$3074=C2455, MATCH(D$2:D$3074, D$2:D$3074, 0)), ROW(D$2:D$3074)-ROW(D$2)+1) &gt; 0))</f>
        <v>#N/A</v>
      </c>
      <c r="G2455" s="68" t="str">
        <f t="shared" si="396"/>
        <v>SINGLE</v>
      </c>
      <c r="K2455" s="186"/>
      <c r="N2455" s="3" t="str">
        <f t="shared" si="397"/>
        <v/>
      </c>
    </row>
    <row r="2456" spans="2:14">
      <c r="B2456" s="83" t="e">
        <f t="array" ref="B2456">SUM(--(FREQUENCY(IF(C$2:C$3074=C2456, MATCH(D$2:D$3074, D$2:D$3074, 0)), ROW(D$2:D$3074)-ROW(D$2)+1) &gt; 0))</f>
        <v>#N/A</v>
      </c>
      <c r="G2456" s="68" t="str">
        <f t="shared" si="396"/>
        <v>SINGLE</v>
      </c>
      <c r="K2456" s="186"/>
      <c r="N2456" s="3" t="str">
        <f t="shared" si="397"/>
        <v/>
      </c>
    </row>
    <row r="2457" spans="2:14">
      <c r="B2457" s="83" t="e">
        <f t="array" ref="B2457">SUM(--(FREQUENCY(IF(C$2:C$3074=C2457, MATCH(D$2:D$3074, D$2:D$3074, 0)), ROW(D$2:D$3074)-ROW(D$2)+1) &gt; 0))</f>
        <v>#N/A</v>
      </c>
      <c r="G2457" s="68" t="str">
        <f t="shared" si="396"/>
        <v>SINGLE</v>
      </c>
      <c r="K2457" s="186"/>
      <c r="N2457" s="3" t="str">
        <f t="shared" si="397"/>
        <v/>
      </c>
    </row>
    <row r="2458" spans="2:14">
      <c r="B2458" s="83" t="e">
        <f t="array" ref="B2458">SUM(--(FREQUENCY(IF(C$2:C$3074=C2458, MATCH(D$2:D$3074, D$2:D$3074, 0)), ROW(D$2:D$3074)-ROW(D$2)+1) &gt; 0))</f>
        <v>#N/A</v>
      </c>
      <c r="G2458" s="68" t="str">
        <f t="shared" si="396"/>
        <v>SINGLE</v>
      </c>
      <c r="K2458" s="186"/>
      <c r="N2458" s="3" t="str">
        <f t="shared" si="397"/>
        <v/>
      </c>
    </row>
    <row r="2459" spans="2:14">
      <c r="B2459" s="83" t="e">
        <f t="array" ref="B2459">SUM(--(FREQUENCY(IF(C$2:C$3074=C2459, MATCH(D$2:D$3074, D$2:D$3074, 0)), ROW(D$2:D$3074)-ROW(D$2)+1) &gt; 0))</f>
        <v>#N/A</v>
      </c>
      <c r="G2459" s="68" t="str">
        <f t="shared" si="396"/>
        <v>SINGLE</v>
      </c>
      <c r="K2459" s="186"/>
      <c r="N2459" s="3" t="str">
        <f t="shared" si="397"/>
        <v/>
      </c>
    </row>
    <row r="2460" spans="2:14">
      <c r="B2460" s="83" t="e">
        <f t="array" ref="B2460">SUM(--(FREQUENCY(IF(C$2:C$3074=C2460, MATCH(D$2:D$3074, D$2:D$3074, 0)), ROW(D$2:D$3074)-ROW(D$2)+1) &gt; 0))</f>
        <v>#N/A</v>
      </c>
      <c r="G2460" s="68" t="str">
        <f t="shared" si="396"/>
        <v>SINGLE</v>
      </c>
      <c r="K2460" s="186"/>
      <c r="N2460" s="3" t="str">
        <f t="shared" si="397"/>
        <v/>
      </c>
    </row>
    <row r="2461" spans="2:14">
      <c r="B2461" s="83" t="e">
        <f t="array" ref="B2461">SUM(--(FREQUENCY(IF(C$2:C$3074=C2461, MATCH(D$2:D$3074, D$2:D$3074, 0)), ROW(D$2:D$3074)-ROW(D$2)+1) &gt; 0))</f>
        <v>#N/A</v>
      </c>
      <c r="G2461" s="68" t="str">
        <f t="shared" si="396"/>
        <v>SINGLE</v>
      </c>
      <c r="K2461" s="186"/>
      <c r="N2461" s="3" t="str">
        <f t="shared" si="397"/>
        <v/>
      </c>
    </row>
    <row r="2462" spans="2:14">
      <c r="B2462" s="83" t="e">
        <f t="array" ref="B2462">SUM(--(FREQUENCY(IF(C$2:C$3074=C2462, MATCH(D$2:D$3074, D$2:D$3074, 0)), ROW(D$2:D$3074)-ROW(D$2)+1) &gt; 0))</f>
        <v>#N/A</v>
      </c>
      <c r="G2462" s="68" t="str">
        <f t="shared" si="396"/>
        <v>SINGLE</v>
      </c>
      <c r="K2462" s="186"/>
      <c r="N2462" s="3" t="str">
        <f t="shared" si="397"/>
        <v/>
      </c>
    </row>
    <row r="2463" spans="2:14">
      <c r="B2463" s="83" t="e">
        <f t="array" ref="B2463">SUM(--(FREQUENCY(IF(C$2:C$3074=C2463, MATCH(D$2:D$3074, D$2:D$3074, 0)), ROW(D$2:D$3074)-ROW(D$2)+1) &gt; 0))</f>
        <v>#N/A</v>
      </c>
      <c r="G2463" s="68" t="str">
        <f t="shared" si="396"/>
        <v>SINGLE</v>
      </c>
      <c r="K2463" s="186"/>
      <c r="N2463" s="3" t="str">
        <f t="shared" si="397"/>
        <v/>
      </c>
    </row>
    <row r="2464" spans="2:14">
      <c r="B2464" s="83" t="e">
        <f t="array" ref="B2464">SUM(--(FREQUENCY(IF(C$2:C$3074=C2464, MATCH(D$2:D$3074, D$2:D$3074, 0)), ROW(D$2:D$3074)-ROW(D$2)+1) &gt; 0))</f>
        <v>#N/A</v>
      </c>
      <c r="G2464" s="68" t="str">
        <f t="shared" si="396"/>
        <v>SINGLE</v>
      </c>
      <c r="K2464" s="186"/>
      <c r="N2464" s="3" t="str">
        <f t="shared" si="397"/>
        <v/>
      </c>
    </row>
    <row r="2465" spans="2:14">
      <c r="B2465" s="83" t="e">
        <f t="array" ref="B2465">SUM(--(FREQUENCY(IF(C$2:C$3074=C2465, MATCH(D$2:D$3074, D$2:D$3074, 0)), ROW(D$2:D$3074)-ROW(D$2)+1) &gt; 0))</f>
        <v>#N/A</v>
      </c>
      <c r="G2465" s="68" t="str">
        <f t="shared" si="396"/>
        <v>SINGLE</v>
      </c>
      <c r="K2465" s="186"/>
      <c r="N2465" s="3" t="str">
        <f t="shared" si="397"/>
        <v/>
      </c>
    </row>
    <row r="2466" spans="2:14">
      <c r="B2466" s="83" t="e">
        <f t="array" ref="B2466">SUM(--(FREQUENCY(IF(C$2:C$3074=C2466, MATCH(D$2:D$3074, D$2:D$3074, 0)), ROW(D$2:D$3074)-ROW(D$2)+1) &gt; 0))</f>
        <v>#N/A</v>
      </c>
      <c r="G2466" s="68" t="str">
        <f t="shared" si="396"/>
        <v>SINGLE</v>
      </c>
      <c r="K2466" s="186"/>
      <c r="N2466" s="3" t="str">
        <f t="shared" si="397"/>
        <v/>
      </c>
    </row>
    <row r="2467" spans="2:14">
      <c r="B2467" s="83" t="e">
        <f t="array" ref="B2467">SUM(--(FREQUENCY(IF(C$2:C$3074=C2467, MATCH(D$2:D$3074, D$2:D$3074, 0)), ROW(D$2:D$3074)-ROW(D$2)+1) &gt; 0))</f>
        <v>#N/A</v>
      </c>
      <c r="G2467" s="68" t="str">
        <f t="shared" si="396"/>
        <v>SINGLE</v>
      </c>
      <c r="K2467" s="186"/>
      <c r="N2467" s="3" t="str">
        <f t="shared" si="397"/>
        <v/>
      </c>
    </row>
    <row r="2468" spans="2:14">
      <c r="B2468" s="83" t="e">
        <f t="array" ref="B2468">SUM(--(FREQUENCY(IF(C$2:C$3074=C2468, MATCH(D$2:D$3074, D$2:D$3074, 0)), ROW(D$2:D$3074)-ROW(D$2)+1) &gt; 0))</f>
        <v>#N/A</v>
      </c>
      <c r="G2468" s="68" t="str">
        <f t="shared" si="396"/>
        <v>SINGLE</v>
      </c>
      <c r="K2468" s="186"/>
      <c r="N2468" s="3" t="str">
        <f t="shared" si="397"/>
        <v/>
      </c>
    </row>
    <row r="2469" spans="2:14">
      <c r="B2469" s="83" t="e">
        <f t="array" ref="B2469">SUM(--(FREQUENCY(IF(C$2:C$3074=C2469, MATCH(D$2:D$3074, D$2:D$3074, 0)), ROW(D$2:D$3074)-ROW(D$2)+1) &gt; 0))</f>
        <v>#N/A</v>
      </c>
      <c r="G2469" s="68" t="str">
        <f t="shared" si="396"/>
        <v>SINGLE</v>
      </c>
      <c r="K2469" s="186"/>
      <c r="N2469" s="3" t="str">
        <f t="shared" si="397"/>
        <v/>
      </c>
    </row>
    <row r="2470" spans="2:14">
      <c r="B2470" s="83" t="e">
        <f t="array" ref="B2470">SUM(--(FREQUENCY(IF(C$2:C$3074=C2470, MATCH(D$2:D$3074, D$2:D$3074, 0)), ROW(D$2:D$3074)-ROW(D$2)+1) &gt; 0))</f>
        <v>#N/A</v>
      </c>
      <c r="G2470" s="68" t="str">
        <f t="shared" si="396"/>
        <v>SINGLE</v>
      </c>
      <c r="K2470" s="186"/>
      <c r="N2470" s="3" t="str">
        <f t="shared" si="397"/>
        <v/>
      </c>
    </row>
    <row r="2471" spans="2:14">
      <c r="B2471" s="83" t="e">
        <f t="array" ref="B2471">SUM(--(FREQUENCY(IF(C$2:C$3074=C2471, MATCH(D$2:D$3074, D$2:D$3074, 0)), ROW(D$2:D$3074)-ROW(D$2)+1) &gt; 0))</f>
        <v>#N/A</v>
      </c>
      <c r="G2471" s="68" t="str">
        <f t="shared" si="396"/>
        <v>SINGLE</v>
      </c>
      <c r="K2471" s="186"/>
      <c r="N2471" s="3" t="str">
        <f t="shared" si="397"/>
        <v/>
      </c>
    </row>
    <row r="2472" spans="2:14">
      <c r="B2472" s="83" t="e">
        <f t="array" ref="B2472">SUM(--(FREQUENCY(IF(C$2:C$3074=C2472, MATCH(D$2:D$3074, D$2:D$3074, 0)), ROW(D$2:D$3074)-ROW(D$2)+1) &gt; 0))</f>
        <v>#N/A</v>
      </c>
      <c r="G2472" s="68" t="str">
        <f t="shared" si="396"/>
        <v>SINGLE</v>
      </c>
      <c r="K2472" s="186"/>
      <c r="N2472" s="3" t="str">
        <f t="shared" si="397"/>
        <v/>
      </c>
    </row>
    <row r="2473" spans="2:14">
      <c r="B2473" s="83" t="e">
        <f t="array" ref="B2473">SUM(--(FREQUENCY(IF(C$2:C$3074=C2473, MATCH(D$2:D$3074, D$2:D$3074, 0)), ROW(D$2:D$3074)-ROW(D$2)+1) &gt; 0))</f>
        <v>#N/A</v>
      </c>
      <c r="G2473" s="68" t="str">
        <f t="shared" si="396"/>
        <v>SINGLE</v>
      </c>
      <c r="K2473" s="186"/>
      <c r="N2473" s="3" t="str">
        <f t="shared" si="397"/>
        <v/>
      </c>
    </row>
    <row r="2474" spans="2:14">
      <c r="B2474" s="83" t="e">
        <f t="array" ref="B2474">SUM(--(FREQUENCY(IF(C$2:C$3074=C2474, MATCH(D$2:D$3074, D$2:D$3074, 0)), ROW(D$2:D$3074)-ROW(D$2)+1) &gt; 0))</f>
        <v>#N/A</v>
      </c>
      <c r="G2474" s="68" t="str">
        <f t="shared" si="396"/>
        <v>SINGLE</v>
      </c>
      <c r="K2474" s="186"/>
      <c r="N2474" s="3" t="str">
        <f t="shared" si="397"/>
        <v/>
      </c>
    </row>
    <row r="2475" spans="2:14">
      <c r="B2475" s="83" t="e">
        <f t="array" ref="B2475">SUM(--(FREQUENCY(IF(C$2:C$3074=C2475, MATCH(D$2:D$3074, D$2:D$3074, 0)), ROW(D$2:D$3074)-ROW(D$2)+1) &gt; 0))</f>
        <v>#N/A</v>
      </c>
      <c r="G2475" s="68" t="str">
        <f t="shared" si="396"/>
        <v>SINGLE</v>
      </c>
      <c r="K2475" s="186"/>
      <c r="N2475" s="3" t="str">
        <f t="shared" si="397"/>
        <v/>
      </c>
    </row>
    <row r="2476" spans="2:14">
      <c r="B2476" s="83" t="e">
        <f t="array" ref="B2476">SUM(--(FREQUENCY(IF(C$2:C$3074=C2476, MATCH(D$2:D$3074, D$2:D$3074, 0)), ROW(D$2:D$3074)-ROW(D$2)+1) &gt; 0))</f>
        <v>#N/A</v>
      </c>
      <c r="G2476" s="68" t="str">
        <f t="shared" si="396"/>
        <v>SINGLE</v>
      </c>
      <c r="K2476" s="186"/>
      <c r="N2476" s="3" t="str">
        <f t="shared" si="397"/>
        <v/>
      </c>
    </row>
    <row r="2477" spans="2:14">
      <c r="B2477" s="83" t="e">
        <f t="array" ref="B2477">SUM(--(FREQUENCY(IF(C$2:C$3074=C2477, MATCH(D$2:D$3074, D$2:D$3074, 0)), ROW(D$2:D$3074)-ROW(D$2)+1) &gt; 0))</f>
        <v>#N/A</v>
      </c>
      <c r="G2477" s="68" t="str">
        <f t="shared" si="396"/>
        <v>SINGLE</v>
      </c>
      <c r="K2477" s="186"/>
      <c r="N2477" s="3" t="str">
        <f t="shared" si="397"/>
        <v/>
      </c>
    </row>
    <row r="2478" spans="2:14">
      <c r="B2478" s="83" t="e">
        <f t="array" ref="B2478">SUM(--(FREQUENCY(IF(C$2:C$3074=C2478, MATCH(D$2:D$3074, D$2:D$3074, 0)), ROW(D$2:D$3074)-ROW(D$2)+1) &gt; 0))</f>
        <v>#N/A</v>
      </c>
      <c r="G2478" s="68" t="str">
        <f t="shared" si="396"/>
        <v>SINGLE</v>
      </c>
      <c r="K2478" s="186"/>
      <c r="N2478" s="3" t="str">
        <f t="shared" si="397"/>
        <v/>
      </c>
    </row>
    <row r="2479" spans="2:14">
      <c r="B2479" s="83" t="e">
        <f t="array" ref="B2479">SUM(--(FREQUENCY(IF(C$2:C$3074=C2479, MATCH(D$2:D$3074, D$2:D$3074, 0)), ROW(D$2:D$3074)-ROW(D$2)+1) &gt; 0))</f>
        <v>#N/A</v>
      </c>
      <c r="G2479" s="68" t="str">
        <f t="shared" si="396"/>
        <v>SINGLE</v>
      </c>
      <c r="K2479" s="186"/>
      <c r="N2479" s="3" t="str">
        <f t="shared" si="397"/>
        <v/>
      </c>
    </row>
    <row r="2480" spans="2:14">
      <c r="B2480" s="83" t="e">
        <f t="array" ref="B2480">SUM(--(FREQUENCY(IF(C$2:C$3074=C2480, MATCH(D$2:D$3074, D$2:D$3074, 0)), ROW(D$2:D$3074)-ROW(D$2)+1) &gt; 0))</f>
        <v>#N/A</v>
      </c>
      <c r="G2480" s="68" t="str">
        <f t="shared" si="396"/>
        <v>SINGLE</v>
      </c>
      <c r="K2480" s="186"/>
      <c r="N2480" s="3" t="str">
        <f t="shared" si="397"/>
        <v/>
      </c>
    </row>
    <row r="2481" spans="2:14">
      <c r="B2481" s="83" t="e">
        <f t="array" ref="B2481">SUM(--(FREQUENCY(IF(C$2:C$3074=C2481, MATCH(D$2:D$3074, D$2:D$3074, 0)), ROW(D$2:D$3074)-ROW(D$2)+1) &gt; 0))</f>
        <v>#N/A</v>
      </c>
      <c r="G2481" s="68" t="str">
        <f t="shared" si="396"/>
        <v>SINGLE</v>
      </c>
      <c r="K2481" s="186"/>
      <c r="N2481" s="3" t="str">
        <f t="shared" si="397"/>
        <v/>
      </c>
    </row>
    <row r="2482" spans="2:14">
      <c r="B2482" s="83" t="e">
        <f t="array" ref="B2482">SUM(--(FREQUENCY(IF(C$2:C$3074=C2482, MATCH(D$2:D$3074, D$2:D$3074, 0)), ROW(D$2:D$3074)-ROW(D$2)+1) &gt; 0))</f>
        <v>#N/A</v>
      </c>
      <c r="G2482" s="68" t="str">
        <f t="shared" si="396"/>
        <v>SINGLE</v>
      </c>
      <c r="K2482" s="186"/>
      <c r="N2482" s="3" t="str">
        <f t="shared" si="397"/>
        <v/>
      </c>
    </row>
    <row r="2483" spans="2:14">
      <c r="B2483" s="83" t="e">
        <f t="array" ref="B2483">SUM(--(FREQUENCY(IF(C$2:C$3074=C2483, MATCH(D$2:D$3074, D$2:D$3074, 0)), ROW(D$2:D$3074)-ROW(D$2)+1) &gt; 0))</f>
        <v>#N/A</v>
      </c>
      <c r="G2483" s="68" t="str">
        <f t="shared" si="396"/>
        <v>SINGLE</v>
      </c>
      <c r="K2483" s="186"/>
      <c r="N2483" s="3" t="str">
        <f t="shared" si="397"/>
        <v/>
      </c>
    </row>
    <row r="2484" spans="2:14">
      <c r="B2484" s="83" t="e">
        <f t="array" ref="B2484">SUM(--(FREQUENCY(IF(C$2:C$3074=C2484, MATCH(D$2:D$3074, D$2:D$3074, 0)), ROW(D$2:D$3074)-ROW(D$2)+1) &gt; 0))</f>
        <v>#N/A</v>
      </c>
      <c r="G2484" s="68" t="str">
        <f t="shared" si="396"/>
        <v>SINGLE</v>
      </c>
      <c r="K2484" s="186"/>
      <c r="N2484" s="3" t="str">
        <f t="shared" si="397"/>
        <v/>
      </c>
    </row>
    <row r="2485" spans="2:14">
      <c r="B2485" s="83" t="e">
        <f t="array" ref="B2485">SUM(--(FREQUENCY(IF(C$2:C$3074=C2485, MATCH(D$2:D$3074, D$2:D$3074, 0)), ROW(D$2:D$3074)-ROW(D$2)+1) &gt; 0))</f>
        <v>#N/A</v>
      </c>
      <c r="G2485" s="68" t="str">
        <f t="shared" ref="G2485:G2548" si="398">IF(OR(ISNUMBER(SEARCH("DUAL",F2485)), ISNUMBER(SEARCH("IVAS",F2485))), "DUAL", "SINGLE")</f>
        <v>SINGLE</v>
      </c>
      <c r="K2485" s="186"/>
      <c r="N2485" s="3" t="str">
        <f t="shared" si="397"/>
        <v/>
      </c>
    </row>
    <row r="2486" spans="2:14">
      <c r="B2486" s="83" t="e">
        <f t="array" ref="B2486">SUM(--(FREQUENCY(IF(C$2:C$3074=C2486, MATCH(D$2:D$3074, D$2:D$3074, 0)), ROW(D$2:D$3074)-ROW(D$2)+1) &gt; 0))</f>
        <v>#N/A</v>
      </c>
      <c r="G2486" s="68" t="str">
        <f t="shared" si="398"/>
        <v>SINGLE</v>
      </c>
      <c r="K2486" s="186"/>
      <c r="N2486" s="3" t="str">
        <f t="shared" si="397"/>
        <v/>
      </c>
    </row>
    <row r="2487" spans="2:14">
      <c r="B2487" s="83" t="e">
        <f t="array" ref="B2487">SUM(--(FREQUENCY(IF(C$2:C$3074=C2487, MATCH(D$2:D$3074, D$2:D$3074, 0)), ROW(D$2:D$3074)-ROW(D$2)+1) &gt; 0))</f>
        <v>#N/A</v>
      </c>
      <c r="G2487" s="68" t="str">
        <f t="shared" si="398"/>
        <v>SINGLE</v>
      </c>
      <c r="K2487" s="186"/>
      <c r="N2487" s="3" t="str">
        <f t="shared" si="397"/>
        <v/>
      </c>
    </row>
    <row r="2488" spans="2:14">
      <c r="B2488" s="83" t="e">
        <f t="array" ref="B2488">SUM(--(FREQUENCY(IF(C$2:C$3074=C2488, MATCH(D$2:D$3074, D$2:D$3074, 0)), ROW(D$2:D$3074)-ROW(D$2)+1) &gt; 0))</f>
        <v>#N/A</v>
      </c>
      <c r="G2488" s="68" t="str">
        <f t="shared" si="398"/>
        <v>SINGLE</v>
      </c>
      <c r="K2488" s="186"/>
      <c r="N2488" s="3" t="str">
        <f t="shared" si="397"/>
        <v/>
      </c>
    </row>
    <row r="2489" spans="2:14">
      <c r="B2489" s="83" t="e">
        <f t="array" ref="B2489">SUM(--(FREQUENCY(IF(C$2:C$3074=C2489, MATCH(D$2:D$3074, D$2:D$3074, 0)), ROW(D$2:D$3074)-ROW(D$2)+1) &gt; 0))</f>
        <v>#N/A</v>
      </c>
      <c r="G2489" s="68" t="str">
        <f t="shared" si="398"/>
        <v>SINGLE</v>
      </c>
      <c r="K2489" s="186"/>
      <c r="N2489" s="3" t="str">
        <f t="shared" si="397"/>
        <v/>
      </c>
    </row>
    <row r="2490" spans="2:14">
      <c r="B2490" s="83" t="e">
        <f t="array" ref="B2490">SUM(--(FREQUENCY(IF(C$2:C$3074=C2490, MATCH(D$2:D$3074, D$2:D$3074, 0)), ROW(D$2:D$3074)-ROW(D$2)+1) &gt; 0))</f>
        <v>#N/A</v>
      </c>
      <c r="G2490" s="68" t="str">
        <f t="shared" si="398"/>
        <v>SINGLE</v>
      </c>
      <c r="K2490" s="186"/>
      <c r="N2490" s="3" t="str">
        <f t="shared" si="397"/>
        <v/>
      </c>
    </row>
    <row r="2491" spans="2:14">
      <c r="B2491" s="83" t="e">
        <f t="array" ref="B2491">SUM(--(FREQUENCY(IF(C$2:C$3074=C2491, MATCH(D$2:D$3074, D$2:D$3074, 0)), ROW(D$2:D$3074)-ROW(D$2)+1) &gt; 0))</f>
        <v>#N/A</v>
      </c>
      <c r="G2491" s="68" t="str">
        <f t="shared" si="398"/>
        <v>SINGLE</v>
      </c>
      <c r="K2491" s="186"/>
      <c r="N2491" s="3" t="str">
        <f t="shared" si="397"/>
        <v/>
      </c>
    </row>
    <row r="2492" spans="2:14">
      <c r="B2492" s="83" t="e">
        <f t="array" ref="B2492">SUM(--(FREQUENCY(IF(C$2:C$3074=C2492, MATCH(D$2:D$3074, D$2:D$3074, 0)), ROW(D$2:D$3074)-ROW(D$2)+1) &gt; 0))</f>
        <v>#N/A</v>
      </c>
      <c r="G2492" s="68" t="str">
        <f t="shared" si="398"/>
        <v>SINGLE</v>
      </c>
      <c r="K2492" s="186"/>
      <c r="N2492" s="3" t="str">
        <f t="shared" si="397"/>
        <v/>
      </c>
    </row>
    <row r="2493" spans="2:14">
      <c r="B2493" s="83" t="e">
        <f t="array" ref="B2493">SUM(--(FREQUENCY(IF(C$2:C$3074=C2493, MATCH(D$2:D$3074, D$2:D$3074, 0)), ROW(D$2:D$3074)-ROW(D$2)+1) &gt; 0))</f>
        <v>#N/A</v>
      </c>
      <c r="G2493" s="68" t="str">
        <f t="shared" si="398"/>
        <v>SINGLE</v>
      </c>
      <c r="K2493" s="186"/>
      <c r="N2493" s="3" t="str">
        <f t="shared" si="397"/>
        <v/>
      </c>
    </row>
    <row r="2494" spans="2:14">
      <c r="B2494" s="83" t="e">
        <f t="array" ref="B2494">SUM(--(FREQUENCY(IF(C$2:C$3074=C2494, MATCH(D$2:D$3074, D$2:D$3074, 0)), ROW(D$2:D$3074)-ROW(D$2)+1) &gt; 0))</f>
        <v>#N/A</v>
      </c>
      <c r="G2494" s="68" t="str">
        <f t="shared" si="398"/>
        <v>SINGLE</v>
      </c>
      <c r="K2494" s="186"/>
      <c r="N2494" s="3" t="str">
        <f t="shared" si="397"/>
        <v/>
      </c>
    </row>
    <row r="2495" spans="2:14">
      <c r="B2495" s="83" t="e">
        <f t="array" ref="B2495">SUM(--(FREQUENCY(IF(C$2:C$3074=C2495, MATCH(D$2:D$3074, D$2:D$3074, 0)), ROW(D$2:D$3074)-ROW(D$2)+1) &gt; 0))</f>
        <v>#N/A</v>
      </c>
      <c r="G2495" s="68" t="str">
        <f t="shared" si="398"/>
        <v>SINGLE</v>
      </c>
      <c r="K2495" s="186"/>
      <c r="N2495" s="3" t="str">
        <f t="shared" ref="N2495:N2558" si="399">IF(O2495&lt;&gt;"", "NG", "")</f>
        <v/>
      </c>
    </row>
    <row r="2496" spans="2:14">
      <c r="B2496" s="83" t="e">
        <f t="array" ref="B2496">SUM(--(FREQUENCY(IF(C$2:C$3074=C2496, MATCH(D$2:D$3074, D$2:D$3074, 0)), ROW(D$2:D$3074)-ROW(D$2)+1) &gt; 0))</f>
        <v>#N/A</v>
      </c>
      <c r="G2496" s="68" t="str">
        <f t="shared" si="398"/>
        <v>SINGLE</v>
      </c>
      <c r="K2496" s="186"/>
      <c r="N2496" s="3" t="str">
        <f t="shared" si="399"/>
        <v/>
      </c>
    </row>
    <row r="2497" spans="2:14">
      <c r="B2497" s="83" t="e">
        <f t="array" ref="B2497">SUM(--(FREQUENCY(IF(C$2:C$3074=C2497, MATCH(D$2:D$3074, D$2:D$3074, 0)), ROW(D$2:D$3074)-ROW(D$2)+1) &gt; 0))</f>
        <v>#N/A</v>
      </c>
      <c r="G2497" s="68" t="str">
        <f t="shared" si="398"/>
        <v>SINGLE</v>
      </c>
      <c r="K2497" s="186"/>
      <c r="N2497" s="3" t="str">
        <f t="shared" si="399"/>
        <v/>
      </c>
    </row>
    <row r="2498" spans="2:14">
      <c r="B2498" s="83" t="e">
        <f t="array" ref="B2498">SUM(--(FREQUENCY(IF(C$2:C$3074=C2498, MATCH(D$2:D$3074, D$2:D$3074, 0)), ROW(D$2:D$3074)-ROW(D$2)+1) &gt; 0))</f>
        <v>#N/A</v>
      </c>
      <c r="G2498" s="68" t="str">
        <f t="shared" si="398"/>
        <v>SINGLE</v>
      </c>
      <c r="K2498" s="186"/>
      <c r="N2498" s="3" t="str">
        <f t="shared" si="399"/>
        <v/>
      </c>
    </row>
    <row r="2499" spans="2:14">
      <c r="B2499" s="83" t="e">
        <f t="array" ref="B2499">SUM(--(FREQUENCY(IF(C$2:C$3074=C2499, MATCH(D$2:D$3074, D$2:D$3074, 0)), ROW(D$2:D$3074)-ROW(D$2)+1) &gt; 0))</f>
        <v>#N/A</v>
      </c>
      <c r="G2499" s="68" t="str">
        <f t="shared" si="398"/>
        <v>SINGLE</v>
      </c>
      <c r="K2499" s="186"/>
      <c r="N2499" s="3" t="str">
        <f t="shared" si="399"/>
        <v/>
      </c>
    </row>
    <row r="2500" spans="2:14">
      <c r="B2500" s="83" t="e">
        <f t="array" ref="B2500">SUM(--(FREQUENCY(IF(C$2:C$3074=C2500, MATCH(D$2:D$3074, D$2:D$3074, 0)), ROW(D$2:D$3074)-ROW(D$2)+1) &gt; 0))</f>
        <v>#N/A</v>
      </c>
      <c r="G2500" s="68" t="str">
        <f t="shared" si="398"/>
        <v>SINGLE</v>
      </c>
      <c r="K2500" s="186"/>
      <c r="N2500" s="3" t="str">
        <f t="shared" si="399"/>
        <v/>
      </c>
    </row>
    <row r="2501" spans="2:14">
      <c r="B2501" s="83" t="e">
        <f t="array" ref="B2501">SUM(--(FREQUENCY(IF(C$2:C$3074=C2501, MATCH(D$2:D$3074, D$2:D$3074, 0)), ROW(D$2:D$3074)-ROW(D$2)+1) &gt; 0))</f>
        <v>#N/A</v>
      </c>
      <c r="G2501" s="68" t="str">
        <f t="shared" si="398"/>
        <v>SINGLE</v>
      </c>
      <c r="K2501" s="186"/>
      <c r="N2501" s="3" t="str">
        <f t="shared" si="399"/>
        <v/>
      </c>
    </row>
    <row r="2502" spans="2:14">
      <c r="B2502" s="83" t="e">
        <f t="array" ref="B2502">SUM(--(FREQUENCY(IF(C$2:C$3074=C2502, MATCH(D$2:D$3074, D$2:D$3074, 0)), ROW(D$2:D$3074)-ROW(D$2)+1) &gt; 0))</f>
        <v>#N/A</v>
      </c>
      <c r="G2502" s="68" t="str">
        <f t="shared" si="398"/>
        <v>SINGLE</v>
      </c>
      <c r="K2502" s="186"/>
      <c r="N2502" s="3" t="str">
        <f t="shared" si="399"/>
        <v/>
      </c>
    </row>
    <row r="2503" spans="2:14">
      <c r="B2503" s="83" t="e">
        <f t="array" ref="B2503">SUM(--(FREQUENCY(IF(C$2:C$3074=C2503, MATCH(D$2:D$3074, D$2:D$3074, 0)), ROW(D$2:D$3074)-ROW(D$2)+1) &gt; 0))</f>
        <v>#N/A</v>
      </c>
      <c r="G2503" s="68" t="str">
        <f t="shared" si="398"/>
        <v>SINGLE</v>
      </c>
      <c r="K2503" s="186"/>
      <c r="N2503" s="3" t="str">
        <f t="shared" si="399"/>
        <v/>
      </c>
    </row>
    <row r="2504" spans="2:14">
      <c r="B2504" s="83" t="e">
        <f t="array" ref="B2504">SUM(--(FREQUENCY(IF(C$2:C$3074=C2504, MATCH(D$2:D$3074, D$2:D$3074, 0)), ROW(D$2:D$3074)-ROW(D$2)+1) &gt; 0))</f>
        <v>#N/A</v>
      </c>
      <c r="G2504" s="68" t="str">
        <f t="shared" si="398"/>
        <v>SINGLE</v>
      </c>
      <c r="K2504" s="186"/>
      <c r="N2504" s="3" t="str">
        <f t="shared" si="399"/>
        <v/>
      </c>
    </row>
    <row r="2505" spans="2:14">
      <c r="B2505" s="83" t="e">
        <f t="array" ref="B2505">SUM(--(FREQUENCY(IF(C$2:C$3074=C2505, MATCH(D$2:D$3074, D$2:D$3074, 0)), ROW(D$2:D$3074)-ROW(D$2)+1) &gt; 0))</f>
        <v>#N/A</v>
      </c>
      <c r="G2505" s="68" t="str">
        <f t="shared" si="398"/>
        <v>SINGLE</v>
      </c>
      <c r="K2505" s="186"/>
      <c r="N2505" s="3" t="str">
        <f t="shared" si="399"/>
        <v/>
      </c>
    </row>
    <row r="2506" spans="2:14">
      <c r="B2506" s="83" t="e">
        <f t="array" ref="B2506">SUM(--(FREQUENCY(IF(C$2:C$3074=C2506, MATCH(D$2:D$3074, D$2:D$3074, 0)), ROW(D$2:D$3074)-ROW(D$2)+1) &gt; 0))</f>
        <v>#N/A</v>
      </c>
      <c r="G2506" s="68" t="str">
        <f t="shared" si="398"/>
        <v>SINGLE</v>
      </c>
      <c r="K2506" s="186"/>
      <c r="N2506" s="3" t="str">
        <f t="shared" si="399"/>
        <v/>
      </c>
    </row>
    <row r="2507" spans="2:14">
      <c r="B2507" s="83" t="e">
        <f t="array" ref="B2507">SUM(--(FREQUENCY(IF(C$2:C$3074=C2507, MATCH(D$2:D$3074, D$2:D$3074, 0)), ROW(D$2:D$3074)-ROW(D$2)+1) &gt; 0))</f>
        <v>#N/A</v>
      </c>
      <c r="G2507" s="68" t="str">
        <f t="shared" si="398"/>
        <v>SINGLE</v>
      </c>
      <c r="K2507" s="186"/>
      <c r="N2507" s="3" t="str">
        <f t="shared" si="399"/>
        <v/>
      </c>
    </row>
    <row r="2508" spans="2:14">
      <c r="B2508" s="83" t="e">
        <f t="array" ref="B2508">SUM(--(FREQUENCY(IF(C$2:C$3074=C2508, MATCH(D$2:D$3074, D$2:D$3074, 0)), ROW(D$2:D$3074)-ROW(D$2)+1) &gt; 0))</f>
        <v>#N/A</v>
      </c>
      <c r="G2508" s="68" t="str">
        <f t="shared" si="398"/>
        <v>SINGLE</v>
      </c>
      <c r="K2508" s="186"/>
      <c r="N2508" s="3" t="str">
        <f t="shared" si="399"/>
        <v/>
      </c>
    </row>
    <row r="2509" spans="2:14">
      <c r="B2509" s="83" t="e">
        <f t="array" ref="B2509">SUM(--(FREQUENCY(IF(C$2:C$3074=C2509, MATCH(D$2:D$3074, D$2:D$3074, 0)), ROW(D$2:D$3074)-ROW(D$2)+1) &gt; 0))</f>
        <v>#N/A</v>
      </c>
      <c r="G2509" s="68" t="str">
        <f t="shared" si="398"/>
        <v>SINGLE</v>
      </c>
      <c r="K2509" s="186"/>
      <c r="N2509" s="3" t="str">
        <f t="shared" si="399"/>
        <v/>
      </c>
    </row>
    <row r="2510" spans="2:14">
      <c r="B2510" s="83" t="e">
        <f t="array" ref="B2510">SUM(--(FREQUENCY(IF(C$2:C$3074=C2510, MATCH(D$2:D$3074, D$2:D$3074, 0)), ROW(D$2:D$3074)-ROW(D$2)+1) &gt; 0))</f>
        <v>#N/A</v>
      </c>
      <c r="G2510" s="68" t="str">
        <f t="shared" si="398"/>
        <v>SINGLE</v>
      </c>
      <c r="K2510" s="186"/>
      <c r="N2510" s="3" t="str">
        <f t="shared" si="399"/>
        <v/>
      </c>
    </row>
    <row r="2511" spans="2:14">
      <c r="B2511" s="83" t="e">
        <f t="array" ref="B2511">SUM(--(FREQUENCY(IF(C$2:C$3074=C2511, MATCH(D$2:D$3074, D$2:D$3074, 0)), ROW(D$2:D$3074)-ROW(D$2)+1) &gt; 0))</f>
        <v>#N/A</v>
      </c>
      <c r="G2511" s="68" t="str">
        <f t="shared" si="398"/>
        <v>SINGLE</v>
      </c>
      <c r="K2511" s="186"/>
      <c r="N2511" s="3" t="str">
        <f t="shared" si="399"/>
        <v/>
      </c>
    </row>
    <row r="2512" spans="2:14">
      <c r="B2512" s="83" t="e">
        <f t="array" ref="B2512">SUM(--(FREQUENCY(IF(C$2:C$3074=C2512, MATCH(D$2:D$3074, D$2:D$3074, 0)), ROW(D$2:D$3074)-ROW(D$2)+1) &gt; 0))</f>
        <v>#N/A</v>
      </c>
      <c r="G2512" s="68" t="str">
        <f t="shared" si="398"/>
        <v>SINGLE</v>
      </c>
      <c r="K2512" s="186"/>
      <c r="N2512" s="3" t="str">
        <f t="shared" si="399"/>
        <v/>
      </c>
    </row>
    <row r="2513" spans="2:14">
      <c r="B2513" s="83" t="e">
        <f t="array" ref="B2513">SUM(--(FREQUENCY(IF(C$2:C$3074=C2513, MATCH(D$2:D$3074, D$2:D$3074, 0)), ROW(D$2:D$3074)-ROW(D$2)+1) &gt; 0))</f>
        <v>#N/A</v>
      </c>
      <c r="G2513" s="68" t="str">
        <f t="shared" si="398"/>
        <v>SINGLE</v>
      </c>
      <c r="K2513" s="186"/>
      <c r="N2513" s="3" t="str">
        <f t="shared" si="399"/>
        <v/>
      </c>
    </row>
    <row r="2514" spans="2:14">
      <c r="B2514" s="83" t="e">
        <f t="array" ref="B2514">SUM(--(FREQUENCY(IF(C$2:C$3074=C2514, MATCH(D$2:D$3074, D$2:D$3074, 0)), ROW(D$2:D$3074)-ROW(D$2)+1) &gt; 0))</f>
        <v>#N/A</v>
      </c>
      <c r="G2514" s="68" t="str">
        <f t="shared" si="398"/>
        <v>SINGLE</v>
      </c>
      <c r="K2514" s="186"/>
      <c r="N2514" s="3" t="str">
        <f t="shared" si="399"/>
        <v/>
      </c>
    </row>
    <row r="2515" spans="2:14">
      <c r="B2515" s="83" t="e">
        <f t="array" ref="B2515">SUM(--(FREQUENCY(IF(C$2:C$3074=C2515, MATCH(D$2:D$3074, D$2:D$3074, 0)), ROW(D$2:D$3074)-ROW(D$2)+1) &gt; 0))</f>
        <v>#N/A</v>
      </c>
      <c r="G2515" s="68" t="str">
        <f t="shared" si="398"/>
        <v>SINGLE</v>
      </c>
      <c r="K2515" s="186"/>
      <c r="N2515" s="3" t="str">
        <f t="shared" si="399"/>
        <v/>
      </c>
    </row>
    <row r="2516" spans="2:14">
      <c r="B2516" s="83" t="e">
        <f t="array" ref="B2516">SUM(--(FREQUENCY(IF(C$2:C$3074=C2516, MATCH(D$2:D$3074, D$2:D$3074, 0)), ROW(D$2:D$3074)-ROW(D$2)+1) &gt; 0))</f>
        <v>#N/A</v>
      </c>
      <c r="G2516" s="68" t="str">
        <f t="shared" si="398"/>
        <v>SINGLE</v>
      </c>
      <c r="K2516" s="186"/>
      <c r="N2516" s="3" t="str">
        <f t="shared" si="399"/>
        <v/>
      </c>
    </row>
    <row r="2517" spans="2:14">
      <c r="B2517" s="83" t="e">
        <f t="array" ref="B2517">SUM(--(FREQUENCY(IF(C$2:C$3074=C2517, MATCH(D$2:D$3074, D$2:D$3074, 0)), ROW(D$2:D$3074)-ROW(D$2)+1) &gt; 0))</f>
        <v>#N/A</v>
      </c>
      <c r="G2517" s="68" t="str">
        <f t="shared" si="398"/>
        <v>SINGLE</v>
      </c>
      <c r="K2517" s="186"/>
      <c r="N2517" s="3" t="str">
        <f t="shared" si="399"/>
        <v/>
      </c>
    </row>
    <row r="2518" spans="2:14">
      <c r="B2518" s="83" t="e">
        <f t="array" ref="B2518">SUM(--(FREQUENCY(IF(C$2:C$3074=C2518, MATCH(D$2:D$3074, D$2:D$3074, 0)), ROW(D$2:D$3074)-ROW(D$2)+1) &gt; 0))</f>
        <v>#N/A</v>
      </c>
      <c r="G2518" s="68" t="str">
        <f t="shared" si="398"/>
        <v>SINGLE</v>
      </c>
      <c r="K2518" s="186"/>
      <c r="N2518" s="3" t="str">
        <f t="shared" si="399"/>
        <v/>
      </c>
    </row>
    <row r="2519" spans="2:14">
      <c r="B2519" s="83" t="e">
        <f t="array" ref="B2519">SUM(--(FREQUENCY(IF(C$2:C$3074=C2519, MATCH(D$2:D$3074, D$2:D$3074, 0)), ROW(D$2:D$3074)-ROW(D$2)+1) &gt; 0))</f>
        <v>#N/A</v>
      </c>
      <c r="G2519" s="68" t="str">
        <f t="shared" si="398"/>
        <v>SINGLE</v>
      </c>
      <c r="K2519" s="186"/>
      <c r="N2519" s="3" t="str">
        <f t="shared" si="399"/>
        <v/>
      </c>
    </row>
    <row r="2520" spans="2:14">
      <c r="B2520" s="83" t="e">
        <f t="array" ref="B2520">SUM(--(FREQUENCY(IF(C$2:C$3074=C2520, MATCH(D$2:D$3074, D$2:D$3074, 0)), ROW(D$2:D$3074)-ROW(D$2)+1) &gt; 0))</f>
        <v>#N/A</v>
      </c>
      <c r="G2520" s="68" t="str">
        <f t="shared" si="398"/>
        <v>SINGLE</v>
      </c>
      <c r="K2520" s="186"/>
      <c r="N2520" s="3" t="str">
        <f t="shared" si="399"/>
        <v/>
      </c>
    </row>
    <row r="2521" spans="2:14">
      <c r="B2521" s="83" t="e">
        <f t="array" ref="B2521">SUM(--(FREQUENCY(IF(C$2:C$3074=C2521, MATCH(D$2:D$3074, D$2:D$3074, 0)), ROW(D$2:D$3074)-ROW(D$2)+1) &gt; 0))</f>
        <v>#N/A</v>
      </c>
      <c r="G2521" s="68" t="str">
        <f t="shared" si="398"/>
        <v>SINGLE</v>
      </c>
      <c r="K2521" s="186"/>
      <c r="N2521" s="3" t="str">
        <f t="shared" si="399"/>
        <v/>
      </c>
    </row>
    <row r="2522" spans="2:14">
      <c r="B2522" s="83" t="e">
        <f t="array" ref="B2522">SUM(--(FREQUENCY(IF(C$2:C$3074=C2522, MATCH(D$2:D$3074, D$2:D$3074, 0)), ROW(D$2:D$3074)-ROW(D$2)+1) &gt; 0))</f>
        <v>#N/A</v>
      </c>
      <c r="G2522" s="68" t="str">
        <f t="shared" si="398"/>
        <v>SINGLE</v>
      </c>
      <c r="K2522" s="186"/>
      <c r="N2522" s="3" t="str">
        <f t="shared" si="399"/>
        <v/>
      </c>
    </row>
    <row r="2523" spans="2:14">
      <c r="B2523" s="83" t="e">
        <f t="array" ref="B2523">SUM(--(FREQUENCY(IF(C$2:C$3074=C2523, MATCH(D$2:D$3074, D$2:D$3074, 0)), ROW(D$2:D$3074)-ROW(D$2)+1) &gt; 0))</f>
        <v>#N/A</v>
      </c>
      <c r="G2523" s="68" t="str">
        <f t="shared" si="398"/>
        <v>SINGLE</v>
      </c>
      <c r="K2523" s="186"/>
      <c r="N2523" s="3" t="str">
        <f t="shared" si="399"/>
        <v/>
      </c>
    </row>
    <row r="2524" spans="2:14">
      <c r="B2524" s="83" t="e">
        <f t="array" ref="B2524">SUM(--(FREQUENCY(IF(C$2:C$3074=C2524, MATCH(D$2:D$3074, D$2:D$3074, 0)), ROW(D$2:D$3074)-ROW(D$2)+1) &gt; 0))</f>
        <v>#N/A</v>
      </c>
      <c r="G2524" s="68" t="str">
        <f t="shared" si="398"/>
        <v>SINGLE</v>
      </c>
      <c r="K2524" s="186"/>
      <c r="N2524" s="3" t="str">
        <f t="shared" si="399"/>
        <v/>
      </c>
    </row>
    <row r="2525" spans="2:14">
      <c r="B2525" s="83" t="e">
        <f t="array" ref="B2525">SUM(--(FREQUENCY(IF(C$2:C$3074=C2525, MATCH(D$2:D$3074, D$2:D$3074, 0)), ROW(D$2:D$3074)-ROW(D$2)+1) &gt; 0))</f>
        <v>#N/A</v>
      </c>
      <c r="G2525" s="68" t="str">
        <f t="shared" si="398"/>
        <v>SINGLE</v>
      </c>
      <c r="K2525" s="186"/>
      <c r="N2525" s="3" t="str">
        <f t="shared" si="399"/>
        <v/>
      </c>
    </row>
    <row r="2526" spans="2:14">
      <c r="B2526" s="83" t="e">
        <f t="array" ref="B2526">SUM(--(FREQUENCY(IF(C$2:C$3074=C2526, MATCH(D$2:D$3074, D$2:D$3074, 0)), ROW(D$2:D$3074)-ROW(D$2)+1) &gt; 0))</f>
        <v>#N/A</v>
      </c>
      <c r="G2526" s="68" t="str">
        <f t="shared" si="398"/>
        <v>SINGLE</v>
      </c>
      <c r="K2526" s="186"/>
      <c r="N2526" s="3" t="str">
        <f t="shared" si="399"/>
        <v/>
      </c>
    </row>
    <row r="2527" spans="2:14">
      <c r="B2527" s="83" t="e">
        <f t="array" ref="B2527">SUM(--(FREQUENCY(IF(C$2:C$3074=C2527, MATCH(D$2:D$3074, D$2:D$3074, 0)), ROW(D$2:D$3074)-ROW(D$2)+1) &gt; 0))</f>
        <v>#N/A</v>
      </c>
      <c r="G2527" s="68" t="str">
        <f t="shared" si="398"/>
        <v>SINGLE</v>
      </c>
      <c r="K2527" s="186"/>
      <c r="N2527" s="3" t="str">
        <f t="shared" si="399"/>
        <v/>
      </c>
    </row>
    <row r="2528" spans="2:14">
      <c r="B2528" s="83" t="e">
        <f t="array" ref="B2528">SUM(--(FREQUENCY(IF(C$2:C$3074=C2528, MATCH(D$2:D$3074, D$2:D$3074, 0)), ROW(D$2:D$3074)-ROW(D$2)+1) &gt; 0))</f>
        <v>#N/A</v>
      </c>
      <c r="G2528" s="68" t="str">
        <f t="shared" si="398"/>
        <v>SINGLE</v>
      </c>
      <c r="K2528" s="186"/>
      <c r="N2528" s="3" t="str">
        <f t="shared" si="399"/>
        <v/>
      </c>
    </row>
    <row r="2529" spans="2:14">
      <c r="B2529" s="83" t="e">
        <f t="array" ref="B2529">SUM(--(FREQUENCY(IF(C$2:C$3074=C2529, MATCH(D$2:D$3074, D$2:D$3074, 0)), ROW(D$2:D$3074)-ROW(D$2)+1) &gt; 0))</f>
        <v>#N/A</v>
      </c>
      <c r="G2529" s="68" t="str">
        <f t="shared" si="398"/>
        <v>SINGLE</v>
      </c>
      <c r="K2529" s="186"/>
      <c r="N2529" s="3" t="str">
        <f t="shared" si="399"/>
        <v/>
      </c>
    </row>
    <row r="2530" spans="2:14">
      <c r="B2530" s="83" t="e">
        <f t="array" ref="B2530">SUM(--(FREQUENCY(IF(C$2:C$3074=C2530, MATCH(D$2:D$3074, D$2:D$3074, 0)), ROW(D$2:D$3074)-ROW(D$2)+1) &gt; 0))</f>
        <v>#N/A</v>
      </c>
      <c r="G2530" s="68" t="str">
        <f t="shared" si="398"/>
        <v>SINGLE</v>
      </c>
      <c r="K2530" s="186"/>
      <c r="N2530" s="3" t="str">
        <f t="shared" si="399"/>
        <v/>
      </c>
    </row>
    <row r="2531" spans="2:14">
      <c r="B2531" s="83" t="e">
        <f t="array" ref="B2531">SUM(--(FREQUENCY(IF(C$2:C$3074=C2531, MATCH(D$2:D$3074, D$2:D$3074, 0)), ROW(D$2:D$3074)-ROW(D$2)+1) &gt; 0))</f>
        <v>#N/A</v>
      </c>
      <c r="G2531" s="68" t="str">
        <f t="shared" si="398"/>
        <v>SINGLE</v>
      </c>
      <c r="K2531" s="186"/>
      <c r="N2531" s="3" t="str">
        <f t="shared" si="399"/>
        <v/>
      </c>
    </row>
    <row r="2532" spans="2:14">
      <c r="B2532" s="83" t="e">
        <f t="array" ref="B2532">SUM(--(FREQUENCY(IF(C$2:C$3074=C2532, MATCH(D$2:D$3074, D$2:D$3074, 0)), ROW(D$2:D$3074)-ROW(D$2)+1) &gt; 0))</f>
        <v>#N/A</v>
      </c>
      <c r="G2532" s="68" t="str">
        <f t="shared" si="398"/>
        <v>SINGLE</v>
      </c>
      <c r="K2532" s="186"/>
      <c r="N2532" s="3" t="str">
        <f t="shared" si="399"/>
        <v/>
      </c>
    </row>
    <row r="2533" spans="2:14">
      <c r="B2533" s="83" t="e">
        <f t="array" ref="B2533">SUM(--(FREQUENCY(IF(C$2:C$3074=C2533, MATCH(D$2:D$3074, D$2:D$3074, 0)), ROW(D$2:D$3074)-ROW(D$2)+1) &gt; 0))</f>
        <v>#N/A</v>
      </c>
      <c r="G2533" s="68" t="str">
        <f t="shared" si="398"/>
        <v>SINGLE</v>
      </c>
      <c r="K2533" s="186"/>
      <c r="N2533" s="3" t="str">
        <f t="shared" si="399"/>
        <v/>
      </c>
    </row>
    <row r="2534" spans="2:14">
      <c r="B2534" s="83" t="e">
        <f t="array" ref="B2534">SUM(--(FREQUENCY(IF(C$2:C$3074=C2534, MATCH(D$2:D$3074, D$2:D$3074, 0)), ROW(D$2:D$3074)-ROW(D$2)+1) &gt; 0))</f>
        <v>#N/A</v>
      </c>
      <c r="G2534" s="68" t="str">
        <f t="shared" si="398"/>
        <v>SINGLE</v>
      </c>
      <c r="K2534" s="186"/>
      <c r="N2534" s="3" t="str">
        <f t="shared" si="399"/>
        <v/>
      </c>
    </row>
    <row r="2535" spans="2:14">
      <c r="B2535" s="83" t="e">
        <f t="array" ref="B2535">SUM(--(FREQUENCY(IF(C$2:C$3074=C2535, MATCH(D$2:D$3074, D$2:D$3074, 0)), ROW(D$2:D$3074)-ROW(D$2)+1) &gt; 0))</f>
        <v>#N/A</v>
      </c>
      <c r="G2535" s="68" t="str">
        <f t="shared" si="398"/>
        <v>SINGLE</v>
      </c>
      <c r="K2535" s="186"/>
      <c r="N2535" s="3" t="str">
        <f t="shared" si="399"/>
        <v/>
      </c>
    </row>
    <row r="2536" spans="2:14">
      <c r="B2536" s="83" t="e">
        <f t="array" ref="B2536">SUM(--(FREQUENCY(IF(C$2:C$3074=C2536, MATCH(D$2:D$3074, D$2:D$3074, 0)), ROW(D$2:D$3074)-ROW(D$2)+1) &gt; 0))</f>
        <v>#N/A</v>
      </c>
      <c r="G2536" s="68" t="str">
        <f t="shared" si="398"/>
        <v>SINGLE</v>
      </c>
      <c r="K2536" s="186"/>
      <c r="N2536" s="3" t="str">
        <f t="shared" si="399"/>
        <v/>
      </c>
    </row>
    <row r="2537" spans="2:14">
      <c r="B2537" s="83" t="e">
        <f t="array" ref="B2537">SUM(--(FREQUENCY(IF(C$2:C$3074=C2537, MATCH(D$2:D$3074, D$2:D$3074, 0)), ROW(D$2:D$3074)-ROW(D$2)+1) &gt; 0))</f>
        <v>#N/A</v>
      </c>
      <c r="G2537" s="68" t="str">
        <f t="shared" si="398"/>
        <v>SINGLE</v>
      </c>
      <c r="K2537" s="186"/>
      <c r="N2537" s="3" t="str">
        <f t="shared" si="399"/>
        <v/>
      </c>
    </row>
    <row r="2538" spans="2:14">
      <c r="B2538" s="83" t="e">
        <f t="array" ref="B2538">SUM(--(FREQUENCY(IF(C$2:C$3074=C2538, MATCH(D$2:D$3074, D$2:D$3074, 0)), ROW(D$2:D$3074)-ROW(D$2)+1) &gt; 0))</f>
        <v>#N/A</v>
      </c>
      <c r="G2538" s="68" t="str">
        <f t="shared" si="398"/>
        <v>SINGLE</v>
      </c>
      <c r="K2538" s="186"/>
      <c r="N2538" s="3" t="str">
        <f t="shared" si="399"/>
        <v/>
      </c>
    </row>
    <row r="2539" spans="2:14">
      <c r="B2539" s="83" t="e">
        <f t="array" ref="B2539">SUM(--(FREQUENCY(IF(C$2:C$3074=C2539, MATCH(D$2:D$3074, D$2:D$3074, 0)), ROW(D$2:D$3074)-ROW(D$2)+1) &gt; 0))</f>
        <v>#N/A</v>
      </c>
      <c r="G2539" s="68" t="str">
        <f t="shared" si="398"/>
        <v>SINGLE</v>
      </c>
      <c r="K2539" s="186"/>
      <c r="N2539" s="3" t="str">
        <f t="shared" si="399"/>
        <v/>
      </c>
    </row>
    <row r="2540" spans="2:14">
      <c r="B2540" s="83" t="e">
        <f t="array" ref="B2540">SUM(--(FREQUENCY(IF(C$2:C$3074=C2540, MATCH(D$2:D$3074, D$2:D$3074, 0)), ROW(D$2:D$3074)-ROW(D$2)+1) &gt; 0))</f>
        <v>#N/A</v>
      </c>
      <c r="G2540" s="68" t="str">
        <f t="shared" si="398"/>
        <v>SINGLE</v>
      </c>
      <c r="K2540" s="186"/>
      <c r="N2540" s="3" t="str">
        <f t="shared" si="399"/>
        <v/>
      </c>
    </row>
    <row r="2541" spans="2:14">
      <c r="B2541" s="83" t="e">
        <f t="array" ref="B2541">SUM(--(FREQUENCY(IF(C$2:C$3074=C2541, MATCH(D$2:D$3074, D$2:D$3074, 0)), ROW(D$2:D$3074)-ROW(D$2)+1) &gt; 0))</f>
        <v>#N/A</v>
      </c>
      <c r="G2541" s="68" t="str">
        <f t="shared" si="398"/>
        <v>SINGLE</v>
      </c>
      <c r="K2541" s="186"/>
      <c r="N2541" s="3" t="str">
        <f t="shared" si="399"/>
        <v/>
      </c>
    </row>
    <row r="2542" spans="2:14">
      <c r="B2542" s="83" t="e">
        <f t="array" ref="B2542">SUM(--(FREQUENCY(IF(C$2:C$3074=C2542, MATCH(D$2:D$3074, D$2:D$3074, 0)), ROW(D$2:D$3074)-ROW(D$2)+1) &gt; 0))</f>
        <v>#N/A</v>
      </c>
      <c r="G2542" s="68" t="str">
        <f t="shared" si="398"/>
        <v>SINGLE</v>
      </c>
      <c r="K2542" s="186"/>
      <c r="N2542" s="3" t="str">
        <f t="shared" si="399"/>
        <v/>
      </c>
    </row>
    <row r="2543" spans="2:14">
      <c r="B2543" s="83" t="e">
        <f t="array" ref="B2543">SUM(--(FREQUENCY(IF(C$2:C$3074=C2543, MATCH(D$2:D$3074, D$2:D$3074, 0)), ROW(D$2:D$3074)-ROW(D$2)+1) &gt; 0))</f>
        <v>#N/A</v>
      </c>
      <c r="G2543" s="68" t="str">
        <f t="shared" si="398"/>
        <v>SINGLE</v>
      </c>
      <c r="K2543" s="186"/>
      <c r="N2543" s="3" t="str">
        <f t="shared" si="399"/>
        <v/>
      </c>
    </row>
    <row r="2544" spans="2:14">
      <c r="B2544" s="83" t="e">
        <f t="array" ref="B2544">SUM(--(FREQUENCY(IF(C$2:C$3074=C2544, MATCH(D$2:D$3074, D$2:D$3074, 0)), ROW(D$2:D$3074)-ROW(D$2)+1) &gt; 0))</f>
        <v>#N/A</v>
      </c>
      <c r="G2544" s="68" t="str">
        <f t="shared" si="398"/>
        <v>SINGLE</v>
      </c>
      <c r="K2544" s="186"/>
      <c r="N2544" s="3" t="str">
        <f t="shared" si="399"/>
        <v/>
      </c>
    </row>
    <row r="2545" spans="2:14">
      <c r="B2545" s="83" t="e">
        <f t="array" ref="B2545">SUM(--(FREQUENCY(IF(C$2:C$3074=C2545, MATCH(D$2:D$3074, D$2:D$3074, 0)), ROW(D$2:D$3074)-ROW(D$2)+1) &gt; 0))</f>
        <v>#N/A</v>
      </c>
      <c r="G2545" s="68" t="str">
        <f t="shared" si="398"/>
        <v>SINGLE</v>
      </c>
      <c r="K2545" s="186"/>
      <c r="N2545" s="3" t="str">
        <f t="shared" si="399"/>
        <v/>
      </c>
    </row>
    <row r="2546" spans="2:14">
      <c r="B2546" s="83" t="e">
        <f t="array" ref="B2546">SUM(--(FREQUENCY(IF(C$2:C$3074=C2546, MATCH(D$2:D$3074, D$2:D$3074, 0)), ROW(D$2:D$3074)-ROW(D$2)+1) &gt; 0))</f>
        <v>#N/A</v>
      </c>
      <c r="G2546" s="68" t="str">
        <f t="shared" si="398"/>
        <v>SINGLE</v>
      </c>
      <c r="K2546" s="186"/>
      <c r="N2546" s="3" t="str">
        <f t="shared" si="399"/>
        <v/>
      </c>
    </row>
    <row r="2547" spans="2:14">
      <c r="B2547" s="83" t="e">
        <f t="array" ref="B2547">SUM(--(FREQUENCY(IF(C$2:C$3074=C2547, MATCH(D$2:D$3074, D$2:D$3074, 0)), ROW(D$2:D$3074)-ROW(D$2)+1) &gt; 0))</f>
        <v>#N/A</v>
      </c>
      <c r="G2547" s="68" t="str">
        <f t="shared" si="398"/>
        <v>SINGLE</v>
      </c>
      <c r="K2547" s="186"/>
      <c r="N2547" s="3" t="str">
        <f t="shared" si="399"/>
        <v/>
      </c>
    </row>
    <row r="2548" spans="2:14">
      <c r="B2548" s="83" t="e">
        <f t="array" ref="B2548">SUM(--(FREQUENCY(IF(C$2:C$3074=C2548, MATCH(D$2:D$3074, D$2:D$3074, 0)), ROW(D$2:D$3074)-ROW(D$2)+1) &gt; 0))</f>
        <v>#N/A</v>
      </c>
      <c r="G2548" s="68" t="str">
        <f t="shared" si="398"/>
        <v>SINGLE</v>
      </c>
      <c r="K2548" s="186"/>
      <c r="N2548" s="3" t="str">
        <f t="shared" si="399"/>
        <v/>
      </c>
    </row>
    <row r="2549" spans="2:14">
      <c r="B2549" s="83" t="e">
        <f t="array" ref="B2549">SUM(--(FREQUENCY(IF(C$2:C$3074=C2549, MATCH(D$2:D$3074, D$2:D$3074, 0)), ROW(D$2:D$3074)-ROW(D$2)+1) &gt; 0))</f>
        <v>#N/A</v>
      </c>
      <c r="G2549" s="68" t="str">
        <f t="shared" ref="G2549:G2612" si="400">IF(OR(ISNUMBER(SEARCH("DUAL",F2549)), ISNUMBER(SEARCH("IVAS",F2549))), "DUAL", "SINGLE")</f>
        <v>SINGLE</v>
      </c>
      <c r="K2549" s="186"/>
      <c r="N2549" s="3" t="str">
        <f t="shared" si="399"/>
        <v/>
      </c>
    </row>
    <row r="2550" spans="2:14">
      <c r="B2550" s="83" t="e">
        <f t="array" ref="B2550">SUM(--(FREQUENCY(IF(C$2:C$3074=C2550, MATCH(D$2:D$3074, D$2:D$3074, 0)), ROW(D$2:D$3074)-ROW(D$2)+1) &gt; 0))</f>
        <v>#N/A</v>
      </c>
      <c r="G2550" s="68" t="str">
        <f t="shared" si="400"/>
        <v>SINGLE</v>
      </c>
      <c r="K2550" s="186"/>
      <c r="N2550" s="3" t="str">
        <f t="shared" si="399"/>
        <v/>
      </c>
    </row>
    <row r="2551" spans="2:14">
      <c r="B2551" s="83" t="e">
        <f t="array" ref="B2551">SUM(--(FREQUENCY(IF(C$2:C$3074=C2551, MATCH(D$2:D$3074, D$2:D$3074, 0)), ROW(D$2:D$3074)-ROW(D$2)+1) &gt; 0))</f>
        <v>#N/A</v>
      </c>
      <c r="G2551" s="68" t="str">
        <f t="shared" si="400"/>
        <v>SINGLE</v>
      </c>
      <c r="K2551" s="186"/>
      <c r="N2551" s="3" t="str">
        <f t="shared" si="399"/>
        <v/>
      </c>
    </row>
    <row r="2552" spans="2:14">
      <c r="B2552" s="83" t="e">
        <f t="array" ref="B2552">SUM(--(FREQUENCY(IF(C$2:C$3074=C2552, MATCH(D$2:D$3074, D$2:D$3074, 0)), ROW(D$2:D$3074)-ROW(D$2)+1) &gt; 0))</f>
        <v>#N/A</v>
      </c>
      <c r="G2552" s="68" t="str">
        <f t="shared" si="400"/>
        <v>SINGLE</v>
      </c>
      <c r="K2552" s="186"/>
      <c r="N2552" s="3" t="str">
        <f t="shared" si="399"/>
        <v/>
      </c>
    </row>
    <row r="2553" spans="2:14">
      <c r="B2553" s="83" t="e">
        <f t="array" ref="B2553">SUM(--(FREQUENCY(IF(C$2:C$3074=C2553, MATCH(D$2:D$3074, D$2:D$3074, 0)), ROW(D$2:D$3074)-ROW(D$2)+1) &gt; 0))</f>
        <v>#N/A</v>
      </c>
      <c r="G2553" s="68" t="str">
        <f t="shared" si="400"/>
        <v>SINGLE</v>
      </c>
      <c r="K2553" s="186"/>
      <c r="N2553" s="3" t="str">
        <f t="shared" si="399"/>
        <v/>
      </c>
    </row>
    <row r="2554" spans="2:14">
      <c r="B2554" s="83" t="e">
        <f t="array" ref="B2554">SUM(--(FREQUENCY(IF(C$2:C$3074=C2554, MATCH(D$2:D$3074, D$2:D$3074, 0)), ROW(D$2:D$3074)-ROW(D$2)+1) &gt; 0))</f>
        <v>#N/A</v>
      </c>
      <c r="G2554" s="68" t="str">
        <f t="shared" si="400"/>
        <v>SINGLE</v>
      </c>
      <c r="K2554" s="186"/>
      <c r="N2554" s="3" t="str">
        <f t="shared" si="399"/>
        <v/>
      </c>
    </row>
    <row r="2555" spans="2:14">
      <c r="B2555" s="83" t="e">
        <f t="array" ref="B2555">SUM(--(FREQUENCY(IF(C$2:C$3074=C2555, MATCH(D$2:D$3074, D$2:D$3074, 0)), ROW(D$2:D$3074)-ROW(D$2)+1) &gt; 0))</f>
        <v>#N/A</v>
      </c>
      <c r="G2555" s="68" t="str">
        <f t="shared" si="400"/>
        <v>SINGLE</v>
      </c>
      <c r="K2555" s="186"/>
      <c r="N2555" s="3" t="str">
        <f t="shared" si="399"/>
        <v/>
      </c>
    </row>
    <row r="2556" spans="2:14">
      <c r="B2556" s="83" t="e">
        <f t="array" ref="B2556">SUM(--(FREQUENCY(IF(C$2:C$3074=C2556, MATCH(D$2:D$3074, D$2:D$3074, 0)), ROW(D$2:D$3074)-ROW(D$2)+1) &gt; 0))</f>
        <v>#N/A</v>
      </c>
      <c r="G2556" s="68" t="str">
        <f t="shared" si="400"/>
        <v>SINGLE</v>
      </c>
      <c r="K2556" s="186"/>
      <c r="N2556" s="3" t="str">
        <f t="shared" si="399"/>
        <v/>
      </c>
    </row>
    <row r="2557" spans="2:14">
      <c r="B2557" s="83" t="e">
        <f t="array" ref="B2557">SUM(--(FREQUENCY(IF(C$2:C$3074=C2557, MATCH(D$2:D$3074, D$2:D$3074, 0)), ROW(D$2:D$3074)-ROW(D$2)+1) &gt; 0))</f>
        <v>#N/A</v>
      </c>
      <c r="G2557" s="68" t="str">
        <f t="shared" si="400"/>
        <v>SINGLE</v>
      </c>
      <c r="K2557" s="186"/>
      <c r="N2557" s="3" t="str">
        <f t="shared" si="399"/>
        <v/>
      </c>
    </row>
    <row r="2558" spans="2:14">
      <c r="B2558" s="83" t="e">
        <f t="array" ref="B2558">SUM(--(FREQUENCY(IF(C$2:C$3074=C2558, MATCH(D$2:D$3074, D$2:D$3074, 0)), ROW(D$2:D$3074)-ROW(D$2)+1) &gt; 0))</f>
        <v>#N/A</v>
      </c>
      <c r="G2558" s="68" t="str">
        <f t="shared" si="400"/>
        <v>SINGLE</v>
      </c>
      <c r="K2558" s="186"/>
      <c r="N2558" s="3" t="str">
        <f t="shared" si="399"/>
        <v/>
      </c>
    </row>
    <row r="2559" spans="2:14">
      <c r="B2559" s="83" t="e">
        <f t="array" ref="B2559">SUM(--(FREQUENCY(IF(C$2:C$3074=C2559, MATCH(D$2:D$3074, D$2:D$3074, 0)), ROW(D$2:D$3074)-ROW(D$2)+1) &gt; 0))</f>
        <v>#N/A</v>
      </c>
      <c r="G2559" s="68" t="str">
        <f t="shared" si="400"/>
        <v>SINGLE</v>
      </c>
      <c r="K2559" s="186"/>
      <c r="N2559" s="3" t="str">
        <f t="shared" ref="N2559:N2622" si="401">IF(O2559&lt;&gt;"", "NG", "")</f>
        <v/>
      </c>
    </row>
    <row r="2560" spans="2:14">
      <c r="B2560" s="83" t="e">
        <f t="array" ref="B2560">SUM(--(FREQUENCY(IF(C$2:C$3074=C2560, MATCH(D$2:D$3074, D$2:D$3074, 0)), ROW(D$2:D$3074)-ROW(D$2)+1) &gt; 0))</f>
        <v>#N/A</v>
      </c>
      <c r="G2560" s="68" t="str">
        <f t="shared" si="400"/>
        <v>SINGLE</v>
      </c>
      <c r="K2560" s="186"/>
      <c r="N2560" s="3" t="str">
        <f t="shared" si="401"/>
        <v/>
      </c>
    </row>
    <row r="2561" spans="2:14">
      <c r="B2561" s="83" t="e">
        <f t="array" ref="B2561">SUM(--(FREQUENCY(IF(C$2:C$3074=C2561, MATCH(D$2:D$3074, D$2:D$3074, 0)), ROW(D$2:D$3074)-ROW(D$2)+1) &gt; 0))</f>
        <v>#N/A</v>
      </c>
      <c r="G2561" s="68" t="str">
        <f t="shared" si="400"/>
        <v>SINGLE</v>
      </c>
      <c r="K2561" s="186"/>
      <c r="N2561" s="3" t="str">
        <f t="shared" si="401"/>
        <v/>
      </c>
    </row>
    <row r="2562" spans="2:14">
      <c r="B2562" s="83" t="e">
        <f t="array" ref="B2562">SUM(--(FREQUENCY(IF(C$2:C$3074=C2562, MATCH(D$2:D$3074, D$2:D$3074, 0)), ROW(D$2:D$3074)-ROW(D$2)+1) &gt; 0))</f>
        <v>#N/A</v>
      </c>
      <c r="G2562" s="68" t="str">
        <f t="shared" si="400"/>
        <v>SINGLE</v>
      </c>
      <c r="K2562" s="186"/>
      <c r="N2562" s="3" t="str">
        <f t="shared" si="401"/>
        <v/>
      </c>
    </row>
    <row r="2563" spans="2:14">
      <c r="B2563" s="83" t="e">
        <f t="array" ref="B2563">SUM(--(FREQUENCY(IF(C$2:C$3074=C2563, MATCH(D$2:D$3074, D$2:D$3074, 0)), ROW(D$2:D$3074)-ROW(D$2)+1) &gt; 0))</f>
        <v>#N/A</v>
      </c>
      <c r="G2563" s="68" t="str">
        <f t="shared" si="400"/>
        <v>SINGLE</v>
      </c>
      <c r="K2563" s="186"/>
      <c r="N2563" s="3" t="str">
        <f t="shared" si="401"/>
        <v/>
      </c>
    </row>
    <row r="2564" spans="2:14">
      <c r="B2564" s="83" t="e">
        <f t="array" ref="B2564">SUM(--(FREQUENCY(IF(C$2:C$3074=C2564, MATCH(D$2:D$3074, D$2:D$3074, 0)), ROW(D$2:D$3074)-ROW(D$2)+1) &gt; 0))</f>
        <v>#N/A</v>
      </c>
      <c r="G2564" s="68" t="str">
        <f t="shared" si="400"/>
        <v>SINGLE</v>
      </c>
      <c r="K2564" s="186"/>
      <c r="N2564" s="3" t="str">
        <f t="shared" si="401"/>
        <v/>
      </c>
    </row>
    <row r="2565" spans="2:14">
      <c r="B2565" s="83" t="e">
        <f t="array" ref="B2565">SUM(--(FREQUENCY(IF(C$2:C$3074=C2565, MATCH(D$2:D$3074, D$2:D$3074, 0)), ROW(D$2:D$3074)-ROW(D$2)+1) &gt; 0))</f>
        <v>#N/A</v>
      </c>
      <c r="G2565" s="68" t="str">
        <f t="shared" si="400"/>
        <v>SINGLE</v>
      </c>
      <c r="K2565" s="186"/>
      <c r="N2565" s="3" t="str">
        <f t="shared" si="401"/>
        <v/>
      </c>
    </row>
    <row r="2566" spans="2:14">
      <c r="B2566" s="83" t="e">
        <f t="array" ref="B2566">SUM(--(FREQUENCY(IF(C$2:C$3074=C2566, MATCH(D$2:D$3074, D$2:D$3074, 0)), ROW(D$2:D$3074)-ROW(D$2)+1) &gt; 0))</f>
        <v>#N/A</v>
      </c>
      <c r="G2566" s="68" t="str">
        <f t="shared" si="400"/>
        <v>SINGLE</v>
      </c>
      <c r="K2566" s="186"/>
      <c r="N2566" s="3" t="str">
        <f t="shared" si="401"/>
        <v/>
      </c>
    </row>
    <row r="2567" spans="2:14">
      <c r="B2567" s="83" t="e">
        <f t="array" ref="B2567">SUM(--(FREQUENCY(IF(C$2:C$3074=C2567, MATCH(D$2:D$3074, D$2:D$3074, 0)), ROW(D$2:D$3074)-ROW(D$2)+1) &gt; 0))</f>
        <v>#N/A</v>
      </c>
      <c r="G2567" s="68" t="str">
        <f t="shared" si="400"/>
        <v>SINGLE</v>
      </c>
      <c r="K2567" s="186"/>
      <c r="N2567" s="3" t="str">
        <f t="shared" si="401"/>
        <v/>
      </c>
    </row>
    <row r="2568" spans="2:14">
      <c r="B2568" s="83" t="e">
        <f t="array" ref="B2568">SUM(--(FREQUENCY(IF(C$2:C$3074=C2568, MATCH(D$2:D$3074, D$2:D$3074, 0)), ROW(D$2:D$3074)-ROW(D$2)+1) &gt; 0))</f>
        <v>#N/A</v>
      </c>
      <c r="G2568" s="68" t="str">
        <f t="shared" si="400"/>
        <v>SINGLE</v>
      </c>
      <c r="K2568" s="186"/>
      <c r="N2568" s="3" t="str">
        <f t="shared" si="401"/>
        <v/>
      </c>
    </row>
    <row r="2569" spans="2:14">
      <c r="B2569" s="83" t="e">
        <f t="array" ref="B2569">SUM(--(FREQUENCY(IF(C$2:C$3074=C2569, MATCH(D$2:D$3074, D$2:D$3074, 0)), ROW(D$2:D$3074)-ROW(D$2)+1) &gt; 0))</f>
        <v>#N/A</v>
      </c>
      <c r="G2569" s="68" t="str">
        <f t="shared" si="400"/>
        <v>SINGLE</v>
      </c>
      <c r="K2569" s="186"/>
      <c r="N2569" s="3" t="str">
        <f t="shared" si="401"/>
        <v/>
      </c>
    </row>
    <row r="2570" spans="2:14">
      <c r="B2570" s="83" t="e">
        <f t="array" ref="B2570">SUM(--(FREQUENCY(IF(C$2:C$3074=C2570, MATCH(D$2:D$3074, D$2:D$3074, 0)), ROW(D$2:D$3074)-ROW(D$2)+1) &gt; 0))</f>
        <v>#N/A</v>
      </c>
      <c r="G2570" s="68" t="str">
        <f t="shared" si="400"/>
        <v>SINGLE</v>
      </c>
      <c r="K2570" s="186"/>
      <c r="N2570" s="3" t="str">
        <f t="shared" si="401"/>
        <v/>
      </c>
    </row>
    <row r="2571" spans="2:14">
      <c r="B2571" s="83" t="e">
        <f t="array" ref="B2571">SUM(--(FREQUENCY(IF(C$2:C$3074=C2571, MATCH(D$2:D$3074, D$2:D$3074, 0)), ROW(D$2:D$3074)-ROW(D$2)+1) &gt; 0))</f>
        <v>#N/A</v>
      </c>
      <c r="G2571" s="68" t="str">
        <f t="shared" si="400"/>
        <v>SINGLE</v>
      </c>
      <c r="K2571" s="186"/>
      <c r="N2571" s="3" t="str">
        <f t="shared" si="401"/>
        <v/>
      </c>
    </row>
    <row r="2572" spans="2:14">
      <c r="B2572" s="83" t="e">
        <f t="array" ref="B2572">SUM(--(FREQUENCY(IF(C$2:C$3074=C2572, MATCH(D$2:D$3074, D$2:D$3074, 0)), ROW(D$2:D$3074)-ROW(D$2)+1) &gt; 0))</f>
        <v>#N/A</v>
      </c>
      <c r="G2572" s="68" t="str">
        <f t="shared" si="400"/>
        <v>SINGLE</v>
      </c>
      <c r="K2572" s="186"/>
      <c r="N2572" s="3" t="str">
        <f t="shared" si="401"/>
        <v/>
      </c>
    </row>
    <row r="2573" spans="2:14">
      <c r="B2573" s="83" t="e">
        <f t="array" ref="B2573">SUM(--(FREQUENCY(IF(C$2:C$3074=C2573, MATCH(D$2:D$3074, D$2:D$3074, 0)), ROW(D$2:D$3074)-ROW(D$2)+1) &gt; 0))</f>
        <v>#N/A</v>
      </c>
      <c r="G2573" s="68" t="str">
        <f t="shared" si="400"/>
        <v>SINGLE</v>
      </c>
      <c r="K2573" s="186"/>
      <c r="N2573" s="3" t="str">
        <f t="shared" si="401"/>
        <v/>
      </c>
    </row>
    <row r="2574" spans="2:14">
      <c r="B2574" s="83" t="e">
        <f t="array" ref="B2574">SUM(--(FREQUENCY(IF(C$2:C$3074=C2574, MATCH(D$2:D$3074, D$2:D$3074, 0)), ROW(D$2:D$3074)-ROW(D$2)+1) &gt; 0))</f>
        <v>#N/A</v>
      </c>
      <c r="G2574" s="68" t="str">
        <f t="shared" si="400"/>
        <v>SINGLE</v>
      </c>
      <c r="K2574" s="186"/>
      <c r="N2574" s="3" t="str">
        <f t="shared" si="401"/>
        <v/>
      </c>
    </row>
    <row r="2575" spans="2:14">
      <c r="B2575" s="83" t="e">
        <f t="array" ref="B2575">SUM(--(FREQUENCY(IF(C$2:C$3074=C2575, MATCH(D$2:D$3074, D$2:D$3074, 0)), ROW(D$2:D$3074)-ROW(D$2)+1) &gt; 0))</f>
        <v>#N/A</v>
      </c>
      <c r="G2575" s="68" t="str">
        <f t="shared" si="400"/>
        <v>SINGLE</v>
      </c>
      <c r="K2575" s="186"/>
      <c r="N2575" s="3" t="str">
        <f t="shared" si="401"/>
        <v/>
      </c>
    </row>
    <row r="2576" spans="2:14">
      <c r="B2576" s="83" t="e">
        <f t="array" ref="B2576">SUM(--(FREQUENCY(IF(C$2:C$3074=C2576, MATCH(D$2:D$3074, D$2:D$3074, 0)), ROW(D$2:D$3074)-ROW(D$2)+1) &gt; 0))</f>
        <v>#N/A</v>
      </c>
      <c r="G2576" s="68" t="str">
        <f t="shared" si="400"/>
        <v>SINGLE</v>
      </c>
      <c r="K2576" s="186"/>
      <c r="N2576" s="3" t="str">
        <f t="shared" si="401"/>
        <v/>
      </c>
    </row>
    <row r="2577" spans="2:14">
      <c r="B2577" s="83" t="e">
        <f t="array" ref="B2577">SUM(--(FREQUENCY(IF(C$2:C$3074=C2577, MATCH(D$2:D$3074, D$2:D$3074, 0)), ROW(D$2:D$3074)-ROW(D$2)+1) &gt; 0))</f>
        <v>#N/A</v>
      </c>
      <c r="G2577" s="68" t="str">
        <f t="shared" si="400"/>
        <v>SINGLE</v>
      </c>
      <c r="K2577" s="186"/>
      <c r="N2577" s="3" t="str">
        <f t="shared" si="401"/>
        <v/>
      </c>
    </row>
    <row r="2578" spans="2:14">
      <c r="B2578" s="83" t="e">
        <f t="array" ref="B2578">SUM(--(FREQUENCY(IF(C$2:C$3074=C2578, MATCH(D$2:D$3074, D$2:D$3074, 0)), ROW(D$2:D$3074)-ROW(D$2)+1) &gt; 0))</f>
        <v>#N/A</v>
      </c>
      <c r="G2578" s="68" t="str">
        <f t="shared" si="400"/>
        <v>SINGLE</v>
      </c>
      <c r="K2578" s="186"/>
      <c r="N2578" s="3" t="str">
        <f t="shared" si="401"/>
        <v/>
      </c>
    </row>
    <row r="2579" spans="2:14">
      <c r="B2579" s="83" t="e">
        <f t="array" ref="B2579">SUM(--(FREQUENCY(IF(C$2:C$3074=C2579, MATCH(D$2:D$3074, D$2:D$3074, 0)), ROW(D$2:D$3074)-ROW(D$2)+1) &gt; 0))</f>
        <v>#N/A</v>
      </c>
      <c r="G2579" s="68" t="str">
        <f t="shared" si="400"/>
        <v>SINGLE</v>
      </c>
      <c r="K2579" s="186"/>
      <c r="N2579" s="3" t="str">
        <f t="shared" si="401"/>
        <v/>
      </c>
    </row>
    <row r="2580" spans="2:14">
      <c r="B2580" s="83" t="e">
        <f t="array" ref="B2580">SUM(--(FREQUENCY(IF(C$2:C$3074=C2580, MATCH(D$2:D$3074, D$2:D$3074, 0)), ROW(D$2:D$3074)-ROW(D$2)+1) &gt; 0))</f>
        <v>#N/A</v>
      </c>
      <c r="G2580" s="68" t="str">
        <f t="shared" si="400"/>
        <v>SINGLE</v>
      </c>
      <c r="K2580" s="186"/>
      <c r="N2580" s="3" t="str">
        <f t="shared" si="401"/>
        <v/>
      </c>
    </row>
    <row r="2581" spans="2:14">
      <c r="B2581" s="83" t="e">
        <f t="array" ref="B2581">SUM(--(FREQUENCY(IF(C$2:C$3074=C2581, MATCH(D$2:D$3074, D$2:D$3074, 0)), ROW(D$2:D$3074)-ROW(D$2)+1) &gt; 0))</f>
        <v>#N/A</v>
      </c>
      <c r="G2581" s="68" t="str">
        <f t="shared" si="400"/>
        <v>SINGLE</v>
      </c>
      <c r="K2581" s="186"/>
      <c r="N2581" s="3" t="str">
        <f t="shared" si="401"/>
        <v/>
      </c>
    </row>
    <row r="2582" spans="2:14">
      <c r="B2582" s="83" t="e">
        <f t="array" ref="B2582">SUM(--(FREQUENCY(IF(C$2:C$3074=C2582, MATCH(D$2:D$3074, D$2:D$3074, 0)), ROW(D$2:D$3074)-ROW(D$2)+1) &gt; 0))</f>
        <v>#N/A</v>
      </c>
      <c r="G2582" s="68" t="str">
        <f t="shared" si="400"/>
        <v>SINGLE</v>
      </c>
      <c r="K2582" s="186"/>
      <c r="N2582" s="3" t="str">
        <f t="shared" si="401"/>
        <v/>
      </c>
    </row>
    <row r="2583" spans="2:14">
      <c r="B2583" s="83" t="e">
        <f t="array" ref="B2583">SUM(--(FREQUENCY(IF(C$2:C$3074=C2583, MATCH(D$2:D$3074, D$2:D$3074, 0)), ROW(D$2:D$3074)-ROW(D$2)+1) &gt; 0))</f>
        <v>#N/A</v>
      </c>
      <c r="G2583" s="68" t="str">
        <f t="shared" si="400"/>
        <v>SINGLE</v>
      </c>
      <c r="K2583" s="186"/>
      <c r="N2583" s="3" t="str">
        <f t="shared" si="401"/>
        <v/>
      </c>
    </row>
    <row r="2584" spans="2:14">
      <c r="B2584" s="83" t="e">
        <f t="array" ref="B2584">SUM(--(FREQUENCY(IF(C$2:C$3074=C2584, MATCH(D$2:D$3074, D$2:D$3074, 0)), ROW(D$2:D$3074)-ROW(D$2)+1) &gt; 0))</f>
        <v>#N/A</v>
      </c>
      <c r="G2584" s="68" t="str">
        <f t="shared" si="400"/>
        <v>SINGLE</v>
      </c>
      <c r="K2584" s="186"/>
      <c r="N2584" s="3" t="str">
        <f t="shared" si="401"/>
        <v/>
      </c>
    </row>
    <row r="2585" spans="2:14">
      <c r="B2585" s="83" t="e">
        <f t="array" ref="B2585">SUM(--(FREQUENCY(IF(C$2:C$3074=C2585, MATCH(D$2:D$3074, D$2:D$3074, 0)), ROW(D$2:D$3074)-ROW(D$2)+1) &gt; 0))</f>
        <v>#N/A</v>
      </c>
      <c r="G2585" s="68" t="str">
        <f t="shared" si="400"/>
        <v>SINGLE</v>
      </c>
      <c r="K2585" s="186"/>
      <c r="N2585" s="3" t="str">
        <f t="shared" si="401"/>
        <v/>
      </c>
    </row>
    <row r="2586" spans="2:14">
      <c r="B2586" s="83" t="e">
        <f t="array" ref="B2586">SUM(--(FREQUENCY(IF(C$2:C$3074=C2586, MATCH(D$2:D$3074, D$2:D$3074, 0)), ROW(D$2:D$3074)-ROW(D$2)+1) &gt; 0))</f>
        <v>#N/A</v>
      </c>
      <c r="G2586" s="68" t="str">
        <f t="shared" si="400"/>
        <v>SINGLE</v>
      </c>
      <c r="K2586" s="186"/>
      <c r="N2586" s="3" t="str">
        <f t="shared" si="401"/>
        <v/>
      </c>
    </row>
    <row r="2587" spans="2:14">
      <c r="B2587" s="83" t="e">
        <f t="array" ref="B2587">SUM(--(FREQUENCY(IF(C$2:C$3074=C2587, MATCH(D$2:D$3074, D$2:D$3074, 0)), ROW(D$2:D$3074)-ROW(D$2)+1) &gt; 0))</f>
        <v>#N/A</v>
      </c>
      <c r="G2587" s="68" t="str">
        <f t="shared" si="400"/>
        <v>SINGLE</v>
      </c>
      <c r="K2587" s="186"/>
      <c r="N2587" s="3" t="str">
        <f t="shared" si="401"/>
        <v/>
      </c>
    </row>
    <row r="2588" spans="2:14">
      <c r="B2588" s="83" t="e">
        <f t="array" ref="B2588">SUM(--(FREQUENCY(IF(C$2:C$3074=C2588, MATCH(D$2:D$3074, D$2:D$3074, 0)), ROW(D$2:D$3074)-ROW(D$2)+1) &gt; 0))</f>
        <v>#N/A</v>
      </c>
      <c r="G2588" s="68" t="str">
        <f t="shared" si="400"/>
        <v>SINGLE</v>
      </c>
      <c r="K2588" s="186"/>
      <c r="N2588" s="3" t="str">
        <f t="shared" si="401"/>
        <v/>
      </c>
    </row>
    <row r="2589" spans="2:14">
      <c r="B2589" s="83" t="e">
        <f t="array" ref="B2589">SUM(--(FREQUENCY(IF(C$2:C$3074=C2589, MATCH(D$2:D$3074, D$2:D$3074, 0)), ROW(D$2:D$3074)-ROW(D$2)+1) &gt; 0))</f>
        <v>#N/A</v>
      </c>
      <c r="G2589" s="68" t="str">
        <f t="shared" si="400"/>
        <v>SINGLE</v>
      </c>
      <c r="K2589" s="186"/>
      <c r="N2589" s="3" t="str">
        <f t="shared" si="401"/>
        <v/>
      </c>
    </row>
    <row r="2590" spans="2:14">
      <c r="B2590" s="83" t="e">
        <f t="array" ref="B2590">SUM(--(FREQUENCY(IF(C$2:C$3074=C2590, MATCH(D$2:D$3074, D$2:D$3074, 0)), ROW(D$2:D$3074)-ROW(D$2)+1) &gt; 0))</f>
        <v>#N/A</v>
      </c>
      <c r="G2590" s="68" t="str">
        <f t="shared" si="400"/>
        <v>SINGLE</v>
      </c>
      <c r="K2590" s="186"/>
      <c r="N2590" s="3" t="str">
        <f t="shared" si="401"/>
        <v/>
      </c>
    </row>
    <row r="2591" spans="2:14">
      <c r="B2591" s="83" t="e">
        <f t="array" ref="B2591">SUM(--(FREQUENCY(IF(C$2:C$3074=C2591, MATCH(D$2:D$3074, D$2:D$3074, 0)), ROW(D$2:D$3074)-ROW(D$2)+1) &gt; 0))</f>
        <v>#N/A</v>
      </c>
      <c r="G2591" s="68" t="str">
        <f t="shared" si="400"/>
        <v>SINGLE</v>
      </c>
      <c r="K2591" s="186"/>
      <c r="N2591" s="3" t="str">
        <f t="shared" si="401"/>
        <v/>
      </c>
    </row>
    <row r="2592" spans="2:14">
      <c r="B2592" s="83" t="e">
        <f t="array" ref="B2592">SUM(--(FREQUENCY(IF(C$2:C$3074=C2592, MATCH(D$2:D$3074, D$2:D$3074, 0)), ROW(D$2:D$3074)-ROW(D$2)+1) &gt; 0))</f>
        <v>#N/A</v>
      </c>
      <c r="G2592" s="68" t="str">
        <f t="shared" si="400"/>
        <v>SINGLE</v>
      </c>
      <c r="K2592" s="186"/>
      <c r="N2592" s="3" t="str">
        <f t="shared" si="401"/>
        <v/>
      </c>
    </row>
    <row r="2593" spans="2:14">
      <c r="B2593" s="83" t="e">
        <f t="array" ref="B2593">SUM(--(FREQUENCY(IF(C$2:C$3074=C2593, MATCH(D$2:D$3074, D$2:D$3074, 0)), ROW(D$2:D$3074)-ROW(D$2)+1) &gt; 0))</f>
        <v>#N/A</v>
      </c>
      <c r="G2593" s="68" t="str">
        <f t="shared" si="400"/>
        <v>SINGLE</v>
      </c>
      <c r="K2593" s="186"/>
      <c r="N2593" s="3" t="str">
        <f t="shared" si="401"/>
        <v/>
      </c>
    </row>
    <row r="2594" spans="2:14">
      <c r="B2594" s="83" t="e">
        <f t="array" ref="B2594">SUM(--(FREQUENCY(IF(C$2:C$3074=C2594, MATCH(D$2:D$3074, D$2:D$3074, 0)), ROW(D$2:D$3074)-ROW(D$2)+1) &gt; 0))</f>
        <v>#N/A</v>
      </c>
      <c r="G2594" s="68" t="str">
        <f t="shared" si="400"/>
        <v>SINGLE</v>
      </c>
      <c r="K2594" s="186"/>
      <c r="N2594" s="3" t="str">
        <f t="shared" si="401"/>
        <v/>
      </c>
    </row>
    <row r="2595" spans="2:14">
      <c r="B2595" s="83" t="e">
        <f t="array" ref="B2595">SUM(--(FREQUENCY(IF(C$2:C$3074=C2595, MATCH(D$2:D$3074, D$2:D$3074, 0)), ROW(D$2:D$3074)-ROW(D$2)+1) &gt; 0))</f>
        <v>#N/A</v>
      </c>
      <c r="G2595" s="68" t="str">
        <f t="shared" si="400"/>
        <v>SINGLE</v>
      </c>
      <c r="K2595" s="186"/>
      <c r="N2595" s="3" t="str">
        <f t="shared" si="401"/>
        <v/>
      </c>
    </row>
    <row r="2596" spans="2:14">
      <c r="B2596" s="83" t="e">
        <f t="array" ref="B2596">SUM(--(FREQUENCY(IF(C$2:C$3074=C2596, MATCH(D$2:D$3074, D$2:D$3074, 0)), ROW(D$2:D$3074)-ROW(D$2)+1) &gt; 0))</f>
        <v>#N/A</v>
      </c>
      <c r="G2596" s="68" t="str">
        <f t="shared" si="400"/>
        <v>SINGLE</v>
      </c>
      <c r="K2596" s="186"/>
      <c r="N2596" s="3" t="str">
        <f t="shared" si="401"/>
        <v/>
      </c>
    </row>
    <row r="2597" spans="2:14">
      <c r="B2597" s="83" t="e">
        <f t="array" ref="B2597">SUM(--(FREQUENCY(IF(C$2:C$3074=C2597, MATCH(D$2:D$3074, D$2:D$3074, 0)), ROW(D$2:D$3074)-ROW(D$2)+1) &gt; 0))</f>
        <v>#N/A</v>
      </c>
      <c r="G2597" s="68" t="str">
        <f t="shared" si="400"/>
        <v>SINGLE</v>
      </c>
      <c r="K2597" s="186"/>
      <c r="N2597" s="3" t="str">
        <f t="shared" si="401"/>
        <v/>
      </c>
    </row>
    <row r="2598" spans="2:14">
      <c r="B2598" s="83" t="e">
        <f t="array" ref="B2598">SUM(--(FREQUENCY(IF(C$2:C$3074=C2598, MATCH(D$2:D$3074, D$2:D$3074, 0)), ROW(D$2:D$3074)-ROW(D$2)+1) &gt; 0))</f>
        <v>#N/A</v>
      </c>
      <c r="G2598" s="68" t="str">
        <f t="shared" si="400"/>
        <v>SINGLE</v>
      </c>
      <c r="K2598" s="186"/>
      <c r="N2598" s="3" t="str">
        <f t="shared" si="401"/>
        <v/>
      </c>
    </row>
    <row r="2599" spans="2:14">
      <c r="B2599" s="83" t="e">
        <f t="array" ref="B2599">SUM(--(FREQUENCY(IF(C$2:C$3074=C2599, MATCH(D$2:D$3074, D$2:D$3074, 0)), ROW(D$2:D$3074)-ROW(D$2)+1) &gt; 0))</f>
        <v>#N/A</v>
      </c>
      <c r="G2599" s="68" t="str">
        <f t="shared" si="400"/>
        <v>SINGLE</v>
      </c>
      <c r="K2599" s="186"/>
      <c r="N2599" s="3" t="str">
        <f t="shared" si="401"/>
        <v/>
      </c>
    </row>
    <row r="2600" spans="2:14">
      <c r="B2600" s="83" t="e">
        <f t="array" ref="B2600">SUM(--(FREQUENCY(IF(C$2:C$3074=C2600, MATCH(D$2:D$3074, D$2:D$3074, 0)), ROW(D$2:D$3074)-ROW(D$2)+1) &gt; 0))</f>
        <v>#N/A</v>
      </c>
      <c r="G2600" s="68" t="str">
        <f t="shared" si="400"/>
        <v>SINGLE</v>
      </c>
      <c r="K2600" s="186"/>
      <c r="N2600" s="3" t="str">
        <f t="shared" si="401"/>
        <v/>
      </c>
    </row>
    <row r="2601" spans="2:14">
      <c r="B2601" s="83" t="e">
        <f t="array" ref="B2601">SUM(--(FREQUENCY(IF(C$2:C$3074=C2601, MATCH(D$2:D$3074, D$2:D$3074, 0)), ROW(D$2:D$3074)-ROW(D$2)+1) &gt; 0))</f>
        <v>#N/A</v>
      </c>
      <c r="G2601" s="68" t="str">
        <f t="shared" si="400"/>
        <v>SINGLE</v>
      </c>
      <c r="K2601" s="186"/>
      <c r="N2601" s="3" t="str">
        <f t="shared" si="401"/>
        <v/>
      </c>
    </row>
    <row r="2602" spans="2:14">
      <c r="B2602" s="83" t="e">
        <f t="array" ref="B2602">SUM(--(FREQUENCY(IF(C$2:C$3074=C2602, MATCH(D$2:D$3074, D$2:D$3074, 0)), ROW(D$2:D$3074)-ROW(D$2)+1) &gt; 0))</f>
        <v>#N/A</v>
      </c>
      <c r="G2602" s="68" t="str">
        <f t="shared" si="400"/>
        <v>SINGLE</v>
      </c>
      <c r="K2602" s="186"/>
      <c r="N2602" s="3" t="str">
        <f t="shared" si="401"/>
        <v/>
      </c>
    </row>
    <row r="2603" spans="2:14">
      <c r="B2603" s="83" t="e">
        <f t="array" ref="B2603">SUM(--(FREQUENCY(IF(C$2:C$3074=C2603, MATCH(D$2:D$3074, D$2:D$3074, 0)), ROW(D$2:D$3074)-ROW(D$2)+1) &gt; 0))</f>
        <v>#N/A</v>
      </c>
      <c r="G2603" s="68" t="str">
        <f t="shared" si="400"/>
        <v>SINGLE</v>
      </c>
      <c r="K2603" s="186"/>
      <c r="N2603" s="3" t="str">
        <f t="shared" si="401"/>
        <v/>
      </c>
    </row>
    <row r="2604" spans="2:14">
      <c r="B2604" s="83" t="e">
        <f t="array" ref="B2604">SUM(--(FREQUENCY(IF(C$2:C$3074=C2604, MATCH(D$2:D$3074, D$2:D$3074, 0)), ROW(D$2:D$3074)-ROW(D$2)+1) &gt; 0))</f>
        <v>#N/A</v>
      </c>
      <c r="G2604" s="68" t="str">
        <f t="shared" si="400"/>
        <v>SINGLE</v>
      </c>
      <c r="K2604" s="186"/>
      <c r="N2604" s="3" t="str">
        <f t="shared" si="401"/>
        <v/>
      </c>
    </row>
    <row r="2605" spans="2:14">
      <c r="B2605" s="83" t="e">
        <f t="array" ref="B2605">SUM(--(FREQUENCY(IF(C$2:C$3074=C2605, MATCH(D$2:D$3074, D$2:D$3074, 0)), ROW(D$2:D$3074)-ROW(D$2)+1) &gt; 0))</f>
        <v>#N/A</v>
      </c>
      <c r="G2605" s="68" t="str">
        <f t="shared" si="400"/>
        <v>SINGLE</v>
      </c>
      <c r="K2605" s="186"/>
      <c r="N2605" s="3" t="str">
        <f t="shared" si="401"/>
        <v/>
      </c>
    </row>
    <row r="2606" spans="2:14">
      <c r="B2606" s="83" t="e">
        <f t="array" ref="B2606">SUM(--(FREQUENCY(IF(C$2:C$3074=C2606, MATCH(D$2:D$3074, D$2:D$3074, 0)), ROW(D$2:D$3074)-ROW(D$2)+1) &gt; 0))</f>
        <v>#N/A</v>
      </c>
      <c r="G2606" s="68" t="str">
        <f t="shared" si="400"/>
        <v>SINGLE</v>
      </c>
      <c r="K2606" s="186"/>
      <c r="N2606" s="3" t="str">
        <f t="shared" si="401"/>
        <v/>
      </c>
    </row>
    <row r="2607" spans="2:14">
      <c r="B2607" s="83" t="e">
        <f t="array" ref="B2607">SUM(--(FREQUENCY(IF(C$2:C$3074=C2607, MATCH(D$2:D$3074, D$2:D$3074, 0)), ROW(D$2:D$3074)-ROW(D$2)+1) &gt; 0))</f>
        <v>#N/A</v>
      </c>
      <c r="G2607" s="68" t="str">
        <f t="shared" si="400"/>
        <v>SINGLE</v>
      </c>
      <c r="K2607" s="186"/>
      <c r="N2607" s="3" t="str">
        <f t="shared" si="401"/>
        <v/>
      </c>
    </row>
    <row r="2608" spans="2:14">
      <c r="B2608" s="83" t="e">
        <f t="array" ref="B2608">SUM(--(FREQUENCY(IF(C$2:C$3074=C2608, MATCH(D$2:D$3074, D$2:D$3074, 0)), ROW(D$2:D$3074)-ROW(D$2)+1) &gt; 0))</f>
        <v>#N/A</v>
      </c>
      <c r="G2608" s="68" t="str">
        <f t="shared" si="400"/>
        <v>SINGLE</v>
      </c>
      <c r="K2608" s="186"/>
      <c r="N2608" s="3" t="str">
        <f t="shared" si="401"/>
        <v/>
      </c>
    </row>
    <row r="2609" spans="2:14">
      <c r="B2609" s="83" t="e">
        <f t="array" ref="B2609">SUM(--(FREQUENCY(IF(C$2:C$3074=C2609, MATCH(D$2:D$3074, D$2:D$3074, 0)), ROW(D$2:D$3074)-ROW(D$2)+1) &gt; 0))</f>
        <v>#N/A</v>
      </c>
      <c r="G2609" s="68" t="str">
        <f t="shared" si="400"/>
        <v>SINGLE</v>
      </c>
      <c r="K2609" s="186"/>
      <c r="N2609" s="3" t="str">
        <f t="shared" si="401"/>
        <v/>
      </c>
    </row>
    <row r="2610" spans="2:14">
      <c r="B2610" s="83" t="e">
        <f t="array" ref="B2610">SUM(--(FREQUENCY(IF(C$2:C$3074=C2610, MATCH(D$2:D$3074, D$2:D$3074, 0)), ROW(D$2:D$3074)-ROW(D$2)+1) &gt; 0))</f>
        <v>#N/A</v>
      </c>
      <c r="G2610" s="68" t="str">
        <f t="shared" si="400"/>
        <v>SINGLE</v>
      </c>
      <c r="K2610" s="186"/>
      <c r="N2610" s="3" t="str">
        <f t="shared" si="401"/>
        <v/>
      </c>
    </row>
    <row r="2611" spans="2:14">
      <c r="B2611" s="83" t="e">
        <f t="array" ref="B2611">SUM(--(FREQUENCY(IF(C$2:C$3074=C2611, MATCH(D$2:D$3074, D$2:D$3074, 0)), ROW(D$2:D$3074)-ROW(D$2)+1) &gt; 0))</f>
        <v>#N/A</v>
      </c>
      <c r="G2611" s="68" t="str">
        <f t="shared" si="400"/>
        <v>SINGLE</v>
      </c>
      <c r="K2611" s="186"/>
      <c r="N2611" s="3" t="str">
        <f t="shared" si="401"/>
        <v/>
      </c>
    </row>
    <row r="2612" spans="2:14">
      <c r="B2612" s="83" t="e">
        <f t="array" ref="B2612">SUM(--(FREQUENCY(IF(C$2:C$3074=C2612, MATCH(D$2:D$3074, D$2:D$3074, 0)), ROW(D$2:D$3074)-ROW(D$2)+1) &gt; 0))</f>
        <v>#N/A</v>
      </c>
      <c r="G2612" s="68" t="str">
        <f t="shared" si="400"/>
        <v>SINGLE</v>
      </c>
      <c r="K2612" s="186"/>
      <c r="N2612" s="3" t="str">
        <f t="shared" si="401"/>
        <v/>
      </c>
    </row>
    <row r="2613" spans="2:14">
      <c r="B2613" s="83" t="e">
        <f t="array" ref="B2613">SUM(--(FREQUENCY(IF(C$2:C$3074=C2613, MATCH(D$2:D$3074, D$2:D$3074, 0)), ROW(D$2:D$3074)-ROW(D$2)+1) &gt; 0))</f>
        <v>#N/A</v>
      </c>
      <c r="G2613" s="68" t="str">
        <f t="shared" ref="G2613:G2676" si="402">IF(OR(ISNUMBER(SEARCH("DUAL",F2613)), ISNUMBER(SEARCH("IVAS",F2613))), "DUAL", "SINGLE")</f>
        <v>SINGLE</v>
      </c>
      <c r="K2613" s="186"/>
      <c r="N2613" s="3" t="str">
        <f t="shared" si="401"/>
        <v/>
      </c>
    </row>
    <row r="2614" spans="2:14">
      <c r="B2614" s="83" t="e">
        <f t="array" ref="B2614">SUM(--(FREQUENCY(IF(C$2:C$3074=C2614, MATCH(D$2:D$3074, D$2:D$3074, 0)), ROW(D$2:D$3074)-ROW(D$2)+1) &gt; 0))</f>
        <v>#N/A</v>
      </c>
      <c r="G2614" s="68" t="str">
        <f t="shared" si="402"/>
        <v>SINGLE</v>
      </c>
      <c r="K2614" s="186"/>
      <c r="N2614" s="3" t="str">
        <f t="shared" si="401"/>
        <v/>
      </c>
    </row>
    <row r="2615" spans="2:14">
      <c r="B2615" s="83" t="e">
        <f t="array" ref="B2615">SUM(--(FREQUENCY(IF(C$2:C$3074=C2615, MATCH(D$2:D$3074, D$2:D$3074, 0)), ROW(D$2:D$3074)-ROW(D$2)+1) &gt; 0))</f>
        <v>#N/A</v>
      </c>
      <c r="G2615" s="68" t="str">
        <f t="shared" si="402"/>
        <v>SINGLE</v>
      </c>
      <c r="K2615" s="186"/>
      <c r="N2615" s="3" t="str">
        <f t="shared" si="401"/>
        <v/>
      </c>
    </row>
    <row r="2616" spans="2:14">
      <c r="B2616" s="83" t="e">
        <f t="array" ref="B2616">SUM(--(FREQUENCY(IF(C$2:C$3074=C2616, MATCH(D$2:D$3074, D$2:D$3074, 0)), ROW(D$2:D$3074)-ROW(D$2)+1) &gt; 0))</f>
        <v>#N/A</v>
      </c>
      <c r="G2616" s="68" t="str">
        <f t="shared" si="402"/>
        <v>SINGLE</v>
      </c>
      <c r="K2616" s="186"/>
      <c r="N2616" s="3" t="str">
        <f t="shared" si="401"/>
        <v/>
      </c>
    </row>
    <row r="2617" spans="2:14">
      <c r="B2617" s="83" t="e">
        <f t="array" ref="B2617">SUM(--(FREQUENCY(IF(C$2:C$3074=C2617, MATCH(D$2:D$3074, D$2:D$3074, 0)), ROW(D$2:D$3074)-ROW(D$2)+1) &gt; 0))</f>
        <v>#N/A</v>
      </c>
      <c r="G2617" s="68" t="str">
        <f t="shared" si="402"/>
        <v>SINGLE</v>
      </c>
      <c r="K2617" s="186"/>
      <c r="N2617" s="3" t="str">
        <f t="shared" si="401"/>
        <v/>
      </c>
    </row>
    <row r="2618" spans="2:14">
      <c r="B2618" s="83" t="e">
        <f t="array" ref="B2618">SUM(--(FREQUENCY(IF(C$2:C$3074=C2618, MATCH(D$2:D$3074, D$2:D$3074, 0)), ROW(D$2:D$3074)-ROW(D$2)+1) &gt; 0))</f>
        <v>#N/A</v>
      </c>
      <c r="G2618" s="68" t="str">
        <f t="shared" si="402"/>
        <v>SINGLE</v>
      </c>
      <c r="K2618" s="186"/>
      <c r="N2618" s="3" t="str">
        <f t="shared" si="401"/>
        <v/>
      </c>
    </row>
    <row r="2619" spans="2:14">
      <c r="B2619" s="83" t="e">
        <f t="array" ref="B2619">SUM(--(FREQUENCY(IF(C$2:C$3074=C2619, MATCH(D$2:D$3074, D$2:D$3074, 0)), ROW(D$2:D$3074)-ROW(D$2)+1) &gt; 0))</f>
        <v>#N/A</v>
      </c>
      <c r="G2619" s="68" t="str">
        <f t="shared" si="402"/>
        <v>SINGLE</v>
      </c>
      <c r="K2619" s="186"/>
      <c r="N2619" s="3" t="str">
        <f t="shared" si="401"/>
        <v/>
      </c>
    </row>
    <row r="2620" spans="2:14">
      <c r="B2620" s="83" t="e">
        <f t="array" ref="B2620">SUM(--(FREQUENCY(IF(C$2:C$3074=C2620, MATCH(D$2:D$3074, D$2:D$3074, 0)), ROW(D$2:D$3074)-ROW(D$2)+1) &gt; 0))</f>
        <v>#N/A</v>
      </c>
      <c r="G2620" s="68" t="str">
        <f t="shared" si="402"/>
        <v>SINGLE</v>
      </c>
      <c r="K2620" s="186"/>
      <c r="N2620" s="3" t="str">
        <f t="shared" si="401"/>
        <v/>
      </c>
    </row>
    <row r="2621" spans="2:14">
      <c r="B2621" s="83" t="e">
        <f t="array" ref="B2621">SUM(--(FREQUENCY(IF(C$2:C$3074=C2621, MATCH(D$2:D$3074, D$2:D$3074, 0)), ROW(D$2:D$3074)-ROW(D$2)+1) &gt; 0))</f>
        <v>#N/A</v>
      </c>
      <c r="G2621" s="68" t="str">
        <f t="shared" si="402"/>
        <v>SINGLE</v>
      </c>
      <c r="K2621" s="186"/>
      <c r="N2621" s="3" t="str">
        <f t="shared" si="401"/>
        <v/>
      </c>
    </row>
    <row r="2622" spans="2:14">
      <c r="B2622" s="83" t="e">
        <f t="array" ref="B2622">SUM(--(FREQUENCY(IF(C$2:C$3074=C2622, MATCH(D$2:D$3074, D$2:D$3074, 0)), ROW(D$2:D$3074)-ROW(D$2)+1) &gt; 0))</f>
        <v>#N/A</v>
      </c>
      <c r="G2622" s="68" t="str">
        <f t="shared" si="402"/>
        <v>SINGLE</v>
      </c>
      <c r="K2622" s="186"/>
      <c r="N2622" s="3" t="str">
        <f t="shared" si="401"/>
        <v/>
      </c>
    </row>
    <row r="2623" spans="2:14">
      <c r="B2623" s="83" t="e">
        <f t="array" ref="B2623">SUM(--(FREQUENCY(IF(C$2:C$3074=C2623, MATCH(D$2:D$3074, D$2:D$3074, 0)), ROW(D$2:D$3074)-ROW(D$2)+1) &gt; 0))</f>
        <v>#N/A</v>
      </c>
      <c r="G2623" s="68" t="str">
        <f t="shared" si="402"/>
        <v>SINGLE</v>
      </c>
      <c r="K2623" s="186"/>
      <c r="N2623" s="3" t="str">
        <f t="shared" ref="N2623:N2686" si="403">IF(O2623&lt;&gt;"", "NG", "")</f>
        <v/>
      </c>
    </row>
    <row r="2624" spans="2:14">
      <c r="B2624" s="83" t="e">
        <f t="array" ref="B2624">SUM(--(FREQUENCY(IF(C$2:C$3074=C2624, MATCH(D$2:D$3074, D$2:D$3074, 0)), ROW(D$2:D$3074)-ROW(D$2)+1) &gt; 0))</f>
        <v>#N/A</v>
      </c>
      <c r="G2624" s="68" t="str">
        <f t="shared" si="402"/>
        <v>SINGLE</v>
      </c>
      <c r="K2624" s="186"/>
      <c r="N2624" s="3" t="str">
        <f t="shared" si="403"/>
        <v/>
      </c>
    </row>
    <row r="2625" spans="2:14">
      <c r="B2625" s="83" t="e">
        <f t="array" ref="B2625">SUM(--(FREQUENCY(IF(C$2:C$3074=C2625, MATCH(D$2:D$3074, D$2:D$3074, 0)), ROW(D$2:D$3074)-ROW(D$2)+1) &gt; 0))</f>
        <v>#N/A</v>
      </c>
      <c r="G2625" s="68" t="str">
        <f t="shared" si="402"/>
        <v>SINGLE</v>
      </c>
      <c r="K2625" s="186"/>
      <c r="N2625" s="3" t="str">
        <f t="shared" si="403"/>
        <v/>
      </c>
    </row>
    <row r="2626" spans="2:14">
      <c r="B2626" s="83" t="e">
        <f t="array" ref="B2626">SUM(--(FREQUENCY(IF(C$2:C$3074=C2626, MATCH(D$2:D$3074, D$2:D$3074, 0)), ROW(D$2:D$3074)-ROW(D$2)+1) &gt; 0))</f>
        <v>#N/A</v>
      </c>
      <c r="G2626" s="68" t="str">
        <f t="shared" si="402"/>
        <v>SINGLE</v>
      </c>
      <c r="K2626" s="186"/>
      <c r="N2626" s="3" t="str">
        <f t="shared" si="403"/>
        <v/>
      </c>
    </row>
    <row r="2627" spans="2:14">
      <c r="B2627" s="83" t="e">
        <f t="array" ref="B2627">SUM(--(FREQUENCY(IF(C$2:C$3074=C2627, MATCH(D$2:D$3074, D$2:D$3074, 0)), ROW(D$2:D$3074)-ROW(D$2)+1) &gt; 0))</f>
        <v>#N/A</v>
      </c>
      <c r="G2627" s="68" t="str">
        <f t="shared" si="402"/>
        <v>SINGLE</v>
      </c>
      <c r="K2627" s="186"/>
      <c r="N2627" s="3" t="str">
        <f t="shared" si="403"/>
        <v/>
      </c>
    </row>
    <row r="2628" spans="2:14">
      <c r="B2628" s="83" t="e">
        <f t="array" ref="B2628">SUM(--(FREQUENCY(IF(C$2:C$3074=C2628, MATCH(D$2:D$3074, D$2:D$3074, 0)), ROW(D$2:D$3074)-ROW(D$2)+1) &gt; 0))</f>
        <v>#N/A</v>
      </c>
      <c r="G2628" s="68" t="str">
        <f t="shared" si="402"/>
        <v>SINGLE</v>
      </c>
      <c r="K2628" s="186"/>
      <c r="N2628" s="3" t="str">
        <f t="shared" si="403"/>
        <v/>
      </c>
    </row>
    <row r="2629" spans="2:14">
      <c r="B2629" s="83" t="e">
        <f t="array" ref="B2629">SUM(--(FREQUENCY(IF(C$2:C$3074=C2629, MATCH(D$2:D$3074, D$2:D$3074, 0)), ROW(D$2:D$3074)-ROW(D$2)+1) &gt; 0))</f>
        <v>#N/A</v>
      </c>
      <c r="G2629" s="68" t="str">
        <f t="shared" si="402"/>
        <v>SINGLE</v>
      </c>
      <c r="K2629" s="186"/>
      <c r="N2629" s="3" t="str">
        <f t="shared" si="403"/>
        <v/>
      </c>
    </row>
    <row r="2630" spans="2:14">
      <c r="B2630" s="83" t="e">
        <f t="array" ref="B2630">SUM(--(FREQUENCY(IF(C$2:C$3074=C2630, MATCH(D$2:D$3074, D$2:D$3074, 0)), ROW(D$2:D$3074)-ROW(D$2)+1) &gt; 0))</f>
        <v>#N/A</v>
      </c>
      <c r="G2630" s="68" t="str">
        <f t="shared" si="402"/>
        <v>SINGLE</v>
      </c>
      <c r="K2630" s="186"/>
      <c r="N2630" s="3" t="str">
        <f t="shared" si="403"/>
        <v/>
      </c>
    </row>
    <row r="2631" spans="2:14">
      <c r="B2631" s="83" t="e">
        <f t="array" ref="B2631">SUM(--(FREQUENCY(IF(C$2:C$3074=C2631, MATCH(D$2:D$3074, D$2:D$3074, 0)), ROW(D$2:D$3074)-ROW(D$2)+1) &gt; 0))</f>
        <v>#N/A</v>
      </c>
      <c r="G2631" s="68" t="str">
        <f t="shared" si="402"/>
        <v>SINGLE</v>
      </c>
      <c r="K2631" s="186"/>
      <c r="N2631" s="3" t="str">
        <f t="shared" si="403"/>
        <v/>
      </c>
    </row>
    <row r="2632" spans="2:14">
      <c r="B2632" s="83" t="e">
        <f t="array" ref="B2632">SUM(--(FREQUENCY(IF(C$2:C$3074=C2632, MATCH(D$2:D$3074, D$2:D$3074, 0)), ROW(D$2:D$3074)-ROW(D$2)+1) &gt; 0))</f>
        <v>#N/A</v>
      </c>
      <c r="G2632" s="68" t="str">
        <f t="shared" si="402"/>
        <v>SINGLE</v>
      </c>
      <c r="K2632" s="186"/>
      <c r="N2632" s="3" t="str">
        <f t="shared" si="403"/>
        <v/>
      </c>
    </row>
    <row r="2633" spans="2:14">
      <c r="B2633" s="83" t="e">
        <f t="array" ref="B2633">SUM(--(FREQUENCY(IF(C$2:C$3074=C2633, MATCH(D$2:D$3074, D$2:D$3074, 0)), ROW(D$2:D$3074)-ROW(D$2)+1) &gt; 0))</f>
        <v>#N/A</v>
      </c>
      <c r="G2633" s="68" t="str">
        <f t="shared" si="402"/>
        <v>SINGLE</v>
      </c>
      <c r="K2633" s="186"/>
      <c r="N2633" s="3" t="str">
        <f t="shared" si="403"/>
        <v/>
      </c>
    </row>
    <row r="2634" spans="2:14">
      <c r="B2634" s="83" t="e">
        <f t="array" ref="B2634">SUM(--(FREQUENCY(IF(C$2:C$3074=C2634, MATCH(D$2:D$3074, D$2:D$3074, 0)), ROW(D$2:D$3074)-ROW(D$2)+1) &gt; 0))</f>
        <v>#N/A</v>
      </c>
      <c r="G2634" s="68" t="str">
        <f t="shared" si="402"/>
        <v>SINGLE</v>
      </c>
      <c r="K2634" s="186"/>
      <c r="N2634" s="3" t="str">
        <f t="shared" si="403"/>
        <v/>
      </c>
    </row>
    <row r="2635" spans="2:14">
      <c r="B2635" s="83" t="e">
        <f t="array" ref="B2635">SUM(--(FREQUENCY(IF(C$2:C$3074=C2635, MATCH(D$2:D$3074, D$2:D$3074, 0)), ROW(D$2:D$3074)-ROW(D$2)+1) &gt; 0))</f>
        <v>#N/A</v>
      </c>
      <c r="G2635" s="68" t="str">
        <f t="shared" si="402"/>
        <v>SINGLE</v>
      </c>
      <c r="K2635" s="186"/>
      <c r="N2635" s="3" t="str">
        <f t="shared" si="403"/>
        <v/>
      </c>
    </row>
    <row r="2636" spans="2:14">
      <c r="B2636" s="83" t="e">
        <f t="array" ref="B2636">SUM(--(FREQUENCY(IF(C$2:C$3074=C2636, MATCH(D$2:D$3074, D$2:D$3074, 0)), ROW(D$2:D$3074)-ROW(D$2)+1) &gt; 0))</f>
        <v>#N/A</v>
      </c>
      <c r="G2636" s="68" t="str">
        <f t="shared" si="402"/>
        <v>SINGLE</v>
      </c>
      <c r="K2636" s="186"/>
      <c r="N2636" s="3" t="str">
        <f t="shared" si="403"/>
        <v/>
      </c>
    </row>
    <row r="2637" spans="2:14">
      <c r="B2637" s="83" t="e">
        <f t="array" ref="B2637">SUM(--(FREQUENCY(IF(C$2:C$3074=C2637, MATCH(D$2:D$3074, D$2:D$3074, 0)), ROW(D$2:D$3074)-ROW(D$2)+1) &gt; 0))</f>
        <v>#N/A</v>
      </c>
      <c r="G2637" s="68" t="str">
        <f t="shared" si="402"/>
        <v>SINGLE</v>
      </c>
      <c r="K2637" s="186"/>
      <c r="N2637" s="3" t="str">
        <f t="shared" si="403"/>
        <v/>
      </c>
    </row>
    <row r="2638" spans="2:14">
      <c r="B2638" s="83" t="e">
        <f t="array" ref="B2638">SUM(--(FREQUENCY(IF(C$2:C$3074=C2638, MATCH(D$2:D$3074, D$2:D$3074, 0)), ROW(D$2:D$3074)-ROW(D$2)+1) &gt; 0))</f>
        <v>#N/A</v>
      </c>
      <c r="G2638" s="68" t="str">
        <f t="shared" si="402"/>
        <v>SINGLE</v>
      </c>
      <c r="K2638" s="186"/>
      <c r="N2638" s="3" t="str">
        <f t="shared" si="403"/>
        <v/>
      </c>
    </row>
    <row r="2639" spans="2:14">
      <c r="B2639" s="83" t="e">
        <f t="array" ref="B2639">SUM(--(FREQUENCY(IF(C$2:C$3074=C2639, MATCH(D$2:D$3074, D$2:D$3074, 0)), ROW(D$2:D$3074)-ROW(D$2)+1) &gt; 0))</f>
        <v>#N/A</v>
      </c>
      <c r="G2639" s="68" t="str">
        <f t="shared" si="402"/>
        <v>SINGLE</v>
      </c>
      <c r="K2639" s="186"/>
      <c r="N2639" s="3" t="str">
        <f t="shared" si="403"/>
        <v/>
      </c>
    </row>
    <row r="2640" spans="2:14">
      <c r="B2640" s="83" t="e">
        <f t="array" ref="B2640">SUM(--(FREQUENCY(IF(C$2:C$3074=C2640, MATCH(D$2:D$3074, D$2:D$3074, 0)), ROW(D$2:D$3074)-ROW(D$2)+1) &gt; 0))</f>
        <v>#N/A</v>
      </c>
      <c r="G2640" s="68" t="str">
        <f t="shared" si="402"/>
        <v>SINGLE</v>
      </c>
      <c r="K2640" s="186"/>
      <c r="N2640" s="3" t="str">
        <f t="shared" si="403"/>
        <v/>
      </c>
    </row>
    <row r="2641" spans="2:14">
      <c r="B2641" s="83" t="e">
        <f t="array" ref="B2641">SUM(--(FREQUENCY(IF(C$2:C$3074=C2641, MATCH(D$2:D$3074, D$2:D$3074, 0)), ROW(D$2:D$3074)-ROW(D$2)+1) &gt; 0))</f>
        <v>#N/A</v>
      </c>
      <c r="G2641" s="68" t="str">
        <f t="shared" si="402"/>
        <v>SINGLE</v>
      </c>
      <c r="K2641" s="186"/>
      <c r="N2641" s="3" t="str">
        <f t="shared" si="403"/>
        <v/>
      </c>
    </row>
    <row r="2642" spans="2:14">
      <c r="B2642" s="83" t="e">
        <f t="array" ref="B2642">SUM(--(FREQUENCY(IF(C$2:C$3074=C2642, MATCH(D$2:D$3074, D$2:D$3074, 0)), ROW(D$2:D$3074)-ROW(D$2)+1) &gt; 0))</f>
        <v>#N/A</v>
      </c>
      <c r="G2642" s="68" t="str">
        <f t="shared" si="402"/>
        <v>SINGLE</v>
      </c>
      <c r="K2642" s="186"/>
      <c r="N2642" s="3" t="str">
        <f t="shared" si="403"/>
        <v/>
      </c>
    </row>
    <row r="2643" spans="2:14">
      <c r="B2643" s="83" t="e">
        <f t="array" ref="B2643">SUM(--(FREQUENCY(IF(C$2:C$3074=C2643, MATCH(D$2:D$3074, D$2:D$3074, 0)), ROW(D$2:D$3074)-ROW(D$2)+1) &gt; 0))</f>
        <v>#N/A</v>
      </c>
      <c r="G2643" s="68" t="str">
        <f t="shared" si="402"/>
        <v>SINGLE</v>
      </c>
      <c r="K2643" s="186"/>
      <c r="N2643" s="3" t="str">
        <f t="shared" si="403"/>
        <v/>
      </c>
    </row>
    <row r="2644" spans="2:14">
      <c r="B2644" s="83" t="e">
        <f t="array" ref="B2644">SUM(--(FREQUENCY(IF(C$2:C$3074=C2644, MATCH(D$2:D$3074, D$2:D$3074, 0)), ROW(D$2:D$3074)-ROW(D$2)+1) &gt; 0))</f>
        <v>#N/A</v>
      </c>
      <c r="G2644" s="68" t="str">
        <f t="shared" si="402"/>
        <v>SINGLE</v>
      </c>
      <c r="K2644" s="186"/>
      <c r="N2644" s="3" t="str">
        <f t="shared" si="403"/>
        <v/>
      </c>
    </row>
    <row r="2645" spans="2:14">
      <c r="B2645" s="83" t="e">
        <f t="array" ref="B2645">SUM(--(FREQUENCY(IF(C$2:C$3074=C2645, MATCH(D$2:D$3074, D$2:D$3074, 0)), ROW(D$2:D$3074)-ROW(D$2)+1) &gt; 0))</f>
        <v>#N/A</v>
      </c>
      <c r="G2645" s="68" t="str">
        <f t="shared" si="402"/>
        <v>SINGLE</v>
      </c>
      <c r="K2645" s="186"/>
      <c r="N2645" s="3" t="str">
        <f t="shared" si="403"/>
        <v/>
      </c>
    </row>
    <row r="2646" spans="2:14">
      <c r="B2646" s="83" t="e">
        <f t="array" ref="B2646">SUM(--(FREQUENCY(IF(C$2:C$3074=C2646, MATCH(D$2:D$3074, D$2:D$3074, 0)), ROW(D$2:D$3074)-ROW(D$2)+1) &gt; 0))</f>
        <v>#N/A</v>
      </c>
      <c r="G2646" s="68" t="str">
        <f t="shared" si="402"/>
        <v>SINGLE</v>
      </c>
      <c r="K2646" s="186"/>
      <c r="N2646" s="3" t="str">
        <f t="shared" si="403"/>
        <v/>
      </c>
    </row>
    <row r="2647" spans="2:14">
      <c r="B2647" s="83" t="e">
        <f t="array" ref="B2647">SUM(--(FREQUENCY(IF(C$2:C$3074=C2647, MATCH(D$2:D$3074, D$2:D$3074, 0)), ROW(D$2:D$3074)-ROW(D$2)+1) &gt; 0))</f>
        <v>#N/A</v>
      </c>
      <c r="G2647" s="68" t="str">
        <f t="shared" si="402"/>
        <v>SINGLE</v>
      </c>
      <c r="K2647" s="186"/>
      <c r="N2647" s="3" t="str">
        <f t="shared" si="403"/>
        <v/>
      </c>
    </row>
    <row r="2648" spans="2:14">
      <c r="B2648" s="83" t="e">
        <f t="array" ref="B2648">SUM(--(FREQUENCY(IF(C$2:C$3074=C2648, MATCH(D$2:D$3074, D$2:D$3074, 0)), ROW(D$2:D$3074)-ROW(D$2)+1) &gt; 0))</f>
        <v>#N/A</v>
      </c>
      <c r="G2648" s="68" t="str">
        <f t="shared" si="402"/>
        <v>SINGLE</v>
      </c>
      <c r="K2648" s="186"/>
      <c r="N2648" s="3" t="str">
        <f t="shared" si="403"/>
        <v/>
      </c>
    </row>
    <row r="2649" spans="2:14">
      <c r="B2649" s="83" t="e">
        <f t="array" ref="B2649">SUM(--(FREQUENCY(IF(C$2:C$3074=C2649, MATCH(D$2:D$3074, D$2:D$3074, 0)), ROW(D$2:D$3074)-ROW(D$2)+1) &gt; 0))</f>
        <v>#N/A</v>
      </c>
      <c r="G2649" s="68" t="str">
        <f t="shared" si="402"/>
        <v>SINGLE</v>
      </c>
      <c r="K2649" s="186"/>
      <c r="N2649" s="3" t="str">
        <f t="shared" si="403"/>
        <v/>
      </c>
    </row>
    <row r="2650" spans="2:14">
      <c r="B2650" s="83" t="e">
        <f t="array" ref="B2650">SUM(--(FREQUENCY(IF(C$2:C$3074=C2650, MATCH(D$2:D$3074, D$2:D$3074, 0)), ROW(D$2:D$3074)-ROW(D$2)+1) &gt; 0))</f>
        <v>#N/A</v>
      </c>
      <c r="G2650" s="68" t="str">
        <f t="shared" si="402"/>
        <v>SINGLE</v>
      </c>
      <c r="K2650" s="186"/>
      <c r="N2650" s="3" t="str">
        <f t="shared" si="403"/>
        <v/>
      </c>
    </row>
    <row r="2651" spans="2:14">
      <c r="B2651" s="83" t="e">
        <f t="array" ref="B2651">SUM(--(FREQUENCY(IF(C$2:C$3074=C2651, MATCH(D$2:D$3074, D$2:D$3074, 0)), ROW(D$2:D$3074)-ROW(D$2)+1) &gt; 0))</f>
        <v>#N/A</v>
      </c>
      <c r="G2651" s="68" t="str">
        <f t="shared" si="402"/>
        <v>SINGLE</v>
      </c>
      <c r="K2651" s="186"/>
      <c r="N2651" s="3" t="str">
        <f t="shared" si="403"/>
        <v/>
      </c>
    </row>
    <row r="2652" spans="2:14">
      <c r="B2652" s="83" t="e">
        <f t="array" ref="B2652">SUM(--(FREQUENCY(IF(C$2:C$3074=C2652, MATCH(D$2:D$3074, D$2:D$3074, 0)), ROW(D$2:D$3074)-ROW(D$2)+1) &gt; 0))</f>
        <v>#N/A</v>
      </c>
      <c r="G2652" s="68" t="str">
        <f t="shared" si="402"/>
        <v>SINGLE</v>
      </c>
      <c r="K2652" s="186"/>
      <c r="N2652" s="3" t="str">
        <f t="shared" si="403"/>
        <v/>
      </c>
    </row>
    <row r="2653" spans="2:14">
      <c r="B2653" s="83" t="e">
        <f t="array" ref="B2653">SUM(--(FREQUENCY(IF(C$2:C$3074=C2653, MATCH(D$2:D$3074, D$2:D$3074, 0)), ROW(D$2:D$3074)-ROW(D$2)+1) &gt; 0))</f>
        <v>#N/A</v>
      </c>
      <c r="G2653" s="68" t="str">
        <f t="shared" si="402"/>
        <v>SINGLE</v>
      </c>
      <c r="K2653" s="186"/>
      <c r="N2653" s="3" t="str">
        <f t="shared" si="403"/>
        <v/>
      </c>
    </row>
    <row r="2654" spans="2:14">
      <c r="B2654" s="83" t="e">
        <f t="array" ref="B2654">SUM(--(FREQUENCY(IF(C$2:C$3074=C2654, MATCH(D$2:D$3074, D$2:D$3074, 0)), ROW(D$2:D$3074)-ROW(D$2)+1) &gt; 0))</f>
        <v>#N/A</v>
      </c>
      <c r="G2654" s="68" t="str">
        <f t="shared" si="402"/>
        <v>SINGLE</v>
      </c>
      <c r="K2654" s="186"/>
      <c r="N2654" s="3" t="str">
        <f t="shared" si="403"/>
        <v/>
      </c>
    </row>
    <row r="2655" spans="2:14">
      <c r="B2655" s="83" t="e">
        <f t="array" ref="B2655">SUM(--(FREQUENCY(IF(C$2:C$3074=C2655, MATCH(D$2:D$3074, D$2:D$3074, 0)), ROW(D$2:D$3074)-ROW(D$2)+1) &gt; 0))</f>
        <v>#N/A</v>
      </c>
      <c r="G2655" s="68" t="str">
        <f t="shared" si="402"/>
        <v>SINGLE</v>
      </c>
      <c r="K2655" s="186"/>
      <c r="N2655" s="3" t="str">
        <f t="shared" si="403"/>
        <v/>
      </c>
    </row>
    <row r="2656" spans="2:14">
      <c r="B2656" s="83" t="e">
        <f t="array" ref="B2656">SUM(--(FREQUENCY(IF(C$2:C$3074=C2656, MATCH(D$2:D$3074, D$2:D$3074, 0)), ROW(D$2:D$3074)-ROW(D$2)+1) &gt; 0))</f>
        <v>#N/A</v>
      </c>
      <c r="G2656" s="68" t="str">
        <f t="shared" si="402"/>
        <v>SINGLE</v>
      </c>
      <c r="K2656" s="186"/>
      <c r="N2656" s="3" t="str">
        <f t="shared" si="403"/>
        <v/>
      </c>
    </row>
    <row r="2657" spans="2:14">
      <c r="B2657" s="83" t="e">
        <f t="array" ref="B2657">SUM(--(FREQUENCY(IF(C$2:C$3074=C2657, MATCH(D$2:D$3074, D$2:D$3074, 0)), ROW(D$2:D$3074)-ROW(D$2)+1) &gt; 0))</f>
        <v>#N/A</v>
      </c>
      <c r="G2657" s="68" t="str">
        <f t="shared" si="402"/>
        <v>SINGLE</v>
      </c>
      <c r="K2657" s="186"/>
      <c r="N2657" s="3" t="str">
        <f t="shared" si="403"/>
        <v/>
      </c>
    </row>
    <row r="2658" spans="2:14">
      <c r="B2658" s="83" t="e">
        <f t="array" ref="B2658">SUM(--(FREQUENCY(IF(C$2:C$3074=C2658, MATCH(D$2:D$3074, D$2:D$3074, 0)), ROW(D$2:D$3074)-ROW(D$2)+1) &gt; 0))</f>
        <v>#N/A</v>
      </c>
      <c r="G2658" s="68" t="str">
        <f t="shared" si="402"/>
        <v>SINGLE</v>
      </c>
      <c r="K2658" s="186"/>
      <c r="N2658" s="3" t="str">
        <f t="shared" si="403"/>
        <v/>
      </c>
    </row>
    <row r="2659" spans="2:14">
      <c r="B2659" s="83" t="e">
        <f t="array" ref="B2659">SUM(--(FREQUENCY(IF(C$2:C$3074=C2659, MATCH(D$2:D$3074, D$2:D$3074, 0)), ROW(D$2:D$3074)-ROW(D$2)+1) &gt; 0))</f>
        <v>#N/A</v>
      </c>
      <c r="G2659" s="68" t="str">
        <f t="shared" si="402"/>
        <v>SINGLE</v>
      </c>
      <c r="K2659" s="186"/>
      <c r="N2659" s="3" t="str">
        <f t="shared" si="403"/>
        <v/>
      </c>
    </row>
    <row r="2660" spans="2:14">
      <c r="B2660" s="83" t="e">
        <f t="array" ref="B2660">SUM(--(FREQUENCY(IF(C$2:C$3074=C2660, MATCH(D$2:D$3074, D$2:D$3074, 0)), ROW(D$2:D$3074)-ROW(D$2)+1) &gt; 0))</f>
        <v>#N/A</v>
      </c>
      <c r="G2660" s="68" t="str">
        <f t="shared" si="402"/>
        <v>SINGLE</v>
      </c>
      <c r="K2660" s="186"/>
      <c r="N2660" s="3" t="str">
        <f t="shared" si="403"/>
        <v/>
      </c>
    </row>
    <row r="2661" spans="2:14">
      <c r="B2661" s="83" t="e">
        <f t="array" ref="B2661">SUM(--(FREQUENCY(IF(C$2:C$3074=C2661, MATCH(D$2:D$3074, D$2:D$3074, 0)), ROW(D$2:D$3074)-ROW(D$2)+1) &gt; 0))</f>
        <v>#N/A</v>
      </c>
      <c r="G2661" s="68" t="str">
        <f t="shared" si="402"/>
        <v>SINGLE</v>
      </c>
      <c r="K2661" s="186"/>
      <c r="N2661" s="3" t="str">
        <f t="shared" si="403"/>
        <v/>
      </c>
    </row>
    <row r="2662" spans="2:14">
      <c r="B2662" s="83" t="e">
        <f t="array" ref="B2662">SUM(--(FREQUENCY(IF(C$2:C$3074=C2662, MATCH(D$2:D$3074, D$2:D$3074, 0)), ROW(D$2:D$3074)-ROW(D$2)+1) &gt; 0))</f>
        <v>#N/A</v>
      </c>
      <c r="G2662" s="68" t="str">
        <f t="shared" si="402"/>
        <v>SINGLE</v>
      </c>
      <c r="K2662" s="186"/>
      <c r="N2662" s="3" t="str">
        <f t="shared" si="403"/>
        <v/>
      </c>
    </row>
    <row r="2663" spans="2:14">
      <c r="B2663" s="83" t="e">
        <f t="array" ref="B2663">SUM(--(FREQUENCY(IF(C$2:C$3074=C2663, MATCH(D$2:D$3074, D$2:D$3074, 0)), ROW(D$2:D$3074)-ROW(D$2)+1) &gt; 0))</f>
        <v>#N/A</v>
      </c>
      <c r="G2663" s="68" t="str">
        <f t="shared" si="402"/>
        <v>SINGLE</v>
      </c>
      <c r="K2663" s="186"/>
      <c r="N2663" s="3" t="str">
        <f t="shared" si="403"/>
        <v/>
      </c>
    </row>
    <row r="2664" spans="2:14">
      <c r="B2664" s="83" t="e">
        <f t="array" ref="B2664">SUM(--(FREQUENCY(IF(C$2:C$3074=C2664, MATCH(D$2:D$3074, D$2:D$3074, 0)), ROW(D$2:D$3074)-ROW(D$2)+1) &gt; 0))</f>
        <v>#N/A</v>
      </c>
      <c r="G2664" s="68" t="str">
        <f t="shared" si="402"/>
        <v>SINGLE</v>
      </c>
      <c r="K2664" s="186"/>
      <c r="N2664" s="3" t="str">
        <f t="shared" si="403"/>
        <v/>
      </c>
    </row>
    <row r="2665" spans="2:14">
      <c r="B2665" s="83" t="e">
        <f t="array" ref="B2665">SUM(--(FREQUENCY(IF(C$2:C$3074=C2665, MATCH(D$2:D$3074, D$2:D$3074, 0)), ROW(D$2:D$3074)-ROW(D$2)+1) &gt; 0))</f>
        <v>#N/A</v>
      </c>
      <c r="G2665" s="68" t="str">
        <f t="shared" si="402"/>
        <v>SINGLE</v>
      </c>
      <c r="K2665" s="186"/>
      <c r="N2665" s="3" t="str">
        <f t="shared" si="403"/>
        <v/>
      </c>
    </row>
    <row r="2666" spans="2:14">
      <c r="B2666" s="83" t="e">
        <f t="array" ref="B2666">SUM(--(FREQUENCY(IF(C$2:C$3074=C2666, MATCH(D$2:D$3074, D$2:D$3074, 0)), ROW(D$2:D$3074)-ROW(D$2)+1) &gt; 0))</f>
        <v>#N/A</v>
      </c>
      <c r="G2666" s="68" t="str">
        <f t="shared" si="402"/>
        <v>SINGLE</v>
      </c>
      <c r="K2666" s="186"/>
      <c r="N2666" s="3" t="str">
        <f t="shared" si="403"/>
        <v/>
      </c>
    </row>
    <row r="2667" spans="2:14">
      <c r="B2667" s="83" t="e">
        <f t="array" ref="B2667">SUM(--(FREQUENCY(IF(C$2:C$3074=C2667, MATCH(D$2:D$3074, D$2:D$3074, 0)), ROW(D$2:D$3074)-ROW(D$2)+1) &gt; 0))</f>
        <v>#N/A</v>
      </c>
      <c r="G2667" s="68" t="str">
        <f t="shared" si="402"/>
        <v>SINGLE</v>
      </c>
      <c r="K2667" s="186"/>
      <c r="N2667" s="3" t="str">
        <f t="shared" si="403"/>
        <v/>
      </c>
    </row>
    <row r="2668" spans="2:14">
      <c r="B2668" s="83" t="e">
        <f t="array" ref="B2668">SUM(--(FREQUENCY(IF(C$2:C$3074=C2668, MATCH(D$2:D$3074, D$2:D$3074, 0)), ROW(D$2:D$3074)-ROW(D$2)+1) &gt; 0))</f>
        <v>#N/A</v>
      </c>
      <c r="G2668" s="68" t="str">
        <f t="shared" si="402"/>
        <v>SINGLE</v>
      </c>
      <c r="K2668" s="186"/>
      <c r="N2668" s="3" t="str">
        <f t="shared" si="403"/>
        <v/>
      </c>
    </row>
    <row r="2669" spans="2:14">
      <c r="B2669" s="83" t="e">
        <f t="array" ref="B2669">SUM(--(FREQUENCY(IF(C$2:C$3074=C2669, MATCH(D$2:D$3074, D$2:D$3074, 0)), ROW(D$2:D$3074)-ROW(D$2)+1) &gt; 0))</f>
        <v>#N/A</v>
      </c>
      <c r="G2669" s="68" t="str">
        <f t="shared" si="402"/>
        <v>SINGLE</v>
      </c>
      <c r="K2669" s="186"/>
      <c r="N2669" s="3" t="str">
        <f t="shared" si="403"/>
        <v/>
      </c>
    </row>
    <row r="2670" spans="2:14">
      <c r="B2670" s="83" t="e">
        <f t="array" ref="B2670">SUM(--(FREQUENCY(IF(C$2:C$3074=C2670, MATCH(D$2:D$3074, D$2:D$3074, 0)), ROW(D$2:D$3074)-ROW(D$2)+1) &gt; 0))</f>
        <v>#N/A</v>
      </c>
      <c r="G2670" s="68" t="str">
        <f t="shared" si="402"/>
        <v>SINGLE</v>
      </c>
      <c r="K2670" s="186"/>
      <c r="N2670" s="3" t="str">
        <f t="shared" si="403"/>
        <v/>
      </c>
    </row>
    <row r="2671" spans="2:14">
      <c r="B2671" s="83" t="e">
        <f t="array" ref="B2671">SUM(--(FREQUENCY(IF(C$2:C$3074=C2671, MATCH(D$2:D$3074, D$2:D$3074, 0)), ROW(D$2:D$3074)-ROW(D$2)+1) &gt; 0))</f>
        <v>#N/A</v>
      </c>
      <c r="G2671" s="68" t="str">
        <f t="shared" si="402"/>
        <v>SINGLE</v>
      </c>
      <c r="K2671" s="186"/>
      <c r="N2671" s="3" t="str">
        <f t="shared" si="403"/>
        <v/>
      </c>
    </row>
    <row r="2672" spans="2:14">
      <c r="B2672" s="83" t="e">
        <f t="array" ref="B2672">SUM(--(FREQUENCY(IF(C$2:C$3074=C2672, MATCH(D$2:D$3074, D$2:D$3074, 0)), ROW(D$2:D$3074)-ROW(D$2)+1) &gt; 0))</f>
        <v>#N/A</v>
      </c>
      <c r="G2672" s="68" t="str">
        <f t="shared" si="402"/>
        <v>SINGLE</v>
      </c>
      <c r="K2672" s="186"/>
      <c r="N2672" s="3" t="str">
        <f t="shared" si="403"/>
        <v/>
      </c>
    </row>
    <row r="2673" spans="2:14">
      <c r="B2673" s="83" t="e">
        <f t="array" ref="B2673">SUM(--(FREQUENCY(IF(C$2:C$3074=C2673, MATCH(D$2:D$3074, D$2:D$3074, 0)), ROW(D$2:D$3074)-ROW(D$2)+1) &gt; 0))</f>
        <v>#N/A</v>
      </c>
      <c r="G2673" s="68" t="str">
        <f t="shared" si="402"/>
        <v>SINGLE</v>
      </c>
      <c r="K2673" s="186"/>
      <c r="N2673" s="3" t="str">
        <f t="shared" si="403"/>
        <v/>
      </c>
    </row>
    <row r="2674" spans="2:14">
      <c r="B2674" s="83" t="e">
        <f t="array" ref="B2674">SUM(--(FREQUENCY(IF(C$2:C$3074=C2674, MATCH(D$2:D$3074, D$2:D$3074, 0)), ROW(D$2:D$3074)-ROW(D$2)+1) &gt; 0))</f>
        <v>#N/A</v>
      </c>
      <c r="G2674" s="68" t="str">
        <f t="shared" si="402"/>
        <v>SINGLE</v>
      </c>
      <c r="K2674" s="186"/>
      <c r="N2674" s="3" t="str">
        <f t="shared" si="403"/>
        <v/>
      </c>
    </row>
    <row r="2675" spans="2:14">
      <c r="B2675" s="83" t="e">
        <f t="array" ref="B2675">SUM(--(FREQUENCY(IF(C$2:C$3074=C2675, MATCH(D$2:D$3074, D$2:D$3074, 0)), ROW(D$2:D$3074)-ROW(D$2)+1) &gt; 0))</f>
        <v>#N/A</v>
      </c>
      <c r="G2675" s="68" t="str">
        <f t="shared" si="402"/>
        <v>SINGLE</v>
      </c>
      <c r="K2675" s="186"/>
      <c r="N2675" s="3" t="str">
        <f t="shared" si="403"/>
        <v/>
      </c>
    </row>
    <row r="2676" spans="2:14">
      <c r="B2676" s="83" t="e">
        <f t="array" ref="B2676">SUM(--(FREQUENCY(IF(C$2:C$3074=C2676, MATCH(D$2:D$3074, D$2:D$3074, 0)), ROW(D$2:D$3074)-ROW(D$2)+1) &gt; 0))</f>
        <v>#N/A</v>
      </c>
      <c r="G2676" s="68" t="str">
        <f t="shared" si="402"/>
        <v>SINGLE</v>
      </c>
      <c r="K2676" s="186"/>
      <c r="N2676" s="3" t="str">
        <f t="shared" si="403"/>
        <v/>
      </c>
    </row>
    <row r="2677" spans="2:14">
      <c r="B2677" s="83" t="e">
        <f t="array" ref="B2677">SUM(--(FREQUENCY(IF(C$2:C$3074=C2677, MATCH(D$2:D$3074, D$2:D$3074, 0)), ROW(D$2:D$3074)-ROW(D$2)+1) &gt; 0))</f>
        <v>#N/A</v>
      </c>
      <c r="G2677" s="68" t="str">
        <f t="shared" ref="G2677:G2740" si="404">IF(OR(ISNUMBER(SEARCH("DUAL",F2677)), ISNUMBER(SEARCH("IVAS",F2677))), "DUAL", "SINGLE")</f>
        <v>SINGLE</v>
      </c>
      <c r="K2677" s="186"/>
      <c r="N2677" s="3" t="str">
        <f t="shared" si="403"/>
        <v/>
      </c>
    </row>
    <row r="2678" spans="2:14">
      <c r="B2678" s="83" t="e">
        <f t="array" ref="B2678">SUM(--(FREQUENCY(IF(C$2:C$3074=C2678, MATCH(D$2:D$3074, D$2:D$3074, 0)), ROW(D$2:D$3074)-ROW(D$2)+1) &gt; 0))</f>
        <v>#N/A</v>
      </c>
      <c r="G2678" s="68" t="str">
        <f t="shared" si="404"/>
        <v>SINGLE</v>
      </c>
      <c r="K2678" s="186"/>
      <c r="N2678" s="3" t="str">
        <f t="shared" si="403"/>
        <v/>
      </c>
    </row>
    <row r="2679" spans="2:14">
      <c r="B2679" s="83" t="e">
        <f t="array" ref="B2679">SUM(--(FREQUENCY(IF(C$2:C$3074=C2679, MATCH(D$2:D$3074, D$2:D$3074, 0)), ROW(D$2:D$3074)-ROW(D$2)+1) &gt; 0))</f>
        <v>#N/A</v>
      </c>
      <c r="G2679" s="68" t="str">
        <f t="shared" si="404"/>
        <v>SINGLE</v>
      </c>
      <c r="K2679" s="186"/>
      <c r="N2679" s="3" t="str">
        <f t="shared" si="403"/>
        <v/>
      </c>
    </row>
    <row r="2680" spans="2:14">
      <c r="B2680" s="83" t="e">
        <f t="array" ref="B2680">SUM(--(FREQUENCY(IF(C$2:C$3074=C2680, MATCH(D$2:D$3074, D$2:D$3074, 0)), ROW(D$2:D$3074)-ROW(D$2)+1) &gt; 0))</f>
        <v>#N/A</v>
      </c>
      <c r="G2680" s="68" t="str">
        <f t="shared" si="404"/>
        <v>SINGLE</v>
      </c>
      <c r="K2680" s="186"/>
      <c r="N2680" s="3" t="str">
        <f t="shared" si="403"/>
        <v/>
      </c>
    </row>
    <row r="2681" spans="2:14">
      <c r="B2681" s="83" t="e">
        <f t="array" ref="B2681">SUM(--(FREQUENCY(IF(C$2:C$3074=C2681, MATCH(D$2:D$3074, D$2:D$3074, 0)), ROW(D$2:D$3074)-ROW(D$2)+1) &gt; 0))</f>
        <v>#N/A</v>
      </c>
      <c r="G2681" s="68" t="str">
        <f t="shared" si="404"/>
        <v>SINGLE</v>
      </c>
      <c r="K2681" s="186"/>
      <c r="N2681" s="3" t="str">
        <f t="shared" si="403"/>
        <v/>
      </c>
    </row>
    <row r="2682" spans="2:14">
      <c r="B2682" s="83" t="e">
        <f t="array" ref="B2682">SUM(--(FREQUENCY(IF(C$2:C$3074=C2682, MATCH(D$2:D$3074, D$2:D$3074, 0)), ROW(D$2:D$3074)-ROW(D$2)+1) &gt; 0))</f>
        <v>#N/A</v>
      </c>
      <c r="G2682" s="68" t="str">
        <f t="shared" si="404"/>
        <v>SINGLE</v>
      </c>
      <c r="K2682" s="186"/>
      <c r="N2682" s="3" t="str">
        <f t="shared" si="403"/>
        <v/>
      </c>
    </row>
    <row r="2683" spans="2:14">
      <c r="B2683" s="83" t="e">
        <f t="array" ref="B2683">SUM(--(FREQUENCY(IF(C$2:C$3074=C2683, MATCH(D$2:D$3074, D$2:D$3074, 0)), ROW(D$2:D$3074)-ROW(D$2)+1) &gt; 0))</f>
        <v>#N/A</v>
      </c>
      <c r="G2683" s="68" t="str">
        <f t="shared" si="404"/>
        <v>SINGLE</v>
      </c>
      <c r="K2683" s="186"/>
      <c r="N2683" s="3" t="str">
        <f t="shared" si="403"/>
        <v/>
      </c>
    </row>
    <row r="2684" spans="2:14">
      <c r="B2684" s="83" t="e">
        <f t="array" ref="B2684">SUM(--(FREQUENCY(IF(C$2:C$3074=C2684, MATCH(D$2:D$3074, D$2:D$3074, 0)), ROW(D$2:D$3074)-ROW(D$2)+1) &gt; 0))</f>
        <v>#N/A</v>
      </c>
      <c r="G2684" s="68" t="str">
        <f t="shared" si="404"/>
        <v>SINGLE</v>
      </c>
      <c r="K2684" s="186"/>
      <c r="N2684" s="3" t="str">
        <f t="shared" si="403"/>
        <v/>
      </c>
    </row>
    <row r="2685" spans="2:14">
      <c r="B2685" s="83" t="e">
        <f t="array" ref="B2685">SUM(--(FREQUENCY(IF(C$2:C$3074=C2685, MATCH(D$2:D$3074, D$2:D$3074, 0)), ROW(D$2:D$3074)-ROW(D$2)+1) &gt; 0))</f>
        <v>#N/A</v>
      </c>
      <c r="G2685" s="68" t="str">
        <f t="shared" si="404"/>
        <v>SINGLE</v>
      </c>
      <c r="K2685" s="186"/>
      <c r="N2685" s="3" t="str">
        <f t="shared" si="403"/>
        <v/>
      </c>
    </row>
    <row r="2686" spans="2:14">
      <c r="B2686" s="83" t="e">
        <f t="array" ref="B2686">SUM(--(FREQUENCY(IF(C$2:C$3074=C2686, MATCH(D$2:D$3074, D$2:D$3074, 0)), ROW(D$2:D$3074)-ROW(D$2)+1) &gt; 0))</f>
        <v>#N/A</v>
      </c>
      <c r="G2686" s="68" t="str">
        <f t="shared" si="404"/>
        <v>SINGLE</v>
      </c>
      <c r="K2686" s="186"/>
      <c r="N2686" s="3" t="str">
        <f t="shared" si="403"/>
        <v/>
      </c>
    </row>
    <row r="2687" spans="2:14">
      <c r="B2687" s="83" t="e">
        <f t="array" ref="B2687">SUM(--(FREQUENCY(IF(C$2:C$3074=C2687, MATCH(D$2:D$3074, D$2:D$3074, 0)), ROW(D$2:D$3074)-ROW(D$2)+1) &gt; 0))</f>
        <v>#N/A</v>
      </c>
      <c r="G2687" s="68" t="str">
        <f t="shared" si="404"/>
        <v>SINGLE</v>
      </c>
      <c r="K2687" s="186"/>
      <c r="N2687" s="3" t="str">
        <f t="shared" ref="N2687:N2750" si="405">IF(O2687&lt;&gt;"", "NG", "")</f>
        <v/>
      </c>
    </row>
    <row r="2688" spans="2:14">
      <c r="B2688" s="83" t="e">
        <f t="array" ref="B2688">SUM(--(FREQUENCY(IF(C$2:C$3074=C2688, MATCH(D$2:D$3074, D$2:D$3074, 0)), ROW(D$2:D$3074)-ROW(D$2)+1) &gt; 0))</f>
        <v>#N/A</v>
      </c>
      <c r="G2688" s="68" t="str">
        <f t="shared" si="404"/>
        <v>SINGLE</v>
      </c>
      <c r="K2688" s="186"/>
      <c r="N2688" s="3" t="str">
        <f t="shared" si="405"/>
        <v/>
      </c>
    </row>
    <row r="2689" spans="2:14">
      <c r="B2689" s="83" t="e">
        <f t="array" ref="B2689">SUM(--(FREQUENCY(IF(C$2:C$3074=C2689, MATCH(D$2:D$3074, D$2:D$3074, 0)), ROW(D$2:D$3074)-ROW(D$2)+1) &gt; 0))</f>
        <v>#N/A</v>
      </c>
      <c r="G2689" s="68" t="str">
        <f t="shared" si="404"/>
        <v>SINGLE</v>
      </c>
      <c r="K2689" s="186"/>
      <c r="N2689" s="3" t="str">
        <f t="shared" si="405"/>
        <v/>
      </c>
    </row>
    <row r="2690" spans="2:14">
      <c r="B2690" s="83" t="e">
        <f t="array" ref="B2690">SUM(--(FREQUENCY(IF(C$2:C$3074=C2690, MATCH(D$2:D$3074, D$2:D$3074, 0)), ROW(D$2:D$3074)-ROW(D$2)+1) &gt; 0))</f>
        <v>#N/A</v>
      </c>
      <c r="G2690" s="68" t="str">
        <f t="shared" si="404"/>
        <v>SINGLE</v>
      </c>
      <c r="K2690" s="186"/>
      <c r="N2690" s="3" t="str">
        <f t="shared" si="405"/>
        <v/>
      </c>
    </row>
    <row r="2691" spans="2:14">
      <c r="B2691" s="83" t="e">
        <f t="array" ref="B2691">SUM(--(FREQUENCY(IF(C$2:C$3074=C2691, MATCH(D$2:D$3074, D$2:D$3074, 0)), ROW(D$2:D$3074)-ROW(D$2)+1) &gt; 0))</f>
        <v>#N/A</v>
      </c>
      <c r="G2691" s="68" t="str">
        <f t="shared" si="404"/>
        <v>SINGLE</v>
      </c>
      <c r="K2691" s="186"/>
      <c r="N2691" s="3" t="str">
        <f t="shared" si="405"/>
        <v/>
      </c>
    </row>
    <row r="2692" spans="2:14">
      <c r="B2692" s="83" t="e">
        <f t="array" ref="B2692">SUM(--(FREQUENCY(IF(C$2:C$3074=C2692, MATCH(D$2:D$3074, D$2:D$3074, 0)), ROW(D$2:D$3074)-ROW(D$2)+1) &gt; 0))</f>
        <v>#N/A</v>
      </c>
      <c r="G2692" s="68" t="str">
        <f t="shared" si="404"/>
        <v>SINGLE</v>
      </c>
      <c r="K2692" s="186"/>
      <c r="N2692" s="3" t="str">
        <f t="shared" si="405"/>
        <v/>
      </c>
    </row>
    <row r="2693" spans="2:14">
      <c r="B2693" s="83" t="e">
        <f t="array" ref="B2693">SUM(--(FREQUENCY(IF(C$2:C$3074=C2693, MATCH(D$2:D$3074, D$2:D$3074, 0)), ROW(D$2:D$3074)-ROW(D$2)+1) &gt; 0))</f>
        <v>#N/A</v>
      </c>
      <c r="G2693" s="68" t="str">
        <f t="shared" si="404"/>
        <v>SINGLE</v>
      </c>
      <c r="K2693" s="186"/>
      <c r="N2693" s="3" t="str">
        <f t="shared" si="405"/>
        <v/>
      </c>
    </row>
    <row r="2694" spans="2:14">
      <c r="B2694" s="83" t="e">
        <f t="array" ref="B2694">SUM(--(FREQUENCY(IF(C$2:C$3074=C2694, MATCH(D$2:D$3074, D$2:D$3074, 0)), ROW(D$2:D$3074)-ROW(D$2)+1) &gt; 0))</f>
        <v>#N/A</v>
      </c>
      <c r="G2694" s="68" t="str">
        <f t="shared" si="404"/>
        <v>SINGLE</v>
      </c>
      <c r="K2694" s="186"/>
      <c r="N2694" s="3" t="str">
        <f t="shared" si="405"/>
        <v/>
      </c>
    </row>
    <row r="2695" spans="2:14">
      <c r="B2695" s="83" t="e">
        <f t="array" ref="B2695">SUM(--(FREQUENCY(IF(C$2:C$3074=C2695, MATCH(D$2:D$3074, D$2:D$3074, 0)), ROW(D$2:D$3074)-ROW(D$2)+1) &gt; 0))</f>
        <v>#N/A</v>
      </c>
      <c r="G2695" s="68" t="str">
        <f t="shared" si="404"/>
        <v>SINGLE</v>
      </c>
      <c r="K2695" s="186"/>
      <c r="N2695" s="3" t="str">
        <f t="shared" si="405"/>
        <v/>
      </c>
    </row>
    <row r="2696" spans="2:14">
      <c r="B2696" s="83" t="e">
        <f t="array" ref="B2696">SUM(--(FREQUENCY(IF(C$2:C$3074=C2696, MATCH(D$2:D$3074, D$2:D$3074, 0)), ROW(D$2:D$3074)-ROW(D$2)+1) &gt; 0))</f>
        <v>#N/A</v>
      </c>
      <c r="G2696" s="68" t="str">
        <f t="shared" si="404"/>
        <v>SINGLE</v>
      </c>
      <c r="K2696" s="186"/>
      <c r="N2696" s="3" t="str">
        <f t="shared" si="405"/>
        <v/>
      </c>
    </row>
    <row r="2697" spans="2:14">
      <c r="B2697" s="83" t="e">
        <f t="array" ref="B2697">SUM(--(FREQUENCY(IF(C$2:C$3074=C2697, MATCH(D$2:D$3074, D$2:D$3074, 0)), ROW(D$2:D$3074)-ROW(D$2)+1) &gt; 0))</f>
        <v>#N/A</v>
      </c>
      <c r="G2697" s="68" t="str">
        <f t="shared" si="404"/>
        <v>SINGLE</v>
      </c>
      <c r="K2697" s="186"/>
      <c r="N2697" s="3" t="str">
        <f t="shared" si="405"/>
        <v/>
      </c>
    </row>
    <row r="2698" spans="2:14">
      <c r="B2698" s="83" t="e">
        <f t="array" ref="B2698">SUM(--(FREQUENCY(IF(C$2:C$3074=C2698, MATCH(D$2:D$3074, D$2:D$3074, 0)), ROW(D$2:D$3074)-ROW(D$2)+1) &gt; 0))</f>
        <v>#N/A</v>
      </c>
      <c r="G2698" s="68" t="str">
        <f t="shared" si="404"/>
        <v>SINGLE</v>
      </c>
      <c r="K2698" s="186"/>
      <c r="N2698" s="3" t="str">
        <f t="shared" si="405"/>
        <v/>
      </c>
    </row>
    <row r="2699" spans="2:14">
      <c r="B2699" s="83" t="e">
        <f t="array" ref="B2699">SUM(--(FREQUENCY(IF(C$2:C$3074=C2699, MATCH(D$2:D$3074, D$2:D$3074, 0)), ROW(D$2:D$3074)-ROW(D$2)+1) &gt; 0))</f>
        <v>#N/A</v>
      </c>
      <c r="G2699" s="68" t="str">
        <f t="shared" si="404"/>
        <v>SINGLE</v>
      </c>
      <c r="K2699" s="186"/>
      <c r="N2699" s="3" t="str">
        <f t="shared" si="405"/>
        <v/>
      </c>
    </row>
    <row r="2700" spans="2:14">
      <c r="B2700" s="83" t="e">
        <f t="array" ref="B2700">SUM(--(FREQUENCY(IF(C$2:C$3074=C2700, MATCH(D$2:D$3074, D$2:D$3074, 0)), ROW(D$2:D$3074)-ROW(D$2)+1) &gt; 0))</f>
        <v>#N/A</v>
      </c>
      <c r="G2700" s="68" t="str">
        <f t="shared" si="404"/>
        <v>SINGLE</v>
      </c>
      <c r="K2700" s="186"/>
      <c r="N2700" s="3" t="str">
        <f t="shared" si="405"/>
        <v/>
      </c>
    </row>
    <row r="2701" spans="2:14">
      <c r="B2701" s="83" t="e">
        <f t="array" ref="B2701">SUM(--(FREQUENCY(IF(C$2:C$3074=C2701, MATCH(D$2:D$3074, D$2:D$3074, 0)), ROW(D$2:D$3074)-ROW(D$2)+1) &gt; 0))</f>
        <v>#N/A</v>
      </c>
      <c r="G2701" s="68" t="str">
        <f t="shared" si="404"/>
        <v>SINGLE</v>
      </c>
      <c r="K2701" s="186"/>
      <c r="N2701" s="3" t="str">
        <f t="shared" si="405"/>
        <v/>
      </c>
    </row>
    <row r="2702" spans="2:14">
      <c r="B2702" s="83" t="e">
        <f t="array" ref="B2702">SUM(--(FREQUENCY(IF(C$2:C$3074=C2702, MATCH(D$2:D$3074, D$2:D$3074, 0)), ROW(D$2:D$3074)-ROW(D$2)+1) &gt; 0))</f>
        <v>#N/A</v>
      </c>
      <c r="G2702" s="68" t="str">
        <f t="shared" si="404"/>
        <v>SINGLE</v>
      </c>
      <c r="K2702" s="186"/>
      <c r="N2702" s="3" t="str">
        <f t="shared" si="405"/>
        <v/>
      </c>
    </row>
    <row r="2703" spans="2:14">
      <c r="B2703" s="83" t="e">
        <f t="array" ref="B2703">SUM(--(FREQUENCY(IF(C$2:C$3074=C2703, MATCH(D$2:D$3074, D$2:D$3074, 0)), ROW(D$2:D$3074)-ROW(D$2)+1) &gt; 0))</f>
        <v>#N/A</v>
      </c>
      <c r="G2703" s="68" t="str">
        <f t="shared" si="404"/>
        <v>SINGLE</v>
      </c>
      <c r="K2703" s="186"/>
      <c r="N2703" s="3" t="str">
        <f t="shared" si="405"/>
        <v/>
      </c>
    </row>
    <row r="2704" spans="2:14">
      <c r="B2704" s="83" t="e">
        <f t="array" ref="B2704">SUM(--(FREQUENCY(IF(C$2:C$3074=C2704, MATCH(D$2:D$3074, D$2:D$3074, 0)), ROW(D$2:D$3074)-ROW(D$2)+1) &gt; 0))</f>
        <v>#N/A</v>
      </c>
      <c r="G2704" s="68" t="str">
        <f t="shared" si="404"/>
        <v>SINGLE</v>
      </c>
      <c r="K2704" s="186"/>
      <c r="N2704" s="3" t="str">
        <f t="shared" si="405"/>
        <v/>
      </c>
    </row>
    <row r="2705" spans="2:14">
      <c r="B2705" s="83" t="e">
        <f t="array" ref="B2705">SUM(--(FREQUENCY(IF(C$2:C$3074=C2705, MATCH(D$2:D$3074, D$2:D$3074, 0)), ROW(D$2:D$3074)-ROW(D$2)+1) &gt; 0))</f>
        <v>#N/A</v>
      </c>
      <c r="G2705" s="68" t="str">
        <f t="shared" si="404"/>
        <v>SINGLE</v>
      </c>
      <c r="K2705" s="186"/>
      <c r="N2705" s="3" t="str">
        <f t="shared" si="405"/>
        <v/>
      </c>
    </row>
    <row r="2706" spans="2:14">
      <c r="B2706" s="83" t="e">
        <f t="array" ref="B2706">SUM(--(FREQUENCY(IF(C$2:C$3074=C2706, MATCH(D$2:D$3074, D$2:D$3074, 0)), ROW(D$2:D$3074)-ROW(D$2)+1) &gt; 0))</f>
        <v>#N/A</v>
      </c>
      <c r="G2706" s="68" t="str">
        <f t="shared" si="404"/>
        <v>SINGLE</v>
      </c>
      <c r="K2706" s="186"/>
      <c r="N2706" s="3" t="str">
        <f t="shared" si="405"/>
        <v/>
      </c>
    </row>
    <row r="2707" spans="2:14">
      <c r="B2707" s="83" t="e">
        <f t="array" ref="B2707">SUM(--(FREQUENCY(IF(C$2:C$3074=C2707, MATCH(D$2:D$3074, D$2:D$3074, 0)), ROW(D$2:D$3074)-ROW(D$2)+1) &gt; 0))</f>
        <v>#N/A</v>
      </c>
      <c r="G2707" s="68" t="str">
        <f t="shared" si="404"/>
        <v>SINGLE</v>
      </c>
      <c r="K2707" s="186"/>
      <c r="N2707" s="3" t="str">
        <f t="shared" si="405"/>
        <v/>
      </c>
    </row>
    <row r="2708" spans="2:14">
      <c r="B2708" s="83" t="e">
        <f t="array" ref="B2708">SUM(--(FREQUENCY(IF(C$2:C$3074=C2708, MATCH(D$2:D$3074, D$2:D$3074, 0)), ROW(D$2:D$3074)-ROW(D$2)+1) &gt; 0))</f>
        <v>#N/A</v>
      </c>
      <c r="G2708" s="68" t="str">
        <f t="shared" si="404"/>
        <v>SINGLE</v>
      </c>
      <c r="K2708" s="186"/>
      <c r="N2708" s="3" t="str">
        <f t="shared" si="405"/>
        <v/>
      </c>
    </row>
    <row r="2709" spans="2:14">
      <c r="B2709" s="83" t="e">
        <f t="array" ref="B2709">SUM(--(FREQUENCY(IF(C$2:C$3074=C2709, MATCH(D$2:D$3074, D$2:D$3074, 0)), ROW(D$2:D$3074)-ROW(D$2)+1) &gt; 0))</f>
        <v>#N/A</v>
      </c>
      <c r="G2709" s="68" t="str">
        <f t="shared" si="404"/>
        <v>SINGLE</v>
      </c>
      <c r="K2709" s="186"/>
      <c r="N2709" s="3" t="str">
        <f t="shared" si="405"/>
        <v/>
      </c>
    </row>
    <row r="2710" spans="2:14">
      <c r="B2710" s="83" t="e">
        <f t="array" ref="B2710">SUM(--(FREQUENCY(IF(C$2:C$3074=C2710, MATCH(D$2:D$3074, D$2:D$3074, 0)), ROW(D$2:D$3074)-ROW(D$2)+1) &gt; 0))</f>
        <v>#N/A</v>
      </c>
      <c r="G2710" s="68" t="str">
        <f t="shared" si="404"/>
        <v>SINGLE</v>
      </c>
      <c r="K2710" s="186"/>
      <c r="N2710" s="3" t="str">
        <f t="shared" si="405"/>
        <v/>
      </c>
    </row>
    <row r="2711" spans="2:14">
      <c r="B2711" s="83" t="e">
        <f t="array" ref="B2711">SUM(--(FREQUENCY(IF(C$2:C$3074=C2711, MATCH(D$2:D$3074, D$2:D$3074, 0)), ROW(D$2:D$3074)-ROW(D$2)+1) &gt; 0))</f>
        <v>#N/A</v>
      </c>
      <c r="G2711" s="68" t="str">
        <f t="shared" si="404"/>
        <v>SINGLE</v>
      </c>
      <c r="K2711" s="186"/>
      <c r="N2711" s="3" t="str">
        <f t="shared" si="405"/>
        <v/>
      </c>
    </row>
    <row r="2712" spans="2:14">
      <c r="B2712" s="83" t="e">
        <f t="array" ref="B2712">SUM(--(FREQUENCY(IF(C$2:C$3074=C2712, MATCH(D$2:D$3074, D$2:D$3074, 0)), ROW(D$2:D$3074)-ROW(D$2)+1) &gt; 0))</f>
        <v>#N/A</v>
      </c>
      <c r="G2712" s="68" t="str">
        <f t="shared" si="404"/>
        <v>SINGLE</v>
      </c>
      <c r="K2712" s="186"/>
      <c r="N2712" s="3" t="str">
        <f t="shared" si="405"/>
        <v/>
      </c>
    </row>
    <row r="2713" spans="2:14">
      <c r="B2713" s="83" t="e">
        <f t="array" ref="B2713">SUM(--(FREQUENCY(IF(C$2:C$3074=C2713, MATCH(D$2:D$3074, D$2:D$3074, 0)), ROW(D$2:D$3074)-ROW(D$2)+1) &gt; 0))</f>
        <v>#N/A</v>
      </c>
      <c r="G2713" s="68" t="str">
        <f t="shared" si="404"/>
        <v>SINGLE</v>
      </c>
      <c r="K2713" s="186"/>
      <c r="N2713" s="3" t="str">
        <f t="shared" si="405"/>
        <v/>
      </c>
    </row>
    <row r="2714" spans="2:14">
      <c r="B2714" s="83" t="e">
        <f t="array" ref="B2714">SUM(--(FREQUENCY(IF(C$2:C$3074=C2714, MATCH(D$2:D$3074, D$2:D$3074, 0)), ROW(D$2:D$3074)-ROW(D$2)+1) &gt; 0))</f>
        <v>#N/A</v>
      </c>
      <c r="G2714" s="68" t="str">
        <f t="shared" si="404"/>
        <v>SINGLE</v>
      </c>
      <c r="K2714" s="186"/>
      <c r="N2714" s="3" t="str">
        <f t="shared" si="405"/>
        <v/>
      </c>
    </row>
    <row r="2715" spans="2:14">
      <c r="B2715" s="83" t="e">
        <f t="array" ref="B2715">SUM(--(FREQUENCY(IF(C$2:C$3074=C2715, MATCH(D$2:D$3074, D$2:D$3074, 0)), ROW(D$2:D$3074)-ROW(D$2)+1) &gt; 0))</f>
        <v>#N/A</v>
      </c>
      <c r="G2715" s="68" t="str">
        <f t="shared" si="404"/>
        <v>SINGLE</v>
      </c>
      <c r="K2715" s="186"/>
      <c r="N2715" s="3" t="str">
        <f t="shared" si="405"/>
        <v/>
      </c>
    </row>
    <row r="2716" spans="2:14">
      <c r="B2716" s="83" t="e">
        <f t="array" ref="B2716">SUM(--(FREQUENCY(IF(C$2:C$3074=C2716, MATCH(D$2:D$3074, D$2:D$3074, 0)), ROW(D$2:D$3074)-ROW(D$2)+1) &gt; 0))</f>
        <v>#N/A</v>
      </c>
      <c r="G2716" s="68" t="str">
        <f t="shared" si="404"/>
        <v>SINGLE</v>
      </c>
      <c r="K2716" s="186"/>
      <c r="N2716" s="3" t="str">
        <f t="shared" si="405"/>
        <v/>
      </c>
    </row>
    <row r="2717" spans="2:14">
      <c r="B2717" s="83" t="e">
        <f t="array" ref="B2717">SUM(--(FREQUENCY(IF(C$2:C$3074=C2717, MATCH(D$2:D$3074, D$2:D$3074, 0)), ROW(D$2:D$3074)-ROW(D$2)+1) &gt; 0))</f>
        <v>#N/A</v>
      </c>
      <c r="G2717" s="68" t="str">
        <f t="shared" si="404"/>
        <v>SINGLE</v>
      </c>
      <c r="K2717" s="186"/>
      <c r="N2717" s="3" t="str">
        <f t="shared" si="405"/>
        <v/>
      </c>
    </row>
    <row r="2718" spans="2:14">
      <c r="B2718" s="83" t="e">
        <f t="array" ref="B2718">SUM(--(FREQUENCY(IF(C$2:C$3074=C2718, MATCH(D$2:D$3074, D$2:D$3074, 0)), ROW(D$2:D$3074)-ROW(D$2)+1) &gt; 0))</f>
        <v>#N/A</v>
      </c>
      <c r="G2718" s="68" t="str">
        <f t="shared" si="404"/>
        <v>SINGLE</v>
      </c>
      <c r="K2718" s="186"/>
      <c r="N2718" s="3" t="str">
        <f t="shared" si="405"/>
        <v/>
      </c>
    </row>
    <row r="2719" spans="2:14">
      <c r="B2719" s="83" t="e">
        <f t="array" ref="B2719">SUM(--(FREQUENCY(IF(C$2:C$3074=C2719, MATCH(D$2:D$3074, D$2:D$3074, 0)), ROW(D$2:D$3074)-ROW(D$2)+1) &gt; 0))</f>
        <v>#N/A</v>
      </c>
      <c r="G2719" s="68" t="str">
        <f t="shared" si="404"/>
        <v>SINGLE</v>
      </c>
      <c r="K2719" s="186"/>
      <c r="N2719" s="3" t="str">
        <f t="shared" si="405"/>
        <v/>
      </c>
    </row>
    <row r="2720" spans="2:14">
      <c r="B2720" s="83" t="e">
        <f t="array" ref="B2720">SUM(--(FREQUENCY(IF(C$2:C$3074=C2720, MATCH(D$2:D$3074, D$2:D$3074, 0)), ROW(D$2:D$3074)-ROW(D$2)+1) &gt; 0))</f>
        <v>#N/A</v>
      </c>
      <c r="G2720" s="68" t="str">
        <f t="shared" si="404"/>
        <v>SINGLE</v>
      </c>
      <c r="K2720" s="186"/>
      <c r="N2720" s="3" t="str">
        <f t="shared" si="405"/>
        <v/>
      </c>
    </row>
    <row r="2721" spans="2:14">
      <c r="B2721" s="83" t="e">
        <f t="array" ref="B2721">SUM(--(FREQUENCY(IF(C$2:C$3074=C2721, MATCH(D$2:D$3074, D$2:D$3074, 0)), ROW(D$2:D$3074)-ROW(D$2)+1) &gt; 0))</f>
        <v>#N/A</v>
      </c>
      <c r="G2721" s="68" t="str">
        <f t="shared" si="404"/>
        <v>SINGLE</v>
      </c>
      <c r="K2721" s="186"/>
      <c r="N2721" s="3" t="str">
        <f t="shared" si="405"/>
        <v/>
      </c>
    </row>
    <row r="2722" spans="2:14">
      <c r="B2722" s="83" t="e">
        <f t="array" ref="B2722">SUM(--(FREQUENCY(IF(C$2:C$3074=C2722, MATCH(D$2:D$3074, D$2:D$3074, 0)), ROW(D$2:D$3074)-ROW(D$2)+1) &gt; 0))</f>
        <v>#N/A</v>
      </c>
      <c r="G2722" s="68" t="str">
        <f t="shared" si="404"/>
        <v>SINGLE</v>
      </c>
      <c r="K2722" s="186"/>
      <c r="N2722" s="3" t="str">
        <f t="shared" si="405"/>
        <v/>
      </c>
    </row>
    <row r="2723" spans="2:14">
      <c r="B2723" s="83" t="e">
        <f t="array" ref="B2723">SUM(--(FREQUENCY(IF(C$2:C$3074=C2723, MATCH(D$2:D$3074, D$2:D$3074, 0)), ROW(D$2:D$3074)-ROW(D$2)+1) &gt; 0))</f>
        <v>#N/A</v>
      </c>
      <c r="G2723" s="68" t="str">
        <f t="shared" si="404"/>
        <v>SINGLE</v>
      </c>
      <c r="K2723" s="186"/>
      <c r="N2723" s="3" t="str">
        <f t="shared" si="405"/>
        <v/>
      </c>
    </row>
    <row r="2724" spans="2:14">
      <c r="B2724" s="83" t="e">
        <f t="array" ref="B2724">SUM(--(FREQUENCY(IF(C$2:C$3074=C2724, MATCH(D$2:D$3074, D$2:D$3074, 0)), ROW(D$2:D$3074)-ROW(D$2)+1) &gt; 0))</f>
        <v>#N/A</v>
      </c>
      <c r="G2724" s="68" t="str">
        <f t="shared" si="404"/>
        <v>SINGLE</v>
      </c>
      <c r="K2724" s="186"/>
      <c r="N2724" s="3" t="str">
        <f t="shared" si="405"/>
        <v/>
      </c>
    </row>
    <row r="2725" spans="2:14">
      <c r="B2725" s="83" t="e">
        <f t="array" ref="B2725">SUM(--(FREQUENCY(IF(C$2:C$3074=C2725, MATCH(D$2:D$3074, D$2:D$3074, 0)), ROW(D$2:D$3074)-ROW(D$2)+1) &gt; 0))</f>
        <v>#N/A</v>
      </c>
      <c r="G2725" s="68" t="str">
        <f t="shared" si="404"/>
        <v>SINGLE</v>
      </c>
      <c r="K2725" s="186"/>
      <c r="N2725" s="3" t="str">
        <f t="shared" si="405"/>
        <v/>
      </c>
    </row>
    <row r="2726" spans="2:14">
      <c r="B2726" s="83" t="e">
        <f t="array" ref="B2726">SUM(--(FREQUENCY(IF(C$2:C$3074=C2726, MATCH(D$2:D$3074, D$2:D$3074, 0)), ROW(D$2:D$3074)-ROW(D$2)+1) &gt; 0))</f>
        <v>#N/A</v>
      </c>
      <c r="G2726" s="68" t="str">
        <f t="shared" si="404"/>
        <v>SINGLE</v>
      </c>
      <c r="K2726" s="186"/>
      <c r="N2726" s="3" t="str">
        <f t="shared" si="405"/>
        <v/>
      </c>
    </row>
    <row r="2727" spans="2:14">
      <c r="B2727" s="83" t="e">
        <f t="array" ref="B2727">SUM(--(FREQUENCY(IF(C$2:C$3074=C2727, MATCH(D$2:D$3074, D$2:D$3074, 0)), ROW(D$2:D$3074)-ROW(D$2)+1) &gt; 0))</f>
        <v>#N/A</v>
      </c>
      <c r="G2727" s="68" t="str">
        <f t="shared" si="404"/>
        <v>SINGLE</v>
      </c>
      <c r="K2727" s="186"/>
      <c r="N2727" s="3" t="str">
        <f t="shared" si="405"/>
        <v/>
      </c>
    </row>
    <row r="2728" spans="2:14">
      <c r="B2728" s="83" t="e">
        <f t="array" ref="B2728">SUM(--(FREQUENCY(IF(C$2:C$3074=C2728, MATCH(D$2:D$3074, D$2:D$3074, 0)), ROW(D$2:D$3074)-ROW(D$2)+1) &gt; 0))</f>
        <v>#N/A</v>
      </c>
      <c r="G2728" s="68" t="str">
        <f t="shared" si="404"/>
        <v>SINGLE</v>
      </c>
      <c r="K2728" s="186"/>
      <c r="N2728" s="3" t="str">
        <f t="shared" si="405"/>
        <v/>
      </c>
    </row>
    <row r="2729" spans="2:14">
      <c r="B2729" s="83" t="e">
        <f t="array" ref="B2729">SUM(--(FREQUENCY(IF(C$2:C$3074=C2729, MATCH(D$2:D$3074, D$2:D$3074, 0)), ROW(D$2:D$3074)-ROW(D$2)+1) &gt; 0))</f>
        <v>#N/A</v>
      </c>
      <c r="G2729" s="68" t="str">
        <f t="shared" si="404"/>
        <v>SINGLE</v>
      </c>
      <c r="K2729" s="186"/>
      <c r="N2729" s="3" t="str">
        <f t="shared" si="405"/>
        <v/>
      </c>
    </row>
    <row r="2730" spans="2:14">
      <c r="B2730" s="83" t="e">
        <f t="array" ref="B2730">SUM(--(FREQUENCY(IF(C$2:C$3074=C2730, MATCH(D$2:D$3074, D$2:D$3074, 0)), ROW(D$2:D$3074)-ROW(D$2)+1) &gt; 0))</f>
        <v>#N/A</v>
      </c>
      <c r="G2730" s="68" t="str">
        <f t="shared" si="404"/>
        <v>SINGLE</v>
      </c>
      <c r="K2730" s="186"/>
      <c r="N2730" s="3" t="str">
        <f t="shared" si="405"/>
        <v/>
      </c>
    </row>
    <row r="2731" spans="2:14">
      <c r="B2731" s="83" t="e">
        <f t="array" ref="B2731">SUM(--(FREQUENCY(IF(C$2:C$3074=C2731, MATCH(D$2:D$3074, D$2:D$3074, 0)), ROW(D$2:D$3074)-ROW(D$2)+1) &gt; 0))</f>
        <v>#N/A</v>
      </c>
      <c r="G2731" s="68" t="str">
        <f t="shared" si="404"/>
        <v>SINGLE</v>
      </c>
      <c r="K2731" s="186"/>
      <c r="N2731" s="3" t="str">
        <f t="shared" si="405"/>
        <v/>
      </c>
    </row>
    <row r="2732" spans="2:14">
      <c r="B2732" s="83" t="e">
        <f t="array" ref="B2732">SUM(--(FREQUENCY(IF(C$2:C$3074=C2732, MATCH(D$2:D$3074, D$2:D$3074, 0)), ROW(D$2:D$3074)-ROW(D$2)+1) &gt; 0))</f>
        <v>#N/A</v>
      </c>
      <c r="G2732" s="68" t="str">
        <f t="shared" si="404"/>
        <v>SINGLE</v>
      </c>
      <c r="K2732" s="186"/>
      <c r="N2732" s="3" t="str">
        <f t="shared" si="405"/>
        <v/>
      </c>
    </row>
    <row r="2733" spans="2:14">
      <c r="B2733" s="83" t="e">
        <f t="array" ref="B2733">SUM(--(FREQUENCY(IF(C$2:C$3074=C2733, MATCH(D$2:D$3074, D$2:D$3074, 0)), ROW(D$2:D$3074)-ROW(D$2)+1) &gt; 0))</f>
        <v>#N/A</v>
      </c>
      <c r="G2733" s="68" t="str">
        <f t="shared" si="404"/>
        <v>SINGLE</v>
      </c>
      <c r="K2733" s="186"/>
      <c r="N2733" s="3" t="str">
        <f t="shared" si="405"/>
        <v/>
      </c>
    </row>
    <row r="2734" spans="2:14">
      <c r="B2734" s="83" t="e">
        <f t="array" ref="B2734">SUM(--(FREQUENCY(IF(C$2:C$3074=C2734, MATCH(D$2:D$3074, D$2:D$3074, 0)), ROW(D$2:D$3074)-ROW(D$2)+1) &gt; 0))</f>
        <v>#N/A</v>
      </c>
      <c r="G2734" s="68" t="str">
        <f t="shared" si="404"/>
        <v>SINGLE</v>
      </c>
      <c r="K2734" s="186"/>
      <c r="N2734" s="3" t="str">
        <f t="shared" si="405"/>
        <v/>
      </c>
    </row>
    <row r="2735" spans="2:14">
      <c r="B2735" s="83" t="e">
        <f t="array" ref="B2735">SUM(--(FREQUENCY(IF(C$2:C$3074=C2735, MATCH(D$2:D$3074, D$2:D$3074, 0)), ROW(D$2:D$3074)-ROW(D$2)+1) &gt; 0))</f>
        <v>#N/A</v>
      </c>
      <c r="G2735" s="68" t="str">
        <f t="shared" si="404"/>
        <v>SINGLE</v>
      </c>
      <c r="K2735" s="186"/>
      <c r="N2735" s="3" t="str">
        <f t="shared" si="405"/>
        <v/>
      </c>
    </row>
    <row r="2736" spans="2:14">
      <c r="B2736" s="83" t="e">
        <f t="array" ref="B2736">SUM(--(FREQUENCY(IF(C$2:C$3074=C2736, MATCH(D$2:D$3074, D$2:D$3074, 0)), ROW(D$2:D$3074)-ROW(D$2)+1) &gt; 0))</f>
        <v>#N/A</v>
      </c>
      <c r="G2736" s="68" t="str">
        <f t="shared" si="404"/>
        <v>SINGLE</v>
      </c>
      <c r="K2736" s="186"/>
      <c r="N2736" s="3" t="str">
        <f t="shared" si="405"/>
        <v/>
      </c>
    </row>
    <row r="2737" spans="2:14">
      <c r="B2737" s="83" t="e">
        <f t="array" ref="B2737">SUM(--(FREQUENCY(IF(C$2:C$3074=C2737, MATCH(D$2:D$3074, D$2:D$3074, 0)), ROW(D$2:D$3074)-ROW(D$2)+1) &gt; 0))</f>
        <v>#N/A</v>
      </c>
      <c r="G2737" s="68" t="str">
        <f t="shared" si="404"/>
        <v>SINGLE</v>
      </c>
      <c r="K2737" s="186"/>
      <c r="N2737" s="3" t="str">
        <f t="shared" si="405"/>
        <v/>
      </c>
    </row>
    <row r="2738" spans="2:14">
      <c r="B2738" s="83" t="e">
        <f t="array" ref="B2738">SUM(--(FREQUENCY(IF(C$2:C$3074=C2738, MATCH(D$2:D$3074, D$2:D$3074, 0)), ROW(D$2:D$3074)-ROW(D$2)+1) &gt; 0))</f>
        <v>#N/A</v>
      </c>
      <c r="G2738" s="68" t="str">
        <f t="shared" si="404"/>
        <v>SINGLE</v>
      </c>
      <c r="K2738" s="186"/>
      <c r="N2738" s="3" t="str">
        <f t="shared" si="405"/>
        <v/>
      </c>
    </row>
    <row r="2739" spans="2:14">
      <c r="B2739" s="83" t="e">
        <f t="array" ref="B2739">SUM(--(FREQUENCY(IF(C$2:C$3074=C2739, MATCH(D$2:D$3074, D$2:D$3074, 0)), ROW(D$2:D$3074)-ROW(D$2)+1) &gt; 0))</f>
        <v>#N/A</v>
      </c>
      <c r="G2739" s="68" t="str">
        <f t="shared" si="404"/>
        <v>SINGLE</v>
      </c>
      <c r="K2739" s="186"/>
      <c r="N2739" s="3" t="str">
        <f t="shared" si="405"/>
        <v/>
      </c>
    </row>
    <row r="2740" spans="2:14">
      <c r="B2740" s="83" t="e">
        <f t="array" ref="B2740">SUM(--(FREQUENCY(IF(C$2:C$3074=C2740, MATCH(D$2:D$3074, D$2:D$3074, 0)), ROW(D$2:D$3074)-ROW(D$2)+1) &gt; 0))</f>
        <v>#N/A</v>
      </c>
      <c r="G2740" s="68" t="str">
        <f t="shared" si="404"/>
        <v>SINGLE</v>
      </c>
      <c r="K2740" s="186"/>
      <c r="N2740" s="3" t="str">
        <f t="shared" si="405"/>
        <v/>
      </c>
    </row>
    <row r="2741" spans="2:14">
      <c r="B2741" s="83" t="e">
        <f t="array" ref="B2741">SUM(--(FREQUENCY(IF(C$2:C$3074=C2741, MATCH(D$2:D$3074, D$2:D$3074, 0)), ROW(D$2:D$3074)-ROW(D$2)+1) &gt; 0))</f>
        <v>#N/A</v>
      </c>
      <c r="G2741" s="68" t="str">
        <f t="shared" ref="G2741:G2804" si="406">IF(OR(ISNUMBER(SEARCH("DUAL",F2741)), ISNUMBER(SEARCH("IVAS",F2741))), "DUAL", "SINGLE")</f>
        <v>SINGLE</v>
      </c>
      <c r="K2741" s="186"/>
      <c r="N2741" s="3" t="str">
        <f t="shared" si="405"/>
        <v/>
      </c>
    </row>
    <row r="2742" spans="2:14">
      <c r="B2742" s="83" t="e">
        <f t="array" ref="B2742">SUM(--(FREQUENCY(IF(C$2:C$3074=C2742, MATCH(D$2:D$3074, D$2:D$3074, 0)), ROW(D$2:D$3074)-ROW(D$2)+1) &gt; 0))</f>
        <v>#N/A</v>
      </c>
      <c r="G2742" s="68" t="str">
        <f t="shared" si="406"/>
        <v>SINGLE</v>
      </c>
      <c r="K2742" s="186"/>
      <c r="N2742" s="3" t="str">
        <f t="shared" si="405"/>
        <v/>
      </c>
    </row>
    <row r="2743" spans="2:14">
      <c r="B2743" s="83" t="e">
        <f t="array" ref="B2743">SUM(--(FREQUENCY(IF(C$2:C$3074=C2743, MATCH(D$2:D$3074, D$2:D$3074, 0)), ROW(D$2:D$3074)-ROW(D$2)+1) &gt; 0))</f>
        <v>#N/A</v>
      </c>
      <c r="G2743" s="68" t="str">
        <f t="shared" si="406"/>
        <v>SINGLE</v>
      </c>
      <c r="K2743" s="186"/>
      <c r="N2743" s="3" t="str">
        <f t="shared" si="405"/>
        <v/>
      </c>
    </row>
    <row r="2744" spans="2:14">
      <c r="B2744" s="83" t="e">
        <f t="array" ref="B2744">SUM(--(FREQUENCY(IF(C$2:C$3074=C2744, MATCH(D$2:D$3074, D$2:D$3074, 0)), ROW(D$2:D$3074)-ROW(D$2)+1) &gt; 0))</f>
        <v>#N/A</v>
      </c>
      <c r="G2744" s="68" t="str">
        <f t="shared" si="406"/>
        <v>SINGLE</v>
      </c>
      <c r="K2744" s="186"/>
      <c r="N2744" s="3" t="str">
        <f t="shared" si="405"/>
        <v/>
      </c>
    </row>
    <row r="2745" spans="2:14">
      <c r="B2745" s="83" t="e">
        <f t="array" ref="B2745">SUM(--(FREQUENCY(IF(C$2:C$3074=C2745, MATCH(D$2:D$3074, D$2:D$3074, 0)), ROW(D$2:D$3074)-ROW(D$2)+1) &gt; 0))</f>
        <v>#N/A</v>
      </c>
      <c r="G2745" s="68" t="str">
        <f t="shared" si="406"/>
        <v>SINGLE</v>
      </c>
      <c r="K2745" s="186"/>
      <c r="N2745" s="3" t="str">
        <f t="shared" si="405"/>
        <v/>
      </c>
    </row>
    <row r="2746" spans="2:14">
      <c r="B2746" s="83" t="e">
        <f t="array" ref="B2746">SUM(--(FREQUENCY(IF(C$2:C$3074=C2746, MATCH(D$2:D$3074, D$2:D$3074, 0)), ROW(D$2:D$3074)-ROW(D$2)+1) &gt; 0))</f>
        <v>#N/A</v>
      </c>
      <c r="G2746" s="68" t="str">
        <f t="shared" si="406"/>
        <v>SINGLE</v>
      </c>
      <c r="K2746" s="186"/>
      <c r="N2746" s="3" t="str">
        <f t="shared" si="405"/>
        <v/>
      </c>
    </row>
    <row r="2747" spans="2:14">
      <c r="B2747" s="83" t="e">
        <f t="array" ref="B2747">SUM(--(FREQUENCY(IF(C$2:C$3074=C2747, MATCH(D$2:D$3074, D$2:D$3074, 0)), ROW(D$2:D$3074)-ROW(D$2)+1) &gt; 0))</f>
        <v>#N/A</v>
      </c>
      <c r="G2747" s="68" t="str">
        <f t="shared" si="406"/>
        <v>SINGLE</v>
      </c>
      <c r="K2747" s="186"/>
      <c r="N2747" s="3" t="str">
        <f t="shared" si="405"/>
        <v/>
      </c>
    </row>
    <row r="2748" spans="2:14">
      <c r="B2748" s="83" t="e">
        <f t="array" ref="B2748">SUM(--(FREQUENCY(IF(C$2:C$3074=C2748, MATCH(D$2:D$3074, D$2:D$3074, 0)), ROW(D$2:D$3074)-ROW(D$2)+1) &gt; 0))</f>
        <v>#N/A</v>
      </c>
      <c r="G2748" s="68" t="str">
        <f t="shared" si="406"/>
        <v>SINGLE</v>
      </c>
      <c r="K2748" s="186"/>
      <c r="N2748" s="3" t="str">
        <f t="shared" si="405"/>
        <v/>
      </c>
    </row>
    <row r="2749" spans="2:14">
      <c r="B2749" s="83" t="e">
        <f t="array" ref="B2749">SUM(--(FREQUENCY(IF(C$2:C$3074=C2749, MATCH(D$2:D$3074, D$2:D$3074, 0)), ROW(D$2:D$3074)-ROW(D$2)+1) &gt; 0))</f>
        <v>#N/A</v>
      </c>
      <c r="G2749" s="68" t="str">
        <f t="shared" si="406"/>
        <v>SINGLE</v>
      </c>
      <c r="K2749" s="186"/>
      <c r="N2749" s="3" t="str">
        <f t="shared" si="405"/>
        <v/>
      </c>
    </row>
    <row r="2750" spans="2:14">
      <c r="B2750" s="83" t="e">
        <f t="array" ref="B2750">SUM(--(FREQUENCY(IF(C$2:C$3074=C2750, MATCH(D$2:D$3074, D$2:D$3074, 0)), ROW(D$2:D$3074)-ROW(D$2)+1) &gt; 0))</f>
        <v>#N/A</v>
      </c>
      <c r="G2750" s="68" t="str">
        <f t="shared" si="406"/>
        <v>SINGLE</v>
      </c>
      <c r="K2750" s="186"/>
      <c r="N2750" s="3" t="str">
        <f t="shared" si="405"/>
        <v/>
      </c>
    </row>
    <row r="2751" spans="2:14">
      <c r="B2751" s="83" t="e">
        <f t="array" ref="B2751">SUM(--(FREQUENCY(IF(C$2:C$3074=C2751, MATCH(D$2:D$3074, D$2:D$3074, 0)), ROW(D$2:D$3074)-ROW(D$2)+1) &gt; 0))</f>
        <v>#N/A</v>
      </c>
      <c r="G2751" s="68" t="str">
        <f t="shared" si="406"/>
        <v>SINGLE</v>
      </c>
      <c r="K2751" s="186"/>
      <c r="N2751" s="3" t="str">
        <f t="shared" ref="N2751:N2814" si="407">IF(O2751&lt;&gt;"", "NG", "")</f>
        <v/>
      </c>
    </row>
    <row r="2752" spans="2:14">
      <c r="B2752" s="83" t="e">
        <f t="array" ref="B2752">SUM(--(FREQUENCY(IF(C$2:C$3074=C2752, MATCH(D$2:D$3074, D$2:D$3074, 0)), ROW(D$2:D$3074)-ROW(D$2)+1) &gt; 0))</f>
        <v>#N/A</v>
      </c>
      <c r="G2752" s="68" t="str">
        <f t="shared" si="406"/>
        <v>SINGLE</v>
      </c>
      <c r="K2752" s="186"/>
      <c r="N2752" s="3" t="str">
        <f t="shared" si="407"/>
        <v/>
      </c>
    </row>
    <row r="2753" spans="2:14">
      <c r="B2753" s="83" t="e">
        <f t="array" ref="B2753">SUM(--(FREQUENCY(IF(C$2:C$3074=C2753, MATCH(D$2:D$3074, D$2:D$3074, 0)), ROW(D$2:D$3074)-ROW(D$2)+1) &gt; 0))</f>
        <v>#N/A</v>
      </c>
      <c r="G2753" s="68" t="str">
        <f t="shared" si="406"/>
        <v>SINGLE</v>
      </c>
      <c r="K2753" s="186"/>
      <c r="N2753" s="3" t="str">
        <f t="shared" si="407"/>
        <v/>
      </c>
    </row>
    <row r="2754" spans="2:14">
      <c r="B2754" s="83" t="e">
        <f t="array" ref="B2754">SUM(--(FREQUENCY(IF(C$2:C$3074=C2754, MATCH(D$2:D$3074, D$2:D$3074, 0)), ROW(D$2:D$3074)-ROW(D$2)+1) &gt; 0))</f>
        <v>#N/A</v>
      </c>
      <c r="G2754" s="68" t="str">
        <f t="shared" si="406"/>
        <v>SINGLE</v>
      </c>
      <c r="K2754" s="186"/>
      <c r="N2754" s="3" t="str">
        <f t="shared" si="407"/>
        <v/>
      </c>
    </row>
    <row r="2755" spans="2:14">
      <c r="B2755" s="83" t="e">
        <f t="array" ref="B2755">SUM(--(FREQUENCY(IF(C$2:C$3074=C2755, MATCH(D$2:D$3074, D$2:D$3074, 0)), ROW(D$2:D$3074)-ROW(D$2)+1) &gt; 0))</f>
        <v>#N/A</v>
      </c>
      <c r="G2755" s="68" t="str">
        <f t="shared" si="406"/>
        <v>SINGLE</v>
      </c>
      <c r="K2755" s="186"/>
      <c r="N2755" s="3" t="str">
        <f t="shared" si="407"/>
        <v/>
      </c>
    </row>
    <row r="2756" spans="2:14">
      <c r="B2756" s="83" t="e">
        <f t="array" ref="B2756">SUM(--(FREQUENCY(IF(C$2:C$3074=C2756, MATCH(D$2:D$3074, D$2:D$3074, 0)), ROW(D$2:D$3074)-ROW(D$2)+1) &gt; 0))</f>
        <v>#N/A</v>
      </c>
      <c r="G2756" s="68" t="str">
        <f t="shared" si="406"/>
        <v>SINGLE</v>
      </c>
      <c r="K2756" s="186"/>
      <c r="N2756" s="3" t="str">
        <f t="shared" si="407"/>
        <v/>
      </c>
    </row>
    <row r="2757" spans="2:14">
      <c r="B2757" s="83" t="e">
        <f t="array" ref="B2757">SUM(--(FREQUENCY(IF(C$2:C$3074=C2757, MATCH(D$2:D$3074, D$2:D$3074, 0)), ROW(D$2:D$3074)-ROW(D$2)+1) &gt; 0))</f>
        <v>#N/A</v>
      </c>
      <c r="G2757" s="68" t="str">
        <f t="shared" si="406"/>
        <v>SINGLE</v>
      </c>
      <c r="K2757" s="186"/>
      <c r="N2757" s="3" t="str">
        <f t="shared" si="407"/>
        <v/>
      </c>
    </row>
    <row r="2758" spans="2:14">
      <c r="B2758" s="83" t="e">
        <f t="array" ref="B2758">SUM(--(FREQUENCY(IF(C$2:C$3074=C2758, MATCH(D$2:D$3074, D$2:D$3074, 0)), ROW(D$2:D$3074)-ROW(D$2)+1) &gt; 0))</f>
        <v>#N/A</v>
      </c>
      <c r="G2758" s="68" t="str">
        <f t="shared" si="406"/>
        <v>SINGLE</v>
      </c>
      <c r="K2758" s="186"/>
      <c r="N2758" s="3" t="str">
        <f t="shared" si="407"/>
        <v/>
      </c>
    </row>
    <row r="2759" spans="2:14">
      <c r="B2759" s="83" t="e">
        <f t="array" ref="B2759">SUM(--(FREQUENCY(IF(C$2:C$3074=C2759, MATCH(D$2:D$3074, D$2:D$3074, 0)), ROW(D$2:D$3074)-ROW(D$2)+1) &gt; 0))</f>
        <v>#N/A</v>
      </c>
      <c r="G2759" s="68" t="str">
        <f t="shared" si="406"/>
        <v>SINGLE</v>
      </c>
      <c r="K2759" s="186"/>
      <c r="N2759" s="3" t="str">
        <f t="shared" si="407"/>
        <v/>
      </c>
    </row>
    <row r="2760" spans="2:14">
      <c r="B2760" s="83" t="e">
        <f t="array" ref="B2760">SUM(--(FREQUENCY(IF(C$2:C$3074=C2760, MATCH(D$2:D$3074, D$2:D$3074, 0)), ROW(D$2:D$3074)-ROW(D$2)+1) &gt; 0))</f>
        <v>#N/A</v>
      </c>
      <c r="G2760" s="68" t="str">
        <f t="shared" si="406"/>
        <v>SINGLE</v>
      </c>
      <c r="K2760" s="186"/>
      <c r="N2760" s="3" t="str">
        <f t="shared" si="407"/>
        <v/>
      </c>
    </row>
    <row r="2761" spans="2:14">
      <c r="B2761" s="83" t="e">
        <f t="array" ref="B2761">SUM(--(FREQUENCY(IF(C$2:C$3074=C2761, MATCH(D$2:D$3074, D$2:D$3074, 0)), ROW(D$2:D$3074)-ROW(D$2)+1) &gt; 0))</f>
        <v>#N/A</v>
      </c>
      <c r="G2761" s="68" t="str">
        <f t="shared" si="406"/>
        <v>SINGLE</v>
      </c>
      <c r="K2761" s="186"/>
      <c r="N2761" s="3" t="str">
        <f t="shared" si="407"/>
        <v/>
      </c>
    </row>
    <row r="2762" spans="2:14">
      <c r="B2762" s="83" t="e">
        <f t="array" ref="B2762">SUM(--(FREQUENCY(IF(C$2:C$3074=C2762, MATCH(D$2:D$3074, D$2:D$3074, 0)), ROW(D$2:D$3074)-ROW(D$2)+1) &gt; 0))</f>
        <v>#N/A</v>
      </c>
      <c r="G2762" s="68" t="str">
        <f t="shared" si="406"/>
        <v>SINGLE</v>
      </c>
      <c r="K2762" s="186"/>
      <c r="N2762" s="3" t="str">
        <f t="shared" si="407"/>
        <v/>
      </c>
    </row>
    <row r="2763" spans="2:14">
      <c r="B2763" s="83" t="e">
        <f t="array" ref="B2763">SUM(--(FREQUENCY(IF(C$2:C$3074=C2763, MATCH(D$2:D$3074, D$2:D$3074, 0)), ROW(D$2:D$3074)-ROW(D$2)+1) &gt; 0))</f>
        <v>#N/A</v>
      </c>
      <c r="G2763" s="68" t="str">
        <f t="shared" si="406"/>
        <v>SINGLE</v>
      </c>
      <c r="K2763" s="186"/>
      <c r="N2763" s="3" t="str">
        <f t="shared" si="407"/>
        <v/>
      </c>
    </row>
    <row r="2764" spans="2:14">
      <c r="B2764" s="83" t="e">
        <f t="array" ref="B2764">SUM(--(FREQUENCY(IF(C$2:C$3074=C2764, MATCH(D$2:D$3074, D$2:D$3074, 0)), ROW(D$2:D$3074)-ROW(D$2)+1) &gt; 0))</f>
        <v>#N/A</v>
      </c>
      <c r="G2764" s="68" t="str">
        <f t="shared" si="406"/>
        <v>SINGLE</v>
      </c>
      <c r="K2764" s="186"/>
      <c r="N2764" s="3" t="str">
        <f t="shared" si="407"/>
        <v/>
      </c>
    </row>
    <row r="2765" spans="2:14">
      <c r="B2765" s="83" t="e">
        <f t="array" ref="B2765">SUM(--(FREQUENCY(IF(C$2:C$3074=C2765, MATCH(D$2:D$3074, D$2:D$3074, 0)), ROW(D$2:D$3074)-ROW(D$2)+1) &gt; 0))</f>
        <v>#N/A</v>
      </c>
      <c r="G2765" s="68" t="str">
        <f t="shared" si="406"/>
        <v>SINGLE</v>
      </c>
      <c r="K2765" s="186"/>
      <c r="N2765" s="3" t="str">
        <f t="shared" si="407"/>
        <v/>
      </c>
    </row>
    <row r="2766" spans="2:14">
      <c r="B2766" s="83" t="e">
        <f t="array" ref="B2766">SUM(--(FREQUENCY(IF(C$2:C$3074=C2766, MATCH(D$2:D$3074, D$2:D$3074, 0)), ROW(D$2:D$3074)-ROW(D$2)+1) &gt; 0))</f>
        <v>#N/A</v>
      </c>
      <c r="G2766" s="68" t="str">
        <f t="shared" si="406"/>
        <v>SINGLE</v>
      </c>
      <c r="K2766" s="186"/>
      <c r="N2766" s="3" t="str">
        <f t="shared" si="407"/>
        <v/>
      </c>
    </row>
    <row r="2767" spans="2:14">
      <c r="B2767" s="83" t="e">
        <f t="array" ref="B2767">SUM(--(FREQUENCY(IF(C$2:C$3074=C2767, MATCH(D$2:D$3074, D$2:D$3074, 0)), ROW(D$2:D$3074)-ROW(D$2)+1) &gt; 0))</f>
        <v>#N/A</v>
      </c>
      <c r="G2767" s="68" t="str">
        <f t="shared" si="406"/>
        <v>SINGLE</v>
      </c>
      <c r="K2767" s="186"/>
      <c r="N2767" s="3" t="str">
        <f t="shared" si="407"/>
        <v/>
      </c>
    </row>
    <row r="2768" spans="2:14">
      <c r="B2768" s="83" t="e">
        <f t="array" ref="B2768">SUM(--(FREQUENCY(IF(C$2:C$3074=C2768, MATCH(D$2:D$3074, D$2:D$3074, 0)), ROW(D$2:D$3074)-ROW(D$2)+1) &gt; 0))</f>
        <v>#N/A</v>
      </c>
      <c r="G2768" s="68" t="str">
        <f t="shared" si="406"/>
        <v>SINGLE</v>
      </c>
      <c r="K2768" s="186"/>
      <c r="N2768" s="3" t="str">
        <f t="shared" si="407"/>
        <v/>
      </c>
    </row>
    <row r="2769" spans="2:14">
      <c r="B2769" s="83" t="e">
        <f t="array" ref="B2769">SUM(--(FREQUENCY(IF(C$2:C$3074=C2769, MATCH(D$2:D$3074, D$2:D$3074, 0)), ROW(D$2:D$3074)-ROW(D$2)+1) &gt; 0))</f>
        <v>#N/A</v>
      </c>
      <c r="G2769" s="68" t="str">
        <f t="shared" si="406"/>
        <v>SINGLE</v>
      </c>
      <c r="K2769" s="186"/>
      <c r="N2769" s="3" t="str">
        <f t="shared" si="407"/>
        <v/>
      </c>
    </row>
    <row r="2770" spans="2:14">
      <c r="B2770" s="83" t="e">
        <f t="array" ref="B2770">SUM(--(FREQUENCY(IF(C$2:C$3074=C2770, MATCH(D$2:D$3074, D$2:D$3074, 0)), ROW(D$2:D$3074)-ROW(D$2)+1) &gt; 0))</f>
        <v>#N/A</v>
      </c>
      <c r="G2770" s="68" t="str">
        <f t="shared" si="406"/>
        <v>SINGLE</v>
      </c>
      <c r="K2770" s="186"/>
      <c r="N2770" s="3" t="str">
        <f t="shared" si="407"/>
        <v/>
      </c>
    </row>
    <row r="2771" spans="2:14">
      <c r="B2771" s="83" t="e">
        <f t="array" ref="B2771">SUM(--(FREQUENCY(IF(C$2:C$3074=C2771, MATCH(D$2:D$3074, D$2:D$3074, 0)), ROW(D$2:D$3074)-ROW(D$2)+1) &gt; 0))</f>
        <v>#N/A</v>
      </c>
      <c r="G2771" s="68" t="str">
        <f t="shared" si="406"/>
        <v>SINGLE</v>
      </c>
      <c r="K2771" s="186"/>
      <c r="N2771" s="3" t="str">
        <f t="shared" si="407"/>
        <v/>
      </c>
    </row>
    <row r="2772" spans="2:14">
      <c r="B2772" s="83" t="e">
        <f t="array" ref="B2772">SUM(--(FREQUENCY(IF(C$2:C$3074=C2772, MATCH(D$2:D$3074, D$2:D$3074, 0)), ROW(D$2:D$3074)-ROW(D$2)+1) &gt; 0))</f>
        <v>#N/A</v>
      </c>
      <c r="G2772" s="68" t="str">
        <f t="shared" si="406"/>
        <v>SINGLE</v>
      </c>
      <c r="K2772" s="186"/>
      <c r="N2772" s="3" t="str">
        <f t="shared" si="407"/>
        <v/>
      </c>
    </row>
    <row r="2773" spans="2:14">
      <c r="B2773" s="83" t="e">
        <f t="array" ref="B2773">SUM(--(FREQUENCY(IF(C$2:C$3074=C2773, MATCH(D$2:D$3074, D$2:D$3074, 0)), ROW(D$2:D$3074)-ROW(D$2)+1) &gt; 0))</f>
        <v>#N/A</v>
      </c>
      <c r="G2773" s="68" t="str">
        <f t="shared" si="406"/>
        <v>SINGLE</v>
      </c>
      <c r="K2773" s="186"/>
      <c r="N2773" s="3" t="str">
        <f t="shared" si="407"/>
        <v/>
      </c>
    </row>
    <row r="2774" spans="2:14">
      <c r="B2774" s="83" t="e">
        <f t="array" ref="B2774">SUM(--(FREQUENCY(IF(C$2:C$3074=C2774, MATCH(D$2:D$3074, D$2:D$3074, 0)), ROW(D$2:D$3074)-ROW(D$2)+1) &gt; 0))</f>
        <v>#N/A</v>
      </c>
      <c r="G2774" s="68" t="str">
        <f t="shared" si="406"/>
        <v>SINGLE</v>
      </c>
      <c r="K2774" s="186"/>
      <c r="N2774" s="3" t="str">
        <f t="shared" si="407"/>
        <v/>
      </c>
    </row>
    <row r="2775" spans="2:14">
      <c r="B2775" s="83" t="e">
        <f t="array" ref="B2775">SUM(--(FREQUENCY(IF(C$2:C$3074=C2775, MATCH(D$2:D$3074, D$2:D$3074, 0)), ROW(D$2:D$3074)-ROW(D$2)+1) &gt; 0))</f>
        <v>#N/A</v>
      </c>
      <c r="G2775" s="68" t="str">
        <f t="shared" si="406"/>
        <v>SINGLE</v>
      </c>
      <c r="K2775" s="186"/>
      <c r="N2775" s="3" t="str">
        <f t="shared" si="407"/>
        <v/>
      </c>
    </row>
    <row r="2776" spans="2:14">
      <c r="B2776" s="83" t="e">
        <f t="array" ref="B2776">SUM(--(FREQUENCY(IF(C$2:C$3074=C2776, MATCH(D$2:D$3074, D$2:D$3074, 0)), ROW(D$2:D$3074)-ROW(D$2)+1) &gt; 0))</f>
        <v>#N/A</v>
      </c>
      <c r="G2776" s="68" t="str">
        <f t="shared" si="406"/>
        <v>SINGLE</v>
      </c>
      <c r="K2776" s="186"/>
      <c r="N2776" s="3" t="str">
        <f t="shared" si="407"/>
        <v/>
      </c>
    </row>
    <row r="2777" spans="2:14">
      <c r="B2777" s="83" t="e">
        <f t="array" ref="B2777">SUM(--(FREQUENCY(IF(C$2:C$3074=C2777, MATCH(D$2:D$3074, D$2:D$3074, 0)), ROW(D$2:D$3074)-ROW(D$2)+1) &gt; 0))</f>
        <v>#N/A</v>
      </c>
      <c r="G2777" s="68" t="str">
        <f t="shared" si="406"/>
        <v>SINGLE</v>
      </c>
      <c r="K2777" s="186"/>
      <c r="N2777" s="3" t="str">
        <f t="shared" si="407"/>
        <v/>
      </c>
    </row>
    <row r="2778" spans="2:14">
      <c r="B2778" s="83" t="e">
        <f t="array" ref="B2778">SUM(--(FREQUENCY(IF(C$2:C$3074=C2778, MATCH(D$2:D$3074, D$2:D$3074, 0)), ROW(D$2:D$3074)-ROW(D$2)+1) &gt; 0))</f>
        <v>#N/A</v>
      </c>
      <c r="G2778" s="68" t="str">
        <f t="shared" si="406"/>
        <v>SINGLE</v>
      </c>
      <c r="K2778" s="186"/>
      <c r="N2778" s="3" t="str">
        <f t="shared" si="407"/>
        <v/>
      </c>
    </row>
    <row r="2779" spans="2:14">
      <c r="B2779" s="83" t="e">
        <f t="array" ref="B2779">SUM(--(FREQUENCY(IF(C$2:C$3074=C2779, MATCH(D$2:D$3074, D$2:D$3074, 0)), ROW(D$2:D$3074)-ROW(D$2)+1) &gt; 0))</f>
        <v>#N/A</v>
      </c>
      <c r="G2779" s="68" t="str">
        <f t="shared" si="406"/>
        <v>SINGLE</v>
      </c>
      <c r="K2779" s="186"/>
      <c r="N2779" s="3" t="str">
        <f t="shared" si="407"/>
        <v/>
      </c>
    </row>
    <row r="2780" spans="2:14">
      <c r="B2780" s="83" t="e">
        <f t="array" ref="B2780">SUM(--(FREQUENCY(IF(C$2:C$3074=C2780, MATCH(D$2:D$3074, D$2:D$3074, 0)), ROW(D$2:D$3074)-ROW(D$2)+1) &gt; 0))</f>
        <v>#N/A</v>
      </c>
      <c r="G2780" s="68" t="str">
        <f t="shared" si="406"/>
        <v>SINGLE</v>
      </c>
      <c r="K2780" s="186"/>
      <c r="N2780" s="3" t="str">
        <f t="shared" si="407"/>
        <v/>
      </c>
    </row>
    <row r="2781" spans="2:14">
      <c r="B2781" s="83" t="e">
        <f t="array" ref="B2781">SUM(--(FREQUENCY(IF(C$2:C$3074=C2781, MATCH(D$2:D$3074, D$2:D$3074, 0)), ROW(D$2:D$3074)-ROW(D$2)+1) &gt; 0))</f>
        <v>#N/A</v>
      </c>
      <c r="G2781" s="68" t="str">
        <f t="shared" si="406"/>
        <v>SINGLE</v>
      </c>
      <c r="K2781" s="186"/>
      <c r="N2781" s="3" t="str">
        <f t="shared" si="407"/>
        <v/>
      </c>
    </row>
    <row r="2782" spans="2:14">
      <c r="B2782" s="83" t="e">
        <f t="array" ref="B2782">SUM(--(FREQUENCY(IF(C$2:C$3074=C2782, MATCH(D$2:D$3074, D$2:D$3074, 0)), ROW(D$2:D$3074)-ROW(D$2)+1) &gt; 0))</f>
        <v>#N/A</v>
      </c>
      <c r="G2782" s="68" t="str">
        <f t="shared" si="406"/>
        <v>SINGLE</v>
      </c>
      <c r="K2782" s="186"/>
      <c r="N2782" s="3" t="str">
        <f t="shared" si="407"/>
        <v/>
      </c>
    </row>
    <row r="2783" spans="2:14">
      <c r="B2783" s="83" t="e">
        <f t="array" ref="B2783">SUM(--(FREQUENCY(IF(C$2:C$3074=C2783, MATCH(D$2:D$3074, D$2:D$3074, 0)), ROW(D$2:D$3074)-ROW(D$2)+1) &gt; 0))</f>
        <v>#N/A</v>
      </c>
      <c r="G2783" s="68" t="str">
        <f t="shared" si="406"/>
        <v>SINGLE</v>
      </c>
      <c r="K2783" s="186"/>
      <c r="N2783" s="3" t="str">
        <f t="shared" si="407"/>
        <v/>
      </c>
    </row>
    <row r="2784" spans="2:14">
      <c r="B2784" s="83" t="e">
        <f t="array" ref="B2784">SUM(--(FREQUENCY(IF(C$2:C$3074=C2784, MATCH(D$2:D$3074, D$2:D$3074, 0)), ROW(D$2:D$3074)-ROW(D$2)+1) &gt; 0))</f>
        <v>#N/A</v>
      </c>
      <c r="G2784" s="68" t="str">
        <f t="shared" si="406"/>
        <v>SINGLE</v>
      </c>
      <c r="K2784" s="186"/>
      <c r="N2784" s="3" t="str">
        <f t="shared" si="407"/>
        <v/>
      </c>
    </row>
    <row r="2785" spans="2:14">
      <c r="B2785" s="83" t="e">
        <f t="array" ref="B2785">SUM(--(FREQUENCY(IF(C$2:C$3074=C2785, MATCH(D$2:D$3074, D$2:D$3074, 0)), ROW(D$2:D$3074)-ROW(D$2)+1) &gt; 0))</f>
        <v>#N/A</v>
      </c>
      <c r="G2785" s="68" t="str">
        <f t="shared" si="406"/>
        <v>SINGLE</v>
      </c>
      <c r="K2785" s="186"/>
      <c r="N2785" s="3" t="str">
        <f t="shared" si="407"/>
        <v/>
      </c>
    </row>
    <row r="2786" spans="2:14">
      <c r="B2786" s="83" t="e">
        <f t="array" ref="B2786">SUM(--(FREQUENCY(IF(C$2:C$3074=C2786, MATCH(D$2:D$3074, D$2:D$3074, 0)), ROW(D$2:D$3074)-ROW(D$2)+1) &gt; 0))</f>
        <v>#N/A</v>
      </c>
      <c r="G2786" s="68" t="str">
        <f t="shared" si="406"/>
        <v>SINGLE</v>
      </c>
      <c r="K2786" s="186"/>
      <c r="N2786" s="3" t="str">
        <f t="shared" si="407"/>
        <v/>
      </c>
    </row>
    <row r="2787" spans="2:14">
      <c r="B2787" s="83" t="e">
        <f t="array" ref="B2787">SUM(--(FREQUENCY(IF(C$2:C$3074=C2787, MATCH(D$2:D$3074, D$2:D$3074, 0)), ROW(D$2:D$3074)-ROW(D$2)+1) &gt; 0))</f>
        <v>#N/A</v>
      </c>
      <c r="G2787" s="68" t="str">
        <f t="shared" si="406"/>
        <v>SINGLE</v>
      </c>
      <c r="K2787" s="186"/>
      <c r="N2787" s="3" t="str">
        <f t="shared" si="407"/>
        <v/>
      </c>
    </row>
    <row r="2788" spans="2:14">
      <c r="B2788" s="83" t="e">
        <f t="array" ref="B2788">SUM(--(FREQUENCY(IF(C$2:C$3074=C2788, MATCH(D$2:D$3074, D$2:D$3074, 0)), ROW(D$2:D$3074)-ROW(D$2)+1) &gt; 0))</f>
        <v>#N/A</v>
      </c>
      <c r="G2788" s="68" t="str">
        <f t="shared" si="406"/>
        <v>SINGLE</v>
      </c>
      <c r="K2788" s="186"/>
      <c r="N2788" s="3" t="str">
        <f t="shared" si="407"/>
        <v/>
      </c>
    </row>
    <row r="2789" spans="2:14">
      <c r="B2789" s="83" t="e">
        <f t="array" ref="B2789">SUM(--(FREQUENCY(IF(C$2:C$3074=C2789, MATCH(D$2:D$3074, D$2:D$3074, 0)), ROW(D$2:D$3074)-ROW(D$2)+1) &gt; 0))</f>
        <v>#N/A</v>
      </c>
      <c r="G2789" s="68" t="str">
        <f t="shared" si="406"/>
        <v>SINGLE</v>
      </c>
      <c r="K2789" s="186"/>
      <c r="N2789" s="3" t="str">
        <f t="shared" si="407"/>
        <v/>
      </c>
    </row>
    <row r="2790" spans="2:14">
      <c r="B2790" s="83" t="e">
        <f t="array" ref="B2790">SUM(--(FREQUENCY(IF(C$2:C$3074=C2790, MATCH(D$2:D$3074, D$2:D$3074, 0)), ROW(D$2:D$3074)-ROW(D$2)+1) &gt; 0))</f>
        <v>#N/A</v>
      </c>
      <c r="G2790" s="68" t="str">
        <f t="shared" si="406"/>
        <v>SINGLE</v>
      </c>
      <c r="K2790" s="186"/>
      <c r="N2790" s="3" t="str">
        <f t="shared" si="407"/>
        <v/>
      </c>
    </row>
    <row r="2791" spans="2:14">
      <c r="B2791" s="83" t="e">
        <f t="array" ref="B2791">SUM(--(FREQUENCY(IF(C$2:C$3074=C2791, MATCH(D$2:D$3074, D$2:D$3074, 0)), ROW(D$2:D$3074)-ROW(D$2)+1) &gt; 0))</f>
        <v>#N/A</v>
      </c>
      <c r="G2791" s="68" t="str">
        <f t="shared" si="406"/>
        <v>SINGLE</v>
      </c>
      <c r="K2791" s="186"/>
      <c r="N2791" s="3" t="str">
        <f t="shared" si="407"/>
        <v/>
      </c>
    </row>
    <row r="2792" spans="2:14">
      <c r="B2792" s="83" t="e">
        <f t="array" ref="B2792">SUM(--(FREQUENCY(IF(C$2:C$3074=C2792, MATCH(D$2:D$3074, D$2:D$3074, 0)), ROW(D$2:D$3074)-ROW(D$2)+1) &gt; 0))</f>
        <v>#N/A</v>
      </c>
      <c r="G2792" s="68" t="str">
        <f t="shared" si="406"/>
        <v>SINGLE</v>
      </c>
      <c r="K2792" s="186"/>
      <c r="N2792" s="3" t="str">
        <f t="shared" si="407"/>
        <v/>
      </c>
    </row>
    <row r="2793" spans="2:14">
      <c r="B2793" s="83" t="e">
        <f t="array" ref="B2793">SUM(--(FREQUENCY(IF(C$2:C$3074=C2793, MATCH(D$2:D$3074, D$2:D$3074, 0)), ROW(D$2:D$3074)-ROW(D$2)+1) &gt; 0))</f>
        <v>#N/A</v>
      </c>
      <c r="G2793" s="68" t="str">
        <f t="shared" si="406"/>
        <v>SINGLE</v>
      </c>
      <c r="K2793" s="186"/>
      <c r="N2793" s="3" t="str">
        <f t="shared" si="407"/>
        <v/>
      </c>
    </row>
    <row r="2794" spans="2:14">
      <c r="B2794" s="83" t="e">
        <f t="array" ref="B2794">SUM(--(FREQUENCY(IF(C$2:C$3074=C2794, MATCH(D$2:D$3074, D$2:D$3074, 0)), ROW(D$2:D$3074)-ROW(D$2)+1) &gt; 0))</f>
        <v>#N/A</v>
      </c>
      <c r="G2794" s="68" t="str">
        <f t="shared" si="406"/>
        <v>SINGLE</v>
      </c>
      <c r="K2794" s="186"/>
      <c r="N2794" s="3" t="str">
        <f t="shared" si="407"/>
        <v/>
      </c>
    </row>
    <row r="2795" spans="2:14">
      <c r="B2795" s="83" t="e">
        <f t="array" ref="B2795">SUM(--(FREQUENCY(IF(C$2:C$3074=C2795, MATCH(D$2:D$3074, D$2:D$3074, 0)), ROW(D$2:D$3074)-ROW(D$2)+1) &gt; 0))</f>
        <v>#N/A</v>
      </c>
      <c r="G2795" s="68" t="str">
        <f t="shared" si="406"/>
        <v>SINGLE</v>
      </c>
      <c r="K2795" s="186"/>
      <c r="N2795" s="3" t="str">
        <f t="shared" si="407"/>
        <v/>
      </c>
    </row>
    <row r="2796" spans="2:14">
      <c r="B2796" s="83" t="e">
        <f t="array" ref="B2796">SUM(--(FREQUENCY(IF(C$2:C$3074=C2796, MATCH(D$2:D$3074, D$2:D$3074, 0)), ROW(D$2:D$3074)-ROW(D$2)+1) &gt; 0))</f>
        <v>#N/A</v>
      </c>
      <c r="G2796" s="68" t="str">
        <f t="shared" si="406"/>
        <v>SINGLE</v>
      </c>
      <c r="K2796" s="186"/>
      <c r="N2796" s="3" t="str">
        <f t="shared" si="407"/>
        <v/>
      </c>
    </row>
    <row r="2797" spans="2:14">
      <c r="B2797" s="83" t="e">
        <f t="array" ref="B2797">SUM(--(FREQUENCY(IF(C$2:C$3074=C2797, MATCH(D$2:D$3074, D$2:D$3074, 0)), ROW(D$2:D$3074)-ROW(D$2)+1) &gt; 0))</f>
        <v>#N/A</v>
      </c>
      <c r="G2797" s="68" t="str">
        <f t="shared" si="406"/>
        <v>SINGLE</v>
      </c>
      <c r="K2797" s="186"/>
      <c r="N2797" s="3" t="str">
        <f t="shared" si="407"/>
        <v/>
      </c>
    </row>
    <row r="2798" spans="2:14">
      <c r="B2798" s="83" t="e">
        <f t="array" ref="B2798">SUM(--(FREQUENCY(IF(C$2:C$3074=C2798, MATCH(D$2:D$3074, D$2:D$3074, 0)), ROW(D$2:D$3074)-ROW(D$2)+1) &gt; 0))</f>
        <v>#N/A</v>
      </c>
      <c r="G2798" s="68" t="str">
        <f t="shared" si="406"/>
        <v>SINGLE</v>
      </c>
      <c r="K2798" s="186"/>
      <c r="N2798" s="3" t="str">
        <f t="shared" si="407"/>
        <v/>
      </c>
    </row>
    <row r="2799" spans="2:14">
      <c r="B2799" s="83" t="e">
        <f t="array" ref="B2799">SUM(--(FREQUENCY(IF(C$2:C$3074=C2799, MATCH(D$2:D$3074, D$2:D$3074, 0)), ROW(D$2:D$3074)-ROW(D$2)+1) &gt; 0))</f>
        <v>#N/A</v>
      </c>
      <c r="G2799" s="68" t="str">
        <f t="shared" si="406"/>
        <v>SINGLE</v>
      </c>
      <c r="K2799" s="186"/>
      <c r="N2799" s="3" t="str">
        <f t="shared" si="407"/>
        <v/>
      </c>
    </row>
    <row r="2800" spans="2:14">
      <c r="B2800" s="83" t="e">
        <f t="array" ref="B2800">SUM(--(FREQUENCY(IF(C$2:C$3074=C2800, MATCH(D$2:D$3074, D$2:D$3074, 0)), ROW(D$2:D$3074)-ROW(D$2)+1) &gt; 0))</f>
        <v>#N/A</v>
      </c>
      <c r="G2800" s="68" t="str">
        <f t="shared" si="406"/>
        <v>SINGLE</v>
      </c>
      <c r="K2800" s="186"/>
      <c r="N2800" s="3" t="str">
        <f t="shared" si="407"/>
        <v/>
      </c>
    </row>
    <row r="2801" spans="2:14">
      <c r="B2801" s="83" t="e">
        <f t="array" ref="B2801">SUM(--(FREQUENCY(IF(C$2:C$3074=C2801, MATCH(D$2:D$3074, D$2:D$3074, 0)), ROW(D$2:D$3074)-ROW(D$2)+1) &gt; 0))</f>
        <v>#N/A</v>
      </c>
      <c r="G2801" s="68" t="str">
        <f t="shared" si="406"/>
        <v>SINGLE</v>
      </c>
      <c r="K2801" s="186"/>
      <c r="N2801" s="3" t="str">
        <f t="shared" si="407"/>
        <v/>
      </c>
    </row>
    <row r="2802" spans="2:14">
      <c r="B2802" s="83" t="e">
        <f t="array" ref="B2802">SUM(--(FREQUENCY(IF(C$2:C$3074=C2802, MATCH(D$2:D$3074, D$2:D$3074, 0)), ROW(D$2:D$3074)-ROW(D$2)+1) &gt; 0))</f>
        <v>#N/A</v>
      </c>
      <c r="G2802" s="68" t="str">
        <f t="shared" si="406"/>
        <v>SINGLE</v>
      </c>
      <c r="K2802" s="186"/>
      <c r="N2802" s="3" t="str">
        <f t="shared" si="407"/>
        <v/>
      </c>
    </row>
    <row r="2803" spans="2:14">
      <c r="B2803" s="83" t="e">
        <f t="array" ref="B2803">SUM(--(FREQUENCY(IF(C$2:C$3074=C2803, MATCH(D$2:D$3074, D$2:D$3074, 0)), ROW(D$2:D$3074)-ROW(D$2)+1) &gt; 0))</f>
        <v>#N/A</v>
      </c>
      <c r="G2803" s="68" t="str">
        <f t="shared" si="406"/>
        <v>SINGLE</v>
      </c>
      <c r="K2803" s="186"/>
      <c r="N2803" s="3" t="str">
        <f t="shared" si="407"/>
        <v/>
      </c>
    </row>
    <row r="2804" spans="2:14">
      <c r="B2804" s="83" t="e">
        <f t="array" ref="B2804">SUM(--(FREQUENCY(IF(C$2:C$3074=C2804, MATCH(D$2:D$3074, D$2:D$3074, 0)), ROW(D$2:D$3074)-ROW(D$2)+1) &gt; 0))</f>
        <v>#N/A</v>
      </c>
      <c r="G2804" s="68" t="str">
        <f t="shared" si="406"/>
        <v>SINGLE</v>
      </c>
      <c r="K2804" s="186"/>
      <c r="N2804" s="3" t="str">
        <f t="shared" si="407"/>
        <v/>
      </c>
    </row>
    <row r="2805" spans="2:14">
      <c r="B2805" s="83" t="e">
        <f t="array" ref="B2805">SUM(--(FREQUENCY(IF(C$2:C$3074=C2805, MATCH(D$2:D$3074, D$2:D$3074, 0)), ROW(D$2:D$3074)-ROW(D$2)+1) &gt; 0))</f>
        <v>#N/A</v>
      </c>
      <c r="G2805" s="68" t="str">
        <f t="shared" ref="G2805:G2868" si="408">IF(OR(ISNUMBER(SEARCH("DUAL",F2805)), ISNUMBER(SEARCH("IVAS",F2805))), "DUAL", "SINGLE")</f>
        <v>SINGLE</v>
      </c>
      <c r="K2805" s="186"/>
      <c r="N2805" s="3" t="str">
        <f t="shared" si="407"/>
        <v/>
      </c>
    </row>
    <row r="2806" spans="2:14">
      <c r="B2806" s="83" t="e">
        <f t="array" ref="B2806">SUM(--(FREQUENCY(IF(C$2:C$3074=C2806, MATCH(D$2:D$3074, D$2:D$3074, 0)), ROW(D$2:D$3074)-ROW(D$2)+1) &gt; 0))</f>
        <v>#N/A</v>
      </c>
      <c r="G2806" s="68" t="str">
        <f t="shared" si="408"/>
        <v>SINGLE</v>
      </c>
      <c r="K2806" s="186"/>
      <c r="N2806" s="3" t="str">
        <f t="shared" si="407"/>
        <v/>
      </c>
    </row>
    <row r="2807" spans="2:14">
      <c r="B2807" s="83" t="e">
        <f t="array" ref="B2807">SUM(--(FREQUENCY(IF(C$2:C$3074=C2807, MATCH(D$2:D$3074, D$2:D$3074, 0)), ROW(D$2:D$3074)-ROW(D$2)+1) &gt; 0))</f>
        <v>#N/A</v>
      </c>
      <c r="G2807" s="68" t="str">
        <f t="shared" si="408"/>
        <v>SINGLE</v>
      </c>
      <c r="K2807" s="186"/>
      <c r="N2807" s="3" t="str">
        <f t="shared" si="407"/>
        <v/>
      </c>
    </row>
    <row r="2808" spans="2:14">
      <c r="B2808" s="83" t="e">
        <f t="array" ref="B2808">SUM(--(FREQUENCY(IF(C$2:C$3074=C2808, MATCH(D$2:D$3074, D$2:D$3074, 0)), ROW(D$2:D$3074)-ROW(D$2)+1) &gt; 0))</f>
        <v>#N/A</v>
      </c>
      <c r="G2808" s="68" t="str">
        <f t="shared" si="408"/>
        <v>SINGLE</v>
      </c>
      <c r="K2808" s="186"/>
      <c r="N2808" s="3" t="str">
        <f t="shared" si="407"/>
        <v/>
      </c>
    </row>
    <row r="2809" spans="2:14">
      <c r="B2809" s="83" t="e">
        <f t="array" ref="B2809">SUM(--(FREQUENCY(IF(C$2:C$3074=C2809, MATCH(D$2:D$3074, D$2:D$3074, 0)), ROW(D$2:D$3074)-ROW(D$2)+1) &gt; 0))</f>
        <v>#N/A</v>
      </c>
      <c r="G2809" s="68" t="str">
        <f t="shared" si="408"/>
        <v>SINGLE</v>
      </c>
      <c r="K2809" s="186"/>
      <c r="N2809" s="3" t="str">
        <f t="shared" si="407"/>
        <v/>
      </c>
    </row>
    <row r="2810" spans="2:14">
      <c r="B2810" s="83" t="e">
        <f t="array" ref="B2810">SUM(--(FREQUENCY(IF(C$2:C$3074=C2810, MATCH(D$2:D$3074, D$2:D$3074, 0)), ROW(D$2:D$3074)-ROW(D$2)+1) &gt; 0))</f>
        <v>#N/A</v>
      </c>
      <c r="G2810" s="68" t="str">
        <f t="shared" si="408"/>
        <v>SINGLE</v>
      </c>
      <c r="K2810" s="186"/>
      <c r="N2810" s="3" t="str">
        <f t="shared" si="407"/>
        <v/>
      </c>
    </row>
    <row r="2811" spans="2:14">
      <c r="B2811" s="83" t="e">
        <f t="array" ref="B2811">SUM(--(FREQUENCY(IF(C$2:C$3074=C2811, MATCH(D$2:D$3074, D$2:D$3074, 0)), ROW(D$2:D$3074)-ROW(D$2)+1) &gt; 0))</f>
        <v>#N/A</v>
      </c>
      <c r="G2811" s="68" t="str">
        <f t="shared" si="408"/>
        <v>SINGLE</v>
      </c>
      <c r="K2811" s="186"/>
      <c r="N2811" s="3" t="str">
        <f t="shared" si="407"/>
        <v/>
      </c>
    </row>
    <row r="2812" spans="2:14">
      <c r="B2812" s="83" t="e">
        <f t="array" ref="B2812">SUM(--(FREQUENCY(IF(C$2:C$3074=C2812, MATCH(D$2:D$3074, D$2:D$3074, 0)), ROW(D$2:D$3074)-ROW(D$2)+1) &gt; 0))</f>
        <v>#N/A</v>
      </c>
      <c r="G2812" s="68" t="str">
        <f t="shared" si="408"/>
        <v>SINGLE</v>
      </c>
      <c r="K2812" s="186"/>
      <c r="N2812" s="3" t="str">
        <f t="shared" si="407"/>
        <v/>
      </c>
    </row>
    <row r="2813" spans="2:14">
      <c r="B2813" s="83" t="e">
        <f t="array" ref="B2813">SUM(--(FREQUENCY(IF(C$2:C$3074=C2813, MATCH(D$2:D$3074, D$2:D$3074, 0)), ROW(D$2:D$3074)-ROW(D$2)+1) &gt; 0))</f>
        <v>#N/A</v>
      </c>
      <c r="G2813" s="68" t="str">
        <f t="shared" si="408"/>
        <v>SINGLE</v>
      </c>
      <c r="K2813" s="186"/>
      <c r="N2813" s="3" t="str">
        <f t="shared" si="407"/>
        <v/>
      </c>
    </row>
    <row r="2814" spans="2:14">
      <c r="B2814" s="83" t="e">
        <f t="array" ref="B2814">SUM(--(FREQUENCY(IF(C$2:C$3074=C2814, MATCH(D$2:D$3074, D$2:D$3074, 0)), ROW(D$2:D$3074)-ROW(D$2)+1) &gt; 0))</f>
        <v>#N/A</v>
      </c>
      <c r="G2814" s="68" t="str">
        <f t="shared" si="408"/>
        <v>SINGLE</v>
      </c>
      <c r="K2814" s="186"/>
      <c r="N2814" s="3" t="str">
        <f t="shared" si="407"/>
        <v/>
      </c>
    </row>
    <row r="2815" spans="2:14">
      <c r="B2815" s="83" t="e">
        <f t="array" ref="B2815">SUM(--(FREQUENCY(IF(C$2:C$3074=C2815, MATCH(D$2:D$3074, D$2:D$3074, 0)), ROW(D$2:D$3074)-ROW(D$2)+1) &gt; 0))</f>
        <v>#N/A</v>
      </c>
      <c r="G2815" s="68" t="str">
        <f t="shared" si="408"/>
        <v>SINGLE</v>
      </c>
      <c r="K2815" s="186"/>
      <c r="N2815" s="3" t="str">
        <f t="shared" ref="N2815:N2878" si="409">IF(O2815&lt;&gt;"", "NG", "")</f>
        <v/>
      </c>
    </row>
    <row r="2816" spans="2:14">
      <c r="B2816" s="83" t="e">
        <f t="array" ref="B2816">SUM(--(FREQUENCY(IF(C$2:C$3074=C2816, MATCH(D$2:D$3074, D$2:D$3074, 0)), ROW(D$2:D$3074)-ROW(D$2)+1) &gt; 0))</f>
        <v>#N/A</v>
      </c>
      <c r="G2816" s="68" t="str">
        <f t="shared" si="408"/>
        <v>SINGLE</v>
      </c>
      <c r="K2816" s="186"/>
      <c r="N2816" s="3" t="str">
        <f t="shared" si="409"/>
        <v/>
      </c>
    </row>
    <row r="2817" spans="2:14">
      <c r="B2817" s="83" t="e">
        <f t="array" ref="B2817">SUM(--(FREQUENCY(IF(C$2:C$3074=C2817, MATCH(D$2:D$3074, D$2:D$3074, 0)), ROW(D$2:D$3074)-ROW(D$2)+1) &gt; 0))</f>
        <v>#N/A</v>
      </c>
      <c r="G2817" s="68" t="str">
        <f t="shared" si="408"/>
        <v>SINGLE</v>
      </c>
      <c r="K2817" s="186"/>
      <c r="N2817" s="3" t="str">
        <f t="shared" si="409"/>
        <v/>
      </c>
    </row>
    <row r="2818" spans="2:14">
      <c r="B2818" s="83" t="e">
        <f t="array" ref="B2818">SUM(--(FREQUENCY(IF(C$2:C$3074=C2818, MATCH(D$2:D$3074, D$2:D$3074, 0)), ROW(D$2:D$3074)-ROW(D$2)+1) &gt; 0))</f>
        <v>#N/A</v>
      </c>
      <c r="G2818" s="68" t="str">
        <f t="shared" si="408"/>
        <v>SINGLE</v>
      </c>
      <c r="K2818" s="186"/>
      <c r="N2818" s="3" t="str">
        <f t="shared" si="409"/>
        <v/>
      </c>
    </row>
    <row r="2819" spans="2:14">
      <c r="B2819" s="83" t="e">
        <f t="array" ref="B2819">SUM(--(FREQUENCY(IF(C$2:C$3074=C2819, MATCH(D$2:D$3074, D$2:D$3074, 0)), ROW(D$2:D$3074)-ROW(D$2)+1) &gt; 0))</f>
        <v>#N/A</v>
      </c>
      <c r="G2819" s="68" t="str">
        <f t="shared" si="408"/>
        <v>SINGLE</v>
      </c>
      <c r="K2819" s="186"/>
      <c r="N2819" s="3" t="str">
        <f t="shared" si="409"/>
        <v/>
      </c>
    </row>
    <row r="2820" spans="2:14">
      <c r="B2820" s="83" t="e">
        <f t="array" ref="B2820">SUM(--(FREQUENCY(IF(C$2:C$3074=C2820, MATCH(D$2:D$3074, D$2:D$3074, 0)), ROW(D$2:D$3074)-ROW(D$2)+1) &gt; 0))</f>
        <v>#N/A</v>
      </c>
      <c r="G2820" s="68" t="str">
        <f t="shared" si="408"/>
        <v>SINGLE</v>
      </c>
      <c r="K2820" s="186"/>
      <c r="N2820" s="3" t="str">
        <f t="shared" si="409"/>
        <v/>
      </c>
    </row>
    <row r="2821" spans="2:14">
      <c r="B2821" s="83" t="e">
        <f t="array" ref="B2821">SUM(--(FREQUENCY(IF(C$2:C$3074=C2821, MATCH(D$2:D$3074, D$2:D$3074, 0)), ROW(D$2:D$3074)-ROW(D$2)+1) &gt; 0))</f>
        <v>#N/A</v>
      </c>
      <c r="G2821" s="68" t="str">
        <f t="shared" si="408"/>
        <v>SINGLE</v>
      </c>
      <c r="K2821" s="186"/>
      <c r="N2821" s="3" t="str">
        <f t="shared" si="409"/>
        <v/>
      </c>
    </row>
    <row r="2822" spans="2:14">
      <c r="B2822" s="83" t="e">
        <f t="array" ref="B2822">SUM(--(FREQUENCY(IF(C$2:C$3074=C2822, MATCH(D$2:D$3074, D$2:D$3074, 0)), ROW(D$2:D$3074)-ROW(D$2)+1) &gt; 0))</f>
        <v>#N/A</v>
      </c>
      <c r="G2822" s="68" t="str">
        <f t="shared" si="408"/>
        <v>SINGLE</v>
      </c>
      <c r="K2822" s="186"/>
      <c r="N2822" s="3" t="str">
        <f t="shared" si="409"/>
        <v/>
      </c>
    </row>
    <row r="2823" spans="2:14">
      <c r="B2823" s="83" t="e">
        <f t="array" ref="B2823">SUM(--(FREQUENCY(IF(C$2:C$3074=C2823, MATCH(D$2:D$3074, D$2:D$3074, 0)), ROW(D$2:D$3074)-ROW(D$2)+1) &gt; 0))</f>
        <v>#N/A</v>
      </c>
      <c r="G2823" s="68" t="str">
        <f t="shared" si="408"/>
        <v>SINGLE</v>
      </c>
      <c r="K2823" s="186"/>
      <c r="N2823" s="3" t="str">
        <f t="shared" si="409"/>
        <v/>
      </c>
    </row>
    <row r="2824" spans="2:14">
      <c r="B2824" s="83" t="e">
        <f t="array" ref="B2824">SUM(--(FREQUENCY(IF(C$2:C$3074=C2824, MATCH(D$2:D$3074, D$2:D$3074, 0)), ROW(D$2:D$3074)-ROW(D$2)+1) &gt; 0))</f>
        <v>#N/A</v>
      </c>
      <c r="G2824" s="68" t="str">
        <f t="shared" si="408"/>
        <v>SINGLE</v>
      </c>
      <c r="K2824" s="186"/>
      <c r="N2824" s="3" t="str">
        <f t="shared" si="409"/>
        <v/>
      </c>
    </row>
    <row r="2825" spans="2:14">
      <c r="B2825" s="83" t="e">
        <f t="array" ref="B2825">SUM(--(FREQUENCY(IF(C$2:C$3074=C2825, MATCH(D$2:D$3074, D$2:D$3074, 0)), ROW(D$2:D$3074)-ROW(D$2)+1) &gt; 0))</f>
        <v>#N/A</v>
      </c>
      <c r="G2825" s="68" t="str">
        <f t="shared" si="408"/>
        <v>SINGLE</v>
      </c>
      <c r="K2825" s="186"/>
      <c r="N2825" s="3" t="str">
        <f t="shared" si="409"/>
        <v/>
      </c>
    </row>
    <row r="2826" spans="2:14">
      <c r="B2826" s="83" t="e">
        <f t="array" ref="B2826">SUM(--(FREQUENCY(IF(C$2:C$3074=C2826, MATCH(D$2:D$3074, D$2:D$3074, 0)), ROW(D$2:D$3074)-ROW(D$2)+1) &gt; 0))</f>
        <v>#N/A</v>
      </c>
      <c r="G2826" s="68" t="str">
        <f t="shared" si="408"/>
        <v>SINGLE</v>
      </c>
      <c r="K2826" s="186"/>
      <c r="N2826" s="3" t="str">
        <f t="shared" si="409"/>
        <v/>
      </c>
    </row>
    <row r="2827" spans="2:14">
      <c r="B2827" s="83" t="e">
        <f t="array" ref="B2827">SUM(--(FREQUENCY(IF(C$2:C$3074=C2827, MATCH(D$2:D$3074, D$2:D$3074, 0)), ROW(D$2:D$3074)-ROW(D$2)+1) &gt; 0))</f>
        <v>#N/A</v>
      </c>
      <c r="G2827" s="68" t="str">
        <f t="shared" si="408"/>
        <v>SINGLE</v>
      </c>
      <c r="K2827" s="186"/>
      <c r="N2827" s="3" t="str">
        <f t="shared" si="409"/>
        <v/>
      </c>
    </row>
    <row r="2828" spans="2:14">
      <c r="B2828" s="83" t="e">
        <f t="array" ref="B2828">SUM(--(FREQUENCY(IF(C$2:C$3074=C2828, MATCH(D$2:D$3074, D$2:D$3074, 0)), ROW(D$2:D$3074)-ROW(D$2)+1) &gt; 0))</f>
        <v>#N/A</v>
      </c>
      <c r="G2828" s="68" t="str">
        <f t="shared" si="408"/>
        <v>SINGLE</v>
      </c>
      <c r="K2828" s="186"/>
      <c r="N2828" s="3" t="str">
        <f t="shared" si="409"/>
        <v/>
      </c>
    </row>
    <row r="2829" spans="2:14">
      <c r="B2829" s="83" t="e">
        <f t="array" ref="B2829">SUM(--(FREQUENCY(IF(C$2:C$3074=C2829, MATCH(D$2:D$3074, D$2:D$3074, 0)), ROW(D$2:D$3074)-ROW(D$2)+1) &gt; 0))</f>
        <v>#N/A</v>
      </c>
      <c r="G2829" s="68" t="str">
        <f t="shared" si="408"/>
        <v>SINGLE</v>
      </c>
      <c r="K2829" s="186"/>
      <c r="N2829" s="3" t="str">
        <f t="shared" si="409"/>
        <v/>
      </c>
    </row>
    <row r="2830" spans="2:14">
      <c r="B2830" s="83" t="e">
        <f t="array" ref="B2830">SUM(--(FREQUENCY(IF(C$2:C$3074=C2830, MATCH(D$2:D$3074, D$2:D$3074, 0)), ROW(D$2:D$3074)-ROW(D$2)+1) &gt; 0))</f>
        <v>#N/A</v>
      </c>
      <c r="G2830" s="68" t="str">
        <f t="shared" si="408"/>
        <v>SINGLE</v>
      </c>
      <c r="K2830" s="186"/>
      <c r="N2830" s="3" t="str">
        <f t="shared" si="409"/>
        <v/>
      </c>
    </row>
    <row r="2831" spans="2:14">
      <c r="B2831" s="83" t="e">
        <f t="array" ref="B2831">SUM(--(FREQUENCY(IF(C$2:C$3074=C2831, MATCH(D$2:D$3074, D$2:D$3074, 0)), ROW(D$2:D$3074)-ROW(D$2)+1) &gt; 0))</f>
        <v>#N/A</v>
      </c>
      <c r="G2831" s="68" t="str">
        <f t="shared" si="408"/>
        <v>SINGLE</v>
      </c>
      <c r="K2831" s="186"/>
      <c r="N2831" s="3" t="str">
        <f t="shared" si="409"/>
        <v/>
      </c>
    </row>
    <row r="2832" spans="2:14">
      <c r="B2832" s="83" t="e">
        <f t="array" ref="B2832">SUM(--(FREQUENCY(IF(C$2:C$3074=C2832, MATCH(D$2:D$3074, D$2:D$3074, 0)), ROW(D$2:D$3074)-ROW(D$2)+1) &gt; 0))</f>
        <v>#N/A</v>
      </c>
      <c r="G2832" s="68" t="str">
        <f t="shared" si="408"/>
        <v>SINGLE</v>
      </c>
      <c r="K2832" s="186"/>
      <c r="N2832" s="3" t="str">
        <f t="shared" si="409"/>
        <v/>
      </c>
    </row>
    <row r="2833" spans="2:14">
      <c r="B2833" s="83" t="e">
        <f t="array" ref="B2833">SUM(--(FREQUENCY(IF(C$2:C$3074=C2833, MATCH(D$2:D$3074, D$2:D$3074, 0)), ROW(D$2:D$3074)-ROW(D$2)+1) &gt; 0))</f>
        <v>#N/A</v>
      </c>
      <c r="G2833" s="68" t="str">
        <f t="shared" si="408"/>
        <v>SINGLE</v>
      </c>
      <c r="K2833" s="186"/>
      <c r="N2833" s="3" t="str">
        <f t="shared" si="409"/>
        <v/>
      </c>
    </row>
    <row r="2834" spans="2:14">
      <c r="B2834" s="83" t="e">
        <f t="array" ref="B2834">SUM(--(FREQUENCY(IF(C$2:C$3074=C2834, MATCH(D$2:D$3074, D$2:D$3074, 0)), ROW(D$2:D$3074)-ROW(D$2)+1) &gt; 0))</f>
        <v>#N/A</v>
      </c>
      <c r="G2834" s="68" t="str">
        <f t="shared" si="408"/>
        <v>SINGLE</v>
      </c>
      <c r="K2834" s="186"/>
      <c r="N2834" s="3" t="str">
        <f t="shared" si="409"/>
        <v/>
      </c>
    </row>
    <row r="2835" spans="2:14">
      <c r="B2835" s="83" t="e">
        <f t="array" ref="B2835">SUM(--(FREQUENCY(IF(C$2:C$3074=C2835, MATCH(D$2:D$3074, D$2:D$3074, 0)), ROW(D$2:D$3074)-ROW(D$2)+1) &gt; 0))</f>
        <v>#N/A</v>
      </c>
      <c r="G2835" s="68" t="str">
        <f t="shared" si="408"/>
        <v>SINGLE</v>
      </c>
      <c r="K2835" s="186"/>
      <c r="N2835" s="3" t="str">
        <f t="shared" si="409"/>
        <v/>
      </c>
    </row>
    <row r="2836" spans="2:14">
      <c r="B2836" s="83" t="e">
        <f t="array" ref="B2836">SUM(--(FREQUENCY(IF(C$2:C$3074=C2836, MATCH(D$2:D$3074, D$2:D$3074, 0)), ROW(D$2:D$3074)-ROW(D$2)+1) &gt; 0))</f>
        <v>#N/A</v>
      </c>
      <c r="G2836" s="68" t="str">
        <f t="shared" si="408"/>
        <v>SINGLE</v>
      </c>
      <c r="K2836" s="186"/>
      <c r="N2836" s="3" t="str">
        <f t="shared" si="409"/>
        <v/>
      </c>
    </row>
    <row r="2837" spans="2:14">
      <c r="B2837" s="83" t="e">
        <f t="array" ref="B2837">SUM(--(FREQUENCY(IF(C$2:C$3074=C2837, MATCH(D$2:D$3074, D$2:D$3074, 0)), ROW(D$2:D$3074)-ROW(D$2)+1) &gt; 0))</f>
        <v>#N/A</v>
      </c>
      <c r="G2837" s="68" t="str">
        <f t="shared" si="408"/>
        <v>SINGLE</v>
      </c>
      <c r="K2837" s="186"/>
      <c r="N2837" s="3" t="str">
        <f t="shared" si="409"/>
        <v/>
      </c>
    </row>
    <row r="2838" spans="2:14">
      <c r="B2838" s="83" t="e">
        <f t="array" ref="B2838">SUM(--(FREQUENCY(IF(C$2:C$3074=C2838, MATCH(D$2:D$3074, D$2:D$3074, 0)), ROW(D$2:D$3074)-ROW(D$2)+1) &gt; 0))</f>
        <v>#N/A</v>
      </c>
      <c r="G2838" s="68" t="str">
        <f t="shared" si="408"/>
        <v>SINGLE</v>
      </c>
      <c r="K2838" s="186"/>
      <c r="N2838" s="3" t="str">
        <f t="shared" si="409"/>
        <v/>
      </c>
    </row>
    <row r="2839" spans="2:14">
      <c r="B2839" s="83" t="e">
        <f t="array" ref="B2839">SUM(--(FREQUENCY(IF(C$2:C$3074=C2839, MATCH(D$2:D$3074, D$2:D$3074, 0)), ROW(D$2:D$3074)-ROW(D$2)+1) &gt; 0))</f>
        <v>#N/A</v>
      </c>
      <c r="G2839" s="68" t="str">
        <f t="shared" si="408"/>
        <v>SINGLE</v>
      </c>
      <c r="K2839" s="186"/>
      <c r="N2839" s="3" t="str">
        <f t="shared" si="409"/>
        <v/>
      </c>
    </row>
    <row r="2840" spans="2:14">
      <c r="B2840" s="83" t="e">
        <f t="array" ref="B2840">SUM(--(FREQUENCY(IF(C$2:C$3074=C2840, MATCH(D$2:D$3074, D$2:D$3074, 0)), ROW(D$2:D$3074)-ROW(D$2)+1) &gt; 0))</f>
        <v>#N/A</v>
      </c>
      <c r="G2840" s="68" t="str">
        <f t="shared" si="408"/>
        <v>SINGLE</v>
      </c>
      <c r="K2840" s="186"/>
      <c r="N2840" s="3" t="str">
        <f t="shared" si="409"/>
        <v/>
      </c>
    </row>
    <row r="2841" spans="2:14">
      <c r="B2841" s="83" t="e">
        <f t="array" ref="B2841">SUM(--(FREQUENCY(IF(C$2:C$3074=C2841, MATCH(D$2:D$3074, D$2:D$3074, 0)), ROW(D$2:D$3074)-ROW(D$2)+1) &gt; 0))</f>
        <v>#N/A</v>
      </c>
      <c r="G2841" s="68" t="str">
        <f t="shared" si="408"/>
        <v>SINGLE</v>
      </c>
      <c r="K2841" s="186"/>
      <c r="N2841" s="3" t="str">
        <f t="shared" si="409"/>
        <v/>
      </c>
    </row>
    <row r="2842" spans="2:14">
      <c r="B2842" s="83" t="e">
        <f t="array" ref="B2842">SUM(--(FREQUENCY(IF(C$2:C$3074=C2842, MATCH(D$2:D$3074, D$2:D$3074, 0)), ROW(D$2:D$3074)-ROW(D$2)+1) &gt; 0))</f>
        <v>#N/A</v>
      </c>
      <c r="G2842" s="68" t="str">
        <f t="shared" si="408"/>
        <v>SINGLE</v>
      </c>
      <c r="K2842" s="186"/>
      <c r="N2842" s="3" t="str">
        <f t="shared" si="409"/>
        <v/>
      </c>
    </row>
    <row r="2843" spans="2:14">
      <c r="B2843" s="83" t="e">
        <f t="array" ref="B2843">SUM(--(FREQUENCY(IF(C$2:C$3074=C2843, MATCH(D$2:D$3074, D$2:D$3074, 0)), ROW(D$2:D$3074)-ROW(D$2)+1) &gt; 0))</f>
        <v>#N/A</v>
      </c>
      <c r="G2843" s="68" t="str">
        <f t="shared" si="408"/>
        <v>SINGLE</v>
      </c>
      <c r="K2843" s="186"/>
      <c r="N2843" s="3" t="str">
        <f t="shared" si="409"/>
        <v/>
      </c>
    </row>
    <row r="2844" spans="2:14">
      <c r="B2844" s="83" t="e">
        <f t="array" ref="B2844">SUM(--(FREQUENCY(IF(C$2:C$3074=C2844, MATCH(D$2:D$3074, D$2:D$3074, 0)), ROW(D$2:D$3074)-ROW(D$2)+1) &gt; 0))</f>
        <v>#N/A</v>
      </c>
      <c r="G2844" s="68" t="str">
        <f t="shared" si="408"/>
        <v>SINGLE</v>
      </c>
      <c r="K2844" s="186"/>
      <c r="N2844" s="3" t="str">
        <f t="shared" si="409"/>
        <v/>
      </c>
    </row>
    <row r="2845" spans="2:14">
      <c r="B2845" s="83" t="e">
        <f t="array" ref="B2845">SUM(--(FREQUENCY(IF(C$2:C$3074=C2845, MATCH(D$2:D$3074, D$2:D$3074, 0)), ROW(D$2:D$3074)-ROW(D$2)+1) &gt; 0))</f>
        <v>#N/A</v>
      </c>
      <c r="G2845" s="68" t="str">
        <f t="shared" si="408"/>
        <v>SINGLE</v>
      </c>
      <c r="K2845" s="186"/>
      <c r="N2845" s="3" t="str">
        <f t="shared" si="409"/>
        <v/>
      </c>
    </row>
    <row r="2846" spans="2:14">
      <c r="B2846" s="83" t="e">
        <f t="array" ref="B2846">SUM(--(FREQUENCY(IF(C$2:C$3074=C2846, MATCH(D$2:D$3074, D$2:D$3074, 0)), ROW(D$2:D$3074)-ROW(D$2)+1) &gt; 0))</f>
        <v>#N/A</v>
      </c>
      <c r="G2846" s="68" t="str">
        <f t="shared" si="408"/>
        <v>SINGLE</v>
      </c>
      <c r="K2846" s="186"/>
      <c r="N2846" s="3" t="str">
        <f t="shared" si="409"/>
        <v/>
      </c>
    </row>
    <row r="2847" spans="2:14">
      <c r="B2847" s="83" t="e">
        <f t="array" ref="B2847">SUM(--(FREQUENCY(IF(C$2:C$3074=C2847, MATCH(D$2:D$3074, D$2:D$3074, 0)), ROW(D$2:D$3074)-ROW(D$2)+1) &gt; 0))</f>
        <v>#N/A</v>
      </c>
      <c r="G2847" s="68" t="str">
        <f t="shared" si="408"/>
        <v>SINGLE</v>
      </c>
      <c r="K2847" s="186"/>
      <c r="N2847" s="3" t="str">
        <f t="shared" si="409"/>
        <v/>
      </c>
    </row>
    <row r="2848" spans="2:14">
      <c r="B2848" s="83" t="e">
        <f t="array" ref="B2848">SUM(--(FREQUENCY(IF(C$2:C$3074=C2848, MATCH(D$2:D$3074, D$2:D$3074, 0)), ROW(D$2:D$3074)-ROW(D$2)+1) &gt; 0))</f>
        <v>#N/A</v>
      </c>
      <c r="G2848" s="68" t="str">
        <f t="shared" si="408"/>
        <v>SINGLE</v>
      </c>
      <c r="K2848" s="186"/>
      <c r="N2848" s="3" t="str">
        <f t="shared" si="409"/>
        <v/>
      </c>
    </row>
    <row r="2849" spans="2:14">
      <c r="B2849" s="83" t="e">
        <f t="array" ref="B2849">SUM(--(FREQUENCY(IF(C$2:C$3074=C2849, MATCH(D$2:D$3074, D$2:D$3074, 0)), ROW(D$2:D$3074)-ROW(D$2)+1) &gt; 0))</f>
        <v>#N/A</v>
      </c>
      <c r="G2849" s="68" t="str">
        <f t="shared" si="408"/>
        <v>SINGLE</v>
      </c>
      <c r="K2849" s="186"/>
      <c r="N2849" s="3" t="str">
        <f t="shared" si="409"/>
        <v/>
      </c>
    </row>
    <row r="2850" spans="2:14">
      <c r="B2850" s="83" t="e">
        <f t="array" ref="B2850">SUM(--(FREQUENCY(IF(C$2:C$3074=C2850, MATCH(D$2:D$3074, D$2:D$3074, 0)), ROW(D$2:D$3074)-ROW(D$2)+1) &gt; 0))</f>
        <v>#N/A</v>
      </c>
      <c r="G2850" s="68" t="str">
        <f t="shared" si="408"/>
        <v>SINGLE</v>
      </c>
      <c r="K2850" s="186"/>
      <c r="N2850" s="3" t="str">
        <f t="shared" si="409"/>
        <v/>
      </c>
    </row>
    <row r="2851" spans="2:14">
      <c r="B2851" s="83" t="e">
        <f t="array" ref="B2851">SUM(--(FREQUENCY(IF(C$2:C$3074=C2851, MATCH(D$2:D$3074, D$2:D$3074, 0)), ROW(D$2:D$3074)-ROW(D$2)+1) &gt; 0))</f>
        <v>#N/A</v>
      </c>
      <c r="G2851" s="68" t="str">
        <f t="shared" si="408"/>
        <v>SINGLE</v>
      </c>
      <c r="K2851" s="186"/>
      <c r="N2851" s="3" t="str">
        <f t="shared" si="409"/>
        <v/>
      </c>
    </row>
    <row r="2852" spans="2:14">
      <c r="B2852" s="83" t="e">
        <f t="array" ref="B2852">SUM(--(FREQUENCY(IF(C$2:C$3074=C2852, MATCH(D$2:D$3074, D$2:D$3074, 0)), ROW(D$2:D$3074)-ROW(D$2)+1) &gt; 0))</f>
        <v>#N/A</v>
      </c>
      <c r="G2852" s="68" t="str">
        <f t="shared" si="408"/>
        <v>SINGLE</v>
      </c>
      <c r="K2852" s="186"/>
      <c r="N2852" s="3" t="str">
        <f t="shared" si="409"/>
        <v/>
      </c>
    </row>
    <row r="2853" spans="2:14">
      <c r="B2853" s="83" t="e">
        <f t="array" ref="B2853">SUM(--(FREQUENCY(IF(C$2:C$3074=C2853, MATCH(D$2:D$3074, D$2:D$3074, 0)), ROW(D$2:D$3074)-ROW(D$2)+1) &gt; 0))</f>
        <v>#N/A</v>
      </c>
      <c r="G2853" s="68" t="str">
        <f t="shared" si="408"/>
        <v>SINGLE</v>
      </c>
      <c r="K2853" s="186"/>
      <c r="N2853" s="3" t="str">
        <f t="shared" si="409"/>
        <v/>
      </c>
    </row>
    <row r="2854" spans="2:14">
      <c r="B2854" s="83" t="e">
        <f t="array" ref="B2854">SUM(--(FREQUENCY(IF(C$2:C$3074=C2854, MATCH(D$2:D$3074, D$2:D$3074, 0)), ROW(D$2:D$3074)-ROW(D$2)+1) &gt; 0))</f>
        <v>#N/A</v>
      </c>
      <c r="G2854" s="68" t="str">
        <f t="shared" si="408"/>
        <v>SINGLE</v>
      </c>
      <c r="K2854" s="186"/>
      <c r="N2854" s="3" t="str">
        <f t="shared" si="409"/>
        <v/>
      </c>
    </row>
    <row r="2855" spans="2:14">
      <c r="B2855" s="83" t="e">
        <f t="array" ref="B2855">SUM(--(FREQUENCY(IF(C$2:C$3074=C2855, MATCH(D$2:D$3074, D$2:D$3074, 0)), ROW(D$2:D$3074)-ROW(D$2)+1) &gt; 0))</f>
        <v>#N/A</v>
      </c>
      <c r="G2855" s="68" t="str">
        <f t="shared" si="408"/>
        <v>SINGLE</v>
      </c>
      <c r="K2855" s="186"/>
      <c r="N2855" s="3" t="str">
        <f t="shared" si="409"/>
        <v/>
      </c>
    </row>
    <row r="2856" spans="2:14">
      <c r="B2856" s="83" t="e">
        <f t="array" ref="B2856">SUM(--(FREQUENCY(IF(C$2:C$3074=C2856, MATCH(D$2:D$3074, D$2:D$3074, 0)), ROW(D$2:D$3074)-ROW(D$2)+1) &gt; 0))</f>
        <v>#N/A</v>
      </c>
      <c r="G2856" s="68" t="str">
        <f t="shared" si="408"/>
        <v>SINGLE</v>
      </c>
      <c r="K2856" s="186"/>
      <c r="N2856" s="3" t="str">
        <f t="shared" si="409"/>
        <v/>
      </c>
    </row>
    <row r="2857" spans="2:14">
      <c r="B2857" s="83" t="e">
        <f t="array" ref="B2857">SUM(--(FREQUENCY(IF(C$2:C$3074=C2857, MATCH(D$2:D$3074, D$2:D$3074, 0)), ROW(D$2:D$3074)-ROW(D$2)+1) &gt; 0))</f>
        <v>#N/A</v>
      </c>
      <c r="G2857" s="68" t="str">
        <f t="shared" si="408"/>
        <v>SINGLE</v>
      </c>
      <c r="K2857" s="186"/>
      <c r="N2857" s="3" t="str">
        <f t="shared" si="409"/>
        <v/>
      </c>
    </row>
    <row r="2858" spans="2:14">
      <c r="B2858" s="83" t="e">
        <f t="array" ref="B2858">SUM(--(FREQUENCY(IF(C$2:C$3074=C2858, MATCH(D$2:D$3074, D$2:D$3074, 0)), ROW(D$2:D$3074)-ROW(D$2)+1) &gt; 0))</f>
        <v>#N/A</v>
      </c>
      <c r="G2858" s="68" t="str">
        <f t="shared" si="408"/>
        <v>SINGLE</v>
      </c>
      <c r="K2858" s="186"/>
      <c r="N2858" s="3" t="str">
        <f t="shared" si="409"/>
        <v/>
      </c>
    </row>
    <row r="2859" spans="2:14">
      <c r="B2859" s="83" t="e">
        <f t="array" ref="B2859">SUM(--(FREQUENCY(IF(C$2:C$3074=C2859, MATCH(D$2:D$3074, D$2:D$3074, 0)), ROW(D$2:D$3074)-ROW(D$2)+1) &gt; 0))</f>
        <v>#N/A</v>
      </c>
      <c r="G2859" s="68" t="str">
        <f t="shared" si="408"/>
        <v>SINGLE</v>
      </c>
      <c r="K2859" s="186"/>
      <c r="N2859" s="3" t="str">
        <f t="shared" si="409"/>
        <v/>
      </c>
    </row>
    <row r="2860" spans="2:14">
      <c r="B2860" s="83" t="e">
        <f t="array" ref="B2860">SUM(--(FREQUENCY(IF(C$2:C$3074=C2860, MATCH(D$2:D$3074, D$2:D$3074, 0)), ROW(D$2:D$3074)-ROW(D$2)+1) &gt; 0))</f>
        <v>#N/A</v>
      </c>
      <c r="G2860" s="68" t="str">
        <f t="shared" si="408"/>
        <v>SINGLE</v>
      </c>
      <c r="K2860" s="186"/>
      <c r="N2860" s="3" t="str">
        <f t="shared" si="409"/>
        <v/>
      </c>
    </row>
    <row r="2861" spans="2:14">
      <c r="B2861" s="83" t="e">
        <f t="array" ref="B2861">SUM(--(FREQUENCY(IF(C$2:C$3074=C2861, MATCH(D$2:D$3074, D$2:D$3074, 0)), ROW(D$2:D$3074)-ROW(D$2)+1) &gt; 0))</f>
        <v>#N/A</v>
      </c>
      <c r="G2861" s="68" t="str">
        <f t="shared" si="408"/>
        <v>SINGLE</v>
      </c>
      <c r="K2861" s="186"/>
      <c r="N2861" s="3" t="str">
        <f t="shared" si="409"/>
        <v/>
      </c>
    </row>
    <row r="2862" spans="2:14">
      <c r="B2862" s="83" t="e">
        <f t="array" ref="B2862">SUM(--(FREQUENCY(IF(C$2:C$3074=C2862, MATCH(D$2:D$3074, D$2:D$3074, 0)), ROW(D$2:D$3074)-ROW(D$2)+1) &gt; 0))</f>
        <v>#N/A</v>
      </c>
      <c r="G2862" s="68" t="str">
        <f t="shared" si="408"/>
        <v>SINGLE</v>
      </c>
      <c r="K2862" s="186"/>
      <c r="N2862" s="3" t="str">
        <f t="shared" si="409"/>
        <v/>
      </c>
    </row>
    <row r="2863" spans="2:14">
      <c r="B2863" s="83" t="e">
        <f t="array" ref="B2863">SUM(--(FREQUENCY(IF(C$2:C$3074=C2863, MATCH(D$2:D$3074, D$2:D$3074, 0)), ROW(D$2:D$3074)-ROW(D$2)+1) &gt; 0))</f>
        <v>#N/A</v>
      </c>
      <c r="G2863" s="68" t="str">
        <f t="shared" si="408"/>
        <v>SINGLE</v>
      </c>
      <c r="K2863" s="186"/>
      <c r="N2863" s="3" t="str">
        <f t="shared" si="409"/>
        <v/>
      </c>
    </row>
    <row r="2864" spans="2:14">
      <c r="B2864" s="83" t="e">
        <f t="array" ref="B2864">SUM(--(FREQUENCY(IF(C$2:C$3074=C2864, MATCH(D$2:D$3074, D$2:D$3074, 0)), ROW(D$2:D$3074)-ROW(D$2)+1) &gt; 0))</f>
        <v>#N/A</v>
      </c>
      <c r="G2864" s="68" t="str">
        <f t="shared" si="408"/>
        <v>SINGLE</v>
      </c>
      <c r="K2864" s="186"/>
      <c r="N2864" s="3" t="str">
        <f t="shared" si="409"/>
        <v/>
      </c>
    </row>
    <row r="2865" spans="2:14">
      <c r="B2865" s="83" t="e">
        <f t="array" ref="B2865">SUM(--(FREQUENCY(IF(C$2:C$3074=C2865, MATCH(D$2:D$3074, D$2:D$3074, 0)), ROW(D$2:D$3074)-ROW(D$2)+1) &gt; 0))</f>
        <v>#N/A</v>
      </c>
      <c r="G2865" s="68" t="str">
        <f t="shared" si="408"/>
        <v>SINGLE</v>
      </c>
      <c r="K2865" s="186"/>
      <c r="N2865" s="3" t="str">
        <f t="shared" si="409"/>
        <v/>
      </c>
    </row>
    <row r="2866" spans="2:14">
      <c r="B2866" s="83" t="e">
        <f t="array" ref="B2866">SUM(--(FREQUENCY(IF(C$2:C$3074=C2866, MATCH(D$2:D$3074, D$2:D$3074, 0)), ROW(D$2:D$3074)-ROW(D$2)+1) &gt; 0))</f>
        <v>#N/A</v>
      </c>
      <c r="G2866" s="68" t="str">
        <f t="shared" si="408"/>
        <v>SINGLE</v>
      </c>
      <c r="K2866" s="186"/>
      <c r="N2866" s="3" t="str">
        <f t="shared" si="409"/>
        <v/>
      </c>
    </row>
    <row r="2867" spans="2:14">
      <c r="B2867" s="83" t="e">
        <f t="array" ref="B2867">SUM(--(FREQUENCY(IF(C$2:C$3074=C2867, MATCH(D$2:D$3074, D$2:D$3074, 0)), ROW(D$2:D$3074)-ROW(D$2)+1) &gt; 0))</f>
        <v>#N/A</v>
      </c>
      <c r="G2867" s="68" t="str">
        <f t="shared" si="408"/>
        <v>SINGLE</v>
      </c>
      <c r="K2867" s="186"/>
      <c r="N2867" s="3" t="str">
        <f t="shared" si="409"/>
        <v/>
      </c>
    </row>
    <row r="2868" spans="2:14">
      <c r="B2868" s="83" t="e">
        <f t="array" ref="B2868">SUM(--(FREQUENCY(IF(C$2:C$3074=C2868, MATCH(D$2:D$3074, D$2:D$3074, 0)), ROW(D$2:D$3074)-ROW(D$2)+1) &gt; 0))</f>
        <v>#N/A</v>
      </c>
      <c r="G2868" s="68" t="str">
        <f t="shared" si="408"/>
        <v>SINGLE</v>
      </c>
      <c r="K2868" s="186"/>
      <c r="N2868" s="3" t="str">
        <f t="shared" si="409"/>
        <v/>
      </c>
    </row>
    <row r="2869" spans="2:14">
      <c r="B2869" s="83" t="e">
        <f t="array" ref="B2869">SUM(--(FREQUENCY(IF(C$2:C$3074=C2869, MATCH(D$2:D$3074, D$2:D$3074, 0)), ROW(D$2:D$3074)-ROW(D$2)+1) &gt; 0))</f>
        <v>#N/A</v>
      </c>
      <c r="G2869" s="68" t="str">
        <f t="shared" ref="G2869:G2932" si="410">IF(OR(ISNUMBER(SEARCH("DUAL",F2869)), ISNUMBER(SEARCH("IVAS",F2869))), "DUAL", "SINGLE")</f>
        <v>SINGLE</v>
      </c>
      <c r="K2869" s="186"/>
      <c r="N2869" s="3" t="str">
        <f t="shared" si="409"/>
        <v/>
      </c>
    </row>
    <row r="2870" spans="2:14">
      <c r="B2870" s="83" t="e">
        <f t="array" ref="B2870">SUM(--(FREQUENCY(IF(C$2:C$3074=C2870, MATCH(D$2:D$3074, D$2:D$3074, 0)), ROW(D$2:D$3074)-ROW(D$2)+1) &gt; 0))</f>
        <v>#N/A</v>
      </c>
      <c r="G2870" s="68" t="str">
        <f t="shared" si="410"/>
        <v>SINGLE</v>
      </c>
      <c r="K2870" s="186"/>
      <c r="N2870" s="3" t="str">
        <f t="shared" si="409"/>
        <v/>
      </c>
    </row>
    <row r="2871" spans="2:14">
      <c r="B2871" s="83" t="e">
        <f t="array" ref="B2871">SUM(--(FREQUENCY(IF(C$2:C$3074=C2871, MATCH(D$2:D$3074, D$2:D$3074, 0)), ROW(D$2:D$3074)-ROW(D$2)+1) &gt; 0))</f>
        <v>#N/A</v>
      </c>
      <c r="G2871" s="68" t="str">
        <f t="shared" si="410"/>
        <v>SINGLE</v>
      </c>
      <c r="K2871" s="186"/>
      <c r="N2871" s="3" t="str">
        <f t="shared" si="409"/>
        <v/>
      </c>
    </row>
    <row r="2872" spans="2:14">
      <c r="B2872" s="83" t="e">
        <f t="array" ref="B2872">SUM(--(FREQUENCY(IF(C$2:C$3074=C2872, MATCH(D$2:D$3074, D$2:D$3074, 0)), ROW(D$2:D$3074)-ROW(D$2)+1) &gt; 0))</f>
        <v>#N/A</v>
      </c>
      <c r="G2872" s="68" t="str">
        <f t="shared" si="410"/>
        <v>SINGLE</v>
      </c>
      <c r="K2872" s="186"/>
      <c r="N2872" s="3" t="str">
        <f t="shared" si="409"/>
        <v/>
      </c>
    </row>
    <row r="2873" spans="2:14">
      <c r="B2873" s="83" t="e">
        <f t="array" ref="B2873">SUM(--(FREQUENCY(IF(C$2:C$3074=C2873, MATCH(D$2:D$3074, D$2:D$3074, 0)), ROW(D$2:D$3074)-ROW(D$2)+1) &gt; 0))</f>
        <v>#N/A</v>
      </c>
      <c r="G2873" s="68" t="str">
        <f t="shared" si="410"/>
        <v>SINGLE</v>
      </c>
      <c r="K2873" s="186"/>
      <c r="N2873" s="3" t="str">
        <f t="shared" si="409"/>
        <v/>
      </c>
    </row>
    <row r="2874" spans="2:14">
      <c r="B2874" s="83" t="e">
        <f t="array" ref="B2874">SUM(--(FREQUENCY(IF(C$2:C$3074=C2874, MATCH(D$2:D$3074, D$2:D$3074, 0)), ROW(D$2:D$3074)-ROW(D$2)+1) &gt; 0))</f>
        <v>#N/A</v>
      </c>
      <c r="G2874" s="68" t="str">
        <f t="shared" si="410"/>
        <v>SINGLE</v>
      </c>
      <c r="K2874" s="186"/>
      <c r="N2874" s="3" t="str">
        <f t="shared" si="409"/>
        <v/>
      </c>
    </row>
    <row r="2875" spans="2:14">
      <c r="B2875" s="83" t="e">
        <f t="array" ref="B2875">SUM(--(FREQUENCY(IF(C$2:C$3074=C2875, MATCH(D$2:D$3074, D$2:D$3074, 0)), ROW(D$2:D$3074)-ROW(D$2)+1) &gt; 0))</f>
        <v>#N/A</v>
      </c>
      <c r="G2875" s="68" t="str">
        <f t="shared" si="410"/>
        <v>SINGLE</v>
      </c>
      <c r="K2875" s="186"/>
      <c r="N2875" s="3" t="str">
        <f t="shared" si="409"/>
        <v/>
      </c>
    </row>
    <row r="2876" spans="2:14">
      <c r="B2876" s="83" t="e">
        <f t="array" ref="B2876">SUM(--(FREQUENCY(IF(C$2:C$3074=C2876, MATCH(D$2:D$3074, D$2:D$3074, 0)), ROW(D$2:D$3074)-ROW(D$2)+1) &gt; 0))</f>
        <v>#N/A</v>
      </c>
      <c r="G2876" s="68" t="str">
        <f t="shared" si="410"/>
        <v>SINGLE</v>
      </c>
      <c r="K2876" s="186"/>
      <c r="N2876" s="3" t="str">
        <f t="shared" si="409"/>
        <v/>
      </c>
    </row>
    <row r="2877" spans="2:14">
      <c r="B2877" s="83" t="e">
        <f t="array" ref="B2877">SUM(--(FREQUENCY(IF(C$2:C$3074=C2877, MATCH(D$2:D$3074, D$2:D$3074, 0)), ROW(D$2:D$3074)-ROW(D$2)+1) &gt; 0))</f>
        <v>#N/A</v>
      </c>
      <c r="G2877" s="68" t="str">
        <f t="shared" si="410"/>
        <v>SINGLE</v>
      </c>
      <c r="K2877" s="186"/>
      <c r="N2877" s="3" t="str">
        <f t="shared" si="409"/>
        <v/>
      </c>
    </row>
    <row r="2878" spans="2:14">
      <c r="B2878" s="83" t="e">
        <f t="array" ref="B2878">SUM(--(FREQUENCY(IF(C$2:C$3074=C2878, MATCH(D$2:D$3074, D$2:D$3074, 0)), ROW(D$2:D$3074)-ROW(D$2)+1) &gt; 0))</f>
        <v>#N/A</v>
      </c>
      <c r="G2878" s="68" t="str">
        <f t="shared" si="410"/>
        <v>SINGLE</v>
      </c>
      <c r="K2878" s="186"/>
      <c r="N2878" s="3" t="str">
        <f t="shared" si="409"/>
        <v/>
      </c>
    </row>
    <row r="2879" spans="2:14">
      <c r="B2879" s="83" t="e">
        <f t="array" ref="B2879">SUM(--(FREQUENCY(IF(C$2:C$3074=C2879, MATCH(D$2:D$3074, D$2:D$3074, 0)), ROW(D$2:D$3074)-ROW(D$2)+1) &gt; 0))</f>
        <v>#N/A</v>
      </c>
      <c r="G2879" s="68" t="str">
        <f t="shared" si="410"/>
        <v>SINGLE</v>
      </c>
      <c r="K2879" s="186"/>
      <c r="N2879" s="3" t="str">
        <f t="shared" ref="N2879:N2942" si="411">IF(O2879&lt;&gt;"", "NG", "")</f>
        <v/>
      </c>
    </row>
    <row r="2880" spans="2:14">
      <c r="B2880" s="83" t="e">
        <f t="array" ref="B2880">SUM(--(FREQUENCY(IF(C$2:C$3074=C2880, MATCH(D$2:D$3074, D$2:D$3074, 0)), ROW(D$2:D$3074)-ROW(D$2)+1) &gt; 0))</f>
        <v>#N/A</v>
      </c>
      <c r="G2880" s="68" t="str">
        <f t="shared" si="410"/>
        <v>SINGLE</v>
      </c>
      <c r="K2880" s="186"/>
      <c r="N2880" s="3" t="str">
        <f t="shared" si="411"/>
        <v/>
      </c>
    </row>
    <row r="2881" spans="2:14">
      <c r="B2881" s="83" t="e">
        <f t="array" ref="B2881">SUM(--(FREQUENCY(IF(C$2:C$3074=C2881, MATCH(D$2:D$3074, D$2:D$3074, 0)), ROW(D$2:D$3074)-ROW(D$2)+1) &gt; 0))</f>
        <v>#N/A</v>
      </c>
      <c r="G2881" s="68" t="str">
        <f t="shared" si="410"/>
        <v>SINGLE</v>
      </c>
      <c r="K2881" s="186"/>
      <c r="N2881" s="3" t="str">
        <f t="shared" si="411"/>
        <v/>
      </c>
    </row>
    <row r="2882" spans="2:14">
      <c r="B2882" s="83" t="e">
        <f t="array" ref="B2882">SUM(--(FREQUENCY(IF(C$2:C$3074=C2882, MATCH(D$2:D$3074, D$2:D$3074, 0)), ROW(D$2:D$3074)-ROW(D$2)+1) &gt; 0))</f>
        <v>#N/A</v>
      </c>
      <c r="G2882" s="68" t="str">
        <f t="shared" si="410"/>
        <v>SINGLE</v>
      </c>
      <c r="K2882" s="186"/>
      <c r="N2882" s="3" t="str">
        <f t="shared" si="411"/>
        <v/>
      </c>
    </row>
    <row r="2883" spans="2:14">
      <c r="B2883" s="83" t="e">
        <f t="array" ref="B2883">SUM(--(FREQUENCY(IF(C$2:C$3074=C2883, MATCH(D$2:D$3074, D$2:D$3074, 0)), ROW(D$2:D$3074)-ROW(D$2)+1) &gt; 0))</f>
        <v>#N/A</v>
      </c>
      <c r="G2883" s="68" t="str">
        <f t="shared" si="410"/>
        <v>SINGLE</v>
      </c>
      <c r="K2883" s="186"/>
      <c r="N2883" s="3" t="str">
        <f t="shared" si="411"/>
        <v/>
      </c>
    </row>
    <row r="2884" spans="2:14">
      <c r="B2884" s="83" t="e">
        <f t="array" ref="B2884">SUM(--(FREQUENCY(IF(C$2:C$3074=C2884, MATCH(D$2:D$3074, D$2:D$3074, 0)), ROW(D$2:D$3074)-ROW(D$2)+1) &gt; 0))</f>
        <v>#N/A</v>
      </c>
      <c r="G2884" s="68" t="str">
        <f t="shared" si="410"/>
        <v>SINGLE</v>
      </c>
      <c r="K2884" s="186"/>
      <c r="N2884" s="3" t="str">
        <f t="shared" si="411"/>
        <v/>
      </c>
    </row>
    <row r="2885" spans="2:14">
      <c r="B2885" s="83" t="e">
        <f t="array" ref="B2885">SUM(--(FREQUENCY(IF(C$2:C$3074=C2885, MATCH(D$2:D$3074, D$2:D$3074, 0)), ROW(D$2:D$3074)-ROW(D$2)+1) &gt; 0))</f>
        <v>#N/A</v>
      </c>
      <c r="G2885" s="68" t="str">
        <f t="shared" si="410"/>
        <v>SINGLE</v>
      </c>
      <c r="K2885" s="186"/>
      <c r="N2885" s="3" t="str">
        <f t="shared" si="411"/>
        <v/>
      </c>
    </row>
    <row r="2886" spans="2:14">
      <c r="B2886" s="83" t="e">
        <f t="array" ref="B2886">SUM(--(FREQUENCY(IF(C$2:C$3074=C2886, MATCH(D$2:D$3074, D$2:D$3074, 0)), ROW(D$2:D$3074)-ROW(D$2)+1) &gt; 0))</f>
        <v>#N/A</v>
      </c>
      <c r="G2886" s="68" t="str">
        <f t="shared" si="410"/>
        <v>SINGLE</v>
      </c>
      <c r="K2886" s="186"/>
      <c r="N2886" s="3" t="str">
        <f t="shared" si="411"/>
        <v/>
      </c>
    </row>
    <row r="2887" spans="2:14">
      <c r="B2887" s="83" t="e">
        <f t="array" ref="B2887">SUM(--(FREQUENCY(IF(C$2:C$3074=C2887, MATCH(D$2:D$3074, D$2:D$3074, 0)), ROW(D$2:D$3074)-ROW(D$2)+1) &gt; 0))</f>
        <v>#N/A</v>
      </c>
      <c r="G2887" s="68" t="str">
        <f t="shared" si="410"/>
        <v>SINGLE</v>
      </c>
      <c r="K2887" s="186"/>
      <c r="N2887" s="3" t="str">
        <f t="shared" si="411"/>
        <v/>
      </c>
    </row>
    <row r="2888" spans="2:14">
      <c r="B2888" s="83" t="e">
        <f t="array" ref="B2888">SUM(--(FREQUENCY(IF(C$2:C$3074=C2888, MATCH(D$2:D$3074, D$2:D$3074, 0)), ROW(D$2:D$3074)-ROW(D$2)+1) &gt; 0))</f>
        <v>#N/A</v>
      </c>
      <c r="G2888" s="68" t="str">
        <f t="shared" si="410"/>
        <v>SINGLE</v>
      </c>
      <c r="K2888" s="186"/>
      <c r="N2888" s="3" t="str">
        <f t="shared" si="411"/>
        <v/>
      </c>
    </row>
    <row r="2889" spans="2:14">
      <c r="B2889" s="83" t="e">
        <f t="array" ref="B2889">SUM(--(FREQUENCY(IF(C$2:C$3074=C2889, MATCH(D$2:D$3074, D$2:D$3074, 0)), ROW(D$2:D$3074)-ROW(D$2)+1) &gt; 0))</f>
        <v>#N/A</v>
      </c>
      <c r="G2889" s="68" t="str">
        <f t="shared" si="410"/>
        <v>SINGLE</v>
      </c>
      <c r="K2889" s="186"/>
      <c r="N2889" s="3" t="str">
        <f t="shared" si="411"/>
        <v/>
      </c>
    </row>
    <row r="2890" spans="2:14">
      <c r="B2890" s="83" t="e">
        <f t="array" ref="B2890">SUM(--(FREQUENCY(IF(C$2:C$3074=C2890, MATCH(D$2:D$3074, D$2:D$3074, 0)), ROW(D$2:D$3074)-ROW(D$2)+1) &gt; 0))</f>
        <v>#N/A</v>
      </c>
      <c r="G2890" s="68" t="str">
        <f t="shared" si="410"/>
        <v>SINGLE</v>
      </c>
      <c r="K2890" s="186"/>
      <c r="N2890" s="3" t="str">
        <f t="shared" si="411"/>
        <v/>
      </c>
    </row>
    <row r="2891" spans="2:14">
      <c r="B2891" s="83" t="e">
        <f t="array" ref="B2891">SUM(--(FREQUENCY(IF(C$2:C$3074=C2891, MATCH(D$2:D$3074, D$2:D$3074, 0)), ROW(D$2:D$3074)-ROW(D$2)+1) &gt; 0))</f>
        <v>#N/A</v>
      </c>
      <c r="G2891" s="68" t="str">
        <f t="shared" si="410"/>
        <v>SINGLE</v>
      </c>
      <c r="K2891" s="186"/>
      <c r="N2891" s="3" t="str">
        <f t="shared" si="411"/>
        <v/>
      </c>
    </row>
    <row r="2892" spans="2:14">
      <c r="B2892" s="83" t="e">
        <f t="array" ref="B2892">SUM(--(FREQUENCY(IF(C$2:C$3074=C2892, MATCH(D$2:D$3074, D$2:D$3074, 0)), ROW(D$2:D$3074)-ROW(D$2)+1) &gt; 0))</f>
        <v>#N/A</v>
      </c>
      <c r="G2892" s="68" t="str">
        <f t="shared" si="410"/>
        <v>SINGLE</v>
      </c>
      <c r="K2892" s="186"/>
      <c r="N2892" s="3" t="str">
        <f t="shared" si="411"/>
        <v/>
      </c>
    </row>
    <row r="2893" spans="2:14">
      <c r="B2893" s="83" t="e">
        <f t="array" ref="B2893">SUM(--(FREQUENCY(IF(C$2:C$3074=C2893, MATCH(D$2:D$3074, D$2:D$3074, 0)), ROW(D$2:D$3074)-ROW(D$2)+1) &gt; 0))</f>
        <v>#N/A</v>
      </c>
      <c r="G2893" s="68" t="str">
        <f t="shared" si="410"/>
        <v>SINGLE</v>
      </c>
      <c r="K2893" s="186"/>
      <c r="N2893" s="3" t="str">
        <f t="shared" si="411"/>
        <v/>
      </c>
    </row>
    <row r="2894" spans="2:14">
      <c r="B2894" s="83" t="e">
        <f t="array" ref="B2894">SUM(--(FREQUENCY(IF(C$2:C$3074=C2894, MATCH(D$2:D$3074, D$2:D$3074, 0)), ROW(D$2:D$3074)-ROW(D$2)+1) &gt; 0))</f>
        <v>#N/A</v>
      </c>
      <c r="G2894" s="68" t="str">
        <f t="shared" si="410"/>
        <v>SINGLE</v>
      </c>
      <c r="K2894" s="186"/>
      <c r="N2894" s="3" t="str">
        <f t="shared" si="411"/>
        <v/>
      </c>
    </row>
    <row r="2895" spans="2:14">
      <c r="B2895" s="83" t="e">
        <f t="array" ref="B2895">SUM(--(FREQUENCY(IF(C$2:C$3074=C2895, MATCH(D$2:D$3074, D$2:D$3074, 0)), ROW(D$2:D$3074)-ROW(D$2)+1) &gt; 0))</f>
        <v>#N/A</v>
      </c>
      <c r="G2895" s="68" t="str">
        <f t="shared" si="410"/>
        <v>SINGLE</v>
      </c>
      <c r="K2895" s="186"/>
      <c r="N2895" s="3" t="str">
        <f t="shared" si="411"/>
        <v/>
      </c>
    </row>
    <row r="2896" spans="2:14">
      <c r="B2896" s="83" t="e">
        <f t="array" ref="B2896">SUM(--(FREQUENCY(IF(C$2:C$3074=C2896, MATCH(D$2:D$3074, D$2:D$3074, 0)), ROW(D$2:D$3074)-ROW(D$2)+1) &gt; 0))</f>
        <v>#N/A</v>
      </c>
      <c r="G2896" s="68" t="str">
        <f t="shared" si="410"/>
        <v>SINGLE</v>
      </c>
      <c r="K2896" s="186"/>
      <c r="N2896" s="3" t="str">
        <f t="shared" si="411"/>
        <v/>
      </c>
    </row>
    <row r="2897" spans="2:14">
      <c r="B2897" s="83" t="e">
        <f t="array" ref="B2897">SUM(--(FREQUENCY(IF(C$2:C$3074=C2897, MATCH(D$2:D$3074, D$2:D$3074, 0)), ROW(D$2:D$3074)-ROW(D$2)+1) &gt; 0))</f>
        <v>#N/A</v>
      </c>
      <c r="G2897" s="68" t="str">
        <f t="shared" si="410"/>
        <v>SINGLE</v>
      </c>
      <c r="K2897" s="186"/>
      <c r="N2897" s="3" t="str">
        <f t="shared" si="411"/>
        <v/>
      </c>
    </row>
    <row r="2898" spans="2:14">
      <c r="B2898" s="83" t="e">
        <f t="array" ref="B2898">SUM(--(FREQUENCY(IF(C$2:C$3074=C2898, MATCH(D$2:D$3074, D$2:D$3074, 0)), ROW(D$2:D$3074)-ROW(D$2)+1) &gt; 0))</f>
        <v>#N/A</v>
      </c>
      <c r="G2898" s="68" t="str">
        <f t="shared" si="410"/>
        <v>SINGLE</v>
      </c>
      <c r="K2898" s="186"/>
      <c r="N2898" s="3" t="str">
        <f t="shared" si="411"/>
        <v/>
      </c>
    </row>
    <row r="2899" spans="2:14">
      <c r="B2899" s="83" t="e">
        <f t="array" ref="B2899">SUM(--(FREQUENCY(IF(C$2:C$3074=C2899, MATCH(D$2:D$3074, D$2:D$3074, 0)), ROW(D$2:D$3074)-ROW(D$2)+1) &gt; 0))</f>
        <v>#N/A</v>
      </c>
      <c r="G2899" s="68" t="str">
        <f t="shared" si="410"/>
        <v>SINGLE</v>
      </c>
      <c r="K2899" s="186"/>
      <c r="N2899" s="3" t="str">
        <f t="shared" si="411"/>
        <v/>
      </c>
    </row>
    <row r="2900" spans="2:14">
      <c r="B2900" s="83" t="e">
        <f t="array" ref="B2900">SUM(--(FREQUENCY(IF(C$2:C$3074=C2900, MATCH(D$2:D$3074, D$2:D$3074, 0)), ROW(D$2:D$3074)-ROW(D$2)+1) &gt; 0))</f>
        <v>#N/A</v>
      </c>
      <c r="G2900" s="68" t="str">
        <f t="shared" si="410"/>
        <v>SINGLE</v>
      </c>
      <c r="K2900" s="186"/>
      <c r="N2900" s="3" t="str">
        <f t="shared" si="411"/>
        <v/>
      </c>
    </row>
    <row r="2901" spans="2:14">
      <c r="B2901" s="83" t="e">
        <f t="array" ref="B2901">SUM(--(FREQUENCY(IF(C$2:C$3074=C2901, MATCH(D$2:D$3074, D$2:D$3074, 0)), ROW(D$2:D$3074)-ROW(D$2)+1) &gt; 0))</f>
        <v>#N/A</v>
      </c>
      <c r="G2901" s="68" t="str">
        <f t="shared" si="410"/>
        <v>SINGLE</v>
      </c>
      <c r="K2901" s="186"/>
      <c r="N2901" s="3" t="str">
        <f t="shared" si="411"/>
        <v/>
      </c>
    </row>
    <row r="2902" spans="2:14">
      <c r="B2902" s="83" t="e">
        <f t="array" ref="B2902">SUM(--(FREQUENCY(IF(C$2:C$3074=C2902, MATCH(D$2:D$3074, D$2:D$3074, 0)), ROW(D$2:D$3074)-ROW(D$2)+1) &gt; 0))</f>
        <v>#N/A</v>
      </c>
      <c r="G2902" s="68" t="str">
        <f t="shared" si="410"/>
        <v>SINGLE</v>
      </c>
      <c r="K2902" s="186"/>
      <c r="N2902" s="3" t="str">
        <f t="shared" si="411"/>
        <v/>
      </c>
    </row>
    <row r="2903" spans="2:14">
      <c r="B2903" s="83" t="e">
        <f t="array" ref="B2903">SUM(--(FREQUENCY(IF(C$2:C$3074=C2903, MATCH(D$2:D$3074, D$2:D$3074, 0)), ROW(D$2:D$3074)-ROW(D$2)+1) &gt; 0))</f>
        <v>#N/A</v>
      </c>
      <c r="G2903" s="68" t="str">
        <f t="shared" si="410"/>
        <v>SINGLE</v>
      </c>
      <c r="K2903" s="186"/>
      <c r="N2903" s="3" t="str">
        <f t="shared" si="411"/>
        <v/>
      </c>
    </row>
    <row r="2904" spans="2:14">
      <c r="B2904" s="83" t="e">
        <f t="array" ref="B2904">SUM(--(FREQUENCY(IF(C$2:C$3074=C2904, MATCH(D$2:D$3074, D$2:D$3074, 0)), ROW(D$2:D$3074)-ROW(D$2)+1) &gt; 0))</f>
        <v>#N/A</v>
      </c>
      <c r="G2904" s="68" t="str">
        <f t="shared" si="410"/>
        <v>SINGLE</v>
      </c>
      <c r="K2904" s="186"/>
      <c r="N2904" s="3" t="str">
        <f t="shared" si="411"/>
        <v/>
      </c>
    </row>
    <row r="2905" spans="2:14">
      <c r="B2905" s="83" t="e">
        <f t="array" ref="B2905">SUM(--(FREQUENCY(IF(C$2:C$3074=C2905, MATCH(D$2:D$3074, D$2:D$3074, 0)), ROW(D$2:D$3074)-ROW(D$2)+1) &gt; 0))</f>
        <v>#N/A</v>
      </c>
      <c r="G2905" s="68" t="str">
        <f t="shared" si="410"/>
        <v>SINGLE</v>
      </c>
      <c r="K2905" s="186"/>
      <c r="N2905" s="3" t="str">
        <f t="shared" si="411"/>
        <v/>
      </c>
    </row>
    <row r="2906" spans="2:14">
      <c r="B2906" s="83" t="e">
        <f t="array" ref="B2906">SUM(--(FREQUENCY(IF(C$2:C$3074=C2906, MATCH(D$2:D$3074, D$2:D$3074, 0)), ROW(D$2:D$3074)-ROW(D$2)+1) &gt; 0))</f>
        <v>#N/A</v>
      </c>
      <c r="G2906" s="68" t="str">
        <f t="shared" si="410"/>
        <v>SINGLE</v>
      </c>
      <c r="K2906" s="186"/>
      <c r="N2906" s="3" t="str">
        <f t="shared" si="411"/>
        <v/>
      </c>
    </row>
    <row r="2907" spans="2:14">
      <c r="B2907" s="83" t="e">
        <f t="array" ref="B2907">SUM(--(FREQUENCY(IF(C$2:C$3074=C2907, MATCH(D$2:D$3074, D$2:D$3074, 0)), ROW(D$2:D$3074)-ROW(D$2)+1) &gt; 0))</f>
        <v>#N/A</v>
      </c>
      <c r="G2907" s="68" t="str">
        <f t="shared" si="410"/>
        <v>SINGLE</v>
      </c>
      <c r="K2907" s="186"/>
      <c r="N2907" s="3" t="str">
        <f t="shared" si="411"/>
        <v/>
      </c>
    </row>
    <row r="2908" spans="2:14">
      <c r="B2908" s="83" t="e">
        <f t="array" ref="B2908">SUM(--(FREQUENCY(IF(C$2:C$3074=C2908, MATCH(D$2:D$3074, D$2:D$3074, 0)), ROW(D$2:D$3074)-ROW(D$2)+1) &gt; 0))</f>
        <v>#N/A</v>
      </c>
      <c r="G2908" s="68" t="str">
        <f t="shared" si="410"/>
        <v>SINGLE</v>
      </c>
      <c r="K2908" s="186"/>
      <c r="N2908" s="3" t="str">
        <f t="shared" si="411"/>
        <v/>
      </c>
    </row>
    <row r="2909" spans="2:14">
      <c r="B2909" s="83" t="e">
        <f t="array" ref="B2909">SUM(--(FREQUENCY(IF(C$2:C$3074=C2909, MATCH(D$2:D$3074, D$2:D$3074, 0)), ROW(D$2:D$3074)-ROW(D$2)+1) &gt; 0))</f>
        <v>#N/A</v>
      </c>
      <c r="G2909" s="68" t="str">
        <f t="shared" si="410"/>
        <v>SINGLE</v>
      </c>
      <c r="K2909" s="186"/>
      <c r="N2909" s="3" t="str">
        <f t="shared" si="411"/>
        <v/>
      </c>
    </row>
    <row r="2910" spans="2:14">
      <c r="B2910" s="83" t="e">
        <f t="array" ref="B2910">SUM(--(FREQUENCY(IF(C$2:C$3074=C2910, MATCH(D$2:D$3074, D$2:D$3074, 0)), ROW(D$2:D$3074)-ROW(D$2)+1) &gt; 0))</f>
        <v>#N/A</v>
      </c>
      <c r="G2910" s="68" t="str">
        <f t="shared" si="410"/>
        <v>SINGLE</v>
      </c>
      <c r="K2910" s="186"/>
      <c r="N2910" s="3" t="str">
        <f t="shared" si="411"/>
        <v/>
      </c>
    </row>
    <row r="2911" spans="2:14">
      <c r="B2911" s="83" t="e">
        <f t="array" ref="B2911">SUM(--(FREQUENCY(IF(C$2:C$3074=C2911, MATCH(D$2:D$3074, D$2:D$3074, 0)), ROW(D$2:D$3074)-ROW(D$2)+1) &gt; 0))</f>
        <v>#N/A</v>
      </c>
      <c r="G2911" s="68" t="str">
        <f t="shared" si="410"/>
        <v>SINGLE</v>
      </c>
      <c r="K2911" s="186"/>
      <c r="N2911" s="3" t="str">
        <f t="shared" si="411"/>
        <v/>
      </c>
    </row>
    <row r="2912" spans="2:14">
      <c r="B2912" s="83" t="e">
        <f t="array" ref="B2912">SUM(--(FREQUENCY(IF(C$2:C$3074=C2912, MATCH(D$2:D$3074, D$2:D$3074, 0)), ROW(D$2:D$3074)-ROW(D$2)+1) &gt; 0))</f>
        <v>#N/A</v>
      </c>
      <c r="G2912" s="68" t="str">
        <f t="shared" si="410"/>
        <v>SINGLE</v>
      </c>
      <c r="K2912" s="186"/>
      <c r="N2912" s="3" t="str">
        <f t="shared" si="411"/>
        <v/>
      </c>
    </row>
    <row r="2913" spans="2:14">
      <c r="B2913" s="83" t="e">
        <f t="array" ref="B2913">SUM(--(FREQUENCY(IF(C$2:C$3074=C2913, MATCH(D$2:D$3074, D$2:D$3074, 0)), ROW(D$2:D$3074)-ROW(D$2)+1) &gt; 0))</f>
        <v>#N/A</v>
      </c>
      <c r="G2913" s="68" t="str">
        <f t="shared" si="410"/>
        <v>SINGLE</v>
      </c>
      <c r="K2913" s="186"/>
      <c r="N2913" s="3" t="str">
        <f t="shared" si="411"/>
        <v/>
      </c>
    </row>
    <row r="2914" spans="2:14">
      <c r="B2914" s="83" t="e">
        <f t="array" ref="B2914">SUM(--(FREQUENCY(IF(C$2:C$3074=C2914, MATCH(D$2:D$3074, D$2:D$3074, 0)), ROW(D$2:D$3074)-ROW(D$2)+1) &gt; 0))</f>
        <v>#N/A</v>
      </c>
      <c r="G2914" s="68" t="str">
        <f t="shared" si="410"/>
        <v>SINGLE</v>
      </c>
      <c r="K2914" s="186"/>
      <c r="N2914" s="3" t="str">
        <f t="shared" si="411"/>
        <v/>
      </c>
    </row>
    <row r="2915" spans="2:14">
      <c r="B2915" s="83" t="e">
        <f t="array" ref="B2915">SUM(--(FREQUENCY(IF(C$2:C$3074=C2915, MATCH(D$2:D$3074, D$2:D$3074, 0)), ROW(D$2:D$3074)-ROW(D$2)+1) &gt; 0))</f>
        <v>#N/A</v>
      </c>
      <c r="G2915" s="68" t="str">
        <f t="shared" si="410"/>
        <v>SINGLE</v>
      </c>
      <c r="K2915" s="186"/>
      <c r="N2915" s="3" t="str">
        <f t="shared" si="411"/>
        <v/>
      </c>
    </row>
    <row r="2916" spans="2:14">
      <c r="B2916" s="83" t="e">
        <f t="array" ref="B2916">SUM(--(FREQUENCY(IF(C$2:C$3074=C2916, MATCH(D$2:D$3074, D$2:D$3074, 0)), ROW(D$2:D$3074)-ROW(D$2)+1) &gt; 0))</f>
        <v>#N/A</v>
      </c>
      <c r="G2916" s="68" t="str">
        <f t="shared" si="410"/>
        <v>SINGLE</v>
      </c>
      <c r="K2916" s="186"/>
      <c r="N2916" s="3" t="str">
        <f t="shared" si="411"/>
        <v/>
      </c>
    </row>
    <row r="2917" spans="2:14">
      <c r="B2917" s="83" t="e">
        <f t="array" ref="B2917">SUM(--(FREQUENCY(IF(C$2:C$3074=C2917, MATCH(D$2:D$3074, D$2:D$3074, 0)), ROW(D$2:D$3074)-ROW(D$2)+1) &gt; 0))</f>
        <v>#N/A</v>
      </c>
      <c r="G2917" s="68" t="str">
        <f t="shared" si="410"/>
        <v>SINGLE</v>
      </c>
      <c r="K2917" s="186"/>
      <c r="N2917" s="3" t="str">
        <f t="shared" si="411"/>
        <v/>
      </c>
    </row>
    <row r="2918" spans="2:14">
      <c r="B2918" s="83" t="e">
        <f t="array" ref="B2918">SUM(--(FREQUENCY(IF(C$2:C$3074=C2918, MATCH(D$2:D$3074, D$2:D$3074, 0)), ROW(D$2:D$3074)-ROW(D$2)+1) &gt; 0))</f>
        <v>#N/A</v>
      </c>
      <c r="G2918" s="68" t="str">
        <f t="shared" si="410"/>
        <v>SINGLE</v>
      </c>
      <c r="K2918" s="186"/>
      <c r="N2918" s="3" t="str">
        <f t="shared" si="411"/>
        <v/>
      </c>
    </row>
    <row r="2919" spans="2:14">
      <c r="B2919" s="83" t="e">
        <f t="array" ref="B2919">SUM(--(FREQUENCY(IF(C$2:C$3074=C2919, MATCH(D$2:D$3074, D$2:D$3074, 0)), ROW(D$2:D$3074)-ROW(D$2)+1) &gt; 0))</f>
        <v>#N/A</v>
      </c>
      <c r="G2919" s="68" t="str">
        <f t="shared" si="410"/>
        <v>SINGLE</v>
      </c>
      <c r="K2919" s="186"/>
      <c r="N2919" s="3" t="str">
        <f t="shared" si="411"/>
        <v/>
      </c>
    </row>
    <row r="2920" spans="2:14">
      <c r="B2920" s="83" t="e">
        <f t="array" ref="B2920">SUM(--(FREQUENCY(IF(C$2:C$3074=C2920, MATCH(D$2:D$3074, D$2:D$3074, 0)), ROW(D$2:D$3074)-ROW(D$2)+1) &gt; 0))</f>
        <v>#N/A</v>
      </c>
      <c r="G2920" s="68" t="str">
        <f t="shared" si="410"/>
        <v>SINGLE</v>
      </c>
      <c r="K2920" s="186"/>
      <c r="N2920" s="3" t="str">
        <f t="shared" si="411"/>
        <v/>
      </c>
    </row>
    <row r="2921" spans="2:14">
      <c r="B2921" s="83" t="e">
        <f t="array" ref="B2921">SUM(--(FREQUENCY(IF(C$2:C$3074=C2921, MATCH(D$2:D$3074, D$2:D$3074, 0)), ROW(D$2:D$3074)-ROW(D$2)+1) &gt; 0))</f>
        <v>#N/A</v>
      </c>
      <c r="G2921" s="68" t="str">
        <f t="shared" si="410"/>
        <v>SINGLE</v>
      </c>
      <c r="K2921" s="186"/>
      <c r="N2921" s="3" t="str">
        <f t="shared" si="411"/>
        <v/>
      </c>
    </row>
    <row r="2922" spans="2:14">
      <c r="B2922" s="83" t="e">
        <f t="array" ref="B2922">SUM(--(FREQUENCY(IF(C$2:C$3074=C2922, MATCH(D$2:D$3074, D$2:D$3074, 0)), ROW(D$2:D$3074)-ROW(D$2)+1) &gt; 0))</f>
        <v>#N/A</v>
      </c>
      <c r="G2922" s="68" t="str">
        <f t="shared" si="410"/>
        <v>SINGLE</v>
      </c>
      <c r="K2922" s="186"/>
      <c r="N2922" s="3" t="str">
        <f t="shared" si="411"/>
        <v/>
      </c>
    </row>
    <row r="2923" spans="2:14">
      <c r="B2923" s="83" t="e">
        <f t="array" ref="B2923">SUM(--(FREQUENCY(IF(C$2:C$3074=C2923, MATCH(D$2:D$3074, D$2:D$3074, 0)), ROW(D$2:D$3074)-ROW(D$2)+1) &gt; 0))</f>
        <v>#N/A</v>
      </c>
      <c r="G2923" s="68" t="str">
        <f t="shared" si="410"/>
        <v>SINGLE</v>
      </c>
      <c r="K2923" s="186"/>
      <c r="N2923" s="3" t="str">
        <f t="shared" si="411"/>
        <v/>
      </c>
    </row>
    <row r="2924" spans="2:14">
      <c r="B2924" s="83" t="e">
        <f t="array" ref="B2924">SUM(--(FREQUENCY(IF(C$2:C$3074=C2924, MATCH(D$2:D$3074, D$2:D$3074, 0)), ROW(D$2:D$3074)-ROW(D$2)+1) &gt; 0))</f>
        <v>#N/A</v>
      </c>
      <c r="G2924" s="68" t="str">
        <f t="shared" si="410"/>
        <v>SINGLE</v>
      </c>
      <c r="K2924" s="186"/>
      <c r="N2924" s="3" t="str">
        <f t="shared" si="411"/>
        <v/>
      </c>
    </row>
    <row r="2925" spans="2:14">
      <c r="B2925" s="83" t="e">
        <f t="array" ref="B2925">SUM(--(FREQUENCY(IF(C$2:C$3074=C2925, MATCH(D$2:D$3074, D$2:D$3074, 0)), ROW(D$2:D$3074)-ROW(D$2)+1) &gt; 0))</f>
        <v>#N/A</v>
      </c>
      <c r="G2925" s="68" t="str">
        <f t="shared" si="410"/>
        <v>SINGLE</v>
      </c>
      <c r="K2925" s="186"/>
      <c r="N2925" s="3" t="str">
        <f t="shared" si="411"/>
        <v/>
      </c>
    </row>
    <row r="2926" spans="2:14">
      <c r="B2926" s="83" t="e">
        <f t="array" ref="B2926">SUM(--(FREQUENCY(IF(C$2:C$3074=C2926, MATCH(D$2:D$3074, D$2:D$3074, 0)), ROW(D$2:D$3074)-ROW(D$2)+1) &gt; 0))</f>
        <v>#N/A</v>
      </c>
      <c r="G2926" s="68" t="str">
        <f t="shared" si="410"/>
        <v>SINGLE</v>
      </c>
      <c r="K2926" s="186"/>
      <c r="N2926" s="3" t="str">
        <f t="shared" si="411"/>
        <v/>
      </c>
    </row>
    <row r="2927" spans="2:14">
      <c r="B2927" s="83" t="e">
        <f t="array" ref="B2927">SUM(--(FREQUENCY(IF(C$2:C$3074=C2927, MATCH(D$2:D$3074, D$2:D$3074, 0)), ROW(D$2:D$3074)-ROW(D$2)+1) &gt; 0))</f>
        <v>#N/A</v>
      </c>
      <c r="G2927" s="68" t="str">
        <f t="shared" si="410"/>
        <v>SINGLE</v>
      </c>
      <c r="K2927" s="186"/>
      <c r="N2927" s="3" t="str">
        <f t="shared" si="411"/>
        <v/>
      </c>
    </row>
    <row r="2928" spans="2:14">
      <c r="B2928" s="83" t="e">
        <f t="array" ref="B2928">SUM(--(FREQUENCY(IF(C$2:C$3074=C2928, MATCH(D$2:D$3074, D$2:D$3074, 0)), ROW(D$2:D$3074)-ROW(D$2)+1) &gt; 0))</f>
        <v>#N/A</v>
      </c>
      <c r="G2928" s="68" t="str">
        <f t="shared" si="410"/>
        <v>SINGLE</v>
      </c>
      <c r="K2928" s="186"/>
      <c r="N2928" s="3" t="str">
        <f t="shared" si="411"/>
        <v/>
      </c>
    </row>
    <row r="2929" spans="2:14">
      <c r="B2929" s="83" t="e">
        <f t="array" ref="B2929">SUM(--(FREQUENCY(IF(C$2:C$3074=C2929, MATCH(D$2:D$3074, D$2:D$3074, 0)), ROW(D$2:D$3074)-ROW(D$2)+1) &gt; 0))</f>
        <v>#N/A</v>
      </c>
      <c r="G2929" s="68" t="str">
        <f t="shared" si="410"/>
        <v>SINGLE</v>
      </c>
      <c r="K2929" s="186"/>
      <c r="N2929" s="3" t="str">
        <f t="shared" si="411"/>
        <v/>
      </c>
    </row>
    <row r="2930" spans="2:14">
      <c r="B2930" s="83" t="e">
        <f t="array" ref="B2930">SUM(--(FREQUENCY(IF(C$2:C$3074=C2930, MATCH(D$2:D$3074, D$2:D$3074, 0)), ROW(D$2:D$3074)-ROW(D$2)+1) &gt; 0))</f>
        <v>#N/A</v>
      </c>
      <c r="G2930" s="68" t="str">
        <f t="shared" si="410"/>
        <v>SINGLE</v>
      </c>
      <c r="K2930" s="186"/>
      <c r="N2930" s="3" t="str">
        <f t="shared" si="411"/>
        <v/>
      </c>
    </row>
    <row r="2931" spans="2:14">
      <c r="B2931" s="83" t="e">
        <f t="array" ref="B2931">SUM(--(FREQUENCY(IF(C$2:C$3074=C2931, MATCH(D$2:D$3074, D$2:D$3074, 0)), ROW(D$2:D$3074)-ROW(D$2)+1) &gt; 0))</f>
        <v>#N/A</v>
      </c>
      <c r="G2931" s="68" t="str">
        <f t="shared" si="410"/>
        <v>SINGLE</v>
      </c>
      <c r="K2931" s="186"/>
      <c r="N2931" s="3" t="str">
        <f t="shared" si="411"/>
        <v/>
      </c>
    </row>
    <row r="2932" spans="2:14">
      <c r="B2932" s="83" t="e">
        <f t="array" ref="B2932">SUM(--(FREQUENCY(IF(C$2:C$3074=C2932, MATCH(D$2:D$3074, D$2:D$3074, 0)), ROW(D$2:D$3074)-ROW(D$2)+1) &gt; 0))</f>
        <v>#N/A</v>
      </c>
      <c r="G2932" s="68" t="str">
        <f t="shared" si="410"/>
        <v>SINGLE</v>
      </c>
      <c r="K2932" s="186"/>
      <c r="N2932" s="3" t="str">
        <f t="shared" si="411"/>
        <v/>
      </c>
    </row>
    <row r="2933" spans="2:14">
      <c r="B2933" s="83" t="e">
        <f t="array" ref="B2933">SUM(--(FREQUENCY(IF(C$2:C$3074=C2933, MATCH(D$2:D$3074, D$2:D$3074, 0)), ROW(D$2:D$3074)-ROW(D$2)+1) &gt; 0))</f>
        <v>#N/A</v>
      </c>
      <c r="G2933" s="68" t="str">
        <f t="shared" ref="G2933:G2996" si="412">IF(OR(ISNUMBER(SEARCH("DUAL",F2933)), ISNUMBER(SEARCH("IVAS",F2933))), "DUAL", "SINGLE")</f>
        <v>SINGLE</v>
      </c>
      <c r="K2933" s="186"/>
      <c r="N2933" s="3" t="str">
        <f t="shared" si="411"/>
        <v/>
      </c>
    </row>
    <row r="2934" spans="2:14">
      <c r="B2934" s="83" t="e">
        <f t="array" ref="B2934">SUM(--(FREQUENCY(IF(C$2:C$3074=C2934, MATCH(D$2:D$3074, D$2:D$3074, 0)), ROW(D$2:D$3074)-ROW(D$2)+1) &gt; 0))</f>
        <v>#N/A</v>
      </c>
      <c r="G2934" s="68" t="str">
        <f t="shared" si="412"/>
        <v>SINGLE</v>
      </c>
      <c r="K2934" s="186"/>
      <c r="N2934" s="3" t="str">
        <f t="shared" si="411"/>
        <v/>
      </c>
    </row>
    <row r="2935" spans="2:14">
      <c r="B2935" s="83" t="e">
        <f t="array" ref="B2935">SUM(--(FREQUENCY(IF(C$2:C$3074=C2935, MATCH(D$2:D$3074, D$2:D$3074, 0)), ROW(D$2:D$3074)-ROW(D$2)+1) &gt; 0))</f>
        <v>#N/A</v>
      </c>
      <c r="G2935" s="68" t="str">
        <f t="shared" si="412"/>
        <v>SINGLE</v>
      </c>
      <c r="K2935" s="186"/>
      <c r="N2935" s="3" t="str">
        <f t="shared" si="411"/>
        <v/>
      </c>
    </row>
    <row r="2936" spans="2:14">
      <c r="B2936" s="83" t="e">
        <f t="array" ref="B2936">SUM(--(FREQUENCY(IF(C$2:C$3074=C2936, MATCH(D$2:D$3074, D$2:D$3074, 0)), ROW(D$2:D$3074)-ROW(D$2)+1) &gt; 0))</f>
        <v>#N/A</v>
      </c>
      <c r="G2936" s="68" t="str">
        <f t="shared" si="412"/>
        <v>SINGLE</v>
      </c>
      <c r="K2936" s="186"/>
      <c r="N2936" s="3" t="str">
        <f t="shared" si="411"/>
        <v/>
      </c>
    </row>
    <row r="2937" spans="2:14">
      <c r="B2937" s="83" t="e">
        <f t="array" ref="B2937">SUM(--(FREQUENCY(IF(C$2:C$3074=C2937, MATCH(D$2:D$3074, D$2:D$3074, 0)), ROW(D$2:D$3074)-ROW(D$2)+1) &gt; 0))</f>
        <v>#N/A</v>
      </c>
      <c r="G2937" s="68" t="str">
        <f t="shared" si="412"/>
        <v>SINGLE</v>
      </c>
      <c r="K2937" s="186"/>
      <c r="N2937" s="3" t="str">
        <f t="shared" si="411"/>
        <v/>
      </c>
    </row>
    <row r="2938" spans="2:14">
      <c r="B2938" s="83" t="e">
        <f t="array" ref="B2938">SUM(--(FREQUENCY(IF(C$2:C$3074=C2938, MATCH(D$2:D$3074, D$2:D$3074, 0)), ROW(D$2:D$3074)-ROW(D$2)+1) &gt; 0))</f>
        <v>#N/A</v>
      </c>
      <c r="G2938" s="68" t="str">
        <f t="shared" si="412"/>
        <v>SINGLE</v>
      </c>
      <c r="K2938" s="186"/>
      <c r="N2938" s="3" t="str">
        <f t="shared" si="411"/>
        <v/>
      </c>
    </row>
    <row r="2939" spans="2:14">
      <c r="B2939" s="83" t="e">
        <f t="array" ref="B2939">SUM(--(FREQUENCY(IF(C$2:C$3074=C2939, MATCH(D$2:D$3074, D$2:D$3074, 0)), ROW(D$2:D$3074)-ROW(D$2)+1) &gt; 0))</f>
        <v>#N/A</v>
      </c>
      <c r="G2939" s="68" t="str">
        <f t="shared" si="412"/>
        <v>SINGLE</v>
      </c>
      <c r="K2939" s="186"/>
      <c r="N2939" s="3" t="str">
        <f t="shared" si="411"/>
        <v/>
      </c>
    </row>
    <row r="2940" spans="2:14">
      <c r="B2940" s="83" t="e">
        <f t="array" ref="B2940">SUM(--(FREQUENCY(IF(C$2:C$3074=C2940, MATCH(D$2:D$3074, D$2:D$3074, 0)), ROW(D$2:D$3074)-ROW(D$2)+1) &gt; 0))</f>
        <v>#N/A</v>
      </c>
      <c r="G2940" s="68" t="str">
        <f t="shared" si="412"/>
        <v>SINGLE</v>
      </c>
      <c r="K2940" s="186"/>
      <c r="N2940" s="3" t="str">
        <f t="shared" si="411"/>
        <v/>
      </c>
    </row>
    <row r="2941" spans="2:14">
      <c r="B2941" s="83" t="e">
        <f t="array" ref="B2941">SUM(--(FREQUENCY(IF(C$2:C$3074=C2941, MATCH(D$2:D$3074, D$2:D$3074, 0)), ROW(D$2:D$3074)-ROW(D$2)+1) &gt; 0))</f>
        <v>#N/A</v>
      </c>
      <c r="G2941" s="68" t="str">
        <f t="shared" si="412"/>
        <v>SINGLE</v>
      </c>
      <c r="K2941" s="186"/>
      <c r="N2941" s="3" t="str">
        <f t="shared" si="411"/>
        <v/>
      </c>
    </row>
    <row r="2942" spans="2:14">
      <c r="B2942" s="83" t="e">
        <f t="array" ref="B2942">SUM(--(FREQUENCY(IF(C$2:C$3074=C2942, MATCH(D$2:D$3074, D$2:D$3074, 0)), ROW(D$2:D$3074)-ROW(D$2)+1) &gt; 0))</f>
        <v>#N/A</v>
      </c>
      <c r="G2942" s="68" t="str">
        <f t="shared" si="412"/>
        <v>SINGLE</v>
      </c>
      <c r="K2942" s="186"/>
      <c r="N2942" s="3" t="str">
        <f t="shared" si="411"/>
        <v/>
      </c>
    </row>
    <row r="2943" spans="2:14">
      <c r="B2943" s="83" t="e">
        <f t="array" ref="B2943">SUM(--(FREQUENCY(IF(C$2:C$3074=C2943, MATCH(D$2:D$3074, D$2:D$3074, 0)), ROW(D$2:D$3074)-ROW(D$2)+1) &gt; 0))</f>
        <v>#N/A</v>
      </c>
      <c r="G2943" s="68" t="str">
        <f t="shared" si="412"/>
        <v>SINGLE</v>
      </c>
      <c r="K2943" s="186"/>
      <c r="N2943" s="3" t="str">
        <f t="shared" ref="N2943:N3006" si="413">IF(O2943&lt;&gt;"", "NG", "")</f>
        <v/>
      </c>
    </row>
    <row r="2944" spans="2:14">
      <c r="B2944" s="83" t="e">
        <f t="array" ref="B2944">SUM(--(FREQUENCY(IF(C$2:C$3074=C2944, MATCH(D$2:D$3074, D$2:D$3074, 0)), ROW(D$2:D$3074)-ROW(D$2)+1) &gt; 0))</f>
        <v>#N/A</v>
      </c>
      <c r="G2944" s="68" t="str">
        <f t="shared" si="412"/>
        <v>SINGLE</v>
      </c>
      <c r="K2944" s="186"/>
      <c r="N2944" s="3" t="str">
        <f t="shared" si="413"/>
        <v/>
      </c>
    </row>
    <row r="2945" spans="2:14">
      <c r="B2945" s="83" t="e">
        <f t="array" ref="B2945">SUM(--(FREQUENCY(IF(C$2:C$3074=C2945, MATCH(D$2:D$3074, D$2:D$3074, 0)), ROW(D$2:D$3074)-ROW(D$2)+1) &gt; 0))</f>
        <v>#N/A</v>
      </c>
      <c r="G2945" s="68" t="str">
        <f t="shared" si="412"/>
        <v>SINGLE</v>
      </c>
      <c r="K2945" s="186"/>
      <c r="N2945" s="3" t="str">
        <f t="shared" si="413"/>
        <v/>
      </c>
    </row>
    <row r="2946" spans="2:14">
      <c r="B2946" s="83" t="e">
        <f t="array" ref="B2946">SUM(--(FREQUENCY(IF(C$2:C$3074=C2946, MATCH(D$2:D$3074, D$2:D$3074, 0)), ROW(D$2:D$3074)-ROW(D$2)+1) &gt; 0))</f>
        <v>#N/A</v>
      </c>
      <c r="G2946" s="68" t="str">
        <f t="shared" si="412"/>
        <v>SINGLE</v>
      </c>
      <c r="K2946" s="186"/>
      <c r="N2946" s="3" t="str">
        <f t="shared" si="413"/>
        <v/>
      </c>
    </row>
    <row r="2947" spans="2:14">
      <c r="B2947" s="83" t="e">
        <f t="array" ref="B2947">SUM(--(FREQUENCY(IF(C$2:C$3074=C2947, MATCH(D$2:D$3074, D$2:D$3074, 0)), ROW(D$2:D$3074)-ROW(D$2)+1) &gt; 0))</f>
        <v>#N/A</v>
      </c>
      <c r="G2947" s="68" t="str">
        <f t="shared" si="412"/>
        <v>SINGLE</v>
      </c>
      <c r="K2947" s="186"/>
      <c r="N2947" s="3" t="str">
        <f t="shared" si="413"/>
        <v/>
      </c>
    </row>
    <row r="2948" spans="2:14">
      <c r="B2948" s="83" t="e">
        <f t="array" ref="B2948">SUM(--(FREQUENCY(IF(C$2:C$3074=C2948, MATCH(D$2:D$3074, D$2:D$3074, 0)), ROW(D$2:D$3074)-ROW(D$2)+1) &gt; 0))</f>
        <v>#N/A</v>
      </c>
      <c r="G2948" s="68" t="str">
        <f t="shared" si="412"/>
        <v>SINGLE</v>
      </c>
      <c r="K2948" s="186"/>
      <c r="N2948" s="3" t="str">
        <f t="shared" si="413"/>
        <v/>
      </c>
    </row>
    <row r="2949" spans="2:14">
      <c r="B2949" s="83" t="e">
        <f t="array" ref="B2949">SUM(--(FREQUENCY(IF(C$2:C$3074=C2949, MATCH(D$2:D$3074, D$2:D$3074, 0)), ROW(D$2:D$3074)-ROW(D$2)+1) &gt; 0))</f>
        <v>#N/A</v>
      </c>
      <c r="G2949" s="68" t="str">
        <f t="shared" si="412"/>
        <v>SINGLE</v>
      </c>
      <c r="K2949" s="186"/>
      <c r="N2949" s="3" t="str">
        <f t="shared" si="413"/>
        <v/>
      </c>
    </row>
    <row r="2950" spans="2:14">
      <c r="B2950" s="83" t="e">
        <f t="array" ref="B2950">SUM(--(FREQUENCY(IF(C$2:C$3074=C2950, MATCH(D$2:D$3074, D$2:D$3074, 0)), ROW(D$2:D$3074)-ROW(D$2)+1) &gt; 0))</f>
        <v>#N/A</v>
      </c>
      <c r="G2950" s="68" t="str">
        <f t="shared" si="412"/>
        <v>SINGLE</v>
      </c>
      <c r="K2950" s="186"/>
      <c r="N2950" s="3" t="str">
        <f t="shared" si="413"/>
        <v/>
      </c>
    </row>
    <row r="2951" spans="2:14">
      <c r="B2951" s="83" t="e">
        <f t="array" ref="B2951">SUM(--(FREQUENCY(IF(C$2:C$3074=C2951, MATCH(D$2:D$3074, D$2:D$3074, 0)), ROW(D$2:D$3074)-ROW(D$2)+1) &gt; 0))</f>
        <v>#N/A</v>
      </c>
      <c r="G2951" s="68" t="str">
        <f t="shared" si="412"/>
        <v>SINGLE</v>
      </c>
      <c r="K2951" s="186"/>
      <c r="N2951" s="3" t="str">
        <f t="shared" si="413"/>
        <v/>
      </c>
    </row>
    <row r="2952" spans="2:14">
      <c r="B2952" s="83" t="e">
        <f t="array" ref="B2952">SUM(--(FREQUENCY(IF(C$2:C$3074=C2952, MATCH(D$2:D$3074, D$2:D$3074, 0)), ROW(D$2:D$3074)-ROW(D$2)+1) &gt; 0))</f>
        <v>#N/A</v>
      </c>
      <c r="G2952" s="68" t="str">
        <f t="shared" si="412"/>
        <v>SINGLE</v>
      </c>
      <c r="K2952" s="186"/>
      <c r="N2952" s="3" t="str">
        <f t="shared" si="413"/>
        <v/>
      </c>
    </row>
    <row r="2953" spans="2:14">
      <c r="B2953" s="83" t="e">
        <f t="array" ref="B2953">SUM(--(FREQUENCY(IF(C$2:C$3074=C2953, MATCH(D$2:D$3074, D$2:D$3074, 0)), ROW(D$2:D$3074)-ROW(D$2)+1) &gt; 0))</f>
        <v>#N/A</v>
      </c>
      <c r="G2953" s="68" t="str">
        <f t="shared" si="412"/>
        <v>SINGLE</v>
      </c>
      <c r="K2953" s="186"/>
      <c r="N2953" s="3" t="str">
        <f t="shared" si="413"/>
        <v/>
      </c>
    </row>
    <row r="2954" spans="2:14">
      <c r="B2954" s="83" t="e">
        <f t="array" ref="B2954">SUM(--(FREQUENCY(IF(C$2:C$3074=C2954, MATCH(D$2:D$3074, D$2:D$3074, 0)), ROW(D$2:D$3074)-ROW(D$2)+1) &gt; 0))</f>
        <v>#N/A</v>
      </c>
      <c r="G2954" s="68" t="str">
        <f t="shared" si="412"/>
        <v>SINGLE</v>
      </c>
      <c r="K2954" s="186"/>
      <c r="N2954" s="3" t="str">
        <f t="shared" si="413"/>
        <v/>
      </c>
    </row>
    <row r="2955" spans="2:14">
      <c r="B2955" s="83" t="e">
        <f t="array" ref="B2955">SUM(--(FREQUENCY(IF(C$2:C$3074=C2955, MATCH(D$2:D$3074, D$2:D$3074, 0)), ROW(D$2:D$3074)-ROW(D$2)+1) &gt; 0))</f>
        <v>#N/A</v>
      </c>
      <c r="G2955" s="68" t="str">
        <f t="shared" si="412"/>
        <v>SINGLE</v>
      </c>
      <c r="K2955" s="186"/>
      <c r="N2955" s="3" t="str">
        <f t="shared" si="413"/>
        <v/>
      </c>
    </row>
    <row r="2956" spans="2:14">
      <c r="B2956" s="83" t="e">
        <f t="array" ref="B2956">SUM(--(FREQUENCY(IF(C$2:C$3074=C2956, MATCH(D$2:D$3074, D$2:D$3074, 0)), ROW(D$2:D$3074)-ROW(D$2)+1) &gt; 0))</f>
        <v>#N/A</v>
      </c>
      <c r="G2956" s="68" t="str">
        <f t="shared" si="412"/>
        <v>SINGLE</v>
      </c>
      <c r="K2956" s="186"/>
      <c r="N2956" s="3" t="str">
        <f t="shared" si="413"/>
        <v/>
      </c>
    </row>
    <row r="2957" spans="2:14">
      <c r="B2957" s="83" t="e">
        <f t="array" ref="B2957">SUM(--(FREQUENCY(IF(C$2:C$3074=C2957, MATCH(D$2:D$3074, D$2:D$3074, 0)), ROW(D$2:D$3074)-ROW(D$2)+1) &gt; 0))</f>
        <v>#N/A</v>
      </c>
      <c r="G2957" s="68" t="str">
        <f t="shared" si="412"/>
        <v>SINGLE</v>
      </c>
      <c r="K2957" s="186"/>
      <c r="N2957" s="3" t="str">
        <f t="shared" si="413"/>
        <v/>
      </c>
    </row>
    <row r="2958" spans="2:14">
      <c r="B2958" s="83" t="e">
        <f t="array" ref="B2958">SUM(--(FREQUENCY(IF(C$2:C$3074=C2958, MATCH(D$2:D$3074, D$2:D$3074, 0)), ROW(D$2:D$3074)-ROW(D$2)+1) &gt; 0))</f>
        <v>#N/A</v>
      </c>
      <c r="G2958" s="68" t="str">
        <f t="shared" si="412"/>
        <v>SINGLE</v>
      </c>
      <c r="K2958" s="186"/>
      <c r="N2958" s="3" t="str">
        <f t="shared" si="413"/>
        <v/>
      </c>
    </row>
    <row r="2959" spans="2:14">
      <c r="B2959" s="83" t="e">
        <f t="array" ref="B2959">SUM(--(FREQUENCY(IF(C$2:C$3074=C2959, MATCH(D$2:D$3074, D$2:D$3074, 0)), ROW(D$2:D$3074)-ROW(D$2)+1) &gt; 0))</f>
        <v>#N/A</v>
      </c>
      <c r="G2959" s="68" t="str">
        <f t="shared" si="412"/>
        <v>SINGLE</v>
      </c>
      <c r="K2959" s="186"/>
      <c r="N2959" s="3" t="str">
        <f t="shared" si="413"/>
        <v/>
      </c>
    </row>
    <row r="2960" spans="2:14">
      <c r="B2960" s="83" t="e">
        <f t="array" ref="B2960">SUM(--(FREQUENCY(IF(C$2:C$3074=C2960, MATCH(D$2:D$3074, D$2:D$3074, 0)), ROW(D$2:D$3074)-ROW(D$2)+1) &gt; 0))</f>
        <v>#N/A</v>
      </c>
      <c r="G2960" s="68" t="str">
        <f t="shared" si="412"/>
        <v>SINGLE</v>
      </c>
      <c r="K2960" s="186"/>
      <c r="N2960" s="3" t="str">
        <f t="shared" si="413"/>
        <v/>
      </c>
    </row>
    <row r="2961" spans="2:14">
      <c r="B2961" s="83" t="e">
        <f t="array" ref="B2961">SUM(--(FREQUENCY(IF(C$2:C$3074=C2961, MATCH(D$2:D$3074, D$2:D$3074, 0)), ROW(D$2:D$3074)-ROW(D$2)+1) &gt; 0))</f>
        <v>#N/A</v>
      </c>
      <c r="G2961" s="68" t="str">
        <f t="shared" si="412"/>
        <v>SINGLE</v>
      </c>
      <c r="K2961" s="186"/>
      <c r="N2961" s="3" t="str">
        <f t="shared" si="413"/>
        <v/>
      </c>
    </row>
    <row r="2962" spans="2:14">
      <c r="B2962" s="83" t="e">
        <f t="array" ref="B2962">SUM(--(FREQUENCY(IF(C$2:C$3074=C2962, MATCH(D$2:D$3074, D$2:D$3074, 0)), ROW(D$2:D$3074)-ROW(D$2)+1) &gt; 0))</f>
        <v>#N/A</v>
      </c>
      <c r="G2962" s="68" t="str">
        <f t="shared" si="412"/>
        <v>SINGLE</v>
      </c>
      <c r="K2962" s="186"/>
      <c r="N2962" s="3" t="str">
        <f t="shared" si="413"/>
        <v/>
      </c>
    </row>
    <row r="2963" spans="2:14">
      <c r="B2963" s="83" t="e">
        <f t="array" ref="B2963">SUM(--(FREQUENCY(IF(C$2:C$3074=C2963, MATCH(D$2:D$3074, D$2:D$3074, 0)), ROW(D$2:D$3074)-ROW(D$2)+1) &gt; 0))</f>
        <v>#N/A</v>
      </c>
      <c r="G2963" s="68" t="str">
        <f t="shared" si="412"/>
        <v>SINGLE</v>
      </c>
      <c r="K2963" s="186"/>
      <c r="N2963" s="3" t="str">
        <f t="shared" si="413"/>
        <v/>
      </c>
    </row>
    <row r="2964" spans="2:14">
      <c r="B2964" s="83" t="e">
        <f t="array" ref="B2964">SUM(--(FREQUENCY(IF(C$2:C$3074=C2964, MATCH(D$2:D$3074, D$2:D$3074, 0)), ROW(D$2:D$3074)-ROW(D$2)+1) &gt; 0))</f>
        <v>#N/A</v>
      </c>
      <c r="G2964" s="68" t="str">
        <f t="shared" si="412"/>
        <v>SINGLE</v>
      </c>
      <c r="K2964" s="186"/>
      <c r="N2964" s="3" t="str">
        <f t="shared" si="413"/>
        <v/>
      </c>
    </row>
    <row r="2965" spans="2:14">
      <c r="B2965" s="83" t="e">
        <f t="array" ref="B2965">SUM(--(FREQUENCY(IF(C$2:C$3074=C2965, MATCH(D$2:D$3074, D$2:D$3074, 0)), ROW(D$2:D$3074)-ROW(D$2)+1) &gt; 0))</f>
        <v>#N/A</v>
      </c>
      <c r="G2965" s="68" t="str">
        <f t="shared" si="412"/>
        <v>SINGLE</v>
      </c>
      <c r="K2965" s="186"/>
      <c r="N2965" s="3" t="str">
        <f t="shared" si="413"/>
        <v/>
      </c>
    </row>
    <row r="2966" spans="2:14">
      <c r="B2966" s="83" t="e">
        <f t="array" ref="B2966">SUM(--(FREQUENCY(IF(C$2:C$3074=C2966, MATCH(D$2:D$3074, D$2:D$3074, 0)), ROW(D$2:D$3074)-ROW(D$2)+1) &gt; 0))</f>
        <v>#N/A</v>
      </c>
      <c r="G2966" s="68" t="str">
        <f t="shared" si="412"/>
        <v>SINGLE</v>
      </c>
      <c r="K2966" s="186"/>
      <c r="N2966" s="3" t="str">
        <f t="shared" si="413"/>
        <v/>
      </c>
    </row>
    <row r="2967" spans="2:14">
      <c r="B2967" s="83" t="e">
        <f t="array" ref="B2967">SUM(--(FREQUENCY(IF(C$2:C$3074=C2967, MATCH(D$2:D$3074, D$2:D$3074, 0)), ROW(D$2:D$3074)-ROW(D$2)+1) &gt; 0))</f>
        <v>#N/A</v>
      </c>
      <c r="G2967" s="68" t="str">
        <f t="shared" si="412"/>
        <v>SINGLE</v>
      </c>
      <c r="K2967" s="186"/>
      <c r="N2967" s="3" t="str">
        <f t="shared" si="413"/>
        <v/>
      </c>
    </row>
    <row r="2968" spans="2:14">
      <c r="B2968" s="83" t="e">
        <f t="array" ref="B2968">SUM(--(FREQUENCY(IF(C$2:C$3074=C2968, MATCH(D$2:D$3074, D$2:D$3074, 0)), ROW(D$2:D$3074)-ROW(D$2)+1) &gt; 0))</f>
        <v>#N/A</v>
      </c>
      <c r="G2968" s="68" t="str">
        <f t="shared" si="412"/>
        <v>SINGLE</v>
      </c>
      <c r="K2968" s="186"/>
      <c r="N2968" s="3" t="str">
        <f t="shared" si="413"/>
        <v/>
      </c>
    </row>
    <row r="2969" spans="2:14">
      <c r="B2969" s="83" t="e">
        <f t="array" ref="B2969">SUM(--(FREQUENCY(IF(C$2:C$3074=C2969, MATCH(D$2:D$3074, D$2:D$3074, 0)), ROW(D$2:D$3074)-ROW(D$2)+1) &gt; 0))</f>
        <v>#N/A</v>
      </c>
      <c r="G2969" s="68" t="str">
        <f t="shared" si="412"/>
        <v>SINGLE</v>
      </c>
      <c r="K2969" s="186"/>
      <c r="N2969" s="3" t="str">
        <f t="shared" si="413"/>
        <v/>
      </c>
    </row>
    <row r="2970" spans="2:14">
      <c r="B2970" s="83" t="e">
        <f t="array" ref="B2970">SUM(--(FREQUENCY(IF(C$2:C$3074=C2970, MATCH(D$2:D$3074, D$2:D$3074, 0)), ROW(D$2:D$3074)-ROW(D$2)+1) &gt; 0))</f>
        <v>#N/A</v>
      </c>
      <c r="G2970" s="68" t="str">
        <f t="shared" si="412"/>
        <v>SINGLE</v>
      </c>
      <c r="K2970" s="186"/>
      <c r="N2970" s="3" t="str">
        <f t="shared" si="413"/>
        <v/>
      </c>
    </row>
    <row r="2971" spans="2:14">
      <c r="B2971" s="83" t="e">
        <f t="array" ref="B2971">SUM(--(FREQUENCY(IF(C$2:C$3074=C2971, MATCH(D$2:D$3074, D$2:D$3074, 0)), ROW(D$2:D$3074)-ROW(D$2)+1) &gt; 0))</f>
        <v>#N/A</v>
      </c>
      <c r="G2971" s="68" t="str">
        <f t="shared" si="412"/>
        <v>SINGLE</v>
      </c>
      <c r="K2971" s="186"/>
      <c r="N2971" s="3" t="str">
        <f t="shared" si="413"/>
        <v/>
      </c>
    </row>
    <row r="2972" spans="2:14">
      <c r="B2972" s="83" t="e">
        <f t="array" ref="B2972">SUM(--(FREQUENCY(IF(C$2:C$3074=C2972, MATCH(D$2:D$3074, D$2:D$3074, 0)), ROW(D$2:D$3074)-ROW(D$2)+1) &gt; 0))</f>
        <v>#N/A</v>
      </c>
      <c r="G2972" s="68" t="str">
        <f t="shared" si="412"/>
        <v>SINGLE</v>
      </c>
      <c r="K2972" s="186"/>
      <c r="N2972" s="3" t="str">
        <f t="shared" si="413"/>
        <v/>
      </c>
    </row>
    <row r="2973" spans="2:14">
      <c r="B2973" s="83" t="e">
        <f t="array" ref="B2973">SUM(--(FREQUENCY(IF(C$2:C$3074=C2973, MATCH(D$2:D$3074, D$2:D$3074, 0)), ROW(D$2:D$3074)-ROW(D$2)+1) &gt; 0))</f>
        <v>#N/A</v>
      </c>
      <c r="G2973" s="68" t="str">
        <f t="shared" si="412"/>
        <v>SINGLE</v>
      </c>
      <c r="K2973" s="186"/>
      <c r="N2973" s="3" t="str">
        <f t="shared" si="413"/>
        <v/>
      </c>
    </row>
    <row r="2974" spans="2:14">
      <c r="B2974" s="83" t="e">
        <f t="array" ref="B2974">SUM(--(FREQUENCY(IF(C$2:C$3074=C2974, MATCH(D$2:D$3074, D$2:D$3074, 0)), ROW(D$2:D$3074)-ROW(D$2)+1) &gt; 0))</f>
        <v>#N/A</v>
      </c>
      <c r="G2974" s="68" t="str">
        <f t="shared" si="412"/>
        <v>SINGLE</v>
      </c>
      <c r="K2974" s="186"/>
      <c r="N2974" s="3" t="str">
        <f t="shared" si="413"/>
        <v/>
      </c>
    </row>
    <row r="2975" spans="2:14">
      <c r="B2975" s="83" t="e">
        <f t="array" ref="B2975">SUM(--(FREQUENCY(IF(C$2:C$3074=C2975, MATCH(D$2:D$3074, D$2:D$3074, 0)), ROW(D$2:D$3074)-ROW(D$2)+1) &gt; 0))</f>
        <v>#N/A</v>
      </c>
      <c r="G2975" s="68" t="str">
        <f t="shared" si="412"/>
        <v>SINGLE</v>
      </c>
      <c r="K2975" s="186"/>
      <c r="N2975" s="3" t="str">
        <f t="shared" si="413"/>
        <v/>
      </c>
    </row>
    <row r="2976" spans="2:14">
      <c r="B2976" s="83" t="e">
        <f t="array" ref="B2976">SUM(--(FREQUENCY(IF(C$2:C$3074=C2976, MATCH(D$2:D$3074, D$2:D$3074, 0)), ROW(D$2:D$3074)-ROW(D$2)+1) &gt; 0))</f>
        <v>#N/A</v>
      </c>
      <c r="G2976" s="68" t="str">
        <f t="shared" si="412"/>
        <v>SINGLE</v>
      </c>
      <c r="K2976" s="186"/>
      <c r="N2976" s="3" t="str">
        <f t="shared" si="413"/>
        <v/>
      </c>
    </row>
    <row r="2977" spans="2:14">
      <c r="B2977" s="83" t="e">
        <f t="array" ref="B2977">SUM(--(FREQUENCY(IF(C$2:C$3074=C2977, MATCH(D$2:D$3074, D$2:D$3074, 0)), ROW(D$2:D$3074)-ROW(D$2)+1) &gt; 0))</f>
        <v>#N/A</v>
      </c>
      <c r="G2977" s="68" t="str">
        <f t="shared" si="412"/>
        <v>SINGLE</v>
      </c>
      <c r="K2977" s="186"/>
      <c r="N2977" s="3" t="str">
        <f t="shared" si="413"/>
        <v/>
      </c>
    </row>
    <row r="2978" spans="2:14">
      <c r="B2978" s="83" t="e">
        <f t="array" ref="B2978">SUM(--(FREQUENCY(IF(C$2:C$3074=C2978, MATCH(D$2:D$3074, D$2:D$3074, 0)), ROW(D$2:D$3074)-ROW(D$2)+1) &gt; 0))</f>
        <v>#N/A</v>
      </c>
      <c r="G2978" s="68" t="str">
        <f t="shared" si="412"/>
        <v>SINGLE</v>
      </c>
      <c r="K2978" s="186"/>
      <c r="N2978" s="3" t="str">
        <f t="shared" si="413"/>
        <v/>
      </c>
    </row>
    <row r="2979" spans="2:14">
      <c r="B2979" s="83" t="e">
        <f t="array" ref="B2979">SUM(--(FREQUENCY(IF(C$2:C$3074=C2979, MATCH(D$2:D$3074, D$2:D$3074, 0)), ROW(D$2:D$3074)-ROW(D$2)+1) &gt; 0))</f>
        <v>#N/A</v>
      </c>
      <c r="G2979" s="68" t="str">
        <f t="shared" si="412"/>
        <v>SINGLE</v>
      </c>
      <c r="K2979" s="186"/>
      <c r="N2979" s="3" t="str">
        <f t="shared" si="413"/>
        <v/>
      </c>
    </row>
    <row r="2980" spans="2:14">
      <c r="B2980" s="83" t="e">
        <f t="array" ref="B2980">SUM(--(FREQUENCY(IF(C$2:C$3074=C2980, MATCH(D$2:D$3074, D$2:D$3074, 0)), ROW(D$2:D$3074)-ROW(D$2)+1) &gt; 0))</f>
        <v>#N/A</v>
      </c>
      <c r="G2980" s="68" t="str">
        <f t="shared" si="412"/>
        <v>SINGLE</v>
      </c>
      <c r="K2980" s="186"/>
      <c r="N2980" s="3" t="str">
        <f t="shared" si="413"/>
        <v/>
      </c>
    </row>
    <row r="2981" spans="2:14">
      <c r="B2981" s="83" t="e">
        <f t="array" ref="B2981">SUM(--(FREQUENCY(IF(C$2:C$3074=C2981, MATCH(D$2:D$3074, D$2:D$3074, 0)), ROW(D$2:D$3074)-ROW(D$2)+1) &gt; 0))</f>
        <v>#N/A</v>
      </c>
      <c r="G2981" s="68" t="str">
        <f t="shared" si="412"/>
        <v>SINGLE</v>
      </c>
      <c r="K2981" s="186"/>
      <c r="N2981" s="3" t="str">
        <f t="shared" si="413"/>
        <v/>
      </c>
    </row>
    <row r="2982" spans="2:14">
      <c r="B2982" s="83" t="e">
        <f t="array" ref="B2982">SUM(--(FREQUENCY(IF(C$2:C$3074=C2982, MATCH(D$2:D$3074, D$2:D$3074, 0)), ROW(D$2:D$3074)-ROW(D$2)+1) &gt; 0))</f>
        <v>#N/A</v>
      </c>
      <c r="G2982" s="68" t="str">
        <f t="shared" si="412"/>
        <v>SINGLE</v>
      </c>
      <c r="K2982" s="186"/>
      <c r="N2982" s="3" t="str">
        <f t="shared" si="413"/>
        <v/>
      </c>
    </row>
    <row r="2983" spans="2:14">
      <c r="B2983" s="83" t="e">
        <f t="array" ref="B2983">SUM(--(FREQUENCY(IF(C$2:C$3074=C2983, MATCH(D$2:D$3074, D$2:D$3074, 0)), ROW(D$2:D$3074)-ROW(D$2)+1) &gt; 0))</f>
        <v>#N/A</v>
      </c>
      <c r="G2983" s="68" t="str">
        <f t="shared" si="412"/>
        <v>SINGLE</v>
      </c>
      <c r="K2983" s="186"/>
      <c r="N2983" s="3" t="str">
        <f t="shared" si="413"/>
        <v/>
      </c>
    </row>
    <row r="2984" spans="2:14">
      <c r="B2984" s="83" t="e">
        <f t="array" ref="B2984">SUM(--(FREQUENCY(IF(C$2:C$3074=C2984, MATCH(D$2:D$3074, D$2:D$3074, 0)), ROW(D$2:D$3074)-ROW(D$2)+1) &gt; 0))</f>
        <v>#N/A</v>
      </c>
      <c r="G2984" s="68" t="str">
        <f t="shared" si="412"/>
        <v>SINGLE</v>
      </c>
      <c r="K2984" s="186"/>
      <c r="N2984" s="3" t="str">
        <f t="shared" si="413"/>
        <v/>
      </c>
    </row>
    <row r="2985" spans="2:14">
      <c r="B2985" s="83" t="e">
        <f t="array" ref="B2985">SUM(--(FREQUENCY(IF(C$2:C$3074=C2985, MATCH(D$2:D$3074, D$2:D$3074, 0)), ROW(D$2:D$3074)-ROW(D$2)+1) &gt; 0))</f>
        <v>#N/A</v>
      </c>
      <c r="G2985" s="68" t="str">
        <f t="shared" si="412"/>
        <v>SINGLE</v>
      </c>
      <c r="K2985" s="186"/>
      <c r="N2985" s="3" t="str">
        <f t="shared" si="413"/>
        <v/>
      </c>
    </row>
    <row r="2986" spans="2:14">
      <c r="B2986" s="83" t="e">
        <f t="array" ref="B2986">SUM(--(FREQUENCY(IF(C$2:C$3074=C2986, MATCH(D$2:D$3074, D$2:D$3074, 0)), ROW(D$2:D$3074)-ROW(D$2)+1) &gt; 0))</f>
        <v>#N/A</v>
      </c>
      <c r="G2986" s="68" t="str">
        <f t="shared" si="412"/>
        <v>SINGLE</v>
      </c>
      <c r="K2986" s="186"/>
      <c r="N2986" s="3" t="str">
        <f t="shared" si="413"/>
        <v/>
      </c>
    </row>
    <row r="2987" spans="2:14">
      <c r="B2987" s="83" t="e">
        <f t="array" ref="B2987">SUM(--(FREQUENCY(IF(C$2:C$3074=C2987, MATCH(D$2:D$3074, D$2:D$3074, 0)), ROW(D$2:D$3074)-ROW(D$2)+1) &gt; 0))</f>
        <v>#N/A</v>
      </c>
      <c r="G2987" s="68" t="str">
        <f t="shared" si="412"/>
        <v>SINGLE</v>
      </c>
      <c r="K2987" s="186"/>
      <c r="N2987" s="3" t="str">
        <f t="shared" si="413"/>
        <v/>
      </c>
    </row>
    <row r="2988" spans="2:14">
      <c r="B2988" s="83" t="e">
        <f t="array" ref="B2988">SUM(--(FREQUENCY(IF(C$2:C$3074=C2988, MATCH(D$2:D$3074, D$2:D$3074, 0)), ROW(D$2:D$3074)-ROW(D$2)+1) &gt; 0))</f>
        <v>#N/A</v>
      </c>
      <c r="G2988" s="68" t="str">
        <f t="shared" si="412"/>
        <v>SINGLE</v>
      </c>
      <c r="K2988" s="186"/>
      <c r="N2988" s="3" t="str">
        <f t="shared" si="413"/>
        <v/>
      </c>
    </row>
    <row r="2989" spans="2:14">
      <c r="B2989" s="83" t="e">
        <f t="array" ref="B2989">SUM(--(FREQUENCY(IF(C$2:C$3074=C2989, MATCH(D$2:D$3074, D$2:D$3074, 0)), ROW(D$2:D$3074)-ROW(D$2)+1) &gt; 0))</f>
        <v>#N/A</v>
      </c>
      <c r="G2989" s="68" t="str">
        <f t="shared" si="412"/>
        <v>SINGLE</v>
      </c>
      <c r="K2989" s="186"/>
      <c r="N2989" s="3" t="str">
        <f t="shared" si="413"/>
        <v/>
      </c>
    </row>
    <row r="2990" spans="2:14">
      <c r="B2990" s="83" t="e">
        <f t="array" ref="B2990">SUM(--(FREQUENCY(IF(C$2:C$3074=C2990, MATCH(D$2:D$3074, D$2:D$3074, 0)), ROW(D$2:D$3074)-ROW(D$2)+1) &gt; 0))</f>
        <v>#N/A</v>
      </c>
      <c r="G2990" s="68" t="str">
        <f t="shared" si="412"/>
        <v>SINGLE</v>
      </c>
      <c r="K2990" s="186"/>
      <c r="N2990" s="3" t="str">
        <f t="shared" si="413"/>
        <v/>
      </c>
    </row>
    <row r="2991" spans="2:14">
      <c r="B2991" s="83" t="e">
        <f t="array" ref="B2991">SUM(--(FREQUENCY(IF(C$2:C$3074=C2991, MATCH(D$2:D$3074, D$2:D$3074, 0)), ROW(D$2:D$3074)-ROW(D$2)+1) &gt; 0))</f>
        <v>#N/A</v>
      </c>
      <c r="G2991" s="68" t="str">
        <f t="shared" si="412"/>
        <v>SINGLE</v>
      </c>
      <c r="K2991" s="186"/>
      <c r="N2991" s="3" t="str">
        <f t="shared" si="413"/>
        <v/>
      </c>
    </row>
    <row r="2992" spans="2:14">
      <c r="B2992" s="83" t="e">
        <f t="array" ref="B2992">SUM(--(FREQUENCY(IF(C$2:C$3074=C2992, MATCH(D$2:D$3074, D$2:D$3074, 0)), ROW(D$2:D$3074)-ROW(D$2)+1) &gt; 0))</f>
        <v>#N/A</v>
      </c>
      <c r="G2992" s="68" t="str">
        <f t="shared" si="412"/>
        <v>SINGLE</v>
      </c>
      <c r="K2992" s="186"/>
      <c r="N2992" s="3" t="str">
        <f t="shared" si="413"/>
        <v/>
      </c>
    </row>
    <row r="2993" spans="2:14">
      <c r="B2993" s="83" t="e">
        <f t="array" ref="B2993">SUM(--(FREQUENCY(IF(C$2:C$3074=C2993, MATCH(D$2:D$3074, D$2:D$3074, 0)), ROW(D$2:D$3074)-ROW(D$2)+1) &gt; 0))</f>
        <v>#N/A</v>
      </c>
      <c r="G2993" s="68" t="str">
        <f t="shared" si="412"/>
        <v>SINGLE</v>
      </c>
      <c r="K2993" s="186"/>
      <c r="N2993" s="3" t="str">
        <f t="shared" si="413"/>
        <v/>
      </c>
    </row>
    <row r="2994" spans="2:14">
      <c r="B2994" s="83" t="e">
        <f t="array" ref="B2994">SUM(--(FREQUENCY(IF(C$2:C$3074=C2994, MATCH(D$2:D$3074, D$2:D$3074, 0)), ROW(D$2:D$3074)-ROW(D$2)+1) &gt; 0))</f>
        <v>#N/A</v>
      </c>
      <c r="G2994" s="68" t="str">
        <f t="shared" si="412"/>
        <v>SINGLE</v>
      </c>
      <c r="K2994" s="186"/>
      <c r="N2994" s="3" t="str">
        <f t="shared" si="413"/>
        <v/>
      </c>
    </row>
    <row r="2995" spans="2:14">
      <c r="B2995" s="83" t="e">
        <f t="array" ref="B2995">SUM(--(FREQUENCY(IF(C$2:C$3074=C2995, MATCH(D$2:D$3074, D$2:D$3074, 0)), ROW(D$2:D$3074)-ROW(D$2)+1) &gt; 0))</f>
        <v>#N/A</v>
      </c>
      <c r="G2995" s="68" t="str">
        <f t="shared" si="412"/>
        <v>SINGLE</v>
      </c>
      <c r="K2995" s="186"/>
      <c r="N2995" s="3" t="str">
        <f t="shared" si="413"/>
        <v/>
      </c>
    </row>
    <row r="2996" spans="2:14">
      <c r="B2996" s="83" t="e">
        <f t="array" ref="B2996">SUM(--(FREQUENCY(IF(C$2:C$3074=C2996, MATCH(D$2:D$3074, D$2:D$3074, 0)), ROW(D$2:D$3074)-ROW(D$2)+1) &gt; 0))</f>
        <v>#N/A</v>
      </c>
      <c r="G2996" s="68" t="str">
        <f t="shared" si="412"/>
        <v>SINGLE</v>
      </c>
      <c r="K2996" s="186"/>
      <c r="N2996" s="3" t="str">
        <f t="shared" si="413"/>
        <v/>
      </c>
    </row>
    <row r="2997" spans="2:14">
      <c r="B2997" s="83" t="e">
        <f t="array" ref="B2997">SUM(--(FREQUENCY(IF(C$2:C$3074=C2997, MATCH(D$2:D$3074, D$2:D$3074, 0)), ROW(D$2:D$3074)-ROW(D$2)+1) &gt; 0))</f>
        <v>#N/A</v>
      </c>
      <c r="G2997" s="68" t="str">
        <f t="shared" ref="G2997:G3060" si="414">IF(OR(ISNUMBER(SEARCH("DUAL",F2997)), ISNUMBER(SEARCH("IVAS",F2997))), "DUAL", "SINGLE")</f>
        <v>SINGLE</v>
      </c>
      <c r="K2997" s="186"/>
      <c r="N2997" s="3" t="str">
        <f t="shared" si="413"/>
        <v/>
      </c>
    </row>
    <row r="2998" spans="2:14">
      <c r="B2998" s="83" t="e">
        <f t="array" ref="B2998">SUM(--(FREQUENCY(IF(C$2:C$3074=C2998, MATCH(D$2:D$3074, D$2:D$3074, 0)), ROW(D$2:D$3074)-ROW(D$2)+1) &gt; 0))</f>
        <v>#N/A</v>
      </c>
      <c r="G2998" s="68" t="str">
        <f t="shared" si="414"/>
        <v>SINGLE</v>
      </c>
      <c r="K2998" s="186"/>
      <c r="N2998" s="3" t="str">
        <f t="shared" si="413"/>
        <v/>
      </c>
    </row>
    <row r="2999" spans="2:14">
      <c r="B2999" s="83" t="e">
        <f t="array" ref="B2999">SUM(--(FREQUENCY(IF(C$2:C$3074=C2999, MATCH(D$2:D$3074, D$2:D$3074, 0)), ROW(D$2:D$3074)-ROW(D$2)+1) &gt; 0))</f>
        <v>#N/A</v>
      </c>
      <c r="G2999" s="68" t="str">
        <f t="shared" si="414"/>
        <v>SINGLE</v>
      </c>
      <c r="K2999" s="186"/>
      <c r="N2999" s="3" t="str">
        <f t="shared" si="413"/>
        <v/>
      </c>
    </row>
    <row r="3000" spans="2:14">
      <c r="B3000" s="83" t="e">
        <f t="array" ref="B3000">SUM(--(FREQUENCY(IF(C$2:C$3074=C3000, MATCH(D$2:D$3074, D$2:D$3074, 0)), ROW(D$2:D$3074)-ROW(D$2)+1) &gt; 0))</f>
        <v>#N/A</v>
      </c>
      <c r="G3000" s="68" t="str">
        <f t="shared" si="414"/>
        <v>SINGLE</v>
      </c>
      <c r="K3000" s="186"/>
      <c r="N3000" s="3" t="str">
        <f t="shared" si="413"/>
        <v/>
      </c>
    </row>
    <row r="3001" spans="2:14">
      <c r="B3001" s="83" t="e">
        <f t="array" ref="B3001">SUM(--(FREQUENCY(IF(C$2:C$3074=C3001, MATCH(D$2:D$3074, D$2:D$3074, 0)), ROW(D$2:D$3074)-ROW(D$2)+1) &gt; 0))</f>
        <v>#N/A</v>
      </c>
      <c r="G3001" s="68" t="str">
        <f t="shared" si="414"/>
        <v>SINGLE</v>
      </c>
      <c r="K3001" s="186"/>
      <c r="N3001" s="3" t="str">
        <f t="shared" si="413"/>
        <v/>
      </c>
    </row>
    <row r="3002" spans="2:14">
      <c r="B3002" s="83" t="e">
        <f t="array" ref="B3002">SUM(--(FREQUENCY(IF(C$2:C$3074=C3002, MATCH(D$2:D$3074, D$2:D$3074, 0)), ROW(D$2:D$3074)-ROW(D$2)+1) &gt; 0))</f>
        <v>#N/A</v>
      </c>
      <c r="G3002" s="68" t="str">
        <f t="shared" si="414"/>
        <v>SINGLE</v>
      </c>
      <c r="K3002" s="186"/>
      <c r="N3002" s="3" t="str">
        <f t="shared" si="413"/>
        <v/>
      </c>
    </row>
    <row r="3003" spans="2:14">
      <c r="B3003" s="83" t="e">
        <f t="array" ref="B3003">SUM(--(FREQUENCY(IF(C$2:C$3074=C3003, MATCH(D$2:D$3074, D$2:D$3074, 0)), ROW(D$2:D$3074)-ROW(D$2)+1) &gt; 0))</f>
        <v>#N/A</v>
      </c>
      <c r="G3003" s="68" t="str">
        <f t="shared" si="414"/>
        <v>SINGLE</v>
      </c>
      <c r="K3003" s="186"/>
      <c r="N3003" s="3" t="str">
        <f t="shared" si="413"/>
        <v/>
      </c>
    </row>
    <row r="3004" spans="2:14">
      <c r="B3004" s="83" t="e">
        <f t="array" ref="B3004">SUM(--(FREQUENCY(IF(C$2:C$3074=C3004, MATCH(D$2:D$3074, D$2:D$3074, 0)), ROW(D$2:D$3074)-ROW(D$2)+1) &gt; 0))</f>
        <v>#N/A</v>
      </c>
      <c r="G3004" s="68" t="str">
        <f t="shared" si="414"/>
        <v>SINGLE</v>
      </c>
      <c r="K3004" s="186"/>
      <c r="N3004" s="3" t="str">
        <f t="shared" si="413"/>
        <v/>
      </c>
    </row>
    <row r="3005" spans="2:14">
      <c r="B3005" s="83" t="e">
        <f t="array" ref="B3005">SUM(--(FREQUENCY(IF(C$2:C$3074=C3005, MATCH(D$2:D$3074, D$2:D$3074, 0)), ROW(D$2:D$3074)-ROW(D$2)+1) &gt; 0))</f>
        <v>#N/A</v>
      </c>
      <c r="G3005" s="68" t="str">
        <f t="shared" si="414"/>
        <v>SINGLE</v>
      </c>
      <c r="K3005" s="186"/>
      <c r="N3005" s="3" t="str">
        <f t="shared" si="413"/>
        <v/>
      </c>
    </row>
    <row r="3006" spans="2:14">
      <c r="B3006" s="83" t="e">
        <f t="array" ref="B3006">SUM(--(FREQUENCY(IF(C$2:C$3074=C3006, MATCH(D$2:D$3074, D$2:D$3074, 0)), ROW(D$2:D$3074)-ROW(D$2)+1) &gt; 0))</f>
        <v>#N/A</v>
      </c>
      <c r="G3006" s="68" t="str">
        <f t="shared" si="414"/>
        <v>SINGLE</v>
      </c>
      <c r="K3006" s="186"/>
      <c r="N3006" s="3" t="str">
        <f t="shared" si="413"/>
        <v/>
      </c>
    </row>
    <row r="3007" spans="2:14">
      <c r="B3007" s="83" t="e">
        <f t="array" ref="B3007">SUM(--(FREQUENCY(IF(C$2:C$3074=C3007, MATCH(D$2:D$3074, D$2:D$3074, 0)), ROW(D$2:D$3074)-ROW(D$2)+1) &gt; 0))</f>
        <v>#N/A</v>
      </c>
      <c r="G3007" s="68" t="str">
        <f t="shared" si="414"/>
        <v>SINGLE</v>
      </c>
      <c r="K3007" s="186"/>
      <c r="N3007" s="3" t="str">
        <f t="shared" ref="N3007:N3070" si="415">IF(O3007&lt;&gt;"", "NG", "")</f>
        <v/>
      </c>
    </row>
    <row r="3008" spans="2:14">
      <c r="B3008" s="83" t="e">
        <f t="array" ref="B3008">SUM(--(FREQUENCY(IF(C$2:C$3074=C3008, MATCH(D$2:D$3074, D$2:D$3074, 0)), ROW(D$2:D$3074)-ROW(D$2)+1) &gt; 0))</f>
        <v>#N/A</v>
      </c>
      <c r="G3008" s="68" t="str">
        <f t="shared" si="414"/>
        <v>SINGLE</v>
      </c>
      <c r="K3008" s="186"/>
      <c r="N3008" s="3" t="str">
        <f t="shared" si="415"/>
        <v/>
      </c>
    </row>
    <row r="3009" spans="2:14">
      <c r="B3009" s="83" t="e">
        <f t="array" ref="B3009">SUM(--(FREQUENCY(IF(C$2:C$3074=C3009, MATCH(D$2:D$3074, D$2:D$3074, 0)), ROW(D$2:D$3074)-ROW(D$2)+1) &gt; 0))</f>
        <v>#N/A</v>
      </c>
      <c r="G3009" s="68" t="str">
        <f t="shared" si="414"/>
        <v>SINGLE</v>
      </c>
      <c r="K3009" s="186"/>
      <c r="N3009" s="3" t="str">
        <f t="shared" si="415"/>
        <v/>
      </c>
    </row>
    <row r="3010" spans="2:14">
      <c r="B3010" s="83" t="e">
        <f t="array" ref="B3010">SUM(--(FREQUENCY(IF(C$2:C$3074=C3010, MATCH(D$2:D$3074, D$2:D$3074, 0)), ROW(D$2:D$3074)-ROW(D$2)+1) &gt; 0))</f>
        <v>#N/A</v>
      </c>
      <c r="G3010" s="68" t="str">
        <f t="shared" si="414"/>
        <v>SINGLE</v>
      </c>
      <c r="K3010" s="186"/>
      <c r="N3010" s="3" t="str">
        <f t="shared" si="415"/>
        <v/>
      </c>
    </row>
    <row r="3011" spans="2:14">
      <c r="B3011" s="83" t="e">
        <f t="array" ref="B3011">SUM(--(FREQUENCY(IF(C$2:C$3074=C3011, MATCH(D$2:D$3074, D$2:D$3074, 0)), ROW(D$2:D$3074)-ROW(D$2)+1) &gt; 0))</f>
        <v>#N/A</v>
      </c>
      <c r="G3011" s="68" t="str">
        <f t="shared" si="414"/>
        <v>SINGLE</v>
      </c>
      <c r="K3011" s="186"/>
      <c r="N3011" s="3" t="str">
        <f t="shared" si="415"/>
        <v/>
      </c>
    </row>
    <row r="3012" spans="2:14">
      <c r="B3012" s="83" t="e">
        <f t="array" ref="B3012">SUM(--(FREQUENCY(IF(C$2:C$3074=C3012, MATCH(D$2:D$3074, D$2:D$3074, 0)), ROW(D$2:D$3074)-ROW(D$2)+1) &gt; 0))</f>
        <v>#N/A</v>
      </c>
      <c r="G3012" s="68" t="str">
        <f t="shared" si="414"/>
        <v>SINGLE</v>
      </c>
      <c r="K3012" s="186"/>
      <c r="N3012" s="3" t="str">
        <f t="shared" si="415"/>
        <v/>
      </c>
    </row>
    <row r="3013" spans="2:14">
      <c r="B3013" s="83" t="e">
        <f t="array" ref="B3013">SUM(--(FREQUENCY(IF(C$2:C$3074=C3013, MATCH(D$2:D$3074, D$2:D$3074, 0)), ROW(D$2:D$3074)-ROW(D$2)+1) &gt; 0))</f>
        <v>#N/A</v>
      </c>
      <c r="G3013" s="68" t="str">
        <f t="shared" si="414"/>
        <v>SINGLE</v>
      </c>
      <c r="K3013" s="186"/>
      <c r="N3013" s="3" t="str">
        <f t="shared" si="415"/>
        <v/>
      </c>
    </row>
    <row r="3014" spans="2:14">
      <c r="B3014" s="83" t="e">
        <f t="array" ref="B3014">SUM(--(FREQUENCY(IF(C$2:C$3074=C3014, MATCH(D$2:D$3074, D$2:D$3074, 0)), ROW(D$2:D$3074)-ROW(D$2)+1) &gt; 0))</f>
        <v>#N/A</v>
      </c>
      <c r="G3014" s="68" t="str">
        <f t="shared" si="414"/>
        <v>SINGLE</v>
      </c>
      <c r="K3014" s="186"/>
      <c r="N3014" s="3" t="str">
        <f t="shared" si="415"/>
        <v/>
      </c>
    </row>
    <row r="3015" spans="2:14">
      <c r="B3015" s="83" t="e">
        <f t="array" ref="B3015">SUM(--(FREQUENCY(IF(C$2:C$3074=C3015, MATCH(D$2:D$3074, D$2:D$3074, 0)), ROW(D$2:D$3074)-ROW(D$2)+1) &gt; 0))</f>
        <v>#N/A</v>
      </c>
      <c r="G3015" s="68" t="str">
        <f t="shared" si="414"/>
        <v>SINGLE</v>
      </c>
      <c r="K3015" s="186"/>
      <c r="N3015" s="3" t="str">
        <f t="shared" si="415"/>
        <v/>
      </c>
    </row>
    <row r="3016" spans="2:14">
      <c r="B3016" s="83" t="e">
        <f t="array" ref="B3016">SUM(--(FREQUENCY(IF(C$2:C$3074=C3016, MATCH(D$2:D$3074, D$2:D$3074, 0)), ROW(D$2:D$3074)-ROW(D$2)+1) &gt; 0))</f>
        <v>#N/A</v>
      </c>
      <c r="G3016" s="68" t="str">
        <f t="shared" si="414"/>
        <v>SINGLE</v>
      </c>
      <c r="K3016" s="186"/>
      <c r="N3016" s="3" t="str">
        <f t="shared" si="415"/>
        <v/>
      </c>
    </row>
    <row r="3017" spans="2:14">
      <c r="B3017" s="83" t="e">
        <f t="array" ref="B3017">SUM(--(FREQUENCY(IF(C$2:C$3074=C3017, MATCH(D$2:D$3074, D$2:D$3074, 0)), ROW(D$2:D$3074)-ROW(D$2)+1) &gt; 0))</f>
        <v>#N/A</v>
      </c>
      <c r="G3017" s="68" t="str">
        <f t="shared" si="414"/>
        <v>SINGLE</v>
      </c>
      <c r="K3017" s="186"/>
      <c r="N3017" s="3" t="str">
        <f t="shared" si="415"/>
        <v/>
      </c>
    </row>
    <row r="3018" spans="2:14">
      <c r="B3018" s="83" t="e">
        <f t="array" ref="B3018">SUM(--(FREQUENCY(IF(C$2:C$3074=C3018, MATCH(D$2:D$3074, D$2:D$3074, 0)), ROW(D$2:D$3074)-ROW(D$2)+1) &gt; 0))</f>
        <v>#N/A</v>
      </c>
      <c r="G3018" s="68" t="str">
        <f t="shared" si="414"/>
        <v>SINGLE</v>
      </c>
      <c r="K3018" s="186"/>
      <c r="N3018" s="3" t="str">
        <f t="shared" si="415"/>
        <v/>
      </c>
    </row>
    <row r="3019" spans="2:14">
      <c r="B3019" s="83" t="e">
        <f t="array" ref="B3019">SUM(--(FREQUENCY(IF(C$2:C$3074=C3019, MATCH(D$2:D$3074, D$2:D$3074, 0)), ROW(D$2:D$3074)-ROW(D$2)+1) &gt; 0))</f>
        <v>#N/A</v>
      </c>
      <c r="G3019" s="68" t="str">
        <f t="shared" si="414"/>
        <v>SINGLE</v>
      </c>
      <c r="K3019" s="186"/>
      <c r="N3019" s="3" t="str">
        <f t="shared" si="415"/>
        <v/>
      </c>
    </row>
    <row r="3020" spans="2:14">
      <c r="B3020" s="83" t="e">
        <f t="array" ref="B3020">SUM(--(FREQUENCY(IF(C$2:C$3074=C3020, MATCH(D$2:D$3074, D$2:D$3074, 0)), ROW(D$2:D$3074)-ROW(D$2)+1) &gt; 0))</f>
        <v>#N/A</v>
      </c>
      <c r="G3020" s="68" t="str">
        <f t="shared" si="414"/>
        <v>SINGLE</v>
      </c>
      <c r="K3020" s="186"/>
      <c r="N3020" s="3" t="str">
        <f t="shared" si="415"/>
        <v/>
      </c>
    </row>
    <row r="3021" spans="2:14">
      <c r="B3021" s="83" t="e">
        <f t="array" ref="B3021">SUM(--(FREQUENCY(IF(C$2:C$3074=C3021, MATCH(D$2:D$3074, D$2:D$3074, 0)), ROW(D$2:D$3074)-ROW(D$2)+1) &gt; 0))</f>
        <v>#N/A</v>
      </c>
      <c r="G3021" s="68" t="str">
        <f t="shared" si="414"/>
        <v>SINGLE</v>
      </c>
      <c r="K3021" s="186"/>
      <c r="N3021" s="3" t="str">
        <f t="shared" si="415"/>
        <v/>
      </c>
    </row>
    <row r="3022" spans="2:14">
      <c r="B3022" s="83" t="e">
        <f t="array" ref="B3022">SUM(--(FREQUENCY(IF(C$2:C$3074=C3022, MATCH(D$2:D$3074, D$2:D$3074, 0)), ROW(D$2:D$3074)-ROW(D$2)+1) &gt; 0))</f>
        <v>#N/A</v>
      </c>
      <c r="G3022" s="68" t="str">
        <f t="shared" si="414"/>
        <v>SINGLE</v>
      </c>
      <c r="K3022" s="186"/>
      <c r="N3022" s="3" t="str">
        <f t="shared" si="415"/>
        <v/>
      </c>
    </row>
    <row r="3023" spans="2:14">
      <c r="B3023" s="83" t="e">
        <f t="array" ref="B3023">SUM(--(FREQUENCY(IF(C$2:C$3074=C3023, MATCH(D$2:D$3074, D$2:D$3074, 0)), ROW(D$2:D$3074)-ROW(D$2)+1) &gt; 0))</f>
        <v>#N/A</v>
      </c>
      <c r="G3023" s="68" t="str">
        <f t="shared" si="414"/>
        <v>SINGLE</v>
      </c>
      <c r="K3023" s="186"/>
      <c r="N3023" s="3" t="str">
        <f t="shared" si="415"/>
        <v/>
      </c>
    </row>
    <row r="3024" spans="2:14">
      <c r="B3024" s="83" t="e">
        <f t="array" ref="B3024">SUM(--(FREQUENCY(IF(C$2:C$3074=C3024, MATCH(D$2:D$3074, D$2:D$3074, 0)), ROW(D$2:D$3074)-ROW(D$2)+1) &gt; 0))</f>
        <v>#N/A</v>
      </c>
      <c r="G3024" s="68" t="str">
        <f t="shared" si="414"/>
        <v>SINGLE</v>
      </c>
      <c r="K3024" s="186"/>
      <c r="N3024" s="3" t="str">
        <f t="shared" si="415"/>
        <v/>
      </c>
    </row>
    <row r="3025" spans="2:14">
      <c r="B3025" s="83" t="e">
        <f t="array" ref="B3025">SUM(--(FREQUENCY(IF(C$2:C$3074=C3025, MATCH(D$2:D$3074, D$2:D$3074, 0)), ROW(D$2:D$3074)-ROW(D$2)+1) &gt; 0))</f>
        <v>#N/A</v>
      </c>
      <c r="G3025" s="68" t="str">
        <f t="shared" si="414"/>
        <v>SINGLE</v>
      </c>
      <c r="K3025" s="186"/>
      <c r="N3025" s="3" t="str">
        <f t="shared" si="415"/>
        <v/>
      </c>
    </row>
    <row r="3026" spans="2:14">
      <c r="B3026" s="83" t="e">
        <f t="array" ref="B3026">SUM(--(FREQUENCY(IF(C$2:C$3074=C3026, MATCH(D$2:D$3074, D$2:D$3074, 0)), ROW(D$2:D$3074)-ROW(D$2)+1) &gt; 0))</f>
        <v>#N/A</v>
      </c>
      <c r="G3026" s="68" t="str">
        <f t="shared" si="414"/>
        <v>SINGLE</v>
      </c>
      <c r="K3026" s="186"/>
      <c r="N3026" s="3" t="str">
        <f t="shared" si="415"/>
        <v/>
      </c>
    </row>
    <row r="3027" spans="2:14">
      <c r="B3027" s="83" t="e">
        <f t="array" ref="B3027">SUM(--(FREQUENCY(IF(C$2:C$3074=C3027, MATCH(D$2:D$3074, D$2:D$3074, 0)), ROW(D$2:D$3074)-ROW(D$2)+1) &gt; 0))</f>
        <v>#N/A</v>
      </c>
      <c r="G3027" s="68" t="str">
        <f t="shared" si="414"/>
        <v>SINGLE</v>
      </c>
      <c r="K3027" s="186"/>
      <c r="N3027" s="3" t="str">
        <f t="shared" si="415"/>
        <v/>
      </c>
    </row>
    <row r="3028" spans="2:14">
      <c r="B3028" s="83" t="e">
        <f t="array" ref="B3028">SUM(--(FREQUENCY(IF(C$2:C$3074=C3028, MATCH(D$2:D$3074, D$2:D$3074, 0)), ROW(D$2:D$3074)-ROW(D$2)+1) &gt; 0))</f>
        <v>#N/A</v>
      </c>
      <c r="G3028" s="68" t="str">
        <f t="shared" si="414"/>
        <v>SINGLE</v>
      </c>
      <c r="K3028" s="186"/>
      <c r="N3028" s="3" t="str">
        <f t="shared" si="415"/>
        <v/>
      </c>
    </row>
    <row r="3029" spans="2:14">
      <c r="B3029" s="83" t="e">
        <f t="array" ref="B3029">SUM(--(FREQUENCY(IF(C$2:C$3074=C3029, MATCH(D$2:D$3074, D$2:D$3074, 0)), ROW(D$2:D$3074)-ROW(D$2)+1) &gt; 0))</f>
        <v>#N/A</v>
      </c>
      <c r="G3029" s="68" t="str">
        <f t="shared" si="414"/>
        <v>SINGLE</v>
      </c>
      <c r="K3029" s="186"/>
      <c r="N3029" s="3" t="str">
        <f t="shared" si="415"/>
        <v/>
      </c>
    </row>
    <row r="3030" spans="2:14">
      <c r="B3030" s="83" t="e">
        <f t="array" ref="B3030">SUM(--(FREQUENCY(IF(C$2:C$3074=C3030, MATCH(D$2:D$3074, D$2:D$3074, 0)), ROW(D$2:D$3074)-ROW(D$2)+1) &gt; 0))</f>
        <v>#N/A</v>
      </c>
      <c r="G3030" s="68" t="str">
        <f t="shared" si="414"/>
        <v>SINGLE</v>
      </c>
      <c r="K3030" s="186"/>
      <c r="N3030" s="3" t="str">
        <f t="shared" si="415"/>
        <v/>
      </c>
    </row>
    <row r="3031" spans="2:14">
      <c r="B3031" s="83" t="e">
        <f t="array" ref="B3031">SUM(--(FREQUENCY(IF(C$2:C$3074=C3031, MATCH(D$2:D$3074, D$2:D$3074, 0)), ROW(D$2:D$3074)-ROW(D$2)+1) &gt; 0))</f>
        <v>#N/A</v>
      </c>
      <c r="G3031" s="68" t="str">
        <f t="shared" si="414"/>
        <v>SINGLE</v>
      </c>
      <c r="K3031" s="186"/>
      <c r="N3031" s="3" t="str">
        <f t="shared" si="415"/>
        <v/>
      </c>
    </row>
    <row r="3032" spans="2:14">
      <c r="B3032" s="83" t="e">
        <f t="array" ref="B3032">SUM(--(FREQUENCY(IF(C$2:C$3074=C3032, MATCH(D$2:D$3074, D$2:D$3074, 0)), ROW(D$2:D$3074)-ROW(D$2)+1) &gt; 0))</f>
        <v>#N/A</v>
      </c>
      <c r="G3032" s="68" t="str">
        <f t="shared" si="414"/>
        <v>SINGLE</v>
      </c>
      <c r="K3032" s="186"/>
      <c r="N3032" s="3" t="str">
        <f t="shared" si="415"/>
        <v/>
      </c>
    </row>
    <row r="3033" spans="2:14">
      <c r="B3033" s="83" t="e">
        <f t="array" ref="B3033">SUM(--(FREQUENCY(IF(C$2:C$3074=C3033, MATCH(D$2:D$3074, D$2:D$3074, 0)), ROW(D$2:D$3074)-ROW(D$2)+1) &gt; 0))</f>
        <v>#N/A</v>
      </c>
      <c r="G3033" s="68" t="str">
        <f t="shared" si="414"/>
        <v>SINGLE</v>
      </c>
      <c r="K3033" s="186"/>
      <c r="N3033" s="3" t="str">
        <f t="shared" si="415"/>
        <v/>
      </c>
    </row>
    <row r="3034" spans="2:14">
      <c r="B3034" s="83" t="e">
        <f t="array" ref="B3034">SUM(--(FREQUENCY(IF(C$2:C$3074=C3034, MATCH(D$2:D$3074, D$2:D$3074, 0)), ROW(D$2:D$3074)-ROW(D$2)+1) &gt; 0))</f>
        <v>#N/A</v>
      </c>
      <c r="G3034" s="68" t="str">
        <f t="shared" si="414"/>
        <v>SINGLE</v>
      </c>
      <c r="K3034" s="186"/>
      <c r="N3034" s="3" t="str">
        <f t="shared" si="415"/>
        <v/>
      </c>
    </row>
    <row r="3035" spans="2:14">
      <c r="B3035" s="83" t="e">
        <f t="array" ref="B3035">SUM(--(FREQUENCY(IF(C$2:C$3074=C3035, MATCH(D$2:D$3074, D$2:D$3074, 0)), ROW(D$2:D$3074)-ROW(D$2)+1) &gt; 0))</f>
        <v>#N/A</v>
      </c>
      <c r="G3035" s="68" t="str">
        <f t="shared" si="414"/>
        <v>SINGLE</v>
      </c>
      <c r="K3035" s="186"/>
      <c r="N3035" s="3" t="str">
        <f t="shared" si="415"/>
        <v/>
      </c>
    </row>
    <row r="3036" spans="2:14">
      <c r="B3036" s="83" t="e">
        <f t="array" ref="B3036">SUM(--(FREQUENCY(IF(C$2:C$3074=C3036, MATCH(D$2:D$3074, D$2:D$3074, 0)), ROW(D$2:D$3074)-ROW(D$2)+1) &gt; 0))</f>
        <v>#N/A</v>
      </c>
      <c r="G3036" s="68" t="str">
        <f t="shared" si="414"/>
        <v>SINGLE</v>
      </c>
      <c r="K3036" s="186"/>
      <c r="N3036" s="3" t="str">
        <f t="shared" si="415"/>
        <v/>
      </c>
    </row>
    <row r="3037" spans="2:14">
      <c r="B3037" s="83" t="e">
        <f t="array" ref="B3037">SUM(--(FREQUENCY(IF(C$2:C$3074=C3037, MATCH(D$2:D$3074, D$2:D$3074, 0)), ROW(D$2:D$3074)-ROW(D$2)+1) &gt; 0))</f>
        <v>#N/A</v>
      </c>
      <c r="G3037" s="68" t="str">
        <f t="shared" si="414"/>
        <v>SINGLE</v>
      </c>
      <c r="K3037" s="186"/>
      <c r="N3037" s="3" t="str">
        <f t="shared" si="415"/>
        <v/>
      </c>
    </row>
    <row r="3038" spans="2:14">
      <c r="B3038" s="83" t="e">
        <f t="array" ref="B3038">SUM(--(FREQUENCY(IF(C$2:C$3074=C3038, MATCH(D$2:D$3074, D$2:D$3074, 0)), ROW(D$2:D$3074)-ROW(D$2)+1) &gt; 0))</f>
        <v>#N/A</v>
      </c>
      <c r="G3038" s="68" t="str">
        <f t="shared" si="414"/>
        <v>SINGLE</v>
      </c>
      <c r="K3038" s="186"/>
      <c r="N3038" s="3" t="str">
        <f t="shared" si="415"/>
        <v/>
      </c>
    </row>
    <row r="3039" spans="2:14">
      <c r="B3039" s="83" t="e">
        <f t="array" ref="B3039">SUM(--(FREQUENCY(IF(C$2:C$3074=C3039, MATCH(D$2:D$3074, D$2:D$3074, 0)), ROW(D$2:D$3074)-ROW(D$2)+1) &gt; 0))</f>
        <v>#N/A</v>
      </c>
      <c r="G3039" s="68" t="str">
        <f t="shared" si="414"/>
        <v>SINGLE</v>
      </c>
      <c r="K3039" s="186"/>
      <c r="N3039" s="3" t="str">
        <f t="shared" si="415"/>
        <v/>
      </c>
    </row>
    <row r="3040" spans="2:14">
      <c r="B3040" s="83" t="e">
        <f t="array" ref="B3040">SUM(--(FREQUENCY(IF(C$2:C$3074=C3040, MATCH(D$2:D$3074, D$2:D$3074, 0)), ROW(D$2:D$3074)-ROW(D$2)+1) &gt; 0))</f>
        <v>#N/A</v>
      </c>
      <c r="G3040" s="68" t="str">
        <f t="shared" si="414"/>
        <v>SINGLE</v>
      </c>
      <c r="K3040" s="186"/>
      <c r="N3040" s="3" t="str">
        <f t="shared" si="415"/>
        <v/>
      </c>
    </row>
    <row r="3041" spans="2:14">
      <c r="B3041" s="83" t="e">
        <f t="array" ref="B3041">SUM(--(FREQUENCY(IF(C$2:C$3074=C3041, MATCH(D$2:D$3074, D$2:D$3074, 0)), ROW(D$2:D$3074)-ROW(D$2)+1) &gt; 0))</f>
        <v>#N/A</v>
      </c>
      <c r="G3041" s="68" t="str">
        <f t="shared" si="414"/>
        <v>SINGLE</v>
      </c>
      <c r="K3041" s="186"/>
      <c r="N3041" s="3" t="str">
        <f t="shared" si="415"/>
        <v/>
      </c>
    </row>
    <row r="3042" spans="2:14">
      <c r="B3042" s="83" t="e">
        <f t="array" ref="B3042">SUM(--(FREQUENCY(IF(C$2:C$3074=C3042, MATCH(D$2:D$3074, D$2:D$3074, 0)), ROW(D$2:D$3074)-ROW(D$2)+1) &gt; 0))</f>
        <v>#N/A</v>
      </c>
      <c r="G3042" s="68" t="str">
        <f t="shared" si="414"/>
        <v>SINGLE</v>
      </c>
      <c r="K3042" s="186"/>
      <c r="N3042" s="3" t="str">
        <f t="shared" si="415"/>
        <v/>
      </c>
    </row>
    <row r="3043" spans="2:14">
      <c r="B3043" s="83" t="e">
        <f t="array" ref="B3043">SUM(--(FREQUENCY(IF(C$2:C$3074=C3043, MATCH(D$2:D$3074, D$2:D$3074, 0)), ROW(D$2:D$3074)-ROW(D$2)+1) &gt; 0))</f>
        <v>#N/A</v>
      </c>
      <c r="G3043" s="68" t="str">
        <f t="shared" si="414"/>
        <v>SINGLE</v>
      </c>
      <c r="K3043" s="186"/>
      <c r="N3043" s="3" t="str">
        <f t="shared" si="415"/>
        <v/>
      </c>
    </row>
    <row r="3044" spans="2:14">
      <c r="B3044" s="83" t="e">
        <f t="array" ref="B3044">SUM(--(FREQUENCY(IF(C$2:C$3074=C3044, MATCH(D$2:D$3074, D$2:D$3074, 0)), ROW(D$2:D$3074)-ROW(D$2)+1) &gt; 0))</f>
        <v>#N/A</v>
      </c>
      <c r="G3044" s="68" t="str">
        <f t="shared" si="414"/>
        <v>SINGLE</v>
      </c>
      <c r="K3044" s="186"/>
      <c r="N3044" s="3" t="str">
        <f t="shared" si="415"/>
        <v/>
      </c>
    </row>
    <row r="3045" spans="2:14">
      <c r="B3045" s="83" t="e">
        <f t="array" ref="B3045">SUM(--(FREQUENCY(IF(C$2:C$3074=C3045, MATCH(D$2:D$3074, D$2:D$3074, 0)), ROW(D$2:D$3074)-ROW(D$2)+1) &gt; 0))</f>
        <v>#N/A</v>
      </c>
      <c r="G3045" s="68" t="str">
        <f t="shared" si="414"/>
        <v>SINGLE</v>
      </c>
      <c r="K3045" s="186"/>
      <c r="N3045" s="3" t="str">
        <f t="shared" si="415"/>
        <v/>
      </c>
    </row>
    <row r="3046" spans="2:14">
      <c r="B3046" s="83" t="e">
        <f t="array" ref="B3046">SUM(--(FREQUENCY(IF(C$2:C$3074=C3046, MATCH(D$2:D$3074, D$2:D$3074, 0)), ROW(D$2:D$3074)-ROW(D$2)+1) &gt; 0))</f>
        <v>#N/A</v>
      </c>
      <c r="G3046" s="68" t="str">
        <f t="shared" si="414"/>
        <v>SINGLE</v>
      </c>
      <c r="K3046" s="186"/>
      <c r="N3046" s="3" t="str">
        <f t="shared" si="415"/>
        <v/>
      </c>
    </row>
    <row r="3047" spans="2:14">
      <c r="B3047" s="83" t="e">
        <f t="array" ref="B3047">SUM(--(FREQUENCY(IF(C$2:C$3074=C3047, MATCH(D$2:D$3074, D$2:D$3074, 0)), ROW(D$2:D$3074)-ROW(D$2)+1) &gt; 0))</f>
        <v>#N/A</v>
      </c>
      <c r="G3047" s="68" t="str">
        <f t="shared" si="414"/>
        <v>SINGLE</v>
      </c>
      <c r="K3047" s="186"/>
      <c r="N3047" s="3" t="str">
        <f t="shared" si="415"/>
        <v/>
      </c>
    </row>
    <row r="3048" spans="2:14">
      <c r="B3048" s="83" t="e">
        <f t="array" ref="B3048">SUM(--(FREQUENCY(IF(C$2:C$3074=C3048, MATCH(D$2:D$3074, D$2:D$3074, 0)), ROW(D$2:D$3074)-ROW(D$2)+1) &gt; 0))</f>
        <v>#N/A</v>
      </c>
      <c r="G3048" s="68" t="str">
        <f t="shared" si="414"/>
        <v>SINGLE</v>
      </c>
      <c r="K3048" s="186"/>
      <c r="N3048" s="3" t="str">
        <f t="shared" si="415"/>
        <v/>
      </c>
    </row>
    <row r="3049" spans="2:14">
      <c r="B3049" s="83" t="e">
        <f t="array" ref="B3049">SUM(--(FREQUENCY(IF(C$2:C$3074=C3049, MATCH(D$2:D$3074, D$2:D$3074, 0)), ROW(D$2:D$3074)-ROW(D$2)+1) &gt; 0))</f>
        <v>#N/A</v>
      </c>
      <c r="G3049" s="68" t="str">
        <f t="shared" si="414"/>
        <v>SINGLE</v>
      </c>
      <c r="K3049" s="186"/>
      <c r="N3049" s="3" t="str">
        <f t="shared" si="415"/>
        <v/>
      </c>
    </row>
    <row r="3050" spans="2:14">
      <c r="B3050" s="83" t="e">
        <f t="array" ref="B3050">SUM(--(FREQUENCY(IF(C$2:C$3074=C3050, MATCH(D$2:D$3074, D$2:D$3074, 0)), ROW(D$2:D$3074)-ROW(D$2)+1) &gt; 0))</f>
        <v>#N/A</v>
      </c>
      <c r="G3050" s="68" t="str">
        <f t="shared" si="414"/>
        <v>SINGLE</v>
      </c>
      <c r="K3050" s="186"/>
      <c r="N3050" s="3" t="str">
        <f t="shared" si="415"/>
        <v/>
      </c>
    </row>
    <row r="3051" spans="2:14">
      <c r="B3051" s="83" t="e">
        <f t="array" ref="B3051">SUM(--(FREQUENCY(IF(C$2:C$3074=C3051, MATCH(D$2:D$3074, D$2:D$3074, 0)), ROW(D$2:D$3074)-ROW(D$2)+1) &gt; 0))</f>
        <v>#N/A</v>
      </c>
      <c r="G3051" s="68" t="str">
        <f t="shared" si="414"/>
        <v>SINGLE</v>
      </c>
      <c r="K3051" s="186"/>
      <c r="N3051" s="3" t="str">
        <f t="shared" si="415"/>
        <v/>
      </c>
    </row>
    <row r="3052" spans="2:14">
      <c r="B3052" s="83" t="e">
        <f t="array" ref="B3052">SUM(--(FREQUENCY(IF(C$2:C$3074=C3052, MATCH(D$2:D$3074, D$2:D$3074, 0)), ROW(D$2:D$3074)-ROW(D$2)+1) &gt; 0))</f>
        <v>#N/A</v>
      </c>
      <c r="G3052" s="68" t="str">
        <f t="shared" si="414"/>
        <v>SINGLE</v>
      </c>
      <c r="K3052" s="186"/>
      <c r="N3052" s="3" t="str">
        <f t="shared" si="415"/>
        <v/>
      </c>
    </row>
    <row r="3053" spans="2:14">
      <c r="B3053" s="83" t="e">
        <f t="array" ref="B3053">SUM(--(FREQUENCY(IF(C$2:C$3074=C3053, MATCH(D$2:D$3074, D$2:D$3074, 0)), ROW(D$2:D$3074)-ROW(D$2)+1) &gt; 0))</f>
        <v>#N/A</v>
      </c>
      <c r="G3053" s="68" t="str">
        <f t="shared" si="414"/>
        <v>SINGLE</v>
      </c>
      <c r="K3053" s="186"/>
      <c r="N3053" s="3" t="str">
        <f t="shared" si="415"/>
        <v/>
      </c>
    </row>
    <row r="3054" spans="2:14">
      <c r="B3054" s="83" t="e">
        <f t="array" ref="B3054">SUM(--(FREQUENCY(IF(C$2:C$3074=C3054, MATCH(D$2:D$3074, D$2:D$3074, 0)), ROW(D$2:D$3074)-ROW(D$2)+1) &gt; 0))</f>
        <v>#N/A</v>
      </c>
      <c r="G3054" s="68" t="str">
        <f t="shared" si="414"/>
        <v>SINGLE</v>
      </c>
      <c r="K3054" s="186"/>
      <c r="N3054" s="3" t="str">
        <f t="shared" si="415"/>
        <v/>
      </c>
    </row>
    <row r="3055" spans="2:14">
      <c r="B3055" s="83" t="e">
        <f t="array" ref="B3055">SUM(--(FREQUENCY(IF(C$2:C$3074=C3055, MATCH(D$2:D$3074, D$2:D$3074, 0)), ROW(D$2:D$3074)-ROW(D$2)+1) &gt; 0))</f>
        <v>#N/A</v>
      </c>
      <c r="G3055" s="68" t="str">
        <f t="shared" si="414"/>
        <v>SINGLE</v>
      </c>
      <c r="K3055" s="186"/>
      <c r="N3055" s="3" t="str">
        <f t="shared" si="415"/>
        <v/>
      </c>
    </row>
    <row r="3056" spans="2:14">
      <c r="B3056" s="83" t="e">
        <f t="array" ref="B3056">SUM(--(FREQUENCY(IF(C$2:C$3074=C3056, MATCH(D$2:D$3074, D$2:D$3074, 0)), ROW(D$2:D$3074)-ROW(D$2)+1) &gt; 0))</f>
        <v>#N/A</v>
      </c>
      <c r="G3056" s="68" t="str">
        <f t="shared" si="414"/>
        <v>SINGLE</v>
      </c>
      <c r="K3056" s="186"/>
      <c r="N3056" s="3" t="str">
        <f t="shared" si="415"/>
        <v/>
      </c>
    </row>
    <row r="3057" spans="2:14">
      <c r="B3057" s="83" t="e">
        <f t="array" ref="B3057">SUM(--(FREQUENCY(IF(C$2:C$3074=C3057, MATCH(D$2:D$3074, D$2:D$3074, 0)), ROW(D$2:D$3074)-ROW(D$2)+1) &gt; 0))</f>
        <v>#N/A</v>
      </c>
      <c r="G3057" s="68" t="str">
        <f t="shared" si="414"/>
        <v>SINGLE</v>
      </c>
      <c r="K3057" s="186"/>
      <c r="N3057" s="3" t="str">
        <f t="shared" si="415"/>
        <v/>
      </c>
    </row>
    <row r="3058" spans="2:14">
      <c r="B3058" s="83" t="e">
        <f t="array" ref="B3058">SUM(--(FREQUENCY(IF(C$2:C$3074=C3058, MATCH(D$2:D$3074, D$2:D$3074, 0)), ROW(D$2:D$3074)-ROW(D$2)+1) &gt; 0))</f>
        <v>#N/A</v>
      </c>
      <c r="G3058" s="68" t="str">
        <f t="shared" si="414"/>
        <v>SINGLE</v>
      </c>
      <c r="K3058" s="186"/>
      <c r="N3058" s="3" t="str">
        <f t="shared" si="415"/>
        <v/>
      </c>
    </row>
    <row r="3059" spans="2:14">
      <c r="B3059" s="83" t="e">
        <f t="array" ref="B3059">SUM(--(FREQUENCY(IF(C$2:C$3074=C3059, MATCH(D$2:D$3074, D$2:D$3074, 0)), ROW(D$2:D$3074)-ROW(D$2)+1) &gt; 0))</f>
        <v>#N/A</v>
      </c>
      <c r="G3059" s="68" t="str">
        <f t="shared" si="414"/>
        <v>SINGLE</v>
      </c>
      <c r="K3059" s="186"/>
      <c r="N3059" s="3" t="str">
        <f t="shared" si="415"/>
        <v/>
      </c>
    </row>
    <row r="3060" spans="2:14">
      <c r="B3060" s="83" t="e">
        <f t="array" ref="B3060">SUM(--(FREQUENCY(IF(C$2:C$3074=C3060, MATCH(D$2:D$3074, D$2:D$3074, 0)), ROW(D$2:D$3074)-ROW(D$2)+1) &gt; 0))</f>
        <v>#N/A</v>
      </c>
      <c r="G3060" s="68" t="str">
        <f t="shared" si="414"/>
        <v>SINGLE</v>
      </c>
      <c r="K3060" s="186"/>
      <c r="N3060" s="3" t="str">
        <f t="shared" si="415"/>
        <v/>
      </c>
    </row>
    <row r="3061" spans="2:14">
      <c r="B3061" s="83" t="e">
        <f t="array" ref="B3061">SUM(--(FREQUENCY(IF(C$2:C$3074=C3061, MATCH(D$2:D$3074, D$2:D$3074, 0)), ROW(D$2:D$3074)-ROW(D$2)+1) &gt; 0))</f>
        <v>#N/A</v>
      </c>
      <c r="G3061" s="68" t="str">
        <f t="shared" ref="G3061:G3124" si="416">IF(OR(ISNUMBER(SEARCH("DUAL",F3061)), ISNUMBER(SEARCH("IVAS",F3061))), "DUAL", "SINGLE")</f>
        <v>SINGLE</v>
      </c>
      <c r="K3061" s="186"/>
      <c r="N3061" s="3" t="str">
        <f t="shared" si="415"/>
        <v/>
      </c>
    </row>
    <row r="3062" spans="2:14">
      <c r="B3062" s="83" t="e">
        <f t="array" ref="B3062">SUM(--(FREQUENCY(IF(C$2:C$3074=C3062, MATCH(D$2:D$3074, D$2:D$3074, 0)), ROW(D$2:D$3074)-ROW(D$2)+1) &gt; 0))</f>
        <v>#N/A</v>
      </c>
      <c r="G3062" s="68" t="str">
        <f t="shared" si="416"/>
        <v>SINGLE</v>
      </c>
      <c r="K3062" s="186"/>
      <c r="N3062" s="3" t="str">
        <f t="shared" si="415"/>
        <v/>
      </c>
    </row>
    <row r="3063" spans="2:14">
      <c r="B3063" s="83" t="e">
        <f t="array" ref="B3063">SUM(--(FREQUENCY(IF(C$2:C$3074=C3063, MATCH(D$2:D$3074, D$2:D$3074, 0)), ROW(D$2:D$3074)-ROW(D$2)+1) &gt; 0))</f>
        <v>#N/A</v>
      </c>
      <c r="G3063" s="68" t="str">
        <f t="shared" si="416"/>
        <v>SINGLE</v>
      </c>
      <c r="K3063" s="186"/>
      <c r="N3063" s="3" t="str">
        <f t="shared" si="415"/>
        <v/>
      </c>
    </row>
    <row r="3064" spans="2:14">
      <c r="B3064" s="83" t="e">
        <f t="array" ref="B3064">SUM(--(FREQUENCY(IF(C$2:C$3074=C3064, MATCH(D$2:D$3074, D$2:D$3074, 0)), ROW(D$2:D$3074)-ROW(D$2)+1) &gt; 0))</f>
        <v>#N/A</v>
      </c>
      <c r="G3064" s="68" t="str">
        <f t="shared" si="416"/>
        <v>SINGLE</v>
      </c>
      <c r="K3064" s="186"/>
      <c r="N3064" s="3" t="str">
        <f t="shared" si="415"/>
        <v/>
      </c>
    </row>
    <row r="3065" spans="2:14">
      <c r="G3065" s="68" t="str">
        <f t="shared" si="416"/>
        <v>SINGLE</v>
      </c>
      <c r="K3065" s="186"/>
      <c r="N3065" s="3" t="str">
        <f t="shared" si="415"/>
        <v/>
      </c>
    </row>
    <row r="3066" spans="2:14">
      <c r="G3066" s="68" t="str">
        <f t="shared" si="416"/>
        <v>SINGLE</v>
      </c>
      <c r="K3066" s="186"/>
      <c r="N3066" s="3" t="str">
        <f t="shared" si="415"/>
        <v/>
      </c>
    </row>
    <row r="3067" spans="2:14">
      <c r="G3067" s="68" t="str">
        <f t="shared" si="416"/>
        <v>SINGLE</v>
      </c>
      <c r="K3067" s="186"/>
      <c r="N3067" s="3" t="str">
        <f t="shared" si="415"/>
        <v/>
      </c>
    </row>
    <row r="3068" spans="2:14">
      <c r="G3068" s="68" t="str">
        <f t="shared" si="416"/>
        <v>SINGLE</v>
      </c>
      <c r="K3068" s="186"/>
      <c r="N3068" s="3" t="str">
        <f t="shared" si="415"/>
        <v/>
      </c>
    </row>
    <row r="3069" spans="2:14">
      <c r="G3069" s="68" t="str">
        <f t="shared" si="416"/>
        <v>SINGLE</v>
      </c>
      <c r="K3069" s="186"/>
      <c r="N3069" s="3" t="str">
        <f t="shared" si="415"/>
        <v/>
      </c>
    </row>
    <row r="3070" spans="2:14">
      <c r="G3070" s="68" t="str">
        <f t="shared" si="416"/>
        <v>SINGLE</v>
      </c>
      <c r="K3070" s="186"/>
      <c r="N3070" s="3" t="str">
        <f t="shared" si="415"/>
        <v/>
      </c>
    </row>
    <row r="3071" spans="2:14">
      <c r="G3071" s="68" t="str">
        <f t="shared" si="416"/>
        <v>SINGLE</v>
      </c>
      <c r="K3071" s="186"/>
      <c r="N3071" s="3" t="str">
        <f t="shared" ref="N3071:N3134" si="417">IF(O3071&lt;&gt;"", "NG", "")</f>
        <v/>
      </c>
    </row>
    <row r="3072" spans="2:14">
      <c r="G3072" s="68" t="str">
        <f t="shared" si="416"/>
        <v>SINGLE</v>
      </c>
      <c r="K3072" s="186"/>
      <c r="N3072" s="3" t="str">
        <f t="shared" si="417"/>
        <v/>
      </c>
    </row>
    <row r="3073" spans="7:14">
      <c r="G3073" s="68" t="str">
        <f t="shared" si="416"/>
        <v>SINGLE</v>
      </c>
      <c r="K3073" s="186"/>
      <c r="N3073" s="3" t="str">
        <f t="shared" si="417"/>
        <v/>
      </c>
    </row>
    <row r="3074" spans="7:14">
      <c r="G3074" s="68" t="str">
        <f t="shared" si="416"/>
        <v>SINGLE</v>
      </c>
      <c r="K3074" s="186"/>
      <c r="N3074" s="3" t="str">
        <f t="shared" si="417"/>
        <v/>
      </c>
    </row>
    <row r="3075" spans="7:14">
      <c r="G3075" s="68" t="str">
        <f t="shared" si="416"/>
        <v>SINGLE</v>
      </c>
      <c r="K3075" s="186"/>
      <c r="N3075" s="3" t="str">
        <f t="shared" si="417"/>
        <v/>
      </c>
    </row>
    <row r="3076" spans="7:14">
      <c r="G3076" s="68" t="str">
        <f t="shared" si="416"/>
        <v>SINGLE</v>
      </c>
      <c r="K3076" s="186"/>
      <c r="N3076" s="3" t="str">
        <f t="shared" si="417"/>
        <v/>
      </c>
    </row>
    <row r="3077" spans="7:14">
      <c r="G3077" s="68" t="str">
        <f t="shared" si="416"/>
        <v>SINGLE</v>
      </c>
      <c r="K3077" s="186"/>
      <c r="N3077" s="3" t="str">
        <f t="shared" si="417"/>
        <v/>
      </c>
    </row>
    <row r="3078" spans="7:14">
      <c r="G3078" s="68" t="str">
        <f t="shared" si="416"/>
        <v>SINGLE</v>
      </c>
      <c r="K3078" s="186"/>
      <c r="N3078" s="3" t="str">
        <f t="shared" si="417"/>
        <v/>
      </c>
    </row>
    <row r="3079" spans="7:14">
      <c r="G3079" s="68" t="str">
        <f t="shared" si="416"/>
        <v>SINGLE</v>
      </c>
      <c r="K3079" s="186"/>
      <c r="N3079" s="3" t="str">
        <f t="shared" si="417"/>
        <v/>
      </c>
    </row>
    <row r="3080" spans="7:14">
      <c r="G3080" s="68" t="str">
        <f t="shared" si="416"/>
        <v>SINGLE</v>
      </c>
      <c r="K3080" s="186"/>
      <c r="N3080" s="3" t="str">
        <f t="shared" si="417"/>
        <v/>
      </c>
    </row>
    <row r="3081" spans="7:14">
      <c r="G3081" s="68" t="str">
        <f t="shared" si="416"/>
        <v>SINGLE</v>
      </c>
      <c r="K3081" s="186"/>
      <c r="N3081" s="3" t="str">
        <f t="shared" si="417"/>
        <v/>
      </c>
    </row>
    <row r="3082" spans="7:14">
      <c r="G3082" s="68" t="str">
        <f t="shared" si="416"/>
        <v>SINGLE</v>
      </c>
      <c r="K3082" s="186"/>
      <c r="N3082" s="3" t="str">
        <f t="shared" si="417"/>
        <v/>
      </c>
    </row>
    <row r="3083" spans="7:14">
      <c r="G3083" s="68" t="str">
        <f t="shared" si="416"/>
        <v>SINGLE</v>
      </c>
      <c r="K3083" s="186"/>
      <c r="N3083" s="3" t="str">
        <f t="shared" si="417"/>
        <v/>
      </c>
    </row>
    <row r="3084" spans="7:14">
      <c r="G3084" s="68" t="str">
        <f t="shared" si="416"/>
        <v>SINGLE</v>
      </c>
      <c r="K3084" s="186"/>
      <c r="N3084" s="3" t="str">
        <f t="shared" si="417"/>
        <v/>
      </c>
    </row>
    <row r="3085" spans="7:14">
      <c r="G3085" s="68" t="str">
        <f t="shared" si="416"/>
        <v>SINGLE</v>
      </c>
      <c r="K3085" s="186"/>
      <c r="N3085" s="3" t="str">
        <f t="shared" si="417"/>
        <v/>
      </c>
    </row>
    <row r="3086" spans="7:14">
      <c r="G3086" s="68" t="str">
        <f t="shared" si="416"/>
        <v>SINGLE</v>
      </c>
      <c r="K3086" s="186"/>
      <c r="N3086" s="3" t="str">
        <f t="shared" si="417"/>
        <v/>
      </c>
    </row>
    <row r="3087" spans="7:14">
      <c r="G3087" s="68" t="str">
        <f t="shared" si="416"/>
        <v>SINGLE</v>
      </c>
      <c r="K3087" s="186"/>
      <c r="N3087" s="3" t="str">
        <f t="shared" si="417"/>
        <v/>
      </c>
    </row>
    <row r="3088" spans="7:14">
      <c r="G3088" s="68" t="str">
        <f t="shared" si="416"/>
        <v>SINGLE</v>
      </c>
      <c r="K3088" s="186"/>
      <c r="N3088" s="3" t="str">
        <f t="shared" si="417"/>
        <v/>
      </c>
    </row>
    <row r="3089" spans="7:14">
      <c r="G3089" s="68" t="str">
        <f t="shared" si="416"/>
        <v>SINGLE</v>
      </c>
      <c r="K3089" s="186"/>
      <c r="N3089" s="3" t="str">
        <f t="shared" si="417"/>
        <v/>
      </c>
    </row>
    <row r="3090" spans="7:14">
      <c r="G3090" s="68" t="str">
        <f t="shared" si="416"/>
        <v>SINGLE</v>
      </c>
      <c r="K3090" s="186"/>
      <c r="N3090" s="3" t="str">
        <f t="shared" si="417"/>
        <v/>
      </c>
    </row>
    <row r="3091" spans="7:14">
      <c r="G3091" s="68" t="str">
        <f t="shared" si="416"/>
        <v>SINGLE</v>
      </c>
      <c r="K3091" s="186"/>
      <c r="N3091" s="3" t="str">
        <f t="shared" si="417"/>
        <v/>
      </c>
    </row>
    <row r="3092" spans="7:14">
      <c r="G3092" s="68" t="str">
        <f t="shared" si="416"/>
        <v>SINGLE</v>
      </c>
      <c r="K3092" s="186"/>
      <c r="N3092" s="3" t="str">
        <f t="shared" si="417"/>
        <v/>
      </c>
    </row>
    <row r="3093" spans="7:14">
      <c r="G3093" s="68" t="str">
        <f t="shared" si="416"/>
        <v>SINGLE</v>
      </c>
      <c r="K3093" s="186"/>
      <c r="N3093" s="3" t="str">
        <f t="shared" si="417"/>
        <v/>
      </c>
    </row>
    <row r="3094" spans="7:14">
      <c r="G3094" s="68" t="str">
        <f t="shared" si="416"/>
        <v>SINGLE</v>
      </c>
      <c r="K3094" s="186"/>
      <c r="N3094" s="3" t="str">
        <f t="shared" si="417"/>
        <v/>
      </c>
    </row>
    <row r="3095" spans="7:14">
      <c r="G3095" s="68" t="str">
        <f t="shared" si="416"/>
        <v>SINGLE</v>
      </c>
      <c r="K3095" s="186"/>
      <c r="N3095" s="3" t="str">
        <f t="shared" si="417"/>
        <v/>
      </c>
    </row>
    <row r="3096" spans="7:14">
      <c r="G3096" s="68" t="str">
        <f t="shared" si="416"/>
        <v>SINGLE</v>
      </c>
      <c r="K3096" s="186"/>
      <c r="N3096" s="3" t="str">
        <f t="shared" si="417"/>
        <v/>
      </c>
    </row>
    <row r="3097" spans="7:14">
      <c r="G3097" s="68" t="str">
        <f t="shared" si="416"/>
        <v>SINGLE</v>
      </c>
      <c r="K3097" s="186"/>
      <c r="N3097" s="3" t="str">
        <f t="shared" si="417"/>
        <v/>
      </c>
    </row>
    <row r="3098" spans="7:14">
      <c r="G3098" s="68" t="str">
        <f t="shared" si="416"/>
        <v>SINGLE</v>
      </c>
      <c r="K3098" s="186"/>
      <c r="N3098" s="3" t="str">
        <f t="shared" si="417"/>
        <v/>
      </c>
    </row>
    <row r="3099" spans="7:14">
      <c r="G3099" s="68" t="str">
        <f t="shared" si="416"/>
        <v>SINGLE</v>
      </c>
      <c r="K3099" s="186"/>
      <c r="N3099" s="3" t="str">
        <f t="shared" si="417"/>
        <v/>
      </c>
    </row>
    <row r="3100" spans="7:14">
      <c r="G3100" s="68" t="str">
        <f t="shared" si="416"/>
        <v>SINGLE</v>
      </c>
      <c r="K3100" s="186"/>
      <c r="N3100" s="3" t="str">
        <f t="shared" si="417"/>
        <v/>
      </c>
    </row>
    <row r="3101" spans="7:14">
      <c r="G3101" s="68" t="str">
        <f t="shared" si="416"/>
        <v>SINGLE</v>
      </c>
      <c r="K3101" s="186"/>
      <c r="N3101" s="3" t="str">
        <f t="shared" si="417"/>
        <v/>
      </c>
    </row>
    <row r="3102" spans="7:14">
      <c r="G3102" s="68" t="str">
        <f t="shared" si="416"/>
        <v>SINGLE</v>
      </c>
      <c r="K3102" s="186"/>
      <c r="N3102" s="3" t="str">
        <f t="shared" si="417"/>
        <v/>
      </c>
    </row>
    <row r="3103" spans="7:14">
      <c r="G3103" s="68" t="str">
        <f t="shared" si="416"/>
        <v>SINGLE</v>
      </c>
      <c r="K3103" s="186"/>
      <c r="N3103" s="3" t="str">
        <f t="shared" si="417"/>
        <v/>
      </c>
    </row>
    <row r="3104" spans="7:14">
      <c r="G3104" s="68" t="str">
        <f t="shared" si="416"/>
        <v>SINGLE</v>
      </c>
      <c r="K3104" s="186"/>
      <c r="N3104" s="3" t="str">
        <f t="shared" si="417"/>
        <v/>
      </c>
    </row>
    <row r="3105" spans="7:14">
      <c r="G3105" s="68" t="str">
        <f t="shared" si="416"/>
        <v>SINGLE</v>
      </c>
      <c r="K3105" s="186"/>
      <c r="N3105" s="3" t="str">
        <f t="shared" si="417"/>
        <v/>
      </c>
    </row>
    <row r="3106" spans="7:14">
      <c r="G3106" s="68" t="str">
        <f t="shared" si="416"/>
        <v>SINGLE</v>
      </c>
      <c r="K3106" s="186"/>
      <c r="N3106" s="3" t="str">
        <f t="shared" si="417"/>
        <v/>
      </c>
    </row>
    <row r="3107" spans="7:14">
      <c r="G3107" s="68" t="str">
        <f t="shared" si="416"/>
        <v>SINGLE</v>
      </c>
      <c r="K3107" s="186"/>
      <c r="N3107" s="3" t="str">
        <f t="shared" si="417"/>
        <v/>
      </c>
    </row>
    <row r="3108" spans="7:14">
      <c r="G3108" s="68" t="str">
        <f t="shared" si="416"/>
        <v>SINGLE</v>
      </c>
      <c r="K3108" s="186"/>
      <c r="N3108" s="3" t="str">
        <f t="shared" si="417"/>
        <v/>
      </c>
    </row>
    <row r="3109" spans="7:14">
      <c r="G3109" s="68" t="str">
        <f t="shared" si="416"/>
        <v>SINGLE</v>
      </c>
      <c r="K3109" s="186"/>
      <c r="N3109" s="3" t="str">
        <f t="shared" si="417"/>
        <v/>
      </c>
    </row>
    <row r="3110" spans="7:14">
      <c r="G3110" s="68" t="str">
        <f t="shared" si="416"/>
        <v>SINGLE</v>
      </c>
      <c r="K3110" s="186"/>
      <c r="N3110" s="3" t="str">
        <f t="shared" si="417"/>
        <v/>
      </c>
    </row>
    <row r="3111" spans="7:14">
      <c r="G3111" s="68" t="str">
        <f t="shared" si="416"/>
        <v>SINGLE</v>
      </c>
      <c r="K3111" s="186"/>
      <c r="N3111" s="3" t="str">
        <f t="shared" si="417"/>
        <v/>
      </c>
    </row>
    <row r="3112" spans="7:14">
      <c r="G3112" s="68" t="str">
        <f t="shared" si="416"/>
        <v>SINGLE</v>
      </c>
      <c r="K3112" s="186"/>
      <c r="N3112" s="3" t="str">
        <f t="shared" si="417"/>
        <v/>
      </c>
    </row>
    <row r="3113" spans="7:14">
      <c r="G3113" s="68" t="str">
        <f t="shared" si="416"/>
        <v>SINGLE</v>
      </c>
      <c r="K3113" s="186"/>
      <c r="N3113" s="3" t="str">
        <f t="shared" si="417"/>
        <v/>
      </c>
    </row>
    <row r="3114" spans="7:14">
      <c r="G3114" s="68" t="str">
        <f t="shared" si="416"/>
        <v>SINGLE</v>
      </c>
      <c r="K3114" s="186"/>
      <c r="N3114" s="3" t="str">
        <f t="shared" si="417"/>
        <v/>
      </c>
    </row>
    <row r="3115" spans="7:14">
      <c r="G3115" s="68" t="str">
        <f t="shared" si="416"/>
        <v>SINGLE</v>
      </c>
      <c r="K3115" s="186"/>
      <c r="N3115" s="3" t="str">
        <f t="shared" si="417"/>
        <v/>
      </c>
    </row>
    <row r="3116" spans="7:14">
      <c r="G3116" s="68" t="str">
        <f t="shared" si="416"/>
        <v>SINGLE</v>
      </c>
      <c r="K3116" s="186"/>
      <c r="N3116" s="3" t="str">
        <f t="shared" si="417"/>
        <v/>
      </c>
    </row>
    <row r="3117" spans="7:14">
      <c r="G3117" s="68" t="str">
        <f t="shared" si="416"/>
        <v>SINGLE</v>
      </c>
      <c r="K3117" s="186"/>
      <c r="N3117" s="3" t="str">
        <f t="shared" si="417"/>
        <v/>
      </c>
    </row>
    <row r="3118" spans="7:14">
      <c r="G3118" s="68" t="str">
        <f t="shared" si="416"/>
        <v>SINGLE</v>
      </c>
      <c r="K3118" s="186"/>
      <c r="N3118" s="3" t="str">
        <f t="shared" si="417"/>
        <v/>
      </c>
    </row>
    <row r="3119" spans="7:14">
      <c r="G3119" s="68" t="str">
        <f t="shared" si="416"/>
        <v>SINGLE</v>
      </c>
      <c r="K3119" s="186"/>
      <c r="N3119" s="3" t="str">
        <f t="shared" si="417"/>
        <v/>
      </c>
    </row>
    <row r="3120" spans="7:14">
      <c r="G3120" s="68" t="str">
        <f t="shared" si="416"/>
        <v>SINGLE</v>
      </c>
      <c r="K3120" s="186"/>
      <c r="N3120" s="3" t="str">
        <f t="shared" si="417"/>
        <v/>
      </c>
    </row>
    <row r="3121" spans="7:14">
      <c r="G3121" s="68" t="str">
        <f t="shared" si="416"/>
        <v>SINGLE</v>
      </c>
      <c r="K3121" s="186"/>
      <c r="N3121" s="3" t="str">
        <f t="shared" si="417"/>
        <v/>
      </c>
    </row>
    <row r="3122" spans="7:14">
      <c r="G3122" s="68" t="str">
        <f t="shared" si="416"/>
        <v>SINGLE</v>
      </c>
      <c r="K3122" s="186"/>
      <c r="N3122" s="3" t="str">
        <f t="shared" si="417"/>
        <v/>
      </c>
    </row>
    <row r="3123" spans="7:14">
      <c r="G3123" s="68" t="str">
        <f t="shared" si="416"/>
        <v>SINGLE</v>
      </c>
      <c r="K3123" s="186"/>
      <c r="N3123" s="3" t="str">
        <f t="shared" si="417"/>
        <v/>
      </c>
    </row>
    <row r="3124" spans="7:14">
      <c r="G3124" s="68" t="str">
        <f t="shared" si="416"/>
        <v>SINGLE</v>
      </c>
      <c r="K3124" s="186"/>
      <c r="N3124" s="3" t="str">
        <f t="shared" si="417"/>
        <v/>
      </c>
    </row>
    <row r="3125" spans="7:14">
      <c r="G3125" s="68" t="str">
        <f t="shared" ref="G3125:G3188" si="418">IF(OR(ISNUMBER(SEARCH("DUAL",F3125)), ISNUMBER(SEARCH("IVAS",F3125))), "DUAL", "SINGLE")</f>
        <v>SINGLE</v>
      </c>
      <c r="K3125" s="186"/>
      <c r="N3125" s="3" t="str">
        <f t="shared" si="417"/>
        <v/>
      </c>
    </row>
    <row r="3126" spans="7:14">
      <c r="G3126" s="68" t="str">
        <f t="shared" si="418"/>
        <v>SINGLE</v>
      </c>
      <c r="K3126" s="186"/>
      <c r="N3126" s="3" t="str">
        <f t="shared" si="417"/>
        <v/>
      </c>
    </row>
    <row r="3127" spans="7:14">
      <c r="G3127" s="68" t="str">
        <f t="shared" si="418"/>
        <v>SINGLE</v>
      </c>
      <c r="K3127" s="186"/>
      <c r="N3127" s="3" t="str">
        <f t="shared" si="417"/>
        <v/>
      </c>
    </row>
    <row r="3128" spans="7:14">
      <c r="G3128" s="68" t="str">
        <f t="shared" si="418"/>
        <v>SINGLE</v>
      </c>
      <c r="K3128" s="186"/>
      <c r="N3128" s="3" t="str">
        <f t="shared" si="417"/>
        <v/>
      </c>
    </row>
    <row r="3129" spans="7:14">
      <c r="G3129" s="68" t="str">
        <f t="shared" si="418"/>
        <v>SINGLE</v>
      </c>
      <c r="K3129" s="186"/>
      <c r="N3129" s="3" t="str">
        <f t="shared" si="417"/>
        <v/>
      </c>
    </row>
    <row r="3130" spans="7:14">
      <c r="G3130" s="68" t="str">
        <f t="shared" si="418"/>
        <v>SINGLE</v>
      </c>
      <c r="K3130" s="186"/>
      <c r="N3130" s="3" t="str">
        <f t="shared" si="417"/>
        <v/>
      </c>
    </row>
    <row r="3131" spans="7:14">
      <c r="G3131" s="68" t="str">
        <f t="shared" si="418"/>
        <v>SINGLE</v>
      </c>
      <c r="K3131" s="186"/>
      <c r="N3131" s="3" t="str">
        <f t="shared" si="417"/>
        <v/>
      </c>
    </row>
    <row r="3132" spans="7:14">
      <c r="G3132" s="68" t="str">
        <f t="shared" si="418"/>
        <v>SINGLE</v>
      </c>
      <c r="K3132" s="186"/>
      <c r="N3132" s="3" t="str">
        <f t="shared" si="417"/>
        <v/>
      </c>
    </row>
    <row r="3133" spans="7:14">
      <c r="G3133" s="68" t="str">
        <f t="shared" si="418"/>
        <v>SINGLE</v>
      </c>
      <c r="K3133" s="186"/>
      <c r="N3133" s="3" t="str">
        <f t="shared" si="417"/>
        <v/>
      </c>
    </row>
    <row r="3134" spans="7:14">
      <c r="G3134" s="68" t="str">
        <f t="shared" si="418"/>
        <v>SINGLE</v>
      </c>
      <c r="K3134" s="186"/>
      <c r="N3134" s="3" t="str">
        <f t="shared" si="417"/>
        <v/>
      </c>
    </row>
    <row r="3135" spans="7:14">
      <c r="G3135" s="68" t="str">
        <f t="shared" si="418"/>
        <v>SINGLE</v>
      </c>
      <c r="K3135" s="186"/>
      <c r="N3135" s="3" t="str">
        <f t="shared" ref="N3135:N3198" si="419">IF(O3135&lt;&gt;"", "NG", "")</f>
        <v/>
      </c>
    </row>
    <row r="3136" spans="7:14">
      <c r="G3136" s="68" t="str">
        <f t="shared" si="418"/>
        <v>SINGLE</v>
      </c>
      <c r="K3136" s="186"/>
      <c r="N3136" s="3" t="str">
        <f t="shared" si="419"/>
        <v/>
      </c>
    </row>
    <row r="3137" spans="7:14">
      <c r="G3137" s="68" t="str">
        <f t="shared" si="418"/>
        <v>SINGLE</v>
      </c>
      <c r="K3137" s="186"/>
      <c r="N3137" s="3" t="str">
        <f t="shared" si="419"/>
        <v/>
      </c>
    </row>
    <row r="3138" spans="7:14">
      <c r="G3138" s="68" t="str">
        <f t="shared" si="418"/>
        <v>SINGLE</v>
      </c>
      <c r="K3138" s="186"/>
      <c r="N3138" s="3" t="str">
        <f t="shared" si="419"/>
        <v/>
      </c>
    </row>
    <row r="3139" spans="7:14">
      <c r="G3139" s="68" t="str">
        <f t="shared" si="418"/>
        <v>SINGLE</v>
      </c>
      <c r="K3139" s="186"/>
      <c r="N3139" s="3" t="str">
        <f t="shared" si="419"/>
        <v/>
      </c>
    </row>
    <row r="3140" spans="7:14">
      <c r="G3140" s="68" t="str">
        <f t="shared" si="418"/>
        <v>SINGLE</v>
      </c>
      <c r="K3140" s="186"/>
      <c r="N3140" s="3" t="str">
        <f t="shared" si="419"/>
        <v/>
      </c>
    </row>
    <row r="3141" spans="7:14">
      <c r="G3141" s="68" t="str">
        <f t="shared" si="418"/>
        <v>SINGLE</v>
      </c>
      <c r="K3141" s="186"/>
      <c r="N3141" s="3" t="str">
        <f t="shared" si="419"/>
        <v/>
      </c>
    </row>
    <row r="3142" spans="7:14">
      <c r="G3142" s="68" t="str">
        <f t="shared" si="418"/>
        <v>SINGLE</v>
      </c>
      <c r="K3142" s="186"/>
      <c r="N3142" s="3" t="str">
        <f t="shared" si="419"/>
        <v/>
      </c>
    </row>
    <row r="3143" spans="7:14">
      <c r="G3143" s="68" t="str">
        <f t="shared" si="418"/>
        <v>SINGLE</v>
      </c>
      <c r="K3143" s="186"/>
      <c r="N3143" s="3" t="str">
        <f t="shared" si="419"/>
        <v/>
      </c>
    </row>
    <row r="3144" spans="7:14">
      <c r="G3144" s="68" t="str">
        <f t="shared" si="418"/>
        <v>SINGLE</v>
      </c>
      <c r="K3144" s="186"/>
      <c r="N3144" s="3" t="str">
        <f t="shared" si="419"/>
        <v/>
      </c>
    </row>
    <row r="3145" spans="7:14">
      <c r="G3145" s="68" t="str">
        <f t="shared" si="418"/>
        <v>SINGLE</v>
      </c>
      <c r="K3145" s="186"/>
      <c r="N3145" s="3" t="str">
        <f t="shared" si="419"/>
        <v/>
      </c>
    </row>
    <row r="3146" spans="7:14">
      <c r="G3146" s="68" t="str">
        <f t="shared" si="418"/>
        <v>SINGLE</v>
      </c>
      <c r="K3146" s="186"/>
      <c r="N3146" s="3" t="str">
        <f t="shared" si="419"/>
        <v/>
      </c>
    </row>
    <row r="3147" spans="7:14">
      <c r="G3147" s="68" t="str">
        <f t="shared" si="418"/>
        <v>SINGLE</v>
      </c>
      <c r="K3147" s="186"/>
      <c r="N3147" s="3" t="str">
        <f t="shared" si="419"/>
        <v/>
      </c>
    </row>
    <row r="3148" spans="7:14">
      <c r="G3148" s="68" t="str">
        <f t="shared" si="418"/>
        <v>SINGLE</v>
      </c>
      <c r="K3148" s="186"/>
      <c r="N3148" s="3" t="str">
        <f t="shared" si="419"/>
        <v/>
      </c>
    </row>
    <row r="3149" spans="7:14">
      <c r="G3149" s="68" t="str">
        <f t="shared" si="418"/>
        <v>SINGLE</v>
      </c>
      <c r="K3149" s="186"/>
      <c r="N3149" s="3" t="str">
        <f t="shared" si="419"/>
        <v/>
      </c>
    </row>
    <row r="3150" spans="7:14">
      <c r="G3150" s="68" t="str">
        <f t="shared" si="418"/>
        <v>SINGLE</v>
      </c>
      <c r="K3150" s="186"/>
      <c r="N3150" s="3" t="str">
        <f t="shared" si="419"/>
        <v/>
      </c>
    </row>
    <row r="3151" spans="7:14">
      <c r="G3151" s="68" t="str">
        <f t="shared" si="418"/>
        <v>SINGLE</v>
      </c>
      <c r="K3151" s="186"/>
      <c r="N3151" s="3" t="str">
        <f t="shared" si="419"/>
        <v/>
      </c>
    </row>
    <row r="3152" spans="7:14">
      <c r="G3152" s="68" t="str">
        <f t="shared" si="418"/>
        <v>SINGLE</v>
      </c>
      <c r="K3152" s="186"/>
      <c r="N3152" s="3" t="str">
        <f t="shared" si="419"/>
        <v/>
      </c>
    </row>
    <row r="3153" spans="7:14">
      <c r="G3153" s="68" t="str">
        <f t="shared" si="418"/>
        <v>SINGLE</v>
      </c>
      <c r="K3153" s="186"/>
      <c r="N3153" s="3" t="str">
        <f t="shared" si="419"/>
        <v/>
      </c>
    </row>
    <row r="3154" spans="7:14">
      <c r="G3154" s="68" t="str">
        <f t="shared" si="418"/>
        <v>SINGLE</v>
      </c>
      <c r="K3154" s="186"/>
      <c r="N3154" s="3" t="str">
        <f t="shared" si="419"/>
        <v/>
      </c>
    </row>
    <row r="3155" spans="7:14">
      <c r="G3155" s="68" t="str">
        <f t="shared" si="418"/>
        <v>SINGLE</v>
      </c>
      <c r="K3155" s="186"/>
      <c r="N3155" s="3" t="str">
        <f t="shared" si="419"/>
        <v/>
      </c>
    </row>
    <row r="3156" spans="7:14">
      <c r="G3156" s="68" t="str">
        <f t="shared" si="418"/>
        <v>SINGLE</v>
      </c>
      <c r="K3156" s="186"/>
      <c r="N3156" s="3" t="str">
        <f t="shared" si="419"/>
        <v/>
      </c>
    </row>
    <row r="3157" spans="7:14">
      <c r="G3157" s="68" t="str">
        <f t="shared" si="418"/>
        <v>SINGLE</v>
      </c>
      <c r="K3157" s="186"/>
      <c r="N3157" s="3" t="str">
        <f t="shared" si="419"/>
        <v/>
      </c>
    </row>
    <row r="3158" spans="7:14">
      <c r="G3158" s="68" t="str">
        <f t="shared" si="418"/>
        <v>SINGLE</v>
      </c>
      <c r="K3158" s="186"/>
      <c r="N3158" s="3" t="str">
        <f t="shared" si="419"/>
        <v/>
      </c>
    </row>
    <row r="3159" spans="7:14">
      <c r="G3159" s="68" t="str">
        <f t="shared" si="418"/>
        <v>SINGLE</v>
      </c>
      <c r="K3159" s="186"/>
      <c r="N3159" s="3" t="str">
        <f t="shared" si="419"/>
        <v/>
      </c>
    </row>
    <row r="3160" spans="7:14">
      <c r="G3160" s="68" t="str">
        <f t="shared" si="418"/>
        <v>SINGLE</v>
      </c>
      <c r="K3160" s="186"/>
      <c r="N3160" s="3" t="str">
        <f t="shared" si="419"/>
        <v/>
      </c>
    </row>
    <row r="3161" spans="7:14">
      <c r="G3161" s="68" t="str">
        <f t="shared" si="418"/>
        <v>SINGLE</v>
      </c>
      <c r="K3161" s="186"/>
      <c r="N3161" s="3" t="str">
        <f t="shared" si="419"/>
        <v/>
      </c>
    </row>
    <row r="3162" spans="7:14">
      <c r="G3162" s="68" t="str">
        <f t="shared" si="418"/>
        <v>SINGLE</v>
      </c>
      <c r="K3162" s="186"/>
      <c r="N3162" s="3" t="str">
        <f t="shared" si="419"/>
        <v/>
      </c>
    </row>
    <row r="3163" spans="7:14">
      <c r="G3163" s="68" t="str">
        <f t="shared" si="418"/>
        <v>SINGLE</v>
      </c>
      <c r="K3163" s="186"/>
      <c r="N3163" s="3" t="str">
        <f t="shared" si="419"/>
        <v/>
      </c>
    </row>
    <row r="3164" spans="7:14">
      <c r="G3164" s="68" t="str">
        <f t="shared" si="418"/>
        <v>SINGLE</v>
      </c>
      <c r="K3164" s="186"/>
      <c r="N3164" s="3" t="str">
        <f t="shared" si="419"/>
        <v/>
      </c>
    </row>
    <row r="3165" spans="7:14">
      <c r="G3165" s="68" t="str">
        <f t="shared" si="418"/>
        <v>SINGLE</v>
      </c>
      <c r="K3165" s="186"/>
      <c r="N3165" s="3" t="str">
        <f t="shared" si="419"/>
        <v/>
      </c>
    </row>
    <row r="3166" spans="7:14">
      <c r="G3166" s="68" t="str">
        <f t="shared" si="418"/>
        <v>SINGLE</v>
      </c>
      <c r="K3166" s="186"/>
      <c r="N3166" s="3" t="str">
        <f t="shared" si="419"/>
        <v/>
      </c>
    </row>
    <row r="3167" spans="7:14">
      <c r="G3167" s="68" t="str">
        <f t="shared" si="418"/>
        <v>SINGLE</v>
      </c>
      <c r="K3167" s="186"/>
      <c r="N3167" s="3" t="str">
        <f t="shared" si="419"/>
        <v/>
      </c>
    </row>
    <row r="3168" spans="7:14">
      <c r="G3168" s="68" t="str">
        <f t="shared" si="418"/>
        <v>SINGLE</v>
      </c>
      <c r="K3168" s="186"/>
      <c r="N3168" s="3" t="str">
        <f t="shared" si="419"/>
        <v/>
      </c>
    </row>
    <row r="3169" spans="7:14">
      <c r="G3169" s="68" t="str">
        <f t="shared" si="418"/>
        <v>SINGLE</v>
      </c>
      <c r="K3169" s="186"/>
      <c r="N3169" s="3" t="str">
        <f t="shared" si="419"/>
        <v/>
      </c>
    </row>
    <row r="3170" spans="7:14">
      <c r="G3170" s="68" t="str">
        <f t="shared" si="418"/>
        <v>SINGLE</v>
      </c>
      <c r="K3170" s="186"/>
      <c r="N3170" s="3" t="str">
        <f t="shared" si="419"/>
        <v/>
      </c>
    </row>
    <row r="3171" spans="7:14">
      <c r="G3171" s="68" t="str">
        <f t="shared" si="418"/>
        <v>SINGLE</v>
      </c>
      <c r="K3171" s="186"/>
      <c r="N3171" s="3" t="str">
        <f t="shared" si="419"/>
        <v/>
      </c>
    </row>
    <row r="3172" spans="7:14">
      <c r="G3172" s="68" t="str">
        <f t="shared" si="418"/>
        <v>SINGLE</v>
      </c>
      <c r="K3172" s="186"/>
      <c r="N3172" s="3" t="str">
        <f t="shared" si="419"/>
        <v/>
      </c>
    </row>
    <row r="3173" spans="7:14">
      <c r="G3173" s="68" t="str">
        <f t="shared" si="418"/>
        <v>SINGLE</v>
      </c>
      <c r="K3173" s="186"/>
      <c r="N3173" s="3" t="str">
        <f t="shared" si="419"/>
        <v/>
      </c>
    </row>
    <row r="3174" spans="7:14">
      <c r="G3174" s="68" t="str">
        <f t="shared" si="418"/>
        <v>SINGLE</v>
      </c>
      <c r="K3174" s="186"/>
      <c r="N3174" s="3" t="str">
        <f t="shared" si="419"/>
        <v/>
      </c>
    </row>
    <row r="3175" spans="7:14">
      <c r="G3175" s="68" t="str">
        <f t="shared" si="418"/>
        <v>SINGLE</v>
      </c>
      <c r="K3175" s="186"/>
      <c r="N3175" s="3" t="str">
        <f t="shared" si="419"/>
        <v/>
      </c>
    </row>
    <row r="3176" spans="7:14">
      <c r="G3176" s="68" t="str">
        <f t="shared" si="418"/>
        <v>SINGLE</v>
      </c>
      <c r="K3176" s="186"/>
      <c r="N3176" s="3" t="str">
        <f t="shared" si="419"/>
        <v/>
      </c>
    </row>
    <row r="3177" spans="7:14">
      <c r="G3177" s="68" t="str">
        <f t="shared" si="418"/>
        <v>SINGLE</v>
      </c>
      <c r="K3177" s="186"/>
      <c r="N3177" s="3" t="str">
        <f t="shared" si="419"/>
        <v/>
      </c>
    </row>
    <row r="3178" spans="7:14">
      <c r="G3178" s="68" t="str">
        <f t="shared" si="418"/>
        <v>SINGLE</v>
      </c>
      <c r="K3178" s="186"/>
      <c r="N3178" s="3" t="str">
        <f t="shared" si="419"/>
        <v/>
      </c>
    </row>
    <row r="3179" spans="7:14">
      <c r="G3179" s="68" t="str">
        <f t="shared" si="418"/>
        <v>SINGLE</v>
      </c>
      <c r="K3179" s="186"/>
      <c r="N3179" s="3" t="str">
        <f t="shared" si="419"/>
        <v/>
      </c>
    </row>
    <row r="3180" spans="7:14">
      <c r="G3180" s="68" t="str">
        <f t="shared" si="418"/>
        <v>SINGLE</v>
      </c>
      <c r="K3180" s="186"/>
      <c r="N3180" s="3" t="str">
        <f t="shared" si="419"/>
        <v/>
      </c>
    </row>
    <row r="3181" spans="7:14">
      <c r="G3181" s="68" t="str">
        <f t="shared" si="418"/>
        <v>SINGLE</v>
      </c>
      <c r="K3181" s="186"/>
      <c r="N3181" s="3" t="str">
        <f t="shared" si="419"/>
        <v/>
      </c>
    </row>
    <row r="3182" spans="7:14">
      <c r="G3182" s="68" t="str">
        <f t="shared" si="418"/>
        <v>SINGLE</v>
      </c>
      <c r="K3182" s="186"/>
      <c r="N3182" s="3" t="str">
        <f t="shared" si="419"/>
        <v/>
      </c>
    </row>
    <row r="3183" spans="7:14">
      <c r="G3183" s="68" t="str">
        <f t="shared" si="418"/>
        <v>SINGLE</v>
      </c>
      <c r="K3183" s="186"/>
      <c r="N3183" s="3" t="str">
        <f t="shared" si="419"/>
        <v/>
      </c>
    </row>
    <row r="3184" spans="7:14">
      <c r="G3184" s="68" t="str">
        <f t="shared" si="418"/>
        <v>SINGLE</v>
      </c>
      <c r="K3184" s="186"/>
      <c r="N3184" s="3" t="str">
        <f t="shared" si="419"/>
        <v/>
      </c>
    </row>
    <row r="3185" spans="7:14">
      <c r="G3185" s="68" t="str">
        <f t="shared" si="418"/>
        <v>SINGLE</v>
      </c>
      <c r="K3185" s="186"/>
      <c r="N3185" s="3" t="str">
        <f t="shared" si="419"/>
        <v/>
      </c>
    </row>
    <row r="3186" spans="7:14">
      <c r="G3186" s="68" t="str">
        <f t="shared" si="418"/>
        <v>SINGLE</v>
      </c>
      <c r="K3186" s="186"/>
      <c r="N3186" s="3" t="str">
        <f t="shared" si="419"/>
        <v/>
      </c>
    </row>
    <row r="3187" spans="7:14">
      <c r="G3187" s="68" t="str">
        <f t="shared" si="418"/>
        <v>SINGLE</v>
      </c>
      <c r="K3187" s="186"/>
      <c r="N3187" s="3" t="str">
        <f t="shared" si="419"/>
        <v/>
      </c>
    </row>
    <row r="3188" spans="7:14">
      <c r="G3188" s="68" t="str">
        <f t="shared" si="418"/>
        <v>SINGLE</v>
      </c>
      <c r="K3188" s="186"/>
      <c r="N3188" s="3" t="str">
        <f t="shared" si="419"/>
        <v/>
      </c>
    </row>
    <row r="3189" spans="7:14">
      <c r="G3189" s="68" t="str">
        <f t="shared" ref="G3189:G3252" si="420">IF(OR(ISNUMBER(SEARCH("DUAL",F3189)), ISNUMBER(SEARCH("IVAS",F3189))), "DUAL", "SINGLE")</f>
        <v>SINGLE</v>
      </c>
      <c r="K3189" s="186"/>
      <c r="N3189" s="3" t="str">
        <f t="shared" si="419"/>
        <v/>
      </c>
    </row>
    <row r="3190" spans="7:14">
      <c r="G3190" s="68" t="str">
        <f t="shared" si="420"/>
        <v>SINGLE</v>
      </c>
      <c r="K3190" s="186"/>
      <c r="N3190" s="3" t="str">
        <f t="shared" si="419"/>
        <v/>
      </c>
    </row>
    <row r="3191" spans="7:14">
      <c r="G3191" s="68" t="str">
        <f t="shared" si="420"/>
        <v>SINGLE</v>
      </c>
      <c r="K3191" s="186"/>
      <c r="N3191" s="3" t="str">
        <f t="shared" si="419"/>
        <v/>
      </c>
    </row>
    <row r="3192" spans="7:14">
      <c r="G3192" s="68" t="str">
        <f t="shared" si="420"/>
        <v>SINGLE</v>
      </c>
      <c r="K3192" s="186"/>
      <c r="N3192" s="3" t="str">
        <f t="shared" si="419"/>
        <v/>
      </c>
    </row>
    <row r="3193" spans="7:14">
      <c r="G3193" s="68" t="str">
        <f t="shared" si="420"/>
        <v>SINGLE</v>
      </c>
      <c r="K3193" s="186"/>
      <c r="N3193" s="3" t="str">
        <f t="shared" si="419"/>
        <v/>
      </c>
    </row>
    <row r="3194" spans="7:14">
      <c r="G3194" s="68" t="str">
        <f t="shared" si="420"/>
        <v>SINGLE</v>
      </c>
      <c r="K3194" s="186"/>
      <c r="N3194" s="3" t="str">
        <f t="shared" si="419"/>
        <v/>
      </c>
    </row>
    <row r="3195" spans="7:14">
      <c r="G3195" s="68" t="str">
        <f t="shared" si="420"/>
        <v>SINGLE</v>
      </c>
      <c r="K3195" s="186"/>
      <c r="N3195" s="3" t="str">
        <f t="shared" si="419"/>
        <v/>
      </c>
    </row>
    <row r="3196" spans="7:14">
      <c r="G3196" s="68" t="str">
        <f t="shared" si="420"/>
        <v>SINGLE</v>
      </c>
      <c r="K3196" s="186"/>
      <c r="N3196" s="3" t="str">
        <f t="shared" si="419"/>
        <v/>
      </c>
    </row>
    <row r="3197" spans="7:14">
      <c r="G3197" s="68" t="str">
        <f t="shared" si="420"/>
        <v>SINGLE</v>
      </c>
      <c r="K3197" s="186"/>
      <c r="N3197" s="3" t="str">
        <f t="shared" si="419"/>
        <v/>
      </c>
    </row>
    <row r="3198" spans="7:14">
      <c r="G3198" s="68" t="str">
        <f t="shared" si="420"/>
        <v>SINGLE</v>
      </c>
      <c r="K3198" s="186"/>
      <c r="N3198" s="3" t="str">
        <f t="shared" si="419"/>
        <v/>
      </c>
    </row>
    <row r="3199" spans="7:14">
      <c r="G3199" s="68" t="str">
        <f t="shared" si="420"/>
        <v>SINGLE</v>
      </c>
      <c r="K3199" s="186"/>
      <c r="N3199" s="3" t="str">
        <f t="shared" ref="N3199:N3262" si="421">IF(O3199&lt;&gt;"", "NG", "")</f>
        <v/>
      </c>
    </row>
    <row r="3200" spans="7:14">
      <c r="G3200" s="68" t="str">
        <f t="shared" si="420"/>
        <v>SINGLE</v>
      </c>
      <c r="K3200" s="186"/>
      <c r="N3200" s="3" t="str">
        <f t="shared" si="421"/>
        <v/>
      </c>
    </row>
    <row r="3201" spans="7:14">
      <c r="G3201" s="68" t="str">
        <f t="shared" si="420"/>
        <v>SINGLE</v>
      </c>
      <c r="K3201" s="186"/>
      <c r="N3201" s="3" t="str">
        <f t="shared" si="421"/>
        <v/>
      </c>
    </row>
    <row r="3202" spans="7:14">
      <c r="G3202" s="68" t="str">
        <f t="shared" si="420"/>
        <v>SINGLE</v>
      </c>
      <c r="K3202" s="186"/>
      <c r="N3202" s="3" t="str">
        <f t="shared" si="421"/>
        <v/>
      </c>
    </row>
    <row r="3203" spans="7:14">
      <c r="G3203" s="68" t="str">
        <f t="shared" si="420"/>
        <v>SINGLE</v>
      </c>
      <c r="K3203" s="186"/>
      <c r="N3203" s="3" t="str">
        <f t="shared" si="421"/>
        <v/>
      </c>
    </row>
    <row r="3204" spans="7:14">
      <c r="G3204" s="68" t="str">
        <f t="shared" si="420"/>
        <v>SINGLE</v>
      </c>
      <c r="K3204" s="186"/>
      <c r="N3204" s="3" t="str">
        <f t="shared" si="421"/>
        <v/>
      </c>
    </row>
    <row r="3205" spans="7:14">
      <c r="G3205" s="68" t="str">
        <f t="shared" si="420"/>
        <v>SINGLE</v>
      </c>
      <c r="K3205" s="186"/>
      <c r="N3205" s="3" t="str">
        <f t="shared" si="421"/>
        <v/>
      </c>
    </row>
    <row r="3206" spans="7:14">
      <c r="G3206" s="68" t="str">
        <f t="shared" si="420"/>
        <v>SINGLE</v>
      </c>
      <c r="K3206" s="186"/>
      <c r="N3206" s="3" t="str">
        <f t="shared" si="421"/>
        <v/>
      </c>
    </row>
    <row r="3207" spans="7:14">
      <c r="G3207" s="68" t="str">
        <f t="shared" si="420"/>
        <v>SINGLE</v>
      </c>
      <c r="K3207" s="186"/>
      <c r="N3207" s="3" t="str">
        <f t="shared" si="421"/>
        <v/>
      </c>
    </row>
    <row r="3208" spans="7:14">
      <c r="G3208" s="68" t="str">
        <f t="shared" si="420"/>
        <v>SINGLE</v>
      </c>
      <c r="K3208" s="186"/>
      <c r="N3208" s="3" t="str">
        <f t="shared" si="421"/>
        <v/>
      </c>
    </row>
    <row r="3209" spans="7:14">
      <c r="G3209" s="68" t="str">
        <f t="shared" si="420"/>
        <v>SINGLE</v>
      </c>
      <c r="K3209" s="186"/>
      <c r="N3209" s="3" t="str">
        <f t="shared" si="421"/>
        <v/>
      </c>
    </row>
    <row r="3210" spans="7:14">
      <c r="G3210" s="68" t="str">
        <f t="shared" si="420"/>
        <v>SINGLE</v>
      </c>
      <c r="K3210" s="186"/>
      <c r="N3210" s="3" t="str">
        <f t="shared" si="421"/>
        <v/>
      </c>
    </row>
    <row r="3211" spans="7:14">
      <c r="G3211" s="68" t="str">
        <f t="shared" si="420"/>
        <v>SINGLE</v>
      </c>
      <c r="K3211" s="186"/>
      <c r="N3211" s="3" t="str">
        <f t="shared" si="421"/>
        <v/>
      </c>
    </row>
    <row r="3212" spans="7:14">
      <c r="G3212" s="68" t="str">
        <f t="shared" si="420"/>
        <v>SINGLE</v>
      </c>
      <c r="K3212" s="186"/>
      <c r="N3212" s="3" t="str">
        <f t="shared" si="421"/>
        <v/>
      </c>
    </row>
    <row r="3213" spans="7:14">
      <c r="G3213" s="68" t="str">
        <f t="shared" si="420"/>
        <v>SINGLE</v>
      </c>
      <c r="K3213" s="186"/>
      <c r="N3213" s="3" t="str">
        <f t="shared" si="421"/>
        <v/>
      </c>
    </row>
    <row r="3214" spans="7:14">
      <c r="G3214" s="68" t="str">
        <f t="shared" si="420"/>
        <v>SINGLE</v>
      </c>
      <c r="K3214" s="186"/>
      <c r="N3214" s="3" t="str">
        <f t="shared" si="421"/>
        <v/>
      </c>
    </row>
    <row r="3215" spans="7:14">
      <c r="G3215" s="68" t="str">
        <f t="shared" si="420"/>
        <v>SINGLE</v>
      </c>
      <c r="K3215" s="186"/>
      <c r="N3215" s="3" t="str">
        <f t="shared" si="421"/>
        <v/>
      </c>
    </row>
    <row r="3216" spans="7:14">
      <c r="G3216" s="68" t="str">
        <f t="shared" si="420"/>
        <v>SINGLE</v>
      </c>
      <c r="K3216" s="186"/>
      <c r="N3216" s="3" t="str">
        <f t="shared" si="421"/>
        <v/>
      </c>
    </row>
    <row r="3217" spans="7:14">
      <c r="G3217" s="68" t="str">
        <f t="shared" si="420"/>
        <v>SINGLE</v>
      </c>
      <c r="K3217" s="186"/>
      <c r="N3217" s="3" t="str">
        <f t="shared" si="421"/>
        <v/>
      </c>
    </row>
    <row r="3218" spans="7:14">
      <c r="G3218" s="68" t="str">
        <f t="shared" si="420"/>
        <v>SINGLE</v>
      </c>
      <c r="K3218" s="186"/>
      <c r="N3218" s="3" t="str">
        <f t="shared" si="421"/>
        <v/>
      </c>
    </row>
    <row r="3219" spans="7:14">
      <c r="G3219" s="68" t="str">
        <f t="shared" si="420"/>
        <v>SINGLE</v>
      </c>
      <c r="K3219" s="186"/>
      <c r="N3219" s="3" t="str">
        <f t="shared" si="421"/>
        <v/>
      </c>
    </row>
    <row r="3220" spans="7:14">
      <c r="G3220" s="68" t="str">
        <f t="shared" si="420"/>
        <v>SINGLE</v>
      </c>
      <c r="K3220" s="186"/>
      <c r="N3220" s="3" t="str">
        <f t="shared" si="421"/>
        <v/>
      </c>
    </row>
    <row r="3221" spans="7:14">
      <c r="G3221" s="68" t="str">
        <f t="shared" si="420"/>
        <v>SINGLE</v>
      </c>
      <c r="K3221" s="186"/>
      <c r="N3221" s="3" t="str">
        <f t="shared" si="421"/>
        <v/>
      </c>
    </row>
    <row r="3222" spans="7:14">
      <c r="G3222" s="68" t="str">
        <f t="shared" si="420"/>
        <v>SINGLE</v>
      </c>
      <c r="K3222" s="186"/>
      <c r="N3222" s="3" t="str">
        <f t="shared" si="421"/>
        <v/>
      </c>
    </row>
    <row r="3223" spans="7:14">
      <c r="G3223" s="68" t="str">
        <f t="shared" si="420"/>
        <v>SINGLE</v>
      </c>
      <c r="K3223" s="186"/>
      <c r="N3223" s="3" t="str">
        <f t="shared" si="421"/>
        <v/>
      </c>
    </row>
    <row r="3224" spans="7:14">
      <c r="G3224" s="68" t="str">
        <f t="shared" si="420"/>
        <v>SINGLE</v>
      </c>
      <c r="K3224" s="186"/>
      <c r="N3224" s="3" t="str">
        <f t="shared" si="421"/>
        <v/>
      </c>
    </row>
    <row r="3225" spans="7:14">
      <c r="G3225" s="68" t="str">
        <f t="shared" si="420"/>
        <v>SINGLE</v>
      </c>
      <c r="K3225" s="186"/>
      <c r="N3225" s="3" t="str">
        <f t="shared" si="421"/>
        <v/>
      </c>
    </row>
    <row r="3226" spans="7:14">
      <c r="G3226" s="68" t="str">
        <f t="shared" si="420"/>
        <v>SINGLE</v>
      </c>
      <c r="K3226" s="186"/>
      <c r="N3226" s="3" t="str">
        <f t="shared" si="421"/>
        <v/>
      </c>
    </row>
    <row r="3227" spans="7:14">
      <c r="G3227" s="68" t="str">
        <f t="shared" si="420"/>
        <v>SINGLE</v>
      </c>
      <c r="K3227" s="186"/>
      <c r="N3227" s="3" t="str">
        <f t="shared" si="421"/>
        <v/>
      </c>
    </row>
    <row r="3228" spans="7:14">
      <c r="G3228" s="68" t="str">
        <f t="shared" si="420"/>
        <v>SINGLE</v>
      </c>
      <c r="K3228" s="186"/>
      <c r="N3228" s="3" t="str">
        <f t="shared" si="421"/>
        <v/>
      </c>
    </row>
    <row r="3229" spans="7:14">
      <c r="G3229" s="68" t="str">
        <f t="shared" si="420"/>
        <v>SINGLE</v>
      </c>
      <c r="K3229" s="186"/>
      <c r="N3229" s="3" t="str">
        <f t="shared" si="421"/>
        <v/>
      </c>
    </row>
    <row r="3230" spans="7:14">
      <c r="G3230" s="68" t="str">
        <f t="shared" si="420"/>
        <v>SINGLE</v>
      </c>
      <c r="K3230" s="186"/>
      <c r="N3230" s="3" t="str">
        <f t="shared" si="421"/>
        <v/>
      </c>
    </row>
    <row r="3231" spans="7:14">
      <c r="G3231" s="68" t="str">
        <f t="shared" si="420"/>
        <v>SINGLE</v>
      </c>
      <c r="K3231" s="186"/>
      <c r="N3231" s="3" t="str">
        <f t="shared" si="421"/>
        <v/>
      </c>
    </row>
    <row r="3232" spans="7:14">
      <c r="G3232" s="68" t="str">
        <f t="shared" si="420"/>
        <v>SINGLE</v>
      </c>
      <c r="K3232" s="186"/>
      <c r="N3232" s="3" t="str">
        <f t="shared" si="421"/>
        <v/>
      </c>
    </row>
    <row r="3233" spans="7:14">
      <c r="G3233" s="68" t="str">
        <f t="shared" si="420"/>
        <v>SINGLE</v>
      </c>
      <c r="K3233" s="186"/>
      <c r="N3233" s="3" t="str">
        <f t="shared" si="421"/>
        <v/>
      </c>
    </row>
    <row r="3234" spans="7:14">
      <c r="G3234" s="68" t="str">
        <f t="shared" si="420"/>
        <v>SINGLE</v>
      </c>
      <c r="K3234" s="186"/>
      <c r="N3234" s="3" t="str">
        <f t="shared" si="421"/>
        <v/>
      </c>
    </row>
    <row r="3235" spans="7:14">
      <c r="G3235" s="68" t="str">
        <f t="shared" si="420"/>
        <v>SINGLE</v>
      </c>
      <c r="K3235" s="186"/>
      <c r="N3235" s="3" t="str">
        <f t="shared" si="421"/>
        <v/>
      </c>
    </row>
    <row r="3236" spans="7:14">
      <c r="G3236" s="68" t="str">
        <f t="shared" si="420"/>
        <v>SINGLE</v>
      </c>
      <c r="K3236" s="186"/>
      <c r="N3236" s="3" t="str">
        <f t="shared" si="421"/>
        <v/>
      </c>
    </row>
    <row r="3237" spans="7:14">
      <c r="G3237" s="68" t="str">
        <f t="shared" si="420"/>
        <v>SINGLE</v>
      </c>
      <c r="K3237" s="186"/>
      <c r="N3237" s="3" t="str">
        <f t="shared" si="421"/>
        <v/>
      </c>
    </row>
    <row r="3238" spans="7:14">
      <c r="G3238" s="68" t="str">
        <f t="shared" si="420"/>
        <v>SINGLE</v>
      </c>
      <c r="K3238" s="186"/>
      <c r="N3238" s="3" t="str">
        <f t="shared" si="421"/>
        <v/>
      </c>
    </row>
    <row r="3239" spans="7:14">
      <c r="G3239" s="68" t="str">
        <f t="shared" si="420"/>
        <v>SINGLE</v>
      </c>
      <c r="K3239" s="186"/>
      <c r="N3239" s="3" t="str">
        <f t="shared" si="421"/>
        <v/>
      </c>
    </row>
    <row r="3240" spans="7:14">
      <c r="G3240" s="68" t="str">
        <f t="shared" si="420"/>
        <v>SINGLE</v>
      </c>
      <c r="K3240" s="186"/>
      <c r="N3240" s="3" t="str">
        <f t="shared" si="421"/>
        <v/>
      </c>
    </row>
    <row r="3241" spans="7:14">
      <c r="G3241" s="68" t="str">
        <f t="shared" si="420"/>
        <v>SINGLE</v>
      </c>
      <c r="K3241" s="186"/>
      <c r="N3241" s="3" t="str">
        <f t="shared" si="421"/>
        <v/>
      </c>
    </row>
    <row r="3242" spans="7:14">
      <c r="G3242" s="68" t="str">
        <f t="shared" si="420"/>
        <v>SINGLE</v>
      </c>
      <c r="K3242" s="186"/>
      <c r="N3242" s="3" t="str">
        <f t="shared" si="421"/>
        <v/>
      </c>
    </row>
    <row r="3243" spans="7:14">
      <c r="G3243" s="68" t="str">
        <f t="shared" si="420"/>
        <v>SINGLE</v>
      </c>
      <c r="K3243" s="186"/>
      <c r="N3243" s="3" t="str">
        <f t="shared" si="421"/>
        <v/>
      </c>
    </row>
    <row r="3244" spans="7:14">
      <c r="G3244" s="68" t="str">
        <f t="shared" si="420"/>
        <v>SINGLE</v>
      </c>
      <c r="K3244" s="186"/>
      <c r="N3244" s="3" t="str">
        <f t="shared" si="421"/>
        <v/>
      </c>
    </row>
    <row r="3245" spans="7:14">
      <c r="G3245" s="68" t="str">
        <f t="shared" si="420"/>
        <v>SINGLE</v>
      </c>
      <c r="K3245" s="186"/>
      <c r="N3245" s="3" t="str">
        <f t="shared" si="421"/>
        <v/>
      </c>
    </row>
    <row r="3246" spans="7:14">
      <c r="G3246" s="68" t="str">
        <f t="shared" si="420"/>
        <v>SINGLE</v>
      </c>
      <c r="K3246" s="186"/>
      <c r="N3246" s="3" t="str">
        <f t="shared" si="421"/>
        <v/>
      </c>
    </row>
    <row r="3247" spans="7:14">
      <c r="G3247" s="68" t="str">
        <f t="shared" si="420"/>
        <v>SINGLE</v>
      </c>
      <c r="K3247" s="186"/>
      <c r="N3247" s="3" t="str">
        <f t="shared" si="421"/>
        <v/>
      </c>
    </row>
    <row r="3248" spans="7:14">
      <c r="G3248" s="68" t="str">
        <f t="shared" si="420"/>
        <v>SINGLE</v>
      </c>
      <c r="K3248" s="186"/>
      <c r="N3248" s="3" t="str">
        <f t="shared" si="421"/>
        <v/>
      </c>
    </row>
    <row r="3249" spans="7:14">
      <c r="G3249" s="68" t="str">
        <f t="shared" si="420"/>
        <v>SINGLE</v>
      </c>
      <c r="K3249" s="186"/>
      <c r="N3249" s="3" t="str">
        <f t="shared" si="421"/>
        <v/>
      </c>
    </row>
    <row r="3250" spans="7:14">
      <c r="G3250" s="68" t="str">
        <f t="shared" si="420"/>
        <v>SINGLE</v>
      </c>
      <c r="K3250" s="186"/>
      <c r="N3250" s="3" t="str">
        <f t="shared" si="421"/>
        <v/>
      </c>
    </row>
    <row r="3251" spans="7:14">
      <c r="G3251" s="68" t="str">
        <f t="shared" si="420"/>
        <v>SINGLE</v>
      </c>
      <c r="K3251" s="186"/>
      <c r="N3251" s="3" t="str">
        <f t="shared" si="421"/>
        <v/>
      </c>
    </row>
    <row r="3252" spans="7:14">
      <c r="G3252" s="68" t="str">
        <f t="shared" si="420"/>
        <v>SINGLE</v>
      </c>
      <c r="K3252" s="186"/>
      <c r="N3252" s="3" t="str">
        <f t="shared" si="421"/>
        <v/>
      </c>
    </row>
    <row r="3253" spans="7:14">
      <c r="G3253" s="68" t="str">
        <f t="shared" ref="G3253:G3316" si="422">IF(OR(ISNUMBER(SEARCH("DUAL",F3253)), ISNUMBER(SEARCH("IVAS",F3253))), "DUAL", "SINGLE")</f>
        <v>SINGLE</v>
      </c>
      <c r="K3253" s="186"/>
      <c r="N3253" s="3" t="str">
        <f t="shared" si="421"/>
        <v/>
      </c>
    </row>
    <row r="3254" spans="7:14">
      <c r="G3254" s="68" t="str">
        <f t="shared" si="422"/>
        <v>SINGLE</v>
      </c>
      <c r="K3254" s="186"/>
      <c r="N3254" s="3" t="str">
        <f t="shared" si="421"/>
        <v/>
      </c>
    </row>
    <row r="3255" spans="7:14">
      <c r="G3255" s="68" t="str">
        <f t="shared" si="422"/>
        <v>SINGLE</v>
      </c>
      <c r="K3255" s="186"/>
      <c r="N3255" s="3" t="str">
        <f t="shared" si="421"/>
        <v/>
      </c>
    </row>
    <row r="3256" spans="7:14">
      <c r="G3256" s="68" t="str">
        <f t="shared" si="422"/>
        <v>SINGLE</v>
      </c>
      <c r="K3256" s="186"/>
      <c r="N3256" s="3" t="str">
        <f t="shared" si="421"/>
        <v/>
      </c>
    </row>
    <row r="3257" spans="7:14">
      <c r="G3257" s="68" t="str">
        <f t="shared" si="422"/>
        <v>SINGLE</v>
      </c>
      <c r="K3257" s="186"/>
      <c r="N3257" s="3" t="str">
        <f t="shared" si="421"/>
        <v/>
      </c>
    </row>
    <row r="3258" spans="7:14">
      <c r="G3258" s="68" t="str">
        <f t="shared" si="422"/>
        <v>SINGLE</v>
      </c>
      <c r="K3258" s="186"/>
      <c r="N3258" s="3" t="str">
        <f t="shared" si="421"/>
        <v/>
      </c>
    </row>
    <row r="3259" spans="7:14">
      <c r="G3259" s="68" t="str">
        <f t="shared" si="422"/>
        <v>SINGLE</v>
      </c>
      <c r="K3259" s="186"/>
      <c r="N3259" s="3" t="str">
        <f t="shared" si="421"/>
        <v/>
      </c>
    </row>
    <row r="3260" spans="7:14">
      <c r="G3260" s="68" t="str">
        <f t="shared" si="422"/>
        <v>SINGLE</v>
      </c>
      <c r="K3260" s="186"/>
      <c r="N3260" s="3" t="str">
        <f t="shared" si="421"/>
        <v/>
      </c>
    </row>
    <row r="3261" spans="7:14">
      <c r="G3261" s="68" t="str">
        <f t="shared" si="422"/>
        <v>SINGLE</v>
      </c>
      <c r="K3261" s="186"/>
      <c r="N3261" s="3" t="str">
        <f t="shared" si="421"/>
        <v/>
      </c>
    </row>
    <row r="3262" spans="7:14">
      <c r="G3262" s="68" t="str">
        <f t="shared" si="422"/>
        <v>SINGLE</v>
      </c>
      <c r="K3262" s="186"/>
      <c r="N3262" s="3" t="str">
        <f t="shared" si="421"/>
        <v/>
      </c>
    </row>
    <row r="3263" spans="7:14">
      <c r="G3263" s="68" t="str">
        <f t="shared" si="422"/>
        <v>SINGLE</v>
      </c>
      <c r="K3263" s="186"/>
      <c r="N3263" s="3" t="str">
        <f t="shared" ref="N3263:N3326" si="423">IF(O3263&lt;&gt;"", "NG", "")</f>
        <v/>
      </c>
    </row>
    <row r="3264" spans="7:14">
      <c r="G3264" s="68" t="str">
        <f t="shared" si="422"/>
        <v>SINGLE</v>
      </c>
      <c r="K3264" s="186"/>
      <c r="N3264" s="3" t="str">
        <f t="shared" si="423"/>
        <v/>
      </c>
    </row>
    <row r="3265" spans="7:14">
      <c r="G3265" s="68" t="str">
        <f t="shared" si="422"/>
        <v>SINGLE</v>
      </c>
      <c r="K3265" s="186"/>
      <c r="N3265" s="3" t="str">
        <f t="shared" si="423"/>
        <v/>
      </c>
    </row>
    <row r="3266" spans="7:14">
      <c r="G3266" s="68" t="str">
        <f t="shared" si="422"/>
        <v>SINGLE</v>
      </c>
      <c r="K3266" s="186"/>
      <c r="N3266" s="3" t="str">
        <f t="shared" si="423"/>
        <v/>
      </c>
    </row>
    <row r="3267" spans="7:14">
      <c r="G3267" s="68" t="str">
        <f t="shared" si="422"/>
        <v>SINGLE</v>
      </c>
      <c r="K3267" s="186"/>
      <c r="N3267" s="3" t="str">
        <f t="shared" si="423"/>
        <v/>
      </c>
    </row>
    <row r="3268" spans="7:14">
      <c r="G3268" s="68" t="str">
        <f t="shared" si="422"/>
        <v>SINGLE</v>
      </c>
      <c r="K3268" s="186"/>
      <c r="N3268" s="3" t="str">
        <f t="shared" si="423"/>
        <v/>
      </c>
    </row>
    <row r="3269" spans="7:14">
      <c r="G3269" s="68" t="str">
        <f t="shared" si="422"/>
        <v>SINGLE</v>
      </c>
      <c r="K3269" s="186"/>
      <c r="N3269" s="3" t="str">
        <f t="shared" si="423"/>
        <v/>
      </c>
    </row>
    <row r="3270" spans="7:14">
      <c r="G3270" s="68" t="str">
        <f t="shared" si="422"/>
        <v>SINGLE</v>
      </c>
      <c r="K3270" s="186"/>
      <c r="N3270" s="3" t="str">
        <f t="shared" si="423"/>
        <v/>
      </c>
    </row>
    <row r="3271" spans="7:14">
      <c r="G3271" s="68" t="str">
        <f t="shared" si="422"/>
        <v>SINGLE</v>
      </c>
      <c r="K3271" s="186"/>
      <c r="N3271" s="3" t="str">
        <f t="shared" si="423"/>
        <v/>
      </c>
    </row>
    <row r="3272" spans="7:14">
      <c r="G3272" s="68" t="str">
        <f t="shared" si="422"/>
        <v>SINGLE</v>
      </c>
      <c r="K3272" s="186"/>
      <c r="N3272" s="3" t="str">
        <f t="shared" si="423"/>
        <v/>
      </c>
    </row>
    <row r="3273" spans="7:14">
      <c r="G3273" s="68" t="str">
        <f t="shared" si="422"/>
        <v>SINGLE</v>
      </c>
      <c r="K3273" s="186"/>
      <c r="N3273" s="3" t="str">
        <f t="shared" si="423"/>
        <v/>
      </c>
    </row>
    <row r="3274" spans="7:14">
      <c r="G3274" s="68" t="str">
        <f t="shared" si="422"/>
        <v>SINGLE</v>
      </c>
      <c r="K3274" s="186"/>
      <c r="N3274" s="3" t="str">
        <f t="shared" si="423"/>
        <v/>
      </c>
    </row>
    <row r="3275" spans="7:14">
      <c r="G3275" s="68" t="str">
        <f t="shared" si="422"/>
        <v>SINGLE</v>
      </c>
      <c r="K3275" s="186"/>
      <c r="N3275" s="3" t="str">
        <f t="shared" si="423"/>
        <v/>
      </c>
    </row>
    <row r="3276" spans="7:14">
      <c r="G3276" s="68" t="str">
        <f t="shared" si="422"/>
        <v>SINGLE</v>
      </c>
      <c r="K3276" s="186"/>
      <c r="N3276" s="3" t="str">
        <f t="shared" si="423"/>
        <v/>
      </c>
    </row>
    <row r="3277" spans="7:14">
      <c r="G3277" s="68" t="str">
        <f t="shared" si="422"/>
        <v>SINGLE</v>
      </c>
      <c r="K3277" s="186"/>
      <c r="N3277" s="3" t="str">
        <f t="shared" si="423"/>
        <v/>
      </c>
    </row>
    <row r="3278" spans="7:14">
      <c r="G3278" s="68" t="str">
        <f t="shared" si="422"/>
        <v>SINGLE</v>
      </c>
      <c r="K3278" s="186"/>
      <c r="N3278" s="3" t="str">
        <f t="shared" si="423"/>
        <v/>
      </c>
    </row>
    <row r="3279" spans="7:14">
      <c r="G3279" s="68" t="str">
        <f t="shared" si="422"/>
        <v>SINGLE</v>
      </c>
      <c r="K3279" s="186"/>
      <c r="N3279" s="3" t="str">
        <f t="shared" si="423"/>
        <v/>
      </c>
    </row>
    <row r="3280" spans="7:14">
      <c r="G3280" s="68" t="str">
        <f t="shared" si="422"/>
        <v>SINGLE</v>
      </c>
      <c r="K3280" s="186"/>
      <c r="N3280" s="3" t="str">
        <f t="shared" si="423"/>
        <v/>
      </c>
    </row>
    <row r="3281" spans="7:14">
      <c r="G3281" s="68" t="str">
        <f t="shared" si="422"/>
        <v>SINGLE</v>
      </c>
      <c r="K3281" s="186"/>
      <c r="N3281" s="3" t="str">
        <f t="shared" si="423"/>
        <v/>
      </c>
    </row>
    <row r="3282" spans="7:14">
      <c r="G3282" s="68" t="str">
        <f t="shared" si="422"/>
        <v>SINGLE</v>
      </c>
      <c r="K3282" s="186"/>
      <c r="N3282" s="3" t="str">
        <f t="shared" si="423"/>
        <v/>
      </c>
    </row>
    <row r="3283" spans="7:14">
      <c r="G3283" s="68" t="str">
        <f t="shared" si="422"/>
        <v>SINGLE</v>
      </c>
      <c r="K3283" s="186"/>
      <c r="N3283" s="3" t="str">
        <f t="shared" si="423"/>
        <v/>
      </c>
    </row>
    <row r="3284" spans="7:14">
      <c r="G3284" s="68" t="str">
        <f t="shared" si="422"/>
        <v>SINGLE</v>
      </c>
      <c r="K3284" s="186"/>
      <c r="N3284" s="3" t="str">
        <f t="shared" si="423"/>
        <v/>
      </c>
    </row>
    <row r="3285" spans="7:14">
      <c r="G3285" s="68" t="str">
        <f t="shared" si="422"/>
        <v>SINGLE</v>
      </c>
      <c r="K3285" s="186"/>
      <c r="N3285" s="3" t="str">
        <f t="shared" si="423"/>
        <v/>
      </c>
    </row>
    <row r="3286" spans="7:14">
      <c r="G3286" s="68" t="str">
        <f t="shared" si="422"/>
        <v>SINGLE</v>
      </c>
      <c r="K3286" s="186"/>
      <c r="N3286" s="3" t="str">
        <f t="shared" si="423"/>
        <v/>
      </c>
    </row>
    <row r="3287" spans="7:14">
      <c r="G3287" s="68" t="str">
        <f t="shared" si="422"/>
        <v>SINGLE</v>
      </c>
      <c r="K3287" s="186"/>
      <c r="N3287" s="3" t="str">
        <f t="shared" si="423"/>
        <v/>
      </c>
    </row>
    <row r="3288" spans="7:14">
      <c r="G3288" s="68" t="str">
        <f t="shared" si="422"/>
        <v>SINGLE</v>
      </c>
      <c r="K3288" s="186"/>
      <c r="N3288" s="3" t="str">
        <f t="shared" si="423"/>
        <v/>
      </c>
    </row>
    <row r="3289" spans="7:14">
      <c r="G3289" s="68" t="str">
        <f t="shared" si="422"/>
        <v>SINGLE</v>
      </c>
      <c r="K3289" s="186"/>
      <c r="N3289" s="3" t="str">
        <f t="shared" si="423"/>
        <v/>
      </c>
    </row>
    <row r="3290" spans="7:14">
      <c r="G3290" s="68" t="str">
        <f t="shared" si="422"/>
        <v>SINGLE</v>
      </c>
      <c r="K3290" s="186"/>
      <c r="N3290" s="3" t="str">
        <f t="shared" si="423"/>
        <v/>
      </c>
    </row>
    <row r="3291" spans="7:14">
      <c r="G3291" s="68" t="str">
        <f t="shared" si="422"/>
        <v>SINGLE</v>
      </c>
      <c r="K3291" s="186"/>
      <c r="N3291" s="3" t="str">
        <f t="shared" si="423"/>
        <v/>
      </c>
    </row>
    <row r="3292" spans="7:14">
      <c r="G3292" s="68" t="str">
        <f t="shared" si="422"/>
        <v>SINGLE</v>
      </c>
      <c r="K3292" s="186"/>
      <c r="N3292" s="3" t="str">
        <f t="shared" si="423"/>
        <v/>
      </c>
    </row>
    <row r="3293" spans="7:14">
      <c r="G3293" s="68" t="str">
        <f t="shared" si="422"/>
        <v>SINGLE</v>
      </c>
      <c r="K3293" s="186"/>
      <c r="N3293" s="3" t="str">
        <f t="shared" si="423"/>
        <v/>
      </c>
    </row>
    <row r="3294" spans="7:14">
      <c r="G3294" s="68" t="str">
        <f t="shared" si="422"/>
        <v>SINGLE</v>
      </c>
      <c r="K3294" s="186"/>
      <c r="N3294" s="3" t="str">
        <f t="shared" si="423"/>
        <v/>
      </c>
    </row>
    <row r="3295" spans="7:14">
      <c r="G3295" s="68" t="str">
        <f t="shared" si="422"/>
        <v>SINGLE</v>
      </c>
      <c r="K3295" s="186"/>
      <c r="N3295" s="3" t="str">
        <f t="shared" si="423"/>
        <v/>
      </c>
    </row>
    <row r="3296" spans="7:14">
      <c r="G3296" s="68" t="str">
        <f t="shared" si="422"/>
        <v>SINGLE</v>
      </c>
      <c r="K3296" s="186"/>
      <c r="N3296" s="3" t="str">
        <f t="shared" si="423"/>
        <v/>
      </c>
    </row>
    <row r="3297" spans="7:14">
      <c r="G3297" s="68" t="str">
        <f t="shared" si="422"/>
        <v>SINGLE</v>
      </c>
      <c r="K3297" s="186"/>
      <c r="N3297" s="3" t="str">
        <f t="shared" si="423"/>
        <v/>
      </c>
    </row>
    <row r="3298" spans="7:14">
      <c r="G3298" s="68" t="str">
        <f t="shared" si="422"/>
        <v>SINGLE</v>
      </c>
      <c r="K3298" s="186"/>
      <c r="N3298" s="3" t="str">
        <f t="shared" si="423"/>
        <v/>
      </c>
    </row>
    <row r="3299" spans="7:14">
      <c r="G3299" s="68" t="str">
        <f t="shared" si="422"/>
        <v>SINGLE</v>
      </c>
      <c r="K3299" s="186"/>
      <c r="N3299" s="3" t="str">
        <f t="shared" si="423"/>
        <v/>
      </c>
    </row>
    <row r="3300" spans="7:14">
      <c r="G3300" s="68" t="str">
        <f t="shared" si="422"/>
        <v>SINGLE</v>
      </c>
      <c r="K3300" s="186"/>
      <c r="N3300" s="3" t="str">
        <f t="shared" si="423"/>
        <v/>
      </c>
    </row>
    <row r="3301" spans="7:14">
      <c r="G3301" s="68" t="str">
        <f t="shared" si="422"/>
        <v>SINGLE</v>
      </c>
      <c r="K3301" s="186"/>
      <c r="N3301" s="3" t="str">
        <f t="shared" si="423"/>
        <v/>
      </c>
    </row>
    <row r="3302" spans="7:14">
      <c r="G3302" s="68" t="str">
        <f t="shared" si="422"/>
        <v>SINGLE</v>
      </c>
      <c r="K3302" s="186"/>
      <c r="N3302" s="3" t="str">
        <f t="shared" si="423"/>
        <v/>
      </c>
    </row>
    <row r="3303" spans="7:14">
      <c r="G3303" s="68" t="str">
        <f t="shared" si="422"/>
        <v>SINGLE</v>
      </c>
      <c r="K3303" s="186"/>
      <c r="N3303" s="3" t="str">
        <f t="shared" si="423"/>
        <v/>
      </c>
    </row>
    <row r="3304" spans="7:14">
      <c r="G3304" s="68" t="str">
        <f t="shared" si="422"/>
        <v>SINGLE</v>
      </c>
      <c r="K3304" s="186"/>
      <c r="N3304" s="3" t="str">
        <f t="shared" si="423"/>
        <v/>
      </c>
    </row>
    <row r="3305" spans="7:14">
      <c r="G3305" s="68" t="str">
        <f t="shared" si="422"/>
        <v>SINGLE</v>
      </c>
      <c r="K3305" s="186"/>
      <c r="N3305" s="3" t="str">
        <f t="shared" si="423"/>
        <v/>
      </c>
    </row>
    <row r="3306" spans="7:14">
      <c r="G3306" s="68" t="str">
        <f t="shared" si="422"/>
        <v>SINGLE</v>
      </c>
      <c r="K3306" s="186"/>
      <c r="N3306" s="3" t="str">
        <f t="shared" si="423"/>
        <v/>
      </c>
    </row>
    <row r="3307" spans="7:14">
      <c r="G3307" s="68" t="str">
        <f t="shared" si="422"/>
        <v>SINGLE</v>
      </c>
      <c r="K3307" s="186"/>
      <c r="N3307" s="3" t="str">
        <f t="shared" si="423"/>
        <v/>
      </c>
    </row>
    <row r="3308" spans="7:14">
      <c r="G3308" s="68" t="str">
        <f t="shared" si="422"/>
        <v>SINGLE</v>
      </c>
      <c r="K3308" s="186"/>
      <c r="N3308" s="3" t="str">
        <f t="shared" si="423"/>
        <v/>
      </c>
    </row>
    <row r="3309" spans="7:14">
      <c r="G3309" s="68" t="str">
        <f t="shared" si="422"/>
        <v>SINGLE</v>
      </c>
      <c r="K3309" s="186"/>
      <c r="N3309" s="3" t="str">
        <f t="shared" si="423"/>
        <v/>
      </c>
    </row>
    <row r="3310" spans="7:14">
      <c r="G3310" s="68" t="str">
        <f t="shared" si="422"/>
        <v>SINGLE</v>
      </c>
      <c r="K3310" s="186"/>
      <c r="N3310" s="3" t="str">
        <f t="shared" si="423"/>
        <v/>
      </c>
    </row>
    <row r="3311" spans="7:14">
      <c r="G3311" s="68" t="str">
        <f t="shared" si="422"/>
        <v>SINGLE</v>
      </c>
      <c r="K3311" s="186"/>
      <c r="N3311" s="3" t="str">
        <f t="shared" si="423"/>
        <v/>
      </c>
    </row>
    <row r="3312" spans="7:14">
      <c r="G3312" s="68" t="str">
        <f t="shared" si="422"/>
        <v>SINGLE</v>
      </c>
      <c r="K3312" s="186"/>
      <c r="N3312" s="3" t="str">
        <f t="shared" si="423"/>
        <v/>
      </c>
    </row>
    <row r="3313" spans="7:14">
      <c r="G3313" s="68" t="str">
        <f t="shared" si="422"/>
        <v>SINGLE</v>
      </c>
      <c r="K3313" s="186"/>
      <c r="N3313" s="3" t="str">
        <f t="shared" si="423"/>
        <v/>
      </c>
    </row>
    <row r="3314" spans="7:14">
      <c r="G3314" s="68" t="str">
        <f t="shared" si="422"/>
        <v>SINGLE</v>
      </c>
      <c r="K3314" s="186"/>
      <c r="N3314" s="3" t="str">
        <f t="shared" si="423"/>
        <v/>
      </c>
    </row>
    <row r="3315" spans="7:14">
      <c r="G3315" s="68" t="str">
        <f t="shared" si="422"/>
        <v>SINGLE</v>
      </c>
      <c r="K3315" s="186"/>
      <c r="N3315" s="3" t="str">
        <f t="shared" si="423"/>
        <v/>
      </c>
    </row>
    <row r="3316" spans="7:14">
      <c r="G3316" s="68" t="str">
        <f t="shared" si="422"/>
        <v>SINGLE</v>
      </c>
      <c r="K3316" s="186"/>
      <c r="N3316" s="3" t="str">
        <f t="shared" si="423"/>
        <v/>
      </c>
    </row>
    <row r="3317" spans="7:14">
      <c r="G3317" s="68" t="str">
        <f t="shared" ref="G3317:G3380" si="424">IF(OR(ISNUMBER(SEARCH("DUAL",F3317)), ISNUMBER(SEARCH("IVAS",F3317))), "DUAL", "SINGLE")</f>
        <v>SINGLE</v>
      </c>
      <c r="K3317" s="186"/>
      <c r="N3317" s="3" t="str">
        <f t="shared" si="423"/>
        <v/>
      </c>
    </row>
    <row r="3318" spans="7:14">
      <c r="G3318" s="68" t="str">
        <f t="shared" si="424"/>
        <v>SINGLE</v>
      </c>
      <c r="K3318" s="186"/>
      <c r="N3318" s="3" t="str">
        <f t="shared" si="423"/>
        <v/>
      </c>
    </row>
    <row r="3319" spans="7:14">
      <c r="G3319" s="68" t="str">
        <f t="shared" si="424"/>
        <v>SINGLE</v>
      </c>
      <c r="K3319" s="186"/>
      <c r="N3319" s="3" t="str">
        <f t="shared" si="423"/>
        <v/>
      </c>
    </row>
    <row r="3320" spans="7:14">
      <c r="G3320" s="68" t="str">
        <f t="shared" si="424"/>
        <v>SINGLE</v>
      </c>
      <c r="K3320" s="186"/>
      <c r="N3320" s="3" t="str">
        <f t="shared" si="423"/>
        <v/>
      </c>
    </row>
    <row r="3321" spans="7:14">
      <c r="G3321" s="68" t="str">
        <f t="shared" si="424"/>
        <v>SINGLE</v>
      </c>
      <c r="K3321" s="186"/>
      <c r="N3321" s="3" t="str">
        <f t="shared" si="423"/>
        <v/>
      </c>
    </row>
    <row r="3322" spans="7:14">
      <c r="G3322" s="68" t="str">
        <f t="shared" si="424"/>
        <v>SINGLE</v>
      </c>
      <c r="K3322" s="186"/>
      <c r="N3322" s="3" t="str">
        <f t="shared" si="423"/>
        <v/>
      </c>
    </row>
    <row r="3323" spans="7:14">
      <c r="G3323" s="68" t="str">
        <f t="shared" si="424"/>
        <v>SINGLE</v>
      </c>
      <c r="K3323" s="186"/>
      <c r="N3323" s="3" t="str">
        <f t="shared" si="423"/>
        <v/>
      </c>
    </row>
    <row r="3324" spans="7:14">
      <c r="G3324" s="68" t="str">
        <f t="shared" si="424"/>
        <v>SINGLE</v>
      </c>
      <c r="K3324" s="186"/>
      <c r="N3324" s="3" t="str">
        <f t="shared" si="423"/>
        <v/>
      </c>
    </row>
    <row r="3325" spans="7:14">
      <c r="G3325" s="68" t="str">
        <f t="shared" si="424"/>
        <v>SINGLE</v>
      </c>
      <c r="K3325" s="186"/>
      <c r="N3325" s="3" t="str">
        <f t="shared" si="423"/>
        <v/>
      </c>
    </row>
    <row r="3326" spans="7:14">
      <c r="G3326" s="68" t="str">
        <f t="shared" si="424"/>
        <v>SINGLE</v>
      </c>
      <c r="K3326" s="186"/>
      <c r="N3326" s="3" t="str">
        <f t="shared" si="423"/>
        <v/>
      </c>
    </row>
    <row r="3327" spans="7:14">
      <c r="G3327" s="68" t="str">
        <f t="shared" si="424"/>
        <v>SINGLE</v>
      </c>
      <c r="K3327" s="186"/>
      <c r="N3327" s="3" t="str">
        <f t="shared" ref="N3327:N3390" si="425">IF(O3327&lt;&gt;"", "NG", "")</f>
        <v/>
      </c>
    </row>
    <row r="3328" spans="7:14">
      <c r="G3328" s="68" t="str">
        <f t="shared" si="424"/>
        <v>SINGLE</v>
      </c>
      <c r="K3328" s="186"/>
      <c r="N3328" s="3" t="str">
        <f t="shared" si="425"/>
        <v/>
      </c>
    </row>
    <row r="3329" spans="7:14">
      <c r="G3329" s="68" t="str">
        <f t="shared" si="424"/>
        <v>SINGLE</v>
      </c>
      <c r="K3329" s="186"/>
      <c r="N3329" s="3" t="str">
        <f t="shared" si="425"/>
        <v/>
      </c>
    </row>
    <row r="3330" spans="7:14">
      <c r="G3330" s="68" t="str">
        <f t="shared" si="424"/>
        <v>SINGLE</v>
      </c>
      <c r="K3330" s="186"/>
      <c r="N3330" s="3" t="str">
        <f t="shared" si="425"/>
        <v/>
      </c>
    </row>
    <row r="3331" spans="7:14">
      <c r="G3331" s="68" t="str">
        <f t="shared" si="424"/>
        <v>SINGLE</v>
      </c>
      <c r="K3331" s="186"/>
      <c r="N3331" s="3" t="str">
        <f t="shared" si="425"/>
        <v/>
      </c>
    </row>
    <row r="3332" spans="7:14">
      <c r="G3332" s="68" t="str">
        <f t="shared" si="424"/>
        <v>SINGLE</v>
      </c>
      <c r="K3332" s="186"/>
      <c r="N3332" s="3" t="str">
        <f t="shared" si="425"/>
        <v/>
      </c>
    </row>
    <row r="3333" spans="7:14">
      <c r="G3333" s="68" t="str">
        <f t="shared" si="424"/>
        <v>SINGLE</v>
      </c>
      <c r="K3333" s="186"/>
      <c r="N3333" s="3" t="str">
        <f t="shared" si="425"/>
        <v/>
      </c>
    </row>
    <row r="3334" spans="7:14">
      <c r="G3334" s="68" t="str">
        <f t="shared" si="424"/>
        <v>SINGLE</v>
      </c>
      <c r="K3334" s="186"/>
      <c r="N3334" s="3" t="str">
        <f t="shared" si="425"/>
        <v/>
      </c>
    </row>
    <row r="3335" spans="7:14">
      <c r="G3335" s="68" t="str">
        <f t="shared" si="424"/>
        <v>SINGLE</v>
      </c>
      <c r="K3335" s="186"/>
      <c r="N3335" s="3" t="str">
        <f t="shared" si="425"/>
        <v/>
      </c>
    </row>
    <row r="3336" spans="7:14">
      <c r="G3336" s="68" t="str">
        <f t="shared" si="424"/>
        <v>SINGLE</v>
      </c>
      <c r="K3336" s="186"/>
      <c r="N3336" s="3" t="str">
        <f t="shared" si="425"/>
        <v/>
      </c>
    </row>
    <row r="3337" spans="7:14">
      <c r="G3337" s="68" t="str">
        <f t="shared" si="424"/>
        <v>SINGLE</v>
      </c>
      <c r="K3337" s="186"/>
      <c r="N3337" s="3" t="str">
        <f t="shared" si="425"/>
        <v/>
      </c>
    </row>
    <row r="3338" spans="7:14">
      <c r="G3338" s="68" t="str">
        <f t="shared" si="424"/>
        <v>SINGLE</v>
      </c>
      <c r="K3338" s="186"/>
      <c r="N3338" s="3" t="str">
        <f t="shared" si="425"/>
        <v/>
      </c>
    </row>
    <row r="3339" spans="7:14">
      <c r="G3339" s="68" t="str">
        <f t="shared" si="424"/>
        <v>SINGLE</v>
      </c>
      <c r="K3339" s="186"/>
      <c r="N3339" s="3" t="str">
        <f t="shared" si="425"/>
        <v/>
      </c>
    </row>
    <row r="3340" spans="7:14">
      <c r="G3340" s="68" t="str">
        <f t="shared" si="424"/>
        <v>SINGLE</v>
      </c>
      <c r="K3340" s="186"/>
      <c r="N3340" s="3" t="str">
        <f t="shared" si="425"/>
        <v/>
      </c>
    </row>
    <row r="3341" spans="7:14">
      <c r="G3341" s="68" t="str">
        <f t="shared" si="424"/>
        <v>SINGLE</v>
      </c>
      <c r="K3341" s="186"/>
      <c r="N3341" s="3" t="str">
        <f t="shared" si="425"/>
        <v/>
      </c>
    </row>
    <row r="3342" spans="7:14">
      <c r="G3342" s="68" t="str">
        <f t="shared" si="424"/>
        <v>SINGLE</v>
      </c>
      <c r="K3342" s="186"/>
      <c r="N3342" s="3" t="str">
        <f t="shared" si="425"/>
        <v/>
      </c>
    </row>
    <row r="3343" spans="7:14">
      <c r="G3343" s="68" t="str">
        <f t="shared" si="424"/>
        <v>SINGLE</v>
      </c>
      <c r="K3343" s="186"/>
      <c r="N3343" s="3" t="str">
        <f t="shared" si="425"/>
        <v/>
      </c>
    </row>
    <row r="3344" spans="7:14">
      <c r="G3344" s="68" t="str">
        <f t="shared" si="424"/>
        <v>SINGLE</v>
      </c>
      <c r="K3344" s="186"/>
      <c r="N3344" s="3" t="str">
        <f t="shared" si="425"/>
        <v/>
      </c>
    </row>
    <row r="3345" spans="7:14">
      <c r="G3345" s="68" t="str">
        <f t="shared" si="424"/>
        <v>SINGLE</v>
      </c>
      <c r="K3345" s="186"/>
      <c r="N3345" s="3" t="str">
        <f t="shared" si="425"/>
        <v/>
      </c>
    </row>
    <row r="3346" spans="7:14">
      <c r="G3346" s="68" t="str">
        <f t="shared" si="424"/>
        <v>SINGLE</v>
      </c>
      <c r="K3346" s="186"/>
      <c r="N3346" s="3" t="str">
        <f t="shared" si="425"/>
        <v/>
      </c>
    </row>
    <row r="3347" spans="7:14">
      <c r="G3347" s="68" t="str">
        <f t="shared" si="424"/>
        <v>SINGLE</v>
      </c>
      <c r="K3347" s="186"/>
      <c r="N3347" s="3" t="str">
        <f t="shared" si="425"/>
        <v/>
      </c>
    </row>
    <row r="3348" spans="7:14">
      <c r="G3348" s="68" t="str">
        <f t="shared" si="424"/>
        <v>SINGLE</v>
      </c>
      <c r="K3348" s="186"/>
      <c r="N3348" s="3" t="str">
        <f t="shared" si="425"/>
        <v/>
      </c>
    </row>
    <row r="3349" spans="7:14">
      <c r="G3349" s="68" t="str">
        <f t="shared" si="424"/>
        <v>SINGLE</v>
      </c>
      <c r="K3349" s="186"/>
      <c r="N3349" s="3" t="str">
        <f t="shared" si="425"/>
        <v/>
      </c>
    </row>
    <row r="3350" spans="7:14">
      <c r="G3350" s="68" t="str">
        <f t="shared" si="424"/>
        <v>SINGLE</v>
      </c>
      <c r="K3350" s="186"/>
      <c r="N3350" s="3" t="str">
        <f t="shared" si="425"/>
        <v/>
      </c>
    </row>
    <row r="3351" spans="7:14">
      <c r="G3351" s="68" t="str">
        <f t="shared" si="424"/>
        <v>SINGLE</v>
      </c>
      <c r="K3351" s="186"/>
      <c r="N3351" s="3" t="str">
        <f t="shared" si="425"/>
        <v/>
      </c>
    </row>
    <row r="3352" spans="7:14">
      <c r="G3352" s="68" t="str">
        <f t="shared" si="424"/>
        <v>SINGLE</v>
      </c>
      <c r="K3352" s="186"/>
      <c r="N3352" s="3" t="str">
        <f t="shared" si="425"/>
        <v/>
      </c>
    </row>
    <row r="3353" spans="7:14">
      <c r="G3353" s="68" t="str">
        <f t="shared" si="424"/>
        <v>SINGLE</v>
      </c>
      <c r="K3353" s="186"/>
      <c r="N3353" s="3" t="str">
        <f t="shared" si="425"/>
        <v/>
      </c>
    </row>
    <row r="3354" spans="7:14">
      <c r="G3354" s="68" t="str">
        <f t="shared" si="424"/>
        <v>SINGLE</v>
      </c>
      <c r="K3354" s="186"/>
      <c r="N3354" s="3" t="str">
        <f t="shared" si="425"/>
        <v/>
      </c>
    </row>
    <row r="3355" spans="7:14">
      <c r="G3355" s="68" t="str">
        <f t="shared" si="424"/>
        <v>SINGLE</v>
      </c>
      <c r="K3355" s="186"/>
      <c r="N3355" s="3" t="str">
        <f t="shared" si="425"/>
        <v/>
      </c>
    </row>
    <row r="3356" spans="7:14">
      <c r="G3356" s="68" t="str">
        <f t="shared" si="424"/>
        <v>SINGLE</v>
      </c>
      <c r="K3356" s="186"/>
      <c r="N3356" s="3" t="str">
        <f t="shared" si="425"/>
        <v/>
      </c>
    </row>
    <row r="3357" spans="7:14">
      <c r="G3357" s="68" t="str">
        <f t="shared" si="424"/>
        <v>SINGLE</v>
      </c>
      <c r="K3357" s="186"/>
      <c r="N3357" s="3" t="str">
        <f t="shared" si="425"/>
        <v/>
      </c>
    </row>
    <row r="3358" spans="7:14">
      <c r="G3358" s="68" t="str">
        <f t="shared" si="424"/>
        <v>SINGLE</v>
      </c>
      <c r="K3358" s="186"/>
      <c r="N3358" s="3" t="str">
        <f t="shared" si="425"/>
        <v/>
      </c>
    </row>
    <row r="3359" spans="7:14">
      <c r="G3359" s="68" t="str">
        <f t="shared" si="424"/>
        <v>SINGLE</v>
      </c>
      <c r="K3359" s="186"/>
      <c r="N3359" s="3" t="str">
        <f t="shared" si="425"/>
        <v/>
      </c>
    </row>
    <row r="3360" spans="7:14">
      <c r="G3360" s="68" t="str">
        <f t="shared" si="424"/>
        <v>SINGLE</v>
      </c>
      <c r="K3360" s="186"/>
      <c r="N3360" s="3" t="str">
        <f t="shared" si="425"/>
        <v/>
      </c>
    </row>
    <row r="3361" spans="7:14">
      <c r="G3361" s="68" t="str">
        <f t="shared" si="424"/>
        <v>SINGLE</v>
      </c>
      <c r="K3361" s="186"/>
      <c r="N3361" s="3" t="str">
        <f t="shared" si="425"/>
        <v/>
      </c>
    </row>
    <row r="3362" spans="7:14">
      <c r="G3362" s="68" t="str">
        <f t="shared" si="424"/>
        <v>SINGLE</v>
      </c>
      <c r="K3362" s="186"/>
      <c r="N3362" s="3" t="str">
        <f t="shared" si="425"/>
        <v/>
      </c>
    </row>
    <row r="3363" spans="7:14">
      <c r="G3363" s="68" t="str">
        <f t="shared" si="424"/>
        <v>SINGLE</v>
      </c>
      <c r="K3363" s="186"/>
      <c r="N3363" s="3" t="str">
        <f t="shared" si="425"/>
        <v/>
      </c>
    </row>
    <row r="3364" spans="7:14">
      <c r="G3364" s="68" t="str">
        <f t="shared" si="424"/>
        <v>SINGLE</v>
      </c>
      <c r="K3364" s="186"/>
      <c r="N3364" s="3" t="str">
        <f t="shared" si="425"/>
        <v/>
      </c>
    </row>
    <row r="3365" spans="7:14">
      <c r="G3365" s="68" t="str">
        <f t="shared" si="424"/>
        <v>SINGLE</v>
      </c>
      <c r="K3365" s="186"/>
      <c r="N3365" s="3" t="str">
        <f t="shared" si="425"/>
        <v/>
      </c>
    </row>
    <row r="3366" spans="7:14">
      <c r="G3366" s="68" t="str">
        <f t="shared" si="424"/>
        <v>SINGLE</v>
      </c>
      <c r="K3366" s="186"/>
      <c r="N3366" s="3" t="str">
        <f t="shared" si="425"/>
        <v/>
      </c>
    </row>
    <row r="3367" spans="7:14">
      <c r="G3367" s="68" t="str">
        <f t="shared" si="424"/>
        <v>SINGLE</v>
      </c>
      <c r="K3367" s="186"/>
      <c r="N3367" s="3" t="str">
        <f t="shared" si="425"/>
        <v/>
      </c>
    </row>
    <row r="3368" spans="7:14">
      <c r="G3368" s="68" t="str">
        <f t="shared" si="424"/>
        <v>SINGLE</v>
      </c>
      <c r="K3368" s="186"/>
      <c r="N3368" s="3" t="str">
        <f t="shared" si="425"/>
        <v/>
      </c>
    </row>
    <row r="3369" spans="7:14">
      <c r="G3369" s="68" t="str">
        <f t="shared" si="424"/>
        <v>SINGLE</v>
      </c>
      <c r="K3369" s="186"/>
      <c r="N3369" s="3" t="str">
        <f t="shared" si="425"/>
        <v/>
      </c>
    </row>
    <row r="3370" spans="7:14">
      <c r="G3370" s="68" t="str">
        <f t="shared" si="424"/>
        <v>SINGLE</v>
      </c>
      <c r="K3370" s="186"/>
      <c r="N3370" s="3" t="str">
        <f t="shared" si="425"/>
        <v/>
      </c>
    </row>
    <row r="3371" spans="7:14">
      <c r="G3371" s="68" t="str">
        <f t="shared" si="424"/>
        <v>SINGLE</v>
      </c>
      <c r="K3371" s="186"/>
      <c r="N3371" s="3" t="str">
        <f t="shared" si="425"/>
        <v/>
      </c>
    </row>
    <row r="3372" spans="7:14">
      <c r="G3372" s="68" t="str">
        <f t="shared" si="424"/>
        <v>SINGLE</v>
      </c>
      <c r="K3372" s="186"/>
      <c r="N3372" s="3" t="str">
        <f t="shared" si="425"/>
        <v/>
      </c>
    </row>
    <row r="3373" spans="7:14">
      <c r="G3373" s="68" t="str">
        <f t="shared" si="424"/>
        <v>SINGLE</v>
      </c>
      <c r="K3373" s="186"/>
      <c r="N3373" s="3" t="str">
        <f t="shared" si="425"/>
        <v/>
      </c>
    </row>
    <row r="3374" spans="7:14">
      <c r="G3374" s="68" t="str">
        <f t="shared" si="424"/>
        <v>SINGLE</v>
      </c>
      <c r="K3374" s="186"/>
      <c r="N3374" s="3" t="str">
        <f t="shared" si="425"/>
        <v/>
      </c>
    </row>
    <row r="3375" spans="7:14">
      <c r="G3375" s="68" t="str">
        <f t="shared" si="424"/>
        <v>SINGLE</v>
      </c>
      <c r="K3375" s="186"/>
      <c r="N3375" s="3" t="str">
        <f t="shared" si="425"/>
        <v/>
      </c>
    </row>
    <row r="3376" spans="7:14">
      <c r="G3376" s="68" t="str">
        <f t="shared" si="424"/>
        <v>SINGLE</v>
      </c>
      <c r="K3376" s="186"/>
      <c r="N3376" s="3" t="str">
        <f t="shared" si="425"/>
        <v/>
      </c>
    </row>
    <row r="3377" spans="7:14">
      <c r="G3377" s="68" t="str">
        <f t="shared" si="424"/>
        <v>SINGLE</v>
      </c>
      <c r="K3377" s="186"/>
      <c r="N3377" s="3" t="str">
        <f t="shared" si="425"/>
        <v/>
      </c>
    </row>
    <row r="3378" spans="7:14">
      <c r="G3378" s="68" t="str">
        <f t="shared" si="424"/>
        <v>SINGLE</v>
      </c>
      <c r="K3378" s="186"/>
      <c r="N3378" s="3" t="str">
        <f t="shared" si="425"/>
        <v/>
      </c>
    </row>
    <row r="3379" spans="7:14">
      <c r="G3379" s="68" t="str">
        <f t="shared" si="424"/>
        <v>SINGLE</v>
      </c>
      <c r="K3379" s="186"/>
      <c r="N3379" s="3" t="str">
        <f t="shared" si="425"/>
        <v/>
      </c>
    </row>
    <row r="3380" spans="7:14">
      <c r="G3380" s="68" t="str">
        <f t="shared" si="424"/>
        <v>SINGLE</v>
      </c>
      <c r="K3380" s="186"/>
      <c r="N3380" s="3" t="str">
        <f t="shared" si="425"/>
        <v/>
      </c>
    </row>
    <row r="3381" spans="7:14">
      <c r="G3381" s="68" t="str">
        <f t="shared" ref="G3381:G3444" si="426">IF(OR(ISNUMBER(SEARCH("DUAL",F3381)), ISNUMBER(SEARCH("IVAS",F3381))), "DUAL", "SINGLE")</f>
        <v>SINGLE</v>
      </c>
      <c r="K3381" s="186"/>
      <c r="N3381" s="3" t="str">
        <f t="shared" si="425"/>
        <v/>
      </c>
    </row>
    <row r="3382" spans="7:14">
      <c r="G3382" s="68" t="str">
        <f t="shared" si="426"/>
        <v>SINGLE</v>
      </c>
      <c r="K3382" s="186"/>
      <c r="N3382" s="3" t="str">
        <f t="shared" si="425"/>
        <v/>
      </c>
    </row>
    <row r="3383" spans="7:14">
      <c r="G3383" s="68" t="str">
        <f t="shared" si="426"/>
        <v>SINGLE</v>
      </c>
      <c r="K3383" s="186"/>
      <c r="N3383" s="3" t="str">
        <f t="shared" si="425"/>
        <v/>
      </c>
    </row>
    <row r="3384" spans="7:14">
      <c r="G3384" s="68" t="str">
        <f t="shared" si="426"/>
        <v>SINGLE</v>
      </c>
      <c r="K3384" s="186"/>
      <c r="N3384" s="3" t="str">
        <f t="shared" si="425"/>
        <v/>
      </c>
    </row>
    <row r="3385" spans="7:14">
      <c r="G3385" s="68" t="str">
        <f t="shared" si="426"/>
        <v>SINGLE</v>
      </c>
      <c r="K3385" s="186"/>
      <c r="N3385" s="3" t="str">
        <f t="shared" si="425"/>
        <v/>
      </c>
    </row>
    <row r="3386" spans="7:14">
      <c r="G3386" s="68" t="str">
        <f t="shared" si="426"/>
        <v>SINGLE</v>
      </c>
      <c r="K3386" s="186"/>
      <c r="N3386" s="3" t="str">
        <f t="shared" si="425"/>
        <v/>
      </c>
    </row>
    <row r="3387" spans="7:14">
      <c r="G3387" s="68" t="str">
        <f t="shared" si="426"/>
        <v>SINGLE</v>
      </c>
      <c r="K3387" s="186"/>
      <c r="N3387" s="3" t="str">
        <f t="shared" si="425"/>
        <v/>
      </c>
    </row>
    <row r="3388" spans="7:14">
      <c r="G3388" s="68" t="str">
        <f t="shared" si="426"/>
        <v>SINGLE</v>
      </c>
      <c r="K3388" s="186"/>
      <c r="N3388" s="3" t="str">
        <f t="shared" si="425"/>
        <v/>
      </c>
    </row>
    <row r="3389" spans="7:14">
      <c r="G3389" s="68" t="str">
        <f t="shared" si="426"/>
        <v>SINGLE</v>
      </c>
      <c r="K3389" s="186"/>
      <c r="N3389" s="3" t="str">
        <f t="shared" si="425"/>
        <v/>
      </c>
    </row>
    <row r="3390" spans="7:14">
      <c r="G3390" s="68" t="str">
        <f t="shared" si="426"/>
        <v>SINGLE</v>
      </c>
      <c r="K3390" s="186"/>
      <c r="N3390" s="3" t="str">
        <f t="shared" si="425"/>
        <v/>
      </c>
    </row>
    <row r="3391" spans="7:14">
      <c r="G3391" s="68" t="str">
        <f t="shared" si="426"/>
        <v>SINGLE</v>
      </c>
      <c r="K3391" s="186"/>
      <c r="N3391" s="3" t="str">
        <f t="shared" ref="N3391:N3454" si="427">IF(O3391&lt;&gt;"", "NG", "")</f>
        <v/>
      </c>
    </row>
    <row r="3392" spans="7:14">
      <c r="G3392" s="68" t="str">
        <f t="shared" si="426"/>
        <v>SINGLE</v>
      </c>
      <c r="K3392" s="186"/>
      <c r="N3392" s="3" t="str">
        <f t="shared" si="427"/>
        <v/>
      </c>
    </row>
    <row r="3393" spans="7:14">
      <c r="G3393" s="68" t="str">
        <f t="shared" si="426"/>
        <v>SINGLE</v>
      </c>
      <c r="K3393" s="186"/>
      <c r="N3393" s="3" t="str">
        <f t="shared" si="427"/>
        <v/>
      </c>
    </row>
    <row r="3394" spans="7:14">
      <c r="G3394" s="68" t="str">
        <f t="shared" si="426"/>
        <v>SINGLE</v>
      </c>
      <c r="K3394" s="186"/>
      <c r="N3394" s="3" t="str">
        <f t="shared" si="427"/>
        <v/>
      </c>
    </row>
    <row r="3395" spans="7:14">
      <c r="G3395" s="68" t="str">
        <f t="shared" si="426"/>
        <v>SINGLE</v>
      </c>
      <c r="K3395" s="186"/>
      <c r="N3395" s="3" t="str">
        <f t="shared" si="427"/>
        <v/>
      </c>
    </row>
    <row r="3396" spans="7:14">
      <c r="G3396" s="68" t="str">
        <f t="shared" si="426"/>
        <v>SINGLE</v>
      </c>
      <c r="K3396" s="186"/>
      <c r="N3396" s="3" t="str">
        <f t="shared" si="427"/>
        <v/>
      </c>
    </row>
    <row r="3397" spans="7:14">
      <c r="G3397" s="68" t="str">
        <f t="shared" si="426"/>
        <v>SINGLE</v>
      </c>
      <c r="K3397" s="186"/>
      <c r="N3397" s="3" t="str">
        <f t="shared" si="427"/>
        <v/>
      </c>
    </row>
    <row r="3398" spans="7:14">
      <c r="G3398" s="68" t="str">
        <f t="shared" si="426"/>
        <v>SINGLE</v>
      </c>
      <c r="K3398" s="186"/>
      <c r="N3398" s="3" t="str">
        <f t="shared" si="427"/>
        <v/>
      </c>
    </row>
    <row r="3399" spans="7:14">
      <c r="G3399" s="68" t="str">
        <f t="shared" si="426"/>
        <v>SINGLE</v>
      </c>
      <c r="K3399" s="186"/>
      <c r="N3399" s="3" t="str">
        <f t="shared" si="427"/>
        <v/>
      </c>
    </row>
    <row r="3400" spans="7:14">
      <c r="G3400" s="68" t="str">
        <f t="shared" si="426"/>
        <v>SINGLE</v>
      </c>
      <c r="K3400" s="186"/>
      <c r="N3400" s="3" t="str">
        <f t="shared" si="427"/>
        <v/>
      </c>
    </row>
    <row r="3401" spans="7:14">
      <c r="G3401" s="68" t="str">
        <f t="shared" si="426"/>
        <v>SINGLE</v>
      </c>
      <c r="K3401" s="186"/>
      <c r="N3401" s="3" t="str">
        <f t="shared" si="427"/>
        <v/>
      </c>
    </row>
    <row r="3402" spans="7:14">
      <c r="G3402" s="68" t="str">
        <f t="shared" si="426"/>
        <v>SINGLE</v>
      </c>
      <c r="K3402" s="186"/>
      <c r="N3402" s="3" t="str">
        <f t="shared" si="427"/>
        <v/>
      </c>
    </row>
    <row r="3403" spans="7:14">
      <c r="G3403" s="68" t="str">
        <f t="shared" si="426"/>
        <v>SINGLE</v>
      </c>
      <c r="K3403" s="186"/>
      <c r="N3403" s="3" t="str">
        <f t="shared" si="427"/>
        <v/>
      </c>
    </row>
    <row r="3404" spans="7:14">
      <c r="G3404" s="68" t="str">
        <f t="shared" si="426"/>
        <v>SINGLE</v>
      </c>
      <c r="K3404" s="186"/>
      <c r="N3404" s="3" t="str">
        <f t="shared" si="427"/>
        <v/>
      </c>
    </row>
    <row r="3405" spans="7:14">
      <c r="G3405" s="68" t="str">
        <f t="shared" si="426"/>
        <v>SINGLE</v>
      </c>
      <c r="K3405" s="186"/>
      <c r="N3405" s="3" t="str">
        <f t="shared" si="427"/>
        <v/>
      </c>
    </row>
    <row r="3406" spans="7:14">
      <c r="G3406" s="68" t="str">
        <f t="shared" si="426"/>
        <v>SINGLE</v>
      </c>
      <c r="K3406" s="186"/>
      <c r="N3406" s="3" t="str">
        <f t="shared" si="427"/>
        <v/>
      </c>
    </row>
    <row r="3407" spans="7:14">
      <c r="G3407" s="68" t="str">
        <f t="shared" si="426"/>
        <v>SINGLE</v>
      </c>
      <c r="K3407" s="186"/>
      <c r="N3407" s="3" t="str">
        <f t="shared" si="427"/>
        <v/>
      </c>
    </row>
    <row r="3408" spans="7:14">
      <c r="G3408" s="68" t="str">
        <f t="shared" si="426"/>
        <v>SINGLE</v>
      </c>
      <c r="K3408" s="186"/>
      <c r="N3408" s="3" t="str">
        <f t="shared" si="427"/>
        <v/>
      </c>
    </row>
    <row r="3409" spans="7:14">
      <c r="G3409" s="68" t="str">
        <f t="shared" si="426"/>
        <v>SINGLE</v>
      </c>
      <c r="K3409" s="186"/>
      <c r="N3409" s="3" t="str">
        <f t="shared" si="427"/>
        <v/>
      </c>
    </row>
    <row r="3410" spans="7:14">
      <c r="G3410" s="68" t="str">
        <f t="shared" si="426"/>
        <v>SINGLE</v>
      </c>
      <c r="K3410" s="186"/>
      <c r="N3410" s="3" t="str">
        <f t="shared" si="427"/>
        <v/>
      </c>
    </row>
    <row r="3411" spans="7:14">
      <c r="G3411" s="68" t="str">
        <f t="shared" si="426"/>
        <v>SINGLE</v>
      </c>
      <c r="K3411" s="186"/>
      <c r="N3411" s="3" t="str">
        <f t="shared" si="427"/>
        <v/>
      </c>
    </row>
    <row r="3412" spans="7:14">
      <c r="G3412" s="68" t="str">
        <f t="shared" si="426"/>
        <v>SINGLE</v>
      </c>
      <c r="K3412" s="186"/>
      <c r="N3412" s="3" t="str">
        <f t="shared" si="427"/>
        <v/>
      </c>
    </row>
    <row r="3413" spans="7:14">
      <c r="G3413" s="68" t="str">
        <f t="shared" si="426"/>
        <v>SINGLE</v>
      </c>
      <c r="K3413" s="186"/>
      <c r="N3413" s="3" t="str">
        <f t="shared" si="427"/>
        <v/>
      </c>
    </row>
    <row r="3414" spans="7:14">
      <c r="G3414" s="68" t="str">
        <f t="shared" si="426"/>
        <v>SINGLE</v>
      </c>
      <c r="K3414" s="186"/>
      <c r="N3414" s="3" t="str">
        <f t="shared" si="427"/>
        <v/>
      </c>
    </row>
    <row r="3415" spans="7:14">
      <c r="G3415" s="68" t="str">
        <f t="shared" si="426"/>
        <v>SINGLE</v>
      </c>
      <c r="K3415" s="186"/>
      <c r="N3415" s="3" t="str">
        <f t="shared" si="427"/>
        <v/>
      </c>
    </row>
    <row r="3416" spans="7:14">
      <c r="G3416" s="68" t="str">
        <f t="shared" si="426"/>
        <v>SINGLE</v>
      </c>
      <c r="K3416" s="186"/>
      <c r="N3416" s="3" t="str">
        <f t="shared" si="427"/>
        <v/>
      </c>
    </row>
    <row r="3417" spans="7:14">
      <c r="G3417" s="68" t="str">
        <f t="shared" si="426"/>
        <v>SINGLE</v>
      </c>
      <c r="K3417" s="186"/>
      <c r="N3417" s="3" t="str">
        <f t="shared" si="427"/>
        <v/>
      </c>
    </row>
    <row r="3418" spans="7:14">
      <c r="G3418" s="68" t="str">
        <f t="shared" si="426"/>
        <v>SINGLE</v>
      </c>
      <c r="K3418" s="186"/>
      <c r="N3418" s="3" t="str">
        <f t="shared" si="427"/>
        <v/>
      </c>
    </row>
    <row r="3419" spans="7:14">
      <c r="G3419" s="68" t="str">
        <f t="shared" si="426"/>
        <v>SINGLE</v>
      </c>
      <c r="K3419" s="186"/>
      <c r="N3419" s="3" t="str">
        <f t="shared" si="427"/>
        <v/>
      </c>
    </row>
    <row r="3420" spans="7:14">
      <c r="G3420" s="68" t="str">
        <f t="shared" si="426"/>
        <v>SINGLE</v>
      </c>
      <c r="K3420" s="186"/>
      <c r="N3420" s="3" t="str">
        <f t="shared" si="427"/>
        <v/>
      </c>
    </row>
    <row r="3421" spans="7:14">
      <c r="G3421" s="68" t="str">
        <f t="shared" si="426"/>
        <v>SINGLE</v>
      </c>
      <c r="K3421" s="186"/>
      <c r="N3421" s="3" t="str">
        <f t="shared" si="427"/>
        <v/>
      </c>
    </row>
    <row r="3422" spans="7:14">
      <c r="G3422" s="68" t="str">
        <f t="shared" si="426"/>
        <v>SINGLE</v>
      </c>
      <c r="K3422" s="186"/>
      <c r="N3422" s="3" t="str">
        <f t="shared" si="427"/>
        <v/>
      </c>
    </row>
    <row r="3423" spans="7:14">
      <c r="G3423" s="68" t="str">
        <f t="shared" si="426"/>
        <v>SINGLE</v>
      </c>
      <c r="K3423" s="186"/>
      <c r="N3423" s="3" t="str">
        <f t="shared" si="427"/>
        <v/>
      </c>
    </row>
    <row r="3424" spans="7:14">
      <c r="G3424" s="68" t="str">
        <f t="shared" si="426"/>
        <v>SINGLE</v>
      </c>
      <c r="K3424" s="186"/>
      <c r="N3424" s="3" t="str">
        <f t="shared" si="427"/>
        <v/>
      </c>
    </row>
    <row r="3425" spans="7:14">
      <c r="G3425" s="68" t="str">
        <f t="shared" si="426"/>
        <v>SINGLE</v>
      </c>
      <c r="K3425" s="186"/>
      <c r="N3425" s="3" t="str">
        <f t="shared" si="427"/>
        <v/>
      </c>
    </row>
    <row r="3426" spans="7:14">
      <c r="G3426" s="68" t="str">
        <f t="shared" si="426"/>
        <v>SINGLE</v>
      </c>
      <c r="K3426" s="186"/>
      <c r="N3426" s="3" t="str">
        <f t="shared" si="427"/>
        <v/>
      </c>
    </row>
    <row r="3427" spans="7:14">
      <c r="G3427" s="68" t="str">
        <f t="shared" si="426"/>
        <v>SINGLE</v>
      </c>
      <c r="K3427" s="186"/>
      <c r="N3427" s="3" t="str">
        <f t="shared" si="427"/>
        <v/>
      </c>
    </row>
    <row r="3428" spans="7:14">
      <c r="G3428" s="68" t="str">
        <f t="shared" si="426"/>
        <v>SINGLE</v>
      </c>
      <c r="K3428" s="186"/>
      <c r="N3428" s="3" t="str">
        <f t="shared" si="427"/>
        <v/>
      </c>
    </row>
    <row r="3429" spans="7:14">
      <c r="G3429" s="68" t="str">
        <f t="shared" si="426"/>
        <v>SINGLE</v>
      </c>
      <c r="K3429" s="186"/>
      <c r="N3429" s="3" t="str">
        <f t="shared" si="427"/>
        <v/>
      </c>
    </row>
    <row r="3430" spans="7:14">
      <c r="G3430" s="68" t="str">
        <f t="shared" si="426"/>
        <v>SINGLE</v>
      </c>
      <c r="K3430" s="186"/>
      <c r="N3430" s="3" t="str">
        <f t="shared" si="427"/>
        <v/>
      </c>
    </row>
    <row r="3431" spans="7:14">
      <c r="G3431" s="68" t="str">
        <f t="shared" si="426"/>
        <v>SINGLE</v>
      </c>
      <c r="K3431" s="186"/>
      <c r="N3431" s="3" t="str">
        <f t="shared" si="427"/>
        <v/>
      </c>
    </row>
    <row r="3432" spans="7:14">
      <c r="G3432" s="68" t="str">
        <f t="shared" si="426"/>
        <v>SINGLE</v>
      </c>
      <c r="K3432" s="186"/>
      <c r="N3432" s="3" t="str">
        <f t="shared" si="427"/>
        <v/>
      </c>
    </row>
    <row r="3433" spans="7:14">
      <c r="G3433" s="68" t="str">
        <f t="shared" si="426"/>
        <v>SINGLE</v>
      </c>
      <c r="K3433" s="186"/>
      <c r="N3433" s="3" t="str">
        <f t="shared" si="427"/>
        <v/>
      </c>
    </row>
    <row r="3434" spans="7:14">
      <c r="G3434" s="68" t="str">
        <f t="shared" si="426"/>
        <v>SINGLE</v>
      </c>
      <c r="K3434" s="186"/>
      <c r="N3434" s="3" t="str">
        <f t="shared" si="427"/>
        <v/>
      </c>
    </row>
    <row r="3435" spans="7:14">
      <c r="G3435" s="68" t="str">
        <f t="shared" si="426"/>
        <v>SINGLE</v>
      </c>
      <c r="K3435" s="186"/>
      <c r="N3435" s="3" t="str">
        <f t="shared" si="427"/>
        <v/>
      </c>
    </row>
    <row r="3436" spans="7:14">
      <c r="G3436" s="68" t="str">
        <f t="shared" si="426"/>
        <v>SINGLE</v>
      </c>
      <c r="K3436" s="186"/>
      <c r="N3436" s="3" t="str">
        <f t="shared" si="427"/>
        <v/>
      </c>
    </row>
    <row r="3437" spans="7:14">
      <c r="G3437" s="68" t="str">
        <f t="shared" si="426"/>
        <v>SINGLE</v>
      </c>
      <c r="K3437" s="186"/>
      <c r="N3437" s="3" t="str">
        <f t="shared" si="427"/>
        <v/>
      </c>
    </row>
    <row r="3438" spans="7:14">
      <c r="G3438" s="68" t="str">
        <f t="shared" si="426"/>
        <v>SINGLE</v>
      </c>
      <c r="K3438" s="186"/>
      <c r="N3438" s="3" t="str">
        <f t="shared" si="427"/>
        <v/>
      </c>
    </row>
    <row r="3439" spans="7:14">
      <c r="G3439" s="68" t="str">
        <f t="shared" si="426"/>
        <v>SINGLE</v>
      </c>
      <c r="K3439" s="186"/>
      <c r="N3439" s="3" t="str">
        <f t="shared" si="427"/>
        <v/>
      </c>
    </row>
    <row r="3440" spans="7:14">
      <c r="G3440" s="68" t="str">
        <f t="shared" si="426"/>
        <v>SINGLE</v>
      </c>
      <c r="K3440" s="186"/>
      <c r="N3440" s="3" t="str">
        <f t="shared" si="427"/>
        <v/>
      </c>
    </row>
    <row r="3441" spans="7:14">
      <c r="G3441" s="68" t="str">
        <f t="shared" si="426"/>
        <v>SINGLE</v>
      </c>
      <c r="K3441" s="186"/>
      <c r="N3441" s="3" t="str">
        <f t="shared" si="427"/>
        <v/>
      </c>
    </row>
    <row r="3442" spans="7:14">
      <c r="G3442" s="68" t="str">
        <f t="shared" si="426"/>
        <v>SINGLE</v>
      </c>
      <c r="K3442" s="186"/>
      <c r="N3442" s="3" t="str">
        <f t="shared" si="427"/>
        <v/>
      </c>
    </row>
    <row r="3443" spans="7:14">
      <c r="G3443" s="68" t="str">
        <f t="shared" si="426"/>
        <v>SINGLE</v>
      </c>
      <c r="K3443" s="186"/>
      <c r="N3443" s="3" t="str">
        <f t="shared" si="427"/>
        <v/>
      </c>
    </row>
    <row r="3444" spans="7:14">
      <c r="G3444" s="68" t="str">
        <f t="shared" si="426"/>
        <v>SINGLE</v>
      </c>
      <c r="K3444" s="186"/>
      <c r="N3444" s="3" t="str">
        <f t="shared" si="427"/>
        <v/>
      </c>
    </row>
    <row r="3445" spans="7:14">
      <c r="G3445" s="68" t="str">
        <f t="shared" ref="G3445:G3508" si="428">IF(OR(ISNUMBER(SEARCH("DUAL",F3445)), ISNUMBER(SEARCH("IVAS",F3445))), "DUAL", "SINGLE")</f>
        <v>SINGLE</v>
      </c>
      <c r="K3445" s="186"/>
      <c r="N3445" s="3" t="str">
        <f t="shared" si="427"/>
        <v/>
      </c>
    </row>
    <row r="3446" spans="7:14">
      <c r="G3446" s="68" t="str">
        <f t="shared" si="428"/>
        <v>SINGLE</v>
      </c>
      <c r="K3446" s="186"/>
      <c r="N3446" s="3" t="str">
        <f t="shared" si="427"/>
        <v/>
      </c>
    </row>
    <row r="3447" spans="7:14">
      <c r="G3447" s="68" t="str">
        <f t="shared" si="428"/>
        <v>SINGLE</v>
      </c>
      <c r="K3447" s="186"/>
      <c r="N3447" s="3" t="str">
        <f t="shared" si="427"/>
        <v/>
      </c>
    </row>
    <row r="3448" spans="7:14">
      <c r="G3448" s="68" t="str">
        <f t="shared" si="428"/>
        <v>SINGLE</v>
      </c>
      <c r="K3448" s="186"/>
      <c r="N3448" s="3" t="str">
        <f t="shared" si="427"/>
        <v/>
      </c>
    </row>
    <row r="3449" spans="7:14">
      <c r="G3449" s="68" t="str">
        <f t="shared" si="428"/>
        <v>SINGLE</v>
      </c>
      <c r="K3449" s="186"/>
      <c r="N3449" s="3" t="str">
        <f t="shared" si="427"/>
        <v/>
      </c>
    </row>
    <row r="3450" spans="7:14">
      <c r="G3450" s="68" t="str">
        <f t="shared" si="428"/>
        <v>SINGLE</v>
      </c>
      <c r="K3450" s="186"/>
      <c r="N3450" s="3" t="str">
        <f t="shared" si="427"/>
        <v/>
      </c>
    </row>
    <row r="3451" spans="7:14">
      <c r="G3451" s="68" t="str">
        <f t="shared" si="428"/>
        <v>SINGLE</v>
      </c>
      <c r="K3451" s="186"/>
      <c r="N3451" s="3" t="str">
        <f t="shared" si="427"/>
        <v/>
      </c>
    </row>
    <row r="3452" spans="7:14">
      <c r="G3452" s="68" t="str">
        <f t="shared" si="428"/>
        <v>SINGLE</v>
      </c>
      <c r="K3452" s="186"/>
      <c r="N3452" s="3" t="str">
        <f t="shared" si="427"/>
        <v/>
      </c>
    </row>
    <row r="3453" spans="7:14">
      <c r="G3453" s="68" t="str">
        <f t="shared" si="428"/>
        <v>SINGLE</v>
      </c>
      <c r="K3453" s="186"/>
      <c r="N3453" s="3" t="str">
        <f t="shared" si="427"/>
        <v/>
      </c>
    </row>
    <row r="3454" spans="7:14">
      <c r="G3454" s="68" t="str">
        <f t="shared" si="428"/>
        <v>SINGLE</v>
      </c>
      <c r="K3454" s="186"/>
      <c r="N3454" s="3" t="str">
        <f t="shared" si="427"/>
        <v/>
      </c>
    </row>
    <row r="3455" spans="7:14">
      <c r="G3455" s="68" t="str">
        <f t="shared" si="428"/>
        <v>SINGLE</v>
      </c>
      <c r="K3455" s="186"/>
      <c r="N3455" s="3" t="str">
        <f t="shared" ref="N3455:N3518" si="429">IF(O3455&lt;&gt;"", "NG", "")</f>
        <v/>
      </c>
    </row>
    <row r="3456" spans="7:14">
      <c r="G3456" s="68" t="str">
        <f t="shared" si="428"/>
        <v>SINGLE</v>
      </c>
      <c r="K3456" s="186"/>
      <c r="N3456" s="3" t="str">
        <f t="shared" si="429"/>
        <v/>
      </c>
    </row>
    <row r="3457" spans="7:14">
      <c r="G3457" s="68" t="str">
        <f t="shared" si="428"/>
        <v>SINGLE</v>
      </c>
      <c r="K3457" s="186"/>
      <c r="N3457" s="3" t="str">
        <f t="shared" si="429"/>
        <v/>
      </c>
    </row>
    <row r="3458" spans="7:14">
      <c r="G3458" s="68" t="str">
        <f t="shared" si="428"/>
        <v>SINGLE</v>
      </c>
      <c r="K3458" s="186"/>
      <c r="N3458" s="3" t="str">
        <f t="shared" si="429"/>
        <v/>
      </c>
    </row>
    <row r="3459" spans="7:14">
      <c r="G3459" s="68" t="str">
        <f t="shared" si="428"/>
        <v>SINGLE</v>
      </c>
      <c r="K3459" s="186"/>
      <c r="N3459" s="3" t="str">
        <f t="shared" si="429"/>
        <v/>
      </c>
    </row>
    <row r="3460" spans="7:14">
      <c r="G3460" s="68" t="str">
        <f t="shared" si="428"/>
        <v>SINGLE</v>
      </c>
      <c r="K3460" s="186"/>
      <c r="N3460" s="3" t="str">
        <f t="shared" si="429"/>
        <v/>
      </c>
    </row>
    <row r="3461" spans="7:14">
      <c r="G3461" s="68" t="str">
        <f t="shared" si="428"/>
        <v>SINGLE</v>
      </c>
      <c r="K3461" s="186"/>
      <c r="N3461" s="3" t="str">
        <f t="shared" si="429"/>
        <v/>
      </c>
    </row>
    <row r="3462" spans="7:14">
      <c r="G3462" s="68" t="str">
        <f t="shared" si="428"/>
        <v>SINGLE</v>
      </c>
      <c r="K3462" s="186"/>
      <c r="N3462" s="3" t="str">
        <f t="shared" si="429"/>
        <v/>
      </c>
    </row>
    <row r="3463" spans="7:14">
      <c r="G3463" s="68" t="str">
        <f t="shared" si="428"/>
        <v>SINGLE</v>
      </c>
      <c r="K3463" s="186"/>
      <c r="N3463" s="3" t="str">
        <f t="shared" si="429"/>
        <v/>
      </c>
    </row>
    <row r="3464" spans="7:14">
      <c r="G3464" s="68" t="str">
        <f t="shared" si="428"/>
        <v>SINGLE</v>
      </c>
      <c r="K3464" s="186"/>
      <c r="N3464" s="3" t="str">
        <f t="shared" si="429"/>
        <v/>
      </c>
    </row>
    <row r="3465" spans="7:14">
      <c r="G3465" s="68" t="str">
        <f t="shared" si="428"/>
        <v>SINGLE</v>
      </c>
      <c r="K3465" s="186"/>
      <c r="N3465" s="3" t="str">
        <f t="shared" si="429"/>
        <v/>
      </c>
    </row>
    <row r="3466" spans="7:14">
      <c r="G3466" s="68" t="str">
        <f t="shared" si="428"/>
        <v>SINGLE</v>
      </c>
      <c r="K3466" s="186"/>
      <c r="N3466" s="3" t="str">
        <f t="shared" si="429"/>
        <v/>
      </c>
    </row>
    <row r="3467" spans="7:14">
      <c r="G3467" s="68" t="str">
        <f t="shared" si="428"/>
        <v>SINGLE</v>
      </c>
      <c r="K3467" s="186"/>
      <c r="N3467" s="3" t="str">
        <f t="shared" si="429"/>
        <v/>
      </c>
    </row>
    <row r="3468" spans="7:14">
      <c r="G3468" s="68" t="str">
        <f t="shared" si="428"/>
        <v>SINGLE</v>
      </c>
      <c r="K3468" s="186"/>
      <c r="N3468" s="3" t="str">
        <f t="shared" si="429"/>
        <v/>
      </c>
    </row>
    <row r="3469" spans="7:14">
      <c r="G3469" s="68" t="str">
        <f t="shared" si="428"/>
        <v>SINGLE</v>
      </c>
      <c r="K3469" s="186"/>
      <c r="N3469" s="3" t="str">
        <f t="shared" si="429"/>
        <v/>
      </c>
    </row>
    <row r="3470" spans="7:14">
      <c r="G3470" s="68" t="str">
        <f t="shared" si="428"/>
        <v>SINGLE</v>
      </c>
      <c r="K3470" s="186"/>
      <c r="N3470" s="3" t="str">
        <f t="shared" si="429"/>
        <v/>
      </c>
    </row>
    <row r="3471" spans="7:14">
      <c r="G3471" s="68" t="str">
        <f t="shared" si="428"/>
        <v>SINGLE</v>
      </c>
      <c r="K3471" s="186"/>
      <c r="N3471" s="3" t="str">
        <f t="shared" si="429"/>
        <v/>
      </c>
    </row>
    <row r="3472" spans="7:14">
      <c r="G3472" s="68" t="str">
        <f t="shared" si="428"/>
        <v>SINGLE</v>
      </c>
      <c r="K3472" s="186"/>
      <c r="N3472" s="3" t="str">
        <f t="shared" si="429"/>
        <v/>
      </c>
    </row>
    <row r="3473" spans="7:14">
      <c r="G3473" s="68" t="str">
        <f t="shared" si="428"/>
        <v>SINGLE</v>
      </c>
      <c r="K3473" s="186"/>
      <c r="N3473" s="3" t="str">
        <f t="shared" si="429"/>
        <v/>
      </c>
    </row>
    <row r="3474" spans="7:14">
      <c r="G3474" s="68" t="str">
        <f t="shared" si="428"/>
        <v>SINGLE</v>
      </c>
      <c r="K3474" s="186"/>
      <c r="N3474" s="3" t="str">
        <f t="shared" si="429"/>
        <v/>
      </c>
    </row>
    <row r="3475" spans="7:14">
      <c r="G3475" s="68" t="str">
        <f t="shared" si="428"/>
        <v>SINGLE</v>
      </c>
      <c r="K3475" s="186"/>
      <c r="N3475" s="3" t="str">
        <f t="shared" si="429"/>
        <v/>
      </c>
    </row>
    <row r="3476" spans="7:14">
      <c r="G3476" s="68" t="str">
        <f t="shared" si="428"/>
        <v>SINGLE</v>
      </c>
      <c r="K3476" s="186"/>
      <c r="N3476" s="3" t="str">
        <f t="shared" si="429"/>
        <v/>
      </c>
    </row>
    <row r="3477" spans="7:14">
      <c r="G3477" s="68" t="str">
        <f t="shared" si="428"/>
        <v>SINGLE</v>
      </c>
      <c r="K3477" s="186"/>
      <c r="N3477" s="3" t="str">
        <f t="shared" si="429"/>
        <v/>
      </c>
    </row>
    <row r="3478" spans="7:14">
      <c r="G3478" s="68" t="str">
        <f t="shared" si="428"/>
        <v>SINGLE</v>
      </c>
      <c r="K3478" s="186"/>
      <c r="N3478" s="3" t="str">
        <f t="shared" si="429"/>
        <v/>
      </c>
    </row>
    <row r="3479" spans="7:14">
      <c r="G3479" s="68" t="str">
        <f t="shared" si="428"/>
        <v>SINGLE</v>
      </c>
      <c r="K3479" s="186"/>
      <c r="N3479" s="3" t="str">
        <f t="shared" si="429"/>
        <v/>
      </c>
    </row>
    <row r="3480" spans="7:14">
      <c r="G3480" s="68" t="str">
        <f t="shared" si="428"/>
        <v>SINGLE</v>
      </c>
      <c r="K3480" s="186"/>
      <c r="N3480" s="3" t="str">
        <f t="shared" si="429"/>
        <v/>
      </c>
    </row>
    <row r="3481" spans="7:14">
      <c r="G3481" s="68" t="str">
        <f t="shared" si="428"/>
        <v>SINGLE</v>
      </c>
      <c r="K3481" s="186"/>
      <c r="N3481" s="3" t="str">
        <f t="shared" si="429"/>
        <v/>
      </c>
    </row>
    <row r="3482" spans="7:14">
      <c r="G3482" s="68" t="str">
        <f t="shared" si="428"/>
        <v>SINGLE</v>
      </c>
      <c r="K3482" s="186"/>
      <c r="N3482" s="3" t="str">
        <f t="shared" si="429"/>
        <v/>
      </c>
    </row>
    <row r="3483" spans="7:14">
      <c r="G3483" s="68" t="str">
        <f t="shared" si="428"/>
        <v>SINGLE</v>
      </c>
      <c r="K3483" s="186"/>
      <c r="N3483" s="3" t="str">
        <f t="shared" si="429"/>
        <v/>
      </c>
    </row>
    <row r="3484" spans="7:14">
      <c r="G3484" s="68" t="str">
        <f t="shared" si="428"/>
        <v>SINGLE</v>
      </c>
      <c r="K3484" s="186"/>
      <c r="N3484" s="3" t="str">
        <f t="shared" si="429"/>
        <v/>
      </c>
    </row>
    <row r="3485" spans="7:14">
      <c r="G3485" s="68" t="str">
        <f t="shared" si="428"/>
        <v>SINGLE</v>
      </c>
      <c r="K3485" s="186"/>
      <c r="N3485" s="3" t="str">
        <f t="shared" si="429"/>
        <v/>
      </c>
    </row>
    <row r="3486" spans="7:14">
      <c r="G3486" s="68" t="str">
        <f t="shared" si="428"/>
        <v>SINGLE</v>
      </c>
      <c r="K3486" s="186"/>
      <c r="N3486" s="3" t="str">
        <f t="shared" si="429"/>
        <v/>
      </c>
    </row>
    <row r="3487" spans="7:14">
      <c r="G3487" s="68" t="str">
        <f t="shared" si="428"/>
        <v>SINGLE</v>
      </c>
      <c r="K3487" s="186"/>
      <c r="N3487" s="3" t="str">
        <f t="shared" si="429"/>
        <v/>
      </c>
    </row>
    <row r="3488" spans="7:14">
      <c r="G3488" s="68" t="str">
        <f t="shared" si="428"/>
        <v>SINGLE</v>
      </c>
      <c r="K3488" s="186"/>
      <c r="N3488" s="3" t="str">
        <f t="shared" si="429"/>
        <v/>
      </c>
    </row>
    <row r="3489" spans="7:14">
      <c r="G3489" s="68" t="str">
        <f t="shared" si="428"/>
        <v>SINGLE</v>
      </c>
      <c r="K3489" s="186"/>
      <c r="N3489" s="3" t="str">
        <f t="shared" si="429"/>
        <v/>
      </c>
    </row>
    <row r="3490" spans="7:14">
      <c r="G3490" s="68" t="str">
        <f t="shared" si="428"/>
        <v>SINGLE</v>
      </c>
      <c r="K3490" s="186"/>
      <c r="N3490" s="3" t="str">
        <f t="shared" si="429"/>
        <v/>
      </c>
    </row>
    <row r="3491" spans="7:14">
      <c r="G3491" s="68" t="str">
        <f t="shared" si="428"/>
        <v>SINGLE</v>
      </c>
      <c r="K3491" s="186"/>
      <c r="N3491" s="3" t="str">
        <f t="shared" si="429"/>
        <v/>
      </c>
    </row>
    <row r="3492" spans="7:14">
      <c r="G3492" s="68" t="str">
        <f t="shared" si="428"/>
        <v>SINGLE</v>
      </c>
      <c r="K3492" s="186"/>
      <c r="N3492" s="3" t="str">
        <f t="shared" si="429"/>
        <v/>
      </c>
    </row>
    <row r="3493" spans="7:14">
      <c r="G3493" s="68" t="str">
        <f t="shared" si="428"/>
        <v>SINGLE</v>
      </c>
      <c r="K3493" s="186"/>
      <c r="N3493" s="3" t="str">
        <f t="shared" si="429"/>
        <v/>
      </c>
    </row>
    <row r="3494" spans="7:14">
      <c r="G3494" s="68" t="str">
        <f t="shared" si="428"/>
        <v>SINGLE</v>
      </c>
      <c r="K3494" s="186"/>
      <c r="N3494" s="3" t="str">
        <f t="shared" si="429"/>
        <v/>
      </c>
    </row>
    <row r="3495" spans="7:14">
      <c r="G3495" s="68" t="str">
        <f t="shared" si="428"/>
        <v>SINGLE</v>
      </c>
      <c r="K3495" s="186"/>
      <c r="N3495" s="3" t="str">
        <f t="shared" si="429"/>
        <v/>
      </c>
    </row>
    <row r="3496" spans="7:14">
      <c r="G3496" s="68" t="str">
        <f t="shared" si="428"/>
        <v>SINGLE</v>
      </c>
      <c r="K3496" s="186"/>
      <c r="N3496" s="3" t="str">
        <f t="shared" si="429"/>
        <v/>
      </c>
    </row>
    <row r="3497" spans="7:14">
      <c r="G3497" s="68" t="str">
        <f t="shared" si="428"/>
        <v>SINGLE</v>
      </c>
      <c r="K3497" s="186"/>
      <c r="N3497" s="3" t="str">
        <f t="shared" si="429"/>
        <v/>
      </c>
    </row>
    <row r="3498" spans="7:14">
      <c r="G3498" s="68" t="str">
        <f t="shared" si="428"/>
        <v>SINGLE</v>
      </c>
      <c r="K3498" s="186"/>
      <c r="N3498" s="3" t="str">
        <f t="shared" si="429"/>
        <v/>
      </c>
    </row>
    <row r="3499" spans="7:14">
      <c r="G3499" s="68" t="str">
        <f t="shared" si="428"/>
        <v>SINGLE</v>
      </c>
      <c r="K3499" s="186"/>
      <c r="N3499" s="3" t="str">
        <f t="shared" si="429"/>
        <v/>
      </c>
    </row>
    <row r="3500" spans="7:14">
      <c r="G3500" s="68" t="str">
        <f t="shared" si="428"/>
        <v>SINGLE</v>
      </c>
      <c r="K3500" s="186"/>
      <c r="N3500" s="3" t="str">
        <f t="shared" si="429"/>
        <v/>
      </c>
    </row>
    <row r="3501" spans="7:14">
      <c r="G3501" s="68" t="str">
        <f t="shared" si="428"/>
        <v>SINGLE</v>
      </c>
      <c r="K3501" s="186"/>
      <c r="N3501" s="3" t="str">
        <f t="shared" si="429"/>
        <v/>
      </c>
    </row>
    <row r="3502" spans="7:14">
      <c r="G3502" s="68" t="str">
        <f t="shared" si="428"/>
        <v>SINGLE</v>
      </c>
      <c r="K3502" s="186"/>
      <c r="N3502" s="3" t="str">
        <f t="shared" si="429"/>
        <v/>
      </c>
    </row>
    <row r="3503" spans="7:14">
      <c r="G3503" s="68" t="str">
        <f t="shared" si="428"/>
        <v>SINGLE</v>
      </c>
      <c r="K3503" s="186"/>
      <c r="N3503" s="3" t="str">
        <f t="shared" si="429"/>
        <v/>
      </c>
    </row>
    <row r="3504" spans="7:14">
      <c r="G3504" s="68" t="str">
        <f t="shared" si="428"/>
        <v>SINGLE</v>
      </c>
      <c r="K3504" s="186"/>
      <c r="N3504" s="3" t="str">
        <f t="shared" si="429"/>
        <v/>
      </c>
    </row>
    <row r="3505" spans="7:14">
      <c r="G3505" s="68" t="str">
        <f t="shared" si="428"/>
        <v>SINGLE</v>
      </c>
      <c r="K3505" s="186"/>
      <c r="N3505" s="3" t="str">
        <f t="shared" si="429"/>
        <v/>
      </c>
    </row>
    <row r="3506" spans="7:14">
      <c r="G3506" s="68" t="str">
        <f t="shared" si="428"/>
        <v>SINGLE</v>
      </c>
      <c r="K3506" s="186"/>
      <c r="N3506" s="3" t="str">
        <f t="shared" si="429"/>
        <v/>
      </c>
    </row>
    <row r="3507" spans="7:14">
      <c r="G3507" s="68" t="str">
        <f t="shared" si="428"/>
        <v>SINGLE</v>
      </c>
      <c r="K3507" s="186"/>
      <c r="N3507" s="3" t="str">
        <f t="shared" si="429"/>
        <v/>
      </c>
    </row>
    <row r="3508" spans="7:14">
      <c r="G3508" s="68" t="str">
        <f t="shared" si="428"/>
        <v>SINGLE</v>
      </c>
      <c r="K3508" s="186"/>
      <c r="N3508" s="3" t="str">
        <f t="shared" si="429"/>
        <v/>
      </c>
    </row>
    <row r="3509" spans="7:14">
      <c r="G3509" s="68" t="str">
        <f t="shared" ref="G3509:G3572" si="430">IF(OR(ISNUMBER(SEARCH("DUAL",F3509)), ISNUMBER(SEARCH("IVAS",F3509))), "DUAL", "SINGLE")</f>
        <v>SINGLE</v>
      </c>
      <c r="K3509" s="186"/>
      <c r="N3509" s="3" t="str">
        <f t="shared" si="429"/>
        <v/>
      </c>
    </row>
    <row r="3510" spans="7:14">
      <c r="G3510" s="68" t="str">
        <f t="shared" si="430"/>
        <v>SINGLE</v>
      </c>
      <c r="K3510" s="186"/>
      <c r="N3510" s="3" t="str">
        <f t="shared" si="429"/>
        <v/>
      </c>
    </row>
    <row r="3511" spans="7:14">
      <c r="G3511" s="68" t="str">
        <f t="shared" si="430"/>
        <v>SINGLE</v>
      </c>
      <c r="K3511" s="186"/>
      <c r="N3511" s="3" t="str">
        <f t="shared" si="429"/>
        <v/>
      </c>
    </row>
    <row r="3512" spans="7:14">
      <c r="G3512" s="68" t="str">
        <f t="shared" si="430"/>
        <v>SINGLE</v>
      </c>
      <c r="K3512" s="186"/>
      <c r="N3512" s="3" t="str">
        <f t="shared" si="429"/>
        <v/>
      </c>
    </row>
    <row r="3513" spans="7:14">
      <c r="G3513" s="68" t="str">
        <f t="shared" si="430"/>
        <v>SINGLE</v>
      </c>
      <c r="K3513" s="186"/>
      <c r="N3513" s="3" t="str">
        <f t="shared" si="429"/>
        <v/>
      </c>
    </row>
    <row r="3514" spans="7:14">
      <c r="G3514" s="68" t="str">
        <f t="shared" si="430"/>
        <v>SINGLE</v>
      </c>
      <c r="K3514" s="186"/>
      <c r="N3514" s="3" t="str">
        <f t="shared" si="429"/>
        <v/>
      </c>
    </row>
    <row r="3515" spans="7:14">
      <c r="G3515" s="68" t="str">
        <f t="shared" si="430"/>
        <v>SINGLE</v>
      </c>
      <c r="K3515" s="186"/>
      <c r="N3515" s="3" t="str">
        <f t="shared" si="429"/>
        <v/>
      </c>
    </row>
    <row r="3516" spans="7:14">
      <c r="G3516" s="68" t="str">
        <f t="shared" si="430"/>
        <v>SINGLE</v>
      </c>
      <c r="K3516" s="186"/>
      <c r="N3516" s="3" t="str">
        <f t="shared" si="429"/>
        <v/>
      </c>
    </row>
    <row r="3517" spans="7:14">
      <c r="G3517" s="68" t="str">
        <f t="shared" si="430"/>
        <v>SINGLE</v>
      </c>
      <c r="K3517" s="186"/>
      <c r="N3517" s="3" t="str">
        <f t="shared" si="429"/>
        <v/>
      </c>
    </row>
    <row r="3518" spans="7:14">
      <c r="G3518" s="68" t="str">
        <f t="shared" si="430"/>
        <v>SINGLE</v>
      </c>
      <c r="K3518" s="186"/>
      <c r="N3518" s="3" t="str">
        <f t="shared" si="429"/>
        <v/>
      </c>
    </row>
    <row r="3519" spans="7:14">
      <c r="G3519" s="68" t="str">
        <f t="shared" si="430"/>
        <v>SINGLE</v>
      </c>
      <c r="K3519" s="186"/>
      <c r="N3519" s="3" t="str">
        <f t="shared" ref="N3519:N3582" si="431">IF(O3519&lt;&gt;"", "NG", "")</f>
        <v/>
      </c>
    </row>
    <row r="3520" spans="7:14">
      <c r="G3520" s="68" t="str">
        <f t="shared" si="430"/>
        <v>SINGLE</v>
      </c>
      <c r="K3520" s="186"/>
      <c r="N3520" s="3" t="str">
        <f t="shared" si="431"/>
        <v/>
      </c>
    </row>
    <row r="3521" spans="7:14">
      <c r="G3521" s="68" t="str">
        <f t="shared" si="430"/>
        <v>SINGLE</v>
      </c>
      <c r="K3521" s="186"/>
      <c r="N3521" s="3" t="str">
        <f t="shared" si="431"/>
        <v/>
      </c>
    </row>
    <row r="3522" spans="7:14">
      <c r="G3522" s="68" t="str">
        <f t="shared" si="430"/>
        <v>SINGLE</v>
      </c>
      <c r="K3522" s="186"/>
      <c r="N3522" s="3" t="str">
        <f t="shared" si="431"/>
        <v/>
      </c>
    </row>
    <row r="3523" spans="7:14">
      <c r="G3523" s="68" t="str">
        <f t="shared" si="430"/>
        <v>SINGLE</v>
      </c>
      <c r="K3523" s="186"/>
      <c r="N3523" s="3" t="str">
        <f t="shared" si="431"/>
        <v/>
      </c>
    </row>
    <row r="3524" spans="7:14">
      <c r="G3524" s="68" t="str">
        <f t="shared" si="430"/>
        <v>SINGLE</v>
      </c>
      <c r="K3524" s="186"/>
      <c r="N3524" s="3" t="str">
        <f t="shared" si="431"/>
        <v/>
      </c>
    </row>
    <row r="3525" spans="7:14">
      <c r="G3525" s="68" t="str">
        <f t="shared" si="430"/>
        <v>SINGLE</v>
      </c>
      <c r="K3525" s="186"/>
      <c r="N3525" s="3" t="str">
        <f t="shared" si="431"/>
        <v/>
      </c>
    </row>
    <row r="3526" spans="7:14">
      <c r="G3526" s="68" t="str">
        <f t="shared" si="430"/>
        <v>SINGLE</v>
      </c>
      <c r="K3526" s="186"/>
      <c r="N3526" s="3" t="str">
        <f t="shared" si="431"/>
        <v/>
      </c>
    </row>
    <row r="3527" spans="7:14">
      <c r="G3527" s="68" t="str">
        <f t="shared" si="430"/>
        <v>SINGLE</v>
      </c>
      <c r="K3527" s="186"/>
      <c r="N3527" s="3" t="str">
        <f t="shared" si="431"/>
        <v/>
      </c>
    </row>
    <row r="3528" spans="7:14">
      <c r="G3528" s="68" t="str">
        <f t="shared" si="430"/>
        <v>SINGLE</v>
      </c>
      <c r="K3528" s="186"/>
      <c r="N3528" s="3" t="str">
        <f t="shared" si="431"/>
        <v/>
      </c>
    </row>
    <row r="3529" spans="7:14">
      <c r="G3529" s="68" t="str">
        <f t="shared" si="430"/>
        <v>SINGLE</v>
      </c>
      <c r="K3529" s="186"/>
      <c r="N3529" s="3" t="str">
        <f t="shared" si="431"/>
        <v/>
      </c>
    </row>
    <row r="3530" spans="7:14">
      <c r="G3530" s="68" t="str">
        <f t="shared" si="430"/>
        <v>SINGLE</v>
      </c>
      <c r="K3530" s="186"/>
      <c r="N3530" s="3" t="str">
        <f t="shared" si="431"/>
        <v/>
      </c>
    </row>
    <row r="3531" spans="7:14">
      <c r="G3531" s="68" t="str">
        <f t="shared" si="430"/>
        <v>SINGLE</v>
      </c>
      <c r="K3531" s="186"/>
      <c r="N3531" s="3" t="str">
        <f t="shared" si="431"/>
        <v/>
      </c>
    </row>
    <row r="3532" spans="7:14">
      <c r="G3532" s="68" t="str">
        <f t="shared" si="430"/>
        <v>SINGLE</v>
      </c>
      <c r="K3532" s="186"/>
      <c r="N3532" s="3" t="str">
        <f t="shared" si="431"/>
        <v/>
      </c>
    </row>
    <row r="3533" spans="7:14">
      <c r="G3533" s="68" t="str">
        <f t="shared" si="430"/>
        <v>SINGLE</v>
      </c>
      <c r="K3533" s="186"/>
      <c r="N3533" s="3" t="str">
        <f t="shared" si="431"/>
        <v/>
      </c>
    </row>
    <row r="3534" spans="7:14">
      <c r="G3534" s="68" t="str">
        <f t="shared" si="430"/>
        <v>SINGLE</v>
      </c>
      <c r="K3534" s="186"/>
      <c r="N3534" s="3" t="str">
        <f t="shared" si="431"/>
        <v/>
      </c>
    </row>
    <row r="3535" spans="7:14">
      <c r="G3535" s="68" t="str">
        <f t="shared" si="430"/>
        <v>SINGLE</v>
      </c>
      <c r="K3535" s="186"/>
      <c r="N3535" s="3" t="str">
        <f t="shared" si="431"/>
        <v/>
      </c>
    </row>
    <row r="3536" spans="7:14">
      <c r="G3536" s="68" t="str">
        <f t="shared" si="430"/>
        <v>SINGLE</v>
      </c>
      <c r="K3536" s="186"/>
      <c r="N3536" s="3" t="str">
        <f t="shared" si="431"/>
        <v/>
      </c>
    </row>
    <row r="3537" spans="7:14">
      <c r="G3537" s="68" t="str">
        <f t="shared" si="430"/>
        <v>SINGLE</v>
      </c>
      <c r="K3537" s="186"/>
      <c r="N3537" s="3" t="str">
        <f t="shared" si="431"/>
        <v/>
      </c>
    </row>
    <row r="3538" spans="7:14">
      <c r="G3538" s="68" t="str">
        <f t="shared" si="430"/>
        <v>SINGLE</v>
      </c>
      <c r="K3538" s="186"/>
      <c r="N3538" s="3" t="str">
        <f t="shared" si="431"/>
        <v/>
      </c>
    </row>
    <row r="3539" spans="7:14">
      <c r="G3539" s="68" t="str">
        <f t="shared" si="430"/>
        <v>SINGLE</v>
      </c>
      <c r="K3539" s="186"/>
      <c r="N3539" s="3" t="str">
        <f t="shared" si="431"/>
        <v/>
      </c>
    </row>
    <row r="3540" spans="7:14">
      <c r="G3540" s="68" t="str">
        <f t="shared" si="430"/>
        <v>SINGLE</v>
      </c>
      <c r="K3540" s="186"/>
      <c r="N3540" s="3" t="str">
        <f t="shared" si="431"/>
        <v/>
      </c>
    </row>
    <row r="3541" spans="7:14">
      <c r="G3541" s="68" t="str">
        <f t="shared" si="430"/>
        <v>SINGLE</v>
      </c>
      <c r="K3541" s="186"/>
      <c r="N3541" s="3" t="str">
        <f t="shared" si="431"/>
        <v/>
      </c>
    </row>
    <row r="3542" spans="7:14">
      <c r="G3542" s="68" t="str">
        <f t="shared" si="430"/>
        <v>SINGLE</v>
      </c>
      <c r="K3542" s="186"/>
      <c r="N3542" s="3" t="str">
        <f t="shared" si="431"/>
        <v/>
      </c>
    </row>
    <row r="3543" spans="7:14">
      <c r="G3543" s="68" t="str">
        <f t="shared" si="430"/>
        <v>SINGLE</v>
      </c>
      <c r="K3543" s="186"/>
      <c r="N3543" s="3" t="str">
        <f t="shared" si="431"/>
        <v/>
      </c>
    </row>
    <row r="3544" spans="7:14">
      <c r="G3544" s="68" t="str">
        <f t="shared" si="430"/>
        <v>SINGLE</v>
      </c>
      <c r="K3544" s="186"/>
      <c r="N3544" s="3" t="str">
        <f t="shared" si="431"/>
        <v/>
      </c>
    </row>
    <row r="3545" spans="7:14">
      <c r="G3545" s="68" t="str">
        <f t="shared" si="430"/>
        <v>SINGLE</v>
      </c>
      <c r="K3545" s="186"/>
      <c r="N3545" s="3" t="str">
        <f t="shared" si="431"/>
        <v/>
      </c>
    </row>
    <row r="3546" spans="7:14">
      <c r="G3546" s="68" t="str">
        <f t="shared" si="430"/>
        <v>SINGLE</v>
      </c>
      <c r="K3546" s="186"/>
      <c r="N3546" s="3" t="str">
        <f t="shared" si="431"/>
        <v/>
      </c>
    </row>
    <row r="3547" spans="7:14">
      <c r="G3547" s="68" t="str">
        <f t="shared" si="430"/>
        <v>SINGLE</v>
      </c>
      <c r="K3547" s="186"/>
      <c r="N3547" s="3" t="str">
        <f t="shared" si="431"/>
        <v/>
      </c>
    </row>
    <row r="3548" spans="7:14">
      <c r="G3548" s="68" t="str">
        <f t="shared" si="430"/>
        <v>SINGLE</v>
      </c>
      <c r="K3548" s="186"/>
      <c r="N3548" s="3" t="str">
        <f t="shared" si="431"/>
        <v/>
      </c>
    </row>
    <row r="3549" spans="7:14">
      <c r="G3549" s="68" t="str">
        <f t="shared" si="430"/>
        <v>SINGLE</v>
      </c>
      <c r="K3549" s="186"/>
      <c r="N3549" s="3" t="str">
        <f t="shared" si="431"/>
        <v/>
      </c>
    </row>
    <row r="3550" spans="7:14">
      <c r="G3550" s="68" t="str">
        <f t="shared" si="430"/>
        <v>SINGLE</v>
      </c>
      <c r="K3550" s="186"/>
      <c r="N3550" s="3" t="str">
        <f t="shared" si="431"/>
        <v/>
      </c>
    </row>
    <row r="3551" spans="7:14">
      <c r="G3551" s="68" t="str">
        <f t="shared" si="430"/>
        <v>SINGLE</v>
      </c>
      <c r="K3551" s="186"/>
      <c r="N3551" s="3" t="str">
        <f t="shared" si="431"/>
        <v/>
      </c>
    </row>
    <row r="3552" spans="7:14">
      <c r="G3552" s="68" t="str">
        <f t="shared" si="430"/>
        <v>SINGLE</v>
      </c>
      <c r="K3552" s="186"/>
      <c r="N3552" s="3" t="str">
        <f t="shared" si="431"/>
        <v/>
      </c>
    </row>
    <row r="3553" spans="7:14">
      <c r="G3553" s="68" t="str">
        <f t="shared" si="430"/>
        <v>SINGLE</v>
      </c>
      <c r="K3553" s="186"/>
      <c r="N3553" s="3" t="str">
        <f t="shared" si="431"/>
        <v/>
      </c>
    </row>
    <row r="3554" spans="7:14">
      <c r="G3554" s="68" t="str">
        <f t="shared" si="430"/>
        <v>SINGLE</v>
      </c>
      <c r="K3554" s="186"/>
      <c r="N3554" s="3" t="str">
        <f t="shared" si="431"/>
        <v/>
      </c>
    </row>
    <row r="3555" spans="7:14">
      <c r="G3555" s="68" t="str">
        <f t="shared" si="430"/>
        <v>SINGLE</v>
      </c>
      <c r="K3555" s="186"/>
      <c r="N3555" s="3" t="str">
        <f t="shared" si="431"/>
        <v/>
      </c>
    </row>
    <row r="3556" spans="7:14">
      <c r="G3556" s="68" t="str">
        <f t="shared" si="430"/>
        <v>SINGLE</v>
      </c>
      <c r="K3556" s="186"/>
      <c r="N3556" s="3" t="str">
        <f t="shared" si="431"/>
        <v/>
      </c>
    </row>
    <row r="3557" spans="7:14">
      <c r="G3557" s="68" t="str">
        <f t="shared" si="430"/>
        <v>SINGLE</v>
      </c>
      <c r="K3557" s="186"/>
      <c r="N3557" s="3" t="str">
        <f t="shared" si="431"/>
        <v/>
      </c>
    </row>
    <row r="3558" spans="7:14">
      <c r="G3558" s="68" t="str">
        <f t="shared" si="430"/>
        <v>SINGLE</v>
      </c>
      <c r="K3558" s="186"/>
      <c r="N3558" s="3" t="str">
        <f t="shared" si="431"/>
        <v/>
      </c>
    </row>
    <row r="3559" spans="7:14">
      <c r="G3559" s="68" t="str">
        <f t="shared" si="430"/>
        <v>SINGLE</v>
      </c>
      <c r="K3559" s="186"/>
      <c r="N3559" s="3" t="str">
        <f t="shared" si="431"/>
        <v/>
      </c>
    </row>
    <row r="3560" spans="7:14">
      <c r="G3560" s="68" t="str">
        <f t="shared" si="430"/>
        <v>SINGLE</v>
      </c>
      <c r="K3560" s="186"/>
      <c r="N3560" s="3" t="str">
        <f t="shared" si="431"/>
        <v/>
      </c>
    </row>
    <row r="3561" spans="7:14">
      <c r="G3561" s="68" t="str">
        <f t="shared" si="430"/>
        <v>SINGLE</v>
      </c>
      <c r="K3561" s="186"/>
      <c r="N3561" s="3" t="str">
        <f t="shared" si="431"/>
        <v/>
      </c>
    </row>
    <row r="3562" spans="7:14">
      <c r="G3562" s="68" t="str">
        <f t="shared" si="430"/>
        <v>SINGLE</v>
      </c>
      <c r="K3562" s="186"/>
      <c r="N3562" s="3" t="str">
        <f t="shared" si="431"/>
        <v/>
      </c>
    </row>
    <row r="3563" spans="7:14">
      <c r="G3563" s="68" t="str">
        <f t="shared" si="430"/>
        <v>SINGLE</v>
      </c>
      <c r="K3563" s="186"/>
      <c r="N3563" s="3" t="str">
        <f t="shared" si="431"/>
        <v/>
      </c>
    </row>
    <row r="3564" spans="7:14">
      <c r="G3564" s="68" t="str">
        <f t="shared" si="430"/>
        <v>SINGLE</v>
      </c>
      <c r="K3564" s="186"/>
      <c r="N3564" s="3" t="str">
        <f t="shared" si="431"/>
        <v/>
      </c>
    </row>
    <row r="3565" spans="7:14">
      <c r="G3565" s="68" t="str">
        <f t="shared" si="430"/>
        <v>SINGLE</v>
      </c>
      <c r="K3565" s="186"/>
      <c r="N3565" s="3" t="str">
        <f t="shared" si="431"/>
        <v/>
      </c>
    </row>
    <row r="3566" spans="7:14">
      <c r="G3566" s="68" t="str">
        <f t="shared" si="430"/>
        <v>SINGLE</v>
      </c>
      <c r="K3566" s="186"/>
      <c r="N3566" s="3" t="str">
        <f t="shared" si="431"/>
        <v/>
      </c>
    </row>
    <row r="3567" spans="7:14">
      <c r="G3567" s="68" t="str">
        <f t="shared" si="430"/>
        <v>SINGLE</v>
      </c>
      <c r="K3567" s="186"/>
      <c r="N3567" s="3" t="str">
        <f t="shared" si="431"/>
        <v/>
      </c>
    </row>
    <row r="3568" spans="7:14">
      <c r="G3568" s="68" t="str">
        <f t="shared" si="430"/>
        <v>SINGLE</v>
      </c>
      <c r="K3568" s="186"/>
      <c r="N3568" s="3" t="str">
        <f t="shared" si="431"/>
        <v/>
      </c>
    </row>
    <row r="3569" spans="7:14">
      <c r="G3569" s="68" t="str">
        <f t="shared" si="430"/>
        <v>SINGLE</v>
      </c>
      <c r="K3569" s="186"/>
      <c r="N3569" s="3" t="str">
        <f t="shared" si="431"/>
        <v/>
      </c>
    </row>
    <row r="3570" spans="7:14">
      <c r="G3570" s="68" t="str">
        <f t="shared" si="430"/>
        <v>SINGLE</v>
      </c>
      <c r="K3570" s="186"/>
      <c r="N3570" s="3" t="str">
        <f t="shared" si="431"/>
        <v/>
      </c>
    </row>
    <row r="3571" spans="7:14">
      <c r="G3571" s="68" t="str">
        <f t="shared" si="430"/>
        <v>SINGLE</v>
      </c>
      <c r="K3571" s="186"/>
      <c r="N3571" s="3" t="str">
        <f t="shared" si="431"/>
        <v/>
      </c>
    </row>
    <row r="3572" spans="7:14">
      <c r="G3572" s="68" t="str">
        <f t="shared" si="430"/>
        <v>SINGLE</v>
      </c>
      <c r="K3572" s="186"/>
      <c r="N3572" s="3" t="str">
        <f t="shared" si="431"/>
        <v/>
      </c>
    </row>
    <row r="3573" spans="7:14">
      <c r="G3573" s="68" t="str">
        <f t="shared" ref="G3573:G3636" si="432">IF(OR(ISNUMBER(SEARCH("DUAL",F3573)), ISNUMBER(SEARCH("IVAS",F3573))), "DUAL", "SINGLE")</f>
        <v>SINGLE</v>
      </c>
      <c r="K3573" s="186"/>
      <c r="N3573" s="3" t="str">
        <f t="shared" si="431"/>
        <v/>
      </c>
    </row>
    <row r="3574" spans="7:14">
      <c r="G3574" s="68" t="str">
        <f t="shared" si="432"/>
        <v>SINGLE</v>
      </c>
      <c r="K3574" s="186"/>
      <c r="N3574" s="3" t="str">
        <f t="shared" si="431"/>
        <v/>
      </c>
    </row>
    <row r="3575" spans="7:14">
      <c r="G3575" s="68" t="str">
        <f t="shared" si="432"/>
        <v>SINGLE</v>
      </c>
      <c r="K3575" s="186"/>
      <c r="N3575" s="3" t="str">
        <f t="shared" si="431"/>
        <v/>
      </c>
    </row>
    <row r="3576" spans="7:14">
      <c r="G3576" s="68" t="str">
        <f t="shared" si="432"/>
        <v>SINGLE</v>
      </c>
      <c r="K3576" s="186"/>
      <c r="N3576" s="3" t="str">
        <f t="shared" si="431"/>
        <v/>
      </c>
    </row>
    <row r="3577" spans="7:14">
      <c r="G3577" s="68" t="str">
        <f t="shared" si="432"/>
        <v>SINGLE</v>
      </c>
      <c r="K3577" s="186"/>
      <c r="N3577" s="3" t="str">
        <f t="shared" si="431"/>
        <v/>
      </c>
    </row>
    <row r="3578" spans="7:14">
      <c r="G3578" s="68" t="str">
        <f t="shared" si="432"/>
        <v>SINGLE</v>
      </c>
      <c r="K3578" s="186"/>
      <c r="N3578" s="3" t="str">
        <f t="shared" si="431"/>
        <v/>
      </c>
    </row>
    <row r="3579" spans="7:14">
      <c r="G3579" s="68" t="str">
        <f t="shared" si="432"/>
        <v>SINGLE</v>
      </c>
      <c r="K3579" s="186"/>
      <c r="N3579" s="3" t="str">
        <f t="shared" si="431"/>
        <v/>
      </c>
    </row>
    <row r="3580" spans="7:14">
      <c r="G3580" s="68" t="str">
        <f t="shared" si="432"/>
        <v>SINGLE</v>
      </c>
      <c r="K3580" s="186"/>
      <c r="N3580" s="3" t="str">
        <f t="shared" si="431"/>
        <v/>
      </c>
    </row>
    <row r="3581" spans="7:14">
      <c r="G3581" s="68" t="str">
        <f t="shared" si="432"/>
        <v>SINGLE</v>
      </c>
      <c r="K3581" s="186"/>
      <c r="N3581" s="3" t="str">
        <f t="shared" si="431"/>
        <v/>
      </c>
    </row>
    <row r="3582" spans="7:14">
      <c r="G3582" s="68" t="str">
        <f t="shared" si="432"/>
        <v>SINGLE</v>
      </c>
      <c r="K3582" s="186"/>
      <c r="N3582" s="3" t="str">
        <f t="shared" si="431"/>
        <v/>
      </c>
    </row>
    <row r="3583" spans="7:14">
      <c r="G3583" s="68" t="str">
        <f t="shared" si="432"/>
        <v>SINGLE</v>
      </c>
      <c r="K3583" s="186"/>
      <c r="N3583" s="3" t="str">
        <f t="shared" ref="N3583:N3646" si="433">IF(O3583&lt;&gt;"", "NG", "")</f>
        <v/>
      </c>
    </row>
    <row r="3584" spans="7:14">
      <c r="G3584" s="68" t="str">
        <f t="shared" si="432"/>
        <v>SINGLE</v>
      </c>
      <c r="K3584" s="186"/>
      <c r="N3584" s="3" t="str">
        <f t="shared" si="433"/>
        <v/>
      </c>
    </row>
    <row r="3585" spans="7:14">
      <c r="G3585" s="68" t="str">
        <f t="shared" si="432"/>
        <v>SINGLE</v>
      </c>
      <c r="K3585" s="186"/>
      <c r="N3585" s="3" t="str">
        <f t="shared" si="433"/>
        <v/>
      </c>
    </row>
    <row r="3586" spans="7:14">
      <c r="G3586" s="68" t="str">
        <f t="shared" si="432"/>
        <v>SINGLE</v>
      </c>
      <c r="K3586" s="186"/>
      <c r="N3586" s="3" t="str">
        <f t="shared" si="433"/>
        <v/>
      </c>
    </row>
    <row r="3587" spans="7:14">
      <c r="G3587" s="68" t="str">
        <f t="shared" si="432"/>
        <v>SINGLE</v>
      </c>
      <c r="K3587" s="186"/>
      <c r="N3587" s="3" t="str">
        <f t="shared" si="433"/>
        <v/>
      </c>
    </row>
    <row r="3588" spans="7:14">
      <c r="G3588" s="68" t="str">
        <f t="shared" si="432"/>
        <v>SINGLE</v>
      </c>
      <c r="K3588" s="186"/>
      <c r="N3588" s="3" t="str">
        <f t="shared" si="433"/>
        <v/>
      </c>
    </row>
    <row r="3589" spans="7:14">
      <c r="G3589" s="68" t="str">
        <f t="shared" si="432"/>
        <v>SINGLE</v>
      </c>
      <c r="K3589" s="186"/>
      <c r="N3589" s="3" t="str">
        <f t="shared" si="433"/>
        <v/>
      </c>
    </row>
    <row r="3590" spans="7:14">
      <c r="G3590" s="68" t="str">
        <f t="shared" si="432"/>
        <v>SINGLE</v>
      </c>
      <c r="K3590" s="186"/>
      <c r="N3590" s="3" t="str">
        <f t="shared" si="433"/>
        <v/>
      </c>
    </row>
    <row r="3591" spans="7:14">
      <c r="G3591" s="68" t="str">
        <f t="shared" si="432"/>
        <v>SINGLE</v>
      </c>
      <c r="K3591" s="186"/>
      <c r="N3591" s="3" t="str">
        <f t="shared" si="433"/>
        <v/>
      </c>
    </row>
    <row r="3592" spans="7:14">
      <c r="G3592" s="68" t="str">
        <f t="shared" si="432"/>
        <v>SINGLE</v>
      </c>
      <c r="K3592" s="186"/>
      <c r="N3592" s="3" t="str">
        <f t="shared" si="433"/>
        <v/>
      </c>
    </row>
    <row r="3593" spans="7:14">
      <c r="G3593" s="68" t="str">
        <f t="shared" si="432"/>
        <v>SINGLE</v>
      </c>
      <c r="K3593" s="186"/>
      <c r="N3593" s="3" t="str">
        <f t="shared" si="433"/>
        <v/>
      </c>
    </row>
    <row r="3594" spans="7:14">
      <c r="G3594" s="68" t="str">
        <f t="shared" si="432"/>
        <v>SINGLE</v>
      </c>
      <c r="K3594" s="186"/>
      <c r="N3594" s="3" t="str">
        <f t="shared" si="433"/>
        <v/>
      </c>
    </row>
    <row r="3595" spans="7:14">
      <c r="G3595" s="68" t="str">
        <f t="shared" si="432"/>
        <v>SINGLE</v>
      </c>
      <c r="K3595" s="186"/>
      <c r="N3595" s="3" t="str">
        <f t="shared" si="433"/>
        <v/>
      </c>
    </row>
    <row r="3596" spans="7:14">
      <c r="G3596" s="68" t="str">
        <f t="shared" si="432"/>
        <v>SINGLE</v>
      </c>
      <c r="K3596" s="186"/>
      <c r="N3596" s="3" t="str">
        <f t="shared" si="433"/>
        <v/>
      </c>
    </row>
    <row r="3597" spans="7:14">
      <c r="G3597" s="68" t="str">
        <f t="shared" si="432"/>
        <v>SINGLE</v>
      </c>
      <c r="K3597" s="186"/>
      <c r="N3597" s="3" t="str">
        <f t="shared" si="433"/>
        <v/>
      </c>
    </row>
    <row r="3598" spans="7:14">
      <c r="G3598" s="68" t="str">
        <f t="shared" si="432"/>
        <v>SINGLE</v>
      </c>
      <c r="K3598" s="186"/>
      <c r="N3598" s="3" t="str">
        <f t="shared" si="433"/>
        <v/>
      </c>
    </row>
    <row r="3599" spans="7:14">
      <c r="G3599" s="68" t="str">
        <f t="shared" si="432"/>
        <v>SINGLE</v>
      </c>
      <c r="K3599" s="186"/>
      <c r="N3599" s="3" t="str">
        <f t="shared" si="433"/>
        <v/>
      </c>
    </row>
    <row r="3600" spans="7:14">
      <c r="G3600" s="68" t="str">
        <f t="shared" si="432"/>
        <v>SINGLE</v>
      </c>
      <c r="K3600" s="186"/>
      <c r="N3600" s="3" t="str">
        <f t="shared" si="433"/>
        <v/>
      </c>
    </row>
    <row r="3601" spans="7:14">
      <c r="G3601" s="68" t="str">
        <f t="shared" si="432"/>
        <v>SINGLE</v>
      </c>
      <c r="K3601" s="186"/>
      <c r="N3601" s="3" t="str">
        <f t="shared" si="433"/>
        <v/>
      </c>
    </row>
    <row r="3602" spans="7:14">
      <c r="G3602" s="68" t="str">
        <f t="shared" si="432"/>
        <v>SINGLE</v>
      </c>
      <c r="K3602" s="186"/>
      <c r="N3602" s="3" t="str">
        <f t="shared" si="433"/>
        <v/>
      </c>
    </row>
    <row r="3603" spans="7:14">
      <c r="G3603" s="68" t="str">
        <f t="shared" si="432"/>
        <v>SINGLE</v>
      </c>
      <c r="K3603" s="186"/>
      <c r="N3603" s="3" t="str">
        <f t="shared" si="433"/>
        <v/>
      </c>
    </row>
    <row r="3604" spans="7:14">
      <c r="G3604" s="68" t="str">
        <f t="shared" si="432"/>
        <v>SINGLE</v>
      </c>
      <c r="K3604" s="186"/>
      <c r="N3604" s="3" t="str">
        <f t="shared" si="433"/>
        <v/>
      </c>
    </row>
    <row r="3605" spans="7:14">
      <c r="G3605" s="68" t="str">
        <f t="shared" si="432"/>
        <v>SINGLE</v>
      </c>
      <c r="K3605" s="186"/>
      <c r="N3605" s="3" t="str">
        <f t="shared" si="433"/>
        <v/>
      </c>
    </row>
    <row r="3606" spans="7:14">
      <c r="G3606" s="68" t="str">
        <f t="shared" si="432"/>
        <v>SINGLE</v>
      </c>
      <c r="K3606" s="186"/>
      <c r="N3606" s="3" t="str">
        <f t="shared" si="433"/>
        <v/>
      </c>
    </row>
    <row r="3607" spans="7:14">
      <c r="G3607" s="68" t="str">
        <f t="shared" si="432"/>
        <v>SINGLE</v>
      </c>
      <c r="K3607" s="186"/>
      <c r="N3607" s="3" t="str">
        <f t="shared" si="433"/>
        <v/>
      </c>
    </row>
    <row r="3608" spans="7:14">
      <c r="G3608" s="68" t="str">
        <f t="shared" si="432"/>
        <v>SINGLE</v>
      </c>
      <c r="K3608" s="186"/>
      <c r="N3608" s="3" t="str">
        <f t="shared" si="433"/>
        <v/>
      </c>
    </row>
    <row r="3609" spans="7:14">
      <c r="G3609" s="68" t="str">
        <f t="shared" si="432"/>
        <v>SINGLE</v>
      </c>
      <c r="K3609" s="186"/>
      <c r="N3609" s="3" t="str">
        <f t="shared" si="433"/>
        <v/>
      </c>
    </row>
    <row r="3610" spans="7:14">
      <c r="G3610" s="68" t="str">
        <f t="shared" si="432"/>
        <v>SINGLE</v>
      </c>
      <c r="K3610" s="186"/>
      <c r="N3610" s="3" t="str">
        <f t="shared" si="433"/>
        <v/>
      </c>
    </row>
    <row r="3611" spans="7:14">
      <c r="G3611" s="68" t="str">
        <f t="shared" si="432"/>
        <v>SINGLE</v>
      </c>
      <c r="K3611" s="186"/>
      <c r="N3611" s="3" t="str">
        <f t="shared" si="433"/>
        <v/>
      </c>
    </row>
    <row r="3612" spans="7:14">
      <c r="G3612" s="68" t="str">
        <f t="shared" si="432"/>
        <v>SINGLE</v>
      </c>
      <c r="K3612" s="186"/>
      <c r="N3612" s="3" t="str">
        <f t="shared" si="433"/>
        <v/>
      </c>
    </row>
    <row r="3613" spans="7:14">
      <c r="G3613" s="68" t="str">
        <f t="shared" si="432"/>
        <v>SINGLE</v>
      </c>
      <c r="K3613" s="186"/>
      <c r="N3613" s="3" t="str">
        <f t="shared" si="433"/>
        <v/>
      </c>
    </row>
    <row r="3614" spans="7:14">
      <c r="G3614" s="68" t="str">
        <f t="shared" si="432"/>
        <v>SINGLE</v>
      </c>
      <c r="K3614" s="186"/>
      <c r="N3614" s="3" t="str">
        <f t="shared" si="433"/>
        <v/>
      </c>
    </row>
    <row r="3615" spans="7:14">
      <c r="G3615" s="68" t="str">
        <f t="shared" si="432"/>
        <v>SINGLE</v>
      </c>
      <c r="K3615" s="186"/>
      <c r="N3615" s="3" t="str">
        <f t="shared" si="433"/>
        <v/>
      </c>
    </row>
    <row r="3616" spans="7:14">
      <c r="G3616" s="68" t="str">
        <f t="shared" si="432"/>
        <v>SINGLE</v>
      </c>
      <c r="K3616" s="186"/>
      <c r="N3616" s="3" t="str">
        <f t="shared" si="433"/>
        <v/>
      </c>
    </row>
    <row r="3617" spans="7:14">
      <c r="G3617" s="68" t="str">
        <f t="shared" si="432"/>
        <v>SINGLE</v>
      </c>
      <c r="K3617" s="186"/>
      <c r="N3617" s="3" t="str">
        <f t="shared" si="433"/>
        <v/>
      </c>
    </row>
    <row r="3618" spans="7:14">
      <c r="G3618" s="68" t="str">
        <f t="shared" si="432"/>
        <v>SINGLE</v>
      </c>
      <c r="K3618" s="186"/>
      <c r="N3618" s="3" t="str">
        <f t="shared" si="433"/>
        <v/>
      </c>
    </row>
    <row r="3619" spans="7:14">
      <c r="G3619" s="68" t="str">
        <f t="shared" si="432"/>
        <v>SINGLE</v>
      </c>
      <c r="K3619" s="186"/>
      <c r="N3619" s="3" t="str">
        <f t="shared" si="433"/>
        <v/>
      </c>
    </row>
    <row r="3620" spans="7:14">
      <c r="G3620" s="68" t="str">
        <f t="shared" si="432"/>
        <v>SINGLE</v>
      </c>
      <c r="K3620" s="186"/>
      <c r="N3620" s="3" t="str">
        <f t="shared" si="433"/>
        <v/>
      </c>
    </row>
    <row r="3621" spans="7:14">
      <c r="G3621" s="68" t="str">
        <f t="shared" si="432"/>
        <v>SINGLE</v>
      </c>
      <c r="K3621" s="186"/>
      <c r="N3621" s="3" t="str">
        <f t="shared" si="433"/>
        <v/>
      </c>
    </row>
    <row r="3622" spans="7:14">
      <c r="G3622" s="68" t="str">
        <f t="shared" si="432"/>
        <v>SINGLE</v>
      </c>
      <c r="K3622" s="186"/>
      <c r="N3622" s="3" t="str">
        <f t="shared" si="433"/>
        <v/>
      </c>
    </row>
    <row r="3623" spans="7:14">
      <c r="G3623" s="68" t="str">
        <f t="shared" si="432"/>
        <v>SINGLE</v>
      </c>
      <c r="K3623" s="186"/>
      <c r="N3623" s="3" t="str">
        <f t="shared" si="433"/>
        <v/>
      </c>
    </row>
    <row r="3624" spans="7:14">
      <c r="G3624" s="68" t="str">
        <f t="shared" si="432"/>
        <v>SINGLE</v>
      </c>
      <c r="K3624" s="186"/>
      <c r="N3624" s="3" t="str">
        <f t="shared" si="433"/>
        <v/>
      </c>
    </row>
    <row r="3625" spans="7:14">
      <c r="G3625" s="68" t="str">
        <f t="shared" si="432"/>
        <v>SINGLE</v>
      </c>
      <c r="K3625" s="186"/>
      <c r="N3625" s="3" t="str">
        <f t="shared" si="433"/>
        <v/>
      </c>
    </row>
    <row r="3626" spans="7:14">
      <c r="G3626" s="68" t="str">
        <f t="shared" si="432"/>
        <v>SINGLE</v>
      </c>
      <c r="K3626" s="186"/>
      <c r="N3626" s="3" t="str">
        <f t="shared" si="433"/>
        <v/>
      </c>
    </row>
    <row r="3627" spans="7:14">
      <c r="G3627" s="68" t="str">
        <f t="shared" si="432"/>
        <v>SINGLE</v>
      </c>
      <c r="K3627" s="186"/>
      <c r="N3627" s="3" t="str">
        <f t="shared" si="433"/>
        <v/>
      </c>
    </row>
    <row r="3628" spans="7:14">
      <c r="G3628" s="68" t="str">
        <f t="shared" si="432"/>
        <v>SINGLE</v>
      </c>
      <c r="K3628" s="186"/>
      <c r="N3628" s="3" t="str">
        <f t="shared" si="433"/>
        <v/>
      </c>
    </row>
    <row r="3629" spans="7:14">
      <c r="G3629" s="68" t="str">
        <f t="shared" si="432"/>
        <v>SINGLE</v>
      </c>
      <c r="K3629" s="186"/>
      <c r="N3629" s="3" t="str">
        <f t="shared" si="433"/>
        <v/>
      </c>
    </row>
    <row r="3630" spans="7:14">
      <c r="G3630" s="68" t="str">
        <f t="shared" si="432"/>
        <v>SINGLE</v>
      </c>
      <c r="K3630" s="186"/>
      <c r="N3630" s="3" t="str">
        <f t="shared" si="433"/>
        <v/>
      </c>
    </row>
    <row r="3631" spans="7:14">
      <c r="G3631" s="68" t="str">
        <f t="shared" si="432"/>
        <v>SINGLE</v>
      </c>
      <c r="K3631" s="186"/>
      <c r="N3631" s="3" t="str">
        <f t="shared" si="433"/>
        <v/>
      </c>
    </row>
    <row r="3632" spans="7:14">
      <c r="G3632" s="68" t="str">
        <f t="shared" si="432"/>
        <v>SINGLE</v>
      </c>
      <c r="K3632" s="186"/>
      <c r="N3632" s="3" t="str">
        <f t="shared" si="433"/>
        <v/>
      </c>
    </row>
    <row r="3633" spans="7:14">
      <c r="G3633" s="68" t="str">
        <f t="shared" si="432"/>
        <v>SINGLE</v>
      </c>
      <c r="K3633" s="186"/>
      <c r="N3633" s="3" t="str">
        <f t="shared" si="433"/>
        <v/>
      </c>
    </row>
    <row r="3634" spans="7:14">
      <c r="G3634" s="68" t="str">
        <f t="shared" si="432"/>
        <v>SINGLE</v>
      </c>
      <c r="K3634" s="186"/>
      <c r="N3634" s="3" t="str">
        <f t="shared" si="433"/>
        <v/>
      </c>
    </row>
    <row r="3635" spans="7:14">
      <c r="G3635" s="68" t="str">
        <f t="shared" si="432"/>
        <v>SINGLE</v>
      </c>
      <c r="K3635" s="186"/>
      <c r="N3635" s="3" t="str">
        <f t="shared" si="433"/>
        <v/>
      </c>
    </row>
    <row r="3636" spans="7:14">
      <c r="G3636" s="68" t="str">
        <f t="shared" si="432"/>
        <v>SINGLE</v>
      </c>
      <c r="K3636" s="186"/>
      <c r="N3636" s="3" t="str">
        <f t="shared" si="433"/>
        <v/>
      </c>
    </row>
    <row r="3637" spans="7:14">
      <c r="G3637" s="68" t="str">
        <f t="shared" ref="G3637:G3700" si="434">IF(OR(ISNUMBER(SEARCH("DUAL",F3637)), ISNUMBER(SEARCH("IVAS",F3637))), "DUAL", "SINGLE")</f>
        <v>SINGLE</v>
      </c>
      <c r="K3637" s="186"/>
      <c r="N3637" s="3" t="str">
        <f t="shared" si="433"/>
        <v/>
      </c>
    </row>
    <row r="3638" spans="7:14">
      <c r="G3638" s="68" t="str">
        <f t="shared" si="434"/>
        <v>SINGLE</v>
      </c>
      <c r="K3638" s="186"/>
      <c r="N3638" s="3" t="str">
        <f t="shared" si="433"/>
        <v/>
      </c>
    </row>
    <row r="3639" spans="7:14">
      <c r="G3639" s="68" t="str">
        <f t="shared" si="434"/>
        <v>SINGLE</v>
      </c>
      <c r="K3639" s="186"/>
      <c r="N3639" s="3" t="str">
        <f t="shared" si="433"/>
        <v/>
      </c>
    </row>
    <row r="3640" spans="7:14">
      <c r="G3640" s="68" t="str">
        <f t="shared" si="434"/>
        <v>SINGLE</v>
      </c>
      <c r="K3640" s="186"/>
      <c r="N3640" s="3" t="str">
        <f t="shared" si="433"/>
        <v/>
      </c>
    </row>
    <row r="3641" spans="7:14">
      <c r="G3641" s="68" t="str">
        <f t="shared" si="434"/>
        <v>SINGLE</v>
      </c>
      <c r="K3641" s="186"/>
      <c r="N3641" s="3" t="str">
        <f t="shared" si="433"/>
        <v/>
      </c>
    </row>
    <row r="3642" spans="7:14">
      <c r="G3642" s="68" t="str">
        <f t="shared" si="434"/>
        <v>SINGLE</v>
      </c>
      <c r="K3642" s="186"/>
      <c r="N3642" s="3" t="str">
        <f t="shared" si="433"/>
        <v/>
      </c>
    </row>
    <row r="3643" spans="7:14">
      <c r="G3643" s="68" t="str">
        <f t="shared" si="434"/>
        <v>SINGLE</v>
      </c>
      <c r="K3643" s="186"/>
      <c r="N3643" s="3" t="str">
        <f t="shared" si="433"/>
        <v/>
      </c>
    </row>
    <row r="3644" spans="7:14">
      <c r="G3644" s="68" t="str">
        <f t="shared" si="434"/>
        <v>SINGLE</v>
      </c>
      <c r="K3644" s="186"/>
      <c r="N3644" s="3" t="str">
        <f t="shared" si="433"/>
        <v/>
      </c>
    </row>
    <row r="3645" spans="7:14">
      <c r="G3645" s="68" t="str">
        <f t="shared" si="434"/>
        <v>SINGLE</v>
      </c>
      <c r="K3645" s="186"/>
      <c r="N3645" s="3" t="str">
        <f t="shared" si="433"/>
        <v/>
      </c>
    </row>
    <row r="3646" spans="7:14">
      <c r="G3646" s="68" t="str">
        <f t="shared" si="434"/>
        <v>SINGLE</v>
      </c>
      <c r="K3646" s="186"/>
      <c r="N3646" s="3" t="str">
        <f t="shared" si="433"/>
        <v/>
      </c>
    </row>
    <row r="3647" spans="7:14">
      <c r="G3647" s="68" t="str">
        <f t="shared" si="434"/>
        <v>SINGLE</v>
      </c>
      <c r="K3647" s="186"/>
      <c r="N3647" s="3" t="str">
        <f t="shared" ref="N3647:N3710" si="435">IF(O3647&lt;&gt;"", "NG", "")</f>
        <v/>
      </c>
    </row>
    <row r="3648" spans="7:14">
      <c r="G3648" s="68" t="str">
        <f t="shared" si="434"/>
        <v>SINGLE</v>
      </c>
      <c r="K3648" s="186"/>
      <c r="N3648" s="3" t="str">
        <f t="shared" si="435"/>
        <v/>
      </c>
    </row>
    <row r="3649" spans="7:14">
      <c r="G3649" s="68" t="str">
        <f t="shared" si="434"/>
        <v>SINGLE</v>
      </c>
      <c r="K3649" s="186"/>
      <c r="N3649" s="3" t="str">
        <f t="shared" si="435"/>
        <v/>
      </c>
    </row>
    <row r="3650" spans="7:14">
      <c r="G3650" s="68" t="str">
        <f t="shared" si="434"/>
        <v>SINGLE</v>
      </c>
      <c r="K3650" s="186"/>
      <c r="N3650" s="3" t="str">
        <f t="shared" si="435"/>
        <v/>
      </c>
    </row>
    <row r="3651" spans="7:14">
      <c r="G3651" s="68" t="str">
        <f t="shared" si="434"/>
        <v>SINGLE</v>
      </c>
      <c r="K3651" s="186"/>
      <c r="N3651" s="3" t="str">
        <f t="shared" si="435"/>
        <v/>
      </c>
    </row>
    <row r="3652" spans="7:14">
      <c r="G3652" s="68" t="str">
        <f t="shared" si="434"/>
        <v>SINGLE</v>
      </c>
      <c r="K3652" s="186"/>
      <c r="N3652" s="3" t="str">
        <f t="shared" si="435"/>
        <v/>
      </c>
    </row>
    <row r="3653" spans="7:14">
      <c r="G3653" s="68" t="str">
        <f t="shared" si="434"/>
        <v>SINGLE</v>
      </c>
      <c r="K3653" s="186"/>
      <c r="N3653" s="3" t="str">
        <f t="shared" si="435"/>
        <v/>
      </c>
    </row>
    <row r="3654" spans="7:14">
      <c r="G3654" s="68" t="str">
        <f t="shared" si="434"/>
        <v>SINGLE</v>
      </c>
      <c r="K3654" s="186"/>
      <c r="N3654" s="3" t="str">
        <f t="shared" si="435"/>
        <v/>
      </c>
    </row>
    <row r="3655" spans="7:14">
      <c r="G3655" s="68" t="str">
        <f t="shared" si="434"/>
        <v>SINGLE</v>
      </c>
      <c r="K3655" s="186"/>
      <c r="N3655" s="3" t="str">
        <f t="shared" si="435"/>
        <v/>
      </c>
    </row>
    <row r="3656" spans="7:14">
      <c r="G3656" s="68" t="str">
        <f t="shared" si="434"/>
        <v>SINGLE</v>
      </c>
      <c r="K3656" s="186"/>
      <c r="N3656" s="3" t="str">
        <f t="shared" si="435"/>
        <v/>
      </c>
    </row>
    <row r="3657" spans="7:14">
      <c r="G3657" s="68" t="str">
        <f t="shared" si="434"/>
        <v>SINGLE</v>
      </c>
      <c r="K3657" s="186"/>
      <c r="N3657" s="3" t="str">
        <f t="shared" si="435"/>
        <v/>
      </c>
    </row>
    <row r="3658" spans="7:14">
      <c r="G3658" s="68" t="str">
        <f t="shared" si="434"/>
        <v>SINGLE</v>
      </c>
      <c r="K3658" s="186"/>
      <c r="N3658" s="3" t="str">
        <f t="shared" si="435"/>
        <v/>
      </c>
    </row>
    <row r="3659" spans="7:14">
      <c r="G3659" s="68" t="str">
        <f t="shared" si="434"/>
        <v>SINGLE</v>
      </c>
      <c r="K3659" s="186"/>
      <c r="N3659" s="3" t="str">
        <f t="shared" si="435"/>
        <v/>
      </c>
    </row>
    <row r="3660" spans="7:14">
      <c r="G3660" s="68" t="str">
        <f t="shared" si="434"/>
        <v>SINGLE</v>
      </c>
      <c r="K3660" s="186"/>
      <c r="N3660" s="3" t="str">
        <f t="shared" si="435"/>
        <v/>
      </c>
    </row>
    <row r="3661" spans="7:14">
      <c r="G3661" s="68" t="str">
        <f t="shared" si="434"/>
        <v>SINGLE</v>
      </c>
      <c r="K3661" s="186"/>
      <c r="N3661" s="3" t="str">
        <f t="shared" si="435"/>
        <v/>
      </c>
    </row>
    <row r="3662" spans="7:14">
      <c r="G3662" s="68" t="str">
        <f t="shared" si="434"/>
        <v>SINGLE</v>
      </c>
      <c r="K3662" s="186"/>
      <c r="N3662" s="3" t="str">
        <f t="shared" si="435"/>
        <v/>
      </c>
    </row>
    <row r="3663" spans="7:14">
      <c r="G3663" s="68" t="str">
        <f t="shared" si="434"/>
        <v>SINGLE</v>
      </c>
      <c r="K3663" s="186"/>
      <c r="N3663" s="3" t="str">
        <f t="shared" si="435"/>
        <v/>
      </c>
    </row>
    <row r="3664" spans="7:14">
      <c r="G3664" s="68" t="str">
        <f t="shared" si="434"/>
        <v>SINGLE</v>
      </c>
      <c r="K3664" s="186"/>
      <c r="N3664" s="3" t="str">
        <f t="shared" si="435"/>
        <v/>
      </c>
    </row>
    <row r="3665" spans="7:14">
      <c r="G3665" s="68" t="str">
        <f t="shared" si="434"/>
        <v>SINGLE</v>
      </c>
      <c r="K3665" s="186"/>
      <c r="N3665" s="3" t="str">
        <f t="shared" si="435"/>
        <v/>
      </c>
    </row>
    <row r="3666" spans="7:14">
      <c r="G3666" s="68" t="str">
        <f t="shared" si="434"/>
        <v>SINGLE</v>
      </c>
      <c r="K3666" s="186"/>
      <c r="N3666" s="3" t="str">
        <f t="shared" si="435"/>
        <v/>
      </c>
    </row>
    <row r="3667" spans="7:14">
      <c r="G3667" s="68" t="str">
        <f t="shared" si="434"/>
        <v>SINGLE</v>
      </c>
      <c r="K3667" s="186"/>
      <c r="N3667" s="3" t="str">
        <f t="shared" si="435"/>
        <v/>
      </c>
    </row>
    <row r="3668" spans="7:14">
      <c r="G3668" s="68" t="str">
        <f t="shared" si="434"/>
        <v>SINGLE</v>
      </c>
      <c r="K3668" s="186"/>
      <c r="N3668" s="3" t="str">
        <f t="shared" si="435"/>
        <v/>
      </c>
    </row>
    <row r="3669" spans="7:14">
      <c r="G3669" s="68" t="str">
        <f t="shared" si="434"/>
        <v>SINGLE</v>
      </c>
      <c r="K3669" s="186"/>
      <c r="N3669" s="3" t="str">
        <f t="shared" si="435"/>
        <v/>
      </c>
    </row>
    <row r="3670" spans="7:14">
      <c r="G3670" s="68" t="str">
        <f t="shared" si="434"/>
        <v>SINGLE</v>
      </c>
      <c r="K3670" s="186"/>
      <c r="N3670" s="3" t="str">
        <f t="shared" si="435"/>
        <v/>
      </c>
    </row>
    <row r="3671" spans="7:14">
      <c r="G3671" s="68" t="str">
        <f t="shared" si="434"/>
        <v>SINGLE</v>
      </c>
      <c r="K3671" s="186"/>
      <c r="N3671" s="3" t="str">
        <f t="shared" si="435"/>
        <v/>
      </c>
    </row>
    <row r="3672" spans="7:14">
      <c r="G3672" s="68" t="str">
        <f t="shared" si="434"/>
        <v>SINGLE</v>
      </c>
      <c r="K3672" s="186"/>
      <c r="N3672" s="3" t="str">
        <f t="shared" si="435"/>
        <v/>
      </c>
    </row>
    <row r="3673" spans="7:14">
      <c r="G3673" s="68" t="str">
        <f t="shared" si="434"/>
        <v>SINGLE</v>
      </c>
      <c r="K3673" s="186"/>
      <c r="N3673" s="3" t="str">
        <f t="shared" si="435"/>
        <v/>
      </c>
    </row>
    <row r="3674" spans="7:14">
      <c r="G3674" s="68" t="str">
        <f t="shared" si="434"/>
        <v>SINGLE</v>
      </c>
      <c r="K3674" s="186"/>
      <c r="N3674" s="3" t="str">
        <f t="shared" si="435"/>
        <v/>
      </c>
    </row>
    <row r="3675" spans="7:14">
      <c r="G3675" s="68" t="str">
        <f t="shared" si="434"/>
        <v>SINGLE</v>
      </c>
      <c r="K3675" s="186"/>
      <c r="N3675" s="3" t="str">
        <f t="shared" si="435"/>
        <v/>
      </c>
    </row>
    <row r="3676" spans="7:14">
      <c r="G3676" s="68" t="str">
        <f t="shared" si="434"/>
        <v>SINGLE</v>
      </c>
      <c r="K3676" s="186"/>
      <c r="N3676" s="3" t="str">
        <f t="shared" si="435"/>
        <v/>
      </c>
    </row>
    <row r="3677" spans="7:14">
      <c r="G3677" s="68" t="str">
        <f t="shared" si="434"/>
        <v>SINGLE</v>
      </c>
      <c r="K3677" s="186"/>
      <c r="N3677" s="3" t="str">
        <f t="shared" si="435"/>
        <v/>
      </c>
    </row>
    <row r="3678" spans="7:14">
      <c r="G3678" s="68" t="str">
        <f t="shared" si="434"/>
        <v>SINGLE</v>
      </c>
      <c r="K3678" s="186"/>
      <c r="N3678" s="3" t="str">
        <f t="shared" si="435"/>
        <v/>
      </c>
    </row>
    <row r="3679" spans="7:14">
      <c r="G3679" s="68" t="str">
        <f t="shared" si="434"/>
        <v>SINGLE</v>
      </c>
      <c r="K3679" s="186"/>
      <c r="N3679" s="3" t="str">
        <f t="shared" si="435"/>
        <v/>
      </c>
    </row>
    <row r="3680" spans="7:14">
      <c r="G3680" s="68" t="str">
        <f t="shared" si="434"/>
        <v>SINGLE</v>
      </c>
      <c r="K3680" s="186"/>
      <c r="N3680" s="3" t="str">
        <f t="shared" si="435"/>
        <v/>
      </c>
    </row>
    <row r="3681" spans="7:14">
      <c r="G3681" s="68" t="str">
        <f t="shared" si="434"/>
        <v>SINGLE</v>
      </c>
      <c r="K3681" s="186"/>
      <c r="N3681" s="3" t="str">
        <f t="shared" si="435"/>
        <v/>
      </c>
    </row>
    <row r="3682" spans="7:14">
      <c r="G3682" s="68" t="str">
        <f t="shared" si="434"/>
        <v>SINGLE</v>
      </c>
      <c r="K3682" s="186"/>
      <c r="N3682" s="3" t="str">
        <f t="shared" si="435"/>
        <v/>
      </c>
    </row>
    <row r="3683" spans="7:14">
      <c r="G3683" s="68" t="str">
        <f t="shared" si="434"/>
        <v>SINGLE</v>
      </c>
      <c r="K3683" s="186"/>
      <c r="N3683" s="3" t="str">
        <f t="shared" si="435"/>
        <v/>
      </c>
    </row>
    <row r="3684" spans="7:14">
      <c r="G3684" s="68" t="str">
        <f t="shared" si="434"/>
        <v>SINGLE</v>
      </c>
      <c r="K3684" s="186"/>
      <c r="N3684" s="3" t="str">
        <f t="shared" si="435"/>
        <v/>
      </c>
    </row>
    <row r="3685" spans="7:14">
      <c r="G3685" s="68" t="str">
        <f t="shared" si="434"/>
        <v>SINGLE</v>
      </c>
      <c r="K3685" s="186"/>
      <c r="N3685" s="3" t="str">
        <f t="shared" si="435"/>
        <v/>
      </c>
    </row>
    <row r="3686" spans="7:14">
      <c r="G3686" s="68" t="str">
        <f t="shared" si="434"/>
        <v>SINGLE</v>
      </c>
      <c r="K3686" s="186"/>
      <c r="N3686" s="3" t="str">
        <f t="shared" si="435"/>
        <v/>
      </c>
    </row>
    <row r="3687" spans="7:14">
      <c r="G3687" s="68" t="str">
        <f t="shared" si="434"/>
        <v>SINGLE</v>
      </c>
      <c r="K3687" s="186"/>
      <c r="N3687" s="3" t="str">
        <f t="shared" si="435"/>
        <v/>
      </c>
    </row>
    <row r="3688" spans="7:14">
      <c r="G3688" s="68" t="str">
        <f t="shared" si="434"/>
        <v>SINGLE</v>
      </c>
      <c r="K3688" s="186"/>
      <c r="N3688" s="3" t="str">
        <f t="shared" si="435"/>
        <v/>
      </c>
    </row>
    <row r="3689" spans="7:14">
      <c r="G3689" s="68" t="str">
        <f t="shared" si="434"/>
        <v>SINGLE</v>
      </c>
      <c r="K3689" s="186"/>
      <c r="N3689" s="3" t="str">
        <f t="shared" si="435"/>
        <v/>
      </c>
    </row>
    <row r="3690" spans="7:14">
      <c r="G3690" s="68" t="str">
        <f t="shared" si="434"/>
        <v>SINGLE</v>
      </c>
      <c r="K3690" s="186"/>
      <c r="N3690" s="3" t="str">
        <f t="shared" si="435"/>
        <v/>
      </c>
    </row>
    <row r="3691" spans="7:14">
      <c r="G3691" s="68" t="str">
        <f t="shared" si="434"/>
        <v>SINGLE</v>
      </c>
      <c r="K3691" s="186"/>
      <c r="N3691" s="3" t="str">
        <f t="shared" si="435"/>
        <v/>
      </c>
    </row>
    <row r="3692" spans="7:14">
      <c r="G3692" s="68" t="str">
        <f t="shared" si="434"/>
        <v>SINGLE</v>
      </c>
      <c r="K3692" s="186"/>
      <c r="N3692" s="3" t="str">
        <f t="shared" si="435"/>
        <v/>
      </c>
    </row>
    <row r="3693" spans="7:14">
      <c r="G3693" s="68" t="str">
        <f t="shared" si="434"/>
        <v>SINGLE</v>
      </c>
      <c r="K3693" s="186"/>
      <c r="N3693" s="3" t="str">
        <f t="shared" si="435"/>
        <v/>
      </c>
    </row>
    <row r="3694" spans="7:14">
      <c r="G3694" s="68" t="str">
        <f t="shared" si="434"/>
        <v>SINGLE</v>
      </c>
      <c r="K3694" s="186"/>
      <c r="N3694" s="3" t="str">
        <f t="shared" si="435"/>
        <v/>
      </c>
    </row>
    <row r="3695" spans="7:14">
      <c r="G3695" s="68" t="str">
        <f t="shared" si="434"/>
        <v>SINGLE</v>
      </c>
      <c r="K3695" s="186"/>
      <c r="N3695" s="3" t="str">
        <f t="shared" si="435"/>
        <v/>
      </c>
    </row>
    <row r="3696" spans="7:14">
      <c r="G3696" s="68" t="str">
        <f t="shared" si="434"/>
        <v>SINGLE</v>
      </c>
      <c r="K3696" s="186"/>
      <c r="N3696" s="3" t="str">
        <f t="shared" si="435"/>
        <v/>
      </c>
    </row>
    <row r="3697" spans="7:14">
      <c r="G3697" s="68" t="str">
        <f t="shared" si="434"/>
        <v>SINGLE</v>
      </c>
      <c r="K3697" s="186"/>
      <c r="N3697" s="3" t="str">
        <f t="shared" si="435"/>
        <v/>
      </c>
    </row>
    <row r="3698" spans="7:14">
      <c r="G3698" s="68" t="str">
        <f t="shared" si="434"/>
        <v>SINGLE</v>
      </c>
      <c r="K3698" s="186"/>
      <c r="N3698" s="3" t="str">
        <f t="shared" si="435"/>
        <v/>
      </c>
    </row>
    <row r="3699" spans="7:14">
      <c r="G3699" s="68" t="str">
        <f t="shared" si="434"/>
        <v>SINGLE</v>
      </c>
      <c r="K3699" s="186"/>
      <c r="N3699" s="3" t="str">
        <f t="shared" si="435"/>
        <v/>
      </c>
    </row>
    <row r="3700" spans="7:14">
      <c r="G3700" s="68" t="str">
        <f t="shared" si="434"/>
        <v>SINGLE</v>
      </c>
      <c r="K3700" s="186"/>
      <c r="N3700" s="3" t="str">
        <f t="shared" si="435"/>
        <v/>
      </c>
    </row>
    <row r="3701" spans="7:14">
      <c r="G3701" s="68" t="str">
        <f t="shared" ref="G3701:G3764" si="436">IF(OR(ISNUMBER(SEARCH("DUAL",F3701)), ISNUMBER(SEARCH("IVAS",F3701))), "DUAL", "SINGLE")</f>
        <v>SINGLE</v>
      </c>
      <c r="K3701" s="186"/>
      <c r="N3701" s="3" t="str">
        <f t="shared" si="435"/>
        <v/>
      </c>
    </row>
    <row r="3702" spans="7:14">
      <c r="G3702" s="68" t="str">
        <f t="shared" si="436"/>
        <v>SINGLE</v>
      </c>
      <c r="K3702" s="186"/>
      <c r="N3702" s="3" t="str">
        <f t="shared" si="435"/>
        <v/>
      </c>
    </row>
    <row r="3703" spans="7:14">
      <c r="G3703" s="68" t="str">
        <f t="shared" si="436"/>
        <v>SINGLE</v>
      </c>
      <c r="K3703" s="186"/>
      <c r="N3703" s="3" t="str">
        <f t="shared" si="435"/>
        <v/>
      </c>
    </row>
    <row r="3704" spans="7:14">
      <c r="G3704" s="68" t="str">
        <f t="shared" si="436"/>
        <v>SINGLE</v>
      </c>
      <c r="K3704" s="186"/>
      <c r="N3704" s="3" t="str">
        <f t="shared" si="435"/>
        <v/>
      </c>
    </row>
    <row r="3705" spans="7:14">
      <c r="G3705" s="68" t="str">
        <f t="shared" si="436"/>
        <v>SINGLE</v>
      </c>
      <c r="K3705" s="186"/>
      <c r="N3705" s="3" t="str">
        <f t="shared" si="435"/>
        <v/>
      </c>
    </row>
    <row r="3706" spans="7:14">
      <c r="G3706" s="68" t="str">
        <f t="shared" si="436"/>
        <v>SINGLE</v>
      </c>
      <c r="K3706" s="186"/>
      <c r="N3706" s="3" t="str">
        <f t="shared" si="435"/>
        <v/>
      </c>
    </row>
    <row r="3707" spans="7:14">
      <c r="G3707" s="68" t="str">
        <f t="shared" si="436"/>
        <v>SINGLE</v>
      </c>
      <c r="K3707" s="186"/>
      <c r="N3707" s="3" t="str">
        <f t="shared" si="435"/>
        <v/>
      </c>
    </row>
    <row r="3708" spans="7:14">
      <c r="G3708" s="68" t="str">
        <f t="shared" si="436"/>
        <v>SINGLE</v>
      </c>
      <c r="K3708" s="186"/>
      <c r="N3708" s="3" t="str">
        <f t="shared" si="435"/>
        <v/>
      </c>
    </row>
    <row r="3709" spans="7:14">
      <c r="G3709" s="68" t="str">
        <f t="shared" si="436"/>
        <v>SINGLE</v>
      </c>
      <c r="K3709" s="186"/>
      <c r="N3709" s="3" t="str">
        <f t="shared" si="435"/>
        <v/>
      </c>
    </row>
    <row r="3710" spans="7:14">
      <c r="G3710" s="68" t="str">
        <f t="shared" si="436"/>
        <v>SINGLE</v>
      </c>
      <c r="K3710" s="186"/>
      <c r="N3710" s="3" t="str">
        <f t="shared" si="435"/>
        <v/>
      </c>
    </row>
    <row r="3711" spans="7:14">
      <c r="G3711" s="68" t="str">
        <f t="shared" si="436"/>
        <v>SINGLE</v>
      </c>
      <c r="K3711" s="186"/>
      <c r="N3711" s="3" t="str">
        <f t="shared" ref="N3711:N3774" si="437">IF(O3711&lt;&gt;"", "NG", "")</f>
        <v/>
      </c>
    </row>
    <row r="3712" spans="7:14">
      <c r="G3712" s="68" t="str">
        <f t="shared" si="436"/>
        <v>SINGLE</v>
      </c>
      <c r="K3712" s="186"/>
      <c r="N3712" s="3" t="str">
        <f t="shared" si="437"/>
        <v/>
      </c>
    </row>
    <row r="3713" spans="7:14">
      <c r="G3713" s="68" t="str">
        <f t="shared" si="436"/>
        <v>SINGLE</v>
      </c>
      <c r="K3713" s="186"/>
      <c r="N3713" s="3" t="str">
        <f t="shared" si="437"/>
        <v/>
      </c>
    </row>
    <row r="3714" spans="7:14">
      <c r="G3714" s="68" t="str">
        <f t="shared" si="436"/>
        <v>SINGLE</v>
      </c>
      <c r="K3714" s="186"/>
      <c r="N3714" s="3" t="str">
        <f t="shared" si="437"/>
        <v/>
      </c>
    </row>
    <row r="3715" spans="7:14">
      <c r="G3715" s="68" t="str">
        <f t="shared" si="436"/>
        <v>SINGLE</v>
      </c>
      <c r="K3715" s="186"/>
      <c r="N3715" s="3" t="str">
        <f t="shared" si="437"/>
        <v/>
      </c>
    </row>
    <row r="3716" spans="7:14">
      <c r="G3716" s="68" t="str">
        <f t="shared" si="436"/>
        <v>SINGLE</v>
      </c>
      <c r="K3716" s="186"/>
      <c r="N3716" s="3" t="str">
        <f t="shared" si="437"/>
        <v/>
      </c>
    </row>
    <row r="3717" spans="7:14">
      <c r="G3717" s="68" t="str">
        <f t="shared" si="436"/>
        <v>SINGLE</v>
      </c>
      <c r="K3717" s="186"/>
      <c r="N3717" s="3" t="str">
        <f t="shared" si="437"/>
        <v/>
      </c>
    </row>
    <row r="3718" spans="7:14">
      <c r="G3718" s="68" t="str">
        <f t="shared" si="436"/>
        <v>SINGLE</v>
      </c>
      <c r="K3718" s="186"/>
      <c r="N3718" s="3" t="str">
        <f t="shared" si="437"/>
        <v/>
      </c>
    </row>
    <row r="3719" spans="7:14">
      <c r="G3719" s="68" t="str">
        <f t="shared" si="436"/>
        <v>SINGLE</v>
      </c>
      <c r="K3719" s="186"/>
      <c r="N3719" s="3" t="str">
        <f t="shared" si="437"/>
        <v/>
      </c>
    </row>
    <row r="3720" spans="7:14">
      <c r="G3720" s="68" t="str">
        <f t="shared" si="436"/>
        <v>SINGLE</v>
      </c>
      <c r="K3720" s="186"/>
      <c r="N3720" s="3" t="str">
        <f t="shared" si="437"/>
        <v/>
      </c>
    </row>
    <row r="3721" spans="7:14">
      <c r="G3721" s="68" t="str">
        <f t="shared" si="436"/>
        <v>SINGLE</v>
      </c>
      <c r="K3721" s="186"/>
      <c r="N3721" s="3" t="str">
        <f t="shared" si="437"/>
        <v/>
      </c>
    </row>
    <row r="3722" spans="7:14">
      <c r="G3722" s="68" t="str">
        <f t="shared" si="436"/>
        <v>SINGLE</v>
      </c>
      <c r="K3722" s="186"/>
      <c r="N3722" s="3" t="str">
        <f t="shared" si="437"/>
        <v/>
      </c>
    </row>
    <row r="3723" spans="7:14">
      <c r="G3723" s="68" t="str">
        <f t="shared" si="436"/>
        <v>SINGLE</v>
      </c>
      <c r="K3723" s="186"/>
      <c r="N3723" s="3" t="str">
        <f t="shared" si="437"/>
        <v/>
      </c>
    </row>
    <row r="3724" spans="7:14">
      <c r="G3724" s="68" t="str">
        <f t="shared" si="436"/>
        <v>SINGLE</v>
      </c>
      <c r="K3724" s="186"/>
      <c r="N3724" s="3" t="str">
        <f t="shared" si="437"/>
        <v/>
      </c>
    </row>
    <row r="3725" spans="7:14">
      <c r="G3725" s="68" t="str">
        <f t="shared" si="436"/>
        <v>SINGLE</v>
      </c>
      <c r="K3725" s="186"/>
      <c r="N3725" s="3" t="str">
        <f t="shared" si="437"/>
        <v/>
      </c>
    </row>
    <row r="3726" spans="7:14">
      <c r="G3726" s="68" t="str">
        <f t="shared" si="436"/>
        <v>SINGLE</v>
      </c>
      <c r="K3726" s="186"/>
      <c r="N3726" s="3" t="str">
        <f t="shared" si="437"/>
        <v/>
      </c>
    </row>
    <row r="3727" spans="7:14">
      <c r="G3727" s="68" t="str">
        <f t="shared" si="436"/>
        <v>SINGLE</v>
      </c>
      <c r="K3727" s="186"/>
      <c r="N3727" s="3" t="str">
        <f t="shared" si="437"/>
        <v/>
      </c>
    </row>
    <row r="3728" spans="7:14">
      <c r="G3728" s="68" t="str">
        <f t="shared" si="436"/>
        <v>SINGLE</v>
      </c>
      <c r="K3728" s="186"/>
      <c r="N3728" s="3" t="str">
        <f t="shared" si="437"/>
        <v/>
      </c>
    </row>
    <row r="3729" spans="7:14">
      <c r="G3729" s="68" t="str">
        <f t="shared" si="436"/>
        <v>SINGLE</v>
      </c>
      <c r="K3729" s="186"/>
      <c r="N3729" s="3" t="str">
        <f t="shared" si="437"/>
        <v/>
      </c>
    </row>
    <row r="3730" spans="7:14">
      <c r="G3730" s="68" t="str">
        <f t="shared" si="436"/>
        <v>SINGLE</v>
      </c>
      <c r="K3730" s="186"/>
      <c r="N3730" s="3" t="str">
        <f t="shared" si="437"/>
        <v/>
      </c>
    </row>
    <row r="3731" spans="7:14">
      <c r="G3731" s="68" t="str">
        <f t="shared" si="436"/>
        <v>SINGLE</v>
      </c>
      <c r="K3731" s="186"/>
      <c r="N3731" s="3" t="str">
        <f t="shared" si="437"/>
        <v/>
      </c>
    </row>
    <row r="3732" spans="7:14">
      <c r="G3732" s="68" t="str">
        <f t="shared" si="436"/>
        <v>SINGLE</v>
      </c>
      <c r="K3732" s="186"/>
      <c r="N3732" s="3" t="str">
        <f t="shared" si="437"/>
        <v/>
      </c>
    </row>
    <row r="3733" spans="7:14">
      <c r="G3733" s="68" t="str">
        <f t="shared" si="436"/>
        <v>SINGLE</v>
      </c>
      <c r="K3733" s="186"/>
      <c r="N3733" s="3" t="str">
        <f t="shared" si="437"/>
        <v/>
      </c>
    </row>
    <row r="3734" spans="7:14">
      <c r="G3734" s="68" t="str">
        <f t="shared" si="436"/>
        <v>SINGLE</v>
      </c>
      <c r="K3734" s="186"/>
      <c r="N3734" s="3" t="str">
        <f t="shared" si="437"/>
        <v/>
      </c>
    </row>
    <row r="3735" spans="7:14">
      <c r="G3735" s="68" t="str">
        <f t="shared" si="436"/>
        <v>SINGLE</v>
      </c>
      <c r="K3735" s="186"/>
      <c r="N3735" s="3" t="str">
        <f t="shared" si="437"/>
        <v/>
      </c>
    </row>
    <row r="3736" spans="7:14">
      <c r="G3736" s="68" t="str">
        <f t="shared" si="436"/>
        <v>SINGLE</v>
      </c>
      <c r="K3736" s="186"/>
      <c r="N3736" s="3" t="str">
        <f t="shared" si="437"/>
        <v/>
      </c>
    </row>
    <row r="3737" spans="7:14">
      <c r="G3737" s="68" t="str">
        <f t="shared" si="436"/>
        <v>SINGLE</v>
      </c>
      <c r="K3737" s="186"/>
      <c r="N3737" s="3" t="str">
        <f t="shared" si="437"/>
        <v/>
      </c>
    </row>
    <row r="3738" spans="7:14">
      <c r="G3738" s="68" t="str">
        <f t="shared" si="436"/>
        <v>SINGLE</v>
      </c>
      <c r="K3738" s="186"/>
      <c r="N3738" s="3" t="str">
        <f t="shared" si="437"/>
        <v/>
      </c>
    </row>
    <row r="3739" spans="7:14">
      <c r="G3739" s="68" t="str">
        <f t="shared" si="436"/>
        <v>SINGLE</v>
      </c>
      <c r="K3739" s="186"/>
      <c r="N3739" s="3" t="str">
        <f t="shared" si="437"/>
        <v/>
      </c>
    </row>
    <row r="3740" spans="7:14">
      <c r="G3740" s="68" t="str">
        <f t="shared" si="436"/>
        <v>SINGLE</v>
      </c>
      <c r="K3740" s="186"/>
      <c r="N3740" s="3" t="str">
        <f t="shared" si="437"/>
        <v/>
      </c>
    </row>
    <row r="3741" spans="7:14">
      <c r="G3741" s="68" t="str">
        <f t="shared" si="436"/>
        <v>SINGLE</v>
      </c>
      <c r="K3741" s="186"/>
      <c r="N3741" s="3" t="str">
        <f t="shared" si="437"/>
        <v/>
      </c>
    </row>
    <row r="3742" spans="7:14">
      <c r="G3742" s="68" t="str">
        <f t="shared" si="436"/>
        <v>SINGLE</v>
      </c>
      <c r="K3742" s="186"/>
      <c r="N3742" s="3" t="str">
        <f t="shared" si="437"/>
        <v/>
      </c>
    </row>
    <row r="3743" spans="7:14">
      <c r="G3743" s="68" t="str">
        <f t="shared" si="436"/>
        <v>SINGLE</v>
      </c>
      <c r="K3743" s="186"/>
      <c r="N3743" s="3" t="str">
        <f t="shared" si="437"/>
        <v/>
      </c>
    </row>
    <row r="3744" spans="7:14">
      <c r="G3744" s="68" t="str">
        <f t="shared" si="436"/>
        <v>SINGLE</v>
      </c>
      <c r="K3744" s="186"/>
      <c r="N3744" s="3" t="str">
        <f t="shared" si="437"/>
        <v/>
      </c>
    </row>
    <row r="3745" spans="7:14">
      <c r="G3745" s="68" t="str">
        <f t="shared" si="436"/>
        <v>SINGLE</v>
      </c>
      <c r="K3745" s="186"/>
      <c r="N3745" s="3" t="str">
        <f t="shared" si="437"/>
        <v/>
      </c>
    </row>
    <row r="3746" spans="7:14">
      <c r="G3746" s="68" t="str">
        <f t="shared" si="436"/>
        <v>SINGLE</v>
      </c>
      <c r="K3746" s="186"/>
      <c r="N3746" s="3" t="str">
        <f t="shared" si="437"/>
        <v/>
      </c>
    </row>
    <row r="3747" spans="7:14">
      <c r="G3747" s="68" t="str">
        <f t="shared" si="436"/>
        <v>SINGLE</v>
      </c>
      <c r="K3747" s="186"/>
      <c r="N3747" s="3" t="str">
        <f t="shared" si="437"/>
        <v/>
      </c>
    </row>
    <row r="3748" spans="7:14">
      <c r="G3748" s="68" t="str">
        <f t="shared" si="436"/>
        <v>SINGLE</v>
      </c>
      <c r="K3748" s="186"/>
      <c r="N3748" s="3" t="str">
        <f t="shared" si="437"/>
        <v/>
      </c>
    </row>
    <row r="3749" spans="7:14">
      <c r="G3749" s="68" t="str">
        <f t="shared" si="436"/>
        <v>SINGLE</v>
      </c>
      <c r="K3749" s="186"/>
      <c r="N3749" s="3" t="str">
        <f t="shared" si="437"/>
        <v/>
      </c>
    </row>
    <row r="3750" spans="7:14">
      <c r="G3750" s="68" t="str">
        <f t="shared" si="436"/>
        <v>SINGLE</v>
      </c>
      <c r="K3750" s="186"/>
      <c r="N3750" s="3" t="str">
        <f t="shared" si="437"/>
        <v/>
      </c>
    </row>
    <row r="3751" spans="7:14">
      <c r="G3751" s="68" t="str">
        <f t="shared" si="436"/>
        <v>SINGLE</v>
      </c>
      <c r="K3751" s="186"/>
      <c r="N3751" s="3" t="str">
        <f t="shared" si="437"/>
        <v/>
      </c>
    </row>
    <row r="3752" spans="7:14">
      <c r="G3752" s="68" t="str">
        <f t="shared" si="436"/>
        <v>SINGLE</v>
      </c>
      <c r="K3752" s="186"/>
      <c r="N3752" s="3" t="str">
        <f t="shared" si="437"/>
        <v/>
      </c>
    </row>
    <row r="3753" spans="7:14">
      <c r="G3753" s="68" t="str">
        <f t="shared" si="436"/>
        <v>SINGLE</v>
      </c>
      <c r="K3753" s="186"/>
      <c r="N3753" s="3" t="str">
        <f t="shared" si="437"/>
        <v/>
      </c>
    </row>
    <row r="3754" spans="7:14">
      <c r="G3754" s="68" t="str">
        <f t="shared" si="436"/>
        <v>SINGLE</v>
      </c>
      <c r="K3754" s="186"/>
      <c r="N3754" s="3" t="str">
        <f t="shared" si="437"/>
        <v/>
      </c>
    </row>
    <row r="3755" spans="7:14">
      <c r="G3755" s="68" t="str">
        <f t="shared" si="436"/>
        <v>SINGLE</v>
      </c>
      <c r="K3755" s="186"/>
      <c r="N3755" s="3" t="str">
        <f t="shared" si="437"/>
        <v/>
      </c>
    </row>
    <row r="3756" spans="7:14">
      <c r="G3756" s="68" t="str">
        <f t="shared" si="436"/>
        <v>SINGLE</v>
      </c>
      <c r="K3756" s="186"/>
      <c r="N3756" s="3" t="str">
        <f t="shared" si="437"/>
        <v/>
      </c>
    </row>
    <row r="3757" spans="7:14">
      <c r="G3757" s="68" t="str">
        <f t="shared" si="436"/>
        <v>SINGLE</v>
      </c>
      <c r="K3757" s="186"/>
      <c r="N3757" s="3" t="str">
        <f t="shared" si="437"/>
        <v/>
      </c>
    </row>
    <row r="3758" spans="7:14">
      <c r="G3758" s="68" t="str">
        <f t="shared" si="436"/>
        <v>SINGLE</v>
      </c>
      <c r="K3758" s="186"/>
      <c r="N3758" s="3" t="str">
        <f t="shared" si="437"/>
        <v/>
      </c>
    </row>
    <row r="3759" spans="7:14">
      <c r="G3759" s="68" t="str">
        <f t="shared" si="436"/>
        <v>SINGLE</v>
      </c>
      <c r="K3759" s="186"/>
      <c r="N3759" s="3" t="str">
        <f t="shared" si="437"/>
        <v/>
      </c>
    </row>
    <row r="3760" spans="7:14">
      <c r="G3760" s="68" t="str">
        <f t="shared" si="436"/>
        <v>SINGLE</v>
      </c>
      <c r="K3760" s="186"/>
      <c r="N3760" s="3" t="str">
        <f t="shared" si="437"/>
        <v/>
      </c>
    </row>
    <row r="3761" spans="7:14">
      <c r="G3761" s="68" t="str">
        <f t="shared" si="436"/>
        <v>SINGLE</v>
      </c>
      <c r="K3761" s="186"/>
      <c r="N3761" s="3" t="str">
        <f t="shared" si="437"/>
        <v/>
      </c>
    </row>
    <row r="3762" spans="7:14">
      <c r="G3762" s="68" t="str">
        <f t="shared" si="436"/>
        <v>SINGLE</v>
      </c>
      <c r="K3762" s="186"/>
      <c r="N3762" s="3" t="str">
        <f t="shared" si="437"/>
        <v/>
      </c>
    </row>
    <row r="3763" spans="7:14">
      <c r="G3763" s="68" t="str">
        <f t="shared" si="436"/>
        <v>SINGLE</v>
      </c>
      <c r="K3763" s="186"/>
      <c r="N3763" s="3" t="str">
        <f t="shared" si="437"/>
        <v/>
      </c>
    </row>
    <row r="3764" spans="7:14">
      <c r="G3764" s="68" t="str">
        <f t="shared" si="436"/>
        <v>SINGLE</v>
      </c>
      <c r="K3764" s="186"/>
      <c r="N3764" s="3" t="str">
        <f t="shared" si="437"/>
        <v/>
      </c>
    </row>
    <row r="3765" spans="7:14">
      <c r="G3765" s="68" t="str">
        <f t="shared" ref="G3765:G3828" si="438">IF(OR(ISNUMBER(SEARCH("DUAL",F3765)), ISNUMBER(SEARCH("IVAS",F3765))), "DUAL", "SINGLE")</f>
        <v>SINGLE</v>
      </c>
      <c r="K3765" s="186"/>
      <c r="N3765" s="3" t="str">
        <f t="shared" si="437"/>
        <v/>
      </c>
    </row>
    <row r="3766" spans="7:14">
      <c r="G3766" s="68" t="str">
        <f t="shared" si="438"/>
        <v>SINGLE</v>
      </c>
      <c r="K3766" s="186"/>
      <c r="N3766" s="3" t="str">
        <f t="shared" si="437"/>
        <v/>
      </c>
    </row>
    <row r="3767" spans="7:14">
      <c r="G3767" s="68" t="str">
        <f t="shared" si="438"/>
        <v>SINGLE</v>
      </c>
      <c r="K3767" s="186"/>
      <c r="N3767" s="3" t="str">
        <f t="shared" si="437"/>
        <v/>
      </c>
    </row>
    <row r="3768" spans="7:14">
      <c r="G3768" s="68" t="str">
        <f t="shared" si="438"/>
        <v>SINGLE</v>
      </c>
      <c r="K3768" s="186"/>
      <c r="N3768" s="3" t="str">
        <f t="shared" si="437"/>
        <v/>
      </c>
    </row>
    <row r="3769" spans="7:14">
      <c r="G3769" s="68" t="str">
        <f t="shared" si="438"/>
        <v>SINGLE</v>
      </c>
      <c r="K3769" s="186"/>
      <c r="N3769" s="3" t="str">
        <f t="shared" si="437"/>
        <v/>
      </c>
    </row>
    <row r="3770" spans="7:14">
      <c r="G3770" s="68" t="str">
        <f t="shared" si="438"/>
        <v>SINGLE</v>
      </c>
      <c r="K3770" s="186"/>
      <c r="N3770" s="3" t="str">
        <f t="shared" si="437"/>
        <v/>
      </c>
    </row>
    <row r="3771" spans="7:14">
      <c r="G3771" s="68" t="str">
        <f t="shared" si="438"/>
        <v>SINGLE</v>
      </c>
      <c r="K3771" s="186"/>
      <c r="N3771" s="3" t="str">
        <f t="shared" si="437"/>
        <v/>
      </c>
    </row>
    <row r="3772" spans="7:14">
      <c r="G3772" s="68" t="str">
        <f t="shared" si="438"/>
        <v>SINGLE</v>
      </c>
      <c r="K3772" s="186"/>
      <c r="N3772" s="3" t="str">
        <f t="shared" si="437"/>
        <v/>
      </c>
    </row>
    <row r="3773" spans="7:14">
      <c r="G3773" s="68" t="str">
        <f t="shared" si="438"/>
        <v>SINGLE</v>
      </c>
      <c r="K3773" s="186"/>
      <c r="N3773" s="3" t="str">
        <f t="shared" si="437"/>
        <v/>
      </c>
    </row>
    <row r="3774" spans="7:14">
      <c r="G3774" s="68" t="str">
        <f t="shared" si="438"/>
        <v>SINGLE</v>
      </c>
      <c r="K3774" s="186"/>
      <c r="N3774" s="3" t="str">
        <f t="shared" si="437"/>
        <v/>
      </c>
    </row>
    <row r="3775" spans="7:14">
      <c r="G3775" s="68" t="str">
        <f t="shared" si="438"/>
        <v>SINGLE</v>
      </c>
      <c r="K3775" s="186"/>
      <c r="N3775" s="3" t="str">
        <f t="shared" ref="N3775:N3838" si="439">IF(O3775&lt;&gt;"", "NG", "")</f>
        <v/>
      </c>
    </row>
    <row r="3776" spans="7:14">
      <c r="G3776" s="68" t="str">
        <f t="shared" si="438"/>
        <v>SINGLE</v>
      </c>
      <c r="K3776" s="186"/>
      <c r="N3776" s="3" t="str">
        <f t="shared" si="439"/>
        <v/>
      </c>
    </row>
    <row r="3777" spans="7:14">
      <c r="G3777" s="68" t="str">
        <f t="shared" si="438"/>
        <v>SINGLE</v>
      </c>
      <c r="K3777" s="186"/>
      <c r="N3777" s="3" t="str">
        <f t="shared" si="439"/>
        <v/>
      </c>
    </row>
    <row r="3778" spans="7:14">
      <c r="G3778" s="68" t="str">
        <f t="shared" si="438"/>
        <v>SINGLE</v>
      </c>
      <c r="K3778" s="186"/>
      <c r="N3778" s="3" t="str">
        <f t="shared" si="439"/>
        <v/>
      </c>
    </row>
    <row r="3779" spans="7:14">
      <c r="G3779" s="68" t="str">
        <f t="shared" si="438"/>
        <v>SINGLE</v>
      </c>
      <c r="K3779" s="186"/>
      <c r="N3779" s="3" t="str">
        <f t="shared" si="439"/>
        <v/>
      </c>
    </row>
    <row r="3780" spans="7:14">
      <c r="G3780" s="68" t="str">
        <f t="shared" si="438"/>
        <v>SINGLE</v>
      </c>
      <c r="K3780" s="186"/>
      <c r="N3780" s="3" t="str">
        <f t="shared" si="439"/>
        <v/>
      </c>
    </row>
    <row r="3781" spans="7:14">
      <c r="G3781" s="68" t="str">
        <f t="shared" si="438"/>
        <v>SINGLE</v>
      </c>
      <c r="K3781" s="186"/>
      <c r="N3781" s="3" t="str">
        <f t="shared" si="439"/>
        <v/>
      </c>
    </row>
    <row r="3782" spans="7:14">
      <c r="G3782" s="68" t="str">
        <f t="shared" si="438"/>
        <v>SINGLE</v>
      </c>
      <c r="K3782" s="186"/>
      <c r="N3782" s="3" t="str">
        <f t="shared" si="439"/>
        <v/>
      </c>
    </row>
    <row r="3783" spans="7:14">
      <c r="G3783" s="68" t="str">
        <f t="shared" si="438"/>
        <v>SINGLE</v>
      </c>
      <c r="K3783" s="186"/>
      <c r="N3783" s="3" t="str">
        <f t="shared" si="439"/>
        <v/>
      </c>
    </row>
    <row r="3784" spans="7:14">
      <c r="G3784" s="68" t="str">
        <f t="shared" si="438"/>
        <v>SINGLE</v>
      </c>
      <c r="K3784" s="186"/>
      <c r="N3784" s="3" t="str">
        <f t="shared" si="439"/>
        <v/>
      </c>
    </row>
    <row r="3785" spans="7:14">
      <c r="G3785" s="68" t="str">
        <f t="shared" si="438"/>
        <v>SINGLE</v>
      </c>
      <c r="K3785" s="186"/>
      <c r="N3785" s="3" t="str">
        <f t="shared" si="439"/>
        <v/>
      </c>
    </row>
    <row r="3786" spans="7:14">
      <c r="G3786" s="68" t="str">
        <f t="shared" si="438"/>
        <v>SINGLE</v>
      </c>
      <c r="K3786" s="186"/>
      <c r="N3786" s="3" t="str">
        <f t="shared" si="439"/>
        <v/>
      </c>
    </row>
    <row r="3787" spans="7:14">
      <c r="G3787" s="68" t="str">
        <f t="shared" si="438"/>
        <v>SINGLE</v>
      </c>
      <c r="K3787" s="186"/>
      <c r="N3787" s="3" t="str">
        <f t="shared" si="439"/>
        <v/>
      </c>
    </row>
    <row r="3788" spans="7:14">
      <c r="G3788" s="68" t="str">
        <f t="shared" si="438"/>
        <v>SINGLE</v>
      </c>
      <c r="K3788" s="186"/>
      <c r="N3788" s="3" t="str">
        <f t="shared" si="439"/>
        <v/>
      </c>
    </row>
    <row r="3789" spans="7:14">
      <c r="G3789" s="68" t="str">
        <f t="shared" si="438"/>
        <v>SINGLE</v>
      </c>
      <c r="K3789" s="186"/>
      <c r="N3789" s="3" t="str">
        <f t="shared" si="439"/>
        <v/>
      </c>
    </row>
    <row r="3790" spans="7:14">
      <c r="G3790" s="68" t="str">
        <f t="shared" si="438"/>
        <v>SINGLE</v>
      </c>
      <c r="K3790" s="186"/>
      <c r="N3790" s="3" t="str">
        <f t="shared" si="439"/>
        <v/>
      </c>
    </row>
    <row r="3791" spans="7:14">
      <c r="G3791" s="68" t="str">
        <f t="shared" si="438"/>
        <v>SINGLE</v>
      </c>
      <c r="K3791" s="186"/>
      <c r="N3791" s="3" t="str">
        <f t="shared" si="439"/>
        <v/>
      </c>
    </row>
    <row r="3792" spans="7:14">
      <c r="G3792" s="68" t="str">
        <f t="shared" si="438"/>
        <v>SINGLE</v>
      </c>
      <c r="K3792" s="186"/>
      <c r="N3792" s="3" t="str">
        <f t="shared" si="439"/>
        <v/>
      </c>
    </row>
    <row r="3793" spans="7:14">
      <c r="G3793" s="68" t="str">
        <f t="shared" si="438"/>
        <v>SINGLE</v>
      </c>
      <c r="K3793" s="186"/>
      <c r="N3793" s="3" t="str">
        <f t="shared" si="439"/>
        <v/>
      </c>
    </row>
    <row r="3794" spans="7:14">
      <c r="G3794" s="68" t="str">
        <f t="shared" si="438"/>
        <v>SINGLE</v>
      </c>
      <c r="K3794" s="186"/>
      <c r="N3794" s="3" t="str">
        <f t="shared" si="439"/>
        <v/>
      </c>
    </row>
    <row r="3795" spans="7:14">
      <c r="G3795" s="68" t="str">
        <f t="shared" si="438"/>
        <v>SINGLE</v>
      </c>
      <c r="K3795" s="186"/>
      <c r="N3795" s="3" t="str">
        <f t="shared" si="439"/>
        <v/>
      </c>
    </row>
    <row r="3796" spans="7:14">
      <c r="G3796" s="68" t="str">
        <f t="shared" si="438"/>
        <v>SINGLE</v>
      </c>
      <c r="K3796" s="186"/>
      <c r="N3796" s="3" t="str">
        <f t="shared" si="439"/>
        <v/>
      </c>
    </row>
    <row r="3797" spans="7:14">
      <c r="G3797" s="68" t="str">
        <f t="shared" si="438"/>
        <v>SINGLE</v>
      </c>
      <c r="K3797" s="186"/>
      <c r="N3797" s="3" t="str">
        <f t="shared" si="439"/>
        <v/>
      </c>
    </row>
    <row r="3798" spans="7:14">
      <c r="G3798" s="68" t="str">
        <f t="shared" si="438"/>
        <v>SINGLE</v>
      </c>
      <c r="K3798" s="186"/>
      <c r="N3798" s="3" t="str">
        <f t="shared" si="439"/>
        <v/>
      </c>
    </row>
    <row r="3799" spans="7:14">
      <c r="G3799" s="68" t="str">
        <f t="shared" si="438"/>
        <v>SINGLE</v>
      </c>
      <c r="K3799" s="186"/>
      <c r="N3799" s="3" t="str">
        <f t="shared" si="439"/>
        <v/>
      </c>
    </row>
    <row r="3800" spans="7:14">
      <c r="G3800" s="68" t="str">
        <f t="shared" si="438"/>
        <v>SINGLE</v>
      </c>
      <c r="K3800" s="186"/>
      <c r="N3800" s="3" t="str">
        <f t="shared" si="439"/>
        <v/>
      </c>
    </row>
    <row r="3801" spans="7:14">
      <c r="G3801" s="68" t="str">
        <f t="shared" si="438"/>
        <v>SINGLE</v>
      </c>
      <c r="K3801" s="186"/>
      <c r="N3801" s="3" t="str">
        <f t="shared" si="439"/>
        <v/>
      </c>
    </row>
    <row r="3802" spans="7:14">
      <c r="G3802" s="68" t="str">
        <f t="shared" si="438"/>
        <v>SINGLE</v>
      </c>
      <c r="K3802" s="186"/>
      <c r="N3802" s="3" t="str">
        <f t="shared" si="439"/>
        <v/>
      </c>
    </row>
    <row r="3803" spans="7:14">
      <c r="G3803" s="68" t="str">
        <f t="shared" si="438"/>
        <v>SINGLE</v>
      </c>
      <c r="K3803" s="186"/>
      <c r="N3803" s="3" t="str">
        <f t="shared" si="439"/>
        <v/>
      </c>
    </row>
    <row r="3804" spans="7:14">
      <c r="G3804" s="68" t="str">
        <f t="shared" si="438"/>
        <v>SINGLE</v>
      </c>
      <c r="K3804" s="186"/>
      <c r="N3804" s="3" t="str">
        <f t="shared" si="439"/>
        <v/>
      </c>
    </row>
    <row r="3805" spans="7:14">
      <c r="G3805" s="68" t="str">
        <f t="shared" si="438"/>
        <v>SINGLE</v>
      </c>
      <c r="K3805" s="186"/>
      <c r="N3805" s="3" t="str">
        <f t="shared" si="439"/>
        <v/>
      </c>
    </row>
    <row r="3806" spans="7:14">
      <c r="G3806" s="68" t="str">
        <f t="shared" si="438"/>
        <v>SINGLE</v>
      </c>
      <c r="K3806" s="186"/>
      <c r="N3806" s="3" t="str">
        <f t="shared" si="439"/>
        <v/>
      </c>
    </row>
    <row r="3807" spans="7:14">
      <c r="G3807" s="68" t="str">
        <f t="shared" si="438"/>
        <v>SINGLE</v>
      </c>
      <c r="K3807" s="186"/>
      <c r="N3807" s="3" t="str">
        <f t="shared" si="439"/>
        <v/>
      </c>
    </row>
    <row r="3808" spans="7:14">
      <c r="G3808" s="68" t="str">
        <f t="shared" si="438"/>
        <v>SINGLE</v>
      </c>
      <c r="K3808" s="186"/>
      <c r="N3808" s="3" t="str">
        <f t="shared" si="439"/>
        <v/>
      </c>
    </row>
    <row r="3809" spans="7:14">
      <c r="G3809" s="68" t="str">
        <f t="shared" si="438"/>
        <v>SINGLE</v>
      </c>
      <c r="K3809" s="186"/>
      <c r="N3809" s="3" t="str">
        <f t="shared" si="439"/>
        <v/>
      </c>
    </row>
    <row r="3810" spans="7:14">
      <c r="G3810" s="68" t="str">
        <f t="shared" si="438"/>
        <v>SINGLE</v>
      </c>
      <c r="K3810" s="186"/>
      <c r="N3810" s="3" t="str">
        <f t="shared" si="439"/>
        <v/>
      </c>
    </row>
    <row r="3811" spans="7:14">
      <c r="G3811" s="68" t="str">
        <f t="shared" si="438"/>
        <v>SINGLE</v>
      </c>
      <c r="K3811" s="186"/>
      <c r="N3811" s="3" t="str">
        <f t="shared" si="439"/>
        <v/>
      </c>
    </row>
    <row r="3812" spans="7:14">
      <c r="G3812" s="68" t="str">
        <f t="shared" si="438"/>
        <v>SINGLE</v>
      </c>
      <c r="K3812" s="186"/>
      <c r="N3812" s="3" t="str">
        <f t="shared" si="439"/>
        <v/>
      </c>
    </row>
    <row r="3813" spans="7:14">
      <c r="G3813" s="68" t="str">
        <f t="shared" si="438"/>
        <v>SINGLE</v>
      </c>
      <c r="K3813" s="186"/>
      <c r="N3813" s="3" t="str">
        <f t="shared" si="439"/>
        <v/>
      </c>
    </row>
    <row r="3814" spans="7:14">
      <c r="G3814" s="68" t="str">
        <f t="shared" si="438"/>
        <v>SINGLE</v>
      </c>
      <c r="K3814" s="186"/>
      <c r="N3814" s="3" t="str">
        <f t="shared" si="439"/>
        <v/>
      </c>
    </row>
    <row r="3815" spans="7:14">
      <c r="G3815" s="68" t="str">
        <f t="shared" si="438"/>
        <v>SINGLE</v>
      </c>
      <c r="K3815" s="186"/>
      <c r="N3815" s="3" t="str">
        <f t="shared" si="439"/>
        <v/>
      </c>
    </row>
    <row r="3816" spans="7:14">
      <c r="G3816" s="68" t="str">
        <f t="shared" si="438"/>
        <v>SINGLE</v>
      </c>
      <c r="K3816" s="186"/>
      <c r="N3816" s="3" t="str">
        <f t="shared" si="439"/>
        <v/>
      </c>
    </row>
    <row r="3817" spans="7:14">
      <c r="G3817" s="68" t="str">
        <f t="shared" si="438"/>
        <v>SINGLE</v>
      </c>
      <c r="K3817" s="186"/>
      <c r="N3817" s="3" t="str">
        <f t="shared" si="439"/>
        <v/>
      </c>
    </row>
    <row r="3818" spans="7:14">
      <c r="G3818" s="68" t="str">
        <f t="shared" si="438"/>
        <v>SINGLE</v>
      </c>
      <c r="K3818" s="186"/>
      <c r="N3818" s="3" t="str">
        <f t="shared" si="439"/>
        <v/>
      </c>
    </row>
    <row r="3819" spans="7:14">
      <c r="G3819" s="68" t="str">
        <f t="shared" si="438"/>
        <v>SINGLE</v>
      </c>
      <c r="K3819" s="186"/>
      <c r="N3819" s="3" t="str">
        <f t="shared" si="439"/>
        <v/>
      </c>
    </row>
    <row r="3820" spans="7:14">
      <c r="G3820" s="68" t="str">
        <f t="shared" si="438"/>
        <v>SINGLE</v>
      </c>
      <c r="K3820" s="186"/>
      <c r="N3820" s="3" t="str">
        <f t="shared" si="439"/>
        <v/>
      </c>
    </row>
    <row r="3821" spans="7:14">
      <c r="G3821" s="68" t="str">
        <f t="shared" si="438"/>
        <v>SINGLE</v>
      </c>
      <c r="K3821" s="186"/>
      <c r="N3821" s="3" t="str">
        <f t="shared" si="439"/>
        <v/>
      </c>
    </row>
    <row r="3822" spans="7:14">
      <c r="G3822" s="68" t="str">
        <f t="shared" si="438"/>
        <v>SINGLE</v>
      </c>
      <c r="K3822" s="186"/>
      <c r="N3822" s="3" t="str">
        <f t="shared" si="439"/>
        <v/>
      </c>
    </row>
    <row r="3823" spans="7:14">
      <c r="G3823" s="68" t="str">
        <f t="shared" si="438"/>
        <v>SINGLE</v>
      </c>
      <c r="K3823" s="186"/>
      <c r="N3823" s="3" t="str">
        <f t="shared" si="439"/>
        <v/>
      </c>
    </row>
    <row r="3824" spans="7:14">
      <c r="G3824" s="68" t="str">
        <f t="shared" si="438"/>
        <v>SINGLE</v>
      </c>
      <c r="K3824" s="186"/>
      <c r="N3824" s="3" t="str">
        <f t="shared" si="439"/>
        <v/>
      </c>
    </row>
    <row r="3825" spans="7:14">
      <c r="G3825" s="68" t="str">
        <f t="shared" si="438"/>
        <v>SINGLE</v>
      </c>
      <c r="K3825" s="186"/>
      <c r="N3825" s="3" t="str">
        <f t="shared" si="439"/>
        <v/>
      </c>
    </row>
    <row r="3826" spans="7:14">
      <c r="G3826" s="68" t="str">
        <f t="shared" si="438"/>
        <v>SINGLE</v>
      </c>
      <c r="K3826" s="186"/>
      <c r="N3826" s="3" t="str">
        <f t="shared" si="439"/>
        <v/>
      </c>
    </row>
    <row r="3827" spans="7:14">
      <c r="G3827" s="68" t="str">
        <f t="shared" si="438"/>
        <v>SINGLE</v>
      </c>
      <c r="K3827" s="186"/>
      <c r="N3827" s="3" t="str">
        <f t="shared" si="439"/>
        <v/>
      </c>
    </row>
    <row r="3828" spans="7:14">
      <c r="G3828" s="68" t="str">
        <f t="shared" si="438"/>
        <v>SINGLE</v>
      </c>
      <c r="K3828" s="186"/>
      <c r="N3828" s="3" t="str">
        <f t="shared" si="439"/>
        <v/>
      </c>
    </row>
    <row r="3829" spans="7:14">
      <c r="G3829" s="68" t="str">
        <f t="shared" ref="G3829:G3892" si="440">IF(OR(ISNUMBER(SEARCH("DUAL",F3829)), ISNUMBER(SEARCH("IVAS",F3829))), "DUAL", "SINGLE")</f>
        <v>SINGLE</v>
      </c>
      <c r="K3829" s="186"/>
      <c r="N3829" s="3" t="str">
        <f t="shared" si="439"/>
        <v/>
      </c>
    </row>
    <row r="3830" spans="7:14">
      <c r="G3830" s="68" t="str">
        <f t="shared" si="440"/>
        <v>SINGLE</v>
      </c>
      <c r="K3830" s="186"/>
      <c r="N3830" s="3" t="str">
        <f t="shared" si="439"/>
        <v/>
      </c>
    </row>
    <row r="3831" spans="7:14">
      <c r="G3831" s="68" t="str">
        <f t="shared" si="440"/>
        <v>SINGLE</v>
      </c>
      <c r="K3831" s="186"/>
      <c r="N3831" s="3" t="str">
        <f t="shared" si="439"/>
        <v/>
      </c>
    </row>
    <row r="3832" spans="7:14">
      <c r="G3832" s="68" t="str">
        <f t="shared" si="440"/>
        <v>SINGLE</v>
      </c>
      <c r="K3832" s="186"/>
      <c r="N3832" s="3" t="str">
        <f t="shared" si="439"/>
        <v/>
      </c>
    </row>
    <row r="3833" spans="7:14">
      <c r="G3833" s="68" t="str">
        <f t="shared" si="440"/>
        <v>SINGLE</v>
      </c>
      <c r="K3833" s="186"/>
      <c r="N3833" s="3" t="str">
        <f t="shared" si="439"/>
        <v/>
      </c>
    </row>
    <row r="3834" spans="7:14">
      <c r="G3834" s="68" t="str">
        <f t="shared" si="440"/>
        <v>SINGLE</v>
      </c>
      <c r="K3834" s="186"/>
      <c r="N3834" s="3" t="str">
        <f t="shared" si="439"/>
        <v/>
      </c>
    </row>
    <row r="3835" spans="7:14">
      <c r="G3835" s="68" t="str">
        <f t="shared" si="440"/>
        <v>SINGLE</v>
      </c>
      <c r="K3835" s="186"/>
      <c r="N3835" s="3" t="str">
        <f t="shared" si="439"/>
        <v/>
      </c>
    </row>
    <row r="3836" spans="7:14">
      <c r="G3836" s="68" t="str">
        <f t="shared" si="440"/>
        <v>SINGLE</v>
      </c>
      <c r="K3836" s="186"/>
      <c r="N3836" s="3" t="str">
        <f t="shared" si="439"/>
        <v/>
      </c>
    </row>
    <row r="3837" spans="7:14">
      <c r="G3837" s="68" t="str">
        <f t="shared" si="440"/>
        <v>SINGLE</v>
      </c>
      <c r="K3837" s="186"/>
      <c r="N3837" s="3" t="str">
        <f t="shared" si="439"/>
        <v/>
      </c>
    </row>
    <row r="3838" spans="7:14">
      <c r="G3838" s="68" t="str">
        <f t="shared" si="440"/>
        <v>SINGLE</v>
      </c>
      <c r="K3838" s="186"/>
      <c r="N3838" s="3" t="str">
        <f t="shared" si="439"/>
        <v/>
      </c>
    </row>
    <row r="3839" spans="7:14">
      <c r="G3839" s="68" t="str">
        <f t="shared" si="440"/>
        <v>SINGLE</v>
      </c>
      <c r="K3839" s="186"/>
      <c r="N3839" s="3" t="str">
        <f t="shared" ref="N3839:N3902" si="441">IF(O3839&lt;&gt;"", "NG", "")</f>
        <v/>
      </c>
    </row>
    <row r="3840" spans="7:14">
      <c r="G3840" s="68" t="str">
        <f t="shared" si="440"/>
        <v>SINGLE</v>
      </c>
      <c r="K3840" s="186"/>
      <c r="N3840" s="3" t="str">
        <f t="shared" si="441"/>
        <v/>
      </c>
    </row>
    <row r="3841" spans="7:14">
      <c r="G3841" s="68" t="str">
        <f t="shared" si="440"/>
        <v>SINGLE</v>
      </c>
      <c r="K3841" s="186"/>
      <c r="N3841" s="3" t="str">
        <f t="shared" si="441"/>
        <v/>
      </c>
    </row>
    <row r="3842" spans="7:14">
      <c r="G3842" s="68" t="str">
        <f t="shared" si="440"/>
        <v>SINGLE</v>
      </c>
      <c r="K3842" s="186"/>
      <c r="N3842" s="3" t="str">
        <f t="shared" si="441"/>
        <v/>
      </c>
    </row>
    <row r="3843" spans="7:14">
      <c r="G3843" s="68" t="str">
        <f t="shared" si="440"/>
        <v>SINGLE</v>
      </c>
      <c r="K3843" s="186"/>
      <c r="N3843" s="3" t="str">
        <f t="shared" si="441"/>
        <v/>
      </c>
    </row>
    <row r="3844" spans="7:14">
      <c r="G3844" s="68" t="str">
        <f t="shared" si="440"/>
        <v>SINGLE</v>
      </c>
      <c r="K3844" s="186"/>
      <c r="N3844" s="3" t="str">
        <f t="shared" si="441"/>
        <v/>
      </c>
    </row>
    <row r="3845" spans="7:14">
      <c r="G3845" s="68" t="str">
        <f t="shared" si="440"/>
        <v>SINGLE</v>
      </c>
      <c r="K3845" s="186"/>
      <c r="N3845" s="3" t="str">
        <f t="shared" si="441"/>
        <v/>
      </c>
    </row>
    <row r="3846" spans="7:14">
      <c r="G3846" s="68" t="str">
        <f t="shared" si="440"/>
        <v>SINGLE</v>
      </c>
      <c r="K3846" s="186"/>
      <c r="N3846" s="3" t="str">
        <f t="shared" si="441"/>
        <v/>
      </c>
    </row>
    <row r="3847" spans="7:14">
      <c r="G3847" s="68" t="str">
        <f t="shared" si="440"/>
        <v>SINGLE</v>
      </c>
      <c r="K3847" s="186"/>
      <c r="N3847" s="3" t="str">
        <f t="shared" si="441"/>
        <v/>
      </c>
    </row>
    <row r="3848" spans="7:14">
      <c r="G3848" s="68" t="str">
        <f t="shared" si="440"/>
        <v>SINGLE</v>
      </c>
      <c r="K3848" s="186"/>
      <c r="N3848" s="3" t="str">
        <f t="shared" si="441"/>
        <v/>
      </c>
    </row>
    <row r="3849" spans="7:14">
      <c r="G3849" s="68" t="str">
        <f t="shared" si="440"/>
        <v>SINGLE</v>
      </c>
      <c r="K3849" s="186"/>
      <c r="N3849" s="3" t="str">
        <f t="shared" si="441"/>
        <v/>
      </c>
    </row>
    <row r="3850" spans="7:14">
      <c r="G3850" s="68" t="str">
        <f t="shared" si="440"/>
        <v>SINGLE</v>
      </c>
      <c r="K3850" s="186"/>
      <c r="N3850" s="3" t="str">
        <f t="shared" si="441"/>
        <v/>
      </c>
    </row>
    <row r="3851" spans="7:14">
      <c r="G3851" s="68" t="str">
        <f t="shared" si="440"/>
        <v>SINGLE</v>
      </c>
      <c r="K3851" s="186"/>
      <c r="N3851" s="3" t="str">
        <f t="shared" si="441"/>
        <v/>
      </c>
    </row>
    <row r="3852" spans="7:14">
      <c r="G3852" s="68" t="str">
        <f t="shared" si="440"/>
        <v>SINGLE</v>
      </c>
      <c r="K3852" s="186"/>
      <c r="N3852" s="3" t="str">
        <f t="shared" si="441"/>
        <v/>
      </c>
    </row>
    <row r="3853" spans="7:14">
      <c r="G3853" s="68" t="str">
        <f t="shared" si="440"/>
        <v>SINGLE</v>
      </c>
      <c r="K3853" s="186"/>
      <c r="N3853" s="3" t="str">
        <f t="shared" si="441"/>
        <v/>
      </c>
    </row>
    <row r="3854" spans="7:14">
      <c r="G3854" s="68" t="str">
        <f t="shared" si="440"/>
        <v>SINGLE</v>
      </c>
      <c r="K3854" s="186"/>
      <c r="N3854" s="3" t="str">
        <f t="shared" si="441"/>
        <v/>
      </c>
    </row>
    <row r="3855" spans="7:14">
      <c r="G3855" s="68" t="str">
        <f t="shared" si="440"/>
        <v>SINGLE</v>
      </c>
      <c r="K3855" s="186"/>
      <c r="N3855" s="3" t="str">
        <f t="shared" si="441"/>
        <v/>
      </c>
    </row>
    <row r="3856" spans="7:14">
      <c r="G3856" s="68" t="str">
        <f t="shared" si="440"/>
        <v>SINGLE</v>
      </c>
      <c r="K3856" s="186"/>
      <c r="N3856" s="3" t="str">
        <f t="shared" si="441"/>
        <v/>
      </c>
    </row>
    <row r="3857" spans="7:14">
      <c r="G3857" s="68" t="str">
        <f t="shared" si="440"/>
        <v>SINGLE</v>
      </c>
      <c r="K3857" s="186"/>
      <c r="N3857" s="3" t="str">
        <f t="shared" si="441"/>
        <v/>
      </c>
    </row>
    <row r="3858" spans="7:14">
      <c r="G3858" s="68" t="str">
        <f t="shared" si="440"/>
        <v>SINGLE</v>
      </c>
      <c r="K3858" s="186"/>
      <c r="N3858" s="3" t="str">
        <f t="shared" si="441"/>
        <v/>
      </c>
    </row>
    <row r="3859" spans="7:14">
      <c r="G3859" s="68" t="str">
        <f t="shared" si="440"/>
        <v>SINGLE</v>
      </c>
      <c r="K3859" s="186"/>
      <c r="N3859" s="3" t="str">
        <f t="shared" si="441"/>
        <v/>
      </c>
    </row>
    <row r="3860" spans="7:14">
      <c r="G3860" s="68" t="str">
        <f t="shared" si="440"/>
        <v>SINGLE</v>
      </c>
      <c r="K3860" s="186"/>
      <c r="N3860" s="3" t="str">
        <f t="shared" si="441"/>
        <v/>
      </c>
    </row>
    <row r="3861" spans="7:14">
      <c r="G3861" s="68" t="str">
        <f t="shared" si="440"/>
        <v>SINGLE</v>
      </c>
      <c r="K3861" s="186"/>
      <c r="N3861" s="3" t="str">
        <f t="shared" si="441"/>
        <v/>
      </c>
    </row>
    <row r="3862" spans="7:14">
      <c r="G3862" s="68" t="str">
        <f t="shared" si="440"/>
        <v>SINGLE</v>
      </c>
      <c r="K3862" s="186"/>
      <c r="N3862" s="3" t="str">
        <f t="shared" si="441"/>
        <v/>
      </c>
    </row>
    <row r="3863" spans="7:14">
      <c r="G3863" s="68" t="str">
        <f t="shared" si="440"/>
        <v>SINGLE</v>
      </c>
      <c r="K3863" s="186"/>
      <c r="N3863" s="3" t="str">
        <f t="shared" si="441"/>
        <v/>
      </c>
    </row>
    <row r="3864" spans="7:14">
      <c r="G3864" s="68" t="str">
        <f t="shared" si="440"/>
        <v>SINGLE</v>
      </c>
      <c r="K3864" s="186"/>
      <c r="N3864" s="3" t="str">
        <f t="shared" si="441"/>
        <v/>
      </c>
    </row>
    <row r="3865" spans="7:14">
      <c r="G3865" s="68" t="str">
        <f t="shared" si="440"/>
        <v>SINGLE</v>
      </c>
      <c r="K3865" s="186"/>
      <c r="N3865" s="3" t="str">
        <f t="shared" si="441"/>
        <v/>
      </c>
    </row>
    <row r="3866" spans="7:14">
      <c r="G3866" s="68" t="str">
        <f t="shared" si="440"/>
        <v>SINGLE</v>
      </c>
      <c r="K3866" s="186"/>
      <c r="N3866" s="3" t="str">
        <f t="shared" si="441"/>
        <v/>
      </c>
    </row>
    <row r="3867" spans="7:14">
      <c r="G3867" s="68" t="str">
        <f t="shared" si="440"/>
        <v>SINGLE</v>
      </c>
      <c r="K3867" s="186"/>
      <c r="N3867" s="3" t="str">
        <f t="shared" si="441"/>
        <v/>
      </c>
    </row>
    <row r="3868" spans="7:14">
      <c r="G3868" s="68" t="str">
        <f t="shared" si="440"/>
        <v>SINGLE</v>
      </c>
      <c r="K3868" s="186"/>
      <c r="N3868" s="3" t="str">
        <f t="shared" si="441"/>
        <v/>
      </c>
    </row>
    <row r="3869" spans="7:14">
      <c r="G3869" s="68" t="str">
        <f t="shared" si="440"/>
        <v>SINGLE</v>
      </c>
      <c r="K3869" s="186"/>
      <c r="N3869" s="3" t="str">
        <f t="shared" si="441"/>
        <v/>
      </c>
    </row>
    <row r="3870" spans="7:14">
      <c r="G3870" s="68" t="str">
        <f t="shared" si="440"/>
        <v>SINGLE</v>
      </c>
      <c r="K3870" s="186"/>
      <c r="N3870" s="3" t="str">
        <f t="shared" si="441"/>
        <v/>
      </c>
    </row>
    <row r="3871" spans="7:14">
      <c r="G3871" s="68" t="str">
        <f t="shared" si="440"/>
        <v>SINGLE</v>
      </c>
      <c r="K3871" s="186"/>
      <c r="N3871" s="3" t="str">
        <f t="shared" si="441"/>
        <v/>
      </c>
    </row>
    <row r="3872" spans="7:14">
      <c r="G3872" s="68" t="str">
        <f t="shared" si="440"/>
        <v>SINGLE</v>
      </c>
      <c r="K3872" s="186"/>
      <c r="N3872" s="3" t="str">
        <f t="shared" si="441"/>
        <v/>
      </c>
    </row>
    <row r="3873" spans="7:14">
      <c r="G3873" s="68" t="str">
        <f t="shared" si="440"/>
        <v>SINGLE</v>
      </c>
      <c r="K3873" s="186"/>
      <c r="N3873" s="3" t="str">
        <f t="shared" si="441"/>
        <v/>
      </c>
    </row>
    <row r="3874" spans="7:14">
      <c r="G3874" s="68" t="str">
        <f t="shared" si="440"/>
        <v>SINGLE</v>
      </c>
      <c r="K3874" s="186"/>
      <c r="N3874" s="3" t="str">
        <f t="shared" si="441"/>
        <v/>
      </c>
    </row>
    <row r="3875" spans="7:14">
      <c r="G3875" s="68" t="str">
        <f t="shared" si="440"/>
        <v>SINGLE</v>
      </c>
      <c r="K3875" s="186"/>
      <c r="N3875" s="3" t="str">
        <f t="shared" si="441"/>
        <v/>
      </c>
    </row>
    <row r="3876" spans="7:14">
      <c r="G3876" s="68" t="str">
        <f t="shared" si="440"/>
        <v>SINGLE</v>
      </c>
      <c r="K3876" s="186"/>
      <c r="N3876" s="3" t="str">
        <f t="shared" si="441"/>
        <v/>
      </c>
    </row>
    <row r="3877" spans="7:14">
      <c r="G3877" s="68" t="str">
        <f t="shared" si="440"/>
        <v>SINGLE</v>
      </c>
      <c r="K3877" s="186"/>
      <c r="N3877" s="3" t="str">
        <f t="shared" si="441"/>
        <v/>
      </c>
    </row>
    <row r="3878" spans="7:14">
      <c r="G3878" s="68" t="str">
        <f t="shared" si="440"/>
        <v>SINGLE</v>
      </c>
      <c r="K3878" s="186"/>
      <c r="N3878" s="3" t="str">
        <f t="shared" si="441"/>
        <v/>
      </c>
    </row>
    <row r="3879" spans="7:14">
      <c r="G3879" s="68" t="str">
        <f t="shared" si="440"/>
        <v>SINGLE</v>
      </c>
      <c r="K3879" s="186"/>
      <c r="N3879" s="3" t="str">
        <f t="shared" si="441"/>
        <v/>
      </c>
    </row>
    <row r="3880" spans="7:14">
      <c r="G3880" s="68" t="str">
        <f t="shared" si="440"/>
        <v>SINGLE</v>
      </c>
      <c r="K3880" s="186"/>
      <c r="N3880" s="3" t="str">
        <f t="shared" si="441"/>
        <v/>
      </c>
    </row>
    <row r="3881" spans="7:14">
      <c r="G3881" s="68" t="str">
        <f t="shared" si="440"/>
        <v>SINGLE</v>
      </c>
      <c r="K3881" s="186"/>
      <c r="N3881" s="3" t="str">
        <f t="shared" si="441"/>
        <v/>
      </c>
    </row>
    <row r="3882" spans="7:14">
      <c r="G3882" s="68" t="str">
        <f t="shared" si="440"/>
        <v>SINGLE</v>
      </c>
      <c r="K3882" s="186"/>
      <c r="N3882" s="3" t="str">
        <f t="shared" si="441"/>
        <v/>
      </c>
    </row>
    <row r="3883" spans="7:14">
      <c r="G3883" s="68" t="str">
        <f t="shared" si="440"/>
        <v>SINGLE</v>
      </c>
      <c r="K3883" s="186"/>
      <c r="N3883" s="3" t="str">
        <f t="shared" si="441"/>
        <v/>
      </c>
    </row>
    <row r="3884" spans="7:14">
      <c r="G3884" s="68" t="str">
        <f t="shared" si="440"/>
        <v>SINGLE</v>
      </c>
      <c r="K3884" s="186"/>
      <c r="N3884" s="3" t="str">
        <f t="shared" si="441"/>
        <v/>
      </c>
    </row>
    <row r="3885" spans="7:14">
      <c r="G3885" s="68" t="str">
        <f t="shared" si="440"/>
        <v>SINGLE</v>
      </c>
      <c r="K3885" s="186"/>
      <c r="N3885" s="3" t="str">
        <f t="shared" si="441"/>
        <v/>
      </c>
    </row>
    <row r="3886" spans="7:14">
      <c r="G3886" s="68" t="str">
        <f t="shared" si="440"/>
        <v>SINGLE</v>
      </c>
      <c r="K3886" s="186"/>
      <c r="N3886" s="3" t="str">
        <f t="shared" si="441"/>
        <v/>
      </c>
    </row>
    <row r="3887" spans="7:14">
      <c r="G3887" s="68" t="str">
        <f t="shared" si="440"/>
        <v>SINGLE</v>
      </c>
      <c r="K3887" s="186"/>
      <c r="N3887" s="3" t="str">
        <f t="shared" si="441"/>
        <v/>
      </c>
    </row>
    <row r="3888" spans="7:14">
      <c r="G3888" s="68" t="str">
        <f t="shared" si="440"/>
        <v>SINGLE</v>
      </c>
      <c r="K3888" s="186"/>
      <c r="N3888" s="3" t="str">
        <f t="shared" si="441"/>
        <v/>
      </c>
    </row>
    <row r="3889" spans="7:14">
      <c r="G3889" s="68" t="str">
        <f t="shared" si="440"/>
        <v>SINGLE</v>
      </c>
      <c r="K3889" s="186"/>
      <c r="N3889" s="3" t="str">
        <f t="shared" si="441"/>
        <v/>
      </c>
    </row>
    <row r="3890" spans="7:14">
      <c r="G3890" s="68" t="str">
        <f t="shared" si="440"/>
        <v>SINGLE</v>
      </c>
      <c r="K3890" s="186"/>
      <c r="N3890" s="3" t="str">
        <f t="shared" si="441"/>
        <v/>
      </c>
    </row>
    <row r="3891" spans="7:14">
      <c r="G3891" s="68" t="str">
        <f t="shared" si="440"/>
        <v>SINGLE</v>
      </c>
      <c r="K3891" s="186"/>
      <c r="N3891" s="3" t="str">
        <f t="shared" si="441"/>
        <v/>
      </c>
    </row>
    <row r="3892" spans="7:14">
      <c r="G3892" s="68" t="str">
        <f t="shared" si="440"/>
        <v>SINGLE</v>
      </c>
      <c r="K3892" s="186"/>
      <c r="N3892" s="3" t="str">
        <f t="shared" si="441"/>
        <v/>
      </c>
    </row>
    <row r="3893" spans="7:14">
      <c r="G3893" s="68" t="str">
        <f t="shared" ref="G3893:G3956" si="442">IF(OR(ISNUMBER(SEARCH("DUAL",F3893)), ISNUMBER(SEARCH("IVAS",F3893))), "DUAL", "SINGLE")</f>
        <v>SINGLE</v>
      </c>
      <c r="K3893" s="186"/>
      <c r="N3893" s="3" t="str">
        <f t="shared" si="441"/>
        <v/>
      </c>
    </row>
    <row r="3894" spans="7:14">
      <c r="G3894" s="68" t="str">
        <f t="shared" si="442"/>
        <v>SINGLE</v>
      </c>
      <c r="K3894" s="186"/>
      <c r="N3894" s="3" t="str">
        <f t="shared" si="441"/>
        <v/>
      </c>
    </row>
    <row r="3895" spans="7:14">
      <c r="G3895" s="68" t="str">
        <f t="shared" si="442"/>
        <v>SINGLE</v>
      </c>
      <c r="K3895" s="186"/>
      <c r="N3895" s="3" t="str">
        <f t="shared" si="441"/>
        <v/>
      </c>
    </row>
    <row r="3896" spans="7:14">
      <c r="G3896" s="68" t="str">
        <f t="shared" si="442"/>
        <v>SINGLE</v>
      </c>
      <c r="K3896" s="186"/>
      <c r="N3896" s="3" t="str">
        <f t="shared" si="441"/>
        <v/>
      </c>
    </row>
    <row r="3897" spans="7:14">
      <c r="G3897" s="68" t="str">
        <f t="shared" si="442"/>
        <v>SINGLE</v>
      </c>
      <c r="K3897" s="186"/>
      <c r="N3897" s="3" t="str">
        <f t="shared" si="441"/>
        <v/>
      </c>
    </row>
    <row r="3898" spans="7:14">
      <c r="G3898" s="68" t="str">
        <f t="shared" si="442"/>
        <v>SINGLE</v>
      </c>
      <c r="K3898" s="186"/>
      <c r="N3898" s="3" t="str">
        <f t="shared" si="441"/>
        <v/>
      </c>
    </row>
    <row r="3899" spans="7:14">
      <c r="G3899" s="68" t="str">
        <f t="shared" si="442"/>
        <v>SINGLE</v>
      </c>
      <c r="K3899" s="186"/>
      <c r="N3899" s="3" t="str">
        <f t="shared" si="441"/>
        <v/>
      </c>
    </row>
    <row r="3900" spans="7:14">
      <c r="G3900" s="68" t="str">
        <f t="shared" si="442"/>
        <v>SINGLE</v>
      </c>
      <c r="K3900" s="186"/>
      <c r="N3900" s="3" t="str">
        <f t="shared" si="441"/>
        <v/>
      </c>
    </row>
    <row r="3901" spans="7:14">
      <c r="G3901" s="68" t="str">
        <f t="shared" si="442"/>
        <v>SINGLE</v>
      </c>
      <c r="K3901" s="186"/>
      <c r="N3901" s="3" t="str">
        <f t="shared" si="441"/>
        <v/>
      </c>
    </row>
    <row r="3902" spans="7:14">
      <c r="G3902" s="68" t="str">
        <f t="shared" si="442"/>
        <v>SINGLE</v>
      </c>
      <c r="K3902" s="186"/>
      <c r="N3902" s="3" t="str">
        <f t="shared" si="441"/>
        <v/>
      </c>
    </row>
    <row r="3903" spans="7:14">
      <c r="G3903" s="68" t="str">
        <f t="shared" si="442"/>
        <v>SINGLE</v>
      </c>
      <c r="K3903" s="186"/>
      <c r="N3903" s="3" t="str">
        <f t="shared" ref="N3903:N3966" si="443">IF(O3903&lt;&gt;"", "NG", "")</f>
        <v/>
      </c>
    </row>
    <row r="3904" spans="7:14">
      <c r="G3904" s="68" t="str">
        <f t="shared" si="442"/>
        <v>SINGLE</v>
      </c>
      <c r="K3904" s="186"/>
      <c r="N3904" s="3" t="str">
        <f t="shared" si="443"/>
        <v/>
      </c>
    </row>
    <row r="3905" spans="7:14">
      <c r="G3905" s="68" t="str">
        <f t="shared" si="442"/>
        <v>SINGLE</v>
      </c>
      <c r="K3905" s="186"/>
      <c r="N3905" s="3" t="str">
        <f t="shared" si="443"/>
        <v/>
      </c>
    </row>
    <row r="3906" spans="7:14">
      <c r="G3906" s="68" t="str">
        <f t="shared" si="442"/>
        <v>SINGLE</v>
      </c>
      <c r="K3906" s="186"/>
      <c r="N3906" s="3" t="str">
        <f t="shared" si="443"/>
        <v/>
      </c>
    </row>
    <row r="3907" spans="7:14">
      <c r="G3907" s="68" t="str">
        <f t="shared" si="442"/>
        <v>SINGLE</v>
      </c>
      <c r="K3907" s="186"/>
      <c r="N3907" s="3" t="str">
        <f t="shared" si="443"/>
        <v/>
      </c>
    </row>
    <row r="3908" spans="7:14">
      <c r="G3908" s="68" t="str">
        <f t="shared" si="442"/>
        <v>SINGLE</v>
      </c>
      <c r="K3908" s="186"/>
      <c r="N3908" s="3" t="str">
        <f t="shared" si="443"/>
        <v/>
      </c>
    </row>
    <row r="3909" spans="7:14">
      <c r="G3909" s="68" t="str">
        <f t="shared" si="442"/>
        <v>SINGLE</v>
      </c>
      <c r="K3909" s="186"/>
      <c r="N3909" s="3" t="str">
        <f t="shared" si="443"/>
        <v/>
      </c>
    </row>
    <row r="3910" spans="7:14">
      <c r="G3910" s="68" t="str">
        <f t="shared" si="442"/>
        <v>SINGLE</v>
      </c>
      <c r="K3910" s="186"/>
      <c r="N3910" s="3" t="str">
        <f t="shared" si="443"/>
        <v/>
      </c>
    </row>
    <row r="3911" spans="7:14">
      <c r="G3911" s="68" t="str">
        <f t="shared" si="442"/>
        <v>SINGLE</v>
      </c>
      <c r="K3911" s="186"/>
      <c r="N3911" s="3" t="str">
        <f t="shared" si="443"/>
        <v/>
      </c>
    </row>
    <row r="3912" spans="7:14">
      <c r="G3912" s="68" t="str">
        <f t="shared" si="442"/>
        <v>SINGLE</v>
      </c>
      <c r="K3912" s="186"/>
      <c r="N3912" s="3" t="str">
        <f t="shared" si="443"/>
        <v/>
      </c>
    </row>
    <row r="3913" spans="7:14">
      <c r="G3913" s="68" t="str">
        <f t="shared" si="442"/>
        <v>SINGLE</v>
      </c>
      <c r="K3913" s="186"/>
      <c r="N3913" s="3" t="str">
        <f t="shared" si="443"/>
        <v/>
      </c>
    </row>
    <row r="3914" spans="7:14">
      <c r="G3914" s="68" t="str">
        <f t="shared" si="442"/>
        <v>SINGLE</v>
      </c>
      <c r="K3914" s="186"/>
      <c r="N3914" s="3" t="str">
        <f t="shared" si="443"/>
        <v/>
      </c>
    </row>
    <row r="3915" spans="7:14">
      <c r="G3915" s="68" t="str">
        <f t="shared" si="442"/>
        <v>SINGLE</v>
      </c>
      <c r="K3915" s="186"/>
      <c r="N3915" s="3" t="str">
        <f t="shared" si="443"/>
        <v/>
      </c>
    </row>
    <row r="3916" spans="7:14">
      <c r="G3916" s="68" t="str">
        <f t="shared" si="442"/>
        <v>SINGLE</v>
      </c>
      <c r="K3916" s="186"/>
      <c r="N3916" s="3" t="str">
        <f t="shared" si="443"/>
        <v/>
      </c>
    </row>
    <row r="3917" spans="7:14">
      <c r="G3917" s="68" t="str">
        <f t="shared" si="442"/>
        <v>SINGLE</v>
      </c>
      <c r="K3917" s="186"/>
      <c r="N3917" s="3" t="str">
        <f t="shared" si="443"/>
        <v/>
      </c>
    </row>
    <row r="3918" spans="7:14">
      <c r="G3918" s="68" t="str">
        <f t="shared" si="442"/>
        <v>SINGLE</v>
      </c>
      <c r="K3918" s="186"/>
      <c r="N3918" s="3" t="str">
        <f t="shared" si="443"/>
        <v/>
      </c>
    </row>
    <row r="3919" spans="7:14">
      <c r="G3919" s="68" t="str">
        <f t="shared" si="442"/>
        <v>SINGLE</v>
      </c>
      <c r="K3919" s="186"/>
      <c r="N3919" s="3" t="str">
        <f t="shared" si="443"/>
        <v/>
      </c>
    </row>
    <row r="3920" spans="7:14">
      <c r="G3920" s="68" t="str">
        <f t="shared" si="442"/>
        <v>SINGLE</v>
      </c>
      <c r="K3920" s="186"/>
      <c r="N3920" s="3" t="str">
        <f t="shared" si="443"/>
        <v/>
      </c>
    </row>
    <row r="3921" spans="7:14">
      <c r="G3921" s="68" t="str">
        <f t="shared" si="442"/>
        <v>SINGLE</v>
      </c>
      <c r="K3921" s="186"/>
      <c r="N3921" s="3" t="str">
        <f t="shared" si="443"/>
        <v/>
      </c>
    </row>
    <row r="3922" spans="7:14">
      <c r="G3922" s="68" t="str">
        <f t="shared" si="442"/>
        <v>SINGLE</v>
      </c>
      <c r="K3922" s="186"/>
      <c r="N3922" s="3" t="str">
        <f t="shared" si="443"/>
        <v/>
      </c>
    </row>
    <row r="3923" spans="7:14">
      <c r="G3923" s="68" t="str">
        <f t="shared" si="442"/>
        <v>SINGLE</v>
      </c>
      <c r="K3923" s="186"/>
      <c r="N3923" s="3" t="str">
        <f t="shared" si="443"/>
        <v/>
      </c>
    </row>
    <row r="3924" spans="7:14">
      <c r="G3924" s="68" t="str">
        <f t="shared" si="442"/>
        <v>SINGLE</v>
      </c>
      <c r="K3924" s="186"/>
      <c r="N3924" s="3" t="str">
        <f t="shared" si="443"/>
        <v/>
      </c>
    </row>
    <row r="3925" spans="7:14">
      <c r="G3925" s="68" t="str">
        <f t="shared" si="442"/>
        <v>SINGLE</v>
      </c>
      <c r="K3925" s="186"/>
      <c r="N3925" s="3" t="str">
        <f t="shared" si="443"/>
        <v/>
      </c>
    </row>
    <row r="3926" spans="7:14">
      <c r="G3926" s="68" t="str">
        <f t="shared" si="442"/>
        <v>SINGLE</v>
      </c>
      <c r="K3926" s="186"/>
      <c r="N3926" s="3" t="str">
        <f t="shared" si="443"/>
        <v/>
      </c>
    </row>
    <row r="3927" spans="7:14">
      <c r="G3927" s="68" t="str">
        <f t="shared" si="442"/>
        <v>SINGLE</v>
      </c>
      <c r="K3927" s="186"/>
      <c r="N3927" s="3" t="str">
        <f t="shared" si="443"/>
        <v/>
      </c>
    </row>
    <row r="3928" spans="7:14">
      <c r="G3928" s="68" t="str">
        <f t="shared" si="442"/>
        <v>SINGLE</v>
      </c>
      <c r="K3928" s="186"/>
      <c r="N3928" s="3" t="str">
        <f t="shared" si="443"/>
        <v/>
      </c>
    </row>
    <row r="3929" spans="7:14">
      <c r="G3929" s="68" t="str">
        <f t="shared" si="442"/>
        <v>SINGLE</v>
      </c>
      <c r="K3929" s="186"/>
      <c r="N3929" s="3" t="str">
        <f t="shared" si="443"/>
        <v/>
      </c>
    </row>
    <row r="3930" spans="7:14">
      <c r="G3930" s="68" t="str">
        <f t="shared" si="442"/>
        <v>SINGLE</v>
      </c>
      <c r="K3930" s="186"/>
      <c r="N3930" s="3" t="str">
        <f t="shared" si="443"/>
        <v/>
      </c>
    </row>
    <row r="3931" spans="7:14">
      <c r="G3931" s="68" t="str">
        <f t="shared" si="442"/>
        <v>SINGLE</v>
      </c>
      <c r="K3931" s="186"/>
      <c r="N3931" s="3" t="str">
        <f t="shared" si="443"/>
        <v/>
      </c>
    </row>
    <row r="3932" spans="7:14">
      <c r="G3932" s="68" t="str">
        <f t="shared" si="442"/>
        <v>SINGLE</v>
      </c>
      <c r="K3932" s="186"/>
      <c r="N3932" s="3" t="str">
        <f t="shared" si="443"/>
        <v/>
      </c>
    </row>
    <row r="3933" spans="7:14">
      <c r="G3933" s="68" t="str">
        <f t="shared" si="442"/>
        <v>SINGLE</v>
      </c>
      <c r="K3933" s="186"/>
      <c r="N3933" s="3" t="str">
        <f t="shared" si="443"/>
        <v/>
      </c>
    </row>
    <row r="3934" spans="7:14">
      <c r="G3934" s="68" t="str">
        <f t="shared" si="442"/>
        <v>SINGLE</v>
      </c>
      <c r="K3934" s="186"/>
      <c r="N3934" s="3" t="str">
        <f t="shared" si="443"/>
        <v/>
      </c>
    </row>
    <row r="3935" spans="7:14">
      <c r="G3935" s="68" t="str">
        <f t="shared" si="442"/>
        <v>SINGLE</v>
      </c>
      <c r="K3935" s="186"/>
      <c r="N3935" s="3" t="str">
        <f t="shared" si="443"/>
        <v/>
      </c>
    </row>
    <row r="3936" spans="7:14">
      <c r="G3936" s="68" t="str">
        <f t="shared" si="442"/>
        <v>SINGLE</v>
      </c>
      <c r="K3936" s="186"/>
      <c r="N3936" s="3" t="str">
        <f t="shared" si="443"/>
        <v/>
      </c>
    </row>
    <row r="3937" spans="7:14">
      <c r="G3937" s="68" t="str">
        <f t="shared" si="442"/>
        <v>SINGLE</v>
      </c>
      <c r="K3937" s="186"/>
      <c r="N3937" s="3" t="str">
        <f t="shared" si="443"/>
        <v/>
      </c>
    </row>
    <row r="3938" spans="7:14">
      <c r="G3938" s="68" t="str">
        <f t="shared" si="442"/>
        <v>SINGLE</v>
      </c>
      <c r="K3938" s="186"/>
      <c r="N3938" s="3" t="str">
        <f t="shared" si="443"/>
        <v/>
      </c>
    </row>
    <row r="3939" spans="7:14">
      <c r="G3939" s="68" t="str">
        <f t="shared" si="442"/>
        <v>SINGLE</v>
      </c>
      <c r="K3939" s="186"/>
      <c r="N3939" s="3" t="str">
        <f t="shared" si="443"/>
        <v/>
      </c>
    </row>
    <row r="3940" spans="7:14">
      <c r="G3940" s="68" t="str">
        <f t="shared" si="442"/>
        <v>SINGLE</v>
      </c>
      <c r="K3940" s="186"/>
      <c r="N3940" s="3" t="str">
        <f t="shared" si="443"/>
        <v/>
      </c>
    </row>
    <row r="3941" spans="7:14">
      <c r="G3941" s="68" t="str">
        <f t="shared" si="442"/>
        <v>SINGLE</v>
      </c>
      <c r="K3941" s="186"/>
      <c r="N3941" s="3" t="str">
        <f t="shared" si="443"/>
        <v/>
      </c>
    </row>
    <row r="3942" spans="7:14">
      <c r="G3942" s="68" t="str">
        <f t="shared" si="442"/>
        <v>SINGLE</v>
      </c>
      <c r="K3942" s="186"/>
      <c r="N3942" s="3" t="str">
        <f t="shared" si="443"/>
        <v/>
      </c>
    </row>
    <row r="3943" spans="7:14">
      <c r="G3943" s="68" t="str">
        <f t="shared" si="442"/>
        <v>SINGLE</v>
      </c>
      <c r="K3943" s="186"/>
      <c r="N3943" s="3" t="str">
        <f t="shared" si="443"/>
        <v/>
      </c>
    </row>
    <row r="3944" spans="7:14">
      <c r="G3944" s="68" t="str">
        <f t="shared" si="442"/>
        <v>SINGLE</v>
      </c>
      <c r="K3944" s="186"/>
      <c r="N3944" s="3" t="str">
        <f t="shared" si="443"/>
        <v/>
      </c>
    </row>
    <row r="3945" spans="7:14">
      <c r="G3945" s="68" t="str">
        <f t="shared" si="442"/>
        <v>SINGLE</v>
      </c>
      <c r="K3945" s="186"/>
      <c r="N3945" s="3" t="str">
        <f t="shared" si="443"/>
        <v/>
      </c>
    </row>
    <row r="3946" spans="7:14">
      <c r="G3946" s="68" t="str">
        <f t="shared" si="442"/>
        <v>SINGLE</v>
      </c>
      <c r="K3946" s="186"/>
      <c r="N3946" s="3" t="str">
        <f t="shared" si="443"/>
        <v/>
      </c>
    </row>
    <row r="3947" spans="7:14">
      <c r="G3947" s="68" t="str">
        <f t="shared" si="442"/>
        <v>SINGLE</v>
      </c>
      <c r="K3947" s="186"/>
      <c r="N3947" s="3" t="str">
        <f t="shared" si="443"/>
        <v/>
      </c>
    </row>
    <row r="3948" spans="7:14">
      <c r="G3948" s="68" t="str">
        <f t="shared" si="442"/>
        <v>SINGLE</v>
      </c>
      <c r="K3948" s="186"/>
      <c r="N3948" s="3" t="str">
        <f t="shared" si="443"/>
        <v/>
      </c>
    </row>
    <row r="3949" spans="7:14">
      <c r="G3949" s="68" t="str">
        <f t="shared" si="442"/>
        <v>SINGLE</v>
      </c>
      <c r="K3949" s="186"/>
      <c r="N3949" s="3" t="str">
        <f t="shared" si="443"/>
        <v/>
      </c>
    </row>
    <row r="3950" spans="7:14">
      <c r="G3950" s="68" t="str">
        <f t="shared" si="442"/>
        <v>SINGLE</v>
      </c>
      <c r="K3950" s="186"/>
      <c r="N3950" s="3" t="str">
        <f t="shared" si="443"/>
        <v/>
      </c>
    </row>
    <row r="3951" spans="7:14">
      <c r="G3951" s="68" t="str">
        <f t="shared" si="442"/>
        <v>SINGLE</v>
      </c>
      <c r="K3951" s="186"/>
      <c r="N3951" s="3" t="str">
        <f t="shared" si="443"/>
        <v/>
      </c>
    </row>
    <row r="3952" spans="7:14">
      <c r="G3952" s="68" t="str">
        <f t="shared" si="442"/>
        <v>SINGLE</v>
      </c>
      <c r="K3952" s="186"/>
      <c r="N3952" s="3" t="str">
        <f t="shared" si="443"/>
        <v/>
      </c>
    </row>
    <row r="3953" spans="7:14">
      <c r="G3953" s="68" t="str">
        <f t="shared" si="442"/>
        <v>SINGLE</v>
      </c>
      <c r="K3953" s="186"/>
      <c r="N3953" s="3" t="str">
        <f t="shared" si="443"/>
        <v/>
      </c>
    </row>
    <row r="3954" spans="7:14">
      <c r="G3954" s="68" t="str">
        <f t="shared" si="442"/>
        <v>SINGLE</v>
      </c>
      <c r="K3954" s="186"/>
      <c r="N3954" s="3" t="str">
        <f t="shared" si="443"/>
        <v/>
      </c>
    </row>
    <row r="3955" spans="7:14">
      <c r="G3955" s="68" t="str">
        <f t="shared" si="442"/>
        <v>SINGLE</v>
      </c>
      <c r="K3955" s="186"/>
      <c r="N3955" s="3" t="str">
        <f t="shared" si="443"/>
        <v/>
      </c>
    </row>
    <row r="3956" spans="7:14">
      <c r="G3956" s="68" t="str">
        <f t="shared" si="442"/>
        <v>SINGLE</v>
      </c>
      <c r="K3956" s="186"/>
      <c r="N3956" s="3" t="str">
        <f t="shared" si="443"/>
        <v/>
      </c>
    </row>
    <row r="3957" spans="7:14">
      <c r="G3957" s="68" t="str">
        <f t="shared" ref="G3957:G4020" si="444">IF(OR(ISNUMBER(SEARCH("DUAL",F3957)), ISNUMBER(SEARCH("IVAS",F3957))), "DUAL", "SINGLE")</f>
        <v>SINGLE</v>
      </c>
      <c r="K3957" s="186"/>
      <c r="N3957" s="3" t="str">
        <f t="shared" si="443"/>
        <v/>
      </c>
    </row>
    <row r="3958" spans="7:14">
      <c r="G3958" s="68" t="str">
        <f t="shared" si="444"/>
        <v>SINGLE</v>
      </c>
      <c r="K3958" s="186"/>
      <c r="N3958" s="3" t="str">
        <f t="shared" si="443"/>
        <v/>
      </c>
    </row>
    <row r="3959" spans="7:14">
      <c r="G3959" s="68" t="str">
        <f t="shared" si="444"/>
        <v>SINGLE</v>
      </c>
      <c r="K3959" s="186"/>
      <c r="N3959" s="3" t="str">
        <f t="shared" si="443"/>
        <v/>
      </c>
    </row>
    <row r="3960" spans="7:14">
      <c r="G3960" s="68" t="str">
        <f t="shared" si="444"/>
        <v>SINGLE</v>
      </c>
      <c r="K3960" s="186"/>
      <c r="N3960" s="3" t="str">
        <f t="shared" si="443"/>
        <v/>
      </c>
    </row>
    <row r="3961" spans="7:14">
      <c r="G3961" s="68" t="str">
        <f t="shared" si="444"/>
        <v>SINGLE</v>
      </c>
      <c r="K3961" s="186"/>
      <c r="N3961" s="3" t="str">
        <f t="shared" si="443"/>
        <v/>
      </c>
    </row>
    <row r="3962" spans="7:14">
      <c r="G3962" s="68" t="str">
        <f t="shared" si="444"/>
        <v>SINGLE</v>
      </c>
      <c r="K3962" s="186"/>
      <c r="N3962" s="3" t="str">
        <f t="shared" si="443"/>
        <v/>
      </c>
    </row>
    <row r="3963" spans="7:14">
      <c r="G3963" s="68" t="str">
        <f t="shared" si="444"/>
        <v>SINGLE</v>
      </c>
      <c r="K3963" s="186"/>
      <c r="N3963" s="3" t="str">
        <f t="shared" si="443"/>
        <v/>
      </c>
    </row>
    <row r="3964" spans="7:14">
      <c r="G3964" s="68" t="str">
        <f t="shared" si="444"/>
        <v>SINGLE</v>
      </c>
      <c r="K3964" s="186"/>
      <c r="N3964" s="3" t="str">
        <f t="shared" si="443"/>
        <v/>
      </c>
    </row>
    <row r="3965" spans="7:14">
      <c r="G3965" s="68" t="str">
        <f t="shared" si="444"/>
        <v>SINGLE</v>
      </c>
      <c r="K3965" s="186"/>
      <c r="N3965" s="3" t="str">
        <f t="shared" si="443"/>
        <v/>
      </c>
    </row>
    <row r="3966" spans="7:14">
      <c r="G3966" s="68" t="str">
        <f t="shared" si="444"/>
        <v>SINGLE</v>
      </c>
      <c r="K3966" s="186"/>
      <c r="N3966" s="3" t="str">
        <f t="shared" si="443"/>
        <v/>
      </c>
    </row>
    <row r="3967" spans="7:14">
      <c r="G3967" s="68" t="str">
        <f t="shared" si="444"/>
        <v>SINGLE</v>
      </c>
      <c r="K3967" s="186"/>
      <c r="N3967" s="3" t="str">
        <f t="shared" ref="N3967:N4030" si="445">IF(O3967&lt;&gt;"", "NG", "")</f>
        <v/>
      </c>
    </row>
    <row r="3968" spans="7:14">
      <c r="G3968" s="68" t="str">
        <f t="shared" si="444"/>
        <v>SINGLE</v>
      </c>
      <c r="K3968" s="186"/>
      <c r="N3968" s="3" t="str">
        <f t="shared" si="445"/>
        <v/>
      </c>
    </row>
    <row r="3969" spans="7:14">
      <c r="G3969" s="68" t="str">
        <f t="shared" si="444"/>
        <v>SINGLE</v>
      </c>
      <c r="K3969" s="186"/>
      <c r="N3969" s="3" t="str">
        <f t="shared" si="445"/>
        <v/>
      </c>
    </row>
    <row r="3970" spans="7:14">
      <c r="G3970" s="68" t="str">
        <f t="shared" si="444"/>
        <v>SINGLE</v>
      </c>
      <c r="K3970" s="186"/>
      <c r="N3970" s="3" t="str">
        <f t="shared" si="445"/>
        <v/>
      </c>
    </row>
    <row r="3971" spans="7:14">
      <c r="G3971" s="68" t="str">
        <f t="shared" si="444"/>
        <v>SINGLE</v>
      </c>
      <c r="K3971" s="186"/>
      <c r="N3971" s="3" t="str">
        <f t="shared" si="445"/>
        <v/>
      </c>
    </row>
    <row r="3972" spans="7:14">
      <c r="G3972" s="68" t="str">
        <f t="shared" si="444"/>
        <v>SINGLE</v>
      </c>
      <c r="K3972" s="186"/>
      <c r="N3972" s="3" t="str">
        <f t="shared" si="445"/>
        <v/>
      </c>
    </row>
    <row r="3973" spans="7:14">
      <c r="G3973" s="68" t="str">
        <f t="shared" si="444"/>
        <v>SINGLE</v>
      </c>
      <c r="K3973" s="186"/>
      <c r="N3973" s="3" t="str">
        <f t="shared" si="445"/>
        <v/>
      </c>
    </row>
    <row r="3974" spans="7:14">
      <c r="G3974" s="68" t="str">
        <f t="shared" si="444"/>
        <v>SINGLE</v>
      </c>
      <c r="K3974" s="186"/>
      <c r="N3974" s="3" t="str">
        <f t="shared" si="445"/>
        <v/>
      </c>
    </row>
    <row r="3975" spans="7:14">
      <c r="G3975" s="68" t="str">
        <f t="shared" si="444"/>
        <v>SINGLE</v>
      </c>
      <c r="K3975" s="186"/>
      <c r="N3975" s="3" t="str">
        <f t="shared" si="445"/>
        <v/>
      </c>
    </row>
    <row r="3976" spans="7:14">
      <c r="G3976" s="68" t="str">
        <f t="shared" si="444"/>
        <v>SINGLE</v>
      </c>
      <c r="K3976" s="186"/>
      <c r="N3976" s="3" t="str">
        <f t="shared" si="445"/>
        <v/>
      </c>
    </row>
    <row r="3977" spans="7:14">
      <c r="G3977" s="68" t="str">
        <f t="shared" si="444"/>
        <v>SINGLE</v>
      </c>
      <c r="K3977" s="186"/>
      <c r="N3977" s="3" t="str">
        <f t="shared" si="445"/>
        <v/>
      </c>
    </row>
    <row r="3978" spans="7:14">
      <c r="G3978" s="68" t="str">
        <f t="shared" si="444"/>
        <v>SINGLE</v>
      </c>
      <c r="K3978" s="186"/>
      <c r="N3978" s="3" t="str">
        <f t="shared" si="445"/>
        <v/>
      </c>
    </row>
    <row r="3979" spans="7:14">
      <c r="G3979" s="68" t="str">
        <f t="shared" si="444"/>
        <v>SINGLE</v>
      </c>
      <c r="K3979" s="186"/>
      <c r="N3979" s="3" t="str">
        <f t="shared" si="445"/>
        <v/>
      </c>
    </row>
    <row r="3980" spans="7:14">
      <c r="G3980" s="68" t="str">
        <f t="shared" si="444"/>
        <v>SINGLE</v>
      </c>
      <c r="K3980" s="186"/>
      <c r="N3980" s="3" t="str">
        <f t="shared" si="445"/>
        <v/>
      </c>
    </row>
    <row r="3981" spans="7:14">
      <c r="G3981" s="68" t="str">
        <f t="shared" si="444"/>
        <v>SINGLE</v>
      </c>
      <c r="K3981" s="186"/>
      <c r="N3981" s="3" t="str">
        <f t="shared" si="445"/>
        <v/>
      </c>
    </row>
    <row r="3982" spans="7:14">
      <c r="G3982" s="68" t="str">
        <f t="shared" si="444"/>
        <v>SINGLE</v>
      </c>
      <c r="K3982" s="186"/>
      <c r="N3982" s="3" t="str">
        <f t="shared" si="445"/>
        <v/>
      </c>
    </row>
    <row r="3983" spans="7:14">
      <c r="G3983" s="68" t="str">
        <f t="shared" si="444"/>
        <v>SINGLE</v>
      </c>
      <c r="K3983" s="186"/>
      <c r="N3983" s="3" t="str">
        <f t="shared" si="445"/>
        <v/>
      </c>
    </row>
    <row r="3984" spans="7:14">
      <c r="G3984" s="68" t="str">
        <f t="shared" si="444"/>
        <v>SINGLE</v>
      </c>
      <c r="K3984" s="186"/>
      <c r="N3984" s="3" t="str">
        <f t="shared" si="445"/>
        <v/>
      </c>
    </row>
    <row r="3985" spans="7:14">
      <c r="G3985" s="68" t="str">
        <f t="shared" si="444"/>
        <v>SINGLE</v>
      </c>
      <c r="K3985" s="186"/>
      <c r="N3985" s="3" t="str">
        <f t="shared" si="445"/>
        <v/>
      </c>
    </row>
    <row r="3986" spans="7:14">
      <c r="G3986" s="68" t="str">
        <f t="shared" si="444"/>
        <v>SINGLE</v>
      </c>
      <c r="K3986" s="186"/>
      <c r="N3986" s="3" t="str">
        <f t="shared" si="445"/>
        <v/>
      </c>
    </row>
    <row r="3987" spans="7:14">
      <c r="G3987" s="68" t="str">
        <f t="shared" si="444"/>
        <v>SINGLE</v>
      </c>
      <c r="K3987" s="186"/>
      <c r="N3987" s="3" t="str">
        <f t="shared" si="445"/>
        <v/>
      </c>
    </row>
    <row r="3988" spans="7:14">
      <c r="G3988" s="68" t="str">
        <f t="shared" si="444"/>
        <v>SINGLE</v>
      </c>
      <c r="K3988" s="186"/>
      <c r="N3988" s="3" t="str">
        <f t="shared" si="445"/>
        <v/>
      </c>
    </row>
    <row r="3989" spans="7:14">
      <c r="G3989" s="68" t="str">
        <f t="shared" si="444"/>
        <v>SINGLE</v>
      </c>
      <c r="K3989" s="186"/>
      <c r="N3989" s="3" t="str">
        <f t="shared" si="445"/>
        <v/>
      </c>
    </row>
    <row r="3990" spans="7:14">
      <c r="G3990" s="68" t="str">
        <f t="shared" si="444"/>
        <v>SINGLE</v>
      </c>
      <c r="K3990" s="186"/>
      <c r="N3990" s="3" t="str">
        <f t="shared" si="445"/>
        <v/>
      </c>
    </row>
    <row r="3991" spans="7:14">
      <c r="G3991" s="68" t="str">
        <f t="shared" si="444"/>
        <v>SINGLE</v>
      </c>
      <c r="K3991" s="186"/>
      <c r="N3991" s="3" t="str">
        <f t="shared" si="445"/>
        <v/>
      </c>
    </row>
    <row r="3992" spans="7:14">
      <c r="G3992" s="68" t="str">
        <f t="shared" si="444"/>
        <v>SINGLE</v>
      </c>
      <c r="K3992" s="186"/>
      <c r="N3992" s="3" t="str">
        <f t="shared" si="445"/>
        <v/>
      </c>
    </row>
    <row r="3993" spans="7:14">
      <c r="G3993" s="68" t="str">
        <f t="shared" si="444"/>
        <v>SINGLE</v>
      </c>
      <c r="K3993" s="186"/>
      <c r="N3993" s="3" t="str">
        <f t="shared" si="445"/>
        <v/>
      </c>
    </row>
    <row r="3994" spans="7:14">
      <c r="G3994" s="68" t="str">
        <f t="shared" si="444"/>
        <v>SINGLE</v>
      </c>
      <c r="K3994" s="186"/>
      <c r="N3994" s="3" t="str">
        <f t="shared" si="445"/>
        <v/>
      </c>
    </row>
    <row r="3995" spans="7:14">
      <c r="G3995" s="68" t="str">
        <f t="shared" si="444"/>
        <v>SINGLE</v>
      </c>
      <c r="K3995" s="186"/>
      <c r="N3995" s="3" t="str">
        <f t="shared" si="445"/>
        <v/>
      </c>
    </row>
    <row r="3996" spans="7:14">
      <c r="G3996" s="68" t="str">
        <f t="shared" si="444"/>
        <v>SINGLE</v>
      </c>
      <c r="K3996" s="186"/>
      <c r="N3996" s="3" t="str">
        <f t="shared" si="445"/>
        <v/>
      </c>
    </row>
    <row r="3997" spans="7:14">
      <c r="G3997" s="68" t="str">
        <f t="shared" si="444"/>
        <v>SINGLE</v>
      </c>
      <c r="K3997" s="186"/>
      <c r="N3997" s="3" t="str">
        <f t="shared" si="445"/>
        <v/>
      </c>
    </row>
    <row r="3998" spans="7:14">
      <c r="G3998" s="68" t="str">
        <f t="shared" si="444"/>
        <v>SINGLE</v>
      </c>
      <c r="K3998" s="186"/>
      <c r="N3998" s="3" t="str">
        <f t="shared" si="445"/>
        <v/>
      </c>
    </row>
    <row r="3999" spans="7:14">
      <c r="G3999" s="68" t="str">
        <f t="shared" si="444"/>
        <v>SINGLE</v>
      </c>
      <c r="K3999" s="186"/>
      <c r="N3999" s="3" t="str">
        <f t="shared" si="445"/>
        <v/>
      </c>
    </row>
    <row r="4000" spans="7:14">
      <c r="G4000" s="68" t="str">
        <f t="shared" si="444"/>
        <v>SINGLE</v>
      </c>
      <c r="K4000" s="186"/>
      <c r="N4000" s="3" t="str">
        <f t="shared" si="445"/>
        <v/>
      </c>
    </row>
    <row r="4001" spans="7:14">
      <c r="G4001" s="68" t="str">
        <f t="shared" si="444"/>
        <v>SINGLE</v>
      </c>
      <c r="K4001" s="186"/>
      <c r="N4001" s="3" t="str">
        <f t="shared" si="445"/>
        <v/>
      </c>
    </row>
    <row r="4002" spans="7:14">
      <c r="G4002" s="68" t="str">
        <f t="shared" si="444"/>
        <v>SINGLE</v>
      </c>
      <c r="K4002" s="186"/>
      <c r="N4002" s="3" t="str">
        <f t="shared" si="445"/>
        <v/>
      </c>
    </row>
    <row r="4003" spans="7:14">
      <c r="G4003" s="68" t="str">
        <f t="shared" si="444"/>
        <v>SINGLE</v>
      </c>
      <c r="K4003" s="186"/>
      <c r="N4003" s="3" t="str">
        <f t="shared" si="445"/>
        <v/>
      </c>
    </row>
    <row r="4004" spans="7:14">
      <c r="G4004" s="68" t="str">
        <f t="shared" si="444"/>
        <v>SINGLE</v>
      </c>
      <c r="K4004" s="186"/>
      <c r="N4004" s="3" t="str">
        <f t="shared" si="445"/>
        <v/>
      </c>
    </row>
    <row r="4005" spans="7:14">
      <c r="G4005" s="68" t="str">
        <f t="shared" si="444"/>
        <v>SINGLE</v>
      </c>
      <c r="K4005" s="186"/>
      <c r="N4005" s="3" t="str">
        <f t="shared" si="445"/>
        <v/>
      </c>
    </row>
    <row r="4006" spans="7:14">
      <c r="G4006" s="68" t="str">
        <f t="shared" si="444"/>
        <v>SINGLE</v>
      </c>
      <c r="K4006" s="186"/>
      <c r="N4006" s="3" t="str">
        <f t="shared" si="445"/>
        <v/>
      </c>
    </row>
    <row r="4007" spans="7:14">
      <c r="G4007" s="68" t="str">
        <f t="shared" si="444"/>
        <v>SINGLE</v>
      </c>
      <c r="K4007" s="186"/>
      <c r="N4007" s="3" t="str">
        <f t="shared" si="445"/>
        <v/>
      </c>
    </row>
    <row r="4008" spans="7:14">
      <c r="G4008" s="68" t="str">
        <f t="shared" si="444"/>
        <v>SINGLE</v>
      </c>
      <c r="K4008" s="186"/>
      <c r="N4008" s="3" t="str">
        <f t="shared" si="445"/>
        <v/>
      </c>
    </row>
    <row r="4009" spans="7:14">
      <c r="G4009" s="68" t="str">
        <f t="shared" si="444"/>
        <v>SINGLE</v>
      </c>
      <c r="K4009" s="186"/>
      <c r="N4009" s="3" t="str">
        <f t="shared" si="445"/>
        <v/>
      </c>
    </row>
    <row r="4010" spans="7:14">
      <c r="G4010" s="68" t="str">
        <f t="shared" si="444"/>
        <v>SINGLE</v>
      </c>
      <c r="K4010" s="186"/>
      <c r="N4010" s="3" t="str">
        <f t="shared" si="445"/>
        <v/>
      </c>
    </row>
    <row r="4011" spans="7:14">
      <c r="G4011" s="68" t="str">
        <f t="shared" si="444"/>
        <v>SINGLE</v>
      </c>
      <c r="K4011" s="186"/>
      <c r="N4011" s="3" t="str">
        <f t="shared" si="445"/>
        <v/>
      </c>
    </row>
    <row r="4012" spans="7:14">
      <c r="G4012" s="68" t="str">
        <f t="shared" si="444"/>
        <v>SINGLE</v>
      </c>
      <c r="K4012" s="186"/>
      <c r="N4012" s="3" t="str">
        <f t="shared" si="445"/>
        <v/>
      </c>
    </row>
    <row r="4013" spans="7:14">
      <c r="G4013" s="68" t="str">
        <f t="shared" si="444"/>
        <v>SINGLE</v>
      </c>
      <c r="K4013" s="186"/>
      <c r="N4013" s="3" t="str">
        <f t="shared" si="445"/>
        <v/>
      </c>
    </row>
    <row r="4014" spans="7:14">
      <c r="G4014" s="68" t="str">
        <f t="shared" si="444"/>
        <v>SINGLE</v>
      </c>
      <c r="K4014" s="186"/>
      <c r="N4014" s="3" t="str">
        <f t="shared" si="445"/>
        <v/>
      </c>
    </row>
    <row r="4015" spans="7:14">
      <c r="G4015" s="68" t="str">
        <f t="shared" si="444"/>
        <v>SINGLE</v>
      </c>
      <c r="K4015" s="186"/>
      <c r="N4015" s="3" t="str">
        <f t="shared" si="445"/>
        <v/>
      </c>
    </row>
    <row r="4016" spans="7:14">
      <c r="G4016" s="68" t="str">
        <f t="shared" si="444"/>
        <v>SINGLE</v>
      </c>
      <c r="K4016" s="186"/>
      <c r="N4016" s="3" t="str">
        <f t="shared" si="445"/>
        <v/>
      </c>
    </row>
    <row r="4017" spans="7:14">
      <c r="G4017" s="68" t="str">
        <f t="shared" si="444"/>
        <v>SINGLE</v>
      </c>
      <c r="K4017" s="186"/>
      <c r="N4017" s="3" t="str">
        <f t="shared" si="445"/>
        <v/>
      </c>
    </row>
    <row r="4018" spans="7:14">
      <c r="G4018" s="68" t="str">
        <f t="shared" si="444"/>
        <v>SINGLE</v>
      </c>
      <c r="K4018" s="186"/>
      <c r="N4018" s="3" t="str">
        <f t="shared" si="445"/>
        <v/>
      </c>
    </row>
    <row r="4019" spans="7:14">
      <c r="G4019" s="68" t="str">
        <f t="shared" si="444"/>
        <v>SINGLE</v>
      </c>
      <c r="K4019" s="186"/>
      <c r="N4019" s="3" t="str">
        <f t="shared" si="445"/>
        <v/>
      </c>
    </row>
    <row r="4020" spans="7:14">
      <c r="G4020" s="68" t="str">
        <f t="shared" si="444"/>
        <v>SINGLE</v>
      </c>
      <c r="K4020" s="186"/>
      <c r="N4020" s="3" t="str">
        <f t="shared" si="445"/>
        <v/>
      </c>
    </row>
    <row r="4021" spans="7:14">
      <c r="G4021" s="68" t="str">
        <f t="shared" ref="G4021:G4084" si="446">IF(OR(ISNUMBER(SEARCH("DUAL",F4021)), ISNUMBER(SEARCH("IVAS",F4021))), "DUAL", "SINGLE")</f>
        <v>SINGLE</v>
      </c>
      <c r="K4021" s="186"/>
      <c r="N4021" s="3" t="str">
        <f t="shared" si="445"/>
        <v/>
      </c>
    </row>
    <row r="4022" spans="7:14">
      <c r="G4022" s="68" t="str">
        <f t="shared" si="446"/>
        <v>SINGLE</v>
      </c>
      <c r="K4022" s="186"/>
      <c r="N4022" s="3" t="str">
        <f t="shared" si="445"/>
        <v/>
      </c>
    </row>
    <row r="4023" spans="7:14">
      <c r="G4023" s="68" t="str">
        <f t="shared" si="446"/>
        <v>SINGLE</v>
      </c>
      <c r="K4023" s="186"/>
      <c r="N4023" s="3" t="str">
        <f t="shared" si="445"/>
        <v/>
      </c>
    </row>
    <row r="4024" spans="7:14">
      <c r="G4024" s="68" t="str">
        <f t="shared" si="446"/>
        <v>SINGLE</v>
      </c>
      <c r="K4024" s="186"/>
      <c r="N4024" s="3" t="str">
        <f t="shared" si="445"/>
        <v/>
      </c>
    </row>
    <row r="4025" spans="7:14">
      <c r="G4025" s="68" t="str">
        <f t="shared" si="446"/>
        <v>SINGLE</v>
      </c>
      <c r="K4025" s="186"/>
      <c r="N4025" s="3" t="str">
        <f t="shared" si="445"/>
        <v/>
      </c>
    </row>
    <row r="4026" spans="7:14">
      <c r="G4026" s="68" t="str">
        <f t="shared" si="446"/>
        <v>SINGLE</v>
      </c>
      <c r="K4026" s="186"/>
      <c r="N4026" s="3" t="str">
        <f t="shared" si="445"/>
        <v/>
      </c>
    </row>
    <row r="4027" spans="7:14">
      <c r="G4027" s="68" t="str">
        <f t="shared" si="446"/>
        <v>SINGLE</v>
      </c>
      <c r="K4027" s="186"/>
      <c r="N4027" s="3" t="str">
        <f t="shared" si="445"/>
        <v/>
      </c>
    </row>
    <row r="4028" spans="7:14">
      <c r="G4028" s="68" t="str">
        <f t="shared" si="446"/>
        <v>SINGLE</v>
      </c>
      <c r="K4028" s="186"/>
      <c r="N4028" s="3" t="str">
        <f t="shared" si="445"/>
        <v/>
      </c>
    </row>
    <row r="4029" spans="7:14">
      <c r="G4029" s="68" t="str">
        <f t="shared" si="446"/>
        <v>SINGLE</v>
      </c>
      <c r="K4029" s="186"/>
      <c r="N4029" s="3" t="str">
        <f t="shared" si="445"/>
        <v/>
      </c>
    </row>
    <row r="4030" spans="7:14">
      <c r="G4030" s="68" t="str">
        <f t="shared" si="446"/>
        <v>SINGLE</v>
      </c>
      <c r="K4030" s="186"/>
      <c r="N4030" s="3" t="str">
        <f t="shared" si="445"/>
        <v/>
      </c>
    </row>
    <row r="4031" spans="7:14">
      <c r="G4031" s="68" t="str">
        <f t="shared" si="446"/>
        <v>SINGLE</v>
      </c>
      <c r="K4031" s="186"/>
      <c r="N4031" s="3" t="str">
        <f t="shared" ref="N4031:N4094" si="447">IF(O4031&lt;&gt;"", "NG", "")</f>
        <v/>
      </c>
    </row>
    <row r="4032" spans="7:14">
      <c r="G4032" s="68" t="str">
        <f t="shared" si="446"/>
        <v>SINGLE</v>
      </c>
      <c r="K4032" s="186"/>
      <c r="N4032" s="3" t="str">
        <f t="shared" si="447"/>
        <v/>
      </c>
    </row>
    <row r="4033" spans="7:14">
      <c r="G4033" s="68" t="str">
        <f t="shared" si="446"/>
        <v>SINGLE</v>
      </c>
      <c r="K4033" s="186"/>
      <c r="N4033" s="3" t="str">
        <f t="shared" si="447"/>
        <v/>
      </c>
    </row>
    <row r="4034" spans="7:14">
      <c r="G4034" s="68" t="str">
        <f t="shared" si="446"/>
        <v>SINGLE</v>
      </c>
      <c r="K4034" s="186"/>
      <c r="N4034" s="3" t="str">
        <f t="shared" si="447"/>
        <v/>
      </c>
    </row>
    <row r="4035" spans="7:14">
      <c r="G4035" s="68" t="str">
        <f t="shared" si="446"/>
        <v>SINGLE</v>
      </c>
      <c r="K4035" s="186"/>
      <c r="N4035" s="3" t="str">
        <f t="shared" si="447"/>
        <v/>
      </c>
    </row>
    <row r="4036" spans="7:14">
      <c r="G4036" s="68" t="str">
        <f t="shared" si="446"/>
        <v>SINGLE</v>
      </c>
      <c r="K4036" s="186"/>
      <c r="N4036" s="3" t="str">
        <f t="shared" si="447"/>
        <v/>
      </c>
    </row>
    <row r="4037" spans="7:14">
      <c r="G4037" s="68" t="str">
        <f t="shared" si="446"/>
        <v>SINGLE</v>
      </c>
      <c r="K4037" s="186"/>
      <c r="N4037" s="3" t="str">
        <f t="shared" si="447"/>
        <v/>
      </c>
    </row>
    <row r="4038" spans="7:14">
      <c r="G4038" s="68" t="str">
        <f t="shared" si="446"/>
        <v>SINGLE</v>
      </c>
      <c r="K4038" s="186"/>
      <c r="N4038" s="3" t="str">
        <f t="shared" si="447"/>
        <v/>
      </c>
    </row>
    <row r="4039" spans="7:14">
      <c r="G4039" s="68" t="str">
        <f t="shared" si="446"/>
        <v>SINGLE</v>
      </c>
      <c r="K4039" s="186"/>
      <c r="N4039" s="3" t="str">
        <f t="shared" si="447"/>
        <v/>
      </c>
    </row>
    <row r="4040" spans="7:14">
      <c r="G4040" s="68" t="str">
        <f t="shared" si="446"/>
        <v>SINGLE</v>
      </c>
      <c r="K4040" s="186"/>
      <c r="N4040" s="3" t="str">
        <f t="shared" si="447"/>
        <v/>
      </c>
    </row>
    <row r="4041" spans="7:14">
      <c r="G4041" s="68" t="str">
        <f t="shared" si="446"/>
        <v>SINGLE</v>
      </c>
      <c r="K4041" s="186"/>
      <c r="N4041" s="3" t="str">
        <f t="shared" si="447"/>
        <v/>
      </c>
    </row>
    <row r="4042" spans="7:14">
      <c r="G4042" s="68" t="str">
        <f t="shared" si="446"/>
        <v>SINGLE</v>
      </c>
      <c r="K4042" s="186"/>
      <c r="N4042" s="3" t="str">
        <f t="shared" si="447"/>
        <v/>
      </c>
    </row>
    <row r="4043" spans="7:14">
      <c r="G4043" s="68" t="str">
        <f t="shared" si="446"/>
        <v>SINGLE</v>
      </c>
      <c r="K4043" s="186"/>
      <c r="N4043" s="3" t="str">
        <f t="shared" si="447"/>
        <v/>
      </c>
    </row>
    <row r="4044" spans="7:14">
      <c r="G4044" s="68" t="str">
        <f t="shared" si="446"/>
        <v>SINGLE</v>
      </c>
      <c r="K4044" s="186"/>
      <c r="N4044" s="3" t="str">
        <f t="shared" si="447"/>
        <v/>
      </c>
    </row>
    <row r="4045" spans="7:14">
      <c r="G4045" s="68" t="str">
        <f t="shared" si="446"/>
        <v>SINGLE</v>
      </c>
      <c r="K4045" s="186"/>
      <c r="N4045" s="3" t="str">
        <f t="shared" si="447"/>
        <v/>
      </c>
    </row>
    <row r="4046" spans="7:14">
      <c r="G4046" s="68" t="str">
        <f t="shared" si="446"/>
        <v>SINGLE</v>
      </c>
      <c r="K4046" s="186"/>
      <c r="N4046" s="3" t="str">
        <f t="shared" si="447"/>
        <v/>
      </c>
    </row>
    <row r="4047" spans="7:14">
      <c r="G4047" s="68" t="str">
        <f t="shared" si="446"/>
        <v>SINGLE</v>
      </c>
      <c r="K4047" s="186"/>
      <c r="N4047" s="3" t="str">
        <f t="shared" si="447"/>
        <v/>
      </c>
    </row>
    <row r="4048" spans="7:14">
      <c r="G4048" s="68" t="str">
        <f t="shared" si="446"/>
        <v>SINGLE</v>
      </c>
      <c r="K4048" s="186"/>
      <c r="N4048" s="3" t="str">
        <f t="shared" si="447"/>
        <v/>
      </c>
    </row>
    <row r="4049" spans="7:14">
      <c r="G4049" s="68" t="str">
        <f t="shared" si="446"/>
        <v>SINGLE</v>
      </c>
      <c r="K4049" s="186"/>
      <c r="N4049" s="3" t="str">
        <f t="shared" si="447"/>
        <v/>
      </c>
    </row>
    <row r="4050" spans="7:14">
      <c r="G4050" s="68" t="str">
        <f t="shared" si="446"/>
        <v>SINGLE</v>
      </c>
      <c r="K4050" s="186"/>
      <c r="N4050" s="3" t="str">
        <f t="shared" si="447"/>
        <v/>
      </c>
    </row>
    <row r="4051" spans="7:14">
      <c r="G4051" s="68" t="str">
        <f t="shared" si="446"/>
        <v>SINGLE</v>
      </c>
      <c r="K4051" s="186"/>
      <c r="N4051" s="3" t="str">
        <f t="shared" si="447"/>
        <v/>
      </c>
    </row>
    <row r="4052" spans="7:14">
      <c r="G4052" s="68" t="str">
        <f t="shared" si="446"/>
        <v>SINGLE</v>
      </c>
      <c r="K4052" s="186"/>
      <c r="N4052" s="3" t="str">
        <f t="shared" si="447"/>
        <v/>
      </c>
    </row>
    <row r="4053" spans="7:14">
      <c r="G4053" s="68" t="str">
        <f t="shared" si="446"/>
        <v>SINGLE</v>
      </c>
      <c r="K4053" s="186"/>
      <c r="N4053" s="3" t="str">
        <f t="shared" si="447"/>
        <v/>
      </c>
    </row>
    <row r="4054" spans="7:14">
      <c r="G4054" s="68" t="str">
        <f t="shared" si="446"/>
        <v>SINGLE</v>
      </c>
      <c r="K4054" s="186"/>
      <c r="N4054" s="3" t="str">
        <f t="shared" si="447"/>
        <v/>
      </c>
    </row>
    <row r="4055" spans="7:14">
      <c r="G4055" s="68" t="str">
        <f t="shared" si="446"/>
        <v>SINGLE</v>
      </c>
      <c r="K4055" s="186"/>
      <c r="N4055" s="3" t="str">
        <f t="shared" si="447"/>
        <v/>
      </c>
    </row>
    <row r="4056" spans="7:14">
      <c r="G4056" s="68" t="str">
        <f t="shared" si="446"/>
        <v>SINGLE</v>
      </c>
      <c r="K4056" s="186"/>
      <c r="N4056" s="3" t="str">
        <f t="shared" si="447"/>
        <v/>
      </c>
    </row>
    <row r="4057" spans="7:14">
      <c r="G4057" s="68" t="str">
        <f t="shared" si="446"/>
        <v>SINGLE</v>
      </c>
      <c r="K4057" s="186"/>
      <c r="N4057" s="3" t="str">
        <f t="shared" si="447"/>
        <v/>
      </c>
    </row>
    <row r="4058" spans="7:14">
      <c r="G4058" s="68" t="str">
        <f t="shared" si="446"/>
        <v>SINGLE</v>
      </c>
      <c r="K4058" s="186"/>
      <c r="N4058" s="3" t="str">
        <f t="shared" si="447"/>
        <v/>
      </c>
    </row>
    <row r="4059" spans="7:14">
      <c r="G4059" s="68" t="str">
        <f t="shared" si="446"/>
        <v>SINGLE</v>
      </c>
      <c r="K4059" s="186"/>
      <c r="N4059" s="3" t="str">
        <f t="shared" si="447"/>
        <v/>
      </c>
    </row>
    <row r="4060" spans="7:14">
      <c r="G4060" s="68" t="str">
        <f t="shared" si="446"/>
        <v>SINGLE</v>
      </c>
      <c r="K4060" s="186"/>
      <c r="N4060" s="3" t="str">
        <f t="shared" si="447"/>
        <v/>
      </c>
    </row>
    <row r="4061" spans="7:14">
      <c r="G4061" s="68" t="str">
        <f t="shared" si="446"/>
        <v>SINGLE</v>
      </c>
      <c r="K4061" s="186"/>
      <c r="N4061" s="3" t="str">
        <f t="shared" si="447"/>
        <v/>
      </c>
    </row>
    <row r="4062" spans="7:14">
      <c r="G4062" s="68" t="str">
        <f t="shared" si="446"/>
        <v>SINGLE</v>
      </c>
      <c r="K4062" s="186"/>
      <c r="N4062" s="3" t="str">
        <f t="shared" si="447"/>
        <v/>
      </c>
    </row>
    <row r="4063" spans="7:14">
      <c r="G4063" s="68" t="str">
        <f t="shared" si="446"/>
        <v>SINGLE</v>
      </c>
      <c r="K4063" s="186"/>
      <c r="N4063" s="3" t="str">
        <f t="shared" si="447"/>
        <v/>
      </c>
    </row>
    <row r="4064" spans="7:14">
      <c r="G4064" s="68" t="str">
        <f t="shared" si="446"/>
        <v>SINGLE</v>
      </c>
      <c r="K4064" s="186"/>
      <c r="N4064" s="3" t="str">
        <f t="shared" si="447"/>
        <v/>
      </c>
    </row>
    <row r="4065" spans="7:14">
      <c r="G4065" s="68" t="str">
        <f t="shared" si="446"/>
        <v>SINGLE</v>
      </c>
      <c r="K4065" s="186"/>
      <c r="N4065" s="3" t="str">
        <f t="shared" si="447"/>
        <v/>
      </c>
    </row>
    <row r="4066" spans="7:14">
      <c r="G4066" s="68" t="str">
        <f t="shared" si="446"/>
        <v>SINGLE</v>
      </c>
      <c r="K4066" s="186"/>
      <c r="N4066" s="3" t="str">
        <f t="shared" si="447"/>
        <v/>
      </c>
    </row>
    <row r="4067" spans="7:14">
      <c r="G4067" s="68" t="str">
        <f t="shared" si="446"/>
        <v>SINGLE</v>
      </c>
      <c r="K4067" s="186"/>
      <c r="N4067" s="3" t="str">
        <f t="shared" si="447"/>
        <v/>
      </c>
    </row>
    <row r="4068" spans="7:14">
      <c r="G4068" s="68" t="str">
        <f t="shared" si="446"/>
        <v>SINGLE</v>
      </c>
      <c r="K4068" s="186"/>
      <c r="N4068" s="3" t="str">
        <f t="shared" si="447"/>
        <v/>
      </c>
    </row>
    <row r="4069" spans="7:14">
      <c r="G4069" s="68" t="str">
        <f t="shared" si="446"/>
        <v>SINGLE</v>
      </c>
      <c r="K4069" s="186"/>
      <c r="N4069" s="3" t="str">
        <f t="shared" si="447"/>
        <v/>
      </c>
    </row>
    <row r="4070" spans="7:14" ht="16.5" customHeight="1">
      <c r="G4070" s="68" t="str">
        <f t="shared" si="446"/>
        <v>SINGLE</v>
      </c>
      <c r="K4070" s="186"/>
      <c r="N4070" s="3" t="str">
        <f t="shared" si="447"/>
        <v/>
      </c>
    </row>
    <row r="4082" spans="12:13" ht="16.5" hidden="1" customHeight="1">
      <c r="L4082" s="3" t="s">
        <v>2555</v>
      </c>
      <c r="M4082" s="3" t="s">
        <v>2392</v>
      </c>
    </row>
    <row r="4083" spans="12:13" ht="16.5" hidden="1" customHeight="1">
      <c r="L4083" s="3" t="s">
        <v>2395</v>
      </c>
      <c r="M4083" s="3" t="s">
        <v>1468</v>
      </c>
    </row>
    <row r="4084" spans="12:13" ht="16.5" hidden="1" customHeight="1">
      <c r="L4084" s="3" t="s">
        <v>2391</v>
      </c>
      <c r="M4084" s="3" t="s">
        <v>1469</v>
      </c>
    </row>
  </sheetData>
  <autoFilter ref="A1:U4070" xr:uid="{00000000-0001-0000-0300-000000000000}">
    <sortState xmlns:xlrd2="http://schemas.microsoft.com/office/spreadsheetml/2017/richdata2" ref="A2:U4070">
      <sortCondition ref="K1:K4070"/>
    </sortState>
  </autoFilter>
  <phoneticPr fontId="7" type="noConversion"/>
  <conditionalFormatting sqref="E1886:E1887 D1:D829 D867:D897 D911:D920 D922:D1693 D1696:D1048576">
    <cfRule type="expression" dxfId="5" priority="41">
      <formula>COUNTIF($D:$D, D1)&gt;1</formula>
    </cfRule>
  </conditionalFormatting>
  <conditionalFormatting sqref="G830:G859 U830:XFD859 A3:A829 B3:B866 A1:G2 A867:F867 T869:XFD870 O871:XFD871 O867:XFD868 Q872:XFD873 T895:XFD895 A868:D868 A897:F897 V898:XFD900 A911:A915 C911:F915 C869:D870 O869:O870 A869:B896 C871:F896 O872:O873 I867:J897 B898:B915 A916:F918 E921:F921 C922:F924 C921 C919:F920 A919:B924 D962:F963 A962:B963 A964:F980 D985:F986 C981:F984 A981:B986 L911:M986 L867:M897 L3:M829 K3:K986 A925:F961 I911:J986 R995:XFD997 T1002:XFD1002 T1004:XFD1004 O995:P997 O896:XFD897 O874:XFD894 O911:XFD963 O1:XFD829 O1004:P1004 O998:XFD1001 O1002:P1002 O1003:XFD1003 N1:N963 Q997 N965:N1004 O965:XFD994 N1005:XFD1080 I987:M1080 I3:J829 I1:M2 H1:H1080 N964:XFD964 A987:F1100 A1101:D1101 H1081:XFD1279 H1280:R1280 T1280:XFD1280 D1351:F1352 A1351:B1352 S1357:XFD1358 L1357:Q1358 L1359:XFD1378 H1349:K1378 L1349:XFD1356 A1102:F1350 H1281:XFD1348 B1431:F1432 C3:G829 A1353:F1430 H1379:XFD1548 N1549:XFD1553 L1554:XFD1554 L1549:M1549 N1555:XFD1556 H1549:K1556 A4071:XFD4081 A4085:XFD1048576 A4082:K4084 M4082:XFD4084 L4083:L4084 A1650:D1650 A1649:E1649 A1651:E1657 A1433:F1648 H1557:XFD1656 H1657:R1658 T1657:XFD1658 D1696:F1696 H1659:XFD1677 A1658:F1693 T1687:XFD1688 L1697:XFD1704 I1697:J1704 L1687:R1688 L1689:XFD1693 I1685:J1693 L1685:XFD1686 I1678:XFD1684 K1685:K1705 H1678:H1705 Q1694:S1694 H1705:XFD1808 T1832:XFD1833 N1832:R1833 N1809:XFD1831 N1834:XFD1878 H1809:M1878 A1697:F4070 H1879:XFD4070">
    <cfRule type="expression" dxfId="4" priority="40">
      <formula>COUNTIF($D:$D, $D1)&gt;1</formula>
    </cfRule>
  </conditionalFormatting>
  <conditionalFormatting sqref="L1550:M1553 A1432 C986 C963 L1555:M1556 L4082">
    <cfRule type="expression" dxfId="3" priority="150">
      <formula>COUNTIF($D:$D, $D962)&gt;1</formula>
    </cfRule>
  </conditionalFormatting>
  <conditionalFormatting sqref="S1832 D1696 S1657 C1351 R1357:R1358">
    <cfRule type="expression" dxfId="2" priority="492">
      <formula>COUNTIF($D:$D, $D1352)&gt;1</formula>
    </cfRule>
  </conditionalFormatting>
  <conditionalFormatting sqref="A1696:C1696 I1696:J1696 L1696:XFD1696">
    <cfRule type="expression" dxfId="1" priority="876">
      <formula>COUNTIF($D:$D, #REF!)&gt;1</formula>
    </cfRule>
  </conditionalFormatting>
  <conditionalFormatting sqref="E1694:F1695 A1694:C1695 I1694:J1695 T1694:XFD1694 L1694:P1694 L1695:XFD1695">
    <cfRule type="expression" dxfId="0" priority="993">
      <formula>COUNTIF($D:$D, $D1696)&gt;1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E09B9B"/>
    <outlinePr summaryBelow="0"/>
  </sheetPr>
  <dimension ref="A1:AZ4019"/>
  <sheetViews>
    <sheetView topLeftCell="I1" zoomScale="85" zoomScaleNormal="85" workbookViewId="0">
      <pane ySplit="1" topLeftCell="K249" activePane="bottomLeft" state="frozen"/>
      <selection pane="bottomLeft" activeCell="R339" sqref="R339"/>
      <selection activeCell="Q1" sqref="Q1"/>
    </sheetView>
  </sheetViews>
  <sheetFormatPr defaultColWidth="0" defaultRowHeight="12" zeroHeight="1"/>
  <cols>
    <col min="1" max="1" width="6.5703125" style="125" bestFit="1" customWidth="1"/>
    <col min="2" max="2" width="13.7109375" style="125" bestFit="1" customWidth="1"/>
    <col min="3" max="3" width="10.85546875" style="125" bestFit="1" customWidth="1"/>
    <col min="4" max="4" width="19.42578125" style="125" bestFit="1" customWidth="1"/>
    <col min="5" max="5" width="13.5703125" style="125" bestFit="1" customWidth="1"/>
    <col min="6" max="6" width="16.140625" style="125" bestFit="1" customWidth="1"/>
    <col min="7" max="7" width="9.140625" style="125" customWidth="1"/>
    <col min="8" max="8" width="12.28515625" style="125" bestFit="1" customWidth="1"/>
    <col min="9" max="10" width="9.140625" style="125" customWidth="1"/>
    <col min="11" max="11" width="12.42578125" style="142" bestFit="1" customWidth="1"/>
    <col min="12" max="12" width="13.140625" style="125" bestFit="1" customWidth="1"/>
    <col min="13" max="13" width="32.28515625" style="125" bestFit="1" customWidth="1"/>
    <col min="14" max="14" width="66.42578125" style="125" bestFit="1" customWidth="1"/>
    <col min="15" max="15" width="107.85546875" style="270" bestFit="1" customWidth="1"/>
    <col min="16" max="19" width="13.5703125" style="125" customWidth="1"/>
    <col min="20" max="20" width="9.140625" style="125" customWidth="1"/>
    <col min="21" max="21" width="9.140625" style="125" hidden="1" customWidth="1"/>
    <col min="22" max="16384" width="0" style="125" hidden="1"/>
  </cols>
  <sheetData>
    <row r="1" spans="1:21" s="164" customFormat="1" ht="36" customHeight="1">
      <c r="A1" s="866" t="s">
        <v>5462</v>
      </c>
      <c r="B1" s="866" t="s">
        <v>3576</v>
      </c>
      <c r="C1" s="866" t="s">
        <v>3577</v>
      </c>
      <c r="D1" s="866" t="s">
        <v>3578</v>
      </c>
      <c r="E1" s="866" t="s">
        <v>3579</v>
      </c>
      <c r="F1" s="866" t="s">
        <v>3580</v>
      </c>
      <c r="G1" s="866" t="s">
        <v>3581</v>
      </c>
      <c r="H1" s="866" t="s">
        <v>3582</v>
      </c>
      <c r="I1" s="866" t="s">
        <v>3583</v>
      </c>
      <c r="J1" s="866" t="s">
        <v>3584</v>
      </c>
      <c r="K1" s="867" t="s">
        <v>3585</v>
      </c>
      <c r="L1" s="866" t="s">
        <v>3586</v>
      </c>
      <c r="M1" s="866" t="s">
        <v>1486</v>
      </c>
      <c r="N1" s="866" t="s">
        <v>3587</v>
      </c>
      <c r="O1" s="870" t="s">
        <v>3588</v>
      </c>
      <c r="P1" s="866" t="s">
        <v>3589</v>
      </c>
      <c r="Q1" s="869" t="s">
        <v>3590</v>
      </c>
      <c r="R1" s="866" t="s">
        <v>3591</v>
      </c>
      <c r="S1" s="866" t="s">
        <v>3592</v>
      </c>
      <c r="T1" s="868" t="s">
        <v>5463</v>
      </c>
      <c r="U1" s="214"/>
    </row>
    <row r="2" spans="1:21" s="164" customFormat="1">
      <c r="A2" s="866"/>
      <c r="B2" s="866"/>
      <c r="C2" s="866"/>
      <c r="D2" s="866"/>
      <c r="E2" s="866"/>
      <c r="F2" s="866"/>
      <c r="G2" s="866"/>
      <c r="H2" s="866"/>
      <c r="I2" s="866"/>
      <c r="J2" s="866"/>
      <c r="K2" s="867"/>
      <c r="L2" s="866"/>
      <c r="M2" s="866"/>
      <c r="N2" s="866"/>
      <c r="O2" s="870"/>
      <c r="P2" s="866"/>
      <c r="Q2" s="869"/>
      <c r="R2" s="866"/>
      <c r="S2" s="866"/>
      <c r="T2" s="868"/>
      <c r="U2" s="214"/>
    </row>
    <row r="3" spans="1:21" ht="30" customHeight="1">
      <c r="A3" s="143">
        <v>1</v>
      </c>
      <c r="B3" s="126" t="s">
        <v>1595</v>
      </c>
      <c r="C3" s="126" t="s">
        <v>5464</v>
      </c>
      <c r="D3" s="126" t="s">
        <v>1479</v>
      </c>
      <c r="E3" s="126" t="s">
        <v>3603</v>
      </c>
      <c r="F3" s="126" t="s">
        <v>3619</v>
      </c>
      <c r="G3" s="126" t="s">
        <v>0</v>
      </c>
      <c r="H3" s="126" t="s">
        <v>3595</v>
      </c>
      <c r="I3" s="126" t="s">
        <v>3596</v>
      </c>
      <c r="J3" s="126" t="s">
        <v>5463</v>
      </c>
      <c r="K3" s="127">
        <v>45659</v>
      </c>
      <c r="L3" s="126" t="s">
        <v>5465</v>
      </c>
      <c r="M3" s="126" t="s">
        <v>1049</v>
      </c>
      <c r="N3" s="126" t="s">
        <v>5466</v>
      </c>
      <c r="O3" s="263" t="s">
        <v>5467</v>
      </c>
      <c r="P3" s="128" t="s">
        <v>26</v>
      </c>
      <c r="Q3" s="246" t="s">
        <v>49</v>
      </c>
      <c r="R3" s="128" t="s">
        <v>5463</v>
      </c>
      <c r="S3" s="128" t="s">
        <v>3602</v>
      </c>
      <c r="T3" s="251"/>
      <c r="U3" s="128"/>
    </row>
    <row r="4" spans="1:21" ht="30" customHeight="1">
      <c r="A4" s="143">
        <v>2</v>
      </c>
      <c r="B4" s="126" t="s">
        <v>1612</v>
      </c>
      <c r="C4" s="126" t="s">
        <v>5468</v>
      </c>
      <c r="D4" s="126" t="s">
        <v>1581</v>
      </c>
      <c r="E4" s="126" t="s">
        <v>3603</v>
      </c>
      <c r="F4" s="126" t="s">
        <v>3594</v>
      </c>
      <c r="G4" s="126" t="s">
        <v>0</v>
      </c>
      <c r="H4" s="126" t="s">
        <v>3595</v>
      </c>
      <c r="I4" s="126" t="s">
        <v>3596</v>
      </c>
      <c r="J4" s="126" t="s">
        <v>2880</v>
      </c>
      <c r="K4" s="127">
        <v>45666</v>
      </c>
      <c r="L4" s="126" t="s">
        <v>5469</v>
      </c>
      <c r="M4" s="126" t="s">
        <v>5470</v>
      </c>
      <c r="N4" s="126" t="s">
        <v>5471</v>
      </c>
      <c r="O4" s="263" t="s">
        <v>5472</v>
      </c>
      <c r="P4" s="128" t="s">
        <v>24</v>
      </c>
      <c r="Q4" s="246" t="s">
        <v>49</v>
      </c>
      <c r="R4" s="128" t="s">
        <v>5463</v>
      </c>
      <c r="S4" s="128" t="s">
        <v>3714</v>
      </c>
      <c r="T4" s="251"/>
      <c r="U4" s="128"/>
    </row>
    <row r="5" spans="1:21" ht="30" customHeight="1">
      <c r="A5" s="143">
        <v>3</v>
      </c>
      <c r="B5" s="126" t="s">
        <v>1610</v>
      </c>
      <c r="C5" s="126" t="s">
        <v>5468</v>
      </c>
      <c r="D5" s="126" t="s">
        <v>1581</v>
      </c>
      <c r="E5" s="126" t="s">
        <v>3603</v>
      </c>
      <c r="F5" s="126" t="s">
        <v>3619</v>
      </c>
      <c r="G5" s="126" t="s">
        <v>0</v>
      </c>
      <c r="H5" s="126" t="s">
        <v>3595</v>
      </c>
      <c r="I5" s="126" t="s">
        <v>3596</v>
      </c>
      <c r="J5" s="126" t="s">
        <v>2880</v>
      </c>
      <c r="K5" s="127">
        <v>45666</v>
      </c>
      <c r="L5" s="126" t="s">
        <v>5473</v>
      </c>
      <c r="M5" s="126" t="s">
        <v>370</v>
      </c>
      <c r="N5" s="126" t="s">
        <v>5474</v>
      </c>
      <c r="O5" s="263" t="s">
        <v>5475</v>
      </c>
      <c r="P5" s="128" t="s">
        <v>24</v>
      </c>
      <c r="Q5" s="246" t="s">
        <v>49</v>
      </c>
      <c r="R5" s="128" t="s">
        <v>5463</v>
      </c>
      <c r="S5" s="128" t="s">
        <v>3714</v>
      </c>
      <c r="T5" s="251"/>
      <c r="U5" s="128"/>
    </row>
    <row r="6" spans="1:21" ht="30" customHeight="1">
      <c r="A6" s="143">
        <v>4</v>
      </c>
      <c r="B6" s="126" t="s">
        <v>1618</v>
      </c>
      <c r="C6" s="126" t="s">
        <v>5476</v>
      </c>
      <c r="D6" s="126" t="s">
        <v>5477</v>
      </c>
      <c r="E6" s="126" t="s">
        <v>3603</v>
      </c>
      <c r="F6" s="126" t="s">
        <v>3594</v>
      </c>
      <c r="G6" s="126" t="s">
        <v>0</v>
      </c>
      <c r="H6" s="126" t="s">
        <v>3614</v>
      </c>
      <c r="I6" s="126" t="s">
        <v>3596</v>
      </c>
      <c r="J6" s="126" t="s">
        <v>2880</v>
      </c>
      <c r="K6" s="127">
        <v>45667</v>
      </c>
      <c r="L6" s="126" t="s">
        <v>5478</v>
      </c>
      <c r="M6" s="126" t="s">
        <v>932</v>
      </c>
      <c r="N6" s="126" t="s">
        <v>5479</v>
      </c>
      <c r="O6" s="263" t="s">
        <v>5480</v>
      </c>
      <c r="P6" s="128" t="s">
        <v>45</v>
      </c>
      <c r="Q6" s="246" t="s">
        <v>5481</v>
      </c>
      <c r="R6" s="128" t="s">
        <v>5463</v>
      </c>
      <c r="S6" s="128" t="s">
        <v>5482</v>
      </c>
      <c r="T6" s="251"/>
      <c r="U6" s="128"/>
    </row>
    <row r="7" spans="1:21" ht="30" customHeight="1">
      <c r="A7" s="143">
        <v>5</v>
      </c>
      <c r="B7" s="126" t="s">
        <v>1625</v>
      </c>
      <c r="C7" s="126" t="s">
        <v>5483</v>
      </c>
      <c r="D7" s="126" t="s">
        <v>1591</v>
      </c>
      <c r="E7" s="126" t="s">
        <v>3603</v>
      </c>
      <c r="F7" s="126" t="s">
        <v>3604</v>
      </c>
      <c r="G7" s="126" t="s">
        <v>0</v>
      </c>
      <c r="H7" s="126" t="s">
        <v>3595</v>
      </c>
      <c r="I7" s="126" t="s">
        <v>3596</v>
      </c>
      <c r="J7" s="126" t="s">
        <v>5463</v>
      </c>
      <c r="K7" s="127">
        <v>45670</v>
      </c>
      <c r="L7" s="126">
        <v>1100220100</v>
      </c>
      <c r="M7" s="126" t="s">
        <v>438</v>
      </c>
      <c r="N7" s="126" t="s">
        <v>5484</v>
      </c>
      <c r="O7" s="263" t="s">
        <v>5485</v>
      </c>
      <c r="P7" s="128" t="s">
        <v>3600</v>
      </c>
      <c r="Q7" s="246" t="s">
        <v>54</v>
      </c>
      <c r="R7" s="128" t="s">
        <v>5463</v>
      </c>
      <c r="S7" s="128" t="s">
        <v>3666</v>
      </c>
      <c r="T7" s="251"/>
      <c r="U7" s="128"/>
    </row>
    <row r="8" spans="1:21" ht="30" customHeight="1">
      <c r="A8" s="143">
        <v>6</v>
      </c>
      <c r="B8" s="126" t="s">
        <v>1626</v>
      </c>
      <c r="C8" s="126" t="s">
        <v>5483</v>
      </c>
      <c r="D8" s="126" t="s">
        <v>1591</v>
      </c>
      <c r="E8" s="126" t="s">
        <v>3603</v>
      </c>
      <c r="F8" s="126" t="s">
        <v>3604</v>
      </c>
      <c r="G8" s="126" t="s">
        <v>0</v>
      </c>
      <c r="H8" s="126" t="s">
        <v>3614</v>
      </c>
      <c r="I8" s="126" t="s">
        <v>3596</v>
      </c>
      <c r="J8" s="126" t="s">
        <v>2880</v>
      </c>
      <c r="K8" s="127">
        <v>45670</v>
      </c>
      <c r="L8" s="126" t="s">
        <v>5478</v>
      </c>
      <c r="M8" s="126" t="s">
        <v>932</v>
      </c>
      <c r="N8" s="126" t="s">
        <v>5486</v>
      </c>
      <c r="O8" s="263" t="s">
        <v>5487</v>
      </c>
      <c r="P8" s="128" t="s">
        <v>45</v>
      </c>
      <c r="Q8" s="246" t="s">
        <v>5481</v>
      </c>
      <c r="R8" s="128" t="s">
        <v>5463</v>
      </c>
      <c r="S8" s="128" t="s">
        <v>5482</v>
      </c>
      <c r="T8" s="251"/>
      <c r="U8" s="128"/>
    </row>
    <row r="9" spans="1:21" ht="30" customHeight="1">
      <c r="A9" s="143">
        <v>7</v>
      </c>
      <c r="B9" s="126" t="s">
        <v>1624</v>
      </c>
      <c r="C9" s="126" t="s">
        <v>5483</v>
      </c>
      <c r="D9" s="126" t="s">
        <v>1591</v>
      </c>
      <c r="E9" s="126" t="s">
        <v>3603</v>
      </c>
      <c r="F9" s="126" t="s">
        <v>3604</v>
      </c>
      <c r="G9" s="126" t="s">
        <v>0</v>
      </c>
      <c r="H9" s="126" t="s">
        <v>3614</v>
      </c>
      <c r="I9" s="126" t="s">
        <v>3596</v>
      </c>
      <c r="J9" s="126" t="s">
        <v>2880</v>
      </c>
      <c r="K9" s="127">
        <v>45670</v>
      </c>
      <c r="L9" s="126" t="s">
        <v>5478</v>
      </c>
      <c r="M9" s="126" t="s">
        <v>932</v>
      </c>
      <c r="N9" s="126" t="s">
        <v>5488</v>
      </c>
      <c r="O9" s="263" t="s">
        <v>5489</v>
      </c>
      <c r="P9" s="128" t="s">
        <v>45</v>
      </c>
      <c r="Q9" s="246" t="s">
        <v>5481</v>
      </c>
      <c r="R9" s="128" t="s">
        <v>5463</v>
      </c>
      <c r="S9" s="128" t="s">
        <v>5482</v>
      </c>
      <c r="T9" s="251"/>
      <c r="U9" s="128"/>
    </row>
    <row r="10" spans="1:21" ht="30" customHeight="1">
      <c r="A10" s="143">
        <v>8</v>
      </c>
      <c r="B10" s="126" t="s">
        <v>1623</v>
      </c>
      <c r="C10" s="126" t="s">
        <v>5483</v>
      </c>
      <c r="D10" s="126" t="s">
        <v>1591</v>
      </c>
      <c r="E10" s="126" t="s">
        <v>3603</v>
      </c>
      <c r="F10" s="126" t="s">
        <v>3604</v>
      </c>
      <c r="G10" s="126" t="s">
        <v>0</v>
      </c>
      <c r="H10" s="126" t="s">
        <v>3595</v>
      </c>
      <c r="I10" s="126" t="s">
        <v>3596</v>
      </c>
      <c r="J10" s="126" t="s">
        <v>5463</v>
      </c>
      <c r="K10" s="127">
        <v>45670</v>
      </c>
      <c r="L10" s="126">
        <v>1100364300</v>
      </c>
      <c r="M10" s="126" t="s">
        <v>1519</v>
      </c>
      <c r="N10" s="126" t="s">
        <v>5490</v>
      </c>
      <c r="O10" s="263" t="s">
        <v>5491</v>
      </c>
      <c r="P10" s="128" t="s">
        <v>3600</v>
      </c>
      <c r="Q10" s="246" t="s">
        <v>54</v>
      </c>
      <c r="R10" s="128" t="s">
        <v>5463</v>
      </c>
      <c r="S10" s="128" t="s">
        <v>3714</v>
      </c>
      <c r="T10" s="251"/>
      <c r="U10" s="128"/>
    </row>
    <row r="11" spans="1:21" ht="30" customHeight="1">
      <c r="A11" s="143">
        <v>9</v>
      </c>
      <c r="B11" s="126" t="s">
        <v>1629</v>
      </c>
      <c r="C11" s="126" t="s">
        <v>5492</v>
      </c>
      <c r="D11" s="126" t="s">
        <v>1476</v>
      </c>
      <c r="E11" s="126" t="s">
        <v>3603</v>
      </c>
      <c r="F11" s="126" t="s">
        <v>3619</v>
      </c>
      <c r="G11" s="126" t="s">
        <v>0</v>
      </c>
      <c r="H11" s="126" t="s">
        <v>3595</v>
      </c>
      <c r="I11" s="126" t="s">
        <v>2894</v>
      </c>
      <c r="J11" s="126" t="s">
        <v>2880</v>
      </c>
      <c r="K11" s="127">
        <v>45672</v>
      </c>
      <c r="L11" s="126" t="s">
        <v>5493</v>
      </c>
      <c r="M11" s="126" t="s">
        <v>195</v>
      </c>
      <c r="N11" s="126" t="s">
        <v>5494</v>
      </c>
      <c r="O11" s="263" t="s">
        <v>5495</v>
      </c>
      <c r="P11" s="128" t="s">
        <v>24</v>
      </c>
      <c r="Q11" s="246" t="s">
        <v>49</v>
      </c>
      <c r="R11" s="128" t="s">
        <v>5463</v>
      </c>
      <c r="S11" s="128" t="s">
        <v>3904</v>
      </c>
      <c r="T11" s="251"/>
      <c r="U11" s="128"/>
    </row>
    <row r="12" spans="1:21" ht="30" customHeight="1">
      <c r="A12" s="143">
        <v>10</v>
      </c>
      <c r="B12" s="126" t="s">
        <v>1632</v>
      </c>
      <c r="C12" s="126" t="s">
        <v>5492</v>
      </c>
      <c r="D12" s="126" t="s">
        <v>1476</v>
      </c>
      <c r="E12" s="126" t="s">
        <v>3603</v>
      </c>
      <c r="F12" s="126" t="s">
        <v>3619</v>
      </c>
      <c r="G12" s="126" t="s">
        <v>0</v>
      </c>
      <c r="H12" s="126" t="s">
        <v>3595</v>
      </c>
      <c r="I12" s="126" t="s">
        <v>2894</v>
      </c>
      <c r="J12" s="126" t="s">
        <v>2880</v>
      </c>
      <c r="K12" s="127">
        <v>45672</v>
      </c>
      <c r="L12" s="126" t="s">
        <v>5496</v>
      </c>
      <c r="M12" s="126" t="s">
        <v>5140</v>
      </c>
      <c r="N12" s="126" t="s">
        <v>5497</v>
      </c>
      <c r="O12" s="263" t="s">
        <v>5498</v>
      </c>
      <c r="P12" s="128" t="s">
        <v>24</v>
      </c>
      <c r="Q12" s="246" t="s">
        <v>49</v>
      </c>
      <c r="R12" s="128" t="s">
        <v>5463</v>
      </c>
      <c r="S12" s="128" t="s">
        <v>3714</v>
      </c>
      <c r="T12" s="251"/>
      <c r="U12" s="128"/>
    </row>
    <row r="13" spans="1:21" ht="30" customHeight="1">
      <c r="A13" s="143">
        <v>11</v>
      </c>
      <c r="B13" s="126" t="s">
        <v>1627</v>
      </c>
      <c r="C13" s="126" t="s">
        <v>5492</v>
      </c>
      <c r="D13" s="126" t="s">
        <v>1476</v>
      </c>
      <c r="E13" s="126" t="s">
        <v>3603</v>
      </c>
      <c r="F13" s="126" t="s">
        <v>3619</v>
      </c>
      <c r="G13" s="126" t="s">
        <v>0</v>
      </c>
      <c r="H13" s="126" t="s">
        <v>3595</v>
      </c>
      <c r="I13" s="126" t="s">
        <v>2894</v>
      </c>
      <c r="J13" s="126" t="s">
        <v>2880</v>
      </c>
      <c r="K13" s="127">
        <v>45672</v>
      </c>
      <c r="L13" s="126" t="s">
        <v>5499</v>
      </c>
      <c r="M13" s="126" t="s">
        <v>255</v>
      </c>
      <c r="N13" s="126" t="s">
        <v>5500</v>
      </c>
      <c r="O13" s="263" t="s">
        <v>5501</v>
      </c>
      <c r="P13" s="128" t="s">
        <v>4091</v>
      </c>
      <c r="Q13" s="246" t="s">
        <v>49</v>
      </c>
      <c r="R13" s="128" t="s">
        <v>5463</v>
      </c>
      <c r="S13" s="128" t="s">
        <v>5502</v>
      </c>
      <c r="T13" s="251"/>
      <c r="U13" s="128"/>
    </row>
    <row r="14" spans="1:21" ht="30" customHeight="1">
      <c r="A14" s="143">
        <v>12</v>
      </c>
      <c r="B14" s="126" t="s">
        <v>1630</v>
      </c>
      <c r="C14" s="126" t="s">
        <v>5503</v>
      </c>
      <c r="D14" s="126" t="s">
        <v>1476</v>
      </c>
      <c r="E14" s="126" t="s">
        <v>3603</v>
      </c>
      <c r="F14" s="126" t="s">
        <v>3619</v>
      </c>
      <c r="G14" s="126" t="s">
        <v>0</v>
      </c>
      <c r="H14" s="126" t="s">
        <v>3595</v>
      </c>
      <c r="I14" s="126" t="s">
        <v>2894</v>
      </c>
      <c r="J14" s="126" t="s">
        <v>2880</v>
      </c>
      <c r="K14" s="127">
        <v>45672</v>
      </c>
      <c r="L14" s="126">
        <v>1100091600</v>
      </c>
      <c r="M14" s="126" t="s">
        <v>347</v>
      </c>
      <c r="N14" s="126" t="s">
        <v>5504</v>
      </c>
      <c r="O14" s="263" t="s">
        <v>5505</v>
      </c>
      <c r="P14" s="128" t="s">
        <v>45</v>
      </c>
      <c r="Q14" s="246" t="s">
        <v>49</v>
      </c>
      <c r="R14" s="128" t="s">
        <v>5463</v>
      </c>
      <c r="S14" s="128" t="s">
        <v>5506</v>
      </c>
      <c r="T14" s="251"/>
      <c r="U14" s="128"/>
    </row>
    <row r="15" spans="1:21" ht="30" customHeight="1">
      <c r="A15" s="143">
        <v>13</v>
      </c>
      <c r="B15" s="126" t="s">
        <v>1631</v>
      </c>
      <c r="C15" s="126" t="s">
        <v>5492</v>
      </c>
      <c r="D15" s="126" t="s">
        <v>1476</v>
      </c>
      <c r="E15" s="126" t="s">
        <v>3603</v>
      </c>
      <c r="F15" s="126" t="s">
        <v>3619</v>
      </c>
      <c r="G15" s="126" t="s">
        <v>0</v>
      </c>
      <c r="H15" s="126" t="s">
        <v>3614</v>
      </c>
      <c r="I15" s="126" t="s">
        <v>3596</v>
      </c>
      <c r="J15" s="126" t="s">
        <v>2880</v>
      </c>
      <c r="K15" s="127">
        <v>45672</v>
      </c>
      <c r="L15" s="126" t="s">
        <v>5507</v>
      </c>
      <c r="M15" s="126" t="s">
        <v>1151</v>
      </c>
      <c r="N15" s="126" t="s">
        <v>5508</v>
      </c>
      <c r="O15" s="263" t="s">
        <v>5509</v>
      </c>
      <c r="P15" s="128" t="s">
        <v>45</v>
      </c>
      <c r="Q15" s="246" t="s">
        <v>5481</v>
      </c>
      <c r="R15" s="128" t="s">
        <v>5463</v>
      </c>
      <c r="S15" s="128" t="s">
        <v>5482</v>
      </c>
      <c r="T15" s="251"/>
      <c r="U15" s="128"/>
    </row>
    <row r="16" spans="1:21" ht="30" customHeight="1">
      <c r="A16" s="143">
        <v>14</v>
      </c>
      <c r="B16" s="126" t="s">
        <v>1635</v>
      </c>
      <c r="C16" s="126" t="s">
        <v>5510</v>
      </c>
      <c r="D16" s="126" t="s">
        <v>1476</v>
      </c>
      <c r="E16" s="126" t="s">
        <v>3603</v>
      </c>
      <c r="F16" s="126" t="s">
        <v>3619</v>
      </c>
      <c r="G16" s="126" t="s">
        <v>0</v>
      </c>
      <c r="H16" s="126" t="s">
        <v>3595</v>
      </c>
      <c r="I16" s="126" t="s">
        <v>3596</v>
      </c>
      <c r="J16" s="126" t="s">
        <v>2679</v>
      </c>
      <c r="K16" s="127">
        <v>45673</v>
      </c>
      <c r="L16" s="126" t="s">
        <v>5511</v>
      </c>
      <c r="M16" s="126" t="s">
        <v>386</v>
      </c>
      <c r="N16" s="126" t="s">
        <v>5512</v>
      </c>
      <c r="O16" s="263" t="s">
        <v>5513</v>
      </c>
      <c r="P16" s="128" t="s">
        <v>24</v>
      </c>
      <c r="Q16" s="246" t="s">
        <v>49</v>
      </c>
      <c r="R16" s="128" t="s">
        <v>5463</v>
      </c>
      <c r="S16" s="128" t="s">
        <v>5514</v>
      </c>
      <c r="T16" s="251"/>
      <c r="U16" s="128"/>
    </row>
    <row r="17" spans="1:21" ht="30" customHeight="1">
      <c r="A17" s="143">
        <v>15</v>
      </c>
      <c r="B17" s="126" t="s">
        <v>1635</v>
      </c>
      <c r="C17" s="126" t="s">
        <v>5510</v>
      </c>
      <c r="D17" s="126" t="s">
        <v>1476</v>
      </c>
      <c r="E17" s="126" t="s">
        <v>3603</v>
      </c>
      <c r="F17" s="126" t="s">
        <v>3619</v>
      </c>
      <c r="G17" s="126" t="s">
        <v>0</v>
      </c>
      <c r="H17" s="126" t="s">
        <v>3595</v>
      </c>
      <c r="I17" s="126" t="s">
        <v>3596</v>
      </c>
      <c r="J17" s="126" t="s">
        <v>2679</v>
      </c>
      <c r="K17" s="127">
        <v>45673</v>
      </c>
      <c r="L17" s="126" t="s">
        <v>5511</v>
      </c>
      <c r="M17" s="126" t="s">
        <v>386</v>
      </c>
      <c r="N17" s="126" t="s">
        <v>5515</v>
      </c>
      <c r="O17" s="263" t="s">
        <v>5516</v>
      </c>
      <c r="P17" s="128" t="s">
        <v>24</v>
      </c>
      <c r="Q17" s="246" t="s">
        <v>49</v>
      </c>
      <c r="R17" s="128" t="s">
        <v>5463</v>
      </c>
      <c r="S17" s="128" t="s">
        <v>5517</v>
      </c>
      <c r="T17" s="251"/>
      <c r="U17" s="128"/>
    </row>
    <row r="18" spans="1:21" ht="30" customHeight="1">
      <c r="A18" s="143">
        <v>16</v>
      </c>
      <c r="B18" s="126" t="s">
        <v>1637</v>
      </c>
      <c r="C18" s="126" t="s">
        <v>5468</v>
      </c>
      <c r="D18" s="126" t="s">
        <v>1581</v>
      </c>
      <c r="E18" s="126" t="s">
        <v>3593</v>
      </c>
      <c r="F18" s="126" t="s">
        <v>3594</v>
      </c>
      <c r="G18" s="126" t="s">
        <v>0</v>
      </c>
      <c r="H18" s="126" t="s">
        <v>3595</v>
      </c>
      <c r="I18" s="126" t="s">
        <v>3596</v>
      </c>
      <c r="J18" s="126" t="s">
        <v>2679</v>
      </c>
      <c r="K18" s="127">
        <v>45673</v>
      </c>
      <c r="L18" s="126">
        <v>1100196400</v>
      </c>
      <c r="M18" s="126" t="s">
        <v>3597</v>
      </c>
      <c r="N18" s="126" t="s">
        <v>5518</v>
      </c>
      <c r="O18" s="263"/>
      <c r="P18" s="128" t="s">
        <v>24</v>
      </c>
      <c r="Q18" s="246" t="s">
        <v>49</v>
      </c>
      <c r="R18" s="128" t="s">
        <v>5463</v>
      </c>
      <c r="S18" s="128" t="s">
        <v>3993</v>
      </c>
      <c r="T18" s="251"/>
      <c r="U18" s="128"/>
    </row>
    <row r="19" spans="1:21" ht="30" customHeight="1">
      <c r="A19" s="143">
        <v>17</v>
      </c>
      <c r="B19" s="126" t="s">
        <v>1637</v>
      </c>
      <c r="C19" s="126" t="s">
        <v>5468</v>
      </c>
      <c r="D19" s="126" t="s">
        <v>1581</v>
      </c>
      <c r="E19" s="126" t="s">
        <v>3593</v>
      </c>
      <c r="F19" s="126" t="s">
        <v>3594</v>
      </c>
      <c r="G19" s="126" t="s">
        <v>0</v>
      </c>
      <c r="H19" s="126" t="s">
        <v>3614</v>
      </c>
      <c r="I19" s="126" t="s">
        <v>3596</v>
      </c>
      <c r="J19" s="126" t="s">
        <v>2880</v>
      </c>
      <c r="K19" s="127">
        <v>45673</v>
      </c>
      <c r="L19" s="126" t="s">
        <v>5519</v>
      </c>
      <c r="M19" s="126" t="s">
        <v>753</v>
      </c>
      <c r="N19" s="126" t="s">
        <v>5520</v>
      </c>
      <c r="O19" s="263" t="s">
        <v>5521</v>
      </c>
      <c r="P19" s="128" t="s">
        <v>45</v>
      </c>
      <c r="Q19" s="246" t="s">
        <v>5481</v>
      </c>
      <c r="R19" s="128" t="s">
        <v>5463</v>
      </c>
      <c r="S19" s="128" t="s">
        <v>3656</v>
      </c>
      <c r="T19" s="251"/>
      <c r="U19" s="128"/>
    </row>
    <row r="20" spans="1:21" ht="30" customHeight="1">
      <c r="A20" s="143">
        <v>18</v>
      </c>
      <c r="B20" s="126" t="s">
        <v>1633</v>
      </c>
      <c r="C20" s="126" t="s">
        <v>5522</v>
      </c>
      <c r="D20" s="126" t="s">
        <v>1591</v>
      </c>
      <c r="E20" s="126" t="s">
        <v>3593</v>
      </c>
      <c r="F20" s="126" t="s">
        <v>3619</v>
      </c>
      <c r="G20" s="126" t="s">
        <v>0</v>
      </c>
      <c r="H20" s="126" t="s">
        <v>3595</v>
      </c>
      <c r="I20" s="126" t="s">
        <v>3596</v>
      </c>
      <c r="J20" s="126" t="s">
        <v>2880</v>
      </c>
      <c r="K20" s="127">
        <v>45673</v>
      </c>
      <c r="L20" s="126" t="s">
        <v>5523</v>
      </c>
      <c r="M20" s="126" t="s">
        <v>5524</v>
      </c>
      <c r="N20" s="126" t="s">
        <v>5525</v>
      </c>
      <c r="O20" s="263" t="s">
        <v>5526</v>
      </c>
      <c r="P20" s="128" t="s">
        <v>3600</v>
      </c>
      <c r="Q20" s="246" t="s">
        <v>54</v>
      </c>
      <c r="R20" s="128" t="s">
        <v>5463</v>
      </c>
      <c r="S20" s="128" t="s">
        <v>3602</v>
      </c>
      <c r="T20" s="251"/>
      <c r="U20" s="128"/>
    </row>
    <row r="21" spans="1:21" ht="30" customHeight="1">
      <c r="A21" s="143">
        <v>19</v>
      </c>
      <c r="B21" s="126" t="s">
        <v>1640</v>
      </c>
      <c r="C21" s="126" t="s">
        <v>5503</v>
      </c>
      <c r="D21" s="126" t="s">
        <v>1476</v>
      </c>
      <c r="E21" s="126" t="s">
        <v>3603</v>
      </c>
      <c r="F21" s="126" t="s">
        <v>3619</v>
      </c>
      <c r="G21" s="126" t="s">
        <v>0</v>
      </c>
      <c r="H21" s="126" t="s">
        <v>3595</v>
      </c>
      <c r="I21" s="126" t="s">
        <v>3596</v>
      </c>
      <c r="J21" s="126" t="s">
        <v>2679</v>
      </c>
      <c r="K21" s="127">
        <v>45674</v>
      </c>
      <c r="L21" s="126" t="s">
        <v>5527</v>
      </c>
      <c r="M21" s="126" t="s">
        <v>143</v>
      </c>
      <c r="N21" s="126" t="s">
        <v>5528</v>
      </c>
      <c r="O21" s="263" t="s">
        <v>5529</v>
      </c>
      <c r="P21" s="128" t="s">
        <v>1463</v>
      </c>
      <c r="Q21" s="246" t="s">
        <v>49</v>
      </c>
      <c r="R21" s="128" t="s">
        <v>5463</v>
      </c>
      <c r="S21" s="128" t="s">
        <v>3666</v>
      </c>
      <c r="T21" s="251"/>
      <c r="U21" s="128"/>
    </row>
    <row r="22" spans="1:21" ht="30" customHeight="1">
      <c r="A22" s="143">
        <v>20</v>
      </c>
      <c r="B22" s="126" t="s">
        <v>1645</v>
      </c>
      <c r="C22" s="126" t="s">
        <v>5530</v>
      </c>
      <c r="D22" s="126" t="s">
        <v>1591</v>
      </c>
      <c r="E22" s="126" t="s">
        <v>3603</v>
      </c>
      <c r="F22" s="126" t="s">
        <v>3594</v>
      </c>
      <c r="G22" s="126" t="s">
        <v>0</v>
      </c>
      <c r="H22" s="126" t="s">
        <v>3595</v>
      </c>
      <c r="I22" s="126" t="s">
        <v>3596</v>
      </c>
      <c r="J22" s="126" t="s">
        <v>5463</v>
      </c>
      <c r="K22" s="127">
        <v>45674</v>
      </c>
      <c r="L22" s="126" t="s">
        <v>5531</v>
      </c>
      <c r="M22" s="126" t="s">
        <v>226</v>
      </c>
      <c r="N22" s="126" t="s">
        <v>5532</v>
      </c>
      <c r="O22" s="263" t="s">
        <v>5533</v>
      </c>
      <c r="P22" s="128" t="s">
        <v>24</v>
      </c>
      <c r="Q22" s="246" t="s">
        <v>49</v>
      </c>
      <c r="R22" s="128" t="s">
        <v>5463</v>
      </c>
      <c r="S22" s="128" t="s">
        <v>5502</v>
      </c>
      <c r="T22" s="251"/>
      <c r="U22" s="128"/>
    </row>
    <row r="23" spans="1:21" ht="30" customHeight="1">
      <c r="A23" s="143">
        <v>21</v>
      </c>
      <c r="B23" s="126" t="s">
        <v>1641</v>
      </c>
      <c r="C23" s="126" t="s">
        <v>5503</v>
      </c>
      <c r="D23" s="126" t="s">
        <v>1476</v>
      </c>
      <c r="E23" s="126" t="s">
        <v>3593</v>
      </c>
      <c r="F23" s="126" t="s">
        <v>3619</v>
      </c>
      <c r="G23" s="126" t="s">
        <v>0</v>
      </c>
      <c r="H23" s="126" t="s">
        <v>3595</v>
      </c>
      <c r="I23" s="126" t="s">
        <v>3596</v>
      </c>
      <c r="J23" s="126" t="s">
        <v>2880</v>
      </c>
      <c r="K23" s="127">
        <v>45674</v>
      </c>
      <c r="L23" s="126">
        <v>1110179500</v>
      </c>
      <c r="M23" s="126" t="s">
        <v>5534</v>
      </c>
      <c r="N23" s="126" t="s">
        <v>5535</v>
      </c>
      <c r="O23" s="263" t="s">
        <v>5536</v>
      </c>
      <c r="P23" s="128" t="s">
        <v>24</v>
      </c>
      <c r="Q23" s="246" t="s">
        <v>49</v>
      </c>
      <c r="R23" s="128" t="s">
        <v>5463</v>
      </c>
      <c r="S23" s="128" t="s">
        <v>3993</v>
      </c>
      <c r="T23" s="251"/>
      <c r="U23" s="128"/>
    </row>
    <row r="24" spans="1:21" ht="30" customHeight="1">
      <c r="A24" s="143">
        <v>22</v>
      </c>
      <c r="B24" s="126" t="s">
        <v>1642</v>
      </c>
      <c r="C24" s="126" t="s">
        <v>5530</v>
      </c>
      <c r="D24" s="126" t="s">
        <v>1591</v>
      </c>
      <c r="E24" s="126" t="s">
        <v>3603</v>
      </c>
      <c r="F24" s="126" t="s">
        <v>3594</v>
      </c>
      <c r="G24" s="126" t="s">
        <v>0</v>
      </c>
      <c r="H24" s="126" t="s">
        <v>3595</v>
      </c>
      <c r="I24" s="126" t="s">
        <v>3596</v>
      </c>
      <c r="J24" s="126" t="s">
        <v>5463</v>
      </c>
      <c r="K24" s="127">
        <v>45674</v>
      </c>
      <c r="L24" s="126" t="s">
        <v>5537</v>
      </c>
      <c r="M24" s="130" t="s">
        <v>4095</v>
      </c>
      <c r="N24" s="126" t="s">
        <v>5538</v>
      </c>
      <c r="O24" s="263" t="s">
        <v>5539</v>
      </c>
      <c r="P24" s="128" t="s">
        <v>24</v>
      </c>
      <c r="Q24" s="246" t="s">
        <v>49</v>
      </c>
      <c r="R24" s="128" t="s">
        <v>5463</v>
      </c>
      <c r="S24" s="128" t="s">
        <v>3666</v>
      </c>
      <c r="T24" s="251"/>
      <c r="U24" s="128"/>
    </row>
    <row r="25" spans="1:21" ht="30" customHeight="1">
      <c r="A25" s="143">
        <v>23</v>
      </c>
      <c r="B25" s="126" t="s">
        <v>1644</v>
      </c>
      <c r="C25" s="126">
        <f>COUNTIFS(
  '가압 불량내역'!$K:$K,"&gt;=2025-01-01",
  '가압 불량내역'!$K:$K,"&lt;=2025-01-31",
  '가압 불량내역'!$H:$H,"기구작업불량",
  '가압 불량내역'!$S:$S,"*FNI",
  '가압 불량내역'!$Q:$Q,"제조"
) +
COUNTIFS(
  '가압 불량내역'!$K:$K,"&gt;=2025-01-01",
  '가압 불량내역'!$K:$K,"&lt;=2025-01-31",
  '가압 불량내역'!$H:$H,"기구작업불량",
  '가압 불량내역'!$S:$S,"*FNI",
  '가압 불량내역'!$Q:$Q,"제조(재작업)"
)</f>
        <v>6</v>
      </c>
      <c r="D25" s="126" t="s">
        <v>1591</v>
      </c>
      <c r="E25" s="126" t="s">
        <v>3603</v>
      </c>
      <c r="F25" s="126" t="s">
        <v>3594</v>
      </c>
      <c r="G25" s="126" t="s">
        <v>0</v>
      </c>
      <c r="H25" s="126" t="s">
        <v>3614</v>
      </c>
      <c r="I25" s="126" t="s">
        <v>3596</v>
      </c>
      <c r="J25" s="126" t="s">
        <v>5463</v>
      </c>
      <c r="K25" s="127">
        <v>45674</v>
      </c>
      <c r="L25" s="126" t="s">
        <v>5478</v>
      </c>
      <c r="M25" s="126" t="s">
        <v>932</v>
      </c>
      <c r="N25" s="126" t="s">
        <v>5486</v>
      </c>
      <c r="O25" s="263" t="s">
        <v>5540</v>
      </c>
      <c r="P25" s="128" t="s">
        <v>45</v>
      </c>
      <c r="Q25" s="246" t="s">
        <v>5481</v>
      </c>
      <c r="R25" s="128" t="s">
        <v>5463</v>
      </c>
      <c r="S25" s="128" t="s">
        <v>3666</v>
      </c>
      <c r="T25" s="251"/>
      <c r="U25" s="128"/>
    </row>
    <row r="26" spans="1:21" ht="30" customHeight="1">
      <c r="A26" s="143">
        <v>24</v>
      </c>
      <c r="B26" s="126" t="s">
        <v>1639</v>
      </c>
      <c r="C26" s="126" t="s">
        <v>5541</v>
      </c>
      <c r="D26" s="126" t="s">
        <v>1476</v>
      </c>
      <c r="E26" s="126" t="s">
        <v>3593</v>
      </c>
      <c r="F26" s="126" t="s">
        <v>3619</v>
      </c>
      <c r="G26" s="126" t="s">
        <v>0</v>
      </c>
      <c r="H26" s="126" t="s">
        <v>3614</v>
      </c>
      <c r="I26" s="126" t="s">
        <v>3596</v>
      </c>
      <c r="J26" s="126" t="s">
        <v>2679</v>
      </c>
      <c r="K26" s="127">
        <v>45674</v>
      </c>
      <c r="L26" s="126" t="s">
        <v>5478</v>
      </c>
      <c r="M26" s="126" t="s">
        <v>932</v>
      </c>
      <c r="N26" s="126" t="s">
        <v>5542</v>
      </c>
      <c r="O26" s="263" t="s">
        <v>5543</v>
      </c>
      <c r="P26" s="128" t="s">
        <v>45</v>
      </c>
      <c r="Q26" s="246" t="s">
        <v>5481</v>
      </c>
      <c r="R26" s="128" t="s">
        <v>5463</v>
      </c>
      <c r="S26" s="128" t="s">
        <v>3679</v>
      </c>
      <c r="T26" s="251"/>
      <c r="U26" s="128"/>
    </row>
    <row r="27" spans="1:21" ht="30" customHeight="1">
      <c r="A27" s="143">
        <v>25</v>
      </c>
      <c r="B27" s="126" t="s">
        <v>1647</v>
      </c>
      <c r="C27" s="127" t="e">
        <f ca="1">COUNTIFS('가압 불량내역'!S3
  '가압 불량내역'!$K:$K,"&gt;=2025-01-01",
  '가압 불량내역'!$K:$K,"&lt;=2025-01-31",
  '가압 불량내역'!$H:$H,"기구작업불량",
  '가압 불량내역'!$S:$S,"*TMS",
  '가압 불량내역'!$Q:$Q,"제조"
) +
COUNTIFS(
  '가압 불량내역'!$K:$K,"&gt;=2025-01-01",
  '가압 불량내역'!$K:$K,"&lt;=2025-01-31",
  '가압 불량내역'!$H:$H,"기구작업불량",
  '가압 불량내역'!$S:$S,"*TMS",
  '가압 불량내역'!$Q:$Q,"제조(재작업)"
)</f>
        <v>#NULL!</v>
      </c>
      <c r="D27" s="126" t="s">
        <v>1591</v>
      </c>
      <c r="E27" s="126" t="s">
        <v>3603</v>
      </c>
      <c r="F27" s="126" t="s">
        <v>3619</v>
      </c>
      <c r="G27" s="126" t="s">
        <v>0</v>
      </c>
      <c r="H27" s="126" t="s">
        <v>3595</v>
      </c>
      <c r="I27" s="126" t="s">
        <v>3596</v>
      </c>
      <c r="J27" s="126" t="s">
        <v>5463</v>
      </c>
      <c r="K27" s="127">
        <v>45677</v>
      </c>
      <c r="L27" s="126">
        <v>1100020100</v>
      </c>
      <c r="M27" s="126" t="s">
        <v>1496</v>
      </c>
      <c r="N27" s="126" t="s">
        <v>5544</v>
      </c>
      <c r="O27" s="263" t="s">
        <v>5545</v>
      </c>
      <c r="P27" s="128" t="s">
        <v>1463</v>
      </c>
      <c r="Q27" s="246" t="s">
        <v>49</v>
      </c>
      <c r="R27" s="128" t="s">
        <v>5463</v>
      </c>
      <c r="S27" s="128" t="s">
        <v>3715</v>
      </c>
      <c r="T27" s="251"/>
      <c r="U27" s="128"/>
    </row>
    <row r="28" spans="1:21" ht="30" customHeight="1">
      <c r="A28" s="143">
        <v>26</v>
      </c>
      <c r="B28" s="126" t="s">
        <v>1650</v>
      </c>
      <c r="C28" s="126" t="s">
        <v>5546</v>
      </c>
      <c r="D28" s="126" t="s">
        <v>1477</v>
      </c>
      <c r="E28" s="126" t="s">
        <v>3593</v>
      </c>
      <c r="F28" s="126" t="s">
        <v>3619</v>
      </c>
      <c r="G28" s="126" t="s">
        <v>0</v>
      </c>
      <c r="H28" s="126" t="s">
        <v>3614</v>
      </c>
      <c r="I28" s="126" t="s">
        <v>3596</v>
      </c>
      <c r="J28" s="126" t="s">
        <v>5463</v>
      </c>
      <c r="K28" s="127">
        <v>45677</v>
      </c>
      <c r="L28" s="126" t="s">
        <v>5478</v>
      </c>
      <c r="M28" s="126" t="s">
        <v>932</v>
      </c>
      <c r="N28" s="126" t="s">
        <v>5486</v>
      </c>
      <c r="O28" s="263" t="s">
        <v>5547</v>
      </c>
      <c r="P28" s="128" t="s">
        <v>45</v>
      </c>
      <c r="Q28" s="246" t="s">
        <v>5481</v>
      </c>
      <c r="R28" s="128" t="s">
        <v>5463</v>
      </c>
      <c r="S28" s="128" t="s">
        <v>5548</v>
      </c>
      <c r="T28" s="251"/>
      <c r="U28" s="128"/>
    </row>
    <row r="29" spans="1:21" ht="30" customHeight="1">
      <c r="A29" s="143">
        <v>27</v>
      </c>
      <c r="B29" s="126" t="s">
        <v>1652</v>
      </c>
      <c r="C29" s="126" t="s">
        <v>5549</v>
      </c>
      <c r="D29" s="126" t="s">
        <v>1591</v>
      </c>
      <c r="E29" s="126" t="s">
        <v>3593</v>
      </c>
      <c r="F29" s="126" t="s">
        <v>3594</v>
      </c>
      <c r="G29" s="126" t="s">
        <v>0</v>
      </c>
      <c r="H29" s="126" t="s">
        <v>3614</v>
      </c>
      <c r="I29" s="126" t="s">
        <v>3596</v>
      </c>
      <c r="J29" s="126" t="s">
        <v>5463</v>
      </c>
      <c r="K29" s="127">
        <v>45677</v>
      </c>
      <c r="L29" s="126" t="s">
        <v>5478</v>
      </c>
      <c r="M29" s="126" t="s">
        <v>932</v>
      </c>
      <c r="N29" s="126" t="s">
        <v>5550</v>
      </c>
      <c r="O29" s="263" t="s">
        <v>5551</v>
      </c>
      <c r="P29" s="128" t="s">
        <v>45</v>
      </c>
      <c r="Q29" s="246" t="s">
        <v>5481</v>
      </c>
      <c r="R29" s="128" t="s">
        <v>5463</v>
      </c>
      <c r="S29" s="128" t="s">
        <v>5548</v>
      </c>
      <c r="T29" s="251"/>
      <c r="U29" s="128"/>
    </row>
    <row r="30" spans="1:21" ht="30" customHeight="1">
      <c r="A30" s="143">
        <v>28</v>
      </c>
      <c r="B30" s="126" t="s">
        <v>1649</v>
      </c>
      <c r="C30" s="126" t="s">
        <v>5483</v>
      </c>
      <c r="D30" s="126" t="s">
        <v>1591</v>
      </c>
      <c r="E30" s="126" t="s">
        <v>3603</v>
      </c>
      <c r="F30" s="126" t="s">
        <v>3619</v>
      </c>
      <c r="G30" s="126" t="s">
        <v>0</v>
      </c>
      <c r="H30" s="126" t="s">
        <v>3595</v>
      </c>
      <c r="I30" s="126" t="s">
        <v>3596</v>
      </c>
      <c r="J30" s="126" t="s">
        <v>5463</v>
      </c>
      <c r="K30" s="127">
        <v>45677</v>
      </c>
      <c r="L30" s="126">
        <v>1100364300</v>
      </c>
      <c r="M30" s="126" t="s">
        <v>1519</v>
      </c>
      <c r="N30" s="126" t="s">
        <v>5490</v>
      </c>
      <c r="O30" s="263" t="s">
        <v>5491</v>
      </c>
      <c r="P30" s="128" t="s">
        <v>3600</v>
      </c>
      <c r="Q30" s="246" t="s">
        <v>54</v>
      </c>
      <c r="R30" s="128" t="s">
        <v>5463</v>
      </c>
      <c r="S30" s="128" t="s">
        <v>3715</v>
      </c>
      <c r="T30" s="251"/>
      <c r="U30" s="128"/>
    </row>
    <row r="31" spans="1:21" ht="30" customHeight="1">
      <c r="A31" s="143">
        <v>29</v>
      </c>
      <c r="B31" s="126" t="s">
        <v>1648</v>
      </c>
      <c r="C31" s="126" t="s">
        <v>5483</v>
      </c>
      <c r="D31" s="126" t="s">
        <v>1591</v>
      </c>
      <c r="E31" s="126" t="s">
        <v>3603</v>
      </c>
      <c r="F31" s="126" t="s">
        <v>3619</v>
      </c>
      <c r="G31" s="126" t="s">
        <v>0</v>
      </c>
      <c r="H31" s="126" t="s">
        <v>3595</v>
      </c>
      <c r="I31" s="126" t="s">
        <v>3596</v>
      </c>
      <c r="J31" s="126" t="s">
        <v>5463</v>
      </c>
      <c r="K31" s="127">
        <v>45677</v>
      </c>
      <c r="L31" s="126">
        <v>1100364300</v>
      </c>
      <c r="M31" s="126" t="s">
        <v>1519</v>
      </c>
      <c r="N31" s="126" t="s">
        <v>5490</v>
      </c>
      <c r="O31" s="263" t="s">
        <v>5491</v>
      </c>
      <c r="P31" s="128" t="s">
        <v>39</v>
      </c>
      <c r="Q31" s="246" t="s">
        <v>54</v>
      </c>
      <c r="R31" s="128" t="s">
        <v>5463</v>
      </c>
      <c r="S31" s="128" t="s">
        <v>3715</v>
      </c>
      <c r="T31" s="251"/>
      <c r="U31" s="128"/>
    </row>
    <row r="32" spans="1:21" ht="30" customHeight="1">
      <c r="A32" s="143">
        <v>30</v>
      </c>
      <c r="B32" s="126" t="s">
        <v>1646</v>
      </c>
      <c r="C32" s="126" t="s">
        <v>5483</v>
      </c>
      <c r="D32" s="126" t="s">
        <v>1591</v>
      </c>
      <c r="E32" s="126" t="s">
        <v>3603</v>
      </c>
      <c r="F32" s="126" t="s">
        <v>3619</v>
      </c>
      <c r="G32" s="126" t="s">
        <v>0</v>
      </c>
      <c r="H32" s="126" t="s">
        <v>3595</v>
      </c>
      <c r="I32" s="126" t="s">
        <v>3596</v>
      </c>
      <c r="J32" s="126" t="s">
        <v>5463</v>
      </c>
      <c r="K32" s="127">
        <v>45677</v>
      </c>
      <c r="L32" s="126">
        <v>1100364300</v>
      </c>
      <c r="M32" s="126" t="s">
        <v>1519</v>
      </c>
      <c r="N32" s="126" t="s">
        <v>5490</v>
      </c>
      <c r="O32" s="263" t="s">
        <v>5491</v>
      </c>
      <c r="P32" s="128" t="s">
        <v>3600</v>
      </c>
      <c r="Q32" s="246" t="s">
        <v>54</v>
      </c>
      <c r="R32" s="128" t="s">
        <v>5463</v>
      </c>
      <c r="S32" s="128" t="s">
        <v>3715</v>
      </c>
      <c r="T32" s="251"/>
      <c r="U32" s="128"/>
    </row>
    <row r="33" spans="1:21" ht="30" customHeight="1">
      <c r="A33" s="143">
        <v>31</v>
      </c>
      <c r="B33" s="126" t="s">
        <v>1660</v>
      </c>
      <c r="C33" s="126" t="s">
        <v>5552</v>
      </c>
      <c r="D33" s="126" t="s">
        <v>2184</v>
      </c>
      <c r="E33" s="126" t="s">
        <v>3593</v>
      </c>
      <c r="F33" s="126" t="s">
        <v>3619</v>
      </c>
      <c r="G33" s="126" t="s">
        <v>0</v>
      </c>
      <c r="H33" s="126" t="s">
        <v>3595</v>
      </c>
      <c r="I33" s="126" t="s">
        <v>3596</v>
      </c>
      <c r="J33" s="126" t="s">
        <v>5463</v>
      </c>
      <c r="K33" s="127">
        <v>45678</v>
      </c>
      <c r="L33" s="126">
        <v>1110189100</v>
      </c>
      <c r="M33" s="126" t="s">
        <v>5553</v>
      </c>
      <c r="N33" s="126" t="s">
        <v>5554</v>
      </c>
      <c r="O33" s="263" t="s">
        <v>5555</v>
      </c>
      <c r="P33" s="128" t="s">
        <v>24</v>
      </c>
      <c r="Q33" s="246" t="s">
        <v>49</v>
      </c>
      <c r="R33" s="128" t="s">
        <v>5463</v>
      </c>
      <c r="S33" s="128" t="s">
        <v>5556</v>
      </c>
      <c r="T33" s="251"/>
      <c r="U33" s="128"/>
    </row>
    <row r="34" spans="1:21" ht="30" customHeight="1">
      <c r="A34" s="143">
        <v>32</v>
      </c>
      <c r="B34" s="126" t="s">
        <v>1658</v>
      </c>
      <c r="C34" s="126" t="s">
        <v>5468</v>
      </c>
      <c r="D34" s="126" t="s">
        <v>1581</v>
      </c>
      <c r="E34" s="126" t="s">
        <v>3593</v>
      </c>
      <c r="F34" s="126" t="s">
        <v>3594</v>
      </c>
      <c r="G34" s="126" t="s">
        <v>0</v>
      </c>
      <c r="H34" s="126" t="s">
        <v>3595</v>
      </c>
      <c r="I34" s="126" t="s">
        <v>3596</v>
      </c>
      <c r="J34" s="126" t="s">
        <v>2679</v>
      </c>
      <c r="K34" s="127">
        <v>45678</v>
      </c>
      <c r="L34" s="126">
        <v>1100219800</v>
      </c>
      <c r="M34" s="126" t="s">
        <v>438</v>
      </c>
      <c r="N34" s="126" t="s">
        <v>5557</v>
      </c>
      <c r="O34" s="263" t="s">
        <v>5558</v>
      </c>
      <c r="P34" s="128" t="s">
        <v>45</v>
      </c>
      <c r="Q34" s="246" t="s">
        <v>49</v>
      </c>
      <c r="R34" s="128" t="s">
        <v>5463</v>
      </c>
      <c r="S34" s="128" t="s">
        <v>3774</v>
      </c>
      <c r="T34" s="251"/>
      <c r="U34" s="128"/>
    </row>
    <row r="35" spans="1:21" ht="30" customHeight="1">
      <c r="A35" s="143">
        <v>33</v>
      </c>
      <c r="B35" s="126" t="s">
        <v>1659</v>
      </c>
      <c r="C35" s="126" t="s">
        <v>5559</v>
      </c>
      <c r="D35" s="126" t="s">
        <v>1911</v>
      </c>
      <c r="E35" s="126" t="s">
        <v>3603</v>
      </c>
      <c r="F35" s="126" t="s">
        <v>3604</v>
      </c>
      <c r="G35" s="126" t="s">
        <v>0</v>
      </c>
      <c r="H35" s="126" t="s">
        <v>3595</v>
      </c>
      <c r="I35" s="126" t="s">
        <v>3596</v>
      </c>
      <c r="J35" s="126" t="s">
        <v>5463</v>
      </c>
      <c r="K35" s="127">
        <v>45678</v>
      </c>
      <c r="L35" s="126">
        <v>1100196400</v>
      </c>
      <c r="M35" s="126" t="s">
        <v>3597</v>
      </c>
      <c r="N35" s="126" t="s">
        <v>5518</v>
      </c>
      <c r="O35" s="263" t="s">
        <v>5560</v>
      </c>
      <c r="P35" s="128" t="s">
        <v>24</v>
      </c>
      <c r="Q35" s="246" t="s">
        <v>49</v>
      </c>
      <c r="R35" s="128" t="s">
        <v>5463</v>
      </c>
      <c r="S35" s="128" t="s">
        <v>3835</v>
      </c>
      <c r="T35" s="251"/>
      <c r="U35" s="128"/>
    </row>
    <row r="36" spans="1:21" ht="30" customHeight="1">
      <c r="A36" s="143">
        <v>34</v>
      </c>
      <c r="B36" s="126" t="s">
        <v>1660</v>
      </c>
      <c r="C36" s="126" t="s">
        <v>5552</v>
      </c>
      <c r="D36" s="126" t="s">
        <v>2184</v>
      </c>
      <c r="E36" s="126" t="s">
        <v>3593</v>
      </c>
      <c r="F36" s="126" t="s">
        <v>3619</v>
      </c>
      <c r="G36" s="126" t="s">
        <v>0</v>
      </c>
      <c r="H36" s="126" t="s">
        <v>3595</v>
      </c>
      <c r="I36" s="126" t="s">
        <v>3596</v>
      </c>
      <c r="J36" s="126" t="s">
        <v>5463</v>
      </c>
      <c r="K36" s="127">
        <v>45678</v>
      </c>
      <c r="L36" s="126">
        <v>1100196400</v>
      </c>
      <c r="M36" s="126" t="s">
        <v>3597</v>
      </c>
      <c r="N36" s="126" t="s">
        <v>5518</v>
      </c>
      <c r="O36" s="263" t="s">
        <v>5560</v>
      </c>
      <c r="P36" s="128" t="s">
        <v>24</v>
      </c>
      <c r="Q36" s="246" t="s">
        <v>49</v>
      </c>
      <c r="R36" s="128" t="s">
        <v>5463</v>
      </c>
      <c r="S36" s="128" t="s">
        <v>5556</v>
      </c>
      <c r="T36" s="251"/>
      <c r="U36" s="128"/>
    </row>
    <row r="37" spans="1:21" ht="30" customHeight="1">
      <c r="A37" s="143">
        <v>35</v>
      </c>
      <c r="B37" s="126" t="s">
        <v>1660</v>
      </c>
      <c r="C37" s="126" t="s">
        <v>5552</v>
      </c>
      <c r="D37" s="126" t="s">
        <v>2184</v>
      </c>
      <c r="E37" s="126" t="s">
        <v>3593</v>
      </c>
      <c r="F37" s="126" t="s">
        <v>3619</v>
      </c>
      <c r="G37" s="126" t="s">
        <v>0</v>
      </c>
      <c r="H37" s="126" t="s">
        <v>3608</v>
      </c>
      <c r="I37" s="126" t="s">
        <v>5561</v>
      </c>
      <c r="J37" s="126" t="s">
        <v>5463</v>
      </c>
      <c r="K37" s="127">
        <v>45678</v>
      </c>
      <c r="L37" s="126">
        <v>1110066000</v>
      </c>
      <c r="M37" s="126" t="s">
        <v>1507</v>
      </c>
      <c r="N37" s="126" t="s">
        <v>5497</v>
      </c>
      <c r="O37" s="263" t="s">
        <v>5562</v>
      </c>
      <c r="P37" s="128" t="s">
        <v>24</v>
      </c>
      <c r="Q37" s="246" t="s">
        <v>49</v>
      </c>
      <c r="R37" s="128" t="s">
        <v>5463</v>
      </c>
      <c r="S37" s="128" t="s">
        <v>3925</v>
      </c>
      <c r="T37" s="251"/>
      <c r="U37" s="128"/>
    </row>
    <row r="38" spans="1:21" ht="30" customHeight="1">
      <c r="A38" s="143">
        <v>36</v>
      </c>
      <c r="B38" s="126" t="s">
        <v>1661</v>
      </c>
      <c r="C38" s="126" t="s">
        <v>5552</v>
      </c>
      <c r="D38" s="126" t="s">
        <v>2184</v>
      </c>
      <c r="E38" s="126" t="s">
        <v>3593</v>
      </c>
      <c r="F38" s="126" t="s">
        <v>3619</v>
      </c>
      <c r="G38" s="126" t="s">
        <v>0</v>
      </c>
      <c r="H38" s="126" t="s">
        <v>3614</v>
      </c>
      <c r="I38" s="126" t="s">
        <v>3596</v>
      </c>
      <c r="J38" s="126" t="s">
        <v>5463</v>
      </c>
      <c r="K38" s="127">
        <v>45678</v>
      </c>
      <c r="L38" s="126" t="s">
        <v>5563</v>
      </c>
      <c r="M38" s="126" t="s">
        <v>735</v>
      </c>
      <c r="N38" s="126" t="s">
        <v>5564</v>
      </c>
      <c r="O38" s="263" t="s">
        <v>5565</v>
      </c>
      <c r="P38" s="128" t="s">
        <v>45</v>
      </c>
      <c r="Q38" s="246" t="s">
        <v>5481</v>
      </c>
      <c r="R38" s="128" t="s">
        <v>5463</v>
      </c>
      <c r="S38" s="128" t="s">
        <v>5566</v>
      </c>
      <c r="T38" s="251"/>
      <c r="U38" s="128"/>
    </row>
    <row r="39" spans="1:21" ht="30" customHeight="1">
      <c r="A39" s="143">
        <v>37</v>
      </c>
      <c r="B39" s="126" t="s">
        <v>1660</v>
      </c>
      <c r="C39" s="126" t="s">
        <v>5552</v>
      </c>
      <c r="D39" s="126" t="s">
        <v>2184</v>
      </c>
      <c r="E39" s="126" t="s">
        <v>3593</v>
      </c>
      <c r="F39" s="126" t="s">
        <v>3619</v>
      </c>
      <c r="G39" s="126" t="s">
        <v>0</v>
      </c>
      <c r="H39" s="126" t="s">
        <v>3614</v>
      </c>
      <c r="I39" s="126" t="s">
        <v>3596</v>
      </c>
      <c r="J39" s="126" t="s">
        <v>5463</v>
      </c>
      <c r="K39" s="127">
        <v>45678</v>
      </c>
      <c r="L39" s="126" t="s">
        <v>5563</v>
      </c>
      <c r="M39" s="126" t="s">
        <v>735</v>
      </c>
      <c r="N39" s="126" t="s">
        <v>5564</v>
      </c>
      <c r="O39" s="263" t="s">
        <v>5567</v>
      </c>
      <c r="P39" s="128" t="s">
        <v>45</v>
      </c>
      <c r="Q39" s="246" t="s">
        <v>5481</v>
      </c>
      <c r="R39" s="128" t="s">
        <v>5463</v>
      </c>
      <c r="S39" s="128" t="s">
        <v>5568</v>
      </c>
      <c r="T39" s="251"/>
      <c r="U39" s="128"/>
    </row>
    <row r="40" spans="1:21" ht="30" customHeight="1">
      <c r="A40" s="143">
        <v>38</v>
      </c>
      <c r="B40" s="126" t="s">
        <v>1661</v>
      </c>
      <c r="C40" s="126" t="s">
        <v>5552</v>
      </c>
      <c r="D40" s="126" t="s">
        <v>2184</v>
      </c>
      <c r="E40" s="126" t="s">
        <v>3593</v>
      </c>
      <c r="F40" s="126" t="s">
        <v>3619</v>
      </c>
      <c r="G40" s="126" t="s">
        <v>0</v>
      </c>
      <c r="H40" s="126" t="s">
        <v>3614</v>
      </c>
      <c r="I40" s="126" t="s">
        <v>3596</v>
      </c>
      <c r="J40" s="126" t="s">
        <v>5463</v>
      </c>
      <c r="K40" s="127">
        <v>45678</v>
      </c>
      <c r="L40" s="126" t="s">
        <v>5478</v>
      </c>
      <c r="M40" s="126" t="s">
        <v>932</v>
      </c>
      <c r="N40" s="126" t="s">
        <v>5486</v>
      </c>
      <c r="O40" s="263" t="s">
        <v>5569</v>
      </c>
      <c r="P40" s="128" t="s">
        <v>45</v>
      </c>
      <c r="Q40" s="246" t="s">
        <v>5481</v>
      </c>
      <c r="R40" s="128" t="s">
        <v>5463</v>
      </c>
      <c r="S40" s="128" t="s">
        <v>5566</v>
      </c>
      <c r="T40" s="251"/>
      <c r="U40" s="128"/>
    </row>
    <row r="41" spans="1:21" ht="30" customHeight="1">
      <c r="A41" s="143">
        <v>39</v>
      </c>
      <c r="B41" s="126" t="s">
        <v>1660</v>
      </c>
      <c r="C41" s="126" t="s">
        <v>5552</v>
      </c>
      <c r="D41" s="126" t="s">
        <v>2184</v>
      </c>
      <c r="E41" s="126" t="s">
        <v>3593</v>
      </c>
      <c r="F41" s="126" t="s">
        <v>3619</v>
      </c>
      <c r="G41" s="126" t="s">
        <v>0</v>
      </c>
      <c r="H41" s="126" t="s">
        <v>3614</v>
      </c>
      <c r="I41" s="126" t="s">
        <v>3596</v>
      </c>
      <c r="J41" s="126" t="s">
        <v>5463</v>
      </c>
      <c r="K41" s="127">
        <v>45678</v>
      </c>
      <c r="L41" s="126" t="s">
        <v>5478</v>
      </c>
      <c r="M41" s="126" t="s">
        <v>932</v>
      </c>
      <c r="N41" s="126" t="s">
        <v>5486</v>
      </c>
      <c r="O41" s="263" t="s">
        <v>5570</v>
      </c>
      <c r="P41" s="128" t="s">
        <v>45</v>
      </c>
      <c r="Q41" s="246" t="s">
        <v>5481</v>
      </c>
      <c r="R41" s="128" t="s">
        <v>5463</v>
      </c>
      <c r="S41" s="128" t="s">
        <v>5568</v>
      </c>
      <c r="T41" s="251"/>
      <c r="U41" s="128"/>
    </row>
    <row r="42" spans="1:21" ht="30" customHeight="1">
      <c r="A42" s="143">
        <v>40</v>
      </c>
      <c r="B42" s="126" t="s">
        <v>1660</v>
      </c>
      <c r="C42" s="126" t="s">
        <v>5552</v>
      </c>
      <c r="D42" s="126" t="s">
        <v>2184</v>
      </c>
      <c r="E42" s="126" t="s">
        <v>3593</v>
      </c>
      <c r="F42" s="126" t="s">
        <v>3619</v>
      </c>
      <c r="G42" s="126" t="s">
        <v>0</v>
      </c>
      <c r="H42" s="126" t="s">
        <v>3614</v>
      </c>
      <c r="I42" s="126" t="s">
        <v>3596</v>
      </c>
      <c r="J42" s="126" t="s">
        <v>5463</v>
      </c>
      <c r="K42" s="127">
        <v>45678</v>
      </c>
      <c r="L42" s="126" t="s">
        <v>5478</v>
      </c>
      <c r="M42" s="126" t="s">
        <v>932</v>
      </c>
      <c r="N42" s="126" t="s">
        <v>5486</v>
      </c>
      <c r="O42" s="263" t="s">
        <v>5571</v>
      </c>
      <c r="P42" s="128" t="s">
        <v>45</v>
      </c>
      <c r="Q42" s="246" t="s">
        <v>5481</v>
      </c>
      <c r="R42" s="128" t="s">
        <v>5463</v>
      </c>
      <c r="S42" s="128" t="s">
        <v>5568</v>
      </c>
      <c r="T42" s="251"/>
      <c r="U42" s="128"/>
    </row>
    <row r="43" spans="1:21" ht="30" customHeight="1">
      <c r="A43" s="143">
        <v>41</v>
      </c>
      <c r="B43" s="126" t="s">
        <v>1665</v>
      </c>
      <c r="C43" s="126" t="s">
        <v>5483</v>
      </c>
      <c r="D43" s="126" t="s">
        <v>1591</v>
      </c>
      <c r="E43" s="126" t="s">
        <v>3603</v>
      </c>
      <c r="F43" s="126" t="s">
        <v>3619</v>
      </c>
      <c r="G43" s="126" t="s">
        <v>0</v>
      </c>
      <c r="H43" s="126" t="s">
        <v>3595</v>
      </c>
      <c r="I43" s="126" t="s">
        <v>3596</v>
      </c>
      <c r="J43" s="126" t="s">
        <v>5463</v>
      </c>
      <c r="K43" s="127">
        <v>45679</v>
      </c>
      <c r="L43" s="126">
        <v>1100607700</v>
      </c>
      <c r="M43" s="126" t="s">
        <v>3722</v>
      </c>
      <c r="N43" s="126" t="s">
        <v>5572</v>
      </c>
      <c r="O43" s="263" t="s">
        <v>5573</v>
      </c>
      <c r="P43" s="128" t="s">
        <v>1463</v>
      </c>
      <c r="Q43" s="246" t="s">
        <v>49</v>
      </c>
      <c r="R43" s="128" t="s">
        <v>5463</v>
      </c>
      <c r="S43" s="128" t="s">
        <v>3768</v>
      </c>
      <c r="T43" s="251"/>
      <c r="U43" s="128"/>
    </row>
    <row r="44" spans="1:21" ht="30" customHeight="1">
      <c r="A44" s="143">
        <v>42</v>
      </c>
      <c r="B44" s="126" t="s">
        <v>1665</v>
      </c>
      <c r="C44" s="126" t="s">
        <v>5483</v>
      </c>
      <c r="D44" s="126" t="s">
        <v>1591</v>
      </c>
      <c r="E44" s="126" t="s">
        <v>3603</v>
      </c>
      <c r="F44" s="126" t="s">
        <v>3619</v>
      </c>
      <c r="G44" s="126" t="s">
        <v>0</v>
      </c>
      <c r="H44" s="126" t="s">
        <v>3595</v>
      </c>
      <c r="I44" s="126" t="s">
        <v>3596</v>
      </c>
      <c r="J44" s="126" t="s">
        <v>5463</v>
      </c>
      <c r="K44" s="127">
        <v>45679</v>
      </c>
      <c r="L44" s="126">
        <v>1100364300</v>
      </c>
      <c r="M44" s="126" t="s">
        <v>1519</v>
      </c>
      <c r="N44" s="126" t="s">
        <v>5490</v>
      </c>
      <c r="O44" s="263" t="s">
        <v>5491</v>
      </c>
      <c r="P44" s="128" t="s">
        <v>3600</v>
      </c>
      <c r="Q44" s="246" t="s">
        <v>54</v>
      </c>
      <c r="R44" s="128" t="s">
        <v>5463</v>
      </c>
      <c r="S44" s="128" t="s">
        <v>3715</v>
      </c>
      <c r="T44" s="251"/>
      <c r="U44" s="128"/>
    </row>
    <row r="45" spans="1:21" ht="30" customHeight="1">
      <c r="A45" s="143">
        <v>43</v>
      </c>
      <c r="B45" s="126" t="s">
        <v>1672</v>
      </c>
      <c r="C45" s="126" t="s">
        <v>5492</v>
      </c>
      <c r="D45" s="126" t="s">
        <v>1476</v>
      </c>
      <c r="E45" s="126" t="s">
        <v>3603</v>
      </c>
      <c r="F45" s="126" t="s">
        <v>3604</v>
      </c>
      <c r="G45" s="126" t="s">
        <v>0</v>
      </c>
      <c r="H45" s="126" t="s">
        <v>3614</v>
      </c>
      <c r="I45" s="126" t="s">
        <v>3596</v>
      </c>
      <c r="J45" s="126" t="s">
        <v>2679</v>
      </c>
      <c r="K45" s="127">
        <v>45680</v>
      </c>
      <c r="L45" s="126" t="s">
        <v>5574</v>
      </c>
      <c r="M45" s="126" t="s">
        <v>5575</v>
      </c>
      <c r="N45" s="126" t="s">
        <v>5576</v>
      </c>
      <c r="O45" s="263" t="s">
        <v>5577</v>
      </c>
      <c r="P45" s="128" t="s">
        <v>42</v>
      </c>
      <c r="Q45" s="246" t="s">
        <v>61</v>
      </c>
      <c r="R45" s="128" t="s">
        <v>5463</v>
      </c>
      <c r="S45" s="128" t="s">
        <v>5463</v>
      </c>
      <c r="T45" s="251"/>
      <c r="U45" s="128"/>
    </row>
    <row r="46" spans="1:21" ht="30" customHeight="1">
      <c r="A46" s="143">
        <v>44</v>
      </c>
      <c r="B46" s="126" t="s">
        <v>1677</v>
      </c>
      <c r="C46" s="126" t="s">
        <v>5578</v>
      </c>
      <c r="D46" s="126" t="s">
        <v>1476</v>
      </c>
      <c r="E46" s="126" t="s">
        <v>3593</v>
      </c>
      <c r="F46" s="126" t="s">
        <v>3594</v>
      </c>
      <c r="G46" s="126" t="s">
        <v>0</v>
      </c>
      <c r="H46" s="126" t="s">
        <v>3595</v>
      </c>
      <c r="I46" s="126" t="s">
        <v>3596</v>
      </c>
      <c r="J46" s="126" t="s">
        <v>2679</v>
      </c>
      <c r="K46" s="127">
        <v>45681</v>
      </c>
      <c r="L46" s="126">
        <v>1100366400</v>
      </c>
      <c r="M46" s="126" t="s">
        <v>1491</v>
      </c>
      <c r="N46" s="126" t="s">
        <v>5579</v>
      </c>
      <c r="O46" s="263" t="s">
        <v>5580</v>
      </c>
      <c r="P46" s="128" t="s">
        <v>4091</v>
      </c>
      <c r="Q46" s="246" t="s">
        <v>49</v>
      </c>
      <c r="R46" s="128" t="s">
        <v>5463</v>
      </c>
      <c r="S46" s="128" t="s">
        <v>5556</v>
      </c>
      <c r="T46" s="251"/>
      <c r="U46" s="128"/>
    </row>
    <row r="47" spans="1:21" ht="30" customHeight="1">
      <c r="A47" s="143">
        <v>45</v>
      </c>
      <c r="B47" s="126" t="s">
        <v>1680</v>
      </c>
      <c r="C47" s="126" t="s">
        <v>5581</v>
      </c>
      <c r="D47" s="126" t="s">
        <v>1476</v>
      </c>
      <c r="E47" s="126" t="s">
        <v>3603</v>
      </c>
      <c r="F47" s="126" t="s">
        <v>3604</v>
      </c>
      <c r="G47" s="126" t="s">
        <v>0</v>
      </c>
      <c r="H47" s="126" t="s">
        <v>3595</v>
      </c>
      <c r="I47" s="126" t="s">
        <v>3596</v>
      </c>
      <c r="J47" s="126" t="s">
        <v>2880</v>
      </c>
      <c r="K47" s="127">
        <v>45681</v>
      </c>
      <c r="L47" s="126">
        <v>1100091600</v>
      </c>
      <c r="M47" s="126" t="s">
        <v>5582</v>
      </c>
      <c r="N47" s="126" t="s">
        <v>5504</v>
      </c>
      <c r="O47" s="263" t="s">
        <v>5583</v>
      </c>
      <c r="P47" s="128" t="s">
        <v>42</v>
      </c>
      <c r="Q47" s="246" t="s">
        <v>54</v>
      </c>
      <c r="R47" s="128" t="s">
        <v>5463</v>
      </c>
      <c r="S47" s="128" t="s">
        <v>3714</v>
      </c>
      <c r="T47" s="251"/>
      <c r="U47" s="128"/>
    </row>
    <row r="48" spans="1:21" ht="30" customHeight="1">
      <c r="A48" s="143">
        <v>46</v>
      </c>
      <c r="B48" s="126" t="s">
        <v>1678</v>
      </c>
      <c r="C48" s="126" t="s">
        <v>5584</v>
      </c>
      <c r="D48" s="126" t="s">
        <v>1911</v>
      </c>
      <c r="E48" s="126" t="s">
        <v>3603</v>
      </c>
      <c r="F48" s="126" t="s">
        <v>3604</v>
      </c>
      <c r="G48" s="126" t="s">
        <v>0</v>
      </c>
      <c r="H48" s="126" t="s">
        <v>3595</v>
      </c>
      <c r="I48" s="126" t="s">
        <v>3596</v>
      </c>
      <c r="J48" s="126" t="s">
        <v>2880</v>
      </c>
      <c r="K48" s="127">
        <v>45681</v>
      </c>
      <c r="L48" s="126">
        <v>1310336200</v>
      </c>
      <c r="M48" s="126" t="s">
        <v>5585</v>
      </c>
      <c r="N48" s="126" t="s">
        <v>5586</v>
      </c>
      <c r="O48" s="263" t="s">
        <v>5587</v>
      </c>
      <c r="P48" s="128" t="s">
        <v>24</v>
      </c>
      <c r="Q48" s="246" t="s">
        <v>49</v>
      </c>
      <c r="R48" s="128" t="s">
        <v>5463</v>
      </c>
      <c r="S48" s="128" t="s">
        <v>3666</v>
      </c>
      <c r="T48" s="251"/>
      <c r="U48" s="128"/>
    </row>
    <row r="49" spans="1:21" ht="30" customHeight="1">
      <c r="A49" s="143">
        <v>47</v>
      </c>
      <c r="B49" s="126" t="s">
        <v>1679</v>
      </c>
      <c r="C49" s="126" t="s">
        <v>5584</v>
      </c>
      <c r="D49" s="126" t="s">
        <v>1911</v>
      </c>
      <c r="E49" s="126" t="s">
        <v>3603</v>
      </c>
      <c r="F49" s="126" t="s">
        <v>3604</v>
      </c>
      <c r="G49" s="126" t="s">
        <v>0</v>
      </c>
      <c r="H49" s="126" t="s">
        <v>3614</v>
      </c>
      <c r="I49" s="126" t="s">
        <v>3596</v>
      </c>
      <c r="J49" s="126" t="s">
        <v>2880</v>
      </c>
      <c r="K49" s="127">
        <v>45681</v>
      </c>
      <c r="L49" s="126" t="s">
        <v>5478</v>
      </c>
      <c r="M49" s="126" t="s">
        <v>932</v>
      </c>
      <c r="N49" s="126" t="s">
        <v>5486</v>
      </c>
      <c r="O49" s="263" t="s">
        <v>5570</v>
      </c>
      <c r="P49" s="128" t="s">
        <v>45</v>
      </c>
      <c r="Q49" s="246" t="s">
        <v>5481</v>
      </c>
      <c r="R49" s="128" t="s">
        <v>5463</v>
      </c>
      <c r="S49" s="128" t="s">
        <v>3768</v>
      </c>
      <c r="T49" s="251"/>
      <c r="U49" s="128"/>
    </row>
    <row r="50" spans="1:21" ht="30" customHeight="1">
      <c r="A50" s="143">
        <v>48</v>
      </c>
      <c r="B50" s="126" t="s">
        <v>1680</v>
      </c>
      <c r="C50" s="126" t="s">
        <v>5581</v>
      </c>
      <c r="D50" s="126" t="s">
        <v>1476</v>
      </c>
      <c r="E50" s="126" t="s">
        <v>3603</v>
      </c>
      <c r="F50" s="126" t="s">
        <v>3604</v>
      </c>
      <c r="G50" s="126" t="s">
        <v>0</v>
      </c>
      <c r="H50" s="126" t="s">
        <v>3614</v>
      </c>
      <c r="I50" s="126" t="s">
        <v>3596</v>
      </c>
      <c r="J50" s="126" t="s">
        <v>2679</v>
      </c>
      <c r="K50" s="127">
        <v>45681</v>
      </c>
      <c r="L50" s="126" t="s">
        <v>5478</v>
      </c>
      <c r="M50" s="126" t="s">
        <v>932</v>
      </c>
      <c r="N50" s="126" t="s">
        <v>5550</v>
      </c>
      <c r="O50" s="263" t="s">
        <v>5588</v>
      </c>
      <c r="P50" s="128" t="s">
        <v>45</v>
      </c>
      <c r="Q50" s="246" t="s">
        <v>5481</v>
      </c>
      <c r="R50" s="128" t="s">
        <v>5463</v>
      </c>
      <c r="S50" s="128" t="s">
        <v>3666</v>
      </c>
      <c r="T50" s="251"/>
      <c r="U50" s="128"/>
    </row>
    <row r="51" spans="1:21" ht="30" customHeight="1">
      <c r="A51" s="143">
        <v>49</v>
      </c>
      <c r="B51" s="126" t="s">
        <v>1691</v>
      </c>
      <c r="C51" s="126" t="s">
        <v>5581</v>
      </c>
      <c r="D51" s="126" t="s">
        <v>1476</v>
      </c>
      <c r="E51" s="126" t="s">
        <v>3593</v>
      </c>
      <c r="F51" s="126" t="s">
        <v>3594</v>
      </c>
      <c r="G51" s="126" t="s">
        <v>0</v>
      </c>
      <c r="H51" s="126" t="s">
        <v>3595</v>
      </c>
      <c r="I51" s="126" t="s">
        <v>3596</v>
      </c>
      <c r="J51" s="126" t="s">
        <v>2679</v>
      </c>
      <c r="K51" s="127">
        <v>45692</v>
      </c>
      <c r="L51" s="126">
        <v>1100366400</v>
      </c>
      <c r="M51" s="126" t="s">
        <v>1491</v>
      </c>
      <c r="N51" s="126" t="s">
        <v>5579</v>
      </c>
      <c r="O51" s="263" t="s">
        <v>5589</v>
      </c>
      <c r="P51" s="128" t="s">
        <v>4091</v>
      </c>
      <c r="Q51" s="246" t="s">
        <v>49</v>
      </c>
      <c r="R51" s="128" t="s">
        <v>5463</v>
      </c>
      <c r="S51" s="128" t="s">
        <v>5590</v>
      </c>
      <c r="T51" s="251"/>
      <c r="U51" s="128"/>
    </row>
    <row r="52" spans="1:21" ht="30" customHeight="1">
      <c r="A52" s="143">
        <v>50</v>
      </c>
      <c r="B52" s="126" t="s">
        <v>1696</v>
      </c>
      <c r="C52" s="126" t="s">
        <v>5483</v>
      </c>
      <c r="D52" s="126" t="s">
        <v>1591</v>
      </c>
      <c r="E52" s="126" t="s">
        <v>3603</v>
      </c>
      <c r="F52" s="126" t="s">
        <v>3604</v>
      </c>
      <c r="G52" s="126" t="s">
        <v>0</v>
      </c>
      <c r="H52" s="126" t="s">
        <v>3595</v>
      </c>
      <c r="I52" s="126" t="s">
        <v>3596</v>
      </c>
      <c r="J52" s="126" t="s">
        <v>5463</v>
      </c>
      <c r="K52" s="127">
        <v>45692</v>
      </c>
      <c r="L52" s="126">
        <v>1100031100</v>
      </c>
      <c r="M52" s="126" t="s">
        <v>5534</v>
      </c>
      <c r="N52" s="126" t="s">
        <v>5591</v>
      </c>
      <c r="O52" s="263" t="s">
        <v>5591</v>
      </c>
      <c r="P52" s="128" t="s">
        <v>30</v>
      </c>
      <c r="Q52" s="246" t="s">
        <v>54</v>
      </c>
      <c r="R52" s="128" t="s">
        <v>5463</v>
      </c>
      <c r="S52" s="128" t="s">
        <v>3715</v>
      </c>
      <c r="T52" s="251"/>
      <c r="U52" s="128"/>
    </row>
    <row r="53" spans="1:21" ht="30" customHeight="1">
      <c r="A53" s="143">
        <v>51</v>
      </c>
      <c r="B53" s="126" t="s">
        <v>1675</v>
      </c>
      <c r="C53" s="126" t="s">
        <v>5530</v>
      </c>
      <c r="D53" s="126" t="s">
        <v>1591</v>
      </c>
      <c r="E53" s="126" t="s">
        <v>3603</v>
      </c>
      <c r="F53" s="126" t="s">
        <v>3619</v>
      </c>
      <c r="G53" s="126" t="s">
        <v>0</v>
      </c>
      <c r="H53" s="126" t="s">
        <v>3595</v>
      </c>
      <c r="I53" s="126" t="s">
        <v>3596</v>
      </c>
      <c r="J53" s="126" t="s">
        <v>5463</v>
      </c>
      <c r="K53" s="127">
        <v>45692</v>
      </c>
      <c r="L53" s="126">
        <v>1110028800</v>
      </c>
      <c r="M53" s="126" t="s">
        <v>5592</v>
      </c>
      <c r="N53" s="126" t="s">
        <v>5593</v>
      </c>
      <c r="O53" s="263" t="s">
        <v>5594</v>
      </c>
      <c r="P53" s="128" t="s">
        <v>24</v>
      </c>
      <c r="Q53" s="246" t="s">
        <v>54</v>
      </c>
      <c r="R53" s="128" t="s">
        <v>5463</v>
      </c>
      <c r="S53" s="128" t="s">
        <v>3715</v>
      </c>
      <c r="T53" s="251"/>
      <c r="U53" s="128"/>
    </row>
    <row r="54" spans="1:21" ht="30" customHeight="1">
      <c r="A54" s="143">
        <v>52</v>
      </c>
      <c r="B54" s="126" t="s">
        <v>1693</v>
      </c>
      <c r="C54" s="126" t="s">
        <v>5503</v>
      </c>
      <c r="D54" s="126" t="s">
        <v>1476</v>
      </c>
      <c r="E54" s="126" t="s">
        <v>3603</v>
      </c>
      <c r="F54" s="126" t="s">
        <v>3604</v>
      </c>
      <c r="G54" s="126" t="s">
        <v>0</v>
      </c>
      <c r="H54" s="126" t="s">
        <v>3614</v>
      </c>
      <c r="I54" s="126" t="s">
        <v>3596</v>
      </c>
      <c r="J54" s="126" t="s">
        <v>5463</v>
      </c>
      <c r="K54" s="127">
        <v>45692</v>
      </c>
      <c r="L54" s="126" t="s">
        <v>5478</v>
      </c>
      <c r="M54" s="126" t="s">
        <v>932</v>
      </c>
      <c r="N54" s="126" t="s">
        <v>5486</v>
      </c>
      <c r="O54" s="263" t="s">
        <v>5595</v>
      </c>
      <c r="P54" s="128" t="s">
        <v>45</v>
      </c>
      <c r="Q54" s="246" t="s">
        <v>5481</v>
      </c>
      <c r="R54" s="128" t="s">
        <v>5463</v>
      </c>
      <c r="S54" s="128" t="s">
        <v>3666</v>
      </c>
      <c r="T54" s="251"/>
      <c r="U54" s="128"/>
    </row>
    <row r="55" spans="1:21" ht="30" customHeight="1">
      <c r="A55" s="143">
        <v>53</v>
      </c>
      <c r="B55" s="126" t="s">
        <v>1699</v>
      </c>
      <c r="C55" s="126" t="s">
        <v>5476</v>
      </c>
      <c r="D55" s="126" t="s">
        <v>5477</v>
      </c>
      <c r="E55" s="126" t="s">
        <v>3593</v>
      </c>
      <c r="F55" s="126" t="s">
        <v>3619</v>
      </c>
      <c r="G55" s="126" t="s">
        <v>0</v>
      </c>
      <c r="H55" s="126" t="s">
        <v>3595</v>
      </c>
      <c r="I55" s="126" t="s">
        <v>3596</v>
      </c>
      <c r="J55" s="126" t="s">
        <v>5463</v>
      </c>
      <c r="K55" s="127">
        <v>45693</v>
      </c>
      <c r="L55" s="126">
        <v>1100196400</v>
      </c>
      <c r="M55" s="126" t="s">
        <v>3597</v>
      </c>
      <c r="N55" s="126" t="s">
        <v>5518</v>
      </c>
      <c r="O55" s="263"/>
      <c r="P55" s="128" t="s">
        <v>24</v>
      </c>
      <c r="Q55" s="246" t="s">
        <v>54</v>
      </c>
      <c r="R55" s="128" t="s">
        <v>5463</v>
      </c>
      <c r="S55" s="128" t="s">
        <v>5556</v>
      </c>
      <c r="T55" s="251"/>
      <c r="U55" s="128"/>
    </row>
    <row r="56" spans="1:21" ht="30" customHeight="1">
      <c r="A56" s="143">
        <v>54</v>
      </c>
      <c r="B56" s="126" t="s">
        <v>1699</v>
      </c>
      <c r="C56" s="126" t="s">
        <v>5476</v>
      </c>
      <c r="D56" s="126" t="s">
        <v>5477</v>
      </c>
      <c r="E56" s="126" t="s">
        <v>3593</v>
      </c>
      <c r="F56" s="126" t="s">
        <v>3619</v>
      </c>
      <c r="G56" s="126" t="s">
        <v>0</v>
      </c>
      <c r="H56" s="126" t="s">
        <v>3595</v>
      </c>
      <c r="I56" s="126" t="s">
        <v>3596</v>
      </c>
      <c r="J56" s="126" t="s">
        <v>5463</v>
      </c>
      <c r="K56" s="127">
        <v>45693</v>
      </c>
      <c r="L56" s="126">
        <v>1100196400</v>
      </c>
      <c r="M56" s="126" t="s">
        <v>3597</v>
      </c>
      <c r="N56" s="126" t="s">
        <v>5518</v>
      </c>
      <c r="O56" s="263"/>
      <c r="P56" s="128" t="s">
        <v>24</v>
      </c>
      <c r="Q56" s="246" t="s">
        <v>54</v>
      </c>
      <c r="R56" s="128" t="s">
        <v>5463</v>
      </c>
      <c r="S56" s="128" t="s">
        <v>5556</v>
      </c>
      <c r="T56" s="251"/>
      <c r="U56" s="128"/>
    </row>
    <row r="57" spans="1:21" ht="30" customHeight="1">
      <c r="A57" s="143">
        <v>55</v>
      </c>
      <c r="B57" s="126" t="s">
        <v>1698</v>
      </c>
      <c r="C57" s="126" t="s">
        <v>5476</v>
      </c>
      <c r="D57" s="126" t="s">
        <v>5477</v>
      </c>
      <c r="E57" s="126" t="s">
        <v>3593</v>
      </c>
      <c r="F57" s="126" t="s">
        <v>3619</v>
      </c>
      <c r="G57" s="126" t="s">
        <v>0</v>
      </c>
      <c r="H57" s="126" t="s">
        <v>3595</v>
      </c>
      <c r="I57" s="126" t="s">
        <v>3596</v>
      </c>
      <c r="J57" s="126" t="s">
        <v>5463</v>
      </c>
      <c r="K57" s="127">
        <v>45693</v>
      </c>
      <c r="L57" s="126">
        <v>1100196500</v>
      </c>
      <c r="M57" s="126" t="s">
        <v>799</v>
      </c>
      <c r="N57" s="126" t="s">
        <v>5596</v>
      </c>
      <c r="O57" s="263"/>
      <c r="P57" s="128" t="s">
        <v>24</v>
      </c>
      <c r="Q57" s="246" t="s">
        <v>54</v>
      </c>
      <c r="R57" s="128" t="s">
        <v>5463</v>
      </c>
      <c r="S57" s="128" t="s">
        <v>3993</v>
      </c>
      <c r="T57" s="251"/>
      <c r="U57" s="128"/>
    </row>
    <row r="58" spans="1:21" ht="30" customHeight="1">
      <c r="A58" s="143">
        <v>56</v>
      </c>
      <c r="B58" s="126" t="s">
        <v>1698</v>
      </c>
      <c r="C58" s="126" t="s">
        <v>5476</v>
      </c>
      <c r="D58" s="126" t="s">
        <v>5477</v>
      </c>
      <c r="E58" s="126" t="s">
        <v>3593</v>
      </c>
      <c r="F58" s="126" t="s">
        <v>3619</v>
      </c>
      <c r="G58" s="126" t="s">
        <v>0</v>
      </c>
      <c r="H58" s="126" t="s">
        <v>3595</v>
      </c>
      <c r="I58" s="126" t="s">
        <v>3596</v>
      </c>
      <c r="J58" s="126" t="s">
        <v>5463</v>
      </c>
      <c r="K58" s="127">
        <v>45693</v>
      </c>
      <c r="L58" s="126">
        <v>1100196500</v>
      </c>
      <c r="M58" s="126" t="s">
        <v>799</v>
      </c>
      <c r="N58" s="126" t="s">
        <v>5596</v>
      </c>
      <c r="O58" s="263"/>
      <c r="P58" s="128" t="s">
        <v>24</v>
      </c>
      <c r="Q58" s="246" t="s">
        <v>54</v>
      </c>
      <c r="R58" s="128" t="s">
        <v>5463</v>
      </c>
      <c r="S58" s="128" t="s">
        <v>3993</v>
      </c>
      <c r="T58" s="251"/>
      <c r="U58" s="128"/>
    </row>
    <row r="59" spans="1:21" ht="30" customHeight="1">
      <c r="A59" s="143">
        <v>57</v>
      </c>
      <c r="B59" s="126" t="s">
        <v>1697</v>
      </c>
      <c r="C59" s="126" t="s">
        <v>5510</v>
      </c>
      <c r="D59" s="126" t="s">
        <v>1476</v>
      </c>
      <c r="E59" s="126" t="s">
        <v>3603</v>
      </c>
      <c r="F59" s="126" t="s">
        <v>3619</v>
      </c>
      <c r="G59" s="126" t="s">
        <v>0</v>
      </c>
      <c r="H59" s="126" t="s">
        <v>3614</v>
      </c>
      <c r="I59" s="126" t="s">
        <v>3596</v>
      </c>
      <c r="J59" s="126" t="s">
        <v>2679</v>
      </c>
      <c r="K59" s="127">
        <v>45693</v>
      </c>
      <c r="L59" s="126" t="s">
        <v>5478</v>
      </c>
      <c r="M59" s="126" t="s">
        <v>932</v>
      </c>
      <c r="N59" s="126" t="s">
        <v>5486</v>
      </c>
      <c r="O59" s="263" t="s">
        <v>5597</v>
      </c>
      <c r="P59" s="128" t="s">
        <v>45</v>
      </c>
      <c r="Q59" s="246" t="s">
        <v>5481</v>
      </c>
      <c r="R59" s="128" t="s">
        <v>5463</v>
      </c>
      <c r="S59" s="128" t="s">
        <v>3768</v>
      </c>
      <c r="T59" s="251"/>
      <c r="U59" s="128"/>
    </row>
    <row r="60" spans="1:21" ht="30" customHeight="1">
      <c r="A60" s="143">
        <v>58</v>
      </c>
      <c r="B60" s="126" t="s">
        <v>1709</v>
      </c>
      <c r="C60" s="126" t="s">
        <v>5598</v>
      </c>
      <c r="D60" s="126" t="s">
        <v>1476</v>
      </c>
      <c r="E60" s="126" t="s">
        <v>3593</v>
      </c>
      <c r="F60" s="126" t="s">
        <v>3594</v>
      </c>
      <c r="G60" s="126" t="s">
        <v>0</v>
      </c>
      <c r="H60" s="126" t="s">
        <v>3614</v>
      </c>
      <c r="I60" s="126" t="s">
        <v>3596</v>
      </c>
      <c r="J60" s="126" t="s">
        <v>2679</v>
      </c>
      <c r="K60" s="127">
        <v>45693</v>
      </c>
      <c r="L60" s="126" t="s">
        <v>5478</v>
      </c>
      <c r="M60" s="126" t="s">
        <v>932</v>
      </c>
      <c r="N60" s="126" t="s">
        <v>5486</v>
      </c>
      <c r="O60" s="263" t="s">
        <v>5599</v>
      </c>
      <c r="P60" s="128" t="s">
        <v>45</v>
      </c>
      <c r="Q60" s="246" t="s">
        <v>5481</v>
      </c>
      <c r="R60" s="128" t="s">
        <v>3656</v>
      </c>
      <c r="S60" s="128" t="s">
        <v>5600</v>
      </c>
      <c r="T60" s="251"/>
      <c r="U60" s="128"/>
    </row>
    <row r="61" spans="1:21" ht="30" customHeight="1">
      <c r="A61" s="143">
        <v>59</v>
      </c>
      <c r="B61" s="126" t="s">
        <v>1699</v>
      </c>
      <c r="C61" s="126" t="s">
        <v>5476</v>
      </c>
      <c r="D61" s="126" t="s">
        <v>5477</v>
      </c>
      <c r="E61" s="126" t="s">
        <v>3593</v>
      </c>
      <c r="F61" s="126" t="s">
        <v>3619</v>
      </c>
      <c r="G61" s="126" t="s">
        <v>0</v>
      </c>
      <c r="H61" s="126" t="s">
        <v>3614</v>
      </c>
      <c r="I61" s="126" t="s">
        <v>3596</v>
      </c>
      <c r="J61" s="126" t="s">
        <v>5463</v>
      </c>
      <c r="K61" s="127">
        <v>45693</v>
      </c>
      <c r="L61" s="126" t="s">
        <v>5601</v>
      </c>
      <c r="M61" s="126" t="s">
        <v>981</v>
      </c>
      <c r="N61" s="126" t="s">
        <v>5602</v>
      </c>
      <c r="O61" s="263" t="s">
        <v>5603</v>
      </c>
      <c r="P61" s="128" t="s">
        <v>45</v>
      </c>
      <c r="Q61" s="246" t="s">
        <v>5481</v>
      </c>
      <c r="R61" s="128" t="s">
        <v>5463</v>
      </c>
      <c r="S61" s="128" t="s">
        <v>5548</v>
      </c>
      <c r="T61" s="251"/>
      <c r="U61" s="128"/>
    </row>
    <row r="62" spans="1:21" ht="30" customHeight="1">
      <c r="A62" s="143">
        <v>60</v>
      </c>
      <c r="B62" s="126" t="s">
        <v>1698</v>
      </c>
      <c r="C62" s="126" t="s">
        <v>5476</v>
      </c>
      <c r="D62" s="126" t="s">
        <v>5477</v>
      </c>
      <c r="E62" s="126" t="s">
        <v>3593</v>
      </c>
      <c r="F62" s="126" t="s">
        <v>3619</v>
      </c>
      <c r="G62" s="126" t="s">
        <v>0</v>
      </c>
      <c r="H62" s="126" t="s">
        <v>3614</v>
      </c>
      <c r="I62" s="126" t="s">
        <v>3596</v>
      </c>
      <c r="J62" s="126" t="s">
        <v>5463</v>
      </c>
      <c r="K62" s="127">
        <v>45693</v>
      </c>
      <c r="L62" s="126" t="s">
        <v>5601</v>
      </c>
      <c r="M62" s="126" t="s">
        <v>981</v>
      </c>
      <c r="N62" s="126" t="s">
        <v>5602</v>
      </c>
      <c r="O62" s="263" t="s">
        <v>5603</v>
      </c>
      <c r="P62" s="128" t="s">
        <v>45</v>
      </c>
      <c r="Q62" s="246" t="s">
        <v>5481</v>
      </c>
      <c r="R62" s="128" t="s">
        <v>5463</v>
      </c>
      <c r="S62" s="128" t="s">
        <v>5566</v>
      </c>
      <c r="T62" s="251"/>
      <c r="U62" s="128"/>
    </row>
    <row r="63" spans="1:21" ht="30" customHeight="1">
      <c r="A63" s="143">
        <v>61</v>
      </c>
      <c r="B63" s="126" t="s">
        <v>1710</v>
      </c>
      <c r="C63" s="126" t="s">
        <v>5604</v>
      </c>
      <c r="D63" s="126" t="s">
        <v>1476</v>
      </c>
      <c r="E63" s="126" t="s">
        <v>3603</v>
      </c>
      <c r="F63" s="126" t="s">
        <v>3619</v>
      </c>
      <c r="G63" s="126" t="s">
        <v>0</v>
      </c>
      <c r="H63" s="126" t="s">
        <v>3595</v>
      </c>
      <c r="I63" s="126" t="s">
        <v>3596</v>
      </c>
      <c r="J63" s="126" t="s">
        <v>5463</v>
      </c>
      <c r="K63" s="127">
        <v>45695</v>
      </c>
      <c r="L63" s="126">
        <v>1110077600</v>
      </c>
      <c r="M63" s="126" t="s">
        <v>5605</v>
      </c>
      <c r="N63" s="126" t="s">
        <v>5606</v>
      </c>
      <c r="O63" s="263" t="s">
        <v>5607</v>
      </c>
      <c r="P63" s="128" t="s">
        <v>24</v>
      </c>
      <c r="Q63" s="246" t="s">
        <v>54</v>
      </c>
      <c r="R63" s="128" t="s">
        <v>5463</v>
      </c>
      <c r="S63" s="128" t="s">
        <v>3917</v>
      </c>
      <c r="T63" s="251"/>
      <c r="U63" s="128"/>
    </row>
    <row r="64" spans="1:21" ht="30" customHeight="1">
      <c r="A64" s="143">
        <v>62</v>
      </c>
      <c r="B64" s="126" t="s">
        <v>1712</v>
      </c>
      <c r="C64" s="126" t="s">
        <v>5608</v>
      </c>
      <c r="D64" s="126" t="s">
        <v>1480</v>
      </c>
      <c r="E64" s="126" t="s">
        <v>3603</v>
      </c>
      <c r="F64" s="126" t="s">
        <v>3619</v>
      </c>
      <c r="G64" s="126" t="s">
        <v>0</v>
      </c>
      <c r="H64" s="126" t="s">
        <v>3595</v>
      </c>
      <c r="I64" s="126" t="s">
        <v>3596</v>
      </c>
      <c r="J64" s="126" t="s">
        <v>2679</v>
      </c>
      <c r="K64" s="127">
        <v>45695</v>
      </c>
      <c r="L64" s="126">
        <v>1100028900</v>
      </c>
      <c r="M64" s="126" t="s">
        <v>5534</v>
      </c>
      <c r="N64" s="126" t="s">
        <v>5609</v>
      </c>
      <c r="O64" s="263"/>
      <c r="P64" s="128" t="s">
        <v>3600</v>
      </c>
      <c r="Q64" s="246" t="s">
        <v>54</v>
      </c>
      <c r="R64" s="128" t="s">
        <v>5463</v>
      </c>
      <c r="S64" s="128" t="s">
        <v>3917</v>
      </c>
      <c r="T64" s="251"/>
      <c r="U64" s="128"/>
    </row>
    <row r="65" spans="1:21" ht="30" customHeight="1">
      <c r="A65" s="143">
        <v>63</v>
      </c>
      <c r="B65" s="126" t="s">
        <v>1713</v>
      </c>
      <c r="C65" s="126" t="s">
        <v>5610</v>
      </c>
      <c r="D65" s="126" t="s">
        <v>1476</v>
      </c>
      <c r="E65" s="126" t="s">
        <v>3603</v>
      </c>
      <c r="F65" s="126" t="s">
        <v>3619</v>
      </c>
      <c r="G65" s="126" t="s">
        <v>0</v>
      </c>
      <c r="H65" s="126" t="s">
        <v>3614</v>
      </c>
      <c r="I65" s="126" t="s">
        <v>3596</v>
      </c>
      <c r="J65" s="126" t="s">
        <v>5463</v>
      </c>
      <c r="K65" s="127">
        <v>45695</v>
      </c>
      <c r="L65" s="126" t="s">
        <v>5478</v>
      </c>
      <c r="M65" s="126" t="s">
        <v>932</v>
      </c>
      <c r="N65" s="126" t="s">
        <v>5486</v>
      </c>
      <c r="O65" s="263" t="s">
        <v>5611</v>
      </c>
      <c r="P65" s="128" t="s">
        <v>45</v>
      </c>
      <c r="Q65" s="246" t="s">
        <v>5481</v>
      </c>
      <c r="R65" s="128" t="s">
        <v>5463</v>
      </c>
      <c r="S65" s="128" t="s">
        <v>5612</v>
      </c>
      <c r="T65" s="251"/>
      <c r="U65" s="128"/>
    </row>
    <row r="66" spans="1:21" ht="30" customHeight="1">
      <c r="A66" s="143">
        <v>64</v>
      </c>
      <c r="B66" s="126" t="s">
        <v>1720</v>
      </c>
      <c r="C66" s="126" t="s">
        <v>5613</v>
      </c>
      <c r="D66" s="126" t="s">
        <v>1911</v>
      </c>
      <c r="E66" s="126" t="s">
        <v>3593</v>
      </c>
      <c r="F66" s="126" t="s">
        <v>3619</v>
      </c>
      <c r="G66" s="126" t="s">
        <v>0</v>
      </c>
      <c r="H66" s="126" t="s">
        <v>3595</v>
      </c>
      <c r="I66" s="126" t="s">
        <v>3596</v>
      </c>
      <c r="J66" s="126" t="s">
        <v>5463</v>
      </c>
      <c r="K66" s="127">
        <v>45698</v>
      </c>
      <c r="L66" s="126">
        <v>1110124200</v>
      </c>
      <c r="M66" s="126" t="s">
        <v>5553</v>
      </c>
      <c r="N66" s="126" t="s">
        <v>5554</v>
      </c>
      <c r="O66" s="263" t="s">
        <v>5555</v>
      </c>
      <c r="P66" s="128" t="s">
        <v>4091</v>
      </c>
      <c r="Q66" s="246" t="s">
        <v>54</v>
      </c>
      <c r="R66" s="128" t="s">
        <v>5463</v>
      </c>
      <c r="S66" s="128" t="s">
        <v>5556</v>
      </c>
      <c r="T66" s="251"/>
      <c r="U66" s="128"/>
    </row>
    <row r="67" spans="1:21" ht="30" customHeight="1">
      <c r="A67" s="143">
        <v>65</v>
      </c>
      <c r="B67" s="126" t="s">
        <v>1719</v>
      </c>
      <c r="C67" s="126" t="s">
        <v>5614</v>
      </c>
      <c r="D67" s="126" t="s">
        <v>1591</v>
      </c>
      <c r="E67" s="126" t="s">
        <v>3603</v>
      </c>
      <c r="F67" s="126" t="s">
        <v>3619</v>
      </c>
      <c r="G67" s="126" t="s">
        <v>0</v>
      </c>
      <c r="H67" s="126" t="s">
        <v>3595</v>
      </c>
      <c r="I67" s="126" t="s">
        <v>3596</v>
      </c>
      <c r="J67" s="126" t="s">
        <v>5463</v>
      </c>
      <c r="K67" s="127">
        <v>45698</v>
      </c>
      <c r="L67" s="126">
        <v>1100407300</v>
      </c>
      <c r="M67" s="126" t="s">
        <v>1491</v>
      </c>
      <c r="N67" s="126" t="s">
        <v>5615</v>
      </c>
      <c r="O67" s="263"/>
      <c r="P67" s="128" t="s">
        <v>4091</v>
      </c>
      <c r="Q67" s="246" t="s">
        <v>49</v>
      </c>
      <c r="R67" s="128" t="s">
        <v>3714</v>
      </c>
      <c r="S67" s="128" t="s">
        <v>3904</v>
      </c>
      <c r="T67" s="251"/>
      <c r="U67" s="128"/>
    </row>
    <row r="68" spans="1:21" ht="30" customHeight="1">
      <c r="A68" s="143">
        <v>66</v>
      </c>
      <c r="B68" s="126" t="s">
        <v>1720</v>
      </c>
      <c r="C68" s="126" t="s">
        <v>5613</v>
      </c>
      <c r="D68" s="126" t="s">
        <v>1911</v>
      </c>
      <c r="E68" s="126" t="s">
        <v>3593</v>
      </c>
      <c r="F68" s="126" t="s">
        <v>3619</v>
      </c>
      <c r="G68" s="126" t="s">
        <v>0</v>
      </c>
      <c r="H68" s="126" t="s">
        <v>3608</v>
      </c>
      <c r="I68" s="126" t="s">
        <v>5561</v>
      </c>
      <c r="J68" s="126" t="s">
        <v>5463</v>
      </c>
      <c r="K68" s="127">
        <v>45698</v>
      </c>
      <c r="L68" s="126">
        <v>1200237600</v>
      </c>
      <c r="M68" s="126" t="s">
        <v>5616</v>
      </c>
      <c r="N68" s="126" t="s">
        <v>5617</v>
      </c>
      <c r="O68" s="263"/>
      <c r="P68" s="128" t="s">
        <v>24</v>
      </c>
      <c r="Q68" s="246" t="s">
        <v>54</v>
      </c>
      <c r="R68" s="128" t="s">
        <v>5463</v>
      </c>
      <c r="S68" s="128" t="s">
        <v>3925</v>
      </c>
      <c r="T68" s="251"/>
      <c r="U68" s="128"/>
    </row>
    <row r="69" spans="1:21" ht="30" customHeight="1">
      <c r="A69" s="143">
        <v>67</v>
      </c>
      <c r="B69" s="126" t="s">
        <v>1720</v>
      </c>
      <c r="C69" s="126" t="s">
        <v>5613</v>
      </c>
      <c r="D69" s="126" t="s">
        <v>1911</v>
      </c>
      <c r="E69" s="126" t="s">
        <v>3593</v>
      </c>
      <c r="F69" s="126" t="s">
        <v>3619</v>
      </c>
      <c r="G69" s="126" t="s">
        <v>0</v>
      </c>
      <c r="H69" s="126" t="s">
        <v>3614</v>
      </c>
      <c r="I69" s="126" t="s">
        <v>3596</v>
      </c>
      <c r="J69" s="126" t="s">
        <v>5463</v>
      </c>
      <c r="K69" s="127">
        <v>45698</v>
      </c>
      <c r="L69" s="126" t="s">
        <v>5478</v>
      </c>
      <c r="M69" s="126" t="s">
        <v>932</v>
      </c>
      <c r="N69" s="126" t="s">
        <v>5486</v>
      </c>
      <c r="O69" s="263" t="s">
        <v>5618</v>
      </c>
      <c r="P69" s="128" t="s">
        <v>45</v>
      </c>
      <c r="Q69" s="246" t="s">
        <v>5481</v>
      </c>
      <c r="R69" s="128" t="s">
        <v>5463</v>
      </c>
      <c r="S69" s="128" t="s">
        <v>5548</v>
      </c>
      <c r="T69" s="251"/>
      <c r="U69" s="128"/>
    </row>
    <row r="70" spans="1:21" ht="30" customHeight="1">
      <c r="A70" s="143">
        <v>68</v>
      </c>
      <c r="B70" s="126" t="s">
        <v>1724</v>
      </c>
      <c r="C70" s="126" t="s">
        <v>5510</v>
      </c>
      <c r="D70" s="126" t="s">
        <v>1476</v>
      </c>
      <c r="E70" s="126" t="s">
        <v>3593</v>
      </c>
      <c r="F70" s="126" t="s">
        <v>3594</v>
      </c>
      <c r="G70" s="126" t="s">
        <v>0</v>
      </c>
      <c r="H70" s="126" t="s">
        <v>3614</v>
      </c>
      <c r="I70" s="126" t="s">
        <v>3596</v>
      </c>
      <c r="J70" s="126" t="s">
        <v>5463</v>
      </c>
      <c r="K70" s="127">
        <v>45698</v>
      </c>
      <c r="L70" s="126" t="s">
        <v>5478</v>
      </c>
      <c r="M70" s="126" t="s">
        <v>932</v>
      </c>
      <c r="N70" s="126" t="s">
        <v>5486</v>
      </c>
      <c r="O70" s="263" t="s">
        <v>5619</v>
      </c>
      <c r="P70" s="128" t="s">
        <v>45</v>
      </c>
      <c r="Q70" s="246" t="s">
        <v>5481</v>
      </c>
      <c r="R70" s="128" t="s">
        <v>5463</v>
      </c>
      <c r="S70" s="128" t="s">
        <v>5548</v>
      </c>
      <c r="T70" s="251"/>
      <c r="U70" s="128"/>
    </row>
    <row r="71" spans="1:21" ht="30" customHeight="1">
      <c r="A71" s="143">
        <v>69</v>
      </c>
      <c r="B71" s="126" t="s">
        <v>1724</v>
      </c>
      <c r="C71" s="126" t="s">
        <v>5510</v>
      </c>
      <c r="D71" s="126" t="s">
        <v>1476</v>
      </c>
      <c r="E71" s="126" t="s">
        <v>3593</v>
      </c>
      <c r="F71" s="126" t="s">
        <v>3594</v>
      </c>
      <c r="G71" s="126" t="s">
        <v>0</v>
      </c>
      <c r="H71" s="126" t="s">
        <v>3614</v>
      </c>
      <c r="I71" s="126" t="s">
        <v>3596</v>
      </c>
      <c r="J71" s="126" t="s">
        <v>5463</v>
      </c>
      <c r="K71" s="127">
        <v>45698</v>
      </c>
      <c r="L71" s="126" t="s">
        <v>5478</v>
      </c>
      <c r="M71" s="126" t="s">
        <v>932</v>
      </c>
      <c r="N71" s="126" t="s">
        <v>5486</v>
      </c>
      <c r="O71" s="263" t="s">
        <v>5618</v>
      </c>
      <c r="P71" s="128" t="s">
        <v>45</v>
      </c>
      <c r="Q71" s="246" t="s">
        <v>5481</v>
      </c>
      <c r="R71" s="128" t="s">
        <v>5463</v>
      </c>
      <c r="S71" s="128" t="s">
        <v>5600</v>
      </c>
      <c r="T71" s="251"/>
      <c r="U71" s="128"/>
    </row>
    <row r="72" spans="1:21" ht="30" customHeight="1">
      <c r="A72" s="143">
        <v>70</v>
      </c>
      <c r="B72" s="126" t="s">
        <v>1720</v>
      </c>
      <c r="C72" s="126" t="s">
        <v>5613</v>
      </c>
      <c r="D72" s="126" t="s">
        <v>1911</v>
      </c>
      <c r="E72" s="126" t="s">
        <v>3593</v>
      </c>
      <c r="F72" s="126" t="s">
        <v>3619</v>
      </c>
      <c r="G72" s="126" t="s">
        <v>0</v>
      </c>
      <c r="H72" s="126" t="s">
        <v>3614</v>
      </c>
      <c r="I72" s="126" t="s">
        <v>3596</v>
      </c>
      <c r="J72" s="126" t="s">
        <v>5463</v>
      </c>
      <c r="K72" s="127">
        <v>45698</v>
      </c>
      <c r="L72" s="126" t="s">
        <v>5601</v>
      </c>
      <c r="M72" s="126" t="s">
        <v>981</v>
      </c>
      <c r="N72" s="126" t="s">
        <v>5602</v>
      </c>
      <c r="O72" s="263" t="s">
        <v>5620</v>
      </c>
      <c r="P72" s="128" t="s">
        <v>45</v>
      </c>
      <c r="Q72" s="246" t="s">
        <v>5481</v>
      </c>
      <c r="R72" s="128" t="s">
        <v>5463</v>
      </c>
      <c r="S72" s="128" t="s">
        <v>5548</v>
      </c>
      <c r="T72" s="251"/>
      <c r="U72" s="128"/>
    </row>
    <row r="73" spans="1:21" ht="30" customHeight="1">
      <c r="A73" s="143">
        <v>71</v>
      </c>
      <c r="B73" s="126" t="s">
        <v>1730</v>
      </c>
      <c r="C73" s="126" t="s">
        <v>5604</v>
      </c>
      <c r="D73" s="126" t="s">
        <v>1476</v>
      </c>
      <c r="E73" s="126" t="s">
        <v>3603</v>
      </c>
      <c r="F73" s="126" t="s">
        <v>3619</v>
      </c>
      <c r="G73" s="126" t="s">
        <v>0</v>
      </c>
      <c r="H73" s="126" t="s">
        <v>3595</v>
      </c>
      <c r="I73" s="126" t="s">
        <v>3596</v>
      </c>
      <c r="J73" s="126" t="s">
        <v>2880</v>
      </c>
      <c r="K73" s="127">
        <v>45699</v>
      </c>
      <c r="L73" s="126" t="s">
        <v>5621</v>
      </c>
      <c r="M73" s="126" t="s">
        <v>143</v>
      </c>
      <c r="N73" s="126" t="s">
        <v>5622</v>
      </c>
      <c r="O73" s="263" t="s">
        <v>5623</v>
      </c>
      <c r="P73" s="128" t="s">
        <v>24</v>
      </c>
      <c r="Q73" s="246" t="s">
        <v>49</v>
      </c>
      <c r="R73" s="128" t="s">
        <v>3666</v>
      </c>
      <c r="S73" s="128" t="s">
        <v>3778</v>
      </c>
      <c r="T73" s="251"/>
      <c r="U73" s="128"/>
    </row>
    <row r="74" spans="1:21" ht="30" customHeight="1">
      <c r="A74" s="143">
        <v>72</v>
      </c>
      <c r="B74" s="126" t="s">
        <v>1732</v>
      </c>
      <c r="C74" s="126" t="s">
        <v>5510</v>
      </c>
      <c r="D74" s="126" t="s">
        <v>1476</v>
      </c>
      <c r="E74" s="126" t="s">
        <v>3593</v>
      </c>
      <c r="F74" s="126" t="s">
        <v>3594</v>
      </c>
      <c r="G74" s="126" t="s">
        <v>0</v>
      </c>
      <c r="H74" s="126" t="s">
        <v>3595</v>
      </c>
      <c r="I74" s="126" t="s">
        <v>3596</v>
      </c>
      <c r="J74" s="126" t="s">
        <v>5463</v>
      </c>
      <c r="K74" s="127">
        <v>45699</v>
      </c>
      <c r="L74" s="126">
        <v>1110179500</v>
      </c>
      <c r="M74" s="126" t="s">
        <v>5534</v>
      </c>
      <c r="N74" s="126" t="s">
        <v>5624</v>
      </c>
      <c r="O74" s="263"/>
      <c r="P74" s="128" t="s">
        <v>3600</v>
      </c>
      <c r="Q74" s="246" t="s">
        <v>54</v>
      </c>
      <c r="R74" s="128" t="s">
        <v>5463</v>
      </c>
      <c r="S74" s="128" t="s">
        <v>3774</v>
      </c>
      <c r="T74" s="251"/>
      <c r="U74" s="128"/>
    </row>
    <row r="75" spans="1:21" ht="30" customHeight="1">
      <c r="A75" s="143">
        <v>73</v>
      </c>
      <c r="B75" s="126" t="s">
        <v>1726</v>
      </c>
      <c r="C75" s="126" t="s">
        <v>5546</v>
      </c>
      <c r="D75" s="126" t="s">
        <v>1477</v>
      </c>
      <c r="E75" s="126" t="s">
        <v>3603</v>
      </c>
      <c r="F75" s="126" t="s">
        <v>3619</v>
      </c>
      <c r="G75" s="126" t="s">
        <v>0</v>
      </c>
      <c r="H75" s="126" t="s">
        <v>3614</v>
      </c>
      <c r="I75" s="126" t="s">
        <v>3596</v>
      </c>
      <c r="J75" s="126" t="s">
        <v>5463</v>
      </c>
      <c r="K75" s="127">
        <v>45699</v>
      </c>
      <c r="L75" s="126" t="s">
        <v>5478</v>
      </c>
      <c r="M75" s="126" t="s">
        <v>932</v>
      </c>
      <c r="N75" s="126" t="s">
        <v>5486</v>
      </c>
      <c r="O75" s="263" t="s">
        <v>5540</v>
      </c>
      <c r="P75" s="128" t="s">
        <v>45</v>
      </c>
      <c r="Q75" s="246" t="s">
        <v>5481</v>
      </c>
      <c r="R75" s="128" t="s">
        <v>5463</v>
      </c>
      <c r="S75" s="128" t="s">
        <v>5625</v>
      </c>
      <c r="T75" s="251"/>
      <c r="U75" s="128"/>
    </row>
    <row r="76" spans="1:21" ht="30" customHeight="1">
      <c r="A76" s="143">
        <v>74</v>
      </c>
      <c r="B76" s="126" t="s">
        <v>1734</v>
      </c>
      <c r="C76" s="126" t="s">
        <v>5626</v>
      </c>
      <c r="D76" s="126" t="s">
        <v>1476</v>
      </c>
      <c r="E76" s="126" t="s">
        <v>3603</v>
      </c>
      <c r="F76" s="126" t="s">
        <v>3604</v>
      </c>
      <c r="G76" s="126" t="s">
        <v>0</v>
      </c>
      <c r="H76" s="126" t="s">
        <v>3595</v>
      </c>
      <c r="I76" s="126" t="s">
        <v>3596</v>
      </c>
      <c r="J76" s="126" t="s">
        <v>2679</v>
      </c>
      <c r="K76" s="127">
        <v>45700</v>
      </c>
      <c r="L76" s="126" t="s">
        <v>5511</v>
      </c>
      <c r="M76" s="126" t="s">
        <v>386</v>
      </c>
      <c r="N76" s="126" t="s">
        <v>5512</v>
      </c>
      <c r="O76" s="263" t="s">
        <v>5627</v>
      </c>
      <c r="P76" s="128" t="s">
        <v>24</v>
      </c>
      <c r="Q76" s="246" t="s">
        <v>49</v>
      </c>
      <c r="R76" s="128" t="s">
        <v>3666</v>
      </c>
      <c r="S76" s="128" t="s">
        <v>5514</v>
      </c>
      <c r="T76" s="251"/>
      <c r="U76" s="128"/>
    </row>
    <row r="77" spans="1:21" ht="30" customHeight="1">
      <c r="A77" s="143">
        <v>75</v>
      </c>
      <c r="B77" s="126" t="s">
        <v>1704</v>
      </c>
      <c r="C77" s="126" t="s">
        <v>5626</v>
      </c>
      <c r="D77" s="126" t="s">
        <v>1476</v>
      </c>
      <c r="E77" s="126" t="s">
        <v>3603</v>
      </c>
      <c r="F77" s="126" t="s">
        <v>3619</v>
      </c>
      <c r="G77" s="126" t="s">
        <v>0</v>
      </c>
      <c r="H77" s="126" t="s">
        <v>3595</v>
      </c>
      <c r="I77" s="126" t="s">
        <v>3596</v>
      </c>
      <c r="J77" s="126" t="s">
        <v>2679</v>
      </c>
      <c r="K77" s="127">
        <v>45701</v>
      </c>
      <c r="L77" s="126" t="s">
        <v>5499</v>
      </c>
      <c r="M77" s="126" t="s">
        <v>255</v>
      </c>
      <c r="N77" s="126" t="s">
        <v>5628</v>
      </c>
      <c r="O77" s="263" t="s">
        <v>5629</v>
      </c>
      <c r="P77" s="128" t="s">
        <v>4091</v>
      </c>
      <c r="Q77" s="246" t="s">
        <v>49</v>
      </c>
      <c r="R77" s="128" t="s">
        <v>3666</v>
      </c>
      <c r="S77" s="128" t="s">
        <v>5502</v>
      </c>
      <c r="T77" s="251"/>
      <c r="U77" s="128"/>
    </row>
    <row r="78" spans="1:21" ht="30" customHeight="1">
      <c r="A78" s="143">
        <v>76</v>
      </c>
      <c r="B78" s="126" t="s">
        <v>1704</v>
      </c>
      <c r="C78" s="126" t="s">
        <v>5626</v>
      </c>
      <c r="D78" s="126" t="s">
        <v>1476</v>
      </c>
      <c r="E78" s="126" t="s">
        <v>3603</v>
      </c>
      <c r="F78" s="126" t="s">
        <v>3619</v>
      </c>
      <c r="G78" s="126" t="s">
        <v>0</v>
      </c>
      <c r="H78" s="126" t="s">
        <v>3595</v>
      </c>
      <c r="I78" s="126" t="s">
        <v>3596</v>
      </c>
      <c r="J78" s="126" t="s">
        <v>2880</v>
      </c>
      <c r="K78" s="127">
        <v>45701</v>
      </c>
      <c r="L78" s="126" t="s">
        <v>5630</v>
      </c>
      <c r="M78" s="126" t="s">
        <v>255</v>
      </c>
      <c r="N78" s="126" t="s">
        <v>5494</v>
      </c>
      <c r="O78" s="263" t="s">
        <v>5631</v>
      </c>
      <c r="P78" s="128" t="s">
        <v>26</v>
      </c>
      <c r="Q78" s="246" t="s">
        <v>49</v>
      </c>
      <c r="R78" s="128" t="s">
        <v>3714</v>
      </c>
      <c r="S78" s="128" t="s">
        <v>3798</v>
      </c>
      <c r="T78" s="251"/>
      <c r="U78" s="128"/>
    </row>
    <row r="79" spans="1:21" ht="30" customHeight="1">
      <c r="A79" s="143">
        <v>77</v>
      </c>
      <c r="B79" s="126" t="s">
        <v>1746</v>
      </c>
      <c r="C79" s="126" t="s">
        <v>5483</v>
      </c>
      <c r="D79" s="126" t="s">
        <v>1591</v>
      </c>
      <c r="E79" s="126" t="s">
        <v>3593</v>
      </c>
      <c r="F79" s="126" t="s">
        <v>3594</v>
      </c>
      <c r="G79" s="126" t="s">
        <v>0</v>
      </c>
      <c r="H79" s="126" t="s">
        <v>3595</v>
      </c>
      <c r="I79" s="126" t="s">
        <v>3596</v>
      </c>
      <c r="J79" s="126" t="s">
        <v>5463</v>
      </c>
      <c r="K79" s="127">
        <v>45701</v>
      </c>
      <c r="L79" s="126" t="s">
        <v>5632</v>
      </c>
      <c r="M79" s="126" t="s">
        <v>932</v>
      </c>
      <c r="N79" s="126" t="s">
        <v>5633</v>
      </c>
      <c r="O79" s="263" t="s">
        <v>5634</v>
      </c>
      <c r="P79" s="128" t="s">
        <v>1463</v>
      </c>
      <c r="Q79" s="246" t="s">
        <v>49</v>
      </c>
      <c r="R79" s="128" t="s">
        <v>5463</v>
      </c>
      <c r="S79" s="128" t="s">
        <v>3774</v>
      </c>
      <c r="T79" s="251"/>
      <c r="U79" s="128"/>
    </row>
    <row r="80" spans="1:21" ht="30" customHeight="1">
      <c r="A80" s="143">
        <v>78</v>
      </c>
      <c r="B80" s="126" t="s">
        <v>1754</v>
      </c>
      <c r="C80" s="126" t="s">
        <v>5635</v>
      </c>
      <c r="D80" s="126" t="s">
        <v>1911</v>
      </c>
      <c r="E80" s="126" t="s">
        <v>3603</v>
      </c>
      <c r="F80" s="126" t="s">
        <v>3604</v>
      </c>
      <c r="G80" s="126" t="s">
        <v>0</v>
      </c>
      <c r="H80" s="126" t="s">
        <v>3595</v>
      </c>
      <c r="I80" s="126" t="s">
        <v>3596</v>
      </c>
      <c r="J80" s="126" t="s">
        <v>2679</v>
      </c>
      <c r="K80" s="127">
        <v>45702</v>
      </c>
      <c r="L80" s="126" t="s">
        <v>5636</v>
      </c>
      <c r="M80" s="126" t="s">
        <v>3597</v>
      </c>
      <c r="N80" s="126" t="s">
        <v>5637</v>
      </c>
      <c r="O80" s="263" t="s">
        <v>5638</v>
      </c>
      <c r="P80" s="128" t="s">
        <v>34</v>
      </c>
      <c r="Q80" s="246" t="s">
        <v>49</v>
      </c>
      <c r="R80" s="128" t="s">
        <v>3666</v>
      </c>
      <c r="S80" s="128" t="s">
        <v>3835</v>
      </c>
      <c r="T80" s="251"/>
      <c r="U80" s="128"/>
    </row>
    <row r="81" spans="1:21" ht="30" customHeight="1">
      <c r="A81" s="143">
        <v>79</v>
      </c>
      <c r="B81" s="126" t="s">
        <v>1748</v>
      </c>
      <c r="C81" s="126" t="s">
        <v>5546</v>
      </c>
      <c r="D81" s="126" t="s">
        <v>1477</v>
      </c>
      <c r="E81" s="126" t="s">
        <v>3593</v>
      </c>
      <c r="F81" s="126" t="s">
        <v>3619</v>
      </c>
      <c r="G81" s="126" t="s">
        <v>0</v>
      </c>
      <c r="H81" s="126" t="s">
        <v>3595</v>
      </c>
      <c r="I81" s="126" t="s">
        <v>3596</v>
      </c>
      <c r="J81" s="126" t="s">
        <v>5463</v>
      </c>
      <c r="K81" s="127">
        <v>45702</v>
      </c>
      <c r="L81" s="129">
        <v>1110005500</v>
      </c>
      <c r="M81" s="126" t="s">
        <v>5639</v>
      </c>
      <c r="N81" s="126" t="s">
        <v>5640</v>
      </c>
      <c r="O81" s="263"/>
      <c r="P81" s="128" t="s">
        <v>3600</v>
      </c>
      <c r="Q81" s="246" t="s">
        <v>54</v>
      </c>
      <c r="R81" s="128" t="s">
        <v>5463</v>
      </c>
      <c r="S81" s="128" t="s">
        <v>5641</v>
      </c>
      <c r="T81" s="251"/>
      <c r="U81" s="128"/>
    </row>
    <row r="82" spans="1:21" ht="30" customHeight="1">
      <c r="A82" s="143">
        <v>80</v>
      </c>
      <c r="B82" s="126" t="s">
        <v>1772</v>
      </c>
      <c r="C82" s="126" t="s">
        <v>5642</v>
      </c>
      <c r="D82" s="126" t="s">
        <v>1476</v>
      </c>
      <c r="E82" s="126" t="s">
        <v>3603</v>
      </c>
      <c r="F82" s="126" t="s">
        <v>3604</v>
      </c>
      <c r="G82" s="126" t="s">
        <v>0</v>
      </c>
      <c r="H82" s="126" t="s">
        <v>3595</v>
      </c>
      <c r="I82" s="126" t="s">
        <v>3596</v>
      </c>
      <c r="J82" s="126" t="s">
        <v>5463</v>
      </c>
      <c r="K82" s="127">
        <v>45705</v>
      </c>
      <c r="L82" s="126">
        <v>1100407300</v>
      </c>
      <c r="M82" s="126" t="s">
        <v>1491</v>
      </c>
      <c r="N82" s="126" t="s">
        <v>5615</v>
      </c>
      <c r="O82" s="263"/>
      <c r="P82" s="128" t="s">
        <v>4091</v>
      </c>
      <c r="Q82" s="246" t="s">
        <v>49</v>
      </c>
      <c r="R82" s="128" t="s">
        <v>5463</v>
      </c>
      <c r="S82" s="128" t="s">
        <v>3798</v>
      </c>
      <c r="T82" s="251"/>
      <c r="U82" s="128"/>
    </row>
    <row r="83" spans="1:21" ht="30" customHeight="1">
      <c r="A83" s="143">
        <v>81</v>
      </c>
      <c r="B83" s="126" t="s">
        <v>1758</v>
      </c>
      <c r="C83" s="126" t="s">
        <v>5530</v>
      </c>
      <c r="D83" s="126" t="s">
        <v>1591</v>
      </c>
      <c r="E83" s="126" t="s">
        <v>3603</v>
      </c>
      <c r="F83" s="126" t="s">
        <v>3604</v>
      </c>
      <c r="G83" s="126" t="s">
        <v>0</v>
      </c>
      <c r="H83" s="126" t="s">
        <v>3614</v>
      </c>
      <c r="I83" s="126" t="s">
        <v>3596</v>
      </c>
      <c r="J83" s="126" t="s">
        <v>5463</v>
      </c>
      <c r="K83" s="127">
        <v>45705</v>
      </c>
      <c r="L83" s="126" t="s">
        <v>5478</v>
      </c>
      <c r="M83" s="126" t="s">
        <v>932</v>
      </c>
      <c r="N83" s="126" t="s">
        <v>5486</v>
      </c>
      <c r="O83" s="263" t="s">
        <v>5540</v>
      </c>
      <c r="P83" s="128" t="s">
        <v>45</v>
      </c>
      <c r="Q83" s="246" t="s">
        <v>5481</v>
      </c>
      <c r="R83" s="128" t="s">
        <v>5463</v>
      </c>
      <c r="S83" s="128" t="s">
        <v>3768</v>
      </c>
      <c r="T83" s="251"/>
      <c r="U83" s="128"/>
    </row>
    <row r="84" spans="1:21" ht="30" customHeight="1">
      <c r="A84" s="143">
        <v>82</v>
      </c>
      <c r="B84" s="126" t="s">
        <v>1777</v>
      </c>
      <c r="C84" s="126" t="s">
        <v>5492</v>
      </c>
      <c r="D84" s="126" t="s">
        <v>1476</v>
      </c>
      <c r="E84" s="126" t="s">
        <v>3603</v>
      </c>
      <c r="F84" s="126" t="s">
        <v>3594</v>
      </c>
      <c r="G84" s="126" t="s">
        <v>0</v>
      </c>
      <c r="H84" s="126" t="s">
        <v>3595</v>
      </c>
      <c r="I84" s="126" t="s">
        <v>3596</v>
      </c>
      <c r="J84" s="126" t="s">
        <v>2880</v>
      </c>
      <c r="K84" s="127">
        <v>45706</v>
      </c>
      <c r="L84" s="126" t="s">
        <v>5643</v>
      </c>
      <c r="M84" s="126" t="s">
        <v>5534</v>
      </c>
      <c r="N84" s="126" t="s">
        <v>5535</v>
      </c>
      <c r="O84" s="263" t="s">
        <v>5644</v>
      </c>
      <c r="P84" s="128" t="s">
        <v>3600</v>
      </c>
      <c r="Q84" s="246" t="s">
        <v>54</v>
      </c>
      <c r="R84" s="128" t="s">
        <v>3666</v>
      </c>
      <c r="S84" s="128" t="s">
        <v>3917</v>
      </c>
      <c r="T84" s="251"/>
      <c r="U84" s="128"/>
    </row>
    <row r="85" spans="1:21" ht="30" customHeight="1">
      <c r="A85" s="143">
        <v>83</v>
      </c>
      <c r="B85" s="126" t="s">
        <v>1776</v>
      </c>
      <c r="C85" s="126" t="s">
        <v>5492</v>
      </c>
      <c r="D85" s="126" t="s">
        <v>1476</v>
      </c>
      <c r="E85" s="126" t="s">
        <v>3603</v>
      </c>
      <c r="F85" s="126" t="s">
        <v>3594</v>
      </c>
      <c r="G85" s="126" t="s">
        <v>0</v>
      </c>
      <c r="H85" s="126" t="s">
        <v>3595</v>
      </c>
      <c r="I85" s="126" t="s">
        <v>3596</v>
      </c>
      <c r="J85" s="126" t="s">
        <v>2679</v>
      </c>
      <c r="K85" s="127">
        <v>45706</v>
      </c>
      <c r="L85" s="126" t="s">
        <v>5643</v>
      </c>
      <c r="M85" s="126" t="s">
        <v>5534</v>
      </c>
      <c r="N85" s="126" t="s">
        <v>5535</v>
      </c>
      <c r="O85" s="263" t="s">
        <v>5645</v>
      </c>
      <c r="P85" s="128" t="s">
        <v>3600</v>
      </c>
      <c r="Q85" s="246" t="s">
        <v>54</v>
      </c>
      <c r="R85" s="128" t="s">
        <v>3666</v>
      </c>
      <c r="S85" s="128" t="s">
        <v>3917</v>
      </c>
      <c r="T85" s="251"/>
      <c r="U85" s="128"/>
    </row>
    <row r="86" spans="1:21" ht="30" customHeight="1">
      <c r="A86" s="143">
        <v>84</v>
      </c>
      <c r="B86" s="126" t="s">
        <v>1777</v>
      </c>
      <c r="C86" s="126" t="s">
        <v>5492</v>
      </c>
      <c r="D86" s="126" t="s">
        <v>1476</v>
      </c>
      <c r="E86" s="126" t="s">
        <v>3603</v>
      </c>
      <c r="F86" s="126" t="s">
        <v>3594</v>
      </c>
      <c r="G86" s="126" t="s">
        <v>0</v>
      </c>
      <c r="H86" s="126" t="s">
        <v>3614</v>
      </c>
      <c r="I86" s="126" t="s">
        <v>3596</v>
      </c>
      <c r="J86" s="126" t="s">
        <v>2679</v>
      </c>
      <c r="K86" s="127">
        <v>45706</v>
      </c>
      <c r="L86" s="126" t="s">
        <v>5478</v>
      </c>
      <c r="M86" s="126" t="s">
        <v>932</v>
      </c>
      <c r="N86" s="126" t="s">
        <v>5486</v>
      </c>
      <c r="O86" s="263" t="s">
        <v>5646</v>
      </c>
      <c r="P86" s="128" t="s">
        <v>45</v>
      </c>
      <c r="Q86" s="246" t="s">
        <v>5481</v>
      </c>
      <c r="R86" s="128" t="s">
        <v>3666</v>
      </c>
      <c r="S86" s="128" t="s">
        <v>3666</v>
      </c>
      <c r="T86" s="251"/>
      <c r="U86" s="128"/>
    </row>
    <row r="87" spans="1:21" ht="30" customHeight="1">
      <c r="A87" s="143">
        <v>85</v>
      </c>
      <c r="B87" s="126" t="s">
        <v>1779</v>
      </c>
      <c r="C87" s="126" t="s">
        <v>5647</v>
      </c>
      <c r="D87" s="126" t="s">
        <v>3638</v>
      </c>
      <c r="E87" s="126" t="s">
        <v>3603</v>
      </c>
      <c r="F87" s="126" t="s">
        <v>3604</v>
      </c>
      <c r="G87" s="126" t="s">
        <v>0</v>
      </c>
      <c r="H87" s="126" t="s">
        <v>3595</v>
      </c>
      <c r="I87" s="126" t="s">
        <v>3596</v>
      </c>
      <c r="J87" s="126" t="s">
        <v>5463</v>
      </c>
      <c r="K87" s="127">
        <v>45707</v>
      </c>
      <c r="L87" s="126">
        <v>1100008800</v>
      </c>
      <c r="M87" s="126" t="s">
        <v>1498</v>
      </c>
      <c r="N87" s="126" t="s">
        <v>5648</v>
      </c>
      <c r="O87" s="263" t="s">
        <v>5649</v>
      </c>
      <c r="P87" s="128" t="s">
        <v>24</v>
      </c>
      <c r="Q87" s="246" t="s">
        <v>49</v>
      </c>
      <c r="R87" s="128" t="s">
        <v>5463</v>
      </c>
      <c r="S87" s="128" t="s">
        <v>5514</v>
      </c>
      <c r="T87" s="251"/>
      <c r="U87" s="128"/>
    </row>
    <row r="88" spans="1:21" ht="30" customHeight="1">
      <c r="A88" s="143">
        <v>86</v>
      </c>
      <c r="B88" s="126" t="s">
        <v>1778</v>
      </c>
      <c r="C88" s="126" t="s">
        <v>5635</v>
      </c>
      <c r="D88" s="126" t="s">
        <v>1911</v>
      </c>
      <c r="E88" s="126" t="s">
        <v>3603</v>
      </c>
      <c r="F88" s="126" t="s">
        <v>3594</v>
      </c>
      <c r="G88" s="126" t="s">
        <v>0</v>
      </c>
      <c r="H88" s="126" t="s">
        <v>3595</v>
      </c>
      <c r="I88" s="126" t="s">
        <v>3596</v>
      </c>
      <c r="J88" s="126" t="s">
        <v>5463</v>
      </c>
      <c r="K88" s="127">
        <v>45707</v>
      </c>
      <c r="L88" s="126">
        <v>1110014400</v>
      </c>
      <c r="M88" s="126" t="s">
        <v>5592</v>
      </c>
      <c r="N88" s="126" t="s">
        <v>5650</v>
      </c>
      <c r="O88" s="263" t="s">
        <v>5651</v>
      </c>
      <c r="P88" s="128" t="s">
        <v>24</v>
      </c>
      <c r="Q88" s="246" t="s">
        <v>49</v>
      </c>
      <c r="R88" s="128" t="s">
        <v>5463</v>
      </c>
      <c r="S88" s="128" t="s">
        <v>3768</v>
      </c>
      <c r="T88" s="251"/>
      <c r="U88" s="128"/>
    </row>
    <row r="89" spans="1:21" ht="30" customHeight="1">
      <c r="A89" s="143">
        <v>87</v>
      </c>
      <c r="B89" s="126" t="s">
        <v>1785</v>
      </c>
      <c r="C89" s="126" t="s">
        <v>5510</v>
      </c>
      <c r="D89" s="126" t="s">
        <v>1476</v>
      </c>
      <c r="E89" s="126" t="s">
        <v>3593</v>
      </c>
      <c r="F89" s="126" t="s">
        <v>3619</v>
      </c>
      <c r="G89" s="126" t="s">
        <v>0</v>
      </c>
      <c r="H89" s="126" t="s">
        <v>3614</v>
      </c>
      <c r="I89" s="126" t="s">
        <v>3596</v>
      </c>
      <c r="J89" s="126" t="s">
        <v>2880</v>
      </c>
      <c r="K89" s="127">
        <v>45707</v>
      </c>
      <c r="L89" s="126" t="s">
        <v>5478</v>
      </c>
      <c r="M89" s="126" t="s">
        <v>932</v>
      </c>
      <c r="N89" s="126" t="s">
        <v>5550</v>
      </c>
      <c r="O89" s="263" t="s">
        <v>5652</v>
      </c>
      <c r="P89" s="128" t="s">
        <v>45</v>
      </c>
      <c r="Q89" s="246" t="s">
        <v>5481</v>
      </c>
      <c r="R89" s="128" t="s">
        <v>3656</v>
      </c>
      <c r="S89" s="128" t="s">
        <v>5548</v>
      </c>
      <c r="T89" s="251"/>
      <c r="U89" s="128"/>
    </row>
    <row r="90" spans="1:21" ht="30" customHeight="1">
      <c r="A90" s="143">
        <v>88</v>
      </c>
      <c r="B90" s="126" t="s">
        <v>1791</v>
      </c>
      <c r="C90" s="126" t="s">
        <v>5653</v>
      </c>
      <c r="D90" s="126" t="s">
        <v>3801</v>
      </c>
      <c r="E90" s="126" t="s">
        <v>3603</v>
      </c>
      <c r="F90" s="126" t="s">
        <v>3604</v>
      </c>
      <c r="G90" s="126" t="s">
        <v>0</v>
      </c>
      <c r="H90" s="126" t="s">
        <v>3614</v>
      </c>
      <c r="I90" s="126" t="s">
        <v>3596</v>
      </c>
      <c r="J90" s="126" t="s">
        <v>5463</v>
      </c>
      <c r="K90" s="127">
        <v>45708</v>
      </c>
      <c r="L90" s="126" t="s">
        <v>5563</v>
      </c>
      <c r="M90" s="126" t="s">
        <v>735</v>
      </c>
      <c r="N90" s="126" t="s">
        <v>5654</v>
      </c>
      <c r="O90" s="263" t="s">
        <v>5655</v>
      </c>
      <c r="P90" s="128" t="s">
        <v>45</v>
      </c>
      <c r="Q90" s="246" t="s">
        <v>5481</v>
      </c>
      <c r="R90" s="128" t="s">
        <v>5463</v>
      </c>
      <c r="S90" s="128" t="s">
        <v>3666</v>
      </c>
      <c r="T90" s="251"/>
      <c r="U90" s="128"/>
    </row>
    <row r="91" spans="1:21" ht="30" customHeight="1">
      <c r="A91" s="143">
        <v>89</v>
      </c>
      <c r="B91" s="126" t="s">
        <v>1795</v>
      </c>
      <c r="C91" s="126" t="s">
        <v>5483</v>
      </c>
      <c r="D91" s="126" t="s">
        <v>1591</v>
      </c>
      <c r="E91" s="126" t="s">
        <v>3593</v>
      </c>
      <c r="F91" s="126" t="s">
        <v>3619</v>
      </c>
      <c r="G91" s="126" t="s">
        <v>0</v>
      </c>
      <c r="H91" s="126" t="s">
        <v>3614</v>
      </c>
      <c r="I91" s="126" t="s">
        <v>3596</v>
      </c>
      <c r="J91" s="126" t="s">
        <v>5463</v>
      </c>
      <c r="K91" s="127">
        <v>45708</v>
      </c>
      <c r="L91" s="126" t="s">
        <v>5478</v>
      </c>
      <c r="M91" s="126" t="s">
        <v>932</v>
      </c>
      <c r="N91" s="126" t="s">
        <v>5486</v>
      </c>
      <c r="O91" s="263" t="s">
        <v>5540</v>
      </c>
      <c r="P91" s="128" t="s">
        <v>45</v>
      </c>
      <c r="Q91" s="246" t="s">
        <v>5481</v>
      </c>
      <c r="R91" s="128" t="s">
        <v>5463</v>
      </c>
      <c r="S91" s="128" t="s">
        <v>5566</v>
      </c>
      <c r="T91" s="251"/>
      <c r="U91" s="128"/>
    </row>
    <row r="92" spans="1:21" ht="30" customHeight="1">
      <c r="A92" s="143">
        <v>90</v>
      </c>
      <c r="B92" s="126" t="s">
        <v>1809</v>
      </c>
      <c r="C92" s="126" t="s">
        <v>5656</v>
      </c>
      <c r="D92" s="126" t="s">
        <v>1476</v>
      </c>
      <c r="E92" s="126" t="s">
        <v>3603</v>
      </c>
      <c r="F92" s="126" t="s">
        <v>3604</v>
      </c>
      <c r="G92" s="126" t="s">
        <v>0</v>
      </c>
      <c r="H92" s="126" t="s">
        <v>3595</v>
      </c>
      <c r="I92" s="126" t="s">
        <v>3596</v>
      </c>
      <c r="J92" s="126" t="s">
        <v>2679</v>
      </c>
      <c r="K92" s="127">
        <v>45709</v>
      </c>
      <c r="L92" s="126" t="s">
        <v>5657</v>
      </c>
      <c r="M92" s="126" t="s">
        <v>438</v>
      </c>
      <c r="N92" s="126" t="s">
        <v>5557</v>
      </c>
      <c r="O92" s="263" t="s">
        <v>5658</v>
      </c>
      <c r="P92" s="128" t="s">
        <v>30</v>
      </c>
      <c r="Q92" s="246" t="s">
        <v>49</v>
      </c>
      <c r="R92" s="128" t="s">
        <v>5463</v>
      </c>
      <c r="S92" s="128" t="s">
        <v>3768</v>
      </c>
      <c r="T92" s="251"/>
      <c r="U92" s="128"/>
    </row>
    <row r="93" spans="1:21" ht="30" customHeight="1">
      <c r="A93" s="143">
        <v>91</v>
      </c>
      <c r="B93" s="126" t="s">
        <v>1802</v>
      </c>
      <c r="C93" s="126" t="s">
        <v>5659</v>
      </c>
      <c r="D93" s="126" t="s">
        <v>1479</v>
      </c>
      <c r="E93" s="126" t="s">
        <v>3593</v>
      </c>
      <c r="F93" s="126" t="s">
        <v>3594</v>
      </c>
      <c r="G93" s="126" t="s">
        <v>0</v>
      </c>
      <c r="H93" s="126" t="s">
        <v>3595</v>
      </c>
      <c r="I93" s="126" t="s">
        <v>3694</v>
      </c>
      <c r="J93" s="126" t="s">
        <v>5463</v>
      </c>
      <c r="K93" s="127">
        <v>45712</v>
      </c>
      <c r="L93" s="126" t="s">
        <v>5660</v>
      </c>
      <c r="M93" s="126" t="s">
        <v>103</v>
      </c>
      <c r="N93" s="126" t="s">
        <v>5661</v>
      </c>
      <c r="O93" s="263" t="s">
        <v>5662</v>
      </c>
      <c r="P93" s="128" t="s">
        <v>1463</v>
      </c>
      <c r="Q93" s="246" t="s">
        <v>49</v>
      </c>
      <c r="R93" s="128" t="s">
        <v>3993</v>
      </c>
      <c r="S93" s="128" t="s">
        <v>5663</v>
      </c>
      <c r="T93" s="251"/>
      <c r="U93" s="128"/>
    </row>
    <row r="94" spans="1:21" ht="30" customHeight="1">
      <c r="A94" s="143">
        <v>92</v>
      </c>
      <c r="B94" s="126" t="s">
        <v>1805</v>
      </c>
      <c r="C94" s="126" t="s">
        <v>5664</v>
      </c>
      <c r="D94" s="126" t="s">
        <v>1476</v>
      </c>
      <c r="E94" s="126" t="s">
        <v>3593</v>
      </c>
      <c r="F94" s="126" t="s">
        <v>3619</v>
      </c>
      <c r="G94" s="126" t="s">
        <v>0</v>
      </c>
      <c r="H94" s="126" t="s">
        <v>3595</v>
      </c>
      <c r="I94" s="126" t="s">
        <v>3596</v>
      </c>
      <c r="J94" s="126" t="s">
        <v>2679</v>
      </c>
      <c r="K94" s="127">
        <v>45712</v>
      </c>
      <c r="L94" s="126" t="s">
        <v>5665</v>
      </c>
      <c r="M94" s="126" t="s">
        <v>407</v>
      </c>
      <c r="N94" s="126" t="s">
        <v>5666</v>
      </c>
      <c r="O94" s="263" t="s">
        <v>5667</v>
      </c>
      <c r="P94" s="128" t="s">
        <v>1463</v>
      </c>
      <c r="Q94" s="246" t="s">
        <v>49</v>
      </c>
      <c r="R94" s="128" t="s">
        <v>5463</v>
      </c>
      <c r="S94" s="128" t="s">
        <v>3993</v>
      </c>
      <c r="T94" s="251"/>
      <c r="U94" s="128"/>
    </row>
    <row r="95" spans="1:21" ht="30" customHeight="1">
      <c r="A95" s="143">
        <v>93</v>
      </c>
      <c r="B95" s="126" t="s">
        <v>1810</v>
      </c>
      <c r="C95" s="126" t="s">
        <v>5578</v>
      </c>
      <c r="D95" s="126" t="s">
        <v>1476</v>
      </c>
      <c r="E95" s="126" t="s">
        <v>3603</v>
      </c>
      <c r="F95" s="126" t="s">
        <v>3604</v>
      </c>
      <c r="G95" s="126" t="s">
        <v>0</v>
      </c>
      <c r="H95" s="126" t="s">
        <v>3614</v>
      </c>
      <c r="I95" s="126" t="s">
        <v>3596</v>
      </c>
      <c r="J95" s="126" t="s">
        <v>2880</v>
      </c>
      <c r="K95" s="127">
        <v>45712</v>
      </c>
      <c r="L95" s="126" t="s">
        <v>5478</v>
      </c>
      <c r="M95" s="126" t="s">
        <v>932</v>
      </c>
      <c r="N95" s="126" t="s">
        <v>5550</v>
      </c>
      <c r="O95" s="263" t="s">
        <v>5668</v>
      </c>
      <c r="P95" s="128" t="s">
        <v>45</v>
      </c>
      <c r="Q95" s="246" t="s">
        <v>5481</v>
      </c>
      <c r="R95" s="128" t="s">
        <v>5463</v>
      </c>
      <c r="S95" s="128" t="s">
        <v>3666</v>
      </c>
      <c r="T95" s="251"/>
      <c r="U95" s="128"/>
    </row>
    <row r="96" spans="1:21" ht="30" customHeight="1">
      <c r="A96" s="143">
        <v>94</v>
      </c>
      <c r="B96" s="126" t="s">
        <v>1829</v>
      </c>
      <c r="C96" s="126" t="s">
        <v>5669</v>
      </c>
      <c r="D96" s="126" t="s">
        <v>1479</v>
      </c>
      <c r="E96" s="126" t="s">
        <v>3593</v>
      </c>
      <c r="F96" s="126" t="s">
        <v>3594</v>
      </c>
      <c r="G96" s="126" t="s">
        <v>0</v>
      </c>
      <c r="H96" s="126" t="s">
        <v>3614</v>
      </c>
      <c r="I96" s="126" t="s">
        <v>3596</v>
      </c>
      <c r="J96" s="126" t="s">
        <v>5463</v>
      </c>
      <c r="K96" s="127">
        <v>45714</v>
      </c>
      <c r="L96" s="126" t="s">
        <v>5670</v>
      </c>
      <c r="M96" s="126" t="s">
        <v>981</v>
      </c>
      <c r="N96" s="126" t="s">
        <v>5671</v>
      </c>
      <c r="O96" s="263" t="s">
        <v>5672</v>
      </c>
      <c r="P96" s="128" t="s">
        <v>45</v>
      </c>
      <c r="Q96" s="246" t="s">
        <v>5673</v>
      </c>
      <c r="R96" s="128" t="s">
        <v>5463</v>
      </c>
      <c r="S96" s="128" t="s">
        <v>5548</v>
      </c>
      <c r="T96" s="251"/>
      <c r="U96" s="128"/>
    </row>
    <row r="97" spans="1:21" ht="30" customHeight="1">
      <c r="A97" s="143">
        <v>95</v>
      </c>
      <c r="B97" s="126" t="s">
        <v>1841</v>
      </c>
      <c r="C97" s="126" t="s">
        <v>5647</v>
      </c>
      <c r="D97" s="126" t="s">
        <v>3638</v>
      </c>
      <c r="E97" s="126" t="s">
        <v>3593</v>
      </c>
      <c r="F97" s="126" t="s">
        <v>3619</v>
      </c>
      <c r="G97" s="126" t="s">
        <v>0</v>
      </c>
      <c r="H97" s="126" t="s">
        <v>3614</v>
      </c>
      <c r="I97" s="126" t="s">
        <v>3596</v>
      </c>
      <c r="J97" s="126" t="s">
        <v>5463</v>
      </c>
      <c r="K97" s="127">
        <v>45715</v>
      </c>
      <c r="L97" s="126" t="s">
        <v>5478</v>
      </c>
      <c r="M97" s="126" t="s">
        <v>932</v>
      </c>
      <c r="N97" s="126" t="s">
        <v>5486</v>
      </c>
      <c r="O97" s="263" t="s">
        <v>5540</v>
      </c>
      <c r="P97" s="128" t="s">
        <v>45</v>
      </c>
      <c r="Q97" s="246" t="s">
        <v>5481</v>
      </c>
      <c r="R97" s="128" t="s">
        <v>5463</v>
      </c>
      <c r="S97" s="128" t="s">
        <v>5600</v>
      </c>
      <c r="T97" s="251"/>
      <c r="U97" s="128"/>
    </row>
    <row r="98" spans="1:21" ht="30" customHeight="1">
      <c r="A98" s="143">
        <v>96</v>
      </c>
      <c r="B98" s="126" t="s">
        <v>1835</v>
      </c>
      <c r="C98" s="126" t="s">
        <v>5503</v>
      </c>
      <c r="D98" s="126" t="s">
        <v>1476</v>
      </c>
      <c r="E98" s="126" t="s">
        <v>3593</v>
      </c>
      <c r="F98" s="126" t="s">
        <v>3619</v>
      </c>
      <c r="G98" s="126" t="s">
        <v>0</v>
      </c>
      <c r="H98" s="126" t="s">
        <v>3614</v>
      </c>
      <c r="I98" s="126" t="s">
        <v>3596</v>
      </c>
      <c r="J98" s="126" t="s">
        <v>2679</v>
      </c>
      <c r="K98" s="127">
        <v>45715</v>
      </c>
      <c r="L98" s="126" t="s">
        <v>5478</v>
      </c>
      <c r="M98" s="126" t="s">
        <v>932</v>
      </c>
      <c r="N98" s="126" t="s">
        <v>5486</v>
      </c>
      <c r="O98" s="263" t="s">
        <v>5674</v>
      </c>
      <c r="P98" s="128" t="s">
        <v>45</v>
      </c>
      <c r="Q98" s="246" t="s">
        <v>5481</v>
      </c>
      <c r="R98" s="128" t="s">
        <v>5463</v>
      </c>
      <c r="S98" s="128" t="s">
        <v>5600</v>
      </c>
      <c r="T98" s="251"/>
      <c r="U98" s="128"/>
    </row>
    <row r="99" spans="1:21" ht="30" customHeight="1">
      <c r="A99" s="143">
        <v>97</v>
      </c>
      <c r="B99" s="126" t="s">
        <v>1836</v>
      </c>
      <c r="C99" s="126" t="s">
        <v>5675</v>
      </c>
      <c r="D99" s="126" t="s">
        <v>1581</v>
      </c>
      <c r="E99" s="126" t="s">
        <v>3603</v>
      </c>
      <c r="F99" s="126" t="s">
        <v>3594</v>
      </c>
      <c r="G99" s="126" t="s">
        <v>0</v>
      </c>
      <c r="H99" s="126" t="s">
        <v>3614</v>
      </c>
      <c r="I99" s="126" t="s">
        <v>3596</v>
      </c>
      <c r="J99" s="126" t="s">
        <v>2880</v>
      </c>
      <c r="K99" s="127">
        <v>45715</v>
      </c>
      <c r="L99" s="126" t="s">
        <v>5601</v>
      </c>
      <c r="M99" s="126" t="s">
        <v>981</v>
      </c>
      <c r="N99" s="126" t="s">
        <v>5602</v>
      </c>
      <c r="O99" s="263" t="s">
        <v>5676</v>
      </c>
      <c r="P99" s="128" t="s">
        <v>45</v>
      </c>
      <c r="Q99" s="246" t="s">
        <v>5481</v>
      </c>
      <c r="R99" s="128" t="s">
        <v>3666</v>
      </c>
      <c r="S99" s="128" t="s">
        <v>5625</v>
      </c>
      <c r="T99" s="251"/>
      <c r="U99" s="128"/>
    </row>
    <row r="100" spans="1:21" ht="30" customHeight="1">
      <c r="A100" s="143">
        <v>98</v>
      </c>
      <c r="B100" s="126" t="s">
        <v>1846</v>
      </c>
      <c r="C100" s="126" t="s">
        <v>5677</v>
      </c>
      <c r="D100" s="126" t="s">
        <v>1477</v>
      </c>
      <c r="E100" s="126" t="s">
        <v>3603</v>
      </c>
      <c r="F100" s="126" t="s">
        <v>3619</v>
      </c>
      <c r="G100" s="126" t="s">
        <v>0</v>
      </c>
      <c r="H100" s="126" t="s">
        <v>3595</v>
      </c>
      <c r="I100" s="126" t="s">
        <v>2894</v>
      </c>
      <c r="J100" s="126" t="s">
        <v>5463</v>
      </c>
      <c r="K100" s="127">
        <v>45716</v>
      </c>
      <c r="L100" s="126" t="s">
        <v>5678</v>
      </c>
      <c r="M100" s="126" t="s">
        <v>1505</v>
      </c>
      <c r="N100" s="126" t="s">
        <v>5679</v>
      </c>
      <c r="O100" s="263" t="s">
        <v>5680</v>
      </c>
      <c r="P100" s="128" t="s">
        <v>1463</v>
      </c>
      <c r="Q100" s="246" t="s">
        <v>49</v>
      </c>
      <c r="R100" s="128" t="s">
        <v>5463</v>
      </c>
      <c r="S100" s="128" t="s">
        <v>5514</v>
      </c>
      <c r="T100" s="251"/>
      <c r="U100" s="128"/>
    </row>
    <row r="101" spans="1:21" ht="30" customHeight="1">
      <c r="A101" s="143">
        <v>99</v>
      </c>
      <c r="B101" s="126" t="s">
        <v>1845</v>
      </c>
      <c r="C101" s="126" t="s">
        <v>5677</v>
      </c>
      <c r="D101" s="126" t="s">
        <v>1477</v>
      </c>
      <c r="E101" s="126" t="s">
        <v>3603</v>
      </c>
      <c r="F101" s="126" t="s">
        <v>3619</v>
      </c>
      <c r="G101" s="126" t="s">
        <v>0</v>
      </c>
      <c r="H101" s="126" t="s">
        <v>3595</v>
      </c>
      <c r="I101" s="126" t="s">
        <v>2894</v>
      </c>
      <c r="J101" s="126" t="s">
        <v>5463</v>
      </c>
      <c r="K101" s="127">
        <v>45716</v>
      </c>
      <c r="L101" s="126" t="s">
        <v>5678</v>
      </c>
      <c r="M101" s="126" t="s">
        <v>2862</v>
      </c>
      <c r="N101" s="126" t="s">
        <v>5679</v>
      </c>
      <c r="O101" s="263" t="s">
        <v>5680</v>
      </c>
      <c r="P101" s="128" t="s">
        <v>1463</v>
      </c>
      <c r="Q101" s="246" t="s">
        <v>49</v>
      </c>
      <c r="R101" s="128" t="s">
        <v>5463</v>
      </c>
      <c r="S101" s="128" t="s">
        <v>5514</v>
      </c>
      <c r="T101" s="251"/>
      <c r="U101" s="128"/>
    </row>
    <row r="102" spans="1:21" ht="30" customHeight="1">
      <c r="A102" s="143">
        <v>100</v>
      </c>
      <c r="B102" s="126" t="s">
        <v>1843</v>
      </c>
      <c r="C102" s="126" t="s">
        <v>5677</v>
      </c>
      <c r="D102" s="126" t="s">
        <v>1477</v>
      </c>
      <c r="E102" s="126" t="s">
        <v>3603</v>
      </c>
      <c r="F102" s="126" t="s">
        <v>3619</v>
      </c>
      <c r="G102" s="126" t="s">
        <v>0</v>
      </c>
      <c r="H102" s="126" t="s">
        <v>3595</v>
      </c>
      <c r="I102" s="126" t="s">
        <v>2894</v>
      </c>
      <c r="J102" s="126" t="s">
        <v>5463</v>
      </c>
      <c r="K102" s="127">
        <v>45716</v>
      </c>
      <c r="L102" s="126" t="s">
        <v>5678</v>
      </c>
      <c r="M102" s="126" t="s">
        <v>2862</v>
      </c>
      <c r="N102" s="126" t="s">
        <v>5679</v>
      </c>
      <c r="O102" s="263" t="s">
        <v>5680</v>
      </c>
      <c r="P102" s="128" t="s">
        <v>1463</v>
      </c>
      <c r="Q102" s="246" t="s">
        <v>49</v>
      </c>
      <c r="R102" s="128" t="s">
        <v>5463</v>
      </c>
      <c r="S102" s="128" t="s">
        <v>5514</v>
      </c>
      <c r="T102" s="251"/>
      <c r="U102" s="128"/>
    </row>
    <row r="103" spans="1:21" ht="30" customHeight="1">
      <c r="A103" s="143">
        <v>101</v>
      </c>
      <c r="B103" s="126" t="s">
        <v>1848</v>
      </c>
      <c r="C103" s="126" t="s">
        <v>5669</v>
      </c>
      <c r="D103" s="126" t="s">
        <v>1479</v>
      </c>
      <c r="E103" s="126" t="s">
        <v>3593</v>
      </c>
      <c r="F103" s="126" t="s">
        <v>3594</v>
      </c>
      <c r="G103" s="126" t="s">
        <v>0</v>
      </c>
      <c r="H103" s="126" t="s">
        <v>3595</v>
      </c>
      <c r="I103" s="126" t="s">
        <v>3596</v>
      </c>
      <c r="J103" s="126" t="s">
        <v>5463</v>
      </c>
      <c r="K103" s="127">
        <v>45716</v>
      </c>
      <c r="L103" s="126" t="s">
        <v>5681</v>
      </c>
      <c r="M103" s="126" t="s">
        <v>5682</v>
      </c>
      <c r="N103" s="126" t="s">
        <v>5683</v>
      </c>
      <c r="O103" s="263" t="s">
        <v>1512</v>
      </c>
      <c r="P103" s="128" t="s">
        <v>1463</v>
      </c>
      <c r="Q103" s="246" t="s">
        <v>49</v>
      </c>
      <c r="R103" s="128" t="s">
        <v>5463</v>
      </c>
      <c r="S103" s="128" t="s">
        <v>5568</v>
      </c>
      <c r="T103" s="251"/>
      <c r="U103" s="128"/>
    </row>
    <row r="104" spans="1:21" ht="30" customHeight="1">
      <c r="A104" s="143">
        <v>102</v>
      </c>
      <c r="B104" s="126" t="s">
        <v>1852</v>
      </c>
      <c r="C104" s="126" t="s">
        <v>5684</v>
      </c>
      <c r="D104" s="126" t="s">
        <v>1478</v>
      </c>
      <c r="E104" s="126" t="s">
        <v>3593</v>
      </c>
      <c r="F104" s="126" t="s">
        <v>3619</v>
      </c>
      <c r="G104" s="126" t="s">
        <v>0</v>
      </c>
      <c r="H104" s="126" t="s">
        <v>3595</v>
      </c>
      <c r="I104" s="126" t="s">
        <v>3596</v>
      </c>
      <c r="J104" s="126" t="s">
        <v>2880</v>
      </c>
      <c r="K104" s="127">
        <v>45720</v>
      </c>
      <c r="L104" s="126">
        <v>1110047700</v>
      </c>
      <c r="M104" s="126" t="s">
        <v>69</v>
      </c>
      <c r="N104" s="126" t="s">
        <v>5685</v>
      </c>
      <c r="O104" s="263" t="s">
        <v>5686</v>
      </c>
      <c r="P104" s="128" t="s">
        <v>42</v>
      </c>
      <c r="Q104" s="246" t="s">
        <v>54</v>
      </c>
      <c r="R104" s="128" t="s">
        <v>5463</v>
      </c>
      <c r="S104" s="128" t="s">
        <v>5641</v>
      </c>
      <c r="T104" s="251"/>
      <c r="U104" s="128"/>
    </row>
    <row r="105" spans="1:21" ht="30" customHeight="1">
      <c r="A105" s="143">
        <v>103</v>
      </c>
      <c r="B105" s="126" t="s">
        <v>1851</v>
      </c>
      <c r="C105" s="126" t="s">
        <v>5684</v>
      </c>
      <c r="D105" s="126" t="s">
        <v>1478</v>
      </c>
      <c r="E105" s="126" t="s">
        <v>3593</v>
      </c>
      <c r="F105" s="126" t="s">
        <v>3619</v>
      </c>
      <c r="G105" s="126" t="s">
        <v>0</v>
      </c>
      <c r="H105" s="126" t="s">
        <v>3614</v>
      </c>
      <c r="I105" s="126" t="s">
        <v>3596</v>
      </c>
      <c r="J105" s="126" t="s">
        <v>2880</v>
      </c>
      <c r="K105" s="127">
        <v>45720</v>
      </c>
      <c r="L105" s="126" t="s">
        <v>5478</v>
      </c>
      <c r="M105" s="126" t="s">
        <v>932</v>
      </c>
      <c r="N105" s="126" t="s">
        <v>5486</v>
      </c>
      <c r="O105" s="263" t="s">
        <v>5687</v>
      </c>
      <c r="P105" s="128" t="s">
        <v>45</v>
      </c>
      <c r="Q105" s="246" t="s">
        <v>5481</v>
      </c>
      <c r="R105" s="128" t="s">
        <v>5463</v>
      </c>
      <c r="S105" s="128" t="s">
        <v>5600</v>
      </c>
      <c r="T105" s="251"/>
      <c r="U105" s="128"/>
    </row>
    <row r="106" spans="1:21" ht="30" customHeight="1">
      <c r="A106" s="143">
        <v>104</v>
      </c>
      <c r="B106" s="126" t="s">
        <v>1854</v>
      </c>
      <c r="C106" s="126" t="s">
        <v>5476</v>
      </c>
      <c r="D106" s="126" t="s">
        <v>5477</v>
      </c>
      <c r="E106" s="126" t="s">
        <v>3603</v>
      </c>
      <c r="F106" s="126" t="s">
        <v>3604</v>
      </c>
      <c r="G106" s="126" t="s">
        <v>0</v>
      </c>
      <c r="H106" s="126" t="s">
        <v>3614</v>
      </c>
      <c r="I106" s="126" t="s">
        <v>3596</v>
      </c>
      <c r="J106" s="126" t="s">
        <v>5463</v>
      </c>
      <c r="K106" s="127">
        <v>45720</v>
      </c>
      <c r="L106" s="126" t="s">
        <v>5478</v>
      </c>
      <c r="M106" s="126" t="s">
        <v>932</v>
      </c>
      <c r="N106" s="126" t="s">
        <v>5486</v>
      </c>
      <c r="O106" s="263" t="s">
        <v>5688</v>
      </c>
      <c r="P106" s="128" t="s">
        <v>45</v>
      </c>
      <c r="Q106" s="246" t="s">
        <v>5481</v>
      </c>
      <c r="R106" s="128" t="s">
        <v>3666</v>
      </c>
      <c r="S106" s="128" t="s">
        <v>3768</v>
      </c>
      <c r="T106" s="251"/>
      <c r="U106" s="128"/>
    </row>
    <row r="107" spans="1:21" ht="30" customHeight="1">
      <c r="A107" s="143">
        <v>105</v>
      </c>
      <c r="B107" s="126" t="s">
        <v>5689</v>
      </c>
      <c r="C107" s="126" t="s">
        <v>5659</v>
      </c>
      <c r="D107" s="126" t="s">
        <v>1479</v>
      </c>
      <c r="E107" s="126" t="s">
        <v>3593</v>
      </c>
      <c r="F107" s="126" t="s">
        <v>3594</v>
      </c>
      <c r="G107" s="126" t="s">
        <v>0</v>
      </c>
      <c r="H107" s="126" t="s">
        <v>3595</v>
      </c>
      <c r="I107" s="126" t="s">
        <v>3596</v>
      </c>
      <c r="J107" s="126" t="s">
        <v>5463</v>
      </c>
      <c r="K107" s="127">
        <v>45722</v>
      </c>
      <c r="L107" s="126" t="s">
        <v>5665</v>
      </c>
      <c r="M107" s="126" t="s">
        <v>407</v>
      </c>
      <c r="N107" s="126" t="s">
        <v>5666</v>
      </c>
      <c r="O107" s="263" t="s">
        <v>5690</v>
      </c>
      <c r="P107" s="128" t="s">
        <v>1463</v>
      </c>
      <c r="Q107" s="246" t="s">
        <v>49</v>
      </c>
      <c r="R107" s="128" t="s">
        <v>3993</v>
      </c>
      <c r="S107" s="128" t="s">
        <v>5641</v>
      </c>
      <c r="T107" s="251"/>
      <c r="U107" s="128"/>
    </row>
    <row r="108" spans="1:21" ht="30" customHeight="1">
      <c r="A108" s="143">
        <v>106</v>
      </c>
      <c r="B108" s="126" t="s">
        <v>1872</v>
      </c>
      <c r="C108" s="126" t="s">
        <v>5659</v>
      </c>
      <c r="D108" s="126" t="s">
        <v>1479</v>
      </c>
      <c r="E108" s="126" t="s">
        <v>3593</v>
      </c>
      <c r="F108" s="126" t="s">
        <v>3594</v>
      </c>
      <c r="G108" s="126" t="s">
        <v>0</v>
      </c>
      <c r="H108" s="126" t="s">
        <v>3595</v>
      </c>
      <c r="I108" s="126" t="s">
        <v>3596</v>
      </c>
      <c r="J108" s="126" t="s">
        <v>5463</v>
      </c>
      <c r="K108" s="127">
        <v>45722</v>
      </c>
      <c r="L108" s="126" t="s">
        <v>5691</v>
      </c>
      <c r="M108" s="126" t="s">
        <v>5534</v>
      </c>
      <c r="N108" s="126" t="s">
        <v>5692</v>
      </c>
      <c r="O108" s="263" t="s">
        <v>5693</v>
      </c>
      <c r="P108" s="128" t="s">
        <v>1463</v>
      </c>
      <c r="Q108" s="246" t="s">
        <v>49</v>
      </c>
      <c r="R108" s="128" t="s">
        <v>3602</v>
      </c>
      <c r="S108" s="128" t="s">
        <v>4042</v>
      </c>
      <c r="T108" s="251"/>
      <c r="U108" s="128"/>
    </row>
    <row r="109" spans="1:21" ht="30" customHeight="1">
      <c r="A109" s="143">
        <v>107</v>
      </c>
      <c r="B109" s="126" t="s">
        <v>1870</v>
      </c>
      <c r="C109" s="126" t="s">
        <v>5659</v>
      </c>
      <c r="D109" s="126" t="s">
        <v>1479</v>
      </c>
      <c r="E109" s="126" t="s">
        <v>3593</v>
      </c>
      <c r="F109" s="126" t="s">
        <v>3594</v>
      </c>
      <c r="G109" s="126" t="s">
        <v>0</v>
      </c>
      <c r="H109" s="126" t="s">
        <v>3595</v>
      </c>
      <c r="I109" s="126" t="s">
        <v>3596</v>
      </c>
      <c r="J109" s="126" t="s">
        <v>5463</v>
      </c>
      <c r="K109" s="127">
        <v>45722</v>
      </c>
      <c r="L109" s="126" t="s">
        <v>5691</v>
      </c>
      <c r="M109" s="126" t="s">
        <v>5534</v>
      </c>
      <c r="N109" s="126" t="s">
        <v>5694</v>
      </c>
      <c r="O109" s="263" t="s">
        <v>5695</v>
      </c>
      <c r="P109" s="128" t="s">
        <v>1463</v>
      </c>
      <c r="Q109" s="246" t="s">
        <v>49</v>
      </c>
      <c r="R109" s="128" t="s">
        <v>3602</v>
      </c>
      <c r="S109" s="128" t="s">
        <v>4042</v>
      </c>
      <c r="T109" s="251"/>
      <c r="U109" s="128"/>
    </row>
    <row r="110" spans="1:21" ht="30" customHeight="1">
      <c r="A110" s="143">
        <v>108</v>
      </c>
      <c r="B110" s="126" t="s">
        <v>1869</v>
      </c>
      <c r="C110" s="126" t="s">
        <v>5659</v>
      </c>
      <c r="D110" s="126" t="s">
        <v>1479</v>
      </c>
      <c r="E110" s="126" t="s">
        <v>3593</v>
      </c>
      <c r="F110" s="126" t="s">
        <v>3594</v>
      </c>
      <c r="G110" s="126" t="s">
        <v>0</v>
      </c>
      <c r="H110" s="126" t="s">
        <v>3595</v>
      </c>
      <c r="I110" s="126" t="s">
        <v>3596</v>
      </c>
      <c r="J110" s="126" t="s">
        <v>5463</v>
      </c>
      <c r="K110" s="127">
        <v>45722</v>
      </c>
      <c r="L110" s="126" t="s">
        <v>5691</v>
      </c>
      <c r="M110" s="126" t="s">
        <v>5534</v>
      </c>
      <c r="N110" s="126" t="s">
        <v>5694</v>
      </c>
      <c r="O110" s="263" t="s">
        <v>5695</v>
      </c>
      <c r="P110" s="128" t="s">
        <v>1463</v>
      </c>
      <c r="Q110" s="246" t="s">
        <v>49</v>
      </c>
      <c r="R110" s="128" t="s">
        <v>3602</v>
      </c>
      <c r="S110" s="128" t="s">
        <v>4042</v>
      </c>
      <c r="T110" s="251"/>
      <c r="U110" s="128"/>
    </row>
    <row r="111" spans="1:21" ht="30" customHeight="1">
      <c r="A111" s="143">
        <v>109</v>
      </c>
      <c r="B111" s="126" t="s">
        <v>1872</v>
      </c>
      <c r="C111" s="126" t="s">
        <v>5659</v>
      </c>
      <c r="D111" s="126" t="s">
        <v>1479</v>
      </c>
      <c r="E111" s="126" t="s">
        <v>3593</v>
      </c>
      <c r="F111" s="126" t="s">
        <v>3594</v>
      </c>
      <c r="G111" s="126" t="s">
        <v>0</v>
      </c>
      <c r="H111" s="126" t="s">
        <v>3595</v>
      </c>
      <c r="I111" s="126" t="s">
        <v>3596</v>
      </c>
      <c r="J111" s="126" t="s">
        <v>5463</v>
      </c>
      <c r="K111" s="127">
        <v>45722</v>
      </c>
      <c r="L111" s="126" t="s">
        <v>5696</v>
      </c>
      <c r="M111" s="126" t="s">
        <v>816</v>
      </c>
      <c r="N111" s="126" t="s">
        <v>5697</v>
      </c>
      <c r="O111" s="263" t="s">
        <v>5698</v>
      </c>
      <c r="P111" s="128" t="s">
        <v>24</v>
      </c>
      <c r="Q111" s="246" t="s">
        <v>49</v>
      </c>
      <c r="R111" s="128" t="s">
        <v>3993</v>
      </c>
      <c r="S111" s="128" t="s">
        <v>5641</v>
      </c>
      <c r="T111" s="251"/>
      <c r="U111" s="128"/>
    </row>
    <row r="112" spans="1:21" ht="30" customHeight="1">
      <c r="A112" s="143">
        <v>110</v>
      </c>
      <c r="B112" s="126" t="s">
        <v>1882</v>
      </c>
      <c r="C112" s="126" t="s">
        <v>5699</v>
      </c>
      <c r="D112" s="126" t="s">
        <v>1476</v>
      </c>
      <c r="E112" s="126" t="s">
        <v>3593</v>
      </c>
      <c r="F112" s="126" t="s">
        <v>3604</v>
      </c>
      <c r="G112" s="126" t="s">
        <v>0</v>
      </c>
      <c r="H112" s="126" t="s">
        <v>3595</v>
      </c>
      <c r="I112" s="126" t="s">
        <v>3596</v>
      </c>
      <c r="J112" s="126" t="s">
        <v>2880</v>
      </c>
      <c r="K112" s="127">
        <v>45726</v>
      </c>
      <c r="L112" s="126" t="s">
        <v>5643</v>
      </c>
      <c r="M112" s="126" t="s">
        <v>5534</v>
      </c>
      <c r="N112" s="126" t="s">
        <v>5535</v>
      </c>
      <c r="O112" s="263" t="s">
        <v>5700</v>
      </c>
      <c r="P112" s="128" t="s">
        <v>3600</v>
      </c>
      <c r="Q112" s="246" t="s">
        <v>54</v>
      </c>
      <c r="R112" s="128" t="s">
        <v>3993</v>
      </c>
      <c r="S112" s="128" t="s">
        <v>3774</v>
      </c>
      <c r="T112" s="251"/>
      <c r="U112" s="128"/>
    </row>
    <row r="113" spans="1:21" ht="30" customHeight="1">
      <c r="A113" s="143">
        <v>111</v>
      </c>
      <c r="B113" s="126" t="s">
        <v>1882</v>
      </c>
      <c r="C113" s="126" t="s">
        <v>5699</v>
      </c>
      <c r="D113" s="126" t="s">
        <v>1476</v>
      </c>
      <c r="E113" s="126" t="s">
        <v>3593</v>
      </c>
      <c r="F113" s="126" t="s">
        <v>3604</v>
      </c>
      <c r="G113" s="126" t="s">
        <v>0</v>
      </c>
      <c r="H113" s="126" t="s">
        <v>3595</v>
      </c>
      <c r="I113" s="126" t="s">
        <v>3596</v>
      </c>
      <c r="J113" s="126" t="s">
        <v>2679</v>
      </c>
      <c r="K113" s="127">
        <v>45726</v>
      </c>
      <c r="L113" s="126" t="s">
        <v>5643</v>
      </c>
      <c r="M113" s="126" t="s">
        <v>5534</v>
      </c>
      <c r="N113" s="126" t="s">
        <v>5535</v>
      </c>
      <c r="O113" s="263">
        <v>0</v>
      </c>
      <c r="P113" s="128" t="s">
        <v>3600</v>
      </c>
      <c r="Q113" s="246" t="s">
        <v>54</v>
      </c>
      <c r="R113" s="128" t="s">
        <v>3993</v>
      </c>
      <c r="S113" s="128" t="s">
        <v>3774</v>
      </c>
      <c r="T113" s="251"/>
      <c r="U113" s="128"/>
    </row>
    <row r="114" spans="1:21" ht="30" customHeight="1">
      <c r="A114" s="143">
        <v>112</v>
      </c>
      <c r="B114" s="126" t="s">
        <v>1881</v>
      </c>
      <c r="C114" s="126" t="s">
        <v>5699</v>
      </c>
      <c r="D114" s="126" t="s">
        <v>1476</v>
      </c>
      <c r="E114" s="126" t="s">
        <v>3593</v>
      </c>
      <c r="F114" s="126" t="s">
        <v>3604</v>
      </c>
      <c r="G114" s="126" t="s">
        <v>0</v>
      </c>
      <c r="H114" s="126" t="s">
        <v>3595</v>
      </c>
      <c r="I114" s="126" t="s">
        <v>3596</v>
      </c>
      <c r="J114" s="126" t="s">
        <v>2679</v>
      </c>
      <c r="K114" s="127">
        <v>45726</v>
      </c>
      <c r="L114" s="126" t="s">
        <v>5701</v>
      </c>
      <c r="M114" s="126" t="s">
        <v>2509</v>
      </c>
      <c r="N114" s="126" t="s">
        <v>5702</v>
      </c>
      <c r="O114" s="263" t="s">
        <v>5703</v>
      </c>
      <c r="P114" s="128" t="s">
        <v>26</v>
      </c>
      <c r="Q114" s="246" t="s">
        <v>49</v>
      </c>
      <c r="R114" s="128" t="s">
        <v>3993</v>
      </c>
      <c r="S114" s="128" t="s">
        <v>5556</v>
      </c>
      <c r="T114" s="251"/>
      <c r="U114" s="128"/>
    </row>
    <row r="115" spans="1:21" ht="30" customHeight="1">
      <c r="A115" s="143">
        <v>113</v>
      </c>
      <c r="B115" s="126" t="s">
        <v>1881</v>
      </c>
      <c r="C115" s="126" t="s">
        <v>5699</v>
      </c>
      <c r="D115" s="126" t="s">
        <v>1476</v>
      </c>
      <c r="E115" s="126" t="s">
        <v>3593</v>
      </c>
      <c r="F115" s="126" t="s">
        <v>3604</v>
      </c>
      <c r="G115" s="126" t="s">
        <v>0</v>
      </c>
      <c r="H115" s="126" t="s">
        <v>3595</v>
      </c>
      <c r="I115" s="126" t="s">
        <v>3596</v>
      </c>
      <c r="J115" s="126" t="s">
        <v>2679</v>
      </c>
      <c r="K115" s="127">
        <v>45726</v>
      </c>
      <c r="L115" s="126" t="s">
        <v>5704</v>
      </c>
      <c r="M115" s="126" t="s">
        <v>1049</v>
      </c>
      <c r="N115" s="126" t="s">
        <v>5705</v>
      </c>
      <c r="O115" s="263"/>
      <c r="P115" s="128" t="s">
        <v>26</v>
      </c>
      <c r="Q115" s="246" t="s">
        <v>49</v>
      </c>
      <c r="R115" s="128" t="s">
        <v>3993</v>
      </c>
      <c r="S115" s="128" t="s">
        <v>5556</v>
      </c>
      <c r="T115" s="251"/>
      <c r="U115" s="128"/>
    </row>
    <row r="116" spans="1:21" ht="30" customHeight="1">
      <c r="A116" s="143">
        <v>114</v>
      </c>
      <c r="B116" s="126" t="s">
        <v>1879</v>
      </c>
      <c r="C116" s="126" t="s">
        <v>5659</v>
      </c>
      <c r="D116" s="126" t="s">
        <v>1479</v>
      </c>
      <c r="E116" s="126" t="s">
        <v>3593</v>
      </c>
      <c r="F116" s="126" t="s">
        <v>3594</v>
      </c>
      <c r="G116" s="126" t="s">
        <v>0</v>
      </c>
      <c r="H116" s="126" t="s">
        <v>3595</v>
      </c>
      <c r="I116" s="126" t="s">
        <v>3596</v>
      </c>
      <c r="J116" s="126" t="s">
        <v>5463</v>
      </c>
      <c r="K116" s="127">
        <v>45726</v>
      </c>
      <c r="L116" s="126" t="s">
        <v>5706</v>
      </c>
      <c r="M116" s="126" t="s">
        <v>1104</v>
      </c>
      <c r="N116" s="126" t="s">
        <v>5497</v>
      </c>
      <c r="O116" s="263" t="s">
        <v>5707</v>
      </c>
      <c r="P116" s="128" t="s">
        <v>26</v>
      </c>
      <c r="Q116" s="246" t="s">
        <v>49</v>
      </c>
      <c r="R116" s="128" t="s">
        <v>3993</v>
      </c>
      <c r="S116" s="128" t="s">
        <v>3783</v>
      </c>
      <c r="T116" s="251"/>
      <c r="U116" s="128"/>
    </row>
    <row r="117" spans="1:21" ht="30" customHeight="1">
      <c r="A117" s="143">
        <v>115</v>
      </c>
      <c r="B117" s="126" t="s">
        <v>1883</v>
      </c>
      <c r="C117" s="126" t="s">
        <v>5708</v>
      </c>
      <c r="D117" s="126" t="s">
        <v>1476</v>
      </c>
      <c r="E117" s="126" t="s">
        <v>3593</v>
      </c>
      <c r="F117" s="126" t="s">
        <v>3619</v>
      </c>
      <c r="G117" s="126" t="s">
        <v>0</v>
      </c>
      <c r="H117" s="126" t="s">
        <v>3595</v>
      </c>
      <c r="I117" s="126" t="s">
        <v>3596</v>
      </c>
      <c r="J117" s="126" t="s">
        <v>2880</v>
      </c>
      <c r="K117" s="127">
        <v>45727</v>
      </c>
      <c r="L117" s="126" t="s">
        <v>5709</v>
      </c>
      <c r="M117" s="126" t="s">
        <v>69</v>
      </c>
      <c r="N117" s="126" t="s">
        <v>5710</v>
      </c>
      <c r="O117" s="263" t="s">
        <v>5711</v>
      </c>
      <c r="P117" s="128" t="s">
        <v>24</v>
      </c>
      <c r="Q117" s="246" t="s">
        <v>54</v>
      </c>
      <c r="R117" s="128" t="s">
        <v>3993</v>
      </c>
      <c r="S117" s="128" t="s">
        <v>5712</v>
      </c>
      <c r="T117" s="251"/>
      <c r="U117" s="128"/>
    </row>
    <row r="118" spans="1:21" ht="30" customHeight="1">
      <c r="A118" s="143">
        <v>116</v>
      </c>
      <c r="B118" s="126" t="s">
        <v>1885</v>
      </c>
      <c r="C118" s="126" t="s">
        <v>5642</v>
      </c>
      <c r="D118" s="126" t="s">
        <v>1476</v>
      </c>
      <c r="E118" s="126" t="s">
        <v>3593</v>
      </c>
      <c r="F118" s="126" t="s">
        <v>3619</v>
      </c>
      <c r="G118" s="126" t="s">
        <v>0</v>
      </c>
      <c r="H118" s="126" t="s">
        <v>3614</v>
      </c>
      <c r="I118" s="126" t="s">
        <v>3596</v>
      </c>
      <c r="J118" s="126" t="s">
        <v>2679</v>
      </c>
      <c r="K118" s="127">
        <v>45727</v>
      </c>
      <c r="L118" s="126" t="s">
        <v>5713</v>
      </c>
      <c r="M118" s="126" t="s">
        <v>5714</v>
      </c>
      <c r="N118" s="126" t="s">
        <v>5715</v>
      </c>
      <c r="O118" s="263" t="s">
        <v>5716</v>
      </c>
      <c r="P118" s="128" t="s">
        <v>45</v>
      </c>
      <c r="Q118" s="246" t="s">
        <v>5481</v>
      </c>
      <c r="R118" s="128" t="s">
        <v>3656</v>
      </c>
      <c r="S118" s="128" t="s">
        <v>5548</v>
      </c>
      <c r="T118" s="251"/>
      <c r="U118" s="128"/>
    </row>
    <row r="119" spans="1:21" ht="30" customHeight="1">
      <c r="A119" s="143">
        <v>117</v>
      </c>
      <c r="B119" s="126" t="s">
        <v>1887</v>
      </c>
      <c r="C119" s="126" t="s">
        <v>5642</v>
      </c>
      <c r="D119" s="126" t="s">
        <v>1476</v>
      </c>
      <c r="E119" s="126" t="s">
        <v>3603</v>
      </c>
      <c r="F119" s="126" t="s">
        <v>3619</v>
      </c>
      <c r="G119" s="126" t="s">
        <v>0</v>
      </c>
      <c r="H119" s="126" t="s">
        <v>3614</v>
      </c>
      <c r="I119" s="126" t="s">
        <v>3596</v>
      </c>
      <c r="J119" s="126" t="s">
        <v>2880</v>
      </c>
      <c r="K119" s="127">
        <v>45727</v>
      </c>
      <c r="L119" s="126" t="s">
        <v>5478</v>
      </c>
      <c r="M119" s="126" t="s">
        <v>932</v>
      </c>
      <c r="N119" s="126" t="s">
        <v>5486</v>
      </c>
      <c r="O119" s="263" t="s">
        <v>5717</v>
      </c>
      <c r="P119" s="128" t="s">
        <v>45</v>
      </c>
      <c r="Q119" s="246" t="s">
        <v>5481</v>
      </c>
      <c r="R119" s="128" t="s">
        <v>3666</v>
      </c>
      <c r="S119" s="128" t="s">
        <v>5612</v>
      </c>
      <c r="T119" s="251"/>
      <c r="U119" s="128"/>
    </row>
    <row r="120" spans="1:21" ht="30" customHeight="1">
      <c r="A120" s="143">
        <v>118</v>
      </c>
      <c r="B120" s="126" t="s">
        <v>1883</v>
      </c>
      <c r="C120" s="126" t="s">
        <v>5708</v>
      </c>
      <c r="D120" s="126" t="s">
        <v>1476</v>
      </c>
      <c r="E120" s="126" t="s">
        <v>3593</v>
      </c>
      <c r="F120" s="126" t="s">
        <v>3619</v>
      </c>
      <c r="G120" s="126" t="s">
        <v>0</v>
      </c>
      <c r="H120" s="126" t="s">
        <v>3614</v>
      </c>
      <c r="I120" s="126" t="s">
        <v>3596</v>
      </c>
      <c r="J120" s="126" t="s">
        <v>2880</v>
      </c>
      <c r="K120" s="127">
        <v>45727</v>
      </c>
      <c r="L120" s="126" t="s">
        <v>5478</v>
      </c>
      <c r="M120" s="126" t="s">
        <v>932</v>
      </c>
      <c r="N120" s="126" t="s">
        <v>5550</v>
      </c>
      <c r="O120" s="263" t="s">
        <v>5718</v>
      </c>
      <c r="P120" s="128" t="s">
        <v>45</v>
      </c>
      <c r="Q120" s="246" t="s">
        <v>5481</v>
      </c>
      <c r="R120" s="128" t="s">
        <v>3656</v>
      </c>
      <c r="S120" s="128" t="s">
        <v>5548</v>
      </c>
      <c r="T120" s="251"/>
      <c r="U120" s="128"/>
    </row>
    <row r="121" spans="1:21" ht="30" customHeight="1">
      <c r="A121" s="143">
        <v>119</v>
      </c>
      <c r="B121" s="126" t="s">
        <v>1893</v>
      </c>
      <c r="C121" s="126" t="s">
        <v>5659</v>
      </c>
      <c r="D121" s="126" t="s">
        <v>1479</v>
      </c>
      <c r="E121" s="126" t="s">
        <v>3593</v>
      </c>
      <c r="F121" s="126" t="s">
        <v>3594</v>
      </c>
      <c r="G121" s="126" t="s">
        <v>0</v>
      </c>
      <c r="H121" s="126" t="s">
        <v>3595</v>
      </c>
      <c r="I121" s="126" t="s">
        <v>3596</v>
      </c>
      <c r="J121" s="126" t="s">
        <v>5463</v>
      </c>
      <c r="K121" s="127">
        <v>45728</v>
      </c>
      <c r="L121" s="126" t="s">
        <v>5531</v>
      </c>
      <c r="M121" s="126" t="s">
        <v>226</v>
      </c>
      <c r="N121" s="126" t="s">
        <v>5719</v>
      </c>
      <c r="O121" s="263" t="s">
        <v>5720</v>
      </c>
      <c r="P121" s="128" t="s">
        <v>24</v>
      </c>
      <c r="Q121" s="246" t="s">
        <v>49</v>
      </c>
      <c r="R121" s="128" t="s">
        <v>5463</v>
      </c>
      <c r="S121" s="128" t="s">
        <v>5600</v>
      </c>
      <c r="T121" s="251"/>
      <c r="U121" s="128"/>
    </row>
    <row r="122" spans="1:21" ht="30" customHeight="1">
      <c r="A122" s="143">
        <v>120</v>
      </c>
      <c r="B122" s="126" t="s">
        <v>1898</v>
      </c>
      <c r="C122" s="126" t="s">
        <v>5721</v>
      </c>
      <c r="D122" s="126" t="s">
        <v>1476</v>
      </c>
      <c r="E122" s="126" t="s">
        <v>3651</v>
      </c>
      <c r="F122" s="126" t="s">
        <v>3594</v>
      </c>
      <c r="G122" s="126" t="s">
        <v>0</v>
      </c>
      <c r="H122" s="126" t="s">
        <v>3595</v>
      </c>
      <c r="I122" s="126" t="s">
        <v>3596</v>
      </c>
      <c r="J122" s="126" t="s">
        <v>2679</v>
      </c>
      <c r="K122" s="127">
        <v>45728</v>
      </c>
      <c r="L122" s="126" t="s">
        <v>5722</v>
      </c>
      <c r="M122" s="126" t="s">
        <v>347</v>
      </c>
      <c r="N122" s="126" t="s">
        <v>5504</v>
      </c>
      <c r="O122" s="263" t="s">
        <v>5723</v>
      </c>
      <c r="P122" s="128" t="s">
        <v>24</v>
      </c>
      <c r="Q122" s="246" t="s">
        <v>54</v>
      </c>
      <c r="R122" s="128" t="s">
        <v>5463</v>
      </c>
      <c r="S122" s="128" t="s">
        <v>4046</v>
      </c>
      <c r="T122" s="251"/>
      <c r="U122" s="128"/>
    </row>
    <row r="123" spans="1:21" ht="30" customHeight="1">
      <c r="A123" s="143">
        <v>121</v>
      </c>
      <c r="B123" s="126" t="s">
        <v>1898</v>
      </c>
      <c r="C123" s="126" t="s">
        <v>5721</v>
      </c>
      <c r="D123" s="126" t="s">
        <v>1476</v>
      </c>
      <c r="E123" s="126" t="s">
        <v>3651</v>
      </c>
      <c r="F123" s="126" t="s">
        <v>3594</v>
      </c>
      <c r="G123" s="126" t="s">
        <v>0</v>
      </c>
      <c r="H123" s="126" t="s">
        <v>3595</v>
      </c>
      <c r="I123" s="126" t="s">
        <v>3596</v>
      </c>
      <c r="J123" s="126" t="s">
        <v>2679</v>
      </c>
      <c r="K123" s="127">
        <v>45728</v>
      </c>
      <c r="L123" s="126" t="s">
        <v>5643</v>
      </c>
      <c r="M123" s="126" t="s">
        <v>5534</v>
      </c>
      <c r="N123" s="126" t="s">
        <v>5535</v>
      </c>
      <c r="O123" s="263" t="s">
        <v>5724</v>
      </c>
      <c r="P123" s="128" t="s">
        <v>3600</v>
      </c>
      <c r="Q123" s="246" t="s">
        <v>54</v>
      </c>
      <c r="R123" s="128" t="s">
        <v>5463</v>
      </c>
      <c r="S123" s="128" t="s">
        <v>3724</v>
      </c>
      <c r="T123" s="251"/>
      <c r="U123" s="128"/>
    </row>
    <row r="124" spans="1:21" ht="30" customHeight="1">
      <c r="A124" s="143">
        <v>122</v>
      </c>
      <c r="B124" s="126" t="s">
        <v>1898</v>
      </c>
      <c r="C124" s="126" t="s">
        <v>5721</v>
      </c>
      <c r="D124" s="126" t="s">
        <v>1476</v>
      </c>
      <c r="E124" s="126" t="s">
        <v>3651</v>
      </c>
      <c r="F124" s="126" t="s">
        <v>3594</v>
      </c>
      <c r="G124" s="126" t="s">
        <v>0</v>
      </c>
      <c r="H124" s="126" t="s">
        <v>3595</v>
      </c>
      <c r="I124" s="126" t="s">
        <v>3596</v>
      </c>
      <c r="J124" s="126" t="s">
        <v>2880</v>
      </c>
      <c r="K124" s="127">
        <v>45728</v>
      </c>
      <c r="L124" s="126" t="s">
        <v>5643</v>
      </c>
      <c r="M124" s="126" t="s">
        <v>5534</v>
      </c>
      <c r="N124" s="126" t="s">
        <v>5535</v>
      </c>
      <c r="O124" s="263"/>
      <c r="P124" s="128" t="s">
        <v>3600</v>
      </c>
      <c r="Q124" s="246" t="s">
        <v>54</v>
      </c>
      <c r="R124" s="128" t="s">
        <v>5463</v>
      </c>
      <c r="S124" s="128" t="s">
        <v>3724</v>
      </c>
      <c r="T124" s="251"/>
      <c r="U124" s="128"/>
    </row>
    <row r="125" spans="1:21" ht="30" customHeight="1">
      <c r="A125" s="143">
        <v>123</v>
      </c>
      <c r="B125" s="126" t="s">
        <v>1900</v>
      </c>
      <c r="C125" s="126" t="s">
        <v>5503</v>
      </c>
      <c r="D125" s="126" t="s">
        <v>1476</v>
      </c>
      <c r="E125" s="126" t="s">
        <v>3603</v>
      </c>
      <c r="F125" s="126" t="s">
        <v>3619</v>
      </c>
      <c r="G125" s="126" t="s">
        <v>0</v>
      </c>
      <c r="H125" s="126" t="s">
        <v>3614</v>
      </c>
      <c r="I125" s="126" t="s">
        <v>3596</v>
      </c>
      <c r="J125" s="126" t="s">
        <v>2880</v>
      </c>
      <c r="K125" s="127">
        <v>45728</v>
      </c>
      <c r="L125" s="126" t="s">
        <v>5478</v>
      </c>
      <c r="M125" s="126" t="s">
        <v>932</v>
      </c>
      <c r="N125" s="126" t="s">
        <v>5486</v>
      </c>
      <c r="O125" s="263" t="s">
        <v>5725</v>
      </c>
      <c r="P125" s="128" t="s">
        <v>45</v>
      </c>
      <c r="Q125" s="246" t="s">
        <v>5481</v>
      </c>
      <c r="R125" s="128" t="s">
        <v>5463</v>
      </c>
      <c r="S125" s="128" t="s">
        <v>5612</v>
      </c>
      <c r="T125" s="251"/>
      <c r="U125" s="128"/>
    </row>
    <row r="126" spans="1:21" ht="30" customHeight="1">
      <c r="A126" s="143">
        <v>124</v>
      </c>
      <c r="B126" s="126" t="s">
        <v>1895</v>
      </c>
      <c r="C126" s="126" t="s">
        <v>5726</v>
      </c>
      <c r="D126" s="126" t="s">
        <v>1591</v>
      </c>
      <c r="E126" s="126" t="s">
        <v>3593</v>
      </c>
      <c r="F126" s="126" t="s">
        <v>3619</v>
      </c>
      <c r="G126" s="126" t="s">
        <v>0</v>
      </c>
      <c r="H126" s="126" t="s">
        <v>3595</v>
      </c>
      <c r="I126" s="126" t="s">
        <v>3596</v>
      </c>
      <c r="J126" s="126" t="s">
        <v>2679</v>
      </c>
      <c r="K126" s="127">
        <v>45728</v>
      </c>
      <c r="L126" s="126">
        <v>1310483900</v>
      </c>
      <c r="M126" s="126" t="s">
        <v>5727</v>
      </c>
      <c r="N126" s="126" t="s">
        <v>5728</v>
      </c>
      <c r="O126" s="263" t="s">
        <v>5729</v>
      </c>
      <c r="P126" s="128" t="s">
        <v>24</v>
      </c>
      <c r="Q126" s="246" t="s">
        <v>54</v>
      </c>
      <c r="R126" s="128" t="s">
        <v>5463</v>
      </c>
      <c r="S126" s="128" t="s">
        <v>3774</v>
      </c>
      <c r="T126" s="251"/>
      <c r="U126" s="128"/>
    </row>
    <row r="127" spans="1:21" ht="30" customHeight="1">
      <c r="A127" s="143">
        <v>125</v>
      </c>
      <c r="B127" s="126" t="s">
        <v>1903</v>
      </c>
      <c r="C127" s="126" t="s">
        <v>5684</v>
      </c>
      <c r="D127" s="126" t="s">
        <v>1478</v>
      </c>
      <c r="E127" s="126" t="s">
        <v>3603</v>
      </c>
      <c r="F127" s="126" t="s">
        <v>3604</v>
      </c>
      <c r="G127" s="126" t="s">
        <v>0</v>
      </c>
      <c r="H127" s="126" t="s">
        <v>3614</v>
      </c>
      <c r="I127" s="126" t="s">
        <v>3596</v>
      </c>
      <c r="J127" s="126" t="s">
        <v>2880</v>
      </c>
      <c r="K127" s="127">
        <v>45729</v>
      </c>
      <c r="L127" s="126" t="s">
        <v>5563</v>
      </c>
      <c r="M127" s="126" t="s">
        <v>735</v>
      </c>
      <c r="N127" s="126" t="s">
        <v>5564</v>
      </c>
      <c r="O127" s="263" t="s">
        <v>5567</v>
      </c>
      <c r="P127" s="128" t="s">
        <v>45</v>
      </c>
      <c r="Q127" s="246" t="s">
        <v>5481</v>
      </c>
      <c r="R127" s="128" t="s">
        <v>5463</v>
      </c>
      <c r="S127" s="128" t="s">
        <v>5625</v>
      </c>
      <c r="T127" s="251"/>
      <c r="U127" s="128"/>
    </row>
    <row r="128" spans="1:21" ht="30" customHeight="1">
      <c r="A128" s="143">
        <v>126</v>
      </c>
      <c r="B128" s="126" t="s">
        <v>1903</v>
      </c>
      <c r="C128" s="126" t="s">
        <v>5684</v>
      </c>
      <c r="D128" s="126" t="s">
        <v>1478</v>
      </c>
      <c r="E128" s="126" t="s">
        <v>3603</v>
      </c>
      <c r="F128" s="126" t="s">
        <v>3604</v>
      </c>
      <c r="G128" s="126" t="s">
        <v>0</v>
      </c>
      <c r="H128" s="126" t="s">
        <v>3614</v>
      </c>
      <c r="I128" s="126" t="s">
        <v>3596</v>
      </c>
      <c r="J128" s="126" t="s">
        <v>2679</v>
      </c>
      <c r="K128" s="127">
        <v>45729</v>
      </c>
      <c r="L128" s="126" t="s">
        <v>5563</v>
      </c>
      <c r="M128" s="126" t="s">
        <v>735</v>
      </c>
      <c r="N128" s="126" t="s">
        <v>5564</v>
      </c>
      <c r="O128" s="263" t="s">
        <v>5567</v>
      </c>
      <c r="P128" s="128" t="s">
        <v>45</v>
      </c>
      <c r="Q128" s="246" t="s">
        <v>5481</v>
      </c>
      <c r="R128" s="128" t="s">
        <v>5463</v>
      </c>
      <c r="S128" s="128" t="s">
        <v>5625</v>
      </c>
      <c r="T128" s="251"/>
      <c r="U128" s="128"/>
    </row>
    <row r="129" spans="1:21" ht="30" customHeight="1">
      <c r="A129" s="143">
        <v>127</v>
      </c>
      <c r="B129" s="126" t="s">
        <v>1903</v>
      </c>
      <c r="C129" s="126" t="s">
        <v>5684</v>
      </c>
      <c r="D129" s="126" t="s">
        <v>1478</v>
      </c>
      <c r="E129" s="126" t="s">
        <v>3603</v>
      </c>
      <c r="F129" s="126" t="s">
        <v>3604</v>
      </c>
      <c r="G129" s="126" t="s">
        <v>0</v>
      </c>
      <c r="H129" s="126" t="s">
        <v>3614</v>
      </c>
      <c r="I129" s="126" t="s">
        <v>3596</v>
      </c>
      <c r="J129" s="126" t="s">
        <v>2679</v>
      </c>
      <c r="K129" s="127">
        <v>45729</v>
      </c>
      <c r="L129" s="126" t="s">
        <v>5478</v>
      </c>
      <c r="M129" s="126" t="s">
        <v>932</v>
      </c>
      <c r="N129" s="126" t="s">
        <v>5486</v>
      </c>
      <c r="O129" s="263" t="s">
        <v>5730</v>
      </c>
      <c r="P129" s="128" t="s">
        <v>45</v>
      </c>
      <c r="Q129" s="246" t="s">
        <v>5481</v>
      </c>
      <c r="R129" s="128" t="s">
        <v>5463</v>
      </c>
      <c r="S129" s="128" t="s">
        <v>5625</v>
      </c>
      <c r="T129" s="251"/>
      <c r="U129" s="128"/>
    </row>
    <row r="130" spans="1:21" ht="30" customHeight="1">
      <c r="A130" s="143">
        <v>128</v>
      </c>
      <c r="B130" s="126" t="s">
        <v>1903</v>
      </c>
      <c r="C130" s="126" t="s">
        <v>5684</v>
      </c>
      <c r="D130" s="126" t="s">
        <v>1478</v>
      </c>
      <c r="E130" s="126" t="s">
        <v>3603</v>
      </c>
      <c r="F130" s="126" t="s">
        <v>3604</v>
      </c>
      <c r="G130" s="126" t="s">
        <v>0</v>
      </c>
      <c r="H130" s="126" t="s">
        <v>3614</v>
      </c>
      <c r="I130" s="126" t="s">
        <v>3596</v>
      </c>
      <c r="J130" s="126" t="s">
        <v>2679</v>
      </c>
      <c r="K130" s="127">
        <v>45729</v>
      </c>
      <c r="L130" s="126" t="s">
        <v>5478</v>
      </c>
      <c r="M130" s="126" t="s">
        <v>932</v>
      </c>
      <c r="N130" s="126" t="s">
        <v>5486</v>
      </c>
      <c r="O130" s="263" t="s">
        <v>5731</v>
      </c>
      <c r="P130" s="128" t="s">
        <v>45</v>
      </c>
      <c r="Q130" s="246" t="s">
        <v>5481</v>
      </c>
      <c r="R130" s="128" t="s">
        <v>5463</v>
      </c>
      <c r="S130" s="128" t="s">
        <v>5625</v>
      </c>
      <c r="T130" s="251"/>
      <c r="U130" s="128"/>
    </row>
    <row r="131" spans="1:21" ht="30" customHeight="1">
      <c r="A131" s="143">
        <v>129</v>
      </c>
      <c r="B131" s="126" t="s">
        <v>1904</v>
      </c>
      <c r="C131" s="126" t="s">
        <v>5613</v>
      </c>
      <c r="D131" s="126" t="s">
        <v>1911</v>
      </c>
      <c r="E131" s="126" t="s">
        <v>3651</v>
      </c>
      <c r="F131" s="126" t="s">
        <v>3619</v>
      </c>
      <c r="G131" s="126" t="s">
        <v>0</v>
      </c>
      <c r="H131" s="126" t="s">
        <v>3614</v>
      </c>
      <c r="I131" s="126" t="s">
        <v>3596</v>
      </c>
      <c r="J131" s="126" t="s">
        <v>2880</v>
      </c>
      <c r="K131" s="127">
        <v>45729</v>
      </c>
      <c r="L131" s="126" t="s">
        <v>5478</v>
      </c>
      <c r="M131" s="126" t="s">
        <v>932</v>
      </c>
      <c r="N131" s="126" t="s">
        <v>5550</v>
      </c>
      <c r="O131" s="263" t="s">
        <v>5732</v>
      </c>
      <c r="P131" s="128" t="s">
        <v>45</v>
      </c>
      <c r="Q131" s="246" t="s">
        <v>5481</v>
      </c>
      <c r="R131" s="128" t="s">
        <v>5463</v>
      </c>
      <c r="S131" s="128" t="s">
        <v>3602</v>
      </c>
      <c r="T131" s="251"/>
      <c r="U131" s="128"/>
    </row>
    <row r="132" spans="1:21" ht="30" customHeight="1">
      <c r="A132" s="143">
        <v>130</v>
      </c>
      <c r="B132" s="126" t="s">
        <v>1901</v>
      </c>
      <c r="C132" s="126" t="s">
        <v>5659</v>
      </c>
      <c r="D132" s="126" t="s">
        <v>1479</v>
      </c>
      <c r="E132" s="126" t="s">
        <v>3593</v>
      </c>
      <c r="F132" s="126" t="s">
        <v>3594</v>
      </c>
      <c r="G132" s="126" t="s">
        <v>0</v>
      </c>
      <c r="H132" s="126" t="s">
        <v>3614</v>
      </c>
      <c r="I132" s="126" t="s">
        <v>3596</v>
      </c>
      <c r="J132" s="126" t="s">
        <v>5463</v>
      </c>
      <c r="K132" s="127">
        <v>45729</v>
      </c>
      <c r="L132" s="126" t="s">
        <v>5601</v>
      </c>
      <c r="M132" s="126" t="s">
        <v>981</v>
      </c>
      <c r="N132" s="126" t="s">
        <v>5733</v>
      </c>
      <c r="O132" s="263" t="s">
        <v>5734</v>
      </c>
      <c r="P132" s="128" t="s">
        <v>45</v>
      </c>
      <c r="Q132" s="246" t="s">
        <v>5481</v>
      </c>
      <c r="R132" s="128" t="s">
        <v>3656</v>
      </c>
      <c r="S132" s="128" t="s">
        <v>5548</v>
      </c>
      <c r="T132" s="251"/>
      <c r="U132" s="128"/>
    </row>
    <row r="133" spans="1:21" ht="30" customHeight="1">
      <c r="A133" s="143">
        <v>131</v>
      </c>
      <c r="B133" s="126" t="s">
        <v>1903</v>
      </c>
      <c r="C133" s="126" t="s">
        <v>5684</v>
      </c>
      <c r="D133" s="126" t="s">
        <v>1478</v>
      </c>
      <c r="E133" s="126" t="s">
        <v>3603</v>
      </c>
      <c r="F133" s="126" t="s">
        <v>3604</v>
      </c>
      <c r="G133" s="126" t="s">
        <v>0</v>
      </c>
      <c r="H133" s="126" t="s">
        <v>3595</v>
      </c>
      <c r="I133" s="126" t="s">
        <v>3596</v>
      </c>
      <c r="J133" s="126" t="s">
        <v>2880</v>
      </c>
      <c r="K133" s="127">
        <v>45729</v>
      </c>
      <c r="L133" s="126" t="s">
        <v>5735</v>
      </c>
      <c r="M133" s="126" t="s">
        <v>1049</v>
      </c>
      <c r="N133" s="126" t="s">
        <v>5736</v>
      </c>
      <c r="O133" s="263" t="s">
        <v>5651</v>
      </c>
      <c r="P133" s="128" t="s">
        <v>24</v>
      </c>
      <c r="Q133" s="246" t="s">
        <v>49</v>
      </c>
      <c r="R133" s="128" t="s">
        <v>5463</v>
      </c>
      <c r="S133" s="128" t="s">
        <v>3715</v>
      </c>
      <c r="T133" s="251"/>
      <c r="U133" s="128"/>
    </row>
    <row r="134" spans="1:21" ht="30" customHeight="1">
      <c r="A134" s="143">
        <v>132</v>
      </c>
      <c r="B134" s="126" t="s">
        <v>1906</v>
      </c>
      <c r="C134" s="126" t="s">
        <v>5737</v>
      </c>
      <c r="D134" s="126" t="s">
        <v>1476</v>
      </c>
      <c r="E134" s="126" t="s">
        <v>3593</v>
      </c>
      <c r="F134" s="126" t="s">
        <v>3604</v>
      </c>
      <c r="G134" s="126" t="s">
        <v>0</v>
      </c>
      <c r="H134" s="126" t="s">
        <v>3595</v>
      </c>
      <c r="I134" s="126" t="s">
        <v>3596</v>
      </c>
      <c r="J134" s="126" t="s">
        <v>2880</v>
      </c>
      <c r="K134" s="127">
        <v>45730</v>
      </c>
      <c r="L134" s="126" t="s">
        <v>5738</v>
      </c>
      <c r="M134" s="126" t="s">
        <v>195</v>
      </c>
      <c r="N134" s="126" t="s">
        <v>5494</v>
      </c>
      <c r="O134" s="263" t="s">
        <v>5739</v>
      </c>
      <c r="P134" s="128" t="s">
        <v>24</v>
      </c>
      <c r="Q134" s="246" t="s">
        <v>49</v>
      </c>
      <c r="R134" s="128" t="s">
        <v>5463</v>
      </c>
      <c r="S134" s="128" t="s">
        <v>5556</v>
      </c>
      <c r="T134" s="251"/>
      <c r="U134" s="128"/>
    </row>
    <row r="135" spans="1:21" ht="30" customHeight="1">
      <c r="A135" s="143">
        <v>133</v>
      </c>
      <c r="B135" s="126" t="s">
        <v>1916</v>
      </c>
      <c r="C135" s="126" t="s">
        <v>5740</v>
      </c>
      <c r="D135" s="126" t="s">
        <v>1591</v>
      </c>
      <c r="E135" s="126" t="s">
        <v>3603</v>
      </c>
      <c r="F135" s="126" t="s">
        <v>3604</v>
      </c>
      <c r="G135" s="126" t="s">
        <v>0</v>
      </c>
      <c r="H135" s="126" t="s">
        <v>3595</v>
      </c>
      <c r="I135" s="126" t="s">
        <v>3596</v>
      </c>
      <c r="J135" s="126" t="s">
        <v>5463</v>
      </c>
      <c r="K135" s="127">
        <v>45733</v>
      </c>
      <c r="L135" s="126" t="s">
        <v>5643</v>
      </c>
      <c r="M135" s="126" t="s">
        <v>5534</v>
      </c>
      <c r="N135" s="126" t="s">
        <v>5535</v>
      </c>
      <c r="O135" s="263" t="s">
        <v>5741</v>
      </c>
      <c r="P135" s="128" t="s">
        <v>3600</v>
      </c>
      <c r="Q135" s="246" t="s">
        <v>54</v>
      </c>
      <c r="R135" s="128" t="s">
        <v>5463</v>
      </c>
      <c r="S135" s="128" t="s">
        <v>3917</v>
      </c>
      <c r="T135" s="251"/>
      <c r="U135" s="128"/>
    </row>
    <row r="136" spans="1:21" ht="30" customHeight="1">
      <c r="A136" s="143">
        <v>134</v>
      </c>
      <c r="B136" s="126" t="s">
        <v>1910</v>
      </c>
      <c r="C136" s="126" t="s">
        <v>5742</v>
      </c>
      <c r="D136" s="126" t="s">
        <v>1911</v>
      </c>
      <c r="E136" s="126" t="s">
        <v>3651</v>
      </c>
      <c r="F136" s="126" t="s">
        <v>3619</v>
      </c>
      <c r="G136" s="126" t="s">
        <v>0</v>
      </c>
      <c r="H136" s="126" t="s">
        <v>3595</v>
      </c>
      <c r="I136" s="126" t="s">
        <v>3596</v>
      </c>
      <c r="J136" s="126" t="s">
        <v>2880</v>
      </c>
      <c r="K136" s="127">
        <v>45733</v>
      </c>
      <c r="L136" s="126" t="s">
        <v>5743</v>
      </c>
      <c r="M136" s="126" t="s">
        <v>3597</v>
      </c>
      <c r="N136" s="126" t="s">
        <v>5744</v>
      </c>
      <c r="O136" s="263" t="s">
        <v>5745</v>
      </c>
      <c r="P136" s="128" t="s">
        <v>24</v>
      </c>
      <c r="Q136" s="246" t="s">
        <v>49</v>
      </c>
      <c r="R136" s="128" t="s">
        <v>5463</v>
      </c>
      <c r="S136" s="128" t="s">
        <v>5746</v>
      </c>
      <c r="T136" s="251"/>
      <c r="U136" s="128"/>
    </row>
    <row r="137" spans="1:21" ht="30" customHeight="1">
      <c r="A137" s="143">
        <v>135</v>
      </c>
      <c r="B137" s="126" t="s">
        <v>1918</v>
      </c>
      <c r="C137" s="126" t="str">
        <f>'가압 불량내역'!N35</f>
        <v>BCW Jaco Fitting Nut Leak(ELBOW)</v>
      </c>
      <c r="D137" s="126" t="s">
        <v>1476</v>
      </c>
      <c r="E137" s="126" t="s">
        <v>3603</v>
      </c>
      <c r="F137" s="126" t="s">
        <v>3604</v>
      </c>
      <c r="G137" s="126" t="s">
        <v>0</v>
      </c>
      <c r="H137" s="126" t="s">
        <v>3595</v>
      </c>
      <c r="I137" s="126" t="s">
        <v>3596</v>
      </c>
      <c r="J137" s="126" t="s">
        <v>2880</v>
      </c>
      <c r="K137" s="127">
        <v>45733</v>
      </c>
      <c r="L137" s="126" t="s">
        <v>5701</v>
      </c>
      <c r="M137" s="126" t="s">
        <v>2509</v>
      </c>
      <c r="N137" s="126" t="s">
        <v>5702</v>
      </c>
      <c r="O137" s="263" t="s">
        <v>5747</v>
      </c>
      <c r="P137" s="128" t="s">
        <v>24</v>
      </c>
      <c r="Q137" s="246" t="s">
        <v>49</v>
      </c>
      <c r="R137" s="128" t="s">
        <v>5463</v>
      </c>
      <c r="S137" s="128" t="s">
        <v>3798</v>
      </c>
      <c r="T137" s="251"/>
      <c r="U137" s="128"/>
    </row>
    <row r="138" spans="1:21" ht="30" customHeight="1">
      <c r="A138" s="143">
        <v>136</v>
      </c>
      <c r="B138" s="126" t="s">
        <v>1914</v>
      </c>
      <c r="C138" s="126" t="s">
        <v>5659</v>
      </c>
      <c r="D138" s="126" t="s">
        <v>1479</v>
      </c>
      <c r="E138" s="126" t="s">
        <v>3593</v>
      </c>
      <c r="F138" s="126" t="s">
        <v>3594</v>
      </c>
      <c r="G138" s="126" t="s">
        <v>0</v>
      </c>
      <c r="H138" s="126" t="s">
        <v>3614</v>
      </c>
      <c r="I138" s="126" t="s">
        <v>3596</v>
      </c>
      <c r="J138" s="126" t="s">
        <v>5463</v>
      </c>
      <c r="K138" s="127">
        <v>45733</v>
      </c>
      <c r="L138" s="126" t="s">
        <v>5748</v>
      </c>
      <c r="M138" s="126" t="s">
        <v>1343</v>
      </c>
      <c r="N138" s="126" t="s">
        <v>5749</v>
      </c>
      <c r="O138" s="263" t="s">
        <v>5750</v>
      </c>
      <c r="P138" s="128" t="s">
        <v>45</v>
      </c>
      <c r="Q138" s="246" t="s">
        <v>5481</v>
      </c>
      <c r="R138" s="128" t="s">
        <v>5463</v>
      </c>
      <c r="S138" s="128" t="s">
        <v>5548</v>
      </c>
      <c r="T138" s="251"/>
      <c r="U138" s="128"/>
    </row>
    <row r="139" spans="1:21" ht="30" customHeight="1">
      <c r="A139" s="143">
        <v>137</v>
      </c>
      <c r="B139" s="126" t="s">
        <v>1925</v>
      </c>
      <c r="C139" s="126" t="s">
        <v>5751</v>
      </c>
      <c r="D139" s="126" t="s">
        <v>1476</v>
      </c>
      <c r="E139" s="126" t="s">
        <v>3603</v>
      </c>
      <c r="F139" s="126" t="s">
        <v>3604</v>
      </c>
      <c r="G139" s="126" t="s">
        <v>0</v>
      </c>
      <c r="H139" s="126" t="s">
        <v>3614</v>
      </c>
      <c r="I139" s="126" t="s">
        <v>3596</v>
      </c>
      <c r="J139" s="126" t="s">
        <v>2679</v>
      </c>
      <c r="K139" s="127">
        <v>45734</v>
      </c>
      <c r="L139" s="126" t="s">
        <v>5563</v>
      </c>
      <c r="M139" s="126" t="s">
        <v>735</v>
      </c>
      <c r="N139" s="126" t="s">
        <v>5564</v>
      </c>
      <c r="O139" s="263" t="s">
        <v>5752</v>
      </c>
      <c r="P139" s="128" t="s">
        <v>45</v>
      </c>
      <c r="Q139" s="246" t="s">
        <v>5481</v>
      </c>
      <c r="R139" s="128" t="s">
        <v>5463</v>
      </c>
      <c r="S139" s="128" t="s">
        <v>3666</v>
      </c>
      <c r="T139" s="251"/>
      <c r="U139" s="128"/>
    </row>
    <row r="140" spans="1:21" ht="30" customHeight="1">
      <c r="A140" s="143">
        <v>138</v>
      </c>
      <c r="B140" s="126" t="s">
        <v>1933</v>
      </c>
      <c r="C140" s="126" t="s">
        <v>5664</v>
      </c>
      <c r="D140" s="126" t="s">
        <v>1476</v>
      </c>
      <c r="E140" s="126" t="s">
        <v>3593</v>
      </c>
      <c r="F140" s="126" t="s">
        <v>3604</v>
      </c>
      <c r="G140" s="126" t="s">
        <v>0</v>
      </c>
      <c r="H140" s="126" t="s">
        <v>3595</v>
      </c>
      <c r="I140" s="126" t="s">
        <v>3596</v>
      </c>
      <c r="J140" s="126" t="s">
        <v>2679</v>
      </c>
      <c r="K140" s="127">
        <v>45735</v>
      </c>
      <c r="L140" s="126" t="s">
        <v>5527</v>
      </c>
      <c r="M140" s="126" t="s">
        <v>143</v>
      </c>
      <c r="N140" s="126" t="s">
        <v>5753</v>
      </c>
      <c r="O140" s="263" t="s">
        <v>5754</v>
      </c>
      <c r="P140" s="128" t="s">
        <v>45</v>
      </c>
      <c r="Q140" s="246" t="s">
        <v>54</v>
      </c>
      <c r="R140" s="128" t="s">
        <v>5463</v>
      </c>
      <c r="S140" s="128" t="s">
        <v>3774</v>
      </c>
      <c r="T140" s="251"/>
      <c r="U140" s="128"/>
    </row>
    <row r="141" spans="1:21" ht="30" customHeight="1">
      <c r="A141" s="143">
        <v>139</v>
      </c>
      <c r="B141" s="126" t="s">
        <v>1927</v>
      </c>
      <c r="C141" s="126" t="s">
        <v>5653</v>
      </c>
      <c r="D141" s="126" t="s">
        <v>3801</v>
      </c>
      <c r="E141" s="126" t="s">
        <v>3593</v>
      </c>
      <c r="F141" s="126" t="s">
        <v>3619</v>
      </c>
      <c r="G141" s="126" t="s">
        <v>0</v>
      </c>
      <c r="H141" s="126" t="s">
        <v>3614</v>
      </c>
      <c r="I141" s="126" t="s">
        <v>3596</v>
      </c>
      <c r="J141" s="126" t="s">
        <v>5463</v>
      </c>
      <c r="K141" s="127">
        <v>45735</v>
      </c>
      <c r="L141" s="126" t="s">
        <v>5755</v>
      </c>
      <c r="M141" s="126" t="s">
        <v>5756</v>
      </c>
      <c r="N141" s="126" t="s">
        <v>5757</v>
      </c>
      <c r="O141" s="263" t="s">
        <v>5758</v>
      </c>
      <c r="P141" s="128" t="s">
        <v>1463</v>
      </c>
      <c r="Q141" s="246" t="s">
        <v>49</v>
      </c>
      <c r="R141" s="128" t="s">
        <v>5463</v>
      </c>
      <c r="S141" s="128" t="s">
        <v>5463</v>
      </c>
      <c r="T141" s="251"/>
      <c r="U141" s="128"/>
    </row>
    <row r="142" spans="1:21" ht="30" customHeight="1">
      <c r="A142" s="143">
        <v>140</v>
      </c>
      <c r="B142" s="126" t="s">
        <v>1935</v>
      </c>
      <c r="C142" s="126" t="s">
        <v>5759</v>
      </c>
      <c r="D142" s="126" t="s">
        <v>2184</v>
      </c>
      <c r="E142" s="126" t="s">
        <v>3651</v>
      </c>
      <c r="F142" s="126" t="s">
        <v>3619</v>
      </c>
      <c r="G142" s="126" t="s">
        <v>0</v>
      </c>
      <c r="H142" s="126" t="s">
        <v>3614</v>
      </c>
      <c r="I142" s="126" t="s">
        <v>3596</v>
      </c>
      <c r="J142" s="126" t="s">
        <v>5463</v>
      </c>
      <c r="K142" s="127">
        <v>45736</v>
      </c>
      <c r="L142" s="126" t="s">
        <v>5478</v>
      </c>
      <c r="M142" s="126" t="s">
        <v>932</v>
      </c>
      <c r="N142" s="126" t="s">
        <v>5486</v>
      </c>
      <c r="O142" s="263" t="s">
        <v>5760</v>
      </c>
      <c r="P142" s="128" t="s">
        <v>45</v>
      </c>
      <c r="Q142" s="246" t="s">
        <v>5481</v>
      </c>
      <c r="R142" s="128" t="s">
        <v>5463</v>
      </c>
      <c r="S142" s="128" t="s">
        <v>3602</v>
      </c>
      <c r="T142" s="251"/>
      <c r="U142" s="128"/>
    </row>
    <row r="143" spans="1:21" ht="30" customHeight="1">
      <c r="A143" s="143">
        <v>141</v>
      </c>
      <c r="B143" s="126" t="s">
        <v>1927</v>
      </c>
      <c r="C143" s="126" t="s">
        <v>5653</v>
      </c>
      <c r="D143" s="126" t="s">
        <v>3801</v>
      </c>
      <c r="E143" s="126" t="s">
        <v>3593</v>
      </c>
      <c r="F143" s="126" t="s">
        <v>3619</v>
      </c>
      <c r="G143" s="126" t="s">
        <v>0</v>
      </c>
      <c r="H143" s="126" t="s">
        <v>3614</v>
      </c>
      <c r="I143" s="126" t="s">
        <v>3596</v>
      </c>
      <c r="J143" s="126" t="s">
        <v>5463</v>
      </c>
      <c r="K143" s="127">
        <v>45736</v>
      </c>
      <c r="L143" s="126" t="s">
        <v>5478</v>
      </c>
      <c r="M143" s="126" t="s">
        <v>932</v>
      </c>
      <c r="N143" s="126" t="s">
        <v>5486</v>
      </c>
      <c r="O143" s="263" t="s">
        <v>5761</v>
      </c>
      <c r="P143" s="128" t="s">
        <v>45</v>
      </c>
      <c r="Q143" s="246" t="s">
        <v>5481</v>
      </c>
      <c r="R143" s="128" t="s">
        <v>5463</v>
      </c>
      <c r="S143" s="128" t="s">
        <v>5600</v>
      </c>
      <c r="T143" s="251"/>
      <c r="U143" s="128"/>
    </row>
    <row r="144" spans="1:21" ht="30" customHeight="1">
      <c r="A144" s="143">
        <v>142</v>
      </c>
      <c r="B144" s="126" t="s">
        <v>1941</v>
      </c>
      <c r="C144" s="126" t="s">
        <v>5762</v>
      </c>
      <c r="D144" s="126" t="s">
        <v>1476</v>
      </c>
      <c r="E144" s="126" t="s">
        <v>3593</v>
      </c>
      <c r="F144" s="126" t="s">
        <v>3594</v>
      </c>
      <c r="G144" s="126" t="s">
        <v>0</v>
      </c>
      <c r="H144" s="126" t="s">
        <v>3614</v>
      </c>
      <c r="I144" s="126" t="s">
        <v>3596</v>
      </c>
      <c r="J144" s="126" t="s">
        <v>2679</v>
      </c>
      <c r="K144" s="127">
        <v>45737</v>
      </c>
      <c r="L144" s="126" t="s">
        <v>5763</v>
      </c>
      <c r="M144" s="126" t="s">
        <v>4552</v>
      </c>
      <c r="N144" s="126" t="s">
        <v>5764</v>
      </c>
      <c r="O144" s="263" t="s">
        <v>5764</v>
      </c>
      <c r="P144" s="128" t="s">
        <v>45</v>
      </c>
      <c r="Q144" s="246" t="s">
        <v>5481</v>
      </c>
      <c r="R144" s="128" t="s">
        <v>3656</v>
      </c>
      <c r="S144" s="128" t="s">
        <v>5548</v>
      </c>
      <c r="T144" s="251"/>
      <c r="U144" s="128"/>
    </row>
    <row r="145" spans="1:21" ht="30" customHeight="1">
      <c r="A145" s="143">
        <v>143</v>
      </c>
      <c r="B145" s="126" t="s">
        <v>1940</v>
      </c>
      <c r="C145" s="126" t="s">
        <v>5635</v>
      </c>
      <c r="D145" s="126" t="s">
        <v>1911</v>
      </c>
      <c r="E145" s="126" t="s">
        <v>3651</v>
      </c>
      <c r="F145" s="126" t="s">
        <v>3619</v>
      </c>
      <c r="G145" s="126" t="s">
        <v>0</v>
      </c>
      <c r="H145" s="126" t="s">
        <v>3595</v>
      </c>
      <c r="I145" s="126" t="s">
        <v>3596</v>
      </c>
      <c r="J145" s="126" t="s">
        <v>2679</v>
      </c>
      <c r="K145" s="127">
        <v>45737</v>
      </c>
      <c r="L145" s="126" t="s">
        <v>5765</v>
      </c>
      <c r="M145" s="126" t="s">
        <v>680</v>
      </c>
      <c r="N145" s="126" t="s">
        <v>5497</v>
      </c>
      <c r="O145" s="263" t="s">
        <v>5766</v>
      </c>
      <c r="P145" s="128" t="s">
        <v>24</v>
      </c>
      <c r="Q145" s="246" t="s">
        <v>49</v>
      </c>
      <c r="R145" s="128" t="s">
        <v>3602</v>
      </c>
      <c r="S145" s="128" t="s">
        <v>5767</v>
      </c>
      <c r="T145" s="251"/>
      <c r="U145" s="128"/>
    </row>
    <row r="146" spans="1:21" ht="30" customHeight="1">
      <c r="A146" s="143">
        <v>144</v>
      </c>
      <c r="B146" s="126" t="s">
        <v>1945</v>
      </c>
      <c r="C146" s="126" t="s">
        <v>5751</v>
      </c>
      <c r="D146" s="126" t="s">
        <v>1476</v>
      </c>
      <c r="E146" s="126" t="s">
        <v>3593</v>
      </c>
      <c r="F146" s="126" t="s">
        <v>3594</v>
      </c>
      <c r="G146" s="126" t="s">
        <v>0</v>
      </c>
      <c r="H146" s="126" t="s">
        <v>3595</v>
      </c>
      <c r="I146" s="126" t="s">
        <v>3596</v>
      </c>
      <c r="J146" s="126" t="s">
        <v>2679</v>
      </c>
      <c r="K146" s="127">
        <v>45737</v>
      </c>
      <c r="L146" s="126" t="s">
        <v>5768</v>
      </c>
      <c r="M146" s="126" t="s">
        <v>1151</v>
      </c>
      <c r="N146" s="126" t="s">
        <v>5769</v>
      </c>
      <c r="O146" s="263" t="s">
        <v>5770</v>
      </c>
      <c r="P146" s="128" t="s">
        <v>1463</v>
      </c>
      <c r="Q146" s="246" t="s">
        <v>49</v>
      </c>
      <c r="R146" s="128" t="s">
        <v>3602</v>
      </c>
      <c r="S146" s="128" t="s">
        <v>3602</v>
      </c>
      <c r="T146" s="251"/>
      <c r="U146" s="128"/>
    </row>
    <row r="147" spans="1:21" ht="30" customHeight="1">
      <c r="A147" s="143">
        <v>145</v>
      </c>
      <c r="B147" s="126" t="s">
        <v>1946</v>
      </c>
      <c r="C147" s="126" t="s">
        <v>5771</v>
      </c>
      <c r="D147" s="126" t="s">
        <v>1479</v>
      </c>
      <c r="E147" s="126" t="s">
        <v>3603</v>
      </c>
      <c r="F147" s="126" t="s">
        <v>3604</v>
      </c>
      <c r="G147" s="126" t="s">
        <v>0</v>
      </c>
      <c r="H147" s="126" t="s">
        <v>3614</v>
      </c>
      <c r="I147" s="126" t="s">
        <v>3596</v>
      </c>
      <c r="J147" s="126" t="s">
        <v>5463</v>
      </c>
      <c r="K147" s="127">
        <v>45740</v>
      </c>
      <c r="L147" s="126" t="s">
        <v>5563</v>
      </c>
      <c r="M147" s="126" t="s">
        <v>735</v>
      </c>
      <c r="N147" s="126" t="s">
        <v>5564</v>
      </c>
      <c r="O147" s="263" t="s">
        <v>5772</v>
      </c>
      <c r="P147" s="128" t="s">
        <v>45</v>
      </c>
      <c r="Q147" s="246" t="s">
        <v>5481</v>
      </c>
      <c r="R147" s="128" t="s">
        <v>5463</v>
      </c>
      <c r="S147" s="128" t="s">
        <v>3666</v>
      </c>
      <c r="T147" s="251"/>
      <c r="U147" s="128"/>
    </row>
    <row r="148" spans="1:21" ht="30" customHeight="1">
      <c r="A148" s="143">
        <v>146</v>
      </c>
      <c r="B148" s="126" t="s">
        <v>1946</v>
      </c>
      <c r="C148" s="126" t="s">
        <v>5771</v>
      </c>
      <c r="D148" s="126" t="s">
        <v>1479</v>
      </c>
      <c r="E148" s="126" t="s">
        <v>3603</v>
      </c>
      <c r="F148" s="126" t="s">
        <v>3604</v>
      </c>
      <c r="G148" s="126" t="s">
        <v>0</v>
      </c>
      <c r="H148" s="126" t="s">
        <v>3614</v>
      </c>
      <c r="I148" s="126" t="s">
        <v>3596</v>
      </c>
      <c r="J148" s="126" t="s">
        <v>5463</v>
      </c>
      <c r="K148" s="127">
        <v>45740</v>
      </c>
      <c r="L148" s="126" t="s">
        <v>5563</v>
      </c>
      <c r="M148" s="126" t="s">
        <v>735</v>
      </c>
      <c r="N148" s="126" t="s">
        <v>5564</v>
      </c>
      <c r="O148" s="263" t="s">
        <v>5772</v>
      </c>
      <c r="P148" s="128" t="s">
        <v>45</v>
      </c>
      <c r="Q148" s="246" t="s">
        <v>5481</v>
      </c>
      <c r="R148" s="128" t="s">
        <v>5463</v>
      </c>
      <c r="S148" s="128" t="s">
        <v>3666</v>
      </c>
      <c r="T148" s="251"/>
      <c r="U148" s="128"/>
    </row>
    <row r="149" spans="1:21" ht="30" customHeight="1">
      <c r="A149" s="143">
        <v>147</v>
      </c>
      <c r="B149" s="126" t="s">
        <v>1958</v>
      </c>
      <c r="C149" s="126" t="s">
        <v>5699</v>
      </c>
      <c r="D149" s="126" t="s">
        <v>1476</v>
      </c>
      <c r="E149" s="126" t="s">
        <v>3603</v>
      </c>
      <c r="F149" s="126" t="s">
        <v>3604</v>
      </c>
      <c r="G149" s="126" t="s">
        <v>0</v>
      </c>
      <c r="H149" s="126" t="s">
        <v>3614</v>
      </c>
      <c r="I149" s="126" t="s">
        <v>3596</v>
      </c>
      <c r="J149" s="126" t="s">
        <v>5463</v>
      </c>
      <c r="K149" s="127">
        <v>45741</v>
      </c>
      <c r="L149" s="126" t="s">
        <v>5773</v>
      </c>
      <c r="M149" s="126" t="s">
        <v>5774</v>
      </c>
      <c r="N149" s="126" t="s">
        <v>5775</v>
      </c>
      <c r="O149" s="263"/>
      <c r="P149" s="128" t="s">
        <v>42</v>
      </c>
      <c r="Q149" s="246" t="s">
        <v>49</v>
      </c>
      <c r="R149" s="128" t="s">
        <v>5463</v>
      </c>
      <c r="S149" s="128" t="s">
        <v>5463</v>
      </c>
      <c r="T149" s="251"/>
      <c r="U149" s="128"/>
    </row>
    <row r="150" spans="1:21" ht="30" customHeight="1">
      <c r="A150" s="143">
        <v>148</v>
      </c>
      <c r="B150" s="126" t="s">
        <v>1966</v>
      </c>
      <c r="C150" s="126" t="s">
        <v>5669</v>
      </c>
      <c r="D150" s="126" t="s">
        <v>1479</v>
      </c>
      <c r="E150" s="126" t="s">
        <v>3593</v>
      </c>
      <c r="F150" s="126" t="s">
        <v>3594</v>
      </c>
      <c r="G150" s="126" t="s">
        <v>0</v>
      </c>
      <c r="H150" s="126" t="s">
        <v>3614</v>
      </c>
      <c r="I150" s="126" t="s">
        <v>3596</v>
      </c>
      <c r="J150" s="126" t="s">
        <v>5463</v>
      </c>
      <c r="K150" s="127">
        <v>45742</v>
      </c>
      <c r="L150" s="126" t="s">
        <v>5563</v>
      </c>
      <c r="M150" s="126" t="s">
        <v>735</v>
      </c>
      <c r="N150" s="126" t="s">
        <v>5776</v>
      </c>
      <c r="O150" s="263" t="s">
        <v>5777</v>
      </c>
      <c r="P150" s="128" t="s">
        <v>45</v>
      </c>
      <c r="Q150" s="246" t="s">
        <v>5481</v>
      </c>
      <c r="R150" s="128" t="s">
        <v>5463</v>
      </c>
      <c r="S150" s="128" t="s">
        <v>5548</v>
      </c>
      <c r="T150" s="251"/>
      <c r="U150" s="128"/>
    </row>
    <row r="151" spans="1:21" ht="30" customHeight="1">
      <c r="A151" s="143">
        <v>149</v>
      </c>
      <c r="B151" s="126" t="s">
        <v>1970</v>
      </c>
      <c r="C151" s="126" t="s">
        <v>5708</v>
      </c>
      <c r="D151" s="126" t="s">
        <v>1476</v>
      </c>
      <c r="E151" s="126" t="s">
        <v>3593</v>
      </c>
      <c r="F151" s="126" t="s">
        <v>3619</v>
      </c>
      <c r="G151" s="126" t="s">
        <v>0</v>
      </c>
      <c r="H151" s="126" t="s">
        <v>3595</v>
      </c>
      <c r="I151" s="126" t="s">
        <v>3596</v>
      </c>
      <c r="J151" s="126" t="s">
        <v>2679</v>
      </c>
      <c r="K151" s="127">
        <v>45743</v>
      </c>
      <c r="L151" s="126" t="s">
        <v>5527</v>
      </c>
      <c r="M151" s="126" t="s">
        <v>143</v>
      </c>
      <c r="N151" s="126" t="s">
        <v>5778</v>
      </c>
      <c r="O151" s="263" t="s">
        <v>5779</v>
      </c>
      <c r="P151" s="128" t="s">
        <v>24</v>
      </c>
      <c r="Q151" s="246" t="s">
        <v>49</v>
      </c>
      <c r="R151" s="128" t="s">
        <v>5463</v>
      </c>
      <c r="S151" s="128" t="s">
        <v>3774</v>
      </c>
      <c r="T151" s="251"/>
      <c r="U151" s="128"/>
    </row>
    <row r="152" spans="1:21" ht="30" customHeight="1">
      <c r="A152" s="143">
        <v>150</v>
      </c>
      <c r="B152" s="126" t="s">
        <v>1982</v>
      </c>
      <c r="C152" s="126" t="s">
        <v>5751</v>
      </c>
      <c r="D152" s="126" t="s">
        <v>1476</v>
      </c>
      <c r="E152" s="126" t="s">
        <v>3603</v>
      </c>
      <c r="F152" s="126" t="s">
        <v>3604</v>
      </c>
      <c r="G152" s="126" t="s">
        <v>0</v>
      </c>
      <c r="H152" s="126" t="s">
        <v>3614</v>
      </c>
      <c r="I152" s="126" t="s">
        <v>3596</v>
      </c>
      <c r="J152" s="126" t="s">
        <v>2880</v>
      </c>
      <c r="K152" s="127">
        <v>45744</v>
      </c>
      <c r="L152" s="126" t="s">
        <v>5478</v>
      </c>
      <c r="M152" s="126" t="s">
        <v>932</v>
      </c>
      <c r="N152" s="126" t="s">
        <v>5550</v>
      </c>
      <c r="O152" s="263" t="s">
        <v>5780</v>
      </c>
      <c r="P152" s="128" t="s">
        <v>45</v>
      </c>
      <c r="Q152" s="246" t="s">
        <v>5481</v>
      </c>
      <c r="R152" s="128" t="s">
        <v>3666</v>
      </c>
      <c r="S152" s="128" t="s">
        <v>3666</v>
      </c>
      <c r="T152" s="251"/>
      <c r="U152" s="128"/>
    </row>
    <row r="153" spans="1:21" ht="30" customHeight="1">
      <c r="A153" s="143">
        <v>151</v>
      </c>
      <c r="B153" s="126" t="s">
        <v>1985</v>
      </c>
      <c r="C153" s="126" t="s">
        <v>5613</v>
      </c>
      <c r="D153" s="126" t="s">
        <v>1911</v>
      </c>
      <c r="E153" s="126" t="s">
        <v>3603</v>
      </c>
      <c r="F153" s="126" t="s">
        <v>3604</v>
      </c>
      <c r="G153" s="126" t="s">
        <v>0</v>
      </c>
      <c r="H153" s="126" t="s">
        <v>3614</v>
      </c>
      <c r="I153" s="126" t="s">
        <v>3596</v>
      </c>
      <c r="J153" s="126" t="s">
        <v>2679</v>
      </c>
      <c r="K153" s="127">
        <v>45744</v>
      </c>
      <c r="L153" s="126" t="s">
        <v>5601</v>
      </c>
      <c r="M153" s="126" t="s">
        <v>981</v>
      </c>
      <c r="N153" s="126" t="s">
        <v>5781</v>
      </c>
      <c r="O153" s="263" t="s">
        <v>5782</v>
      </c>
      <c r="P153" s="128" t="s">
        <v>45</v>
      </c>
      <c r="Q153" s="246" t="s">
        <v>5481</v>
      </c>
      <c r="R153" s="128" t="s">
        <v>5463</v>
      </c>
      <c r="S153" s="128" t="s">
        <v>3666</v>
      </c>
      <c r="T153" s="251"/>
      <c r="U153" s="128"/>
    </row>
    <row r="154" spans="1:21" ht="30" customHeight="1">
      <c r="A154" s="143">
        <v>152</v>
      </c>
      <c r="B154" s="126" t="s">
        <v>1985</v>
      </c>
      <c r="C154" s="126" t="s">
        <v>5613</v>
      </c>
      <c r="D154" s="126" t="s">
        <v>1911</v>
      </c>
      <c r="E154" s="126" t="s">
        <v>3603</v>
      </c>
      <c r="F154" s="126" t="s">
        <v>3604</v>
      </c>
      <c r="G154" s="126" t="s">
        <v>0</v>
      </c>
      <c r="H154" s="126" t="s">
        <v>3614</v>
      </c>
      <c r="I154" s="126" t="s">
        <v>3596</v>
      </c>
      <c r="J154" s="126" t="s">
        <v>2679</v>
      </c>
      <c r="K154" s="127">
        <v>45744</v>
      </c>
      <c r="L154" s="126" t="s">
        <v>5783</v>
      </c>
      <c r="M154" s="126" t="s">
        <v>1343</v>
      </c>
      <c r="N154" s="126" t="s">
        <v>5784</v>
      </c>
      <c r="O154" s="263" t="s">
        <v>5785</v>
      </c>
      <c r="P154" s="128" t="s">
        <v>45</v>
      </c>
      <c r="Q154" s="246" t="s">
        <v>5481</v>
      </c>
      <c r="R154" s="128" t="s">
        <v>5463</v>
      </c>
      <c r="S154" s="128" t="s">
        <v>3666</v>
      </c>
      <c r="T154" s="251"/>
      <c r="U154" s="128"/>
    </row>
    <row r="155" spans="1:21" ht="30" customHeight="1">
      <c r="A155" s="143">
        <v>153</v>
      </c>
      <c r="B155" s="126" t="s">
        <v>1996</v>
      </c>
      <c r="C155" s="126" t="s">
        <v>5786</v>
      </c>
      <c r="D155" s="126" t="s">
        <v>1476</v>
      </c>
      <c r="E155" s="126" t="s">
        <v>3603</v>
      </c>
      <c r="F155" s="126" t="s">
        <v>3604</v>
      </c>
      <c r="G155" s="126" t="s">
        <v>0</v>
      </c>
      <c r="H155" s="126" t="s">
        <v>3595</v>
      </c>
      <c r="I155" s="126" t="s">
        <v>3596</v>
      </c>
      <c r="J155" s="126" t="s">
        <v>2679</v>
      </c>
      <c r="K155" s="127">
        <v>45748</v>
      </c>
      <c r="L155" s="126" t="s">
        <v>5787</v>
      </c>
      <c r="M155" s="126" t="s">
        <v>386</v>
      </c>
      <c r="N155" s="126" t="s">
        <v>5788</v>
      </c>
      <c r="O155" s="263" t="s">
        <v>5789</v>
      </c>
      <c r="P155" s="128" t="s">
        <v>1463</v>
      </c>
      <c r="Q155" s="246" t="s">
        <v>49</v>
      </c>
      <c r="R155" s="133"/>
      <c r="S155" s="132" t="s">
        <v>3835</v>
      </c>
      <c r="T155" s="252"/>
    </row>
    <row r="156" spans="1:21" ht="30" customHeight="1">
      <c r="A156" s="143">
        <v>154</v>
      </c>
      <c r="B156" s="126" t="s">
        <v>1992</v>
      </c>
      <c r="C156" s="126" t="s">
        <v>5559</v>
      </c>
      <c r="D156" s="126" t="s">
        <v>1911</v>
      </c>
      <c r="E156" s="126" t="s">
        <v>3593</v>
      </c>
      <c r="F156" s="126" t="s">
        <v>3604</v>
      </c>
      <c r="G156" s="126" t="s">
        <v>0</v>
      </c>
      <c r="H156" s="126" t="s">
        <v>3595</v>
      </c>
      <c r="I156" s="126" t="s">
        <v>3596</v>
      </c>
      <c r="J156" s="126" t="s">
        <v>2679</v>
      </c>
      <c r="K156" s="127">
        <v>45748</v>
      </c>
      <c r="L156" s="126" t="s">
        <v>5790</v>
      </c>
      <c r="M156" s="126" t="s">
        <v>3722</v>
      </c>
      <c r="N156" s="126" t="s">
        <v>5791</v>
      </c>
      <c r="O156" s="263" t="s">
        <v>5791</v>
      </c>
      <c r="P156" s="128" t="s">
        <v>45</v>
      </c>
      <c r="Q156" s="246" t="s">
        <v>49</v>
      </c>
      <c r="R156" s="133"/>
      <c r="S156" s="132" t="s">
        <v>4080</v>
      </c>
      <c r="T156" s="252"/>
    </row>
    <row r="157" spans="1:21" ht="30" customHeight="1">
      <c r="A157" s="143">
        <v>155</v>
      </c>
      <c r="B157" s="126" t="s">
        <v>1993</v>
      </c>
      <c r="C157" s="126" t="s">
        <v>5792</v>
      </c>
      <c r="D157" s="126" t="s">
        <v>1480</v>
      </c>
      <c r="E157" s="126" t="s">
        <v>3593</v>
      </c>
      <c r="F157" s="126" t="s">
        <v>3619</v>
      </c>
      <c r="G157" s="126" t="s">
        <v>0</v>
      </c>
      <c r="H157" s="126" t="s">
        <v>3595</v>
      </c>
      <c r="I157" s="126" t="s">
        <v>3596</v>
      </c>
      <c r="J157" s="126" t="s">
        <v>2679</v>
      </c>
      <c r="K157" s="127">
        <v>45748</v>
      </c>
      <c r="L157" s="126" t="s">
        <v>5790</v>
      </c>
      <c r="M157" s="126" t="s">
        <v>3722</v>
      </c>
      <c r="N157" s="126" t="s">
        <v>5793</v>
      </c>
      <c r="O157" s="263" t="s">
        <v>5794</v>
      </c>
      <c r="P157" s="128" t="s">
        <v>24</v>
      </c>
      <c r="Q157" s="246" t="s">
        <v>49</v>
      </c>
      <c r="R157" s="133"/>
      <c r="S157" s="132" t="s">
        <v>5566</v>
      </c>
      <c r="T157" s="252"/>
    </row>
    <row r="158" spans="1:21" ht="30" customHeight="1">
      <c r="A158" s="143">
        <v>156</v>
      </c>
      <c r="B158" s="126" t="s">
        <v>1996</v>
      </c>
      <c r="C158" s="126" t="s">
        <v>5786</v>
      </c>
      <c r="D158" s="126" t="s">
        <v>1476</v>
      </c>
      <c r="E158" s="126" t="s">
        <v>3603</v>
      </c>
      <c r="F158" s="126" t="s">
        <v>3604</v>
      </c>
      <c r="G158" s="126" t="s">
        <v>0</v>
      </c>
      <c r="H158" s="126" t="s">
        <v>3614</v>
      </c>
      <c r="I158" s="126" t="s">
        <v>3596</v>
      </c>
      <c r="J158" s="126" t="s">
        <v>2880</v>
      </c>
      <c r="K158" s="127">
        <v>45748</v>
      </c>
      <c r="L158" s="126" t="s">
        <v>5563</v>
      </c>
      <c r="M158" s="126" t="s">
        <v>735</v>
      </c>
      <c r="N158" s="126" t="s">
        <v>5564</v>
      </c>
      <c r="O158" s="263" t="s">
        <v>5795</v>
      </c>
      <c r="P158" s="128" t="s">
        <v>45</v>
      </c>
      <c r="Q158" s="246" t="s">
        <v>5481</v>
      </c>
      <c r="R158" s="133"/>
      <c r="S158" s="132" t="s">
        <v>3768</v>
      </c>
      <c r="T158" s="252"/>
    </row>
    <row r="159" spans="1:21" ht="30" customHeight="1">
      <c r="A159" s="143">
        <v>157</v>
      </c>
      <c r="B159" s="126" t="s">
        <v>1992</v>
      </c>
      <c r="C159" s="126" t="s">
        <v>5559</v>
      </c>
      <c r="D159" s="126" t="s">
        <v>1911</v>
      </c>
      <c r="E159" s="126" t="s">
        <v>3593</v>
      </c>
      <c r="F159" s="126" t="s">
        <v>3604</v>
      </c>
      <c r="G159" s="126" t="s">
        <v>0</v>
      </c>
      <c r="H159" s="126" t="s">
        <v>3614</v>
      </c>
      <c r="I159" s="126" t="s">
        <v>3596</v>
      </c>
      <c r="J159" s="126" t="s">
        <v>2679</v>
      </c>
      <c r="K159" s="127">
        <v>45748</v>
      </c>
      <c r="L159" s="126" t="s">
        <v>5519</v>
      </c>
      <c r="M159" s="126" t="s">
        <v>753</v>
      </c>
      <c r="N159" s="126" t="s">
        <v>5796</v>
      </c>
      <c r="O159" s="263" t="s">
        <v>5797</v>
      </c>
      <c r="P159" s="128" t="s">
        <v>45</v>
      </c>
      <c r="Q159" s="246" t="s">
        <v>5481</v>
      </c>
      <c r="R159" s="133"/>
      <c r="S159" s="132" t="s">
        <v>5568</v>
      </c>
      <c r="T159" s="252"/>
    </row>
    <row r="160" spans="1:21" ht="30" customHeight="1">
      <c r="A160" s="143">
        <v>158</v>
      </c>
      <c r="B160" s="126" t="s">
        <v>1996</v>
      </c>
      <c r="C160" s="126" t="s">
        <v>5786</v>
      </c>
      <c r="D160" s="126" t="s">
        <v>1476</v>
      </c>
      <c r="E160" s="126" t="s">
        <v>3603</v>
      </c>
      <c r="F160" s="126" t="s">
        <v>3604</v>
      </c>
      <c r="G160" s="126" t="s">
        <v>0</v>
      </c>
      <c r="H160" s="126" t="s">
        <v>3614</v>
      </c>
      <c r="I160" s="126" t="s">
        <v>3596</v>
      </c>
      <c r="J160" s="126" t="s">
        <v>2880</v>
      </c>
      <c r="K160" s="127">
        <v>45748</v>
      </c>
      <c r="L160" s="126" t="s">
        <v>5478</v>
      </c>
      <c r="M160" s="126" t="s">
        <v>932</v>
      </c>
      <c r="N160" s="126" t="s">
        <v>5486</v>
      </c>
      <c r="O160" s="263" t="s">
        <v>5798</v>
      </c>
      <c r="P160" s="128" t="s">
        <v>45</v>
      </c>
      <c r="Q160" s="246" t="s">
        <v>5481</v>
      </c>
      <c r="R160" s="133"/>
      <c r="S160" s="132" t="s">
        <v>3768</v>
      </c>
      <c r="T160" s="252"/>
    </row>
    <row r="161" spans="1:20" ht="30" customHeight="1">
      <c r="A161" s="143">
        <v>159</v>
      </c>
      <c r="B161" s="126" t="s">
        <v>4613</v>
      </c>
      <c r="C161" s="126" t="s">
        <v>5476</v>
      </c>
      <c r="D161" s="126" t="s">
        <v>5477</v>
      </c>
      <c r="E161" s="126" t="s">
        <v>3593</v>
      </c>
      <c r="F161" s="126" t="s">
        <v>3594</v>
      </c>
      <c r="G161" s="126" t="s">
        <v>0</v>
      </c>
      <c r="H161" s="126" t="s">
        <v>3614</v>
      </c>
      <c r="I161" s="126" t="s">
        <v>3596</v>
      </c>
      <c r="J161" s="126" t="s">
        <v>5463</v>
      </c>
      <c r="K161" s="127">
        <v>45749</v>
      </c>
      <c r="L161" s="126" t="s">
        <v>5478</v>
      </c>
      <c r="M161" s="126" t="s">
        <v>932</v>
      </c>
      <c r="N161" s="126" t="s">
        <v>5550</v>
      </c>
      <c r="O161" s="263" t="s">
        <v>5799</v>
      </c>
      <c r="P161" s="128" t="s">
        <v>45</v>
      </c>
      <c r="Q161" s="246" t="s">
        <v>5481</v>
      </c>
      <c r="R161" s="133"/>
      <c r="S161" s="132" t="s">
        <v>5568</v>
      </c>
      <c r="T161" s="252"/>
    </row>
    <row r="162" spans="1:20" ht="30" customHeight="1">
      <c r="A162" s="143">
        <v>160</v>
      </c>
      <c r="B162" s="126" t="s">
        <v>2002</v>
      </c>
      <c r="C162" s="126" t="s">
        <v>5786</v>
      </c>
      <c r="D162" s="126" t="s">
        <v>1476</v>
      </c>
      <c r="E162" s="126" t="s">
        <v>3593</v>
      </c>
      <c r="F162" s="126" t="s">
        <v>3594</v>
      </c>
      <c r="G162" s="126" t="s">
        <v>0</v>
      </c>
      <c r="H162" s="126" t="s">
        <v>3614</v>
      </c>
      <c r="I162" s="126" t="s">
        <v>3596</v>
      </c>
      <c r="J162" s="126" t="s">
        <v>2880</v>
      </c>
      <c r="K162" s="127">
        <v>45749</v>
      </c>
      <c r="L162" s="126" t="s">
        <v>5478</v>
      </c>
      <c r="M162" s="126" t="s">
        <v>932</v>
      </c>
      <c r="N162" s="126" t="s">
        <v>5550</v>
      </c>
      <c r="O162" s="263" t="s">
        <v>5800</v>
      </c>
      <c r="P162" s="128" t="s">
        <v>45</v>
      </c>
      <c r="Q162" s="246" t="s">
        <v>5481</v>
      </c>
      <c r="R162" s="255" t="s">
        <v>3656</v>
      </c>
      <c r="S162" s="132" t="s">
        <v>5801</v>
      </c>
      <c r="T162" s="252"/>
    </row>
    <row r="163" spans="1:20" ht="30" customHeight="1">
      <c r="A163" s="143">
        <v>161</v>
      </c>
      <c r="B163" s="126" t="s">
        <v>2002</v>
      </c>
      <c r="C163" s="126" t="s">
        <v>5786</v>
      </c>
      <c r="D163" s="126" t="s">
        <v>1476</v>
      </c>
      <c r="E163" s="126" t="s">
        <v>3593</v>
      </c>
      <c r="F163" s="126" t="s">
        <v>3594</v>
      </c>
      <c r="G163" s="126" t="s">
        <v>0</v>
      </c>
      <c r="H163" s="126" t="s">
        <v>3614</v>
      </c>
      <c r="I163" s="126" t="s">
        <v>3596</v>
      </c>
      <c r="J163" s="126" t="s">
        <v>2679</v>
      </c>
      <c r="K163" s="127">
        <v>45749</v>
      </c>
      <c r="L163" s="126" t="s">
        <v>5478</v>
      </c>
      <c r="M163" s="126" t="s">
        <v>932</v>
      </c>
      <c r="N163" s="126" t="s">
        <v>5550</v>
      </c>
      <c r="O163" s="263" t="s">
        <v>5802</v>
      </c>
      <c r="P163" s="128" t="s">
        <v>45</v>
      </c>
      <c r="Q163" s="246" t="s">
        <v>5481</v>
      </c>
      <c r="R163" s="255" t="s">
        <v>3656</v>
      </c>
      <c r="S163" s="132" t="s">
        <v>5801</v>
      </c>
      <c r="T163" s="252"/>
    </row>
    <row r="164" spans="1:20" ht="30" customHeight="1">
      <c r="A164" s="143">
        <v>162</v>
      </c>
      <c r="B164" s="126" t="s">
        <v>2008</v>
      </c>
      <c r="C164" s="126" t="s">
        <v>5751</v>
      </c>
      <c r="D164" s="126" t="s">
        <v>1476</v>
      </c>
      <c r="E164" s="126" t="s">
        <v>3593</v>
      </c>
      <c r="F164" s="126" t="s">
        <v>3594</v>
      </c>
      <c r="G164" s="126" t="s">
        <v>0</v>
      </c>
      <c r="H164" s="126" t="s">
        <v>3595</v>
      </c>
      <c r="I164" s="126" t="s">
        <v>2894</v>
      </c>
      <c r="J164" s="126" t="s">
        <v>2880</v>
      </c>
      <c r="K164" s="127">
        <v>45750</v>
      </c>
      <c r="L164" s="126" t="s">
        <v>5803</v>
      </c>
      <c r="M164" s="126" t="s">
        <v>103</v>
      </c>
      <c r="N164" s="126" t="s">
        <v>5804</v>
      </c>
      <c r="O164" s="263" t="s">
        <v>5804</v>
      </c>
      <c r="P164" s="128" t="s">
        <v>1463</v>
      </c>
      <c r="Q164" s="246" t="s">
        <v>49</v>
      </c>
      <c r="R164" s="132" t="s">
        <v>3656</v>
      </c>
      <c r="S164" s="132" t="s">
        <v>5548</v>
      </c>
      <c r="T164" s="252"/>
    </row>
    <row r="165" spans="1:20" ht="30" customHeight="1">
      <c r="A165" s="143">
        <v>163</v>
      </c>
      <c r="B165" s="126" t="s">
        <v>2006</v>
      </c>
      <c r="C165" s="126" t="s">
        <v>5805</v>
      </c>
      <c r="D165" s="126" t="s">
        <v>5477</v>
      </c>
      <c r="E165" s="126" t="s">
        <v>3651</v>
      </c>
      <c r="F165" s="126" t="s">
        <v>3619</v>
      </c>
      <c r="G165" s="126" t="s">
        <v>0</v>
      </c>
      <c r="H165" s="126" t="s">
        <v>3595</v>
      </c>
      <c r="I165" s="126" t="s">
        <v>3596</v>
      </c>
      <c r="J165" s="126" t="s">
        <v>5463</v>
      </c>
      <c r="K165" s="127">
        <v>45750</v>
      </c>
      <c r="L165" s="126" t="s">
        <v>5806</v>
      </c>
      <c r="M165" s="126" t="s">
        <v>5807</v>
      </c>
      <c r="N165" s="126" t="s">
        <v>5554</v>
      </c>
      <c r="O165" s="263" t="s">
        <v>5808</v>
      </c>
      <c r="P165" s="128" t="s">
        <v>4091</v>
      </c>
      <c r="Q165" s="246" t="s">
        <v>49</v>
      </c>
      <c r="R165" s="132" t="s">
        <v>3602</v>
      </c>
      <c r="S165" s="132" t="s">
        <v>3724</v>
      </c>
      <c r="T165" s="252"/>
    </row>
    <row r="166" spans="1:20" ht="30" customHeight="1">
      <c r="A166" s="143">
        <v>164</v>
      </c>
      <c r="B166" s="126" t="s">
        <v>2004</v>
      </c>
      <c r="C166" s="126" t="s">
        <v>5805</v>
      </c>
      <c r="D166" s="126" t="s">
        <v>5477</v>
      </c>
      <c r="E166" s="126" t="s">
        <v>3651</v>
      </c>
      <c r="F166" s="126" t="s">
        <v>3619</v>
      </c>
      <c r="G166" s="126" t="s">
        <v>0</v>
      </c>
      <c r="H166" s="126" t="s">
        <v>3595</v>
      </c>
      <c r="I166" s="126" t="s">
        <v>3596</v>
      </c>
      <c r="J166" s="126" t="s">
        <v>5463</v>
      </c>
      <c r="K166" s="127">
        <v>45750</v>
      </c>
      <c r="L166" s="126" t="s">
        <v>5809</v>
      </c>
      <c r="M166" s="126" t="s">
        <v>680</v>
      </c>
      <c r="N166" s="126" t="s">
        <v>5497</v>
      </c>
      <c r="O166" s="263" t="s">
        <v>5810</v>
      </c>
      <c r="P166" s="128" t="s">
        <v>5811</v>
      </c>
      <c r="Q166" s="246" t="s">
        <v>49</v>
      </c>
      <c r="R166" s="132" t="s">
        <v>3602</v>
      </c>
      <c r="S166" s="132" t="s">
        <v>3724</v>
      </c>
      <c r="T166" s="252"/>
    </row>
    <row r="167" spans="1:20" ht="30" customHeight="1">
      <c r="A167" s="143">
        <v>165</v>
      </c>
      <c r="B167" s="126" t="s">
        <v>2005</v>
      </c>
      <c r="C167" s="126" t="s">
        <v>5805</v>
      </c>
      <c r="D167" s="126" t="s">
        <v>5477</v>
      </c>
      <c r="E167" s="126" t="s">
        <v>3651</v>
      </c>
      <c r="F167" s="126" t="s">
        <v>3619</v>
      </c>
      <c r="G167" s="126" t="s">
        <v>0</v>
      </c>
      <c r="H167" s="126" t="s">
        <v>3614</v>
      </c>
      <c r="I167" s="126" t="s">
        <v>3596</v>
      </c>
      <c r="J167" s="126" t="s">
        <v>5463</v>
      </c>
      <c r="K167" s="127">
        <v>45750</v>
      </c>
      <c r="L167" s="126" t="s">
        <v>5563</v>
      </c>
      <c r="M167" s="126" t="s">
        <v>735</v>
      </c>
      <c r="N167" s="126" t="s">
        <v>5564</v>
      </c>
      <c r="O167" s="263" t="s">
        <v>5795</v>
      </c>
      <c r="P167" s="128" t="s">
        <v>45</v>
      </c>
      <c r="Q167" s="246" t="s">
        <v>5481</v>
      </c>
      <c r="R167" s="255" t="s">
        <v>3602</v>
      </c>
      <c r="S167" s="132" t="s">
        <v>3602</v>
      </c>
      <c r="T167" s="252"/>
    </row>
    <row r="168" spans="1:20" ht="30" customHeight="1">
      <c r="A168" s="143">
        <v>166</v>
      </c>
      <c r="B168" s="126" t="s">
        <v>2006</v>
      </c>
      <c r="C168" s="126" t="s">
        <v>5805</v>
      </c>
      <c r="D168" s="126" t="s">
        <v>5477</v>
      </c>
      <c r="E168" s="126" t="s">
        <v>3651</v>
      </c>
      <c r="F168" s="126" t="s">
        <v>3619</v>
      </c>
      <c r="G168" s="126" t="s">
        <v>0</v>
      </c>
      <c r="H168" s="126" t="s">
        <v>3614</v>
      </c>
      <c r="I168" s="126" t="s">
        <v>3596</v>
      </c>
      <c r="J168" s="126" t="s">
        <v>5463</v>
      </c>
      <c r="K168" s="127">
        <v>45750</v>
      </c>
      <c r="L168" s="126" t="s">
        <v>5478</v>
      </c>
      <c r="M168" s="126" t="s">
        <v>932</v>
      </c>
      <c r="N168" s="126" t="s">
        <v>5486</v>
      </c>
      <c r="O168" s="263" t="s">
        <v>5812</v>
      </c>
      <c r="P168" s="128" t="s">
        <v>45</v>
      </c>
      <c r="Q168" s="246" t="s">
        <v>5481</v>
      </c>
      <c r="R168" s="255" t="s">
        <v>3602</v>
      </c>
      <c r="S168" s="132" t="s">
        <v>3602</v>
      </c>
      <c r="T168" s="252"/>
    </row>
    <row r="169" spans="1:20" ht="30" customHeight="1">
      <c r="A169" s="143">
        <v>167</v>
      </c>
      <c r="B169" s="126" t="s">
        <v>2019</v>
      </c>
      <c r="C169" s="126" t="s">
        <v>5813</v>
      </c>
      <c r="D169" s="126" t="s">
        <v>1911</v>
      </c>
      <c r="E169" s="126" t="s">
        <v>3603</v>
      </c>
      <c r="F169" s="126" t="s">
        <v>3604</v>
      </c>
      <c r="G169" s="126" t="s">
        <v>0</v>
      </c>
      <c r="H169" s="126" t="s">
        <v>3614</v>
      </c>
      <c r="I169" s="126" t="s">
        <v>3620</v>
      </c>
      <c r="J169" s="126" t="s">
        <v>2880</v>
      </c>
      <c r="K169" s="127">
        <v>45751</v>
      </c>
      <c r="L169" s="126" t="s">
        <v>5814</v>
      </c>
      <c r="M169" s="126" t="s">
        <v>2497</v>
      </c>
      <c r="N169" s="126" t="s">
        <v>5815</v>
      </c>
      <c r="O169" s="263" t="s">
        <v>5815</v>
      </c>
      <c r="P169" s="128" t="s">
        <v>45</v>
      </c>
      <c r="Q169" s="246" t="s">
        <v>5463</v>
      </c>
      <c r="R169" s="133"/>
      <c r="S169" s="133"/>
      <c r="T169" s="252"/>
    </row>
    <row r="170" spans="1:20" ht="30" customHeight="1">
      <c r="A170" s="143">
        <v>168</v>
      </c>
      <c r="B170" s="126" t="s">
        <v>2021</v>
      </c>
      <c r="C170" s="126" t="s">
        <v>5613</v>
      </c>
      <c r="D170" s="126" t="s">
        <v>1911</v>
      </c>
      <c r="E170" s="126" t="s">
        <v>3603</v>
      </c>
      <c r="F170" s="126" t="s">
        <v>3604</v>
      </c>
      <c r="G170" s="126" t="s">
        <v>0</v>
      </c>
      <c r="H170" s="126" t="s">
        <v>3595</v>
      </c>
      <c r="I170" s="126" t="s">
        <v>3694</v>
      </c>
      <c r="J170" s="126" t="s">
        <v>2679</v>
      </c>
      <c r="K170" s="127">
        <v>45751</v>
      </c>
      <c r="L170" s="126" t="s">
        <v>5816</v>
      </c>
      <c r="M170" s="126" t="s">
        <v>5817</v>
      </c>
      <c r="N170" s="126" t="s">
        <v>5818</v>
      </c>
      <c r="O170" s="263" t="s">
        <v>5819</v>
      </c>
      <c r="P170" s="128" t="s">
        <v>24</v>
      </c>
      <c r="Q170" s="246" t="s">
        <v>49</v>
      </c>
      <c r="R170" s="132" t="s">
        <v>3666</v>
      </c>
      <c r="S170" s="132" t="s">
        <v>3693</v>
      </c>
      <c r="T170" s="252"/>
    </row>
    <row r="171" spans="1:20" ht="30" customHeight="1">
      <c r="A171" s="143">
        <v>169</v>
      </c>
      <c r="B171" s="126" t="s">
        <v>2021</v>
      </c>
      <c r="C171" s="126" t="s">
        <v>5613</v>
      </c>
      <c r="D171" s="126" t="s">
        <v>1911</v>
      </c>
      <c r="E171" s="126" t="s">
        <v>3603</v>
      </c>
      <c r="F171" s="126" t="s">
        <v>3604</v>
      </c>
      <c r="G171" s="126" t="s">
        <v>0</v>
      </c>
      <c r="H171" s="126" t="s">
        <v>3595</v>
      </c>
      <c r="I171" s="126" t="s">
        <v>3596</v>
      </c>
      <c r="J171" s="126" t="s">
        <v>2880</v>
      </c>
      <c r="K171" s="127">
        <v>45751</v>
      </c>
      <c r="L171" s="126" t="s">
        <v>5820</v>
      </c>
      <c r="M171" s="126" t="s">
        <v>5821</v>
      </c>
      <c r="N171" s="126" t="s">
        <v>5822</v>
      </c>
      <c r="O171" s="263" t="s">
        <v>5823</v>
      </c>
      <c r="P171" s="128" t="s">
        <v>1463</v>
      </c>
      <c r="Q171" s="246" t="s">
        <v>49</v>
      </c>
      <c r="R171" s="132" t="s">
        <v>3666</v>
      </c>
      <c r="S171" s="132" t="s">
        <v>5625</v>
      </c>
      <c r="T171" s="252"/>
    </row>
    <row r="172" spans="1:20" ht="30" customHeight="1">
      <c r="A172" s="143">
        <v>170</v>
      </c>
      <c r="B172" s="126" t="s">
        <v>2033</v>
      </c>
      <c r="C172" s="126" t="s">
        <v>5824</v>
      </c>
      <c r="D172" s="126" t="s">
        <v>1476</v>
      </c>
      <c r="E172" s="126" t="s">
        <v>3593</v>
      </c>
      <c r="F172" s="126" t="s">
        <v>3594</v>
      </c>
      <c r="G172" s="126" t="s">
        <v>0</v>
      </c>
      <c r="H172" s="126" t="s">
        <v>3595</v>
      </c>
      <c r="I172" s="126" t="s">
        <v>3596</v>
      </c>
      <c r="J172" s="126" t="s">
        <v>2679</v>
      </c>
      <c r="K172" s="127">
        <v>45755</v>
      </c>
      <c r="L172" s="126" t="s">
        <v>5630</v>
      </c>
      <c r="M172" s="126" t="s">
        <v>255</v>
      </c>
      <c r="N172" s="126" t="s">
        <v>5615</v>
      </c>
      <c r="O172" s="263" t="s">
        <v>5825</v>
      </c>
      <c r="P172" s="128" t="s">
        <v>4091</v>
      </c>
      <c r="Q172" s="246" t="s">
        <v>49</v>
      </c>
      <c r="R172" s="132" t="s">
        <v>4080</v>
      </c>
      <c r="S172" s="132" t="s">
        <v>4080</v>
      </c>
      <c r="T172" s="252"/>
    </row>
    <row r="173" spans="1:20" ht="30" customHeight="1">
      <c r="A173" s="143">
        <v>171</v>
      </c>
      <c r="B173" s="126" t="s">
        <v>2034</v>
      </c>
      <c r="C173" s="126" t="s">
        <v>5826</v>
      </c>
      <c r="D173" s="126" t="s">
        <v>1476</v>
      </c>
      <c r="E173" s="126" t="s">
        <v>3603</v>
      </c>
      <c r="F173" s="126" t="s">
        <v>3604</v>
      </c>
      <c r="G173" s="126" t="s">
        <v>0</v>
      </c>
      <c r="H173" s="126" t="s">
        <v>3614</v>
      </c>
      <c r="I173" s="126" t="s">
        <v>3596</v>
      </c>
      <c r="J173" s="126" t="s">
        <v>2880</v>
      </c>
      <c r="K173" s="127">
        <v>45755</v>
      </c>
      <c r="L173" s="126" t="s">
        <v>5478</v>
      </c>
      <c r="M173" s="126" t="s">
        <v>932</v>
      </c>
      <c r="N173" s="126" t="s">
        <v>5550</v>
      </c>
      <c r="O173" s="263" t="s">
        <v>5827</v>
      </c>
      <c r="P173" s="128" t="s">
        <v>45</v>
      </c>
      <c r="Q173" s="246" t="s">
        <v>5481</v>
      </c>
      <c r="R173" s="255" t="s">
        <v>3666</v>
      </c>
      <c r="S173" s="132" t="s">
        <v>3768</v>
      </c>
      <c r="T173" s="252"/>
    </row>
    <row r="174" spans="1:20" ht="30" customHeight="1">
      <c r="A174" s="143">
        <v>172</v>
      </c>
      <c r="B174" s="126" t="s">
        <v>2031</v>
      </c>
      <c r="C174" s="126" t="s">
        <v>5828</v>
      </c>
      <c r="D174" s="126" t="s">
        <v>1476</v>
      </c>
      <c r="E174" s="126" t="s">
        <v>3593</v>
      </c>
      <c r="F174" s="126" t="s">
        <v>3594</v>
      </c>
      <c r="G174" s="126" t="s">
        <v>0</v>
      </c>
      <c r="H174" s="126" t="s">
        <v>3614</v>
      </c>
      <c r="I174" s="126" t="s">
        <v>3596</v>
      </c>
      <c r="J174" s="126" t="s">
        <v>2880</v>
      </c>
      <c r="K174" s="127">
        <v>45755</v>
      </c>
      <c r="L174" s="126" t="s">
        <v>5478</v>
      </c>
      <c r="M174" s="126" t="s">
        <v>932</v>
      </c>
      <c r="N174" s="126" t="s">
        <v>5550</v>
      </c>
      <c r="O174" s="263" t="s">
        <v>5829</v>
      </c>
      <c r="P174" s="128" t="s">
        <v>45</v>
      </c>
      <c r="Q174" s="246" t="s">
        <v>5481</v>
      </c>
      <c r="R174" s="255" t="s">
        <v>3656</v>
      </c>
      <c r="S174" s="132" t="s">
        <v>5600</v>
      </c>
      <c r="T174" s="252"/>
    </row>
    <row r="175" spans="1:20" ht="30" customHeight="1">
      <c r="A175" s="143">
        <v>173</v>
      </c>
      <c r="B175" s="126" t="s">
        <v>2036</v>
      </c>
      <c r="C175" s="126" t="s">
        <v>5503</v>
      </c>
      <c r="D175" s="126" t="s">
        <v>1476</v>
      </c>
      <c r="E175" s="126" t="s">
        <v>3593</v>
      </c>
      <c r="F175" s="126" t="s">
        <v>3619</v>
      </c>
      <c r="G175" s="126" t="s">
        <v>0</v>
      </c>
      <c r="H175" s="126" t="s">
        <v>3595</v>
      </c>
      <c r="I175" s="126" t="s">
        <v>3596</v>
      </c>
      <c r="J175" s="126" t="s">
        <v>2880</v>
      </c>
      <c r="K175" s="127">
        <v>45756</v>
      </c>
      <c r="L175" s="126" t="s">
        <v>5527</v>
      </c>
      <c r="M175" s="126" t="s">
        <v>143</v>
      </c>
      <c r="N175" s="126" t="s">
        <v>5830</v>
      </c>
      <c r="O175" s="263" t="s">
        <v>5831</v>
      </c>
      <c r="P175" s="128" t="s">
        <v>24</v>
      </c>
      <c r="Q175" s="246" t="s">
        <v>49</v>
      </c>
      <c r="R175" s="132" t="s">
        <v>3993</v>
      </c>
      <c r="S175" s="132" t="s">
        <v>3774</v>
      </c>
      <c r="T175" s="252"/>
    </row>
    <row r="176" spans="1:20" ht="30" customHeight="1">
      <c r="A176" s="143">
        <v>174</v>
      </c>
      <c r="B176" s="126" t="s">
        <v>2044</v>
      </c>
      <c r="C176" s="126" t="s">
        <v>5826</v>
      </c>
      <c r="D176" s="126" t="s">
        <v>1476</v>
      </c>
      <c r="E176" s="126" t="s">
        <v>3603</v>
      </c>
      <c r="F176" s="126" t="s">
        <v>3604</v>
      </c>
      <c r="G176" s="126" t="s">
        <v>0</v>
      </c>
      <c r="H176" s="126" t="s">
        <v>3595</v>
      </c>
      <c r="I176" s="126" t="s">
        <v>3596</v>
      </c>
      <c r="J176" s="126" t="s">
        <v>2679</v>
      </c>
      <c r="K176" s="127">
        <v>45756</v>
      </c>
      <c r="L176" s="126" t="s">
        <v>5832</v>
      </c>
      <c r="M176" s="126" t="s">
        <v>255</v>
      </c>
      <c r="N176" s="126" t="s">
        <v>5579</v>
      </c>
      <c r="O176" s="263" t="s">
        <v>5833</v>
      </c>
      <c r="P176" s="128" t="s">
        <v>4091</v>
      </c>
      <c r="Q176" s="246" t="s">
        <v>49</v>
      </c>
      <c r="R176" s="132" t="s">
        <v>3666</v>
      </c>
      <c r="S176" s="132" t="s">
        <v>3798</v>
      </c>
      <c r="T176" s="252"/>
    </row>
    <row r="177" spans="1:20" ht="30" customHeight="1">
      <c r="A177" s="143">
        <v>175</v>
      </c>
      <c r="B177" s="126" t="s">
        <v>2051</v>
      </c>
      <c r="C177" s="126" t="s">
        <v>5613</v>
      </c>
      <c r="D177" s="126" t="s">
        <v>1911</v>
      </c>
      <c r="E177" s="126" t="s">
        <v>3651</v>
      </c>
      <c r="F177" s="126" t="s">
        <v>3604</v>
      </c>
      <c r="G177" s="126" t="s">
        <v>0</v>
      </c>
      <c r="H177" s="126" t="s">
        <v>3595</v>
      </c>
      <c r="I177" s="126" t="s">
        <v>3596</v>
      </c>
      <c r="J177" s="126" t="s">
        <v>2679</v>
      </c>
      <c r="K177" s="127">
        <v>45757</v>
      </c>
      <c r="L177" s="126" t="s">
        <v>5709</v>
      </c>
      <c r="M177" s="126" t="s">
        <v>69</v>
      </c>
      <c r="N177" s="126" t="s">
        <v>5834</v>
      </c>
      <c r="O177" s="263" t="s">
        <v>5835</v>
      </c>
      <c r="P177" s="128" t="s">
        <v>24</v>
      </c>
      <c r="Q177" s="246" t="s">
        <v>49</v>
      </c>
      <c r="R177" s="132" t="s">
        <v>3602</v>
      </c>
      <c r="S177" s="132" t="s">
        <v>3724</v>
      </c>
      <c r="T177" s="252"/>
    </row>
    <row r="178" spans="1:20" ht="30" customHeight="1">
      <c r="A178" s="143">
        <v>176</v>
      </c>
      <c r="B178" s="126" t="s">
        <v>2050</v>
      </c>
      <c r="C178" s="126" t="s">
        <v>5613</v>
      </c>
      <c r="D178" s="126" t="s">
        <v>1911</v>
      </c>
      <c r="E178" s="126" t="s">
        <v>3651</v>
      </c>
      <c r="F178" s="126" t="s">
        <v>3604</v>
      </c>
      <c r="G178" s="126" t="s">
        <v>0</v>
      </c>
      <c r="H178" s="126" t="s">
        <v>3608</v>
      </c>
      <c r="I178" s="126" t="s">
        <v>5561</v>
      </c>
      <c r="J178" s="126" t="s">
        <v>2880</v>
      </c>
      <c r="K178" s="127">
        <v>45757</v>
      </c>
      <c r="L178" s="126" t="s">
        <v>5836</v>
      </c>
      <c r="M178" s="126" t="s">
        <v>651</v>
      </c>
      <c r="N178" s="126" t="s">
        <v>5837</v>
      </c>
      <c r="O178" s="263" t="s">
        <v>5838</v>
      </c>
      <c r="P178" s="128" t="s">
        <v>24</v>
      </c>
      <c r="Q178" s="246" t="s">
        <v>49</v>
      </c>
      <c r="R178" s="255" t="s">
        <v>3612</v>
      </c>
      <c r="S178" s="132" t="s">
        <v>3612</v>
      </c>
      <c r="T178" s="252"/>
    </row>
    <row r="179" spans="1:20" ht="30" customHeight="1">
      <c r="A179" s="143">
        <v>177</v>
      </c>
      <c r="B179" s="126" t="s">
        <v>2050</v>
      </c>
      <c r="C179" s="126" t="s">
        <v>5613</v>
      </c>
      <c r="D179" s="126" t="s">
        <v>1911</v>
      </c>
      <c r="E179" s="126" t="s">
        <v>3651</v>
      </c>
      <c r="F179" s="126" t="s">
        <v>3604</v>
      </c>
      <c r="G179" s="126" t="s">
        <v>0</v>
      </c>
      <c r="H179" s="126" t="s">
        <v>3608</v>
      </c>
      <c r="I179" s="126" t="s">
        <v>5561</v>
      </c>
      <c r="J179" s="126" t="s">
        <v>2679</v>
      </c>
      <c r="K179" s="127">
        <v>45757</v>
      </c>
      <c r="L179" s="126" t="s">
        <v>5836</v>
      </c>
      <c r="M179" s="126" t="s">
        <v>651</v>
      </c>
      <c r="N179" s="126" t="s">
        <v>5839</v>
      </c>
      <c r="O179" s="263" t="s">
        <v>5058</v>
      </c>
      <c r="P179" s="128" t="s">
        <v>24</v>
      </c>
      <c r="Q179" s="246" t="s">
        <v>49</v>
      </c>
      <c r="R179" s="255" t="s">
        <v>3612</v>
      </c>
      <c r="S179" s="132" t="s">
        <v>3612</v>
      </c>
      <c r="T179" s="252"/>
    </row>
    <row r="180" spans="1:20" ht="30" customHeight="1">
      <c r="A180" s="143">
        <v>178</v>
      </c>
      <c r="B180" s="126" t="s">
        <v>2049</v>
      </c>
      <c r="C180" s="126" t="s">
        <v>5699</v>
      </c>
      <c r="D180" s="126" t="s">
        <v>1476</v>
      </c>
      <c r="E180" s="126" t="s">
        <v>3603</v>
      </c>
      <c r="F180" s="126" t="s">
        <v>3604</v>
      </c>
      <c r="G180" s="126" t="s">
        <v>0</v>
      </c>
      <c r="H180" s="126" t="s">
        <v>3614</v>
      </c>
      <c r="I180" s="126" t="s">
        <v>3596</v>
      </c>
      <c r="J180" s="126" t="s">
        <v>2880</v>
      </c>
      <c r="K180" s="127">
        <v>45757</v>
      </c>
      <c r="L180" s="126" t="s">
        <v>5478</v>
      </c>
      <c r="M180" s="126" t="s">
        <v>932</v>
      </c>
      <c r="N180" s="126" t="s">
        <v>5486</v>
      </c>
      <c r="O180" s="263" t="s">
        <v>5840</v>
      </c>
      <c r="P180" s="128" t="s">
        <v>45</v>
      </c>
      <c r="Q180" s="246" t="s">
        <v>5481</v>
      </c>
      <c r="R180" s="255" t="s">
        <v>3602</v>
      </c>
      <c r="S180" s="132" t="s">
        <v>3602</v>
      </c>
      <c r="T180" s="252"/>
    </row>
    <row r="181" spans="1:20" ht="30" customHeight="1">
      <c r="A181" s="143">
        <v>179</v>
      </c>
      <c r="B181" s="126" t="s">
        <v>2050</v>
      </c>
      <c r="C181" s="126" t="s">
        <v>5613</v>
      </c>
      <c r="D181" s="126" t="s">
        <v>1911</v>
      </c>
      <c r="E181" s="126" t="s">
        <v>3651</v>
      </c>
      <c r="F181" s="126" t="s">
        <v>3604</v>
      </c>
      <c r="G181" s="126" t="s">
        <v>0</v>
      </c>
      <c r="H181" s="126" t="s">
        <v>3614</v>
      </c>
      <c r="I181" s="126" t="s">
        <v>3596</v>
      </c>
      <c r="J181" s="126" t="s">
        <v>2880</v>
      </c>
      <c r="K181" s="127">
        <v>45757</v>
      </c>
      <c r="L181" s="126" t="s">
        <v>5478</v>
      </c>
      <c r="M181" s="126" t="s">
        <v>932</v>
      </c>
      <c r="N181" s="126" t="s">
        <v>5486</v>
      </c>
      <c r="O181" s="263" t="s">
        <v>5840</v>
      </c>
      <c r="P181" s="128" t="s">
        <v>45</v>
      </c>
      <c r="Q181" s="246" t="s">
        <v>5481</v>
      </c>
      <c r="R181" s="255" t="s">
        <v>3602</v>
      </c>
      <c r="S181" s="132" t="s">
        <v>3602</v>
      </c>
      <c r="T181" s="252"/>
    </row>
    <row r="182" spans="1:20" ht="30" customHeight="1">
      <c r="A182" s="143">
        <v>180</v>
      </c>
      <c r="B182" s="126" t="s">
        <v>2047</v>
      </c>
      <c r="C182" s="126" t="s">
        <v>5841</v>
      </c>
      <c r="D182" s="126" t="s">
        <v>1479</v>
      </c>
      <c r="E182" s="126" t="s">
        <v>3593</v>
      </c>
      <c r="F182" s="126" t="s">
        <v>3594</v>
      </c>
      <c r="G182" s="126" t="s">
        <v>0</v>
      </c>
      <c r="H182" s="126" t="s">
        <v>3614</v>
      </c>
      <c r="I182" s="126" t="s">
        <v>3596</v>
      </c>
      <c r="J182" s="126" t="s">
        <v>5463</v>
      </c>
      <c r="K182" s="127">
        <v>45757</v>
      </c>
      <c r="L182" s="126" t="s">
        <v>5478</v>
      </c>
      <c r="M182" s="126" t="s">
        <v>932</v>
      </c>
      <c r="N182" s="126" t="s">
        <v>5486</v>
      </c>
      <c r="O182" s="263" t="s">
        <v>5842</v>
      </c>
      <c r="P182" s="128" t="s">
        <v>45</v>
      </c>
      <c r="Q182" s="246" t="s">
        <v>5481</v>
      </c>
      <c r="R182" s="255" t="s">
        <v>3656</v>
      </c>
      <c r="S182" s="132" t="s">
        <v>5568</v>
      </c>
      <c r="T182" s="252"/>
    </row>
    <row r="183" spans="1:20" ht="30" customHeight="1">
      <c r="A183" s="143">
        <v>181</v>
      </c>
      <c r="B183" s="126" t="s">
        <v>2050</v>
      </c>
      <c r="C183" s="126" t="s">
        <v>5613</v>
      </c>
      <c r="D183" s="126" t="s">
        <v>1911</v>
      </c>
      <c r="E183" s="126" t="s">
        <v>3651</v>
      </c>
      <c r="F183" s="126" t="s">
        <v>3604</v>
      </c>
      <c r="G183" s="126" t="s">
        <v>0</v>
      </c>
      <c r="H183" s="126" t="s">
        <v>3614</v>
      </c>
      <c r="I183" s="126" t="s">
        <v>3596</v>
      </c>
      <c r="J183" s="126" t="s">
        <v>2880</v>
      </c>
      <c r="K183" s="127">
        <v>45757</v>
      </c>
      <c r="L183" s="126" t="s">
        <v>5748</v>
      </c>
      <c r="M183" s="126" t="s">
        <v>1343</v>
      </c>
      <c r="N183" s="126" t="s">
        <v>5843</v>
      </c>
      <c r="O183" s="263" t="s">
        <v>5844</v>
      </c>
      <c r="P183" s="128" t="s">
        <v>45</v>
      </c>
      <c r="Q183" s="246" t="s">
        <v>5481</v>
      </c>
      <c r="R183" s="255" t="s">
        <v>3602</v>
      </c>
      <c r="S183" s="132" t="s">
        <v>3602</v>
      </c>
      <c r="T183" s="252"/>
    </row>
    <row r="184" spans="1:20" ht="30" customHeight="1">
      <c r="A184" s="143">
        <v>182</v>
      </c>
      <c r="B184" s="126" t="s">
        <v>2051</v>
      </c>
      <c r="C184" s="126" t="s">
        <v>5613</v>
      </c>
      <c r="D184" s="126" t="s">
        <v>1911</v>
      </c>
      <c r="E184" s="126" t="s">
        <v>3651</v>
      </c>
      <c r="F184" s="126" t="s">
        <v>3604</v>
      </c>
      <c r="G184" s="126" t="s">
        <v>0</v>
      </c>
      <c r="H184" s="126" t="s">
        <v>3614</v>
      </c>
      <c r="I184" s="126" t="s">
        <v>3596</v>
      </c>
      <c r="J184" s="126" t="s">
        <v>2679</v>
      </c>
      <c r="K184" s="127">
        <v>45757</v>
      </c>
      <c r="L184" s="126" t="s">
        <v>5845</v>
      </c>
      <c r="M184" s="126" t="s">
        <v>1343</v>
      </c>
      <c r="N184" s="126" t="s">
        <v>5846</v>
      </c>
      <c r="O184" s="263" t="s">
        <v>5847</v>
      </c>
      <c r="P184" s="128" t="s">
        <v>1463</v>
      </c>
      <c r="Q184" s="246" t="s">
        <v>54</v>
      </c>
      <c r="R184" s="255" t="s">
        <v>3602</v>
      </c>
      <c r="S184" s="132" t="s">
        <v>3602</v>
      </c>
      <c r="T184" s="252"/>
    </row>
    <row r="185" spans="1:20" ht="30" customHeight="1">
      <c r="A185" s="143">
        <v>183</v>
      </c>
      <c r="B185" s="126" t="s">
        <v>2057</v>
      </c>
      <c r="C185" s="126" t="s">
        <v>5610</v>
      </c>
      <c r="D185" s="126" t="s">
        <v>1476</v>
      </c>
      <c r="E185" s="126" t="s">
        <v>3603</v>
      </c>
      <c r="F185" s="126" t="s">
        <v>3604</v>
      </c>
      <c r="G185" s="126" t="s">
        <v>0</v>
      </c>
      <c r="H185" s="126" t="s">
        <v>3595</v>
      </c>
      <c r="I185" s="126" t="s">
        <v>3596</v>
      </c>
      <c r="J185" s="126" t="s">
        <v>2679</v>
      </c>
      <c r="K185" s="127">
        <v>45758</v>
      </c>
      <c r="L185" s="126" t="s">
        <v>5848</v>
      </c>
      <c r="M185" s="126" t="s">
        <v>680</v>
      </c>
      <c r="N185" s="126" t="s">
        <v>5497</v>
      </c>
      <c r="O185" s="263" t="s">
        <v>5849</v>
      </c>
      <c r="P185" s="128" t="s">
        <v>5811</v>
      </c>
      <c r="Q185" s="246" t="s">
        <v>49</v>
      </c>
      <c r="R185" s="132" t="s">
        <v>3666</v>
      </c>
      <c r="S185" s="132" t="s">
        <v>3768</v>
      </c>
      <c r="T185" s="252"/>
    </row>
    <row r="186" spans="1:20" ht="30" customHeight="1">
      <c r="A186" s="143">
        <v>184</v>
      </c>
      <c r="B186" s="126" t="s">
        <v>2057</v>
      </c>
      <c r="C186" s="126" t="s">
        <v>5610</v>
      </c>
      <c r="D186" s="126" t="s">
        <v>1476</v>
      </c>
      <c r="E186" s="126" t="s">
        <v>3603</v>
      </c>
      <c r="F186" s="126" t="s">
        <v>3604</v>
      </c>
      <c r="G186" s="126" t="s">
        <v>0</v>
      </c>
      <c r="H186" s="126" t="s">
        <v>3614</v>
      </c>
      <c r="I186" s="126" t="s">
        <v>3596</v>
      </c>
      <c r="J186" s="126" t="s">
        <v>2679</v>
      </c>
      <c r="K186" s="127">
        <v>45758</v>
      </c>
      <c r="L186" s="126" t="s">
        <v>5478</v>
      </c>
      <c r="M186" s="126" t="s">
        <v>932</v>
      </c>
      <c r="N186" s="126" t="s">
        <v>5486</v>
      </c>
      <c r="O186" s="263" t="s">
        <v>5850</v>
      </c>
      <c r="P186" s="128" t="s">
        <v>45</v>
      </c>
      <c r="Q186" s="246" t="s">
        <v>5481</v>
      </c>
      <c r="R186" s="255" t="s">
        <v>3666</v>
      </c>
      <c r="S186" s="132" t="s">
        <v>3904</v>
      </c>
      <c r="T186" s="252"/>
    </row>
    <row r="187" spans="1:20" ht="30" customHeight="1">
      <c r="A187" s="143">
        <v>185</v>
      </c>
      <c r="B187" s="126" t="s">
        <v>2057</v>
      </c>
      <c r="C187" s="126" t="s">
        <v>5610</v>
      </c>
      <c r="D187" s="126" t="s">
        <v>1476</v>
      </c>
      <c r="E187" s="126" t="s">
        <v>3603</v>
      </c>
      <c r="F187" s="126" t="s">
        <v>3604</v>
      </c>
      <c r="G187" s="126" t="s">
        <v>0</v>
      </c>
      <c r="H187" s="126" t="s">
        <v>3614</v>
      </c>
      <c r="I187" s="126" t="s">
        <v>3596</v>
      </c>
      <c r="J187" s="126" t="s">
        <v>2880</v>
      </c>
      <c r="K187" s="127">
        <v>45758</v>
      </c>
      <c r="L187" s="126" t="s">
        <v>5478</v>
      </c>
      <c r="M187" s="126" t="s">
        <v>932</v>
      </c>
      <c r="N187" s="126" t="s">
        <v>5486</v>
      </c>
      <c r="O187" s="263" t="s">
        <v>5851</v>
      </c>
      <c r="P187" s="128" t="s">
        <v>45</v>
      </c>
      <c r="Q187" s="246" t="s">
        <v>5481</v>
      </c>
      <c r="R187" s="255" t="s">
        <v>3666</v>
      </c>
      <c r="S187" s="132" t="s">
        <v>3768</v>
      </c>
      <c r="T187" s="252"/>
    </row>
    <row r="188" spans="1:20" ht="30" customHeight="1">
      <c r="A188" s="143">
        <v>186</v>
      </c>
      <c r="B188" s="126" t="s">
        <v>2053</v>
      </c>
      <c r="C188" s="126" t="s">
        <v>5503</v>
      </c>
      <c r="D188" s="126" t="s">
        <v>1476</v>
      </c>
      <c r="E188" s="126" t="s">
        <v>3593</v>
      </c>
      <c r="F188" s="126" t="s">
        <v>3619</v>
      </c>
      <c r="G188" s="126" t="s">
        <v>0</v>
      </c>
      <c r="H188" s="126" t="s">
        <v>3614</v>
      </c>
      <c r="I188" s="126" t="s">
        <v>3596</v>
      </c>
      <c r="J188" s="126" t="s">
        <v>2679</v>
      </c>
      <c r="K188" s="127">
        <v>45758</v>
      </c>
      <c r="L188" s="126" t="s">
        <v>5478</v>
      </c>
      <c r="M188" s="126" t="s">
        <v>932</v>
      </c>
      <c r="N188" s="126" t="s">
        <v>5486</v>
      </c>
      <c r="O188" s="263" t="s">
        <v>5852</v>
      </c>
      <c r="P188" s="128" t="s">
        <v>45</v>
      </c>
      <c r="Q188" s="246" t="s">
        <v>5481</v>
      </c>
      <c r="R188" s="255" t="s">
        <v>3656</v>
      </c>
      <c r="S188" s="132" t="s">
        <v>5801</v>
      </c>
      <c r="T188" s="252"/>
    </row>
    <row r="189" spans="1:20" ht="30" customHeight="1">
      <c r="A189" s="143">
        <v>187</v>
      </c>
      <c r="B189" s="126" t="s">
        <v>2062</v>
      </c>
      <c r="C189" s="126" t="s">
        <v>5853</v>
      </c>
      <c r="D189" s="126" t="s">
        <v>1476</v>
      </c>
      <c r="E189" s="126" t="s">
        <v>3603</v>
      </c>
      <c r="F189" s="126" t="s">
        <v>3619</v>
      </c>
      <c r="G189" s="126" t="s">
        <v>0</v>
      </c>
      <c r="H189" s="126" t="s">
        <v>3595</v>
      </c>
      <c r="I189" s="126" t="s">
        <v>3596</v>
      </c>
      <c r="J189" s="126" t="s">
        <v>2880</v>
      </c>
      <c r="K189" s="127">
        <v>45762</v>
      </c>
      <c r="L189" s="126" t="s">
        <v>5848</v>
      </c>
      <c r="M189" s="126" t="s">
        <v>680</v>
      </c>
      <c r="N189" s="126" t="s">
        <v>5854</v>
      </c>
      <c r="O189" s="263" t="s">
        <v>5855</v>
      </c>
      <c r="P189" s="128" t="s">
        <v>1463</v>
      </c>
      <c r="Q189" s="246" t="s">
        <v>49</v>
      </c>
      <c r="R189" s="132" t="s">
        <v>3714</v>
      </c>
      <c r="S189" s="132" t="s">
        <v>3904</v>
      </c>
      <c r="T189" s="252"/>
    </row>
    <row r="190" spans="1:20" ht="30" customHeight="1">
      <c r="A190" s="143">
        <v>188</v>
      </c>
      <c r="B190" s="126" t="s">
        <v>2072</v>
      </c>
      <c r="C190" s="126" t="s">
        <v>5841</v>
      </c>
      <c r="D190" s="126" t="s">
        <v>1479</v>
      </c>
      <c r="E190" s="126" t="s">
        <v>3593</v>
      </c>
      <c r="F190" s="126" t="s">
        <v>3604</v>
      </c>
      <c r="G190" s="126" t="s">
        <v>0</v>
      </c>
      <c r="H190" s="126" t="s">
        <v>3614</v>
      </c>
      <c r="I190" s="126" t="s">
        <v>3596</v>
      </c>
      <c r="J190" s="126" t="s">
        <v>5463</v>
      </c>
      <c r="K190" s="127">
        <v>45763</v>
      </c>
      <c r="L190" s="126" t="s">
        <v>5478</v>
      </c>
      <c r="M190" s="126" t="s">
        <v>932</v>
      </c>
      <c r="N190" s="126" t="s">
        <v>5486</v>
      </c>
      <c r="O190" s="263" t="s">
        <v>5856</v>
      </c>
      <c r="P190" s="128" t="s">
        <v>45</v>
      </c>
      <c r="Q190" s="246" t="s">
        <v>5481</v>
      </c>
      <c r="R190" s="255" t="s">
        <v>3656</v>
      </c>
      <c r="S190" s="132" t="s">
        <v>5568</v>
      </c>
      <c r="T190" s="252"/>
    </row>
    <row r="191" spans="1:20" ht="30" customHeight="1">
      <c r="A191" s="143">
        <v>189</v>
      </c>
      <c r="B191" s="126" t="s">
        <v>2078</v>
      </c>
      <c r="C191" s="126" t="s">
        <v>5857</v>
      </c>
      <c r="D191" s="126" t="s">
        <v>2184</v>
      </c>
      <c r="E191" s="126" t="s">
        <v>3651</v>
      </c>
      <c r="F191" s="126" t="s">
        <v>3594</v>
      </c>
      <c r="G191" s="126" t="s">
        <v>0</v>
      </c>
      <c r="H191" s="126" t="s">
        <v>3595</v>
      </c>
      <c r="I191" s="126" t="s">
        <v>3596</v>
      </c>
      <c r="J191" s="126" t="s">
        <v>5463</v>
      </c>
      <c r="K191" s="127">
        <v>45764</v>
      </c>
      <c r="L191" s="126" t="s">
        <v>5858</v>
      </c>
      <c r="M191" s="126" t="s">
        <v>680</v>
      </c>
      <c r="N191" s="126" t="s">
        <v>5854</v>
      </c>
      <c r="O191" s="263" t="s">
        <v>5859</v>
      </c>
      <c r="P191" s="128" t="s">
        <v>30</v>
      </c>
      <c r="Q191" s="246" t="s">
        <v>49</v>
      </c>
      <c r="R191" s="132" t="s">
        <v>3602</v>
      </c>
      <c r="S191" s="132" t="s">
        <v>3602</v>
      </c>
      <c r="T191" s="252"/>
    </row>
    <row r="192" spans="1:20" ht="30" customHeight="1">
      <c r="A192" s="143">
        <v>190</v>
      </c>
      <c r="B192" s="126" t="s">
        <v>2074</v>
      </c>
      <c r="C192" s="126" t="s">
        <v>5751</v>
      </c>
      <c r="D192" s="126" t="s">
        <v>1476</v>
      </c>
      <c r="E192" s="126" t="s">
        <v>3593</v>
      </c>
      <c r="F192" s="126" t="s">
        <v>3619</v>
      </c>
      <c r="G192" s="126" t="s">
        <v>0</v>
      </c>
      <c r="H192" s="126" t="s">
        <v>3595</v>
      </c>
      <c r="I192" s="126" t="s">
        <v>3596</v>
      </c>
      <c r="J192" s="126" t="s">
        <v>2679</v>
      </c>
      <c r="K192" s="127">
        <v>45764</v>
      </c>
      <c r="L192" s="126" t="s">
        <v>5860</v>
      </c>
      <c r="M192" s="126" t="s">
        <v>753</v>
      </c>
      <c r="N192" s="126" t="s">
        <v>5861</v>
      </c>
      <c r="O192" s="263" t="s">
        <v>5862</v>
      </c>
      <c r="P192" s="128" t="s">
        <v>45</v>
      </c>
      <c r="Q192" s="246" t="s">
        <v>49</v>
      </c>
      <c r="R192" s="132" t="s">
        <v>3656</v>
      </c>
      <c r="S192" s="132" t="s">
        <v>3656</v>
      </c>
      <c r="T192" s="252"/>
    </row>
    <row r="193" spans="1:20" ht="30" customHeight="1">
      <c r="A193" s="143">
        <v>191</v>
      </c>
      <c r="B193" s="126" t="s">
        <v>2081</v>
      </c>
      <c r="C193" s="126" t="s">
        <v>5699</v>
      </c>
      <c r="D193" s="126" t="s">
        <v>1476</v>
      </c>
      <c r="E193" s="126" t="s">
        <v>3603</v>
      </c>
      <c r="F193" s="126" t="s">
        <v>3619</v>
      </c>
      <c r="G193" s="126" t="s">
        <v>0</v>
      </c>
      <c r="H193" s="126" t="s">
        <v>3614</v>
      </c>
      <c r="I193" s="126" t="s">
        <v>3596</v>
      </c>
      <c r="J193" s="126" t="s">
        <v>2880</v>
      </c>
      <c r="K193" s="127">
        <v>45765</v>
      </c>
      <c r="L193" s="126" t="s">
        <v>5478</v>
      </c>
      <c r="M193" s="126" t="s">
        <v>932</v>
      </c>
      <c r="N193" s="126" t="s">
        <v>5486</v>
      </c>
      <c r="O193" s="263" t="s">
        <v>5863</v>
      </c>
      <c r="P193" s="128" t="s">
        <v>45</v>
      </c>
      <c r="Q193" s="246" t="s">
        <v>5481</v>
      </c>
      <c r="R193" s="255" t="s">
        <v>3714</v>
      </c>
      <c r="S193" s="132" t="s">
        <v>3666</v>
      </c>
      <c r="T193" s="252"/>
    </row>
    <row r="194" spans="1:20" ht="30" customHeight="1">
      <c r="A194" s="143">
        <v>192</v>
      </c>
      <c r="B194" s="126" t="s">
        <v>2081</v>
      </c>
      <c r="C194" s="126" t="s">
        <v>5699</v>
      </c>
      <c r="D194" s="126" t="s">
        <v>1476</v>
      </c>
      <c r="E194" s="126" t="s">
        <v>3603</v>
      </c>
      <c r="F194" s="126" t="s">
        <v>3619</v>
      </c>
      <c r="G194" s="126" t="s">
        <v>0</v>
      </c>
      <c r="H194" s="126" t="s">
        <v>3614</v>
      </c>
      <c r="I194" s="126" t="s">
        <v>3596</v>
      </c>
      <c r="J194" s="126" t="s">
        <v>2880</v>
      </c>
      <c r="K194" s="127">
        <v>45765</v>
      </c>
      <c r="L194" s="126" t="s">
        <v>5478</v>
      </c>
      <c r="M194" s="126" t="s">
        <v>932</v>
      </c>
      <c r="N194" s="126" t="s">
        <v>5486</v>
      </c>
      <c r="O194" s="263" t="s">
        <v>5864</v>
      </c>
      <c r="P194" s="128" t="s">
        <v>45</v>
      </c>
      <c r="Q194" s="246" t="s">
        <v>5481</v>
      </c>
      <c r="R194" s="255" t="s">
        <v>3714</v>
      </c>
      <c r="S194" s="132" t="s">
        <v>3666</v>
      </c>
      <c r="T194" s="252"/>
    </row>
    <row r="195" spans="1:20" ht="30" customHeight="1">
      <c r="A195" s="143">
        <v>193</v>
      </c>
      <c r="B195" s="126" t="s">
        <v>2089</v>
      </c>
      <c r="C195" s="126" t="s">
        <v>5742</v>
      </c>
      <c r="D195" s="126" t="s">
        <v>1911</v>
      </c>
      <c r="E195" s="126" t="s">
        <v>3651</v>
      </c>
      <c r="F195" s="126" t="s">
        <v>3619</v>
      </c>
      <c r="G195" s="126" t="s">
        <v>0</v>
      </c>
      <c r="H195" s="126" t="s">
        <v>3595</v>
      </c>
      <c r="I195" s="126" t="s">
        <v>3596</v>
      </c>
      <c r="J195" s="126" t="s">
        <v>2880</v>
      </c>
      <c r="K195" s="127">
        <v>45768</v>
      </c>
      <c r="L195" s="126" t="s">
        <v>5743</v>
      </c>
      <c r="M195" s="126" t="s">
        <v>3597</v>
      </c>
      <c r="N195" s="126" t="s">
        <v>5518</v>
      </c>
      <c r="O195" s="263" t="s">
        <v>5865</v>
      </c>
      <c r="P195" s="128" t="s">
        <v>1463</v>
      </c>
      <c r="Q195" s="246" t="s">
        <v>49</v>
      </c>
      <c r="R195" s="132" t="s">
        <v>3602</v>
      </c>
      <c r="S195" s="132" t="s">
        <v>5746</v>
      </c>
      <c r="T195" s="252"/>
    </row>
    <row r="196" spans="1:20" ht="30" customHeight="1">
      <c r="A196" s="143">
        <v>194</v>
      </c>
      <c r="B196" s="126" t="s">
        <v>2091</v>
      </c>
      <c r="C196" s="126" t="s">
        <v>5857</v>
      </c>
      <c r="D196" s="126" t="s">
        <v>2184</v>
      </c>
      <c r="E196" s="126" t="s">
        <v>3651</v>
      </c>
      <c r="F196" s="126" t="s">
        <v>3594</v>
      </c>
      <c r="G196" s="126" t="s">
        <v>0</v>
      </c>
      <c r="H196" s="126" t="s">
        <v>3595</v>
      </c>
      <c r="I196" s="126" t="s">
        <v>3596</v>
      </c>
      <c r="J196" s="126" t="s">
        <v>5463</v>
      </c>
      <c r="K196" s="127">
        <v>45768</v>
      </c>
      <c r="L196" s="126" t="s">
        <v>5866</v>
      </c>
      <c r="M196" s="126" t="s">
        <v>3597</v>
      </c>
      <c r="N196" s="126" t="s">
        <v>5518</v>
      </c>
      <c r="O196" s="263" t="s">
        <v>5865</v>
      </c>
      <c r="P196" s="128" t="s">
        <v>1463</v>
      </c>
      <c r="Q196" s="246" t="s">
        <v>49</v>
      </c>
      <c r="R196" s="132" t="s">
        <v>3602</v>
      </c>
      <c r="S196" s="132" t="s">
        <v>5746</v>
      </c>
      <c r="T196" s="252"/>
    </row>
    <row r="197" spans="1:20" ht="30" customHeight="1">
      <c r="A197" s="143">
        <v>195</v>
      </c>
      <c r="B197" s="126" t="s">
        <v>2090</v>
      </c>
      <c r="C197" s="126" t="s">
        <v>5786</v>
      </c>
      <c r="D197" s="126" t="s">
        <v>1476</v>
      </c>
      <c r="E197" s="126" t="s">
        <v>3593</v>
      </c>
      <c r="F197" s="126" t="s">
        <v>3594</v>
      </c>
      <c r="G197" s="126" t="s">
        <v>0</v>
      </c>
      <c r="H197" s="126" t="s">
        <v>3614</v>
      </c>
      <c r="I197" s="126" t="s">
        <v>3596</v>
      </c>
      <c r="J197" s="126" t="s">
        <v>2679</v>
      </c>
      <c r="K197" s="127">
        <v>45768</v>
      </c>
      <c r="L197" s="126" t="s">
        <v>5478</v>
      </c>
      <c r="M197" s="126" t="s">
        <v>932</v>
      </c>
      <c r="N197" s="126" t="s">
        <v>5486</v>
      </c>
      <c r="O197" s="263" t="s">
        <v>5867</v>
      </c>
      <c r="P197" s="128" t="s">
        <v>45</v>
      </c>
      <c r="Q197" s="246" t="s">
        <v>5481</v>
      </c>
      <c r="R197" s="255" t="s">
        <v>3656</v>
      </c>
      <c r="S197" s="132" t="s">
        <v>3987</v>
      </c>
      <c r="T197" s="252"/>
    </row>
    <row r="198" spans="1:20" ht="30" customHeight="1">
      <c r="A198" s="143">
        <v>196</v>
      </c>
      <c r="B198" s="126" t="s">
        <v>2107</v>
      </c>
      <c r="C198" s="126" t="s">
        <v>5868</v>
      </c>
      <c r="D198" s="126" t="s">
        <v>1476</v>
      </c>
      <c r="E198" s="126" t="s">
        <v>3603</v>
      </c>
      <c r="F198" s="126" t="s">
        <v>3604</v>
      </c>
      <c r="G198" s="126" t="s">
        <v>0</v>
      </c>
      <c r="H198" s="126" t="s">
        <v>3595</v>
      </c>
      <c r="I198" s="126" t="s">
        <v>3596</v>
      </c>
      <c r="J198" s="126" t="s">
        <v>2880</v>
      </c>
      <c r="K198" s="127">
        <v>45770</v>
      </c>
      <c r="L198" s="126" t="s">
        <v>5657</v>
      </c>
      <c r="M198" s="126" t="s">
        <v>438</v>
      </c>
      <c r="N198" s="126" t="s">
        <v>5869</v>
      </c>
      <c r="O198" s="263" t="s">
        <v>5869</v>
      </c>
      <c r="P198" s="128" t="s">
        <v>1463</v>
      </c>
      <c r="Q198" s="246" t="s">
        <v>49</v>
      </c>
      <c r="R198" s="132" t="s">
        <v>3666</v>
      </c>
      <c r="S198" s="255" t="s">
        <v>3666</v>
      </c>
      <c r="T198" s="252"/>
    </row>
    <row r="199" spans="1:20" ht="30" customHeight="1">
      <c r="A199" s="143">
        <v>197</v>
      </c>
      <c r="B199" s="126" t="s">
        <v>2106</v>
      </c>
      <c r="C199" s="126" t="s">
        <v>5868</v>
      </c>
      <c r="D199" s="126" t="s">
        <v>1476</v>
      </c>
      <c r="E199" s="126" t="s">
        <v>3603</v>
      </c>
      <c r="F199" s="126" t="s">
        <v>3604</v>
      </c>
      <c r="G199" s="126" t="s">
        <v>0</v>
      </c>
      <c r="H199" s="126" t="s">
        <v>3595</v>
      </c>
      <c r="I199" s="126" t="s">
        <v>3596</v>
      </c>
      <c r="J199" s="126" t="s">
        <v>2679</v>
      </c>
      <c r="K199" s="127">
        <v>45770</v>
      </c>
      <c r="L199" s="126" t="s">
        <v>5870</v>
      </c>
      <c r="M199" s="126" t="s">
        <v>1049</v>
      </c>
      <c r="N199" s="126" t="s">
        <v>5871</v>
      </c>
      <c r="O199" s="263" t="s">
        <v>5872</v>
      </c>
      <c r="P199" s="128" t="s">
        <v>1463</v>
      </c>
      <c r="Q199" s="246" t="s">
        <v>49</v>
      </c>
      <c r="R199" s="132" t="s">
        <v>3666</v>
      </c>
      <c r="S199" s="133" t="s">
        <v>5612</v>
      </c>
      <c r="T199" s="252"/>
    </row>
    <row r="200" spans="1:20" ht="30" customHeight="1">
      <c r="A200" s="143">
        <v>198</v>
      </c>
      <c r="B200" s="126" t="s">
        <v>2107</v>
      </c>
      <c r="C200" s="126" t="s">
        <v>5868</v>
      </c>
      <c r="D200" s="126" t="s">
        <v>1476</v>
      </c>
      <c r="E200" s="126" t="s">
        <v>3603</v>
      </c>
      <c r="F200" s="126" t="s">
        <v>3604</v>
      </c>
      <c r="G200" s="126" t="s">
        <v>0</v>
      </c>
      <c r="H200" s="126" t="s">
        <v>3614</v>
      </c>
      <c r="I200" s="126" t="s">
        <v>3596</v>
      </c>
      <c r="J200" s="126" t="s">
        <v>2679</v>
      </c>
      <c r="K200" s="127">
        <v>45770</v>
      </c>
      <c r="L200" s="126" t="s">
        <v>5563</v>
      </c>
      <c r="M200" s="126" t="s">
        <v>735</v>
      </c>
      <c r="N200" s="126" t="s">
        <v>5564</v>
      </c>
      <c r="O200" s="263" t="s">
        <v>5795</v>
      </c>
      <c r="P200" s="128" t="s">
        <v>45</v>
      </c>
      <c r="Q200" s="246" t="s">
        <v>5481</v>
      </c>
      <c r="R200" s="255" t="s">
        <v>3666</v>
      </c>
      <c r="S200" s="133" t="s">
        <v>3768</v>
      </c>
      <c r="T200" s="252"/>
    </row>
    <row r="201" spans="1:20" ht="30" customHeight="1">
      <c r="A201" s="143">
        <v>199</v>
      </c>
      <c r="B201" s="126" t="s">
        <v>2106</v>
      </c>
      <c r="C201" s="126" t="s">
        <v>5868</v>
      </c>
      <c r="D201" s="126" t="s">
        <v>1476</v>
      </c>
      <c r="E201" s="126" t="s">
        <v>3603</v>
      </c>
      <c r="F201" s="126" t="s">
        <v>3604</v>
      </c>
      <c r="G201" s="126" t="s">
        <v>0</v>
      </c>
      <c r="H201" s="126" t="s">
        <v>3614</v>
      </c>
      <c r="I201" s="126" t="s">
        <v>3596</v>
      </c>
      <c r="J201" s="126" t="s">
        <v>2880</v>
      </c>
      <c r="K201" s="127">
        <v>45770</v>
      </c>
      <c r="L201" s="126" t="s">
        <v>5478</v>
      </c>
      <c r="M201" s="126" t="s">
        <v>932</v>
      </c>
      <c r="N201" s="126" t="s">
        <v>5486</v>
      </c>
      <c r="O201" s="263" t="s">
        <v>5873</v>
      </c>
      <c r="P201" s="128" t="s">
        <v>45</v>
      </c>
      <c r="Q201" s="246" t="s">
        <v>5481</v>
      </c>
      <c r="R201" s="255" t="s">
        <v>3666</v>
      </c>
      <c r="S201" s="133" t="s">
        <v>3768</v>
      </c>
      <c r="T201" s="252"/>
    </row>
    <row r="202" spans="1:20" ht="30" customHeight="1">
      <c r="A202" s="143">
        <v>200</v>
      </c>
      <c r="B202" s="126" t="s">
        <v>2121</v>
      </c>
      <c r="C202" s="126" t="s">
        <v>5613</v>
      </c>
      <c r="D202" s="126" t="s">
        <v>1911</v>
      </c>
      <c r="E202" s="126" t="s">
        <v>3651</v>
      </c>
      <c r="F202" s="126" t="s">
        <v>3604</v>
      </c>
      <c r="G202" s="126" t="s">
        <v>0</v>
      </c>
      <c r="H202" s="126" t="s">
        <v>3595</v>
      </c>
      <c r="I202" s="126" t="s">
        <v>3596</v>
      </c>
      <c r="J202" s="126" t="s">
        <v>2679</v>
      </c>
      <c r="K202" s="127">
        <v>45772</v>
      </c>
      <c r="L202" s="126" t="s">
        <v>5874</v>
      </c>
      <c r="M202" s="126" t="s">
        <v>5875</v>
      </c>
      <c r="N202" s="126" t="s">
        <v>5876</v>
      </c>
      <c r="O202" s="263" t="s">
        <v>5877</v>
      </c>
      <c r="P202" s="128" t="s">
        <v>4091</v>
      </c>
      <c r="Q202" s="246" t="s">
        <v>49</v>
      </c>
      <c r="R202" s="132" t="s">
        <v>3602</v>
      </c>
      <c r="S202" s="132" t="s">
        <v>3602</v>
      </c>
      <c r="T202" s="252"/>
    </row>
    <row r="203" spans="1:20" ht="30" customHeight="1">
      <c r="A203" s="143">
        <v>201</v>
      </c>
      <c r="B203" s="126" t="s">
        <v>2122</v>
      </c>
      <c r="C203" s="126" t="s">
        <v>5613</v>
      </c>
      <c r="D203" s="126" t="s">
        <v>1911</v>
      </c>
      <c r="E203" s="126" t="s">
        <v>3651</v>
      </c>
      <c r="F203" s="126" t="s">
        <v>3604</v>
      </c>
      <c r="G203" s="126" t="s">
        <v>0</v>
      </c>
      <c r="H203" s="126" t="s">
        <v>3595</v>
      </c>
      <c r="I203" s="126" t="s">
        <v>3596</v>
      </c>
      <c r="J203" s="126" t="s">
        <v>2679</v>
      </c>
      <c r="K203" s="127">
        <v>45772</v>
      </c>
      <c r="L203" s="126" t="s">
        <v>5878</v>
      </c>
      <c r="M203" s="130" t="s">
        <v>4095</v>
      </c>
      <c r="N203" s="126" t="s">
        <v>5879</v>
      </c>
      <c r="O203" s="263" t="s">
        <v>5879</v>
      </c>
      <c r="P203" s="128" t="s">
        <v>30</v>
      </c>
      <c r="Q203" s="246" t="s">
        <v>49</v>
      </c>
      <c r="R203" s="132" t="s">
        <v>3602</v>
      </c>
      <c r="S203" s="132" t="s">
        <v>3602</v>
      </c>
      <c r="T203" s="252"/>
    </row>
    <row r="204" spans="1:20" ht="30" customHeight="1">
      <c r="A204" s="143">
        <v>202</v>
      </c>
      <c r="B204" s="126" t="s">
        <v>2117</v>
      </c>
      <c r="C204" s="126" t="s">
        <v>5880</v>
      </c>
      <c r="D204" s="126" t="s">
        <v>1476</v>
      </c>
      <c r="E204" s="126" t="s">
        <v>3593</v>
      </c>
      <c r="F204" s="126" t="s">
        <v>3594</v>
      </c>
      <c r="G204" s="126" t="s">
        <v>0</v>
      </c>
      <c r="H204" s="126" t="s">
        <v>3595</v>
      </c>
      <c r="I204" s="126" t="s">
        <v>3596</v>
      </c>
      <c r="J204" s="126" t="s">
        <v>2880</v>
      </c>
      <c r="K204" s="127">
        <v>45772</v>
      </c>
      <c r="L204" s="126" t="s">
        <v>5881</v>
      </c>
      <c r="M204" s="126" t="s">
        <v>816</v>
      </c>
      <c r="N204" s="126" t="s">
        <v>5882</v>
      </c>
      <c r="O204" s="263" t="s">
        <v>5882</v>
      </c>
      <c r="P204" s="128" t="s">
        <v>24</v>
      </c>
      <c r="Q204" s="246" t="s">
        <v>49</v>
      </c>
      <c r="R204" s="132" t="s">
        <v>3993</v>
      </c>
      <c r="S204" s="132" t="s">
        <v>5712</v>
      </c>
      <c r="T204" s="252"/>
    </row>
    <row r="205" spans="1:20" ht="30" customHeight="1">
      <c r="A205" s="143">
        <v>203</v>
      </c>
      <c r="B205" s="126" t="s">
        <v>2122</v>
      </c>
      <c r="C205" s="126" t="s">
        <v>5613</v>
      </c>
      <c r="D205" s="126" t="s">
        <v>1911</v>
      </c>
      <c r="E205" s="126" t="s">
        <v>3651</v>
      </c>
      <c r="F205" s="126" t="s">
        <v>3604</v>
      </c>
      <c r="G205" s="126" t="s">
        <v>0</v>
      </c>
      <c r="H205" s="126" t="s">
        <v>3614</v>
      </c>
      <c r="I205" s="126" t="s">
        <v>3596</v>
      </c>
      <c r="J205" s="126" t="s">
        <v>2880</v>
      </c>
      <c r="K205" s="127">
        <v>45772</v>
      </c>
      <c r="L205" s="126" t="s">
        <v>5478</v>
      </c>
      <c r="M205" s="126" t="s">
        <v>932</v>
      </c>
      <c r="N205" s="126" t="s">
        <v>5486</v>
      </c>
      <c r="O205" s="263" t="s">
        <v>5883</v>
      </c>
      <c r="P205" s="128" t="s">
        <v>45</v>
      </c>
      <c r="Q205" s="246" t="s">
        <v>5481</v>
      </c>
      <c r="R205" s="255" t="s">
        <v>3602</v>
      </c>
      <c r="S205" s="132" t="s">
        <v>3602</v>
      </c>
      <c r="T205" s="252"/>
    </row>
    <row r="206" spans="1:20" ht="30" customHeight="1">
      <c r="A206" s="143">
        <v>204</v>
      </c>
      <c r="B206" s="126" t="s">
        <v>2121</v>
      </c>
      <c r="C206" s="126" t="s">
        <v>5613</v>
      </c>
      <c r="D206" s="126" t="s">
        <v>1911</v>
      </c>
      <c r="E206" s="126" t="s">
        <v>3651</v>
      </c>
      <c r="F206" s="126" t="s">
        <v>3604</v>
      </c>
      <c r="G206" s="126" t="s">
        <v>0</v>
      </c>
      <c r="H206" s="126" t="s">
        <v>3614</v>
      </c>
      <c r="I206" s="126" t="s">
        <v>3596</v>
      </c>
      <c r="J206" s="126" t="s">
        <v>2679</v>
      </c>
      <c r="K206" s="127">
        <v>45772</v>
      </c>
      <c r="L206" s="126" t="s">
        <v>5478</v>
      </c>
      <c r="M206" s="126" t="s">
        <v>932</v>
      </c>
      <c r="N206" s="126" t="s">
        <v>5486</v>
      </c>
      <c r="O206" s="263" t="s">
        <v>5884</v>
      </c>
      <c r="P206" s="128" t="s">
        <v>45</v>
      </c>
      <c r="Q206" s="246" t="s">
        <v>5481</v>
      </c>
      <c r="R206" s="255" t="s">
        <v>3602</v>
      </c>
      <c r="S206" s="132" t="s">
        <v>3602</v>
      </c>
      <c r="T206" s="252"/>
    </row>
    <row r="207" spans="1:20" ht="30" customHeight="1">
      <c r="A207" s="143">
        <v>205</v>
      </c>
      <c r="B207" s="126" t="s">
        <v>2127</v>
      </c>
      <c r="C207" s="126" t="s">
        <v>5708</v>
      </c>
      <c r="D207" s="126" t="s">
        <v>1476</v>
      </c>
      <c r="E207" s="126" t="s">
        <v>3603</v>
      </c>
      <c r="F207" s="126" t="s">
        <v>3594</v>
      </c>
      <c r="G207" s="126" t="s">
        <v>0</v>
      </c>
      <c r="H207" s="126" t="s">
        <v>3595</v>
      </c>
      <c r="I207" s="126" t="s">
        <v>3596</v>
      </c>
      <c r="J207" s="126" t="s">
        <v>2679</v>
      </c>
      <c r="K207" s="127">
        <v>45775</v>
      </c>
      <c r="L207" s="126" t="s">
        <v>5621</v>
      </c>
      <c r="M207" s="126" t="s">
        <v>143</v>
      </c>
      <c r="N207" s="126" t="s">
        <v>5885</v>
      </c>
      <c r="O207" s="263" t="s">
        <v>5886</v>
      </c>
      <c r="P207" s="128" t="s">
        <v>24</v>
      </c>
      <c r="Q207" s="246" t="s">
        <v>49</v>
      </c>
      <c r="R207" s="132" t="s">
        <v>3666</v>
      </c>
      <c r="S207" s="132" t="s">
        <v>3715</v>
      </c>
      <c r="T207" s="252"/>
    </row>
    <row r="208" spans="1:20" ht="30" customHeight="1">
      <c r="A208" s="143">
        <v>206</v>
      </c>
      <c r="B208" s="126" t="s">
        <v>2126</v>
      </c>
      <c r="C208" s="126" t="s">
        <v>5708</v>
      </c>
      <c r="D208" s="126" t="s">
        <v>1476</v>
      </c>
      <c r="E208" s="126" t="s">
        <v>3603</v>
      </c>
      <c r="F208" s="126" t="s">
        <v>3594</v>
      </c>
      <c r="G208" s="126" t="s">
        <v>0</v>
      </c>
      <c r="H208" s="126" t="s">
        <v>3595</v>
      </c>
      <c r="I208" s="126" t="s">
        <v>3596</v>
      </c>
      <c r="J208" s="126" t="s">
        <v>2679</v>
      </c>
      <c r="K208" s="127">
        <v>45775</v>
      </c>
      <c r="L208" s="126" t="s">
        <v>5531</v>
      </c>
      <c r="M208" s="126" t="s">
        <v>226</v>
      </c>
      <c r="N208" s="126" t="s">
        <v>5887</v>
      </c>
      <c r="O208" s="263" t="s">
        <v>5888</v>
      </c>
      <c r="P208" s="128" t="s">
        <v>24</v>
      </c>
      <c r="Q208" s="246" t="s">
        <v>49</v>
      </c>
      <c r="R208" s="132" t="s">
        <v>3666</v>
      </c>
      <c r="S208" s="132" t="s">
        <v>3715</v>
      </c>
      <c r="T208" s="252"/>
    </row>
    <row r="209" spans="1:21" ht="30" customHeight="1">
      <c r="A209" s="143">
        <v>207</v>
      </c>
      <c r="B209" s="126" t="s">
        <v>2127</v>
      </c>
      <c r="C209" s="126" t="s">
        <v>5708</v>
      </c>
      <c r="D209" s="126" t="s">
        <v>1476</v>
      </c>
      <c r="E209" s="126" t="s">
        <v>3603</v>
      </c>
      <c r="F209" s="126" t="s">
        <v>3594</v>
      </c>
      <c r="G209" s="126" t="s">
        <v>0</v>
      </c>
      <c r="H209" s="126" t="s">
        <v>3595</v>
      </c>
      <c r="I209" s="126" t="s">
        <v>3596</v>
      </c>
      <c r="J209" s="126" t="s">
        <v>2679</v>
      </c>
      <c r="K209" s="127">
        <v>45775</v>
      </c>
      <c r="L209" s="126" t="s">
        <v>5735</v>
      </c>
      <c r="M209" s="126" t="s">
        <v>1049</v>
      </c>
      <c r="N209" s="126" t="s">
        <v>5889</v>
      </c>
      <c r="O209" s="263" t="s">
        <v>5890</v>
      </c>
      <c r="P209" s="128" t="s">
        <v>24</v>
      </c>
      <c r="Q209" s="246" t="s">
        <v>49</v>
      </c>
      <c r="R209" s="132" t="s">
        <v>3666</v>
      </c>
      <c r="S209" s="132" t="s">
        <v>3715</v>
      </c>
      <c r="T209" s="252"/>
    </row>
    <row r="210" spans="1:21" ht="30" customHeight="1">
      <c r="A210" s="143">
        <v>208</v>
      </c>
      <c r="B210" s="126" t="s">
        <v>2126</v>
      </c>
      <c r="C210" s="126" t="s">
        <v>5708</v>
      </c>
      <c r="D210" s="126" t="s">
        <v>1476</v>
      </c>
      <c r="E210" s="126" t="s">
        <v>3603</v>
      </c>
      <c r="F210" s="126" t="s">
        <v>3594</v>
      </c>
      <c r="G210" s="126" t="s">
        <v>0</v>
      </c>
      <c r="H210" s="126" t="s">
        <v>3595</v>
      </c>
      <c r="I210" s="126" t="s">
        <v>3596</v>
      </c>
      <c r="J210" s="126" t="s">
        <v>2679</v>
      </c>
      <c r="K210" s="127">
        <v>45775</v>
      </c>
      <c r="L210" s="126" t="s">
        <v>5735</v>
      </c>
      <c r="M210" s="126" t="s">
        <v>1049</v>
      </c>
      <c r="N210" s="126" t="s">
        <v>5889</v>
      </c>
      <c r="O210" s="263" t="s">
        <v>5890</v>
      </c>
      <c r="P210" s="128" t="s">
        <v>24</v>
      </c>
      <c r="Q210" s="246" t="s">
        <v>49</v>
      </c>
      <c r="R210" s="132" t="s">
        <v>3666</v>
      </c>
      <c r="S210" s="132" t="s">
        <v>3715</v>
      </c>
      <c r="T210" s="252"/>
    </row>
    <row r="211" spans="1:21" ht="30" customHeight="1">
      <c r="A211" s="143">
        <v>209</v>
      </c>
      <c r="B211" s="126" t="s">
        <v>2127</v>
      </c>
      <c r="C211" s="126" t="s">
        <v>5708</v>
      </c>
      <c r="D211" s="126" t="s">
        <v>1476</v>
      </c>
      <c r="E211" s="126" t="s">
        <v>3603</v>
      </c>
      <c r="F211" s="126" t="s">
        <v>3594</v>
      </c>
      <c r="G211" s="126" t="s">
        <v>0</v>
      </c>
      <c r="H211" s="126" t="s">
        <v>3595</v>
      </c>
      <c r="I211" s="126" t="s">
        <v>3596</v>
      </c>
      <c r="J211" s="126" t="s">
        <v>2679</v>
      </c>
      <c r="K211" s="127">
        <v>45775</v>
      </c>
      <c r="L211" s="126" t="s">
        <v>5891</v>
      </c>
      <c r="M211" s="126" t="s">
        <v>953</v>
      </c>
      <c r="N211" s="126" t="s">
        <v>5490</v>
      </c>
      <c r="O211" s="263" t="s">
        <v>5892</v>
      </c>
      <c r="P211" s="128" t="s">
        <v>3600</v>
      </c>
      <c r="Q211" s="246" t="s">
        <v>54</v>
      </c>
      <c r="R211" s="132" t="s">
        <v>3666</v>
      </c>
      <c r="S211" s="132" t="s">
        <v>3715</v>
      </c>
      <c r="T211" s="252"/>
    </row>
    <row r="212" spans="1:21" ht="30" customHeight="1">
      <c r="A212" s="143">
        <v>210</v>
      </c>
      <c r="B212" s="126" t="s">
        <v>2132</v>
      </c>
      <c r="C212" s="126" t="s">
        <v>5893</v>
      </c>
      <c r="D212" s="126" t="s">
        <v>1476</v>
      </c>
      <c r="E212" s="126" t="s">
        <v>3593</v>
      </c>
      <c r="F212" s="126" t="s">
        <v>3619</v>
      </c>
      <c r="G212" s="126" t="s">
        <v>0</v>
      </c>
      <c r="H212" s="126" t="s">
        <v>3614</v>
      </c>
      <c r="I212" s="126" t="s">
        <v>3596</v>
      </c>
      <c r="J212" s="126" t="s">
        <v>2880</v>
      </c>
      <c r="K212" s="127">
        <v>45776</v>
      </c>
      <c r="L212" s="126" t="s">
        <v>5478</v>
      </c>
      <c r="M212" s="126" t="s">
        <v>932</v>
      </c>
      <c r="N212" s="126" t="s">
        <v>5486</v>
      </c>
      <c r="O212" s="263" t="s">
        <v>5852</v>
      </c>
      <c r="P212" s="128" t="s">
        <v>45</v>
      </c>
      <c r="Q212" s="246" t="s">
        <v>5481</v>
      </c>
      <c r="R212" s="255" t="s">
        <v>3656</v>
      </c>
      <c r="S212" s="132" t="s">
        <v>3656</v>
      </c>
      <c r="T212" s="252"/>
    </row>
    <row r="213" spans="1:21" ht="30" customHeight="1">
      <c r="A213" s="143">
        <v>211</v>
      </c>
      <c r="B213" s="126" t="s">
        <v>2139</v>
      </c>
      <c r="C213" s="126">
        <v>41200034</v>
      </c>
      <c r="D213" s="126" t="s">
        <v>1476</v>
      </c>
      <c r="E213" s="126" t="s">
        <v>3593</v>
      </c>
      <c r="F213" s="126" t="s">
        <v>3619</v>
      </c>
      <c r="G213" s="126" t="s">
        <v>0</v>
      </c>
      <c r="H213" s="126" t="s">
        <v>3595</v>
      </c>
      <c r="I213" s="126" t="s">
        <v>3596</v>
      </c>
      <c r="J213" s="126" t="s">
        <v>2880</v>
      </c>
      <c r="K213" s="127">
        <v>45777</v>
      </c>
      <c r="L213" s="126" t="s">
        <v>5894</v>
      </c>
      <c r="M213" s="126" t="s">
        <v>438</v>
      </c>
      <c r="N213" s="126" t="s">
        <v>5484</v>
      </c>
      <c r="O213" s="130" t="s">
        <v>5895</v>
      </c>
      <c r="P213" s="126" t="s">
        <v>3600</v>
      </c>
      <c r="Q213" s="247" t="s">
        <v>49</v>
      </c>
      <c r="R213" s="132" t="s">
        <v>3674</v>
      </c>
      <c r="S213" s="132" t="s">
        <v>3774</v>
      </c>
      <c r="T213" s="252"/>
    </row>
    <row r="214" spans="1:21" ht="30" customHeight="1">
      <c r="A214" s="143">
        <v>212</v>
      </c>
      <c r="B214" s="126" t="s">
        <v>5896</v>
      </c>
      <c r="C214" s="126">
        <v>41100695</v>
      </c>
      <c r="D214" s="126" t="s">
        <v>5897</v>
      </c>
      <c r="E214" s="126" t="s">
        <v>5898</v>
      </c>
      <c r="F214" s="126" t="s">
        <v>5899</v>
      </c>
      <c r="G214" s="126" t="s">
        <v>5900</v>
      </c>
      <c r="H214" s="126" t="s">
        <v>3595</v>
      </c>
      <c r="I214" s="126" t="s">
        <v>3596</v>
      </c>
      <c r="J214" s="126"/>
      <c r="K214" s="127">
        <v>45784</v>
      </c>
      <c r="L214" s="126" t="s">
        <v>5901</v>
      </c>
      <c r="M214" s="126" t="s">
        <v>5902</v>
      </c>
      <c r="N214" s="264" t="s">
        <v>5903</v>
      </c>
      <c r="O214" s="130" t="s">
        <v>5904</v>
      </c>
      <c r="P214" s="126" t="s">
        <v>3600</v>
      </c>
      <c r="Q214" s="247" t="s">
        <v>54</v>
      </c>
      <c r="R214" s="132" t="s">
        <v>3602</v>
      </c>
      <c r="S214" s="132" t="s">
        <v>4046</v>
      </c>
      <c r="T214" s="252"/>
    </row>
    <row r="215" spans="1:21" ht="30" customHeight="1">
      <c r="A215" s="143">
        <v>213</v>
      </c>
      <c r="B215" s="126" t="s">
        <v>5905</v>
      </c>
      <c r="C215" s="126" t="s">
        <v>5906</v>
      </c>
      <c r="D215" s="126" t="s">
        <v>5010</v>
      </c>
      <c r="E215" s="126" t="s">
        <v>5907</v>
      </c>
      <c r="F215" s="126" t="s">
        <v>5899</v>
      </c>
      <c r="G215" s="126" t="s">
        <v>5900</v>
      </c>
      <c r="H215" s="126" t="s">
        <v>3595</v>
      </c>
      <c r="I215" s="126" t="s">
        <v>3596</v>
      </c>
      <c r="K215" s="127">
        <v>45784</v>
      </c>
      <c r="L215" s="126" t="s">
        <v>5908</v>
      </c>
      <c r="M215" s="126" t="s">
        <v>1049</v>
      </c>
      <c r="N215" s="126" t="s">
        <v>5909</v>
      </c>
      <c r="O215" s="130" t="s">
        <v>5910</v>
      </c>
      <c r="P215" s="126" t="s">
        <v>26</v>
      </c>
      <c r="Q215" s="247" t="s">
        <v>49</v>
      </c>
      <c r="R215" s="132" t="s">
        <v>3666</v>
      </c>
      <c r="S215" s="132" t="s">
        <v>3923</v>
      </c>
      <c r="T215" s="252"/>
    </row>
    <row r="216" spans="1:21" ht="30" customHeight="1">
      <c r="A216" s="143">
        <v>214</v>
      </c>
      <c r="B216" s="126" t="s">
        <v>2153</v>
      </c>
      <c r="C216" s="126" t="s">
        <v>5559</v>
      </c>
      <c r="D216" s="126" t="s">
        <v>1911</v>
      </c>
      <c r="E216" s="126" t="s">
        <v>5898</v>
      </c>
      <c r="F216" s="126" t="s">
        <v>3619</v>
      </c>
      <c r="G216" s="126" t="s">
        <v>5900</v>
      </c>
      <c r="H216" s="126" t="s">
        <v>3608</v>
      </c>
      <c r="I216" s="126" t="s">
        <v>3596</v>
      </c>
      <c r="J216" s="126" t="s">
        <v>5911</v>
      </c>
      <c r="K216" s="127">
        <v>45785</v>
      </c>
      <c r="L216" s="126" t="s">
        <v>5912</v>
      </c>
      <c r="M216" s="126" t="s">
        <v>680</v>
      </c>
      <c r="N216" s="264" t="s">
        <v>5913</v>
      </c>
      <c r="O216" s="130" t="s">
        <v>5914</v>
      </c>
      <c r="P216" s="126" t="s">
        <v>26</v>
      </c>
      <c r="Q216" s="247" t="s">
        <v>49</v>
      </c>
      <c r="R216" s="132" t="s">
        <v>3700</v>
      </c>
      <c r="S216" s="132" t="s">
        <v>3925</v>
      </c>
      <c r="T216" s="252"/>
    </row>
    <row r="217" spans="1:21" ht="30" customHeight="1">
      <c r="A217" s="143">
        <v>215</v>
      </c>
      <c r="B217" s="126" t="s">
        <v>2150</v>
      </c>
      <c r="C217" s="126" t="s">
        <v>5751</v>
      </c>
      <c r="D217" s="126" t="s">
        <v>1476</v>
      </c>
      <c r="E217" s="126" t="s">
        <v>5907</v>
      </c>
      <c r="F217" s="126" t="s">
        <v>3619</v>
      </c>
      <c r="G217" s="126" t="s">
        <v>5900</v>
      </c>
      <c r="H217" s="126" t="s">
        <v>3595</v>
      </c>
      <c r="I217" s="126" t="s">
        <v>3596</v>
      </c>
      <c r="J217" s="126" t="s">
        <v>2880</v>
      </c>
      <c r="K217" s="127">
        <v>45785</v>
      </c>
      <c r="L217" s="126" t="s">
        <v>5915</v>
      </c>
      <c r="M217" s="126" t="s">
        <v>816</v>
      </c>
      <c r="N217" s="264" t="s">
        <v>5916</v>
      </c>
      <c r="O217" s="130" t="s">
        <v>5917</v>
      </c>
      <c r="P217" s="126" t="s">
        <v>26</v>
      </c>
      <c r="Q217" s="247" t="s">
        <v>49</v>
      </c>
      <c r="R217" s="132" t="s">
        <v>3666</v>
      </c>
      <c r="S217" s="132" t="s">
        <v>5918</v>
      </c>
      <c r="T217" s="245"/>
      <c r="U217" s="245"/>
    </row>
    <row r="218" spans="1:21" ht="30" customHeight="1">
      <c r="A218" s="143">
        <v>216</v>
      </c>
      <c r="B218" s="126" t="s">
        <v>2154</v>
      </c>
      <c r="C218" s="126" t="s">
        <v>5503</v>
      </c>
      <c r="D218" s="126" t="s">
        <v>1476</v>
      </c>
      <c r="E218" s="126" t="s">
        <v>5907</v>
      </c>
      <c r="F218" s="126" t="s">
        <v>5899</v>
      </c>
      <c r="G218" s="126" t="s">
        <v>5900</v>
      </c>
      <c r="H218" s="126" t="s">
        <v>3595</v>
      </c>
      <c r="I218" s="126" t="s">
        <v>3596</v>
      </c>
      <c r="J218" s="126" t="s">
        <v>2880</v>
      </c>
      <c r="K218" s="127">
        <v>45785</v>
      </c>
      <c r="L218" s="126" t="s">
        <v>5870</v>
      </c>
      <c r="M218" s="126" t="s">
        <v>1049</v>
      </c>
      <c r="N218" s="264" t="s">
        <v>5919</v>
      </c>
      <c r="O218" s="130" t="s">
        <v>5920</v>
      </c>
      <c r="P218" s="126" t="s">
        <v>26</v>
      </c>
      <c r="Q218" s="247" t="s">
        <v>49</v>
      </c>
      <c r="R218" s="132" t="s">
        <v>3666</v>
      </c>
      <c r="S218" s="132" t="s">
        <v>5612</v>
      </c>
      <c r="T218" s="252"/>
    </row>
    <row r="219" spans="1:21" ht="30" customHeight="1">
      <c r="A219" s="143">
        <v>217</v>
      </c>
      <c r="B219" s="126" t="s">
        <v>2150</v>
      </c>
      <c r="C219" s="126" t="s">
        <v>5751</v>
      </c>
      <c r="D219" s="126" t="s">
        <v>1476</v>
      </c>
      <c r="E219" s="126" t="s">
        <v>5907</v>
      </c>
      <c r="F219" s="126" t="s">
        <v>3619</v>
      </c>
      <c r="G219" s="126" t="s">
        <v>5900</v>
      </c>
      <c r="H219" s="126" t="s">
        <v>3614</v>
      </c>
      <c r="I219" s="126" t="s">
        <v>3596</v>
      </c>
      <c r="J219" s="126" t="s">
        <v>2880</v>
      </c>
      <c r="K219" s="127">
        <v>45785</v>
      </c>
      <c r="L219" s="126" t="s">
        <v>5478</v>
      </c>
      <c r="M219" s="126" t="s">
        <v>932</v>
      </c>
      <c r="N219" s="126" t="s">
        <v>5486</v>
      </c>
      <c r="O219" s="130" t="s">
        <v>5921</v>
      </c>
      <c r="P219" s="126" t="s">
        <v>45</v>
      </c>
      <c r="Q219" s="247" t="s">
        <v>5481</v>
      </c>
      <c r="R219" s="132" t="s">
        <v>3666</v>
      </c>
      <c r="S219" s="132" t="s">
        <v>5612</v>
      </c>
      <c r="T219" s="252"/>
    </row>
    <row r="220" spans="1:21" ht="30" customHeight="1">
      <c r="A220" s="143">
        <v>218</v>
      </c>
      <c r="B220" s="126" t="s">
        <v>2149</v>
      </c>
      <c r="C220" s="126" t="s">
        <v>5751</v>
      </c>
      <c r="D220" s="126" t="s">
        <v>1476</v>
      </c>
      <c r="E220" s="126" t="s">
        <v>5907</v>
      </c>
      <c r="F220" s="126" t="s">
        <v>3619</v>
      </c>
      <c r="G220" s="126" t="s">
        <v>5900</v>
      </c>
      <c r="H220" s="126" t="s">
        <v>3614</v>
      </c>
      <c r="I220" s="126" t="s">
        <v>3596</v>
      </c>
      <c r="J220" s="126" t="s">
        <v>2679</v>
      </c>
      <c r="K220" s="127">
        <v>45785</v>
      </c>
      <c r="L220" s="126" t="s">
        <v>5478</v>
      </c>
      <c r="M220" s="126" t="s">
        <v>932</v>
      </c>
      <c r="N220" s="126" t="s">
        <v>5486</v>
      </c>
      <c r="O220" s="130" t="s">
        <v>5922</v>
      </c>
      <c r="P220" s="126" t="s">
        <v>45</v>
      </c>
      <c r="Q220" s="247" t="s">
        <v>5481</v>
      </c>
      <c r="R220" s="132" t="s">
        <v>3666</v>
      </c>
      <c r="S220" s="132" t="s">
        <v>5612</v>
      </c>
      <c r="T220" s="252"/>
    </row>
    <row r="221" spans="1:21" ht="30" customHeight="1">
      <c r="A221" s="143">
        <v>219</v>
      </c>
      <c r="B221" s="126" t="s">
        <v>2149</v>
      </c>
      <c r="C221" s="126" t="s">
        <v>5751</v>
      </c>
      <c r="D221" s="126" t="s">
        <v>1476</v>
      </c>
      <c r="E221" s="126" t="s">
        <v>5907</v>
      </c>
      <c r="F221" s="126" t="s">
        <v>3619</v>
      </c>
      <c r="G221" s="126" t="s">
        <v>5900</v>
      </c>
      <c r="H221" s="126" t="s">
        <v>3614</v>
      </c>
      <c r="I221" s="126" t="s">
        <v>3596</v>
      </c>
      <c r="J221" s="126" t="s">
        <v>2880</v>
      </c>
      <c r="K221" s="127">
        <v>45785</v>
      </c>
      <c r="L221" s="126" t="s">
        <v>5478</v>
      </c>
      <c r="M221" s="126" t="s">
        <v>932</v>
      </c>
      <c r="N221" s="264" t="s">
        <v>5542</v>
      </c>
      <c r="O221" s="130" t="s">
        <v>5923</v>
      </c>
      <c r="P221" s="126" t="s">
        <v>45</v>
      </c>
      <c r="Q221" s="247" t="s">
        <v>5481</v>
      </c>
      <c r="R221" s="132" t="s">
        <v>3666</v>
      </c>
      <c r="S221" s="132" t="s">
        <v>5612</v>
      </c>
      <c r="T221" s="252"/>
    </row>
    <row r="222" spans="1:21" ht="30" customHeight="1">
      <c r="A222" s="143">
        <v>220</v>
      </c>
      <c r="B222" s="126" t="s">
        <v>2157</v>
      </c>
      <c r="C222" s="126" t="s">
        <v>5510</v>
      </c>
      <c r="D222" s="126" t="s">
        <v>1476</v>
      </c>
      <c r="E222" s="126" t="s">
        <v>5924</v>
      </c>
      <c r="F222" s="126" t="s">
        <v>5925</v>
      </c>
      <c r="G222" s="126" t="s">
        <v>0</v>
      </c>
      <c r="H222" s="126" t="s">
        <v>3595</v>
      </c>
      <c r="I222" s="126" t="s">
        <v>3596</v>
      </c>
      <c r="J222" s="126" t="s">
        <v>2880</v>
      </c>
      <c r="K222" s="127">
        <v>45786</v>
      </c>
      <c r="L222" s="126" t="s">
        <v>5643</v>
      </c>
      <c r="M222" s="126" t="s">
        <v>5534</v>
      </c>
      <c r="N222" s="126" t="s">
        <v>5926</v>
      </c>
      <c r="O222" s="265" t="s">
        <v>5927</v>
      </c>
      <c r="P222" s="126" t="s">
        <v>3600</v>
      </c>
      <c r="Q222" s="247" t="s">
        <v>54</v>
      </c>
      <c r="R222" s="132" t="s">
        <v>3674</v>
      </c>
      <c r="S222" s="132" t="s">
        <v>3679</v>
      </c>
      <c r="T222" s="252"/>
    </row>
    <row r="223" spans="1:21" ht="30" customHeight="1">
      <c r="A223" s="143">
        <v>221</v>
      </c>
      <c r="B223" s="126" t="s">
        <v>2161</v>
      </c>
      <c r="C223" s="126" t="s">
        <v>5742</v>
      </c>
      <c r="D223" s="126" t="s">
        <v>1911</v>
      </c>
      <c r="E223" s="126" t="s">
        <v>5898</v>
      </c>
      <c r="F223" s="126" t="s">
        <v>5899</v>
      </c>
      <c r="G223" s="126" t="s">
        <v>0</v>
      </c>
      <c r="H223" s="126" t="s">
        <v>3595</v>
      </c>
      <c r="I223" s="126" t="s">
        <v>3596</v>
      </c>
      <c r="J223" s="126" t="s">
        <v>2679</v>
      </c>
      <c r="K223" s="127">
        <v>45786</v>
      </c>
      <c r="L223" s="126" t="s">
        <v>5866</v>
      </c>
      <c r="M223" s="126" t="s">
        <v>3597</v>
      </c>
      <c r="N223" s="126" t="s">
        <v>5928</v>
      </c>
      <c r="O223" s="130" t="s">
        <v>5929</v>
      </c>
      <c r="P223" s="126" t="s">
        <v>26</v>
      </c>
      <c r="Q223" s="247" t="s">
        <v>49</v>
      </c>
      <c r="R223" s="132" t="s">
        <v>3602</v>
      </c>
      <c r="S223" s="132" t="s">
        <v>3737</v>
      </c>
      <c r="T223" s="252"/>
    </row>
    <row r="224" spans="1:21" ht="30" customHeight="1">
      <c r="A224" s="143">
        <v>222</v>
      </c>
      <c r="B224" s="126" t="s">
        <v>2161</v>
      </c>
      <c r="C224" s="126" t="s">
        <v>5742</v>
      </c>
      <c r="D224" s="126" t="s">
        <v>1911</v>
      </c>
      <c r="E224" s="126" t="s">
        <v>5898</v>
      </c>
      <c r="F224" s="126" t="s">
        <v>5899</v>
      </c>
      <c r="G224" s="126" t="s">
        <v>0</v>
      </c>
      <c r="H224" s="126" t="s">
        <v>3608</v>
      </c>
      <c r="I224" s="126" t="s">
        <v>5561</v>
      </c>
      <c r="J224" s="126" t="s">
        <v>2679</v>
      </c>
      <c r="K224" s="127">
        <v>45786</v>
      </c>
      <c r="L224" s="126" t="s">
        <v>5912</v>
      </c>
      <c r="M224" s="126" t="s">
        <v>680</v>
      </c>
      <c r="N224" s="126" t="s">
        <v>5930</v>
      </c>
      <c r="O224" s="130" t="s">
        <v>5931</v>
      </c>
      <c r="P224" s="126" t="s">
        <v>24</v>
      </c>
      <c r="Q224" s="247" t="s">
        <v>49</v>
      </c>
      <c r="R224" s="132" t="s">
        <v>3612</v>
      </c>
      <c r="S224" s="132" t="s">
        <v>3612</v>
      </c>
      <c r="T224" s="252"/>
    </row>
    <row r="225" spans="1:21" ht="30" customHeight="1">
      <c r="A225" s="143">
        <v>223</v>
      </c>
      <c r="B225" s="126" t="s">
        <v>2162</v>
      </c>
      <c r="C225" s="126" t="s">
        <v>5742</v>
      </c>
      <c r="D225" s="126" t="s">
        <v>1911</v>
      </c>
      <c r="E225" s="126" t="s">
        <v>5898</v>
      </c>
      <c r="F225" s="126" t="s">
        <v>5899</v>
      </c>
      <c r="G225" s="126" t="s">
        <v>0</v>
      </c>
      <c r="H225" s="126" t="s">
        <v>3595</v>
      </c>
      <c r="I225" s="126" t="s">
        <v>3596</v>
      </c>
      <c r="J225" s="126" t="s">
        <v>2880</v>
      </c>
      <c r="K225" s="127">
        <v>45786</v>
      </c>
      <c r="L225" s="126" t="s">
        <v>5765</v>
      </c>
      <c r="M225" s="126" t="s">
        <v>680</v>
      </c>
      <c r="N225" s="126" t="s">
        <v>5932</v>
      </c>
      <c r="O225" s="130" t="s">
        <v>5933</v>
      </c>
      <c r="P225" s="128" t="s">
        <v>5811</v>
      </c>
      <c r="Q225" s="247" t="s">
        <v>49</v>
      </c>
      <c r="R225" s="132" t="s">
        <v>3602</v>
      </c>
      <c r="S225" s="132" t="s">
        <v>4046</v>
      </c>
      <c r="T225" s="252"/>
    </row>
    <row r="226" spans="1:21" ht="30" customHeight="1">
      <c r="A226" s="143">
        <v>224</v>
      </c>
      <c r="B226" s="126" t="s">
        <v>2161</v>
      </c>
      <c r="C226" s="126" t="s">
        <v>5742</v>
      </c>
      <c r="D226" s="126" t="s">
        <v>1911</v>
      </c>
      <c r="E226" s="126" t="s">
        <v>5898</v>
      </c>
      <c r="F226" s="126" t="s">
        <v>5899</v>
      </c>
      <c r="G226" s="126" t="s">
        <v>0</v>
      </c>
      <c r="H226" s="126" t="s">
        <v>3595</v>
      </c>
      <c r="I226" s="126" t="s">
        <v>3596</v>
      </c>
      <c r="J226" s="126" t="s">
        <v>2880</v>
      </c>
      <c r="K226" s="127">
        <v>45786</v>
      </c>
      <c r="L226" s="126" t="s">
        <v>5765</v>
      </c>
      <c r="M226" s="126" t="s">
        <v>680</v>
      </c>
      <c r="N226" s="126" t="s">
        <v>5932</v>
      </c>
      <c r="O226" s="130" t="s">
        <v>5934</v>
      </c>
      <c r="P226" s="128" t="s">
        <v>5811</v>
      </c>
      <c r="Q226" s="247" t="s">
        <v>49</v>
      </c>
      <c r="R226" s="132" t="s">
        <v>3602</v>
      </c>
      <c r="S226" s="132" t="s">
        <v>3724</v>
      </c>
      <c r="T226" s="252"/>
    </row>
    <row r="227" spans="1:21" ht="30" customHeight="1">
      <c r="A227" s="143">
        <v>225</v>
      </c>
      <c r="B227" s="126" t="s">
        <v>2160</v>
      </c>
      <c r="C227" s="126" t="s">
        <v>5742</v>
      </c>
      <c r="D227" s="126" t="s">
        <v>1911</v>
      </c>
      <c r="E227" s="126" t="s">
        <v>5898</v>
      </c>
      <c r="F227" s="126" t="s">
        <v>5899</v>
      </c>
      <c r="G227" s="126" t="s">
        <v>0</v>
      </c>
      <c r="H227" s="126" t="s">
        <v>3595</v>
      </c>
      <c r="I227" s="126" t="s">
        <v>3596</v>
      </c>
      <c r="J227" s="126" t="s">
        <v>2880</v>
      </c>
      <c r="K227" s="127">
        <v>45786</v>
      </c>
      <c r="L227" s="126" t="s">
        <v>5935</v>
      </c>
      <c r="M227" s="126" t="s">
        <v>680</v>
      </c>
      <c r="N227" s="126" t="s">
        <v>5497</v>
      </c>
      <c r="O227" s="130" t="s">
        <v>5936</v>
      </c>
      <c r="P227" s="128" t="s">
        <v>5811</v>
      </c>
      <c r="Q227" s="247" t="s">
        <v>49</v>
      </c>
      <c r="R227" s="132" t="s">
        <v>3602</v>
      </c>
      <c r="S227" s="132" t="s">
        <v>4046</v>
      </c>
      <c r="T227" s="252"/>
    </row>
    <row r="228" spans="1:21" ht="30" customHeight="1">
      <c r="A228" s="143">
        <v>226</v>
      </c>
      <c r="B228" s="126" t="s">
        <v>2160</v>
      </c>
      <c r="C228" s="126" t="s">
        <v>5742</v>
      </c>
      <c r="D228" s="126" t="s">
        <v>1911</v>
      </c>
      <c r="E228" s="126" t="s">
        <v>5898</v>
      </c>
      <c r="F228" s="126" t="s">
        <v>5899</v>
      </c>
      <c r="G228" s="126" t="s">
        <v>0</v>
      </c>
      <c r="H228" s="126" t="s">
        <v>3595</v>
      </c>
      <c r="I228" s="126" t="s">
        <v>3596</v>
      </c>
      <c r="J228" s="126" t="s">
        <v>2679</v>
      </c>
      <c r="K228" s="127">
        <v>45786</v>
      </c>
      <c r="L228" s="126" t="s">
        <v>5765</v>
      </c>
      <c r="M228" s="126" t="s">
        <v>680</v>
      </c>
      <c r="N228" s="126" t="s">
        <v>5932</v>
      </c>
      <c r="O228" s="130" t="s">
        <v>5934</v>
      </c>
      <c r="P228" s="128" t="s">
        <v>5811</v>
      </c>
      <c r="Q228" s="247" t="s">
        <v>49</v>
      </c>
      <c r="R228" s="132" t="s">
        <v>3602</v>
      </c>
      <c r="S228" s="132" t="s">
        <v>4046</v>
      </c>
      <c r="T228" s="252"/>
    </row>
    <row r="229" spans="1:21" ht="30" customHeight="1">
      <c r="A229" s="143">
        <v>227</v>
      </c>
      <c r="B229" s="126" t="s">
        <v>2160</v>
      </c>
      <c r="C229" s="126" t="s">
        <v>5742</v>
      </c>
      <c r="D229" s="126" t="s">
        <v>1911</v>
      </c>
      <c r="E229" s="130" t="s">
        <v>3651</v>
      </c>
      <c r="F229" s="126" t="s">
        <v>3604</v>
      </c>
      <c r="G229" s="126" t="s">
        <v>0</v>
      </c>
      <c r="H229" s="126" t="s">
        <v>3595</v>
      </c>
      <c r="I229" s="126" t="s">
        <v>3596</v>
      </c>
      <c r="J229" s="126" t="s">
        <v>2679</v>
      </c>
      <c r="K229" s="127">
        <v>45786</v>
      </c>
      <c r="L229" s="126" t="s">
        <v>5765</v>
      </c>
      <c r="M229" s="126" t="s">
        <v>680</v>
      </c>
      <c r="N229" s="126" t="s">
        <v>5932</v>
      </c>
      <c r="O229" s="130" t="s">
        <v>5937</v>
      </c>
      <c r="P229" s="128" t="s">
        <v>5811</v>
      </c>
      <c r="Q229" s="247" t="s">
        <v>49</v>
      </c>
      <c r="R229" s="132" t="s">
        <v>3602</v>
      </c>
      <c r="S229" s="132" t="s">
        <v>4046</v>
      </c>
      <c r="T229" s="252"/>
    </row>
    <row r="230" spans="1:21" ht="30" customHeight="1">
      <c r="A230" s="143">
        <v>228</v>
      </c>
      <c r="B230" s="126" t="s">
        <v>2165</v>
      </c>
      <c r="C230" s="126" t="s">
        <v>5559</v>
      </c>
      <c r="D230" s="126" t="s">
        <v>1911</v>
      </c>
      <c r="E230" s="126" t="s">
        <v>3593</v>
      </c>
      <c r="F230" s="126" t="s">
        <v>5938</v>
      </c>
      <c r="G230" s="126" t="s">
        <v>0</v>
      </c>
      <c r="H230" s="126" t="s">
        <v>3595</v>
      </c>
      <c r="I230" s="126" t="s">
        <v>3596</v>
      </c>
      <c r="J230" s="126" t="s">
        <v>2880</v>
      </c>
      <c r="K230" s="127">
        <v>45789</v>
      </c>
      <c r="L230" s="126" t="s">
        <v>5939</v>
      </c>
      <c r="M230" s="126" t="s">
        <v>5902</v>
      </c>
      <c r="N230" s="126" t="s">
        <v>5940</v>
      </c>
      <c r="O230" s="130" t="s">
        <v>5941</v>
      </c>
      <c r="P230" s="126" t="s">
        <v>3600</v>
      </c>
      <c r="Q230" s="247" t="s">
        <v>49</v>
      </c>
      <c r="R230" s="132" t="s">
        <v>3993</v>
      </c>
      <c r="S230" s="132" t="s">
        <v>5942</v>
      </c>
      <c r="T230" s="245"/>
      <c r="U230" s="245"/>
    </row>
    <row r="231" spans="1:21" ht="30" customHeight="1">
      <c r="A231" s="143">
        <v>229</v>
      </c>
      <c r="B231" s="126" t="s">
        <v>2168</v>
      </c>
      <c r="C231" s="126" t="s">
        <v>5613</v>
      </c>
      <c r="D231" s="126" t="s">
        <v>1911</v>
      </c>
      <c r="E231" s="126" t="s">
        <v>5907</v>
      </c>
      <c r="F231" s="126" t="s">
        <v>5899</v>
      </c>
      <c r="G231" s="126" t="s">
        <v>0</v>
      </c>
      <c r="H231" s="126" t="s">
        <v>3595</v>
      </c>
      <c r="I231" s="126" t="s">
        <v>3596</v>
      </c>
      <c r="J231" s="126" t="s">
        <v>2679</v>
      </c>
      <c r="K231" s="127">
        <v>45789</v>
      </c>
      <c r="L231" s="126" t="s">
        <v>5866</v>
      </c>
      <c r="M231" s="126" t="s">
        <v>3597</v>
      </c>
      <c r="N231" s="126" t="s">
        <v>5943</v>
      </c>
      <c r="O231" s="130" t="s">
        <v>5944</v>
      </c>
      <c r="P231" s="126" t="s">
        <v>26</v>
      </c>
      <c r="Q231" s="247" t="s">
        <v>54</v>
      </c>
      <c r="R231" s="132" t="s">
        <v>3714</v>
      </c>
      <c r="S231" s="132" t="s">
        <v>3904</v>
      </c>
      <c r="T231" s="245"/>
      <c r="U231" s="245"/>
    </row>
    <row r="232" spans="1:21" ht="30" customHeight="1">
      <c r="A232" s="143">
        <v>230</v>
      </c>
      <c r="B232" s="126" t="s">
        <v>2167</v>
      </c>
      <c r="C232" s="126" t="s">
        <v>5468</v>
      </c>
      <c r="D232" s="126" t="s">
        <v>1581</v>
      </c>
      <c r="E232" s="126" t="s">
        <v>5907</v>
      </c>
      <c r="F232" s="126" t="s">
        <v>5899</v>
      </c>
      <c r="G232" s="126" t="s">
        <v>0</v>
      </c>
      <c r="H232" s="126" t="s">
        <v>3608</v>
      </c>
      <c r="I232" s="126" t="s">
        <v>5561</v>
      </c>
      <c r="J232" s="126" t="s">
        <v>2880</v>
      </c>
      <c r="K232" s="127">
        <v>45789</v>
      </c>
      <c r="L232" s="126" t="s">
        <v>5912</v>
      </c>
      <c r="M232" s="126" t="s">
        <v>680</v>
      </c>
      <c r="N232" s="126" t="s">
        <v>5930</v>
      </c>
      <c r="O232" s="130" t="s">
        <v>5931</v>
      </c>
      <c r="P232" s="126" t="s">
        <v>26</v>
      </c>
      <c r="Q232" s="247" t="s">
        <v>49</v>
      </c>
      <c r="R232" s="132" t="s">
        <v>3612</v>
      </c>
      <c r="S232" s="132" t="s">
        <v>5945</v>
      </c>
      <c r="T232" s="245"/>
      <c r="U232" s="245"/>
    </row>
    <row r="233" spans="1:21" ht="30" customHeight="1">
      <c r="A233" s="143">
        <v>231</v>
      </c>
      <c r="B233" s="126" t="s">
        <v>2167</v>
      </c>
      <c r="C233" s="126" t="s">
        <v>5468</v>
      </c>
      <c r="D233" s="126" t="s">
        <v>1581</v>
      </c>
      <c r="E233" s="126" t="s">
        <v>5907</v>
      </c>
      <c r="F233" s="126" t="s">
        <v>5899</v>
      </c>
      <c r="G233" s="126" t="s">
        <v>0</v>
      </c>
      <c r="H233" s="126" t="s">
        <v>3608</v>
      </c>
      <c r="I233" s="126" t="s">
        <v>5561</v>
      </c>
      <c r="J233" s="126" t="s">
        <v>2679</v>
      </c>
      <c r="K233" s="127">
        <v>45789</v>
      </c>
      <c r="L233" s="126" t="s">
        <v>5912</v>
      </c>
      <c r="M233" s="126" t="s">
        <v>680</v>
      </c>
      <c r="N233" s="126" t="s">
        <v>5913</v>
      </c>
      <c r="O233" s="130" t="s">
        <v>5931</v>
      </c>
      <c r="P233" s="126" t="s">
        <v>26</v>
      </c>
      <c r="Q233" s="247" t="s">
        <v>49</v>
      </c>
      <c r="R233" s="132" t="s">
        <v>3612</v>
      </c>
      <c r="S233" s="132" t="s">
        <v>5945</v>
      </c>
      <c r="T233" s="252"/>
    </row>
    <row r="234" spans="1:21" ht="30" customHeight="1">
      <c r="A234" s="143">
        <v>232</v>
      </c>
      <c r="B234" s="126" t="s">
        <v>2166</v>
      </c>
      <c r="C234" s="126" t="s">
        <v>5468</v>
      </c>
      <c r="D234" s="126" t="s">
        <v>1581</v>
      </c>
      <c r="E234" s="126" t="s">
        <v>5907</v>
      </c>
      <c r="F234" s="126" t="s">
        <v>5899</v>
      </c>
      <c r="G234" s="126" t="s">
        <v>0</v>
      </c>
      <c r="H234" s="126" t="s">
        <v>3595</v>
      </c>
      <c r="I234" s="126" t="s">
        <v>3596</v>
      </c>
      <c r="J234" s="126" t="s">
        <v>2679</v>
      </c>
      <c r="K234" s="127">
        <v>45789</v>
      </c>
      <c r="L234" s="126" t="s">
        <v>5866</v>
      </c>
      <c r="M234" s="126" t="s">
        <v>3597</v>
      </c>
      <c r="N234" s="126" t="s">
        <v>5946</v>
      </c>
      <c r="O234" s="130" t="s">
        <v>5947</v>
      </c>
      <c r="P234" s="126" t="s">
        <v>34</v>
      </c>
      <c r="Q234" s="247" t="s">
        <v>49</v>
      </c>
      <c r="R234" s="132" t="s">
        <v>3666</v>
      </c>
      <c r="S234" s="132" t="s">
        <v>3835</v>
      </c>
      <c r="T234" s="252"/>
    </row>
    <row r="235" spans="1:21" ht="30" customHeight="1">
      <c r="A235" s="143">
        <v>233</v>
      </c>
      <c r="B235" s="126" t="s">
        <v>2164</v>
      </c>
      <c r="C235" s="126" t="s">
        <v>5559</v>
      </c>
      <c r="D235" s="126" t="s">
        <v>1911</v>
      </c>
      <c r="E235" s="126" t="s">
        <v>3593</v>
      </c>
      <c r="F235" s="126" t="s">
        <v>5938</v>
      </c>
      <c r="G235" s="126" t="s">
        <v>0</v>
      </c>
      <c r="H235" s="126" t="s">
        <v>3614</v>
      </c>
      <c r="I235" s="126" t="s">
        <v>3596</v>
      </c>
      <c r="J235" s="126" t="s">
        <v>2880</v>
      </c>
      <c r="K235" s="127">
        <v>45789</v>
      </c>
      <c r="L235" s="126" t="s">
        <v>5563</v>
      </c>
      <c r="M235" s="126" t="s">
        <v>735</v>
      </c>
      <c r="N235" s="126" t="s">
        <v>5948</v>
      </c>
      <c r="O235" s="130" t="s">
        <v>5949</v>
      </c>
      <c r="P235" s="126" t="s">
        <v>45</v>
      </c>
      <c r="Q235" s="246" t="s">
        <v>5481</v>
      </c>
      <c r="R235" s="132" t="s">
        <v>3656</v>
      </c>
      <c r="S235" s="132" t="s">
        <v>5568</v>
      </c>
      <c r="T235" s="252"/>
    </row>
    <row r="236" spans="1:21" ht="30" customHeight="1">
      <c r="A236" s="143">
        <v>234</v>
      </c>
      <c r="B236" s="126" t="s">
        <v>2171</v>
      </c>
      <c r="C236" s="128" t="s">
        <v>5950</v>
      </c>
      <c r="D236" s="128" t="s">
        <v>1476</v>
      </c>
      <c r="E236" s="126" t="s">
        <v>3593</v>
      </c>
      <c r="F236" s="126" t="s">
        <v>5925</v>
      </c>
      <c r="G236" s="126" t="s">
        <v>0</v>
      </c>
      <c r="H236" s="126" t="s">
        <v>3608</v>
      </c>
      <c r="I236" s="126" t="s">
        <v>5561</v>
      </c>
      <c r="J236" s="126" t="s">
        <v>2880</v>
      </c>
      <c r="K236" s="131">
        <v>45790</v>
      </c>
      <c r="L236" s="128">
        <v>1300136900</v>
      </c>
      <c r="M236" s="128" t="s">
        <v>5951</v>
      </c>
      <c r="N236" s="128" t="s">
        <v>5952</v>
      </c>
      <c r="O236" s="130" t="s">
        <v>5953</v>
      </c>
      <c r="P236" s="126" t="s">
        <v>26</v>
      </c>
      <c r="Q236" s="247" t="s">
        <v>54</v>
      </c>
      <c r="R236" s="132" t="s">
        <v>3925</v>
      </c>
      <c r="S236" s="132" t="s">
        <v>3925</v>
      </c>
      <c r="T236" s="252"/>
    </row>
    <row r="237" spans="1:21" ht="30" customHeight="1">
      <c r="A237" s="143">
        <v>235</v>
      </c>
      <c r="B237" s="126" t="s">
        <v>2178</v>
      </c>
      <c r="C237" s="128" t="s">
        <v>5954</v>
      </c>
      <c r="D237" s="128" t="s">
        <v>1476</v>
      </c>
      <c r="E237" s="126" t="s">
        <v>3593</v>
      </c>
      <c r="F237" s="126" t="s">
        <v>5899</v>
      </c>
      <c r="G237" s="128" t="s">
        <v>0</v>
      </c>
      <c r="H237" s="128" t="s">
        <v>3595</v>
      </c>
      <c r="I237" s="128" t="s">
        <v>3596</v>
      </c>
      <c r="J237" s="128" t="s">
        <v>2679</v>
      </c>
      <c r="K237" s="131">
        <v>45791</v>
      </c>
      <c r="L237" s="128" t="s">
        <v>5768</v>
      </c>
      <c r="M237" s="128" t="s">
        <v>1151</v>
      </c>
      <c r="N237" s="128" t="s">
        <v>5955</v>
      </c>
      <c r="O237" s="130" t="s">
        <v>5956</v>
      </c>
      <c r="P237" s="128" t="s">
        <v>26</v>
      </c>
      <c r="Q237" s="246" t="s">
        <v>49</v>
      </c>
      <c r="R237" s="132" t="s">
        <v>3602</v>
      </c>
      <c r="S237" s="132" t="s">
        <v>5767</v>
      </c>
      <c r="T237" s="252"/>
    </row>
    <row r="238" spans="1:21" ht="30" customHeight="1">
      <c r="A238" s="143">
        <v>236</v>
      </c>
      <c r="B238" s="126" t="s">
        <v>2177</v>
      </c>
      <c r="C238" s="128" t="s">
        <v>5578</v>
      </c>
      <c r="D238" s="128" t="s">
        <v>1476</v>
      </c>
      <c r="E238" s="126" t="s">
        <v>3593</v>
      </c>
      <c r="F238" s="126" t="s">
        <v>5925</v>
      </c>
      <c r="G238" s="128" t="s">
        <v>0</v>
      </c>
      <c r="H238" s="128" t="s">
        <v>3595</v>
      </c>
      <c r="I238" s="128" t="s">
        <v>3596</v>
      </c>
      <c r="J238" s="128" t="s">
        <v>2880</v>
      </c>
      <c r="K238" s="131">
        <v>45791</v>
      </c>
      <c r="L238" s="128" t="s">
        <v>5957</v>
      </c>
      <c r="M238" s="128" t="s">
        <v>680</v>
      </c>
      <c r="N238" s="128" t="s">
        <v>5958</v>
      </c>
      <c r="O238" s="130" t="s">
        <v>5959</v>
      </c>
      <c r="P238" s="128" t="s">
        <v>5811</v>
      </c>
      <c r="Q238" s="246" t="s">
        <v>49</v>
      </c>
      <c r="R238" s="132" t="s">
        <v>3602</v>
      </c>
      <c r="S238" s="132" t="s">
        <v>3806</v>
      </c>
      <c r="T238" s="252"/>
    </row>
    <row r="239" spans="1:21" ht="30" customHeight="1">
      <c r="A239" s="143">
        <v>237</v>
      </c>
      <c r="B239" s="132" t="s">
        <v>2182</v>
      </c>
      <c r="C239" s="132">
        <v>41100695</v>
      </c>
      <c r="D239" s="132" t="s">
        <v>2184</v>
      </c>
      <c r="E239" s="126" t="s">
        <v>3651</v>
      </c>
      <c r="F239" s="126" t="s">
        <v>3619</v>
      </c>
      <c r="G239" s="132" t="s">
        <v>0</v>
      </c>
      <c r="H239" s="132" t="s">
        <v>3614</v>
      </c>
      <c r="I239" s="132" t="s">
        <v>3596</v>
      </c>
      <c r="J239" s="128"/>
      <c r="K239" s="127">
        <v>45796</v>
      </c>
      <c r="L239" s="132">
        <v>1300640400</v>
      </c>
      <c r="M239" s="132" t="s">
        <v>5960</v>
      </c>
      <c r="N239" s="132" t="s">
        <v>5961</v>
      </c>
      <c r="O239" s="132" t="s">
        <v>5962</v>
      </c>
      <c r="P239" s="128" t="s">
        <v>45</v>
      </c>
      <c r="Q239" s="246" t="s">
        <v>49</v>
      </c>
      <c r="R239" s="132" t="s">
        <v>71</v>
      </c>
      <c r="S239" s="132" t="s">
        <v>71</v>
      </c>
      <c r="T239" s="252"/>
    </row>
    <row r="240" spans="1:21" ht="30" customHeight="1">
      <c r="A240" s="143">
        <v>238</v>
      </c>
      <c r="B240" s="126" t="s">
        <v>2197</v>
      </c>
      <c r="C240" s="126" t="s">
        <v>5613</v>
      </c>
      <c r="D240" s="126" t="s">
        <v>1911</v>
      </c>
      <c r="E240" s="126" t="s">
        <v>5898</v>
      </c>
      <c r="F240" s="126" t="s">
        <v>5925</v>
      </c>
      <c r="G240" s="126" t="s">
        <v>0</v>
      </c>
      <c r="H240" s="126" t="s">
        <v>3595</v>
      </c>
      <c r="I240" s="126" t="s">
        <v>3596</v>
      </c>
      <c r="J240" s="126" t="s">
        <v>2679</v>
      </c>
      <c r="K240" s="127">
        <v>45797</v>
      </c>
      <c r="L240" s="126" t="s">
        <v>5866</v>
      </c>
      <c r="M240" s="126" t="s">
        <v>3597</v>
      </c>
      <c r="N240" s="126" t="s">
        <v>5963</v>
      </c>
      <c r="O240" s="130" t="s">
        <v>5964</v>
      </c>
      <c r="P240" s="126" t="s">
        <v>26</v>
      </c>
      <c r="Q240" s="247" t="s">
        <v>54</v>
      </c>
      <c r="R240" s="132" t="s">
        <v>3602</v>
      </c>
      <c r="S240" s="132" t="s">
        <v>3724</v>
      </c>
      <c r="T240" s="252"/>
    </row>
    <row r="241" spans="1:20" ht="30" customHeight="1">
      <c r="A241" s="143">
        <v>239</v>
      </c>
      <c r="B241" s="126" t="s">
        <v>2197</v>
      </c>
      <c r="C241" s="126" t="s">
        <v>5613</v>
      </c>
      <c r="D241" s="126" t="s">
        <v>1911</v>
      </c>
      <c r="E241" s="126" t="s">
        <v>5898</v>
      </c>
      <c r="F241" s="126" t="s">
        <v>5925</v>
      </c>
      <c r="G241" s="126" t="s">
        <v>0</v>
      </c>
      <c r="H241" s="126" t="s">
        <v>3595</v>
      </c>
      <c r="I241" s="126" t="s">
        <v>3596</v>
      </c>
      <c r="J241" s="126" t="s">
        <v>2679</v>
      </c>
      <c r="K241" s="127">
        <v>45797</v>
      </c>
      <c r="L241" s="126" t="s">
        <v>5965</v>
      </c>
      <c r="M241" s="126" t="s">
        <v>5966</v>
      </c>
      <c r="N241" s="126" t="s">
        <v>5967</v>
      </c>
      <c r="O241" s="130" t="s">
        <v>5968</v>
      </c>
      <c r="P241" s="126" t="s">
        <v>26</v>
      </c>
      <c r="Q241" s="247" t="s">
        <v>54</v>
      </c>
      <c r="R241" s="132" t="s">
        <v>3674</v>
      </c>
      <c r="S241" s="132" t="s">
        <v>3602</v>
      </c>
      <c r="T241" s="252"/>
    </row>
    <row r="242" spans="1:20" ht="30" customHeight="1">
      <c r="A242" s="143">
        <v>240</v>
      </c>
      <c r="B242" s="126" t="s">
        <v>2197</v>
      </c>
      <c r="C242" s="126" t="s">
        <v>5613</v>
      </c>
      <c r="D242" s="126" t="s">
        <v>1911</v>
      </c>
      <c r="E242" s="126" t="s">
        <v>5898</v>
      </c>
      <c r="F242" s="126" t="s">
        <v>5925</v>
      </c>
      <c r="G242" s="126" t="s">
        <v>0</v>
      </c>
      <c r="H242" s="126" t="s">
        <v>3595</v>
      </c>
      <c r="I242" s="126" t="s">
        <v>3596</v>
      </c>
      <c r="J242" s="126" t="s">
        <v>2679</v>
      </c>
      <c r="K242" s="127">
        <v>45797</v>
      </c>
      <c r="L242" s="126" t="s">
        <v>5969</v>
      </c>
      <c r="M242" s="126" t="s">
        <v>816</v>
      </c>
      <c r="N242" s="126" t="s">
        <v>5970</v>
      </c>
      <c r="O242" s="130" t="s">
        <v>5971</v>
      </c>
      <c r="P242" s="126" t="s">
        <v>26</v>
      </c>
      <c r="Q242" s="247" t="s">
        <v>49</v>
      </c>
      <c r="R242" s="132" t="s">
        <v>3674</v>
      </c>
      <c r="S242" s="132" t="s">
        <v>4046</v>
      </c>
      <c r="T242" s="252"/>
    </row>
    <row r="243" spans="1:20" ht="30" customHeight="1">
      <c r="A243" s="143">
        <v>241</v>
      </c>
      <c r="B243" s="126" t="s">
        <v>2197</v>
      </c>
      <c r="C243" s="126" t="s">
        <v>5613</v>
      </c>
      <c r="D243" s="126" t="s">
        <v>1911</v>
      </c>
      <c r="E243" s="126" t="s">
        <v>5898</v>
      </c>
      <c r="F243" s="126" t="s">
        <v>5925</v>
      </c>
      <c r="G243" s="126" t="s">
        <v>0</v>
      </c>
      <c r="H243" s="126" t="s">
        <v>3595</v>
      </c>
      <c r="I243" s="126" t="s">
        <v>3596</v>
      </c>
      <c r="J243" s="126" t="s">
        <v>2679</v>
      </c>
      <c r="K243" s="127">
        <v>45797</v>
      </c>
      <c r="L243" s="126" t="s">
        <v>5972</v>
      </c>
      <c r="M243" s="126" t="s">
        <v>816</v>
      </c>
      <c r="N243" s="126" t="s">
        <v>5973</v>
      </c>
      <c r="O243" s="130" t="s">
        <v>5974</v>
      </c>
      <c r="P243" s="126" t="s">
        <v>26</v>
      </c>
      <c r="Q243" s="247" t="s">
        <v>49</v>
      </c>
      <c r="R243" s="132" t="s">
        <v>3674</v>
      </c>
      <c r="S243" s="132" t="s">
        <v>4046</v>
      </c>
      <c r="T243" s="252"/>
    </row>
    <row r="244" spans="1:20" ht="30" customHeight="1">
      <c r="A244" s="143">
        <v>242</v>
      </c>
      <c r="B244" s="126" t="s">
        <v>2200</v>
      </c>
      <c r="C244" s="126" t="s">
        <v>5737</v>
      </c>
      <c r="D244" s="126" t="s">
        <v>1476</v>
      </c>
      <c r="E244" s="126" t="s">
        <v>5907</v>
      </c>
      <c r="F244" s="126" t="s">
        <v>5899</v>
      </c>
      <c r="G244" s="126" t="s">
        <v>0</v>
      </c>
      <c r="H244" s="126" t="s">
        <v>3614</v>
      </c>
      <c r="I244" s="126" t="s">
        <v>3596</v>
      </c>
      <c r="J244" s="126" t="s">
        <v>2679</v>
      </c>
      <c r="K244" s="127">
        <v>45797</v>
      </c>
      <c r="L244" s="126" t="s">
        <v>5563</v>
      </c>
      <c r="M244" s="126" t="s">
        <v>735</v>
      </c>
      <c r="N244" s="126" t="s">
        <v>5975</v>
      </c>
      <c r="O244" s="130" t="s">
        <v>5976</v>
      </c>
      <c r="P244" s="126" t="s">
        <v>45</v>
      </c>
      <c r="Q244" s="247" t="s">
        <v>5481</v>
      </c>
      <c r="R244" s="132" t="s">
        <v>3666</v>
      </c>
      <c r="S244" s="132" t="s">
        <v>3666</v>
      </c>
      <c r="T244" s="252"/>
    </row>
    <row r="245" spans="1:20" s="133" customFormat="1" ht="30" customHeight="1">
      <c r="A245" s="143">
        <v>243</v>
      </c>
      <c r="B245" s="126" t="s">
        <v>2203</v>
      </c>
      <c r="C245" s="126" t="s">
        <v>5977</v>
      </c>
      <c r="D245" s="126" t="s">
        <v>1476</v>
      </c>
      <c r="E245" s="126" t="s">
        <v>5907</v>
      </c>
      <c r="F245" s="126" t="s">
        <v>5925</v>
      </c>
      <c r="G245" s="126" t="s">
        <v>0</v>
      </c>
      <c r="H245" s="126" t="s">
        <v>3595</v>
      </c>
      <c r="I245" s="126" t="s">
        <v>3596</v>
      </c>
      <c r="J245" s="126" t="s">
        <v>2679</v>
      </c>
      <c r="K245" s="127">
        <v>45798</v>
      </c>
      <c r="L245" s="126" t="s">
        <v>5527</v>
      </c>
      <c r="M245" s="126" t="s">
        <v>143</v>
      </c>
      <c r="N245" s="126" t="s">
        <v>5978</v>
      </c>
      <c r="O245" s="130" t="s">
        <v>5979</v>
      </c>
      <c r="P245" s="126" t="s">
        <v>26</v>
      </c>
      <c r="Q245" s="247" t="s">
        <v>54</v>
      </c>
      <c r="R245" s="132" t="s">
        <v>3674</v>
      </c>
      <c r="S245" s="132" t="s">
        <v>3917</v>
      </c>
      <c r="T245" s="253"/>
    </row>
    <row r="246" spans="1:20" s="133" customFormat="1" ht="30" customHeight="1">
      <c r="A246" s="143">
        <v>244</v>
      </c>
      <c r="B246" s="126" t="s">
        <v>2211</v>
      </c>
      <c r="C246" s="126" t="s">
        <v>5980</v>
      </c>
      <c r="D246" s="126" t="s">
        <v>1476</v>
      </c>
      <c r="E246" s="126" t="s">
        <v>5907</v>
      </c>
      <c r="F246" s="126" t="s">
        <v>5925</v>
      </c>
      <c r="G246" s="126" t="s">
        <v>0</v>
      </c>
      <c r="H246" s="126" t="s">
        <v>3595</v>
      </c>
      <c r="I246" s="126" t="s">
        <v>3596</v>
      </c>
      <c r="J246" s="126" t="s">
        <v>2679</v>
      </c>
      <c r="K246" s="127">
        <v>45798</v>
      </c>
      <c r="L246" s="126" t="s">
        <v>5981</v>
      </c>
      <c r="M246" s="126" t="s">
        <v>3597</v>
      </c>
      <c r="N246" s="126" t="s">
        <v>5982</v>
      </c>
      <c r="O246" s="130" t="s">
        <v>5983</v>
      </c>
      <c r="P246" s="126" t="s">
        <v>26</v>
      </c>
      <c r="Q246" s="247" t="s">
        <v>54</v>
      </c>
      <c r="R246" s="132" t="s">
        <v>3602</v>
      </c>
      <c r="S246" s="132" t="s">
        <v>3737</v>
      </c>
      <c r="T246" s="253"/>
    </row>
    <row r="247" spans="1:20" s="133" customFormat="1" ht="30" customHeight="1">
      <c r="A247" s="143">
        <v>245</v>
      </c>
      <c r="B247" s="126" t="s">
        <v>2207</v>
      </c>
      <c r="C247" s="126" t="s">
        <v>5559</v>
      </c>
      <c r="D247" s="126" t="s">
        <v>1911</v>
      </c>
      <c r="E247" s="126" t="s">
        <v>3593</v>
      </c>
      <c r="F247" s="126" t="s">
        <v>5938</v>
      </c>
      <c r="G247" s="126" t="s">
        <v>0</v>
      </c>
      <c r="H247" s="126" t="s">
        <v>3595</v>
      </c>
      <c r="I247" s="126" t="s">
        <v>3596</v>
      </c>
      <c r="J247" s="126" t="s">
        <v>2679</v>
      </c>
      <c r="K247" s="127">
        <v>45798</v>
      </c>
      <c r="L247" s="126" t="s">
        <v>5965</v>
      </c>
      <c r="M247" s="126" t="s">
        <v>5966</v>
      </c>
      <c r="N247" s="126" t="s">
        <v>5984</v>
      </c>
      <c r="O247" s="130" t="s">
        <v>5985</v>
      </c>
      <c r="P247" s="126" t="s">
        <v>26</v>
      </c>
      <c r="Q247" s="247" t="s">
        <v>54</v>
      </c>
      <c r="R247" s="132" t="s">
        <v>3656</v>
      </c>
      <c r="S247" s="132" t="s">
        <v>3656</v>
      </c>
      <c r="T247" s="253"/>
    </row>
    <row r="248" spans="1:20" ht="30" customHeight="1">
      <c r="A248" s="143">
        <v>246</v>
      </c>
      <c r="B248" s="126" t="s">
        <v>2212</v>
      </c>
      <c r="C248" s="126" t="s">
        <v>5986</v>
      </c>
      <c r="D248" s="126" t="s">
        <v>1476</v>
      </c>
      <c r="E248" s="126" t="s">
        <v>5907</v>
      </c>
      <c r="F248" s="126" t="s">
        <v>5899</v>
      </c>
      <c r="G248" s="126" t="s">
        <v>0</v>
      </c>
      <c r="H248" s="126" t="s">
        <v>3614</v>
      </c>
      <c r="I248" s="126" t="s">
        <v>3596</v>
      </c>
      <c r="J248" s="126" t="s">
        <v>2679</v>
      </c>
      <c r="K248" s="127">
        <v>45799</v>
      </c>
      <c r="L248" s="126" t="s">
        <v>5478</v>
      </c>
      <c r="M248" s="126" t="s">
        <v>932</v>
      </c>
      <c r="N248" s="126" t="s">
        <v>5550</v>
      </c>
      <c r="O248" s="126" t="s">
        <v>5987</v>
      </c>
      <c r="P248" s="126" t="s">
        <v>45</v>
      </c>
      <c r="Q248" s="247" t="s">
        <v>5481</v>
      </c>
      <c r="R248" s="132" t="s">
        <v>3666</v>
      </c>
      <c r="S248" s="132" t="s">
        <v>3666</v>
      </c>
      <c r="T248" s="252"/>
    </row>
    <row r="249" spans="1:20" ht="30" customHeight="1">
      <c r="A249" s="143">
        <v>247</v>
      </c>
      <c r="B249" s="126" t="s">
        <v>2212</v>
      </c>
      <c r="C249" s="126" t="s">
        <v>5986</v>
      </c>
      <c r="D249" s="126" t="s">
        <v>1476</v>
      </c>
      <c r="E249" s="126" t="s">
        <v>5907</v>
      </c>
      <c r="F249" s="126" t="s">
        <v>5899</v>
      </c>
      <c r="G249" s="126" t="s">
        <v>0</v>
      </c>
      <c r="H249" s="126" t="s">
        <v>3614</v>
      </c>
      <c r="I249" s="126" t="s">
        <v>3596</v>
      </c>
      <c r="J249" s="126" t="s">
        <v>2880</v>
      </c>
      <c r="K249" s="127">
        <v>45799</v>
      </c>
      <c r="L249" s="126" t="s">
        <v>5478</v>
      </c>
      <c r="M249" s="126" t="s">
        <v>932</v>
      </c>
      <c r="N249" s="126" t="s">
        <v>5550</v>
      </c>
      <c r="O249" s="126" t="s">
        <v>5988</v>
      </c>
      <c r="P249" s="126" t="s">
        <v>45</v>
      </c>
      <c r="Q249" s="247" t="s">
        <v>5481</v>
      </c>
      <c r="R249" s="132" t="s">
        <v>3666</v>
      </c>
      <c r="S249" s="132" t="s">
        <v>3666</v>
      </c>
      <c r="T249" s="252"/>
    </row>
    <row r="250" spans="1:20" ht="30" customHeight="1">
      <c r="A250" s="143">
        <v>248</v>
      </c>
      <c r="B250" s="126" t="s">
        <v>2212</v>
      </c>
      <c r="C250" s="126" t="s">
        <v>5986</v>
      </c>
      <c r="D250" s="126" t="s">
        <v>1476</v>
      </c>
      <c r="E250" s="126" t="s">
        <v>5907</v>
      </c>
      <c r="F250" s="126" t="s">
        <v>5899</v>
      </c>
      <c r="G250" s="126" t="s">
        <v>0</v>
      </c>
      <c r="H250" s="126" t="s">
        <v>3614</v>
      </c>
      <c r="I250" s="126" t="s">
        <v>3596</v>
      </c>
      <c r="J250" s="126" t="s">
        <v>2880</v>
      </c>
      <c r="K250" s="127">
        <v>45799</v>
      </c>
      <c r="L250" s="126" t="s">
        <v>5478</v>
      </c>
      <c r="M250" s="126" t="s">
        <v>932</v>
      </c>
      <c r="N250" s="126" t="s">
        <v>5989</v>
      </c>
      <c r="O250" s="126" t="s">
        <v>5990</v>
      </c>
      <c r="P250" s="126" t="s">
        <v>45</v>
      </c>
      <c r="Q250" s="247" t="s">
        <v>5481</v>
      </c>
      <c r="R250" s="132" t="s">
        <v>3666</v>
      </c>
      <c r="S250" s="132" t="s">
        <v>3666</v>
      </c>
      <c r="T250" s="252"/>
    </row>
    <row r="251" spans="1:20" ht="30" customHeight="1">
      <c r="A251" s="143">
        <v>249</v>
      </c>
      <c r="B251" s="126" t="s">
        <v>2212</v>
      </c>
      <c r="C251" s="126" t="s">
        <v>5986</v>
      </c>
      <c r="D251" s="126" t="s">
        <v>1476</v>
      </c>
      <c r="E251" s="126" t="s">
        <v>5907</v>
      </c>
      <c r="F251" s="126" t="s">
        <v>5899</v>
      </c>
      <c r="G251" s="126" t="s">
        <v>0</v>
      </c>
      <c r="H251" s="126" t="s">
        <v>3614</v>
      </c>
      <c r="I251" s="126" t="s">
        <v>3596</v>
      </c>
      <c r="J251" s="126" t="s">
        <v>2880</v>
      </c>
      <c r="K251" s="127">
        <v>45799</v>
      </c>
      <c r="L251" s="126" t="s">
        <v>5478</v>
      </c>
      <c r="M251" s="126" t="s">
        <v>932</v>
      </c>
      <c r="N251" s="126" t="s">
        <v>5989</v>
      </c>
      <c r="O251" s="126" t="s">
        <v>5991</v>
      </c>
      <c r="P251" s="126" t="s">
        <v>45</v>
      </c>
      <c r="Q251" s="247" t="s">
        <v>5481</v>
      </c>
      <c r="R251" s="132" t="s">
        <v>3666</v>
      </c>
      <c r="S251" s="132" t="s">
        <v>3666</v>
      </c>
      <c r="T251" s="252"/>
    </row>
    <row r="252" spans="1:20" ht="30" customHeight="1">
      <c r="A252" s="143">
        <v>250</v>
      </c>
      <c r="B252" s="126" t="s">
        <v>2212</v>
      </c>
      <c r="C252" s="126" t="s">
        <v>5986</v>
      </c>
      <c r="D252" s="126" t="s">
        <v>1476</v>
      </c>
      <c r="E252" s="126" t="s">
        <v>5907</v>
      </c>
      <c r="F252" s="126" t="s">
        <v>5899</v>
      </c>
      <c r="G252" s="126" t="s">
        <v>0</v>
      </c>
      <c r="H252" s="126" t="s">
        <v>3614</v>
      </c>
      <c r="I252" s="126" t="s">
        <v>3596</v>
      </c>
      <c r="J252" s="126" t="s">
        <v>2880</v>
      </c>
      <c r="K252" s="127">
        <v>45799</v>
      </c>
      <c r="L252" s="126" t="s">
        <v>5478</v>
      </c>
      <c r="M252" s="126" t="s">
        <v>932</v>
      </c>
      <c r="N252" s="126" t="s">
        <v>5989</v>
      </c>
      <c r="O252" s="126" t="s">
        <v>5992</v>
      </c>
      <c r="P252" s="126" t="s">
        <v>45</v>
      </c>
      <c r="Q252" s="247" t="s">
        <v>5481</v>
      </c>
      <c r="R252" s="132" t="s">
        <v>3666</v>
      </c>
      <c r="S252" s="132" t="s">
        <v>3666</v>
      </c>
      <c r="T252" s="252"/>
    </row>
    <row r="253" spans="1:20" ht="30" customHeight="1">
      <c r="A253" s="143">
        <v>251</v>
      </c>
      <c r="B253" s="126" t="s">
        <v>2212</v>
      </c>
      <c r="C253" s="126" t="s">
        <v>5986</v>
      </c>
      <c r="D253" s="126" t="s">
        <v>1476</v>
      </c>
      <c r="E253" s="126" t="s">
        <v>5907</v>
      </c>
      <c r="F253" s="126" t="s">
        <v>5899</v>
      </c>
      <c r="G253" s="126" t="s">
        <v>0</v>
      </c>
      <c r="H253" s="126" t="s">
        <v>3614</v>
      </c>
      <c r="I253" s="126" t="s">
        <v>3596</v>
      </c>
      <c r="J253" s="126" t="s">
        <v>2679</v>
      </c>
      <c r="K253" s="127">
        <v>45799</v>
      </c>
      <c r="L253" s="126" t="s">
        <v>5478</v>
      </c>
      <c r="M253" s="126" t="s">
        <v>932</v>
      </c>
      <c r="N253" s="126" t="s">
        <v>5550</v>
      </c>
      <c r="O253" s="126" t="s">
        <v>5993</v>
      </c>
      <c r="P253" s="126" t="s">
        <v>45</v>
      </c>
      <c r="Q253" s="247" t="s">
        <v>5481</v>
      </c>
      <c r="R253" s="132" t="s">
        <v>3666</v>
      </c>
      <c r="S253" s="132" t="s">
        <v>3666</v>
      </c>
      <c r="T253" s="252"/>
    </row>
    <row r="254" spans="1:20" ht="30" customHeight="1">
      <c r="A254" s="143">
        <v>252</v>
      </c>
      <c r="B254" s="126" t="s">
        <v>5994</v>
      </c>
      <c r="C254" s="126" t="s">
        <v>5995</v>
      </c>
      <c r="D254" s="126" t="s">
        <v>5996</v>
      </c>
      <c r="E254" s="126" t="s">
        <v>5907</v>
      </c>
      <c r="F254" s="126" t="s">
        <v>5899</v>
      </c>
      <c r="G254" s="126" t="s">
        <v>0</v>
      </c>
      <c r="H254" s="126" t="s">
        <v>3595</v>
      </c>
      <c r="I254" s="126" t="s">
        <v>3596</v>
      </c>
      <c r="J254" s="126" t="s">
        <v>2880</v>
      </c>
      <c r="K254" s="127">
        <v>45801</v>
      </c>
      <c r="L254" s="126" t="s">
        <v>5997</v>
      </c>
      <c r="M254" s="126" t="s">
        <v>69</v>
      </c>
      <c r="N254" s="126" t="s">
        <v>5998</v>
      </c>
      <c r="O254" s="126" t="s">
        <v>5999</v>
      </c>
      <c r="P254" s="126" t="s">
        <v>26</v>
      </c>
      <c r="Q254" s="247" t="s">
        <v>49</v>
      </c>
      <c r="R254" s="132" t="s">
        <v>3674</v>
      </c>
      <c r="S254" s="132" t="s">
        <v>3715</v>
      </c>
      <c r="T254" s="252"/>
    </row>
    <row r="255" spans="1:20" s="134" customFormat="1" ht="30" customHeight="1">
      <c r="A255" s="143">
        <v>253</v>
      </c>
      <c r="B255" s="134" t="s">
        <v>2220</v>
      </c>
      <c r="C255" s="134" t="s">
        <v>5476</v>
      </c>
      <c r="D255" s="134" t="s">
        <v>5477</v>
      </c>
      <c r="E255" s="134" t="s">
        <v>5907</v>
      </c>
      <c r="F255" s="134" t="s">
        <v>5925</v>
      </c>
      <c r="G255" s="134" t="s">
        <v>0</v>
      </c>
      <c r="H255" s="134" t="s">
        <v>3595</v>
      </c>
      <c r="I255" s="134" t="s">
        <v>3596</v>
      </c>
      <c r="J255" s="134" t="s">
        <v>5463</v>
      </c>
      <c r="K255" s="135">
        <v>45804</v>
      </c>
      <c r="L255" s="134" t="s">
        <v>5806</v>
      </c>
      <c r="M255" s="134" t="s">
        <v>5807</v>
      </c>
      <c r="N255" s="134" t="s">
        <v>6000</v>
      </c>
      <c r="O255" s="134" t="s">
        <v>6001</v>
      </c>
      <c r="P255" s="134" t="s">
        <v>26</v>
      </c>
      <c r="Q255" s="248" t="s">
        <v>54</v>
      </c>
      <c r="R255" s="132" t="s">
        <v>3602</v>
      </c>
      <c r="S255" s="132" t="s">
        <v>3737</v>
      </c>
      <c r="T255" s="254"/>
    </row>
    <row r="256" spans="1:20" s="134" customFormat="1" ht="30" customHeight="1">
      <c r="A256" s="143">
        <v>254</v>
      </c>
      <c r="B256" s="134" t="s">
        <v>2228</v>
      </c>
      <c r="C256" s="134" t="s">
        <v>5541</v>
      </c>
      <c r="D256" s="134" t="s">
        <v>1476</v>
      </c>
      <c r="E256" s="134" t="s">
        <v>5924</v>
      </c>
      <c r="F256" s="134" t="s">
        <v>5938</v>
      </c>
      <c r="G256" s="134" t="s">
        <v>0</v>
      </c>
      <c r="H256" s="134" t="s">
        <v>3595</v>
      </c>
      <c r="I256" s="134" t="s">
        <v>3596</v>
      </c>
      <c r="J256" s="134" t="s">
        <v>2679</v>
      </c>
      <c r="K256" s="135">
        <v>45804</v>
      </c>
      <c r="L256" s="134" t="s">
        <v>5981</v>
      </c>
      <c r="M256" s="126" t="s">
        <v>3597</v>
      </c>
      <c r="N256" s="134" t="s">
        <v>5982</v>
      </c>
      <c r="O256" s="134" t="s">
        <v>5983</v>
      </c>
      <c r="P256" s="134" t="s">
        <v>26</v>
      </c>
      <c r="Q256" s="248" t="s">
        <v>54</v>
      </c>
      <c r="R256" s="132" t="s">
        <v>3666</v>
      </c>
      <c r="S256" s="132" t="s">
        <v>3835</v>
      </c>
      <c r="T256" s="254"/>
    </row>
    <row r="257" spans="1:20" s="134" customFormat="1" ht="30" customHeight="1">
      <c r="A257" s="143">
        <v>255</v>
      </c>
      <c r="B257" s="134" t="s">
        <v>2218</v>
      </c>
      <c r="C257" s="134" t="s">
        <v>5893</v>
      </c>
      <c r="D257" s="134" t="s">
        <v>1476</v>
      </c>
      <c r="E257" s="134" t="s">
        <v>5907</v>
      </c>
      <c r="F257" s="126" t="s">
        <v>5899</v>
      </c>
      <c r="G257" s="134" t="s">
        <v>0</v>
      </c>
      <c r="H257" s="134" t="s">
        <v>3595</v>
      </c>
      <c r="I257" s="134" t="s">
        <v>3596</v>
      </c>
      <c r="J257" s="134" t="s">
        <v>2679</v>
      </c>
      <c r="K257" s="135">
        <v>45804</v>
      </c>
      <c r="L257" s="134" t="s">
        <v>5621</v>
      </c>
      <c r="M257" s="134" t="s">
        <v>143</v>
      </c>
      <c r="N257" s="134" t="s">
        <v>6002</v>
      </c>
      <c r="O257" s="134" t="s">
        <v>6003</v>
      </c>
      <c r="P257" s="134" t="s">
        <v>45</v>
      </c>
      <c r="Q257" s="248" t="s">
        <v>54</v>
      </c>
      <c r="R257" s="132" t="s">
        <v>3666</v>
      </c>
      <c r="S257" s="132" t="s">
        <v>3715</v>
      </c>
      <c r="T257" s="254"/>
    </row>
    <row r="258" spans="1:20" s="134" customFormat="1" ht="30" customHeight="1">
      <c r="A258" s="143">
        <v>256</v>
      </c>
      <c r="B258" s="134" t="s">
        <v>2231</v>
      </c>
      <c r="C258" s="134" t="s">
        <v>5492</v>
      </c>
      <c r="D258" s="134" t="s">
        <v>1476</v>
      </c>
      <c r="E258" s="134" t="s">
        <v>5907</v>
      </c>
      <c r="F258" s="134" t="s">
        <v>5925</v>
      </c>
      <c r="G258" s="134" t="s">
        <v>0</v>
      </c>
      <c r="H258" s="134" t="s">
        <v>3614</v>
      </c>
      <c r="I258" s="134" t="s">
        <v>3596</v>
      </c>
      <c r="J258" s="134" t="s">
        <v>2880</v>
      </c>
      <c r="K258" s="135">
        <v>45805</v>
      </c>
      <c r="L258" s="134" t="s">
        <v>5478</v>
      </c>
      <c r="M258" s="134" t="s">
        <v>932</v>
      </c>
      <c r="N258" s="134" t="s">
        <v>5486</v>
      </c>
      <c r="O258" s="134" t="s">
        <v>6004</v>
      </c>
      <c r="P258" s="134" t="s">
        <v>45</v>
      </c>
      <c r="Q258" s="248" t="s">
        <v>5481</v>
      </c>
      <c r="R258" s="132" t="s">
        <v>3666</v>
      </c>
      <c r="S258" s="132" t="s">
        <v>3768</v>
      </c>
      <c r="T258" s="254"/>
    </row>
    <row r="259" spans="1:20" s="134" customFormat="1" ht="30" customHeight="1">
      <c r="A259" s="143">
        <v>257</v>
      </c>
      <c r="B259" s="136" t="s">
        <v>2238</v>
      </c>
      <c r="C259" s="136" t="s">
        <v>5826</v>
      </c>
      <c r="D259" s="136" t="s">
        <v>1476</v>
      </c>
      <c r="E259" s="134" t="s">
        <v>5924</v>
      </c>
      <c r="F259" s="134" t="s">
        <v>5925</v>
      </c>
      <c r="G259" s="134" t="s">
        <v>0</v>
      </c>
      <c r="H259" s="134" t="s">
        <v>3595</v>
      </c>
      <c r="I259" s="136" t="s">
        <v>3596</v>
      </c>
      <c r="J259" s="136" t="s">
        <v>2880</v>
      </c>
      <c r="K259" s="137">
        <v>45806</v>
      </c>
      <c r="L259" s="136" t="s">
        <v>6005</v>
      </c>
      <c r="M259" s="136" t="s">
        <v>6006</v>
      </c>
      <c r="N259" s="136" t="s">
        <v>6007</v>
      </c>
      <c r="O259" s="134" t="s">
        <v>6008</v>
      </c>
      <c r="P259" s="136" t="s">
        <v>26</v>
      </c>
      <c r="Q259" s="249" t="s">
        <v>49</v>
      </c>
      <c r="R259" s="132" t="s">
        <v>3674</v>
      </c>
      <c r="S259" s="132" t="s">
        <v>5568</v>
      </c>
      <c r="T259" s="254"/>
    </row>
    <row r="260" spans="1:20" s="134" customFormat="1" ht="30" customHeight="1">
      <c r="A260" s="143">
        <v>258</v>
      </c>
      <c r="B260" s="136" t="s">
        <v>2250</v>
      </c>
      <c r="C260" s="136" t="s">
        <v>6009</v>
      </c>
      <c r="D260" s="136" t="s">
        <v>1476</v>
      </c>
      <c r="E260" s="134" t="s">
        <v>5907</v>
      </c>
      <c r="F260" s="134" t="s">
        <v>5938</v>
      </c>
      <c r="G260" s="134" t="s">
        <v>0</v>
      </c>
      <c r="H260" s="134" t="s">
        <v>3595</v>
      </c>
      <c r="I260" s="136" t="s">
        <v>3596</v>
      </c>
      <c r="J260" s="136" t="s">
        <v>2679</v>
      </c>
      <c r="K260" s="137">
        <v>45806</v>
      </c>
      <c r="L260" s="136" t="s">
        <v>6010</v>
      </c>
      <c r="M260" s="126" t="s">
        <v>5534</v>
      </c>
      <c r="N260" s="136" t="s">
        <v>6011</v>
      </c>
      <c r="O260" s="134" t="s">
        <v>6012</v>
      </c>
      <c r="P260" s="136" t="s">
        <v>26</v>
      </c>
      <c r="Q260" s="249" t="s">
        <v>49</v>
      </c>
      <c r="R260" s="132" t="s">
        <v>3674</v>
      </c>
      <c r="S260" s="132" t="s">
        <v>3778</v>
      </c>
      <c r="T260" s="245"/>
    </row>
    <row r="261" spans="1:20" s="134" customFormat="1" ht="30" customHeight="1">
      <c r="A261" s="143">
        <v>259</v>
      </c>
      <c r="B261" s="136" t="s">
        <v>2246</v>
      </c>
      <c r="C261" s="136" t="s">
        <v>6013</v>
      </c>
      <c r="D261" s="136" t="s">
        <v>1476</v>
      </c>
      <c r="E261" s="134" t="s">
        <v>5907</v>
      </c>
      <c r="F261" s="134" t="s">
        <v>5925</v>
      </c>
      <c r="G261" s="136" t="s">
        <v>0</v>
      </c>
      <c r="H261" s="136" t="s">
        <v>3595</v>
      </c>
      <c r="I261" s="136" t="s">
        <v>3596</v>
      </c>
      <c r="J261" s="136" t="s">
        <v>2679</v>
      </c>
      <c r="K261" s="137">
        <v>45807</v>
      </c>
      <c r="L261" s="136" t="s">
        <v>5511</v>
      </c>
      <c r="M261" s="136" t="s">
        <v>386</v>
      </c>
      <c r="N261" s="136" t="s">
        <v>6014</v>
      </c>
      <c r="O261" s="134" t="s">
        <v>6015</v>
      </c>
      <c r="P261" s="136" t="s">
        <v>26</v>
      </c>
      <c r="Q261" s="249" t="s">
        <v>54</v>
      </c>
      <c r="R261" s="132" t="s">
        <v>3674</v>
      </c>
      <c r="S261" s="132" t="s">
        <v>3917</v>
      </c>
      <c r="T261" s="254"/>
    </row>
    <row r="262" spans="1:20" s="134" customFormat="1" ht="30" customHeight="1">
      <c r="A262" s="143">
        <v>260</v>
      </c>
      <c r="B262" s="136" t="s">
        <v>2247</v>
      </c>
      <c r="C262" s="136" t="s">
        <v>5635</v>
      </c>
      <c r="D262" s="136" t="s">
        <v>1911</v>
      </c>
      <c r="E262" s="134" t="s">
        <v>5898</v>
      </c>
      <c r="F262" s="134" t="s">
        <v>5925</v>
      </c>
      <c r="G262" s="136" t="s">
        <v>0</v>
      </c>
      <c r="H262" s="136" t="s">
        <v>3595</v>
      </c>
      <c r="I262" s="136" t="s">
        <v>3596</v>
      </c>
      <c r="J262" s="136" t="s">
        <v>2679</v>
      </c>
      <c r="K262" s="137">
        <v>45807</v>
      </c>
      <c r="L262" s="136" t="s">
        <v>5969</v>
      </c>
      <c r="M262" s="136" t="s">
        <v>816</v>
      </c>
      <c r="N262" s="136" t="s">
        <v>6016</v>
      </c>
      <c r="O262" s="134" t="s">
        <v>6017</v>
      </c>
      <c r="P262" s="136" t="s">
        <v>26</v>
      </c>
      <c r="Q262" s="249" t="s">
        <v>49</v>
      </c>
      <c r="R262" s="132" t="s">
        <v>3674</v>
      </c>
      <c r="S262" s="132" t="s">
        <v>4046</v>
      </c>
      <c r="T262" s="245"/>
    </row>
    <row r="263" spans="1:20" s="134" customFormat="1" ht="30" customHeight="1">
      <c r="A263" s="143">
        <v>261</v>
      </c>
      <c r="B263" s="136" t="s">
        <v>2258</v>
      </c>
      <c r="C263" s="136" t="s">
        <v>6018</v>
      </c>
      <c r="D263" s="136" t="s">
        <v>1476</v>
      </c>
      <c r="E263" s="134" t="s">
        <v>5907</v>
      </c>
      <c r="F263" s="134" t="s">
        <v>5899</v>
      </c>
      <c r="G263" s="136" t="s">
        <v>0</v>
      </c>
      <c r="H263" s="136" t="s">
        <v>3595</v>
      </c>
      <c r="I263" s="136" t="s">
        <v>3596</v>
      </c>
      <c r="J263" s="136" t="s">
        <v>2880</v>
      </c>
      <c r="K263" s="137">
        <v>45810</v>
      </c>
      <c r="L263" s="136" t="s">
        <v>5722</v>
      </c>
      <c r="M263" s="136" t="s">
        <v>347</v>
      </c>
      <c r="N263" s="136" t="s">
        <v>6019</v>
      </c>
      <c r="O263" s="134" t="s">
        <v>6020</v>
      </c>
      <c r="P263" s="136" t="s">
        <v>26</v>
      </c>
      <c r="Q263" s="249" t="s">
        <v>49</v>
      </c>
      <c r="R263" s="132" t="s">
        <v>3674</v>
      </c>
      <c r="S263" s="132" t="s">
        <v>3835</v>
      </c>
      <c r="T263" s="254"/>
    </row>
    <row r="264" spans="1:20" s="134" customFormat="1" ht="30" customHeight="1">
      <c r="A264" s="143">
        <v>262</v>
      </c>
      <c r="B264" s="134" t="s">
        <v>2280</v>
      </c>
      <c r="C264" s="136" t="s">
        <v>6021</v>
      </c>
      <c r="D264" s="136" t="s">
        <v>1476</v>
      </c>
      <c r="E264" s="134" t="s">
        <v>5907</v>
      </c>
      <c r="F264" s="134" t="s">
        <v>5925</v>
      </c>
      <c r="G264" s="136" t="s">
        <v>0</v>
      </c>
      <c r="H264" s="136" t="s">
        <v>3595</v>
      </c>
      <c r="I264" s="136" t="s">
        <v>3596</v>
      </c>
      <c r="J264" s="136" t="s">
        <v>2679</v>
      </c>
      <c r="K264" s="137">
        <v>45817</v>
      </c>
      <c r="L264" s="136" t="s">
        <v>6022</v>
      </c>
      <c r="M264" s="136" t="s">
        <v>958</v>
      </c>
      <c r="N264" s="136" t="s">
        <v>6023</v>
      </c>
      <c r="O264" s="266" t="s">
        <v>6024</v>
      </c>
      <c r="P264" s="134" t="s">
        <v>34</v>
      </c>
      <c r="Q264" s="249" t="s">
        <v>54</v>
      </c>
      <c r="R264" s="132" t="s">
        <v>3666</v>
      </c>
      <c r="S264" s="132" t="s">
        <v>3715</v>
      </c>
      <c r="T264" s="254"/>
    </row>
    <row r="265" spans="1:20" s="134" customFormat="1" ht="30" customHeight="1">
      <c r="A265" s="143">
        <v>263</v>
      </c>
      <c r="B265" s="134" t="s">
        <v>2288</v>
      </c>
      <c r="C265" s="136" t="s">
        <v>6025</v>
      </c>
      <c r="D265" s="136" t="s">
        <v>1591</v>
      </c>
      <c r="E265" s="134" t="s">
        <v>5907</v>
      </c>
      <c r="F265" s="134" t="s">
        <v>5925</v>
      </c>
      <c r="G265" s="136" t="s">
        <v>0</v>
      </c>
      <c r="H265" s="136" t="s">
        <v>3614</v>
      </c>
      <c r="I265" s="136" t="s">
        <v>3596</v>
      </c>
      <c r="J265" s="136"/>
      <c r="K265" s="137">
        <v>45818</v>
      </c>
      <c r="L265" s="136" t="s">
        <v>5478</v>
      </c>
      <c r="M265" s="136" t="s">
        <v>932</v>
      </c>
      <c r="N265" s="136" t="s">
        <v>5486</v>
      </c>
      <c r="O265" s="134" t="s">
        <v>6026</v>
      </c>
      <c r="P265" s="136" t="s">
        <v>45</v>
      </c>
      <c r="Q265" s="249" t="s">
        <v>5481</v>
      </c>
      <c r="R265" s="132" t="s">
        <v>3666</v>
      </c>
      <c r="S265" s="132" t="s">
        <v>3917</v>
      </c>
      <c r="T265" s="254"/>
    </row>
    <row r="266" spans="1:20" s="134" customFormat="1" ht="30" customHeight="1">
      <c r="A266" s="143">
        <v>264</v>
      </c>
      <c r="B266" s="134" t="s">
        <v>2286</v>
      </c>
      <c r="C266" s="136" t="s">
        <v>5503</v>
      </c>
      <c r="D266" s="136" t="s">
        <v>1476</v>
      </c>
      <c r="E266" s="134" t="s">
        <v>5924</v>
      </c>
      <c r="F266" s="134" t="s">
        <v>5938</v>
      </c>
      <c r="G266" s="136" t="s">
        <v>0</v>
      </c>
      <c r="H266" s="136" t="s">
        <v>3614</v>
      </c>
      <c r="I266" s="136" t="s">
        <v>3596</v>
      </c>
      <c r="J266" s="136" t="s">
        <v>2679</v>
      </c>
      <c r="K266" s="137">
        <v>45818</v>
      </c>
      <c r="L266" s="136" t="s">
        <v>5478</v>
      </c>
      <c r="M266" s="136" t="s">
        <v>932</v>
      </c>
      <c r="N266" s="136" t="s">
        <v>5486</v>
      </c>
      <c r="O266" s="134" t="s">
        <v>6027</v>
      </c>
      <c r="P266" s="136" t="s">
        <v>45</v>
      </c>
      <c r="Q266" s="249" t="s">
        <v>5481</v>
      </c>
      <c r="R266" s="132" t="s">
        <v>3656</v>
      </c>
      <c r="S266" s="132" t="s">
        <v>6028</v>
      </c>
      <c r="T266" s="254"/>
    </row>
    <row r="267" spans="1:20" s="134" customFormat="1" ht="30" customHeight="1">
      <c r="A267" s="143">
        <v>265</v>
      </c>
      <c r="B267" s="136" t="s">
        <v>2298</v>
      </c>
      <c r="C267" s="136" t="s">
        <v>5893</v>
      </c>
      <c r="D267" s="136" t="s">
        <v>1476</v>
      </c>
      <c r="E267" s="134" t="s">
        <v>5898</v>
      </c>
      <c r="F267" s="134" t="s">
        <v>5899</v>
      </c>
      <c r="G267" s="136" t="s">
        <v>0</v>
      </c>
      <c r="H267" s="136" t="s">
        <v>3614</v>
      </c>
      <c r="I267" s="136" t="s">
        <v>3596</v>
      </c>
      <c r="J267" s="136" t="s">
        <v>2679</v>
      </c>
      <c r="K267" s="137">
        <v>45819</v>
      </c>
      <c r="L267" s="136" t="s">
        <v>5478</v>
      </c>
      <c r="M267" s="136" t="s">
        <v>932</v>
      </c>
      <c r="N267" s="136" t="s">
        <v>5550</v>
      </c>
      <c r="O267" s="134" t="s">
        <v>6029</v>
      </c>
      <c r="P267" s="136" t="s">
        <v>45</v>
      </c>
      <c r="Q267" s="249" t="s">
        <v>5481</v>
      </c>
      <c r="R267" s="132" t="s">
        <v>3602</v>
      </c>
      <c r="S267" s="132" t="s">
        <v>3602</v>
      </c>
      <c r="T267" s="254"/>
    </row>
    <row r="268" spans="1:20" s="134" customFormat="1" ht="30" customHeight="1">
      <c r="A268" s="143">
        <v>266</v>
      </c>
      <c r="B268" s="136" t="s">
        <v>2305</v>
      </c>
      <c r="C268" s="136" t="s">
        <v>5653</v>
      </c>
      <c r="D268" s="136" t="s">
        <v>3801</v>
      </c>
      <c r="E268" s="134" t="s">
        <v>5907</v>
      </c>
      <c r="F268" s="134" t="s">
        <v>5938</v>
      </c>
      <c r="G268" s="136" t="s">
        <v>0</v>
      </c>
      <c r="H268" s="136" t="s">
        <v>3614</v>
      </c>
      <c r="I268" s="136" t="s">
        <v>3596</v>
      </c>
      <c r="K268" s="137">
        <v>45820</v>
      </c>
      <c r="L268" s="136" t="s">
        <v>5563</v>
      </c>
      <c r="M268" s="136" t="s">
        <v>735</v>
      </c>
      <c r="N268" s="134" t="s">
        <v>5975</v>
      </c>
      <c r="O268" s="134" t="s">
        <v>6030</v>
      </c>
      <c r="P268" s="136" t="s">
        <v>45</v>
      </c>
      <c r="Q268" s="249" t="s">
        <v>5481</v>
      </c>
      <c r="R268" s="132" t="s">
        <v>3666</v>
      </c>
      <c r="S268" s="132" t="s">
        <v>3666</v>
      </c>
      <c r="T268" s="254"/>
    </row>
    <row r="269" spans="1:20" s="134" customFormat="1" ht="30" customHeight="1">
      <c r="A269" s="143">
        <v>267</v>
      </c>
      <c r="B269" s="136" t="s">
        <v>2304</v>
      </c>
      <c r="C269" s="136" t="s">
        <v>5653</v>
      </c>
      <c r="D269" s="136" t="s">
        <v>3801</v>
      </c>
      <c r="E269" s="134" t="s">
        <v>5907</v>
      </c>
      <c r="F269" s="134" t="s">
        <v>5925</v>
      </c>
      <c r="G269" s="136" t="s">
        <v>0</v>
      </c>
      <c r="H269" s="136" t="s">
        <v>3614</v>
      </c>
      <c r="I269" s="136" t="s">
        <v>3596</v>
      </c>
      <c r="K269" s="137">
        <v>45820</v>
      </c>
      <c r="L269" s="136" t="s">
        <v>5563</v>
      </c>
      <c r="M269" s="136" t="s">
        <v>735</v>
      </c>
      <c r="N269" s="134" t="s">
        <v>5975</v>
      </c>
      <c r="O269" s="134" t="s">
        <v>6030</v>
      </c>
      <c r="P269" s="136" t="s">
        <v>45</v>
      </c>
      <c r="Q269" s="249" t="s">
        <v>5481</v>
      </c>
      <c r="R269" s="132" t="s">
        <v>3666</v>
      </c>
      <c r="S269" s="132" t="s">
        <v>3666</v>
      </c>
      <c r="T269" s="254"/>
    </row>
    <row r="270" spans="1:20" s="134" customFormat="1" ht="30" customHeight="1">
      <c r="A270" s="143">
        <v>268</v>
      </c>
      <c r="B270" s="136" t="s">
        <v>2303</v>
      </c>
      <c r="C270" s="136">
        <v>41200007</v>
      </c>
      <c r="D270" s="136" t="s">
        <v>1591</v>
      </c>
      <c r="E270" s="134" t="s">
        <v>3603</v>
      </c>
      <c r="F270" s="134" t="s">
        <v>3619</v>
      </c>
      <c r="G270" s="136" t="s">
        <v>0</v>
      </c>
      <c r="H270" s="136" t="s">
        <v>3614</v>
      </c>
      <c r="I270" s="136" t="s">
        <v>3596</v>
      </c>
      <c r="K270" s="137">
        <v>45820</v>
      </c>
      <c r="L270" s="136">
        <v>1100820800</v>
      </c>
      <c r="M270" s="136" t="s">
        <v>2862</v>
      </c>
      <c r="N270" s="134" t="s">
        <v>6031</v>
      </c>
      <c r="P270" s="136" t="s">
        <v>45</v>
      </c>
      <c r="Q270" s="249" t="s">
        <v>61</v>
      </c>
      <c r="R270" s="132"/>
      <c r="S270" s="132"/>
      <c r="T270" s="254"/>
    </row>
    <row r="271" spans="1:20" s="134" customFormat="1" ht="30" customHeight="1">
      <c r="A271" s="143">
        <v>269</v>
      </c>
      <c r="B271" s="136" t="s">
        <v>2320</v>
      </c>
      <c r="C271" s="136" t="s">
        <v>5653</v>
      </c>
      <c r="D271" s="136" t="s">
        <v>3801</v>
      </c>
      <c r="E271" s="134" t="s">
        <v>5924</v>
      </c>
      <c r="F271" s="134" t="s">
        <v>5925</v>
      </c>
      <c r="G271" s="136" t="s">
        <v>0</v>
      </c>
      <c r="H271" s="136" t="s">
        <v>3614</v>
      </c>
      <c r="I271" s="136" t="s">
        <v>3596</v>
      </c>
      <c r="J271" s="136" t="s">
        <v>5463</v>
      </c>
      <c r="K271" s="137">
        <v>45824</v>
      </c>
      <c r="L271" s="136" t="s">
        <v>5563</v>
      </c>
      <c r="M271" s="136" t="s">
        <v>735</v>
      </c>
      <c r="N271" s="136" t="s">
        <v>6032</v>
      </c>
      <c r="O271" s="134" t="s">
        <v>6033</v>
      </c>
      <c r="P271" s="136" t="s">
        <v>42</v>
      </c>
      <c r="Q271" s="249" t="s">
        <v>5481</v>
      </c>
      <c r="R271" s="132" t="s">
        <v>3656</v>
      </c>
      <c r="S271" s="132" t="s">
        <v>3987</v>
      </c>
      <c r="T271" s="254"/>
    </row>
    <row r="272" spans="1:20" s="134" customFormat="1" ht="30" customHeight="1">
      <c r="A272" s="143">
        <v>270</v>
      </c>
      <c r="B272" s="136" t="s">
        <v>2321</v>
      </c>
      <c r="C272" s="136" t="s">
        <v>5653</v>
      </c>
      <c r="D272" s="136" t="s">
        <v>3801</v>
      </c>
      <c r="E272" s="134" t="s">
        <v>5924</v>
      </c>
      <c r="F272" s="134" t="s">
        <v>5925</v>
      </c>
      <c r="G272" s="136" t="s">
        <v>0</v>
      </c>
      <c r="H272" s="136" t="s">
        <v>3614</v>
      </c>
      <c r="I272" s="136" t="s">
        <v>3596</v>
      </c>
      <c r="J272" s="136" t="s">
        <v>5463</v>
      </c>
      <c r="K272" s="137">
        <v>45824</v>
      </c>
      <c r="L272" s="136" t="s">
        <v>5563</v>
      </c>
      <c r="M272" s="136" t="s">
        <v>735</v>
      </c>
      <c r="N272" s="136" t="s">
        <v>6032</v>
      </c>
      <c r="O272" s="134" t="s">
        <v>6033</v>
      </c>
      <c r="P272" s="136" t="s">
        <v>42</v>
      </c>
      <c r="Q272" s="249" t="s">
        <v>5481</v>
      </c>
      <c r="R272" s="132" t="s">
        <v>3656</v>
      </c>
      <c r="S272" s="132" t="s">
        <v>3987</v>
      </c>
      <c r="T272" s="254"/>
    </row>
    <row r="273" spans="1:20" s="134" customFormat="1" ht="30" customHeight="1">
      <c r="A273" s="143">
        <v>271</v>
      </c>
      <c r="B273" s="136" t="s">
        <v>2312</v>
      </c>
      <c r="C273" s="136" t="s">
        <v>6034</v>
      </c>
      <c r="D273" s="136" t="s">
        <v>1482</v>
      </c>
      <c r="E273" s="134" t="s">
        <v>5924</v>
      </c>
      <c r="F273" s="134" t="s">
        <v>5925</v>
      </c>
      <c r="G273" s="136" t="s">
        <v>0</v>
      </c>
      <c r="H273" s="136" t="s">
        <v>3595</v>
      </c>
      <c r="I273" s="136" t="s">
        <v>3596</v>
      </c>
      <c r="J273" s="136" t="s">
        <v>5463</v>
      </c>
      <c r="K273" s="137">
        <v>45824</v>
      </c>
      <c r="L273" s="136" t="s">
        <v>6035</v>
      </c>
      <c r="M273" s="126" t="s">
        <v>3597</v>
      </c>
      <c r="N273" s="136" t="s">
        <v>6036</v>
      </c>
      <c r="O273" s="134" t="s">
        <v>6037</v>
      </c>
      <c r="P273" s="136" t="s">
        <v>30</v>
      </c>
      <c r="Q273" s="249" t="s">
        <v>49</v>
      </c>
      <c r="R273" s="132" t="s">
        <v>3993</v>
      </c>
      <c r="S273" s="132" t="s">
        <v>3993</v>
      </c>
      <c r="T273" s="254"/>
    </row>
    <row r="274" spans="1:20" s="134" customFormat="1" ht="30" customHeight="1">
      <c r="A274" s="143">
        <v>272</v>
      </c>
      <c r="B274" s="136" t="s">
        <v>2322</v>
      </c>
      <c r="C274" s="136" t="s">
        <v>5684</v>
      </c>
      <c r="D274" s="136" t="s">
        <v>1478</v>
      </c>
      <c r="E274" s="134" t="s">
        <v>5907</v>
      </c>
      <c r="F274" s="134" t="s">
        <v>5925</v>
      </c>
      <c r="G274" s="136" t="s">
        <v>0</v>
      </c>
      <c r="H274" s="136" t="s">
        <v>3614</v>
      </c>
      <c r="I274" s="136" t="s">
        <v>3596</v>
      </c>
      <c r="J274" s="136" t="s">
        <v>2880</v>
      </c>
      <c r="K274" s="137">
        <v>45824</v>
      </c>
      <c r="L274" s="136" t="s">
        <v>5478</v>
      </c>
      <c r="M274" s="136" t="s">
        <v>932</v>
      </c>
      <c r="N274" s="136" t="s">
        <v>6038</v>
      </c>
      <c r="O274" s="134" t="s">
        <v>6039</v>
      </c>
      <c r="P274" s="136" t="s">
        <v>45</v>
      </c>
      <c r="Q274" s="249" t="s">
        <v>5481</v>
      </c>
      <c r="R274" s="132" t="s">
        <v>3666</v>
      </c>
      <c r="S274" s="132" t="s">
        <v>5625</v>
      </c>
      <c r="T274" s="254"/>
    </row>
    <row r="275" spans="1:20" s="134" customFormat="1" ht="30" customHeight="1">
      <c r="A275" s="143">
        <v>273</v>
      </c>
      <c r="B275" s="134" t="s">
        <v>2323</v>
      </c>
      <c r="C275" s="136" t="s">
        <v>5492</v>
      </c>
      <c r="D275" s="136" t="s">
        <v>1476</v>
      </c>
      <c r="E275" s="134" t="s">
        <v>5907</v>
      </c>
      <c r="F275" s="134" t="s">
        <v>5925</v>
      </c>
      <c r="G275" s="136" t="s">
        <v>0</v>
      </c>
      <c r="H275" s="136" t="s">
        <v>3614</v>
      </c>
      <c r="I275" s="136" t="s">
        <v>3596</v>
      </c>
      <c r="J275" s="136" t="s">
        <v>2880</v>
      </c>
      <c r="K275" s="137">
        <v>45825</v>
      </c>
      <c r="L275" s="136" t="s">
        <v>5478</v>
      </c>
      <c r="M275" s="136" t="s">
        <v>932</v>
      </c>
      <c r="N275" s="136" t="s">
        <v>5486</v>
      </c>
      <c r="O275" s="134" t="s">
        <v>6040</v>
      </c>
      <c r="P275" s="136" t="s">
        <v>45</v>
      </c>
      <c r="Q275" s="249" t="s">
        <v>5481</v>
      </c>
      <c r="R275" s="132" t="s">
        <v>3666</v>
      </c>
      <c r="S275" s="132" t="s">
        <v>3917</v>
      </c>
      <c r="T275" s="254"/>
    </row>
    <row r="276" spans="1:20" s="134" customFormat="1" ht="30" customHeight="1">
      <c r="A276" s="143">
        <v>274</v>
      </c>
      <c r="B276" s="128" t="s">
        <v>2330</v>
      </c>
      <c r="C276" s="128" t="s">
        <v>5492</v>
      </c>
      <c r="D276" s="128" t="s">
        <v>1476</v>
      </c>
      <c r="E276" s="134" t="s">
        <v>5907</v>
      </c>
      <c r="F276" s="134" t="s">
        <v>5899</v>
      </c>
      <c r="G276" s="128" t="s">
        <v>0</v>
      </c>
      <c r="H276" s="128" t="s">
        <v>3595</v>
      </c>
      <c r="I276" s="128" t="s">
        <v>3596</v>
      </c>
      <c r="J276" s="128" t="s">
        <v>2679</v>
      </c>
      <c r="K276" s="131">
        <v>45826</v>
      </c>
      <c r="L276" s="128" t="s">
        <v>5657</v>
      </c>
      <c r="M276" s="126" t="s">
        <v>438</v>
      </c>
      <c r="N276" s="128" t="s">
        <v>6041</v>
      </c>
      <c r="O276" s="134" t="s">
        <v>6042</v>
      </c>
      <c r="P276" s="128" t="s">
        <v>30</v>
      </c>
      <c r="Q276" s="246" t="s">
        <v>49</v>
      </c>
      <c r="R276" s="132" t="s">
        <v>3993</v>
      </c>
      <c r="S276" s="132" t="s">
        <v>3895</v>
      </c>
      <c r="T276" s="254"/>
    </row>
    <row r="277" spans="1:20" ht="30" customHeight="1">
      <c r="A277" s="143">
        <v>275</v>
      </c>
      <c r="B277" s="128" t="s">
        <v>2330</v>
      </c>
      <c r="C277" s="128" t="s">
        <v>5492</v>
      </c>
      <c r="D277" s="128" t="s">
        <v>1476</v>
      </c>
      <c r="E277" s="134" t="s">
        <v>5907</v>
      </c>
      <c r="F277" s="134" t="s">
        <v>5899</v>
      </c>
      <c r="G277" s="128" t="s">
        <v>0</v>
      </c>
      <c r="H277" s="128" t="s">
        <v>3614</v>
      </c>
      <c r="I277" s="128" t="s">
        <v>3596</v>
      </c>
      <c r="J277" s="128" t="s">
        <v>2679</v>
      </c>
      <c r="K277" s="131">
        <v>45826</v>
      </c>
      <c r="L277" s="128" t="s">
        <v>5563</v>
      </c>
      <c r="M277" s="128" t="s">
        <v>735</v>
      </c>
      <c r="N277" s="128" t="s">
        <v>5975</v>
      </c>
      <c r="O277" s="130" t="s">
        <v>6043</v>
      </c>
      <c r="P277" s="128" t="s">
        <v>45</v>
      </c>
      <c r="Q277" s="246" t="s">
        <v>5481</v>
      </c>
      <c r="R277" s="132" t="s">
        <v>3656</v>
      </c>
      <c r="S277" s="132" t="s">
        <v>5568</v>
      </c>
      <c r="T277" s="252"/>
    </row>
    <row r="278" spans="1:20" ht="30" customHeight="1">
      <c r="A278" s="143">
        <v>276</v>
      </c>
      <c r="B278" s="128" t="s">
        <v>2330</v>
      </c>
      <c r="C278" s="128" t="s">
        <v>5492</v>
      </c>
      <c r="D278" s="128" t="s">
        <v>1476</v>
      </c>
      <c r="E278" s="134" t="s">
        <v>5907</v>
      </c>
      <c r="F278" s="134" t="s">
        <v>5899</v>
      </c>
      <c r="G278" s="128" t="s">
        <v>0</v>
      </c>
      <c r="H278" s="128" t="s">
        <v>3614</v>
      </c>
      <c r="I278" s="128" t="s">
        <v>3596</v>
      </c>
      <c r="J278" s="128" t="s">
        <v>2880</v>
      </c>
      <c r="K278" s="131">
        <v>45826</v>
      </c>
      <c r="L278" s="128" t="s">
        <v>5563</v>
      </c>
      <c r="M278" s="128" t="s">
        <v>735</v>
      </c>
      <c r="N278" s="128" t="s">
        <v>6044</v>
      </c>
      <c r="O278" s="130" t="s">
        <v>6045</v>
      </c>
      <c r="P278" s="128" t="s">
        <v>45</v>
      </c>
      <c r="Q278" s="246" t="s">
        <v>5481</v>
      </c>
      <c r="R278" s="132" t="s">
        <v>3656</v>
      </c>
      <c r="S278" s="132" t="s">
        <v>5568</v>
      </c>
      <c r="T278" s="252"/>
    </row>
    <row r="279" spans="1:20" ht="30" customHeight="1">
      <c r="A279" s="143">
        <v>277</v>
      </c>
      <c r="B279" s="128" t="s">
        <v>2337</v>
      </c>
      <c r="C279" s="128" t="s">
        <v>5893</v>
      </c>
      <c r="D279" s="128" t="s">
        <v>1476</v>
      </c>
      <c r="E279" s="134" t="s">
        <v>5924</v>
      </c>
      <c r="F279" s="134" t="s">
        <v>5925</v>
      </c>
      <c r="G279" s="128" t="s">
        <v>0</v>
      </c>
      <c r="H279" s="128" t="s">
        <v>3595</v>
      </c>
      <c r="I279" s="128" t="s">
        <v>3596</v>
      </c>
      <c r="J279" s="128" t="s">
        <v>2880</v>
      </c>
      <c r="K279" s="131">
        <v>45831</v>
      </c>
      <c r="L279" s="128" t="s">
        <v>5894</v>
      </c>
      <c r="M279" s="126" t="s">
        <v>438</v>
      </c>
      <c r="N279" s="128" t="s">
        <v>6046</v>
      </c>
      <c r="O279" s="130" t="s">
        <v>6047</v>
      </c>
      <c r="P279" s="128" t="s">
        <v>1463</v>
      </c>
      <c r="Q279" s="246" t="s">
        <v>54</v>
      </c>
      <c r="R279" s="132" t="s">
        <v>3993</v>
      </c>
      <c r="S279" s="132" t="s">
        <v>3895</v>
      </c>
      <c r="T279" s="252"/>
    </row>
    <row r="280" spans="1:20" ht="30" customHeight="1">
      <c r="A280" s="143">
        <v>278</v>
      </c>
      <c r="B280" s="128" t="s">
        <v>2336</v>
      </c>
      <c r="C280" s="128" t="s">
        <v>5880</v>
      </c>
      <c r="D280" s="128" t="s">
        <v>1476</v>
      </c>
      <c r="E280" s="134" t="s">
        <v>5924</v>
      </c>
      <c r="F280" s="134" t="s">
        <v>5925</v>
      </c>
      <c r="G280" s="128" t="s">
        <v>0</v>
      </c>
      <c r="H280" s="128" t="s">
        <v>3595</v>
      </c>
      <c r="I280" s="128" t="s">
        <v>3596</v>
      </c>
      <c r="J280" s="128" t="s">
        <v>2880</v>
      </c>
      <c r="K280" s="131">
        <v>45831</v>
      </c>
      <c r="L280" s="128">
        <v>1110200900</v>
      </c>
      <c r="M280" s="128" t="s">
        <v>5128</v>
      </c>
      <c r="N280" s="128" t="s">
        <v>6048</v>
      </c>
      <c r="O280" s="130" t="s">
        <v>6049</v>
      </c>
      <c r="P280" s="128" t="s">
        <v>26</v>
      </c>
      <c r="Q280" s="246" t="s">
        <v>54</v>
      </c>
      <c r="R280" s="132" t="s">
        <v>3656</v>
      </c>
      <c r="S280" s="132" t="s">
        <v>3987</v>
      </c>
      <c r="T280" s="252"/>
    </row>
    <row r="281" spans="1:20" ht="30" customHeight="1">
      <c r="A281" s="143">
        <v>279</v>
      </c>
      <c r="B281" s="128" t="s">
        <v>2350</v>
      </c>
      <c r="C281" s="128" t="s">
        <v>5476</v>
      </c>
      <c r="D281" s="128" t="s">
        <v>5477</v>
      </c>
      <c r="E281" s="134" t="s">
        <v>5898</v>
      </c>
      <c r="F281" s="134" t="s">
        <v>5925</v>
      </c>
      <c r="G281" s="128" t="s">
        <v>0</v>
      </c>
      <c r="H281" s="128" t="s">
        <v>3595</v>
      </c>
      <c r="I281" s="128" t="s">
        <v>3596</v>
      </c>
      <c r="J281" s="133"/>
      <c r="K281" s="131">
        <v>45833</v>
      </c>
      <c r="L281" s="128" t="s">
        <v>5891</v>
      </c>
      <c r="M281" s="128" t="s">
        <v>953</v>
      </c>
      <c r="N281" s="128" t="s">
        <v>6050</v>
      </c>
      <c r="O281" s="130" t="s">
        <v>6051</v>
      </c>
      <c r="P281" s="128" t="s">
        <v>3600</v>
      </c>
      <c r="Q281" s="246" t="s">
        <v>54</v>
      </c>
      <c r="R281" s="132" t="s">
        <v>4046</v>
      </c>
      <c r="S281" s="132" t="s">
        <v>4046</v>
      </c>
      <c r="T281" s="252"/>
    </row>
    <row r="282" spans="1:20" ht="30" customHeight="1">
      <c r="A282" s="143">
        <v>280</v>
      </c>
      <c r="B282" s="128" t="s">
        <v>2357</v>
      </c>
      <c r="C282" s="128" t="s">
        <v>5880</v>
      </c>
      <c r="D282" s="128" t="s">
        <v>1476</v>
      </c>
      <c r="E282" s="139" t="s">
        <v>5907</v>
      </c>
      <c r="F282" s="139" t="s">
        <v>5899</v>
      </c>
      <c r="G282" s="128" t="s">
        <v>0</v>
      </c>
      <c r="H282" s="128" t="s">
        <v>3614</v>
      </c>
      <c r="I282" s="128" t="s">
        <v>3596</v>
      </c>
      <c r="J282" s="128" t="s">
        <v>2679</v>
      </c>
      <c r="K282" s="131">
        <v>45834</v>
      </c>
      <c r="L282" s="128" t="s">
        <v>5478</v>
      </c>
      <c r="M282" s="128" t="s">
        <v>932</v>
      </c>
      <c r="N282" s="128" t="s">
        <v>6038</v>
      </c>
      <c r="O282" s="126" t="s">
        <v>6052</v>
      </c>
      <c r="P282" s="128" t="s">
        <v>42</v>
      </c>
      <c r="Q282" s="246" t="s">
        <v>5481</v>
      </c>
      <c r="R282" s="132" t="s">
        <v>3666</v>
      </c>
      <c r="S282" s="132" t="s">
        <v>3666</v>
      </c>
      <c r="T282" s="252"/>
    </row>
    <row r="283" spans="1:20" ht="30" customHeight="1">
      <c r="A283" s="143">
        <v>281</v>
      </c>
      <c r="B283" s="128" t="s">
        <v>2373</v>
      </c>
      <c r="C283" s="128" t="s">
        <v>5684</v>
      </c>
      <c r="D283" s="128" t="s">
        <v>1478</v>
      </c>
      <c r="E283" s="139" t="s">
        <v>5907</v>
      </c>
      <c r="F283" s="139" t="s">
        <v>5925</v>
      </c>
      <c r="G283" s="128" t="s">
        <v>0</v>
      </c>
      <c r="H283" s="128" t="s">
        <v>3595</v>
      </c>
      <c r="I283" s="128" t="s">
        <v>3596</v>
      </c>
      <c r="J283" s="128" t="s">
        <v>2880</v>
      </c>
      <c r="K283" s="131">
        <v>45838</v>
      </c>
      <c r="L283" s="128" t="s">
        <v>5709</v>
      </c>
      <c r="M283" s="128" t="s">
        <v>69</v>
      </c>
      <c r="N283" s="128" t="s">
        <v>6053</v>
      </c>
      <c r="O283" s="128" t="s">
        <v>6054</v>
      </c>
      <c r="P283" s="128" t="s">
        <v>26</v>
      </c>
      <c r="Q283" s="246" t="s">
        <v>49</v>
      </c>
      <c r="R283" s="132" t="s">
        <v>3674</v>
      </c>
      <c r="S283" s="132" t="s">
        <v>3715</v>
      </c>
      <c r="T283" s="252"/>
    </row>
    <row r="284" spans="1:20" ht="30" customHeight="1">
      <c r="A284" s="143">
        <v>282</v>
      </c>
      <c r="B284" s="128" t="s">
        <v>2373</v>
      </c>
      <c r="C284" s="128" t="s">
        <v>5684</v>
      </c>
      <c r="D284" s="128" t="s">
        <v>1478</v>
      </c>
      <c r="E284" s="139" t="s">
        <v>5907</v>
      </c>
      <c r="F284" s="139" t="s">
        <v>5925</v>
      </c>
      <c r="G284" s="128" t="s">
        <v>0</v>
      </c>
      <c r="H284" s="128" t="s">
        <v>3614</v>
      </c>
      <c r="I284" s="128" t="s">
        <v>3596</v>
      </c>
      <c r="J284" s="128" t="s">
        <v>2679</v>
      </c>
      <c r="K284" s="131">
        <v>45838</v>
      </c>
      <c r="L284" s="128" t="s">
        <v>5478</v>
      </c>
      <c r="M284" s="128" t="s">
        <v>932</v>
      </c>
      <c r="N284" s="128" t="s">
        <v>5486</v>
      </c>
      <c r="O284" s="128" t="s">
        <v>6055</v>
      </c>
      <c r="P284" s="128" t="s">
        <v>45</v>
      </c>
      <c r="Q284" s="246" t="s">
        <v>5481</v>
      </c>
      <c r="R284" s="132" t="s">
        <v>3666</v>
      </c>
      <c r="S284" s="132" t="s">
        <v>5625</v>
      </c>
      <c r="T284" s="252"/>
    </row>
    <row r="285" spans="1:20" ht="30" customHeight="1">
      <c r="A285" s="143">
        <v>283</v>
      </c>
      <c r="B285" s="128" t="s">
        <v>2373</v>
      </c>
      <c r="C285" s="128" t="s">
        <v>5684</v>
      </c>
      <c r="D285" s="128" t="s">
        <v>1478</v>
      </c>
      <c r="E285" s="139" t="s">
        <v>5907</v>
      </c>
      <c r="F285" s="139" t="s">
        <v>5925</v>
      </c>
      <c r="G285" s="128" t="s">
        <v>0</v>
      </c>
      <c r="H285" s="128" t="s">
        <v>3595</v>
      </c>
      <c r="I285" s="128" t="s">
        <v>3596</v>
      </c>
      <c r="J285" s="128" t="s">
        <v>2880</v>
      </c>
      <c r="K285" s="131">
        <v>45838</v>
      </c>
      <c r="L285" s="128" t="s">
        <v>6056</v>
      </c>
      <c r="M285" s="128" t="s">
        <v>799</v>
      </c>
      <c r="N285" s="128" t="s">
        <v>6057</v>
      </c>
      <c r="O285" s="128" t="s">
        <v>6058</v>
      </c>
      <c r="P285" s="128" t="s">
        <v>26</v>
      </c>
      <c r="Q285" s="246" t="s">
        <v>49</v>
      </c>
      <c r="R285" s="132" t="s">
        <v>3674</v>
      </c>
      <c r="S285" s="132" t="s">
        <v>3715</v>
      </c>
      <c r="T285" s="252"/>
    </row>
    <row r="286" spans="1:20" ht="30" customHeight="1">
      <c r="A286" s="143">
        <v>284</v>
      </c>
      <c r="B286" s="128" t="s">
        <v>2373</v>
      </c>
      <c r="C286" s="128" t="s">
        <v>5684</v>
      </c>
      <c r="D286" s="128" t="s">
        <v>1478</v>
      </c>
      <c r="E286" s="139" t="s">
        <v>5907</v>
      </c>
      <c r="F286" s="139" t="s">
        <v>5925</v>
      </c>
      <c r="G286" s="128" t="s">
        <v>0</v>
      </c>
      <c r="H286" s="128" t="s">
        <v>3595</v>
      </c>
      <c r="I286" s="128" t="s">
        <v>3596</v>
      </c>
      <c r="J286" s="128" t="s">
        <v>2880</v>
      </c>
      <c r="K286" s="131">
        <v>45838</v>
      </c>
      <c r="L286" s="128" t="s">
        <v>6059</v>
      </c>
      <c r="M286" s="128" t="s">
        <v>816</v>
      </c>
      <c r="N286" s="128" t="s">
        <v>6060</v>
      </c>
      <c r="O286" s="128" t="s">
        <v>6061</v>
      </c>
      <c r="P286" s="128" t="s">
        <v>26</v>
      </c>
      <c r="Q286" s="246" t="s">
        <v>49</v>
      </c>
      <c r="R286" s="132" t="s">
        <v>3674</v>
      </c>
      <c r="S286" s="132" t="s">
        <v>3715</v>
      </c>
      <c r="T286" s="252"/>
    </row>
    <row r="287" spans="1:20" ht="30" customHeight="1">
      <c r="A287" s="143">
        <v>285</v>
      </c>
      <c r="B287" s="132" t="s">
        <v>2359</v>
      </c>
      <c r="C287" s="256">
        <v>41000590</v>
      </c>
      <c r="D287" s="256" t="s">
        <v>5477</v>
      </c>
      <c r="E287" s="300" t="s">
        <v>3593</v>
      </c>
      <c r="F287" s="300" t="s">
        <v>3619</v>
      </c>
      <c r="G287" s="256" t="s">
        <v>0</v>
      </c>
      <c r="H287" s="256" t="s">
        <v>3614</v>
      </c>
      <c r="I287" s="256" t="s">
        <v>3596</v>
      </c>
      <c r="J287" s="256" t="s">
        <v>2880</v>
      </c>
      <c r="K287" s="301">
        <v>45839</v>
      </c>
      <c r="L287" s="256">
        <v>1100228300</v>
      </c>
      <c r="M287" s="256" t="s">
        <v>932</v>
      </c>
      <c r="N287" s="297" t="s">
        <v>6062</v>
      </c>
      <c r="O287" s="256" t="s">
        <v>6063</v>
      </c>
      <c r="P287" s="256" t="s">
        <v>45</v>
      </c>
      <c r="Q287" s="305" t="s">
        <v>5481</v>
      </c>
      <c r="R287" s="132" t="s">
        <v>3656</v>
      </c>
      <c r="S287" s="256" t="s">
        <v>3656</v>
      </c>
      <c r="T287" s="252"/>
    </row>
    <row r="288" spans="1:20" ht="30" customHeight="1">
      <c r="A288" s="143">
        <v>286</v>
      </c>
      <c r="B288" s="132" t="s">
        <v>2394</v>
      </c>
      <c r="C288" s="132">
        <v>41200150</v>
      </c>
      <c r="D288" s="132" t="s">
        <v>1476</v>
      </c>
      <c r="E288" s="139" t="s">
        <v>5907</v>
      </c>
      <c r="F288" s="139" t="s">
        <v>5925</v>
      </c>
      <c r="G288" s="132" t="s">
        <v>0</v>
      </c>
      <c r="H288" s="132" t="s">
        <v>3608</v>
      </c>
      <c r="I288" s="132" t="s">
        <v>5561</v>
      </c>
      <c r="J288" s="132" t="s">
        <v>2679</v>
      </c>
      <c r="K288" s="140">
        <v>45839</v>
      </c>
      <c r="L288" s="132">
        <v>1300136900</v>
      </c>
      <c r="M288" s="132" t="s">
        <v>651</v>
      </c>
      <c r="N288" s="126" t="s">
        <v>6064</v>
      </c>
      <c r="O288" s="132" t="s">
        <v>6065</v>
      </c>
      <c r="P288" s="126" t="s">
        <v>26</v>
      </c>
      <c r="Q288" s="250" t="s">
        <v>54</v>
      </c>
      <c r="R288" s="132" t="s">
        <v>3700</v>
      </c>
      <c r="S288" s="132" t="s">
        <v>3925</v>
      </c>
      <c r="T288" s="252"/>
    </row>
    <row r="289" spans="1:29" ht="30" customHeight="1">
      <c r="A289" s="143">
        <v>287</v>
      </c>
      <c r="B289" s="132" t="s">
        <v>2398</v>
      </c>
      <c r="C289" s="132">
        <v>41200119</v>
      </c>
      <c r="D289" s="132" t="s">
        <v>1476</v>
      </c>
      <c r="E289" s="139" t="s">
        <v>5907</v>
      </c>
      <c r="F289" s="139" t="s">
        <v>5899</v>
      </c>
      <c r="G289" s="132" t="s">
        <v>0</v>
      </c>
      <c r="H289" s="132" t="s">
        <v>3595</v>
      </c>
      <c r="I289" s="132" t="s">
        <v>3596</v>
      </c>
      <c r="J289" s="132" t="s">
        <v>2679</v>
      </c>
      <c r="K289" s="140">
        <v>45839</v>
      </c>
      <c r="L289" s="132">
        <v>1100300100</v>
      </c>
      <c r="M289" s="132" t="s">
        <v>680</v>
      </c>
      <c r="N289" s="126" t="s">
        <v>6066</v>
      </c>
      <c r="O289" s="132" t="s">
        <v>6067</v>
      </c>
      <c r="P289" s="132" t="s">
        <v>30</v>
      </c>
      <c r="Q289" s="250" t="s">
        <v>49</v>
      </c>
      <c r="R289" s="132" t="s">
        <v>3666</v>
      </c>
      <c r="S289" s="132" t="s">
        <v>3904</v>
      </c>
      <c r="T289" s="252"/>
    </row>
    <row r="290" spans="1:29" ht="30" customHeight="1">
      <c r="A290" s="143">
        <v>288</v>
      </c>
      <c r="B290" s="132" t="s">
        <v>2398</v>
      </c>
      <c r="C290" s="132">
        <v>41200119</v>
      </c>
      <c r="D290" s="132" t="s">
        <v>1476</v>
      </c>
      <c r="E290" s="139" t="s">
        <v>5907</v>
      </c>
      <c r="F290" s="139" t="s">
        <v>5899</v>
      </c>
      <c r="G290" s="132" t="s">
        <v>0</v>
      </c>
      <c r="H290" s="132" t="s">
        <v>3608</v>
      </c>
      <c r="I290" s="132" t="s">
        <v>5561</v>
      </c>
      <c r="J290" s="132" t="s">
        <v>2679</v>
      </c>
      <c r="K290" s="140">
        <v>45839</v>
      </c>
      <c r="L290" s="132">
        <v>1300136900</v>
      </c>
      <c r="M290" s="132" t="s">
        <v>651</v>
      </c>
      <c r="N290" s="126" t="s">
        <v>6064</v>
      </c>
      <c r="O290" s="132" t="s">
        <v>6068</v>
      </c>
      <c r="P290" s="126" t="s">
        <v>26</v>
      </c>
      <c r="Q290" s="250" t="s">
        <v>49</v>
      </c>
      <c r="R290" s="132" t="s">
        <v>3612</v>
      </c>
      <c r="S290" s="132" t="s">
        <v>3612</v>
      </c>
      <c r="T290" s="252"/>
    </row>
    <row r="291" spans="1:29" ht="30" customHeight="1">
      <c r="A291" s="143">
        <v>289</v>
      </c>
      <c r="B291" s="132" t="s">
        <v>2408</v>
      </c>
      <c r="C291" s="132">
        <v>41100207</v>
      </c>
      <c r="D291" s="132" t="s">
        <v>1591</v>
      </c>
      <c r="E291" s="139" t="s">
        <v>5907</v>
      </c>
      <c r="F291" s="139" t="s">
        <v>5925</v>
      </c>
      <c r="G291" s="132" t="s">
        <v>0</v>
      </c>
      <c r="H291" s="132" t="s">
        <v>3595</v>
      </c>
      <c r="I291" s="132" t="s">
        <v>3596</v>
      </c>
      <c r="J291" s="126"/>
      <c r="K291" s="140">
        <v>45841</v>
      </c>
      <c r="L291" s="132">
        <v>1310397900</v>
      </c>
      <c r="M291" s="132" t="s">
        <v>5060</v>
      </c>
      <c r="N291" s="132" t="s">
        <v>6069</v>
      </c>
      <c r="O291" s="126" t="s">
        <v>6070</v>
      </c>
      <c r="P291" s="126" t="s">
        <v>26</v>
      </c>
      <c r="Q291" s="247" t="s">
        <v>49</v>
      </c>
      <c r="R291" s="132" t="s">
        <v>6071</v>
      </c>
      <c r="S291" s="132" t="s">
        <v>3666</v>
      </c>
      <c r="T291" s="252"/>
    </row>
    <row r="292" spans="1:29" ht="30" customHeight="1">
      <c r="A292" s="143">
        <v>290</v>
      </c>
      <c r="B292" s="132" t="s">
        <v>2421</v>
      </c>
      <c r="C292" s="132">
        <v>41200076</v>
      </c>
      <c r="D292" s="132" t="s">
        <v>1476</v>
      </c>
      <c r="E292" s="126" t="s">
        <v>3593</v>
      </c>
      <c r="F292" s="126" t="s">
        <v>3594</v>
      </c>
      <c r="G292" s="132" t="s">
        <v>0</v>
      </c>
      <c r="H292" s="132" t="s">
        <v>3595</v>
      </c>
      <c r="I292" s="132" t="s">
        <v>3596</v>
      </c>
      <c r="J292" s="126" t="s">
        <v>2679</v>
      </c>
      <c r="K292" s="127">
        <v>45842</v>
      </c>
      <c r="L292" s="132">
        <v>1100008800</v>
      </c>
      <c r="M292" s="132" t="s">
        <v>143</v>
      </c>
      <c r="N292" s="132" t="s">
        <v>6072</v>
      </c>
      <c r="O292" s="126" t="s">
        <v>6073</v>
      </c>
      <c r="P292" s="126" t="s">
        <v>26</v>
      </c>
      <c r="Q292" s="247" t="s">
        <v>54</v>
      </c>
      <c r="R292" s="132" t="s">
        <v>3679</v>
      </c>
      <c r="S292" s="132" t="s">
        <v>3774</v>
      </c>
      <c r="T292" s="252"/>
    </row>
    <row r="293" spans="1:29" ht="30" customHeight="1">
      <c r="A293" s="143">
        <v>291</v>
      </c>
      <c r="B293" s="132" t="s">
        <v>2413</v>
      </c>
      <c r="C293" s="132">
        <v>41200007</v>
      </c>
      <c r="D293" s="132" t="s">
        <v>1591</v>
      </c>
      <c r="E293" s="126" t="s">
        <v>3603</v>
      </c>
      <c r="F293" s="126" t="s">
        <v>3619</v>
      </c>
      <c r="G293" s="132" t="s">
        <v>0</v>
      </c>
      <c r="H293" s="132" t="s">
        <v>3614</v>
      </c>
      <c r="I293" s="132" t="s">
        <v>3596</v>
      </c>
      <c r="J293" s="126"/>
      <c r="K293" s="127">
        <v>45842</v>
      </c>
      <c r="L293" s="132">
        <v>1100228300</v>
      </c>
      <c r="M293" s="132" t="s">
        <v>932</v>
      </c>
      <c r="N293" s="132" t="s">
        <v>6074</v>
      </c>
      <c r="O293" s="126" t="s">
        <v>6075</v>
      </c>
      <c r="P293" s="126" t="s">
        <v>45</v>
      </c>
      <c r="Q293" s="247" t="s">
        <v>5481</v>
      </c>
      <c r="R293" s="132" t="s">
        <v>3666</v>
      </c>
      <c r="S293" s="132" t="s">
        <v>3768</v>
      </c>
      <c r="T293" s="252"/>
    </row>
    <row r="294" spans="1:29" s="141" customFormat="1" ht="30" customHeight="1">
      <c r="A294" s="143">
        <v>292</v>
      </c>
      <c r="B294" s="132" t="s">
        <v>2429</v>
      </c>
      <c r="C294" s="132">
        <v>41200127</v>
      </c>
      <c r="D294" s="132" t="s">
        <v>1591</v>
      </c>
      <c r="E294" s="126" t="s">
        <v>3593</v>
      </c>
      <c r="F294" s="126" t="s">
        <v>3594</v>
      </c>
      <c r="G294" s="126" t="s">
        <v>0</v>
      </c>
      <c r="H294" s="132" t="s">
        <v>3595</v>
      </c>
      <c r="I294" s="132" t="s">
        <v>3596</v>
      </c>
      <c r="J294" s="126"/>
      <c r="K294" s="127">
        <v>45845</v>
      </c>
      <c r="L294" s="132">
        <v>1100219500</v>
      </c>
      <c r="M294" s="126" t="s">
        <v>438</v>
      </c>
      <c r="N294" s="126" t="s">
        <v>6076</v>
      </c>
      <c r="O294" s="126" t="s">
        <v>6077</v>
      </c>
      <c r="P294" s="126" t="s">
        <v>26</v>
      </c>
      <c r="Q294" s="247" t="s">
        <v>49</v>
      </c>
      <c r="R294" s="132" t="s">
        <v>3674</v>
      </c>
      <c r="S294" s="132" t="s">
        <v>5600</v>
      </c>
      <c r="T294" s="434"/>
      <c r="U294" s="130"/>
      <c r="V294" s="130"/>
      <c r="W294" s="130"/>
      <c r="X294" s="130"/>
      <c r="Y294" s="130"/>
      <c r="Z294" s="130"/>
      <c r="AA294" s="130"/>
      <c r="AB294" s="130"/>
      <c r="AC294" s="130"/>
    </row>
    <row r="295" spans="1:29" s="141" customFormat="1" ht="30" customHeight="1">
      <c r="A295" s="143">
        <v>293</v>
      </c>
      <c r="B295" s="132" t="s">
        <v>2428</v>
      </c>
      <c r="C295" s="132">
        <v>41000598</v>
      </c>
      <c r="D295" s="132" t="s">
        <v>1480</v>
      </c>
      <c r="E295" s="126" t="s">
        <v>3593</v>
      </c>
      <c r="F295" s="126" t="s">
        <v>3594</v>
      </c>
      <c r="G295" s="126" t="s">
        <v>0</v>
      </c>
      <c r="H295" s="132" t="s">
        <v>3595</v>
      </c>
      <c r="I295" s="132" t="s">
        <v>3596</v>
      </c>
      <c r="J295" s="126" t="s">
        <v>2880</v>
      </c>
      <c r="K295" s="127">
        <v>45845</v>
      </c>
      <c r="L295" s="132">
        <v>1100698200</v>
      </c>
      <c r="M295" s="132" t="s">
        <v>680</v>
      </c>
      <c r="N295" s="126" t="s">
        <v>6078</v>
      </c>
      <c r="O295" s="267" t="s">
        <v>6079</v>
      </c>
      <c r="P295" s="126" t="s">
        <v>5811</v>
      </c>
      <c r="Q295" s="247" t="s">
        <v>49</v>
      </c>
      <c r="R295" s="132" t="s">
        <v>3923</v>
      </c>
      <c r="S295" s="132" t="s">
        <v>3715</v>
      </c>
      <c r="T295" s="245"/>
      <c r="U295" s="245"/>
      <c r="V295" s="130"/>
      <c r="W295" s="130"/>
      <c r="X295" s="130"/>
      <c r="Y295" s="130"/>
      <c r="Z295" s="130"/>
      <c r="AA295" s="130"/>
      <c r="AB295" s="130"/>
      <c r="AC295" s="130"/>
    </row>
    <row r="296" spans="1:29" ht="30" customHeight="1">
      <c r="A296" s="143">
        <v>294</v>
      </c>
      <c r="B296" s="155" t="s">
        <v>2436</v>
      </c>
      <c r="C296" s="155">
        <v>41200006</v>
      </c>
      <c r="D296" s="155" t="s">
        <v>1477</v>
      </c>
      <c r="E296" s="261" t="s">
        <v>3603</v>
      </c>
      <c r="F296" s="261" t="s">
        <v>3604</v>
      </c>
      <c r="G296" s="261" t="s">
        <v>0</v>
      </c>
      <c r="H296" s="155" t="s">
        <v>3595</v>
      </c>
      <c r="I296" s="155" t="s">
        <v>3596</v>
      </c>
      <c r="J296" s="261"/>
      <c r="K296" s="435">
        <v>45846</v>
      </c>
      <c r="L296" s="155">
        <v>1120020500</v>
      </c>
      <c r="M296" s="155" t="s">
        <v>2441</v>
      </c>
      <c r="N296" s="155" t="s">
        <v>6080</v>
      </c>
      <c r="O296" s="268" t="s">
        <v>6081</v>
      </c>
      <c r="P296" s="261" t="s">
        <v>5811</v>
      </c>
      <c r="Q296" s="436" t="s">
        <v>49</v>
      </c>
      <c r="R296" s="132" t="s">
        <v>3724</v>
      </c>
      <c r="S296" s="132" t="s">
        <v>3724</v>
      </c>
      <c r="T296" s="184"/>
      <c r="U296" s="156"/>
      <c r="V296" s="156"/>
      <c r="W296" s="156"/>
      <c r="X296" s="156"/>
      <c r="Y296" s="156"/>
      <c r="Z296" s="156"/>
      <c r="AA296" s="156"/>
      <c r="AB296" s="156"/>
    </row>
    <row r="297" spans="1:29" s="156" customFormat="1" ht="30" customHeight="1">
      <c r="A297" s="143">
        <v>295</v>
      </c>
      <c r="B297" s="155" t="s">
        <v>2450</v>
      </c>
      <c r="C297" s="258">
        <v>41200033</v>
      </c>
      <c r="D297" s="258" t="s">
        <v>1476</v>
      </c>
      <c r="E297" s="298" t="s">
        <v>3603</v>
      </c>
      <c r="F297" s="298" t="s">
        <v>3619</v>
      </c>
      <c r="G297" s="298" t="s">
        <v>0</v>
      </c>
      <c r="H297" s="258" t="s">
        <v>3614</v>
      </c>
      <c r="I297" s="258" t="s">
        <v>3596</v>
      </c>
      <c r="J297" s="298" t="s">
        <v>2880</v>
      </c>
      <c r="K297" s="299">
        <v>45849</v>
      </c>
      <c r="L297" s="258">
        <v>1100273700</v>
      </c>
      <c r="M297" s="258" t="s">
        <v>735</v>
      </c>
      <c r="N297" s="258" t="s">
        <v>5105</v>
      </c>
      <c r="O297" s="303" t="s">
        <v>6082</v>
      </c>
      <c r="P297" s="298" t="s">
        <v>45</v>
      </c>
      <c r="Q297" s="304" t="s">
        <v>5481</v>
      </c>
      <c r="R297" s="132" t="s">
        <v>3666</v>
      </c>
      <c r="S297" s="256" t="s">
        <v>3666</v>
      </c>
      <c r="T297" s="184"/>
      <c r="AC297" s="184"/>
    </row>
    <row r="298" spans="1:29" s="156" customFormat="1" ht="30" customHeight="1">
      <c r="A298" s="143">
        <v>296</v>
      </c>
      <c r="B298" s="183" t="s">
        <v>2474</v>
      </c>
      <c r="C298" s="183">
        <v>41200034</v>
      </c>
      <c r="D298" s="183" t="s">
        <v>1476</v>
      </c>
      <c r="E298" s="269" t="s">
        <v>3593</v>
      </c>
      <c r="F298" s="269" t="s">
        <v>3594</v>
      </c>
      <c r="G298" s="269" t="s">
        <v>0</v>
      </c>
      <c r="H298" s="183" t="s">
        <v>3595</v>
      </c>
      <c r="I298" s="269" t="s">
        <v>2894</v>
      </c>
      <c r="J298" s="269" t="s">
        <v>2880</v>
      </c>
      <c r="K298" s="431">
        <v>45852</v>
      </c>
      <c r="L298" s="183">
        <v>1110238500</v>
      </c>
      <c r="M298" s="183" t="s">
        <v>2415</v>
      </c>
      <c r="N298" s="269" t="s">
        <v>6083</v>
      </c>
      <c r="O298" s="269" t="s">
        <v>6084</v>
      </c>
      <c r="P298" s="269" t="s">
        <v>30</v>
      </c>
      <c r="Q298" s="437" t="s">
        <v>49</v>
      </c>
      <c r="R298" s="132" t="s">
        <v>3993</v>
      </c>
      <c r="S298" s="132" t="s">
        <v>3993</v>
      </c>
      <c r="T298" s="184"/>
      <c r="AC298" s="184"/>
    </row>
    <row r="299" spans="1:29" s="182" customFormat="1" ht="30" customHeight="1">
      <c r="A299" s="143">
        <v>297</v>
      </c>
      <c r="B299" s="269" t="s">
        <v>2481</v>
      </c>
      <c r="C299" s="269">
        <v>41200076</v>
      </c>
      <c r="D299" s="269" t="s">
        <v>1476</v>
      </c>
      <c r="E299" s="269" t="s">
        <v>3593</v>
      </c>
      <c r="F299" s="269" t="s">
        <v>3594</v>
      </c>
      <c r="G299" s="269" t="s">
        <v>0</v>
      </c>
      <c r="H299" s="183" t="s">
        <v>3614</v>
      </c>
      <c r="I299" s="269" t="s">
        <v>3596</v>
      </c>
      <c r="J299" s="269" t="s">
        <v>2880</v>
      </c>
      <c r="K299" s="431">
        <v>45853</v>
      </c>
      <c r="L299" s="183">
        <v>1100228300</v>
      </c>
      <c r="M299" s="183" t="s">
        <v>932</v>
      </c>
      <c r="N299" s="269" t="s">
        <v>5542</v>
      </c>
      <c r="O299" s="269" t="s">
        <v>6085</v>
      </c>
      <c r="P299" s="269" t="s">
        <v>45</v>
      </c>
      <c r="Q299" s="437" t="s">
        <v>5481</v>
      </c>
      <c r="R299" s="155" t="s">
        <v>3656</v>
      </c>
      <c r="S299" s="155" t="s">
        <v>3987</v>
      </c>
      <c r="T299" s="438"/>
      <c r="U299" s="269"/>
      <c r="V299" s="269"/>
      <c r="W299" s="269"/>
      <c r="X299" s="269"/>
      <c r="Y299" s="269"/>
      <c r="Z299" s="269"/>
      <c r="AA299" s="269"/>
      <c r="AB299" s="269"/>
      <c r="AC299" s="269"/>
    </row>
    <row r="300" spans="1:29" s="138" customFormat="1" ht="30" customHeight="1">
      <c r="A300" s="143">
        <v>298</v>
      </c>
      <c r="B300" s="132" t="s">
        <v>2489</v>
      </c>
      <c r="C300" s="132">
        <v>41200074</v>
      </c>
      <c r="D300" s="132" t="s">
        <v>1478</v>
      </c>
      <c r="E300" s="132" t="s">
        <v>3593</v>
      </c>
      <c r="F300" s="132" t="s">
        <v>3619</v>
      </c>
      <c r="G300" s="132" t="s">
        <v>0</v>
      </c>
      <c r="H300" s="132" t="s">
        <v>3595</v>
      </c>
      <c r="I300" s="132" t="s">
        <v>3596</v>
      </c>
      <c r="J300" s="132" t="s">
        <v>71</v>
      </c>
      <c r="K300" s="140">
        <v>45854</v>
      </c>
      <c r="L300" s="132">
        <v>1100036700</v>
      </c>
      <c r="M300" s="132" t="s">
        <v>386</v>
      </c>
      <c r="N300" s="132" t="s">
        <v>6086</v>
      </c>
      <c r="O300" s="132" t="s">
        <v>6086</v>
      </c>
      <c r="P300" s="132" t="s">
        <v>26</v>
      </c>
      <c r="Q300" s="132" t="s">
        <v>54</v>
      </c>
      <c r="R300" s="132" t="s">
        <v>3674</v>
      </c>
      <c r="S300" s="132" t="s">
        <v>6087</v>
      </c>
      <c r="T300" s="133"/>
      <c r="U300" s="133"/>
      <c r="V300" s="133"/>
      <c r="W300" s="133"/>
      <c r="X300" s="133"/>
      <c r="Y300" s="133"/>
      <c r="Z300" s="133"/>
      <c r="AA300" s="133"/>
      <c r="AB300" s="133"/>
      <c r="AC300" s="133"/>
    </row>
    <row r="301" spans="1:29" s="138" customFormat="1" ht="30" customHeight="1">
      <c r="A301" s="143">
        <v>299</v>
      </c>
      <c r="B301" s="132" t="s">
        <v>2489</v>
      </c>
      <c r="C301" s="132">
        <v>41200074</v>
      </c>
      <c r="D301" s="132" t="s">
        <v>1478</v>
      </c>
      <c r="E301" s="132" t="s">
        <v>3593</v>
      </c>
      <c r="F301" s="132" t="s">
        <v>3619</v>
      </c>
      <c r="G301" s="132" t="s">
        <v>0</v>
      </c>
      <c r="H301" s="132" t="s">
        <v>3595</v>
      </c>
      <c r="I301" s="132" t="s">
        <v>3596</v>
      </c>
      <c r="J301" s="132" t="s">
        <v>71</v>
      </c>
      <c r="K301" s="140">
        <v>45854</v>
      </c>
      <c r="L301" s="132">
        <v>1100020600</v>
      </c>
      <c r="M301" s="132" t="s">
        <v>816</v>
      </c>
      <c r="N301" s="132" t="s">
        <v>6088</v>
      </c>
      <c r="O301" s="132" t="s">
        <v>6089</v>
      </c>
      <c r="P301" s="132" t="s">
        <v>26</v>
      </c>
      <c r="Q301" s="132" t="s">
        <v>49</v>
      </c>
      <c r="R301" s="132" t="s">
        <v>3674</v>
      </c>
      <c r="S301" s="132" t="s">
        <v>5641</v>
      </c>
      <c r="T301" s="133"/>
      <c r="U301" s="133"/>
      <c r="V301" s="133"/>
      <c r="W301" s="133"/>
      <c r="X301" s="133"/>
      <c r="Y301" s="133"/>
      <c r="Z301" s="133"/>
      <c r="AA301" s="133"/>
      <c r="AB301" s="133"/>
      <c r="AC301" s="133"/>
    </row>
    <row r="302" spans="1:29" s="157" customFormat="1" ht="30" customHeight="1">
      <c r="A302" s="143">
        <v>300</v>
      </c>
      <c r="B302" s="256" t="s">
        <v>2503</v>
      </c>
      <c r="C302" s="132">
        <v>41200075</v>
      </c>
      <c r="D302" s="132" t="s">
        <v>1476</v>
      </c>
      <c r="E302" s="126" t="s">
        <v>3593</v>
      </c>
      <c r="F302" s="126" t="s">
        <v>3594</v>
      </c>
      <c r="G302" s="132" t="s">
        <v>0</v>
      </c>
      <c r="H302" s="132" t="s">
        <v>3608</v>
      </c>
      <c r="I302" s="132" t="s">
        <v>5561</v>
      </c>
      <c r="J302" s="132" t="s">
        <v>2679</v>
      </c>
      <c r="K302" s="140">
        <v>45855</v>
      </c>
      <c r="L302" s="132">
        <v>1200064600</v>
      </c>
      <c r="M302" s="132" t="s">
        <v>5086</v>
      </c>
      <c r="N302" s="132" t="s">
        <v>6090</v>
      </c>
      <c r="O302" s="126" t="s">
        <v>6091</v>
      </c>
      <c r="P302" s="132" t="s">
        <v>30</v>
      </c>
      <c r="Q302" s="132" t="s">
        <v>49</v>
      </c>
      <c r="R302" s="132" t="s">
        <v>3730</v>
      </c>
      <c r="S302" s="132" t="s">
        <v>3730</v>
      </c>
    </row>
    <row r="303" spans="1:29" ht="30" customHeight="1">
      <c r="A303" s="143">
        <v>301</v>
      </c>
      <c r="B303" s="256" t="s">
        <v>2503</v>
      </c>
      <c r="C303" s="132">
        <v>41200075</v>
      </c>
      <c r="D303" s="132" t="s">
        <v>1476</v>
      </c>
      <c r="E303" s="132" t="s">
        <v>3593</v>
      </c>
      <c r="F303" s="126" t="s">
        <v>3594</v>
      </c>
      <c r="G303" s="132" t="s">
        <v>0</v>
      </c>
      <c r="H303" s="132" t="s">
        <v>3595</v>
      </c>
      <c r="I303" s="132" t="s">
        <v>3596</v>
      </c>
      <c r="J303" s="132" t="s">
        <v>2679</v>
      </c>
      <c r="K303" s="140">
        <v>45855</v>
      </c>
      <c r="L303" s="132">
        <v>1100300100</v>
      </c>
      <c r="M303" s="132" t="s">
        <v>680</v>
      </c>
      <c r="N303" s="132" t="s">
        <v>6066</v>
      </c>
      <c r="O303" s="130" t="s">
        <v>5085</v>
      </c>
      <c r="P303" s="132" t="s">
        <v>30</v>
      </c>
      <c r="Q303" s="132" t="s">
        <v>49</v>
      </c>
      <c r="R303" s="132" t="s">
        <v>3993</v>
      </c>
      <c r="S303" s="132" t="s">
        <v>3771</v>
      </c>
      <c r="T303" s="252"/>
    </row>
    <row r="304" spans="1:29" ht="30" customHeight="1">
      <c r="A304" s="143">
        <v>302</v>
      </c>
      <c r="B304" s="258" t="s">
        <v>2502</v>
      </c>
      <c r="C304" s="155">
        <v>41100286</v>
      </c>
      <c r="D304" s="155" t="s">
        <v>1476</v>
      </c>
      <c r="E304" s="155" t="s">
        <v>3593</v>
      </c>
      <c r="F304" s="155" t="s">
        <v>3619</v>
      </c>
      <c r="G304" s="155" t="s">
        <v>0</v>
      </c>
      <c r="H304" s="155" t="s">
        <v>3595</v>
      </c>
      <c r="I304" s="155" t="s">
        <v>2894</v>
      </c>
      <c r="J304" s="155" t="s">
        <v>2679</v>
      </c>
      <c r="K304" s="259">
        <v>45855</v>
      </c>
      <c r="L304" s="155">
        <v>1100360800</v>
      </c>
      <c r="M304" s="155" t="s">
        <v>5082</v>
      </c>
      <c r="N304" s="155" t="s">
        <v>6092</v>
      </c>
      <c r="O304" s="269" t="s">
        <v>6093</v>
      </c>
      <c r="P304" s="155" t="s">
        <v>30</v>
      </c>
      <c r="Q304" s="155" t="s">
        <v>49</v>
      </c>
      <c r="R304" s="155" t="s">
        <v>3711</v>
      </c>
      <c r="S304" s="155" t="s">
        <v>3711</v>
      </c>
      <c r="T304" s="252"/>
    </row>
    <row r="305" spans="1:20" ht="30" customHeight="1">
      <c r="A305" s="143">
        <v>303</v>
      </c>
      <c r="B305" s="132" t="s">
        <v>2512</v>
      </c>
      <c r="C305" s="132">
        <v>41200074</v>
      </c>
      <c r="D305" s="132" t="s">
        <v>1478</v>
      </c>
      <c r="E305" s="132" t="s">
        <v>3603</v>
      </c>
      <c r="F305" s="126" t="s">
        <v>5899</v>
      </c>
      <c r="G305" s="132" t="s">
        <v>0</v>
      </c>
      <c r="H305" s="132" t="s">
        <v>3614</v>
      </c>
      <c r="I305" s="132" t="s">
        <v>3596</v>
      </c>
      <c r="J305" s="132" t="s">
        <v>2880</v>
      </c>
      <c r="K305" s="140">
        <v>45856</v>
      </c>
      <c r="L305" s="132">
        <v>1100273700</v>
      </c>
      <c r="M305" s="132" t="s">
        <v>735</v>
      </c>
      <c r="N305" s="132" t="s">
        <v>6094</v>
      </c>
      <c r="O305" s="126" t="s">
        <v>6095</v>
      </c>
      <c r="P305" s="132" t="s">
        <v>45</v>
      </c>
      <c r="Q305" s="132" t="s">
        <v>5481</v>
      </c>
      <c r="R305" s="132" t="s">
        <v>5625</v>
      </c>
      <c r="S305" s="132" t="s">
        <v>3666</v>
      </c>
      <c r="T305" s="252"/>
    </row>
    <row r="306" spans="1:20" ht="30" customHeight="1">
      <c r="A306" s="143">
        <v>304</v>
      </c>
      <c r="B306" s="132" t="s">
        <v>2512</v>
      </c>
      <c r="C306" s="132">
        <v>41200074</v>
      </c>
      <c r="D306" s="132" t="s">
        <v>1478</v>
      </c>
      <c r="E306" s="132" t="s">
        <v>3603</v>
      </c>
      <c r="F306" s="126" t="s">
        <v>5899</v>
      </c>
      <c r="G306" s="132" t="s">
        <v>0</v>
      </c>
      <c r="H306" s="132" t="s">
        <v>3614</v>
      </c>
      <c r="I306" s="132" t="s">
        <v>3596</v>
      </c>
      <c r="J306" s="132" t="s">
        <v>2880</v>
      </c>
      <c r="K306" s="140">
        <v>45856</v>
      </c>
      <c r="L306" s="132">
        <v>1100228300</v>
      </c>
      <c r="M306" s="132" t="s">
        <v>932</v>
      </c>
      <c r="N306" s="132" t="s">
        <v>6096</v>
      </c>
      <c r="O306" s="126" t="s">
        <v>6097</v>
      </c>
      <c r="P306" s="132" t="s">
        <v>45</v>
      </c>
      <c r="Q306" s="132" t="s">
        <v>5481</v>
      </c>
      <c r="R306" s="132" t="s">
        <v>5625</v>
      </c>
      <c r="S306" s="132" t="s">
        <v>3666</v>
      </c>
      <c r="T306" s="252"/>
    </row>
    <row r="307" spans="1:20" ht="30" customHeight="1">
      <c r="A307" s="143">
        <v>305</v>
      </c>
      <c r="B307" s="155" t="s">
        <v>2512</v>
      </c>
      <c r="C307" s="155">
        <v>41200074</v>
      </c>
      <c r="D307" s="155" t="s">
        <v>1478</v>
      </c>
      <c r="E307" s="155" t="s">
        <v>3603</v>
      </c>
      <c r="F307" s="261" t="s">
        <v>5899</v>
      </c>
      <c r="G307" s="155" t="s">
        <v>0</v>
      </c>
      <c r="H307" s="155" t="s">
        <v>3614</v>
      </c>
      <c r="I307" s="155" t="s">
        <v>3596</v>
      </c>
      <c r="J307" s="155" t="s">
        <v>2880</v>
      </c>
      <c r="K307" s="259">
        <v>45856</v>
      </c>
      <c r="L307" s="155">
        <v>1100273700</v>
      </c>
      <c r="M307" s="155" t="s">
        <v>735</v>
      </c>
      <c r="N307" s="155" t="s">
        <v>6098</v>
      </c>
      <c r="O307" s="155" t="s">
        <v>5091</v>
      </c>
      <c r="P307" s="155" t="s">
        <v>45</v>
      </c>
      <c r="Q307" s="155" t="s">
        <v>5481</v>
      </c>
      <c r="R307" s="155" t="s">
        <v>5625</v>
      </c>
      <c r="S307" s="155" t="s">
        <v>3666</v>
      </c>
      <c r="T307" s="252"/>
    </row>
    <row r="308" spans="1:20" ht="30" customHeight="1">
      <c r="A308" s="143">
        <v>306</v>
      </c>
      <c r="B308" s="155" t="s">
        <v>2519</v>
      </c>
      <c r="C308" s="155">
        <v>41100502</v>
      </c>
      <c r="D308" s="155" t="s">
        <v>1591</v>
      </c>
      <c r="E308" s="155" t="s">
        <v>3603</v>
      </c>
      <c r="F308" s="155" t="s">
        <v>3619</v>
      </c>
      <c r="G308" s="155" t="s">
        <v>0</v>
      </c>
      <c r="H308" s="155" t="s">
        <v>3595</v>
      </c>
      <c r="I308" s="155" t="s">
        <v>3596</v>
      </c>
      <c r="J308" s="155" t="s">
        <v>71</v>
      </c>
      <c r="K308" s="259">
        <v>45859</v>
      </c>
      <c r="L308" s="155">
        <v>1120021700</v>
      </c>
      <c r="M308" s="155" t="s">
        <v>2509</v>
      </c>
      <c r="N308" s="155" t="s">
        <v>6099</v>
      </c>
      <c r="O308" s="269" t="s">
        <v>6100</v>
      </c>
      <c r="P308" s="155" t="s">
        <v>26</v>
      </c>
      <c r="Q308" s="155" t="s">
        <v>49</v>
      </c>
      <c r="R308" s="155" t="s">
        <v>3666</v>
      </c>
      <c r="S308" s="155" t="s">
        <v>3904</v>
      </c>
      <c r="T308" s="252"/>
    </row>
    <row r="309" spans="1:20" ht="30" customHeight="1">
      <c r="A309" s="143">
        <v>307</v>
      </c>
      <c r="B309" s="132" t="s">
        <v>2539</v>
      </c>
      <c r="C309" s="132">
        <v>41100435</v>
      </c>
      <c r="D309" s="132" t="s">
        <v>3801</v>
      </c>
      <c r="E309" s="132" t="s">
        <v>3603</v>
      </c>
      <c r="F309" s="132" t="s">
        <v>3619</v>
      </c>
      <c r="G309" s="132" t="s">
        <v>0</v>
      </c>
      <c r="H309" s="132" t="s">
        <v>3608</v>
      </c>
      <c r="I309" s="132" t="s">
        <v>5561</v>
      </c>
      <c r="J309" s="132" t="s">
        <v>71</v>
      </c>
      <c r="K309" s="140">
        <v>45861</v>
      </c>
      <c r="L309" s="132">
        <v>1300136900</v>
      </c>
      <c r="M309" s="132" t="s">
        <v>651</v>
      </c>
      <c r="N309" s="132" t="s">
        <v>5839</v>
      </c>
      <c r="O309" s="130" t="s">
        <v>6101</v>
      </c>
      <c r="P309" s="132" t="s">
        <v>26</v>
      </c>
      <c r="Q309" s="132" t="s">
        <v>49</v>
      </c>
      <c r="R309" s="132" t="s">
        <v>3700</v>
      </c>
      <c r="S309" s="132" t="s">
        <v>3925</v>
      </c>
      <c r="T309" s="252"/>
    </row>
    <row r="310" spans="1:20" ht="30" customHeight="1">
      <c r="A310" s="143">
        <v>308</v>
      </c>
      <c r="B310" s="132" t="s">
        <v>2547</v>
      </c>
      <c r="C310" s="132">
        <v>41200006</v>
      </c>
      <c r="D310" s="132" t="s">
        <v>1477</v>
      </c>
      <c r="E310" s="132" t="s">
        <v>3593</v>
      </c>
      <c r="F310" s="132" t="s">
        <v>3619</v>
      </c>
      <c r="G310" s="132" t="s">
        <v>0</v>
      </c>
      <c r="H310" s="132" t="s">
        <v>3595</v>
      </c>
      <c r="I310" s="132" t="s">
        <v>3596</v>
      </c>
      <c r="J310" s="132" t="s">
        <v>71</v>
      </c>
      <c r="K310" s="140">
        <v>45861</v>
      </c>
      <c r="L310" s="132">
        <v>1110093400</v>
      </c>
      <c r="M310" s="132" t="s">
        <v>932</v>
      </c>
      <c r="N310" s="132" t="s">
        <v>6102</v>
      </c>
      <c r="O310" s="130" t="s">
        <v>6103</v>
      </c>
      <c r="P310" s="132" t="s">
        <v>45</v>
      </c>
      <c r="Q310" s="132" t="s">
        <v>49</v>
      </c>
      <c r="R310" s="132" t="s">
        <v>3993</v>
      </c>
      <c r="S310" s="132" t="s">
        <v>3993</v>
      </c>
      <c r="T310" s="252"/>
    </row>
    <row r="311" spans="1:20" ht="30" customHeight="1">
      <c r="A311" s="143">
        <v>309</v>
      </c>
      <c r="B311" s="132" t="s">
        <v>2545</v>
      </c>
      <c r="C311" s="132">
        <v>41200006</v>
      </c>
      <c r="D311" s="132" t="s">
        <v>1477</v>
      </c>
      <c r="E311" s="132" t="s">
        <v>3593</v>
      </c>
      <c r="F311" s="132" t="s">
        <v>3619</v>
      </c>
      <c r="G311" s="132" t="s">
        <v>0</v>
      </c>
      <c r="H311" s="132" t="s">
        <v>3595</v>
      </c>
      <c r="I311" s="132" t="s">
        <v>3596</v>
      </c>
      <c r="J311" s="132" t="s">
        <v>71</v>
      </c>
      <c r="K311" s="140">
        <v>45861</v>
      </c>
      <c r="L311" s="132">
        <v>1100618100</v>
      </c>
      <c r="M311" s="132" t="s">
        <v>195</v>
      </c>
      <c r="N311" s="132" t="s">
        <v>6104</v>
      </c>
      <c r="O311" s="130" t="s">
        <v>5094</v>
      </c>
      <c r="P311" s="132" t="s">
        <v>5811</v>
      </c>
      <c r="Q311" s="132" t="s">
        <v>49</v>
      </c>
      <c r="R311" s="132" t="s">
        <v>3993</v>
      </c>
      <c r="S311" s="132" t="s">
        <v>3727</v>
      </c>
      <c r="T311" s="252"/>
    </row>
    <row r="312" spans="1:20" s="156" customFormat="1" ht="30" customHeight="1">
      <c r="A312" s="143">
        <v>310</v>
      </c>
      <c r="B312" s="155" t="s">
        <v>2545</v>
      </c>
      <c r="C312" s="155">
        <v>41200006</v>
      </c>
      <c r="D312" s="155" t="s">
        <v>1477</v>
      </c>
      <c r="E312" s="155" t="s">
        <v>3593</v>
      </c>
      <c r="F312" s="155" t="s">
        <v>3619</v>
      </c>
      <c r="G312" s="155" t="s">
        <v>0</v>
      </c>
      <c r="H312" s="155" t="s">
        <v>3595</v>
      </c>
      <c r="I312" s="155" t="s">
        <v>3596</v>
      </c>
      <c r="J312" s="155" t="s">
        <v>71</v>
      </c>
      <c r="K312" s="259">
        <v>45861</v>
      </c>
      <c r="L312" s="155">
        <v>1100196400</v>
      </c>
      <c r="M312" s="126" t="s">
        <v>3597</v>
      </c>
      <c r="N312" s="155" t="s">
        <v>6105</v>
      </c>
      <c r="O312" s="269" t="s">
        <v>6106</v>
      </c>
      <c r="P312" s="155" t="s">
        <v>26</v>
      </c>
      <c r="Q312" s="155" t="s">
        <v>54</v>
      </c>
      <c r="R312" s="155" t="s">
        <v>3602</v>
      </c>
      <c r="S312" s="155" t="s">
        <v>3737</v>
      </c>
      <c r="T312" s="184"/>
    </row>
    <row r="313" spans="1:20" s="138" customFormat="1" ht="30" customHeight="1">
      <c r="A313" s="143">
        <v>311</v>
      </c>
      <c r="B313" s="132" t="s">
        <v>2550</v>
      </c>
      <c r="C313" s="132">
        <v>41200006</v>
      </c>
      <c r="D313" s="132" t="s">
        <v>1477</v>
      </c>
      <c r="E313" s="132" t="s">
        <v>3593</v>
      </c>
      <c r="F313" s="132" t="s">
        <v>3619</v>
      </c>
      <c r="G313" s="132" t="s">
        <v>0</v>
      </c>
      <c r="H313" s="132" t="s">
        <v>3595</v>
      </c>
      <c r="I313" s="132" t="s">
        <v>3596</v>
      </c>
      <c r="J313" s="132"/>
      <c r="K313" s="140">
        <v>45862</v>
      </c>
      <c r="L313" s="132">
        <v>1100596400</v>
      </c>
      <c r="M313" s="132" t="s">
        <v>816</v>
      </c>
      <c r="N313" s="132" t="s">
        <v>5973</v>
      </c>
      <c r="O313" s="130" t="s">
        <v>6107</v>
      </c>
      <c r="P313" s="132" t="s">
        <v>26</v>
      </c>
      <c r="Q313" s="132" t="s">
        <v>54</v>
      </c>
      <c r="R313" s="132" t="s">
        <v>3993</v>
      </c>
      <c r="S313" s="132" t="s">
        <v>6087</v>
      </c>
      <c r="T313" s="133"/>
    </row>
    <row r="314" spans="1:20" s="138" customFormat="1" ht="30" customHeight="1">
      <c r="A314" s="143">
        <v>312</v>
      </c>
      <c r="B314" s="132" t="s">
        <v>2549</v>
      </c>
      <c r="C314" s="132">
        <v>41200006</v>
      </c>
      <c r="D314" s="132" t="s">
        <v>1477</v>
      </c>
      <c r="E314" s="132" t="s">
        <v>3593</v>
      </c>
      <c r="F314" s="132" t="s">
        <v>3619</v>
      </c>
      <c r="G314" s="132" t="s">
        <v>0</v>
      </c>
      <c r="H314" s="132" t="s">
        <v>3595</v>
      </c>
      <c r="I314" s="132" t="s">
        <v>3596</v>
      </c>
      <c r="J314" s="132"/>
      <c r="K314" s="140">
        <v>45862</v>
      </c>
      <c r="L314" s="132">
        <v>1110093400</v>
      </c>
      <c r="M314" s="132" t="s">
        <v>932</v>
      </c>
      <c r="N314" s="132" t="s">
        <v>5488</v>
      </c>
      <c r="O314" s="130" t="s">
        <v>6108</v>
      </c>
      <c r="P314" s="132" t="s">
        <v>45</v>
      </c>
      <c r="Q314" s="132" t="s">
        <v>49</v>
      </c>
      <c r="R314" s="132" t="s">
        <v>3993</v>
      </c>
      <c r="S314" s="132" t="s">
        <v>3993</v>
      </c>
      <c r="T314" s="133"/>
    </row>
    <row r="315" spans="1:20" s="138" customFormat="1" ht="30" customHeight="1">
      <c r="A315" s="143">
        <v>313</v>
      </c>
      <c r="B315" s="132" t="s">
        <v>2558</v>
      </c>
      <c r="C315" s="132">
        <v>41200164</v>
      </c>
      <c r="D315" s="132" t="s">
        <v>1476</v>
      </c>
      <c r="E315" s="132" t="s">
        <v>3593</v>
      </c>
      <c r="F315" s="132" t="s">
        <v>3619</v>
      </c>
      <c r="G315" s="132" t="s">
        <v>0</v>
      </c>
      <c r="H315" s="132" t="s">
        <v>3614</v>
      </c>
      <c r="I315" s="132" t="s">
        <v>3596</v>
      </c>
      <c r="J315" s="132" t="s">
        <v>2880</v>
      </c>
      <c r="K315" s="140">
        <v>45863</v>
      </c>
      <c r="L315" s="132">
        <v>1100228300</v>
      </c>
      <c r="M315" s="132" t="s">
        <v>932</v>
      </c>
      <c r="N315" s="132" t="s">
        <v>6109</v>
      </c>
      <c r="O315" s="130" t="s">
        <v>6110</v>
      </c>
      <c r="P315" s="132" t="s">
        <v>45</v>
      </c>
      <c r="Q315" s="132" t="s">
        <v>5481</v>
      </c>
      <c r="R315" s="132" t="s">
        <v>3656</v>
      </c>
      <c r="S315" s="132" t="s">
        <v>3656</v>
      </c>
      <c r="T315" s="133"/>
    </row>
    <row r="316" spans="1:20" s="138" customFormat="1" ht="30" customHeight="1">
      <c r="A316" s="143">
        <v>314</v>
      </c>
      <c r="B316" s="132" t="s">
        <v>2574</v>
      </c>
      <c r="C316" s="132">
        <v>41200153</v>
      </c>
      <c r="D316" s="132" t="s">
        <v>1476</v>
      </c>
      <c r="E316" s="132" t="s">
        <v>3593</v>
      </c>
      <c r="F316" s="132" t="s">
        <v>3594</v>
      </c>
      <c r="G316" s="132" t="s">
        <v>0</v>
      </c>
      <c r="H316" s="132" t="s">
        <v>3614</v>
      </c>
      <c r="I316" s="132" t="s">
        <v>3596</v>
      </c>
      <c r="J316" s="132" t="s">
        <v>2679</v>
      </c>
      <c r="K316" s="140">
        <v>45866</v>
      </c>
      <c r="L316" s="132">
        <v>1100228300</v>
      </c>
      <c r="M316" s="132" t="s">
        <v>932</v>
      </c>
      <c r="N316" s="132" t="s">
        <v>6062</v>
      </c>
      <c r="O316" s="130" t="s">
        <v>6111</v>
      </c>
      <c r="P316" s="132" t="s">
        <v>45</v>
      </c>
      <c r="Q316" s="132" t="s">
        <v>5481</v>
      </c>
      <c r="R316" s="132" t="s">
        <v>3656</v>
      </c>
      <c r="S316" s="132" t="s">
        <v>3656</v>
      </c>
      <c r="T316" s="133"/>
    </row>
    <row r="317" spans="1:20" s="138" customFormat="1" ht="30" customHeight="1">
      <c r="A317" s="143">
        <v>315</v>
      </c>
      <c r="B317" s="132" t="s">
        <v>2571</v>
      </c>
      <c r="C317" s="132">
        <v>41200005</v>
      </c>
      <c r="D317" s="132" t="s">
        <v>1591</v>
      </c>
      <c r="E317" s="132" t="s">
        <v>3593</v>
      </c>
      <c r="F317" s="132" t="s">
        <v>3594</v>
      </c>
      <c r="G317" s="132" t="s">
        <v>0</v>
      </c>
      <c r="H317" s="132" t="s">
        <v>3595</v>
      </c>
      <c r="I317" s="132" t="s">
        <v>3596</v>
      </c>
      <c r="J317" s="132"/>
      <c r="K317" s="140">
        <v>45866</v>
      </c>
      <c r="L317" s="132">
        <v>1100064800</v>
      </c>
      <c r="M317" s="132" t="s">
        <v>5902</v>
      </c>
      <c r="N317" s="132" t="s">
        <v>6112</v>
      </c>
      <c r="O317" s="130" t="s">
        <v>6113</v>
      </c>
      <c r="P317" s="132" t="s">
        <v>30</v>
      </c>
      <c r="Q317" s="132" t="s">
        <v>49</v>
      </c>
      <c r="R317" s="132" t="s">
        <v>3602</v>
      </c>
      <c r="S317" s="132" t="s">
        <v>3737</v>
      </c>
      <c r="T317" s="133"/>
    </row>
    <row r="318" spans="1:20" s="138" customFormat="1" ht="30" customHeight="1">
      <c r="A318" s="143">
        <v>316</v>
      </c>
      <c r="B318" s="132" t="s">
        <v>2596</v>
      </c>
      <c r="C318" s="132">
        <v>41200124</v>
      </c>
      <c r="D318" s="132" t="s">
        <v>1476</v>
      </c>
      <c r="E318" s="132" t="s">
        <v>3603</v>
      </c>
      <c r="F318" s="132" t="s">
        <v>3619</v>
      </c>
      <c r="G318" s="132" t="s">
        <v>0</v>
      </c>
      <c r="H318" s="132" t="s">
        <v>3614</v>
      </c>
      <c r="I318" s="132" t="s">
        <v>3596</v>
      </c>
      <c r="J318" s="132" t="s">
        <v>2880</v>
      </c>
      <c r="K318" s="140">
        <v>45868</v>
      </c>
      <c r="L318" s="132">
        <v>1100273700</v>
      </c>
      <c r="M318" s="132" t="s">
        <v>735</v>
      </c>
      <c r="N318" s="132" t="s">
        <v>6098</v>
      </c>
      <c r="O318" s="130" t="s">
        <v>6114</v>
      </c>
      <c r="P318" s="132" t="s">
        <v>45</v>
      </c>
      <c r="Q318" s="132" t="s">
        <v>5481</v>
      </c>
      <c r="R318" s="132" t="s">
        <v>3666</v>
      </c>
      <c r="S318" s="132" t="s">
        <v>3917</v>
      </c>
      <c r="T318" s="133"/>
    </row>
    <row r="319" spans="1:20" s="138" customFormat="1" ht="30" customHeight="1">
      <c r="A319" s="143">
        <v>317</v>
      </c>
      <c r="B319" s="132" t="s">
        <v>2597</v>
      </c>
      <c r="C319" s="132">
        <v>41100435</v>
      </c>
      <c r="D319" s="132" t="s">
        <v>3801</v>
      </c>
      <c r="E319" s="132" t="s">
        <v>3603</v>
      </c>
      <c r="F319" s="132" t="s">
        <v>3619</v>
      </c>
      <c r="G319" s="132" t="s">
        <v>0</v>
      </c>
      <c r="H319" s="132" t="s">
        <v>3614</v>
      </c>
      <c r="I319" s="132" t="s">
        <v>3596</v>
      </c>
      <c r="J319" s="132"/>
      <c r="K319" s="140">
        <v>45868</v>
      </c>
      <c r="L319" s="132">
        <v>1100228300</v>
      </c>
      <c r="M319" s="132" t="s">
        <v>932</v>
      </c>
      <c r="N319" s="132" t="s">
        <v>6109</v>
      </c>
      <c r="O319" s="130" t="s">
        <v>6115</v>
      </c>
      <c r="P319" s="132" t="s">
        <v>45</v>
      </c>
      <c r="Q319" s="132" t="s">
        <v>5481</v>
      </c>
      <c r="R319" s="132" t="s">
        <v>3666</v>
      </c>
      <c r="S319" s="132" t="s">
        <v>5625</v>
      </c>
      <c r="T319" s="133"/>
    </row>
    <row r="320" spans="1:20" s="141" customFormat="1" ht="30" customHeight="1">
      <c r="A320" s="143">
        <v>318</v>
      </c>
      <c r="B320" s="154" t="s">
        <v>2611</v>
      </c>
      <c r="C320" s="154">
        <v>41200034</v>
      </c>
      <c r="D320" s="154" t="s">
        <v>1476</v>
      </c>
      <c r="E320" s="154" t="s">
        <v>3603</v>
      </c>
      <c r="F320" s="154" t="s">
        <v>3619</v>
      </c>
      <c r="G320" s="154" t="s">
        <v>0</v>
      </c>
      <c r="H320" s="154" t="s">
        <v>3614</v>
      </c>
      <c r="I320" s="154" t="s">
        <v>3596</v>
      </c>
      <c r="J320" s="154" t="s">
        <v>2880</v>
      </c>
      <c r="K320" s="185">
        <v>45869</v>
      </c>
      <c r="L320" s="154">
        <v>1100273700</v>
      </c>
      <c r="M320" s="154" t="s">
        <v>735</v>
      </c>
      <c r="N320" s="154" t="s">
        <v>6116</v>
      </c>
      <c r="O320" s="422" t="s">
        <v>6117</v>
      </c>
      <c r="P320" s="154" t="s">
        <v>45</v>
      </c>
      <c r="Q320" s="154" t="s">
        <v>5481</v>
      </c>
      <c r="R320" s="154" t="s">
        <v>3666</v>
      </c>
      <c r="S320" s="154" t="s">
        <v>5612</v>
      </c>
      <c r="T320" s="130"/>
    </row>
    <row r="321" spans="1:19" s="141" customFormat="1" ht="30" customHeight="1">
      <c r="A321" s="143">
        <v>319</v>
      </c>
      <c r="B321" s="154" t="s">
        <v>2611</v>
      </c>
      <c r="C321" s="154">
        <v>41200034</v>
      </c>
      <c r="D321" s="154" t="s">
        <v>1476</v>
      </c>
      <c r="E321" s="154" t="s">
        <v>3603</v>
      </c>
      <c r="F321" s="154" t="s">
        <v>3619</v>
      </c>
      <c r="G321" s="154" t="s">
        <v>0</v>
      </c>
      <c r="H321" s="154" t="s">
        <v>3614</v>
      </c>
      <c r="I321" s="154" t="s">
        <v>3596</v>
      </c>
      <c r="J321" s="154" t="s">
        <v>2880</v>
      </c>
      <c r="K321" s="185">
        <v>45869</v>
      </c>
      <c r="L321" s="154">
        <v>1100256600</v>
      </c>
      <c r="M321" s="154" t="s">
        <v>1151</v>
      </c>
      <c r="N321" s="154" t="s">
        <v>6118</v>
      </c>
      <c r="O321" s="130" t="s">
        <v>6119</v>
      </c>
      <c r="P321" s="154" t="s">
        <v>45</v>
      </c>
      <c r="Q321" s="154" t="s">
        <v>5481</v>
      </c>
      <c r="R321" s="154" t="s">
        <v>3666</v>
      </c>
      <c r="S321" s="154" t="s">
        <v>5612</v>
      </c>
    </row>
    <row r="322" spans="1:19" s="296" customFormat="1" ht="30" customHeight="1">
      <c r="A322" s="143">
        <v>320</v>
      </c>
      <c r="B322" s="302" t="s">
        <v>2611</v>
      </c>
      <c r="C322" s="302">
        <v>41200034</v>
      </c>
      <c r="D322" s="302" t="s">
        <v>1476</v>
      </c>
      <c r="E322" s="302" t="s">
        <v>3603</v>
      </c>
      <c r="F322" s="302" t="s">
        <v>3619</v>
      </c>
      <c r="G322" s="302" t="s">
        <v>0</v>
      </c>
      <c r="H322" s="302" t="s">
        <v>3614</v>
      </c>
      <c r="I322" s="302" t="s">
        <v>3596</v>
      </c>
      <c r="J322" s="302" t="s">
        <v>2679</v>
      </c>
      <c r="K322" s="439">
        <v>45869</v>
      </c>
      <c r="L322" s="302">
        <v>1100261500</v>
      </c>
      <c r="M322" s="302" t="s">
        <v>753</v>
      </c>
      <c r="N322" s="302" t="s">
        <v>6120</v>
      </c>
      <c r="O322" s="302" t="s">
        <v>6121</v>
      </c>
      <c r="P322" s="302" t="s">
        <v>45</v>
      </c>
      <c r="Q322" s="302" t="s">
        <v>5481</v>
      </c>
      <c r="R322" s="302" t="s">
        <v>3666</v>
      </c>
      <c r="S322" s="302" t="s">
        <v>5612</v>
      </c>
    </row>
    <row r="323" spans="1:19" s="141" customFormat="1" ht="30" customHeight="1">
      <c r="A323" s="143">
        <v>321</v>
      </c>
      <c r="B323" s="130" t="s">
        <v>2611</v>
      </c>
      <c r="C323" s="130">
        <v>41200034</v>
      </c>
      <c r="D323" s="130" t="s">
        <v>1476</v>
      </c>
      <c r="E323" s="130" t="s">
        <v>3603</v>
      </c>
      <c r="F323" s="130" t="s">
        <v>3619</v>
      </c>
      <c r="G323" s="130" t="s">
        <v>0</v>
      </c>
      <c r="H323" s="130" t="s">
        <v>3614</v>
      </c>
      <c r="I323" s="130" t="s">
        <v>3596</v>
      </c>
      <c r="J323" s="130" t="s">
        <v>2880</v>
      </c>
      <c r="K323" s="429">
        <v>45869</v>
      </c>
      <c r="L323" s="130">
        <v>1100261500</v>
      </c>
      <c r="M323" s="130" t="s">
        <v>753</v>
      </c>
      <c r="N323" s="130" t="s">
        <v>6120</v>
      </c>
      <c r="O323" s="130" t="s">
        <v>6122</v>
      </c>
      <c r="P323" s="130" t="s">
        <v>45</v>
      </c>
      <c r="Q323" s="130" t="s">
        <v>5481</v>
      </c>
      <c r="R323" s="130" t="s">
        <v>3666</v>
      </c>
      <c r="S323" s="130" t="s">
        <v>5612</v>
      </c>
    </row>
    <row r="324" spans="1:19" s="141" customFormat="1" ht="30" customHeight="1">
      <c r="A324" s="143">
        <v>322</v>
      </c>
      <c r="B324" s="130" t="s">
        <v>2626</v>
      </c>
      <c r="C324" s="130">
        <v>41200034</v>
      </c>
      <c r="D324" s="130" t="s">
        <v>1476</v>
      </c>
      <c r="E324" s="130" t="s">
        <v>3603</v>
      </c>
      <c r="F324" s="130" t="s">
        <v>3604</v>
      </c>
      <c r="G324" s="130" t="s">
        <v>0</v>
      </c>
      <c r="H324" s="130" t="s">
        <v>3614</v>
      </c>
      <c r="I324" s="130" t="s">
        <v>3596</v>
      </c>
      <c r="J324" s="130" t="s">
        <v>2679</v>
      </c>
      <c r="K324" s="429">
        <v>45870</v>
      </c>
      <c r="L324" s="130">
        <v>1100228300</v>
      </c>
      <c r="M324" s="130" t="s">
        <v>932</v>
      </c>
      <c r="N324" s="130" t="s">
        <v>6109</v>
      </c>
      <c r="O324" s="130" t="s">
        <v>6123</v>
      </c>
      <c r="P324" s="130" t="s">
        <v>45</v>
      </c>
      <c r="Q324" s="130" t="s">
        <v>5481</v>
      </c>
      <c r="R324" s="130" t="s">
        <v>3666</v>
      </c>
      <c r="S324" s="130" t="s">
        <v>3768</v>
      </c>
    </row>
    <row r="325" spans="1:19" ht="30" customHeight="1">
      <c r="A325" s="143">
        <v>323</v>
      </c>
      <c r="B325" s="130" t="s">
        <v>2330</v>
      </c>
      <c r="C325" s="130">
        <v>41200075</v>
      </c>
      <c r="D325" s="130" t="s">
        <v>1476</v>
      </c>
      <c r="E325" s="130" t="s">
        <v>3603</v>
      </c>
      <c r="F325" s="130" t="s">
        <v>3604</v>
      </c>
      <c r="G325" s="130" t="s">
        <v>0</v>
      </c>
      <c r="H325" s="130" t="s">
        <v>3595</v>
      </c>
      <c r="I325" s="130" t="s">
        <v>3762</v>
      </c>
      <c r="J325" s="130" t="s">
        <v>2880</v>
      </c>
      <c r="K325" s="429">
        <v>45873</v>
      </c>
      <c r="L325" s="130">
        <v>1100020100</v>
      </c>
      <c r="M325" s="130" t="s">
        <v>816</v>
      </c>
      <c r="N325" s="130" t="s">
        <v>6124</v>
      </c>
      <c r="O325" s="130" t="s">
        <v>5116</v>
      </c>
      <c r="P325" s="130" t="s">
        <v>26</v>
      </c>
      <c r="Q325" s="130" t="s">
        <v>49</v>
      </c>
      <c r="R325" s="130" t="s">
        <v>3674</v>
      </c>
      <c r="S325" s="130" t="s">
        <v>3714</v>
      </c>
    </row>
    <row r="326" spans="1:19" ht="30" customHeight="1">
      <c r="A326" s="143">
        <v>324</v>
      </c>
      <c r="B326" s="130" t="s">
        <v>2640</v>
      </c>
      <c r="C326" s="130">
        <v>41100550</v>
      </c>
      <c r="D326" s="130" t="s">
        <v>1477</v>
      </c>
      <c r="E326" s="130" t="s">
        <v>3593</v>
      </c>
      <c r="F326" s="130" t="s">
        <v>3594</v>
      </c>
      <c r="G326" s="130" t="s">
        <v>0</v>
      </c>
      <c r="H326" s="130" t="s">
        <v>3608</v>
      </c>
      <c r="I326" s="130" t="s">
        <v>3697</v>
      </c>
      <c r="J326" s="130"/>
      <c r="K326" s="429">
        <v>45874</v>
      </c>
      <c r="L326" s="130">
        <v>1300136900</v>
      </c>
      <c r="M326" s="130" t="s">
        <v>651</v>
      </c>
      <c r="N326" s="130" t="s">
        <v>6125</v>
      </c>
      <c r="O326" s="130" t="s">
        <v>6126</v>
      </c>
      <c r="P326" s="130" t="s">
        <v>26</v>
      </c>
      <c r="Q326" s="130" t="s">
        <v>49</v>
      </c>
      <c r="R326" s="130" t="s">
        <v>3963</v>
      </c>
      <c r="S326" s="130" t="s">
        <v>3913</v>
      </c>
    </row>
    <row r="327" spans="1:19" ht="30" customHeight="1">
      <c r="A327" s="143">
        <v>325</v>
      </c>
      <c r="B327" s="130" t="s">
        <v>2651</v>
      </c>
      <c r="C327" s="130">
        <v>41200047</v>
      </c>
      <c r="D327" s="130" t="s">
        <v>1476</v>
      </c>
      <c r="E327" s="130" t="s">
        <v>3593</v>
      </c>
      <c r="F327" s="130" t="s">
        <v>3619</v>
      </c>
      <c r="G327" s="130" t="s">
        <v>0</v>
      </c>
      <c r="H327" s="130" t="s">
        <v>3595</v>
      </c>
      <c r="I327" s="130" t="s">
        <v>2894</v>
      </c>
      <c r="J327" s="130"/>
      <c r="K327" s="429">
        <v>45875</v>
      </c>
      <c r="L327" s="130">
        <v>1110200900</v>
      </c>
      <c r="M327" s="130" t="s">
        <v>5128</v>
      </c>
      <c r="N327" s="130" t="s">
        <v>6127</v>
      </c>
      <c r="O327" s="422" t="s">
        <v>6128</v>
      </c>
      <c r="P327" s="130" t="s">
        <v>26</v>
      </c>
      <c r="Q327" s="130" t="s">
        <v>49</v>
      </c>
      <c r="R327" s="130" t="s">
        <v>3656</v>
      </c>
      <c r="S327" s="130" t="s">
        <v>3987</v>
      </c>
    </row>
    <row r="328" spans="1:19" ht="30" customHeight="1">
      <c r="A328" s="143">
        <v>326</v>
      </c>
      <c r="B328" s="130" t="s">
        <v>2652</v>
      </c>
      <c r="C328" s="130">
        <v>41200047</v>
      </c>
      <c r="D328" s="130" t="s">
        <v>1476</v>
      </c>
      <c r="E328" s="130" t="s">
        <v>3593</v>
      </c>
      <c r="F328" s="130" t="s">
        <v>3619</v>
      </c>
      <c r="G328" s="130" t="s">
        <v>0</v>
      </c>
      <c r="H328" s="130" t="s">
        <v>3595</v>
      </c>
      <c r="I328" s="130" t="s">
        <v>2894</v>
      </c>
      <c r="J328" s="130"/>
      <c r="K328" s="429">
        <v>45875</v>
      </c>
      <c r="L328" s="130">
        <v>1110200900</v>
      </c>
      <c r="M328" s="130" t="s">
        <v>5128</v>
      </c>
      <c r="N328" s="130" t="s">
        <v>6127</v>
      </c>
      <c r="O328" s="130" t="s">
        <v>6129</v>
      </c>
      <c r="P328" s="130" t="s">
        <v>30</v>
      </c>
      <c r="Q328" s="130" t="s">
        <v>49</v>
      </c>
      <c r="R328" s="130" t="s">
        <v>3656</v>
      </c>
      <c r="S328" s="130" t="s">
        <v>3987</v>
      </c>
    </row>
    <row r="329" spans="1:19" ht="30" customHeight="1">
      <c r="A329" s="143">
        <v>327</v>
      </c>
      <c r="B329" s="130" t="s">
        <v>2649</v>
      </c>
      <c r="C329" s="130">
        <v>41100550</v>
      </c>
      <c r="D329" s="130" t="s">
        <v>1477</v>
      </c>
      <c r="E329" s="130" t="s">
        <v>3593</v>
      </c>
      <c r="F329" s="130" t="s">
        <v>3619</v>
      </c>
      <c r="G329" s="130" t="s">
        <v>0</v>
      </c>
      <c r="H329" s="130" t="s">
        <v>3595</v>
      </c>
      <c r="I329" s="130" t="s">
        <v>3596</v>
      </c>
      <c r="J329" s="130"/>
      <c r="K329" s="429">
        <v>45875</v>
      </c>
      <c r="L329" s="130">
        <v>1110194600</v>
      </c>
      <c r="M329" s="130" t="s">
        <v>6130</v>
      </c>
      <c r="N329" s="130" t="s">
        <v>6131</v>
      </c>
      <c r="O329" s="328" t="s">
        <v>6132</v>
      </c>
      <c r="P329" s="130" t="s">
        <v>45</v>
      </c>
      <c r="Q329" s="130" t="s">
        <v>61</v>
      </c>
      <c r="R329" s="130" t="s">
        <v>6133</v>
      </c>
      <c r="S329" s="130" t="s">
        <v>2391</v>
      </c>
    </row>
    <row r="330" spans="1:19" ht="30" customHeight="1">
      <c r="A330" s="143">
        <v>328</v>
      </c>
      <c r="B330" s="130" t="s">
        <v>2637</v>
      </c>
      <c r="C330" s="130">
        <v>41100435</v>
      </c>
      <c r="D330" s="130" t="s">
        <v>3801</v>
      </c>
      <c r="E330" s="130" t="s">
        <v>3593</v>
      </c>
      <c r="F330" s="130" t="s">
        <v>3594</v>
      </c>
      <c r="G330" s="130" t="s">
        <v>0</v>
      </c>
      <c r="H330" s="130" t="s">
        <v>3614</v>
      </c>
      <c r="I330" s="130" t="s">
        <v>3596</v>
      </c>
      <c r="J330" s="130"/>
      <c r="K330" s="429">
        <v>45875</v>
      </c>
      <c r="L330" s="130">
        <v>1310205200</v>
      </c>
      <c r="M330" s="130" t="s">
        <v>6134</v>
      </c>
      <c r="N330" s="130" t="s">
        <v>6135</v>
      </c>
      <c r="O330" s="440" t="s">
        <v>6136</v>
      </c>
      <c r="P330" s="130" t="s">
        <v>45</v>
      </c>
      <c r="Q330" s="130" t="s">
        <v>61</v>
      </c>
      <c r="R330" s="130" t="s">
        <v>6137</v>
      </c>
      <c r="S330" s="130" t="s">
        <v>2391</v>
      </c>
    </row>
    <row r="331" spans="1:19" ht="30" customHeight="1">
      <c r="A331" s="143">
        <v>329</v>
      </c>
      <c r="B331" s="130" t="s">
        <v>2657</v>
      </c>
      <c r="C331" s="130">
        <v>41100224</v>
      </c>
      <c r="D331" s="130" t="s">
        <v>1591</v>
      </c>
      <c r="E331" s="130" t="s">
        <v>3593</v>
      </c>
      <c r="F331" s="130" t="s">
        <v>3594</v>
      </c>
      <c r="G331" s="130" t="s">
        <v>0</v>
      </c>
      <c r="H331" s="130" t="s">
        <v>3608</v>
      </c>
      <c r="I331" s="130" t="s">
        <v>3697</v>
      </c>
      <c r="J331" s="130"/>
      <c r="K331" s="429">
        <v>45876</v>
      </c>
      <c r="L331" s="130">
        <v>1300136900</v>
      </c>
      <c r="M331" s="130" t="s">
        <v>651</v>
      </c>
      <c r="N331" s="130" t="s">
        <v>6138</v>
      </c>
      <c r="O331" s="130" t="s">
        <v>6126</v>
      </c>
      <c r="P331" s="130" t="s">
        <v>26</v>
      </c>
      <c r="Q331" s="130" t="s">
        <v>49</v>
      </c>
      <c r="R331" s="130" t="s">
        <v>3627</v>
      </c>
      <c r="S331" s="130" t="s">
        <v>3627</v>
      </c>
    </row>
    <row r="332" spans="1:19" ht="30" customHeight="1">
      <c r="A332" s="143">
        <v>330</v>
      </c>
      <c r="B332" s="130" t="s">
        <v>2656</v>
      </c>
      <c r="C332" s="130">
        <v>41200158</v>
      </c>
      <c r="D332" s="130" t="s">
        <v>1480</v>
      </c>
      <c r="E332" s="130" t="s">
        <v>3593</v>
      </c>
      <c r="F332" s="130" t="s">
        <v>3619</v>
      </c>
      <c r="G332" s="130" t="s">
        <v>0</v>
      </c>
      <c r="H332" s="130" t="s">
        <v>3595</v>
      </c>
      <c r="I332" s="130" t="s">
        <v>3596</v>
      </c>
      <c r="J332" s="130" t="s">
        <v>2880</v>
      </c>
      <c r="K332" s="429">
        <v>45876</v>
      </c>
      <c r="L332" s="130">
        <v>1100383400</v>
      </c>
      <c r="M332" s="130" t="s">
        <v>226</v>
      </c>
      <c r="N332" s="130" t="s">
        <v>6139</v>
      </c>
      <c r="O332" s="130" t="s">
        <v>6140</v>
      </c>
      <c r="P332" s="130" t="s">
        <v>26</v>
      </c>
      <c r="Q332" s="130" t="s">
        <v>49</v>
      </c>
      <c r="R332" s="130" t="s">
        <v>3674</v>
      </c>
      <c r="S332" s="130" t="s">
        <v>3987</v>
      </c>
    </row>
    <row r="333" spans="1:19" ht="30" customHeight="1">
      <c r="A333" s="143">
        <v>331</v>
      </c>
      <c r="B333" s="130" t="s">
        <v>2656</v>
      </c>
      <c r="C333" s="130">
        <v>41200158</v>
      </c>
      <c r="D333" s="130" t="s">
        <v>1480</v>
      </c>
      <c r="E333" s="130" t="s">
        <v>3593</v>
      </c>
      <c r="F333" s="130" t="s">
        <v>3619</v>
      </c>
      <c r="G333" s="130" t="s">
        <v>0</v>
      </c>
      <c r="H333" s="130" t="s">
        <v>3595</v>
      </c>
      <c r="I333" s="130" t="s">
        <v>2682</v>
      </c>
      <c r="J333" s="130" t="s">
        <v>2880</v>
      </c>
      <c r="K333" s="429">
        <v>45876</v>
      </c>
      <c r="L333" s="130">
        <v>1110078300</v>
      </c>
      <c r="M333" s="130" t="s">
        <v>386</v>
      </c>
      <c r="N333" s="130" t="s">
        <v>6141</v>
      </c>
      <c r="O333" s="130" t="s">
        <v>6142</v>
      </c>
      <c r="P333" s="130" t="s">
        <v>30</v>
      </c>
      <c r="Q333" s="130" t="s">
        <v>49</v>
      </c>
      <c r="R333" s="130" t="s">
        <v>3711</v>
      </c>
      <c r="S333" s="130" t="s">
        <v>3711</v>
      </c>
    </row>
    <row r="334" spans="1:19" ht="30" customHeight="1">
      <c r="A334" s="143">
        <v>332</v>
      </c>
      <c r="B334" s="130" t="s">
        <v>2681</v>
      </c>
      <c r="C334" s="130">
        <v>41200033</v>
      </c>
      <c r="D334" s="130" t="s">
        <v>1476</v>
      </c>
      <c r="E334" s="130" t="s">
        <v>3603</v>
      </c>
      <c r="F334" s="130" t="s">
        <v>3604</v>
      </c>
      <c r="G334" s="130" t="s">
        <v>0</v>
      </c>
      <c r="H334" s="154" t="s">
        <v>3614</v>
      </c>
      <c r="I334" s="130" t="s">
        <v>3596</v>
      </c>
      <c r="J334" s="130" t="s">
        <v>2679</v>
      </c>
      <c r="K334" s="429">
        <v>45880</v>
      </c>
      <c r="L334" s="130">
        <v>1100273700</v>
      </c>
      <c r="M334" s="130" t="s">
        <v>735</v>
      </c>
      <c r="N334" s="130" t="s">
        <v>6143</v>
      </c>
      <c r="O334" s="130" t="s">
        <v>6144</v>
      </c>
      <c r="P334" s="130" t="s">
        <v>45</v>
      </c>
      <c r="Q334" s="130" t="s">
        <v>5481</v>
      </c>
      <c r="R334" s="130" t="s">
        <v>3666</v>
      </c>
      <c r="S334" s="130" t="s">
        <v>3666</v>
      </c>
    </row>
    <row r="335" spans="1:19" ht="30" customHeight="1">
      <c r="A335" s="143">
        <v>333</v>
      </c>
      <c r="B335" s="130" t="s">
        <v>2691</v>
      </c>
      <c r="C335" s="130">
        <v>41200006</v>
      </c>
      <c r="D335" s="130" t="s">
        <v>1477</v>
      </c>
      <c r="E335" s="130" t="s">
        <v>3593</v>
      </c>
      <c r="F335" s="130" t="s">
        <v>3619</v>
      </c>
      <c r="G335" s="130" t="s">
        <v>0</v>
      </c>
      <c r="H335" s="154" t="s">
        <v>3614</v>
      </c>
      <c r="I335" s="130" t="s">
        <v>3596</v>
      </c>
      <c r="J335" s="130"/>
      <c r="K335" s="429">
        <v>45880</v>
      </c>
      <c r="L335" s="130">
        <v>1110093500</v>
      </c>
      <c r="M335" s="130" t="s">
        <v>932</v>
      </c>
      <c r="N335" s="130" t="s">
        <v>5542</v>
      </c>
      <c r="O335" s="130" t="s">
        <v>6145</v>
      </c>
      <c r="P335" s="130" t="s">
        <v>26</v>
      </c>
      <c r="Q335" s="130" t="s">
        <v>5481</v>
      </c>
      <c r="R335" s="130" t="s">
        <v>3656</v>
      </c>
      <c r="S335" s="130" t="s">
        <v>6028</v>
      </c>
    </row>
    <row r="336" spans="1:19" ht="30" customHeight="1">
      <c r="A336" s="143">
        <v>334</v>
      </c>
      <c r="B336" s="130" t="s">
        <v>2690</v>
      </c>
      <c r="C336" s="130">
        <v>41200053</v>
      </c>
      <c r="D336" s="130" t="s">
        <v>1616</v>
      </c>
      <c r="E336" s="130" t="s">
        <v>3651</v>
      </c>
      <c r="F336" s="130" t="s">
        <v>3619</v>
      </c>
      <c r="G336" s="130" t="s">
        <v>0</v>
      </c>
      <c r="H336" s="154" t="s">
        <v>3614</v>
      </c>
      <c r="I336" s="130" t="s">
        <v>3596</v>
      </c>
      <c r="J336" s="130"/>
      <c r="K336" s="429">
        <v>45880</v>
      </c>
      <c r="L336" s="130">
        <v>1100268500</v>
      </c>
      <c r="M336" s="130" t="s">
        <v>5137</v>
      </c>
      <c r="N336" s="130" t="s">
        <v>6146</v>
      </c>
      <c r="O336" s="130" t="s">
        <v>6147</v>
      </c>
      <c r="P336" s="130" t="s">
        <v>26</v>
      </c>
      <c r="Q336" s="130" t="s">
        <v>5481</v>
      </c>
      <c r="R336" s="130" t="s">
        <v>3602</v>
      </c>
      <c r="S336" s="130" t="s">
        <v>3602</v>
      </c>
    </row>
    <row r="337" spans="1:19" ht="30" customHeight="1">
      <c r="A337" s="143">
        <v>335</v>
      </c>
      <c r="B337" s="130" t="s">
        <v>2698</v>
      </c>
      <c r="C337" s="130">
        <v>41200033</v>
      </c>
      <c r="D337" s="130" t="s">
        <v>1476</v>
      </c>
      <c r="E337" s="130" t="s">
        <v>3593</v>
      </c>
      <c r="F337" s="130" t="s">
        <v>3619</v>
      </c>
      <c r="G337" s="130" t="s">
        <v>0</v>
      </c>
      <c r="H337" s="130" t="s">
        <v>3595</v>
      </c>
      <c r="I337" s="130" t="s">
        <v>3596</v>
      </c>
      <c r="J337" s="130" t="s">
        <v>2880</v>
      </c>
      <c r="K337" s="429">
        <v>45881</v>
      </c>
      <c r="L337" s="130">
        <v>1310872300</v>
      </c>
      <c r="M337" s="130" t="s">
        <v>6148</v>
      </c>
      <c r="N337" s="130" t="s">
        <v>5141</v>
      </c>
      <c r="O337" s="130" t="s">
        <v>6149</v>
      </c>
      <c r="P337" s="130" t="s">
        <v>5811</v>
      </c>
      <c r="Q337" s="130" t="s">
        <v>49</v>
      </c>
      <c r="R337" s="130" t="s">
        <v>3602</v>
      </c>
      <c r="S337" s="130" t="s">
        <v>3737</v>
      </c>
    </row>
    <row r="338" spans="1:19" ht="30" customHeight="1">
      <c r="A338" s="143">
        <v>336</v>
      </c>
      <c r="B338" s="130" t="s">
        <v>2703</v>
      </c>
      <c r="C338" s="130">
        <v>41200076</v>
      </c>
      <c r="D338" s="130" t="s">
        <v>1476</v>
      </c>
      <c r="E338" s="130" t="s">
        <v>3603</v>
      </c>
      <c r="F338" s="130" t="s">
        <v>3594</v>
      </c>
      <c r="G338" s="130" t="s">
        <v>0</v>
      </c>
      <c r="H338" s="130" t="s">
        <v>3614</v>
      </c>
      <c r="I338" s="130" t="s">
        <v>3596</v>
      </c>
      <c r="J338" s="130" t="s">
        <v>2880</v>
      </c>
      <c r="K338" s="429">
        <v>45881</v>
      </c>
      <c r="L338" s="130">
        <v>1100228300</v>
      </c>
      <c r="M338" s="130" t="s">
        <v>932</v>
      </c>
      <c r="N338" s="130" t="s">
        <v>6109</v>
      </c>
      <c r="O338" s="130" t="s">
        <v>6150</v>
      </c>
      <c r="P338" s="130" t="s">
        <v>45</v>
      </c>
      <c r="Q338" s="130" t="s">
        <v>5481</v>
      </c>
      <c r="R338" s="130" t="s">
        <v>5612</v>
      </c>
      <c r="S338" s="130" t="s">
        <v>3666</v>
      </c>
    </row>
    <row r="339" spans="1:19" ht="30" customHeight="1">
      <c r="A339" s="143">
        <v>337</v>
      </c>
      <c r="B339" s="130" t="s">
        <v>2707</v>
      </c>
      <c r="C339" s="130">
        <v>41200127</v>
      </c>
      <c r="D339" s="130" t="s">
        <v>1591</v>
      </c>
      <c r="E339" s="130" t="s">
        <v>3593</v>
      </c>
      <c r="F339" s="130" t="s">
        <v>3619</v>
      </c>
      <c r="G339" s="130" t="s">
        <v>0</v>
      </c>
      <c r="H339" s="130" t="s">
        <v>3614</v>
      </c>
      <c r="I339" s="130" t="s">
        <v>3596</v>
      </c>
      <c r="J339" s="130"/>
      <c r="K339" s="429">
        <v>45882</v>
      </c>
      <c r="L339" s="130">
        <v>1110260900</v>
      </c>
      <c r="M339" s="130" t="s">
        <v>5682</v>
      </c>
      <c r="N339" s="130" t="s">
        <v>6151</v>
      </c>
      <c r="O339" s="130"/>
      <c r="P339" s="130" t="s">
        <v>45</v>
      </c>
      <c r="Q339" s="130" t="s">
        <v>61</v>
      </c>
      <c r="R339" s="130"/>
      <c r="S339" s="130"/>
    </row>
    <row r="340" spans="1:19" ht="30" customHeight="1">
      <c r="A340" s="143">
        <v>338</v>
      </c>
      <c r="B340" s="130" t="s">
        <v>2711</v>
      </c>
      <c r="C340" s="130">
        <v>41100435</v>
      </c>
      <c r="D340" s="130" t="s">
        <v>1482</v>
      </c>
      <c r="E340" s="130" t="s">
        <v>3593</v>
      </c>
      <c r="F340" s="130" t="s">
        <v>3594</v>
      </c>
      <c r="G340" s="130" t="s">
        <v>0</v>
      </c>
      <c r="H340" s="130" t="s">
        <v>3608</v>
      </c>
      <c r="I340" s="130" t="s">
        <v>5561</v>
      </c>
      <c r="J340" s="130"/>
      <c r="K340" s="429">
        <v>45882</v>
      </c>
      <c r="L340" s="130">
        <v>1100607700</v>
      </c>
      <c r="M340" s="126" t="s">
        <v>3722</v>
      </c>
      <c r="N340" s="130" t="s">
        <v>6152</v>
      </c>
      <c r="O340" s="130" t="s">
        <v>6153</v>
      </c>
      <c r="P340" s="130" t="s">
        <v>26</v>
      </c>
      <c r="Q340" s="130" t="s">
        <v>49</v>
      </c>
      <c r="R340" s="130" t="s">
        <v>3963</v>
      </c>
      <c r="S340" s="130" t="s">
        <v>3874</v>
      </c>
    </row>
    <row r="341" spans="1:19" ht="30" customHeight="1">
      <c r="A341" s="143">
        <v>339</v>
      </c>
      <c r="B341" s="130" t="s">
        <v>2711</v>
      </c>
      <c r="C341" s="130">
        <v>41100435</v>
      </c>
      <c r="D341" s="130" t="s">
        <v>1482</v>
      </c>
      <c r="E341" s="130" t="s">
        <v>3593</v>
      </c>
      <c r="F341" s="130" t="s">
        <v>3594</v>
      </c>
      <c r="G341" s="130" t="s">
        <v>0</v>
      </c>
      <c r="H341" s="130" t="s">
        <v>3614</v>
      </c>
      <c r="I341" s="130" t="s">
        <v>3596</v>
      </c>
      <c r="J341" s="130"/>
      <c r="K341" s="429">
        <v>45882</v>
      </c>
      <c r="L341" s="130">
        <v>1100273700</v>
      </c>
      <c r="M341" s="130" t="s">
        <v>735</v>
      </c>
      <c r="N341" s="130" t="s">
        <v>6154</v>
      </c>
      <c r="O341" s="130" t="s">
        <v>6155</v>
      </c>
      <c r="P341" s="130" t="s">
        <v>26</v>
      </c>
      <c r="Q341" s="130" t="s">
        <v>5481</v>
      </c>
      <c r="R341" s="130" t="s">
        <v>3656</v>
      </c>
      <c r="S341" s="130" t="s">
        <v>3987</v>
      </c>
    </row>
    <row r="342" spans="1:19" ht="30" customHeight="1">
      <c r="A342" s="143">
        <v>340</v>
      </c>
      <c r="B342" s="130" t="s">
        <v>2712</v>
      </c>
      <c r="C342" s="130">
        <v>41000544</v>
      </c>
      <c r="D342" s="130" t="s">
        <v>1476</v>
      </c>
      <c r="E342" s="130" t="s">
        <v>3593</v>
      </c>
      <c r="F342" s="130" t="s">
        <v>3594</v>
      </c>
      <c r="G342" s="130" t="s">
        <v>0</v>
      </c>
      <c r="H342" s="130" t="s">
        <v>3595</v>
      </c>
      <c r="I342" s="130" t="s">
        <v>3596</v>
      </c>
      <c r="J342" s="130" t="s">
        <v>2679</v>
      </c>
      <c r="K342" s="429">
        <v>45882</v>
      </c>
      <c r="L342" s="130">
        <v>1100017200</v>
      </c>
      <c r="M342" s="130" t="s">
        <v>1151</v>
      </c>
      <c r="N342" s="130" t="s">
        <v>5144</v>
      </c>
      <c r="O342" s="130" t="s">
        <v>6156</v>
      </c>
      <c r="P342" s="130" t="s">
        <v>26</v>
      </c>
      <c r="Q342" s="130" t="s">
        <v>54</v>
      </c>
      <c r="R342" s="130" t="s">
        <v>3993</v>
      </c>
      <c r="S342" s="130" t="s">
        <v>3774</v>
      </c>
    </row>
    <row r="343" spans="1:19" ht="30" customHeight="1">
      <c r="A343" s="143">
        <v>341</v>
      </c>
      <c r="B343" s="130" t="s">
        <v>2712</v>
      </c>
      <c r="C343" s="130">
        <v>41000544</v>
      </c>
      <c r="D343" s="130" t="s">
        <v>1476</v>
      </c>
      <c r="E343" s="130" t="s">
        <v>3593</v>
      </c>
      <c r="F343" s="130" t="s">
        <v>3594</v>
      </c>
      <c r="G343" s="130" t="s">
        <v>0</v>
      </c>
      <c r="H343" s="130" t="s">
        <v>3595</v>
      </c>
      <c r="I343" s="130" t="s">
        <v>3596</v>
      </c>
      <c r="J343" s="130" t="s">
        <v>2679</v>
      </c>
      <c r="K343" s="429">
        <v>45882</v>
      </c>
      <c r="L343" s="130">
        <v>1110077600</v>
      </c>
      <c r="M343" s="130" t="s">
        <v>69</v>
      </c>
      <c r="N343" s="130" t="s">
        <v>5145</v>
      </c>
      <c r="O343" s="130" t="s">
        <v>6157</v>
      </c>
      <c r="P343" s="130" t="s">
        <v>26</v>
      </c>
      <c r="Q343" s="130" t="s">
        <v>54</v>
      </c>
      <c r="R343" s="130" t="s">
        <v>3993</v>
      </c>
      <c r="S343" s="130" t="s">
        <v>3774</v>
      </c>
    </row>
    <row r="344" spans="1:19" ht="30" customHeight="1">
      <c r="A344" s="143">
        <v>342</v>
      </c>
      <c r="B344" s="130" t="s">
        <v>2712</v>
      </c>
      <c r="C344" s="130">
        <v>41000544</v>
      </c>
      <c r="D344" s="130" t="s">
        <v>1476</v>
      </c>
      <c r="E344" s="130" t="s">
        <v>3593</v>
      </c>
      <c r="F344" s="130" t="s">
        <v>3594</v>
      </c>
      <c r="G344" s="130" t="s">
        <v>0</v>
      </c>
      <c r="H344" s="130" t="s">
        <v>3595</v>
      </c>
      <c r="I344" s="130" t="s">
        <v>3596</v>
      </c>
      <c r="J344" s="130" t="s">
        <v>2880</v>
      </c>
      <c r="K344" s="429">
        <v>45882</v>
      </c>
      <c r="L344" s="130">
        <v>1110093400</v>
      </c>
      <c r="M344" s="130" t="s">
        <v>932</v>
      </c>
      <c r="N344" s="130" t="s">
        <v>5146</v>
      </c>
      <c r="O344" s="130" t="s">
        <v>6158</v>
      </c>
      <c r="P344" s="130" t="s">
        <v>26</v>
      </c>
      <c r="Q344" s="130" t="s">
        <v>49</v>
      </c>
      <c r="R344" s="130" t="s">
        <v>3656</v>
      </c>
      <c r="S344" s="130" t="s">
        <v>5600</v>
      </c>
    </row>
    <row r="345" spans="1:19" ht="30" customHeight="1">
      <c r="A345" s="143">
        <v>343</v>
      </c>
      <c r="B345" s="130" t="s">
        <v>2713</v>
      </c>
      <c r="C345" s="130">
        <v>41200046</v>
      </c>
      <c r="D345" s="130" t="s">
        <v>1476</v>
      </c>
      <c r="E345" s="130" t="s">
        <v>3603</v>
      </c>
      <c r="F345" s="130" t="s">
        <v>3604</v>
      </c>
      <c r="G345" s="130" t="s">
        <v>0</v>
      </c>
      <c r="H345" s="130" t="s">
        <v>3608</v>
      </c>
      <c r="I345" s="130" t="s">
        <v>5561</v>
      </c>
      <c r="J345" s="130" t="s">
        <v>2880</v>
      </c>
      <c r="K345" s="429">
        <v>45882</v>
      </c>
      <c r="L345" s="130">
        <v>1210099000</v>
      </c>
      <c r="M345" s="130" t="s">
        <v>5147</v>
      </c>
      <c r="N345" s="130" t="s">
        <v>6159</v>
      </c>
      <c r="O345" s="130" t="s">
        <v>6160</v>
      </c>
      <c r="P345" s="130" t="s">
        <v>26</v>
      </c>
      <c r="Q345" s="130" t="s">
        <v>49</v>
      </c>
      <c r="R345" s="130" t="s">
        <v>3612</v>
      </c>
      <c r="S345" s="130" t="s">
        <v>3612</v>
      </c>
    </row>
    <row r="346" spans="1:19" ht="30" customHeight="1">
      <c r="A346" s="143">
        <v>344</v>
      </c>
      <c r="B346" s="130" t="s">
        <v>2731</v>
      </c>
      <c r="C346" s="130">
        <v>41200129</v>
      </c>
      <c r="D346" s="130" t="s">
        <v>1591</v>
      </c>
      <c r="E346" s="130" t="s">
        <v>3593</v>
      </c>
      <c r="F346" s="130" t="s">
        <v>3594</v>
      </c>
      <c r="G346" s="130" t="s">
        <v>0</v>
      </c>
      <c r="H346" s="130" t="s">
        <v>3595</v>
      </c>
      <c r="I346" s="130" t="s">
        <v>3596</v>
      </c>
      <c r="J346" s="130" t="s">
        <v>2880</v>
      </c>
      <c r="K346" s="429">
        <v>45887</v>
      </c>
      <c r="L346" s="130">
        <v>1100196200</v>
      </c>
      <c r="M346" s="126" t="s">
        <v>3597</v>
      </c>
      <c r="N346" s="130" t="s">
        <v>3701</v>
      </c>
      <c r="O346" s="130" t="s">
        <v>6161</v>
      </c>
      <c r="P346" s="130" t="s">
        <v>26</v>
      </c>
      <c r="Q346" s="130" t="s">
        <v>54</v>
      </c>
      <c r="R346" s="130" t="s">
        <v>3602</v>
      </c>
      <c r="S346" s="130" t="s">
        <v>3760</v>
      </c>
    </row>
    <row r="347" spans="1:19" ht="30" customHeight="1">
      <c r="A347" s="143">
        <v>345</v>
      </c>
      <c r="B347" s="130" t="s">
        <v>2742</v>
      </c>
      <c r="C347" s="130">
        <v>41000584</v>
      </c>
      <c r="D347" s="130" t="s">
        <v>1911</v>
      </c>
      <c r="E347" s="130" t="s">
        <v>3593</v>
      </c>
      <c r="F347" s="130" t="s">
        <v>3594</v>
      </c>
      <c r="G347" s="130" t="s">
        <v>0</v>
      </c>
      <c r="H347" s="130" t="s">
        <v>3614</v>
      </c>
      <c r="I347" s="130" t="s">
        <v>3596</v>
      </c>
      <c r="J347" s="130" t="s">
        <v>2679</v>
      </c>
      <c r="K347" s="429">
        <v>45888</v>
      </c>
      <c r="L347" s="130">
        <v>1100228300</v>
      </c>
      <c r="M347" s="130" t="s">
        <v>932</v>
      </c>
      <c r="N347" s="130" t="s">
        <v>6109</v>
      </c>
      <c r="O347" s="130" t="s">
        <v>6162</v>
      </c>
      <c r="P347" s="130" t="s">
        <v>45</v>
      </c>
      <c r="Q347" s="130" t="s">
        <v>5481</v>
      </c>
      <c r="R347" s="130" t="s">
        <v>3656</v>
      </c>
      <c r="S347" s="130" t="s">
        <v>5600</v>
      </c>
    </row>
    <row r="348" spans="1:19" ht="30" customHeight="1">
      <c r="A348" s="143">
        <v>346</v>
      </c>
      <c r="B348" s="130" t="s">
        <v>2741</v>
      </c>
      <c r="C348" s="130">
        <v>41200076</v>
      </c>
      <c r="D348" s="130" t="s">
        <v>1476</v>
      </c>
      <c r="E348" s="130" t="s">
        <v>3603</v>
      </c>
      <c r="F348" s="130" t="s">
        <v>3594</v>
      </c>
      <c r="G348" s="130" t="s">
        <v>0</v>
      </c>
      <c r="H348" s="130" t="s">
        <v>3595</v>
      </c>
      <c r="I348" s="130" t="s">
        <v>3596</v>
      </c>
      <c r="J348" s="130" t="s">
        <v>2880</v>
      </c>
      <c r="K348" s="429">
        <v>45888</v>
      </c>
      <c r="L348" s="130">
        <v>1100196600</v>
      </c>
      <c r="M348" s="130" t="s">
        <v>1151</v>
      </c>
      <c r="N348" s="130" t="s">
        <v>6163</v>
      </c>
      <c r="O348" s="130" t="s">
        <v>6164</v>
      </c>
      <c r="P348" s="130" t="s">
        <v>26</v>
      </c>
      <c r="Q348" s="130" t="s">
        <v>54</v>
      </c>
      <c r="R348" s="130" t="s">
        <v>3674</v>
      </c>
      <c r="S348" s="130" t="s">
        <v>3737</v>
      </c>
    </row>
    <row r="349" spans="1:19" ht="30" customHeight="1">
      <c r="A349" s="143">
        <v>347</v>
      </c>
      <c r="B349" s="130" t="s">
        <v>2741</v>
      </c>
      <c r="C349" s="130">
        <v>41200076</v>
      </c>
      <c r="D349" s="130" t="s">
        <v>1476</v>
      </c>
      <c r="E349" s="130" t="s">
        <v>3603</v>
      </c>
      <c r="F349" s="130" t="s">
        <v>3594</v>
      </c>
      <c r="G349" s="130" t="s">
        <v>0</v>
      </c>
      <c r="H349" s="130" t="s">
        <v>3614</v>
      </c>
      <c r="I349" s="130" t="s">
        <v>3596</v>
      </c>
      <c r="J349" s="130"/>
      <c r="K349" s="429">
        <v>45888</v>
      </c>
      <c r="L349" s="130">
        <v>1110200900</v>
      </c>
      <c r="M349" s="130" t="s">
        <v>5128</v>
      </c>
      <c r="N349" s="130" t="s">
        <v>6151</v>
      </c>
      <c r="O349" s="130"/>
      <c r="P349" s="130" t="s">
        <v>45</v>
      </c>
      <c r="Q349" s="130" t="s">
        <v>61</v>
      </c>
      <c r="R349" s="130"/>
      <c r="S349" s="130"/>
    </row>
    <row r="350" spans="1:19" ht="30" customHeight="1">
      <c r="A350" s="143">
        <v>348</v>
      </c>
      <c r="B350" s="130" t="s">
        <v>2748</v>
      </c>
      <c r="C350" s="130">
        <v>41200048</v>
      </c>
      <c r="D350" s="130" t="s">
        <v>1476</v>
      </c>
      <c r="E350" s="130" t="s">
        <v>3593</v>
      </c>
      <c r="F350" s="130" t="s">
        <v>3594</v>
      </c>
      <c r="G350" s="130" t="s">
        <v>0</v>
      </c>
      <c r="H350" s="130" t="s">
        <v>3614</v>
      </c>
      <c r="I350" s="130" t="s">
        <v>3596</v>
      </c>
      <c r="J350" s="130" t="s">
        <v>2679</v>
      </c>
      <c r="K350" s="429">
        <v>45889</v>
      </c>
      <c r="L350" s="130">
        <v>1100228300</v>
      </c>
      <c r="M350" s="130" t="s">
        <v>932</v>
      </c>
      <c r="N350" s="130" t="s">
        <v>6165</v>
      </c>
      <c r="O350" s="130" t="s">
        <v>6166</v>
      </c>
      <c r="P350" s="130" t="s">
        <v>45</v>
      </c>
      <c r="Q350" s="130" t="s">
        <v>5481</v>
      </c>
      <c r="R350" s="130" t="s">
        <v>3656</v>
      </c>
      <c r="S350" s="130" t="s">
        <v>6167</v>
      </c>
    </row>
    <row r="351" spans="1:19" ht="30" customHeight="1">
      <c r="A351" s="143">
        <v>349</v>
      </c>
      <c r="B351" s="130" t="s">
        <v>2749</v>
      </c>
      <c r="C351" s="130">
        <v>41200125</v>
      </c>
      <c r="D351" s="130" t="s">
        <v>1476</v>
      </c>
      <c r="E351" s="130" t="s">
        <v>3603</v>
      </c>
      <c r="F351" s="130" t="s">
        <v>3604</v>
      </c>
      <c r="G351" s="130" t="s">
        <v>0</v>
      </c>
      <c r="H351" s="130" t="s">
        <v>3614</v>
      </c>
      <c r="I351" s="130" t="s">
        <v>3596</v>
      </c>
      <c r="J351" s="130" t="s">
        <v>2679</v>
      </c>
      <c r="K351" s="429">
        <v>45889</v>
      </c>
      <c r="L351" s="130">
        <v>1100228300</v>
      </c>
      <c r="M351" s="130" t="s">
        <v>932</v>
      </c>
      <c r="N351" s="130" t="s">
        <v>6165</v>
      </c>
      <c r="O351" s="130" t="s">
        <v>6168</v>
      </c>
      <c r="P351" s="130" t="s">
        <v>45</v>
      </c>
      <c r="Q351" s="130" t="s">
        <v>5481</v>
      </c>
      <c r="R351" s="130" t="s">
        <v>3666</v>
      </c>
      <c r="S351" s="130" t="s">
        <v>3666</v>
      </c>
    </row>
    <row r="352" spans="1:19" ht="30" customHeight="1">
      <c r="A352" s="143">
        <v>350</v>
      </c>
      <c r="B352" s="130" t="s">
        <v>2768</v>
      </c>
      <c r="C352" s="130">
        <v>41200168</v>
      </c>
      <c r="D352" s="130" t="s">
        <v>1476</v>
      </c>
      <c r="E352" s="130" t="s">
        <v>3603</v>
      </c>
      <c r="F352" s="130" t="s">
        <v>3604</v>
      </c>
      <c r="G352" s="130" t="s">
        <v>0</v>
      </c>
      <c r="H352" s="130" t="s">
        <v>3595</v>
      </c>
      <c r="I352" s="130" t="s">
        <v>3596</v>
      </c>
      <c r="J352" s="130" t="s">
        <v>2880</v>
      </c>
      <c r="K352" s="429">
        <v>45891</v>
      </c>
      <c r="L352" s="130">
        <v>1310609300</v>
      </c>
      <c r="M352" s="130" t="s">
        <v>958</v>
      </c>
      <c r="N352" s="130" t="s">
        <v>6169</v>
      </c>
      <c r="O352" s="130" t="s">
        <v>6170</v>
      </c>
      <c r="P352" s="130" t="s">
        <v>26</v>
      </c>
      <c r="Q352" s="130" t="s">
        <v>54</v>
      </c>
      <c r="R352" s="130" t="s">
        <v>3674</v>
      </c>
      <c r="S352" s="130" t="s">
        <v>3714</v>
      </c>
    </row>
    <row r="353" spans="1:19" ht="30" customHeight="1">
      <c r="A353" s="143">
        <v>351</v>
      </c>
      <c r="B353" s="130" t="s">
        <v>2763</v>
      </c>
      <c r="C353" s="130">
        <v>41200168</v>
      </c>
      <c r="D353" s="130" t="s">
        <v>1476</v>
      </c>
      <c r="E353" s="130" t="s">
        <v>3603</v>
      </c>
      <c r="F353" s="130" t="s">
        <v>3604</v>
      </c>
      <c r="G353" s="130" t="s">
        <v>0</v>
      </c>
      <c r="H353" s="130" t="s">
        <v>3595</v>
      </c>
      <c r="I353" s="130" t="s">
        <v>3596</v>
      </c>
      <c r="J353" s="130" t="s">
        <v>2880</v>
      </c>
      <c r="K353" s="429">
        <v>45891</v>
      </c>
      <c r="L353" s="130">
        <v>1100012700</v>
      </c>
      <c r="M353" s="130" t="s">
        <v>1049</v>
      </c>
      <c r="N353" s="130" t="s">
        <v>6171</v>
      </c>
      <c r="O353" s="130" t="s">
        <v>6172</v>
      </c>
      <c r="P353" s="130" t="s">
        <v>5811</v>
      </c>
      <c r="Q353" s="130" t="s">
        <v>54</v>
      </c>
      <c r="R353" s="130" t="s">
        <v>3666</v>
      </c>
      <c r="S353" s="130" t="s">
        <v>3715</v>
      </c>
    </row>
    <row r="354" spans="1:19" ht="30" customHeight="1">
      <c r="A354" s="143">
        <v>352</v>
      </c>
      <c r="B354" s="130" t="s">
        <v>2763</v>
      </c>
      <c r="C354" s="130">
        <v>41200168</v>
      </c>
      <c r="D354" s="130" t="s">
        <v>1476</v>
      </c>
      <c r="E354" s="130" t="s">
        <v>3603</v>
      </c>
      <c r="F354" s="130" t="s">
        <v>3604</v>
      </c>
      <c r="G354" s="130" t="s">
        <v>0</v>
      </c>
      <c r="H354" s="130" t="s">
        <v>3595</v>
      </c>
      <c r="I354" s="130" t="s">
        <v>3596</v>
      </c>
      <c r="J354" s="130" t="s">
        <v>2880</v>
      </c>
      <c r="K354" s="429">
        <v>45891</v>
      </c>
      <c r="L354" s="130">
        <v>1100036700</v>
      </c>
      <c r="M354" s="130" t="s">
        <v>386</v>
      </c>
      <c r="N354" s="130" t="s">
        <v>5081</v>
      </c>
      <c r="O354" s="130" t="s">
        <v>5081</v>
      </c>
      <c r="P354" s="130" t="s">
        <v>26</v>
      </c>
      <c r="Q354" s="130" t="s">
        <v>54</v>
      </c>
      <c r="R354" s="130" t="s">
        <v>3674</v>
      </c>
      <c r="S354" s="130" t="s">
        <v>5514</v>
      </c>
    </row>
    <row r="355" spans="1:19" ht="30" customHeight="1">
      <c r="A355" s="143">
        <v>353</v>
      </c>
      <c r="B355" s="130" t="s">
        <v>2786</v>
      </c>
      <c r="C355" s="130">
        <v>41100227</v>
      </c>
      <c r="D355" s="130" t="s">
        <v>1476</v>
      </c>
      <c r="E355" s="130" t="s">
        <v>3603</v>
      </c>
      <c r="F355" s="130" t="s">
        <v>3604</v>
      </c>
      <c r="G355" s="130" t="s">
        <v>0</v>
      </c>
      <c r="H355" s="130" t="s">
        <v>3595</v>
      </c>
      <c r="I355" s="130" t="s">
        <v>3762</v>
      </c>
      <c r="J355" s="130" t="s">
        <v>2880</v>
      </c>
      <c r="K355" s="429">
        <v>45891</v>
      </c>
      <c r="L355" s="130">
        <v>1110108900</v>
      </c>
      <c r="M355" s="130" t="s">
        <v>5154</v>
      </c>
      <c r="N355" s="130" t="s">
        <v>6173</v>
      </c>
      <c r="O355" s="130" t="s">
        <v>6174</v>
      </c>
      <c r="P355" s="130" t="s">
        <v>5811</v>
      </c>
      <c r="Q355" s="130" t="s">
        <v>49</v>
      </c>
      <c r="R355" s="130" t="s">
        <v>3674</v>
      </c>
      <c r="S355" s="130" t="s">
        <v>5514</v>
      </c>
    </row>
    <row r="356" spans="1:19" ht="30" customHeight="1">
      <c r="A356" s="143">
        <v>354</v>
      </c>
      <c r="B356" s="130" t="s">
        <v>2771</v>
      </c>
      <c r="C356" s="130">
        <v>41200109</v>
      </c>
      <c r="D356" s="130" t="s">
        <v>1591</v>
      </c>
      <c r="E356" s="130" t="s">
        <v>3593</v>
      </c>
      <c r="F356" s="130" t="s">
        <v>3619</v>
      </c>
      <c r="G356" s="130" t="s">
        <v>0</v>
      </c>
      <c r="H356" s="130" t="s">
        <v>3595</v>
      </c>
      <c r="I356" s="130" t="s">
        <v>2894</v>
      </c>
      <c r="J356" s="130"/>
      <c r="K356" s="429">
        <v>45894</v>
      </c>
      <c r="L356" s="130">
        <v>1100618100</v>
      </c>
      <c r="M356" s="130" t="s">
        <v>195</v>
      </c>
      <c r="N356" s="130" t="s">
        <v>6066</v>
      </c>
      <c r="O356" s="130" t="s">
        <v>6175</v>
      </c>
      <c r="P356" s="130" t="s">
        <v>30</v>
      </c>
      <c r="Q356" s="130" t="s">
        <v>49</v>
      </c>
      <c r="R356" s="130" t="s">
        <v>3993</v>
      </c>
      <c r="S356" s="130" t="s">
        <v>6176</v>
      </c>
    </row>
    <row r="357" spans="1:19" ht="30" customHeight="1">
      <c r="A357" s="143">
        <v>355</v>
      </c>
      <c r="B357" s="130" t="s">
        <v>2789</v>
      </c>
      <c r="C357" s="130">
        <v>41200074</v>
      </c>
      <c r="D357" s="130" t="s">
        <v>1478</v>
      </c>
      <c r="E357" s="130" t="s">
        <v>3603</v>
      </c>
      <c r="F357" s="130" t="s">
        <v>3619</v>
      </c>
      <c r="G357" s="130" t="s">
        <v>0</v>
      </c>
      <c r="H357" s="130" t="s">
        <v>3614</v>
      </c>
      <c r="I357" s="130" t="s">
        <v>3596</v>
      </c>
      <c r="J357" s="130" t="s">
        <v>2679</v>
      </c>
      <c r="K357" s="429">
        <v>45895</v>
      </c>
      <c r="L357" s="130">
        <v>1100228300</v>
      </c>
      <c r="M357" s="130" t="s">
        <v>932</v>
      </c>
      <c r="N357" s="130" t="s">
        <v>6109</v>
      </c>
      <c r="O357" s="130" t="s">
        <v>6177</v>
      </c>
      <c r="P357" s="130" t="s">
        <v>45</v>
      </c>
      <c r="Q357" s="130" t="s">
        <v>5481</v>
      </c>
      <c r="R357" s="130" t="s">
        <v>3666</v>
      </c>
      <c r="S357" s="130" t="s">
        <v>5625</v>
      </c>
    </row>
    <row r="358" spans="1:19" ht="30" customHeight="1">
      <c r="A358" s="143">
        <v>356</v>
      </c>
      <c r="B358" s="130" t="s">
        <v>2789</v>
      </c>
      <c r="C358" s="130">
        <v>41200074</v>
      </c>
      <c r="D358" s="130" t="s">
        <v>1478</v>
      </c>
      <c r="E358" s="130" t="s">
        <v>3603</v>
      </c>
      <c r="F358" s="130" t="s">
        <v>3619</v>
      </c>
      <c r="G358" s="130" t="s">
        <v>0</v>
      </c>
      <c r="H358" s="130" t="s">
        <v>3614</v>
      </c>
      <c r="I358" s="130" t="s">
        <v>3596</v>
      </c>
      <c r="J358" s="130" t="s">
        <v>2679</v>
      </c>
      <c r="K358" s="429">
        <v>45895</v>
      </c>
      <c r="L358" s="130">
        <v>1100228300</v>
      </c>
      <c r="M358" s="130" t="s">
        <v>932</v>
      </c>
      <c r="N358" s="130" t="s">
        <v>6109</v>
      </c>
      <c r="O358" s="130" t="s">
        <v>6178</v>
      </c>
      <c r="P358" s="130" t="s">
        <v>45</v>
      </c>
      <c r="Q358" s="130" t="s">
        <v>5481</v>
      </c>
      <c r="R358" s="130" t="s">
        <v>3666</v>
      </c>
      <c r="S358" s="130" t="s">
        <v>5625</v>
      </c>
    </row>
    <row r="359" spans="1:19" ht="30" customHeight="1">
      <c r="A359" s="143">
        <v>357</v>
      </c>
      <c r="B359" s="130" t="s">
        <v>2788</v>
      </c>
      <c r="C359" s="130">
        <v>41200074</v>
      </c>
      <c r="D359" s="130" t="s">
        <v>1478</v>
      </c>
      <c r="E359" s="130" t="s">
        <v>3603</v>
      </c>
      <c r="F359" s="130" t="s">
        <v>3619</v>
      </c>
      <c r="G359" s="130" t="s">
        <v>0</v>
      </c>
      <c r="H359" s="130" t="s">
        <v>3614</v>
      </c>
      <c r="I359" s="130" t="s">
        <v>3596</v>
      </c>
      <c r="J359" s="130" t="s">
        <v>2679</v>
      </c>
      <c r="K359" s="429">
        <v>45895</v>
      </c>
      <c r="L359" s="130">
        <v>1100273700</v>
      </c>
      <c r="M359" s="130" t="s">
        <v>735</v>
      </c>
      <c r="N359" s="130" t="s">
        <v>6179</v>
      </c>
      <c r="O359" s="130" t="s">
        <v>6180</v>
      </c>
      <c r="P359" s="130" t="s">
        <v>45</v>
      </c>
      <c r="Q359" s="130" t="s">
        <v>5481</v>
      </c>
      <c r="R359" s="130" t="s">
        <v>3666</v>
      </c>
      <c r="S359" s="130" t="s">
        <v>3666</v>
      </c>
    </row>
    <row r="360" spans="1:19" ht="30" customHeight="1">
      <c r="A360" s="143">
        <v>358</v>
      </c>
      <c r="B360" s="130" t="s">
        <v>2802</v>
      </c>
      <c r="C360" s="130">
        <v>41200105</v>
      </c>
      <c r="D360" s="130" t="s">
        <v>1476</v>
      </c>
      <c r="E360" s="130" t="s">
        <v>3603</v>
      </c>
      <c r="F360" s="130" t="s">
        <v>3604</v>
      </c>
      <c r="G360" s="130" t="s">
        <v>0</v>
      </c>
      <c r="H360" s="130" t="s">
        <v>3595</v>
      </c>
      <c r="I360" s="130" t="s">
        <v>3694</v>
      </c>
      <c r="J360" s="130" t="s">
        <v>2679</v>
      </c>
      <c r="K360" s="429">
        <v>45896</v>
      </c>
      <c r="L360" s="130">
        <v>1100008800</v>
      </c>
      <c r="M360" s="130" t="s">
        <v>143</v>
      </c>
      <c r="N360" s="130" t="s">
        <v>6181</v>
      </c>
      <c r="O360" s="130" t="s">
        <v>6182</v>
      </c>
      <c r="P360" s="130" t="s">
        <v>5811</v>
      </c>
      <c r="Q360" s="130" t="s">
        <v>49</v>
      </c>
      <c r="R360" s="130" t="s">
        <v>3714</v>
      </c>
      <c r="S360" s="130" t="s">
        <v>3715</v>
      </c>
    </row>
    <row r="361" spans="1:19" ht="30" customHeight="1">
      <c r="A361" s="143">
        <v>359</v>
      </c>
      <c r="B361" s="130" t="s">
        <v>2798</v>
      </c>
      <c r="C361" s="130">
        <v>41000588</v>
      </c>
      <c r="D361" s="130" t="s">
        <v>1911</v>
      </c>
      <c r="E361" s="130" t="s">
        <v>3651</v>
      </c>
      <c r="F361" s="130" t="s">
        <v>3619</v>
      </c>
      <c r="G361" s="130" t="s">
        <v>0</v>
      </c>
      <c r="H361" s="130" t="s">
        <v>3595</v>
      </c>
      <c r="I361" s="130" t="s">
        <v>3596</v>
      </c>
      <c r="J361" s="130" t="s">
        <v>2880</v>
      </c>
      <c r="K361" s="429">
        <v>45896</v>
      </c>
      <c r="L361" s="130">
        <v>1100020100</v>
      </c>
      <c r="M361" s="130" t="s">
        <v>816</v>
      </c>
      <c r="N361" s="130" t="s">
        <v>6124</v>
      </c>
      <c r="O361" s="130" t="s">
        <v>6183</v>
      </c>
      <c r="P361" s="130" t="s">
        <v>26</v>
      </c>
      <c r="Q361" s="130" t="s">
        <v>54</v>
      </c>
      <c r="R361" s="130" t="s">
        <v>3674</v>
      </c>
      <c r="S361" s="130" t="s">
        <v>3724</v>
      </c>
    </row>
    <row r="362" spans="1:19" ht="30" customHeight="1">
      <c r="A362" s="143">
        <v>360</v>
      </c>
      <c r="B362" s="130" t="s">
        <v>2798</v>
      </c>
      <c r="C362" s="130">
        <v>41000588</v>
      </c>
      <c r="D362" s="130" t="s">
        <v>1911</v>
      </c>
      <c r="E362" s="130" t="s">
        <v>3651</v>
      </c>
      <c r="F362" s="130" t="s">
        <v>3619</v>
      </c>
      <c r="G362" s="130" t="s">
        <v>0</v>
      </c>
      <c r="H362" s="130" t="s">
        <v>3595</v>
      </c>
      <c r="I362" s="130" t="s">
        <v>3762</v>
      </c>
      <c r="J362" s="130" t="s">
        <v>2880</v>
      </c>
      <c r="K362" s="429">
        <v>45896</v>
      </c>
      <c r="L362" s="130">
        <v>1310483100</v>
      </c>
      <c r="M362" s="130" t="s">
        <v>958</v>
      </c>
      <c r="N362" s="130" t="s">
        <v>6184</v>
      </c>
      <c r="O362" s="130" t="s">
        <v>6185</v>
      </c>
      <c r="P362" s="130" t="s">
        <v>26</v>
      </c>
      <c r="Q362" s="130" t="s">
        <v>49</v>
      </c>
      <c r="R362" s="130" t="s">
        <v>3674</v>
      </c>
      <c r="S362" s="130" t="s">
        <v>3724</v>
      </c>
    </row>
    <row r="363" spans="1:19" ht="30" customHeight="1">
      <c r="A363" s="143">
        <v>361</v>
      </c>
      <c r="B363" s="130" t="s">
        <v>2796</v>
      </c>
      <c r="C363" s="130">
        <v>41200005</v>
      </c>
      <c r="D363" s="130" t="s">
        <v>1591</v>
      </c>
      <c r="E363" s="130" t="s">
        <v>3593</v>
      </c>
      <c r="F363" s="130" t="s">
        <v>3619</v>
      </c>
      <c r="G363" s="130" t="s">
        <v>0</v>
      </c>
      <c r="H363" s="130" t="s">
        <v>3595</v>
      </c>
      <c r="I363" s="130" t="s">
        <v>2894</v>
      </c>
      <c r="J363" s="130"/>
      <c r="K363" s="429">
        <v>45896</v>
      </c>
      <c r="L363" s="130">
        <v>1110093400</v>
      </c>
      <c r="M363" s="130" t="s">
        <v>932</v>
      </c>
      <c r="N363" s="130" t="s">
        <v>5160</v>
      </c>
      <c r="O363" s="130" t="s">
        <v>6186</v>
      </c>
      <c r="P363" s="130" t="s">
        <v>45</v>
      </c>
      <c r="Q363" s="130" t="s">
        <v>49</v>
      </c>
      <c r="R363" s="130" t="s">
        <v>3993</v>
      </c>
      <c r="S363" s="130" t="s">
        <v>3993</v>
      </c>
    </row>
    <row r="364" spans="1:19" ht="30" customHeight="1">
      <c r="A364" s="143">
        <v>362</v>
      </c>
      <c r="B364" s="130" t="s">
        <v>2796</v>
      </c>
      <c r="C364" s="130">
        <v>41200005</v>
      </c>
      <c r="D364" s="130" t="s">
        <v>1591</v>
      </c>
      <c r="E364" s="130" t="s">
        <v>3593</v>
      </c>
      <c r="F364" s="130" t="s">
        <v>3619</v>
      </c>
      <c r="G364" s="130" t="s">
        <v>0</v>
      </c>
      <c r="H364" s="130" t="s">
        <v>3595</v>
      </c>
      <c r="I364" s="130" t="s">
        <v>2894</v>
      </c>
      <c r="J364" s="130"/>
      <c r="K364" s="429">
        <v>45896</v>
      </c>
      <c r="L364" s="130">
        <v>1110093500</v>
      </c>
      <c r="M364" s="130" t="s">
        <v>932</v>
      </c>
      <c r="N364" s="130" t="s">
        <v>5102</v>
      </c>
      <c r="O364" s="130" t="s">
        <v>6187</v>
      </c>
      <c r="P364" s="130" t="s">
        <v>30</v>
      </c>
      <c r="Q364" s="130" t="s">
        <v>49</v>
      </c>
      <c r="R364" s="130" t="s">
        <v>3993</v>
      </c>
      <c r="S364" s="130" t="s">
        <v>3993</v>
      </c>
    </row>
    <row r="365" spans="1:19" ht="30" customHeight="1">
      <c r="A365" s="143">
        <v>363</v>
      </c>
      <c r="B365" s="130" t="s">
        <v>2796</v>
      </c>
      <c r="C365" s="130">
        <v>41200005</v>
      </c>
      <c r="D365" s="130" t="s">
        <v>1591</v>
      </c>
      <c r="E365" s="130" t="s">
        <v>3593</v>
      </c>
      <c r="F365" s="130" t="s">
        <v>3619</v>
      </c>
      <c r="G365" s="130" t="s">
        <v>0</v>
      </c>
      <c r="H365" s="130" t="s">
        <v>3595</v>
      </c>
      <c r="I365" s="130" t="s">
        <v>2894</v>
      </c>
      <c r="J365" s="130"/>
      <c r="K365" s="429">
        <v>45896</v>
      </c>
      <c r="L365" s="130">
        <v>1110093400</v>
      </c>
      <c r="M365" s="130" t="s">
        <v>932</v>
      </c>
      <c r="N365" s="130" t="s">
        <v>5160</v>
      </c>
      <c r="O365" s="130" t="s">
        <v>6188</v>
      </c>
      <c r="P365" s="130" t="s">
        <v>45</v>
      </c>
      <c r="Q365" s="130" t="s">
        <v>49</v>
      </c>
      <c r="R365" s="130" t="s">
        <v>3993</v>
      </c>
      <c r="S365" s="130" t="s">
        <v>3993</v>
      </c>
    </row>
    <row r="366" spans="1:19" ht="30" customHeight="1">
      <c r="A366" s="143">
        <v>364</v>
      </c>
      <c r="B366" s="130" t="s">
        <v>2808</v>
      </c>
      <c r="C366" s="130">
        <v>41100286</v>
      </c>
      <c r="D366" s="130" t="s">
        <v>1476</v>
      </c>
      <c r="E366" s="130" t="s">
        <v>3593</v>
      </c>
      <c r="F366" s="130" t="s">
        <v>3594</v>
      </c>
      <c r="G366" s="130" t="s">
        <v>0</v>
      </c>
      <c r="H366" s="130" t="s">
        <v>3595</v>
      </c>
      <c r="I366" s="130" t="s">
        <v>2682</v>
      </c>
      <c r="J366" s="130" t="s">
        <v>2679</v>
      </c>
      <c r="K366" s="429">
        <v>45897</v>
      </c>
      <c r="L366" s="130"/>
      <c r="M366" s="130"/>
      <c r="N366" s="130" t="s">
        <v>6189</v>
      </c>
      <c r="O366" s="130" t="s">
        <v>6190</v>
      </c>
      <c r="P366" s="130" t="s">
        <v>30</v>
      </c>
      <c r="Q366" s="130" t="s">
        <v>49</v>
      </c>
      <c r="R366" s="130" t="s">
        <v>3993</v>
      </c>
      <c r="S366" s="130" t="s">
        <v>3993</v>
      </c>
    </row>
    <row r="367" spans="1:19" ht="30" customHeight="1">
      <c r="A367" s="143">
        <v>365</v>
      </c>
      <c r="B367" s="130" t="s">
        <v>2804</v>
      </c>
      <c r="C367" s="130">
        <v>41200005</v>
      </c>
      <c r="D367" s="130" t="s">
        <v>1591</v>
      </c>
      <c r="E367" s="130" t="s">
        <v>3593</v>
      </c>
      <c r="F367" s="130" t="s">
        <v>3619</v>
      </c>
      <c r="G367" s="130" t="s">
        <v>0</v>
      </c>
      <c r="H367" s="130" t="s">
        <v>3595</v>
      </c>
      <c r="I367" s="130" t="s">
        <v>2894</v>
      </c>
      <c r="J367" s="130"/>
      <c r="K367" s="429">
        <v>45897</v>
      </c>
      <c r="L367" s="130">
        <v>1110093400</v>
      </c>
      <c r="M367" s="130" t="s">
        <v>932</v>
      </c>
      <c r="N367" s="130" t="s">
        <v>5160</v>
      </c>
      <c r="O367" s="130" t="s">
        <v>6191</v>
      </c>
      <c r="P367" s="130" t="s">
        <v>45</v>
      </c>
      <c r="Q367" s="130" t="s">
        <v>49</v>
      </c>
      <c r="R367" s="130" t="s">
        <v>3993</v>
      </c>
      <c r="S367" s="130" t="s">
        <v>3993</v>
      </c>
    </row>
    <row r="368" spans="1:19" ht="30" customHeight="1">
      <c r="A368" s="143">
        <v>366</v>
      </c>
      <c r="B368" s="130" t="s">
        <v>2819</v>
      </c>
      <c r="C368" s="130">
        <v>41200119</v>
      </c>
      <c r="D368" s="130" t="s">
        <v>1476</v>
      </c>
      <c r="E368" s="130" t="s">
        <v>3593</v>
      </c>
      <c r="F368" s="130" t="s">
        <v>3594</v>
      </c>
      <c r="G368" s="130" t="s">
        <v>0</v>
      </c>
      <c r="H368" s="130" t="s">
        <v>3608</v>
      </c>
      <c r="I368" s="130" t="s">
        <v>4083</v>
      </c>
      <c r="J368" s="130" t="s">
        <v>2679</v>
      </c>
      <c r="K368" s="429">
        <v>45898</v>
      </c>
      <c r="L368" s="130">
        <v>1300136900</v>
      </c>
      <c r="M368" s="130" t="s">
        <v>651</v>
      </c>
      <c r="N368" s="130" t="s">
        <v>6192</v>
      </c>
      <c r="O368" s="130" t="s">
        <v>6126</v>
      </c>
      <c r="P368" s="130" t="s">
        <v>26</v>
      </c>
      <c r="Q368" s="130" t="s">
        <v>54</v>
      </c>
      <c r="R368" s="130" t="s">
        <v>6193</v>
      </c>
      <c r="S368" s="130" t="s">
        <v>6193</v>
      </c>
    </row>
    <row r="369" spans="1:19" ht="30" customHeight="1">
      <c r="A369" s="143">
        <v>367</v>
      </c>
      <c r="B369" s="130" t="s">
        <v>2835</v>
      </c>
      <c r="C369" s="130">
        <v>41200033</v>
      </c>
      <c r="D369" s="130" t="s">
        <v>1476</v>
      </c>
      <c r="E369" s="130" t="s">
        <v>3603</v>
      </c>
      <c r="F369" s="130" t="s">
        <v>3594</v>
      </c>
      <c r="G369" s="130" t="s">
        <v>0</v>
      </c>
      <c r="H369" s="130" t="s">
        <v>3595</v>
      </c>
      <c r="I369" s="130" t="s">
        <v>3762</v>
      </c>
      <c r="J369" s="130"/>
      <c r="K369" s="429">
        <v>45901</v>
      </c>
      <c r="L369" s="130">
        <v>1100008800</v>
      </c>
      <c r="M369" s="130" t="s">
        <v>143</v>
      </c>
      <c r="N369" s="130" t="s">
        <v>6194</v>
      </c>
      <c r="O369" s="130" t="s">
        <v>6195</v>
      </c>
      <c r="P369" s="130" t="s">
        <v>26</v>
      </c>
      <c r="Q369" s="130" t="s">
        <v>49</v>
      </c>
      <c r="R369" s="130" t="s">
        <v>3674</v>
      </c>
      <c r="S369" s="130" t="s">
        <v>5514</v>
      </c>
    </row>
    <row r="370" spans="1:19" ht="30" customHeight="1">
      <c r="A370" s="143">
        <v>368</v>
      </c>
      <c r="B370" s="130" t="s">
        <v>2833</v>
      </c>
      <c r="C370" s="130">
        <v>41000584</v>
      </c>
      <c r="D370" s="130" t="s">
        <v>1911</v>
      </c>
      <c r="E370" s="130" t="s">
        <v>3651</v>
      </c>
      <c r="F370" s="130" t="s">
        <v>3619</v>
      </c>
      <c r="G370" s="130" t="s">
        <v>0</v>
      </c>
      <c r="H370" s="130" t="s">
        <v>3595</v>
      </c>
      <c r="I370" s="130" t="s">
        <v>3762</v>
      </c>
      <c r="J370" s="130" t="s">
        <v>2880</v>
      </c>
      <c r="K370" s="429">
        <v>45901</v>
      </c>
      <c r="L370" s="130">
        <v>1100233500</v>
      </c>
      <c r="M370" s="130" t="s">
        <v>69</v>
      </c>
      <c r="N370" s="130" t="s">
        <v>6196</v>
      </c>
      <c r="O370" s="130" t="s">
        <v>6197</v>
      </c>
      <c r="P370" s="130" t="s">
        <v>26</v>
      </c>
      <c r="Q370" s="130" t="s">
        <v>49</v>
      </c>
      <c r="R370" s="130" t="s">
        <v>3674</v>
      </c>
      <c r="S370" s="130" t="s">
        <v>4046</v>
      </c>
    </row>
    <row r="371" spans="1:19" ht="30" customHeight="1">
      <c r="A371" s="143">
        <v>369</v>
      </c>
      <c r="B371" s="130" t="s">
        <v>2833</v>
      </c>
      <c r="C371" s="130">
        <v>41000584</v>
      </c>
      <c r="D371" s="130" t="s">
        <v>1911</v>
      </c>
      <c r="E371" s="130" t="s">
        <v>3651</v>
      </c>
      <c r="F371" s="130" t="s">
        <v>3619</v>
      </c>
      <c r="G371" s="130" t="s">
        <v>0</v>
      </c>
      <c r="H371" s="130" t="s">
        <v>3595</v>
      </c>
      <c r="I371" s="130" t="s">
        <v>3762</v>
      </c>
      <c r="J371" s="130" t="s">
        <v>2679</v>
      </c>
      <c r="K371" s="429">
        <v>45901</v>
      </c>
      <c r="L371" s="130">
        <v>1100233500</v>
      </c>
      <c r="M371" s="130" t="s">
        <v>69</v>
      </c>
      <c r="N371" s="130" t="s">
        <v>6196</v>
      </c>
      <c r="O371" s="130" t="s">
        <v>6198</v>
      </c>
      <c r="P371" s="130" t="s">
        <v>26</v>
      </c>
      <c r="Q371" s="130" t="s">
        <v>49</v>
      </c>
      <c r="R371" s="130" t="s">
        <v>3674</v>
      </c>
      <c r="S371" s="130" t="s">
        <v>4046</v>
      </c>
    </row>
    <row r="372" spans="1:19" ht="30" customHeight="1">
      <c r="A372" s="143">
        <v>370</v>
      </c>
      <c r="B372" s="130" t="s">
        <v>2840</v>
      </c>
      <c r="C372" s="130">
        <v>41200128</v>
      </c>
      <c r="D372" s="130" t="s">
        <v>1591</v>
      </c>
      <c r="E372" s="130" t="s">
        <v>3593</v>
      </c>
      <c r="F372" s="130" t="s">
        <v>3594</v>
      </c>
      <c r="G372" s="130" t="s">
        <v>0</v>
      </c>
      <c r="H372" s="130" t="s">
        <v>3595</v>
      </c>
      <c r="I372" s="130" t="s">
        <v>3762</v>
      </c>
      <c r="J372" s="130"/>
      <c r="K372" s="429">
        <v>45902</v>
      </c>
      <c r="L372" s="130">
        <v>1100233500</v>
      </c>
      <c r="M372" s="130" t="s">
        <v>69</v>
      </c>
      <c r="N372" s="130" t="s">
        <v>6196</v>
      </c>
      <c r="O372" s="130" t="s">
        <v>6199</v>
      </c>
      <c r="P372" s="130" t="s">
        <v>26</v>
      </c>
      <c r="Q372" s="130" t="s">
        <v>49</v>
      </c>
      <c r="R372" s="130" t="s">
        <v>3993</v>
      </c>
      <c r="S372" s="130" t="s">
        <v>3993</v>
      </c>
    </row>
    <row r="373" spans="1:19" ht="30" customHeight="1">
      <c r="A373" s="143">
        <v>371</v>
      </c>
      <c r="B373" s="130" t="s">
        <v>2854</v>
      </c>
      <c r="C373" s="130">
        <v>41200006</v>
      </c>
      <c r="D373" s="130" t="s">
        <v>1477</v>
      </c>
      <c r="E373" s="130" t="s">
        <v>3603</v>
      </c>
      <c r="F373" s="130" t="s">
        <v>3604</v>
      </c>
      <c r="G373" s="130" t="s">
        <v>0</v>
      </c>
      <c r="H373" s="130" t="s">
        <v>3595</v>
      </c>
      <c r="I373" s="130" t="s">
        <v>2894</v>
      </c>
      <c r="J373" s="130"/>
      <c r="K373" s="429">
        <v>45903</v>
      </c>
      <c r="L373" s="130">
        <v>1100228300</v>
      </c>
      <c r="M373" s="130" t="s">
        <v>932</v>
      </c>
      <c r="N373" s="130" t="s">
        <v>6165</v>
      </c>
      <c r="O373" s="130" t="s">
        <v>6200</v>
      </c>
      <c r="P373" s="130" t="s">
        <v>26</v>
      </c>
      <c r="Q373" s="130" t="s">
        <v>49</v>
      </c>
      <c r="R373" s="130" t="s">
        <v>3674</v>
      </c>
      <c r="S373" s="130" t="s">
        <v>3666</v>
      </c>
    </row>
    <row r="374" spans="1:19" ht="30" customHeight="1">
      <c r="A374" s="143">
        <v>372</v>
      </c>
      <c r="B374" s="130" t="s">
        <v>2855</v>
      </c>
      <c r="C374" s="130">
        <v>41200074</v>
      </c>
      <c r="D374" s="130" t="s">
        <v>1478</v>
      </c>
      <c r="E374" s="130" t="s">
        <v>3603</v>
      </c>
      <c r="F374" s="130" t="s">
        <v>3604</v>
      </c>
      <c r="G374" s="130" t="s">
        <v>0</v>
      </c>
      <c r="H374" s="130" t="s">
        <v>3614</v>
      </c>
      <c r="I374" s="130" t="s">
        <v>3596</v>
      </c>
      <c r="J374" s="130" t="s">
        <v>2679</v>
      </c>
      <c r="K374" s="429">
        <v>45903</v>
      </c>
      <c r="L374" s="130">
        <v>1100228300</v>
      </c>
      <c r="M374" s="130" t="s">
        <v>932</v>
      </c>
      <c r="N374" s="130" t="s">
        <v>6109</v>
      </c>
      <c r="O374" s="130" t="s">
        <v>6201</v>
      </c>
      <c r="P374" s="130" t="s">
        <v>45</v>
      </c>
      <c r="Q374" s="130" t="s">
        <v>5481</v>
      </c>
      <c r="R374" s="130" t="s">
        <v>3666</v>
      </c>
      <c r="S374" s="130" t="s">
        <v>3666</v>
      </c>
    </row>
    <row r="375" spans="1:19" ht="30" customHeight="1">
      <c r="A375" s="143">
        <v>373</v>
      </c>
      <c r="B375" s="130" t="s">
        <v>2865</v>
      </c>
      <c r="C375" s="130">
        <v>41200119</v>
      </c>
      <c r="D375" s="130" t="s">
        <v>1476</v>
      </c>
      <c r="E375" s="130" t="s">
        <v>3603</v>
      </c>
      <c r="F375" s="130" t="s">
        <v>3604</v>
      </c>
      <c r="G375" s="130" t="s">
        <v>0</v>
      </c>
      <c r="H375" s="130" t="s">
        <v>3595</v>
      </c>
      <c r="I375" s="130" t="s">
        <v>2682</v>
      </c>
      <c r="J375" s="429" t="s">
        <v>2679</v>
      </c>
      <c r="K375" s="429">
        <v>45904</v>
      </c>
      <c r="L375" s="130">
        <v>1100407300</v>
      </c>
      <c r="M375" s="130" t="s">
        <v>255</v>
      </c>
      <c r="N375" s="130" t="s">
        <v>5190</v>
      </c>
      <c r="O375" s="130" t="s">
        <v>6202</v>
      </c>
      <c r="P375" s="130" t="s">
        <v>36</v>
      </c>
      <c r="Q375" s="130" t="s">
        <v>49</v>
      </c>
      <c r="R375" s="130" t="s">
        <v>3674</v>
      </c>
      <c r="S375" s="130" t="s">
        <v>3798</v>
      </c>
    </row>
    <row r="376" spans="1:19" ht="30" customHeight="1">
      <c r="A376" s="143">
        <v>374</v>
      </c>
      <c r="B376" s="130" t="s">
        <v>2865</v>
      </c>
      <c r="C376" s="130">
        <v>41200119</v>
      </c>
      <c r="D376" s="130" t="s">
        <v>1476</v>
      </c>
      <c r="E376" s="130" t="s">
        <v>3603</v>
      </c>
      <c r="F376" s="130" t="s">
        <v>3604</v>
      </c>
      <c r="G376" s="130" t="s">
        <v>0</v>
      </c>
      <c r="H376" s="130" t="s">
        <v>3595</v>
      </c>
      <c r="I376" s="130" t="s">
        <v>3694</v>
      </c>
      <c r="J376" s="429" t="s">
        <v>2679</v>
      </c>
      <c r="K376" s="429">
        <v>45904</v>
      </c>
      <c r="L376" s="130">
        <v>1110147800</v>
      </c>
      <c r="M376" s="130" t="s">
        <v>680</v>
      </c>
      <c r="N376" s="130" t="s">
        <v>6203</v>
      </c>
      <c r="O376" s="130" t="s">
        <v>6204</v>
      </c>
      <c r="P376" s="130" t="s">
        <v>30</v>
      </c>
      <c r="Q376" s="130" t="s">
        <v>49</v>
      </c>
      <c r="R376" s="130" t="s">
        <v>3602</v>
      </c>
      <c r="S376" s="130" t="s">
        <v>3893</v>
      </c>
    </row>
    <row r="377" spans="1:19" ht="30" customHeight="1">
      <c r="A377" s="143">
        <v>375</v>
      </c>
      <c r="B377" s="130" t="s">
        <v>2875</v>
      </c>
      <c r="C377" s="130">
        <v>41200007</v>
      </c>
      <c r="D377" s="130" t="s">
        <v>1591</v>
      </c>
      <c r="E377" s="130" t="s">
        <v>3603</v>
      </c>
      <c r="F377" s="130" t="s">
        <v>3604</v>
      </c>
      <c r="G377" s="130" t="s">
        <v>0</v>
      </c>
      <c r="H377" s="130" t="s">
        <v>3614</v>
      </c>
      <c r="I377" s="130" t="s">
        <v>3596</v>
      </c>
      <c r="J377" s="130"/>
      <c r="K377" s="429">
        <v>45905</v>
      </c>
      <c r="L377" s="130">
        <v>1100228300</v>
      </c>
      <c r="M377" s="130" t="s">
        <v>932</v>
      </c>
      <c r="N377" s="130" t="s">
        <v>6109</v>
      </c>
      <c r="O377" s="130" t="s">
        <v>6205</v>
      </c>
      <c r="P377" s="130" t="s">
        <v>45</v>
      </c>
      <c r="Q377" s="130" t="s">
        <v>5481</v>
      </c>
      <c r="R377" s="130" t="s">
        <v>3666</v>
      </c>
      <c r="S377" s="130" t="s">
        <v>5612</v>
      </c>
    </row>
    <row r="378" spans="1:19" ht="30" customHeight="1">
      <c r="A378" s="143">
        <v>376</v>
      </c>
      <c r="B378" s="130" t="s">
        <v>2872</v>
      </c>
      <c r="C378" s="130">
        <v>41200076</v>
      </c>
      <c r="D378" s="130" t="s">
        <v>1476</v>
      </c>
      <c r="E378" s="130" t="s">
        <v>3593</v>
      </c>
      <c r="F378" s="130" t="s">
        <v>3594</v>
      </c>
      <c r="G378" s="130" t="s">
        <v>0</v>
      </c>
      <c r="H378" s="130" t="s">
        <v>3595</v>
      </c>
      <c r="I378" s="130" t="s">
        <v>3596</v>
      </c>
      <c r="J378" s="130"/>
      <c r="K378" s="429">
        <v>45905</v>
      </c>
      <c r="L378" s="130">
        <v>1100196200</v>
      </c>
      <c r="M378" s="126" t="s">
        <v>3597</v>
      </c>
      <c r="N378" s="130" t="s">
        <v>6206</v>
      </c>
      <c r="O378" s="130" t="s">
        <v>6207</v>
      </c>
      <c r="P378" s="130" t="s">
        <v>26</v>
      </c>
      <c r="Q378" s="130" t="s">
        <v>54</v>
      </c>
      <c r="R378" s="130" t="s">
        <v>3602</v>
      </c>
      <c r="S378" s="130" t="s">
        <v>3737</v>
      </c>
    </row>
    <row r="379" spans="1:19" ht="30" customHeight="1">
      <c r="A379" s="143">
        <v>377</v>
      </c>
      <c r="B379" s="130" t="s">
        <v>2873</v>
      </c>
      <c r="C379" s="130">
        <v>41200048</v>
      </c>
      <c r="D379" s="130" t="s">
        <v>1476</v>
      </c>
      <c r="E379" s="130" t="s">
        <v>3603</v>
      </c>
      <c r="F379" s="130" t="s">
        <v>3594</v>
      </c>
      <c r="G379" s="130" t="s">
        <v>0</v>
      </c>
      <c r="H379" s="130" t="s">
        <v>3595</v>
      </c>
      <c r="I379" s="130" t="s">
        <v>3596</v>
      </c>
      <c r="J379" s="130" t="s">
        <v>2880</v>
      </c>
      <c r="K379" s="429">
        <v>45905</v>
      </c>
      <c r="L379" s="130">
        <v>1100013600</v>
      </c>
      <c r="M379" s="130" t="s">
        <v>1049</v>
      </c>
      <c r="N379" s="130" t="s">
        <v>6208</v>
      </c>
      <c r="O379" s="130" t="s">
        <v>6209</v>
      </c>
      <c r="P379" s="130" t="s">
        <v>26</v>
      </c>
      <c r="Q379" s="130" t="s">
        <v>54</v>
      </c>
      <c r="R379" s="130" t="s">
        <v>3666</v>
      </c>
      <c r="S379" s="130" t="s">
        <v>3666</v>
      </c>
    </row>
    <row r="380" spans="1:19" ht="30" customHeight="1">
      <c r="A380" s="143">
        <v>378</v>
      </c>
      <c r="B380" s="130" t="s">
        <v>2873</v>
      </c>
      <c r="C380" s="130">
        <v>41200048</v>
      </c>
      <c r="D380" s="130" t="s">
        <v>1476</v>
      </c>
      <c r="E380" s="130" t="s">
        <v>3603</v>
      </c>
      <c r="F380" s="130" t="s">
        <v>3594</v>
      </c>
      <c r="G380" s="130" t="s">
        <v>0</v>
      </c>
      <c r="H380" s="130" t="s">
        <v>3595</v>
      </c>
      <c r="I380" s="130" t="s">
        <v>3596</v>
      </c>
      <c r="J380" s="130" t="s">
        <v>2880</v>
      </c>
      <c r="K380" s="429">
        <v>45905</v>
      </c>
      <c r="L380" s="130">
        <v>1100024300</v>
      </c>
      <c r="M380" s="126" t="s">
        <v>5534</v>
      </c>
      <c r="N380" s="130" t="s">
        <v>5354</v>
      </c>
      <c r="O380" s="130" t="s">
        <v>6210</v>
      </c>
      <c r="P380" s="130" t="s">
        <v>26</v>
      </c>
      <c r="Q380" s="130" t="s">
        <v>54</v>
      </c>
      <c r="R380" s="130" t="s">
        <v>3666</v>
      </c>
      <c r="S380" s="130" t="s">
        <v>3666</v>
      </c>
    </row>
    <row r="381" spans="1:19" ht="30" customHeight="1">
      <c r="A381" s="143">
        <v>379</v>
      </c>
      <c r="B381" s="130" t="s">
        <v>2870</v>
      </c>
      <c r="C381" s="130">
        <v>41200006</v>
      </c>
      <c r="D381" s="130" t="s">
        <v>1477</v>
      </c>
      <c r="E381" s="130" t="s">
        <v>3593</v>
      </c>
      <c r="F381" s="130" t="s">
        <v>3619</v>
      </c>
      <c r="G381" s="130" t="s">
        <v>0</v>
      </c>
      <c r="H381" s="130" t="s">
        <v>3595</v>
      </c>
      <c r="I381" s="130" t="s">
        <v>3596</v>
      </c>
      <c r="J381" s="130"/>
      <c r="K381" s="429">
        <v>45905</v>
      </c>
      <c r="L381" s="130">
        <v>1100019600</v>
      </c>
      <c r="M381" s="130" t="s">
        <v>816</v>
      </c>
      <c r="N381" s="130" t="s">
        <v>6124</v>
      </c>
      <c r="O381" s="130" t="s">
        <v>6211</v>
      </c>
      <c r="P381" s="130" t="s">
        <v>26</v>
      </c>
      <c r="Q381" s="130" t="s">
        <v>54</v>
      </c>
      <c r="R381" s="130" t="s">
        <v>3993</v>
      </c>
      <c r="S381" s="130" t="s">
        <v>3993</v>
      </c>
    </row>
    <row r="382" spans="1:19" ht="30" customHeight="1">
      <c r="A382" s="143">
        <v>380</v>
      </c>
      <c r="B382" s="130" t="s">
        <v>2892</v>
      </c>
      <c r="C382" s="130">
        <v>41200160</v>
      </c>
      <c r="D382" s="130" t="s">
        <v>1591</v>
      </c>
      <c r="E382" s="130" t="s">
        <v>3603</v>
      </c>
      <c r="F382" s="130" t="s">
        <v>3604</v>
      </c>
      <c r="G382" s="130" t="s">
        <v>0</v>
      </c>
      <c r="H382" s="130" t="s">
        <v>3614</v>
      </c>
      <c r="I382" s="130" t="s">
        <v>3596</v>
      </c>
      <c r="J382" s="130"/>
      <c r="K382" s="429">
        <v>45908</v>
      </c>
      <c r="L382" s="130">
        <v>1100228300</v>
      </c>
      <c r="M382" s="130" t="s">
        <v>932</v>
      </c>
      <c r="N382" s="130" t="s">
        <v>6165</v>
      </c>
      <c r="O382" s="130" t="s">
        <v>6212</v>
      </c>
      <c r="P382" s="130" t="s">
        <v>45</v>
      </c>
      <c r="Q382" s="130" t="s">
        <v>5481</v>
      </c>
      <c r="R382" s="130" t="s">
        <v>3666</v>
      </c>
      <c r="S382" s="130" t="s">
        <v>3666</v>
      </c>
    </row>
    <row r="383" spans="1:19" ht="30" customHeight="1">
      <c r="A383" s="143">
        <v>381</v>
      </c>
      <c r="B383" s="130" t="s">
        <v>2885</v>
      </c>
      <c r="C383" s="130">
        <v>41200074</v>
      </c>
      <c r="D383" s="130" t="s">
        <v>1478</v>
      </c>
      <c r="E383" s="130" t="s">
        <v>3593</v>
      </c>
      <c r="F383" s="130" t="s">
        <v>3594</v>
      </c>
      <c r="G383" s="130" t="s">
        <v>0</v>
      </c>
      <c r="H383" s="130" t="s">
        <v>3595</v>
      </c>
      <c r="I383" s="130" t="s">
        <v>3596</v>
      </c>
      <c r="J383" s="130" t="s">
        <v>2880</v>
      </c>
      <c r="K383" s="429">
        <v>45908</v>
      </c>
      <c r="L383" s="130">
        <v>1100607700</v>
      </c>
      <c r="M383" s="126" t="s">
        <v>3722</v>
      </c>
      <c r="N383" s="130" t="s">
        <v>5354</v>
      </c>
      <c r="O383" s="130" t="s">
        <v>6213</v>
      </c>
      <c r="P383" s="130" t="s">
        <v>5811</v>
      </c>
      <c r="Q383" s="130" t="s">
        <v>49</v>
      </c>
      <c r="R383" s="130" t="s">
        <v>3993</v>
      </c>
      <c r="S383" s="130" t="s">
        <v>3993</v>
      </c>
    </row>
    <row r="384" spans="1:19" ht="30" customHeight="1">
      <c r="A384" s="143">
        <v>382</v>
      </c>
      <c r="B384" s="130" t="s">
        <v>2907</v>
      </c>
      <c r="C384" s="130">
        <v>41100435</v>
      </c>
      <c r="D384" s="130" t="s">
        <v>3801</v>
      </c>
      <c r="E384" s="130" t="s">
        <v>3603</v>
      </c>
      <c r="F384" s="130" t="s">
        <v>3604</v>
      </c>
      <c r="G384" s="130" t="s">
        <v>0</v>
      </c>
      <c r="H384" s="130" t="s">
        <v>3614</v>
      </c>
      <c r="I384" s="130" t="s">
        <v>3596</v>
      </c>
      <c r="J384" s="130"/>
      <c r="K384" s="429">
        <v>45908</v>
      </c>
      <c r="L384" s="130">
        <v>1310740000</v>
      </c>
      <c r="M384" s="126" t="s">
        <v>2997</v>
      </c>
      <c r="N384" s="130" t="s">
        <v>6214</v>
      </c>
      <c r="O384" s="130"/>
      <c r="P384" s="130" t="s">
        <v>45</v>
      </c>
      <c r="Q384" s="130" t="s">
        <v>61</v>
      </c>
      <c r="R384" s="130" t="s">
        <v>61</v>
      </c>
      <c r="S384" s="130" t="s">
        <v>61</v>
      </c>
    </row>
    <row r="385" spans="1:19" ht="30" customHeight="1">
      <c r="A385" s="143">
        <v>383</v>
      </c>
      <c r="B385" s="130" t="s">
        <v>2903</v>
      </c>
      <c r="C385" s="130">
        <v>41200007</v>
      </c>
      <c r="D385" s="130" t="s">
        <v>1591</v>
      </c>
      <c r="E385" s="130" t="s">
        <v>3603</v>
      </c>
      <c r="F385" s="130" t="s">
        <v>3594</v>
      </c>
      <c r="G385" s="130" t="s">
        <v>0</v>
      </c>
      <c r="H385" s="130" t="s">
        <v>3608</v>
      </c>
      <c r="I385" s="130" t="s">
        <v>4083</v>
      </c>
      <c r="J385" s="130"/>
      <c r="K385" s="429">
        <v>45909</v>
      </c>
      <c r="L385" s="130">
        <v>1300136900</v>
      </c>
      <c r="M385" s="130" t="s">
        <v>651</v>
      </c>
      <c r="N385" s="130" t="s">
        <v>6138</v>
      </c>
      <c r="O385" s="130" t="s">
        <v>6126</v>
      </c>
      <c r="P385" s="130" t="s">
        <v>26</v>
      </c>
      <c r="Q385" s="130" t="s">
        <v>49</v>
      </c>
      <c r="R385" s="130" t="s">
        <v>3674</v>
      </c>
      <c r="S385" s="130" t="s">
        <v>3821</v>
      </c>
    </row>
    <row r="386" spans="1:19" ht="30" customHeight="1">
      <c r="A386" s="143">
        <v>384</v>
      </c>
      <c r="B386" s="130" t="s">
        <v>2900</v>
      </c>
      <c r="C386" s="130">
        <v>41200127</v>
      </c>
      <c r="D386" s="130" t="s">
        <v>1591</v>
      </c>
      <c r="E386" s="130" t="s">
        <v>3593</v>
      </c>
      <c r="F386" s="130" t="s">
        <v>3619</v>
      </c>
      <c r="G386" s="130" t="s">
        <v>0</v>
      </c>
      <c r="H386" s="130" t="s">
        <v>3595</v>
      </c>
      <c r="I386" s="130" t="s">
        <v>3596</v>
      </c>
      <c r="J386" s="130"/>
      <c r="K386" s="429">
        <v>45909</v>
      </c>
      <c r="L386" s="130">
        <v>1100009000</v>
      </c>
      <c r="M386" s="130" t="s">
        <v>143</v>
      </c>
      <c r="N386" s="130" t="s">
        <v>6215</v>
      </c>
      <c r="O386" s="130" t="s">
        <v>6216</v>
      </c>
      <c r="P386" s="130" t="s">
        <v>5811</v>
      </c>
      <c r="Q386" s="130" t="s">
        <v>49</v>
      </c>
      <c r="R386" s="130" t="s">
        <v>3993</v>
      </c>
      <c r="S386" s="130" t="s">
        <v>3993</v>
      </c>
    </row>
    <row r="387" spans="1:19" ht="30" customHeight="1">
      <c r="A387" s="143">
        <v>385</v>
      </c>
      <c r="B387" s="130" t="s">
        <v>2909</v>
      </c>
      <c r="C387" s="130">
        <v>41200036</v>
      </c>
      <c r="D387" s="130" t="s">
        <v>1476</v>
      </c>
      <c r="E387" s="130" t="s">
        <v>3593</v>
      </c>
      <c r="F387" s="130" t="s">
        <v>3619</v>
      </c>
      <c r="G387" s="130" t="s">
        <v>0</v>
      </c>
      <c r="H387" s="130" t="s">
        <v>3595</v>
      </c>
      <c r="I387" s="130" t="s">
        <v>3596</v>
      </c>
      <c r="J387" s="130" t="s">
        <v>2880</v>
      </c>
      <c r="K387" s="429">
        <v>45910</v>
      </c>
      <c r="L387" s="130">
        <v>1100832500</v>
      </c>
      <c r="M387" s="130" t="s">
        <v>287</v>
      </c>
      <c r="N387" s="130" t="s">
        <v>6217</v>
      </c>
      <c r="O387" s="130" t="s">
        <v>6218</v>
      </c>
      <c r="P387" s="130" t="s">
        <v>26</v>
      </c>
      <c r="Q387" s="130" t="s">
        <v>49</v>
      </c>
      <c r="R387" s="130" t="s">
        <v>3674</v>
      </c>
      <c r="S387" s="130" t="s">
        <v>5568</v>
      </c>
    </row>
    <row r="388" spans="1:19" ht="30" customHeight="1">
      <c r="A388" s="143">
        <v>386</v>
      </c>
      <c r="B388" s="130" t="s">
        <v>2915</v>
      </c>
      <c r="C388" s="130">
        <v>41200127</v>
      </c>
      <c r="D388" s="130" t="s">
        <v>1591</v>
      </c>
      <c r="E388" s="130" t="s">
        <v>3603</v>
      </c>
      <c r="F388" s="130" t="s">
        <v>3619</v>
      </c>
      <c r="G388" s="130" t="s">
        <v>0</v>
      </c>
      <c r="H388" s="130" t="s">
        <v>3614</v>
      </c>
      <c r="I388" s="130" t="s">
        <v>3596</v>
      </c>
      <c r="J388" s="130"/>
      <c r="K388" s="429">
        <v>45911</v>
      </c>
      <c r="L388" s="130">
        <v>1100228300</v>
      </c>
      <c r="M388" s="130" t="s">
        <v>932</v>
      </c>
      <c r="N388" s="130" t="s">
        <v>6219</v>
      </c>
      <c r="O388" s="130" t="s">
        <v>6220</v>
      </c>
      <c r="P388" s="130" t="s">
        <v>26</v>
      </c>
      <c r="Q388" s="130" t="s">
        <v>5481</v>
      </c>
      <c r="R388" s="130" t="s">
        <v>3674</v>
      </c>
      <c r="S388" s="130" t="s">
        <v>3768</v>
      </c>
    </row>
    <row r="389" spans="1:19" ht="30" customHeight="1">
      <c r="A389" s="143">
        <v>387</v>
      </c>
      <c r="B389" s="130" t="s">
        <v>2930</v>
      </c>
      <c r="C389" s="130">
        <v>41200136</v>
      </c>
      <c r="D389" s="130" t="s">
        <v>1482</v>
      </c>
      <c r="E389" s="130" t="s">
        <v>3603</v>
      </c>
      <c r="F389" s="130" t="s">
        <v>3604</v>
      </c>
      <c r="G389" s="130" t="s">
        <v>0</v>
      </c>
      <c r="H389" s="130" t="s">
        <v>3614</v>
      </c>
      <c r="I389" s="130" t="s">
        <v>3596</v>
      </c>
      <c r="J389" s="130"/>
      <c r="K389" s="429">
        <v>45912</v>
      </c>
      <c r="L389" s="130">
        <v>1100273700</v>
      </c>
      <c r="M389" s="130" t="s">
        <v>735</v>
      </c>
      <c r="N389" s="130" t="s">
        <v>6143</v>
      </c>
      <c r="O389" s="130" t="s">
        <v>6221</v>
      </c>
      <c r="P389" s="130" t="s">
        <v>45</v>
      </c>
      <c r="Q389" s="130" t="s">
        <v>5481</v>
      </c>
      <c r="R389" s="130" t="s">
        <v>3666</v>
      </c>
      <c r="S389" s="130" t="s">
        <v>3666</v>
      </c>
    </row>
    <row r="390" spans="1:19" ht="30" customHeight="1">
      <c r="A390" s="143">
        <v>388</v>
      </c>
      <c r="B390" s="130" t="s">
        <v>2930</v>
      </c>
      <c r="C390" s="130">
        <v>41200136</v>
      </c>
      <c r="D390" s="130" t="s">
        <v>1482</v>
      </c>
      <c r="E390" s="130" t="s">
        <v>3603</v>
      </c>
      <c r="F390" s="130" t="s">
        <v>3604</v>
      </c>
      <c r="G390" s="130" t="s">
        <v>0</v>
      </c>
      <c r="H390" s="130" t="s">
        <v>3614</v>
      </c>
      <c r="I390" s="130" t="s">
        <v>3596</v>
      </c>
      <c r="J390" s="130"/>
      <c r="K390" s="429">
        <v>45912</v>
      </c>
      <c r="L390" s="130">
        <v>1100257900</v>
      </c>
      <c r="M390" s="130" t="s">
        <v>1343</v>
      </c>
      <c r="N390" s="130" t="s">
        <v>6222</v>
      </c>
      <c r="O390" s="130" t="s">
        <v>6222</v>
      </c>
      <c r="P390" s="130" t="s">
        <v>45</v>
      </c>
      <c r="Q390" s="130" t="s">
        <v>5481</v>
      </c>
      <c r="R390" s="130" t="s">
        <v>3666</v>
      </c>
      <c r="S390" s="130" t="s">
        <v>3666</v>
      </c>
    </row>
    <row r="391" spans="1:19" ht="30" customHeight="1">
      <c r="A391" s="143">
        <v>389</v>
      </c>
      <c r="B391" s="130" t="s">
        <v>2925</v>
      </c>
      <c r="C391" s="130">
        <v>41200129</v>
      </c>
      <c r="D391" s="130" t="s">
        <v>1591</v>
      </c>
      <c r="E391" s="130" t="s">
        <v>3593</v>
      </c>
      <c r="F391" s="130" t="s">
        <v>3594</v>
      </c>
      <c r="G391" s="130" t="s">
        <v>0</v>
      </c>
      <c r="H391" s="130" t="s">
        <v>3614</v>
      </c>
      <c r="I391" s="130" t="s">
        <v>3596</v>
      </c>
      <c r="J391" s="130"/>
      <c r="K391" s="429">
        <v>45912</v>
      </c>
      <c r="L391" s="130">
        <v>1100228300</v>
      </c>
      <c r="M391" s="130" t="s">
        <v>932</v>
      </c>
      <c r="N391" s="130" t="s">
        <v>5542</v>
      </c>
      <c r="O391" s="130" t="s">
        <v>6223</v>
      </c>
      <c r="P391" s="130" t="s">
        <v>45</v>
      </c>
      <c r="Q391" s="130" t="s">
        <v>5481</v>
      </c>
      <c r="R391" s="130" t="s">
        <v>3656</v>
      </c>
      <c r="S391" s="130" t="s">
        <v>5568</v>
      </c>
    </row>
    <row r="392" spans="1:19" ht="30" customHeight="1">
      <c r="A392" s="143">
        <v>390</v>
      </c>
      <c r="B392" s="130" t="s">
        <v>2938</v>
      </c>
      <c r="C392" s="130">
        <v>41200169</v>
      </c>
      <c r="D392" s="130" t="s">
        <v>1480</v>
      </c>
      <c r="E392" s="130" t="s">
        <v>3603</v>
      </c>
      <c r="F392" s="130" t="s">
        <v>3604</v>
      </c>
      <c r="G392" s="130" t="s">
        <v>0</v>
      </c>
      <c r="H392" s="130" t="s">
        <v>3614</v>
      </c>
      <c r="I392" s="130" t="s">
        <v>3596</v>
      </c>
      <c r="J392" s="130"/>
      <c r="K392" s="429">
        <v>45915</v>
      </c>
      <c r="L392" s="130">
        <v>1100211900</v>
      </c>
      <c r="M392" s="130" t="s">
        <v>932</v>
      </c>
      <c r="N392" s="130" t="s">
        <v>5542</v>
      </c>
      <c r="O392" s="130" t="s">
        <v>6224</v>
      </c>
      <c r="P392" s="130" t="s">
        <v>45</v>
      </c>
      <c r="Q392" s="130" t="s">
        <v>5481</v>
      </c>
      <c r="R392" s="130" t="s">
        <v>3666</v>
      </c>
      <c r="S392" s="130" t="s">
        <v>5612</v>
      </c>
    </row>
    <row r="393" spans="1:19" ht="30" customHeight="1">
      <c r="A393" s="143">
        <v>391</v>
      </c>
      <c r="B393" s="130" t="s">
        <v>2940</v>
      </c>
      <c r="C393" s="130">
        <v>41200074</v>
      </c>
      <c r="D393" s="130" t="s">
        <v>1478</v>
      </c>
      <c r="E393" s="130" t="s">
        <v>3603</v>
      </c>
      <c r="F393" s="130" t="s">
        <v>3604</v>
      </c>
      <c r="G393" s="130" t="s">
        <v>0</v>
      </c>
      <c r="H393" s="130" t="s">
        <v>3614</v>
      </c>
      <c r="I393" s="130" t="s">
        <v>3596</v>
      </c>
      <c r="J393" s="130" t="s">
        <v>2880</v>
      </c>
      <c r="K393" s="429">
        <v>45915</v>
      </c>
      <c r="L393" s="130">
        <v>1100228300</v>
      </c>
      <c r="M393" s="130" t="s">
        <v>932</v>
      </c>
      <c r="N393" s="130" t="s">
        <v>5542</v>
      </c>
      <c r="O393" s="130" t="s">
        <v>6225</v>
      </c>
      <c r="P393" s="130" t="s">
        <v>45</v>
      </c>
      <c r="Q393" s="130" t="s">
        <v>5481</v>
      </c>
      <c r="R393" s="130" t="s">
        <v>3666</v>
      </c>
      <c r="S393" s="130" t="s">
        <v>5612</v>
      </c>
    </row>
    <row r="394" spans="1:19" ht="30" customHeight="1">
      <c r="A394" s="143">
        <v>392</v>
      </c>
      <c r="B394" s="130" t="s">
        <v>2940</v>
      </c>
      <c r="C394" s="130">
        <v>41200074</v>
      </c>
      <c r="D394" s="130" t="s">
        <v>1478</v>
      </c>
      <c r="E394" s="130" t="s">
        <v>3603</v>
      </c>
      <c r="F394" s="130" t="s">
        <v>3604</v>
      </c>
      <c r="G394" s="130" t="s">
        <v>0</v>
      </c>
      <c r="H394" s="130" t="s">
        <v>3595</v>
      </c>
      <c r="I394" s="130" t="s">
        <v>3596</v>
      </c>
      <c r="J394" s="130" t="s">
        <v>2679</v>
      </c>
      <c r="K394" s="429">
        <v>45915</v>
      </c>
      <c r="L394" s="130">
        <v>1110077600</v>
      </c>
      <c r="M394" s="130" t="s">
        <v>69</v>
      </c>
      <c r="N394" s="130" t="s">
        <v>6226</v>
      </c>
      <c r="O394" s="130" t="s">
        <v>6227</v>
      </c>
      <c r="P394" s="130" t="s">
        <v>26</v>
      </c>
      <c r="Q394" s="130" t="s">
        <v>49</v>
      </c>
      <c r="R394" s="130" t="s">
        <v>3674</v>
      </c>
      <c r="S394" s="130" t="s">
        <v>3715</v>
      </c>
    </row>
    <row r="395" spans="1:19" ht="30" customHeight="1">
      <c r="A395" s="143">
        <v>393</v>
      </c>
      <c r="B395" s="130" t="s">
        <v>2939</v>
      </c>
      <c r="C395" s="130">
        <v>41200074</v>
      </c>
      <c r="D395" s="130" t="s">
        <v>1478</v>
      </c>
      <c r="E395" s="130" t="s">
        <v>3603</v>
      </c>
      <c r="F395" s="130" t="s">
        <v>3604</v>
      </c>
      <c r="G395" s="130" t="s">
        <v>0</v>
      </c>
      <c r="H395" s="130" t="s">
        <v>3595</v>
      </c>
      <c r="I395" s="130" t="s">
        <v>3596</v>
      </c>
      <c r="J395" s="130" t="s">
        <v>2880</v>
      </c>
      <c r="K395" s="429">
        <v>45915</v>
      </c>
      <c r="L395" s="130">
        <v>1100017200</v>
      </c>
      <c r="M395" s="130" t="s">
        <v>1151</v>
      </c>
      <c r="N395" s="130" t="s">
        <v>6228</v>
      </c>
      <c r="O395" s="130" t="s">
        <v>6229</v>
      </c>
      <c r="P395" s="130" t="s">
        <v>26</v>
      </c>
      <c r="Q395" s="130" t="s">
        <v>49</v>
      </c>
      <c r="R395" s="130" t="s">
        <v>3674</v>
      </c>
      <c r="S395" s="130" t="s">
        <v>3715</v>
      </c>
    </row>
    <row r="396" spans="1:19" ht="30" customHeight="1">
      <c r="A396" s="143">
        <v>394</v>
      </c>
      <c r="B396" s="130" t="s">
        <v>2939</v>
      </c>
      <c r="C396" s="130">
        <v>41200074</v>
      </c>
      <c r="D396" s="130" t="s">
        <v>1478</v>
      </c>
      <c r="E396" s="130" t="s">
        <v>3603</v>
      </c>
      <c r="F396" s="130" t="s">
        <v>3604</v>
      </c>
      <c r="G396" s="130" t="s">
        <v>0</v>
      </c>
      <c r="H396" s="130" t="s">
        <v>3595</v>
      </c>
      <c r="I396" s="130" t="s">
        <v>3596</v>
      </c>
      <c r="J396" s="130" t="s">
        <v>2679</v>
      </c>
      <c r="K396" s="429">
        <v>45915</v>
      </c>
      <c r="L396" s="130">
        <v>1110077600</v>
      </c>
      <c r="M396" s="130" t="s">
        <v>69</v>
      </c>
      <c r="N396" s="130" t="s">
        <v>6230</v>
      </c>
      <c r="O396" s="130" t="s">
        <v>6231</v>
      </c>
      <c r="P396" s="130" t="s">
        <v>26</v>
      </c>
      <c r="Q396" s="130" t="s">
        <v>49</v>
      </c>
      <c r="R396" s="130" t="s">
        <v>3674</v>
      </c>
      <c r="S396" s="130" t="s">
        <v>3715</v>
      </c>
    </row>
    <row r="397" spans="1:19" ht="30" customHeight="1">
      <c r="A397" s="143">
        <v>395</v>
      </c>
      <c r="B397" s="130" t="s">
        <v>2933</v>
      </c>
      <c r="C397" s="130">
        <v>41200131</v>
      </c>
      <c r="D397" s="130" t="s">
        <v>1476</v>
      </c>
      <c r="E397" s="130" t="s">
        <v>3593</v>
      </c>
      <c r="F397" s="130" t="s">
        <v>3619</v>
      </c>
      <c r="G397" s="130" t="s">
        <v>0</v>
      </c>
      <c r="H397" s="130" t="s">
        <v>3614</v>
      </c>
      <c r="I397" s="130" t="s">
        <v>3596</v>
      </c>
      <c r="J397" s="130"/>
      <c r="K397" s="429">
        <v>45915</v>
      </c>
      <c r="L397" s="130">
        <v>1100228300</v>
      </c>
      <c r="M397" s="130" t="s">
        <v>932</v>
      </c>
      <c r="N397" s="130" t="s">
        <v>6062</v>
      </c>
      <c r="O397" s="130" t="s">
        <v>6232</v>
      </c>
      <c r="P397" s="130" t="s">
        <v>45</v>
      </c>
      <c r="Q397" s="130" t="s">
        <v>5481</v>
      </c>
      <c r="R397" s="130" t="s">
        <v>3656</v>
      </c>
      <c r="S397" s="130" t="s">
        <v>5568</v>
      </c>
    </row>
    <row r="398" spans="1:19" ht="30" customHeight="1">
      <c r="A398" s="143">
        <v>396</v>
      </c>
      <c r="B398" s="130" t="s">
        <v>2936</v>
      </c>
      <c r="C398" s="130">
        <v>41200125</v>
      </c>
      <c r="D398" s="130" t="s">
        <v>1476</v>
      </c>
      <c r="E398" s="130" t="s">
        <v>3603</v>
      </c>
      <c r="F398" s="130" t="s">
        <v>3594</v>
      </c>
      <c r="G398" s="130" t="s">
        <v>0</v>
      </c>
      <c r="H398" s="130" t="s">
        <v>3614</v>
      </c>
      <c r="I398" s="130" t="s">
        <v>3596</v>
      </c>
      <c r="J398" s="130" t="s">
        <v>2679</v>
      </c>
      <c r="K398" s="429">
        <v>45915</v>
      </c>
      <c r="L398" s="130">
        <v>1100228300</v>
      </c>
      <c r="M398" s="130" t="s">
        <v>932</v>
      </c>
      <c r="N398" s="130" t="s">
        <v>5542</v>
      </c>
      <c r="O398" s="130" t="s">
        <v>6233</v>
      </c>
      <c r="P398" s="130" t="s">
        <v>45</v>
      </c>
      <c r="Q398" s="130" t="s">
        <v>5481</v>
      </c>
      <c r="R398" s="130" t="s">
        <v>3666</v>
      </c>
      <c r="S398" s="130" t="s">
        <v>5612</v>
      </c>
    </row>
    <row r="399" spans="1:19" ht="30" customHeight="1">
      <c r="A399" s="143">
        <v>397</v>
      </c>
      <c r="B399" s="130" t="s">
        <v>2936</v>
      </c>
      <c r="C399" s="130">
        <v>41200125</v>
      </c>
      <c r="D399" s="130" t="s">
        <v>1476</v>
      </c>
      <c r="E399" s="130" t="s">
        <v>3603</v>
      </c>
      <c r="F399" s="130" t="s">
        <v>3594</v>
      </c>
      <c r="G399" s="130" t="s">
        <v>0</v>
      </c>
      <c r="H399" s="130" t="s">
        <v>3614</v>
      </c>
      <c r="I399" s="130" t="s">
        <v>3596</v>
      </c>
      <c r="J399" s="130" t="s">
        <v>2679</v>
      </c>
      <c r="K399" s="429">
        <v>45915</v>
      </c>
      <c r="L399" s="130">
        <v>1100228300</v>
      </c>
      <c r="M399" s="130" t="s">
        <v>932</v>
      </c>
      <c r="N399" s="130" t="s">
        <v>5542</v>
      </c>
      <c r="O399" s="130" t="s">
        <v>6234</v>
      </c>
      <c r="P399" s="130" t="s">
        <v>45</v>
      </c>
      <c r="Q399" s="130" t="s">
        <v>5481</v>
      </c>
      <c r="R399" s="130" t="s">
        <v>3666</v>
      </c>
      <c r="S399" s="130" t="s">
        <v>5612</v>
      </c>
    </row>
    <row r="400" spans="1:19" ht="30" customHeight="1">
      <c r="A400" s="143">
        <v>398</v>
      </c>
      <c r="B400" s="130" t="s">
        <v>2941</v>
      </c>
      <c r="C400" s="130">
        <v>41100264</v>
      </c>
      <c r="D400" s="130" t="s">
        <v>1591</v>
      </c>
      <c r="E400" s="130" t="s">
        <v>3593</v>
      </c>
      <c r="F400" s="130" t="s">
        <v>3619</v>
      </c>
      <c r="G400" s="130" t="s">
        <v>0</v>
      </c>
      <c r="H400" s="130" t="s">
        <v>3595</v>
      </c>
      <c r="I400" s="130" t="s">
        <v>3596</v>
      </c>
      <c r="J400" s="130"/>
      <c r="K400" s="429">
        <v>45916</v>
      </c>
      <c r="L400" s="130">
        <v>1100366400</v>
      </c>
      <c r="M400" s="130" t="s">
        <v>255</v>
      </c>
      <c r="N400" s="130" t="s">
        <v>6235</v>
      </c>
      <c r="O400" s="130" t="s">
        <v>6236</v>
      </c>
      <c r="P400" s="130" t="s">
        <v>26</v>
      </c>
      <c r="Q400" s="130" t="s">
        <v>49</v>
      </c>
      <c r="R400" s="130" t="s">
        <v>3674</v>
      </c>
      <c r="S400" s="130" t="s">
        <v>6237</v>
      </c>
    </row>
    <row r="401" spans="1:52" ht="30" customHeight="1">
      <c r="A401" s="143">
        <v>399</v>
      </c>
      <c r="B401" s="130" t="s">
        <v>2943</v>
      </c>
      <c r="C401" s="130">
        <v>41200128</v>
      </c>
      <c r="D401" s="130" t="s">
        <v>1591</v>
      </c>
      <c r="E401" s="130" t="s">
        <v>3593</v>
      </c>
      <c r="F401" s="130" t="s">
        <v>3594</v>
      </c>
      <c r="G401" s="130" t="s">
        <v>0</v>
      </c>
      <c r="H401" s="130" t="s">
        <v>3595</v>
      </c>
      <c r="I401" s="130" t="s">
        <v>3596</v>
      </c>
      <c r="J401" s="130"/>
      <c r="K401" s="429">
        <v>45916</v>
      </c>
      <c r="L401" s="130">
        <v>1100012500</v>
      </c>
      <c r="M401" s="130" t="s">
        <v>1049</v>
      </c>
      <c r="N401" s="130" t="s">
        <v>6238</v>
      </c>
      <c r="O401" s="130" t="s">
        <v>6239</v>
      </c>
      <c r="P401" s="130" t="s">
        <v>26</v>
      </c>
      <c r="Q401" s="130" t="s">
        <v>54</v>
      </c>
      <c r="R401" s="130" t="s">
        <v>3674</v>
      </c>
      <c r="S401" s="130" t="s">
        <v>3715</v>
      </c>
    </row>
    <row r="402" spans="1:52" ht="30" customHeight="1">
      <c r="A402" s="143">
        <v>400</v>
      </c>
      <c r="B402" s="130" t="s">
        <v>2957</v>
      </c>
      <c r="C402" s="130">
        <v>41200122</v>
      </c>
      <c r="D402" s="130" t="s">
        <v>1476</v>
      </c>
      <c r="E402" s="130" t="s">
        <v>3603</v>
      </c>
      <c r="F402" s="130" t="s">
        <v>3594</v>
      </c>
      <c r="G402" s="130" t="s">
        <v>0</v>
      </c>
      <c r="H402" s="130" t="s">
        <v>3595</v>
      </c>
      <c r="I402" s="130" t="s">
        <v>3762</v>
      </c>
      <c r="J402" s="130" t="s">
        <v>2880</v>
      </c>
      <c r="K402" s="429">
        <v>45917</v>
      </c>
      <c r="L402" s="130">
        <v>1100029000</v>
      </c>
      <c r="M402" s="126" t="s">
        <v>5534</v>
      </c>
      <c r="N402" s="130" t="s">
        <v>6240</v>
      </c>
      <c r="O402" s="130" t="s">
        <v>6241</v>
      </c>
      <c r="P402" s="130" t="s">
        <v>26</v>
      </c>
      <c r="Q402" s="130" t="s">
        <v>49</v>
      </c>
      <c r="R402" s="130" t="s">
        <v>3666</v>
      </c>
      <c r="S402" s="130" t="s">
        <v>6242</v>
      </c>
    </row>
    <row r="403" spans="1:52" ht="30" customHeight="1">
      <c r="A403" s="143">
        <v>401</v>
      </c>
      <c r="B403" s="130" t="s">
        <v>2957</v>
      </c>
      <c r="C403" s="130">
        <v>41200122</v>
      </c>
      <c r="D403" s="130" t="s">
        <v>1476</v>
      </c>
      <c r="E403" s="130" t="s">
        <v>3603</v>
      </c>
      <c r="F403" s="130" t="s">
        <v>3594</v>
      </c>
      <c r="G403" s="130" t="s">
        <v>0</v>
      </c>
      <c r="H403" s="130" t="s">
        <v>3595</v>
      </c>
      <c r="I403" s="130" t="s">
        <v>3762</v>
      </c>
      <c r="J403" s="130" t="s">
        <v>2679</v>
      </c>
      <c r="K403" s="429">
        <v>45917</v>
      </c>
      <c r="L403" s="130">
        <v>1100228300</v>
      </c>
      <c r="M403" s="130" t="s">
        <v>932</v>
      </c>
      <c r="N403" s="130" t="s">
        <v>5542</v>
      </c>
      <c r="O403" s="130" t="s">
        <v>6243</v>
      </c>
      <c r="P403" s="130" t="s">
        <v>45</v>
      </c>
      <c r="Q403" s="130" t="s">
        <v>5481</v>
      </c>
      <c r="R403" s="130" t="s">
        <v>3666</v>
      </c>
      <c r="S403" s="130" t="s">
        <v>6244</v>
      </c>
    </row>
    <row r="404" spans="1:52" ht="30" customHeight="1">
      <c r="A404" s="143">
        <v>402</v>
      </c>
      <c r="B404" s="130" t="s">
        <v>2957</v>
      </c>
      <c r="C404" s="130">
        <v>41200122</v>
      </c>
      <c r="D404" s="130" t="s">
        <v>1476</v>
      </c>
      <c r="E404" s="130" t="s">
        <v>3603</v>
      </c>
      <c r="F404" s="130" t="s">
        <v>3594</v>
      </c>
      <c r="G404" s="130" t="s">
        <v>0</v>
      </c>
      <c r="H404" s="130" t="s">
        <v>3595</v>
      </c>
      <c r="I404" s="130" t="s">
        <v>3762</v>
      </c>
      <c r="J404" s="130" t="s">
        <v>2880</v>
      </c>
      <c r="K404" s="429">
        <v>45917</v>
      </c>
      <c r="L404" s="130">
        <v>1100012400</v>
      </c>
      <c r="M404" s="130" t="s">
        <v>1049</v>
      </c>
      <c r="N404" s="130" t="s">
        <v>6245</v>
      </c>
      <c r="O404" s="130" t="s">
        <v>6246</v>
      </c>
      <c r="P404" s="130" t="s">
        <v>26</v>
      </c>
      <c r="Q404" s="130" t="s">
        <v>49</v>
      </c>
      <c r="R404" s="130" t="s">
        <v>3666</v>
      </c>
      <c r="S404" s="130" t="s">
        <v>6242</v>
      </c>
    </row>
    <row r="405" spans="1:52" ht="30" customHeight="1">
      <c r="A405" s="143">
        <v>403</v>
      </c>
      <c r="B405" s="130" t="s">
        <v>2949</v>
      </c>
      <c r="C405" s="130">
        <v>41100227</v>
      </c>
      <c r="D405" s="130" t="s">
        <v>1476</v>
      </c>
      <c r="E405" s="130" t="s">
        <v>3603</v>
      </c>
      <c r="F405" s="130" t="s">
        <v>3619</v>
      </c>
      <c r="G405" s="130" t="s">
        <v>0</v>
      </c>
      <c r="H405" s="130" t="s">
        <v>3608</v>
      </c>
      <c r="I405" s="130" t="s">
        <v>4083</v>
      </c>
      <c r="J405" s="130" t="s">
        <v>2679</v>
      </c>
      <c r="K405" s="429">
        <v>45917</v>
      </c>
      <c r="L405" s="130">
        <v>1300136900</v>
      </c>
      <c r="M405" s="130" t="s">
        <v>651</v>
      </c>
      <c r="N405" s="130" t="s">
        <v>6192</v>
      </c>
      <c r="O405" s="130" t="s">
        <v>6126</v>
      </c>
      <c r="P405" s="130" t="s">
        <v>26</v>
      </c>
      <c r="Q405" s="130" t="s">
        <v>54</v>
      </c>
      <c r="R405" s="130" t="s">
        <v>3700</v>
      </c>
      <c r="S405" s="130" t="s">
        <v>3925</v>
      </c>
    </row>
    <row r="406" spans="1:52" ht="30" customHeight="1">
      <c r="A406" s="143">
        <v>404</v>
      </c>
      <c r="B406" s="130" t="s">
        <v>2949</v>
      </c>
      <c r="C406" s="130">
        <v>41100227</v>
      </c>
      <c r="D406" s="130" t="s">
        <v>1476</v>
      </c>
      <c r="E406" s="130" t="s">
        <v>3603</v>
      </c>
      <c r="F406" s="130" t="s">
        <v>3619</v>
      </c>
      <c r="G406" s="130" t="s">
        <v>0</v>
      </c>
      <c r="H406" s="130" t="s">
        <v>3595</v>
      </c>
      <c r="I406" s="130" t="s">
        <v>3762</v>
      </c>
      <c r="J406" s="130" t="s">
        <v>2880</v>
      </c>
      <c r="K406" s="429">
        <v>45917</v>
      </c>
      <c r="L406" s="130">
        <v>1120021700</v>
      </c>
      <c r="M406" s="130" t="s">
        <v>2509</v>
      </c>
      <c r="N406" s="130" t="s">
        <v>6247</v>
      </c>
      <c r="O406" s="130" t="s">
        <v>6248</v>
      </c>
      <c r="P406" s="130" t="s">
        <v>26</v>
      </c>
      <c r="Q406" s="130" t="s">
        <v>49</v>
      </c>
      <c r="R406" s="130" t="s">
        <v>3666</v>
      </c>
      <c r="S406" s="130" t="s">
        <v>3904</v>
      </c>
    </row>
    <row r="407" spans="1:52" ht="30" customHeight="1">
      <c r="A407" s="143">
        <v>405</v>
      </c>
      <c r="B407" s="130" t="s">
        <v>2965</v>
      </c>
      <c r="C407" s="130">
        <v>41200039</v>
      </c>
      <c r="D407" s="130" t="s">
        <v>1476</v>
      </c>
      <c r="E407" s="130" t="s">
        <v>3593</v>
      </c>
      <c r="F407" s="130" t="s">
        <v>3619</v>
      </c>
      <c r="G407" s="130" t="s">
        <v>0</v>
      </c>
      <c r="H407" s="130" t="s">
        <v>3614</v>
      </c>
      <c r="I407" s="130" t="s">
        <v>3596</v>
      </c>
      <c r="J407" s="130"/>
      <c r="K407" s="429">
        <v>45918</v>
      </c>
      <c r="L407" s="130">
        <v>1110264800</v>
      </c>
      <c r="M407" s="130" t="s">
        <v>226</v>
      </c>
      <c r="N407" s="130" t="s">
        <v>6249</v>
      </c>
      <c r="O407" s="130"/>
      <c r="P407" s="130" t="s">
        <v>45</v>
      </c>
      <c r="Q407" s="130" t="s">
        <v>61</v>
      </c>
      <c r="R407" s="130"/>
      <c r="S407" s="130"/>
    </row>
    <row r="408" spans="1:52" ht="30" customHeight="1">
      <c r="A408" s="143">
        <v>406</v>
      </c>
      <c r="B408" s="130" t="s">
        <v>2972</v>
      </c>
      <c r="C408" s="130">
        <v>41200027</v>
      </c>
      <c r="D408" s="130" t="s">
        <v>1591</v>
      </c>
      <c r="E408" s="130" t="s">
        <v>3593</v>
      </c>
      <c r="F408" s="130" t="s">
        <v>3619</v>
      </c>
      <c r="G408" s="130" t="s">
        <v>0</v>
      </c>
      <c r="H408" s="130" t="s">
        <v>3614</v>
      </c>
      <c r="I408" s="130" t="s">
        <v>3596</v>
      </c>
      <c r="J408" s="130"/>
      <c r="K408" s="429">
        <v>45919</v>
      </c>
      <c r="L408" s="130">
        <v>1110093500</v>
      </c>
      <c r="M408" s="130" t="s">
        <v>932</v>
      </c>
      <c r="N408" s="130" t="s">
        <v>6250</v>
      </c>
      <c r="O408" s="130" t="s">
        <v>6251</v>
      </c>
      <c r="P408" s="130" t="s">
        <v>45</v>
      </c>
      <c r="Q408" s="130" t="s">
        <v>5481</v>
      </c>
      <c r="R408" s="130" t="s">
        <v>3679</v>
      </c>
      <c r="S408" s="130" t="s">
        <v>3656</v>
      </c>
      <c r="T408" s="130"/>
      <c r="U408" s="130"/>
      <c r="V408" s="130"/>
      <c r="W408" s="130"/>
      <c r="X408" s="130"/>
      <c r="Y408" s="130"/>
      <c r="Z408" s="130"/>
      <c r="AA408" s="130"/>
      <c r="AB408" s="130"/>
      <c r="AC408" s="130"/>
      <c r="AD408" s="130"/>
      <c r="AE408" s="130"/>
      <c r="AF408" s="130"/>
      <c r="AG408" s="130"/>
      <c r="AH408" s="130"/>
      <c r="AI408" s="130"/>
      <c r="AJ408" s="130"/>
      <c r="AK408" s="130"/>
      <c r="AL408" s="130"/>
      <c r="AM408" s="130"/>
      <c r="AN408" s="130"/>
      <c r="AO408" s="130"/>
      <c r="AP408" s="130"/>
      <c r="AQ408" s="130"/>
      <c r="AR408" s="130"/>
      <c r="AS408" s="130"/>
      <c r="AT408" s="130"/>
      <c r="AU408" s="130"/>
      <c r="AV408" s="130"/>
      <c r="AW408" s="130"/>
      <c r="AX408" s="130"/>
      <c r="AY408" s="130"/>
      <c r="AZ408" s="130"/>
    </row>
    <row r="409" spans="1:52" ht="30" customHeight="1">
      <c r="A409" s="143">
        <v>407</v>
      </c>
      <c r="B409" s="130" t="s">
        <v>2998</v>
      </c>
      <c r="C409" s="130">
        <v>41200006</v>
      </c>
      <c r="D409" s="130" t="s">
        <v>1477</v>
      </c>
      <c r="E409" s="130" t="s">
        <v>3603</v>
      </c>
      <c r="F409" s="130" t="s">
        <v>3604</v>
      </c>
      <c r="G409" s="130" t="s">
        <v>0</v>
      </c>
      <c r="H409" s="130" t="s">
        <v>3595</v>
      </c>
      <c r="I409" s="130" t="s">
        <v>2894</v>
      </c>
      <c r="J409" s="130"/>
      <c r="K409" s="429">
        <v>45922</v>
      </c>
      <c r="L409" s="130">
        <v>1110093500</v>
      </c>
      <c r="M409" s="130" t="s">
        <v>932</v>
      </c>
      <c r="N409" s="130" t="s">
        <v>5542</v>
      </c>
      <c r="O409" s="130" t="s">
        <v>6252</v>
      </c>
      <c r="P409" s="130" t="s">
        <v>30</v>
      </c>
      <c r="Q409" s="130" t="s">
        <v>49</v>
      </c>
      <c r="R409" s="130" t="s">
        <v>3666</v>
      </c>
      <c r="S409" s="130" t="s">
        <v>6244</v>
      </c>
      <c r="T409" s="130"/>
      <c r="U409" s="130"/>
      <c r="V409" s="130"/>
      <c r="W409" s="130"/>
      <c r="X409" s="130"/>
      <c r="Y409" s="130"/>
      <c r="Z409" s="130"/>
      <c r="AA409" s="130"/>
      <c r="AB409" s="130"/>
      <c r="AC409" s="130"/>
      <c r="AD409" s="130"/>
      <c r="AE409" s="130"/>
      <c r="AF409" s="130"/>
      <c r="AG409" s="130"/>
      <c r="AH409" s="130"/>
      <c r="AI409" s="130"/>
      <c r="AJ409" s="130"/>
      <c r="AK409" s="130"/>
      <c r="AL409" s="130"/>
      <c r="AM409" s="130"/>
      <c r="AN409" s="130"/>
      <c r="AO409" s="130"/>
      <c r="AP409" s="130"/>
      <c r="AQ409" s="130"/>
      <c r="AR409" s="130"/>
      <c r="AS409" s="130"/>
      <c r="AT409" s="130"/>
      <c r="AU409" s="130"/>
      <c r="AV409" s="130"/>
      <c r="AW409" s="130"/>
      <c r="AX409" s="130"/>
      <c r="AY409" s="130"/>
      <c r="AZ409" s="130"/>
    </row>
    <row r="410" spans="1:52" ht="30" customHeight="1">
      <c r="A410" s="143">
        <v>408</v>
      </c>
      <c r="B410" s="130" t="s">
        <v>3002</v>
      </c>
      <c r="C410" s="130">
        <v>41200171</v>
      </c>
      <c r="D410" s="130" t="s">
        <v>1479</v>
      </c>
      <c r="E410" s="130" t="s">
        <v>3603</v>
      </c>
      <c r="F410" s="130" t="s">
        <v>3594</v>
      </c>
      <c r="G410" s="130" t="s">
        <v>0</v>
      </c>
      <c r="H410" s="130" t="s">
        <v>3614</v>
      </c>
      <c r="I410" s="130" t="s">
        <v>3596</v>
      </c>
      <c r="J410" s="130"/>
      <c r="K410" s="429">
        <v>45923</v>
      </c>
      <c r="L410" s="130">
        <v>1100228300</v>
      </c>
      <c r="M410" s="130" t="s">
        <v>932</v>
      </c>
      <c r="N410" s="130" t="s">
        <v>5542</v>
      </c>
      <c r="O410" s="130" t="s">
        <v>6253</v>
      </c>
      <c r="P410" s="130" t="s">
        <v>45</v>
      </c>
      <c r="Q410" s="130" t="s">
        <v>5481</v>
      </c>
      <c r="R410" s="130" t="s">
        <v>3666</v>
      </c>
      <c r="S410" s="130" t="s">
        <v>6242</v>
      </c>
      <c r="T410" s="130"/>
      <c r="U410" s="130"/>
      <c r="V410" s="130"/>
      <c r="W410" s="130"/>
      <c r="X410" s="130"/>
      <c r="Y410" s="130"/>
      <c r="Z410" s="130"/>
      <c r="AA410" s="130"/>
      <c r="AB410" s="130"/>
      <c r="AC410" s="130"/>
      <c r="AD410" s="130"/>
      <c r="AE410" s="130"/>
      <c r="AF410" s="130"/>
      <c r="AG410" s="130"/>
      <c r="AH410" s="130"/>
      <c r="AI410" s="130"/>
      <c r="AJ410" s="130"/>
      <c r="AK410" s="130"/>
      <c r="AL410" s="130"/>
      <c r="AM410" s="130"/>
      <c r="AN410" s="130"/>
      <c r="AO410" s="130"/>
      <c r="AP410" s="130"/>
      <c r="AQ410" s="130"/>
      <c r="AR410" s="130"/>
      <c r="AS410" s="130"/>
      <c r="AT410" s="130"/>
      <c r="AU410" s="130"/>
      <c r="AV410" s="130"/>
      <c r="AW410" s="130"/>
      <c r="AX410" s="130"/>
      <c r="AY410" s="130"/>
      <c r="AZ410" s="130"/>
    </row>
    <row r="411" spans="1:52" ht="30" customHeight="1">
      <c r="A411" s="143">
        <v>409</v>
      </c>
      <c r="B411" s="130" t="s">
        <v>2999</v>
      </c>
      <c r="C411" s="130">
        <v>41200171</v>
      </c>
      <c r="D411" s="130" t="s">
        <v>1479</v>
      </c>
      <c r="E411" s="130" t="s">
        <v>3603</v>
      </c>
      <c r="F411" s="130" t="s">
        <v>3594</v>
      </c>
      <c r="G411" s="130" t="s">
        <v>0</v>
      </c>
      <c r="H411" s="130" t="s">
        <v>3614</v>
      </c>
      <c r="I411" s="130" t="s">
        <v>3596</v>
      </c>
      <c r="J411" s="130"/>
      <c r="K411" s="429">
        <v>45923</v>
      </c>
      <c r="L411" s="130">
        <v>1100228300</v>
      </c>
      <c r="M411" s="130" t="s">
        <v>932</v>
      </c>
      <c r="N411" s="130" t="s">
        <v>5542</v>
      </c>
      <c r="O411" s="130" t="s">
        <v>6254</v>
      </c>
      <c r="P411" s="130" t="s">
        <v>45</v>
      </c>
      <c r="Q411" s="130" t="s">
        <v>5481</v>
      </c>
      <c r="R411" s="130" t="s">
        <v>3666</v>
      </c>
      <c r="S411" s="130" t="s">
        <v>6244</v>
      </c>
      <c r="T411" s="130"/>
      <c r="U411" s="130"/>
      <c r="V411" s="130"/>
      <c r="W411" s="130"/>
      <c r="X411" s="130"/>
      <c r="Y411" s="130"/>
      <c r="Z411" s="130"/>
      <c r="AA411" s="130"/>
      <c r="AB411" s="130"/>
      <c r="AC411" s="130"/>
      <c r="AD411" s="130"/>
      <c r="AE411" s="130"/>
      <c r="AF411" s="130"/>
      <c r="AG411" s="130"/>
      <c r="AH411" s="130"/>
      <c r="AI411" s="130"/>
      <c r="AJ411" s="130"/>
      <c r="AK411" s="130"/>
      <c r="AL411" s="130"/>
      <c r="AM411" s="130"/>
      <c r="AN411" s="130"/>
      <c r="AO411" s="130"/>
      <c r="AP411" s="130"/>
      <c r="AQ411" s="130"/>
      <c r="AR411" s="130"/>
      <c r="AS411" s="130"/>
      <c r="AT411" s="130"/>
      <c r="AU411" s="130"/>
      <c r="AV411" s="130"/>
      <c r="AW411" s="130"/>
      <c r="AX411" s="130"/>
      <c r="AY411" s="130"/>
      <c r="AZ411" s="130"/>
    </row>
    <row r="412" spans="1:52" ht="30" customHeight="1">
      <c r="A412" s="143">
        <v>410</v>
      </c>
      <c r="B412" s="130" t="s">
        <v>3001</v>
      </c>
      <c r="C412" s="130">
        <v>41200171</v>
      </c>
      <c r="D412" s="130" t="s">
        <v>1479</v>
      </c>
      <c r="E412" s="130" t="s">
        <v>3603</v>
      </c>
      <c r="F412" s="130" t="s">
        <v>3594</v>
      </c>
      <c r="G412" s="130" t="s">
        <v>0</v>
      </c>
      <c r="H412" s="130" t="s">
        <v>3614</v>
      </c>
      <c r="I412" s="130" t="s">
        <v>3596</v>
      </c>
      <c r="J412" s="130" t="s">
        <v>2880</v>
      </c>
      <c r="K412" s="429">
        <v>45923</v>
      </c>
      <c r="L412" s="130">
        <v>1110268400</v>
      </c>
      <c r="M412" s="130" t="s">
        <v>3616</v>
      </c>
      <c r="N412" s="130" t="s">
        <v>6255</v>
      </c>
      <c r="O412" s="130" t="s">
        <v>6256</v>
      </c>
      <c r="P412" s="130" t="s">
        <v>5811</v>
      </c>
      <c r="Q412" s="130" t="s">
        <v>61</v>
      </c>
      <c r="R412" s="130"/>
      <c r="S412" s="130"/>
      <c r="T412" s="130"/>
      <c r="U412" s="130"/>
      <c r="V412" s="130"/>
      <c r="W412" s="130"/>
      <c r="X412" s="130"/>
      <c r="Y412" s="130"/>
      <c r="Z412" s="130"/>
      <c r="AA412" s="130"/>
      <c r="AB412" s="130"/>
      <c r="AC412" s="130"/>
      <c r="AD412" s="130"/>
      <c r="AE412" s="130"/>
      <c r="AF412" s="130"/>
      <c r="AG412" s="130"/>
      <c r="AH412" s="130"/>
      <c r="AI412" s="130"/>
      <c r="AJ412" s="130"/>
      <c r="AK412" s="130"/>
      <c r="AL412" s="130"/>
      <c r="AM412" s="130"/>
      <c r="AN412" s="130"/>
      <c r="AO412" s="130"/>
      <c r="AP412" s="130"/>
      <c r="AQ412" s="130"/>
      <c r="AR412" s="130"/>
      <c r="AS412" s="130"/>
      <c r="AT412" s="130"/>
      <c r="AU412" s="130"/>
      <c r="AV412" s="130"/>
      <c r="AW412" s="130"/>
      <c r="AX412" s="130"/>
      <c r="AY412" s="130"/>
      <c r="AZ412" s="130"/>
    </row>
    <row r="413" spans="1:52" ht="30" customHeight="1">
      <c r="A413" s="143">
        <v>411</v>
      </c>
      <c r="B413" s="130" t="s">
        <v>3008</v>
      </c>
      <c r="C413" s="130">
        <v>41200027</v>
      </c>
      <c r="D413" s="130" t="s">
        <v>1591</v>
      </c>
      <c r="E413" s="130" t="s">
        <v>3593</v>
      </c>
      <c r="F413" s="130" t="s">
        <v>3594</v>
      </c>
      <c r="G413" s="130" t="s">
        <v>0</v>
      </c>
      <c r="H413" s="130" t="s">
        <v>3614</v>
      </c>
      <c r="I413" s="130" t="s">
        <v>3596</v>
      </c>
      <c r="J413" s="130"/>
      <c r="K413" s="429">
        <v>45924</v>
      </c>
      <c r="L413" s="130">
        <v>1100228300</v>
      </c>
      <c r="M413" s="130" t="s">
        <v>932</v>
      </c>
      <c r="N413" s="130" t="s">
        <v>5542</v>
      </c>
      <c r="O413" s="130" t="s">
        <v>6257</v>
      </c>
      <c r="P413" s="130" t="s">
        <v>45</v>
      </c>
      <c r="Q413" s="130" t="s">
        <v>5481</v>
      </c>
      <c r="R413" s="130" t="s">
        <v>3656</v>
      </c>
      <c r="S413" s="130" t="s">
        <v>6028</v>
      </c>
      <c r="T413" s="130"/>
      <c r="U413" s="130"/>
      <c r="V413" s="130"/>
      <c r="W413" s="130"/>
      <c r="X413" s="130"/>
      <c r="Y413" s="130"/>
      <c r="Z413" s="130"/>
      <c r="AA413" s="130"/>
      <c r="AB413" s="130"/>
      <c r="AC413" s="130"/>
      <c r="AD413" s="130"/>
      <c r="AE413" s="130"/>
      <c r="AF413" s="130"/>
      <c r="AG413" s="130"/>
      <c r="AH413" s="130"/>
      <c r="AI413" s="130"/>
      <c r="AJ413" s="130"/>
      <c r="AK413" s="130"/>
      <c r="AL413" s="130"/>
      <c r="AM413" s="130"/>
      <c r="AN413" s="130"/>
      <c r="AO413" s="130"/>
      <c r="AP413" s="130"/>
      <c r="AQ413" s="130"/>
      <c r="AR413" s="130"/>
      <c r="AS413" s="130"/>
      <c r="AT413" s="130"/>
      <c r="AU413" s="130"/>
      <c r="AV413" s="130"/>
      <c r="AW413" s="130"/>
      <c r="AX413" s="130"/>
      <c r="AY413" s="130"/>
      <c r="AZ413" s="130"/>
    </row>
    <row r="414" spans="1:52" ht="30" customHeight="1">
      <c r="A414" s="143">
        <v>412</v>
      </c>
      <c r="B414" s="130" t="s">
        <v>3010</v>
      </c>
      <c r="C414" s="130">
        <v>41200171</v>
      </c>
      <c r="D414" s="130" t="s">
        <v>1479</v>
      </c>
      <c r="E414" s="130" t="s">
        <v>3603</v>
      </c>
      <c r="F414" s="130" t="s">
        <v>3594</v>
      </c>
      <c r="G414" s="130" t="s">
        <v>0</v>
      </c>
      <c r="H414" s="130" t="s">
        <v>3614</v>
      </c>
      <c r="I414" s="130" t="s">
        <v>3694</v>
      </c>
      <c r="J414" s="130"/>
      <c r="K414" s="429">
        <v>45924</v>
      </c>
      <c r="L414" s="130">
        <v>1100228300</v>
      </c>
      <c r="M414" s="130" t="s">
        <v>932</v>
      </c>
      <c r="N414" s="130" t="s">
        <v>5542</v>
      </c>
      <c r="O414" s="130" t="s">
        <v>6258</v>
      </c>
      <c r="P414" s="130" t="s">
        <v>45</v>
      </c>
      <c r="Q414" s="130" t="s">
        <v>5481</v>
      </c>
      <c r="R414" s="130" t="s">
        <v>3666</v>
      </c>
      <c r="S414" s="130" t="s">
        <v>6244</v>
      </c>
      <c r="T414" s="130"/>
      <c r="U414" s="130"/>
      <c r="V414" s="130"/>
      <c r="W414" s="130"/>
      <c r="X414" s="130"/>
      <c r="Y414" s="130"/>
      <c r="Z414" s="130"/>
      <c r="AA414" s="130"/>
      <c r="AB414" s="130"/>
      <c r="AC414" s="130"/>
      <c r="AD414" s="130"/>
      <c r="AE414" s="130"/>
      <c r="AF414" s="130"/>
      <c r="AG414" s="130"/>
      <c r="AH414" s="130"/>
      <c r="AI414" s="130"/>
      <c r="AJ414" s="130"/>
      <c r="AK414" s="130"/>
      <c r="AL414" s="130"/>
      <c r="AM414" s="130"/>
      <c r="AN414" s="130"/>
      <c r="AO414" s="130"/>
      <c r="AP414" s="130"/>
      <c r="AQ414" s="130"/>
      <c r="AR414" s="130"/>
      <c r="AS414" s="130"/>
      <c r="AT414" s="130"/>
      <c r="AU414" s="130"/>
      <c r="AV414" s="130"/>
      <c r="AW414" s="130"/>
      <c r="AX414" s="130"/>
      <c r="AY414" s="130"/>
      <c r="AZ414" s="130"/>
    </row>
    <row r="415" spans="1:52" ht="30" customHeight="1">
      <c r="A415" s="143">
        <v>413</v>
      </c>
      <c r="B415" s="130" t="s">
        <v>3009</v>
      </c>
      <c r="C415" s="130">
        <v>41200171</v>
      </c>
      <c r="D415" s="130" t="s">
        <v>1479</v>
      </c>
      <c r="E415" s="130" t="s">
        <v>3603</v>
      </c>
      <c r="F415" s="130" t="s">
        <v>3594</v>
      </c>
      <c r="G415" s="130" t="s">
        <v>0</v>
      </c>
      <c r="H415" s="130" t="s">
        <v>3614</v>
      </c>
      <c r="I415" s="130" t="s">
        <v>3694</v>
      </c>
      <c r="J415" s="130"/>
      <c r="K415" s="429">
        <v>45924</v>
      </c>
      <c r="L415" s="130">
        <v>1100228300</v>
      </c>
      <c r="M415" s="130" t="s">
        <v>932</v>
      </c>
      <c r="N415" s="130" t="s">
        <v>5542</v>
      </c>
      <c r="O415" s="130" t="s">
        <v>6253</v>
      </c>
      <c r="P415" s="130" t="s">
        <v>45</v>
      </c>
      <c r="Q415" s="130" t="s">
        <v>5481</v>
      </c>
      <c r="R415" s="130" t="s">
        <v>3666</v>
      </c>
      <c r="S415" s="130" t="s">
        <v>6244</v>
      </c>
      <c r="T415" s="130"/>
      <c r="U415" s="130"/>
      <c r="V415" s="130"/>
      <c r="W415" s="130"/>
      <c r="X415" s="130"/>
      <c r="Y415" s="130"/>
      <c r="Z415" s="130"/>
      <c r="AA415" s="130"/>
      <c r="AB415" s="130"/>
      <c r="AC415" s="130"/>
      <c r="AD415" s="130"/>
      <c r="AE415" s="130"/>
      <c r="AF415" s="130"/>
      <c r="AG415" s="130"/>
      <c r="AH415" s="130"/>
      <c r="AI415" s="130"/>
      <c r="AJ415" s="130"/>
      <c r="AK415" s="130"/>
      <c r="AL415" s="130"/>
      <c r="AM415" s="130"/>
      <c r="AN415" s="130"/>
      <c r="AO415" s="130"/>
      <c r="AP415" s="130"/>
      <c r="AQ415" s="130"/>
      <c r="AR415" s="130"/>
      <c r="AS415" s="130"/>
      <c r="AT415" s="130"/>
      <c r="AU415" s="130"/>
      <c r="AV415" s="130"/>
      <c r="AW415" s="130"/>
      <c r="AX415" s="130"/>
      <c r="AY415" s="130"/>
      <c r="AZ415" s="130"/>
    </row>
    <row r="416" spans="1:52" ht="30" customHeight="1">
      <c r="A416" s="143">
        <v>414</v>
      </c>
      <c r="B416" s="130" t="s">
        <v>3009</v>
      </c>
      <c r="C416" s="130">
        <v>41200171</v>
      </c>
      <c r="D416" s="130" t="s">
        <v>1479</v>
      </c>
      <c r="E416" s="130" t="s">
        <v>3603</v>
      </c>
      <c r="F416" s="130" t="s">
        <v>3594</v>
      </c>
      <c r="G416" s="130" t="s">
        <v>0</v>
      </c>
      <c r="H416" s="130" t="s">
        <v>3614</v>
      </c>
      <c r="I416" s="130" t="s">
        <v>3694</v>
      </c>
      <c r="J416" s="130"/>
      <c r="K416" s="429">
        <v>45924</v>
      </c>
      <c r="L416" s="130">
        <v>1100228300</v>
      </c>
      <c r="M416" s="130" t="s">
        <v>932</v>
      </c>
      <c r="N416" s="130" t="s">
        <v>5542</v>
      </c>
      <c r="O416" s="130" t="s">
        <v>6259</v>
      </c>
      <c r="P416" s="130" t="s">
        <v>45</v>
      </c>
      <c r="Q416" s="130" t="s">
        <v>5481</v>
      </c>
      <c r="R416" s="130" t="s">
        <v>3666</v>
      </c>
      <c r="S416" s="130" t="s">
        <v>6244</v>
      </c>
      <c r="T416" s="130"/>
      <c r="U416" s="130"/>
      <c r="V416" s="130"/>
      <c r="W416" s="130"/>
      <c r="X416" s="130"/>
      <c r="Y416" s="130"/>
      <c r="Z416" s="130"/>
      <c r="AA416" s="130"/>
      <c r="AB416" s="130"/>
      <c r="AC416" s="130"/>
      <c r="AD416" s="130"/>
      <c r="AE416" s="130"/>
      <c r="AF416" s="130"/>
      <c r="AG416" s="130"/>
      <c r="AH416" s="130"/>
      <c r="AI416" s="130"/>
      <c r="AJ416" s="130"/>
      <c r="AK416" s="130"/>
      <c r="AL416" s="130"/>
      <c r="AM416" s="130"/>
      <c r="AN416" s="130"/>
      <c r="AO416" s="130"/>
      <c r="AP416" s="130"/>
      <c r="AQ416" s="130"/>
      <c r="AR416" s="130"/>
      <c r="AS416" s="130"/>
      <c r="AT416" s="130"/>
      <c r="AU416" s="130"/>
      <c r="AV416" s="130"/>
      <c r="AW416" s="130"/>
      <c r="AX416" s="130"/>
      <c r="AY416" s="130"/>
      <c r="AZ416" s="130"/>
    </row>
    <row r="417" spans="1:52" ht="30" customHeight="1">
      <c r="A417" s="143">
        <v>415</v>
      </c>
      <c r="B417" s="130" t="s">
        <v>3022</v>
      </c>
      <c r="C417" s="130">
        <v>41200053</v>
      </c>
      <c r="D417" s="130" t="s">
        <v>2184</v>
      </c>
      <c r="E417" s="130" t="s">
        <v>3651</v>
      </c>
      <c r="F417" s="130" t="s">
        <v>3604</v>
      </c>
      <c r="G417" s="130" t="s">
        <v>0</v>
      </c>
      <c r="H417" s="130" t="s">
        <v>3614</v>
      </c>
      <c r="I417" s="130" t="s">
        <v>3596</v>
      </c>
      <c r="J417" s="130"/>
      <c r="K417" s="429">
        <v>45925</v>
      </c>
      <c r="L417" s="130">
        <v>1100367100</v>
      </c>
      <c r="M417" s="130" t="s">
        <v>2441</v>
      </c>
      <c r="N417" s="130" t="s">
        <v>6260</v>
      </c>
      <c r="O417" s="130"/>
      <c r="P417" s="130" t="s">
        <v>45</v>
      </c>
      <c r="Q417" s="130" t="s">
        <v>61</v>
      </c>
      <c r="R417" s="130"/>
      <c r="S417" s="130"/>
      <c r="T417" s="130"/>
      <c r="U417" s="130"/>
      <c r="V417" s="130"/>
      <c r="W417" s="130"/>
      <c r="X417" s="130"/>
      <c r="Y417" s="130"/>
      <c r="Z417" s="130"/>
      <c r="AA417" s="130"/>
      <c r="AB417" s="130"/>
      <c r="AC417" s="130"/>
      <c r="AD417" s="130"/>
      <c r="AE417" s="130"/>
      <c r="AF417" s="130"/>
      <c r="AG417" s="130"/>
      <c r="AH417" s="130"/>
      <c r="AI417" s="130"/>
      <c r="AJ417" s="130"/>
      <c r="AK417" s="130"/>
      <c r="AL417" s="130"/>
      <c r="AM417" s="130"/>
      <c r="AN417" s="130"/>
      <c r="AO417" s="130"/>
      <c r="AP417" s="130"/>
      <c r="AQ417" s="130"/>
      <c r="AR417" s="130"/>
      <c r="AS417" s="130"/>
      <c r="AT417" s="130"/>
      <c r="AU417" s="130"/>
      <c r="AV417" s="130"/>
      <c r="AW417" s="130"/>
      <c r="AX417" s="130"/>
      <c r="AY417" s="130"/>
      <c r="AZ417" s="130"/>
    </row>
    <row r="418" spans="1:52" ht="30" customHeight="1">
      <c r="A418" s="143">
        <v>416</v>
      </c>
      <c r="B418" s="130" t="s">
        <v>3026</v>
      </c>
      <c r="C418" s="130">
        <v>41200007</v>
      </c>
      <c r="D418" s="130" t="s">
        <v>1591</v>
      </c>
      <c r="E418" s="130" t="s">
        <v>3603</v>
      </c>
      <c r="F418" s="130" t="s">
        <v>3594</v>
      </c>
      <c r="G418" s="130" t="s">
        <v>0</v>
      </c>
      <c r="H418" s="130" t="s">
        <v>3595</v>
      </c>
      <c r="I418" s="130" t="s">
        <v>3596</v>
      </c>
      <c r="J418" s="130"/>
      <c r="K418" s="429">
        <v>45926</v>
      </c>
      <c r="L418" s="130">
        <v>1100019800</v>
      </c>
      <c r="M418" s="130" t="s">
        <v>816</v>
      </c>
      <c r="N418" s="130" t="s">
        <v>6124</v>
      </c>
      <c r="O418" s="130" t="s">
        <v>6261</v>
      </c>
      <c r="P418" s="130" t="s">
        <v>26</v>
      </c>
      <c r="Q418" s="130" t="s">
        <v>54</v>
      </c>
      <c r="R418" s="130" t="s">
        <v>3666</v>
      </c>
      <c r="S418" s="130" t="s">
        <v>3715</v>
      </c>
      <c r="T418" s="130"/>
      <c r="U418" s="130"/>
      <c r="V418" s="130"/>
      <c r="W418" s="130"/>
      <c r="X418" s="130"/>
      <c r="Y418" s="130"/>
      <c r="Z418" s="130"/>
      <c r="AA418" s="130"/>
      <c r="AB418" s="130"/>
      <c r="AC418" s="130"/>
      <c r="AD418" s="130"/>
      <c r="AE418" s="130"/>
      <c r="AF418" s="130"/>
      <c r="AG418" s="130"/>
      <c r="AH418" s="130"/>
      <c r="AI418" s="130"/>
      <c r="AJ418" s="130"/>
      <c r="AK418" s="130"/>
      <c r="AL418" s="130"/>
      <c r="AM418" s="130"/>
      <c r="AN418" s="130"/>
      <c r="AO418" s="130"/>
      <c r="AP418" s="130"/>
      <c r="AQ418" s="130"/>
      <c r="AR418" s="130"/>
      <c r="AS418" s="130"/>
      <c r="AT418" s="130"/>
      <c r="AU418" s="130"/>
      <c r="AV418" s="130"/>
      <c r="AW418" s="130"/>
      <c r="AX418" s="130"/>
      <c r="AY418" s="130"/>
      <c r="AZ418" s="130"/>
    </row>
    <row r="419" spans="1:52" ht="30" customHeight="1">
      <c r="A419" s="143">
        <v>417</v>
      </c>
      <c r="B419" s="130" t="s">
        <v>3031</v>
      </c>
      <c r="C419" s="130">
        <v>41200074</v>
      </c>
      <c r="D419" s="130" t="s">
        <v>1478</v>
      </c>
      <c r="E419" s="130" t="s">
        <v>3603</v>
      </c>
      <c r="F419" s="130" t="s">
        <v>3604</v>
      </c>
      <c r="G419" s="130" t="s">
        <v>0</v>
      </c>
      <c r="H419" s="130" t="s">
        <v>3614</v>
      </c>
      <c r="I419" s="130" t="s">
        <v>3596</v>
      </c>
      <c r="J419" s="130"/>
      <c r="K419" s="429">
        <v>45926</v>
      </c>
      <c r="L419" s="130">
        <v>1100228300</v>
      </c>
      <c r="M419" s="130" t="s">
        <v>932</v>
      </c>
      <c r="N419" s="130" t="s">
        <v>5542</v>
      </c>
      <c r="O419" s="130" t="s">
        <v>6262</v>
      </c>
      <c r="P419" s="130" t="s">
        <v>45</v>
      </c>
      <c r="Q419" s="130" t="s">
        <v>5481</v>
      </c>
      <c r="R419" s="130" t="s">
        <v>3666</v>
      </c>
      <c r="S419" s="130" t="s">
        <v>6263</v>
      </c>
      <c r="T419" s="130"/>
      <c r="U419" s="130"/>
      <c r="V419" s="130"/>
      <c r="W419" s="130"/>
      <c r="X419" s="130"/>
      <c r="Y419" s="130"/>
      <c r="Z419" s="130"/>
      <c r="AA419" s="130"/>
      <c r="AB419" s="130"/>
      <c r="AC419" s="130"/>
      <c r="AD419" s="130"/>
      <c r="AE419" s="130"/>
      <c r="AF419" s="130"/>
      <c r="AG419" s="130"/>
      <c r="AH419" s="130"/>
      <c r="AI419" s="130"/>
      <c r="AJ419" s="130"/>
      <c r="AK419" s="130"/>
      <c r="AL419" s="130"/>
      <c r="AM419" s="130"/>
      <c r="AN419" s="130"/>
      <c r="AO419" s="130"/>
      <c r="AP419" s="130"/>
      <c r="AQ419" s="130"/>
      <c r="AR419" s="130"/>
      <c r="AS419" s="130"/>
      <c r="AT419" s="130"/>
      <c r="AU419" s="130"/>
      <c r="AV419" s="130"/>
      <c r="AW419" s="130"/>
      <c r="AX419" s="130"/>
      <c r="AY419" s="130"/>
      <c r="AZ419" s="130"/>
    </row>
    <row r="420" spans="1:52" ht="30" customHeight="1">
      <c r="A420" s="143">
        <v>418</v>
      </c>
      <c r="B420" s="130" t="s">
        <v>3031</v>
      </c>
      <c r="C420" s="130">
        <v>41200074</v>
      </c>
      <c r="D420" s="130" t="s">
        <v>1478</v>
      </c>
      <c r="E420" s="130" t="s">
        <v>3603</v>
      </c>
      <c r="F420" s="130" t="s">
        <v>3604</v>
      </c>
      <c r="G420" s="130" t="s">
        <v>0</v>
      </c>
      <c r="H420" s="130" t="s">
        <v>3595</v>
      </c>
      <c r="I420" s="130" t="s">
        <v>3762</v>
      </c>
      <c r="J420" s="130" t="s">
        <v>2679</v>
      </c>
      <c r="K420" s="429">
        <v>45926</v>
      </c>
      <c r="L420" s="130">
        <v>1100023400</v>
      </c>
      <c r="M420" s="130" t="s">
        <v>331</v>
      </c>
      <c r="N420" s="130" t="s">
        <v>6264</v>
      </c>
      <c r="O420" s="130" t="s">
        <v>6265</v>
      </c>
      <c r="P420" s="130" t="s">
        <v>26</v>
      </c>
      <c r="Q420" s="130" t="s">
        <v>49</v>
      </c>
      <c r="R420" s="130" t="s">
        <v>3674</v>
      </c>
      <c r="S420" s="130" t="s">
        <v>6263</v>
      </c>
      <c r="T420" s="130"/>
      <c r="U420" s="130"/>
      <c r="V420" s="130"/>
      <c r="W420" s="130"/>
      <c r="X420" s="130"/>
      <c r="Y420" s="130"/>
      <c r="Z420" s="130"/>
      <c r="AA420" s="130"/>
      <c r="AB420" s="130"/>
      <c r="AC420" s="130"/>
      <c r="AD420" s="130"/>
      <c r="AE420" s="130"/>
      <c r="AF420" s="130"/>
      <c r="AG420" s="130"/>
      <c r="AH420" s="130"/>
      <c r="AI420" s="130"/>
      <c r="AJ420" s="130"/>
      <c r="AK420" s="130"/>
      <c r="AL420" s="130"/>
      <c r="AM420" s="130"/>
      <c r="AN420" s="130"/>
      <c r="AO420" s="130"/>
      <c r="AP420" s="130"/>
      <c r="AQ420" s="130"/>
      <c r="AR420" s="130"/>
      <c r="AS420" s="130"/>
      <c r="AT420" s="130"/>
      <c r="AU420" s="130"/>
      <c r="AV420" s="130"/>
      <c r="AW420" s="130"/>
      <c r="AX420" s="130"/>
      <c r="AY420" s="130"/>
      <c r="AZ420" s="130"/>
    </row>
    <row r="421" spans="1:52" ht="30" customHeight="1">
      <c r="A421" s="143">
        <v>419</v>
      </c>
      <c r="B421" s="130" t="s">
        <v>3046</v>
      </c>
      <c r="C421" s="130">
        <v>41200113</v>
      </c>
      <c r="D421" s="130" t="s">
        <v>1476</v>
      </c>
      <c r="E421" s="130" t="s">
        <v>3593</v>
      </c>
      <c r="F421" s="130" t="s">
        <v>3619</v>
      </c>
      <c r="G421" s="130" t="s">
        <v>0</v>
      </c>
      <c r="H421" s="130" t="s">
        <v>3614</v>
      </c>
      <c r="I421" s="130" t="s">
        <v>3596</v>
      </c>
      <c r="J421" s="130" t="s">
        <v>2679</v>
      </c>
      <c r="K421" s="429">
        <v>45929</v>
      </c>
      <c r="L421" s="130">
        <v>1310501900</v>
      </c>
      <c r="M421" s="130" t="s">
        <v>6266</v>
      </c>
      <c r="N421" s="130" t="s">
        <v>6267</v>
      </c>
      <c r="O421" s="130" t="s">
        <v>6268</v>
      </c>
      <c r="P421" s="130" t="s">
        <v>5811</v>
      </c>
      <c r="Q421" s="130" t="s">
        <v>61</v>
      </c>
      <c r="R421" s="130"/>
      <c r="S421" s="130"/>
      <c r="T421" s="130"/>
      <c r="U421" s="130"/>
      <c r="V421" s="130"/>
      <c r="W421" s="130"/>
      <c r="X421" s="130"/>
      <c r="Y421" s="130"/>
      <c r="Z421" s="130"/>
      <c r="AA421" s="130"/>
      <c r="AB421" s="130"/>
      <c r="AC421" s="130"/>
      <c r="AD421" s="130"/>
      <c r="AE421" s="130"/>
      <c r="AF421" s="130"/>
      <c r="AG421" s="130"/>
      <c r="AH421" s="130"/>
      <c r="AI421" s="130"/>
      <c r="AJ421" s="130"/>
      <c r="AK421" s="130"/>
      <c r="AL421" s="130"/>
      <c r="AM421" s="130"/>
      <c r="AN421" s="130"/>
      <c r="AO421" s="130"/>
      <c r="AP421" s="130"/>
      <c r="AQ421" s="130"/>
      <c r="AR421" s="130"/>
      <c r="AS421" s="130"/>
      <c r="AT421" s="130"/>
      <c r="AU421" s="130"/>
      <c r="AV421" s="130"/>
      <c r="AW421" s="130"/>
      <c r="AX421" s="130"/>
      <c r="AY421" s="130"/>
      <c r="AZ421" s="130"/>
    </row>
    <row r="422" spans="1:52" ht="30" customHeight="1">
      <c r="A422" s="143">
        <v>420</v>
      </c>
      <c r="B422" s="130" t="s">
        <v>3041</v>
      </c>
      <c r="C422" s="130">
        <v>41200033</v>
      </c>
      <c r="D422" s="130" t="s">
        <v>1476</v>
      </c>
      <c r="E422" s="130" t="s">
        <v>3603</v>
      </c>
      <c r="F422" s="130" t="s">
        <v>3604</v>
      </c>
      <c r="G422" s="130" t="s">
        <v>0</v>
      </c>
      <c r="H422" s="130" t="s">
        <v>3614</v>
      </c>
      <c r="I422" s="130" t="s">
        <v>3596</v>
      </c>
      <c r="J422" s="130" t="s">
        <v>2880</v>
      </c>
      <c r="K422" s="429">
        <v>45929</v>
      </c>
      <c r="L422" s="130">
        <v>1100187600</v>
      </c>
      <c r="M422" s="130" t="s">
        <v>4095</v>
      </c>
      <c r="N422" s="130" t="s">
        <v>6269</v>
      </c>
      <c r="O422" s="130" t="s">
        <v>6270</v>
      </c>
      <c r="P422" s="130" t="s">
        <v>45</v>
      </c>
      <c r="Q422" s="130" t="s">
        <v>5481</v>
      </c>
      <c r="R422" s="130" t="s">
        <v>3666</v>
      </c>
      <c r="S422" s="130" t="s">
        <v>3917</v>
      </c>
      <c r="T422" s="130"/>
      <c r="U422" s="130"/>
      <c r="V422" s="130"/>
      <c r="W422" s="130"/>
      <c r="X422" s="130"/>
      <c r="Y422" s="130"/>
      <c r="Z422" s="130"/>
      <c r="AA422" s="130"/>
      <c r="AB422" s="130"/>
      <c r="AC422" s="130"/>
      <c r="AD422" s="130"/>
      <c r="AE422" s="130"/>
      <c r="AF422" s="130"/>
      <c r="AG422" s="130"/>
      <c r="AH422" s="130"/>
      <c r="AI422" s="130"/>
      <c r="AJ422" s="130"/>
      <c r="AK422" s="130"/>
      <c r="AL422" s="130"/>
      <c r="AM422" s="130"/>
      <c r="AN422" s="130"/>
      <c r="AO422" s="130"/>
      <c r="AP422" s="130"/>
      <c r="AQ422" s="130"/>
      <c r="AR422" s="130"/>
      <c r="AS422" s="130"/>
      <c r="AT422" s="130"/>
      <c r="AU422" s="130"/>
      <c r="AV422" s="130"/>
      <c r="AW422" s="130"/>
      <c r="AX422" s="130"/>
      <c r="AY422" s="130"/>
      <c r="AZ422" s="130"/>
    </row>
    <row r="423" spans="1:52" ht="30" customHeight="1">
      <c r="A423" s="143">
        <v>421</v>
      </c>
      <c r="B423" s="130" t="s">
        <v>3438</v>
      </c>
      <c r="C423" s="130">
        <v>41200101</v>
      </c>
      <c r="D423" s="130" t="s">
        <v>1476</v>
      </c>
      <c r="E423" s="130" t="s">
        <v>3603</v>
      </c>
      <c r="F423" s="130" t="s">
        <v>3594</v>
      </c>
      <c r="G423" s="130" t="s">
        <v>0</v>
      </c>
      <c r="H423" s="130" t="s">
        <v>3595</v>
      </c>
      <c r="I423" s="130" t="s">
        <v>3596</v>
      </c>
      <c r="J423" s="130" t="s">
        <v>2880</v>
      </c>
      <c r="K423" s="429">
        <v>45931</v>
      </c>
      <c r="L423" s="130">
        <v>1100000400</v>
      </c>
      <c r="M423" s="130" t="s">
        <v>1008</v>
      </c>
      <c r="N423" s="130" t="s">
        <v>6271</v>
      </c>
      <c r="O423" s="130" t="s">
        <v>6272</v>
      </c>
      <c r="P423" s="130" t="s">
        <v>26</v>
      </c>
      <c r="Q423" s="130" t="s">
        <v>54</v>
      </c>
      <c r="R423" s="130" t="s">
        <v>3666</v>
      </c>
      <c r="S423" s="130" t="s">
        <v>6273</v>
      </c>
      <c r="T423" s="130"/>
      <c r="U423" s="130"/>
      <c r="V423" s="130"/>
      <c r="W423" s="130"/>
      <c r="X423" s="130"/>
      <c r="Y423" s="130"/>
      <c r="Z423" s="130"/>
      <c r="AA423" s="130"/>
      <c r="AB423" s="130"/>
      <c r="AC423" s="130"/>
      <c r="AD423" s="130"/>
      <c r="AE423" s="130"/>
      <c r="AF423" s="130"/>
      <c r="AG423" s="130"/>
      <c r="AH423" s="130"/>
      <c r="AI423" s="130"/>
      <c r="AJ423" s="130"/>
      <c r="AK423" s="130"/>
      <c r="AL423" s="130"/>
      <c r="AM423" s="130"/>
      <c r="AN423" s="130"/>
      <c r="AO423" s="130"/>
      <c r="AP423" s="130"/>
      <c r="AQ423" s="130"/>
      <c r="AR423" s="130"/>
      <c r="AS423" s="130"/>
      <c r="AT423" s="130"/>
      <c r="AU423" s="130"/>
      <c r="AV423" s="130"/>
      <c r="AW423" s="130"/>
      <c r="AX423" s="130"/>
      <c r="AY423" s="130"/>
      <c r="AZ423" s="130"/>
    </row>
    <row r="424" spans="1:52" ht="30" customHeight="1">
      <c r="A424" s="143">
        <v>422</v>
      </c>
      <c r="B424" s="130" t="s">
        <v>3203</v>
      </c>
      <c r="C424" s="130">
        <v>41200101</v>
      </c>
      <c r="D424" s="130" t="s">
        <v>1476</v>
      </c>
      <c r="E424" s="130" t="s">
        <v>3603</v>
      </c>
      <c r="F424" s="130" t="s">
        <v>3594</v>
      </c>
      <c r="G424" s="130" t="s">
        <v>0</v>
      </c>
      <c r="H424" s="130" t="s">
        <v>3595</v>
      </c>
      <c r="I424" s="130" t="s">
        <v>3596</v>
      </c>
      <c r="J424" s="130" t="s">
        <v>2880</v>
      </c>
      <c r="K424" s="429">
        <v>45931</v>
      </c>
      <c r="L424" s="130">
        <v>1100374700</v>
      </c>
      <c r="M424" s="130" t="s">
        <v>226</v>
      </c>
      <c r="N424" s="130" t="s">
        <v>6274</v>
      </c>
      <c r="O424" s="130" t="s">
        <v>6275</v>
      </c>
      <c r="P424" s="130" t="s">
        <v>26</v>
      </c>
      <c r="Q424" s="130" t="s">
        <v>49</v>
      </c>
      <c r="R424" s="130" t="s">
        <v>3674</v>
      </c>
      <c r="S424" s="130" t="s">
        <v>6273</v>
      </c>
      <c r="T424" s="130"/>
      <c r="U424" s="130"/>
      <c r="V424" s="130"/>
      <c r="W424" s="130"/>
      <c r="X424" s="130"/>
      <c r="Y424" s="130"/>
      <c r="Z424" s="130"/>
      <c r="AA424" s="130"/>
      <c r="AB424" s="130"/>
      <c r="AC424" s="130"/>
      <c r="AD424" s="130"/>
      <c r="AE424" s="130"/>
      <c r="AF424" s="130"/>
      <c r="AG424" s="130"/>
      <c r="AH424" s="130"/>
      <c r="AI424" s="130"/>
      <c r="AJ424" s="130"/>
      <c r="AK424" s="130"/>
      <c r="AL424" s="130"/>
      <c r="AM424" s="130"/>
      <c r="AN424" s="130"/>
      <c r="AO424" s="130"/>
      <c r="AP424" s="130"/>
      <c r="AQ424" s="130"/>
      <c r="AR424" s="130"/>
      <c r="AS424" s="130"/>
      <c r="AT424" s="130"/>
      <c r="AU424" s="130"/>
      <c r="AV424" s="130"/>
      <c r="AW424" s="130"/>
      <c r="AX424" s="130"/>
      <c r="AY424" s="130"/>
      <c r="AZ424" s="130"/>
    </row>
    <row r="425" spans="1:52" ht="30" customHeight="1">
      <c r="A425" s="143">
        <v>423</v>
      </c>
      <c r="B425" s="130" t="s">
        <v>3203</v>
      </c>
      <c r="C425" s="130">
        <v>41200101</v>
      </c>
      <c r="D425" s="130" t="s">
        <v>1476</v>
      </c>
      <c r="E425" s="130" t="s">
        <v>3603</v>
      </c>
      <c r="F425" s="130" t="s">
        <v>3594</v>
      </c>
      <c r="G425" s="130" t="s">
        <v>0</v>
      </c>
      <c r="H425" s="130" t="s">
        <v>3614</v>
      </c>
      <c r="I425" s="130" t="s">
        <v>3596</v>
      </c>
      <c r="J425" s="130" t="s">
        <v>2679</v>
      </c>
      <c r="K425" s="429">
        <v>45931</v>
      </c>
      <c r="L425" s="130">
        <v>1310501900</v>
      </c>
      <c r="M425" s="126" t="s">
        <v>6266</v>
      </c>
      <c r="N425" s="130" t="s">
        <v>6267</v>
      </c>
      <c r="O425" s="130" t="s">
        <v>6268</v>
      </c>
      <c r="P425" s="130" t="s">
        <v>5811</v>
      </c>
      <c r="Q425" s="130" t="s">
        <v>61</v>
      </c>
      <c r="R425" s="130"/>
      <c r="S425" s="130"/>
      <c r="T425" s="130"/>
      <c r="U425" s="130"/>
      <c r="V425" s="130"/>
      <c r="W425" s="130"/>
      <c r="X425" s="130"/>
      <c r="Y425" s="130"/>
      <c r="Z425" s="130"/>
      <c r="AA425" s="130"/>
      <c r="AB425" s="130"/>
      <c r="AC425" s="130"/>
      <c r="AD425" s="130"/>
      <c r="AE425" s="130"/>
      <c r="AF425" s="130"/>
      <c r="AG425" s="130"/>
      <c r="AH425" s="130"/>
      <c r="AI425" s="130"/>
      <c r="AJ425" s="130"/>
      <c r="AK425" s="130"/>
      <c r="AL425" s="130"/>
      <c r="AM425" s="130"/>
      <c r="AN425" s="130"/>
      <c r="AO425" s="130"/>
      <c r="AP425" s="130"/>
      <c r="AQ425" s="130"/>
      <c r="AR425" s="130"/>
      <c r="AS425" s="130"/>
      <c r="AT425" s="130"/>
      <c r="AU425" s="130"/>
      <c r="AV425" s="130"/>
      <c r="AW425" s="130"/>
      <c r="AX425" s="130"/>
      <c r="AY425" s="130"/>
      <c r="AZ425" s="130"/>
    </row>
    <row r="426" spans="1:52" ht="30" customHeight="1">
      <c r="A426" s="143">
        <v>424</v>
      </c>
      <c r="B426" s="130" t="s">
        <v>3052</v>
      </c>
      <c r="C426" s="130">
        <v>41200047</v>
      </c>
      <c r="D426" s="130" t="s">
        <v>1476</v>
      </c>
      <c r="E426" s="130" t="s">
        <v>3603</v>
      </c>
      <c r="F426" s="130" t="s">
        <v>3594</v>
      </c>
      <c r="G426" s="130" t="s">
        <v>0</v>
      </c>
      <c r="H426" s="130" t="s">
        <v>3595</v>
      </c>
      <c r="I426" s="130" t="s">
        <v>3596</v>
      </c>
      <c r="J426" s="130" t="s">
        <v>2679</v>
      </c>
      <c r="K426" s="429">
        <v>45931</v>
      </c>
      <c r="L426" s="130">
        <v>1100019600</v>
      </c>
      <c r="M426" s="130" t="s">
        <v>816</v>
      </c>
      <c r="N426" s="130" t="s">
        <v>6276</v>
      </c>
      <c r="O426" s="130" t="s">
        <v>6277</v>
      </c>
      <c r="P426" s="130" t="s">
        <v>26</v>
      </c>
      <c r="Q426" s="130" t="s">
        <v>49</v>
      </c>
      <c r="R426" s="130" t="s">
        <v>3674</v>
      </c>
      <c r="S426" s="130" t="s">
        <v>6242</v>
      </c>
      <c r="T426" s="130"/>
      <c r="U426" s="130"/>
      <c r="V426" s="130"/>
      <c r="W426" s="130"/>
      <c r="X426" s="130"/>
      <c r="Y426" s="130"/>
      <c r="Z426" s="130"/>
      <c r="AA426" s="130"/>
      <c r="AB426" s="130"/>
      <c r="AC426" s="130"/>
      <c r="AD426" s="130"/>
      <c r="AE426" s="130"/>
      <c r="AF426" s="130"/>
      <c r="AG426" s="130"/>
      <c r="AH426" s="130"/>
      <c r="AI426" s="130"/>
      <c r="AJ426" s="130"/>
      <c r="AK426" s="130"/>
      <c r="AL426" s="130"/>
      <c r="AM426" s="130"/>
      <c r="AN426" s="130"/>
      <c r="AO426" s="130"/>
      <c r="AP426" s="130"/>
      <c r="AQ426" s="130"/>
      <c r="AR426" s="130"/>
      <c r="AS426" s="130"/>
      <c r="AT426" s="130"/>
      <c r="AU426" s="130"/>
      <c r="AV426" s="130"/>
      <c r="AW426" s="130"/>
      <c r="AX426" s="130"/>
      <c r="AY426" s="130"/>
      <c r="AZ426" s="130"/>
    </row>
    <row r="427" spans="1:52" ht="30" customHeight="1">
      <c r="A427" s="143">
        <v>425</v>
      </c>
      <c r="B427" s="130" t="s">
        <v>3050</v>
      </c>
      <c r="C427" s="130">
        <v>41200053</v>
      </c>
      <c r="D427" s="130" t="s">
        <v>2184</v>
      </c>
      <c r="E427" s="130" t="s">
        <v>3651</v>
      </c>
      <c r="F427" s="130" t="s">
        <v>3619</v>
      </c>
      <c r="G427" s="130" t="s">
        <v>0</v>
      </c>
      <c r="H427" s="130" t="s">
        <v>3595</v>
      </c>
      <c r="I427" s="130" t="s">
        <v>3762</v>
      </c>
      <c r="J427" s="130"/>
      <c r="K427" s="429">
        <v>45931</v>
      </c>
      <c r="L427" s="130">
        <v>1100220600</v>
      </c>
      <c r="M427" s="126" t="s">
        <v>438</v>
      </c>
      <c r="N427" s="130" t="s">
        <v>6278</v>
      </c>
      <c r="O427" s="130" t="s">
        <v>6279</v>
      </c>
      <c r="P427" s="130" t="s">
        <v>3600</v>
      </c>
      <c r="Q427" s="130" t="s">
        <v>54</v>
      </c>
      <c r="R427" s="130" t="s">
        <v>3602</v>
      </c>
      <c r="S427" s="130" t="s">
        <v>4046</v>
      </c>
      <c r="T427" s="130"/>
      <c r="U427" s="130"/>
      <c r="V427" s="130"/>
      <c r="W427" s="130"/>
      <c r="X427" s="130"/>
      <c r="Y427" s="130"/>
      <c r="Z427" s="130"/>
      <c r="AA427" s="130"/>
      <c r="AB427" s="130"/>
      <c r="AC427" s="130"/>
      <c r="AD427" s="130"/>
      <c r="AE427" s="130"/>
      <c r="AF427" s="130"/>
      <c r="AG427" s="130"/>
      <c r="AH427" s="130"/>
      <c r="AI427" s="130"/>
      <c r="AJ427" s="130"/>
      <c r="AK427" s="130"/>
      <c r="AL427" s="130"/>
      <c r="AM427" s="130"/>
      <c r="AN427" s="130"/>
      <c r="AO427" s="130"/>
      <c r="AP427" s="130"/>
      <c r="AQ427" s="130"/>
      <c r="AR427" s="130"/>
      <c r="AS427" s="130"/>
      <c r="AT427" s="130"/>
      <c r="AU427" s="130"/>
      <c r="AV427" s="130"/>
      <c r="AW427" s="130"/>
      <c r="AX427" s="130"/>
      <c r="AY427" s="130"/>
      <c r="AZ427" s="130"/>
    </row>
    <row r="428" spans="1:52" ht="30" customHeight="1">
      <c r="A428" s="143">
        <v>426</v>
      </c>
      <c r="B428" s="130" t="s">
        <v>3062</v>
      </c>
      <c r="C428" s="130">
        <v>41200173</v>
      </c>
      <c r="D428" s="130" t="s">
        <v>1591</v>
      </c>
      <c r="E428" s="130" t="s">
        <v>3603</v>
      </c>
      <c r="F428" s="130" t="s">
        <v>3594</v>
      </c>
      <c r="G428" s="130" t="s">
        <v>0</v>
      </c>
      <c r="H428" s="130" t="s">
        <v>3614</v>
      </c>
      <c r="I428" s="130" t="s">
        <v>3596</v>
      </c>
      <c r="J428" s="130"/>
      <c r="K428" s="429">
        <v>45932</v>
      </c>
      <c r="L428" s="130">
        <v>1110093500</v>
      </c>
      <c r="M428" s="130" t="s">
        <v>932</v>
      </c>
      <c r="N428" s="130" t="s">
        <v>5542</v>
      </c>
      <c r="O428" s="130" t="s">
        <v>6280</v>
      </c>
      <c r="P428" s="130" t="s">
        <v>45</v>
      </c>
      <c r="Q428" s="130" t="s">
        <v>5481</v>
      </c>
      <c r="R428" s="130" t="s">
        <v>3666</v>
      </c>
      <c r="S428" s="130" t="s">
        <v>5625</v>
      </c>
      <c r="T428" s="130"/>
      <c r="U428" s="130"/>
      <c r="V428" s="130"/>
      <c r="W428" s="130"/>
      <c r="X428" s="130"/>
      <c r="Y428" s="130"/>
      <c r="Z428" s="130"/>
      <c r="AA428" s="130"/>
      <c r="AB428" s="130"/>
      <c r="AC428" s="130"/>
      <c r="AD428" s="130"/>
      <c r="AE428" s="130"/>
      <c r="AF428" s="130"/>
      <c r="AG428" s="130"/>
      <c r="AH428" s="130"/>
      <c r="AI428" s="130"/>
      <c r="AJ428" s="130"/>
      <c r="AK428" s="130"/>
      <c r="AL428" s="130"/>
      <c r="AM428" s="130"/>
      <c r="AN428" s="130"/>
      <c r="AO428" s="130"/>
      <c r="AP428" s="130"/>
      <c r="AQ428" s="130"/>
      <c r="AR428" s="130"/>
      <c r="AS428" s="130"/>
      <c r="AT428" s="130"/>
      <c r="AU428" s="130"/>
      <c r="AV428" s="130"/>
      <c r="AW428" s="130"/>
      <c r="AX428" s="130"/>
      <c r="AY428" s="130"/>
      <c r="AZ428" s="130"/>
    </row>
    <row r="429" spans="1:52" ht="30" customHeight="1">
      <c r="A429" s="143">
        <v>427</v>
      </c>
      <c r="B429" s="130" t="s">
        <v>3063</v>
      </c>
      <c r="C429" s="130">
        <v>41200122</v>
      </c>
      <c r="D429" s="130" t="s">
        <v>1476</v>
      </c>
      <c r="E429" s="130" t="s">
        <v>3593</v>
      </c>
      <c r="F429" s="130" t="s">
        <v>3594</v>
      </c>
      <c r="G429" s="130" t="s">
        <v>0</v>
      </c>
      <c r="H429" s="130" t="s">
        <v>3614</v>
      </c>
      <c r="I429" s="130" t="s">
        <v>3596</v>
      </c>
      <c r="J429" s="130" t="s">
        <v>2880</v>
      </c>
      <c r="K429" s="429">
        <v>45932</v>
      </c>
      <c r="L429" s="130">
        <v>1100228300</v>
      </c>
      <c r="M429" s="130" t="s">
        <v>932</v>
      </c>
      <c r="N429" s="130" t="s">
        <v>5542</v>
      </c>
      <c r="O429" s="130" t="s">
        <v>6281</v>
      </c>
      <c r="P429" s="130" t="s">
        <v>45</v>
      </c>
      <c r="Q429" s="130" t="s">
        <v>5481</v>
      </c>
      <c r="R429" s="130" t="s">
        <v>3656</v>
      </c>
      <c r="S429" s="130" t="s">
        <v>5568</v>
      </c>
      <c r="T429" s="130"/>
      <c r="U429" s="130"/>
      <c r="V429" s="130"/>
      <c r="W429" s="130"/>
      <c r="X429" s="130"/>
      <c r="Y429" s="130"/>
      <c r="Z429" s="130"/>
      <c r="AA429" s="130"/>
      <c r="AB429" s="130"/>
      <c r="AC429" s="130"/>
      <c r="AD429" s="130"/>
      <c r="AE429" s="130"/>
      <c r="AF429" s="130"/>
      <c r="AG429" s="130"/>
      <c r="AH429" s="130"/>
      <c r="AI429" s="130"/>
      <c r="AJ429" s="130"/>
      <c r="AK429" s="130"/>
      <c r="AL429" s="130"/>
      <c r="AM429" s="130"/>
      <c r="AN429" s="130"/>
      <c r="AO429" s="130"/>
      <c r="AP429" s="130"/>
      <c r="AQ429" s="130"/>
      <c r="AR429" s="130"/>
      <c r="AS429" s="130"/>
      <c r="AT429" s="130"/>
      <c r="AU429" s="130"/>
      <c r="AV429" s="130"/>
      <c r="AW429" s="130"/>
      <c r="AX429" s="130"/>
      <c r="AY429" s="130"/>
      <c r="AZ429" s="130"/>
    </row>
    <row r="430" spans="1:52" ht="30" customHeight="1">
      <c r="A430" s="143">
        <v>428</v>
      </c>
      <c r="B430" s="130" t="s">
        <v>3060</v>
      </c>
      <c r="C430" s="130">
        <v>41200127</v>
      </c>
      <c r="D430" s="130" t="s">
        <v>1591</v>
      </c>
      <c r="E430" s="130" t="s">
        <v>3593</v>
      </c>
      <c r="F430" s="130" t="s">
        <v>3619</v>
      </c>
      <c r="G430" s="130" t="s">
        <v>0</v>
      </c>
      <c r="H430" s="130" t="s">
        <v>3614</v>
      </c>
      <c r="I430" s="130" t="s">
        <v>3596</v>
      </c>
      <c r="J430" s="130"/>
      <c r="K430" s="429">
        <v>45932</v>
      </c>
      <c r="L430" s="130">
        <v>1100228300</v>
      </c>
      <c r="M430" s="130" t="s">
        <v>932</v>
      </c>
      <c r="N430" s="130" t="s">
        <v>5542</v>
      </c>
      <c r="O430" s="130" t="s">
        <v>6282</v>
      </c>
      <c r="P430" s="130" t="s">
        <v>45</v>
      </c>
      <c r="Q430" s="130" t="s">
        <v>5481</v>
      </c>
      <c r="R430" s="130" t="s">
        <v>3656</v>
      </c>
      <c r="S430" s="130" t="s">
        <v>5568</v>
      </c>
      <c r="T430" s="130"/>
      <c r="U430" s="130"/>
      <c r="V430" s="130"/>
      <c r="W430" s="130"/>
      <c r="X430" s="130"/>
      <c r="Y430" s="130"/>
      <c r="Z430" s="130"/>
      <c r="AA430" s="130"/>
      <c r="AB430" s="130"/>
      <c r="AC430" s="130"/>
      <c r="AD430" s="130"/>
      <c r="AE430" s="130"/>
      <c r="AF430" s="130"/>
      <c r="AG430" s="130"/>
      <c r="AH430" s="130"/>
      <c r="AI430" s="130"/>
      <c r="AJ430" s="130"/>
      <c r="AK430" s="130"/>
      <c r="AL430" s="130"/>
      <c r="AM430" s="130"/>
      <c r="AN430" s="130"/>
      <c r="AO430" s="130"/>
      <c r="AP430" s="130"/>
      <c r="AQ430" s="130"/>
      <c r="AR430" s="130"/>
      <c r="AS430" s="130"/>
      <c r="AT430" s="130"/>
      <c r="AU430" s="130"/>
      <c r="AV430" s="130"/>
      <c r="AW430" s="130"/>
      <c r="AX430" s="130"/>
      <c r="AY430" s="130"/>
      <c r="AZ430" s="130"/>
    </row>
    <row r="431" spans="1:52" ht="30" customHeight="1">
      <c r="A431" s="143">
        <v>429</v>
      </c>
      <c r="B431" s="130" t="s">
        <v>3203</v>
      </c>
      <c r="C431" s="130">
        <v>41200101</v>
      </c>
      <c r="D431" s="130" t="s">
        <v>1476</v>
      </c>
      <c r="E431" s="130" t="s">
        <v>3603</v>
      </c>
      <c r="F431" s="130" t="s">
        <v>3594</v>
      </c>
      <c r="G431" s="130" t="s">
        <v>0</v>
      </c>
      <c r="H431" s="130" t="s">
        <v>3614</v>
      </c>
      <c r="I431" s="130" t="s">
        <v>3596</v>
      </c>
      <c r="J431" s="130" t="s">
        <v>2880</v>
      </c>
      <c r="K431" s="429">
        <v>45932</v>
      </c>
      <c r="L431" s="130">
        <v>1310501800</v>
      </c>
      <c r="M431" s="130" t="s">
        <v>6283</v>
      </c>
      <c r="N431" s="130" t="s">
        <v>6267</v>
      </c>
      <c r="O431" s="130" t="s">
        <v>6268</v>
      </c>
      <c r="P431" s="130" t="s">
        <v>5811</v>
      </c>
      <c r="Q431" s="130" t="s">
        <v>61</v>
      </c>
      <c r="R431" s="130"/>
      <c r="S431" s="130"/>
      <c r="T431" s="130"/>
      <c r="U431" s="130"/>
      <c r="V431" s="130"/>
      <c r="W431" s="130"/>
      <c r="X431" s="130"/>
      <c r="Y431" s="130"/>
      <c r="Z431" s="130"/>
      <c r="AA431" s="130"/>
      <c r="AB431" s="130"/>
      <c r="AC431" s="130"/>
      <c r="AD431" s="130"/>
      <c r="AE431" s="130"/>
      <c r="AF431" s="130"/>
      <c r="AG431" s="130"/>
      <c r="AH431" s="130"/>
      <c r="AI431" s="130"/>
      <c r="AJ431" s="130"/>
      <c r="AK431" s="130"/>
      <c r="AL431" s="130"/>
      <c r="AM431" s="130"/>
      <c r="AN431" s="130"/>
      <c r="AO431" s="130"/>
      <c r="AP431" s="130"/>
      <c r="AQ431" s="130"/>
      <c r="AR431" s="130"/>
      <c r="AS431" s="130"/>
      <c r="AT431" s="130"/>
      <c r="AU431" s="130"/>
      <c r="AV431" s="130"/>
      <c r="AW431" s="130"/>
      <c r="AX431" s="130"/>
      <c r="AY431" s="130"/>
      <c r="AZ431" s="130"/>
    </row>
    <row r="432" spans="1:52" ht="30" customHeight="1">
      <c r="A432" s="143">
        <v>430</v>
      </c>
      <c r="B432" s="130" t="s">
        <v>3079</v>
      </c>
      <c r="C432" s="130">
        <v>41100075</v>
      </c>
      <c r="D432" s="130" t="s">
        <v>1481</v>
      </c>
      <c r="E432" s="130" t="s">
        <v>3593</v>
      </c>
      <c r="F432" s="130" t="s">
        <v>3604</v>
      </c>
      <c r="G432" s="130" t="s">
        <v>0</v>
      </c>
      <c r="H432" s="130" t="s">
        <v>3614</v>
      </c>
      <c r="I432" s="130" t="s">
        <v>3596</v>
      </c>
      <c r="J432" s="130"/>
      <c r="K432" s="429">
        <v>45932</v>
      </c>
      <c r="L432" s="130">
        <v>1300355200</v>
      </c>
      <c r="M432" s="130" t="s">
        <v>6284</v>
      </c>
      <c r="N432" s="130" t="s">
        <v>6285</v>
      </c>
      <c r="O432" s="130" t="s">
        <v>6286</v>
      </c>
      <c r="P432" s="130" t="s">
        <v>45</v>
      </c>
      <c r="Q432" s="130" t="s">
        <v>61</v>
      </c>
      <c r="R432" s="130"/>
      <c r="S432" s="130"/>
      <c r="T432" s="130"/>
      <c r="U432" s="130"/>
      <c r="V432" s="130"/>
      <c r="W432" s="130"/>
      <c r="X432" s="130"/>
      <c r="Y432" s="130"/>
      <c r="Z432" s="130"/>
      <c r="AA432" s="130"/>
      <c r="AB432" s="130"/>
      <c r="AC432" s="130"/>
      <c r="AD432" s="130"/>
      <c r="AE432" s="130"/>
      <c r="AF432" s="130"/>
      <c r="AG432" s="130"/>
      <c r="AH432" s="130"/>
      <c r="AI432" s="130"/>
      <c r="AJ432" s="130"/>
      <c r="AK432" s="130"/>
      <c r="AL432" s="130"/>
      <c r="AM432" s="130"/>
      <c r="AN432" s="130"/>
      <c r="AO432" s="130"/>
      <c r="AP432" s="130"/>
      <c r="AQ432" s="130"/>
      <c r="AR432" s="130"/>
      <c r="AS432" s="130"/>
      <c r="AT432" s="130"/>
      <c r="AU432" s="130"/>
      <c r="AV432" s="130"/>
      <c r="AW432" s="130"/>
      <c r="AX432" s="130"/>
      <c r="AY432" s="130"/>
      <c r="AZ432" s="130"/>
    </row>
    <row r="433" spans="1:52" ht="30" customHeight="1">
      <c r="A433" s="143">
        <v>431</v>
      </c>
      <c r="B433" s="130" t="s">
        <v>3076</v>
      </c>
      <c r="C433" s="130">
        <v>41200076</v>
      </c>
      <c r="D433" s="130" t="s">
        <v>1476</v>
      </c>
      <c r="E433" s="130" t="s">
        <v>3603</v>
      </c>
      <c r="F433" s="130" t="s">
        <v>3604</v>
      </c>
      <c r="G433" s="130" t="s">
        <v>0</v>
      </c>
      <c r="H433" s="130" t="s">
        <v>3614</v>
      </c>
      <c r="I433" s="130" t="s">
        <v>3694</v>
      </c>
      <c r="J433" s="130" t="s">
        <v>2679</v>
      </c>
      <c r="K433" s="429">
        <v>45943</v>
      </c>
      <c r="L433" s="130">
        <v>1100228300</v>
      </c>
      <c r="M433" s="130" t="s">
        <v>932</v>
      </c>
      <c r="N433" s="130" t="s">
        <v>5542</v>
      </c>
      <c r="O433" s="130" t="s">
        <v>6287</v>
      </c>
      <c r="P433" s="130" t="s">
        <v>45</v>
      </c>
      <c r="Q433" s="130" t="s">
        <v>5481</v>
      </c>
      <c r="R433" s="130" t="s">
        <v>3714</v>
      </c>
      <c r="S433" s="130" t="s">
        <v>5625</v>
      </c>
      <c r="T433" s="130"/>
      <c r="U433" s="130"/>
      <c r="V433" s="130"/>
      <c r="W433" s="130"/>
      <c r="X433" s="130"/>
      <c r="Y433" s="130"/>
      <c r="Z433" s="130"/>
      <c r="AA433" s="130"/>
      <c r="AB433" s="130"/>
      <c r="AC433" s="130"/>
      <c r="AD433" s="130"/>
      <c r="AE433" s="130"/>
      <c r="AF433" s="130"/>
      <c r="AG433" s="130"/>
      <c r="AH433" s="130"/>
      <c r="AI433" s="130"/>
      <c r="AJ433" s="130"/>
      <c r="AK433" s="130"/>
      <c r="AL433" s="130"/>
      <c r="AM433" s="130"/>
      <c r="AN433" s="130"/>
      <c r="AO433" s="130"/>
      <c r="AP433" s="130"/>
      <c r="AQ433" s="130"/>
      <c r="AR433" s="130"/>
      <c r="AS433" s="130"/>
      <c r="AT433" s="130"/>
      <c r="AU433" s="130"/>
      <c r="AV433" s="130"/>
      <c r="AW433" s="130"/>
      <c r="AX433" s="130"/>
      <c r="AY433" s="130"/>
      <c r="AZ433" s="130"/>
    </row>
    <row r="434" spans="1:52" ht="30" customHeight="1">
      <c r="A434" s="143">
        <v>432</v>
      </c>
      <c r="B434" s="130" t="s">
        <v>3076</v>
      </c>
      <c r="C434" s="130">
        <v>41200076</v>
      </c>
      <c r="D434" s="130" t="s">
        <v>1476</v>
      </c>
      <c r="E434" s="130" t="s">
        <v>3603</v>
      </c>
      <c r="F434" s="130" t="s">
        <v>3604</v>
      </c>
      <c r="G434" s="130" t="s">
        <v>0</v>
      </c>
      <c r="H434" s="130" t="s">
        <v>3614</v>
      </c>
      <c r="I434" s="130" t="s">
        <v>3694</v>
      </c>
      <c r="J434" s="130" t="s">
        <v>2679</v>
      </c>
      <c r="K434" s="429">
        <v>45943</v>
      </c>
      <c r="L434" s="130">
        <v>1100228300</v>
      </c>
      <c r="M434" s="130" t="s">
        <v>932</v>
      </c>
      <c r="N434" s="130" t="s">
        <v>5542</v>
      </c>
      <c r="O434" s="130" t="s">
        <v>6288</v>
      </c>
      <c r="P434" s="130" t="s">
        <v>45</v>
      </c>
      <c r="Q434" s="130" t="s">
        <v>5481</v>
      </c>
      <c r="R434" s="130" t="s">
        <v>3714</v>
      </c>
      <c r="S434" s="130" t="s">
        <v>5625</v>
      </c>
      <c r="T434" s="130"/>
      <c r="U434" s="130"/>
      <c r="V434" s="130"/>
      <c r="W434" s="130"/>
      <c r="X434" s="130"/>
      <c r="Y434" s="130"/>
      <c r="Z434" s="130"/>
      <c r="AA434" s="130"/>
      <c r="AB434" s="130"/>
      <c r="AC434" s="130"/>
      <c r="AD434" s="130"/>
      <c r="AE434" s="130"/>
      <c r="AF434" s="130"/>
      <c r="AG434" s="130"/>
      <c r="AH434" s="130"/>
      <c r="AI434" s="130"/>
      <c r="AJ434" s="130"/>
      <c r="AK434" s="130"/>
      <c r="AL434" s="130"/>
      <c r="AM434" s="130"/>
      <c r="AN434" s="130"/>
      <c r="AO434" s="130"/>
      <c r="AP434" s="130"/>
      <c r="AQ434" s="130"/>
      <c r="AR434" s="130"/>
      <c r="AS434" s="130"/>
      <c r="AT434" s="130"/>
      <c r="AU434" s="130"/>
      <c r="AV434" s="130"/>
      <c r="AW434" s="130"/>
      <c r="AX434" s="130"/>
      <c r="AY434" s="130"/>
      <c r="AZ434" s="130"/>
    </row>
    <row r="435" spans="1:52" ht="30" customHeight="1">
      <c r="A435" s="143">
        <v>433</v>
      </c>
      <c r="B435" s="130" t="s">
        <v>3074</v>
      </c>
      <c r="C435" s="130">
        <v>41200076</v>
      </c>
      <c r="D435" s="130" t="s">
        <v>1476</v>
      </c>
      <c r="E435" s="130" t="s">
        <v>3603</v>
      </c>
      <c r="F435" s="130" t="s">
        <v>3604</v>
      </c>
      <c r="G435" s="130" t="s">
        <v>0</v>
      </c>
      <c r="H435" s="130" t="s">
        <v>3595</v>
      </c>
      <c r="I435" s="130" t="s">
        <v>3762</v>
      </c>
      <c r="J435" s="130" t="s">
        <v>2679</v>
      </c>
      <c r="K435" s="429">
        <v>45943</v>
      </c>
      <c r="L435" s="130">
        <v>1100016900</v>
      </c>
      <c r="M435" s="130" t="s">
        <v>1151</v>
      </c>
      <c r="N435" s="130" t="s">
        <v>6289</v>
      </c>
      <c r="O435" s="130" t="s">
        <v>6290</v>
      </c>
      <c r="P435" s="130" t="s">
        <v>26</v>
      </c>
      <c r="Q435" s="130" t="s">
        <v>49</v>
      </c>
      <c r="R435" s="130" t="s">
        <v>3674</v>
      </c>
      <c r="S435" s="130" t="s">
        <v>6242</v>
      </c>
      <c r="T435" s="130"/>
      <c r="U435" s="130"/>
      <c r="V435" s="130"/>
      <c r="W435" s="130"/>
      <c r="X435" s="130"/>
      <c r="Y435" s="130"/>
      <c r="Z435" s="130"/>
      <c r="AA435" s="130"/>
      <c r="AB435" s="130"/>
      <c r="AC435" s="130"/>
      <c r="AD435" s="130"/>
      <c r="AE435" s="130"/>
      <c r="AF435" s="130"/>
      <c r="AG435" s="130"/>
      <c r="AH435" s="130"/>
      <c r="AI435" s="130"/>
      <c r="AJ435" s="130"/>
      <c r="AK435" s="130"/>
      <c r="AL435" s="130"/>
      <c r="AM435" s="130"/>
      <c r="AN435" s="130"/>
      <c r="AO435" s="130"/>
      <c r="AP435" s="130"/>
      <c r="AQ435" s="130"/>
      <c r="AR435" s="130"/>
      <c r="AS435" s="130"/>
      <c r="AT435" s="130"/>
      <c r="AU435" s="130"/>
      <c r="AV435" s="130"/>
      <c r="AW435" s="130"/>
      <c r="AX435" s="130"/>
      <c r="AY435" s="130"/>
      <c r="AZ435" s="130"/>
    </row>
    <row r="436" spans="1:52" ht="30" customHeight="1">
      <c r="A436" s="143">
        <v>434</v>
      </c>
      <c r="B436" s="130" t="s">
        <v>3071</v>
      </c>
      <c r="C436" s="130">
        <v>41000544</v>
      </c>
      <c r="D436" s="130" t="s">
        <v>1476</v>
      </c>
      <c r="E436" s="130" t="s">
        <v>3593</v>
      </c>
      <c r="F436" s="130" t="s">
        <v>3594</v>
      </c>
      <c r="G436" s="130" t="s">
        <v>0</v>
      </c>
      <c r="H436" s="130" t="s">
        <v>3614</v>
      </c>
      <c r="I436" s="130" t="s">
        <v>3694</v>
      </c>
      <c r="J436" s="130"/>
      <c r="K436" s="429">
        <v>45943</v>
      </c>
      <c r="L436" s="130">
        <v>1100012200</v>
      </c>
      <c r="M436" s="130" t="s">
        <v>1049</v>
      </c>
      <c r="N436" s="130" t="s">
        <v>6291</v>
      </c>
      <c r="O436" s="130" t="s">
        <v>6292</v>
      </c>
      <c r="P436" s="130" t="s">
        <v>5811</v>
      </c>
      <c r="Q436" s="130" t="s">
        <v>61</v>
      </c>
      <c r="R436" s="130" t="s">
        <v>3993</v>
      </c>
      <c r="S436" s="130" t="s">
        <v>3993</v>
      </c>
      <c r="T436" s="130"/>
      <c r="U436" s="130"/>
      <c r="V436" s="130"/>
      <c r="W436" s="130"/>
      <c r="X436" s="130"/>
      <c r="Y436" s="130"/>
      <c r="Z436" s="130"/>
      <c r="AA436" s="130"/>
      <c r="AB436" s="130"/>
      <c r="AC436" s="130"/>
      <c r="AD436" s="130"/>
      <c r="AE436" s="130"/>
      <c r="AF436" s="130"/>
      <c r="AG436" s="130"/>
      <c r="AH436" s="130"/>
      <c r="AI436" s="130"/>
      <c r="AJ436" s="130"/>
      <c r="AK436" s="130"/>
      <c r="AL436" s="130"/>
      <c r="AM436" s="130"/>
      <c r="AN436" s="130"/>
      <c r="AO436" s="130"/>
      <c r="AP436" s="130"/>
      <c r="AQ436" s="130"/>
      <c r="AR436" s="130"/>
      <c r="AS436" s="130"/>
      <c r="AT436" s="130"/>
      <c r="AU436" s="130"/>
      <c r="AV436" s="130"/>
      <c r="AW436" s="130"/>
      <c r="AX436" s="130"/>
      <c r="AY436" s="130"/>
      <c r="AZ436" s="130"/>
    </row>
    <row r="437" spans="1:52" ht="30" customHeight="1">
      <c r="A437" s="143">
        <v>435</v>
      </c>
      <c r="B437" s="130" t="s">
        <v>3069</v>
      </c>
      <c r="C437" s="130">
        <v>41200101</v>
      </c>
      <c r="D437" s="130" t="s">
        <v>1476</v>
      </c>
      <c r="E437" s="130" t="s">
        <v>3603</v>
      </c>
      <c r="F437" s="130" t="s">
        <v>3594</v>
      </c>
      <c r="G437" s="130" t="s">
        <v>0</v>
      </c>
      <c r="H437" s="130" t="s">
        <v>3595</v>
      </c>
      <c r="I437" s="130" t="s">
        <v>3596</v>
      </c>
      <c r="J437" s="130" t="s">
        <v>2880</v>
      </c>
      <c r="K437" s="429">
        <v>45943</v>
      </c>
      <c r="L437" s="130">
        <v>1100013600</v>
      </c>
      <c r="M437" s="130" t="s">
        <v>1049</v>
      </c>
      <c r="N437" s="130" t="s">
        <v>6293</v>
      </c>
      <c r="O437" s="130" t="s">
        <v>6294</v>
      </c>
      <c r="P437" s="130" t="s">
        <v>26</v>
      </c>
      <c r="Q437" s="130" t="s">
        <v>54</v>
      </c>
      <c r="R437" s="130" t="s">
        <v>3714</v>
      </c>
      <c r="S437" s="130" t="s">
        <v>3952</v>
      </c>
      <c r="T437" s="130"/>
      <c r="U437" s="130"/>
      <c r="V437" s="130"/>
      <c r="W437" s="130"/>
      <c r="X437" s="130"/>
      <c r="Y437" s="130"/>
      <c r="Z437" s="130"/>
      <c r="AA437" s="130"/>
      <c r="AB437" s="130"/>
      <c r="AC437" s="130"/>
      <c r="AD437" s="130"/>
      <c r="AE437" s="130"/>
      <c r="AF437" s="130"/>
      <c r="AG437" s="130"/>
      <c r="AH437" s="130"/>
      <c r="AI437" s="130"/>
      <c r="AJ437" s="130"/>
      <c r="AK437" s="130"/>
      <c r="AL437" s="130"/>
      <c r="AM437" s="130"/>
      <c r="AN437" s="130"/>
      <c r="AO437" s="130"/>
      <c r="AP437" s="130"/>
      <c r="AQ437" s="130"/>
      <c r="AR437" s="130"/>
      <c r="AS437" s="130"/>
      <c r="AT437" s="130"/>
      <c r="AU437" s="130"/>
      <c r="AV437" s="130"/>
      <c r="AW437" s="130"/>
      <c r="AX437" s="130"/>
      <c r="AY437" s="130"/>
      <c r="AZ437" s="130"/>
    </row>
    <row r="438" spans="1:52" ht="30" customHeight="1">
      <c r="A438" s="143">
        <v>436</v>
      </c>
      <c r="B438" s="130" t="s">
        <v>3084</v>
      </c>
      <c r="C438" s="130">
        <v>41100435</v>
      </c>
      <c r="D438" s="130" t="s">
        <v>3801</v>
      </c>
      <c r="E438" s="130" t="s">
        <v>3603</v>
      </c>
      <c r="F438" s="130" t="s">
        <v>3604</v>
      </c>
      <c r="G438" s="130" t="s">
        <v>0</v>
      </c>
      <c r="H438" s="130" t="s">
        <v>3614</v>
      </c>
      <c r="I438" s="130" t="s">
        <v>3596</v>
      </c>
      <c r="J438" s="130"/>
      <c r="K438" s="429">
        <v>45944</v>
      </c>
      <c r="L438" s="130">
        <v>1100273700</v>
      </c>
      <c r="M438" s="130" t="s">
        <v>735</v>
      </c>
      <c r="N438" s="130" t="s">
        <v>6143</v>
      </c>
      <c r="O438" s="130" t="s">
        <v>6295</v>
      </c>
      <c r="P438" s="130" t="s">
        <v>45</v>
      </c>
      <c r="Q438" s="130" t="s">
        <v>5481</v>
      </c>
      <c r="R438" s="130" t="s">
        <v>3666</v>
      </c>
      <c r="S438" s="130" t="s">
        <v>3666</v>
      </c>
      <c r="T438" s="130"/>
      <c r="U438" s="130"/>
      <c r="V438" s="130"/>
      <c r="W438" s="130"/>
      <c r="X438" s="130"/>
      <c r="Y438" s="130"/>
      <c r="Z438" s="130"/>
      <c r="AA438" s="130"/>
      <c r="AB438" s="130"/>
      <c r="AC438" s="130"/>
      <c r="AD438" s="130"/>
      <c r="AE438" s="130"/>
      <c r="AF438" s="130"/>
      <c r="AG438" s="130"/>
      <c r="AH438" s="130"/>
      <c r="AI438" s="130"/>
      <c r="AJ438" s="130"/>
      <c r="AK438" s="130"/>
      <c r="AL438" s="130"/>
      <c r="AM438" s="130"/>
      <c r="AN438" s="130"/>
      <c r="AO438" s="130"/>
      <c r="AP438" s="130"/>
      <c r="AQ438" s="130"/>
      <c r="AR438" s="130"/>
      <c r="AS438" s="130"/>
      <c r="AT438" s="130"/>
      <c r="AU438" s="130"/>
      <c r="AV438" s="130"/>
      <c r="AW438" s="130"/>
      <c r="AX438" s="130"/>
      <c r="AY438" s="130"/>
      <c r="AZ438" s="130"/>
    </row>
    <row r="439" spans="1:52" ht="30" customHeight="1">
      <c r="A439" s="143">
        <v>437</v>
      </c>
      <c r="B439" s="130" t="s">
        <v>3203</v>
      </c>
      <c r="C439" s="130">
        <v>41200101</v>
      </c>
      <c r="D439" s="130" t="s">
        <v>1476</v>
      </c>
      <c r="E439" s="130" t="s">
        <v>3603</v>
      </c>
      <c r="F439" s="130" t="s">
        <v>3594</v>
      </c>
      <c r="G439" s="130" t="s">
        <v>0</v>
      </c>
      <c r="H439" s="130" t="s">
        <v>3595</v>
      </c>
      <c r="I439" s="130" t="s">
        <v>3596</v>
      </c>
      <c r="J439" s="130" t="s">
        <v>2679</v>
      </c>
      <c r="K439" s="429">
        <v>45944</v>
      </c>
      <c r="L439" s="130">
        <v>1100012400</v>
      </c>
      <c r="M439" s="130" t="s">
        <v>1049</v>
      </c>
      <c r="N439" s="130" t="s">
        <v>6296</v>
      </c>
      <c r="O439" s="130" t="s">
        <v>6297</v>
      </c>
      <c r="P439" s="130" t="s">
        <v>26</v>
      </c>
      <c r="Q439" s="130" t="s">
        <v>49</v>
      </c>
      <c r="R439" s="130" t="s">
        <v>3666</v>
      </c>
      <c r="S439" s="130" t="s">
        <v>6244</v>
      </c>
      <c r="T439" s="130"/>
      <c r="U439" s="130"/>
      <c r="V439" s="130"/>
      <c r="W439" s="130"/>
      <c r="X439" s="130"/>
      <c r="Y439" s="130"/>
      <c r="Z439" s="130"/>
      <c r="AA439" s="130"/>
      <c r="AB439" s="130"/>
      <c r="AC439" s="130"/>
      <c r="AD439" s="130"/>
      <c r="AE439" s="130"/>
      <c r="AF439" s="130"/>
      <c r="AG439" s="130"/>
      <c r="AH439" s="130"/>
      <c r="AI439" s="130"/>
      <c r="AJ439" s="130"/>
      <c r="AK439" s="130"/>
      <c r="AL439" s="130"/>
      <c r="AM439" s="130"/>
      <c r="AN439" s="130"/>
      <c r="AO439" s="130"/>
      <c r="AP439" s="130"/>
      <c r="AQ439" s="130"/>
      <c r="AR439" s="130"/>
      <c r="AS439" s="130"/>
      <c r="AT439" s="130"/>
      <c r="AU439" s="130"/>
      <c r="AV439" s="130"/>
      <c r="AW439" s="130"/>
      <c r="AX439" s="130"/>
      <c r="AY439" s="130"/>
      <c r="AZ439" s="130"/>
    </row>
    <row r="440" spans="1:52" ht="30" customHeight="1">
      <c r="A440" s="143">
        <v>438</v>
      </c>
      <c r="B440" s="130" t="s">
        <v>3082</v>
      </c>
      <c r="C440" s="130">
        <v>41200047</v>
      </c>
      <c r="D440" s="130" t="s">
        <v>1476</v>
      </c>
      <c r="E440" s="130" t="s">
        <v>3603</v>
      </c>
      <c r="F440" s="130" t="s">
        <v>3594</v>
      </c>
      <c r="G440" s="130" t="s">
        <v>0</v>
      </c>
      <c r="H440" s="130" t="s">
        <v>3614</v>
      </c>
      <c r="I440" s="130" t="s">
        <v>3596</v>
      </c>
      <c r="J440" s="130" t="s">
        <v>2880</v>
      </c>
      <c r="K440" s="429">
        <v>45944</v>
      </c>
      <c r="L440" s="130">
        <v>1100273700</v>
      </c>
      <c r="M440" s="130" t="s">
        <v>735</v>
      </c>
      <c r="N440" s="130" t="s">
        <v>6143</v>
      </c>
      <c r="O440" s="130" t="s">
        <v>6298</v>
      </c>
      <c r="P440" s="130" t="s">
        <v>45</v>
      </c>
      <c r="Q440" s="130" t="s">
        <v>5481</v>
      </c>
      <c r="R440" s="130" t="s">
        <v>3666</v>
      </c>
      <c r="S440" s="130" t="s">
        <v>6242</v>
      </c>
      <c r="T440" s="130"/>
      <c r="U440" s="130"/>
      <c r="V440" s="130"/>
      <c r="W440" s="130"/>
      <c r="X440" s="130"/>
      <c r="Y440" s="130"/>
      <c r="Z440" s="130"/>
      <c r="AA440" s="130"/>
      <c r="AB440" s="130"/>
      <c r="AC440" s="130"/>
      <c r="AD440" s="130"/>
      <c r="AE440" s="130"/>
      <c r="AF440" s="130"/>
      <c r="AG440" s="130"/>
      <c r="AH440" s="130"/>
      <c r="AI440" s="130"/>
      <c r="AJ440" s="130"/>
      <c r="AK440" s="130"/>
      <c r="AL440" s="130"/>
      <c r="AM440" s="130"/>
      <c r="AN440" s="130"/>
      <c r="AO440" s="130"/>
      <c r="AP440" s="130"/>
      <c r="AQ440" s="130"/>
      <c r="AR440" s="130"/>
      <c r="AS440" s="130"/>
      <c r="AT440" s="130"/>
      <c r="AU440" s="130"/>
      <c r="AV440" s="130"/>
      <c r="AW440" s="130"/>
      <c r="AX440" s="130"/>
      <c r="AY440" s="130"/>
      <c r="AZ440" s="130"/>
    </row>
    <row r="441" spans="1:52" ht="30" customHeight="1">
      <c r="A441" s="143">
        <v>439</v>
      </c>
      <c r="B441" s="130" t="s">
        <v>3097</v>
      </c>
      <c r="C441" s="130">
        <v>41200122</v>
      </c>
      <c r="D441" s="130" t="s">
        <v>1476</v>
      </c>
      <c r="E441" s="130" t="s">
        <v>3603</v>
      </c>
      <c r="F441" s="130" t="s">
        <v>3604</v>
      </c>
      <c r="G441" s="130" t="s">
        <v>0</v>
      </c>
      <c r="H441" s="130" t="s">
        <v>3595</v>
      </c>
      <c r="I441" s="130" t="s">
        <v>2894</v>
      </c>
      <c r="J441" s="130" t="s">
        <v>2679</v>
      </c>
      <c r="K441" s="429">
        <v>45945</v>
      </c>
      <c r="L441" s="130">
        <v>1100013600</v>
      </c>
      <c r="M441" s="130" t="s">
        <v>1049</v>
      </c>
      <c r="N441" s="130" t="s">
        <v>6299</v>
      </c>
      <c r="O441" s="130" t="s">
        <v>6300</v>
      </c>
      <c r="P441" s="130" t="s">
        <v>26</v>
      </c>
      <c r="Q441" s="130" t="s">
        <v>49</v>
      </c>
      <c r="R441" s="130" t="s">
        <v>3674</v>
      </c>
      <c r="S441" s="130" t="s">
        <v>3952</v>
      </c>
      <c r="T441" s="130"/>
      <c r="U441" s="130"/>
      <c r="V441" s="130"/>
      <c r="W441" s="130"/>
      <c r="X441" s="130"/>
      <c r="Y441" s="130"/>
      <c r="Z441" s="130"/>
      <c r="AA441" s="130"/>
      <c r="AB441" s="130"/>
      <c r="AC441" s="130"/>
      <c r="AD441" s="130"/>
      <c r="AE441" s="130"/>
      <c r="AF441" s="130"/>
      <c r="AG441" s="130"/>
      <c r="AH441" s="130"/>
      <c r="AI441" s="130"/>
      <c r="AJ441" s="130"/>
      <c r="AK441" s="130"/>
      <c r="AL441" s="130"/>
      <c r="AM441" s="130"/>
      <c r="AN441" s="130"/>
      <c r="AO441" s="130"/>
      <c r="AP441" s="130"/>
      <c r="AQ441" s="130"/>
      <c r="AR441" s="130"/>
      <c r="AS441" s="130"/>
      <c r="AT441" s="130"/>
      <c r="AU441" s="130"/>
      <c r="AV441" s="130"/>
      <c r="AW441" s="130"/>
      <c r="AX441" s="130"/>
      <c r="AY441" s="130"/>
      <c r="AZ441" s="130"/>
    </row>
    <row r="442" spans="1:52" ht="30" customHeight="1">
      <c r="A442" s="143">
        <v>440</v>
      </c>
      <c r="B442" s="130" t="s">
        <v>3099</v>
      </c>
      <c r="C442" s="130">
        <v>41200133</v>
      </c>
      <c r="D442" s="130" t="s">
        <v>1476</v>
      </c>
      <c r="E442" s="130" t="s">
        <v>3603</v>
      </c>
      <c r="F442" s="130" t="s">
        <v>3594</v>
      </c>
      <c r="G442" s="130" t="s">
        <v>0</v>
      </c>
      <c r="H442" s="130" t="s">
        <v>3595</v>
      </c>
      <c r="I442" s="130" t="s">
        <v>3596</v>
      </c>
      <c r="J442" s="130" t="s">
        <v>2880</v>
      </c>
      <c r="K442" s="429">
        <v>45945</v>
      </c>
      <c r="L442" s="130">
        <v>1100374700</v>
      </c>
      <c r="M442" s="130" t="s">
        <v>226</v>
      </c>
      <c r="N442" s="130" t="s">
        <v>6301</v>
      </c>
      <c r="O442" s="130" t="s">
        <v>6302</v>
      </c>
      <c r="P442" s="130" t="s">
        <v>26</v>
      </c>
      <c r="Q442" s="130" t="s">
        <v>49</v>
      </c>
      <c r="R442" s="130" t="s">
        <v>3674</v>
      </c>
      <c r="S442" s="130" t="s">
        <v>6244</v>
      </c>
      <c r="T442" s="130"/>
      <c r="U442" s="130"/>
      <c r="V442" s="130"/>
      <c r="W442" s="130"/>
      <c r="X442" s="130"/>
      <c r="Y442" s="130"/>
      <c r="Z442" s="130"/>
      <c r="AA442" s="130"/>
      <c r="AB442" s="130"/>
      <c r="AC442" s="130"/>
      <c r="AD442" s="130"/>
      <c r="AE442" s="130"/>
      <c r="AF442" s="130"/>
      <c r="AG442" s="130"/>
      <c r="AH442" s="130"/>
      <c r="AI442" s="130"/>
      <c r="AJ442" s="130"/>
      <c r="AK442" s="130"/>
      <c r="AL442" s="130"/>
      <c r="AM442" s="130"/>
      <c r="AN442" s="130"/>
      <c r="AO442" s="130"/>
      <c r="AP442" s="130"/>
      <c r="AQ442" s="130"/>
      <c r="AR442" s="130"/>
      <c r="AS442" s="130"/>
      <c r="AT442" s="130"/>
      <c r="AU442" s="130"/>
      <c r="AV442" s="130"/>
      <c r="AW442" s="130"/>
      <c r="AX442" s="130"/>
      <c r="AY442" s="130"/>
      <c r="AZ442" s="130"/>
    </row>
    <row r="443" spans="1:52" ht="30" customHeight="1">
      <c r="A443" s="143">
        <v>441</v>
      </c>
      <c r="B443" s="130" t="s">
        <v>3105</v>
      </c>
      <c r="C443" s="130">
        <v>41000544</v>
      </c>
      <c r="D443" s="130" t="s">
        <v>1476</v>
      </c>
      <c r="E443" s="130" t="s">
        <v>3603</v>
      </c>
      <c r="F443" s="130" t="s">
        <v>3594</v>
      </c>
      <c r="G443" s="130" t="s">
        <v>0</v>
      </c>
      <c r="H443" s="130" t="s">
        <v>3595</v>
      </c>
      <c r="I443" s="130" t="s">
        <v>3596</v>
      </c>
      <c r="J443" s="130" t="s">
        <v>2880</v>
      </c>
      <c r="K443" s="429">
        <v>45947</v>
      </c>
      <c r="L443" s="130">
        <v>1100012500</v>
      </c>
      <c r="M443" s="130" t="s">
        <v>1049</v>
      </c>
      <c r="N443" s="130" t="s">
        <v>6303</v>
      </c>
      <c r="O443" s="130" t="s">
        <v>6304</v>
      </c>
      <c r="P443" s="130" t="s">
        <v>5811</v>
      </c>
      <c r="Q443" s="130" t="s">
        <v>49</v>
      </c>
      <c r="R443" s="130" t="s">
        <v>3714</v>
      </c>
      <c r="S443" s="130" t="s">
        <v>3714</v>
      </c>
      <c r="T443" s="130"/>
      <c r="U443" s="130"/>
      <c r="V443" s="130"/>
      <c r="W443" s="130"/>
      <c r="X443" s="130"/>
      <c r="Y443" s="130"/>
      <c r="Z443" s="130"/>
      <c r="AA443" s="130"/>
      <c r="AB443" s="130"/>
      <c r="AC443" s="130"/>
      <c r="AD443" s="130"/>
      <c r="AE443" s="130"/>
      <c r="AF443" s="130"/>
      <c r="AG443" s="130"/>
      <c r="AH443" s="130"/>
      <c r="AI443" s="130"/>
      <c r="AJ443" s="130"/>
      <c r="AK443" s="130"/>
      <c r="AL443" s="130"/>
      <c r="AM443" s="130"/>
      <c r="AN443" s="130"/>
      <c r="AO443" s="130"/>
      <c r="AP443" s="130"/>
      <c r="AQ443" s="130"/>
      <c r="AR443" s="130"/>
      <c r="AS443" s="130"/>
      <c r="AT443" s="130"/>
      <c r="AU443" s="130"/>
      <c r="AV443" s="130"/>
      <c r="AW443" s="130"/>
      <c r="AX443" s="130"/>
      <c r="AY443" s="130"/>
      <c r="AZ443" s="130"/>
    </row>
    <row r="444" spans="1:52" ht="30" customHeight="1">
      <c r="A444" s="143">
        <v>442</v>
      </c>
      <c r="B444" s="130" t="s">
        <v>3104</v>
      </c>
      <c r="C444" s="130">
        <v>41200029</v>
      </c>
      <c r="D444" s="130" t="s">
        <v>1476</v>
      </c>
      <c r="E444" s="130" t="s">
        <v>3603</v>
      </c>
      <c r="F444" s="130" t="s">
        <v>3594</v>
      </c>
      <c r="G444" s="130" t="s">
        <v>0</v>
      </c>
      <c r="H444" s="130" t="s">
        <v>3595</v>
      </c>
      <c r="I444" s="130" t="s">
        <v>3596</v>
      </c>
      <c r="J444" s="130" t="s">
        <v>2679</v>
      </c>
      <c r="K444" s="429">
        <v>45947</v>
      </c>
      <c r="L444" s="130">
        <v>1100750700</v>
      </c>
      <c r="M444" s="130" t="s">
        <v>226</v>
      </c>
      <c r="N444" s="130" t="s">
        <v>6305</v>
      </c>
      <c r="O444" s="130" t="s">
        <v>6306</v>
      </c>
      <c r="P444" s="130" t="s">
        <v>26</v>
      </c>
      <c r="Q444" s="130" t="s">
        <v>49</v>
      </c>
      <c r="R444" s="130" t="s">
        <v>3674</v>
      </c>
      <c r="S444" s="130" t="s">
        <v>3714</v>
      </c>
      <c r="T444" s="130"/>
      <c r="U444" s="130"/>
      <c r="V444" s="130"/>
      <c r="W444" s="130"/>
      <c r="X444" s="130"/>
      <c r="Y444" s="130"/>
      <c r="Z444" s="130"/>
      <c r="AA444" s="130"/>
      <c r="AB444" s="130"/>
      <c r="AC444" s="130"/>
      <c r="AD444" s="130"/>
      <c r="AE444" s="130"/>
      <c r="AF444" s="130"/>
      <c r="AG444" s="130"/>
      <c r="AH444" s="130"/>
      <c r="AI444" s="130"/>
      <c r="AJ444" s="130"/>
      <c r="AK444" s="130"/>
      <c r="AL444" s="130"/>
      <c r="AM444" s="130"/>
      <c r="AN444" s="130"/>
      <c r="AO444" s="130"/>
      <c r="AP444" s="130"/>
      <c r="AQ444" s="130"/>
      <c r="AR444" s="130"/>
      <c r="AS444" s="130"/>
      <c r="AT444" s="130"/>
      <c r="AU444" s="130"/>
      <c r="AV444" s="130"/>
      <c r="AW444" s="130"/>
      <c r="AX444" s="130"/>
      <c r="AY444" s="130"/>
      <c r="AZ444" s="130"/>
    </row>
    <row r="445" spans="1:52" ht="30" customHeight="1">
      <c r="A445" s="143">
        <v>443</v>
      </c>
      <c r="B445" s="130" t="s">
        <v>3115</v>
      </c>
      <c r="C445" s="130">
        <v>41200087</v>
      </c>
      <c r="D445" s="130" t="s">
        <v>1476</v>
      </c>
      <c r="E445" s="130" t="s">
        <v>3603</v>
      </c>
      <c r="F445" s="130" t="s">
        <v>3619</v>
      </c>
      <c r="G445" s="130" t="s">
        <v>0</v>
      </c>
      <c r="H445" s="130" t="s">
        <v>3595</v>
      </c>
      <c r="I445" s="130" t="s">
        <v>3596</v>
      </c>
      <c r="J445" s="130" t="s">
        <v>2679</v>
      </c>
      <c r="K445" s="429">
        <v>45950</v>
      </c>
      <c r="L445" s="130">
        <v>1100254200</v>
      </c>
      <c r="M445" s="130" t="s">
        <v>1117</v>
      </c>
      <c r="N445" s="130" t="s">
        <v>6307</v>
      </c>
      <c r="O445" s="130" t="s">
        <v>6308</v>
      </c>
      <c r="P445" s="130" t="s">
        <v>26</v>
      </c>
      <c r="Q445" s="130" t="s">
        <v>49</v>
      </c>
      <c r="R445" s="130" t="s">
        <v>3674</v>
      </c>
      <c r="S445" s="130" t="s">
        <v>3666</v>
      </c>
      <c r="T445" s="130"/>
      <c r="U445" s="130"/>
      <c r="V445" s="130"/>
      <c r="W445" s="130"/>
      <c r="X445" s="130"/>
      <c r="Y445" s="130"/>
      <c r="Z445" s="130"/>
      <c r="AA445" s="130"/>
      <c r="AB445" s="130"/>
      <c r="AC445" s="130"/>
      <c r="AD445" s="130"/>
      <c r="AE445" s="130"/>
      <c r="AF445" s="130"/>
      <c r="AG445" s="130"/>
      <c r="AH445" s="130"/>
      <c r="AI445" s="130"/>
      <c r="AJ445" s="130"/>
      <c r="AK445" s="130"/>
      <c r="AL445" s="130"/>
      <c r="AM445" s="130"/>
      <c r="AN445" s="130"/>
      <c r="AO445" s="130"/>
      <c r="AP445" s="130"/>
      <c r="AQ445" s="130"/>
      <c r="AR445" s="130"/>
      <c r="AS445" s="130"/>
      <c r="AT445" s="130"/>
      <c r="AU445" s="130"/>
      <c r="AV445" s="130"/>
      <c r="AW445" s="130"/>
      <c r="AX445" s="130"/>
      <c r="AY445" s="130"/>
      <c r="AZ445" s="130"/>
    </row>
    <row r="446" spans="1:52" ht="30" customHeight="1">
      <c r="A446" s="143">
        <v>444</v>
      </c>
      <c r="B446" s="130" t="s">
        <v>3115</v>
      </c>
      <c r="C446" s="130">
        <v>41200087</v>
      </c>
      <c r="D446" s="130" t="s">
        <v>1476</v>
      </c>
      <c r="E446" s="130" t="s">
        <v>3603</v>
      </c>
      <c r="F446" s="130" t="s">
        <v>3619</v>
      </c>
      <c r="G446" s="130" t="s">
        <v>0</v>
      </c>
      <c r="H446" s="130" t="s">
        <v>3595</v>
      </c>
      <c r="I446" s="130" t="s">
        <v>3596</v>
      </c>
      <c r="J446" s="130" t="s">
        <v>2880</v>
      </c>
      <c r="K446" s="429">
        <v>45950</v>
      </c>
      <c r="L446" s="130">
        <v>1100254200</v>
      </c>
      <c r="M446" s="130" t="s">
        <v>1117</v>
      </c>
      <c r="N446" s="130" t="s">
        <v>6307</v>
      </c>
      <c r="O446" s="130" t="s">
        <v>6309</v>
      </c>
      <c r="P446" s="130" t="s">
        <v>26</v>
      </c>
      <c r="Q446" s="130" t="s">
        <v>49</v>
      </c>
      <c r="R446" s="130" t="s">
        <v>3674</v>
      </c>
      <c r="S446" s="130" t="s">
        <v>3666</v>
      </c>
      <c r="T446" s="130"/>
      <c r="U446" s="130"/>
      <c r="V446" s="130"/>
      <c r="W446" s="130"/>
      <c r="X446" s="130"/>
      <c r="Y446" s="130"/>
      <c r="Z446" s="130"/>
      <c r="AA446" s="130"/>
      <c r="AB446" s="130"/>
      <c r="AC446" s="130"/>
      <c r="AD446" s="130"/>
      <c r="AE446" s="130"/>
      <c r="AF446" s="130"/>
      <c r="AG446" s="130"/>
      <c r="AH446" s="130"/>
      <c r="AI446" s="130"/>
      <c r="AJ446" s="130"/>
      <c r="AK446" s="130"/>
      <c r="AL446" s="130"/>
      <c r="AM446" s="130"/>
      <c r="AN446" s="130"/>
      <c r="AO446" s="130"/>
      <c r="AP446" s="130"/>
      <c r="AQ446" s="130"/>
      <c r="AR446" s="130"/>
      <c r="AS446" s="130"/>
      <c r="AT446" s="130"/>
      <c r="AU446" s="130"/>
      <c r="AV446" s="130"/>
      <c r="AW446" s="130"/>
      <c r="AX446" s="130"/>
      <c r="AY446" s="130"/>
      <c r="AZ446" s="130"/>
    </row>
    <row r="447" spans="1:52" ht="30" customHeight="1">
      <c r="A447" s="143">
        <v>445</v>
      </c>
      <c r="B447" s="130" t="s">
        <v>3122</v>
      </c>
      <c r="C447" s="130">
        <v>41200101</v>
      </c>
      <c r="D447" s="130" t="s">
        <v>1476</v>
      </c>
      <c r="E447" s="130" t="s">
        <v>3603</v>
      </c>
      <c r="F447" s="130" t="s">
        <v>3594</v>
      </c>
      <c r="G447" s="130" t="s">
        <v>0</v>
      </c>
      <c r="H447" s="130" t="s">
        <v>3595</v>
      </c>
      <c r="I447" s="130" t="s">
        <v>3596</v>
      </c>
      <c r="J447" s="130" t="s">
        <v>2679</v>
      </c>
      <c r="K447" s="429">
        <v>45950</v>
      </c>
      <c r="L447" s="130">
        <v>1100254200</v>
      </c>
      <c r="M447" s="130" t="s">
        <v>1117</v>
      </c>
      <c r="N447" s="130" t="s">
        <v>6307</v>
      </c>
      <c r="O447" s="130" t="s">
        <v>6308</v>
      </c>
      <c r="P447" s="130" t="s">
        <v>26</v>
      </c>
      <c r="Q447" s="130" t="s">
        <v>49</v>
      </c>
      <c r="R447" s="130" t="s">
        <v>3674</v>
      </c>
      <c r="S447" s="130" t="s">
        <v>3666</v>
      </c>
      <c r="T447" s="130"/>
      <c r="U447" s="130"/>
      <c r="V447" s="130"/>
      <c r="W447" s="130"/>
      <c r="X447" s="130"/>
      <c r="Y447" s="130"/>
      <c r="Z447" s="130"/>
      <c r="AA447" s="130"/>
      <c r="AB447" s="130"/>
      <c r="AC447" s="130"/>
      <c r="AD447" s="130"/>
      <c r="AE447" s="130"/>
      <c r="AF447" s="130"/>
      <c r="AG447" s="130"/>
      <c r="AH447" s="130"/>
      <c r="AI447" s="130"/>
      <c r="AJ447" s="130"/>
      <c r="AK447" s="130"/>
      <c r="AL447" s="130"/>
      <c r="AM447" s="130"/>
      <c r="AN447" s="130"/>
      <c r="AO447" s="130"/>
      <c r="AP447" s="130"/>
      <c r="AQ447" s="130"/>
      <c r="AR447" s="130"/>
      <c r="AS447" s="130"/>
      <c r="AT447" s="130"/>
      <c r="AU447" s="130"/>
      <c r="AV447" s="130"/>
      <c r="AW447" s="130"/>
      <c r="AX447" s="130"/>
      <c r="AY447" s="130"/>
      <c r="AZ447" s="130"/>
    </row>
    <row r="448" spans="1:52" ht="30" customHeight="1">
      <c r="A448" s="143">
        <v>446</v>
      </c>
      <c r="B448" s="130" t="s">
        <v>3122</v>
      </c>
      <c r="C448" s="130">
        <v>41200101</v>
      </c>
      <c r="D448" s="130" t="s">
        <v>1476</v>
      </c>
      <c r="E448" s="130" t="s">
        <v>3603</v>
      </c>
      <c r="F448" s="130" t="s">
        <v>3594</v>
      </c>
      <c r="G448" s="130" t="s">
        <v>0</v>
      </c>
      <c r="H448" s="130" t="s">
        <v>3595</v>
      </c>
      <c r="I448" s="130" t="s">
        <v>3596</v>
      </c>
      <c r="J448" s="130" t="s">
        <v>2679</v>
      </c>
      <c r="K448" s="429">
        <v>45950</v>
      </c>
      <c r="L448" s="130">
        <v>1100219800</v>
      </c>
      <c r="M448" s="130" t="s">
        <v>438</v>
      </c>
      <c r="N448" s="130" t="s">
        <v>6310</v>
      </c>
      <c r="O448" s="130" t="s">
        <v>6311</v>
      </c>
      <c r="P448" s="130" t="s">
        <v>26</v>
      </c>
      <c r="Q448" s="130" t="s">
        <v>49</v>
      </c>
      <c r="R448" s="130" t="s">
        <v>3674</v>
      </c>
      <c r="S448" s="130" t="s">
        <v>3666</v>
      </c>
      <c r="T448" s="130"/>
      <c r="U448" s="130"/>
      <c r="V448" s="130"/>
      <c r="W448" s="130"/>
      <c r="X448" s="130"/>
      <c r="Y448" s="130"/>
      <c r="Z448" s="130"/>
      <c r="AA448" s="130"/>
      <c r="AB448" s="130"/>
      <c r="AC448" s="130"/>
      <c r="AD448" s="130"/>
      <c r="AE448" s="130"/>
      <c r="AF448" s="130"/>
      <c r="AG448" s="130"/>
      <c r="AH448" s="130"/>
      <c r="AI448" s="130"/>
      <c r="AJ448" s="130"/>
      <c r="AK448" s="130"/>
      <c r="AL448" s="130"/>
      <c r="AM448" s="130"/>
      <c r="AN448" s="130"/>
      <c r="AO448" s="130"/>
      <c r="AP448" s="130"/>
      <c r="AQ448" s="130"/>
      <c r="AR448" s="130"/>
      <c r="AS448" s="130"/>
      <c r="AT448" s="130"/>
      <c r="AU448" s="130"/>
      <c r="AV448" s="130"/>
      <c r="AW448" s="130"/>
      <c r="AX448" s="130"/>
      <c r="AY448" s="130"/>
      <c r="AZ448" s="130"/>
    </row>
    <row r="449" spans="1:52" ht="30" customHeight="1">
      <c r="A449" s="143">
        <v>447</v>
      </c>
      <c r="B449" s="130" t="s">
        <v>3133</v>
      </c>
      <c r="C449" s="130">
        <v>41200152</v>
      </c>
      <c r="D449" s="130" t="s">
        <v>1476</v>
      </c>
      <c r="E449" s="130" t="s">
        <v>3603</v>
      </c>
      <c r="F449" s="130" t="s">
        <v>3604</v>
      </c>
      <c r="G449" s="130" t="s">
        <v>0</v>
      </c>
      <c r="H449" s="130" t="s">
        <v>3595</v>
      </c>
      <c r="I449" s="130" t="s">
        <v>2894</v>
      </c>
      <c r="J449" s="130" t="s">
        <v>2679</v>
      </c>
      <c r="K449" s="429">
        <v>45951</v>
      </c>
      <c r="L449" s="130">
        <v>1100219800</v>
      </c>
      <c r="M449" s="130" t="s">
        <v>438</v>
      </c>
      <c r="N449" s="130" t="s">
        <v>6310</v>
      </c>
      <c r="O449" s="130" t="s">
        <v>6311</v>
      </c>
      <c r="P449" s="130" t="s">
        <v>26</v>
      </c>
      <c r="Q449" s="130" t="s">
        <v>49</v>
      </c>
      <c r="R449" s="130" t="s">
        <v>3674</v>
      </c>
      <c r="S449" s="130" t="s">
        <v>6244</v>
      </c>
      <c r="T449" s="130"/>
      <c r="U449" s="130"/>
      <c r="V449" s="130"/>
      <c r="W449" s="130"/>
      <c r="X449" s="130"/>
      <c r="Y449" s="130"/>
      <c r="Z449" s="130"/>
      <c r="AA449" s="130"/>
      <c r="AB449" s="130"/>
      <c r="AC449" s="130"/>
      <c r="AD449" s="130"/>
      <c r="AE449" s="130"/>
      <c r="AF449" s="130"/>
      <c r="AG449" s="130"/>
      <c r="AH449" s="130"/>
      <c r="AI449" s="130"/>
      <c r="AJ449" s="130"/>
      <c r="AK449" s="130"/>
      <c r="AL449" s="130"/>
      <c r="AM449" s="130"/>
      <c r="AN449" s="130"/>
      <c r="AO449" s="130"/>
      <c r="AP449" s="130"/>
      <c r="AQ449" s="130"/>
      <c r="AR449" s="130"/>
      <c r="AS449" s="130"/>
      <c r="AT449" s="130"/>
      <c r="AU449" s="130"/>
      <c r="AV449" s="130"/>
      <c r="AW449" s="130"/>
      <c r="AX449" s="130"/>
      <c r="AY449" s="130"/>
      <c r="AZ449" s="130"/>
    </row>
    <row r="450" spans="1:52" ht="30" customHeight="1">
      <c r="A450" s="143">
        <v>448</v>
      </c>
      <c r="B450" s="130" t="s">
        <v>3119</v>
      </c>
      <c r="C450" s="130">
        <v>41200152</v>
      </c>
      <c r="D450" s="130" t="s">
        <v>1476</v>
      </c>
      <c r="E450" s="130" t="s">
        <v>3603</v>
      </c>
      <c r="F450" s="130" t="s">
        <v>3604</v>
      </c>
      <c r="G450" s="130" t="s">
        <v>0</v>
      </c>
      <c r="H450" s="130" t="s">
        <v>3595</v>
      </c>
      <c r="I450" s="130" t="s">
        <v>2894</v>
      </c>
      <c r="J450" s="130" t="s">
        <v>2880</v>
      </c>
      <c r="K450" s="429">
        <v>45951</v>
      </c>
      <c r="L450" s="130">
        <v>1100254200</v>
      </c>
      <c r="M450" s="130" t="s">
        <v>1117</v>
      </c>
      <c r="N450" s="130" t="s">
        <v>6312</v>
      </c>
      <c r="O450" s="130" t="s">
        <v>6313</v>
      </c>
      <c r="P450" s="130" t="s">
        <v>26</v>
      </c>
      <c r="Q450" s="130" t="s">
        <v>49</v>
      </c>
      <c r="R450" s="130" t="s">
        <v>3674</v>
      </c>
      <c r="S450" s="130" t="s">
        <v>3940</v>
      </c>
      <c r="T450" s="130"/>
      <c r="U450" s="130"/>
      <c r="V450" s="130"/>
      <c r="W450" s="130"/>
      <c r="X450" s="130"/>
      <c r="Y450" s="130"/>
      <c r="Z450" s="130"/>
      <c r="AA450" s="130"/>
      <c r="AB450" s="130"/>
      <c r="AC450" s="130"/>
      <c r="AD450" s="130"/>
      <c r="AE450" s="130"/>
      <c r="AF450" s="130"/>
      <c r="AG450" s="130"/>
      <c r="AH450" s="130"/>
      <c r="AI450" s="130"/>
      <c r="AJ450" s="130"/>
      <c r="AK450" s="130"/>
      <c r="AL450" s="130"/>
      <c r="AM450" s="130"/>
      <c r="AN450" s="130"/>
      <c r="AO450" s="130"/>
      <c r="AP450" s="130"/>
      <c r="AQ450" s="130"/>
      <c r="AR450" s="130"/>
      <c r="AS450" s="130"/>
      <c r="AT450" s="130"/>
      <c r="AU450" s="130"/>
      <c r="AV450" s="130"/>
      <c r="AW450" s="130"/>
      <c r="AX450" s="130"/>
      <c r="AY450" s="130"/>
      <c r="AZ450" s="130"/>
    </row>
    <row r="451" spans="1:52" ht="30" customHeight="1">
      <c r="A451" s="143">
        <v>449</v>
      </c>
      <c r="B451" s="130" t="s">
        <v>3119</v>
      </c>
      <c r="C451" s="130">
        <v>41200152</v>
      </c>
      <c r="D451" s="130" t="s">
        <v>1476</v>
      </c>
      <c r="E451" s="130" t="s">
        <v>3603</v>
      </c>
      <c r="F451" s="130" t="s">
        <v>3604</v>
      </c>
      <c r="G451" s="130" t="s">
        <v>0</v>
      </c>
      <c r="H451" s="130" t="s">
        <v>3595</v>
      </c>
      <c r="I451" s="130" t="s">
        <v>3596</v>
      </c>
      <c r="J451" s="130" t="s">
        <v>2679</v>
      </c>
      <c r="K451" s="429">
        <v>45951</v>
      </c>
      <c r="L451" s="130">
        <v>1310442100</v>
      </c>
      <c r="M451" s="130" t="s">
        <v>5320</v>
      </c>
      <c r="N451" s="130" t="s">
        <v>6314</v>
      </c>
      <c r="O451" s="130" t="s">
        <v>6315</v>
      </c>
      <c r="P451" s="130" t="s">
        <v>30</v>
      </c>
      <c r="Q451" s="130" t="s">
        <v>49</v>
      </c>
      <c r="R451" s="130" t="s">
        <v>3602</v>
      </c>
      <c r="S451" s="130" t="s">
        <v>3602</v>
      </c>
      <c r="T451" s="130"/>
      <c r="U451" s="130"/>
      <c r="V451" s="130"/>
      <c r="W451" s="130"/>
      <c r="X451" s="130"/>
      <c r="Y451" s="130"/>
      <c r="Z451" s="130"/>
      <c r="AA451" s="130"/>
      <c r="AB451" s="130"/>
      <c r="AC451" s="130"/>
      <c r="AD451" s="130"/>
      <c r="AE451" s="130"/>
      <c r="AF451" s="130"/>
      <c r="AG451" s="130"/>
      <c r="AH451" s="130"/>
      <c r="AI451" s="130"/>
      <c r="AJ451" s="130"/>
      <c r="AK451" s="130"/>
      <c r="AL451" s="130"/>
      <c r="AM451" s="130"/>
      <c r="AN451" s="130"/>
      <c r="AO451" s="130"/>
      <c r="AP451" s="130"/>
      <c r="AQ451" s="130"/>
      <c r="AR451" s="130"/>
      <c r="AS451" s="130"/>
      <c r="AT451" s="130"/>
      <c r="AU451" s="130"/>
      <c r="AV451" s="130"/>
      <c r="AW451" s="130"/>
      <c r="AX451" s="130"/>
      <c r="AY451" s="130"/>
      <c r="AZ451" s="130"/>
    </row>
    <row r="452" spans="1:52" ht="30" customHeight="1">
      <c r="A452" s="143">
        <v>450</v>
      </c>
      <c r="B452" s="130" t="s">
        <v>3119</v>
      </c>
      <c r="C452" s="130">
        <v>41200152</v>
      </c>
      <c r="D452" s="130" t="s">
        <v>1476</v>
      </c>
      <c r="E452" s="130" t="s">
        <v>3603</v>
      </c>
      <c r="F452" s="130" t="s">
        <v>3604</v>
      </c>
      <c r="G452" s="130" t="s">
        <v>0</v>
      </c>
      <c r="H452" s="130" t="s">
        <v>3595</v>
      </c>
      <c r="I452" s="130" t="s">
        <v>3762</v>
      </c>
      <c r="J452" s="130" t="s">
        <v>2679</v>
      </c>
      <c r="K452" s="429">
        <v>45951</v>
      </c>
      <c r="L452" s="130">
        <v>1100196400</v>
      </c>
      <c r="M452" s="130" t="s">
        <v>3597</v>
      </c>
      <c r="N452" s="130" t="s">
        <v>6316</v>
      </c>
      <c r="O452" s="130" t="s">
        <v>6317</v>
      </c>
      <c r="P452" s="130" t="s">
        <v>26</v>
      </c>
      <c r="Q452" s="130" t="s">
        <v>49</v>
      </c>
      <c r="R452" s="130" t="s">
        <v>3674</v>
      </c>
      <c r="S452" s="130" t="s">
        <v>3602</v>
      </c>
      <c r="T452" s="130"/>
      <c r="U452" s="130"/>
      <c r="V452" s="130"/>
      <c r="W452" s="130"/>
      <c r="X452" s="130"/>
      <c r="Y452" s="130"/>
      <c r="Z452" s="130"/>
      <c r="AA452" s="130"/>
      <c r="AB452" s="130"/>
      <c r="AC452" s="130"/>
      <c r="AD452" s="130"/>
      <c r="AE452" s="130"/>
      <c r="AF452" s="130"/>
      <c r="AG452" s="130"/>
      <c r="AH452" s="130"/>
      <c r="AI452" s="130"/>
      <c r="AJ452" s="130"/>
      <c r="AK452" s="130"/>
      <c r="AL452" s="130"/>
      <c r="AM452" s="130"/>
      <c r="AN452" s="130"/>
      <c r="AO452" s="130"/>
      <c r="AP452" s="130"/>
      <c r="AQ452" s="130"/>
      <c r="AR452" s="130"/>
      <c r="AS452" s="130"/>
      <c r="AT452" s="130"/>
      <c r="AU452" s="130"/>
      <c r="AV452" s="130"/>
      <c r="AW452" s="130"/>
      <c r="AX452" s="130"/>
      <c r="AY452" s="130"/>
      <c r="AZ452" s="130"/>
    </row>
    <row r="453" spans="1:52" ht="30" customHeight="1">
      <c r="A453" s="143">
        <v>451</v>
      </c>
      <c r="B453" s="130" t="s">
        <v>3129</v>
      </c>
      <c r="C453" s="130">
        <v>41100584</v>
      </c>
      <c r="D453" s="130" t="s">
        <v>1591</v>
      </c>
      <c r="E453" s="130" t="s">
        <v>3593</v>
      </c>
      <c r="F453" s="130" t="s">
        <v>3594</v>
      </c>
      <c r="G453" s="130" t="s">
        <v>0</v>
      </c>
      <c r="H453" s="130" t="s">
        <v>3595</v>
      </c>
      <c r="I453" s="130" t="s">
        <v>2894</v>
      </c>
      <c r="J453" s="130"/>
      <c r="K453" s="429">
        <v>45951</v>
      </c>
      <c r="L453" s="130"/>
      <c r="M453" s="130"/>
      <c r="N453" s="130" t="s">
        <v>6318</v>
      </c>
      <c r="O453" s="130" t="s">
        <v>6319</v>
      </c>
      <c r="P453" s="130" t="s">
        <v>30</v>
      </c>
      <c r="Q453" s="130" t="s">
        <v>49</v>
      </c>
      <c r="R453" s="130" t="s">
        <v>3674</v>
      </c>
      <c r="S453" s="130" t="s">
        <v>6028</v>
      </c>
      <c r="T453" s="130"/>
      <c r="U453" s="130"/>
      <c r="V453" s="130"/>
      <c r="W453" s="130"/>
      <c r="X453" s="130"/>
      <c r="Y453" s="130"/>
      <c r="Z453" s="130"/>
      <c r="AA453" s="130"/>
      <c r="AB453" s="130"/>
      <c r="AC453" s="130"/>
      <c r="AD453" s="130"/>
      <c r="AE453" s="130"/>
      <c r="AF453" s="130"/>
      <c r="AG453" s="130"/>
      <c r="AH453" s="130"/>
      <c r="AI453" s="130"/>
      <c r="AJ453" s="130"/>
      <c r="AK453" s="130"/>
      <c r="AL453" s="130"/>
      <c r="AM453" s="130"/>
      <c r="AN453" s="130"/>
      <c r="AO453" s="130"/>
      <c r="AP453" s="130"/>
      <c r="AQ453" s="130"/>
      <c r="AR453" s="130"/>
      <c r="AS453" s="130"/>
      <c r="AT453" s="130"/>
      <c r="AU453" s="130"/>
      <c r="AV453" s="130"/>
      <c r="AW453" s="130"/>
      <c r="AX453" s="130"/>
      <c r="AY453" s="130"/>
      <c r="AZ453" s="130"/>
    </row>
    <row r="454" spans="1:52" ht="30" customHeight="1">
      <c r="A454" s="143">
        <v>452</v>
      </c>
      <c r="B454" s="130" t="s">
        <v>3118</v>
      </c>
      <c r="C454" s="130">
        <v>41000544</v>
      </c>
      <c r="D454" s="130" t="s">
        <v>1476</v>
      </c>
      <c r="E454" s="130" t="s">
        <v>3593</v>
      </c>
      <c r="F454" s="130" t="s">
        <v>3594</v>
      </c>
      <c r="G454" s="130" t="s">
        <v>0</v>
      </c>
      <c r="H454" s="130" t="s">
        <v>3595</v>
      </c>
      <c r="I454" s="130" t="s">
        <v>3762</v>
      </c>
      <c r="J454" s="130" t="s">
        <v>2880</v>
      </c>
      <c r="K454" s="429">
        <v>45951</v>
      </c>
      <c r="L454" s="130">
        <v>1100825600</v>
      </c>
      <c r="M454" s="130" t="s">
        <v>2683</v>
      </c>
      <c r="N454" s="130" t="s">
        <v>6320</v>
      </c>
      <c r="O454" s="130" t="s">
        <v>6321</v>
      </c>
      <c r="P454" s="130" t="s">
        <v>26</v>
      </c>
      <c r="Q454" s="130" t="s">
        <v>49</v>
      </c>
      <c r="R454" s="130" t="s">
        <v>3674</v>
      </c>
      <c r="S454" s="130" t="s">
        <v>3993</v>
      </c>
      <c r="T454" s="130"/>
      <c r="U454" s="130"/>
      <c r="V454" s="130"/>
      <c r="W454" s="130"/>
      <c r="X454" s="130"/>
      <c r="Y454" s="130"/>
      <c r="Z454" s="130"/>
      <c r="AA454" s="130"/>
      <c r="AB454" s="130"/>
      <c r="AC454" s="130"/>
      <c r="AD454" s="130"/>
      <c r="AE454" s="130"/>
      <c r="AF454" s="130"/>
      <c r="AG454" s="130"/>
      <c r="AH454" s="130"/>
      <c r="AI454" s="130"/>
      <c r="AJ454" s="130"/>
      <c r="AK454" s="130"/>
      <c r="AL454" s="130"/>
      <c r="AM454" s="130"/>
      <c r="AN454" s="130"/>
      <c r="AO454" s="130"/>
      <c r="AP454" s="130"/>
      <c r="AQ454" s="130"/>
      <c r="AR454" s="130"/>
      <c r="AS454" s="130"/>
      <c r="AT454" s="130"/>
      <c r="AU454" s="130"/>
      <c r="AV454" s="130"/>
      <c r="AW454" s="130"/>
      <c r="AX454" s="130"/>
      <c r="AY454" s="130"/>
      <c r="AZ454" s="130"/>
    </row>
    <row r="455" spans="1:52" ht="30" customHeight="1">
      <c r="A455" s="143">
        <v>453</v>
      </c>
      <c r="B455" s="130" t="s">
        <v>3117</v>
      </c>
      <c r="C455" s="130">
        <v>41200101</v>
      </c>
      <c r="D455" s="130" t="s">
        <v>1476</v>
      </c>
      <c r="E455" s="130" t="s">
        <v>3593</v>
      </c>
      <c r="F455" s="130" t="s">
        <v>3619</v>
      </c>
      <c r="G455" s="130" t="s">
        <v>0</v>
      </c>
      <c r="H455" s="130" t="s">
        <v>3614</v>
      </c>
      <c r="I455" s="130" t="s">
        <v>3596</v>
      </c>
      <c r="J455" s="130" t="s">
        <v>2679</v>
      </c>
      <c r="K455" s="429">
        <v>45951</v>
      </c>
      <c r="L455" s="130">
        <v>1100228300</v>
      </c>
      <c r="M455" s="130" t="s">
        <v>932</v>
      </c>
      <c r="N455" s="130" t="s">
        <v>6062</v>
      </c>
      <c r="O455" s="130" t="s">
        <v>6322</v>
      </c>
      <c r="P455" s="130" t="s">
        <v>45</v>
      </c>
      <c r="Q455" s="130" t="s">
        <v>5481</v>
      </c>
      <c r="R455" s="130" t="s">
        <v>3656</v>
      </c>
      <c r="S455" s="130" t="s">
        <v>3987</v>
      </c>
      <c r="T455" s="130"/>
      <c r="U455" s="130"/>
      <c r="V455" s="130"/>
      <c r="W455" s="130"/>
      <c r="X455" s="130"/>
      <c r="Y455" s="130"/>
      <c r="Z455" s="130"/>
      <c r="AA455" s="130"/>
      <c r="AB455" s="130"/>
      <c r="AC455" s="130"/>
      <c r="AD455" s="130"/>
      <c r="AE455" s="130"/>
      <c r="AF455" s="130"/>
      <c r="AG455" s="130"/>
      <c r="AH455" s="130"/>
      <c r="AI455" s="130"/>
      <c r="AJ455" s="130"/>
      <c r="AK455" s="130"/>
      <c r="AL455" s="130"/>
      <c r="AM455" s="130"/>
      <c r="AN455" s="130"/>
      <c r="AO455" s="130"/>
      <c r="AP455" s="130"/>
      <c r="AQ455" s="130"/>
      <c r="AR455" s="130"/>
      <c r="AS455" s="130"/>
      <c r="AT455" s="130"/>
      <c r="AU455" s="130"/>
      <c r="AV455" s="130"/>
      <c r="AW455" s="130"/>
      <c r="AX455" s="130"/>
      <c r="AY455" s="130"/>
      <c r="AZ455" s="130"/>
    </row>
    <row r="456" spans="1:52" ht="30" customHeight="1">
      <c r="A456" s="143">
        <v>454</v>
      </c>
      <c r="B456" s="130" t="s">
        <v>3126</v>
      </c>
      <c r="C456" s="130">
        <v>41000516</v>
      </c>
      <c r="D456" s="130" t="s">
        <v>1476</v>
      </c>
      <c r="E456" s="130" t="s">
        <v>3603</v>
      </c>
      <c r="F456" s="130" t="s">
        <v>3604</v>
      </c>
      <c r="G456" s="130" t="s">
        <v>0</v>
      </c>
      <c r="H456" s="130" t="s">
        <v>3595</v>
      </c>
      <c r="I456" s="130" t="s">
        <v>2894</v>
      </c>
      <c r="J456" s="130" t="s">
        <v>2880</v>
      </c>
      <c r="K456" s="429">
        <v>45952</v>
      </c>
      <c r="L456" s="130">
        <v>1100228300</v>
      </c>
      <c r="M456" s="130" t="s">
        <v>932</v>
      </c>
      <c r="N456" s="130" t="s">
        <v>6062</v>
      </c>
      <c r="O456" s="130" t="s">
        <v>6323</v>
      </c>
      <c r="P456" s="130" t="s">
        <v>26</v>
      </c>
      <c r="Q456" s="130" t="s">
        <v>49</v>
      </c>
      <c r="R456" s="130" t="s">
        <v>3674</v>
      </c>
      <c r="S456" s="130" t="s">
        <v>6263</v>
      </c>
      <c r="T456" s="130"/>
      <c r="U456" s="130"/>
      <c r="V456" s="130"/>
      <c r="W456" s="130"/>
      <c r="X456" s="130"/>
      <c r="Y456" s="130"/>
      <c r="Z456" s="130"/>
      <c r="AA456" s="130"/>
      <c r="AB456" s="130"/>
      <c r="AC456" s="130"/>
      <c r="AD456" s="130"/>
      <c r="AE456" s="130"/>
      <c r="AF456" s="130"/>
      <c r="AG456" s="130"/>
      <c r="AH456" s="130"/>
      <c r="AI456" s="130"/>
      <c r="AJ456" s="130"/>
      <c r="AK456" s="130"/>
      <c r="AL456" s="130"/>
      <c r="AM456" s="130"/>
      <c r="AN456" s="130"/>
      <c r="AO456" s="130"/>
      <c r="AP456" s="130"/>
      <c r="AQ456" s="130"/>
      <c r="AR456" s="130"/>
      <c r="AS456" s="130"/>
      <c r="AT456" s="130"/>
      <c r="AU456" s="130"/>
      <c r="AV456" s="130"/>
      <c r="AW456" s="130"/>
      <c r="AX456" s="130"/>
      <c r="AY456" s="130"/>
      <c r="AZ456" s="130"/>
    </row>
    <row r="457" spans="1:52" ht="30" customHeight="1">
      <c r="A457" s="143">
        <v>455</v>
      </c>
      <c r="B457" s="130" t="s">
        <v>3137</v>
      </c>
      <c r="C457" s="130">
        <v>41200076</v>
      </c>
      <c r="D457" s="130" t="s">
        <v>1476</v>
      </c>
      <c r="E457" s="130" t="s">
        <v>3603</v>
      </c>
      <c r="F457" s="130" t="s">
        <v>3594</v>
      </c>
      <c r="G457" s="130" t="s">
        <v>0</v>
      </c>
      <c r="H457" s="130" t="s">
        <v>3614</v>
      </c>
      <c r="I457" s="130" t="s">
        <v>3596</v>
      </c>
      <c r="J457" s="130" t="s">
        <v>2679</v>
      </c>
      <c r="K457" s="429">
        <v>45953</v>
      </c>
      <c r="L457" s="130">
        <v>1100228300</v>
      </c>
      <c r="M457" s="130" t="s">
        <v>932</v>
      </c>
      <c r="N457" s="130" t="s">
        <v>5542</v>
      </c>
      <c r="O457" s="130" t="s">
        <v>6324</v>
      </c>
      <c r="P457" s="130" t="s">
        <v>45</v>
      </c>
      <c r="Q457" s="130" t="s">
        <v>5481</v>
      </c>
      <c r="R457" s="130" t="s">
        <v>3666</v>
      </c>
      <c r="S457" s="130" t="s">
        <v>3666</v>
      </c>
      <c r="T457" s="130"/>
      <c r="U457" s="130"/>
      <c r="V457" s="130"/>
      <c r="W457" s="130"/>
      <c r="X457" s="130"/>
      <c r="Y457" s="130"/>
      <c r="Z457" s="130"/>
      <c r="AA457" s="130"/>
      <c r="AB457" s="130"/>
      <c r="AC457" s="130"/>
      <c r="AD457" s="130"/>
      <c r="AE457" s="130"/>
      <c r="AF457" s="130"/>
      <c r="AG457" s="130"/>
      <c r="AH457" s="130"/>
      <c r="AI457" s="130"/>
      <c r="AJ457" s="130"/>
      <c r="AK457" s="130"/>
      <c r="AL457" s="130"/>
      <c r="AM457" s="130"/>
      <c r="AN457" s="130"/>
      <c r="AO457" s="130"/>
      <c r="AP457" s="130"/>
      <c r="AQ457" s="130"/>
      <c r="AR457" s="130"/>
      <c r="AS457" s="130"/>
      <c r="AT457" s="130"/>
      <c r="AU457" s="130"/>
      <c r="AV457" s="130"/>
      <c r="AW457" s="130"/>
      <c r="AX457" s="130"/>
      <c r="AY457" s="130"/>
      <c r="AZ457" s="130"/>
    </row>
    <row r="458" spans="1:52" ht="30" customHeight="1">
      <c r="A458" s="143">
        <v>456</v>
      </c>
      <c r="B458" s="130" t="s">
        <v>5328</v>
      </c>
      <c r="C458" s="130">
        <v>41200179</v>
      </c>
      <c r="D458" s="130" t="s">
        <v>1478</v>
      </c>
      <c r="E458" s="130" t="s">
        <v>3603</v>
      </c>
      <c r="F458" s="130" t="s">
        <v>3619</v>
      </c>
      <c r="G458" s="130" t="s">
        <v>0</v>
      </c>
      <c r="H458" s="130" t="s">
        <v>3595</v>
      </c>
      <c r="I458" s="130" t="s">
        <v>3762</v>
      </c>
      <c r="J458" s="130" t="s">
        <v>2679</v>
      </c>
      <c r="K458" s="429">
        <v>45953</v>
      </c>
      <c r="L458" s="130">
        <v>1110226000</v>
      </c>
      <c r="M458" s="130" t="s">
        <v>386</v>
      </c>
      <c r="N458" s="130" t="s">
        <v>6325</v>
      </c>
      <c r="O458" s="130" t="s">
        <v>6326</v>
      </c>
      <c r="P458" s="130" t="s">
        <v>26</v>
      </c>
      <c r="Q458" s="130" t="s">
        <v>49</v>
      </c>
      <c r="R458" s="130" t="s">
        <v>3674</v>
      </c>
      <c r="S458" s="130" t="s">
        <v>5514</v>
      </c>
      <c r="T458" s="130"/>
      <c r="U458" s="130"/>
      <c r="V458" s="130"/>
      <c r="W458" s="130"/>
      <c r="X458" s="130"/>
      <c r="Y458" s="130"/>
      <c r="Z458" s="130"/>
      <c r="AA458" s="130"/>
      <c r="AB458" s="130"/>
      <c r="AC458" s="130"/>
      <c r="AD458" s="130"/>
      <c r="AE458" s="130"/>
      <c r="AF458" s="130"/>
      <c r="AG458" s="130"/>
      <c r="AH458" s="130"/>
      <c r="AI458" s="130"/>
      <c r="AJ458" s="130"/>
      <c r="AK458" s="130"/>
      <c r="AL458" s="130"/>
      <c r="AM458" s="130"/>
      <c r="AN458" s="130"/>
      <c r="AO458" s="130"/>
      <c r="AP458" s="130"/>
      <c r="AQ458" s="130"/>
      <c r="AR458" s="130"/>
      <c r="AS458" s="130"/>
      <c r="AT458" s="130"/>
      <c r="AU458" s="130"/>
      <c r="AV458" s="130"/>
      <c r="AW458" s="130"/>
      <c r="AX458" s="130"/>
      <c r="AY458" s="130"/>
      <c r="AZ458" s="130"/>
    </row>
    <row r="459" spans="1:52" ht="30" customHeight="1">
      <c r="A459" s="143">
        <v>457</v>
      </c>
      <c r="B459" s="130" t="s">
        <v>3144</v>
      </c>
      <c r="C459" s="130">
        <v>41000556</v>
      </c>
      <c r="D459" s="130" t="s">
        <v>1476</v>
      </c>
      <c r="E459" s="130" t="s">
        <v>3603</v>
      </c>
      <c r="F459" s="130" t="s">
        <v>3604</v>
      </c>
      <c r="G459" s="130" t="s">
        <v>0</v>
      </c>
      <c r="H459" s="130" t="s">
        <v>3595</v>
      </c>
      <c r="I459" s="130" t="s">
        <v>3596</v>
      </c>
      <c r="J459" s="130" t="s">
        <v>2880</v>
      </c>
      <c r="K459" s="429">
        <v>45953</v>
      </c>
      <c r="L459" s="130">
        <v>1100012200</v>
      </c>
      <c r="M459" s="130" t="s">
        <v>1049</v>
      </c>
      <c r="N459" s="130" t="s">
        <v>6327</v>
      </c>
      <c r="O459" s="130" t="s">
        <v>6328</v>
      </c>
      <c r="P459" s="130" t="s">
        <v>26</v>
      </c>
      <c r="Q459" s="130" t="s">
        <v>54</v>
      </c>
      <c r="R459" s="130" t="s">
        <v>3666</v>
      </c>
      <c r="S459" s="130" t="s">
        <v>3952</v>
      </c>
      <c r="T459" s="130"/>
      <c r="U459" s="130"/>
      <c r="V459" s="130"/>
      <c r="W459" s="130"/>
      <c r="X459" s="130"/>
      <c r="Y459" s="130"/>
      <c r="Z459" s="130"/>
      <c r="AA459" s="130"/>
      <c r="AB459" s="130"/>
      <c r="AC459" s="130"/>
      <c r="AD459" s="130"/>
      <c r="AE459" s="130"/>
      <c r="AF459" s="130"/>
      <c r="AG459" s="130"/>
      <c r="AH459" s="130"/>
      <c r="AI459" s="130"/>
      <c r="AJ459" s="130"/>
      <c r="AK459" s="130"/>
      <c r="AL459" s="130"/>
      <c r="AM459" s="130"/>
      <c r="AN459" s="130"/>
      <c r="AO459" s="130"/>
      <c r="AP459" s="130"/>
      <c r="AQ459" s="130"/>
      <c r="AR459" s="130"/>
      <c r="AS459" s="130"/>
      <c r="AT459" s="130"/>
      <c r="AU459" s="130"/>
      <c r="AV459" s="130"/>
      <c r="AW459" s="130"/>
      <c r="AX459" s="130"/>
      <c r="AY459" s="130"/>
      <c r="AZ459" s="130"/>
    </row>
    <row r="460" spans="1:52" ht="30" customHeight="1">
      <c r="A460" s="143">
        <v>458</v>
      </c>
      <c r="B460" s="130" t="s">
        <v>3144</v>
      </c>
      <c r="C460" s="130">
        <v>41000556</v>
      </c>
      <c r="D460" s="130" t="s">
        <v>1476</v>
      </c>
      <c r="E460" s="130" t="s">
        <v>3603</v>
      </c>
      <c r="F460" s="130" t="s">
        <v>3604</v>
      </c>
      <c r="G460" s="130" t="s">
        <v>0</v>
      </c>
      <c r="H460" s="130" t="s">
        <v>3595</v>
      </c>
      <c r="I460" s="130" t="s">
        <v>2894</v>
      </c>
      <c r="J460" s="130" t="s">
        <v>2880</v>
      </c>
      <c r="K460" s="429">
        <v>45953</v>
      </c>
      <c r="L460" s="130">
        <v>1100254200</v>
      </c>
      <c r="M460" s="130" t="s">
        <v>1117</v>
      </c>
      <c r="N460" s="130" t="s">
        <v>6307</v>
      </c>
      <c r="O460" s="130" t="s">
        <v>6309</v>
      </c>
      <c r="P460" s="130" t="s">
        <v>26</v>
      </c>
      <c r="Q460" s="130" t="s">
        <v>49</v>
      </c>
      <c r="R460" s="130" t="s">
        <v>3674</v>
      </c>
      <c r="S460" s="130" t="s">
        <v>3940</v>
      </c>
      <c r="T460" s="130"/>
      <c r="U460" s="130"/>
      <c r="V460" s="130"/>
      <c r="W460" s="130"/>
      <c r="X460" s="130"/>
      <c r="Y460" s="130"/>
      <c r="Z460" s="130"/>
      <c r="AA460" s="130"/>
      <c r="AB460" s="130"/>
      <c r="AC460" s="130"/>
      <c r="AD460" s="130"/>
      <c r="AE460" s="130"/>
      <c r="AF460" s="130"/>
      <c r="AG460" s="130"/>
      <c r="AH460" s="130"/>
      <c r="AI460" s="130"/>
      <c r="AJ460" s="130"/>
      <c r="AK460" s="130"/>
      <c r="AL460" s="130"/>
      <c r="AM460" s="130"/>
      <c r="AN460" s="130"/>
      <c r="AO460" s="130"/>
      <c r="AP460" s="130"/>
      <c r="AQ460" s="130"/>
      <c r="AR460" s="130"/>
      <c r="AS460" s="130"/>
      <c r="AT460" s="130"/>
      <c r="AU460" s="130"/>
      <c r="AV460" s="130"/>
      <c r="AW460" s="130"/>
      <c r="AX460" s="130"/>
      <c r="AY460" s="130"/>
      <c r="AZ460" s="130"/>
    </row>
    <row r="461" spans="1:52" ht="30" customHeight="1">
      <c r="A461" s="143">
        <v>459</v>
      </c>
      <c r="B461" s="130" t="s">
        <v>3165</v>
      </c>
      <c r="C461" s="130">
        <v>41200122</v>
      </c>
      <c r="D461" s="130" t="s">
        <v>1476</v>
      </c>
      <c r="E461" s="130" t="s">
        <v>3593</v>
      </c>
      <c r="F461" s="130" t="s">
        <v>3619</v>
      </c>
      <c r="G461" s="130" t="s">
        <v>0</v>
      </c>
      <c r="H461" s="130" t="s">
        <v>3595</v>
      </c>
      <c r="I461" s="130" t="s">
        <v>3596</v>
      </c>
      <c r="J461" s="130" t="s">
        <v>2880</v>
      </c>
      <c r="K461" s="429">
        <v>45957</v>
      </c>
      <c r="L461" s="130">
        <v>1100013600</v>
      </c>
      <c r="M461" s="130" t="s">
        <v>1049</v>
      </c>
      <c r="N461" s="130" t="s">
        <v>6329</v>
      </c>
      <c r="O461" s="130" t="s">
        <v>6330</v>
      </c>
      <c r="P461" s="130" t="s">
        <v>26</v>
      </c>
      <c r="Q461" s="130" t="s">
        <v>54</v>
      </c>
      <c r="R461" s="130" t="s">
        <v>3656</v>
      </c>
      <c r="S461" s="130" t="s">
        <v>5568</v>
      </c>
      <c r="T461" s="130"/>
      <c r="U461" s="130"/>
      <c r="V461" s="130"/>
      <c r="W461" s="130"/>
      <c r="X461" s="130"/>
      <c r="Y461" s="130"/>
      <c r="Z461" s="130"/>
      <c r="AA461" s="130"/>
      <c r="AB461" s="130"/>
      <c r="AC461" s="130"/>
      <c r="AD461" s="130"/>
      <c r="AE461" s="130"/>
      <c r="AF461" s="130"/>
      <c r="AG461" s="130"/>
      <c r="AH461" s="130"/>
      <c r="AI461" s="130"/>
      <c r="AJ461" s="130"/>
      <c r="AK461" s="130"/>
      <c r="AL461" s="130"/>
      <c r="AM461" s="130"/>
      <c r="AN461" s="130"/>
      <c r="AO461" s="130"/>
      <c r="AP461" s="130"/>
      <c r="AQ461" s="130"/>
      <c r="AR461" s="130"/>
      <c r="AS461" s="130"/>
      <c r="AT461" s="130"/>
      <c r="AU461" s="130"/>
      <c r="AV461" s="130"/>
      <c r="AW461" s="130"/>
      <c r="AX461" s="130"/>
      <c r="AY461" s="130"/>
      <c r="AZ461" s="130"/>
    </row>
    <row r="462" spans="1:52" ht="30" customHeight="1">
      <c r="A462" s="143">
        <v>460</v>
      </c>
      <c r="B462" s="130" t="s">
        <v>3173</v>
      </c>
      <c r="C462" s="130">
        <v>41200184</v>
      </c>
      <c r="D462" s="130" t="s">
        <v>1479</v>
      </c>
      <c r="E462" s="130" t="s">
        <v>3593</v>
      </c>
      <c r="F462" s="130" t="s">
        <v>3594</v>
      </c>
      <c r="G462" s="130" t="s">
        <v>0</v>
      </c>
      <c r="H462" s="130" t="s">
        <v>3614</v>
      </c>
      <c r="I462" s="130" t="s">
        <v>3596</v>
      </c>
      <c r="J462" s="130"/>
      <c r="K462" s="429">
        <v>45958</v>
      </c>
      <c r="L462" s="130">
        <v>1100228300</v>
      </c>
      <c r="M462" s="130" t="s">
        <v>932</v>
      </c>
      <c r="N462" s="130" t="s">
        <v>5542</v>
      </c>
      <c r="O462" s="130" t="s">
        <v>6331</v>
      </c>
      <c r="P462" s="130" t="s">
        <v>45</v>
      </c>
      <c r="Q462" s="130" t="s">
        <v>5481</v>
      </c>
      <c r="R462" s="130" t="s">
        <v>3656</v>
      </c>
      <c r="S462" s="130" t="s">
        <v>6028</v>
      </c>
      <c r="T462" s="130"/>
      <c r="U462" s="130"/>
      <c r="V462" s="130"/>
      <c r="W462" s="130"/>
      <c r="X462" s="130"/>
      <c r="Y462" s="130"/>
      <c r="Z462" s="130"/>
      <c r="AA462" s="130"/>
      <c r="AB462" s="130"/>
      <c r="AC462" s="130"/>
      <c r="AD462" s="130"/>
      <c r="AE462" s="130"/>
      <c r="AF462" s="130"/>
      <c r="AG462" s="130"/>
      <c r="AH462" s="130"/>
      <c r="AI462" s="130"/>
      <c r="AJ462" s="130"/>
      <c r="AK462" s="130"/>
      <c r="AL462" s="130"/>
      <c r="AM462" s="130"/>
      <c r="AN462" s="130"/>
      <c r="AO462" s="130"/>
      <c r="AP462" s="130"/>
      <c r="AQ462" s="130"/>
      <c r="AR462" s="130"/>
      <c r="AS462" s="130"/>
      <c r="AT462" s="130"/>
      <c r="AU462" s="130"/>
      <c r="AV462" s="130"/>
      <c r="AW462" s="130"/>
      <c r="AX462" s="130"/>
      <c r="AY462" s="130"/>
      <c r="AZ462" s="130"/>
    </row>
    <row r="463" spans="1:52" ht="30" customHeight="1">
      <c r="A463" s="143">
        <v>461</v>
      </c>
      <c r="B463" s="130" t="s">
        <v>3173</v>
      </c>
      <c r="C463" s="130">
        <v>41200184</v>
      </c>
      <c r="D463" s="130" t="s">
        <v>1479</v>
      </c>
      <c r="E463" s="130" t="s">
        <v>3593</v>
      </c>
      <c r="F463" s="130" t="s">
        <v>3594</v>
      </c>
      <c r="G463" s="130" t="s">
        <v>0</v>
      </c>
      <c r="H463" s="130" t="s">
        <v>3614</v>
      </c>
      <c r="I463" s="130" t="s">
        <v>3596</v>
      </c>
      <c r="J463" s="130"/>
      <c r="K463" s="429">
        <v>45958</v>
      </c>
      <c r="L463" s="130">
        <v>1100228300</v>
      </c>
      <c r="M463" s="130" t="s">
        <v>932</v>
      </c>
      <c r="N463" s="130" t="s">
        <v>5542</v>
      </c>
      <c r="O463" s="130" t="s">
        <v>6332</v>
      </c>
      <c r="P463" s="130" t="s">
        <v>45</v>
      </c>
      <c r="Q463" s="130" t="s">
        <v>5481</v>
      </c>
      <c r="R463" s="130" t="s">
        <v>3656</v>
      </c>
      <c r="S463" s="130" t="s">
        <v>6028</v>
      </c>
      <c r="T463" s="130"/>
      <c r="U463" s="130"/>
      <c r="V463" s="130"/>
      <c r="W463" s="130"/>
      <c r="X463" s="130"/>
      <c r="Y463" s="130"/>
      <c r="Z463" s="130"/>
      <c r="AA463" s="130"/>
      <c r="AB463" s="130"/>
      <c r="AC463" s="130"/>
      <c r="AD463" s="130"/>
      <c r="AE463" s="130"/>
      <c r="AF463" s="130"/>
      <c r="AG463" s="130"/>
      <c r="AH463" s="130"/>
      <c r="AI463" s="130"/>
      <c r="AJ463" s="130"/>
      <c r="AK463" s="130"/>
      <c r="AL463" s="130"/>
      <c r="AM463" s="130"/>
      <c r="AN463" s="130"/>
      <c r="AO463" s="130"/>
      <c r="AP463" s="130"/>
      <c r="AQ463" s="130"/>
      <c r="AR463" s="130"/>
      <c r="AS463" s="130"/>
      <c r="AT463" s="130"/>
      <c r="AU463" s="130"/>
      <c r="AV463" s="130"/>
      <c r="AW463" s="130"/>
      <c r="AX463" s="130"/>
      <c r="AY463" s="130"/>
      <c r="AZ463" s="130"/>
    </row>
    <row r="464" spans="1:52" ht="30" customHeight="1">
      <c r="A464" s="143">
        <v>462</v>
      </c>
      <c r="B464" s="130" t="s">
        <v>3176</v>
      </c>
      <c r="C464" s="130">
        <v>41200007</v>
      </c>
      <c r="D464" s="130" t="s">
        <v>1591</v>
      </c>
      <c r="E464" s="130" t="s">
        <v>3593</v>
      </c>
      <c r="F464" s="130" t="s">
        <v>3619</v>
      </c>
      <c r="G464" s="130" t="s">
        <v>0</v>
      </c>
      <c r="H464" s="130" t="s">
        <v>3595</v>
      </c>
      <c r="I464" s="130" t="s">
        <v>3596</v>
      </c>
      <c r="J464" s="130"/>
      <c r="K464" s="429">
        <v>45958</v>
      </c>
      <c r="L464" s="130">
        <v>1310609300</v>
      </c>
      <c r="M464" s="130" t="s">
        <v>958</v>
      </c>
      <c r="N464" s="130" t="s">
        <v>6023</v>
      </c>
      <c r="O464" s="130" t="s">
        <v>6333</v>
      </c>
      <c r="P464" s="130" t="s">
        <v>5811</v>
      </c>
      <c r="Q464" s="130" t="s">
        <v>54</v>
      </c>
      <c r="R464" s="130" t="s">
        <v>3993</v>
      </c>
      <c r="S464" s="130" t="s">
        <v>3993</v>
      </c>
      <c r="T464" s="130"/>
      <c r="U464" s="130"/>
      <c r="V464" s="130"/>
      <c r="W464" s="130"/>
      <c r="X464" s="130"/>
      <c r="Y464" s="130"/>
      <c r="Z464" s="130"/>
      <c r="AA464" s="130"/>
      <c r="AB464" s="130"/>
      <c r="AC464" s="130"/>
      <c r="AD464" s="130"/>
      <c r="AE464" s="130"/>
      <c r="AF464" s="130"/>
      <c r="AG464" s="130"/>
      <c r="AH464" s="130"/>
      <c r="AI464" s="130"/>
      <c r="AJ464" s="130"/>
      <c r="AK464" s="130"/>
      <c r="AL464" s="130"/>
      <c r="AM464" s="130"/>
      <c r="AN464" s="130"/>
      <c r="AO464" s="130"/>
      <c r="AP464" s="130"/>
      <c r="AQ464" s="130"/>
      <c r="AR464" s="130"/>
      <c r="AS464" s="130"/>
      <c r="AT464" s="130"/>
      <c r="AU464" s="130"/>
      <c r="AV464" s="130"/>
      <c r="AW464" s="130"/>
      <c r="AX464" s="130"/>
      <c r="AY464" s="130"/>
      <c r="AZ464" s="130"/>
    </row>
    <row r="465" spans="1:52" ht="30" customHeight="1">
      <c r="A465" s="143">
        <v>463</v>
      </c>
      <c r="B465" s="130" t="s">
        <v>3181</v>
      </c>
      <c r="C465" s="130">
        <v>41200007</v>
      </c>
      <c r="D465" s="130" t="s">
        <v>1591</v>
      </c>
      <c r="E465" s="130" t="s">
        <v>3603</v>
      </c>
      <c r="F465" s="130" t="s">
        <v>3604</v>
      </c>
      <c r="G465" s="130" t="s">
        <v>0</v>
      </c>
      <c r="H465" s="130" t="s">
        <v>3595</v>
      </c>
      <c r="I465" s="130" t="s">
        <v>3596</v>
      </c>
      <c r="J465" s="130"/>
      <c r="K465" s="429">
        <v>45958</v>
      </c>
      <c r="L465" s="130">
        <v>1100364300</v>
      </c>
      <c r="M465" s="130" t="s">
        <v>953</v>
      </c>
      <c r="N465" s="130" t="s">
        <v>6334</v>
      </c>
      <c r="O465" s="130" t="s">
        <v>6335</v>
      </c>
      <c r="P465" s="130" t="s">
        <v>3600</v>
      </c>
      <c r="Q465" s="130" t="s">
        <v>54</v>
      </c>
      <c r="R465" s="130" t="s">
        <v>3674</v>
      </c>
      <c r="S465" s="130" t="s">
        <v>3714</v>
      </c>
      <c r="T465" s="130"/>
      <c r="U465" s="130"/>
      <c r="V465" s="130"/>
      <c r="W465" s="130"/>
      <c r="X465" s="130"/>
      <c r="Y465" s="130"/>
      <c r="Z465" s="130"/>
      <c r="AA465" s="130"/>
      <c r="AB465" s="130"/>
      <c r="AC465" s="130"/>
      <c r="AD465" s="130"/>
      <c r="AE465" s="130"/>
      <c r="AF465" s="130"/>
      <c r="AG465" s="130"/>
      <c r="AH465" s="130"/>
      <c r="AI465" s="130"/>
      <c r="AJ465" s="130"/>
      <c r="AK465" s="130"/>
      <c r="AL465" s="130"/>
      <c r="AM465" s="130"/>
      <c r="AN465" s="130"/>
      <c r="AO465" s="130"/>
      <c r="AP465" s="130"/>
      <c r="AQ465" s="130"/>
      <c r="AR465" s="130"/>
      <c r="AS465" s="130"/>
      <c r="AT465" s="130"/>
      <c r="AU465" s="130"/>
      <c r="AV465" s="130"/>
      <c r="AW465" s="130"/>
      <c r="AX465" s="130"/>
      <c r="AY465" s="130"/>
      <c r="AZ465" s="130"/>
    </row>
    <row r="466" spans="1:52" ht="30" customHeight="1">
      <c r="A466" s="143">
        <v>464</v>
      </c>
      <c r="B466" s="130" t="s">
        <v>3178</v>
      </c>
      <c r="C466" s="130">
        <v>41200007</v>
      </c>
      <c r="D466" s="130" t="s">
        <v>1591</v>
      </c>
      <c r="E466" s="130" t="s">
        <v>3593</v>
      </c>
      <c r="F466" s="130" t="s">
        <v>3619</v>
      </c>
      <c r="G466" s="130" t="s">
        <v>0</v>
      </c>
      <c r="H466" s="130" t="s">
        <v>3595</v>
      </c>
      <c r="I466" s="130" t="s">
        <v>3596</v>
      </c>
      <c r="J466" s="130"/>
      <c r="K466" s="429">
        <v>45958</v>
      </c>
      <c r="L466" s="130">
        <v>1100196600</v>
      </c>
      <c r="M466" s="130" t="s">
        <v>1151</v>
      </c>
      <c r="N466" s="130" t="s">
        <v>6336</v>
      </c>
      <c r="O466" s="130" t="s">
        <v>6337</v>
      </c>
      <c r="P466" s="130" t="s">
        <v>5811</v>
      </c>
      <c r="Q466" s="130" t="s">
        <v>49</v>
      </c>
      <c r="R466" s="130" t="s">
        <v>3602</v>
      </c>
      <c r="S466" s="130" t="s">
        <v>3806</v>
      </c>
      <c r="T466" s="130"/>
      <c r="U466" s="130"/>
      <c r="V466" s="130"/>
      <c r="W466" s="130"/>
      <c r="X466" s="130"/>
      <c r="Y466" s="130"/>
      <c r="Z466" s="130"/>
      <c r="AA466" s="130"/>
      <c r="AB466" s="130"/>
      <c r="AC466" s="130"/>
      <c r="AD466" s="130"/>
      <c r="AE466" s="130"/>
      <c r="AF466" s="130"/>
      <c r="AG466" s="130"/>
      <c r="AH466" s="130"/>
      <c r="AI466" s="130"/>
      <c r="AJ466" s="130"/>
      <c r="AK466" s="130"/>
      <c r="AL466" s="130"/>
      <c r="AM466" s="130"/>
      <c r="AN466" s="130"/>
      <c r="AO466" s="130"/>
      <c r="AP466" s="130"/>
      <c r="AQ466" s="130"/>
      <c r="AR466" s="130"/>
      <c r="AS466" s="130"/>
      <c r="AT466" s="130"/>
      <c r="AU466" s="130"/>
      <c r="AV466" s="130"/>
      <c r="AW466" s="130"/>
      <c r="AX466" s="130"/>
      <c r="AY466" s="130"/>
      <c r="AZ466" s="130"/>
    </row>
    <row r="467" spans="1:52" ht="30" customHeight="1">
      <c r="A467" s="143">
        <v>465</v>
      </c>
      <c r="B467" s="130" t="s">
        <v>3189</v>
      </c>
      <c r="C467" s="130">
        <v>41200007</v>
      </c>
      <c r="D467" s="130" t="s">
        <v>1591</v>
      </c>
      <c r="E467" s="130" t="s">
        <v>3593</v>
      </c>
      <c r="F467" s="130" t="s">
        <v>3594</v>
      </c>
      <c r="G467" s="130" t="s">
        <v>0</v>
      </c>
      <c r="H467" s="130" t="s">
        <v>3595</v>
      </c>
      <c r="I467" s="130" t="s">
        <v>3596</v>
      </c>
      <c r="J467" s="130"/>
      <c r="K467" s="429">
        <v>45959</v>
      </c>
      <c r="L467" s="130">
        <v>1100364300</v>
      </c>
      <c r="M467" s="130" t="s">
        <v>953</v>
      </c>
      <c r="N467" s="130" t="s">
        <v>6334</v>
      </c>
      <c r="O467" s="130" t="s">
        <v>6335</v>
      </c>
      <c r="P467" s="130" t="s">
        <v>3600</v>
      </c>
      <c r="Q467" s="130" t="s">
        <v>54</v>
      </c>
      <c r="R467" s="130" t="s">
        <v>3679</v>
      </c>
      <c r="S467" s="130" t="s">
        <v>5712</v>
      </c>
      <c r="T467" s="130"/>
      <c r="U467" s="130"/>
      <c r="V467" s="130"/>
      <c r="W467" s="130"/>
      <c r="X467" s="130"/>
      <c r="Y467" s="130"/>
      <c r="Z467" s="130"/>
      <c r="AA467" s="130"/>
      <c r="AB467" s="130"/>
      <c r="AC467" s="130"/>
      <c r="AD467" s="130"/>
      <c r="AE467" s="130"/>
      <c r="AF467" s="130"/>
      <c r="AG467" s="130"/>
      <c r="AH467" s="130"/>
      <c r="AI467" s="130"/>
      <c r="AJ467" s="130"/>
      <c r="AK467" s="130"/>
      <c r="AL467" s="130"/>
      <c r="AM467" s="130"/>
      <c r="AN467" s="130"/>
      <c r="AO467" s="130"/>
      <c r="AP467" s="130"/>
      <c r="AQ467" s="130"/>
      <c r="AR467" s="130"/>
      <c r="AS467" s="130"/>
      <c r="AT467" s="130"/>
      <c r="AU467" s="130"/>
      <c r="AV467" s="130"/>
      <c r="AW467" s="130"/>
      <c r="AX467" s="130"/>
      <c r="AY467" s="130"/>
      <c r="AZ467" s="130"/>
    </row>
    <row r="468" spans="1:52" ht="30" customHeight="1">
      <c r="A468" s="143">
        <v>466</v>
      </c>
      <c r="B468" s="130" t="s">
        <v>3183</v>
      </c>
      <c r="C468" s="130">
        <v>41200125</v>
      </c>
      <c r="D468" s="130" t="s">
        <v>1476</v>
      </c>
      <c r="E468" s="130" t="s">
        <v>3603</v>
      </c>
      <c r="F468" s="130" t="s">
        <v>3619</v>
      </c>
      <c r="G468" s="130" t="s">
        <v>0</v>
      </c>
      <c r="H468" s="130" t="s">
        <v>3595</v>
      </c>
      <c r="I468" s="130" t="s">
        <v>2894</v>
      </c>
      <c r="J468" s="130" t="s">
        <v>2679</v>
      </c>
      <c r="K468" s="429">
        <v>45959</v>
      </c>
      <c r="L468" s="130">
        <v>1100041100</v>
      </c>
      <c r="M468" s="130" t="s">
        <v>5534</v>
      </c>
      <c r="N468" s="130" t="s">
        <v>6338</v>
      </c>
      <c r="O468" s="130" t="s">
        <v>6339</v>
      </c>
      <c r="P468" s="130" t="s">
        <v>5811</v>
      </c>
      <c r="Q468" s="130" t="s">
        <v>49</v>
      </c>
      <c r="R468" s="130" t="s">
        <v>3714</v>
      </c>
      <c r="S468" s="130" t="s">
        <v>6242</v>
      </c>
      <c r="T468" s="130"/>
      <c r="U468" s="130"/>
      <c r="V468" s="130"/>
      <c r="W468" s="130"/>
      <c r="X468" s="130"/>
      <c r="Y468" s="130"/>
      <c r="Z468" s="130"/>
      <c r="AA468" s="130"/>
      <c r="AB468" s="130"/>
      <c r="AC468" s="130"/>
      <c r="AD468" s="130"/>
      <c r="AE468" s="130"/>
      <c r="AF468" s="130"/>
      <c r="AG468" s="130"/>
      <c r="AH468" s="130"/>
      <c r="AI468" s="130"/>
      <c r="AJ468" s="130"/>
      <c r="AK468" s="130"/>
      <c r="AL468" s="130"/>
      <c r="AM468" s="130"/>
      <c r="AN468" s="130"/>
      <c r="AO468" s="130"/>
      <c r="AP468" s="130"/>
      <c r="AQ468" s="130"/>
      <c r="AR468" s="130"/>
      <c r="AS468" s="130"/>
      <c r="AT468" s="130"/>
      <c r="AU468" s="130"/>
      <c r="AV468" s="130"/>
      <c r="AW468" s="130"/>
      <c r="AX468" s="130"/>
      <c r="AY468" s="130"/>
      <c r="AZ468" s="130"/>
    </row>
    <row r="469" spans="1:52" ht="30" customHeight="1">
      <c r="A469" s="143">
        <v>467</v>
      </c>
      <c r="B469" s="130" t="s">
        <v>3202</v>
      </c>
      <c r="C469" s="130">
        <v>41200124</v>
      </c>
      <c r="D469" s="130" t="s">
        <v>1476</v>
      </c>
      <c r="E469" s="130" t="s">
        <v>3603</v>
      </c>
      <c r="F469" s="130" t="s">
        <v>3604</v>
      </c>
      <c r="G469" s="130" t="s">
        <v>0</v>
      </c>
      <c r="H469" s="130" t="s">
        <v>3595</v>
      </c>
      <c r="I469" s="130" t="s">
        <v>3596</v>
      </c>
      <c r="J469" s="130"/>
      <c r="K469" s="429">
        <v>45960</v>
      </c>
      <c r="L469" s="130">
        <v>1100008800</v>
      </c>
      <c r="M469" s="130" t="s">
        <v>143</v>
      </c>
      <c r="N469" s="130" t="s">
        <v>6340</v>
      </c>
      <c r="O469" s="130" t="s">
        <v>6341</v>
      </c>
      <c r="P469" s="130" t="s">
        <v>26</v>
      </c>
      <c r="Q469" s="130" t="s">
        <v>54</v>
      </c>
      <c r="R469" s="130" t="s">
        <v>3666</v>
      </c>
      <c r="S469" s="130" t="s">
        <v>3915</v>
      </c>
      <c r="T469" s="130"/>
      <c r="U469" s="130"/>
      <c r="V469" s="130"/>
      <c r="W469" s="130"/>
      <c r="X469" s="130"/>
      <c r="Y469" s="130"/>
      <c r="Z469" s="130"/>
      <c r="AA469" s="130"/>
      <c r="AB469" s="130"/>
      <c r="AC469" s="130"/>
      <c r="AD469" s="130"/>
      <c r="AE469" s="130"/>
      <c r="AF469" s="130"/>
      <c r="AG469" s="130"/>
      <c r="AH469" s="130"/>
      <c r="AI469" s="130"/>
      <c r="AJ469" s="130"/>
      <c r="AK469" s="130"/>
      <c r="AL469" s="130"/>
      <c r="AM469" s="130"/>
      <c r="AN469" s="130"/>
      <c r="AO469" s="130"/>
      <c r="AP469" s="130"/>
      <c r="AQ469" s="130"/>
      <c r="AR469" s="130"/>
      <c r="AS469" s="130"/>
      <c r="AT469" s="130"/>
      <c r="AU469" s="130"/>
      <c r="AV469" s="130"/>
      <c r="AW469" s="130"/>
      <c r="AX469" s="130"/>
      <c r="AY469" s="130"/>
      <c r="AZ469" s="130"/>
    </row>
    <row r="470" spans="1:52" ht="30" customHeight="1">
      <c r="A470" s="143">
        <v>468</v>
      </c>
      <c r="B470" s="130" t="s">
        <v>3194</v>
      </c>
      <c r="C470" s="130">
        <v>41200125</v>
      </c>
      <c r="D470" s="130" t="s">
        <v>1476</v>
      </c>
      <c r="E470" s="130" t="s">
        <v>3593</v>
      </c>
      <c r="F470" s="130" t="s">
        <v>3619</v>
      </c>
      <c r="G470" s="130" t="s">
        <v>0</v>
      </c>
      <c r="H470" s="130" t="s">
        <v>3614</v>
      </c>
      <c r="I470" s="130" t="s">
        <v>3596</v>
      </c>
      <c r="J470" s="130" t="s">
        <v>2679</v>
      </c>
      <c r="K470" s="429">
        <v>45960</v>
      </c>
      <c r="L470" s="130">
        <v>1100228300</v>
      </c>
      <c r="M470" s="130" t="s">
        <v>932</v>
      </c>
      <c r="N470" s="130" t="s">
        <v>5542</v>
      </c>
      <c r="O470" s="130" t="s">
        <v>6342</v>
      </c>
      <c r="P470" s="130" t="s">
        <v>45</v>
      </c>
      <c r="Q470" s="130" t="s">
        <v>5481</v>
      </c>
      <c r="R470" s="130" t="s">
        <v>3656</v>
      </c>
      <c r="S470" s="130" t="s">
        <v>6343</v>
      </c>
      <c r="T470" s="130"/>
      <c r="U470" s="130"/>
      <c r="V470" s="130"/>
      <c r="W470" s="130"/>
      <c r="X470" s="130"/>
      <c r="Y470" s="130"/>
      <c r="Z470" s="130"/>
      <c r="AA470" s="130"/>
      <c r="AB470" s="130"/>
      <c r="AC470" s="130"/>
      <c r="AD470" s="130"/>
      <c r="AE470" s="130"/>
      <c r="AF470" s="130"/>
      <c r="AG470" s="130"/>
      <c r="AH470" s="130"/>
      <c r="AI470" s="130"/>
      <c r="AJ470" s="130"/>
      <c r="AK470" s="130"/>
      <c r="AL470" s="130"/>
      <c r="AM470" s="130"/>
      <c r="AN470" s="130"/>
      <c r="AO470" s="130"/>
      <c r="AP470" s="130"/>
      <c r="AQ470" s="130"/>
      <c r="AR470" s="130"/>
      <c r="AS470" s="130"/>
      <c r="AT470" s="130"/>
      <c r="AU470" s="130"/>
      <c r="AV470" s="130"/>
      <c r="AW470" s="130"/>
      <c r="AX470" s="130"/>
      <c r="AY470" s="130"/>
      <c r="AZ470" s="130"/>
    </row>
    <row r="471" spans="1:52" ht="30" customHeight="1">
      <c r="A471" s="143">
        <v>469</v>
      </c>
      <c r="B471" s="130" t="s">
        <v>3195</v>
      </c>
      <c r="C471" s="130">
        <v>41200074</v>
      </c>
      <c r="D471" s="130" t="s">
        <v>1478</v>
      </c>
      <c r="E471" s="130" t="s">
        <v>3593</v>
      </c>
      <c r="F471" s="130" t="s">
        <v>3619</v>
      </c>
      <c r="G471" s="130" t="s">
        <v>0</v>
      </c>
      <c r="H471" s="130" t="s">
        <v>3595</v>
      </c>
      <c r="I471" s="130" t="s">
        <v>2894</v>
      </c>
      <c r="J471" s="130" t="s">
        <v>2880</v>
      </c>
      <c r="K471" s="429">
        <v>45960</v>
      </c>
      <c r="L471" s="130">
        <v>1310406700</v>
      </c>
      <c r="M471" s="130" t="s">
        <v>5351</v>
      </c>
      <c r="N471" s="130" t="s">
        <v>6344</v>
      </c>
      <c r="O471" s="130" t="s">
        <v>6345</v>
      </c>
      <c r="P471" s="130" t="s">
        <v>30</v>
      </c>
      <c r="Q471" s="130" t="s">
        <v>54</v>
      </c>
      <c r="R471" s="130" t="s">
        <v>3679</v>
      </c>
      <c r="S471" s="130" t="s">
        <v>3679</v>
      </c>
      <c r="T471" s="130"/>
      <c r="U471" s="130"/>
      <c r="V471" s="130"/>
      <c r="W471" s="130"/>
      <c r="X471" s="130"/>
      <c r="Y471" s="130"/>
      <c r="Z471" s="130"/>
      <c r="AA471" s="130"/>
      <c r="AB471" s="130"/>
      <c r="AC471" s="130"/>
      <c r="AD471" s="130"/>
      <c r="AE471" s="130"/>
      <c r="AF471" s="130"/>
      <c r="AG471" s="130"/>
      <c r="AH471" s="130"/>
      <c r="AI471" s="130"/>
      <c r="AJ471" s="130"/>
      <c r="AK471" s="130"/>
      <c r="AL471" s="130"/>
      <c r="AM471" s="130"/>
      <c r="AN471" s="130"/>
      <c r="AO471" s="130"/>
      <c r="AP471" s="130"/>
      <c r="AQ471" s="130"/>
      <c r="AR471" s="130"/>
      <c r="AS471" s="130"/>
      <c r="AT471" s="130"/>
      <c r="AU471" s="130"/>
      <c r="AV471" s="130"/>
      <c r="AW471" s="130"/>
      <c r="AX471" s="130"/>
      <c r="AY471" s="130"/>
      <c r="AZ471" s="130"/>
    </row>
    <row r="472" spans="1:52" ht="30" customHeight="1">
      <c r="A472" s="143">
        <v>470</v>
      </c>
      <c r="B472" s="130" t="s">
        <v>3209</v>
      </c>
      <c r="C472" s="130">
        <v>41200048</v>
      </c>
      <c r="D472" s="130" t="s">
        <v>1476</v>
      </c>
      <c r="E472" s="130" t="s">
        <v>3603</v>
      </c>
      <c r="F472" s="130" t="s">
        <v>3604</v>
      </c>
      <c r="G472" s="130" t="s">
        <v>0</v>
      </c>
      <c r="H472" s="130" t="s">
        <v>3595</v>
      </c>
      <c r="I472" s="130" t="s">
        <v>3596</v>
      </c>
      <c r="J472" s="130" t="s">
        <v>2880</v>
      </c>
      <c r="K472" s="429">
        <v>45964</v>
      </c>
      <c r="L472" s="130">
        <v>1100196600</v>
      </c>
      <c r="M472" s="130" t="s">
        <v>1151</v>
      </c>
      <c r="N472" s="130" t="s">
        <v>6346</v>
      </c>
      <c r="O472" s="130" t="s">
        <v>6347</v>
      </c>
      <c r="P472" s="130" t="s">
        <v>26</v>
      </c>
      <c r="Q472" s="130" t="s">
        <v>54</v>
      </c>
      <c r="R472" s="130" t="s">
        <v>3674</v>
      </c>
      <c r="S472" s="130" t="s">
        <v>3602</v>
      </c>
      <c r="T472" s="130"/>
      <c r="U472" s="130"/>
      <c r="V472" s="130"/>
      <c r="W472" s="130"/>
      <c r="X472" s="130"/>
      <c r="Y472" s="130"/>
      <c r="Z472" s="130"/>
      <c r="AA472" s="130"/>
      <c r="AB472" s="130"/>
      <c r="AC472" s="130"/>
      <c r="AD472" s="130"/>
      <c r="AE472" s="130"/>
      <c r="AF472" s="130"/>
      <c r="AG472" s="130"/>
      <c r="AH472" s="130"/>
      <c r="AI472" s="130"/>
      <c r="AJ472" s="130"/>
      <c r="AK472" s="130"/>
      <c r="AL472" s="130"/>
      <c r="AM472" s="130"/>
      <c r="AN472" s="130"/>
      <c r="AO472" s="130"/>
      <c r="AP472" s="130"/>
      <c r="AQ472" s="130"/>
      <c r="AR472" s="130"/>
      <c r="AS472" s="130"/>
      <c r="AT472" s="130"/>
      <c r="AU472" s="130"/>
      <c r="AV472" s="130"/>
      <c r="AW472" s="130"/>
      <c r="AX472" s="130"/>
      <c r="AY472" s="130"/>
      <c r="AZ472" s="130"/>
    </row>
    <row r="473" spans="1:52" ht="30" customHeight="1">
      <c r="A473" s="143">
        <v>471</v>
      </c>
      <c r="B473" s="130" t="s">
        <v>3209</v>
      </c>
      <c r="C473" s="130">
        <v>41200048</v>
      </c>
      <c r="D473" s="130" t="s">
        <v>1476</v>
      </c>
      <c r="E473" s="130" t="s">
        <v>3603</v>
      </c>
      <c r="F473" s="130" t="s">
        <v>3604</v>
      </c>
      <c r="G473" s="130" t="s">
        <v>0</v>
      </c>
      <c r="H473" s="130" t="s">
        <v>3595</v>
      </c>
      <c r="I473" s="130" t="s">
        <v>3596</v>
      </c>
      <c r="J473" s="130" t="s">
        <v>2880</v>
      </c>
      <c r="K473" s="429">
        <v>45964</v>
      </c>
      <c r="L473" s="130">
        <v>1100024300</v>
      </c>
      <c r="M473" s="130" t="s">
        <v>5534</v>
      </c>
      <c r="N473" s="130" t="s">
        <v>6348</v>
      </c>
      <c r="O473" s="130" t="s">
        <v>6349</v>
      </c>
      <c r="P473" s="130" t="s">
        <v>26</v>
      </c>
      <c r="Q473" s="130" t="s">
        <v>54</v>
      </c>
      <c r="R473" s="130" t="s">
        <v>3666</v>
      </c>
      <c r="S473" s="130" t="s">
        <v>6263</v>
      </c>
      <c r="T473" s="130"/>
      <c r="U473" s="130"/>
      <c r="V473" s="130"/>
      <c r="W473" s="130"/>
      <c r="X473" s="130"/>
      <c r="Y473" s="130"/>
      <c r="Z473" s="130"/>
      <c r="AA473" s="130"/>
      <c r="AB473" s="130"/>
      <c r="AC473" s="130"/>
      <c r="AD473" s="130"/>
      <c r="AE473" s="130"/>
      <c r="AF473" s="130"/>
      <c r="AG473" s="130"/>
      <c r="AH473" s="130"/>
      <c r="AI473" s="130"/>
      <c r="AJ473" s="130"/>
      <c r="AK473" s="130"/>
      <c r="AL473" s="130"/>
      <c r="AM473" s="130"/>
      <c r="AN473" s="130"/>
      <c r="AO473" s="130"/>
      <c r="AP473" s="130"/>
      <c r="AQ473" s="130"/>
      <c r="AR473" s="130"/>
      <c r="AS473" s="130"/>
      <c r="AT473" s="130"/>
      <c r="AU473" s="130"/>
      <c r="AV473" s="130"/>
      <c r="AW473" s="130"/>
      <c r="AX473" s="130"/>
      <c r="AY473" s="130"/>
      <c r="AZ473" s="130"/>
    </row>
    <row r="474" spans="1:52" ht="30" customHeight="1">
      <c r="A474" s="143">
        <v>472</v>
      </c>
      <c r="B474" s="130" t="s">
        <v>3210</v>
      </c>
      <c r="C474" s="130">
        <v>41200007</v>
      </c>
      <c r="D474" s="130" t="s">
        <v>1591</v>
      </c>
      <c r="E474" s="130" t="s">
        <v>3603</v>
      </c>
      <c r="F474" s="130" t="s">
        <v>3604</v>
      </c>
      <c r="G474" s="130" t="s">
        <v>0</v>
      </c>
      <c r="H474" s="130" t="s">
        <v>3595</v>
      </c>
      <c r="I474" s="130" t="s">
        <v>3762</v>
      </c>
      <c r="J474" s="130"/>
      <c r="K474" s="429">
        <v>45964</v>
      </c>
      <c r="L474" s="130">
        <v>1100091600</v>
      </c>
      <c r="M474" s="130" t="s">
        <v>347</v>
      </c>
      <c r="N474" s="130" t="s">
        <v>6350</v>
      </c>
      <c r="O474" s="130" t="s">
        <v>6351</v>
      </c>
      <c r="P474" s="130" t="s">
        <v>26</v>
      </c>
      <c r="Q474" s="130" t="s">
        <v>49</v>
      </c>
      <c r="R474" s="130" t="s">
        <v>3674</v>
      </c>
      <c r="S474" s="130" t="s">
        <v>3666</v>
      </c>
      <c r="T474" s="130"/>
      <c r="U474" s="130"/>
      <c r="V474" s="130"/>
      <c r="W474" s="130"/>
      <c r="X474" s="130"/>
      <c r="Y474" s="130"/>
      <c r="Z474" s="130"/>
      <c r="AA474" s="130"/>
      <c r="AB474" s="130"/>
      <c r="AC474" s="130"/>
      <c r="AD474" s="130"/>
      <c r="AE474" s="130"/>
      <c r="AF474" s="130"/>
      <c r="AG474" s="130"/>
      <c r="AH474" s="130"/>
      <c r="AI474" s="130"/>
      <c r="AJ474" s="130"/>
      <c r="AK474" s="130"/>
      <c r="AL474" s="130"/>
      <c r="AM474" s="130"/>
      <c r="AN474" s="130"/>
      <c r="AO474" s="130"/>
      <c r="AP474" s="130"/>
      <c r="AQ474" s="130"/>
      <c r="AR474" s="130"/>
      <c r="AS474" s="130"/>
      <c r="AT474" s="130"/>
      <c r="AU474" s="130"/>
      <c r="AV474" s="130"/>
      <c r="AW474" s="130"/>
      <c r="AX474" s="130"/>
      <c r="AY474" s="130"/>
      <c r="AZ474" s="130"/>
    </row>
    <row r="475" spans="1:52" ht="30" customHeight="1">
      <c r="A475" s="143">
        <v>473</v>
      </c>
      <c r="B475" s="130" t="s">
        <v>3219</v>
      </c>
      <c r="C475" s="130">
        <v>41200048</v>
      </c>
      <c r="D475" s="130" t="s">
        <v>1476</v>
      </c>
      <c r="E475" s="130" t="s">
        <v>3603</v>
      </c>
      <c r="F475" s="130" t="s">
        <v>3604</v>
      </c>
      <c r="G475" s="130" t="s">
        <v>0</v>
      </c>
      <c r="H475" s="130" t="s">
        <v>3595</v>
      </c>
      <c r="I475" s="130" t="s">
        <v>2894</v>
      </c>
      <c r="J475" s="130" t="s">
        <v>2679</v>
      </c>
      <c r="K475" s="429">
        <v>45965</v>
      </c>
      <c r="L475" s="130">
        <v>1100219500</v>
      </c>
      <c r="M475" s="130" t="s">
        <v>438</v>
      </c>
      <c r="N475" s="130" t="s">
        <v>6352</v>
      </c>
      <c r="O475" s="130" t="s">
        <v>6353</v>
      </c>
      <c r="P475" s="130" t="s">
        <v>26</v>
      </c>
      <c r="Q475" s="130" t="s">
        <v>49</v>
      </c>
      <c r="R475" s="130" t="s">
        <v>3674</v>
      </c>
      <c r="S475" s="130" t="s">
        <v>3666</v>
      </c>
      <c r="T475" s="130"/>
      <c r="U475" s="130"/>
      <c r="V475" s="130"/>
      <c r="W475" s="130"/>
      <c r="X475" s="130"/>
      <c r="Y475" s="130"/>
      <c r="Z475" s="130"/>
      <c r="AA475" s="130"/>
      <c r="AB475" s="130"/>
      <c r="AC475" s="130"/>
      <c r="AD475" s="130"/>
      <c r="AE475" s="130"/>
      <c r="AF475" s="130"/>
      <c r="AG475" s="130"/>
      <c r="AH475" s="130"/>
      <c r="AI475" s="130"/>
      <c r="AJ475" s="130"/>
      <c r="AK475" s="130"/>
      <c r="AL475" s="130"/>
      <c r="AM475" s="130"/>
      <c r="AN475" s="130"/>
      <c r="AO475" s="130"/>
      <c r="AP475" s="130"/>
      <c r="AQ475" s="130"/>
      <c r="AR475" s="130"/>
      <c r="AS475" s="130"/>
      <c r="AT475" s="130"/>
      <c r="AU475" s="130"/>
      <c r="AV475" s="130"/>
      <c r="AW475" s="130"/>
      <c r="AX475" s="130"/>
      <c r="AY475" s="130"/>
      <c r="AZ475" s="130"/>
    </row>
    <row r="476" spans="1:52" ht="30" customHeight="1">
      <c r="A476" s="143">
        <v>474</v>
      </c>
      <c r="B476" s="130" t="s">
        <v>3218</v>
      </c>
      <c r="C476" s="130">
        <v>41200048</v>
      </c>
      <c r="D476" s="130" t="s">
        <v>1476</v>
      </c>
      <c r="E476" s="130" t="s">
        <v>3603</v>
      </c>
      <c r="F476" s="130" t="s">
        <v>3604</v>
      </c>
      <c r="G476" s="130" t="s">
        <v>0</v>
      </c>
      <c r="H476" s="130" t="s">
        <v>3614</v>
      </c>
      <c r="I476" s="130" t="s">
        <v>3596</v>
      </c>
      <c r="J476" s="130" t="s">
        <v>2880</v>
      </c>
      <c r="K476" s="429">
        <v>45965</v>
      </c>
      <c r="L476" s="130">
        <v>1100832500</v>
      </c>
      <c r="M476" s="130" t="s">
        <v>287</v>
      </c>
      <c r="N476" s="130" t="s">
        <v>6354</v>
      </c>
      <c r="O476" s="130" t="s">
        <v>6355</v>
      </c>
      <c r="P476" s="130" t="s">
        <v>45</v>
      </c>
      <c r="Q476" s="130" t="s">
        <v>5481</v>
      </c>
      <c r="R476" s="130" t="s">
        <v>3666</v>
      </c>
      <c r="S476" s="130" t="s">
        <v>3666</v>
      </c>
      <c r="T476" s="130"/>
      <c r="U476" s="130"/>
      <c r="V476" s="130"/>
      <c r="W476" s="130"/>
      <c r="X476" s="130"/>
      <c r="Y476" s="130"/>
      <c r="Z476" s="130"/>
      <c r="AA476" s="130"/>
      <c r="AB476" s="130"/>
      <c r="AC476" s="130"/>
      <c r="AD476" s="130"/>
      <c r="AE476" s="130"/>
      <c r="AF476" s="130"/>
      <c r="AG476" s="130"/>
      <c r="AH476" s="130"/>
      <c r="AI476" s="130"/>
      <c r="AJ476" s="130"/>
      <c r="AK476" s="130"/>
      <c r="AL476" s="130"/>
      <c r="AM476" s="130"/>
      <c r="AN476" s="130"/>
      <c r="AO476" s="130"/>
      <c r="AP476" s="130"/>
      <c r="AQ476" s="130"/>
      <c r="AR476" s="130"/>
      <c r="AS476" s="130"/>
      <c r="AT476" s="130"/>
      <c r="AU476" s="130"/>
      <c r="AV476" s="130"/>
      <c r="AW476" s="130"/>
      <c r="AX476" s="130"/>
      <c r="AY476" s="130"/>
      <c r="AZ476" s="130"/>
    </row>
    <row r="477" spans="1:52" ht="30" customHeight="1">
      <c r="A477" s="143">
        <v>475</v>
      </c>
      <c r="B477" s="130" t="s">
        <v>3215</v>
      </c>
      <c r="C477" s="130">
        <v>41200133</v>
      </c>
      <c r="D477" s="130" t="s">
        <v>1476</v>
      </c>
      <c r="E477" s="130" t="s">
        <v>3603</v>
      </c>
      <c r="F477" s="130" t="s">
        <v>3619</v>
      </c>
      <c r="G477" s="130" t="s">
        <v>0</v>
      </c>
      <c r="H477" s="130" t="s">
        <v>3595</v>
      </c>
      <c r="I477" s="130" t="s">
        <v>2894</v>
      </c>
      <c r="J477" s="130" t="s">
        <v>2880</v>
      </c>
      <c r="K477" s="429">
        <v>45965</v>
      </c>
      <c r="L477" s="130">
        <v>1100012500</v>
      </c>
      <c r="M477" s="130" t="s">
        <v>1049</v>
      </c>
      <c r="N477" s="130" t="s">
        <v>6356</v>
      </c>
      <c r="O477" s="130" t="s">
        <v>6357</v>
      </c>
      <c r="P477" s="130" t="s">
        <v>26</v>
      </c>
      <c r="Q477" s="130" t="s">
        <v>49</v>
      </c>
      <c r="R477" s="130" t="s">
        <v>3674</v>
      </c>
      <c r="S477" s="130" t="s">
        <v>3915</v>
      </c>
      <c r="T477" s="130"/>
      <c r="U477" s="130"/>
      <c r="V477" s="130"/>
      <c r="W477" s="130"/>
      <c r="X477" s="130"/>
      <c r="Y477" s="130"/>
      <c r="Z477" s="130"/>
      <c r="AA477" s="130"/>
      <c r="AB477" s="130"/>
      <c r="AC477" s="130"/>
      <c r="AD477" s="130"/>
      <c r="AE477" s="130"/>
      <c r="AF477" s="130"/>
      <c r="AG477" s="130"/>
      <c r="AH477" s="130"/>
      <c r="AI477" s="130"/>
      <c r="AJ477" s="130"/>
      <c r="AK477" s="130"/>
      <c r="AL477" s="130"/>
      <c r="AM477" s="130"/>
      <c r="AN477" s="130"/>
      <c r="AO477" s="130"/>
      <c r="AP477" s="130"/>
      <c r="AQ477" s="130"/>
      <c r="AR477" s="130"/>
      <c r="AS477" s="130"/>
      <c r="AT477" s="130"/>
      <c r="AU477" s="130"/>
      <c r="AV477" s="130"/>
      <c r="AW477" s="130"/>
      <c r="AX477" s="130"/>
      <c r="AY477" s="130"/>
      <c r="AZ477" s="130"/>
    </row>
    <row r="478" spans="1:52" ht="30" customHeight="1">
      <c r="A478" s="143">
        <v>476</v>
      </c>
      <c r="B478" s="269" t="s">
        <v>3215</v>
      </c>
      <c r="C478" s="269">
        <v>41200133</v>
      </c>
      <c r="D478" s="269" t="s">
        <v>1476</v>
      </c>
      <c r="E478" s="269" t="s">
        <v>3603</v>
      </c>
      <c r="F478" s="269" t="s">
        <v>3619</v>
      </c>
      <c r="G478" s="269" t="s">
        <v>0</v>
      </c>
      <c r="H478" s="269" t="s">
        <v>3595</v>
      </c>
      <c r="I478" s="269" t="s">
        <v>3762</v>
      </c>
      <c r="J478" s="269" t="s">
        <v>2679</v>
      </c>
      <c r="K478" s="431">
        <v>45965</v>
      </c>
      <c r="L478" s="269">
        <v>1100196600</v>
      </c>
      <c r="M478" s="269" t="s">
        <v>1151</v>
      </c>
      <c r="N478" s="269" t="s">
        <v>6358</v>
      </c>
      <c r="O478" s="269" t="s">
        <v>6359</v>
      </c>
      <c r="P478" s="269" t="s">
        <v>26</v>
      </c>
      <c r="Q478" s="269" t="s">
        <v>49</v>
      </c>
      <c r="R478" s="269" t="s">
        <v>3674</v>
      </c>
      <c r="S478" s="269" t="s">
        <v>3806</v>
      </c>
      <c r="T478" s="130"/>
      <c r="U478" s="130"/>
      <c r="V478" s="130"/>
      <c r="W478" s="130"/>
      <c r="X478" s="130"/>
      <c r="Y478" s="130"/>
      <c r="Z478" s="130"/>
      <c r="AA478" s="130"/>
      <c r="AB478" s="130"/>
      <c r="AC478" s="130"/>
      <c r="AD478" s="130"/>
      <c r="AE478" s="130"/>
      <c r="AF478" s="130"/>
      <c r="AG478" s="130"/>
      <c r="AH478" s="130"/>
      <c r="AI478" s="130"/>
      <c r="AJ478" s="130"/>
      <c r="AK478" s="130"/>
      <c r="AL478" s="130"/>
      <c r="AM478" s="130"/>
      <c r="AN478" s="130"/>
      <c r="AO478" s="130"/>
      <c r="AP478" s="130"/>
      <c r="AQ478" s="130"/>
      <c r="AR478" s="130"/>
      <c r="AS478" s="130"/>
      <c r="AT478" s="130"/>
      <c r="AU478" s="130"/>
      <c r="AV478" s="130"/>
      <c r="AW478" s="130"/>
      <c r="AX478" s="130"/>
      <c r="AY478" s="130"/>
      <c r="AZ478" s="130"/>
    </row>
    <row r="479" spans="1:52" ht="30" customHeight="1">
      <c r="A479" s="525">
        <v>477</v>
      </c>
      <c r="B479" s="132" t="s">
        <v>3231</v>
      </c>
      <c r="C479" s="132">
        <v>41100435</v>
      </c>
      <c r="D479" s="132" t="s">
        <v>3801</v>
      </c>
      <c r="E479" s="132" t="s">
        <v>3593</v>
      </c>
      <c r="F479" s="132" t="s">
        <v>3619</v>
      </c>
      <c r="G479" s="132" t="s">
        <v>0</v>
      </c>
      <c r="H479" s="132" t="s">
        <v>3595</v>
      </c>
      <c r="I479" s="132" t="s">
        <v>3596</v>
      </c>
      <c r="J479" s="132" t="s">
        <v>71</v>
      </c>
      <c r="K479" s="140">
        <v>45966</v>
      </c>
      <c r="L479" s="132">
        <v>1100372200</v>
      </c>
      <c r="M479" s="132" t="s">
        <v>255</v>
      </c>
      <c r="N479" s="132" t="s">
        <v>6360</v>
      </c>
      <c r="O479" s="132" t="s">
        <v>6361</v>
      </c>
      <c r="P479" s="132" t="s">
        <v>5811</v>
      </c>
      <c r="Q479" s="132" t="s">
        <v>49</v>
      </c>
      <c r="R479" s="132" t="s">
        <v>6176</v>
      </c>
      <c r="S479" s="132" t="s">
        <v>3727</v>
      </c>
      <c r="U479" s="130"/>
      <c r="V479" s="130"/>
      <c r="W479" s="130"/>
      <c r="X479" s="130"/>
      <c r="Y479" s="130"/>
      <c r="Z479" s="130"/>
      <c r="AA479" s="130"/>
      <c r="AB479" s="130"/>
      <c r="AC479" s="130"/>
      <c r="AD479" s="130"/>
      <c r="AE479" s="130"/>
      <c r="AF479" s="130"/>
      <c r="AG479" s="130"/>
      <c r="AH479" s="130"/>
      <c r="AI479" s="130"/>
      <c r="AJ479" s="130"/>
      <c r="AK479" s="130"/>
      <c r="AL479" s="130"/>
      <c r="AM479" s="130"/>
      <c r="AN479" s="130"/>
      <c r="AO479" s="130"/>
      <c r="AP479" s="130"/>
      <c r="AQ479" s="130"/>
      <c r="AR479" s="130"/>
      <c r="AS479" s="130"/>
      <c r="AT479" s="130"/>
      <c r="AU479" s="130"/>
      <c r="AV479" s="130"/>
      <c r="AW479" s="130"/>
      <c r="AX479" s="130"/>
      <c r="AY479" s="130"/>
      <c r="AZ479" s="130"/>
    </row>
    <row r="480" spans="1:52" ht="30" customHeight="1">
      <c r="A480" s="525">
        <v>478</v>
      </c>
      <c r="B480" s="132" t="s">
        <v>3231</v>
      </c>
      <c r="C480" s="132">
        <v>41100435</v>
      </c>
      <c r="D480" s="132" t="s">
        <v>3801</v>
      </c>
      <c r="E480" s="132" t="s">
        <v>3593</v>
      </c>
      <c r="F480" s="132" t="s">
        <v>3619</v>
      </c>
      <c r="G480" s="132" t="s">
        <v>0</v>
      </c>
      <c r="H480" s="132" t="s">
        <v>3614</v>
      </c>
      <c r="I480" s="132" t="s">
        <v>3596</v>
      </c>
      <c r="J480" s="132" t="s">
        <v>71</v>
      </c>
      <c r="K480" s="140">
        <v>45966</v>
      </c>
      <c r="L480" s="132">
        <v>1100273700</v>
      </c>
      <c r="M480" s="132" t="s">
        <v>735</v>
      </c>
      <c r="N480" s="132" t="s">
        <v>6362</v>
      </c>
      <c r="O480" s="132" t="s">
        <v>6363</v>
      </c>
      <c r="P480" s="132" t="s">
        <v>45</v>
      </c>
      <c r="Q480" s="132" t="s">
        <v>5481</v>
      </c>
      <c r="R480" s="132" t="s">
        <v>3656</v>
      </c>
      <c r="S480" s="132" t="s">
        <v>5600</v>
      </c>
      <c r="U480" s="130"/>
      <c r="V480" s="130"/>
      <c r="W480" s="130"/>
      <c r="X480" s="130"/>
      <c r="Y480" s="130"/>
      <c r="Z480" s="130"/>
      <c r="AA480" s="130"/>
      <c r="AB480" s="130"/>
      <c r="AC480" s="130"/>
      <c r="AD480" s="130"/>
      <c r="AE480" s="130"/>
      <c r="AF480" s="130"/>
      <c r="AG480" s="130"/>
      <c r="AH480" s="130"/>
      <c r="AI480" s="130"/>
      <c r="AJ480" s="130"/>
      <c r="AK480" s="130"/>
      <c r="AL480" s="130"/>
      <c r="AM480" s="130"/>
      <c r="AN480" s="130"/>
      <c r="AO480" s="130"/>
      <c r="AP480" s="130"/>
      <c r="AQ480" s="130"/>
      <c r="AR480" s="130"/>
      <c r="AS480" s="130"/>
      <c r="AT480" s="130"/>
      <c r="AU480" s="130"/>
      <c r="AV480" s="130"/>
      <c r="AW480" s="130"/>
      <c r="AX480" s="130"/>
      <c r="AY480" s="130"/>
      <c r="AZ480" s="130"/>
    </row>
    <row r="481" spans="1:52" ht="30" customHeight="1">
      <c r="A481" s="525">
        <v>479</v>
      </c>
      <c r="B481" s="132" t="s">
        <v>3222</v>
      </c>
      <c r="C481" s="132">
        <v>41200124</v>
      </c>
      <c r="D481" s="132" t="s">
        <v>1476</v>
      </c>
      <c r="E481" s="132" t="s">
        <v>3593</v>
      </c>
      <c r="F481" s="132" t="s">
        <v>3619</v>
      </c>
      <c r="G481" s="132" t="s">
        <v>0</v>
      </c>
      <c r="H481" s="132" t="s">
        <v>3595</v>
      </c>
      <c r="I481" s="132" t="s">
        <v>3762</v>
      </c>
      <c r="J481" s="132" t="s">
        <v>2679</v>
      </c>
      <c r="K481" s="140">
        <v>45966</v>
      </c>
      <c r="L481" s="132">
        <v>1100013600</v>
      </c>
      <c r="M481" s="132" t="s">
        <v>1049</v>
      </c>
      <c r="N481" s="132" t="s">
        <v>6364</v>
      </c>
      <c r="O481" s="132" t="s">
        <v>6365</v>
      </c>
      <c r="P481" s="132" t="s">
        <v>26</v>
      </c>
      <c r="Q481" s="132" t="s">
        <v>49</v>
      </c>
      <c r="R481" s="132" t="s">
        <v>3656</v>
      </c>
      <c r="S481" s="132" t="s">
        <v>3987</v>
      </c>
      <c r="U481" s="130"/>
      <c r="V481" s="130"/>
      <c r="W481" s="130"/>
      <c r="X481" s="130"/>
      <c r="Y481" s="130"/>
      <c r="Z481" s="130"/>
      <c r="AA481" s="130"/>
      <c r="AB481" s="130"/>
      <c r="AC481" s="130"/>
      <c r="AD481" s="130"/>
      <c r="AE481" s="130"/>
      <c r="AF481" s="130"/>
      <c r="AG481" s="130"/>
      <c r="AH481" s="130"/>
      <c r="AI481" s="130"/>
      <c r="AJ481" s="130"/>
      <c r="AK481" s="130"/>
      <c r="AL481" s="130"/>
      <c r="AM481" s="130"/>
      <c r="AN481" s="130"/>
      <c r="AO481" s="130"/>
      <c r="AP481" s="130"/>
      <c r="AQ481" s="130"/>
      <c r="AR481" s="130"/>
      <c r="AS481" s="130"/>
      <c r="AT481" s="130"/>
      <c r="AU481" s="130"/>
      <c r="AV481" s="130"/>
      <c r="AW481" s="130"/>
      <c r="AX481" s="130"/>
      <c r="AY481" s="130"/>
      <c r="AZ481" s="130"/>
    </row>
    <row r="482" spans="1:52" ht="30" customHeight="1">
      <c r="A482" s="525">
        <v>480</v>
      </c>
      <c r="B482" s="132" t="s">
        <v>3224</v>
      </c>
      <c r="C482" s="132">
        <v>41200136</v>
      </c>
      <c r="D482" s="132" t="s">
        <v>1482</v>
      </c>
      <c r="E482" s="132" t="s">
        <v>3603</v>
      </c>
      <c r="F482" s="132" t="s">
        <v>3604</v>
      </c>
      <c r="G482" s="132" t="s">
        <v>0</v>
      </c>
      <c r="H482" s="132" t="s">
        <v>3614</v>
      </c>
      <c r="I482" s="132" t="s">
        <v>3596</v>
      </c>
      <c r="J482" s="132" t="s">
        <v>71</v>
      </c>
      <c r="K482" s="140">
        <v>45966</v>
      </c>
      <c r="L482" s="132">
        <v>1100228300</v>
      </c>
      <c r="M482" s="132" t="s">
        <v>932</v>
      </c>
      <c r="N482" s="132" t="s">
        <v>5542</v>
      </c>
      <c r="O482" s="132" t="s">
        <v>6366</v>
      </c>
      <c r="P482" s="132" t="s">
        <v>45</v>
      </c>
      <c r="Q482" s="132" t="s">
        <v>5481</v>
      </c>
      <c r="R482" s="132" t="s">
        <v>3666</v>
      </c>
      <c r="S482" s="132" t="s">
        <v>3666</v>
      </c>
      <c r="U482" s="130"/>
      <c r="V482" s="130"/>
      <c r="W482" s="130"/>
      <c r="X482" s="130"/>
      <c r="Y482" s="130"/>
      <c r="Z482" s="130"/>
      <c r="AA482" s="130"/>
      <c r="AB482" s="130"/>
      <c r="AC482" s="130"/>
      <c r="AD482" s="130"/>
      <c r="AE482" s="130"/>
      <c r="AF482" s="130"/>
      <c r="AG482" s="130"/>
      <c r="AH482" s="130"/>
      <c r="AI482" s="130"/>
      <c r="AJ482" s="130"/>
      <c r="AK482" s="130"/>
      <c r="AL482" s="130"/>
      <c r="AM482" s="130"/>
      <c r="AN482" s="130"/>
      <c r="AO482" s="130"/>
      <c r="AP482" s="130"/>
      <c r="AQ482" s="130"/>
      <c r="AR482" s="130"/>
      <c r="AS482" s="130"/>
      <c r="AT482" s="130"/>
      <c r="AU482" s="130"/>
      <c r="AV482" s="130"/>
      <c r="AW482" s="130"/>
      <c r="AX482" s="130"/>
      <c r="AY482" s="130"/>
      <c r="AZ482" s="130"/>
    </row>
    <row r="483" spans="1:52" ht="30" customHeight="1">
      <c r="A483" s="525">
        <v>481</v>
      </c>
      <c r="B483" s="132" t="s">
        <v>3224</v>
      </c>
      <c r="C483" s="132">
        <v>41200136</v>
      </c>
      <c r="D483" s="132" t="s">
        <v>1482</v>
      </c>
      <c r="E483" s="132" t="s">
        <v>3603</v>
      </c>
      <c r="F483" s="132" t="s">
        <v>3604</v>
      </c>
      <c r="G483" s="132" t="s">
        <v>0</v>
      </c>
      <c r="H483" s="132" t="s">
        <v>3614</v>
      </c>
      <c r="I483" s="132" t="s">
        <v>3596</v>
      </c>
      <c r="J483" s="132" t="s">
        <v>71</v>
      </c>
      <c r="K483" s="140">
        <v>45966</v>
      </c>
      <c r="L483" s="132">
        <v>1100228300</v>
      </c>
      <c r="M483" s="132" t="s">
        <v>932</v>
      </c>
      <c r="N483" s="132" t="s">
        <v>5542</v>
      </c>
      <c r="O483" s="132" t="s">
        <v>6367</v>
      </c>
      <c r="P483" s="132" t="s">
        <v>45</v>
      </c>
      <c r="Q483" s="132" t="s">
        <v>5481</v>
      </c>
      <c r="R483" s="132" t="s">
        <v>3666</v>
      </c>
      <c r="S483" s="132" t="s">
        <v>3666</v>
      </c>
      <c r="U483" s="130"/>
      <c r="V483" s="130"/>
      <c r="W483" s="130"/>
      <c r="X483" s="130"/>
      <c r="Y483" s="130"/>
      <c r="Z483" s="130"/>
      <c r="AA483" s="130"/>
      <c r="AB483" s="130"/>
      <c r="AC483" s="130"/>
      <c r="AD483" s="130"/>
      <c r="AE483" s="130"/>
      <c r="AF483" s="130"/>
      <c r="AG483" s="130"/>
      <c r="AH483" s="130"/>
      <c r="AI483" s="130"/>
      <c r="AJ483" s="130"/>
      <c r="AK483" s="130"/>
      <c r="AL483" s="130"/>
      <c r="AM483" s="130"/>
      <c r="AN483" s="130"/>
      <c r="AO483" s="130"/>
      <c r="AP483" s="130"/>
      <c r="AQ483" s="130"/>
      <c r="AR483" s="130"/>
      <c r="AS483" s="130"/>
      <c r="AT483" s="130"/>
      <c r="AU483" s="130"/>
      <c r="AV483" s="130"/>
      <c r="AW483" s="130"/>
      <c r="AX483" s="130"/>
      <c r="AY483" s="130"/>
      <c r="AZ483" s="130"/>
    </row>
    <row r="484" spans="1:52" ht="30" customHeight="1">
      <c r="A484" s="525">
        <v>482</v>
      </c>
      <c r="B484" s="302" t="s">
        <v>3238</v>
      </c>
      <c r="C484" s="302">
        <v>41200006</v>
      </c>
      <c r="D484" s="302" t="s">
        <v>1477</v>
      </c>
      <c r="E484" s="302" t="s">
        <v>3603</v>
      </c>
      <c r="F484" s="302" t="s">
        <v>3604</v>
      </c>
      <c r="G484" s="302" t="s">
        <v>0</v>
      </c>
      <c r="H484" s="302" t="s">
        <v>3614</v>
      </c>
      <c r="I484" s="302" t="s">
        <v>3596</v>
      </c>
      <c r="J484" s="302" t="s">
        <v>2880</v>
      </c>
      <c r="K484" s="439">
        <v>45967</v>
      </c>
      <c r="L484" s="302">
        <v>1100228300</v>
      </c>
      <c r="M484" s="302" t="s">
        <v>932</v>
      </c>
      <c r="N484" s="302" t="s">
        <v>5542</v>
      </c>
      <c r="O484" s="302" t="s">
        <v>6368</v>
      </c>
      <c r="P484" s="302" t="s">
        <v>45</v>
      </c>
      <c r="Q484" s="302" t="s">
        <v>5481</v>
      </c>
      <c r="R484" s="302" t="s">
        <v>3666</v>
      </c>
      <c r="S484" s="302" t="s">
        <v>6263</v>
      </c>
      <c r="T484" s="130"/>
      <c r="U484" s="130"/>
      <c r="V484" s="130"/>
      <c r="W484" s="130"/>
      <c r="X484" s="130"/>
      <c r="Y484" s="130"/>
      <c r="Z484" s="130"/>
      <c r="AA484" s="130"/>
      <c r="AB484" s="130"/>
      <c r="AC484" s="130"/>
      <c r="AD484" s="130"/>
      <c r="AE484" s="130"/>
      <c r="AF484" s="130"/>
      <c r="AG484" s="130"/>
      <c r="AH484" s="130"/>
      <c r="AI484" s="130"/>
      <c r="AJ484" s="130"/>
      <c r="AK484" s="130"/>
      <c r="AL484" s="130"/>
      <c r="AM484" s="130"/>
      <c r="AN484" s="130"/>
      <c r="AO484" s="130"/>
      <c r="AP484" s="130"/>
      <c r="AQ484" s="130"/>
      <c r="AR484" s="130"/>
      <c r="AS484" s="130"/>
      <c r="AT484" s="130"/>
      <c r="AU484" s="130"/>
      <c r="AV484" s="130"/>
      <c r="AW484" s="130"/>
      <c r="AX484" s="130"/>
      <c r="AY484" s="130"/>
      <c r="AZ484" s="130"/>
    </row>
    <row r="485" spans="1:52" ht="30" customHeight="1">
      <c r="A485" s="525">
        <v>483</v>
      </c>
      <c r="B485" s="130" t="s">
        <v>3240</v>
      </c>
      <c r="C485" s="130">
        <v>41200125</v>
      </c>
      <c r="D485" s="130" t="s">
        <v>1476</v>
      </c>
      <c r="E485" s="130" t="s">
        <v>3603</v>
      </c>
      <c r="F485" s="130" t="s">
        <v>3604</v>
      </c>
      <c r="G485" s="130" t="s">
        <v>0</v>
      </c>
      <c r="H485" s="130" t="s">
        <v>3595</v>
      </c>
      <c r="I485" s="130" t="s">
        <v>2894</v>
      </c>
      <c r="J485" s="130" t="s">
        <v>2679</v>
      </c>
      <c r="K485" s="429">
        <v>45967</v>
      </c>
      <c r="L485" s="130">
        <v>1310723800</v>
      </c>
      <c r="M485" s="130" t="s">
        <v>5367</v>
      </c>
      <c r="N485" s="130" t="s">
        <v>6369</v>
      </c>
      <c r="O485" s="130" t="s">
        <v>6370</v>
      </c>
      <c r="P485" s="130" t="s">
        <v>30</v>
      </c>
      <c r="Q485" s="130" t="s">
        <v>49</v>
      </c>
      <c r="R485" s="130" t="s">
        <v>3666</v>
      </c>
      <c r="S485" s="130" t="s">
        <v>3798</v>
      </c>
      <c r="T485" s="130"/>
      <c r="U485" s="130"/>
      <c r="V485" s="130"/>
      <c r="W485" s="130"/>
      <c r="X485" s="130"/>
      <c r="Y485" s="130"/>
      <c r="Z485" s="130"/>
      <c r="AA485" s="130"/>
      <c r="AB485" s="130"/>
      <c r="AC485" s="130"/>
      <c r="AD485" s="130"/>
      <c r="AE485" s="130"/>
      <c r="AF485" s="130"/>
      <c r="AG485" s="130"/>
      <c r="AH485" s="130"/>
      <c r="AI485" s="130"/>
      <c r="AJ485" s="130"/>
      <c r="AK485" s="130"/>
      <c r="AL485" s="130"/>
      <c r="AM485" s="130"/>
      <c r="AN485" s="130"/>
      <c r="AO485" s="130"/>
      <c r="AP485" s="130"/>
      <c r="AQ485" s="130"/>
      <c r="AR485" s="130"/>
      <c r="AS485" s="130"/>
      <c r="AT485" s="130"/>
      <c r="AU485" s="130"/>
      <c r="AV485" s="130"/>
      <c r="AW485" s="130"/>
      <c r="AX485" s="130"/>
      <c r="AY485" s="130"/>
      <c r="AZ485" s="130"/>
    </row>
    <row r="486" spans="1:52" ht="30" customHeight="1">
      <c r="A486" s="525">
        <v>484</v>
      </c>
      <c r="B486" s="130" t="s">
        <v>3243</v>
      </c>
      <c r="C486" s="130">
        <v>41200076</v>
      </c>
      <c r="D486" s="130" t="s">
        <v>1476</v>
      </c>
      <c r="E486" s="130" t="s">
        <v>3603</v>
      </c>
      <c r="F486" s="130" t="s">
        <v>3619</v>
      </c>
      <c r="G486" s="130" t="s">
        <v>0</v>
      </c>
      <c r="H486" s="130" t="s">
        <v>3614</v>
      </c>
      <c r="I486" s="130" t="s">
        <v>3596</v>
      </c>
      <c r="J486" s="130" t="s">
        <v>2679</v>
      </c>
      <c r="K486" s="429">
        <v>45968</v>
      </c>
      <c r="L486" s="130">
        <v>1100228300</v>
      </c>
      <c r="M486" s="130" t="s">
        <v>932</v>
      </c>
      <c r="N486" s="130" t="s">
        <v>5542</v>
      </c>
      <c r="O486" s="130" t="s">
        <v>6371</v>
      </c>
      <c r="P486" s="130" t="s">
        <v>45</v>
      </c>
      <c r="Q486" s="130" t="s">
        <v>5481</v>
      </c>
      <c r="R486" s="130" t="s">
        <v>3666</v>
      </c>
      <c r="S486" s="130" t="s">
        <v>3666</v>
      </c>
      <c r="T486" s="130"/>
      <c r="U486" s="130"/>
      <c r="V486" s="130"/>
      <c r="W486" s="130"/>
      <c r="X486" s="130"/>
      <c r="Y486" s="130"/>
      <c r="Z486" s="130"/>
      <c r="AA486" s="130"/>
      <c r="AB486" s="130"/>
      <c r="AC486" s="130"/>
      <c r="AD486" s="130"/>
      <c r="AE486" s="130"/>
      <c r="AF486" s="130"/>
      <c r="AG486" s="130"/>
      <c r="AH486" s="130"/>
      <c r="AI486" s="130"/>
      <c r="AJ486" s="130"/>
      <c r="AK486" s="130"/>
      <c r="AL486" s="130"/>
      <c r="AM486" s="130"/>
      <c r="AN486" s="130"/>
      <c r="AO486" s="130"/>
      <c r="AP486" s="130"/>
      <c r="AQ486" s="130"/>
      <c r="AR486" s="130"/>
      <c r="AS486" s="130"/>
      <c r="AT486" s="130"/>
      <c r="AU486" s="130"/>
      <c r="AV486" s="130"/>
      <c r="AW486" s="130"/>
      <c r="AX486" s="130"/>
      <c r="AY486" s="130"/>
      <c r="AZ486" s="130"/>
    </row>
    <row r="487" spans="1:52" ht="30" customHeight="1">
      <c r="A487" s="525">
        <v>485</v>
      </c>
      <c r="B487" s="130" t="s">
        <v>3256</v>
      </c>
      <c r="C487" s="130">
        <v>41000544</v>
      </c>
      <c r="D487" s="130" t="s">
        <v>1476</v>
      </c>
      <c r="E487" s="130" t="s">
        <v>3593</v>
      </c>
      <c r="F487" s="130" t="s">
        <v>3619</v>
      </c>
      <c r="G487" s="130" t="s">
        <v>0</v>
      </c>
      <c r="H487" s="130" t="s">
        <v>3595</v>
      </c>
      <c r="I487" s="130" t="s">
        <v>3596</v>
      </c>
      <c r="J487" s="130" t="s">
        <v>2679</v>
      </c>
      <c r="K487" s="429">
        <v>45968</v>
      </c>
      <c r="L487" s="130">
        <v>1110136700</v>
      </c>
      <c r="M487" s="130" t="s">
        <v>473</v>
      </c>
      <c r="N487" s="130" t="s">
        <v>6372</v>
      </c>
      <c r="O487" s="130" t="s">
        <v>6373</v>
      </c>
      <c r="P487" s="130" t="s">
        <v>3600</v>
      </c>
      <c r="Q487" s="130" t="s">
        <v>54</v>
      </c>
      <c r="R487" s="130" t="s">
        <v>3602</v>
      </c>
      <c r="S487" s="130" t="s">
        <v>3806</v>
      </c>
      <c r="T487" s="130"/>
      <c r="U487" s="130"/>
      <c r="V487" s="130"/>
      <c r="W487" s="130"/>
      <c r="X487" s="130"/>
      <c r="Y487" s="130"/>
      <c r="Z487" s="130"/>
      <c r="AA487" s="130"/>
      <c r="AB487" s="130"/>
      <c r="AC487" s="130"/>
      <c r="AD487" s="130"/>
      <c r="AE487" s="130"/>
      <c r="AF487" s="130"/>
      <c r="AG487" s="130"/>
      <c r="AH487" s="130"/>
      <c r="AI487" s="130"/>
      <c r="AJ487" s="130"/>
      <c r="AK487" s="130"/>
      <c r="AL487" s="130"/>
      <c r="AM487" s="130"/>
      <c r="AN487" s="130"/>
      <c r="AO487" s="130"/>
      <c r="AP487" s="130"/>
      <c r="AQ487" s="130"/>
      <c r="AR487" s="130"/>
      <c r="AS487" s="130"/>
      <c r="AT487" s="130"/>
      <c r="AU487" s="130"/>
      <c r="AV487" s="130"/>
      <c r="AW487" s="130"/>
      <c r="AX487" s="130"/>
      <c r="AY487" s="130"/>
      <c r="AZ487" s="130"/>
    </row>
    <row r="488" spans="1:52" ht="30" customHeight="1">
      <c r="A488" s="525">
        <v>486</v>
      </c>
      <c r="B488" s="130" t="s">
        <v>3256</v>
      </c>
      <c r="C488" s="130">
        <v>41000544</v>
      </c>
      <c r="D488" s="130" t="s">
        <v>1476</v>
      </c>
      <c r="E488" s="130" t="s">
        <v>3593</v>
      </c>
      <c r="F488" s="130" t="s">
        <v>3619</v>
      </c>
      <c r="G488" s="130" t="s">
        <v>0</v>
      </c>
      <c r="H488" s="130" t="s">
        <v>3595</v>
      </c>
      <c r="I488" s="130" t="s">
        <v>2894</v>
      </c>
      <c r="J488" s="130"/>
      <c r="K488" s="429">
        <v>45968</v>
      </c>
      <c r="L488" s="130">
        <v>1100008800</v>
      </c>
      <c r="M488" s="130" t="s">
        <v>143</v>
      </c>
      <c r="N488" s="130" t="s">
        <v>6340</v>
      </c>
      <c r="O488" s="130" t="s">
        <v>6374</v>
      </c>
      <c r="P488" s="130" t="s">
        <v>26</v>
      </c>
      <c r="Q488" s="130" t="s">
        <v>49</v>
      </c>
      <c r="R488" s="130" t="s">
        <v>3674</v>
      </c>
      <c r="S488" s="130" t="s">
        <v>3774</v>
      </c>
      <c r="T488" s="130"/>
      <c r="U488" s="130"/>
      <c r="V488" s="130"/>
      <c r="W488" s="130"/>
      <c r="X488" s="130"/>
      <c r="Y488" s="130"/>
      <c r="Z488" s="130"/>
      <c r="AA488" s="130"/>
      <c r="AB488" s="130"/>
      <c r="AC488" s="130"/>
      <c r="AD488" s="130"/>
      <c r="AE488" s="130"/>
      <c r="AF488" s="130"/>
      <c r="AG488" s="130"/>
      <c r="AH488" s="130"/>
      <c r="AI488" s="130"/>
      <c r="AJ488" s="130"/>
      <c r="AK488" s="130"/>
      <c r="AL488" s="130"/>
      <c r="AM488" s="130"/>
      <c r="AN488" s="130"/>
      <c r="AO488" s="130"/>
      <c r="AP488" s="130"/>
      <c r="AQ488" s="130"/>
      <c r="AR488" s="130"/>
      <c r="AS488" s="130"/>
      <c r="AT488" s="130"/>
      <c r="AU488" s="130"/>
      <c r="AV488" s="130"/>
      <c r="AW488" s="130"/>
      <c r="AX488" s="130"/>
      <c r="AY488" s="130"/>
      <c r="AZ488" s="130"/>
    </row>
    <row r="489" spans="1:52" ht="30" customHeight="1">
      <c r="A489" s="525">
        <v>487</v>
      </c>
      <c r="B489" s="130" t="s">
        <v>3245</v>
      </c>
      <c r="C489" s="130">
        <v>41000544</v>
      </c>
      <c r="D489" s="130" t="s">
        <v>1476</v>
      </c>
      <c r="E489" s="130" t="s">
        <v>3593</v>
      </c>
      <c r="F489" s="130" t="s">
        <v>3619</v>
      </c>
      <c r="G489" s="130" t="s">
        <v>0</v>
      </c>
      <c r="H489" s="130" t="s">
        <v>3595</v>
      </c>
      <c r="I489" s="130" t="s">
        <v>2894</v>
      </c>
      <c r="J489" s="130"/>
      <c r="K489" s="429">
        <v>45968</v>
      </c>
      <c r="L489" s="130">
        <v>1100008800</v>
      </c>
      <c r="M489" s="130" t="s">
        <v>143</v>
      </c>
      <c r="N489" s="130" t="s">
        <v>6340</v>
      </c>
      <c r="O489" s="130" t="s">
        <v>6374</v>
      </c>
      <c r="P489" s="130" t="s">
        <v>26</v>
      </c>
      <c r="Q489" s="130" t="s">
        <v>49</v>
      </c>
      <c r="R489" s="130" t="s">
        <v>3674</v>
      </c>
      <c r="S489" s="130" t="s">
        <v>3774</v>
      </c>
      <c r="T489" s="130"/>
      <c r="U489" s="130"/>
      <c r="V489" s="130"/>
      <c r="W489" s="130"/>
      <c r="X489" s="130"/>
      <c r="Y489" s="130"/>
      <c r="Z489" s="130"/>
      <c r="AA489" s="130"/>
      <c r="AB489" s="130"/>
      <c r="AC489" s="130"/>
      <c r="AD489" s="130"/>
      <c r="AE489" s="130"/>
      <c r="AF489" s="130"/>
      <c r="AG489" s="130"/>
      <c r="AH489" s="130"/>
      <c r="AI489" s="130"/>
      <c r="AJ489" s="130"/>
      <c r="AK489" s="130"/>
      <c r="AL489" s="130"/>
      <c r="AM489" s="130"/>
      <c r="AN489" s="130"/>
      <c r="AO489" s="130"/>
      <c r="AP489" s="130"/>
      <c r="AQ489" s="130"/>
      <c r="AR489" s="130"/>
      <c r="AS489" s="130"/>
      <c r="AT489" s="130"/>
      <c r="AU489" s="130"/>
      <c r="AV489" s="130"/>
      <c r="AW489" s="130"/>
      <c r="AX489" s="130"/>
      <c r="AY489" s="130"/>
      <c r="AZ489" s="130"/>
    </row>
    <row r="490" spans="1:52" ht="30" customHeight="1">
      <c r="A490" s="525">
        <v>488</v>
      </c>
      <c r="B490" s="130" t="s">
        <v>3245</v>
      </c>
      <c r="C490" s="130">
        <v>41000544</v>
      </c>
      <c r="D490" s="130" t="s">
        <v>1476</v>
      </c>
      <c r="E490" s="130" t="s">
        <v>3593</v>
      </c>
      <c r="F490" s="130" t="s">
        <v>3619</v>
      </c>
      <c r="G490" s="130" t="s">
        <v>0</v>
      </c>
      <c r="H490" s="130" t="s">
        <v>3595</v>
      </c>
      <c r="I490" s="130" t="s">
        <v>3762</v>
      </c>
      <c r="J490" s="130"/>
      <c r="K490" s="429">
        <v>45968</v>
      </c>
      <c r="L490" s="130">
        <v>1310609300</v>
      </c>
      <c r="M490" s="130" t="s">
        <v>958</v>
      </c>
      <c r="N490" s="130" t="s">
        <v>6023</v>
      </c>
      <c r="O490" s="130" t="s">
        <v>6375</v>
      </c>
      <c r="P490" s="130" t="s">
        <v>26</v>
      </c>
      <c r="Q490" s="130" t="s">
        <v>49</v>
      </c>
      <c r="R490" s="130" t="s">
        <v>3674</v>
      </c>
      <c r="S490" s="130" t="s">
        <v>5712</v>
      </c>
      <c r="T490" s="130"/>
      <c r="U490" s="130"/>
      <c r="V490" s="130"/>
      <c r="W490" s="130"/>
      <c r="X490" s="130"/>
      <c r="Y490" s="130"/>
      <c r="Z490" s="130"/>
      <c r="AA490" s="130"/>
      <c r="AB490" s="130"/>
      <c r="AC490" s="130"/>
      <c r="AD490" s="130"/>
      <c r="AE490" s="130"/>
      <c r="AF490" s="130"/>
      <c r="AG490" s="130"/>
      <c r="AH490" s="130"/>
      <c r="AI490" s="130"/>
      <c r="AJ490" s="130"/>
      <c r="AK490" s="130"/>
      <c r="AL490" s="130"/>
      <c r="AM490" s="130"/>
      <c r="AN490" s="130"/>
      <c r="AO490" s="130"/>
      <c r="AP490" s="130"/>
      <c r="AQ490" s="130"/>
      <c r="AR490" s="130"/>
      <c r="AS490" s="130"/>
      <c r="AT490" s="130"/>
      <c r="AU490" s="130"/>
      <c r="AV490" s="130"/>
      <c r="AW490" s="130"/>
      <c r="AX490" s="130"/>
      <c r="AY490" s="130"/>
      <c r="AZ490" s="130"/>
    </row>
    <row r="491" spans="1:52" ht="30" customHeight="1">
      <c r="A491" s="525">
        <v>489</v>
      </c>
      <c r="B491" s="130" t="s">
        <v>3246</v>
      </c>
      <c r="C491" s="130">
        <v>41200076</v>
      </c>
      <c r="D491" s="130" t="s">
        <v>1476</v>
      </c>
      <c r="E491" s="130" t="s">
        <v>3603</v>
      </c>
      <c r="F491" s="130" t="s">
        <v>3594</v>
      </c>
      <c r="G491" s="130" t="s">
        <v>0</v>
      </c>
      <c r="H491" s="130" t="s">
        <v>3614</v>
      </c>
      <c r="I491" s="130" t="s">
        <v>3596</v>
      </c>
      <c r="J491" s="130" t="s">
        <v>2679</v>
      </c>
      <c r="K491" s="429">
        <v>45968</v>
      </c>
      <c r="L491" s="130">
        <v>1100228300</v>
      </c>
      <c r="M491" s="130" t="s">
        <v>932</v>
      </c>
      <c r="N491" s="130" t="s">
        <v>5542</v>
      </c>
      <c r="O491" s="130" t="s">
        <v>6376</v>
      </c>
      <c r="P491" s="130" t="s">
        <v>45</v>
      </c>
      <c r="Q491" s="130" t="s">
        <v>5481</v>
      </c>
      <c r="R491" s="130" t="s">
        <v>3666</v>
      </c>
      <c r="S491" s="130" t="s">
        <v>3666</v>
      </c>
      <c r="T491" s="130"/>
      <c r="U491" s="130"/>
      <c r="V491" s="130"/>
      <c r="W491" s="130"/>
      <c r="X491" s="130"/>
      <c r="Y491" s="130"/>
      <c r="Z491" s="130"/>
      <c r="AA491" s="130"/>
      <c r="AB491" s="130"/>
      <c r="AC491" s="130"/>
      <c r="AD491" s="130"/>
      <c r="AE491" s="130"/>
      <c r="AF491" s="130"/>
      <c r="AG491" s="130"/>
      <c r="AH491" s="130"/>
      <c r="AI491" s="130"/>
      <c r="AJ491" s="130"/>
      <c r="AK491" s="130"/>
      <c r="AL491" s="130"/>
      <c r="AM491" s="130"/>
      <c r="AN491" s="130"/>
      <c r="AO491" s="130"/>
      <c r="AP491" s="130"/>
      <c r="AQ491" s="130"/>
      <c r="AR491" s="130"/>
      <c r="AS491" s="130"/>
      <c r="AT491" s="130"/>
      <c r="AU491" s="130"/>
      <c r="AV491" s="130"/>
      <c r="AW491" s="130"/>
      <c r="AX491" s="130"/>
      <c r="AY491" s="130"/>
      <c r="AZ491" s="130"/>
    </row>
    <row r="492" spans="1:52" ht="30" customHeight="1">
      <c r="A492" s="525">
        <v>490</v>
      </c>
      <c r="B492" s="130" t="s">
        <v>3241</v>
      </c>
      <c r="C492" s="130">
        <v>41100435</v>
      </c>
      <c r="D492" s="130" t="s">
        <v>3801</v>
      </c>
      <c r="E492" s="130" t="s">
        <v>3603</v>
      </c>
      <c r="F492" s="130" t="s">
        <v>3619</v>
      </c>
      <c r="G492" s="130" t="s">
        <v>0</v>
      </c>
      <c r="H492" s="130" t="s">
        <v>3614</v>
      </c>
      <c r="I492" s="130" t="s">
        <v>3596</v>
      </c>
      <c r="J492" s="130"/>
      <c r="K492" s="429">
        <v>45971</v>
      </c>
      <c r="L492" s="130">
        <v>1100257800</v>
      </c>
      <c r="M492" s="130" t="s">
        <v>1343</v>
      </c>
      <c r="N492" s="130" t="s">
        <v>6377</v>
      </c>
      <c r="O492" s="130" t="s">
        <v>6378</v>
      </c>
      <c r="P492" s="130" t="s">
        <v>45</v>
      </c>
      <c r="Q492" s="130" t="s">
        <v>5481</v>
      </c>
      <c r="R492" s="130" t="s">
        <v>3666</v>
      </c>
      <c r="S492" s="130" t="s">
        <v>3666</v>
      </c>
      <c r="T492" s="130"/>
      <c r="U492" s="130"/>
      <c r="V492" s="130"/>
      <c r="W492" s="130"/>
      <c r="X492" s="130"/>
      <c r="Y492" s="130"/>
      <c r="Z492" s="130"/>
      <c r="AA492" s="130"/>
      <c r="AB492" s="130"/>
      <c r="AC492" s="130"/>
      <c r="AD492" s="130"/>
      <c r="AE492" s="130"/>
      <c r="AF492" s="130"/>
      <c r="AG492" s="130"/>
      <c r="AH492" s="130"/>
      <c r="AI492" s="130"/>
      <c r="AJ492" s="130"/>
      <c r="AK492" s="130"/>
      <c r="AL492" s="130"/>
      <c r="AM492" s="130"/>
      <c r="AN492" s="130"/>
      <c r="AO492" s="130"/>
      <c r="AP492" s="130"/>
      <c r="AQ492" s="130"/>
      <c r="AR492" s="130"/>
      <c r="AS492" s="130"/>
      <c r="AT492" s="130"/>
      <c r="AU492" s="130"/>
      <c r="AV492" s="130"/>
      <c r="AW492" s="130"/>
      <c r="AX492" s="130"/>
      <c r="AY492" s="130"/>
      <c r="AZ492" s="130"/>
    </row>
    <row r="493" spans="1:52" ht="30" customHeight="1">
      <c r="A493" s="525">
        <v>491</v>
      </c>
      <c r="B493" s="130" t="s">
        <v>3257</v>
      </c>
      <c r="C493" s="130">
        <v>41200101</v>
      </c>
      <c r="D493" s="130" t="s">
        <v>1476</v>
      </c>
      <c r="E493" s="130" t="s">
        <v>3593</v>
      </c>
      <c r="F493" s="130" t="s">
        <v>3619</v>
      </c>
      <c r="G493" s="130" t="s">
        <v>0</v>
      </c>
      <c r="H493" s="130" t="s">
        <v>3614</v>
      </c>
      <c r="I493" s="130" t="s">
        <v>3596</v>
      </c>
      <c r="J493" s="130" t="s">
        <v>2880</v>
      </c>
      <c r="K493" s="429">
        <v>45972</v>
      </c>
      <c r="L493" s="130">
        <v>1100228300</v>
      </c>
      <c r="M493" s="130" t="s">
        <v>932</v>
      </c>
      <c r="N493" s="130" t="s">
        <v>5542</v>
      </c>
      <c r="O493" s="130" t="s">
        <v>6379</v>
      </c>
      <c r="P493" s="130" t="s">
        <v>45</v>
      </c>
      <c r="Q493" s="130" t="s">
        <v>5481</v>
      </c>
      <c r="R493" s="130" t="s">
        <v>3656</v>
      </c>
      <c r="S493" s="130" t="s">
        <v>6343</v>
      </c>
      <c r="T493" s="130"/>
      <c r="U493" s="130"/>
      <c r="V493" s="130"/>
      <c r="W493" s="130"/>
      <c r="X493" s="130"/>
      <c r="Y493" s="130"/>
      <c r="Z493" s="130"/>
      <c r="AA493" s="130"/>
      <c r="AB493" s="130"/>
      <c r="AC493" s="130"/>
      <c r="AD493" s="130"/>
      <c r="AE493" s="130"/>
      <c r="AF493" s="130"/>
      <c r="AG493" s="130"/>
      <c r="AH493" s="130"/>
      <c r="AI493" s="130"/>
      <c r="AJ493" s="130"/>
      <c r="AK493" s="130"/>
      <c r="AL493" s="130"/>
      <c r="AM493" s="130"/>
      <c r="AN493" s="130"/>
      <c r="AO493" s="130"/>
      <c r="AP493" s="130"/>
      <c r="AQ493" s="130"/>
      <c r="AR493" s="130"/>
      <c r="AS493" s="130"/>
      <c r="AT493" s="130"/>
      <c r="AU493" s="130"/>
      <c r="AV493" s="130"/>
      <c r="AW493" s="130"/>
      <c r="AX493" s="130"/>
      <c r="AY493" s="130"/>
      <c r="AZ493" s="130"/>
    </row>
    <row r="494" spans="1:52" ht="30" customHeight="1">
      <c r="A494" s="525">
        <v>492</v>
      </c>
      <c r="B494" s="130" t="s">
        <v>3262</v>
      </c>
      <c r="C494" s="130">
        <v>41200158</v>
      </c>
      <c r="D494" s="130" t="s">
        <v>1480</v>
      </c>
      <c r="E494" s="130" t="s">
        <v>3603</v>
      </c>
      <c r="F494" s="130" t="s">
        <v>3594</v>
      </c>
      <c r="G494" s="130" t="s">
        <v>0</v>
      </c>
      <c r="H494" s="130" t="s">
        <v>3595</v>
      </c>
      <c r="I494" s="130" t="s">
        <v>3596</v>
      </c>
      <c r="J494" s="130" t="s">
        <v>2679</v>
      </c>
      <c r="K494" s="429">
        <v>45972</v>
      </c>
      <c r="L494" s="130">
        <v>1311181400</v>
      </c>
      <c r="M494" s="130" t="s">
        <v>5376</v>
      </c>
      <c r="N494" s="130" t="s">
        <v>6380</v>
      </c>
      <c r="O494" s="130" t="s">
        <v>6381</v>
      </c>
      <c r="P494" s="130" t="s">
        <v>30</v>
      </c>
      <c r="Q494" s="130" t="s">
        <v>54</v>
      </c>
      <c r="R494" s="130" t="s">
        <v>3666</v>
      </c>
      <c r="S494" s="130" t="s">
        <v>3923</v>
      </c>
      <c r="T494" s="130"/>
      <c r="U494" s="130"/>
      <c r="V494" s="130"/>
      <c r="W494" s="130"/>
      <c r="X494" s="130"/>
      <c r="Y494" s="130"/>
      <c r="Z494" s="130"/>
      <c r="AA494" s="130"/>
      <c r="AB494" s="130"/>
      <c r="AC494" s="130"/>
      <c r="AD494" s="130"/>
      <c r="AE494" s="130"/>
      <c r="AF494" s="130"/>
      <c r="AG494" s="130"/>
      <c r="AH494" s="130"/>
      <c r="AI494" s="130"/>
      <c r="AJ494" s="130"/>
      <c r="AK494" s="130"/>
      <c r="AL494" s="130"/>
      <c r="AM494" s="130"/>
      <c r="AN494" s="130"/>
      <c r="AO494" s="130"/>
      <c r="AP494" s="130"/>
      <c r="AQ494" s="130"/>
      <c r="AR494" s="130"/>
      <c r="AS494" s="130"/>
      <c r="AT494" s="130"/>
      <c r="AU494" s="130"/>
      <c r="AV494" s="130"/>
      <c r="AW494" s="130"/>
      <c r="AX494" s="130"/>
      <c r="AY494" s="130"/>
      <c r="AZ494" s="130"/>
    </row>
    <row r="495" spans="1:52" ht="30" customHeight="1">
      <c r="A495" s="525">
        <v>493</v>
      </c>
      <c r="B495" s="130" t="s">
        <v>3264</v>
      </c>
      <c r="C495" s="130">
        <v>41200101</v>
      </c>
      <c r="D495" s="130" t="s">
        <v>1476</v>
      </c>
      <c r="E495" s="130" t="s">
        <v>3593</v>
      </c>
      <c r="F495" s="130" t="s">
        <v>3619</v>
      </c>
      <c r="G495" s="130" t="s">
        <v>0</v>
      </c>
      <c r="H495" s="130" t="s">
        <v>3614</v>
      </c>
      <c r="I495" s="130" t="s">
        <v>3596</v>
      </c>
      <c r="J495" s="130" t="s">
        <v>2880</v>
      </c>
      <c r="K495" s="429">
        <v>45973</v>
      </c>
      <c r="L495" s="130">
        <v>1100228300</v>
      </c>
      <c r="M495" s="130" t="s">
        <v>932</v>
      </c>
      <c r="N495" s="130" t="s">
        <v>5542</v>
      </c>
      <c r="O495" s="130" t="s">
        <v>6382</v>
      </c>
      <c r="P495" s="130" t="s">
        <v>45</v>
      </c>
      <c r="Q495" s="130" t="s">
        <v>5481</v>
      </c>
      <c r="R495" s="130" t="s">
        <v>3656</v>
      </c>
      <c r="S495" s="130" t="s">
        <v>6343</v>
      </c>
      <c r="T495" s="130"/>
      <c r="U495" s="130"/>
      <c r="V495" s="130"/>
      <c r="W495" s="130"/>
      <c r="X495" s="130"/>
      <c r="Y495" s="130"/>
      <c r="Z495" s="130"/>
      <c r="AA495" s="130"/>
      <c r="AB495" s="130"/>
      <c r="AC495" s="130"/>
      <c r="AD495" s="130"/>
      <c r="AE495" s="130"/>
      <c r="AF495" s="130"/>
      <c r="AG495" s="130"/>
      <c r="AH495" s="130"/>
      <c r="AI495" s="130"/>
      <c r="AJ495" s="130"/>
      <c r="AK495" s="130"/>
      <c r="AL495" s="130"/>
      <c r="AM495" s="130"/>
      <c r="AN495" s="130"/>
      <c r="AO495" s="130"/>
      <c r="AP495" s="130"/>
      <c r="AQ495" s="130"/>
      <c r="AR495" s="130"/>
      <c r="AS495" s="130"/>
      <c r="AT495" s="130"/>
      <c r="AU495" s="130"/>
      <c r="AV495" s="130"/>
      <c r="AW495" s="130"/>
      <c r="AX495" s="130"/>
      <c r="AY495" s="130"/>
      <c r="AZ495" s="130"/>
    </row>
    <row r="496" spans="1:52" ht="30" customHeight="1">
      <c r="A496" s="525">
        <v>494</v>
      </c>
      <c r="B496" s="130" t="s">
        <v>3264</v>
      </c>
      <c r="C496" s="130">
        <v>41200101</v>
      </c>
      <c r="D496" s="130" t="s">
        <v>1476</v>
      </c>
      <c r="E496" s="130" t="s">
        <v>3593</v>
      </c>
      <c r="F496" s="130" t="s">
        <v>3619</v>
      </c>
      <c r="G496" s="130" t="s">
        <v>0</v>
      </c>
      <c r="H496" s="130" t="s">
        <v>3614</v>
      </c>
      <c r="I496" s="130" t="s">
        <v>3596</v>
      </c>
      <c r="J496" s="130" t="s">
        <v>2880</v>
      </c>
      <c r="K496" s="429">
        <v>45973</v>
      </c>
      <c r="L496" s="130">
        <v>1100228300</v>
      </c>
      <c r="M496" s="130" t="s">
        <v>932</v>
      </c>
      <c r="N496" s="130" t="s">
        <v>5542</v>
      </c>
      <c r="O496" s="130" t="s">
        <v>6383</v>
      </c>
      <c r="P496" s="130" t="s">
        <v>45</v>
      </c>
      <c r="Q496" s="130" t="s">
        <v>5481</v>
      </c>
      <c r="R496" s="130" t="s">
        <v>3656</v>
      </c>
      <c r="S496" s="130" t="s">
        <v>6343</v>
      </c>
      <c r="T496" s="130"/>
      <c r="U496" s="130"/>
      <c r="V496" s="130"/>
      <c r="W496" s="130"/>
      <c r="X496" s="130"/>
      <c r="Y496" s="130"/>
      <c r="Z496" s="130"/>
      <c r="AA496" s="130"/>
      <c r="AB496" s="130"/>
      <c r="AC496" s="130"/>
      <c r="AD496" s="130"/>
      <c r="AE496" s="130"/>
      <c r="AF496" s="130"/>
      <c r="AG496" s="130"/>
      <c r="AH496" s="130"/>
      <c r="AI496" s="130"/>
      <c r="AJ496" s="130"/>
      <c r="AK496" s="130"/>
      <c r="AL496" s="130"/>
      <c r="AM496" s="130"/>
      <c r="AN496" s="130"/>
      <c r="AO496" s="130"/>
      <c r="AP496" s="130"/>
      <c r="AQ496" s="130"/>
      <c r="AR496" s="130"/>
      <c r="AS496" s="130"/>
      <c r="AT496" s="130"/>
      <c r="AU496" s="130"/>
      <c r="AV496" s="130"/>
      <c r="AW496" s="130"/>
      <c r="AX496" s="130"/>
      <c r="AY496" s="130"/>
      <c r="AZ496" s="130"/>
    </row>
    <row r="497" spans="1:52" ht="30" customHeight="1">
      <c r="A497" s="525">
        <v>495</v>
      </c>
      <c r="B497" s="130" t="s">
        <v>3270</v>
      </c>
      <c r="C497" s="130">
        <v>41000598</v>
      </c>
      <c r="D497" s="130" t="s">
        <v>1480</v>
      </c>
      <c r="E497" s="130" t="s">
        <v>3603</v>
      </c>
      <c r="F497" s="130" t="s">
        <v>3604</v>
      </c>
      <c r="G497" s="130" t="s">
        <v>0</v>
      </c>
      <c r="H497" s="130" t="s">
        <v>3595</v>
      </c>
      <c r="I497" s="130" t="s">
        <v>2894</v>
      </c>
      <c r="J497" s="130" t="s">
        <v>2679</v>
      </c>
      <c r="K497" s="429">
        <v>45973</v>
      </c>
      <c r="L497" s="130">
        <v>1100839700</v>
      </c>
      <c r="M497" s="130" t="s">
        <v>473</v>
      </c>
      <c r="N497" s="130" t="s">
        <v>6384</v>
      </c>
      <c r="O497" s="130" t="s">
        <v>6385</v>
      </c>
      <c r="P497" s="130" t="s">
        <v>26</v>
      </c>
      <c r="Q497" s="130" t="s">
        <v>49</v>
      </c>
      <c r="R497" s="130" t="s">
        <v>3674</v>
      </c>
      <c r="S497" s="130" t="s">
        <v>3666</v>
      </c>
      <c r="T497" s="130"/>
      <c r="U497" s="130"/>
      <c r="V497" s="130"/>
      <c r="W497" s="130"/>
      <c r="X497" s="130"/>
      <c r="Y497" s="130"/>
      <c r="Z497" s="130"/>
      <c r="AA497" s="130"/>
      <c r="AB497" s="130"/>
      <c r="AC497" s="130"/>
      <c r="AD497" s="130"/>
      <c r="AE497" s="130"/>
      <c r="AF497" s="130"/>
      <c r="AG497" s="130"/>
      <c r="AH497" s="130"/>
      <c r="AI497" s="130"/>
      <c r="AJ497" s="130"/>
      <c r="AK497" s="130"/>
      <c r="AL497" s="130"/>
      <c r="AM497" s="130"/>
      <c r="AN497" s="130"/>
      <c r="AO497" s="130"/>
      <c r="AP497" s="130"/>
      <c r="AQ497" s="130"/>
      <c r="AR497" s="130"/>
      <c r="AS497" s="130"/>
      <c r="AT497" s="130"/>
      <c r="AU497" s="130"/>
      <c r="AV497" s="130"/>
      <c r="AW497" s="130"/>
      <c r="AX497" s="130"/>
      <c r="AY497" s="130"/>
      <c r="AZ497" s="130"/>
    </row>
    <row r="498" spans="1:52" ht="30" customHeight="1">
      <c r="A498" s="525">
        <v>496</v>
      </c>
      <c r="B498" s="130" t="s">
        <v>3270</v>
      </c>
      <c r="C498" s="130">
        <v>41000598</v>
      </c>
      <c r="D498" s="130" t="s">
        <v>1480</v>
      </c>
      <c r="E498" s="130" t="s">
        <v>3603</v>
      </c>
      <c r="F498" s="130" t="s">
        <v>3604</v>
      </c>
      <c r="G498" s="130" t="s">
        <v>0</v>
      </c>
      <c r="H498" s="130" t="s">
        <v>3595</v>
      </c>
      <c r="I498" s="130" t="s">
        <v>2894</v>
      </c>
      <c r="J498" s="130" t="s">
        <v>2880</v>
      </c>
      <c r="K498" s="429">
        <v>45973</v>
      </c>
      <c r="L498" s="130">
        <v>1100750700</v>
      </c>
      <c r="M498" s="130" t="s">
        <v>226</v>
      </c>
      <c r="N498" s="130" t="s">
        <v>6386</v>
      </c>
      <c r="O498" s="130" t="s">
        <v>6387</v>
      </c>
      <c r="P498" s="130" t="s">
        <v>26</v>
      </c>
      <c r="Q498" s="130" t="s">
        <v>49</v>
      </c>
      <c r="R498" s="130" t="s">
        <v>3674</v>
      </c>
      <c r="S498" s="130" t="s">
        <v>3666</v>
      </c>
      <c r="T498" s="130"/>
      <c r="U498" s="130"/>
      <c r="V498" s="130"/>
      <c r="W498" s="130"/>
      <c r="X498" s="130"/>
      <c r="Y498" s="130"/>
      <c r="Z498" s="130"/>
      <c r="AA498" s="130"/>
      <c r="AB498" s="130"/>
      <c r="AC498" s="130"/>
      <c r="AD498" s="130"/>
      <c r="AE498" s="130"/>
      <c r="AF498" s="130"/>
      <c r="AG498" s="130"/>
      <c r="AH498" s="130"/>
      <c r="AI498" s="130"/>
      <c r="AJ498" s="130"/>
      <c r="AK498" s="130"/>
      <c r="AL498" s="130"/>
      <c r="AM498" s="130"/>
      <c r="AN498" s="130"/>
      <c r="AO498" s="130"/>
      <c r="AP498" s="130"/>
      <c r="AQ498" s="130"/>
      <c r="AR498" s="130"/>
      <c r="AS498" s="130"/>
      <c r="AT498" s="130"/>
      <c r="AU498" s="130"/>
      <c r="AV498" s="130"/>
      <c r="AW498" s="130"/>
      <c r="AX498" s="130"/>
      <c r="AY498" s="130"/>
      <c r="AZ498" s="130"/>
    </row>
    <row r="499" spans="1:52" ht="30" customHeight="1">
      <c r="A499" s="525">
        <v>497</v>
      </c>
      <c r="B499" s="130" t="s">
        <v>3270</v>
      </c>
      <c r="C499" s="130">
        <v>41000598</v>
      </c>
      <c r="D499" s="130" t="s">
        <v>1480</v>
      </c>
      <c r="E499" s="130" t="s">
        <v>3603</v>
      </c>
      <c r="F499" s="130" t="s">
        <v>3604</v>
      </c>
      <c r="G499" s="130" t="s">
        <v>0</v>
      </c>
      <c r="H499" s="130" t="s">
        <v>3595</v>
      </c>
      <c r="I499" s="130" t="s">
        <v>2894</v>
      </c>
      <c r="J499" s="130" t="s">
        <v>2880</v>
      </c>
      <c r="K499" s="429">
        <v>45973</v>
      </c>
      <c r="L499" s="130">
        <v>1100008800</v>
      </c>
      <c r="M499" s="130" t="s">
        <v>143</v>
      </c>
      <c r="N499" s="130" t="s">
        <v>6388</v>
      </c>
      <c r="O499" s="130" t="s">
        <v>6389</v>
      </c>
      <c r="P499" s="130" t="s">
        <v>26</v>
      </c>
      <c r="Q499" s="130" t="s">
        <v>49</v>
      </c>
      <c r="R499" s="130" t="s">
        <v>3674</v>
      </c>
      <c r="S499" s="130" t="s">
        <v>3666</v>
      </c>
      <c r="T499" s="130"/>
      <c r="U499" s="130"/>
      <c r="V499" s="130"/>
      <c r="W499" s="130"/>
      <c r="X499" s="130"/>
      <c r="Y499" s="130"/>
      <c r="Z499" s="130"/>
      <c r="AA499" s="130"/>
      <c r="AB499" s="130"/>
      <c r="AC499" s="130"/>
      <c r="AD499" s="130"/>
      <c r="AE499" s="130"/>
      <c r="AF499" s="130"/>
      <c r="AG499" s="130"/>
      <c r="AH499" s="130"/>
      <c r="AI499" s="130"/>
      <c r="AJ499" s="130"/>
      <c r="AK499" s="130"/>
      <c r="AL499" s="130"/>
      <c r="AM499" s="130"/>
      <c r="AN499" s="130"/>
      <c r="AO499" s="130"/>
      <c r="AP499" s="130"/>
      <c r="AQ499" s="130"/>
      <c r="AR499" s="130"/>
      <c r="AS499" s="130"/>
      <c r="AT499" s="130"/>
      <c r="AU499" s="130"/>
      <c r="AV499" s="130"/>
      <c r="AW499" s="130"/>
      <c r="AX499" s="130"/>
      <c r="AY499" s="130"/>
      <c r="AZ499" s="130"/>
    </row>
    <row r="500" spans="1:52" ht="30" customHeight="1">
      <c r="A500" s="525">
        <v>498</v>
      </c>
      <c r="B500" s="130" t="s">
        <v>3284</v>
      </c>
      <c r="C500" s="130">
        <v>41000584</v>
      </c>
      <c r="D500" s="130" t="s">
        <v>1911</v>
      </c>
      <c r="E500" s="130" t="s">
        <v>3651</v>
      </c>
      <c r="F500" s="130" t="s">
        <v>3594</v>
      </c>
      <c r="G500" s="130" t="s">
        <v>0</v>
      </c>
      <c r="H500" s="130" t="s">
        <v>3595</v>
      </c>
      <c r="I500" s="130" t="s">
        <v>3596</v>
      </c>
      <c r="J500" s="130"/>
      <c r="K500" s="429">
        <v>45974</v>
      </c>
      <c r="L500" s="130">
        <v>1100012500</v>
      </c>
      <c r="M500" s="130" t="s">
        <v>1049</v>
      </c>
      <c r="N500" s="130" t="s">
        <v>6390</v>
      </c>
      <c r="O500" s="130" t="s">
        <v>6391</v>
      </c>
      <c r="P500" s="130" t="s">
        <v>26</v>
      </c>
      <c r="Q500" s="130" t="s">
        <v>54</v>
      </c>
      <c r="R500" s="130" t="s">
        <v>6392</v>
      </c>
      <c r="S500" s="130" t="s">
        <v>3602</v>
      </c>
      <c r="T500" s="130"/>
      <c r="U500" s="130"/>
      <c r="V500" s="130"/>
      <c r="W500" s="130"/>
      <c r="X500" s="130"/>
      <c r="Y500" s="130"/>
      <c r="Z500" s="130"/>
      <c r="AA500" s="130"/>
      <c r="AB500" s="130"/>
      <c r="AC500" s="130"/>
      <c r="AD500" s="130"/>
      <c r="AE500" s="130"/>
      <c r="AF500" s="130"/>
      <c r="AG500" s="130"/>
      <c r="AH500" s="130"/>
      <c r="AI500" s="130"/>
      <c r="AJ500" s="130"/>
      <c r="AK500" s="130"/>
      <c r="AL500" s="130"/>
      <c r="AM500" s="130"/>
      <c r="AN500" s="130"/>
      <c r="AO500" s="130"/>
      <c r="AP500" s="130"/>
      <c r="AQ500" s="130"/>
      <c r="AR500" s="130"/>
      <c r="AS500" s="130"/>
      <c r="AT500" s="130"/>
      <c r="AU500" s="130"/>
      <c r="AV500" s="130"/>
      <c r="AW500" s="130"/>
      <c r="AX500" s="130"/>
      <c r="AY500" s="130"/>
      <c r="AZ500" s="130"/>
    </row>
    <row r="501" spans="1:52" ht="30" customHeight="1">
      <c r="A501" s="525">
        <v>499</v>
      </c>
      <c r="B501" s="130" t="s">
        <v>3292</v>
      </c>
      <c r="C501" s="130">
        <v>41200109</v>
      </c>
      <c r="D501" s="130" t="s">
        <v>1591</v>
      </c>
      <c r="E501" s="130" t="s">
        <v>3593</v>
      </c>
      <c r="F501" s="130" t="s">
        <v>3619</v>
      </c>
      <c r="G501" s="130" t="s">
        <v>0</v>
      </c>
      <c r="H501" s="130" t="s">
        <v>3614</v>
      </c>
      <c r="I501" s="130" t="s">
        <v>3596</v>
      </c>
      <c r="J501" s="130"/>
      <c r="K501" s="429">
        <v>45976</v>
      </c>
      <c r="L501" s="130">
        <v>1100228300</v>
      </c>
      <c r="M501" s="130" t="s">
        <v>932</v>
      </c>
      <c r="N501" s="130" t="s">
        <v>5542</v>
      </c>
      <c r="O501" s="130" t="s">
        <v>6393</v>
      </c>
      <c r="P501" s="130" t="s">
        <v>45</v>
      </c>
      <c r="Q501" s="130" t="s">
        <v>5481</v>
      </c>
      <c r="R501" s="130" t="s">
        <v>3656</v>
      </c>
      <c r="S501" s="130" t="s">
        <v>6343</v>
      </c>
      <c r="T501" s="130"/>
      <c r="U501" s="130"/>
      <c r="V501" s="130"/>
      <c r="W501" s="130"/>
      <c r="X501" s="130"/>
      <c r="Y501" s="130"/>
      <c r="Z501" s="130"/>
      <c r="AA501" s="130"/>
      <c r="AB501" s="130"/>
      <c r="AC501" s="130"/>
      <c r="AD501" s="130"/>
      <c r="AE501" s="130"/>
      <c r="AF501" s="130"/>
      <c r="AG501" s="130"/>
      <c r="AH501" s="130"/>
      <c r="AI501" s="130"/>
      <c r="AJ501" s="130"/>
      <c r="AK501" s="130"/>
      <c r="AL501" s="130"/>
      <c r="AM501" s="130"/>
      <c r="AN501" s="130"/>
      <c r="AO501" s="130"/>
      <c r="AP501" s="130"/>
      <c r="AQ501" s="130"/>
      <c r="AR501" s="130"/>
      <c r="AS501" s="130"/>
      <c r="AT501" s="130"/>
      <c r="AU501" s="130"/>
      <c r="AV501" s="130"/>
      <c r="AW501" s="130"/>
      <c r="AX501" s="130"/>
      <c r="AY501" s="130"/>
      <c r="AZ501" s="130"/>
    </row>
    <row r="502" spans="1:52" ht="30" customHeight="1">
      <c r="A502" s="525">
        <v>500</v>
      </c>
      <c r="B502" s="130" t="s">
        <v>3292</v>
      </c>
      <c r="C502" s="130">
        <v>41200109</v>
      </c>
      <c r="D502" s="130" t="s">
        <v>1591</v>
      </c>
      <c r="E502" s="130" t="s">
        <v>3593</v>
      </c>
      <c r="F502" s="130" t="s">
        <v>3619</v>
      </c>
      <c r="G502" s="130" t="s">
        <v>0</v>
      </c>
      <c r="H502" s="130" t="s">
        <v>3614</v>
      </c>
      <c r="I502" s="130" t="s">
        <v>3596</v>
      </c>
      <c r="J502" s="130"/>
      <c r="K502" s="429">
        <v>45976</v>
      </c>
      <c r="L502" s="130">
        <v>1100228300</v>
      </c>
      <c r="M502" s="130" t="s">
        <v>932</v>
      </c>
      <c r="N502" s="130" t="s">
        <v>5542</v>
      </c>
      <c r="O502" s="130" t="s">
        <v>6394</v>
      </c>
      <c r="P502" s="130" t="s">
        <v>45</v>
      </c>
      <c r="Q502" s="130" t="s">
        <v>5481</v>
      </c>
      <c r="R502" s="130" t="s">
        <v>3656</v>
      </c>
      <c r="S502" s="130" t="s">
        <v>6343</v>
      </c>
      <c r="T502" s="130"/>
      <c r="U502" s="130"/>
      <c r="V502" s="130"/>
      <c r="W502" s="130"/>
      <c r="X502" s="130"/>
      <c r="Y502" s="130"/>
      <c r="Z502" s="130"/>
      <c r="AA502" s="130"/>
      <c r="AB502" s="130"/>
      <c r="AC502" s="130"/>
      <c r="AD502" s="130"/>
      <c r="AE502" s="130"/>
      <c r="AF502" s="130"/>
      <c r="AG502" s="130"/>
      <c r="AH502" s="130"/>
      <c r="AI502" s="130"/>
      <c r="AJ502" s="130"/>
      <c r="AK502" s="130"/>
      <c r="AL502" s="130"/>
      <c r="AM502" s="130"/>
      <c r="AN502" s="130"/>
      <c r="AO502" s="130"/>
      <c r="AP502" s="130"/>
      <c r="AQ502" s="130"/>
      <c r="AR502" s="130"/>
      <c r="AS502" s="130"/>
      <c r="AT502" s="130"/>
      <c r="AU502" s="130"/>
      <c r="AV502" s="130"/>
      <c r="AW502" s="130"/>
      <c r="AX502" s="130"/>
      <c r="AY502" s="130"/>
      <c r="AZ502" s="130"/>
    </row>
    <row r="503" spans="1:52" ht="30" customHeight="1">
      <c r="A503" s="525">
        <v>501</v>
      </c>
      <c r="B503" s="130" t="s">
        <v>3291</v>
      </c>
      <c r="C503" s="130">
        <v>41200109</v>
      </c>
      <c r="D503" s="130" t="s">
        <v>1591</v>
      </c>
      <c r="E503" s="130" t="s">
        <v>3593</v>
      </c>
      <c r="F503" s="130" t="s">
        <v>3619</v>
      </c>
      <c r="G503" s="130" t="s">
        <v>0</v>
      </c>
      <c r="H503" s="130" t="s">
        <v>3614</v>
      </c>
      <c r="I503" s="130" t="s">
        <v>3596</v>
      </c>
      <c r="J503" s="130"/>
      <c r="K503" s="429">
        <v>45976</v>
      </c>
      <c r="L503" s="130">
        <v>1100228300</v>
      </c>
      <c r="M503" s="130" t="s">
        <v>932</v>
      </c>
      <c r="N503" s="130" t="s">
        <v>5542</v>
      </c>
      <c r="O503" s="130" t="s">
        <v>6366</v>
      </c>
      <c r="P503" s="130" t="s">
        <v>45</v>
      </c>
      <c r="Q503" s="130" t="s">
        <v>5481</v>
      </c>
      <c r="R503" s="130" t="s">
        <v>3656</v>
      </c>
      <c r="S503" s="130" t="s">
        <v>6343</v>
      </c>
      <c r="T503" s="130"/>
      <c r="U503" s="130"/>
      <c r="V503" s="130"/>
      <c r="W503" s="130"/>
      <c r="X503" s="130"/>
      <c r="Y503" s="130"/>
      <c r="Z503" s="130"/>
      <c r="AA503" s="130"/>
      <c r="AB503" s="130"/>
      <c r="AC503" s="130"/>
      <c r="AD503" s="130"/>
      <c r="AE503" s="130"/>
      <c r="AF503" s="130"/>
      <c r="AG503" s="130"/>
      <c r="AH503" s="130"/>
      <c r="AI503" s="130"/>
      <c r="AJ503" s="130"/>
      <c r="AK503" s="130"/>
      <c r="AL503" s="130"/>
      <c r="AM503" s="130"/>
      <c r="AN503" s="130"/>
      <c r="AO503" s="130"/>
      <c r="AP503" s="130"/>
      <c r="AQ503" s="130"/>
      <c r="AR503" s="130"/>
      <c r="AS503" s="130"/>
      <c r="AT503" s="130"/>
      <c r="AU503" s="130"/>
      <c r="AV503" s="130"/>
      <c r="AW503" s="130"/>
      <c r="AX503" s="130"/>
      <c r="AY503" s="130"/>
      <c r="AZ503" s="130"/>
    </row>
    <row r="504" spans="1:52" ht="30" customHeight="1">
      <c r="A504" s="525">
        <v>502</v>
      </c>
      <c r="B504" s="130" t="s">
        <v>3300</v>
      </c>
      <c r="C504" s="130">
        <v>41200152</v>
      </c>
      <c r="D504" s="130" t="s">
        <v>1476</v>
      </c>
      <c r="E504" s="130" t="s">
        <v>3603</v>
      </c>
      <c r="F504" s="130" t="s">
        <v>3604</v>
      </c>
      <c r="G504" s="130" t="s">
        <v>0</v>
      </c>
      <c r="H504" s="130" t="s">
        <v>3614</v>
      </c>
      <c r="I504" s="130" t="s">
        <v>3596</v>
      </c>
      <c r="J504" s="130" t="s">
        <v>2679</v>
      </c>
      <c r="K504" s="429">
        <v>45978</v>
      </c>
      <c r="L504" s="130">
        <v>1100228300</v>
      </c>
      <c r="M504" s="130" t="s">
        <v>932</v>
      </c>
      <c r="N504" s="130" t="s">
        <v>5542</v>
      </c>
      <c r="O504" s="130" t="s">
        <v>6395</v>
      </c>
      <c r="P504" s="130" t="s">
        <v>45</v>
      </c>
      <c r="Q504" s="130" t="s">
        <v>5481</v>
      </c>
      <c r="R504" s="130" t="s">
        <v>3666</v>
      </c>
      <c r="S504" s="130" t="s">
        <v>3666</v>
      </c>
      <c r="T504" s="130"/>
      <c r="U504" s="130"/>
      <c r="V504" s="130"/>
      <c r="W504" s="130"/>
      <c r="X504" s="130"/>
      <c r="Y504" s="130"/>
      <c r="Z504" s="130"/>
      <c r="AA504" s="130"/>
      <c r="AB504" s="130"/>
      <c r="AC504" s="130"/>
      <c r="AD504" s="130"/>
      <c r="AE504" s="130"/>
      <c r="AF504" s="130"/>
      <c r="AG504" s="130"/>
      <c r="AH504" s="130"/>
      <c r="AI504" s="130"/>
      <c r="AJ504" s="130"/>
      <c r="AK504" s="130"/>
      <c r="AL504" s="130"/>
      <c r="AM504" s="130"/>
      <c r="AN504" s="130"/>
      <c r="AO504" s="130"/>
      <c r="AP504" s="130"/>
      <c r="AQ504" s="130"/>
      <c r="AR504" s="130"/>
      <c r="AS504" s="130"/>
      <c r="AT504" s="130"/>
      <c r="AU504" s="130"/>
      <c r="AV504" s="130"/>
      <c r="AW504" s="130"/>
      <c r="AX504" s="130"/>
      <c r="AY504" s="130"/>
      <c r="AZ504" s="130"/>
    </row>
    <row r="505" spans="1:52" ht="30" customHeight="1">
      <c r="A505" s="525">
        <v>503</v>
      </c>
      <c r="B505" s="130" t="s">
        <v>3300</v>
      </c>
      <c r="C505" s="130">
        <v>41200152</v>
      </c>
      <c r="D505" s="130" t="s">
        <v>1476</v>
      </c>
      <c r="E505" s="130" t="s">
        <v>3603</v>
      </c>
      <c r="F505" s="130" t="s">
        <v>3604</v>
      </c>
      <c r="G505" s="130" t="s">
        <v>0</v>
      </c>
      <c r="H505" s="130" t="s">
        <v>3595</v>
      </c>
      <c r="I505" s="130" t="s">
        <v>2894</v>
      </c>
      <c r="J505" s="130" t="s">
        <v>2679</v>
      </c>
      <c r="K505" s="429">
        <v>45978</v>
      </c>
      <c r="L505" s="130">
        <v>1120021700</v>
      </c>
      <c r="M505" s="130" t="s">
        <v>2509</v>
      </c>
      <c r="N505" s="130" t="s">
        <v>6396</v>
      </c>
      <c r="O505" s="130" t="s">
        <v>6397</v>
      </c>
      <c r="P505" s="130" t="s">
        <v>30</v>
      </c>
      <c r="Q505" s="130" t="s">
        <v>49</v>
      </c>
      <c r="R505" s="130" t="s">
        <v>3714</v>
      </c>
      <c r="S505" s="130" t="s">
        <v>6398</v>
      </c>
      <c r="T505" s="130"/>
      <c r="U505" s="130"/>
      <c r="V505" s="130"/>
      <c r="W505" s="130"/>
      <c r="X505" s="130"/>
      <c r="Y505" s="130"/>
      <c r="Z505" s="130"/>
      <c r="AA505" s="130"/>
      <c r="AB505" s="130"/>
      <c r="AC505" s="130"/>
      <c r="AD505" s="130"/>
      <c r="AE505" s="130"/>
      <c r="AF505" s="130"/>
      <c r="AG505" s="130"/>
      <c r="AH505" s="130"/>
      <c r="AI505" s="130"/>
      <c r="AJ505" s="130"/>
      <c r="AK505" s="130"/>
      <c r="AL505" s="130"/>
      <c r="AM505" s="130"/>
      <c r="AN505" s="130"/>
      <c r="AO505" s="130"/>
      <c r="AP505" s="130"/>
      <c r="AQ505" s="130"/>
      <c r="AR505" s="130"/>
      <c r="AS505" s="130"/>
      <c r="AT505" s="130"/>
      <c r="AU505" s="130"/>
      <c r="AV505" s="130"/>
      <c r="AW505" s="130"/>
      <c r="AX505" s="130"/>
      <c r="AY505" s="130"/>
      <c r="AZ505" s="130"/>
    </row>
    <row r="506" spans="1:52" ht="30" customHeight="1">
      <c r="A506" s="525">
        <v>504</v>
      </c>
      <c r="B506" s="130" t="s">
        <v>3302</v>
      </c>
      <c r="C506" s="130">
        <v>41200132</v>
      </c>
      <c r="D506" s="130" t="s">
        <v>1476</v>
      </c>
      <c r="E506" s="130" t="s">
        <v>3603</v>
      </c>
      <c r="F506" s="130" t="s">
        <v>3619</v>
      </c>
      <c r="G506" s="130" t="s">
        <v>0</v>
      </c>
      <c r="H506" s="130" t="s">
        <v>3614</v>
      </c>
      <c r="I506" s="130" t="s">
        <v>3596</v>
      </c>
      <c r="J506" s="130" t="s">
        <v>2679</v>
      </c>
      <c r="K506" s="429">
        <v>45978</v>
      </c>
      <c r="L506" s="130">
        <v>1100228300</v>
      </c>
      <c r="M506" s="130" t="s">
        <v>932</v>
      </c>
      <c r="N506" s="130" t="s">
        <v>6062</v>
      </c>
      <c r="O506" s="130" t="s">
        <v>6399</v>
      </c>
      <c r="P506" s="130" t="s">
        <v>45</v>
      </c>
      <c r="Q506" s="130" t="s">
        <v>5481</v>
      </c>
      <c r="R506" s="130" t="s">
        <v>3666</v>
      </c>
      <c r="S506" s="130" t="s">
        <v>6242</v>
      </c>
      <c r="T506" s="130"/>
      <c r="U506" s="130"/>
      <c r="V506" s="130"/>
      <c r="W506" s="130"/>
      <c r="X506" s="130"/>
      <c r="Y506" s="130"/>
      <c r="Z506" s="130"/>
      <c r="AA506" s="130"/>
      <c r="AB506" s="130"/>
      <c r="AC506" s="130"/>
      <c r="AD506" s="130"/>
      <c r="AE506" s="130"/>
      <c r="AF506" s="130"/>
      <c r="AG506" s="130"/>
      <c r="AH506" s="130"/>
      <c r="AI506" s="130"/>
      <c r="AJ506" s="130"/>
      <c r="AK506" s="130"/>
      <c r="AL506" s="130"/>
      <c r="AM506" s="130"/>
      <c r="AN506" s="130"/>
      <c r="AO506" s="130"/>
      <c r="AP506" s="130"/>
      <c r="AQ506" s="130"/>
      <c r="AR506" s="130"/>
      <c r="AS506" s="130"/>
      <c r="AT506" s="130"/>
      <c r="AU506" s="130"/>
      <c r="AV506" s="130"/>
      <c r="AW506" s="130"/>
      <c r="AX506" s="130"/>
      <c r="AY506" s="130"/>
      <c r="AZ506" s="130"/>
    </row>
    <row r="507" spans="1:52" ht="30" customHeight="1">
      <c r="A507" s="525">
        <v>505</v>
      </c>
      <c r="B507" s="130" t="s">
        <v>3302</v>
      </c>
      <c r="C507" s="130">
        <v>41200132</v>
      </c>
      <c r="D507" s="130" t="s">
        <v>1476</v>
      </c>
      <c r="E507" s="130" t="s">
        <v>3603</v>
      </c>
      <c r="F507" s="130" t="s">
        <v>3619</v>
      </c>
      <c r="G507" s="130" t="s">
        <v>0</v>
      </c>
      <c r="H507" s="130" t="s">
        <v>3614</v>
      </c>
      <c r="I507" s="130" t="s">
        <v>3596</v>
      </c>
      <c r="J507" s="130" t="s">
        <v>2679</v>
      </c>
      <c r="K507" s="429">
        <v>45978</v>
      </c>
      <c r="L507" s="130">
        <v>1100228300</v>
      </c>
      <c r="M507" s="130" t="s">
        <v>932</v>
      </c>
      <c r="N507" s="130" t="s">
        <v>5542</v>
      </c>
      <c r="O507" s="130" t="s">
        <v>6324</v>
      </c>
      <c r="P507" s="130" t="s">
        <v>45</v>
      </c>
      <c r="Q507" s="130" t="s">
        <v>5481</v>
      </c>
      <c r="R507" s="130" t="s">
        <v>3666</v>
      </c>
      <c r="S507" s="130" t="s">
        <v>6242</v>
      </c>
      <c r="T507" s="130"/>
      <c r="U507" s="130"/>
      <c r="V507" s="130"/>
      <c r="W507" s="130"/>
      <c r="X507" s="130"/>
      <c r="Y507" s="130"/>
      <c r="Z507" s="130"/>
      <c r="AA507" s="130"/>
      <c r="AB507" s="130"/>
      <c r="AC507" s="130"/>
      <c r="AD507" s="130"/>
      <c r="AE507" s="130"/>
      <c r="AF507" s="130"/>
      <c r="AG507" s="130"/>
      <c r="AH507" s="130"/>
      <c r="AI507" s="130"/>
      <c r="AJ507" s="130"/>
      <c r="AK507" s="130"/>
      <c r="AL507" s="130"/>
      <c r="AM507" s="130"/>
      <c r="AN507" s="130"/>
      <c r="AO507" s="130"/>
      <c r="AP507" s="130"/>
      <c r="AQ507" s="130"/>
      <c r="AR507" s="130"/>
      <c r="AS507" s="130"/>
      <c r="AT507" s="130"/>
      <c r="AU507" s="130"/>
      <c r="AV507" s="130"/>
      <c r="AW507" s="130"/>
      <c r="AX507" s="130"/>
      <c r="AY507" s="130"/>
      <c r="AZ507" s="130"/>
    </row>
    <row r="508" spans="1:52" ht="30" customHeight="1">
      <c r="A508" s="525">
        <v>506</v>
      </c>
      <c r="B508" s="130" t="s">
        <v>3304</v>
      </c>
      <c r="C508" s="130">
        <v>41100502</v>
      </c>
      <c r="D508" s="130" t="s">
        <v>1591</v>
      </c>
      <c r="E508" s="130" t="s">
        <v>3593</v>
      </c>
      <c r="F508" s="130" t="s">
        <v>3594</v>
      </c>
      <c r="G508" s="130" t="s">
        <v>0</v>
      </c>
      <c r="H508" s="130" t="s">
        <v>3595</v>
      </c>
      <c r="I508" s="130" t="s">
        <v>2894</v>
      </c>
      <c r="J508" s="130"/>
      <c r="K508" s="429">
        <v>45978</v>
      </c>
      <c r="L508" s="130">
        <v>1100366400</v>
      </c>
      <c r="M508" s="130" t="s">
        <v>255</v>
      </c>
      <c r="N508" s="130" t="s">
        <v>6400</v>
      </c>
      <c r="O508" s="130" t="s">
        <v>6401</v>
      </c>
      <c r="P508" s="130" t="s">
        <v>26</v>
      </c>
      <c r="Q508" s="130" t="s">
        <v>49</v>
      </c>
      <c r="R508" s="130" t="s">
        <v>3993</v>
      </c>
      <c r="S508" s="130" t="s">
        <v>3727</v>
      </c>
      <c r="T508" s="130"/>
      <c r="U508" s="130"/>
      <c r="V508" s="130"/>
      <c r="W508" s="130"/>
      <c r="X508" s="130"/>
      <c r="Y508" s="130"/>
      <c r="Z508" s="130"/>
      <c r="AA508" s="130"/>
      <c r="AB508" s="130"/>
      <c r="AC508" s="130"/>
      <c r="AD508" s="130"/>
      <c r="AE508" s="130"/>
      <c r="AF508" s="130"/>
      <c r="AG508" s="130"/>
      <c r="AH508" s="130"/>
      <c r="AI508" s="130"/>
      <c r="AJ508" s="130"/>
      <c r="AK508" s="130"/>
      <c r="AL508" s="130"/>
      <c r="AM508" s="130"/>
      <c r="AN508" s="130"/>
      <c r="AO508" s="130"/>
      <c r="AP508" s="130"/>
      <c r="AQ508" s="130"/>
      <c r="AR508" s="130"/>
      <c r="AS508" s="130"/>
      <c r="AT508" s="130"/>
      <c r="AU508" s="130"/>
      <c r="AV508" s="130"/>
      <c r="AW508" s="130"/>
      <c r="AX508" s="130"/>
      <c r="AY508" s="130"/>
      <c r="AZ508" s="130"/>
    </row>
    <row r="509" spans="1:52" ht="30" customHeight="1">
      <c r="A509" s="525">
        <v>507</v>
      </c>
      <c r="B509" s="130" t="s">
        <v>3314</v>
      </c>
      <c r="C509" s="130">
        <v>41200158</v>
      </c>
      <c r="D509" s="130" t="s">
        <v>1480</v>
      </c>
      <c r="E509" s="130" t="s">
        <v>3603</v>
      </c>
      <c r="F509" s="130" t="s">
        <v>3604</v>
      </c>
      <c r="G509" s="130" t="s">
        <v>0</v>
      </c>
      <c r="H509" s="130" t="s">
        <v>3595</v>
      </c>
      <c r="I509" s="130" t="s">
        <v>3762</v>
      </c>
      <c r="J509" s="130" t="s">
        <v>2880</v>
      </c>
      <c r="K509" s="429">
        <v>45979</v>
      </c>
      <c r="L509" s="130"/>
      <c r="M509" s="130"/>
      <c r="N509" s="130" t="s">
        <v>6402</v>
      </c>
      <c r="O509" s="130" t="s">
        <v>6403</v>
      </c>
      <c r="P509" s="130" t="s">
        <v>26</v>
      </c>
      <c r="Q509" s="130" t="s">
        <v>49</v>
      </c>
      <c r="R509" s="130" t="s">
        <v>3674</v>
      </c>
      <c r="S509" s="130" t="s">
        <v>6242</v>
      </c>
      <c r="T509" s="130"/>
      <c r="U509" s="130"/>
      <c r="V509" s="130"/>
      <c r="W509" s="130"/>
      <c r="X509" s="130"/>
      <c r="Y509" s="130"/>
      <c r="Z509" s="130"/>
      <c r="AA509" s="130"/>
      <c r="AB509" s="130"/>
      <c r="AC509" s="130"/>
      <c r="AD509" s="130"/>
      <c r="AE509" s="130"/>
      <c r="AF509" s="130"/>
      <c r="AG509" s="130"/>
      <c r="AH509" s="130"/>
      <c r="AI509" s="130"/>
      <c r="AJ509" s="130"/>
      <c r="AK509" s="130"/>
      <c r="AL509" s="130"/>
      <c r="AM509" s="130"/>
      <c r="AN509" s="130"/>
      <c r="AO509" s="130"/>
      <c r="AP509" s="130"/>
      <c r="AQ509" s="130"/>
      <c r="AR509" s="130"/>
      <c r="AS509" s="130"/>
      <c r="AT509" s="130"/>
      <c r="AU509" s="130"/>
      <c r="AV509" s="130"/>
      <c r="AW509" s="130"/>
      <c r="AX509" s="130"/>
      <c r="AY509" s="130"/>
      <c r="AZ509" s="130"/>
    </row>
    <row r="510" spans="1:52" ht="30" customHeight="1">
      <c r="A510" s="525">
        <v>508</v>
      </c>
      <c r="B510" s="130" t="s">
        <v>5406</v>
      </c>
      <c r="C510" s="130">
        <v>41200182</v>
      </c>
      <c r="D510" s="130" t="s">
        <v>1393</v>
      </c>
      <c r="E510" s="130" t="s">
        <v>3603</v>
      </c>
      <c r="F510" s="130" t="s">
        <v>3619</v>
      </c>
      <c r="G510" s="130" t="s">
        <v>0</v>
      </c>
      <c r="H510" s="130" t="s">
        <v>3595</v>
      </c>
      <c r="I510" s="130" t="s">
        <v>3762</v>
      </c>
      <c r="J510" s="130" t="s">
        <v>2880</v>
      </c>
      <c r="K510" s="429">
        <v>45980</v>
      </c>
      <c r="L510" s="130">
        <v>1100019700</v>
      </c>
      <c r="M510" s="130" t="s">
        <v>816</v>
      </c>
      <c r="N510" s="130" t="s">
        <v>6404</v>
      </c>
      <c r="O510" s="130" t="s">
        <v>6405</v>
      </c>
      <c r="P510" s="130" t="s">
        <v>26</v>
      </c>
      <c r="Q510" s="130" t="s">
        <v>49</v>
      </c>
      <c r="R510" s="130" t="s">
        <v>3674</v>
      </c>
      <c r="S510" s="130" t="s">
        <v>3917</v>
      </c>
      <c r="T510" s="130"/>
      <c r="U510" s="130"/>
      <c r="V510" s="130"/>
      <c r="W510" s="130"/>
      <c r="X510" s="130"/>
      <c r="Y510" s="130"/>
      <c r="Z510" s="130"/>
      <c r="AA510" s="130"/>
      <c r="AB510" s="130"/>
      <c r="AC510" s="130"/>
      <c r="AD510" s="130"/>
      <c r="AE510" s="130"/>
      <c r="AF510" s="130"/>
      <c r="AG510" s="130"/>
      <c r="AH510" s="130"/>
      <c r="AI510" s="130"/>
      <c r="AJ510" s="130"/>
      <c r="AK510" s="130"/>
      <c r="AL510" s="130"/>
      <c r="AM510" s="130"/>
      <c r="AN510" s="130"/>
      <c r="AO510" s="130"/>
      <c r="AP510" s="130"/>
      <c r="AQ510" s="130"/>
      <c r="AR510" s="130"/>
      <c r="AS510" s="130"/>
      <c r="AT510" s="130"/>
      <c r="AU510" s="130"/>
      <c r="AV510" s="130"/>
      <c r="AW510" s="130"/>
      <c r="AX510" s="130"/>
      <c r="AY510" s="130"/>
      <c r="AZ510" s="130"/>
    </row>
    <row r="511" spans="1:52" ht="30" customHeight="1">
      <c r="A511" s="525">
        <v>509</v>
      </c>
      <c r="B511" s="130" t="s">
        <v>3325</v>
      </c>
      <c r="C511" s="130">
        <v>41200153</v>
      </c>
      <c r="D511" s="130" t="s">
        <v>1476</v>
      </c>
      <c r="E511" s="130" t="s">
        <v>3593</v>
      </c>
      <c r="F511" s="130" t="s">
        <v>3594</v>
      </c>
      <c r="G511" s="130" t="s">
        <v>0</v>
      </c>
      <c r="H511" s="130" t="s">
        <v>3595</v>
      </c>
      <c r="I511" s="130" t="s">
        <v>2894</v>
      </c>
      <c r="J511" s="130" t="s">
        <v>2679</v>
      </c>
      <c r="K511" s="429">
        <v>45980</v>
      </c>
      <c r="L511" s="130">
        <v>1120021700</v>
      </c>
      <c r="M511" s="130" t="s">
        <v>2509</v>
      </c>
      <c r="N511" s="130" t="s">
        <v>6396</v>
      </c>
      <c r="O511" s="130" t="s">
        <v>6397</v>
      </c>
      <c r="P511" s="130" t="s">
        <v>30</v>
      </c>
      <c r="Q511" s="130" t="s">
        <v>49</v>
      </c>
      <c r="R511" s="130" t="s">
        <v>3993</v>
      </c>
      <c r="S511" s="130" t="s">
        <v>6406</v>
      </c>
      <c r="T511" s="130"/>
      <c r="U511" s="130"/>
      <c r="V511" s="130"/>
      <c r="W511" s="130"/>
      <c r="X511" s="130"/>
      <c r="Y511" s="130"/>
      <c r="Z511" s="130"/>
      <c r="AA511" s="130"/>
      <c r="AB511" s="130"/>
      <c r="AC511" s="130"/>
      <c r="AD511" s="130"/>
      <c r="AE511" s="130"/>
      <c r="AF511" s="130"/>
      <c r="AG511" s="130"/>
      <c r="AH511" s="130"/>
      <c r="AI511" s="130"/>
      <c r="AJ511" s="130"/>
      <c r="AK511" s="130"/>
      <c r="AL511" s="130"/>
      <c r="AM511" s="130"/>
      <c r="AN511" s="130"/>
      <c r="AO511" s="130"/>
      <c r="AP511" s="130"/>
      <c r="AQ511" s="130"/>
      <c r="AR511" s="130"/>
      <c r="AS511" s="130"/>
      <c r="AT511" s="130"/>
      <c r="AU511" s="130"/>
      <c r="AV511" s="130"/>
      <c r="AW511" s="130"/>
      <c r="AX511" s="130"/>
      <c r="AY511" s="130"/>
      <c r="AZ511" s="130"/>
    </row>
    <row r="512" spans="1:52" ht="30" customHeight="1">
      <c r="A512" s="525">
        <v>510</v>
      </c>
      <c r="B512" s="130" t="s">
        <v>3332</v>
      </c>
      <c r="C512" s="130">
        <v>41200076</v>
      </c>
      <c r="D512" s="130" t="s">
        <v>1476</v>
      </c>
      <c r="E512" s="130" t="s">
        <v>3603</v>
      </c>
      <c r="F512" s="130" t="s">
        <v>3604</v>
      </c>
      <c r="G512" s="130" t="s">
        <v>0</v>
      </c>
      <c r="H512" s="130" t="s">
        <v>3595</v>
      </c>
      <c r="I512" s="130" t="s">
        <v>3596</v>
      </c>
      <c r="J512" s="130" t="s">
        <v>2679</v>
      </c>
      <c r="K512" s="429">
        <v>45981</v>
      </c>
      <c r="L512" s="130">
        <v>1100219800</v>
      </c>
      <c r="M512" s="130" t="s">
        <v>438</v>
      </c>
      <c r="N512" s="130" t="s">
        <v>6407</v>
      </c>
      <c r="O512" s="130" t="s">
        <v>6408</v>
      </c>
      <c r="P512" s="130" t="s">
        <v>26</v>
      </c>
      <c r="Q512" s="130" t="s">
        <v>49</v>
      </c>
      <c r="R512" s="130" t="s">
        <v>3674</v>
      </c>
      <c r="S512" s="130" t="s">
        <v>3666</v>
      </c>
      <c r="T512" s="130"/>
      <c r="U512" s="130"/>
      <c r="V512" s="130"/>
      <c r="W512" s="130"/>
      <c r="X512" s="130"/>
      <c r="Y512" s="130"/>
      <c r="Z512" s="130"/>
      <c r="AA512" s="130"/>
      <c r="AB512" s="130"/>
      <c r="AC512" s="130"/>
      <c r="AD512" s="130"/>
      <c r="AE512" s="130"/>
      <c r="AF512" s="130"/>
      <c r="AG512" s="130"/>
      <c r="AH512" s="130"/>
      <c r="AI512" s="130"/>
      <c r="AJ512" s="130"/>
      <c r="AK512" s="130"/>
      <c r="AL512" s="130"/>
      <c r="AM512" s="130"/>
      <c r="AN512" s="130"/>
      <c r="AO512" s="130"/>
      <c r="AP512" s="130"/>
      <c r="AQ512" s="130"/>
      <c r="AR512" s="130"/>
      <c r="AS512" s="130"/>
      <c r="AT512" s="130"/>
      <c r="AU512" s="130"/>
      <c r="AV512" s="130"/>
      <c r="AW512" s="130"/>
      <c r="AX512" s="130"/>
      <c r="AY512" s="130"/>
      <c r="AZ512" s="130"/>
    </row>
    <row r="513" spans="1:52" ht="30" customHeight="1">
      <c r="A513" s="525">
        <v>511</v>
      </c>
      <c r="B513" s="130" t="s">
        <v>3355</v>
      </c>
      <c r="C513" s="130">
        <v>41200005</v>
      </c>
      <c r="D513" s="130" t="s">
        <v>1591</v>
      </c>
      <c r="E513" s="130" t="s">
        <v>3593</v>
      </c>
      <c r="F513" s="130" t="s">
        <v>3619</v>
      </c>
      <c r="G513" s="130" t="s">
        <v>0</v>
      </c>
      <c r="H513" s="130" t="s">
        <v>3595</v>
      </c>
      <c r="I513" s="130" t="s">
        <v>3596</v>
      </c>
      <c r="J513" s="130"/>
      <c r="K513" s="429">
        <v>45986</v>
      </c>
      <c r="L513" s="130">
        <v>1100009000</v>
      </c>
      <c r="M513" s="130" t="s">
        <v>143</v>
      </c>
      <c r="N513" s="130" t="s">
        <v>6409</v>
      </c>
      <c r="O513" s="130" t="s">
        <v>6410</v>
      </c>
      <c r="P513" s="130" t="s">
        <v>26</v>
      </c>
      <c r="Q513" s="130" t="s">
        <v>49</v>
      </c>
      <c r="R513" s="130" t="s">
        <v>3674</v>
      </c>
      <c r="S513" s="130" t="s">
        <v>3993</v>
      </c>
      <c r="T513" s="130"/>
      <c r="U513" s="130"/>
      <c r="V513" s="130"/>
      <c r="W513" s="130"/>
      <c r="X513" s="130"/>
      <c r="Y513" s="130"/>
      <c r="Z513" s="130"/>
      <c r="AA513" s="130"/>
      <c r="AB513" s="130"/>
      <c r="AC513" s="130"/>
      <c r="AD513" s="130"/>
      <c r="AE513" s="130"/>
      <c r="AF513" s="130"/>
      <c r="AG513" s="130"/>
      <c r="AH513" s="130"/>
      <c r="AI513" s="130"/>
      <c r="AJ513" s="130"/>
      <c r="AK513" s="130"/>
      <c r="AL513" s="130"/>
      <c r="AM513" s="130"/>
      <c r="AN513" s="130"/>
      <c r="AO513" s="130"/>
      <c r="AP513" s="130"/>
      <c r="AQ513" s="130"/>
      <c r="AR513" s="130"/>
      <c r="AS513" s="130"/>
      <c r="AT513" s="130"/>
      <c r="AU513" s="130"/>
      <c r="AV513" s="130"/>
      <c r="AW513" s="130"/>
      <c r="AX513" s="130"/>
      <c r="AY513" s="130"/>
      <c r="AZ513" s="130"/>
    </row>
    <row r="514" spans="1:52" ht="30" customHeight="1">
      <c r="A514" s="525">
        <v>512</v>
      </c>
      <c r="B514" s="130" t="s">
        <v>3373</v>
      </c>
      <c r="C514" s="130">
        <v>41200006</v>
      </c>
      <c r="D514" s="130" t="s">
        <v>1477</v>
      </c>
      <c r="E514" s="130" t="s">
        <v>3603</v>
      </c>
      <c r="F514" s="130" t="s">
        <v>3604</v>
      </c>
      <c r="G514" s="130" t="s">
        <v>0</v>
      </c>
      <c r="H514" s="130" t="s">
        <v>3614</v>
      </c>
      <c r="I514" s="130" t="s">
        <v>3596</v>
      </c>
      <c r="J514" s="130"/>
      <c r="K514" s="429">
        <v>45987</v>
      </c>
      <c r="L514" s="130">
        <v>1100228300</v>
      </c>
      <c r="M514" s="130" t="s">
        <v>932</v>
      </c>
      <c r="N514" s="130" t="s">
        <v>5542</v>
      </c>
      <c r="O514" s="130" t="s">
        <v>6411</v>
      </c>
      <c r="P514" s="130" t="s">
        <v>45</v>
      </c>
      <c r="Q514" s="130" t="s">
        <v>6412</v>
      </c>
      <c r="R514" s="130" t="s">
        <v>3666</v>
      </c>
      <c r="S514" s="130" t="s">
        <v>3904</v>
      </c>
      <c r="T514" s="130"/>
      <c r="U514" s="130"/>
      <c r="V514" s="130"/>
      <c r="W514" s="130"/>
      <c r="X514" s="130"/>
      <c r="Y514" s="130"/>
      <c r="Z514" s="130"/>
      <c r="AA514" s="130"/>
      <c r="AB514" s="130"/>
      <c r="AC514" s="130"/>
      <c r="AD514" s="130"/>
      <c r="AE514" s="130"/>
      <c r="AF514" s="130"/>
      <c r="AG514" s="130"/>
      <c r="AH514" s="130"/>
      <c r="AI514" s="130"/>
      <c r="AJ514" s="130"/>
      <c r="AK514" s="130"/>
      <c r="AL514" s="130"/>
      <c r="AM514" s="130"/>
      <c r="AN514" s="130"/>
      <c r="AO514" s="130"/>
      <c r="AP514" s="130"/>
      <c r="AQ514" s="130"/>
      <c r="AR514" s="130"/>
      <c r="AS514" s="130"/>
      <c r="AT514" s="130"/>
      <c r="AU514" s="130"/>
      <c r="AV514" s="130"/>
      <c r="AW514" s="130"/>
      <c r="AX514" s="130"/>
      <c r="AY514" s="130"/>
      <c r="AZ514" s="130"/>
    </row>
    <row r="515" spans="1:52" ht="30" customHeight="1">
      <c r="A515" s="525">
        <v>513</v>
      </c>
      <c r="B515" s="130" t="s">
        <v>3369</v>
      </c>
      <c r="C515" s="130">
        <v>41200075</v>
      </c>
      <c r="D515" s="130" t="s">
        <v>1476</v>
      </c>
      <c r="E515" s="130" t="s">
        <v>3593</v>
      </c>
      <c r="F515" s="130" t="s">
        <v>3594</v>
      </c>
      <c r="G515" s="130" t="s">
        <v>0</v>
      </c>
      <c r="H515" s="130" t="s">
        <v>3595</v>
      </c>
      <c r="I515" s="130" t="s">
        <v>3596</v>
      </c>
      <c r="J515" s="130" t="s">
        <v>2880</v>
      </c>
      <c r="K515" s="429">
        <v>45987</v>
      </c>
      <c r="L515" s="130">
        <v>1100366400</v>
      </c>
      <c r="M515" s="130" t="s">
        <v>255</v>
      </c>
      <c r="N515" s="130" t="s">
        <v>6413</v>
      </c>
      <c r="O515" s="130" t="s">
        <v>6414</v>
      </c>
      <c r="P515" s="130" t="s">
        <v>26</v>
      </c>
      <c r="Q515" s="130" t="s">
        <v>49</v>
      </c>
      <c r="R515" s="130" t="s">
        <v>3674</v>
      </c>
      <c r="S515" s="130" t="s">
        <v>6406</v>
      </c>
      <c r="T515" s="130"/>
      <c r="U515" s="130"/>
      <c r="V515" s="130"/>
      <c r="W515" s="130"/>
      <c r="X515" s="130"/>
      <c r="Y515" s="130"/>
      <c r="Z515" s="130"/>
      <c r="AA515" s="130"/>
      <c r="AB515" s="130"/>
      <c r="AC515" s="130"/>
      <c r="AD515" s="130"/>
      <c r="AE515" s="130"/>
      <c r="AF515" s="130"/>
      <c r="AG515" s="130"/>
      <c r="AH515" s="130"/>
      <c r="AI515" s="130"/>
      <c r="AJ515" s="130"/>
      <c r="AK515" s="130"/>
      <c r="AL515" s="130"/>
      <c r="AM515" s="130"/>
      <c r="AN515" s="130"/>
      <c r="AO515" s="130"/>
      <c r="AP515" s="130"/>
      <c r="AQ515" s="130"/>
      <c r="AR515" s="130"/>
      <c r="AS515" s="130"/>
      <c r="AT515" s="130"/>
      <c r="AU515" s="130"/>
      <c r="AV515" s="130"/>
      <c r="AW515" s="130"/>
      <c r="AX515" s="130"/>
      <c r="AY515" s="130"/>
      <c r="AZ515" s="130"/>
    </row>
    <row r="516" spans="1:52" ht="30" customHeight="1">
      <c r="A516" s="525">
        <v>514</v>
      </c>
      <c r="B516" s="130" t="s">
        <v>3383</v>
      </c>
      <c r="C516" s="130">
        <v>41200007</v>
      </c>
      <c r="D516" s="130" t="s">
        <v>1591</v>
      </c>
      <c r="E516" s="130" t="s">
        <v>3603</v>
      </c>
      <c r="F516" s="130" t="s">
        <v>3604</v>
      </c>
      <c r="G516" s="130" t="s">
        <v>0</v>
      </c>
      <c r="H516" s="130" t="s">
        <v>3595</v>
      </c>
      <c r="I516" s="130" t="s">
        <v>3596</v>
      </c>
      <c r="J516" s="130"/>
      <c r="K516" s="429">
        <v>45989</v>
      </c>
      <c r="L516" s="130">
        <v>1100019800</v>
      </c>
      <c r="M516" s="130" t="s">
        <v>816</v>
      </c>
      <c r="N516" s="130" t="s">
        <v>6415</v>
      </c>
      <c r="O516" s="130" t="s">
        <v>6416</v>
      </c>
      <c r="P516" s="130" t="s">
        <v>26</v>
      </c>
      <c r="Q516" s="130" t="s">
        <v>49</v>
      </c>
      <c r="R516" s="130" t="s">
        <v>3674</v>
      </c>
      <c r="S516" s="130" t="s">
        <v>3940</v>
      </c>
      <c r="T516" s="130"/>
      <c r="U516" s="130"/>
      <c r="V516" s="130"/>
      <c r="W516" s="130"/>
      <c r="X516" s="130"/>
      <c r="Y516" s="130"/>
      <c r="Z516" s="130"/>
      <c r="AA516" s="130"/>
      <c r="AB516" s="130"/>
      <c r="AC516" s="130"/>
      <c r="AD516" s="130"/>
      <c r="AE516" s="130"/>
      <c r="AF516" s="130"/>
      <c r="AG516" s="130"/>
      <c r="AH516" s="130"/>
      <c r="AI516" s="130"/>
      <c r="AJ516" s="130"/>
      <c r="AK516" s="130"/>
      <c r="AL516" s="130"/>
      <c r="AM516" s="130"/>
      <c r="AN516" s="130"/>
      <c r="AO516" s="130"/>
      <c r="AP516" s="130"/>
      <c r="AQ516" s="130"/>
      <c r="AR516" s="130"/>
      <c r="AS516" s="130"/>
      <c r="AT516" s="130"/>
      <c r="AU516" s="130"/>
      <c r="AV516" s="130"/>
      <c r="AW516" s="130"/>
      <c r="AX516" s="130"/>
      <c r="AY516" s="130"/>
      <c r="AZ516" s="130"/>
    </row>
    <row r="517" spans="1:52" ht="30" customHeight="1">
      <c r="A517" s="525">
        <v>515</v>
      </c>
      <c r="B517" s="130" t="s">
        <v>3382</v>
      </c>
      <c r="C517" s="130">
        <v>41200007</v>
      </c>
      <c r="D517" s="130" t="s">
        <v>1591</v>
      </c>
      <c r="E517" s="130" t="s">
        <v>3603</v>
      </c>
      <c r="F517" s="130" t="s">
        <v>3604</v>
      </c>
      <c r="G517" s="130" t="s">
        <v>0</v>
      </c>
      <c r="H517" s="130" t="s">
        <v>3595</v>
      </c>
      <c r="I517" s="130" t="s">
        <v>3596</v>
      </c>
      <c r="J517" s="130"/>
      <c r="K517" s="429">
        <v>45989</v>
      </c>
      <c r="L517" s="130">
        <v>1100019800</v>
      </c>
      <c r="M517" s="130" t="s">
        <v>816</v>
      </c>
      <c r="N517" s="130" t="s">
        <v>6415</v>
      </c>
      <c r="O517" s="130" t="s">
        <v>6416</v>
      </c>
      <c r="P517" s="130" t="s">
        <v>26</v>
      </c>
      <c r="Q517" s="130" t="s">
        <v>49</v>
      </c>
      <c r="R517" s="130" t="s">
        <v>3666</v>
      </c>
      <c r="S517" s="130" t="s">
        <v>3940</v>
      </c>
      <c r="T517" s="130"/>
      <c r="U517" s="130"/>
      <c r="V517" s="130"/>
      <c r="W517" s="130"/>
      <c r="X517" s="130"/>
      <c r="Y517" s="130"/>
      <c r="Z517" s="130"/>
      <c r="AA517" s="130"/>
      <c r="AB517" s="130"/>
      <c r="AC517" s="130"/>
      <c r="AD517" s="130"/>
      <c r="AE517" s="130"/>
      <c r="AF517" s="130"/>
      <c r="AG517" s="130"/>
      <c r="AH517" s="130"/>
      <c r="AI517" s="130"/>
      <c r="AJ517" s="130"/>
      <c r="AK517" s="130"/>
      <c r="AL517" s="130"/>
      <c r="AM517" s="130"/>
      <c r="AN517" s="130"/>
      <c r="AO517" s="130"/>
      <c r="AP517" s="130"/>
      <c r="AQ517" s="130"/>
      <c r="AR517" s="130"/>
      <c r="AS517" s="130"/>
      <c r="AT517" s="130"/>
      <c r="AU517" s="130"/>
      <c r="AV517" s="130"/>
      <c r="AW517" s="130"/>
      <c r="AX517" s="130"/>
      <c r="AY517" s="130"/>
      <c r="AZ517" s="130"/>
    </row>
    <row r="518" spans="1:52" ht="30" customHeight="1">
      <c r="A518" s="525">
        <v>516</v>
      </c>
      <c r="B518" s="130" t="s">
        <v>3382</v>
      </c>
      <c r="C518" s="130">
        <v>41200007</v>
      </c>
      <c r="D518" s="130" t="s">
        <v>1591</v>
      </c>
      <c r="E518" s="130" t="s">
        <v>3603</v>
      </c>
      <c r="F518" s="130" t="s">
        <v>3604</v>
      </c>
      <c r="G518" s="130" t="s">
        <v>0</v>
      </c>
      <c r="H518" s="130" t="s">
        <v>3595</v>
      </c>
      <c r="I518" s="130" t="s">
        <v>3596</v>
      </c>
      <c r="J518" s="130"/>
      <c r="K518" s="429">
        <v>45989</v>
      </c>
      <c r="L518" s="130">
        <v>1100364300</v>
      </c>
      <c r="M518" s="130" t="s">
        <v>953</v>
      </c>
      <c r="N518" s="130" t="s">
        <v>6334</v>
      </c>
      <c r="O518" s="130" t="s">
        <v>6335</v>
      </c>
      <c r="P518" s="130" t="s">
        <v>3600</v>
      </c>
      <c r="Q518" s="130" t="s">
        <v>54</v>
      </c>
      <c r="R518" s="130" t="s">
        <v>3666</v>
      </c>
      <c r="S518" s="130" t="s">
        <v>3940</v>
      </c>
      <c r="T518" s="130"/>
      <c r="U518" s="130"/>
      <c r="V518" s="130"/>
      <c r="W518" s="130"/>
      <c r="X518" s="130"/>
      <c r="Y518" s="130"/>
      <c r="Z518" s="130"/>
      <c r="AA518" s="130"/>
      <c r="AB518" s="130"/>
      <c r="AC518" s="130"/>
      <c r="AD518" s="130"/>
      <c r="AE518" s="130"/>
      <c r="AF518" s="130"/>
      <c r="AG518" s="130"/>
      <c r="AH518" s="130"/>
      <c r="AI518" s="130"/>
      <c r="AJ518" s="130"/>
      <c r="AK518" s="130"/>
      <c r="AL518" s="130"/>
      <c r="AM518" s="130"/>
      <c r="AN518" s="130"/>
      <c r="AO518" s="130"/>
      <c r="AP518" s="130"/>
      <c r="AQ518" s="130"/>
      <c r="AR518" s="130"/>
      <c r="AS518" s="130"/>
      <c r="AT518" s="130"/>
      <c r="AU518" s="130"/>
      <c r="AV518" s="130"/>
      <c r="AW518" s="130"/>
      <c r="AX518" s="130"/>
      <c r="AY518" s="130"/>
      <c r="AZ518" s="130"/>
    </row>
    <row r="519" spans="1:52" ht="30" customHeight="1">
      <c r="A519" s="525">
        <v>517</v>
      </c>
      <c r="B519" s="130" t="s">
        <v>3400</v>
      </c>
      <c r="C519" s="130">
        <v>41200066</v>
      </c>
      <c r="D519" s="130" t="s">
        <v>1476</v>
      </c>
      <c r="E519" s="130" t="s">
        <v>3603</v>
      </c>
      <c r="F519" s="130" t="s">
        <v>3604</v>
      </c>
      <c r="G519" s="130" t="s">
        <v>0</v>
      </c>
      <c r="H519" s="130" t="s">
        <v>3614</v>
      </c>
      <c r="I519" s="130" t="s">
        <v>3596</v>
      </c>
      <c r="J519" s="130" t="s">
        <v>2679</v>
      </c>
      <c r="K519" s="429">
        <v>45989</v>
      </c>
      <c r="L519" s="130">
        <v>1100219500</v>
      </c>
      <c r="M519" s="130" t="s">
        <v>438</v>
      </c>
      <c r="N519" s="130" t="s">
        <v>6417</v>
      </c>
      <c r="O519" s="130" t="s">
        <v>6418</v>
      </c>
      <c r="P519" s="130" t="s">
        <v>45</v>
      </c>
      <c r="Q519" s="130" t="s">
        <v>61</v>
      </c>
      <c r="R519" s="130" t="s">
        <v>3666</v>
      </c>
      <c r="S519" s="130" t="s">
        <v>5502</v>
      </c>
      <c r="T519" s="130"/>
      <c r="U519" s="130"/>
      <c r="V519" s="130"/>
      <c r="W519" s="130"/>
      <c r="X519" s="130"/>
      <c r="Y519" s="130"/>
      <c r="Z519" s="130"/>
      <c r="AA519" s="130"/>
      <c r="AB519" s="130"/>
      <c r="AC519" s="130"/>
      <c r="AD519" s="130"/>
      <c r="AE519" s="130"/>
      <c r="AF519" s="130"/>
      <c r="AG519" s="130"/>
      <c r="AH519" s="130"/>
      <c r="AI519" s="130"/>
      <c r="AJ519" s="130"/>
      <c r="AK519" s="130"/>
      <c r="AL519" s="130"/>
      <c r="AM519" s="130"/>
      <c r="AN519" s="130"/>
      <c r="AO519" s="130"/>
      <c r="AP519" s="130"/>
      <c r="AQ519" s="130"/>
      <c r="AR519" s="130"/>
      <c r="AS519" s="130"/>
      <c r="AT519" s="130"/>
      <c r="AU519" s="130"/>
      <c r="AV519" s="130"/>
      <c r="AW519" s="130"/>
      <c r="AX519" s="130"/>
      <c r="AY519" s="130"/>
      <c r="AZ519" s="130"/>
    </row>
    <row r="520" spans="1:52" ht="30" customHeight="1">
      <c r="A520" s="525">
        <v>518</v>
      </c>
      <c r="B520" s="130" t="s">
        <v>3399</v>
      </c>
      <c r="C520" s="130">
        <v>41200076</v>
      </c>
      <c r="D520" s="130" t="s">
        <v>1476</v>
      </c>
      <c r="E520" s="130" t="s">
        <v>3593</v>
      </c>
      <c r="F520" s="130" t="s">
        <v>3594</v>
      </c>
      <c r="G520" s="130" t="s">
        <v>0</v>
      </c>
      <c r="H520" s="130" t="s">
        <v>3614</v>
      </c>
      <c r="I520" s="130" t="s">
        <v>3596</v>
      </c>
      <c r="J520" s="130" t="s">
        <v>2679</v>
      </c>
      <c r="K520" s="429">
        <v>45993</v>
      </c>
      <c r="L520" s="130">
        <v>1100228300</v>
      </c>
      <c r="M520" s="130" t="s">
        <v>932</v>
      </c>
      <c r="N520" s="130" t="s">
        <v>5542</v>
      </c>
      <c r="O520" s="130" t="s">
        <v>6419</v>
      </c>
      <c r="P520" s="130" t="s">
        <v>45</v>
      </c>
      <c r="Q520" s="130" t="s">
        <v>5481</v>
      </c>
      <c r="R520" s="130" t="s">
        <v>3656</v>
      </c>
      <c r="S520" s="130" t="s">
        <v>5568</v>
      </c>
      <c r="T520" s="130"/>
      <c r="U520" s="130"/>
      <c r="V520" s="130"/>
      <c r="W520" s="130"/>
      <c r="X520" s="130"/>
      <c r="Y520" s="130"/>
      <c r="Z520" s="130"/>
      <c r="AA520" s="130"/>
      <c r="AB520" s="130"/>
      <c r="AC520" s="130"/>
      <c r="AD520" s="130"/>
      <c r="AE520" s="130"/>
      <c r="AF520" s="130"/>
      <c r="AG520" s="130"/>
      <c r="AH520" s="130"/>
      <c r="AI520" s="130"/>
      <c r="AJ520" s="130"/>
      <c r="AK520" s="130"/>
      <c r="AL520" s="130"/>
      <c r="AM520" s="130"/>
      <c r="AN520" s="130"/>
      <c r="AO520" s="130"/>
      <c r="AP520" s="130"/>
      <c r="AQ520" s="130"/>
      <c r="AR520" s="130"/>
      <c r="AS520" s="130"/>
      <c r="AT520" s="130"/>
      <c r="AU520" s="130"/>
      <c r="AV520" s="130"/>
      <c r="AW520" s="130"/>
      <c r="AX520" s="130"/>
      <c r="AY520" s="130"/>
      <c r="AZ520" s="130"/>
    </row>
    <row r="521" spans="1:52" ht="30" customHeight="1">
      <c r="A521" s="525">
        <v>519</v>
      </c>
      <c r="B521" s="130" t="s">
        <v>3401</v>
      </c>
      <c r="C521" s="130">
        <v>41200127</v>
      </c>
      <c r="D521" s="130" t="s">
        <v>1591</v>
      </c>
      <c r="E521" s="130" t="s">
        <v>3593</v>
      </c>
      <c r="F521" s="130" t="s">
        <v>3619</v>
      </c>
      <c r="G521" s="130" t="s">
        <v>0</v>
      </c>
      <c r="H521" s="130" t="s">
        <v>3595</v>
      </c>
      <c r="I521" s="130" t="s">
        <v>2894</v>
      </c>
      <c r="J521" s="130"/>
      <c r="K521" s="429">
        <v>45994</v>
      </c>
      <c r="L521" s="130">
        <v>1100618100</v>
      </c>
      <c r="M521" s="130" t="s">
        <v>195</v>
      </c>
      <c r="N521" s="130" t="s">
        <v>6420</v>
      </c>
      <c r="O521" s="130" t="s">
        <v>6421</v>
      </c>
      <c r="P521" s="130" t="s">
        <v>30</v>
      </c>
      <c r="Q521" s="130" t="s">
        <v>49</v>
      </c>
      <c r="R521" s="130" t="s">
        <v>3993</v>
      </c>
      <c r="S521" s="130" t="s">
        <v>6237</v>
      </c>
      <c r="T521" s="130"/>
      <c r="U521" s="130"/>
      <c r="V521" s="130"/>
      <c r="W521" s="130"/>
      <c r="X521" s="130"/>
      <c r="Y521" s="130"/>
      <c r="Z521" s="130"/>
      <c r="AA521" s="130"/>
      <c r="AB521" s="130"/>
      <c r="AC521" s="130"/>
      <c r="AD521" s="130"/>
      <c r="AE521" s="130"/>
      <c r="AF521" s="130"/>
      <c r="AG521" s="130"/>
      <c r="AH521" s="130"/>
      <c r="AI521" s="130"/>
      <c r="AJ521" s="130"/>
      <c r="AK521" s="130"/>
      <c r="AL521" s="130"/>
      <c r="AM521" s="130"/>
      <c r="AN521" s="130"/>
      <c r="AO521" s="130"/>
      <c r="AP521" s="130"/>
      <c r="AQ521" s="130"/>
      <c r="AR521" s="130"/>
      <c r="AS521" s="130"/>
      <c r="AT521" s="130"/>
      <c r="AU521" s="130"/>
      <c r="AV521" s="130"/>
      <c r="AW521" s="130"/>
      <c r="AX521" s="130"/>
      <c r="AY521" s="130"/>
      <c r="AZ521" s="130"/>
    </row>
    <row r="522" spans="1:52" ht="30" customHeight="1">
      <c r="A522" s="525">
        <v>520</v>
      </c>
      <c r="B522" s="130" t="s">
        <v>3409</v>
      </c>
      <c r="C522" s="130">
        <v>41000598</v>
      </c>
      <c r="D522" s="130" t="s">
        <v>1480</v>
      </c>
      <c r="E522" s="130" t="s">
        <v>3593</v>
      </c>
      <c r="F522" s="130" t="s">
        <v>3619</v>
      </c>
      <c r="G522" s="130" t="s">
        <v>0</v>
      </c>
      <c r="H522" s="130" t="s">
        <v>3595</v>
      </c>
      <c r="I522" s="130" t="s">
        <v>3596</v>
      </c>
      <c r="J522" s="130" t="s">
        <v>2880</v>
      </c>
      <c r="K522" s="429">
        <v>45995</v>
      </c>
      <c r="L522" s="130">
        <v>1310965500</v>
      </c>
      <c r="M522" s="130" t="s">
        <v>5423</v>
      </c>
      <c r="N522" s="130" t="s">
        <v>6422</v>
      </c>
      <c r="O522" s="130" t="s">
        <v>6422</v>
      </c>
      <c r="P522" s="130" t="s">
        <v>30</v>
      </c>
      <c r="Q522" s="130" t="s">
        <v>54</v>
      </c>
      <c r="R522" s="130" t="s">
        <v>3993</v>
      </c>
      <c r="S522" s="130" t="s">
        <v>6406</v>
      </c>
      <c r="T522" s="130"/>
      <c r="U522" s="130"/>
      <c r="V522" s="130"/>
      <c r="W522" s="130"/>
      <c r="X522" s="130"/>
      <c r="Y522" s="130"/>
      <c r="Z522" s="130"/>
      <c r="AA522" s="130"/>
      <c r="AB522" s="130"/>
      <c r="AC522" s="130"/>
      <c r="AD522" s="130"/>
      <c r="AE522" s="130"/>
      <c r="AF522" s="130"/>
      <c r="AG522" s="130"/>
      <c r="AH522" s="130"/>
      <c r="AI522" s="130"/>
      <c r="AJ522" s="130"/>
      <c r="AK522" s="130"/>
      <c r="AL522" s="130"/>
      <c r="AM522" s="130"/>
      <c r="AN522" s="130"/>
      <c r="AO522" s="130"/>
      <c r="AP522" s="130"/>
      <c r="AQ522" s="130"/>
      <c r="AR522" s="130"/>
      <c r="AS522" s="130"/>
      <c r="AT522" s="130"/>
      <c r="AU522" s="130"/>
      <c r="AV522" s="130"/>
      <c r="AW522" s="130"/>
      <c r="AX522" s="130"/>
      <c r="AY522" s="130"/>
      <c r="AZ522" s="130"/>
    </row>
    <row r="523" spans="1:52" ht="30" customHeight="1">
      <c r="A523" s="525">
        <v>521</v>
      </c>
      <c r="B523" s="130" t="s">
        <v>3413</v>
      </c>
      <c r="C523" s="130">
        <v>41200061</v>
      </c>
      <c r="D523" s="130" t="s">
        <v>1480</v>
      </c>
      <c r="E523" s="130" t="s">
        <v>3603</v>
      </c>
      <c r="F523" s="130" t="s">
        <v>3604</v>
      </c>
      <c r="G523" s="130" t="s">
        <v>0</v>
      </c>
      <c r="H523" s="130" t="s">
        <v>3595</v>
      </c>
      <c r="I523" s="130" t="s">
        <v>3596</v>
      </c>
      <c r="J523" s="130" t="s">
        <v>2679</v>
      </c>
      <c r="K523" s="429">
        <v>45995</v>
      </c>
      <c r="L523" s="130">
        <v>1100196400</v>
      </c>
      <c r="M523" s="130" t="s">
        <v>562</v>
      </c>
      <c r="N523" s="130" t="s">
        <v>4000</v>
      </c>
      <c r="O523" s="130" t="s">
        <v>6423</v>
      </c>
      <c r="P523" s="130" t="s">
        <v>26</v>
      </c>
      <c r="Q523" s="130" t="s">
        <v>54</v>
      </c>
      <c r="R523" s="130" t="s">
        <v>3602</v>
      </c>
      <c r="S523" s="130" t="s">
        <v>3760</v>
      </c>
      <c r="T523" s="130"/>
      <c r="U523" s="130"/>
      <c r="V523" s="130"/>
      <c r="W523" s="130"/>
      <c r="X523" s="130"/>
      <c r="Y523" s="130"/>
      <c r="Z523" s="130"/>
      <c r="AA523" s="130"/>
      <c r="AB523" s="130"/>
      <c r="AC523" s="130"/>
      <c r="AD523" s="130"/>
      <c r="AE523" s="130"/>
      <c r="AF523" s="130"/>
      <c r="AG523" s="130"/>
      <c r="AH523" s="130"/>
      <c r="AI523" s="130"/>
      <c r="AJ523" s="130"/>
      <c r="AK523" s="130"/>
      <c r="AL523" s="130"/>
      <c r="AM523" s="130"/>
      <c r="AN523" s="130"/>
      <c r="AO523" s="130"/>
      <c r="AP523" s="130"/>
      <c r="AQ523" s="130"/>
      <c r="AR523" s="130"/>
      <c r="AS523" s="130"/>
      <c r="AT523" s="130"/>
      <c r="AU523" s="130"/>
      <c r="AV523" s="130"/>
      <c r="AW523" s="130"/>
      <c r="AX523" s="130"/>
      <c r="AY523" s="130"/>
      <c r="AZ523" s="130"/>
    </row>
    <row r="524" spans="1:52" ht="30" customHeight="1">
      <c r="A524" s="525">
        <v>522</v>
      </c>
      <c r="B524" s="130" t="s">
        <v>3413</v>
      </c>
      <c r="C524" s="130">
        <v>41200061</v>
      </c>
      <c r="D524" s="130" t="s">
        <v>1480</v>
      </c>
      <c r="E524" s="130" t="s">
        <v>3603</v>
      </c>
      <c r="F524" s="130" t="s">
        <v>3604</v>
      </c>
      <c r="G524" s="130" t="s">
        <v>0</v>
      </c>
      <c r="H524" s="130" t="s">
        <v>3595</v>
      </c>
      <c r="I524" s="130" t="s">
        <v>3596</v>
      </c>
      <c r="J524" s="130"/>
      <c r="K524" s="429">
        <v>45995</v>
      </c>
      <c r="L524" s="130">
        <v>1100364300</v>
      </c>
      <c r="M524" s="130" t="s">
        <v>953</v>
      </c>
      <c r="N524" s="130" t="s">
        <v>6334</v>
      </c>
      <c r="O524" s="130" t="s">
        <v>6335</v>
      </c>
      <c r="P524" s="130" t="s">
        <v>3600</v>
      </c>
      <c r="Q524" s="130" t="s">
        <v>54</v>
      </c>
      <c r="R524" s="130" t="s">
        <v>3666</v>
      </c>
      <c r="S524" s="130" t="s">
        <v>3915</v>
      </c>
      <c r="T524" s="130"/>
      <c r="U524" s="130"/>
      <c r="V524" s="130"/>
      <c r="W524" s="130"/>
      <c r="X524" s="130"/>
      <c r="Y524" s="130"/>
      <c r="Z524" s="130"/>
      <c r="AA524" s="130"/>
      <c r="AB524" s="130"/>
      <c r="AC524" s="130"/>
      <c r="AD524" s="130"/>
      <c r="AE524" s="130"/>
      <c r="AF524" s="130"/>
      <c r="AG524" s="130"/>
      <c r="AH524" s="130"/>
      <c r="AI524" s="130"/>
      <c r="AJ524" s="130"/>
      <c r="AK524" s="130"/>
      <c r="AL524" s="130"/>
      <c r="AM524" s="130"/>
      <c r="AN524" s="130"/>
      <c r="AO524" s="130"/>
      <c r="AP524" s="130"/>
      <c r="AQ524" s="130"/>
      <c r="AR524" s="130"/>
      <c r="AS524" s="130"/>
      <c r="AT524" s="130"/>
      <c r="AU524" s="130"/>
      <c r="AV524" s="130"/>
      <c r="AW524" s="130"/>
      <c r="AX524" s="130"/>
      <c r="AY524" s="130"/>
      <c r="AZ524" s="130"/>
    </row>
    <row r="525" spans="1:52" ht="30" customHeight="1">
      <c r="A525" s="525">
        <v>523</v>
      </c>
      <c r="B525" s="130" t="s">
        <v>3418</v>
      </c>
      <c r="C525" s="130">
        <v>41200158</v>
      </c>
      <c r="D525" s="130" t="s">
        <v>1480</v>
      </c>
      <c r="E525" s="130" t="s">
        <v>3603</v>
      </c>
      <c r="F525" s="130" t="s">
        <v>3604</v>
      </c>
      <c r="G525" s="130" t="s">
        <v>0</v>
      </c>
      <c r="H525" s="130" t="s">
        <v>3595</v>
      </c>
      <c r="I525" s="130" t="s">
        <v>3596</v>
      </c>
      <c r="J525" s="130" t="s">
        <v>2679</v>
      </c>
      <c r="K525" s="429">
        <v>45996</v>
      </c>
      <c r="L525" s="130">
        <v>1100008800</v>
      </c>
      <c r="M525" s="130" t="s">
        <v>143</v>
      </c>
      <c r="N525" s="130" t="s">
        <v>6424</v>
      </c>
      <c r="O525" s="130" t="s">
        <v>6425</v>
      </c>
      <c r="P525" s="130" t="s">
        <v>26</v>
      </c>
      <c r="Q525" s="130" t="s">
        <v>49</v>
      </c>
      <c r="R525" s="130" t="s">
        <v>3674</v>
      </c>
      <c r="S525" s="130" t="s">
        <v>3915</v>
      </c>
      <c r="T525" s="130"/>
      <c r="U525" s="130"/>
      <c r="V525" s="130"/>
      <c r="W525" s="130"/>
      <c r="X525" s="130"/>
      <c r="Y525" s="130"/>
      <c r="Z525" s="130"/>
      <c r="AA525" s="130"/>
      <c r="AB525" s="130"/>
      <c r="AC525" s="130"/>
      <c r="AD525" s="130"/>
      <c r="AE525" s="130"/>
      <c r="AF525" s="130"/>
      <c r="AG525" s="130"/>
      <c r="AH525" s="130"/>
      <c r="AI525" s="130"/>
      <c r="AJ525" s="130"/>
      <c r="AK525" s="130"/>
      <c r="AL525" s="130"/>
      <c r="AM525" s="130"/>
      <c r="AN525" s="130"/>
      <c r="AO525" s="130"/>
      <c r="AP525" s="130"/>
      <c r="AQ525" s="130"/>
      <c r="AR525" s="130"/>
      <c r="AS525" s="130"/>
      <c r="AT525" s="130"/>
      <c r="AU525" s="130"/>
      <c r="AV525" s="130"/>
      <c r="AW525" s="130"/>
      <c r="AX525" s="130"/>
      <c r="AY525" s="130"/>
      <c r="AZ525" s="130"/>
    </row>
    <row r="526" spans="1:52" ht="30" customHeight="1">
      <c r="A526" s="525">
        <v>524</v>
      </c>
      <c r="B526" s="130" t="s">
        <v>3420</v>
      </c>
      <c r="C526" s="130">
        <v>41200158</v>
      </c>
      <c r="D526" s="130" t="s">
        <v>1480</v>
      </c>
      <c r="E526" s="130" t="s">
        <v>3593</v>
      </c>
      <c r="F526" s="130" t="s">
        <v>3619</v>
      </c>
      <c r="G526" s="130" t="s">
        <v>0</v>
      </c>
      <c r="H526" s="130" t="s">
        <v>3595</v>
      </c>
      <c r="I526" s="130" t="s">
        <v>3694</v>
      </c>
      <c r="J526" s="130" t="s">
        <v>2880</v>
      </c>
      <c r="K526" s="429">
        <v>45999</v>
      </c>
      <c r="L526" s="130">
        <v>1100172000</v>
      </c>
      <c r="M526" s="130" t="s">
        <v>696</v>
      </c>
      <c r="N526" s="130" t="s">
        <v>6426</v>
      </c>
      <c r="O526" s="130" t="s">
        <v>6427</v>
      </c>
      <c r="P526" s="130" t="s">
        <v>5811</v>
      </c>
      <c r="Q526" s="130" t="s">
        <v>49</v>
      </c>
      <c r="R526" s="130" t="s">
        <v>3724</v>
      </c>
      <c r="S526" s="130" t="s">
        <v>3724</v>
      </c>
      <c r="T526" s="130"/>
      <c r="U526" s="130"/>
      <c r="V526" s="130"/>
      <c r="W526" s="130"/>
      <c r="X526" s="130"/>
      <c r="Y526" s="130"/>
      <c r="Z526" s="130"/>
      <c r="AA526" s="130"/>
      <c r="AB526" s="130"/>
      <c r="AC526" s="130"/>
      <c r="AD526" s="130"/>
      <c r="AE526" s="130"/>
      <c r="AF526" s="130"/>
      <c r="AG526" s="130"/>
      <c r="AH526" s="130"/>
      <c r="AI526" s="130"/>
      <c r="AJ526" s="130"/>
      <c r="AK526" s="130"/>
      <c r="AL526" s="130"/>
      <c r="AM526" s="130"/>
      <c r="AN526" s="130"/>
      <c r="AO526" s="130"/>
      <c r="AP526" s="130"/>
      <c r="AQ526" s="130"/>
      <c r="AR526" s="130"/>
      <c r="AS526" s="130"/>
      <c r="AT526" s="130"/>
      <c r="AU526" s="130"/>
      <c r="AV526" s="130"/>
      <c r="AW526" s="130"/>
      <c r="AX526" s="130"/>
      <c r="AY526" s="130"/>
      <c r="AZ526" s="130"/>
    </row>
    <row r="527" spans="1:52" ht="30" customHeight="1">
      <c r="A527" s="525">
        <v>525</v>
      </c>
      <c r="B527" s="130" t="s">
        <v>3419</v>
      </c>
      <c r="C527" s="130">
        <v>41200158</v>
      </c>
      <c r="D527" s="130" t="s">
        <v>1480</v>
      </c>
      <c r="E527" s="130" t="s">
        <v>3593</v>
      </c>
      <c r="F527" s="130" t="s">
        <v>3619</v>
      </c>
      <c r="G527" s="130" t="s">
        <v>0</v>
      </c>
      <c r="H527" s="130" t="s">
        <v>3595</v>
      </c>
      <c r="I527" s="130" t="s">
        <v>3694</v>
      </c>
      <c r="J527" s="130" t="s">
        <v>2880</v>
      </c>
      <c r="K527" s="429">
        <v>45999</v>
      </c>
      <c r="L527" s="130">
        <v>1100172000</v>
      </c>
      <c r="M527" s="130" t="s">
        <v>696</v>
      </c>
      <c r="N527" s="130" t="s">
        <v>6426</v>
      </c>
      <c r="O527" s="130" t="s">
        <v>6427</v>
      </c>
      <c r="P527" s="130" t="s">
        <v>5811</v>
      </c>
      <c r="Q527" s="130" t="s">
        <v>49</v>
      </c>
      <c r="R527" s="130" t="s">
        <v>3724</v>
      </c>
      <c r="S527" s="130" t="s">
        <v>3724</v>
      </c>
      <c r="T527" s="130"/>
      <c r="U527" s="130"/>
      <c r="V527" s="130"/>
      <c r="W527" s="130"/>
      <c r="X527" s="130"/>
      <c r="Y527" s="130"/>
      <c r="Z527" s="130"/>
      <c r="AA527" s="130"/>
      <c r="AB527" s="130"/>
      <c r="AC527" s="130"/>
      <c r="AD527" s="130"/>
      <c r="AE527" s="130"/>
      <c r="AF527" s="130"/>
      <c r="AG527" s="130"/>
      <c r="AH527" s="130"/>
      <c r="AI527" s="130"/>
      <c r="AJ527" s="130"/>
      <c r="AK527" s="130"/>
      <c r="AL527" s="130"/>
      <c r="AM527" s="130"/>
      <c r="AN527" s="130"/>
      <c r="AO527" s="130"/>
      <c r="AP527" s="130"/>
      <c r="AQ527" s="130"/>
      <c r="AR527" s="130"/>
      <c r="AS527" s="130"/>
      <c r="AT527" s="130"/>
      <c r="AU527" s="130"/>
      <c r="AV527" s="130"/>
      <c r="AW527" s="130"/>
      <c r="AX527" s="130"/>
      <c r="AY527" s="130"/>
      <c r="AZ527" s="130"/>
    </row>
    <row r="528" spans="1:52" ht="30" customHeight="1">
      <c r="A528" s="525">
        <v>526</v>
      </c>
      <c r="B528" s="130" t="s">
        <v>3432</v>
      </c>
      <c r="C528" s="130">
        <v>41200193</v>
      </c>
      <c r="D528" s="130" t="s">
        <v>1476</v>
      </c>
      <c r="E528" s="130" t="s">
        <v>3593</v>
      </c>
      <c r="F528" s="130" t="s">
        <v>3619</v>
      </c>
      <c r="G528" s="130" t="s">
        <v>0</v>
      </c>
      <c r="H528" s="130" t="s">
        <v>3595</v>
      </c>
      <c r="I528" s="130" t="s">
        <v>3596</v>
      </c>
      <c r="J528" s="130" t="s">
        <v>2679</v>
      </c>
      <c r="K528" s="429">
        <v>46000</v>
      </c>
      <c r="L528" s="130">
        <v>1100012500</v>
      </c>
      <c r="M528" s="130" t="s">
        <v>1049</v>
      </c>
      <c r="N528" s="130" t="s">
        <v>6428</v>
      </c>
      <c r="O528" s="130" t="s">
        <v>6429</v>
      </c>
      <c r="P528" s="130" t="s">
        <v>26</v>
      </c>
      <c r="Q528" s="130" t="s">
        <v>54</v>
      </c>
      <c r="R528" s="130" t="s">
        <v>3993</v>
      </c>
      <c r="S528" s="130" t="s">
        <v>6087</v>
      </c>
      <c r="T528" s="130"/>
      <c r="U528" s="130"/>
      <c r="V528" s="130"/>
      <c r="W528" s="130"/>
      <c r="X528" s="130"/>
      <c r="Y528" s="130"/>
      <c r="Z528" s="130"/>
      <c r="AA528" s="130"/>
      <c r="AB528" s="130"/>
      <c r="AC528" s="130"/>
      <c r="AD528" s="130"/>
      <c r="AE528" s="130"/>
      <c r="AF528" s="130"/>
      <c r="AG528" s="130"/>
      <c r="AH528" s="130"/>
      <c r="AI528" s="130"/>
      <c r="AJ528" s="130"/>
      <c r="AK528" s="130"/>
      <c r="AL528" s="130"/>
      <c r="AM528" s="130"/>
      <c r="AN528" s="130"/>
      <c r="AO528" s="130"/>
      <c r="AP528" s="130"/>
      <c r="AQ528" s="130"/>
      <c r="AR528" s="130"/>
      <c r="AS528" s="130"/>
      <c r="AT528" s="130"/>
      <c r="AU528" s="130"/>
      <c r="AV528" s="130"/>
      <c r="AW528" s="130"/>
      <c r="AX528" s="130"/>
      <c r="AY528" s="130"/>
      <c r="AZ528" s="130"/>
    </row>
    <row r="529" spans="1:52" ht="30" customHeight="1">
      <c r="A529" s="525">
        <v>527</v>
      </c>
      <c r="B529" s="130" t="s">
        <v>3432</v>
      </c>
      <c r="C529" s="130">
        <v>41200193</v>
      </c>
      <c r="D529" s="130" t="s">
        <v>1476</v>
      </c>
      <c r="E529" s="130" t="s">
        <v>3593</v>
      </c>
      <c r="F529" s="130" t="s">
        <v>3619</v>
      </c>
      <c r="G529" s="130" t="s">
        <v>0</v>
      </c>
      <c r="H529" s="130" t="s">
        <v>3595</v>
      </c>
      <c r="I529" s="130" t="s">
        <v>3596</v>
      </c>
      <c r="J529" s="130" t="s">
        <v>2679</v>
      </c>
      <c r="K529" s="429">
        <v>46000</v>
      </c>
      <c r="L529" s="130">
        <v>1100019800</v>
      </c>
      <c r="M529" s="130" t="s">
        <v>816</v>
      </c>
      <c r="N529" s="130" t="s">
        <v>6430</v>
      </c>
      <c r="O529" s="130" t="s">
        <v>6431</v>
      </c>
      <c r="P529" s="130" t="s">
        <v>26</v>
      </c>
      <c r="Q529" s="130" t="s">
        <v>54</v>
      </c>
      <c r="R529" s="130" t="s">
        <v>3993</v>
      </c>
      <c r="S529" s="130" t="s">
        <v>6087</v>
      </c>
      <c r="T529" s="130"/>
      <c r="U529" s="130"/>
      <c r="V529" s="130"/>
      <c r="W529" s="130"/>
      <c r="X529" s="130"/>
      <c r="Y529" s="130"/>
      <c r="Z529" s="130"/>
      <c r="AA529" s="130"/>
      <c r="AB529" s="130"/>
      <c r="AC529" s="130"/>
      <c r="AD529" s="130"/>
      <c r="AE529" s="130"/>
      <c r="AF529" s="130"/>
      <c r="AG529" s="130"/>
      <c r="AH529" s="130"/>
      <c r="AI529" s="130"/>
      <c r="AJ529" s="130"/>
      <c r="AK529" s="130"/>
      <c r="AL529" s="130"/>
      <c r="AM529" s="130"/>
      <c r="AN529" s="130"/>
      <c r="AO529" s="130"/>
      <c r="AP529" s="130"/>
      <c r="AQ529" s="130"/>
      <c r="AR529" s="130"/>
      <c r="AS529" s="130"/>
      <c r="AT529" s="130"/>
      <c r="AU529" s="130"/>
      <c r="AV529" s="130"/>
      <c r="AW529" s="130"/>
      <c r="AX529" s="130"/>
      <c r="AY529" s="130"/>
      <c r="AZ529" s="130"/>
    </row>
    <row r="530" spans="1:52" ht="30" customHeight="1">
      <c r="A530" s="525">
        <v>528</v>
      </c>
      <c r="B530" s="130" t="s">
        <v>3465</v>
      </c>
      <c r="C530" s="130">
        <v>41200158</v>
      </c>
      <c r="D530" s="130" t="s">
        <v>1480</v>
      </c>
      <c r="E530" s="130" t="s">
        <v>3603</v>
      </c>
      <c r="F530" s="130" t="s">
        <v>3594</v>
      </c>
      <c r="G530" s="130" t="s">
        <v>0</v>
      </c>
      <c r="H530" s="130" t="s">
        <v>3595</v>
      </c>
      <c r="I530" s="130" t="s">
        <v>3762</v>
      </c>
      <c r="J530" s="130" t="s">
        <v>2880</v>
      </c>
      <c r="K530" s="429">
        <v>46003</v>
      </c>
      <c r="L530" s="130">
        <v>1100008700</v>
      </c>
      <c r="M530" s="130" t="s">
        <v>143</v>
      </c>
      <c r="N530" s="130" t="s">
        <v>5435</v>
      </c>
      <c r="O530" s="130" t="s">
        <v>6432</v>
      </c>
      <c r="P530" s="130" t="s">
        <v>26</v>
      </c>
      <c r="Q530" s="130" t="s">
        <v>49</v>
      </c>
      <c r="R530" s="130" t="s">
        <v>3666</v>
      </c>
      <c r="S530" s="130" t="s">
        <v>3917</v>
      </c>
      <c r="T530" s="130"/>
      <c r="U530" s="130"/>
      <c r="V530" s="130"/>
      <c r="W530" s="130"/>
      <c r="X530" s="130"/>
      <c r="Y530" s="130"/>
      <c r="Z530" s="130"/>
      <c r="AA530" s="130"/>
      <c r="AB530" s="130"/>
      <c r="AC530" s="130"/>
      <c r="AD530" s="130"/>
      <c r="AE530" s="130"/>
      <c r="AF530" s="130"/>
      <c r="AG530" s="130"/>
      <c r="AH530" s="130"/>
      <c r="AI530" s="130"/>
      <c r="AJ530" s="130"/>
      <c r="AK530" s="130"/>
      <c r="AL530" s="130"/>
      <c r="AM530" s="130"/>
      <c r="AN530" s="130"/>
      <c r="AO530" s="130"/>
      <c r="AP530" s="130"/>
      <c r="AQ530" s="130"/>
      <c r="AR530" s="130"/>
      <c r="AS530" s="130"/>
      <c r="AT530" s="130"/>
      <c r="AU530" s="130"/>
      <c r="AV530" s="130"/>
      <c r="AW530" s="130"/>
      <c r="AX530" s="130"/>
      <c r="AY530" s="130"/>
      <c r="AZ530" s="130"/>
    </row>
    <row r="531" spans="1:52" ht="30" customHeight="1">
      <c r="A531" s="525">
        <v>529</v>
      </c>
      <c r="B531" s="130" t="s">
        <v>3465</v>
      </c>
      <c r="C531" s="130">
        <v>41200158</v>
      </c>
      <c r="D531" s="130" t="s">
        <v>1480</v>
      </c>
      <c r="E531" s="130" t="s">
        <v>3603</v>
      </c>
      <c r="F531" s="130" t="s">
        <v>3594</v>
      </c>
      <c r="G531" s="130" t="s">
        <v>0</v>
      </c>
      <c r="H531" s="130" t="s">
        <v>3595</v>
      </c>
      <c r="I531" s="130" t="s">
        <v>3762</v>
      </c>
      <c r="J531" s="130" t="s">
        <v>2679</v>
      </c>
      <c r="K531" s="429">
        <v>46003</v>
      </c>
      <c r="L531" s="130">
        <v>1100616500</v>
      </c>
      <c r="M531" s="130" t="s">
        <v>69</v>
      </c>
      <c r="N531" s="130" t="s">
        <v>6433</v>
      </c>
      <c r="O531" s="130" t="s">
        <v>6434</v>
      </c>
      <c r="P531" s="130" t="s">
        <v>26</v>
      </c>
      <c r="Q531" s="130" t="s">
        <v>49</v>
      </c>
      <c r="R531" s="130" t="s">
        <v>3666</v>
      </c>
      <c r="S531" s="130" t="s">
        <v>3917</v>
      </c>
      <c r="T531" s="130"/>
      <c r="U531" s="130"/>
      <c r="V531" s="130"/>
      <c r="W531" s="130"/>
      <c r="X531" s="130"/>
      <c r="Y531" s="130"/>
      <c r="Z531" s="130"/>
      <c r="AA531" s="130"/>
      <c r="AB531" s="130"/>
      <c r="AC531" s="130"/>
      <c r="AD531" s="130"/>
      <c r="AE531" s="130"/>
      <c r="AF531" s="130"/>
      <c r="AG531" s="130"/>
      <c r="AH531" s="130"/>
      <c r="AI531" s="130"/>
      <c r="AJ531" s="130"/>
      <c r="AK531" s="130"/>
      <c r="AL531" s="130"/>
      <c r="AM531" s="130"/>
      <c r="AN531" s="130"/>
      <c r="AO531" s="130"/>
      <c r="AP531" s="130"/>
      <c r="AQ531" s="130"/>
      <c r="AR531" s="130"/>
      <c r="AS531" s="130"/>
      <c r="AT531" s="130"/>
      <c r="AU531" s="130"/>
      <c r="AV531" s="130"/>
      <c r="AW531" s="130"/>
      <c r="AX531" s="130"/>
      <c r="AY531" s="130"/>
      <c r="AZ531" s="130"/>
    </row>
    <row r="532" spans="1:52" ht="30" customHeight="1">
      <c r="A532" s="525">
        <v>530</v>
      </c>
      <c r="B532" s="130" t="s">
        <v>3455</v>
      </c>
      <c r="C532" s="130">
        <v>41200122</v>
      </c>
      <c r="D532" s="130" t="s">
        <v>1476</v>
      </c>
      <c r="E532" s="130" t="s">
        <v>3603</v>
      </c>
      <c r="F532" s="130" t="s">
        <v>3619</v>
      </c>
      <c r="G532" s="130" t="s">
        <v>0</v>
      </c>
      <c r="H532" s="130" t="s">
        <v>3595</v>
      </c>
      <c r="I532" s="130" t="s">
        <v>3596</v>
      </c>
      <c r="J532" s="130" t="s">
        <v>2679</v>
      </c>
      <c r="K532" s="429">
        <v>46006</v>
      </c>
      <c r="L532" s="130">
        <v>1100012400</v>
      </c>
      <c r="M532" s="130" t="s">
        <v>1049</v>
      </c>
      <c r="N532" s="130" t="s">
        <v>6435</v>
      </c>
      <c r="O532" s="130" t="s">
        <v>6436</v>
      </c>
      <c r="P532" s="130" t="s">
        <v>26</v>
      </c>
      <c r="Q532" s="130" t="s">
        <v>54</v>
      </c>
      <c r="R532" s="130" t="s">
        <v>3666</v>
      </c>
      <c r="S532" s="130" t="s">
        <v>6242</v>
      </c>
      <c r="T532" s="130"/>
      <c r="U532" s="130"/>
      <c r="V532" s="130"/>
      <c r="W532" s="130"/>
      <c r="X532" s="130"/>
      <c r="Y532" s="130"/>
      <c r="Z532" s="130"/>
      <c r="AA532" s="130"/>
      <c r="AB532" s="130"/>
      <c r="AC532" s="130"/>
      <c r="AD532" s="130"/>
      <c r="AE532" s="130"/>
      <c r="AF532" s="130"/>
      <c r="AG532" s="130"/>
      <c r="AH532" s="130"/>
      <c r="AI532" s="130"/>
      <c r="AJ532" s="130"/>
      <c r="AK532" s="130"/>
      <c r="AL532" s="130"/>
      <c r="AM532" s="130"/>
      <c r="AN532" s="130"/>
      <c r="AO532" s="130"/>
      <c r="AP532" s="130"/>
      <c r="AQ532" s="130"/>
      <c r="AR532" s="130"/>
      <c r="AS532" s="130"/>
      <c r="AT532" s="130"/>
      <c r="AU532" s="130"/>
      <c r="AV532" s="130"/>
      <c r="AW532" s="130"/>
      <c r="AX532" s="130"/>
      <c r="AY532" s="130"/>
      <c r="AZ532" s="130"/>
    </row>
    <row r="533" spans="1:52" ht="30" customHeight="1">
      <c r="A533" s="525">
        <v>531</v>
      </c>
      <c r="B533" s="130" t="s">
        <v>5433</v>
      </c>
      <c r="C533" s="130">
        <v>41100538</v>
      </c>
      <c r="D533" s="130" t="s">
        <v>1476</v>
      </c>
      <c r="E533" s="130" t="s">
        <v>3593</v>
      </c>
      <c r="F533" s="130" t="s">
        <v>3619</v>
      </c>
      <c r="G533" s="130" t="s">
        <v>0</v>
      </c>
      <c r="H533" s="130" t="s">
        <v>3595</v>
      </c>
      <c r="I533" s="130" t="s">
        <v>3596</v>
      </c>
      <c r="J533" s="130" t="s">
        <v>2880</v>
      </c>
      <c r="K533" s="429">
        <v>46006</v>
      </c>
      <c r="L533" s="130">
        <v>1100359600</v>
      </c>
      <c r="M533" s="130" t="s">
        <v>255</v>
      </c>
      <c r="N533" s="130" t="s">
        <v>5500</v>
      </c>
      <c r="O533" s="130" t="s">
        <v>6437</v>
      </c>
      <c r="P533" s="130" t="s">
        <v>26</v>
      </c>
      <c r="Q533" s="130" t="s">
        <v>49</v>
      </c>
      <c r="R533" s="130" t="s">
        <v>3679</v>
      </c>
      <c r="S533" s="130" t="s">
        <v>6406</v>
      </c>
      <c r="T533" s="130"/>
      <c r="U533" s="130"/>
      <c r="V533" s="130"/>
      <c r="W533" s="130"/>
      <c r="X533" s="130"/>
      <c r="Y533" s="130"/>
      <c r="Z533" s="130"/>
      <c r="AA533" s="130"/>
      <c r="AB533" s="130"/>
      <c r="AC533" s="130"/>
      <c r="AD533" s="130"/>
      <c r="AE533" s="130"/>
      <c r="AF533" s="130"/>
      <c r="AG533" s="130"/>
      <c r="AH533" s="130"/>
      <c r="AI533" s="130"/>
      <c r="AJ533" s="130"/>
      <c r="AK533" s="130"/>
      <c r="AL533" s="130"/>
      <c r="AM533" s="130"/>
      <c r="AN533" s="130"/>
      <c r="AO533" s="130"/>
      <c r="AP533" s="130"/>
      <c r="AQ533" s="130"/>
      <c r="AR533" s="130"/>
      <c r="AS533" s="130"/>
      <c r="AT533" s="130"/>
      <c r="AU533" s="130"/>
      <c r="AV533" s="130"/>
      <c r="AW533" s="130"/>
      <c r="AX533" s="130"/>
      <c r="AY533" s="130"/>
      <c r="AZ533" s="130"/>
    </row>
    <row r="534" spans="1:52" ht="30" customHeight="1">
      <c r="A534" s="525">
        <v>532</v>
      </c>
      <c r="B534" s="130" t="s">
        <v>3475</v>
      </c>
      <c r="C534" s="130">
        <v>41200033</v>
      </c>
      <c r="D534" s="130" t="s">
        <v>1476</v>
      </c>
      <c r="E534" s="130" t="s">
        <v>3603</v>
      </c>
      <c r="F534" s="130" t="s">
        <v>3619</v>
      </c>
      <c r="G534" s="130" t="s">
        <v>0</v>
      </c>
      <c r="H534" s="130" t="s">
        <v>3595</v>
      </c>
      <c r="I534" s="130" t="s">
        <v>2894</v>
      </c>
      <c r="J534" s="130" t="s">
        <v>2679</v>
      </c>
      <c r="K534" s="429">
        <v>46006</v>
      </c>
      <c r="L534" s="130">
        <v>1100359600</v>
      </c>
      <c r="M534" s="130" t="s">
        <v>255</v>
      </c>
      <c r="N534" s="130" t="s">
        <v>5500</v>
      </c>
      <c r="O534" s="130" t="s">
        <v>6438</v>
      </c>
      <c r="P534" s="130" t="s">
        <v>26</v>
      </c>
      <c r="Q534" s="130" t="s">
        <v>49</v>
      </c>
      <c r="R534" s="130" t="s">
        <v>3674</v>
      </c>
      <c r="S534" s="130" t="s">
        <v>5502</v>
      </c>
      <c r="T534" s="130"/>
      <c r="U534" s="130"/>
      <c r="V534" s="130"/>
      <c r="W534" s="130"/>
      <c r="X534" s="130"/>
      <c r="Y534" s="130"/>
      <c r="Z534" s="130"/>
      <c r="AA534" s="130"/>
      <c r="AB534" s="130"/>
      <c r="AC534" s="130"/>
      <c r="AD534" s="130"/>
      <c r="AE534" s="130"/>
      <c r="AF534" s="130"/>
      <c r="AG534" s="130"/>
      <c r="AH534" s="130"/>
      <c r="AI534" s="130"/>
      <c r="AJ534" s="130"/>
      <c r="AK534" s="130"/>
      <c r="AL534" s="130"/>
      <c r="AM534" s="130"/>
      <c r="AN534" s="130"/>
      <c r="AO534" s="130"/>
      <c r="AP534" s="130"/>
      <c r="AQ534" s="130"/>
      <c r="AR534" s="130"/>
      <c r="AS534" s="130"/>
      <c r="AT534" s="130"/>
      <c r="AU534" s="130"/>
      <c r="AV534" s="130"/>
      <c r="AW534" s="130"/>
      <c r="AX534" s="130"/>
      <c r="AY534" s="130"/>
      <c r="AZ534" s="130"/>
    </row>
    <row r="535" spans="1:52" ht="30" customHeight="1">
      <c r="A535" s="525">
        <v>533</v>
      </c>
      <c r="B535" s="130" t="s">
        <v>3489</v>
      </c>
      <c r="C535" s="130">
        <v>41200042</v>
      </c>
      <c r="D535" s="130" t="s">
        <v>1476</v>
      </c>
      <c r="E535" s="130" t="s">
        <v>3593</v>
      </c>
      <c r="F535" s="130" t="s">
        <v>3619</v>
      </c>
      <c r="G535" s="130" t="s">
        <v>0</v>
      </c>
      <c r="H535" s="130" t="s">
        <v>3614</v>
      </c>
      <c r="I535" s="130" t="s">
        <v>3596</v>
      </c>
      <c r="J535" s="130" t="s">
        <v>2880</v>
      </c>
      <c r="K535" s="429">
        <v>46008</v>
      </c>
      <c r="L535" s="130">
        <v>1100228300</v>
      </c>
      <c r="M535" s="130" t="s">
        <v>932</v>
      </c>
      <c r="N535" s="130" t="s">
        <v>5542</v>
      </c>
      <c r="O535" s="130" t="s">
        <v>6439</v>
      </c>
      <c r="P535" s="130" t="s">
        <v>45</v>
      </c>
      <c r="Q535" s="130" t="s">
        <v>5481</v>
      </c>
      <c r="R535" s="130" t="s">
        <v>3656</v>
      </c>
      <c r="S535" s="130" t="s">
        <v>6343</v>
      </c>
      <c r="T535" s="130"/>
      <c r="U535" s="130"/>
      <c r="V535" s="130"/>
      <c r="W535" s="130"/>
      <c r="X535" s="130"/>
      <c r="Y535" s="130"/>
      <c r="Z535" s="130"/>
      <c r="AA535" s="130"/>
      <c r="AB535" s="130"/>
      <c r="AC535" s="130"/>
      <c r="AD535" s="130"/>
      <c r="AE535" s="130"/>
      <c r="AF535" s="130"/>
      <c r="AG535" s="130"/>
      <c r="AH535" s="130"/>
      <c r="AI535" s="130"/>
      <c r="AJ535" s="130"/>
      <c r="AK535" s="130"/>
      <c r="AL535" s="130"/>
      <c r="AM535" s="130"/>
      <c r="AN535" s="130"/>
      <c r="AO535" s="130"/>
      <c r="AP535" s="130"/>
      <c r="AQ535" s="130"/>
      <c r="AR535" s="130"/>
      <c r="AS535" s="130"/>
      <c r="AT535" s="130"/>
      <c r="AU535" s="130"/>
      <c r="AV535" s="130"/>
      <c r="AW535" s="130"/>
      <c r="AX535" s="130"/>
      <c r="AY535" s="130"/>
      <c r="AZ535" s="130"/>
    </row>
    <row r="536" spans="1:52" ht="30" customHeight="1">
      <c r="A536" s="525">
        <v>534</v>
      </c>
      <c r="B536" s="130" t="s">
        <v>3489</v>
      </c>
      <c r="C536" s="130">
        <v>41200042</v>
      </c>
      <c r="D536" s="130" t="s">
        <v>1476</v>
      </c>
      <c r="E536" s="130" t="s">
        <v>3593</v>
      </c>
      <c r="F536" s="130" t="s">
        <v>3619</v>
      </c>
      <c r="G536" s="130" t="s">
        <v>0</v>
      </c>
      <c r="H536" s="130" t="s">
        <v>3614</v>
      </c>
      <c r="I536" s="130" t="s">
        <v>3596</v>
      </c>
      <c r="J536" s="130" t="s">
        <v>2679</v>
      </c>
      <c r="K536" s="429">
        <v>46008</v>
      </c>
      <c r="L536" s="130">
        <v>1100228300</v>
      </c>
      <c r="M536" s="130" t="s">
        <v>932</v>
      </c>
      <c r="N536" s="130" t="s">
        <v>6062</v>
      </c>
      <c r="O536" s="130" t="s">
        <v>6440</v>
      </c>
      <c r="P536" s="130" t="s">
        <v>45</v>
      </c>
      <c r="Q536" s="130" t="s">
        <v>5481</v>
      </c>
      <c r="R536" s="130" t="s">
        <v>3656</v>
      </c>
      <c r="S536" s="130" t="s">
        <v>6167</v>
      </c>
      <c r="T536" s="130"/>
      <c r="U536" s="130"/>
      <c r="V536" s="130"/>
      <c r="W536" s="130"/>
      <c r="X536" s="130"/>
      <c r="Y536" s="130"/>
      <c r="Z536" s="130"/>
      <c r="AA536" s="130"/>
      <c r="AB536" s="130"/>
      <c r="AC536" s="130"/>
      <c r="AD536" s="130"/>
      <c r="AE536" s="130"/>
      <c r="AF536" s="130"/>
      <c r="AG536" s="130"/>
      <c r="AH536" s="130"/>
      <c r="AI536" s="130"/>
      <c r="AJ536" s="130"/>
      <c r="AK536" s="130"/>
      <c r="AL536" s="130"/>
      <c r="AM536" s="130"/>
      <c r="AN536" s="130"/>
      <c r="AO536" s="130"/>
      <c r="AP536" s="130"/>
      <c r="AQ536" s="130"/>
      <c r="AR536" s="130"/>
      <c r="AS536" s="130"/>
      <c r="AT536" s="130"/>
      <c r="AU536" s="130"/>
      <c r="AV536" s="130"/>
      <c r="AW536" s="130"/>
      <c r="AX536" s="130"/>
      <c r="AY536" s="130"/>
      <c r="AZ536" s="130"/>
    </row>
    <row r="537" spans="1:52" ht="30" customHeight="1">
      <c r="A537" s="525">
        <v>535</v>
      </c>
      <c r="B537" s="130" t="s">
        <v>3495</v>
      </c>
      <c r="C537" s="130">
        <v>41200158</v>
      </c>
      <c r="D537" s="130" t="s">
        <v>1480</v>
      </c>
      <c r="E537" s="130" t="s">
        <v>3603</v>
      </c>
      <c r="F537" s="130" t="s">
        <v>3594</v>
      </c>
      <c r="G537" s="130" t="s">
        <v>0</v>
      </c>
      <c r="H537" s="130" t="s">
        <v>3595</v>
      </c>
      <c r="I537" s="130" t="s">
        <v>3762</v>
      </c>
      <c r="J537" s="130" t="s">
        <v>2679</v>
      </c>
      <c r="K537" s="429">
        <v>46008</v>
      </c>
      <c r="L537" s="130">
        <v>1110077600</v>
      </c>
      <c r="M537" s="130" t="s">
        <v>69</v>
      </c>
      <c r="N537" s="130" t="s">
        <v>88</v>
      </c>
      <c r="O537" s="130" t="s">
        <v>6441</v>
      </c>
      <c r="P537" s="130" t="s">
        <v>26</v>
      </c>
      <c r="Q537" s="130" t="s">
        <v>49</v>
      </c>
      <c r="R537" s="130" t="s">
        <v>3674</v>
      </c>
      <c r="S537" s="130" t="s">
        <v>3715</v>
      </c>
      <c r="T537" s="130"/>
      <c r="U537" s="130"/>
      <c r="V537" s="130"/>
      <c r="W537" s="130"/>
      <c r="X537" s="130"/>
      <c r="Y537" s="130"/>
      <c r="Z537" s="130"/>
      <c r="AA537" s="130"/>
      <c r="AB537" s="130"/>
      <c r="AC537" s="130"/>
      <c r="AD537" s="130"/>
      <c r="AE537" s="130"/>
      <c r="AF537" s="130"/>
      <c r="AG537" s="130"/>
      <c r="AH537" s="130"/>
      <c r="AI537" s="130"/>
      <c r="AJ537" s="130"/>
      <c r="AK537" s="130"/>
      <c r="AL537" s="130"/>
      <c r="AM537" s="130"/>
      <c r="AN537" s="130"/>
      <c r="AO537" s="130"/>
      <c r="AP537" s="130"/>
      <c r="AQ537" s="130"/>
      <c r="AR537" s="130"/>
      <c r="AS537" s="130"/>
      <c r="AT537" s="130"/>
      <c r="AU537" s="130"/>
      <c r="AV537" s="130"/>
      <c r="AW537" s="130"/>
      <c r="AX537" s="130"/>
      <c r="AY537" s="130"/>
      <c r="AZ537" s="130"/>
    </row>
    <row r="538" spans="1:52" ht="30" customHeight="1">
      <c r="A538" s="525">
        <v>536</v>
      </c>
      <c r="B538" s="130" t="s">
        <v>3492</v>
      </c>
      <c r="C538" s="130">
        <v>41200079</v>
      </c>
      <c r="D538" s="130" t="s">
        <v>1480</v>
      </c>
      <c r="E538" s="130" t="s">
        <v>3603</v>
      </c>
      <c r="F538" s="130" t="s">
        <v>3594</v>
      </c>
      <c r="G538" s="130" t="s">
        <v>0</v>
      </c>
      <c r="H538" s="130" t="s">
        <v>3595</v>
      </c>
      <c r="I538" s="130" t="s">
        <v>2894</v>
      </c>
      <c r="J538" s="130" t="s">
        <v>2679</v>
      </c>
      <c r="K538" s="429">
        <v>46008</v>
      </c>
      <c r="L538" s="130">
        <v>1100616500</v>
      </c>
      <c r="M538" s="130" t="s">
        <v>69</v>
      </c>
      <c r="N538" s="130" t="s">
        <v>79</v>
      </c>
      <c r="O538" s="130" t="s">
        <v>6442</v>
      </c>
      <c r="P538" s="130" t="s">
        <v>26</v>
      </c>
      <c r="Q538" s="130" t="s">
        <v>49</v>
      </c>
      <c r="R538" s="130" t="s">
        <v>3674</v>
      </c>
      <c r="S538" s="130" t="s">
        <v>3915</v>
      </c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130"/>
      <c r="AI538" s="130"/>
      <c r="AJ538" s="130"/>
      <c r="AK538" s="130"/>
      <c r="AL538" s="130"/>
      <c r="AM538" s="130"/>
      <c r="AN538" s="130"/>
      <c r="AO538" s="130"/>
      <c r="AP538" s="130"/>
      <c r="AQ538" s="130"/>
      <c r="AR538" s="130"/>
      <c r="AS538" s="130"/>
      <c r="AT538" s="130"/>
      <c r="AU538" s="130"/>
      <c r="AV538" s="130"/>
      <c r="AW538" s="130"/>
      <c r="AX538" s="130"/>
      <c r="AY538" s="130"/>
      <c r="AZ538" s="130"/>
    </row>
    <row r="539" spans="1:52" ht="30" customHeight="1">
      <c r="A539" s="525">
        <v>537</v>
      </c>
      <c r="B539" s="130" t="s">
        <v>3507</v>
      </c>
      <c r="C539" s="130">
        <v>41200153</v>
      </c>
      <c r="D539" s="130" t="s">
        <v>1476</v>
      </c>
      <c r="E539" s="130" t="s">
        <v>3603</v>
      </c>
      <c r="F539" s="130" t="s">
        <v>3619</v>
      </c>
      <c r="G539" s="130" t="s">
        <v>0</v>
      </c>
      <c r="H539" s="130" t="s">
        <v>3614</v>
      </c>
      <c r="I539" s="130" t="s">
        <v>3596</v>
      </c>
      <c r="J539" s="130" t="s">
        <v>2679</v>
      </c>
      <c r="K539" s="429">
        <v>46009</v>
      </c>
      <c r="L539" s="130">
        <v>1100228300</v>
      </c>
      <c r="M539" s="130" t="s">
        <v>932</v>
      </c>
      <c r="N539" s="130" t="s">
        <v>5542</v>
      </c>
      <c r="O539" s="130" t="s">
        <v>6443</v>
      </c>
      <c r="P539" s="130" t="s">
        <v>45</v>
      </c>
      <c r="Q539" s="130" t="s">
        <v>5481</v>
      </c>
      <c r="R539" s="130" t="s">
        <v>3666</v>
      </c>
      <c r="S539" s="130" t="s">
        <v>3904</v>
      </c>
      <c r="T539" s="130"/>
      <c r="U539" s="130"/>
      <c r="V539" s="130"/>
      <c r="W539" s="130"/>
      <c r="X539" s="130"/>
      <c r="Y539" s="130"/>
      <c r="Z539" s="130"/>
      <c r="AA539" s="130"/>
      <c r="AB539" s="130"/>
      <c r="AC539" s="130"/>
      <c r="AD539" s="130"/>
      <c r="AE539" s="130"/>
      <c r="AF539" s="130"/>
      <c r="AG539" s="130"/>
      <c r="AH539" s="130"/>
      <c r="AI539" s="130"/>
      <c r="AJ539" s="130"/>
      <c r="AK539" s="130"/>
      <c r="AL539" s="130"/>
      <c r="AM539" s="130"/>
      <c r="AN539" s="130"/>
      <c r="AO539" s="130"/>
      <c r="AP539" s="130"/>
      <c r="AQ539" s="130"/>
      <c r="AR539" s="130"/>
      <c r="AS539" s="130"/>
      <c r="AT539" s="130"/>
      <c r="AU539" s="130"/>
      <c r="AV539" s="130"/>
      <c r="AW539" s="130"/>
      <c r="AX539" s="130"/>
      <c r="AY539" s="130"/>
      <c r="AZ539" s="130"/>
    </row>
    <row r="540" spans="1:52" ht="30" customHeight="1">
      <c r="A540" s="525">
        <v>538</v>
      </c>
      <c r="B540" s="130" t="s">
        <v>3528</v>
      </c>
      <c r="C540" s="130">
        <v>41200038</v>
      </c>
      <c r="D540" s="130" t="s">
        <v>1476</v>
      </c>
      <c r="E540" s="130" t="s">
        <v>3603</v>
      </c>
      <c r="F540" s="130" t="s">
        <v>3594</v>
      </c>
      <c r="G540" s="130" t="s">
        <v>0</v>
      </c>
      <c r="H540" s="130" t="s">
        <v>3614</v>
      </c>
      <c r="I540" s="130" t="s">
        <v>3596</v>
      </c>
      <c r="J540" s="130" t="s">
        <v>2880</v>
      </c>
      <c r="K540" s="429">
        <v>46010</v>
      </c>
      <c r="L540" s="130">
        <v>1100228300</v>
      </c>
      <c r="M540" s="130" t="s">
        <v>932</v>
      </c>
      <c r="N540" s="130" t="s">
        <v>5542</v>
      </c>
      <c r="O540" s="130" t="s">
        <v>6444</v>
      </c>
      <c r="P540" s="130" t="s">
        <v>45</v>
      </c>
      <c r="Q540" s="130" t="s">
        <v>5481</v>
      </c>
      <c r="R540" s="130" t="s">
        <v>3666</v>
      </c>
      <c r="S540" s="130" t="s">
        <v>3904</v>
      </c>
      <c r="T540" s="130"/>
      <c r="U540" s="130"/>
      <c r="V540" s="130"/>
      <c r="W540" s="130"/>
      <c r="X540" s="130"/>
      <c r="Y540" s="130"/>
      <c r="Z540" s="130"/>
      <c r="AA540" s="130"/>
      <c r="AB540" s="130"/>
      <c r="AC540" s="130"/>
      <c r="AD540" s="130"/>
      <c r="AE540" s="130"/>
      <c r="AF540" s="130"/>
      <c r="AG540" s="130"/>
      <c r="AH540" s="130"/>
      <c r="AI540" s="130"/>
      <c r="AJ540" s="130"/>
      <c r="AK540" s="130"/>
      <c r="AL540" s="130"/>
      <c r="AM540" s="130"/>
      <c r="AN540" s="130"/>
      <c r="AO540" s="130"/>
      <c r="AP540" s="130"/>
      <c r="AQ540" s="130"/>
      <c r="AR540" s="130"/>
      <c r="AS540" s="130"/>
      <c r="AT540" s="130"/>
      <c r="AU540" s="130"/>
      <c r="AV540" s="130"/>
      <c r="AW540" s="130"/>
      <c r="AX540" s="130"/>
      <c r="AY540" s="130"/>
      <c r="AZ540" s="130"/>
    </row>
    <row r="541" spans="1:52" ht="30" customHeight="1">
      <c r="A541" s="525">
        <v>539</v>
      </c>
      <c r="B541" s="130" t="s">
        <v>3540</v>
      </c>
      <c r="C541" s="130">
        <v>41200171</v>
      </c>
      <c r="D541" s="130" t="s">
        <v>1479</v>
      </c>
      <c r="E541" s="130" t="s">
        <v>3603</v>
      </c>
      <c r="F541" s="130" t="s">
        <v>3619</v>
      </c>
      <c r="G541" s="130" t="s">
        <v>0</v>
      </c>
      <c r="H541" s="130" t="s">
        <v>3614</v>
      </c>
      <c r="I541" s="130" t="s">
        <v>3596</v>
      </c>
      <c r="J541" s="130"/>
      <c r="K541" s="429">
        <v>46014</v>
      </c>
      <c r="L541" s="130">
        <v>1100228300</v>
      </c>
      <c r="M541" s="130" t="s">
        <v>932</v>
      </c>
      <c r="N541" s="130" t="s">
        <v>5542</v>
      </c>
      <c r="O541" s="130" t="s">
        <v>6445</v>
      </c>
      <c r="P541" s="130" t="s">
        <v>45</v>
      </c>
      <c r="Q541" s="130" t="s">
        <v>5481</v>
      </c>
      <c r="R541" s="130" t="s">
        <v>3656</v>
      </c>
      <c r="S541" s="130" t="s">
        <v>3656</v>
      </c>
      <c r="T541" s="130"/>
      <c r="U541" s="130"/>
      <c r="V541" s="130"/>
      <c r="W541" s="130"/>
      <c r="X541" s="130"/>
      <c r="Y541" s="130"/>
      <c r="Z541" s="130"/>
      <c r="AA541" s="130"/>
      <c r="AB541" s="130"/>
      <c r="AC541" s="130"/>
      <c r="AD541" s="130"/>
      <c r="AE541" s="130"/>
      <c r="AF541" s="130"/>
      <c r="AG541" s="130"/>
      <c r="AH541" s="130"/>
      <c r="AI541" s="130"/>
      <c r="AJ541" s="130"/>
      <c r="AK541" s="130"/>
      <c r="AL541" s="130"/>
      <c r="AM541" s="130"/>
      <c r="AN541" s="130"/>
      <c r="AO541" s="130"/>
      <c r="AP541" s="130"/>
      <c r="AQ541" s="130"/>
      <c r="AR541" s="130"/>
      <c r="AS541" s="130"/>
      <c r="AT541" s="130"/>
      <c r="AU541" s="130"/>
      <c r="AV541" s="130"/>
      <c r="AW541" s="130"/>
      <c r="AX541" s="130"/>
      <c r="AY541" s="130"/>
      <c r="AZ541" s="130"/>
    </row>
    <row r="542" spans="1:52" ht="30" customHeight="1">
      <c r="A542" s="525">
        <v>540</v>
      </c>
      <c r="B542" s="130" t="s">
        <v>5445</v>
      </c>
      <c r="C542" s="130">
        <v>41200203</v>
      </c>
      <c r="D542" s="130" t="s">
        <v>1393</v>
      </c>
      <c r="E542" s="130" t="s">
        <v>3603</v>
      </c>
      <c r="F542" s="130" t="s">
        <v>3619</v>
      </c>
      <c r="G542" s="130" t="s">
        <v>0</v>
      </c>
      <c r="H542" s="130" t="s">
        <v>3595</v>
      </c>
      <c r="I542" s="130" t="s">
        <v>3596</v>
      </c>
      <c r="J542" s="130" t="s">
        <v>2679</v>
      </c>
      <c r="K542" s="429">
        <v>46014</v>
      </c>
      <c r="L542" s="130">
        <v>1110062700</v>
      </c>
      <c r="M542" s="130" t="s">
        <v>386</v>
      </c>
      <c r="N542" s="130" t="s">
        <v>6446</v>
      </c>
      <c r="O542" s="130" t="s">
        <v>6447</v>
      </c>
      <c r="P542" s="130" t="s">
        <v>26</v>
      </c>
      <c r="Q542" s="130" t="s">
        <v>54</v>
      </c>
      <c r="R542" s="130" t="s">
        <v>3674</v>
      </c>
      <c r="S542" s="130" t="s">
        <v>5514</v>
      </c>
      <c r="T542" s="130"/>
      <c r="U542" s="130"/>
      <c r="V542" s="130"/>
      <c r="W542" s="130"/>
      <c r="X542" s="130"/>
      <c r="Y542" s="130"/>
      <c r="Z542" s="130"/>
      <c r="AA542" s="130"/>
      <c r="AB542" s="130"/>
      <c r="AC542" s="130"/>
      <c r="AD542" s="130"/>
      <c r="AE542" s="130"/>
      <c r="AF542" s="130"/>
      <c r="AG542" s="130"/>
      <c r="AH542" s="130"/>
      <c r="AI542" s="130"/>
      <c r="AJ542" s="130"/>
      <c r="AK542" s="130"/>
      <c r="AL542" s="130"/>
      <c r="AM542" s="130"/>
      <c r="AN542" s="130"/>
      <c r="AO542" s="130"/>
      <c r="AP542" s="130"/>
      <c r="AQ542" s="130"/>
      <c r="AR542" s="130"/>
      <c r="AS542" s="130"/>
      <c r="AT542" s="130"/>
      <c r="AU542" s="130"/>
      <c r="AV542" s="130"/>
      <c r="AW542" s="130"/>
      <c r="AX542" s="130"/>
      <c r="AY542" s="130"/>
      <c r="AZ542" s="130"/>
    </row>
    <row r="543" spans="1:52" ht="30" customHeight="1">
      <c r="A543" s="525">
        <v>541</v>
      </c>
      <c r="B543" s="130" t="s">
        <v>3556</v>
      </c>
      <c r="C543" s="130">
        <v>41200200</v>
      </c>
      <c r="D543" s="130" t="s">
        <v>1478</v>
      </c>
      <c r="E543" s="130" t="s">
        <v>3603</v>
      </c>
      <c r="F543" s="130" t="s">
        <v>3604</v>
      </c>
      <c r="G543" s="130" t="s">
        <v>0</v>
      </c>
      <c r="H543" s="130" t="s">
        <v>3614</v>
      </c>
      <c r="I543" s="130" t="s">
        <v>3694</v>
      </c>
      <c r="J543" s="130" t="s">
        <v>2880</v>
      </c>
      <c r="K543" s="429">
        <v>46015</v>
      </c>
      <c r="L543" s="130">
        <v>1100228300</v>
      </c>
      <c r="M543" s="130" t="s">
        <v>932</v>
      </c>
      <c r="N543" s="130" t="s">
        <v>5542</v>
      </c>
      <c r="O543" s="130" t="s">
        <v>6448</v>
      </c>
      <c r="P543" s="130" t="s">
        <v>45</v>
      </c>
      <c r="Q543" s="130" t="s">
        <v>5481</v>
      </c>
      <c r="R543" s="130" t="s">
        <v>3666</v>
      </c>
      <c r="S543" s="130" t="s">
        <v>3904</v>
      </c>
      <c r="T543" s="130"/>
      <c r="U543" s="130"/>
      <c r="V543" s="130"/>
      <c r="W543" s="130"/>
      <c r="X543" s="130"/>
      <c r="Y543" s="130"/>
      <c r="Z543" s="130"/>
      <c r="AA543" s="130"/>
      <c r="AB543" s="130"/>
      <c r="AC543" s="130"/>
      <c r="AD543" s="130"/>
      <c r="AE543" s="130"/>
      <c r="AF543" s="130"/>
      <c r="AG543" s="130"/>
      <c r="AH543" s="130"/>
      <c r="AI543" s="130"/>
      <c r="AJ543" s="130"/>
      <c r="AK543" s="130"/>
      <c r="AL543" s="130"/>
      <c r="AM543" s="130"/>
      <c r="AN543" s="130"/>
      <c r="AO543" s="130"/>
      <c r="AP543" s="130"/>
      <c r="AQ543" s="130"/>
      <c r="AR543" s="130"/>
      <c r="AS543" s="130"/>
      <c r="AT543" s="130"/>
      <c r="AU543" s="130"/>
      <c r="AV543" s="130"/>
      <c r="AW543" s="130"/>
      <c r="AX543" s="130"/>
      <c r="AY543" s="130"/>
      <c r="AZ543" s="130"/>
    </row>
    <row r="544" spans="1:52" ht="30" customHeight="1">
      <c r="A544" s="525">
        <v>542</v>
      </c>
      <c r="B544" s="130" t="s">
        <v>3556</v>
      </c>
      <c r="C544" s="130">
        <v>41200200</v>
      </c>
      <c r="D544" s="130" t="s">
        <v>1478</v>
      </c>
      <c r="E544" s="130" t="s">
        <v>3603</v>
      </c>
      <c r="F544" s="130" t="s">
        <v>3604</v>
      </c>
      <c r="G544" s="130" t="s">
        <v>0</v>
      </c>
      <c r="H544" s="130" t="s">
        <v>3614</v>
      </c>
      <c r="I544" s="130" t="s">
        <v>3694</v>
      </c>
      <c r="J544" s="130" t="s">
        <v>2880</v>
      </c>
      <c r="K544" s="429">
        <v>46015</v>
      </c>
      <c r="L544" s="130">
        <v>1100228300</v>
      </c>
      <c r="M544" s="130" t="s">
        <v>932</v>
      </c>
      <c r="N544" s="130" t="s">
        <v>5542</v>
      </c>
      <c r="O544" s="130" t="s">
        <v>6411</v>
      </c>
      <c r="P544" s="130" t="s">
        <v>45</v>
      </c>
      <c r="Q544" s="130" t="s">
        <v>5481</v>
      </c>
      <c r="R544" s="130" t="s">
        <v>3666</v>
      </c>
      <c r="S544" s="130" t="s">
        <v>3904</v>
      </c>
      <c r="T544" s="130"/>
      <c r="U544" s="130"/>
      <c r="V544" s="130"/>
      <c r="W544" s="130"/>
      <c r="X544" s="130"/>
      <c r="Y544" s="130"/>
      <c r="Z544" s="130"/>
      <c r="AA544" s="130"/>
      <c r="AB544" s="130"/>
      <c r="AC544" s="130"/>
      <c r="AD544" s="130"/>
      <c r="AE544" s="130"/>
      <c r="AF544" s="130"/>
      <c r="AG544" s="130"/>
      <c r="AH544" s="130"/>
      <c r="AI544" s="130"/>
      <c r="AJ544" s="130"/>
      <c r="AK544" s="130"/>
      <c r="AL544" s="130"/>
      <c r="AM544" s="130"/>
      <c r="AN544" s="130"/>
      <c r="AO544" s="130"/>
      <c r="AP544" s="130"/>
      <c r="AQ544" s="130"/>
      <c r="AR544" s="130"/>
      <c r="AS544" s="130"/>
      <c r="AT544" s="130"/>
      <c r="AU544" s="130"/>
      <c r="AV544" s="130"/>
      <c r="AW544" s="130"/>
      <c r="AX544" s="130"/>
      <c r="AY544" s="130"/>
      <c r="AZ544" s="130"/>
    </row>
    <row r="545" spans="1:52" ht="30" customHeight="1">
      <c r="A545" s="525">
        <v>543</v>
      </c>
      <c r="B545" s="130" t="s">
        <v>3556</v>
      </c>
      <c r="C545" s="130">
        <v>41200200</v>
      </c>
      <c r="D545" s="130" t="s">
        <v>1478</v>
      </c>
      <c r="E545" s="130" t="s">
        <v>3603</v>
      </c>
      <c r="F545" s="130" t="s">
        <v>3604</v>
      </c>
      <c r="G545" s="130" t="s">
        <v>0</v>
      </c>
      <c r="H545" s="130" t="s">
        <v>3614</v>
      </c>
      <c r="I545" s="130" t="s">
        <v>3694</v>
      </c>
      <c r="J545" s="130" t="s">
        <v>2679</v>
      </c>
      <c r="K545" s="429">
        <v>46015</v>
      </c>
      <c r="L545" s="130">
        <v>1100228300</v>
      </c>
      <c r="M545" s="130" t="s">
        <v>932</v>
      </c>
      <c r="N545" s="130" t="s">
        <v>5542</v>
      </c>
      <c r="O545" s="130" t="s">
        <v>6449</v>
      </c>
      <c r="P545" s="130" t="s">
        <v>45</v>
      </c>
      <c r="Q545" s="130" t="s">
        <v>5481</v>
      </c>
      <c r="R545" s="130" t="s">
        <v>3666</v>
      </c>
      <c r="S545" s="130" t="s">
        <v>3904</v>
      </c>
      <c r="T545" s="130"/>
      <c r="U545" s="130"/>
      <c r="V545" s="130"/>
      <c r="W545" s="130"/>
      <c r="X545" s="130"/>
      <c r="Y545" s="130"/>
      <c r="Z545" s="130"/>
      <c r="AA545" s="130"/>
      <c r="AB545" s="130"/>
      <c r="AC545" s="130"/>
      <c r="AD545" s="130"/>
      <c r="AE545" s="130"/>
      <c r="AF545" s="130"/>
      <c r="AG545" s="130"/>
      <c r="AH545" s="130"/>
      <c r="AI545" s="130"/>
      <c r="AJ545" s="130"/>
      <c r="AK545" s="130"/>
      <c r="AL545" s="130"/>
      <c r="AM545" s="130"/>
      <c r="AN545" s="130"/>
      <c r="AO545" s="130"/>
      <c r="AP545" s="130"/>
      <c r="AQ545" s="130"/>
      <c r="AR545" s="130"/>
      <c r="AS545" s="130"/>
      <c r="AT545" s="130"/>
      <c r="AU545" s="130"/>
      <c r="AV545" s="130"/>
      <c r="AW545" s="130"/>
      <c r="AX545" s="130"/>
      <c r="AY545" s="130"/>
      <c r="AZ545" s="130"/>
    </row>
    <row r="546" spans="1:52" ht="30" customHeight="1">
      <c r="A546" s="525">
        <v>544</v>
      </c>
      <c r="B546" s="130" t="s">
        <v>3555</v>
      </c>
      <c r="C546" s="130">
        <v>41200200</v>
      </c>
      <c r="D546" s="130" t="s">
        <v>1478</v>
      </c>
      <c r="E546" s="130" t="s">
        <v>3603</v>
      </c>
      <c r="F546" s="130" t="s">
        <v>3604</v>
      </c>
      <c r="G546" s="130" t="s">
        <v>0</v>
      </c>
      <c r="H546" s="130" t="s">
        <v>3614</v>
      </c>
      <c r="I546" s="130" t="s">
        <v>3596</v>
      </c>
      <c r="J546" s="130" t="s">
        <v>2679</v>
      </c>
      <c r="K546" s="429">
        <v>46015</v>
      </c>
      <c r="L546" s="130">
        <v>1100228300</v>
      </c>
      <c r="M546" s="130" t="s">
        <v>932</v>
      </c>
      <c r="N546" s="130" t="s">
        <v>5542</v>
      </c>
      <c r="O546" s="130" t="s">
        <v>6449</v>
      </c>
      <c r="P546" s="130" t="s">
        <v>45</v>
      </c>
      <c r="Q546" s="130" t="s">
        <v>5481</v>
      </c>
      <c r="R546" s="130" t="s">
        <v>3666</v>
      </c>
      <c r="S546" s="130" t="s">
        <v>3904</v>
      </c>
      <c r="T546" s="130"/>
      <c r="U546" s="130"/>
      <c r="V546" s="130"/>
      <c r="W546" s="130"/>
      <c r="X546" s="130"/>
      <c r="Y546" s="130"/>
      <c r="Z546" s="130"/>
      <c r="AA546" s="130"/>
      <c r="AB546" s="130"/>
      <c r="AC546" s="130"/>
      <c r="AD546" s="130"/>
      <c r="AE546" s="130"/>
      <c r="AF546" s="130"/>
      <c r="AG546" s="130"/>
      <c r="AH546" s="130"/>
      <c r="AI546" s="130"/>
      <c r="AJ546" s="130"/>
      <c r="AK546" s="130"/>
      <c r="AL546" s="130"/>
      <c r="AM546" s="130"/>
      <c r="AN546" s="130"/>
      <c r="AO546" s="130"/>
      <c r="AP546" s="130"/>
      <c r="AQ546" s="130"/>
      <c r="AR546" s="130"/>
      <c r="AS546" s="130"/>
      <c r="AT546" s="130"/>
      <c r="AU546" s="130"/>
      <c r="AV546" s="130"/>
      <c r="AW546" s="130"/>
      <c r="AX546" s="130"/>
      <c r="AY546" s="130"/>
      <c r="AZ546" s="130"/>
    </row>
    <row r="547" spans="1:52" ht="30" customHeight="1">
      <c r="A547" s="525">
        <v>545</v>
      </c>
      <c r="B547" s="130" t="s">
        <v>3566</v>
      </c>
      <c r="C547" s="130">
        <v>41200200</v>
      </c>
      <c r="D547" s="130" t="s">
        <v>1478</v>
      </c>
      <c r="E547" s="130" t="s">
        <v>3603</v>
      </c>
      <c r="F547" s="130" t="s">
        <v>3604</v>
      </c>
      <c r="G547" s="130" t="s">
        <v>0</v>
      </c>
      <c r="H547" s="130" t="s">
        <v>3614</v>
      </c>
      <c r="I547" s="130" t="s">
        <v>3596</v>
      </c>
      <c r="J547" s="130" t="s">
        <v>2679</v>
      </c>
      <c r="K547" s="429">
        <v>46015</v>
      </c>
      <c r="L547" s="130">
        <v>1100228300</v>
      </c>
      <c r="M547" s="130" t="s">
        <v>932</v>
      </c>
      <c r="N547" s="130" t="s">
        <v>5542</v>
      </c>
      <c r="O547" s="130" t="s">
        <v>6450</v>
      </c>
      <c r="P547" s="130" t="s">
        <v>45</v>
      </c>
      <c r="Q547" s="130" t="s">
        <v>5481</v>
      </c>
      <c r="R547" s="130" t="s">
        <v>3666</v>
      </c>
      <c r="S547" s="130" t="s">
        <v>3904</v>
      </c>
      <c r="T547" s="130"/>
      <c r="U547" s="130"/>
      <c r="V547" s="130"/>
      <c r="W547" s="130"/>
      <c r="X547" s="130"/>
      <c r="Y547" s="130"/>
      <c r="Z547" s="130"/>
      <c r="AA547" s="130"/>
      <c r="AB547" s="130"/>
      <c r="AC547" s="130"/>
      <c r="AD547" s="130"/>
      <c r="AE547" s="130"/>
      <c r="AF547" s="130"/>
      <c r="AG547" s="130"/>
      <c r="AH547" s="130"/>
      <c r="AI547" s="130"/>
      <c r="AJ547" s="130"/>
      <c r="AK547" s="130"/>
      <c r="AL547" s="130"/>
      <c r="AM547" s="130"/>
      <c r="AN547" s="130"/>
      <c r="AO547" s="130"/>
      <c r="AP547" s="130"/>
      <c r="AQ547" s="130"/>
      <c r="AR547" s="130"/>
      <c r="AS547" s="130"/>
      <c r="AT547" s="130"/>
      <c r="AU547" s="130"/>
      <c r="AV547" s="130"/>
      <c r="AW547" s="130"/>
      <c r="AX547" s="130"/>
      <c r="AY547" s="130"/>
      <c r="AZ547" s="130"/>
    </row>
    <row r="548" spans="1:52" ht="30" customHeight="1">
      <c r="A548" s="525">
        <v>546</v>
      </c>
      <c r="B548" s="130" t="s">
        <v>3566</v>
      </c>
      <c r="C548" s="130">
        <v>41200200</v>
      </c>
      <c r="D548" s="130" t="s">
        <v>1478</v>
      </c>
      <c r="E548" s="130" t="s">
        <v>3603</v>
      </c>
      <c r="F548" s="130" t="s">
        <v>3604</v>
      </c>
      <c r="G548" s="130" t="s">
        <v>0</v>
      </c>
      <c r="H548" s="130" t="s">
        <v>3595</v>
      </c>
      <c r="I548" s="130" t="s">
        <v>3615</v>
      </c>
      <c r="J548" s="130" t="s">
        <v>2679</v>
      </c>
      <c r="K548" s="429">
        <v>46015</v>
      </c>
      <c r="L548" s="130">
        <v>1220051500</v>
      </c>
      <c r="M548" s="130" t="s">
        <v>5448</v>
      </c>
      <c r="N548" s="130" t="s">
        <v>6451</v>
      </c>
      <c r="O548" s="130" t="s">
        <v>6452</v>
      </c>
      <c r="P548" s="130" t="s">
        <v>26</v>
      </c>
      <c r="Q548" s="130" t="s">
        <v>49</v>
      </c>
      <c r="R548" s="130" t="s">
        <v>3666</v>
      </c>
      <c r="S548" s="130" t="s">
        <v>5625</v>
      </c>
      <c r="T548" s="130"/>
      <c r="U548" s="130"/>
      <c r="V548" s="130"/>
      <c r="W548" s="130"/>
      <c r="X548" s="130"/>
      <c r="Y548" s="130"/>
      <c r="Z548" s="130"/>
      <c r="AA548" s="130"/>
      <c r="AB548" s="130"/>
      <c r="AC548" s="130"/>
      <c r="AD548" s="130"/>
      <c r="AE548" s="130"/>
      <c r="AF548" s="130"/>
      <c r="AG548" s="130"/>
      <c r="AH548" s="130"/>
      <c r="AI548" s="130"/>
      <c r="AJ548" s="130"/>
      <c r="AK548" s="130"/>
      <c r="AL548" s="130"/>
      <c r="AM548" s="130"/>
      <c r="AN548" s="130"/>
      <c r="AO548" s="130"/>
      <c r="AP548" s="130"/>
      <c r="AQ548" s="130"/>
      <c r="AR548" s="130"/>
      <c r="AS548" s="130"/>
      <c r="AT548" s="130"/>
      <c r="AU548" s="130"/>
      <c r="AV548" s="130"/>
      <c r="AW548" s="130"/>
      <c r="AX548" s="130"/>
      <c r="AY548" s="130"/>
      <c r="AZ548" s="130"/>
    </row>
    <row r="549" spans="1:52" ht="30" customHeight="1">
      <c r="A549" s="525">
        <v>547</v>
      </c>
      <c r="B549" s="130"/>
      <c r="C549" s="130"/>
      <c r="D549" s="130"/>
      <c r="E549" s="130"/>
      <c r="F549" s="130"/>
      <c r="G549" s="130"/>
      <c r="H549" s="130"/>
      <c r="I549" s="130"/>
      <c r="J549" s="130"/>
      <c r="K549" s="429"/>
      <c r="L549" s="130"/>
      <c r="M549" s="130"/>
      <c r="N549" s="130"/>
      <c r="O549" s="130"/>
      <c r="P549" s="130"/>
      <c r="Q549" s="130"/>
      <c r="R549" s="130"/>
      <c r="S549" s="130"/>
      <c r="T549" s="130"/>
      <c r="U549" s="130"/>
      <c r="V549" s="130"/>
      <c r="W549" s="130"/>
      <c r="X549" s="130"/>
      <c r="Y549" s="130"/>
      <c r="Z549" s="130"/>
      <c r="AA549" s="130"/>
      <c r="AB549" s="130"/>
      <c r="AC549" s="130"/>
      <c r="AD549" s="130"/>
      <c r="AE549" s="130"/>
      <c r="AF549" s="130"/>
      <c r="AG549" s="130"/>
      <c r="AH549" s="130"/>
      <c r="AI549" s="130"/>
      <c r="AJ549" s="130"/>
      <c r="AK549" s="130"/>
      <c r="AL549" s="130"/>
      <c r="AM549" s="130"/>
      <c r="AN549" s="130"/>
      <c r="AO549" s="130"/>
      <c r="AP549" s="130"/>
      <c r="AQ549" s="130"/>
      <c r="AR549" s="130"/>
      <c r="AS549" s="130"/>
      <c r="AT549" s="130"/>
      <c r="AU549" s="130"/>
      <c r="AV549" s="130"/>
      <c r="AW549" s="130"/>
      <c r="AX549" s="130"/>
      <c r="AY549" s="130"/>
      <c r="AZ549" s="130"/>
    </row>
    <row r="550" spans="1:52" ht="30" customHeight="1">
      <c r="A550" s="525">
        <v>548</v>
      </c>
    </row>
    <row r="551" spans="1:52" ht="30" customHeight="1">
      <c r="A551" s="525">
        <v>549</v>
      </c>
    </row>
    <row r="552" spans="1:52" ht="30" customHeight="1">
      <c r="A552" s="525">
        <v>550</v>
      </c>
    </row>
    <row r="553" spans="1:52" ht="30" customHeight="1"/>
    <row r="554" spans="1:52" ht="30" customHeight="1"/>
    <row r="555" spans="1:52" ht="30" customHeight="1"/>
    <row r="556" spans="1:52" ht="30" customHeight="1"/>
    <row r="557" spans="1:52" ht="30" customHeight="1"/>
    <row r="558" spans="1:52" ht="30" customHeight="1"/>
    <row r="559" spans="1:52" ht="30" customHeight="1"/>
    <row r="560" spans="1:52" ht="30" customHeight="1"/>
    <row r="561" ht="30" customHeight="1"/>
    <row r="562" ht="30" customHeight="1"/>
    <row r="563" ht="30" customHeight="1"/>
    <row r="564" ht="30" customHeight="1"/>
    <row r="565" ht="30" customHeight="1"/>
    <row r="566" ht="30" customHeight="1"/>
    <row r="567" ht="30" customHeight="1"/>
    <row r="568" ht="30" customHeight="1"/>
    <row r="569" ht="30" customHeight="1"/>
    <row r="570" ht="30" customHeight="1"/>
    <row r="571" ht="30" customHeight="1"/>
    <row r="572" ht="30" customHeight="1"/>
    <row r="573" ht="30" customHeight="1"/>
    <row r="574" ht="30" customHeight="1"/>
    <row r="575" ht="30" customHeight="1"/>
    <row r="576" ht="30" customHeight="1"/>
    <row r="577" ht="30" customHeight="1"/>
    <row r="578" ht="30" customHeight="1"/>
    <row r="579" ht="30" customHeight="1"/>
    <row r="580" ht="30" customHeight="1"/>
    <row r="581" ht="30" customHeight="1"/>
    <row r="582" ht="30" customHeight="1"/>
    <row r="583" ht="30" customHeight="1"/>
    <row r="584" ht="30" customHeight="1"/>
    <row r="585" ht="30" customHeight="1"/>
    <row r="586" ht="30" customHeight="1"/>
    <row r="587" ht="30" customHeight="1"/>
    <row r="588" ht="30" customHeight="1"/>
    <row r="589" ht="30" customHeight="1"/>
    <row r="590" ht="30" customHeight="1"/>
    <row r="591" ht="30" customHeight="1"/>
    <row r="592" ht="30" customHeight="1"/>
    <row r="593" ht="30" customHeight="1"/>
    <row r="594" ht="30" customHeight="1"/>
    <row r="595" ht="30" customHeight="1"/>
    <row r="596" ht="30" customHeight="1"/>
    <row r="597" ht="30" customHeight="1"/>
    <row r="598" ht="30" customHeight="1"/>
    <row r="599" ht="30" customHeight="1"/>
    <row r="600" ht="30" customHeight="1"/>
    <row r="601" ht="30" customHeight="1"/>
    <row r="602" ht="30" customHeight="1"/>
    <row r="603" ht="30" customHeight="1"/>
    <row r="604" ht="30" customHeight="1"/>
    <row r="605" ht="30" customHeight="1"/>
    <row r="606" ht="30" customHeight="1"/>
    <row r="607" ht="30" customHeight="1"/>
    <row r="608" ht="30" customHeight="1"/>
    <row r="609" ht="30" customHeight="1"/>
    <row r="610" ht="30" customHeight="1"/>
    <row r="611" ht="30" customHeight="1"/>
    <row r="612" ht="30" customHeight="1"/>
    <row r="613" ht="30" customHeight="1"/>
    <row r="614" ht="30" customHeight="1"/>
    <row r="615" ht="30" customHeight="1"/>
    <row r="616" ht="30" customHeight="1"/>
    <row r="617" ht="30" customHeight="1"/>
    <row r="618" ht="30" customHeight="1"/>
    <row r="619" ht="30" customHeight="1"/>
    <row r="620" ht="30" customHeight="1"/>
    <row r="621" ht="30" customHeight="1"/>
    <row r="622" ht="30" customHeight="1"/>
    <row r="623" ht="30" customHeight="1"/>
    <row r="624" ht="30" customHeight="1"/>
    <row r="625" ht="30" customHeight="1"/>
    <row r="626" ht="30" customHeight="1"/>
    <row r="627" ht="30" customHeight="1"/>
    <row r="628" ht="30" customHeight="1"/>
    <row r="629" ht="30" customHeight="1"/>
    <row r="630" ht="30" customHeight="1"/>
    <row r="631" ht="30" customHeight="1"/>
    <row r="632" ht="30" customHeight="1"/>
    <row r="633" ht="30" customHeight="1"/>
    <row r="634" ht="30" customHeight="1"/>
    <row r="635" ht="30" customHeight="1"/>
    <row r="636" ht="30" customHeight="1"/>
    <row r="637" ht="30" customHeight="1"/>
    <row r="638" ht="30" customHeight="1"/>
    <row r="639" ht="30" customHeight="1"/>
    <row r="640" ht="30" customHeight="1"/>
    <row r="641" ht="30" customHeight="1"/>
    <row r="642" ht="30" customHeight="1"/>
    <row r="643" ht="30" customHeight="1"/>
    <row r="644" ht="30" customHeight="1"/>
    <row r="645" ht="30" customHeight="1"/>
    <row r="646" ht="30" customHeight="1"/>
    <row r="647" ht="30" customHeight="1"/>
    <row r="648" ht="30" customHeight="1"/>
    <row r="649" ht="30" customHeight="1"/>
    <row r="650" ht="30" customHeight="1"/>
    <row r="651" ht="30" customHeight="1"/>
    <row r="652" ht="30" customHeight="1"/>
    <row r="653" ht="30" customHeight="1"/>
    <row r="654" ht="30" customHeight="1"/>
    <row r="655" ht="30" customHeight="1"/>
    <row r="656" ht="30" customHeight="1"/>
    <row r="657" ht="30" customHeight="1"/>
    <row r="658" ht="30" customHeight="1"/>
    <row r="659" ht="30" customHeight="1"/>
    <row r="660" ht="30" customHeight="1"/>
    <row r="661" ht="30" customHeight="1"/>
    <row r="662" ht="30" customHeight="1"/>
    <row r="663" ht="30" customHeight="1"/>
    <row r="664" ht="30" customHeight="1"/>
    <row r="665" ht="30" customHeight="1"/>
    <row r="666" ht="30" customHeight="1"/>
    <row r="667" ht="30" customHeight="1"/>
    <row r="668" ht="30" customHeight="1"/>
    <row r="669" ht="30" customHeight="1"/>
    <row r="670" ht="30" customHeight="1"/>
    <row r="671" ht="30" customHeight="1"/>
    <row r="672" ht="30" customHeight="1"/>
    <row r="673" ht="30" customHeight="1"/>
    <row r="674" ht="30" customHeight="1"/>
    <row r="675" ht="30" customHeight="1"/>
    <row r="676" ht="30" customHeight="1"/>
    <row r="677" ht="30" customHeight="1"/>
    <row r="678" ht="30" customHeight="1"/>
    <row r="679" ht="30" customHeight="1"/>
    <row r="680" ht="30" customHeight="1"/>
    <row r="681" ht="30" customHeight="1"/>
    <row r="682" ht="30" customHeight="1"/>
    <row r="683" ht="30" customHeight="1"/>
    <row r="684" ht="30" customHeight="1"/>
    <row r="685" ht="30" customHeight="1"/>
    <row r="686" ht="30" customHeight="1"/>
    <row r="687" ht="30" customHeight="1"/>
    <row r="688" ht="30" customHeight="1"/>
    <row r="689" ht="30" customHeight="1"/>
    <row r="690" ht="30" customHeight="1"/>
    <row r="691" ht="30" customHeight="1"/>
    <row r="692" ht="30" customHeight="1"/>
    <row r="693" ht="30" customHeight="1"/>
    <row r="694" ht="30" customHeight="1"/>
    <row r="695" ht="30" customHeight="1"/>
    <row r="696" ht="30" customHeight="1"/>
    <row r="697" ht="30" customHeight="1"/>
    <row r="698" ht="30" customHeight="1"/>
    <row r="699" ht="30" customHeight="1"/>
    <row r="700" ht="30" customHeight="1"/>
    <row r="701" ht="30" customHeight="1"/>
    <row r="702" ht="30" customHeight="1"/>
    <row r="703" ht="30" customHeight="1"/>
    <row r="704" ht="30" customHeight="1"/>
    <row r="705" ht="30" customHeight="1"/>
    <row r="706" ht="30" customHeight="1"/>
    <row r="707" ht="30" customHeight="1"/>
    <row r="708" ht="30" customHeight="1"/>
    <row r="709" ht="30" customHeight="1"/>
    <row r="710" ht="30" customHeight="1"/>
    <row r="711" ht="30" customHeight="1"/>
    <row r="712" ht="30" customHeight="1"/>
    <row r="713" ht="30" customHeight="1"/>
    <row r="714" ht="30" customHeight="1"/>
    <row r="715" ht="30" customHeight="1"/>
    <row r="716" ht="30" customHeight="1"/>
    <row r="717" ht="30" customHeight="1"/>
    <row r="718" ht="30" customHeight="1"/>
    <row r="719" ht="30" customHeight="1"/>
    <row r="720" ht="30" customHeight="1"/>
    <row r="721" ht="30" customHeight="1"/>
    <row r="722" ht="30" customHeight="1"/>
    <row r="723" ht="30" customHeight="1"/>
    <row r="724" ht="30" customHeight="1"/>
    <row r="725" ht="30" customHeight="1"/>
    <row r="726" ht="30" customHeight="1"/>
    <row r="727" ht="30" customHeight="1"/>
    <row r="728" ht="30" customHeight="1"/>
    <row r="729" ht="30" customHeight="1"/>
    <row r="730" ht="30" customHeight="1"/>
    <row r="731" ht="30" customHeight="1"/>
    <row r="732" ht="30" customHeight="1"/>
    <row r="733" ht="30" customHeight="1"/>
    <row r="734" ht="30" customHeight="1"/>
    <row r="735" ht="30" customHeight="1"/>
    <row r="736" ht="30" customHeight="1"/>
    <row r="737" ht="30" customHeight="1"/>
    <row r="738" ht="30" customHeight="1"/>
    <row r="739" ht="30" customHeight="1"/>
    <row r="740" ht="30" customHeight="1"/>
    <row r="741" ht="30" customHeight="1"/>
    <row r="742" ht="30" customHeight="1"/>
    <row r="743" ht="30" customHeight="1"/>
    <row r="744" ht="30" customHeight="1"/>
    <row r="745" ht="30" customHeight="1"/>
    <row r="746" ht="30" customHeight="1"/>
    <row r="747" ht="30" customHeight="1"/>
    <row r="748" ht="30" customHeight="1"/>
    <row r="749" ht="30" customHeight="1"/>
    <row r="750" ht="30" customHeight="1"/>
    <row r="751" ht="30" customHeight="1"/>
    <row r="752" ht="30" customHeight="1"/>
    <row r="753" ht="30" customHeight="1"/>
    <row r="754" ht="30" customHeight="1"/>
    <row r="755" ht="30" customHeight="1"/>
    <row r="756" ht="30" customHeight="1"/>
    <row r="757" ht="30" customHeight="1"/>
    <row r="758" ht="30" customHeight="1"/>
    <row r="759" ht="30" customHeight="1"/>
    <row r="760" ht="30" customHeight="1"/>
    <row r="761" ht="30" customHeight="1"/>
    <row r="762" ht="30" customHeight="1"/>
    <row r="763" ht="30" customHeight="1"/>
    <row r="764" ht="30" customHeight="1"/>
    <row r="765" ht="30" customHeight="1"/>
    <row r="766" ht="30" customHeight="1"/>
    <row r="767" ht="30" customHeight="1"/>
    <row r="768" ht="30" customHeight="1"/>
    <row r="769" ht="30" customHeight="1"/>
    <row r="770" ht="30" customHeight="1"/>
    <row r="771" ht="30" customHeight="1"/>
    <row r="772" ht="30" customHeight="1"/>
    <row r="773" ht="30" customHeight="1"/>
    <row r="774" ht="30" customHeight="1"/>
    <row r="775" ht="30" customHeight="1"/>
    <row r="776" ht="30" customHeight="1"/>
    <row r="777" ht="30" customHeight="1"/>
    <row r="778" ht="30" customHeight="1"/>
    <row r="779" ht="30" customHeight="1"/>
    <row r="780" ht="30" customHeight="1"/>
    <row r="781" ht="30" customHeight="1"/>
    <row r="782" ht="30" customHeight="1"/>
    <row r="783" ht="30" customHeight="1"/>
    <row r="784" ht="30" customHeight="1"/>
    <row r="785" ht="30" customHeight="1"/>
    <row r="786" ht="30" customHeight="1"/>
    <row r="787" ht="30" customHeight="1"/>
    <row r="788" ht="30" customHeight="1"/>
    <row r="789" ht="30" customHeight="1"/>
    <row r="790" ht="30" customHeight="1"/>
    <row r="791" ht="30" customHeight="1"/>
    <row r="792" ht="30" customHeight="1"/>
    <row r="793" ht="30" customHeight="1"/>
    <row r="794" ht="30" customHeight="1"/>
    <row r="795" ht="30" customHeight="1"/>
    <row r="796" ht="30" customHeight="1"/>
    <row r="797" ht="30" customHeight="1"/>
    <row r="798" ht="30" customHeight="1"/>
    <row r="799" ht="30" customHeight="1"/>
    <row r="800" ht="30" customHeight="1"/>
    <row r="801" ht="30" customHeight="1"/>
    <row r="802" ht="30" customHeight="1"/>
    <row r="803" ht="30" customHeight="1"/>
    <row r="804" ht="30" customHeight="1"/>
    <row r="805" ht="30" customHeight="1"/>
    <row r="806" ht="30" customHeight="1"/>
    <row r="807" ht="30" customHeight="1"/>
    <row r="808" ht="30" customHeight="1"/>
    <row r="809" ht="30" customHeight="1"/>
    <row r="810" ht="30" customHeight="1"/>
    <row r="811" ht="30" customHeight="1"/>
    <row r="812" ht="30" customHeight="1"/>
    <row r="813" ht="30" customHeight="1"/>
    <row r="814" ht="30" customHeight="1"/>
    <row r="815" ht="30" customHeight="1"/>
    <row r="816" ht="30" customHeight="1"/>
    <row r="817" ht="30" customHeight="1"/>
    <row r="818" ht="30" customHeight="1"/>
    <row r="819" ht="30" customHeight="1"/>
    <row r="820" ht="30" customHeight="1"/>
    <row r="821" ht="30" customHeight="1"/>
    <row r="822" ht="30" customHeight="1"/>
    <row r="823" ht="30" customHeight="1"/>
    <row r="824" ht="30" customHeight="1"/>
    <row r="825" ht="30" customHeight="1"/>
    <row r="826" ht="30" customHeight="1"/>
    <row r="827" ht="30" customHeight="1"/>
    <row r="828" ht="30" customHeight="1"/>
    <row r="829" ht="30" customHeight="1"/>
    <row r="830" ht="30" customHeight="1"/>
    <row r="831" ht="30" customHeight="1"/>
    <row r="832" ht="30" customHeight="1"/>
    <row r="833" ht="30" customHeight="1"/>
    <row r="834" ht="30" customHeight="1"/>
    <row r="835" ht="30" customHeight="1"/>
    <row r="836" ht="30" customHeight="1"/>
    <row r="837" ht="30" customHeight="1"/>
    <row r="838" ht="30" customHeight="1"/>
    <row r="839" ht="30" customHeight="1"/>
    <row r="840" ht="30" customHeight="1"/>
    <row r="841" ht="30" customHeight="1"/>
    <row r="842" ht="30" customHeight="1"/>
    <row r="843" ht="30" customHeight="1"/>
    <row r="844" ht="30" customHeight="1"/>
    <row r="845" ht="30" customHeight="1"/>
    <row r="846" ht="30" customHeight="1"/>
    <row r="847" ht="30" customHeight="1"/>
    <row r="848" ht="30" customHeight="1"/>
    <row r="849" ht="30" customHeight="1"/>
    <row r="850" ht="30" customHeight="1"/>
    <row r="851" ht="30" customHeight="1"/>
    <row r="852" ht="30" customHeight="1"/>
    <row r="853" ht="30" customHeight="1"/>
    <row r="854" ht="30" customHeight="1"/>
    <row r="855" ht="30" customHeight="1"/>
    <row r="856" ht="30" customHeight="1"/>
    <row r="857" ht="30" customHeight="1"/>
    <row r="858" ht="30" customHeight="1"/>
    <row r="859" ht="30" customHeight="1"/>
    <row r="860" ht="30" customHeight="1"/>
    <row r="861" ht="30" customHeight="1"/>
    <row r="862" ht="30" customHeight="1"/>
    <row r="863" ht="30" customHeight="1"/>
    <row r="864" ht="30" customHeight="1"/>
    <row r="865" ht="30" customHeight="1"/>
    <row r="866" ht="30" customHeight="1"/>
    <row r="867" ht="30" customHeight="1"/>
    <row r="868" ht="30" customHeight="1"/>
    <row r="869" ht="30" customHeight="1"/>
    <row r="870" ht="30" customHeight="1"/>
    <row r="871" ht="30" customHeight="1"/>
    <row r="872" ht="30" customHeight="1"/>
    <row r="873" ht="30" customHeight="1"/>
    <row r="874" ht="30" customHeight="1"/>
    <row r="875" ht="30" customHeight="1"/>
    <row r="876" ht="30" customHeight="1"/>
    <row r="877" ht="30" customHeight="1"/>
    <row r="878" ht="30" customHeight="1"/>
    <row r="879" ht="30" customHeight="1"/>
    <row r="880" ht="30" customHeight="1"/>
    <row r="881" ht="30" customHeight="1"/>
    <row r="882" ht="30" customHeight="1"/>
    <row r="883" ht="30" customHeight="1"/>
    <row r="884" ht="30" customHeight="1"/>
    <row r="885" ht="30" customHeight="1"/>
    <row r="886" ht="30" customHeight="1"/>
    <row r="887" ht="30" customHeight="1"/>
    <row r="888" ht="30" customHeight="1"/>
    <row r="889" ht="30" customHeight="1"/>
    <row r="890" ht="30" customHeight="1"/>
    <row r="891" ht="30" customHeight="1"/>
    <row r="892" ht="30" customHeight="1"/>
    <row r="893" ht="30" customHeight="1"/>
    <row r="894" ht="30" customHeight="1"/>
    <row r="895" ht="30" customHeight="1"/>
    <row r="896" ht="30" customHeight="1"/>
    <row r="897" ht="30" customHeight="1"/>
    <row r="898" ht="30" customHeight="1"/>
    <row r="899" ht="30" customHeight="1"/>
    <row r="900" ht="30" customHeight="1"/>
    <row r="901" ht="30" customHeight="1"/>
    <row r="902" ht="30" customHeight="1"/>
    <row r="903" ht="30" customHeight="1"/>
    <row r="904" ht="30" customHeight="1"/>
    <row r="905" ht="30" customHeight="1"/>
    <row r="906" ht="30" customHeight="1"/>
    <row r="907" ht="30" customHeight="1"/>
    <row r="908" ht="30" customHeight="1"/>
    <row r="909" ht="30" customHeight="1"/>
    <row r="910" ht="30" customHeight="1"/>
    <row r="911" ht="30" customHeight="1"/>
    <row r="912" ht="30" customHeight="1"/>
    <row r="913" ht="30" customHeight="1"/>
    <row r="914" ht="30" customHeight="1"/>
    <row r="915" ht="30" customHeight="1"/>
    <row r="916" ht="30" customHeight="1"/>
    <row r="917" ht="30" customHeight="1"/>
    <row r="918" ht="30" customHeight="1"/>
    <row r="919" ht="30" customHeight="1"/>
    <row r="920" ht="30" customHeight="1"/>
    <row r="921" ht="30" customHeight="1"/>
    <row r="922" ht="30" customHeight="1"/>
    <row r="923" ht="30" customHeight="1"/>
    <row r="924" ht="30" customHeight="1"/>
    <row r="925" ht="30" customHeight="1"/>
    <row r="926" ht="30" customHeight="1"/>
    <row r="927" ht="30" customHeight="1"/>
    <row r="928" ht="30" customHeight="1"/>
    <row r="929" ht="30" customHeight="1"/>
    <row r="930" ht="30" customHeight="1"/>
    <row r="931" ht="30" customHeight="1"/>
    <row r="932" ht="30" customHeight="1"/>
    <row r="933" ht="30" customHeight="1"/>
    <row r="934" ht="30" customHeight="1"/>
    <row r="935" ht="30" customHeight="1"/>
    <row r="936" ht="30" customHeight="1"/>
    <row r="937" ht="30" customHeight="1"/>
    <row r="938" ht="30" customHeight="1"/>
    <row r="939" ht="30" customHeight="1"/>
    <row r="940" ht="30" customHeight="1"/>
    <row r="941" ht="30" customHeight="1"/>
    <row r="942" ht="30" customHeight="1"/>
    <row r="943" ht="30" customHeight="1"/>
    <row r="944" ht="30" customHeight="1"/>
    <row r="945" ht="30" customHeight="1"/>
    <row r="946" ht="30" customHeight="1"/>
    <row r="947" ht="30" customHeight="1"/>
    <row r="948" ht="30" customHeight="1"/>
    <row r="949" ht="30" customHeight="1"/>
    <row r="950" ht="30" customHeight="1"/>
    <row r="951" ht="30" customHeight="1"/>
    <row r="952" ht="30" customHeight="1"/>
    <row r="953" ht="30" customHeight="1"/>
    <row r="954" ht="30" customHeight="1"/>
    <row r="955" ht="30" customHeight="1"/>
    <row r="956" ht="30" customHeight="1"/>
    <row r="957" ht="30" customHeight="1"/>
    <row r="958" ht="30" customHeight="1"/>
    <row r="959" ht="30" customHeight="1"/>
    <row r="960" ht="30" customHeight="1"/>
    <row r="961" ht="30" customHeight="1"/>
    <row r="962" ht="30" customHeight="1"/>
    <row r="963" ht="30" customHeight="1"/>
    <row r="964" ht="30" customHeight="1"/>
    <row r="965" ht="30" customHeight="1"/>
    <row r="966" ht="30" customHeight="1"/>
    <row r="967" ht="30" customHeight="1"/>
    <row r="968" ht="30" customHeight="1"/>
    <row r="969" ht="30" customHeight="1"/>
    <row r="970" ht="30" customHeight="1"/>
    <row r="971" ht="30" customHeight="1"/>
    <row r="972" ht="30" customHeight="1"/>
    <row r="973" ht="30" customHeight="1"/>
    <row r="974" ht="30" customHeight="1"/>
    <row r="975" ht="30" customHeight="1"/>
    <row r="976" ht="30" customHeight="1"/>
    <row r="977" ht="30" customHeight="1"/>
    <row r="978" ht="30" customHeight="1"/>
    <row r="979" ht="30" customHeight="1"/>
    <row r="980" ht="30" customHeight="1"/>
    <row r="981" ht="30" customHeight="1"/>
    <row r="982" ht="30" customHeight="1"/>
    <row r="983" ht="30" customHeight="1"/>
    <row r="984" ht="30" customHeight="1"/>
    <row r="985" ht="30" customHeight="1"/>
    <row r="986" ht="30" customHeight="1"/>
    <row r="987" ht="30" customHeight="1"/>
    <row r="988" ht="30" customHeight="1"/>
    <row r="989" ht="30" customHeight="1"/>
    <row r="990" ht="30" customHeight="1"/>
    <row r="991" ht="30" customHeight="1"/>
    <row r="992" ht="30" customHeight="1"/>
    <row r="993" ht="30" customHeight="1"/>
    <row r="994" ht="30" customHeight="1"/>
    <row r="995" ht="30" customHeight="1"/>
    <row r="996" ht="30" customHeight="1"/>
    <row r="997" ht="30" customHeight="1"/>
    <row r="998" ht="30" customHeight="1"/>
    <row r="999" ht="30" customHeight="1"/>
    <row r="1000" ht="30" customHeight="1"/>
    <row r="1001" ht="30" customHeight="1"/>
    <row r="1002" ht="30" customHeight="1"/>
    <row r="1003" ht="30" customHeight="1"/>
    <row r="1004" ht="30" customHeight="1"/>
    <row r="1005" ht="30" customHeight="1"/>
    <row r="1006" ht="30" customHeight="1"/>
    <row r="1007" ht="30" customHeight="1"/>
    <row r="1008" ht="30" customHeight="1"/>
    <row r="1009" ht="30" customHeight="1"/>
    <row r="1010" ht="30" customHeight="1"/>
    <row r="1011" ht="30" customHeight="1"/>
    <row r="1012" ht="30" customHeight="1"/>
    <row r="1013" ht="30" customHeight="1"/>
    <row r="1014" ht="30" customHeight="1"/>
    <row r="1015" ht="30" customHeight="1"/>
    <row r="1016" ht="30" customHeight="1"/>
    <row r="1017" ht="30" customHeight="1"/>
    <row r="1018" ht="30" customHeight="1"/>
    <row r="1019" ht="30" customHeight="1"/>
    <row r="1020" ht="30" customHeight="1"/>
    <row r="1021" ht="30" customHeight="1"/>
    <row r="1022" ht="30" customHeight="1"/>
    <row r="1023" ht="30" customHeight="1"/>
    <row r="1024" ht="30" customHeight="1"/>
    <row r="1025" ht="30" customHeight="1"/>
    <row r="1026" ht="30" customHeight="1"/>
    <row r="1027" ht="30" customHeight="1"/>
    <row r="1028" ht="30" customHeight="1"/>
    <row r="1029" ht="30" customHeight="1"/>
    <row r="1030" ht="30" customHeight="1"/>
    <row r="1031" ht="30" customHeight="1"/>
    <row r="1032" ht="30" customHeight="1"/>
    <row r="1033" ht="30" customHeight="1"/>
    <row r="1034" ht="30" customHeight="1"/>
    <row r="1035" ht="30" customHeight="1"/>
    <row r="1036" ht="30" customHeight="1"/>
    <row r="1037" ht="30" customHeight="1"/>
    <row r="1038" ht="30" customHeight="1"/>
    <row r="1039" ht="30" customHeight="1"/>
    <row r="1040" ht="30" customHeight="1"/>
    <row r="1041" ht="30" customHeight="1"/>
    <row r="1042" ht="30" customHeight="1"/>
    <row r="1043" ht="30" customHeight="1"/>
    <row r="1044" ht="30" customHeight="1"/>
    <row r="1045" ht="30" customHeight="1"/>
    <row r="1046" ht="30" customHeight="1"/>
    <row r="1047" ht="30" customHeight="1"/>
    <row r="1048" ht="30" customHeight="1"/>
    <row r="1049" ht="30" customHeight="1"/>
    <row r="1050" ht="30" customHeight="1"/>
    <row r="1051" ht="30" customHeight="1"/>
    <row r="1052" ht="30" customHeight="1"/>
    <row r="1053" ht="30" customHeight="1"/>
    <row r="1054" ht="30" customHeight="1"/>
    <row r="1055" ht="30" customHeight="1"/>
    <row r="1056" ht="30" customHeight="1"/>
    <row r="1057" ht="30" customHeight="1"/>
    <row r="1058" ht="30" customHeight="1"/>
    <row r="1059" ht="30" customHeight="1"/>
    <row r="1060" ht="30" customHeight="1"/>
    <row r="1061" ht="30" customHeight="1"/>
    <row r="1062" ht="30" customHeight="1"/>
    <row r="1063" ht="30" customHeight="1"/>
    <row r="1064" ht="30" customHeight="1"/>
    <row r="1065" ht="30" customHeight="1"/>
    <row r="1066" ht="30" customHeight="1"/>
    <row r="1067" ht="30" customHeight="1"/>
    <row r="1068" ht="30" customHeight="1"/>
    <row r="1069" ht="30" customHeight="1"/>
    <row r="1070" ht="30" customHeight="1"/>
    <row r="1071" ht="30" customHeight="1"/>
    <row r="1072" ht="30" customHeight="1"/>
    <row r="1073" ht="30" customHeight="1"/>
    <row r="1074" ht="30" customHeight="1"/>
    <row r="1075" ht="30" customHeight="1"/>
    <row r="1076" ht="30" customHeight="1"/>
    <row r="1077" ht="30" customHeight="1"/>
    <row r="1078" ht="30" customHeight="1"/>
    <row r="1079" ht="30" customHeight="1"/>
    <row r="1080" ht="30" customHeight="1"/>
    <row r="1081" ht="30" customHeight="1"/>
    <row r="1082" ht="30" customHeight="1"/>
    <row r="1083" ht="30" customHeight="1"/>
    <row r="1084" ht="30" customHeight="1"/>
    <row r="1085" ht="30" customHeight="1"/>
    <row r="1086" ht="30" customHeight="1"/>
    <row r="1087" ht="30" customHeight="1"/>
    <row r="1088" ht="30" customHeight="1"/>
    <row r="1089" ht="30" customHeight="1"/>
    <row r="1090" ht="30" customHeight="1"/>
    <row r="1091" ht="30" customHeight="1"/>
    <row r="1092" ht="30" customHeight="1"/>
    <row r="1093" ht="30" customHeight="1"/>
    <row r="1094" ht="30" customHeight="1"/>
    <row r="1095" ht="30" customHeight="1"/>
    <row r="1096" ht="30" customHeight="1"/>
    <row r="1097" ht="30" customHeight="1"/>
    <row r="1098" ht="30" customHeight="1"/>
    <row r="1099" ht="30" customHeight="1"/>
    <row r="1100" ht="30" customHeight="1"/>
    <row r="1101" ht="30" customHeight="1"/>
    <row r="1102" ht="30" customHeight="1"/>
    <row r="1103" ht="30" customHeight="1"/>
    <row r="1104" ht="30" customHeight="1"/>
    <row r="1105" ht="30" customHeight="1"/>
    <row r="1106" ht="30" customHeight="1"/>
    <row r="1107" ht="30" customHeight="1"/>
    <row r="1108" ht="30" customHeight="1"/>
    <row r="1109" ht="30" customHeight="1"/>
    <row r="1110" ht="30" customHeight="1"/>
    <row r="1111" ht="30" customHeight="1"/>
    <row r="1112" ht="30" customHeight="1"/>
    <row r="1113" ht="30" customHeight="1"/>
    <row r="1114" ht="30" customHeight="1"/>
    <row r="1115" ht="30" customHeight="1"/>
    <row r="1116" ht="30" customHeight="1"/>
    <row r="1117" ht="30" customHeight="1"/>
    <row r="1118" ht="30" customHeight="1"/>
    <row r="1119" ht="30" customHeight="1"/>
    <row r="1120" ht="30" customHeight="1"/>
    <row r="1121" ht="30" customHeight="1"/>
    <row r="1122" ht="30" customHeight="1"/>
    <row r="1123" ht="30" customHeight="1"/>
    <row r="1124" ht="30" customHeight="1"/>
    <row r="1125" ht="30" customHeight="1"/>
    <row r="1126" ht="30" customHeight="1"/>
    <row r="1127" ht="30" customHeight="1"/>
    <row r="1128" ht="30" customHeight="1"/>
    <row r="1129" ht="30" customHeight="1"/>
    <row r="1130" ht="30" customHeight="1"/>
    <row r="1131" ht="30" customHeight="1"/>
    <row r="1132" ht="30" customHeight="1"/>
    <row r="1133" ht="30" customHeight="1"/>
    <row r="1134" ht="30" customHeight="1"/>
    <row r="1135" ht="30" customHeight="1"/>
    <row r="1136" ht="30" customHeight="1"/>
    <row r="1137" ht="30" customHeight="1"/>
    <row r="1138" ht="30" customHeight="1"/>
    <row r="1139" ht="30" customHeight="1"/>
    <row r="1140" ht="30" customHeight="1"/>
    <row r="1141" ht="30" customHeight="1"/>
    <row r="1142" ht="30" customHeight="1"/>
    <row r="1143" ht="30" customHeight="1"/>
    <row r="1144" ht="30" customHeight="1"/>
    <row r="1145" ht="30" customHeight="1"/>
    <row r="1146" ht="30" customHeight="1"/>
    <row r="1147" ht="30" customHeight="1"/>
    <row r="1148" ht="30" customHeight="1"/>
    <row r="1149" ht="30" customHeight="1"/>
    <row r="1150" ht="30" customHeight="1"/>
    <row r="1151" ht="30" customHeight="1"/>
    <row r="1152" ht="30" customHeight="1"/>
    <row r="1153" ht="30" customHeight="1"/>
    <row r="1154" ht="30" customHeight="1"/>
    <row r="1155" ht="30" customHeight="1"/>
    <row r="1156" ht="30" customHeight="1"/>
    <row r="1157" ht="30" customHeight="1"/>
    <row r="1158" ht="30" customHeight="1"/>
    <row r="1159" ht="30" customHeight="1"/>
    <row r="1160" ht="30" customHeight="1"/>
    <row r="1161" ht="30" customHeight="1"/>
    <row r="1162" ht="30" customHeight="1"/>
    <row r="1163" ht="30" customHeight="1"/>
    <row r="1164" ht="30" customHeight="1"/>
    <row r="1165" ht="30" customHeight="1"/>
    <row r="1166" ht="30" customHeight="1"/>
    <row r="1167" ht="30" customHeight="1"/>
    <row r="1168" ht="30" customHeight="1"/>
    <row r="1169" ht="30" customHeight="1"/>
    <row r="1170" ht="30" customHeight="1"/>
    <row r="1171" ht="30" customHeight="1"/>
    <row r="1172" ht="30" customHeight="1"/>
    <row r="1173" ht="30" customHeight="1"/>
    <row r="1174" ht="30" customHeight="1"/>
    <row r="1175" ht="30" customHeight="1"/>
    <row r="1176" ht="30" customHeight="1"/>
    <row r="1177" ht="30" customHeight="1"/>
    <row r="1178" ht="30" customHeight="1"/>
    <row r="1179" ht="30" customHeight="1"/>
    <row r="1180" ht="30" customHeight="1"/>
    <row r="1181" ht="30" customHeight="1"/>
    <row r="1182" ht="30" customHeight="1"/>
    <row r="1183" ht="30" customHeight="1"/>
    <row r="1184" ht="30" customHeight="1"/>
    <row r="1185" ht="30" customHeight="1"/>
    <row r="1186" ht="30" customHeight="1"/>
    <row r="1187" ht="30" customHeight="1"/>
    <row r="1188" ht="30" customHeight="1"/>
    <row r="1189" ht="30" customHeight="1"/>
    <row r="1190" ht="30" customHeight="1"/>
    <row r="1191" ht="30" customHeight="1"/>
    <row r="1192" ht="30" customHeight="1"/>
    <row r="1193" ht="30" customHeight="1"/>
    <row r="1194" ht="30" customHeight="1"/>
    <row r="1195" ht="30" customHeight="1"/>
    <row r="1196" ht="30" customHeight="1"/>
    <row r="1197" ht="30" customHeight="1"/>
    <row r="1198" ht="30" customHeight="1"/>
    <row r="1199" ht="30" customHeight="1"/>
    <row r="1200" ht="30" customHeight="1"/>
    <row r="1201" ht="30" customHeight="1"/>
    <row r="1202" ht="30" customHeight="1"/>
    <row r="1203" ht="30" customHeight="1"/>
    <row r="1204" ht="30" customHeight="1"/>
    <row r="1205" ht="30" customHeight="1"/>
    <row r="1206" ht="30" customHeight="1"/>
    <row r="1207" ht="30" customHeight="1"/>
    <row r="1208" ht="30" customHeight="1"/>
    <row r="1209" ht="30" customHeight="1"/>
    <row r="1210" ht="30" customHeight="1"/>
    <row r="1211" ht="30" customHeight="1"/>
    <row r="1212" ht="30" customHeight="1"/>
    <row r="1213" ht="30" customHeight="1"/>
    <row r="1214" ht="30" customHeight="1"/>
    <row r="1215" ht="30" customHeight="1"/>
    <row r="1216" ht="30" customHeight="1"/>
    <row r="1217" ht="30" customHeight="1"/>
    <row r="1218" ht="30" customHeight="1"/>
    <row r="1219" ht="30" customHeight="1"/>
    <row r="1220" ht="30" customHeight="1"/>
    <row r="1221" ht="30" customHeight="1"/>
    <row r="1222" ht="30" customHeight="1"/>
    <row r="1223" ht="30" customHeight="1"/>
    <row r="1224" ht="30" customHeight="1"/>
    <row r="1225" ht="30" customHeight="1"/>
    <row r="1226" ht="30" customHeight="1"/>
    <row r="1227" ht="30" customHeight="1"/>
    <row r="1228" ht="30" customHeight="1"/>
    <row r="1229" ht="30" customHeight="1"/>
    <row r="1230" ht="30" customHeight="1"/>
    <row r="1231" ht="30" customHeight="1"/>
    <row r="1232" ht="30" customHeight="1"/>
    <row r="1233" ht="30" customHeight="1"/>
    <row r="1234" ht="30" customHeight="1"/>
    <row r="1235" ht="30" customHeight="1"/>
    <row r="1236" ht="30" customHeight="1"/>
    <row r="1237" ht="30" customHeight="1"/>
    <row r="1238" ht="30" customHeight="1"/>
    <row r="1239" ht="30" customHeight="1"/>
    <row r="1240" ht="30" customHeight="1"/>
    <row r="1241" ht="30" customHeight="1"/>
    <row r="1242" ht="30" customHeight="1"/>
    <row r="1243" ht="30" customHeight="1"/>
    <row r="1244" ht="30" customHeight="1"/>
    <row r="1245" ht="30" customHeight="1"/>
    <row r="1246" ht="30" customHeight="1"/>
    <row r="1247" ht="30" customHeight="1"/>
    <row r="1248" ht="30" customHeight="1"/>
    <row r="1249" ht="30" customHeight="1"/>
    <row r="1250" ht="30" customHeight="1"/>
    <row r="1251" ht="30" customHeight="1"/>
    <row r="1252" ht="30" customHeight="1"/>
    <row r="1253" ht="30" customHeight="1"/>
    <row r="1254" ht="30" customHeight="1"/>
    <row r="1255" ht="30" customHeight="1"/>
    <row r="1256" ht="30" customHeight="1"/>
    <row r="1257" ht="30" customHeight="1"/>
    <row r="1258" ht="30" customHeight="1"/>
    <row r="1259" ht="30" customHeight="1"/>
    <row r="1260" ht="30" customHeight="1"/>
    <row r="1261" ht="30" customHeight="1"/>
    <row r="1262" ht="30" customHeight="1"/>
    <row r="1263" ht="30" customHeight="1"/>
    <row r="1264" ht="30" customHeight="1"/>
    <row r="1265" ht="30" customHeight="1"/>
    <row r="1266" ht="30" customHeight="1"/>
    <row r="1267" ht="30" customHeight="1"/>
    <row r="1268" ht="30" customHeight="1"/>
    <row r="1269" ht="30" customHeight="1"/>
    <row r="1270" ht="30" customHeight="1"/>
    <row r="1271" ht="30" customHeight="1"/>
    <row r="1272" ht="30" customHeight="1"/>
    <row r="1273" ht="30" customHeight="1"/>
    <row r="1274" ht="30" customHeight="1"/>
    <row r="1275" ht="30" customHeight="1"/>
    <row r="1276" ht="30" customHeight="1"/>
    <row r="1277" ht="30" customHeight="1"/>
    <row r="1278" ht="30" customHeight="1"/>
    <row r="1279" ht="30" customHeight="1"/>
    <row r="1280" ht="30" customHeight="1"/>
    <row r="1281" ht="30" customHeight="1"/>
    <row r="1282" ht="30" customHeight="1"/>
    <row r="1283" ht="30" customHeight="1"/>
    <row r="1284" ht="30" customHeight="1"/>
    <row r="1285" ht="30" customHeight="1"/>
    <row r="1286" ht="30" customHeight="1"/>
    <row r="1287" ht="30" customHeight="1"/>
    <row r="1288" ht="30" customHeight="1"/>
    <row r="1289" ht="30" customHeight="1"/>
    <row r="1290" ht="30" customHeight="1"/>
    <row r="1291" ht="30" customHeight="1"/>
    <row r="1292" ht="30" customHeight="1"/>
    <row r="1293" ht="30" customHeight="1"/>
    <row r="1294" ht="30" customHeight="1"/>
    <row r="1295" ht="30" customHeight="1"/>
    <row r="1296" ht="30" customHeight="1"/>
    <row r="1297" ht="30" customHeight="1"/>
    <row r="1298" ht="30" customHeight="1"/>
    <row r="1299" ht="30" customHeight="1"/>
    <row r="1300" ht="30" customHeight="1"/>
    <row r="1301" ht="30" customHeight="1"/>
    <row r="1302" ht="30" customHeight="1"/>
    <row r="1303" ht="30" customHeight="1"/>
    <row r="1304" ht="30" customHeight="1"/>
    <row r="1305" ht="30" customHeight="1"/>
    <row r="1306" ht="30" customHeight="1"/>
    <row r="1307" ht="30" customHeight="1"/>
    <row r="1308" ht="30" customHeight="1"/>
    <row r="1309" ht="30" customHeight="1"/>
    <row r="1310" ht="30" customHeight="1"/>
    <row r="1311" ht="30" customHeight="1"/>
    <row r="1312" ht="30" customHeight="1"/>
    <row r="1313" ht="30" customHeight="1"/>
    <row r="1314" ht="30" customHeight="1"/>
    <row r="1315" ht="30" customHeight="1"/>
    <row r="1316" ht="30" customHeight="1"/>
    <row r="1317" ht="30" customHeight="1"/>
    <row r="1318" ht="30" customHeight="1"/>
    <row r="1319" ht="30" customHeight="1"/>
    <row r="1320" ht="30" customHeight="1"/>
    <row r="1321" ht="30" customHeight="1"/>
    <row r="1322" ht="30" customHeight="1"/>
    <row r="1323" ht="30" customHeight="1"/>
    <row r="1324" ht="30" customHeight="1"/>
    <row r="1325" ht="30" customHeight="1"/>
    <row r="1326" ht="30" customHeight="1"/>
    <row r="1327" ht="30" customHeight="1"/>
    <row r="1328" ht="30" customHeight="1"/>
    <row r="1329" ht="30" customHeight="1"/>
    <row r="1330" ht="30" customHeight="1"/>
    <row r="1331" ht="30" customHeight="1"/>
    <row r="1332" ht="30" customHeight="1"/>
    <row r="1333" ht="30" customHeight="1"/>
    <row r="1334" ht="30" customHeight="1"/>
    <row r="1335" ht="30" customHeight="1"/>
    <row r="1336" ht="30" customHeight="1"/>
    <row r="1337" ht="30" customHeight="1"/>
    <row r="1338" ht="30" customHeight="1"/>
    <row r="1339" ht="30" customHeight="1"/>
    <row r="1340" ht="30" customHeight="1"/>
    <row r="1341" ht="30" customHeight="1"/>
    <row r="1342" ht="30" customHeight="1"/>
    <row r="1343" ht="30" customHeight="1"/>
    <row r="1344" ht="30" customHeight="1"/>
    <row r="1345" ht="30" customHeight="1"/>
    <row r="1346" ht="30" customHeight="1"/>
    <row r="1347" ht="30" customHeight="1"/>
    <row r="1348" ht="30" customHeight="1"/>
    <row r="1349" ht="30" customHeight="1"/>
    <row r="1350" ht="30" customHeight="1"/>
    <row r="1351" ht="30" customHeight="1"/>
    <row r="1352" ht="30" customHeight="1"/>
    <row r="1353" ht="30" customHeight="1"/>
    <row r="1354" ht="30" customHeight="1"/>
    <row r="1355" ht="30" customHeight="1"/>
    <row r="1356" ht="30" customHeight="1"/>
    <row r="1357" ht="30" customHeight="1"/>
    <row r="1358" ht="30" customHeight="1"/>
    <row r="1359" ht="30" customHeight="1"/>
    <row r="1360" ht="30" customHeight="1"/>
    <row r="1361" ht="30" customHeight="1"/>
    <row r="1362" ht="30" customHeight="1"/>
    <row r="1363" ht="30" customHeight="1"/>
    <row r="1364" ht="30" customHeight="1"/>
    <row r="1365" ht="30" customHeight="1"/>
    <row r="1366" ht="30" customHeight="1"/>
    <row r="1367" ht="30" customHeight="1"/>
    <row r="1368" ht="30" customHeight="1"/>
    <row r="1369" ht="30" customHeight="1"/>
    <row r="1370" ht="30" customHeight="1"/>
    <row r="1371" ht="30" customHeight="1"/>
    <row r="1372" ht="30" customHeight="1"/>
    <row r="1373" ht="30" customHeight="1"/>
    <row r="1374" ht="30" customHeight="1"/>
    <row r="1375" ht="30" customHeight="1"/>
    <row r="1376" ht="30" customHeight="1"/>
    <row r="1377" ht="30" customHeight="1"/>
    <row r="1378" ht="30" customHeight="1"/>
    <row r="1379" ht="30" customHeight="1"/>
    <row r="1380" ht="30" customHeight="1"/>
    <row r="1381" ht="30" customHeight="1"/>
    <row r="1382" ht="30" customHeight="1"/>
    <row r="1383" ht="30" customHeight="1"/>
    <row r="1384" ht="30" customHeight="1"/>
    <row r="1385" ht="30" customHeight="1"/>
    <row r="1386" ht="30" customHeight="1"/>
    <row r="1387" ht="30" customHeight="1"/>
    <row r="1388" ht="30" customHeight="1"/>
    <row r="1389" ht="30" customHeight="1"/>
    <row r="1390" ht="30" customHeight="1"/>
    <row r="1391" ht="30" customHeight="1"/>
    <row r="1392" ht="30" customHeight="1"/>
    <row r="1393" ht="30" customHeight="1"/>
    <row r="1394" ht="30" customHeight="1"/>
    <row r="1395" ht="30" customHeight="1"/>
    <row r="1396" ht="30" customHeight="1"/>
    <row r="1397" ht="30" customHeight="1"/>
    <row r="1398" ht="30" customHeight="1"/>
    <row r="1399" ht="30" customHeight="1"/>
    <row r="1400" ht="30" customHeight="1"/>
    <row r="1401" ht="30" customHeight="1"/>
    <row r="1402" ht="30" customHeight="1"/>
    <row r="1403" ht="30" customHeight="1"/>
    <row r="1404" ht="30" customHeight="1"/>
    <row r="1405" ht="30" customHeight="1"/>
    <row r="1406" ht="30" customHeight="1"/>
    <row r="1407" ht="30" customHeight="1"/>
    <row r="1408" ht="30" customHeight="1"/>
    <row r="1409" ht="30" customHeight="1"/>
    <row r="1410" ht="30" customHeight="1"/>
    <row r="1411" ht="30" customHeight="1"/>
    <row r="1412" ht="30" customHeight="1"/>
    <row r="1413" ht="30" customHeight="1"/>
    <row r="1414" ht="30" customHeight="1"/>
    <row r="1415" ht="30" customHeight="1"/>
    <row r="1416" ht="30" customHeight="1"/>
    <row r="1417" ht="30" customHeight="1"/>
    <row r="1418" ht="30" customHeight="1"/>
    <row r="1419" ht="30" customHeight="1"/>
    <row r="1420" ht="30" customHeight="1"/>
    <row r="1421" ht="30" customHeight="1"/>
    <row r="1422" ht="30" customHeight="1"/>
    <row r="1423" ht="30" customHeight="1"/>
    <row r="1424" ht="30" customHeight="1"/>
    <row r="1425" ht="30" customHeight="1"/>
    <row r="1426" ht="30" customHeight="1"/>
    <row r="1427" ht="30" customHeight="1"/>
    <row r="1428" ht="30" customHeight="1"/>
    <row r="1429" ht="30" customHeight="1"/>
    <row r="1430" ht="30" customHeight="1"/>
    <row r="1431" ht="30" customHeight="1"/>
    <row r="1432" ht="30" customHeight="1"/>
    <row r="1433" ht="30" customHeight="1"/>
    <row r="1434" ht="30" customHeight="1"/>
    <row r="1435" ht="30" customHeight="1"/>
    <row r="1436" ht="30" customHeight="1"/>
    <row r="1437" ht="30" customHeight="1"/>
    <row r="1438" ht="30" customHeight="1"/>
    <row r="1439" ht="30" customHeight="1"/>
    <row r="1440" ht="30" customHeight="1"/>
    <row r="1441" ht="30" customHeight="1"/>
    <row r="1442" ht="30" customHeight="1"/>
    <row r="1443" ht="30" customHeight="1"/>
    <row r="1444" ht="30" customHeight="1"/>
    <row r="1445" ht="30" customHeight="1"/>
    <row r="1446" ht="30" customHeight="1"/>
    <row r="1447" ht="30" customHeight="1"/>
    <row r="1448" ht="30" customHeight="1"/>
    <row r="1449" ht="30" customHeight="1"/>
    <row r="1450" ht="30" customHeight="1"/>
    <row r="1451" ht="30" customHeight="1"/>
    <row r="1452" ht="30" customHeight="1"/>
    <row r="1453" ht="30" customHeight="1"/>
    <row r="1454" ht="30" customHeight="1"/>
    <row r="1455" ht="30" customHeight="1"/>
    <row r="1456" ht="30" customHeight="1"/>
    <row r="1457" ht="30" customHeight="1"/>
    <row r="1458" ht="30" customHeight="1"/>
    <row r="1459" ht="30" customHeight="1"/>
    <row r="1460" ht="30" customHeight="1"/>
    <row r="1461" ht="30" customHeight="1"/>
    <row r="1462" ht="30" customHeight="1"/>
    <row r="1463" ht="30" customHeight="1"/>
    <row r="1464" ht="30" customHeight="1"/>
    <row r="1465" ht="30" customHeight="1"/>
    <row r="1466" ht="30" customHeight="1"/>
    <row r="1467" ht="30" customHeight="1"/>
    <row r="1468" ht="30" customHeight="1"/>
    <row r="1469" ht="30" customHeight="1"/>
    <row r="1470" ht="30" customHeight="1"/>
    <row r="1471" ht="30" customHeight="1"/>
    <row r="1472" ht="30" customHeight="1"/>
    <row r="1473" ht="30" customHeight="1"/>
    <row r="1474" ht="30" customHeight="1"/>
    <row r="1475" ht="30" customHeight="1"/>
    <row r="1476" ht="30" customHeight="1"/>
    <row r="1477" ht="30" customHeight="1"/>
    <row r="1478" ht="30" customHeight="1"/>
    <row r="1479" ht="30" customHeight="1"/>
    <row r="1480" ht="30" customHeight="1"/>
    <row r="1481" ht="30" customHeight="1"/>
    <row r="1482" ht="30" customHeight="1"/>
    <row r="1483" ht="30" customHeight="1"/>
    <row r="1484" ht="30" customHeight="1"/>
    <row r="1485" ht="30" customHeight="1"/>
    <row r="1486" ht="30" customHeight="1"/>
    <row r="1487" ht="30" customHeight="1"/>
    <row r="1488" ht="30" customHeight="1"/>
    <row r="1489" ht="30" customHeight="1"/>
    <row r="1490" ht="30" customHeight="1"/>
    <row r="1491" ht="30" customHeight="1"/>
    <row r="1492" ht="30" customHeight="1"/>
    <row r="1493" ht="30" customHeight="1"/>
    <row r="1494" ht="30" customHeight="1"/>
    <row r="1495" ht="30" customHeight="1"/>
    <row r="1496" ht="30" customHeight="1"/>
    <row r="1497" ht="30" customHeight="1"/>
    <row r="1498" ht="30" customHeight="1"/>
    <row r="1499" ht="30" customHeight="1"/>
    <row r="1500" ht="30" customHeight="1"/>
    <row r="1501" ht="30" customHeight="1"/>
    <row r="1502" ht="30" customHeight="1"/>
    <row r="1503" ht="30" customHeight="1"/>
    <row r="1504" ht="30" customHeight="1"/>
    <row r="1505" ht="30" customHeight="1"/>
    <row r="1506" ht="30" customHeight="1"/>
    <row r="1507" ht="30" customHeight="1"/>
    <row r="1508" ht="30" customHeight="1"/>
    <row r="1509" ht="30" customHeight="1"/>
    <row r="1510" ht="30" customHeight="1"/>
    <row r="1511" ht="30" customHeight="1"/>
    <row r="1512" ht="30" customHeight="1"/>
    <row r="1513" ht="30" customHeight="1"/>
    <row r="1514" ht="30" customHeight="1"/>
    <row r="1515" ht="30" customHeight="1"/>
    <row r="1516" ht="30" customHeight="1"/>
    <row r="1517" ht="30" customHeight="1"/>
    <row r="1518" ht="30" customHeight="1"/>
    <row r="1519" ht="30" customHeight="1"/>
    <row r="1520" ht="30" customHeight="1"/>
    <row r="1521" ht="30" customHeight="1"/>
    <row r="1522" ht="30" customHeight="1"/>
    <row r="1523" ht="30" customHeight="1"/>
    <row r="1524" ht="30" customHeight="1"/>
    <row r="1525" ht="30" customHeight="1"/>
    <row r="1526" ht="30" customHeight="1"/>
    <row r="1527" ht="30" customHeight="1"/>
    <row r="1528" ht="30" customHeight="1"/>
    <row r="1529" ht="30" customHeight="1"/>
    <row r="1530" ht="30" customHeight="1"/>
    <row r="1531" ht="30" customHeight="1"/>
    <row r="1532" ht="30" customHeight="1"/>
    <row r="1533" ht="30" customHeight="1"/>
    <row r="1534" ht="30" customHeight="1"/>
    <row r="1535" ht="30" customHeight="1"/>
    <row r="1536" ht="30" customHeight="1"/>
    <row r="1537" ht="30" customHeight="1"/>
    <row r="1538" ht="30" customHeight="1"/>
    <row r="1539" ht="30" customHeight="1"/>
    <row r="1540" ht="30" customHeight="1"/>
    <row r="1541" ht="30" customHeight="1"/>
    <row r="1542" ht="30" customHeight="1"/>
    <row r="1543" ht="30" customHeight="1"/>
    <row r="1544" ht="30" customHeight="1"/>
    <row r="1545" ht="30" customHeight="1"/>
    <row r="1546" ht="30" customHeight="1"/>
    <row r="1547" ht="30" customHeight="1"/>
    <row r="1548" ht="30" customHeight="1"/>
    <row r="1549" ht="30" customHeight="1"/>
    <row r="1550" ht="30" customHeight="1"/>
    <row r="1551" ht="30" customHeight="1"/>
    <row r="1552" ht="30" customHeight="1"/>
    <row r="1553" ht="30" customHeight="1"/>
    <row r="1554" ht="30" customHeight="1"/>
    <row r="1555" ht="30" customHeight="1"/>
    <row r="1556" ht="30" customHeight="1"/>
    <row r="1557" ht="30" customHeight="1"/>
    <row r="1558" ht="30" customHeight="1"/>
    <row r="1559" ht="30" customHeight="1"/>
    <row r="1560" ht="30" customHeight="1"/>
    <row r="1561" ht="30" customHeight="1"/>
    <row r="1562" ht="30" customHeight="1"/>
    <row r="1563" ht="30" customHeight="1"/>
    <row r="1564" ht="30" customHeight="1"/>
    <row r="1565" ht="30" customHeight="1"/>
    <row r="1566" ht="30" customHeight="1"/>
    <row r="1567" ht="30" customHeight="1"/>
    <row r="1568" ht="30" customHeight="1"/>
    <row r="1569" ht="30" customHeight="1"/>
    <row r="1570" ht="30" customHeight="1"/>
    <row r="1571" ht="30" customHeight="1"/>
    <row r="1572" ht="30" customHeight="1"/>
    <row r="1573" ht="30" customHeight="1"/>
    <row r="1574" ht="30" customHeight="1"/>
    <row r="1575" ht="30" customHeight="1"/>
    <row r="1576" ht="30" customHeight="1"/>
    <row r="1577" ht="30" customHeight="1"/>
    <row r="1578" ht="30" customHeight="1"/>
    <row r="1579" ht="30" customHeight="1"/>
    <row r="1580" ht="30" customHeight="1"/>
    <row r="1581" ht="30" customHeight="1"/>
    <row r="1582" ht="30" customHeight="1"/>
    <row r="1583" ht="30" customHeight="1"/>
    <row r="1584" ht="30" customHeight="1"/>
    <row r="1585" ht="30" customHeight="1"/>
    <row r="1586" ht="30" customHeight="1"/>
    <row r="1587" ht="30" customHeight="1"/>
    <row r="1588" ht="30" customHeight="1"/>
    <row r="1589" ht="30" customHeight="1"/>
    <row r="1590" ht="30" customHeight="1"/>
    <row r="1591" ht="30" customHeight="1"/>
    <row r="1592" ht="30" customHeight="1"/>
    <row r="1593" ht="30" customHeight="1"/>
    <row r="1594" ht="30" customHeight="1"/>
    <row r="1595" ht="30" customHeight="1"/>
    <row r="1596" ht="30" customHeight="1"/>
    <row r="1597" ht="30" customHeight="1"/>
    <row r="1598" ht="30" customHeight="1"/>
    <row r="1599" ht="30" customHeight="1"/>
    <row r="1600" ht="30" customHeight="1"/>
    <row r="1601" ht="30" customHeight="1"/>
    <row r="1602" ht="30" customHeight="1"/>
    <row r="1603" ht="30" customHeight="1"/>
    <row r="1604" ht="30" customHeight="1"/>
    <row r="1605" ht="30" customHeight="1"/>
    <row r="1606" ht="30" customHeight="1"/>
    <row r="1607" ht="30" customHeight="1"/>
    <row r="1608" ht="30" customHeight="1"/>
    <row r="1609" ht="30" customHeight="1"/>
    <row r="1610" ht="30" customHeight="1"/>
    <row r="1611" ht="30" customHeight="1"/>
    <row r="1612" ht="30" customHeight="1"/>
    <row r="1613" ht="30" customHeight="1"/>
    <row r="1614" ht="30" customHeight="1"/>
    <row r="1615" ht="30" customHeight="1"/>
    <row r="1616" ht="30" customHeight="1"/>
    <row r="1617" ht="30" customHeight="1"/>
    <row r="1618" ht="30" customHeight="1"/>
    <row r="1619" ht="30" customHeight="1"/>
    <row r="1620" ht="30" customHeight="1"/>
    <row r="1621" ht="30" customHeight="1"/>
    <row r="1622" ht="30" customHeight="1"/>
    <row r="1623" ht="30" customHeight="1"/>
    <row r="1624" ht="30" customHeight="1"/>
    <row r="1625" ht="30" customHeight="1"/>
    <row r="1626" ht="30" customHeight="1"/>
    <row r="1627" ht="30" customHeight="1"/>
    <row r="1628" ht="30" customHeight="1"/>
    <row r="1629" ht="30" customHeight="1"/>
    <row r="1630" ht="30" customHeight="1"/>
    <row r="1631" ht="30" customHeight="1"/>
    <row r="1632" ht="30" customHeight="1"/>
    <row r="1633" ht="30" customHeight="1"/>
    <row r="1634" ht="30" customHeight="1"/>
    <row r="1635" ht="30" customHeight="1"/>
    <row r="1636" ht="30" customHeight="1"/>
    <row r="1637" ht="30" customHeight="1"/>
    <row r="1638" ht="30" customHeight="1"/>
    <row r="1639" ht="30" customHeight="1"/>
    <row r="1640" ht="30" customHeight="1"/>
    <row r="1641" ht="30" customHeight="1"/>
    <row r="1642" ht="30" customHeight="1"/>
    <row r="1643" ht="30" customHeight="1"/>
    <row r="1644" ht="30" customHeight="1"/>
    <row r="1645" ht="30" customHeight="1"/>
    <row r="1646" ht="30" customHeight="1"/>
    <row r="1647" ht="30" customHeight="1"/>
    <row r="1648" ht="30" customHeight="1"/>
    <row r="1649" ht="30" customHeight="1"/>
    <row r="1650" ht="30" customHeight="1"/>
    <row r="1651" ht="30" customHeight="1"/>
    <row r="1652" ht="30" customHeight="1"/>
    <row r="1653" ht="30" customHeight="1"/>
    <row r="1654" ht="30" customHeight="1"/>
    <row r="1655" ht="30" customHeight="1"/>
    <row r="1656" ht="30" customHeight="1"/>
    <row r="1657" ht="30" customHeight="1"/>
    <row r="1658" ht="30" customHeight="1"/>
    <row r="1659" ht="30" customHeight="1"/>
    <row r="1660" ht="30" customHeight="1"/>
    <row r="1661" ht="30" customHeight="1"/>
    <row r="1662" ht="30" customHeight="1"/>
    <row r="1663" ht="30" customHeight="1"/>
    <row r="1664" ht="30" customHeight="1"/>
    <row r="1665" ht="30" customHeight="1"/>
    <row r="1666" ht="30" customHeight="1"/>
    <row r="1667" ht="30" customHeight="1"/>
    <row r="1668" ht="30" customHeight="1"/>
    <row r="1669" ht="30" customHeight="1"/>
    <row r="1670" ht="30" customHeight="1"/>
    <row r="1671" ht="30" customHeight="1"/>
    <row r="1672" ht="30" customHeight="1"/>
    <row r="1673" ht="30" customHeight="1"/>
    <row r="1674" ht="30" customHeight="1"/>
    <row r="1675" ht="30" customHeight="1"/>
    <row r="1676" ht="30" customHeight="1"/>
    <row r="1677" ht="30" customHeight="1"/>
    <row r="1678" ht="30" customHeight="1"/>
    <row r="1679" ht="30" customHeight="1"/>
    <row r="1680" ht="30" customHeight="1"/>
    <row r="1681" ht="30" customHeight="1"/>
    <row r="1682" ht="30" customHeight="1"/>
    <row r="1683" ht="30" customHeight="1"/>
    <row r="1684" ht="30" customHeight="1"/>
    <row r="1685" ht="30" customHeight="1"/>
    <row r="1686" ht="30" customHeight="1"/>
    <row r="1687" ht="30" customHeight="1"/>
    <row r="1688" ht="30" customHeight="1"/>
    <row r="1689" ht="30" customHeight="1"/>
    <row r="1690" ht="30" customHeight="1"/>
    <row r="1691" ht="30" customHeight="1"/>
    <row r="1692" ht="30" customHeight="1"/>
    <row r="1693" ht="30" customHeight="1"/>
    <row r="1694" ht="30" customHeight="1"/>
    <row r="1695" ht="30" customHeight="1"/>
    <row r="1696" ht="30" customHeight="1"/>
    <row r="1697" ht="30" customHeight="1"/>
    <row r="1698" ht="30" customHeight="1"/>
    <row r="1699" ht="30" customHeight="1"/>
    <row r="1700" ht="30" customHeight="1"/>
    <row r="1701" ht="30" customHeight="1"/>
    <row r="1702" ht="30" customHeight="1"/>
    <row r="1703" ht="30" customHeight="1"/>
    <row r="1704" ht="30" customHeight="1"/>
    <row r="1705" ht="30" customHeight="1"/>
    <row r="1706" ht="30" customHeight="1"/>
    <row r="1707" ht="30" customHeight="1"/>
    <row r="1708" ht="30" customHeight="1"/>
    <row r="1709" ht="30" customHeight="1"/>
    <row r="1710" ht="30" customHeight="1"/>
    <row r="1711" ht="30" customHeight="1"/>
    <row r="1712" ht="30" customHeight="1"/>
    <row r="1713" ht="30" customHeight="1"/>
    <row r="1714" ht="30" customHeight="1"/>
    <row r="1715" ht="30" customHeight="1"/>
    <row r="1716" ht="30" customHeight="1"/>
    <row r="1717" ht="30" customHeight="1"/>
    <row r="1718" ht="30" customHeight="1"/>
    <row r="1719" ht="30" customHeight="1"/>
    <row r="1720" ht="30" customHeight="1"/>
    <row r="1721" ht="30" customHeight="1"/>
    <row r="1722" ht="30" customHeight="1"/>
    <row r="1723" ht="30" customHeight="1"/>
    <row r="1724" ht="30" customHeight="1"/>
    <row r="1725" ht="30" customHeight="1"/>
    <row r="1726" ht="30" customHeight="1"/>
    <row r="1727" ht="30" customHeight="1"/>
    <row r="1728" ht="30" customHeight="1"/>
    <row r="1729" ht="30" customHeight="1"/>
    <row r="1730" ht="30" customHeight="1"/>
    <row r="1731" ht="30" customHeight="1"/>
    <row r="1732" ht="30" customHeight="1"/>
    <row r="1733" ht="30" customHeight="1"/>
    <row r="1734" ht="30" customHeight="1"/>
    <row r="1735" ht="30" customHeight="1"/>
    <row r="1736" ht="30" customHeight="1"/>
    <row r="1737" ht="30" customHeight="1"/>
    <row r="1738" ht="30" customHeight="1"/>
    <row r="1739" ht="30" customHeight="1"/>
    <row r="1740" ht="30" customHeight="1"/>
    <row r="1741" ht="30" customHeight="1"/>
    <row r="1742" ht="30" customHeight="1"/>
    <row r="1743" ht="30" customHeight="1"/>
    <row r="1744" ht="30" customHeight="1"/>
    <row r="1745" ht="30" customHeight="1"/>
    <row r="1746" ht="30" customHeight="1"/>
    <row r="1747" ht="30" customHeight="1"/>
    <row r="1748" ht="30" customHeight="1"/>
    <row r="1749" ht="30" customHeight="1"/>
    <row r="1750" ht="30" customHeight="1"/>
    <row r="1751" ht="30" customHeight="1"/>
    <row r="1752" ht="30" customHeight="1"/>
    <row r="1753" ht="30" customHeight="1"/>
    <row r="1754" ht="30" customHeight="1"/>
    <row r="1755" ht="30" customHeight="1"/>
    <row r="1756" ht="30" customHeight="1"/>
    <row r="1757" ht="30" customHeight="1"/>
    <row r="1758" ht="30" customHeight="1"/>
    <row r="1759" ht="30" customHeight="1"/>
    <row r="1760" ht="30" customHeight="1"/>
    <row r="1761" ht="30" customHeight="1"/>
    <row r="1762" ht="30" customHeight="1"/>
    <row r="1763" ht="30" customHeight="1"/>
    <row r="1764" ht="30" customHeight="1"/>
    <row r="1765" ht="30" customHeight="1"/>
    <row r="1766" ht="30" customHeight="1"/>
    <row r="1767" ht="30" customHeight="1"/>
    <row r="1768" ht="30" customHeight="1"/>
    <row r="1769" ht="30" customHeight="1"/>
    <row r="1770" ht="30" customHeight="1"/>
    <row r="1771" ht="30" customHeight="1"/>
    <row r="1772" ht="30" customHeight="1"/>
    <row r="1773" ht="30" customHeight="1"/>
    <row r="1774" ht="30" customHeight="1"/>
    <row r="1775" ht="30" customHeight="1"/>
    <row r="1776" ht="30" customHeight="1"/>
    <row r="1777" ht="30" customHeight="1"/>
    <row r="1778" ht="30" customHeight="1"/>
    <row r="1779" ht="30" customHeight="1"/>
    <row r="1780" ht="30" customHeight="1"/>
    <row r="1781" ht="30" customHeight="1"/>
    <row r="1782" ht="30" customHeight="1"/>
    <row r="1783" ht="30" customHeight="1"/>
    <row r="1784" ht="30" customHeight="1"/>
    <row r="1785" ht="30" customHeight="1"/>
    <row r="1786" ht="30" customHeight="1"/>
    <row r="1787" ht="30" customHeight="1"/>
    <row r="1788" ht="30" customHeight="1"/>
    <row r="1789" ht="30" customHeight="1"/>
    <row r="1790" ht="30" customHeight="1"/>
    <row r="1791" ht="30" customHeight="1"/>
    <row r="1792" ht="30" customHeight="1"/>
    <row r="1793" ht="30" customHeight="1"/>
    <row r="1794" ht="30" customHeight="1"/>
    <row r="1795" ht="30" customHeight="1"/>
    <row r="1796" ht="30" customHeight="1"/>
    <row r="1797" ht="30" customHeight="1"/>
    <row r="1798" ht="30" customHeight="1"/>
    <row r="1799" ht="30" customHeight="1"/>
    <row r="1800" ht="30" customHeight="1"/>
    <row r="1801" ht="30" customHeight="1"/>
    <row r="1802" ht="30" customHeight="1"/>
    <row r="1803" ht="30" customHeight="1"/>
    <row r="1804" ht="30" customHeight="1"/>
    <row r="1805" ht="30" customHeight="1"/>
    <row r="1806" ht="30" customHeight="1"/>
    <row r="1807" ht="30" customHeight="1"/>
    <row r="1808" ht="30" customHeight="1"/>
    <row r="1809" ht="30" customHeight="1"/>
    <row r="1810" ht="30" customHeight="1"/>
    <row r="1811" ht="30" customHeight="1"/>
    <row r="1812" ht="30" customHeight="1"/>
    <row r="1813" ht="30" customHeight="1"/>
    <row r="1814" ht="30" customHeight="1"/>
    <row r="1815" ht="30" customHeight="1"/>
    <row r="1816" ht="30" customHeight="1"/>
    <row r="1817" ht="30" customHeight="1"/>
    <row r="1818" ht="30" customHeight="1"/>
    <row r="1819" ht="30" customHeight="1"/>
    <row r="1820" ht="30" customHeight="1"/>
    <row r="1821" ht="30" customHeight="1"/>
    <row r="1822" ht="30" customHeight="1"/>
    <row r="1823" ht="30" customHeight="1"/>
    <row r="1824" ht="30" customHeight="1"/>
    <row r="1825" ht="30" customHeight="1"/>
    <row r="1826" ht="30" customHeight="1"/>
    <row r="1827" ht="30" customHeight="1"/>
    <row r="1828" ht="30" customHeight="1"/>
    <row r="1829" ht="30" customHeight="1"/>
    <row r="1830" ht="30" customHeight="1"/>
    <row r="1831" ht="30" customHeight="1"/>
    <row r="1832" ht="30" customHeight="1"/>
    <row r="1833" ht="30" customHeight="1"/>
    <row r="1834" ht="30" customHeight="1"/>
    <row r="1835" ht="30" customHeight="1"/>
    <row r="1836" ht="30" customHeight="1"/>
    <row r="1837" ht="30" customHeight="1"/>
    <row r="1838" ht="30" customHeight="1"/>
    <row r="1839" ht="30" customHeight="1"/>
    <row r="1840" ht="30" customHeight="1"/>
    <row r="1841" ht="30" customHeight="1"/>
    <row r="1842" ht="30" customHeight="1"/>
    <row r="1843" ht="30" customHeight="1"/>
    <row r="1844" ht="30" customHeight="1"/>
    <row r="1845" ht="30" customHeight="1"/>
    <row r="1846" ht="30" customHeight="1"/>
    <row r="1847" ht="30" customHeight="1"/>
    <row r="1848" ht="30" customHeight="1"/>
    <row r="1849" ht="30" customHeight="1"/>
    <row r="1850" ht="30" customHeight="1"/>
    <row r="1851" ht="30" customHeight="1"/>
    <row r="1852" ht="30" customHeight="1"/>
    <row r="1853" ht="30" customHeight="1"/>
    <row r="1854" ht="30" customHeight="1"/>
    <row r="1855" ht="30" customHeight="1"/>
    <row r="1856" ht="30" customHeight="1"/>
    <row r="1857" ht="30" customHeight="1"/>
    <row r="1858" ht="30" customHeight="1"/>
    <row r="1859" ht="30" customHeight="1"/>
    <row r="1860" ht="30" customHeight="1"/>
    <row r="1861" ht="30" customHeight="1"/>
    <row r="1862" ht="30" customHeight="1"/>
    <row r="1863" ht="30" customHeight="1"/>
    <row r="1864" ht="30" customHeight="1"/>
    <row r="1865" ht="30" customHeight="1"/>
    <row r="1866" ht="30" customHeight="1"/>
    <row r="1867" ht="30" customHeight="1"/>
    <row r="1868" ht="30" customHeight="1"/>
    <row r="1869" ht="30" customHeight="1"/>
    <row r="1870" ht="30" customHeight="1"/>
    <row r="1871" ht="30" customHeight="1"/>
    <row r="1872" ht="30" customHeight="1"/>
    <row r="1873" ht="30" customHeight="1"/>
    <row r="1874" ht="30" customHeight="1"/>
    <row r="1875" ht="30" customHeight="1"/>
    <row r="1876" ht="30" customHeight="1"/>
    <row r="1877" ht="30" customHeight="1"/>
    <row r="1878" ht="30" customHeight="1"/>
    <row r="1879" ht="30" customHeight="1"/>
    <row r="1880" ht="30" customHeight="1"/>
    <row r="1881" ht="30" customHeight="1"/>
    <row r="1882" ht="30" customHeight="1"/>
    <row r="1883" ht="30" customHeight="1"/>
    <row r="1884" ht="30" customHeight="1"/>
    <row r="1885" ht="30" customHeight="1"/>
    <row r="1886" ht="30" customHeight="1"/>
    <row r="1887" ht="30" customHeight="1"/>
    <row r="1888" ht="30" customHeight="1"/>
    <row r="1889" ht="30" customHeight="1"/>
    <row r="1890" ht="30" customHeight="1"/>
    <row r="1891" ht="30" customHeight="1"/>
    <row r="1892" ht="30" customHeight="1"/>
    <row r="1893" ht="30" customHeight="1"/>
    <row r="1894" ht="30" customHeight="1"/>
    <row r="1895" ht="30" customHeight="1"/>
    <row r="1896" ht="30" customHeight="1"/>
    <row r="1897" ht="30" customHeight="1"/>
    <row r="1898" ht="30" customHeight="1"/>
    <row r="1899" ht="30" customHeight="1"/>
    <row r="1900" ht="30" customHeight="1"/>
    <row r="1901" ht="30" customHeight="1"/>
    <row r="1902" ht="30" customHeight="1"/>
    <row r="1903" ht="30" customHeight="1"/>
    <row r="1904" ht="30" customHeight="1"/>
    <row r="1905" ht="30" customHeight="1"/>
    <row r="1906" ht="30" customHeight="1"/>
    <row r="1907" ht="30" customHeight="1"/>
    <row r="1908" ht="30" customHeight="1"/>
    <row r="1909" ht="30" customHeight="1"/>
    <row r="1910" ht="30" customHeight="1"/>
    <row r="1911" ht="30" customHeight="1"/>
    <row r="1912" ht="30" customHeight="1"/>
    <row r="1913" ht="30" customHeight="1"/>
    <row r="1914" ht="30" customHeight="1"/>
    <row r="1915" ht="30" customHeight="1"/>
    <row r="1916" ht="30" customHeight="1"/>
    <row r="1917" ht="30" customHeight="1"/>
    <row r="1918" ht="30" customHeight="1"/>
    <row r="1919" ht="30" customHeight="1"/>
    <row r="1920" ht="30" customHeight="1"/>
    <row r="1921" ht="30" customHeight="1"/>
    <row r="1922" ht="30" customHeight="1"/>
    <row r="1923" ht="30" customHeight="1"/>
    <row r="1924" ht="30" customHeight="1"/>
    <row r="1925" ht="30" customHeight="1"/>
    <row r="1926" ht="30" customHeight="1"/>
    <row r="1927" ht="30" customHeight="1"/>
    <row r="1928" ht="30" customHeight="1"/>
    <row r="1929" ht="30" customHeight="1"/>
    <row r="1930" ht="30" customHeight="1"/>
    <row r="1931" ht="30" customHeight="1"/>
    <row r="1932" ht="30" customHeight="1"/>
    <row r="1933" ht="30" customHeight="1"/>
    <row r="1934" ht="30" customHeight="1"/>
    <row r="1935" ht="30" customHeight="1"/>
    <row r="1936" ht="30" customHeight="1"/>
    <row r="1937" ht="30" customHeight="1"/>
    <row r="1938" ht="30" customHeight="1"/>
    <row r="1939" ht="30" customHeight="1"/>
    <row r="1940" ht="30" customHeight="1"/>
    <row r="1941" ht="30" customHeight="1"/>
    <row r="1942" ht="30" customHeight="1"/>
    <row r="1943" ht="30" customHeight="1"/>
    <row r="1944" ht="30" customHeight="1"/>
    <row r="1945" ht="30" customHeight="1"/>
    <row r="1946" ht="30" customHeight="1"/>
    <row r="1947" ht="30" customHeight="1"/>
    <row r="1948" ht="30" customHeight="1"/>
    <row r="1949" ht="30" customHeight="1"/>
    <row r="1950" ht="30" customHeight="1"/>
    <row r="1951" ht="30" customHeight="1"/>
    <row r="1952" ht="30" customHeight="1"/>
    <row r="1953" ht="30" customHeight="1"/>
    <row r="1954" ht="30" customHeight="1"/>
    <row r="1955" ht="30" customHeight="1"/>
    <row r="1956" ht="30" customHeight="1"/>
    <row r="1957" ht="30" customHeight="1"/>
    <row r="1958" ht="30" customHeight="1"/>
    <row r="1959" ht="30" customHeight="1"/>
    <row r="1960" ht="30" customHeight="1"/>
    <row r="1961" ht="30" customHeight="1"/>
    <row r="1962" ht="30" customHeight="1"/>
    <row r="1963" ht="30" customHeight="1"/>
    <row r="1964" ht="30" customHeight="1"/>
    <row r="1965" ht="30" customHeight="1"/>
    <row r="1966" ht="30" customHeight="1"/>
    <row r="1967" ht="30" customHeight="1"/>
    <row r="1968" ht="30" customHeight="1"/>
    <row r="1969" ht="30" customHeight="1"/>
    <row r="1970" ht="30" customHeight="1"/>
    <row r="1971" ht="30" customHeight="1"/>
    <row r="1972" ht="30" customHeight="1"/>
    <row r="1973" ht="30" customHeight="1"/>
    <row r="1974" ht="30" customHeight="1"/>
    <row r="1975" ht="30" customHeight="1"/>
    <row r="1976" ht="30" customHeight="1"/>
    <row r="1977" ht="30" customHeight="1"/>
    <row r="1978" ht="30" customHeight="1"/>
    <row r="1979" ht="30" customHeight="1"/>
    <row r="1980" ht="30" customHeight="1"/>
    <row r="1981" ht="30" customHeight="1"/>
    <row r="1982" ht="30" customHeight="1"/>
    <row r="1983" ht="30" customHeight="1"/>
    <row r="1984" ht="30" customHeight="1"/>
    <row r="1985" ht="30" customHeight="1"/>
    <row r="1986" ht="30" customHeight="1"/>
    <row r="1987" ht="30" customHeight="1"/>
    <row r="1988" ht="30" customHeight="1"/>
    <row r="1989" ht="30" customHeight="1"/>
    <row r="1990" ht="30" customHeight="1"/>
    <row r="1991" ht="30" customHeight="1"/>
    <row r="1992" ht="30" customHeight="1"/>
    <row r="1993" ht="30" customHeight="1"/>
    <row r="1994" ht="30" customHeight="1"/>
    <row r="1995" ht="30" customHeight="1"/>
    <row r="1996" ht="30" customHeight="1"/>
    <row r="1997" ht="30" customHeight="1"/>
    <row r="1998" ht="30" customHeight="1"/>
    <row r="1999" ht="30" customHeight="1"/>
    <row r="2000" ht="30" customHeight="1"/>
    <row r="2001" ht="30" customHeight="1"/>
    <row r="2002" ht="30" customHeight="1"/>
    <row r="2003" ht="30" customHeight="1"/>
    <row r="2004" ht="30" customHeight="1"/>
    <row r="2005" ht="30" customHeight="1"/>
    <row r="2006" ht="30" customHeight="1"/>
    <row r="2007" ht="30" customHeight="1"/>
    <row r="2008" ht="30" customHeight="1"/>
    <row r="2009" ht="30" customHeight="1"/>
    <row r="2010" ht="30" customHeight="1"/>
    <row r="2011" ht="30" customHeight="1"/>
    <row r="2012" ht="30" customHeight="1"/>
    <row r="2013" ht="30" customHeight="1"/>
    <row r="2014" ht="30" customHeight="1"/>
    <row r="2015" ht="30" customHeight="1"/>
    <row r="2016" ht="30" customHeight="1"/>
    <row r="2017" ht="30" customHeight="1"/>
    <row r="2018" ht="30" customHeight="1"/>
    <row r="2019" ht="30" customHeight="1"/>
    <row r="2020" ht="30" customHeight="1"/>
    <row r="2021" ht="30" customHeight="1"/>
    <row r="2022" ht="30" customHeight="1"/>
    <row r="2023" ht="30" customHeight="1"/>
    <row r="2024" ht="30" customHeight="1"/>
    <row r="2025" ht="30" customHeight="1"/>
    <row r="2026" ht="30" customHeight="1"/>
    <row r="2027" ht="30" customHeight="1"/>
    <row r="2028" ht="30" customHeight="1"/>
    <row r="2029" ht="30" customHeight="1"/>
    <row r="2030" ht="30" customHeight="1"/>
    <row r="2031" ht="30" customHeight="1"/>
    <row r="2032" ht="30" customHeight="1"/>
    <row r="2033" ht="30" customHeight="1"/>
    <row r="2034" ht="30" customHeight="1"/>
    <row r="2035" ht="30" customHeight="1"/>
    <row r="2036" ht="30" customHeight="1"/>
    <row r="2037" ht="30" customHeight="1"/>
    <row r="2038" ht="30" customHeight="1"/>
    <row r="2039" ht="30" customHeight="1"/>
    <row r="2040" ht="30" customHeight="1"/>
    <row r="2041" ht="30" customHeight="1"/>
    <row r="2042" ht="30" customHeight="1"/>
    <row r="2043" ht="30" customHeight="1"/>
    <row r="2044" ht="30" customHeight="1"/>
    <row r="2045" ht="30" customHeight="1"/>
    <row r="2046" ht="30" customHeight="1"/>
    <row r="2047" ht="30" customHeight="1"/>
    <row r="2048" ht="30" customHeight="1"/>
    <row r="2049" ht="30" customHeight="1"/>
    <row r="2050" ht="30" customHeight="1"/>
    <row r="2051" ht="30" customHeight="1"/>
    <row r="2052" ht="30" customHeight="1"/>
    <row r="2053" ht="30" customHeight="1"/>
    <row r="2054" ht="30" customHeight="1"/>
    <row r="2055" ht="30" customHeight="1"/>
    <row r="2056" ht="30" customHeight="1"/>
    <row r="2057" ht="30" customHeight="1"/>
    <row r="2058" ht="30" customHeight="1"/>
    <row r="2059" ht="30" customHeight="1"/>
    <row r="2060" ht="30" customHeight="1"/>
    <row r="2061" ht="30" customHeight="1"/>
    <row r="2062" ht="30" customHeight="1"/>
    <row r="2063" ht="30" customHeight="1"/>
    <row r="2064" ht="30" customHeight="1"/>
    <row r="2065" ht="30" customHeight="1"/>
    <row r="2066" ht="30" customHeight="1"/>
    <row r="2067" ht="30" customHeight="1"/>
    <row r="2068" ht="30" customHeight="1"/>
    <row r="2069" ht="30" customHeight="1"/>
    <row r="2070" ht="30" customHeight="1"/>
    <row r="2071" ht="30" customHeight="1"/>
    <row r="2072" ht="30" customHeight="1"/>
    <row r="2073" ht="30" customHeight="1"/>
    <row r="2074" ht="30" customHeight="1"/>
    <row r="2075" ht="30" customHeight="1"/>
    <row r="2076" ht="30" customHeight="1"/>
    <row r="2077" ht="30" customHeight="1"/>
    <row r="2078" ht="30" customHeight="1"/>
    <row r="2079" ht="30" customHeight="1"/>
    <row r="2080" ht="30" customHeight="1"/>
    <row r="2081" ht="30" customHeight="1"/>
    <row r="2082" ht="30" customHeight="1"/>
    <row r="2083" ht="30" customHeight="1"/>
    <row r="2084" ht="30" customHeight="1"/>
    <row r="2085" ht="30" customHeight="1"/>
    <row r="2086" ht="30" customHeight="1"/>
    <row r="2087" ht="30" customHeight="1"/>
    <row r="2088" ht="30" customHeight="1"/>
    <row r="2089" ht="30" customHeight="1"/>
    <row r="2090" ht="30" customHeight="1"/>
    <row r="2091" ht="30" customHeight="1"/>
    <row r="2092" ht="30" customHeight="1"/>
    <row r="2093" ht="30" customHeight="1"/>
    <row r="2094" ht="30" customHeight="1"/>
    <row r="2095" ht="30" customHeight="1"/>
    <row r="2096" ht="30" customHeight="1"/>
    <row r="2097" ht="30" customHeight="1"/>
    <row r="2098" ht="30" customHeight="1"/>
    <row r="2099" ht="30" customHeight="1"/>
    <row r="2100" ht="30" customHeight="1"/>
    <row r="2101" ht="30" customHeight="1"/>
    <row r="2102" ht="30" customHeight="1"/>
    <row r="2103" ht="30" customHeight="1"/>
    <row r="2104" ht="30" customHeight="1"/>
    <row r="2105" ht="30" customHeight="1"/>
    <row r="2106" ht="30" customHeight="1"/>
    <row r="2107" ht="30" customHeight="1"/>
    <row r="2108" ht="30" customHeight="1"/>
    <row r="2109" ht="30" customHeight="1"/>
    <row r="2110" ht="30" customHeight="1"/>
    <row r="2111" ht="30" customHeight="1"/>
    <row r="2112" ht="30" customHeight="1"/>
    <row r="2113" ht="30" customHeight="1"/>
    <row r="2114" ht="30" customHeight="1"/>
    <row r="2115" ht="30" customHeight="1"/>
    <row r="2116" ht="30" customHeight="1"/>
    <row r="2117" ht="30" customHeight="1"/>
    <row r="2118" ht="30" customHeight="1"/>
    <row r="2119" ht="30" customHeight="1"/>
    <row r="2120" ht="30" customHeight="1"/>
    <row r="2121" ht="30" customHeight="1"/>
    <row r="2122" ht="30" customHeight="1"/>
    <row r="2123" ht="30" customHeight="1"/>
    <row r="2124" ht="30" customHeight="1"/>
    <row r="2125" ht="30" customHeight="1"/>
    <row r="2126" ht="30" customHeight="1"/>
    <row r="2127" ht="30" customHeight="1"/>
    <row r="2128" ht="30" customHeight="1"/>
    <row r="2129" ht="30" customHeight="1"/>
    <row r="2130" ht="30" customHeight="1"/>
    <row r="2131" ht="30" customHeight="1"/>
    <row r="2132" ht="30" customHeight="1"/>
    <row r="2133" ht="30" customHeight="1"/>
    <row r="2134" ht="30" customHeight="1"/>
    <row r="2135" ht="30" customHeight="1"/>
    <row r="2136" ht="30" customHeight="1"/>
    <row r="2137" ht="30" customHeight="1"/>
    <row r="2138" ht="30" customHeight="1"/>
    <row r="2139" ht="30" customHeight="1"/>
    <row r="2140" ht="30" customHeight="1"/>
    <row r="2141" ht="30" customHeight="1"/>
    <row r="2142" ht="30" customHeight="1"/>
    <row r="2143" ht="30" customHeight="1"/>
    <row r="2144" ht="30" customHeight="1"/>
    <row r="2145" ht="30" customHeight="1"/>
    <row r="2146" ht="30" customHeight="1"/>
    <row r="2147" ht="30" customHeight="1"/>
    <row r="2148" ht="30" customHeight="1"/>
    <row r="2149" ht="30" customHeight="1"/>
    <row r="2150" ht="30" customHeight="1"/>
    <row r="2151" ht="30" customHeight="1"/>
    <row r="2152" ht="30" customHeight="1"/>
    <row r="2153" ht="30" customHeight="1"/>
    <row r="2154" ht="30" customHeight="1"/>
    <row r="2155" ht="30" customHeight="1"/>
    <row r="2156" ht="30" customHeight="1"/>
    <row r="2157" ht="30" customHeight="1"/>
    <row r="2158" ht="30" customHeight="1"/>
    <row r="2159" ht="30" customHeight="1"/>
    <row r="2160" ht="30" customHeight="1"/>
    <row r="2161" ht="30" customHeight="1"/>
    <row r="2162" ht="30" customHeight="1"/>
    <row r="2163" ht="30" customHeight="1"/>
    <row r="2164" ht="30" customHeight="1"/>
    <row r="2165" ht="30" customHeight="1"/>
    <row r="2166" ht="30" customHeight="1"/>
    <row r="2167" ht="30" customHeight="1"/>
    <row r="2168" ht="30" customHeight="1"/>
    <row r="2169" ht="30" customHeight="1"/>
    <row r="2170" ht="30" customHeight="1"/>
    <row r="2171" ht="30" customHeight="1"/>
    <row r="2172" ht="30" customHeight="1"/>
    <row r="2173" ht="30" customHeight="1"/>
    <row r="2174" ht="30" customHeight="1"/>
    <row r="2175" ht="30" customHeight="1"/>
    <row r="2176" ht="30" customHeight="1"/>
    <row r="2177" ht="30" customHeight="1"/>
    <row r="2178" ht="30" customHeight="1"/>
    <row r="2179" ht="30" customHeight="1"/>
    <row r="2180" ht="30" customHeight="1"/>
    <row r="2181" ht="30" customHeight="1"/>
    <row r="2182" ht="30" customHeight="1"/>
    <row r="2183" ht="30" customHeight="1"/>
    <row r="2184" ht="30" customHeight="1"/>
    <row r="2185" ht="30" customHeight="1"/>
    <row r="2186" ht="30" customHeight="1"/>
    <row r="2187" ht="30" customHeight="1"/>
    <row r="2188" ht="30" customHeight="1"/>
    <row r="2189" ht="30" customHeight="1"/>
    <row r="2190" ht="30" customHeight="1"/>
    <row r="2191" ht="30" customHeight="1"/>
    <row r="2192" ht="30" customHeight="1"/>
    <row r="2193" ht="30" customHeight="1"/>
    <row r="2194" ht="30" customHeight="1"/>
    <row r="2195" ht="30" customHeight="1"/>
    <row r="2196" ht="30" customHeight="1"/>
    <row r="2197" ht="30" customHeight="1"/>
    <row r="2198" ht="30" customHeight="1"/>
    <row r="2199" ht="30" customHeight="1"/>
    <row r="2200" ht="30" customHeight="1"/>
    <row r="2201" ht="30" customHeight="1"/>
    <row r="2202" ht="30" customHeight="1"/>
    <row r="2203" ht="30" customHeight="1"/>
    <row r="2204" ht="30" customHeight="1"/>
    <row r="2205" ht="30" customHeight="1"/>
    <row r="2206" ht="30" customHeight="1"/>
    <row r="2207" ht="30" customHeight="1"/>
    <row r="2208" ht="30" customHeight="1"/>
    <row r="2209" ht="30" customHeight="1"/>
    <row r="2210" ht="30" customHeight="1"/>
    <row r="2211" ht="30" customHeight="1"/>
    <row r="2212" ht="30" customHeight="1"/>
    <row r="2213" ht="30" customHeight="1"/>
    <row r="2214" ht="30" customHeight="1"/>
    <row r="2215" ht="30" customHeight="1"/>
    <row r="2216" ht="30" customHeight="1"/>
    <row r="2217" ht="30" customHeight="1"/>
    <row r="2218" ht="30" customHeight="1"/>
    <row r="2219" ht="30" customHeight="1"/>
    <row r="2220" ht="30" customHeight="1"/>
    <row r="2221" ht="30" customHeight="1"/>
    <row r="2222" ht="30" customHeight="1"/>
    <row r="2223" ht="30" customHeight="1"/>
    <row r="2224" ht="30" customHeight="1"/>
    <row r="2225" ht="30" customHeight="1"/>
    <row r="2226" ht="30" customHeight="1"/>
    <row r="2227" ht="30" customHeight="1"/>
    <row r="2228" ht="30" customHeight="1"/>
    <row r="2229" ht="30" customHeight="1"/>
    <row r="2230" ht="30" customHeight="1"/>
    <row r="2231" ht="30" customHeight="1"/>
    <row r="2232" ht="30" customHeight="1"/>
    <row r="2233" ht="30" customHeight="1"/>
    <row r="2234" ht="30" customHeight="1"/>
    <row r="2235" ht="30" customHeight="1"/>
    <row r="2236" ht="30" customHeight="1"/>
    <row r="2237" ht="30" customHeight="1"/>
    <row r="2238" ht="30" customHeight="1"/>
    <row r="2239" ht="30" customHeight="1"/>
    <row r="2240" ht="30" customHeight="1"/>
    <row r="2241" ht="30" customHeight="1"/>
    <row r="2242" ht="30" customHeight="1"/>
    <row r="2243" ht="30" customHeight="1"/>
    <row r="2244" ht="30" customHeight="1"/>
    <row r="2245" ht="30" customHeight="1"/>
    <row r="2246" ht="30" customHeight="1"/>
    <row r="2247" ht="30" customHeight="1"/>
    <row r="2248" ht="30" customHeight="1"/>
    <row r="2249" ht="30" customHeight="1"/>
    <row r="2250" ht="30" customHeight="1"/>
    <row r="2251" ht="30" customHeight="1"/>
    <row r="2252" ht="30" customHeight="1"/>
    <row r="2253" ht="30" customHeight="1"/>
    <row r="2254" ht="30" customHeight="1"/>
    <row r="2255" ht="30" customHeight="1"/>
    <row r="2256" ht="30" customHeight="1"/>
    <row r="2257" ht="30" customHeight="1"/>
    <row r="2258" ht="30" customHeight="1"/>
    <row r="2259" ht="30" customHeight="1"/>
    <row r="2260" ht="30" customHeight="1"/>
    <row r="2261" ht="30" customHeight="1"/>
    <row r="2262" ht="30" customHeight="1"/>
    <row r="2263" ht="30" customHeight="1"/>
    <row r="2264" ht="30" customHeight="1"/>
    <row r="2265" ht="30" customHeight="1"/>
    <row r="2266" ht="30" customHeight="1"/>
    <row r="2267" ht="30" customHeight="1"/>
    <row r="2268" ht="30" customHeight="1"/>
    <row r="2269" ht="30" customHeight="1"/>
    <row r="2270" ht="30" customHeight="1"/>
    <row r="2271" ht="30" customHeight="1"/>
    <row r="2272" ht="30" customHeight="1"/>
    <row r="2273" ht="30" customHeight="1"/>
    <row r="2274" ht="30" customHeight="1"/>
    <row r="2275" ht="30" customHeight="1"/>
    <row r="2276" ht="30" customHeight="1"/>
    <row r="2277" ht="30" customHeight="1"/>
    <row r="2278" ht="30" customHeight="1"/>
    <row r="2279" ht="30" customHeight="1"/>
    <row r="2280" ht="30" customHeight="1"/>
    <row r="2281" ht="30" customHeight="1"/>
    <row r="2282" ht="30" customHeight="1"/>
    <row r="2283" ht="30" customHeight="1"/>
    <row r="2284" ht="30" customHeight="1"/>
    <row r="2285" ht="30" customHeight="1"/>
    <row r="2286" ht="30" customHeight="1"/>
    <row r="2287" ht="30" customHeight="1"/>
    <row r="2288" ht="30" customHeight="1"/>
    <row r="2289" ht="30" customHeight="1"/>
    <row r="2290" ht="30" customHeight="1"/>
    <row r="2291" ht="30" customHeight="1"/>
    <row r="2292" ht="30" customHeight="1"/>
    <row r="2293" ht="30" customHeight="1"/>
    <row r="2294" ht="30" customHeight="1"/>
    <row r="2295" ht="30" customHeight="1"/>
    <row r="2296" ht="30" customHeight="1"/>
    <row r="2297" ht="30" customHeight="1"/>
    <row r="2298" ht="30" customHeight="1"/>
    <row r="2299" ht="30" customHeight="1"/>
    <row r="2300" ht="30" customHeight="1"/>
    <row r="2301" ht="30" customHeight="1"/>
    <row r="2302" ht="30" customHeight="1"/>
    <row r="2303" ht="30" customHeight="1"/>
    <row r="2304" ht="30" customHeight="1"/>
    <row r="2305" ht="30" customHeight="1"/>
    <row r="2306" ht="30" customHeight="1"/>
    <row r="2307" ht="30" customHeight="1"/>
    <row r="2308" ht="30" customHeight="1"/>
    <row r="2309" ht="30" customHeight="1"/>
    <row r="2310" ht="30" customHeight="1"/>
    <row r="2311" ht="30" customHeight="1"/>
    <row r="2312" ht="30" customHeight="1"/>
    <row r="2313" ht="30" customHeight="1"/>
    <row r="2314" ht="30" customHeight="1"/>
    <row r="2315" ht="30" customHeight="1"/>
    <row r="2316" ht="30" customHeight="1"/>
    <row r="2317" ht="30" customHeight="1"/>
    <row r="2318" ht="30" customHeight="1"/>
    <row r="2319" ht="30" customHeight="1"/>
    <row r="2320" ht="30" customHeight="1"/>
    <row r="2321" ht="30" customHeight="1"/>
    <row r="2322" ht="30" customHeight="1"/>
    <row r="2323" ht="30" customHeight="1"/>
    <row r="2324" ht="30" customHeight="1"/>
    <row r="2325" ht="30" customHeight="1"/>
    <row r="2326" ht="30" customHeight="1"/>
    <row r="2327" ht="30" customHeight="1"/>
    <row r="2328" ht="30" customHeight="1"/>
    <row r="2329" ht="30" customHeight="1"/>
    <row r="2330" ht="30" customHeight="1"/>
    <row r="2331" ht="30" customHeight="1"/>
    <row r="2332" ht="30" customHeight="1"/>
    <row r="2333" ht="30" customHeight="1"/>
    <row r="2334" ht="30" customHeight="1"/>
    <row r="2335" ht="30" customHeight="1"/>
    <row r="2336" ht="30" customHeight="1"/>
    <row r="2337" ht="30" customHeight="1"/>
    <row r="2338" ht="30" customHeight="1"/>
    <row r="2339" ht="30" customHeight="1"/>
    <row r="2340" ht="30" customHeight="1"/>
    <row r="2341" ht="30" customHeight="1"/>
    <row r="2342" ht="30" customHeight="1"/>
    <row r="2343" ht="30" customHeight="1"/>
    <row r="2344" ht="30" customHeight="1"/>
    <row r="2345" ht="30" customHeight="1"/>
    <row r="2346" ht="30" customHeight="1"/>
    <row r="2347" ht="30" customHeight="1"/>
    <row r="2348" ht="30" customHeight="1"/>
    <row r="2349" ht="30" customHeight="1"/>
    <row r="2350" ht="30" customHeight="1"/>
    <row r="2351" ht="30" customHeight="1"/>
    <row r="2352" ht="30" customHeight="1"/>
    <row r="2353" ht="30" customHeight="1"/>
    <row r="2354" ht="30" customHeight="1"/>
    <row r="2355" ht="30" customHeight="1"/>
    <row r="2356" ht="30" customHeight="1"/>
    <row r="2357" ht="30" customHeight="1"/>
    <row r="2358" ht="30" customHeight="1"/>
    <row r="2359" ht="30" customHeight="1"/>
    <row r="2360" ht="30" customHeight="1"/>
    <row r="2361" ht="30" customHeight="1"/>
    <row r="2362" ht="30" customHeight="1"/>
    <row r="2363" ht="30" customHeight="1"/>
    <row r="2364" ht="30" customHeight="1"/>
    <row r="2365" ht="30" customHeight="1"/>
    <row r="2366" ht="30" customHeight="1"/>
    <row r="2367" ht="30" customHeight="1"/>
    <row r="2368" ht="30" customHeight="1"/>
    <row r="2369" ht="30" customHeight="1"/>
    <row r="2370" ht="30" customHeight="1"/>
    <row r="2371" ht="30" customHeight="1"/>
    <row r="2372" ht="30" customHeight="1"/>
    <row r="2373" ht="30" customHeight="1"/>
    <row r="2374" ht="30" customHeight="1"/>
    <row r="2375" ht="30" customHeight="1"/>
    <row r="2376" ht="30" customHeight="1"/>
    <row r="2377" ht="30" customHeight="1"/>
    <row r="2378" ht="30" customHeight="1"/>
    <row r="2379" ht="30" customHeight="1"/>
    <row r="2380" ht="30" customHeight="1"/>
    <row r="2381" ht="30" customHeight="1"/>
    <row r="2382" ht="30" customHeight="1"/>
    <row r="2383" ht="30" customHeight="1"/>
    <row r="2384" ht="30" customHeight="1"/>
    <row r="2385" ht="30" customHeight="1"/>
    <row r="2386" ht="30" customHeight="1"/>
    <row r="2387" ht="30" customHeight="1"/>
    <row r="2388" ht="30" customHeight="1"/>
    <row r="2389" ht="30" customHeight="1"/>
    <row r="2390" ht="30" customHeight="1"/>
    <row r="2391" ht="30" customHeight="1"/>
    <row r="2392" ht="30" customHeight="1"/>
    <row r="2393" ht="30" customHeight="1"/>
    <row r="2394" ht="30" customHeight="1"/>
    <row r="2395" ht="30" customHeight="1"/>
    <row r="2396" ht="30" customHeight="1"/>
    <row r="2397" ht="30" customHeight="1"/>
    <row r="2398" ht="30" customHeight="1"/>
    <row r="2399" ht="30" customHeight="1"/>
    <row r="2400" ht="30" customHeight="1"/>
    <row r="2401" ht="30" customHeight="1"/>
    <row r="2402" ht="30" customHeight="1"/>
    <row r="2403" ht="30" customHeight="1"/>
    <row r="2404" ht="30" customHeight="1"/>
    <row r="2405" ht="30" customHeight="1"/>
    <row r="2406" ht="30" customHeight="1"/>
    <row r="2407" ht="30" customHeight="1"/>
    <row r="2408" ht="30" customHeight="1"/>
    <row r="2409" ht="30" customHeight="1"/>
    <row r="2410" ht="30" customHeight="1"/>
    <row r="2411" ht="30" customHeight="1"/>
    <row r="2412" ht="30" customHeight="1"/>
    <row r="2413" ht="30" customHeight="1"/>
    <row r="2414" ht="30" customHeight="1"/>
    <row r="2415" ht="30" customHeight="1"/>
    <row r="2416" ht="30" customHeight="1"/>
    <row r="2417" ht="30" customHeight="1"/>
    <row r="2418" ht="30" customHeight="1"/>
    <row r="2419" ht="30" customHeight="1"/>
    <row r="2420" ht="30" customHeight="1"/>
    <row r="2421" ht="30" customHeight="1"/>
    <row r="2422" ht="30" customHeight="1"/>
    <row r="2423" ht="30" customHeight="1"/>
    <row r="2424" ht="30" customHeight="1"/>
    <row r="2425" ht="30" customHeight="1"/>
    <row r="2426" ht="30" customHeight="1"/>
    <row r="2427" ht="30" customHeight="1"/>
    <row r="2428" ht="30" customHeight="1"/>
    <row r="2429" ht="30" customHeight="1"/>
    <row r="2430" ht="30" customHeight="1"/>
    <row r="2431" ht="30" customHeight="1"/>
    <row r="2432" ht="30" customHeight="1"/>
    <row r="2433" ht="30" customHeight="1"/>
    <row r="2434" ht="30" customHeight="1"/>
    <row r="2435" ht="30" customHeight="1"/>
    <row r="2436" ht="30" customHeight="1"/>
    <row r="2437" ht="30" customHeight="1"/>
    <row r="2438" ht="30" customHeight="1"/>
    <row r="2439" ht="30" customHeight="1"/>
    <row r="2440" ht="30" customHeight="1"/>
    <row r="2441" ht="30" customHeight="1"/>
    <row r="2442" ht="30" customHeight="1"/>
    <row r="2443" ht="30" customHeight="1"/>
    <row r="2444" ht="30" customHeight="1"/>
    <row r="2445" ht="30" customHeight="1"/>
    <row r="2446" ht="30" customHeight="1"/>
    <row r="2447" ht="30" customHeight="1"/>
    <row r="2448" ht="30" customHeight="1"/>
    <row r="2449" ht="30" customHeight="1"/>
    <row r="2450" ht="30" customHeight="1"/>
    <row r="2451" ht="30" customHeight="1"/>
    <row r="2452" ht="30" customHeight="1"/>
    <row r="2453" ht="30" customHeight="1"/>
    <row r="2454" ht="30" customHeight="1"/>
    <row r="2455" ht="30" customHeight="1"/>
    <row r="2456" ht="30" customHeight="1"/>
    <row r="2457" ht="30" customHeight="1"/>
    <row r="2458" ht="30" customHeight="1"/>
    <row r="2459" ht="30" customHeight="1"/>
    <row r="2460" ht="30" customHeight="1"/>
    <row r="2461" ht="30" customHeight="1"/>
    <row r="2462" ht="30" customHeight="1"/>
    <row r="2463" ht="30" customHeight="1"/>
    <row r="2464" ht="30" customHeight="1"/>
    <row r="2465" ht="30" customHeight="1"/>
    <row r="2466" ht="30" customHeight="1"/>
    <row r="2467" ht="30" customHeight="1"/>
    <row r="2468" ht="30" customHeight="1"/>
    <row r="2469" ht="30" customHeight="1"/>
    <row r="2470" ht="30" customHeight="1"/>
    <row r="2471" ht="30" customHeight="1"/>
    <row r="2472" ht="30" customHeight="1"/>
    <row r="2473" ht="30" customHeight="1"/>
    <row r="2474" ht="30" customHeight="1"/>
    <row r="2475" ht="30" customHeight="1"/>
    <row r="2476" ht="30" customHeight="1"/>
    <row r="2477" ht="30" customHeight="1"/>
    <row r="2478" ht="30" customHeight="1"/>
    <row r="2479" ht="30" customHeight="1"/>
    <row r="2480" ht="30" customHeight="1"/>
    <row r="2481" ht="30" customHeight="1"/>
    <row r="2482" ht="30" customHeight="1"/>
    <row r="2483" ht="30" customHeight="1"/>
    <row r="2484" ht="30" customHeight="1"/>
    <row r="2485" ht="30" customHeight="1"/>
    <row r="2486" ht="30" customHeight="1"/>
    <row r="2487" ht="30" customHeight="1"/>
    <row r="2488" ht="30" customHeight="1"/>
    <row r="2489" ht="30" customHeight="1"/>
    <row r="2490" ht="30" customHeight="1"/>
    <row r="2491" ht="30" customHeight="1"/>
    <row r="2492" ht="30" customHeight="1"/>
    <row r="2493" ht="30" customHeight="1"/>
    <row r="2494" ht="30" customHeight="1"/>
    <row r="2495" ht="30" customHeight="1"/>
    <row r="2496" ht="30" customHeight="1"/>
    <row r="2497" ht="30" customHeight="1"/>
    <row r="2498" ht="30" customHeight="1"/>
    <row r="2499" ht="30" customHeight="1"/>
    <row r="2500" ht="30" customHeight="1"/>
    <row r="2501" ht="30" customHeight="1"/>
    <row r="2502" ht="30" customHeight="1"/>
    <row r="2503" ht="30" customHeight="1"/>
    <row r="2504" ht="30" customHeight="1"/>
    <row r="2505" ht="30" customHeight="1"/>
    <row r="2506" ht="30" customHeight="1"/>
    <row r="2507" ht="30" customHeight="1"/>
    <row r="2508" ht="30" customHeight="1"/>
    <row r="2509" ht="30" customHeight="1"/>
    <row r="2510" ht="30" customHeight="1"/>
    <row r="2511" ht="30" customHeight="1"/>
    <row r="2512" ht="30" customHeight="1"/>
    <row r="2513" ht="30" customHeight="1"/>
    <row r="2514" ht="30" customHeight="1"/>
    <row r="2515" ht="30" customHeight="1"/>
    <row r="2516" ht="30" customHeight="1"/>
    <row r="2517" ht="30" customHeight="1"/>
    <row r="2518" ht="30" customHeight="1"/>
    <row r="2519" ht="30" customHeight="1"/>
    <row r="2520" ht="30" customHeight="1"/>
    <row r="2521" ht="30" customHeight="1"/>
    <row r="2522" ht="30" customHeight="1"/>
    <row r="2523" ht="30" customHeight="1"/>
    <row r="2524" ht="30" customHeight="1"/>
    <row r="2525" ht="30" customHeight="1"/>
    <row r="2526" ht="30" customHeight="1"/>
    <row r="2527" ht="30" customHeight="1"/>
    <row r="2528" ht="30" customHeight="1"/>
    <row r="2529" ht="30" customHeight="1"/>
    <row r="2530" ht="30" customHeight="1"/>
    <row r="2531" ht="30" customHeight="1"/>
    <row r="2532" ht="30" customHeight="1"/>
    <row r="2533" ht="30" customHeight="1"/>
    <row r="2534" ht="30" customHeight="1"/>
    <row r="2535" ht="30" customHeight="1"/>
    <row r="2536" ht="30" customHeight="1"/>
    <row r="2537" ht="30" customHeight="1"/>
    <row r="2538" ht="30" customHeight="1"/>
    <row r="2539" ht="30" customHeight="1"/>
    <row r="2540" ht="30" customHeight="1"/>
    <row r="2541" ht="30" customHeight="1"/>
    <row r="2542" ht="30" customHeight="1"/>
    <row r="2543" ht="30" customHeight="1"/>
    <row r="2544" ht="30" customHeight="1"/>
    <row r="2545" ht="30" customHeight="1"/>
    <row r="2546" ht="30" customHeight="1"/>
    <row r="2547" ht="30" customHeight="1"/>
    <row r="2548" ht="30" customHeight="1"/>
    <row r="2549" ht="30" customHeight="1"/>
    <row r="2550" ht="30" customHeight="1"/>
    <row r="2551" ht="30" customHeight="1"/>
    <row r="2552" ht="30" customHeight="1"/>
    <row r="2553" ht="30" customHeight="1"/>
    <row r="2554" ht="30" customHeight="1"/>
    <row r="2555" ht="30" customHeight="1"/>
    <row r="2556" ht="30" customHeight="1"/>
    <row r="2557" ht="30" customHeight="1"/>
    <row r="2558" ht="30" customHeight="1"/>
    <row r="2559" ht="30" customHeight="1"/>
    <row r="2560" ht="30" customHeight="1"/>
    <row r="2561" ht="30" customHeight="1"/>
    <row r="2562" ht="30" customHeight="1"/>
    <row r="2563" ht="30" customHeight="1"/>
    <row r="2564" ht="30" customHeight="1"/>
    <row r="2565" ht="30" customHeight="1"/>
    <row r="2566" ht="30" customHeight="1"/>
    <row r="2567" ht="30" customHeight="1"/>
    <row r="2568" ht="30" customHeight="1"/>
    <row r="2569" ht="30" customHeight="1"/>
    <row r="2570" ht="30" customHeight="1"/>
    <row r="2571" ht="30" customHeight="1"/>
    <row r="2572" ht="30" customHeight="1"/>
    <row r="2573" ht="30" customHeight="1"/>
    <row r="2574" ht="30" customHeight="1"/>
    <row r="2575" ht="30" customHeight="1"/>
    <row r="2576" ht="30" customHeight="1"/>
    <row r="2577" ht="30" customHeight="1"/>
    <row r="2578" ht="30" customHeight="1"/>
    <row r="2579" ht="30" customHeight="1"/>
    <row r="2580" ht="30" customHeight="1"/>
    <row r="2581" ht="30" customHeight="1"/>
    <row r="2582" ht="30" customHeight="1"/>
    <row r="2583" ht="30" customHeight="1"/>
    <row r="2584" ht="30" customHeight="1"/>
    <row r="2585" ht="30" customHeight="1"/>
    <row r="2586" ht="30" customHeight="1"/>
    <row r="2587" ht="30" customHeight="1"/>
    <row r="2588" ht="30" customHeight="1"/>
    <row r="2589" ht="30" customHeight="1"/>
    <row r="2590" ht="30" customHeight="1"/>
    <row r="2591" ht="30" customHeight="1"/>
    <row r="2592" ht="30" customHeight="1"/>
    <row r="2593" ht="30" customHeight="1"/>
    <row r="2594" ht="30" customHeight="1"/>
    <row r="2595" ht="30" customHeight="1"/>
    <row r="2596" ht="30" customHeight="1"/>
    <row r="2597" ht="30" customHeight="1"/>
    <row r="2598" ht="30" customHeight="1"/>
    <row r="2599" ht="30" customHeight="1"/>
    <row r="2600" ht="30" customHeight="1"/>
    <row r="2601" ht="30" customHeight="1"/>
    <row r="2602" ht="30" customHeight="1"/>
    <row r="2603" ht="30" customHeight="1"/>
    <row r="2604" ht="30" customHeight="1"/>
    <row r="2605" ht="30" customHeight="1"/>
    <row r="2606" ht="30" customHeight="1"/>
    <row r="2607" ht="30" customHeight="1"/>
    <row r="2608" ht="30" customHeight="1"/>
    <row r="2609" ht="30" customHeight="1"/>
    <row r="2610" ht="30" customHeight="1"/>
    <row r="2611" ht="30" customHeight="1"/>
    <row r="2612" ht="30" customHeight="1"/>
    <row r="2613" ht="30" customHeight="1"/>
    <row r="2614" ht="30" customHeight="1"/>
    <row r="2615" ht="30" customHeight="1"/>
    <row r="2616" ht="30" customHeight="1"/>
    <row r="2617" ht="30" customHeight="1"/>
    <row r="2618" ht="30" customHeight="1"/>
    <row r="2619" ht="30" customHeight="1"/>
    <row r="2620" ht="30" customHeight="1"/>
    <row r="2621" ht="30" customHeight="1"/>
    <row r="2622" ht="30" customHeight="1"/>
    <row r="2623" ht="30" customHeight="1"/>
    <row r="2624" ht="30" customHeight="1"/>
    <row r="2625" ht="30" customHeight="1"/>
    <row r="2626" ht="30" customHeight="1"/>
    <row r="2627" ht="30" customHeight="1"/>
    <row r="2628" ht="30" customHeight="1"/>
    <row r="2629" ht="30" customHeight="1"/>
    <row r="2630" ht="30" customHeight="1"/>
    <row r="2631" ht="30" customHeight="1"/>
    <row r="2632" ht="30" customHeight="1"/>
    <row r="2633" ht="30" customHeight="1"/>
    <row r="2634" ht="30" customHeight="1"/>
    <row r="2635" ht="30" customHeight="1"/>
    <row r="2636" ht="30" customHeight="1"/>
    <row r="2637" ht="30" customHeight="1"/>
    <row r="2638" ht="30" customHeight="1"/>
    <row r="2639" ht="30" customHeight="1"/>
    <row r="2640" ht="30" customHeight="1"/>
    <row r="2641" ht="30" customHeight="1"/>
    <row r="2642" ht="30" customHeight="1"/>
    <row r="2643" ht="30" customHeight="1"/>
    <row r="2644" ht="30" customHeight="1"/>
    <row r="2645" ht="30" customHeight="1"/>
    <row r="2646" ht="30" customHeight="1"/>
    <row r="2647" ht="30" customHeight="1"/>
    <row r="2648" ht="30" customHeight="1"/>
    <row r="2649" ht="30" customHeight="1"/>
    <row r="2650" ht="30" customHeight="1"/>
    <row r="2651" ht="30" customHeight="1"/>
    <row r="2652" ht="30" customHeight="1"/>
    <row r="2653" ht="30" customHeight="1"/>
    <row r="2654" ht="30" customHeight="1"/>
    <row r="2655" ht="30" customHeight="1"/>
    <row r="2656" ht="30" customHeight="1"/>
    <row r="2657" ht="30" customHeight="1"/>
    <row r="2658" ht="30" customHeight="1"/>
    <row r="2659" ht="30" customHeight="1"/>
    <row r="2660" ht="30" customHeight="1"/>
    <row r="2661" ht="30" customHeight="1"/>
    <row r="2662" ht="30" customHeight="1"/>
    <row r="2663" ht="30" customHeight="1"/>
    <row r="2664" ht="30" customHeight="1"/>
    <row r="2665" ht="30" customHeight="1"/>
    <row r="2666" ht="30" customHeight="1"/>
    <row r="2667" ht="30" customHeight="1"/>
    <row r="2668" ht="30" customHeight="1"/>
    <row r="2669" ht="30" customHeight="1"/>
    <row r="2670" ht="30" customHeight="1"/>
    <row r="2671" ht="30" customHeight="1"/>
    <row r="2672" ht="30" customHeight="1"/>
    <row r="2673" ht="30" customHeight="1"/>
    <row r="2674" ht="30" customHeight="1"/>
    <row r="2675" ht="30" customHeight="1"/>
    <row r="2676" ht="30" customHeight="1"/>
    <row r="2677" ht="30" customHeight="1"/>
    <row r="2678" ht="30" customHeight="1"/>
    <row r="2679" ht="30" customHeight="1"/>
    <row r="2680" ht="30" customHeight="1"/>
    <row r="2681" ht="30" customHeight="1"/>
    <row r="2682" ht="30" customHeight="1"/>
    <row r="2683" ht="30" customHeight="1"/>
    <row r="2684" ht="30" customHeight="1"/>
    <row r="2685" ht="30" customHeight="1"/>
    <row r="2686" ht="30" customHeight="1"/>
    <row r="2687" ht="30" customHeight="1"/>
    <row r="2688" ht="30" customHeight="1"/>
    <row r="2689" ht="30" customHeight="1"/>
    <row r="2690" ht="30" customHeight="1"/>
    <row r="2691" ht="30" customHeight="1"/>
    <row r="2692" ht="30" customHeight="1"/>
    <row r="2693" ht="30" customHeight="1"/>
    <row r="2694" ht="30" customHeight="1"/>
    <row r="2695" ht="30" customHeight="1"/>
    <row r="2696" ht="30" customHeight="1"/>
    <row r="2697" ht="30" customHeight="1"/>
    <row r="2698" ht="30" customHeight="1"/>
    <row r="2699" ht="30" customHeight="1"/>
    <row r="2700" ht="30" customHeight="1"/>
    <row r="2701" ht="30" customHeight="1"/>
    <row r="2702" ht="30" customHeight="1"/>
    <row r="2703" ht="30" customHeight="1"/>
    <row r="2704" ht="30" customHeight="1"/>
    <row r="2705" ht="30" customHeight="1"/>
    <row r="2706" ht="30" customHeight="1"/>
    <row r="2707" ht="30" customHeight="1"/>
    <row r="2708" ht="30" customHeight="1"/>
    <row r="2709" ht="30" customHeight="1"/>
    <row r="2710" ht="30" customHeight="1"/>
    <row r="2711" ht="30" customHeight="1"/>
    <row r="2712" ht="30" customHeight="1"/>
    <row r="2713" ht="30" customHeight="1"/>
    <row r="2714" ht="30" customHeight="1"/>
    <row r="2715" ht="30" customHeight="1"/>
    <row r="2716" ht="30" customHeight="1"/>
    <row r="2717" ht="30" customHeight="1"/>
    <row r="2718" ht="30" customHeight="1"/>
    <row r="2719" ht="30" customHeight="1"/>
    <row r="2720" ht="30" customHeight="1"/>
    <row r="2721" ht="30" customHeight="1"/>
    <row r="2722" ht="30" customHeight="1"/>
    <row r="2723" ht="30" customHeight="1"/>
    <row r="2724" ht="30" customHeight="1"/>
    <row r="2725" ht="30" customHeight="1"/>
    <row r="2726" ht="30" customHeight="1"/>
    <row r="2727" ht="30" customHeight="1"/>
    <row r="2728" ht="30" customHeight="1"/>
    <row r="2729" ht="30" customHeight="1"/>
    <row r="2730" ht="30" customHeight="1"/>
    <row r="2731" ht="30" customHeight="1"/>
    <row r="2732" ht="30" customHeight="1"/>
    <row r="2733" ht="30" customHeight="1"/>
    <row r="2734" ht="30" customHeight="1"/>
    <row r="2735" ht="30" customHeight="1"/>
    <row r="2736" ht="30" customHeight="1"/>
    <row r="2737" ht="30" customHeight="1"/>
    <row r="2738" ht="30" customHeight="1"/>
    <row r="2739" ht="30" customHeight="1"/>
    <row r="2740" ht="30" customHeight="1"/>
    <row r="2741" ht="30" customHeight="1"/>
    <row r="2742" ht="30" customHeight="1"/>
    <row r="2743" ht="30" customHeight="1"/>
    <row r="2744" ht="30" customHeight="1"/>
    <row r="2745" ht="30" customHeight="1"/>
    <row r="2746" ht="30" customHeight="1"/>
    <row r="2747" ht="30" customHeight="1"/>
    <row r="2748" ht="30" customHeight="1"/>
    <row r="2749" ht="30" customHeight="1"/>
    <row r="2750" ht="30" customHeight="1"/>
    <row r="2751" ht="30" customHeight="1"/>
    <row r="2752" ht="30" customHeight="1"/>
    <row r="2753" ht="30" customHeight="1"/>
    <row r="2754" ht="30" customHeight="1"/>
    <row r="2755" ht="30" customHeight="1"/>
    <row r="2756" ht="30" customHeight="1"/>
    <row r="2757" ht="30" customHeight="1"/>
    <row r="2758" ht="30" customHeight="1"/>
    <row r="2759" ht="30" customHeight="1"/>
    <row r="2760" ht="30" customHeight="1"/>
    <row r="2761" ht="30" customHeight="1"/>
    <row r="2762" ht="30" customHeight="1"/>
    <row r="2763" ht="30" customHeight="1"/>
    <row r="2764" ht="30" customHeight="1"/>
    <row r="2765" ht="30" customHeight="1"/>
    <row r="2766" ht="30" customHeight="1"/>
    <row r="2767" ht="30" customHeight="1"/>
    <row r="2768" ht="30" customHeight="1"/>
    <row r="2769" ht="30" customHeight="1"/>
    <row r="2770" ht="30" customHeight="1"/>
    <row r="2771" ht="30" customHeight="1"/>
    <row r="2772" ht="30" customHeight="1"/>
    <row r="2773" ht="30" customHeight="1"/>
    <row r="2774" ht="30" customHeight="1"/>
    <row r="2775" ht="30" customHeight="1"/>
    <row r="2776" ht="30" customHeight="1"/>
    <row r="2777" ht="30" customHeight="1"/>
    <row r="2778" ht="30" customHeight="1"/>
    <row r="2779" ht="30" customHeight="1"/>
    <row r="2780" ht="30" customHeight="1"/>
    <row r="2781" ht="30" customHeight="1"/>
    <row r="2782" ht="30" customHeight="1"/>
    <row r="2783" ht="30" customHeight="1"/>
    <row r="2784" ht="30" customHeight="1"/>
    <row r="2785" ht="30" customHeight="1"/>
    <row r="2786" ht="30" customHeight="1"/>
    <row r="2787" ht="30" customHeight="1"/>
    <row r="2788" ht="30" customHeight="1"/>
    <row r="2789" ht="30" customHeight="1"/>
    <row r="2790" ht="30" customHeight="1"/>
    <row r="2791" ht="30" customHeight="1"/>
    <row r="2792" ht="30" customHeight="1"/>
    <row r="2793" ht="30" customHeight="1"/>
    <row r="2794" ht="30" customHeight="1"/>
    <row r="2795" ht="30" customHeight="1"/>
    <row r="2796" ht="30" customHeight="1"/>
    <row r="2797" ht="30" customHeight="1"/>
    <row r="2798" ht="30" customHeight="1"/>
    <row r="2799" ht="30" customHeight="1"/>
    <row r="2800" ht="30" customHeight="1"/>
    <row r="2801" ht="30" customHeight="1"/>
    <row r="2802" ht="30" customHeight="1"/>
    <row r="2803" ht="30" customHeight="1"/>
    <row r="2804" ht="30" customHeight="1"/>
    <row r="2805" ht="30" customHeight="1"/>
    <row r="2806" ht="30" customHeight="1"/>
    <row r="2807" ht="30" customHeight="1"/>
    <row r="2808" ht="30" customHeight="1"/>
    <row r="2809" ht="30" customHeight="1"/>
    <row r="2810" ht="30" customHeight="1"/>
    <row r="2811" ht="30" customHeight="1"/>
    <row r="2812" ht="30" customHeight="1"/>
    <row r="2813" ht="30" customHeight="1"/>
    <row r="2814" ht="30" customHeight="1"/>
    <row r="2815" ht="30" customHeight="1"/>
    <row r="2816" ht="30" customHeight="1"/>
    <row r="2817" ht="30" customHeight="1"/>
    <row r="2818" ht="30" customHeight="1"/>
    <row r="2819" ht="30" customHeight="1"/>
    <row r="2820" ht="30" customHeight="1"/>
    <row r="2821" ht="30" customHeight="1"/>
    <row r="2822" ht="30" customHeight="1"/>
    <row r="2823" ht="30" customHeight="1"/>
    <row r="2824" ht="30" customHeight="1"/>
    <row r="2825" ht="30" customHeight="1"/>
    <row r="2826" ht="30" customHeight="1"/>
    <row r="2827" ht="30" customHeight="1"/>
    <row r="2828" ht="30" customHeight="1"/>
    <row r="2829" ht="30" customHeight="1"/>
    <row r="2830" ht="30" customHeight="1"/>
    <row r="2831" ht="30" customHeight="1"/>
    <row r="2832" ht="30" customHeight="1"/>
    <row r="2833" ht="30" customHeight="1"/>
    <row r="2834" ht="30" customHeight="1"/>
    <row r="2835" ht="30" customHeight="1"/>
    <row r="2836" ht="30" customHeight="1"/>
    <row r="2837" ht="30" customHeight="1"/>
    <row r="2838" ht="30" customHeight="1"/>
    <row r="2839" ht="30" customHeight="1"/>
    <row r="2840" ht="30" customHeight="1"/>
    <row r="2841" ht="30" customHeight="1"/>
    <row r="2842" ht="30" customHeight="1"/>
    <row r="2843" ht="30" customHeight="1"/>
    <row r="2844" ht="30" customHeight="1"/>
    <row r="2845" ht="30" customHeight="1"/>
    <row r="2846" ht="30" customHeight="1"/>
    <row r="2847" ht="30" customHeight="1"/>
    <row r="2848" ht="30" customHeight="1"/>
    <row r="2849" ht="30" customHeight="1"/>
    <row r="2850" ht="30" customHeight="1"/>
    <row r="2851" ht="30" customHeight="1"/>
    <row r="2852" ht="30" customHeight="1"/>
    <row r="2853" ht="30" customHeight="1"/>
    <row r="2854" ht="30" customHeight="1"/>
    <row r="2855" ht="30" customHeight="1"/>
    <row r="2856" ht="30" customHeight="1"/>
    <row r="2857" ht="30" customHeight="1"/>
    <row r="2858" ht="30" customHeight="1"/>
    <row r="2859" ht="30" customHeight="1"/>
    <row r="2860" ht="30" customHeight="1"/>
    <row r="2861" ht="30" customHeight="1"/>
    <row r="2862" ht="30" customHeight="1"/>
    <row r="2863" ht="30" customHeight="1"/>
    <row r="2864" ht="30" customHeight="1"/>
    <row r="2865" ht="30" customHeight="1"/>
    <row r="2866" ht="30" customHeight="1"/>
    <row r="2867" ht="30" customHeight="1"/>
    <row r="2868" ht="30" customHeight="1"/>
    <row r="2869" ht="30" customHeight="1"/>
    <row r="2870" ht="30" customHeight="1"/>
    <row r="2871" ht="30" customHeight="1"/>
    <row r="2872" ht="30" customHeight="1"/>
    <row r="2873" ht="30" customHeight="1"/>
    <row r="2874" ht="30" customHeight="1"/>
    <row r="2875" ht="30" customHeight="1"/>
    <row r="2876" ht="30" customHeight="1"/>
    <row r="2877" ht="30" customHeight="1"/>
    <row r="2878" ht="30" customHeight="1"/>
    <row r="2879" ht="30" customHeight="1"/>
    <row r="2880" ht="30" customHeight="1"/>
    <row r="2881" ht="30" customHeight="1"/>
    <row r="2882" ht="30" customHeight="1"/>
    <row r="2883" ht="30" customHeight="1"/>
    <row r="2884" ht="30" customHeight="1"/>
    <row r="2885" ht="30" customHeight="1"/>
    <row r="2886" ht="30" customHeight="1"/>
    <row r="2887" ht="30" customHeight="1"/>
    <row r="2888" ht="30" customHeight="1"/>
    <row r="2889" ht="30" customHeight="1"/>
    <row r="2890" ht="30" customHeight="1"/>
    <row r="2891" ht="30" customHeight="1"/>
    <row r="2892" ht="30" customHeight="1"/>
    <row r="2893" ht="30" customHeight="1"/>
    <row r="2894" ht="30" customHeight="1"/>
    <row r="2895" ht="30" customHeight="1"/>
    <row r="2896" ht="30" customHeight="1"/>
    <row r="2897" ht="30" customHeight="1"/>
    <row r="2898" ht="30" customHeight="1"/>
    <row r="2899" ht="30" customHeight="1"/>
    <row r="2900" ht="30" customHeight="1"/>
    <row r="2901" ht="30" customHeight="1"/>
    <row r="2902" ht="30" customHeight="1"/>
    <row r="2903" ht="30" customHeight="1"/>
    <row r="2904" ht="30" customHeight="1"/>
    <row r="2905" ht="30" customHeight="1"/>
    <row r="2906" ht="30" customHeight="1"/>
    <row r="2907" ht="30" customHeight="1"/>
    <row r="2908" ht="30" customHeight="1"/>
    <row r="2909" ht="30" customHeight="1"/>
    <row r="2910" ht="30" customHeight="1"/>
    <row r="2911" ht="30" customHeight="1"/>
    <row r="2912" ht="30" customHeight="1"/>
    <row r="2913" ht="30" customHeight="1"/>
    <row r="2914" ht="30" customHeight="1"/>
    <row r="2915" ht="30" customHeight="1"/>
    <row r="2916" ht="30" customHeight="1"/>
    <row r="2917" ht="30" customHeight="1"/>
    <row r="2918" ht="30" customHeight="1"/>
    <row r="2919" ht="30" customHeight="1"/>
    <row r="2920" ht="30" customHeight="1"/>
    <row r="2921" ht="30" customHeight="1"/>
    <row r="2922" ht="30" customHeight="1"/>
    <row r="2923" ht="30" customHeight="1"/>
    <row r="2924" ht="30" customHeight="1"/>
    <row r="2925" ht="30" customHeight="1"/>
    <row r="2926" ht="30" customHeight="1"/>
    <row r="2927" ht="30" customHeight="1"/>
    <row r="2928" ht="30" customHeight="1"/>
    <row r="2929" ht="30" customHeight="1"/>
    <row r="2930" ht="30" customHeight="1"/>
    <row r="2931" ht="30" customHeight="1"/>
    <row r="2932" ht="30" customHeight="1"/>
    <row r="2933" ht="30" customHeight="1"/>
    <row r="2934" ht="30" customHeight="1"/>
    <row r="2935" ht="30" customHeight="1"/>
    <row r="2936" ht="30" customHeight="1"/>
    <row r="2937" ht="30" customHeight="1"/>
    <row r="2938" ht="30" customHeight="1"/>
    <row r="2939" ht="30" customHeight="1"/>
    <row r="2940" ht="30" customHeight="1"/>
    <row r="2941" ht="30" customHeight="1"/>
    <row r="2942" ht="30" customHeight="1"/>
    <row r="2943" ht="30" customHeight="1"/>
    <row r="2944" ht="30" customHeight="1"/>
    <row r="2945" ht="30" customHeight="1"/>
    <row r="2946" ht="30" customHeight="1"/>
    <row r="2947" ht="30" customHeight="1"/>
    <row r="2948" ht="30" customHeight="1"/>
    <row r="2949" ht="30" customHeight="1"/>
    <row r="2950" ht="30" customHeight="1"/>
    <row r="2951" ht="30" customHeight="1"/>
    <row r="2952" ht="30" customHeight="1"/>
    <row r="2953" ht="30" customHeight="1"/>
    <row r="2954" ht="30" customHeight="1"/>
    <row r="2955" ht="30" customHeight="1"/>
    <row r="2956" ht="30" customHeight="1"/>
    <row r="2957" ht="30" customHeight="1"/>
    <row r="2958" ht="30" customHeight="1"/>
    <row r="2959" ht="30" customHeight="1"/>
    <row r="2960" ht="30" customHeight="1"/>
    <row r="2961" ht="30" customHeight="1"/>
    <row r="2962" ht="30" customHeight="1"/>
    <row r="2963" ht="30" customHeight="1"/>
    <row r="2964" ht="30" customHeight="1"/>
    <row r="2965" ht="30" customHeight="1"/>
    <row r="2966" ht="30" customHeight="1"/>
    <row r="2967" ht="30" customHeight="1"/>
    <row r="2968" ht="30" customHeight="1"/>
    <row r="2969" ht="30" customHeight="1"/>
    <row r="2970" ht="30" customHeight="1"/>
    <row r="2971" ht="30" customHeight="1"/>
    <row r="2972" ht="30" customHeight="1"/>
    <row r="2973" ht="30" customHeight="1"/>
    <row r="2974" ht="30" customHeight="1"/>
    <row r="2975" ht="30" customHeight="1"/>
    <row r="2976" ht="30" customHeight="1"/>
    <row r="2977" ht="30" customHeight="1"/>
    <row r="2978" ht="30" customHeight="1"/>
    <row r="2979" ht="30" customHeight="1"/>
    <row r="2980" ht="30" customHeight="1"/>
    <row r="2981" ht="30" customHeight="1"/>
    <row r="2982" ht="30" customHeight="1"/>
    <row r="2983" ht="30" customHeight="1"/>
    <row r="2984" ht="30" customHeight="1"/>
    <row r="2985" ht="30" customHeight="1"/>
    <row r="2986" ht="30" customHeight="1"/>
    <row r="2987" ht="30" customHeight="1"/>
    <row r="2988" ht="30" customHeight="1"/>
    <row r="2989" ht="30" customHeight="1"/>
    <row r="2990" ht="30" customHeight="1"/>
    <row r="2991" ht="30" customHeight="1"/>
    <row r="2992" ht="30" customHeight="1"/>
    <row r="2993" ht="30" customHeight="1"/>
    <row r="2994" ht="30" customHeight="1"/>
    <row r="2995" ht="30" customHeight="1"/>
    <row r="2996" ht="30" customHeight="1"/>
    <row r="2997" ht="30" customHeight="1"/>
    <row r="2998" ht="30" customHeight="1"/>
    <row r="2999" ht="30" customHeight="1"/>
    <row r="3000" ht="30" customHeight="1"/>
    <row r="3001" ht="30" customHeight="1"/>
    <row r="3002" ht="30" customHeight="1"/>
    <row r="3003" ht="30" customHeight="1"/>
    <row r="3004" ht="30" customHeight="1"/>
    <row r="3005" ht="30" customHeight="1"/>
    <row r="3006" ht="30" customHeight="1"/>
    <row r="3007" ht="30" customHeight="1"/>
    <row r="3008" ht="30" customHeight="1"/>
    <row r="3009" ht="30" customHeight="1"/>
    <row r="3010" ht="30" customHeight="1"/>
    <row r="3011" ht="30" customHeight="1"/>
    <row r="3012" ht="30" customHeight="1"/>
    <row r="3013" ht="30" customHeight="1"/>
    <row r="3014" ht="30" customHeight="1"/>
    <row r="3015" ht="30" customHeight="1"/>
    <row r="3016" ht="30" customHeight="1"/>
    <row r="3017" ht="30" customHeight="1"/>
    <row r="3018" ht="30" customHeight="1"/>
    <row r="3019" ht="30" customHeight="1"/>
    <row r="3020" ht="30" customHeight="1"/>
    <row r="3021" ht="30" customHeight="1"/>
    <row r="3022" ht="30" customHeight="1"/>
    <row r="3023" ht="30" customHeight="1"/>
    <row r="3024" ht="30" customHeight="1"/>
    <row r="3025" ht="30" customHeight="1"/>
    <row r="3026" ht="30" customHeight="1"/>
    <row r="3027" ht="30" customHeight="1"/>
    <row r="3028" ht="30" customHeight="1"/>
    <row r="3029" ht="30" customHeight="1"/>
    <row r="3030" ht="30" customHeight="1"/>
    <row r="3031" ht="30" customHeight="1"/>
    <row r="3032" ht="30" customHeight="1"/>
    <row r="3033" ht="30" customHeight="1"/>
    <row r="3034" ht="30" customHeight="1"/>
    <row r="3035" ht="30" customHeight="1"/>
    <row r="3036" ht="30" customHeight="1"/>
    <row r="3037" ht="30" customHeight="1"/>
    <row r="3038" ht="30" customHeight="1"/>
    <row r="3039" ht="30" customHeight="1"/>
    <row r="3040" ht="30" customHeight="1"/>
    <row r="3041" ht="30" customHeight="1"/>
    <row r="3042" ht="30" customHeight="1"/>
    <row r="3043" ht="30" customHeight="1"/>
    <row r="3044" ht="30" customHeight="1"/>
    <row r="3045" ht="30" customHeight="1"/>
    <row r="3046" ht="30" customHeight="1"/>
    <row r="3047" ht="30" customHeight="1"/>
    <row r="3048" ht="30" customHeight="1"/>
    <row r="3049" ht="30" customHeight="1"/>
    <row r="3050" ht="30" customHeight="1"/>
    <row r="3051" ht="30" customHeight="1"/>
    <row r="3052" ht="30" customHeight="1"/>
    <row r="3053" ht="30" customHeight="1"/>
    <row r="3054" ht="30" customHeight="1"/>
    <row r="3055" ht="30" customHeight="1"/>
    <row r="3056" ht="30" customHeight="1"/>
    <row r="3057" ht="30" customHeight="1"/>
    <row r="3058" ht="30" customHeight="1"/>
    <row r="3059" ht="30" customHeight="1"/>
    <row r="3060" ht="30" customHeight="1"/>
    <row r="3061" ht="30" customHeight="1"/>
    <row r="3062" ht="30" customHeight="1"/>
    <row r="3063" ht="30" customHeight="1"/>
    <row r="3064" ht="30" customHeight="1"/>
    <row r="3065" ht="30" customHeight="1"/>
    <row r="3066" ht="30" customHeight="1"/>
    <row r="3067" ht="30" customHeight="1"/>
    <row r="3068" ht="30" customHeight="1"/>
    <row r="3069" ht="30" customHeight="1"/>
    <row r="3070" ht="30" customHeight="1"/>
    <row r="3071" ht="30" customHeight="1"/>
    <row r="3072" ht="30" customHeight="1"/>
    <row r="3073" ht="30" customHeight="1"/>
    <row r="3074" ht="30" customHeight="1"/>
    <row r="3075" ht="30" customHeight="1"/>
    <row r="3076" ht="30" customHeight="1"/>
    <row r="3077" ht="30" customHeight="1"/>
    <row r="3078" ht="30" customHeight="1"/>
    <row r="3079" ht="30" customHeight="1"/>
    <row r="3080" ht="30" customHeight="1"/>
    <row r="3081" ht="30" customHeight="1"/>
    <row r="3082" ht="30" customHeight="1"/>
    <row r="3083" ht="30" customHeight="1"/>
    <row r="3084" ht="30" customHeight="1"/>
    <row r="3085" ht="30" customHeight="1"/>
    <row r="3086" ht="30" customHeight="1"/>
    <row r="3087" ht="30" customHeight="1"/>
    <row r="3088" ht="30" customHeight="1"/>
    <row r="3089" ht="30" customHeight="1"/>
    <row r="3090" ht="30" customHeight="1"/>
    <row r="3091" ht="30" customHeight="1"/>
    <row r="3092" ht="30" customHeight="1"/>
    <row r="3093" ht="30" customHeight="1"/>
    <row r="3094" ht="30" customHeight="1"/>
    <row r="3095" ht="30" customHeight="1"/>
    <row r="3096" ht="30" customHeight="1"/>
    <row r="3097" ht="30" customHeight="1"/>
    <row r="3098" ht="30" customHeight="1"/>
    <row r="3099" ht="30" customHeight="1"/>
    <row r="3100" ht="30" customHeight="1"/>
    <row r="3101" ht="30" customHeight="1"/>
    <row r="3102" ht="30" customHeight="1"/>
    <row r="3103" ht="30" customHeight="1"/>
    <row r="3104" ht="30" customHeight="1"/>
    <row r="3105" ht="30" customHeight="1"/>
    <row r="3106" ht="30" customHeight="1"/>
    <row r="3107" ht="30" customHeight="1"/>
    <row r="3108" ht="30" customHeight="1"/>
    <row r="3109" ht="30" customHeight="1"/>
    <row r="3110" ht="30" customHeight="1"/>
    <row r="3111" ht="30" customHeight="1"/>
    <row r="3112" ht="30" customHeight="1"/>
    <row r="3113" ht="30" customHeight="1"/>
    <row r="3114" ht="30" customHeight="1"/>
    <row r="3115" ht="30" customHeight="1"/>
    <row r="3116" ht="30" customHeight="1"/>
    <row r="3117" ht="30" customHeight="1"/>
    <row r="3118" ht="30" customHeight="1"/>
    <row r="3119" ht="30" customHeight="1"/>
    <row r="3120" ht="30" customHeight="1"/>
    <row r="3121" ht="30" customHeight="1"/>
    <row r="3122" ht="30" customHeight="1"/>
    <row r="3123" ht="30" customHeight="1"/>
    <row r="3124" ht="30" customHeight="1"/>
    <row r="3125" ht="30" customHeight="1"/>
    <row r="3126" ht="30" customHeight="1"/>
    <row r="3127" ht="30" customHeight="1"/>
    <row r="3128" ht="30" customHeight="1"/>
    <row r="3129" ht="30" customHeight="1"/>
    <row r="3130" ht="30" customHeight="1"/>
    <row r="3131" ht="30" customHeight="1"/>
    <row r="3132" ht="30" customHeight="1"/>
    <row r="3133" ht="30" customHeight="1"/>
    <row r="3134" ht="30" customHeight="1"/>
    <row r="3135" ht="30" customHeight="1"/>
    <row r="3136" ht="30" customHeight="1"/>
    <row r="3137" ht="30" customHeight="1"/>
    <row r="3138" ht="30" customHeight="1"/>
    <row r="3139" ht="30" customHeight="1"/>
    <row r="3140" ht="30" customHeight="1"/>
    <row r="3141" ht="30" customHeight="1"/>
    <row r="3142" ht="30" customHeight="1"/>
    <row r="3143" ht="30" customHeight="1"/>
    <row r="3144" ht="30" customHeight="1"/>
    <row r="3145" ht="30" customHeight="1"/>
    <row r="3146" ht="30" customHeight="1"/>
    <row r="3147" ht="30" customHeight="1"/>
    <row r="3148" ht="30" customHeight="1"/>
    <row r="3149" ht="30" customHeight="1"/>
    <row r="3150" ht="30" customHeight="1"/>
    <row r="3151" ht="30" customHeight="1"/>
    <row r="3152" ht="30" customHeight="1"/>
    <row r="3153" ht="30" customHeight="1"/>
    <row r="3154" ht="30" customHeight="1"/>
    <row r="3155" ht="30" customHeight="1"/>
    <row r="3156" ht="30" customHeight="1"/>
    <row r="3157" ht="30" customHeight="1"/>
    <row r="3158" ht="30" customHeight="1"/>
    <row r="3159" ht="30" customHeight="1"/>
    <row r="3160" ht="30" customHeight="1"/>
    <row r="3161" ht="30" customHeight="1"/>
    <row r="3162" ht="30" customHeight="1"/>
    <row r="3163" ht="30" customHeight="1"/>
    <row r="3164" ht="30" customHeight="1"/>
    <row r="3165" ht="30" customHeight="1"/>
    <row r="3166" ht="30" customHeight="1"/>
    <row r="3167" ht="30" customHeight="1"/>
    <row r="3168" ht="30" customHeight="1"/>
    <row r="3169" ht="30" customHeight="1"/>
    <row r="3170" ht="30" customHeight="1"/>
    <row r="3171" ht="30" customHeight="1"/>
    <row r="3172" ht="30" customHeight="1"/>
    <row r="3173" ht="30" customHeight="1"/>
    <row r="3174" ht="30" customHeight="1"/>
    <row r="3175" ht="30" customHeight="1"/>
    <row r="3176" ht="30" customHeight="1"/>
    <row r="3177" ht="30" customHeight="1"/>
    <row r="3178" ht="30" customHeight="1"/>
    <row r="3179" ht="30" customHeight="1"/>
    <row r="3180" ht="30" customHeight="1"/>
    <row r="3181" ht="30" customHeight="1"/>
    <row r="3182" ht="30" customHeight="1"/>
    <row r="3183" ht="30" customHeight="1"/>
    <row r="3184" ht="30" customHeight="1"/>
    <row r="3185" ht="30" customHeight="1"/>
    <row r="3186" ht="30" customHeight="1"/>
    <row r="3187" ht="30" customHeight="1"/>
    <row r="3188" ht="30" customHeight="1"/>
    <row r="3189" ht="30" customHeight="1"/>
    <row r="3190" ht="30" customHeight="1"/>
    <row r="3191" ht="30" customHeight="1"/>
    <row r="3192" ht="30" customHeight="1"/>
    <row r="3193" ht="30" customHeight="1"/>
    <row r="3194" ht="30" customHeight="1"/>
    <row r="3195" ht="30" customHeight="1"/>
    <row r="3196" ht="30" customHeight="1"/>
    <row r="3197" ht="30" customHeight="1"/>
    <row r="3198" ht="30" customHeight="1"/>
    <row r="3199" ht="30" customHeight="1"/>
    <row r="3200" ht="30" customHeight="1"/>
    <row r="3201" ht="30" customHeight="1"/>
    <row r="3202" ht="30" customHeight="1"/>
    <row r="3203" ht="30" customHeight="1"/>
    <row r="3204" ht="30" customHeight="1"/>
    <row r="3205" ht="30" customHeight="1"/>
    <row r="3206" ht="30" customHeight="1"/>
    <row r="3207" ht="30" customHeight="1"/>
    <row r="3208" ht="30" customHeight="1"/>
    <row r="3209" ht="30" customHeight="1"/>
    <row r="3210" ht="30" customHeight="1"/>
    <row r="3211" ht="30" customHeight="1"/>
    <row r="3212" ht="30" customHeight="1"/>
    <row r="3213" ht="30" customHeight="1"/>
    <row r="3214" ht="30" customHeight="1"/>
    <row r="3215" ht="30" customHeight="1"/>
    <row r="3216" ht="30" customHeight="1"/>
    <row r="3217" ht="30" customHeight="1"/>
    <row r="3218" ht="30" customHeight="1"/>
    <row r="3219" ht="30" customHeight="1"/>
    <row r="3220" ht="30" customHeight="1"/>
    <row r="3221" ht="30" customHeight="1"/>
    <row r="3222" ht="30" customHeight="1"/>
    <row r="3223" ht="30" customHeight="1"/>
    <row r="3224" ht="30" customHeight="1"/>
    <row r="3225" ht="30" customHeight="1"/>
    <row r="3226" ht="30" customHeight="1"/>
    <row r="3227" ht="30" customHeight="1"/>
    <row r="3228" ht="30" customHeight="1"/>
    <row r="3229" ht="30" customHeight="1"/>
    <row r="3230" ht="30" customHeight="1"/>
    <row r="3231" ht="30" customHeight="1"/>
    <row r="3232" ht="30" customHeight="1"/>
    <row r="3233" ht="30" customHeight="1"/>
    <row r="3234" ht="30" customHeight="1"/>
    <row r="3235" ht="30" customHeight="1"/>
    <row r="3236" ht="30" customHeight="1"/>
    <row r="3237" ht="30" customHeight="1"/>
    <row r="3238" ht="30" customHeight="1"/>
    <row r="3239" ht="30" customHeight="1"/>
    <row r="3240" ht="30" customHeight="1"/>
    <row r="3241" ht="30" customHeight="1"/>
    <row r="3242" ht="30" customHeight="1"/>
    <row r="3243" ht="30" customHeight="1"/>
    <row r="3244" ht="30" customHeight="1"/>
    <row r="3245" ht="30" customHeight="1"/>
    <row r="3246" ht="30" customHeight="1"/>
    <row r="3247" ht="30" customHeight="1"/>
    <row r="3248" ht="30" customHeight="1"/>
    <row r="3249" ht="30" customHeight="1"/>
    <row r="3250" ht="30" customHeight="1"/>
    <row r="3251" ht="30" customHeight="1"/>
    <row r="3252" ht="30" customHeight="1"/>
    <row r="3253" ht="30" customHeight="1"/>
    <row r="3254" ht="30" customHeight="1"/>
    <row r="3255" ht="30" customHeight="1"/>
    <row r="3256" ht="30" customHeight="1"/>
    <row r="3257" ht="30" customHeight="1"/>
    <row r="3258" ht="30" customHeight="1"/>
    <row r="3259" ht="30" customHeight="1"/>
    <row r="3260" ht="30" customHeight="1"/>
    <row r="3261" ht="30" customHeight="1"/>
    <row r="3262" ht="30" customHeight="1"/>
    <row r="3263" ht="30" customHeight="1"/>
    <row r="3264" ht="30" customHeight="1"/>
    <row r="3265" ht="30" customHeight="1"/>
    <row r="3266" ht="30" customHeight="1"/>
    <row r="3267" ht="30" customHeight="1"/>
    <row r="3268" ht="30" customHeight="1"/>
    <row r="3269" ht="30" customHeight="1"/>
    <row r="3270" ht="30" customHeight="1"/>
    <row r="3271" ht="30" customHeight="1"/>
    <row r="3272" ht="30" customHeight="1"/>
    <row r="3273" ht="30" customHeight="1"/>
    <row r="3274" ht="30" customHeight="1"/>
    <row r="3275" ht="30" customHeight="1"/>
    <row r="3276" ht="30" customHeight="1"/>
    <row r="3277" ht="30" customHeight="1"/>
    <row r="3278" ht="30" customHeight="1"/>
    <row r="3279" ht="30" customHeight="1"/>
    <row r="3280" ht="30" customHeight="1"/>
    <row r="3281" ht="30" customHeight="1"/>
    <row r="3282" ht="30" customHeight="1"/>
    <row r="3283" ht="30" customHeight="1"/>
    <row r="3284" ht="30" customHeight="1"/>
    <row r="3285" ht="30" customHeight="1"/>
    <row r="3286" ht="30" customHeight="1"/>
    <row r="3287" ht="30" customHeight="1"/>
    <row r="3288" ht="30" customHeight="1"/>
    <row r="3289" ht="30" customHeight="1"/>
    <row r="3290" ht="30" customHeight="1"/>
    <row r="3291" ht="30" customHeight="1"/>
    <row r="3292" ht="30" customHeight="1"/>
    <row r="3293" ht="30" customHeight="1"/>
    <row r="3294" ht="30" customHeight="1"/>
    <row r="3295" ht="30" customHeight="1"/>
    <row r="3296" ht="30" customHeight="1"/>
    <row r="3297" ht="30" customHeight="1"/>
    <row r="3298" ht="30" customHeight="1"/>
    <row r="3299" ht="30" customHeight="1"/>
    <row r="3300" ht="30" customHeight="1"/>
    <row r="3301" ht="30" customHeight="1"/>
    <row r="3302" ht="30" customHeight="1"/>
    <row r="3303" ht="30" customHeight="1"/>
    <row r="3304" ht="30" customHeight="1"/>
    <row r="3305" ht="30" customHeight="1"/>
    <row r="3306" ht="30" customHeight="1"/>
    <row r="3307" ht="30" customHeight="1"/>
    <row r="3308" ht="30" customHeight="1"/>
    <row r="3309" ht="30" customHeight="1"/>
    <row r="3310" ht="30" customHeight="1"/>
    <row r="3311" ht="30" customHeight="1"/>
    <row r="3312" ht="30" customHeight="1"/>
    <row r="3313" ht="30" customHeight="1"/>
    <row r="3314" ht="30" customHeight="1"/>
    <row r="3315" ht="30" customHeight="1"/>
    <row r="3316" ht="30" customHeight="1"/>
    <row r="3317" ht="30" customHeight="1"/>
    <row r="3318" ht="30" customHeight="1"/>
    <row r="3319" ht="30" customHeight="1"/>
    <row r="3320" ht="30" customHeight="1"/>
    <row r="3321" ht="30" customHeight="1"/>
    <row r="3322" ht="30" customHeight="1"/>
    <row r="3323" ht="30" customHeight="1"/>
    <row r="3324" ht="30" customHeight="1"/>
    <row r="3325" ht="30" customHeight="1"/>
    <row r="3326" ht="30" customHeight="1"/>
    <row r="3327" ht="30" customHeight="1"/>
    <row r="3328" ht="30" customHeight="1"/>
    <row r="3329" ht="30" customHeight="1"/>
    <row r="3330" ht="30" customHeight="1"/>
    <row r="3331" ht="30" customHeight="1"/>
    <row r="3332" ht="30" customHeight="1"/>
    <row r="3333" ht="30" customHeight="1"/>
    <row r="3334" ht="30" customHeight="1"/>
    <row r="3335" ht="30" customHeight="1"/>
    <row r="3336" ht="30" customHeight="1"/>
    <row r="3337" ht="30" customHeight="1"/>
    <row r="3338" ht="30" customHeight="1"/>
    <row r="3339" ht="30" customHeight="1"/>
    <row r="3340" ht="30" customHeight="1"/>
    <row r="3341" ht="30" customHeight="1"/>
    <row r="3342" ht="30" customHeight="1"/>
    <row r="3343" ht="30" customHeight="1"/>
    <row r="3344" ht="30" customHeight="1"/>
    <row r="3345" ht="30" customHeight="1"/>
    <row r="3346" ht="30" customHeight="1"/>
    <row r="3347" ht="30" customHeight="1"/>
    <row r="3348" ht="30" customHeight="1"/>
    <row r="3349" ht="30" customHeight="1"/>
    <row r="3350" ht="30" customHeight="1"/>
    <row r="3351" ht="30" customHeight="1"/>
    <row r="3352" ht="30" customHeight="1"/>
    <row r="3353" ht="30" customHeight="1"/>
    <row r="3354" ht="30" customHeight="1"/>
    <row r="3355" ht="30" customHeight="1"/>
    <row r="3356" ht="30" customHeight="1"/>
    <row r="3357" ht="30" customHeight="1"/>
    <row r="3358" ht="30" customHeight="1"/>
    <row r="3359" ht="30" customHeight="1"/>
    <row r="3360" ht="30" customHeight="1"/>
    <row r="3361" ht="30" customHeight="1"/>
    <row r="3362" ht="30" customHeight="1"/>
    <row r="3363" ht="30" customHeight="1"/>
    <row r="3364" ht="30" customHeight="1"/>
    <row r="3365" ht="30" customHeight="1"/>
    <row r="3366" ht="30" customHeight="1"/>
    <row r="3367" ht="30" customHeight="1"/>
    <row r="3368" ht="30" customHeight="1"/>
    <row r="3369" ht="30" customHeight="1"/>
    <row r="3370" ht="30" customHeight="1"/>
    <row r="3371" ht="30" customHeight="1"/>
    <row r="3372" ht="30" customHeight="1"/>
    <row r="3373" ht="30" customHeight="1"/>
    <row r="3374" ht="30" customHeight="1"/>
    <row r="3375" ht="30" customHeight="1"/>
    <row r="3376" ht="30" customHeight="1"/>
    <row r="3377" ht="30" customHeight="1"/>
    <row r="3378" ht="30" customHeight="1"/>
    <row r="3379" ht="30" customHeight="1"/>
    <row r="3380" ht="30" customHeight="1"/>
    <row r="3381" ht="30" customHeight="1"/>
    <row r="3382" ht="30" customHeight="1"/>
    <row r="3383" ht="30" customHeight="1"/>
    <row r="3384" ht="30" customHeight="1"/>
    <row r="3385" ht="30" customHeight="1"/>
    <row r="3386" ht="30" customHeight="1"/>
    <row r="3387" ht="30" customHeight="1"/>
    <row r="3388" ht="30" customHeight="1"/>
    <row r="3389" ht="30" customHeight="1"/>
    <row r="3390" ht="30" customHeight="1"/>
    <row r="3391" ht="30" customHeight="1"/>
    <row r="3392" ht="30" customHeight="1"/>
    <row r="3393" ht="30" customHeight="1"/>
    <row r="3394" ht="30" customHeight="1"/>
    <row r="3395" ht="30" customHeight="1"/>
    <row r="3396" ht="30" customHeight="1"/>
    <row r="3397" ht="30" customHeight="1"/>
    <row r="3398" ht="30" customHeight="1"/>
    <row r="3399" ht="30" customHeight="1"/>
    <row r="3400" ht="30" customHeight="1"/>
    <row r="3401" ht="30" customHeight="1"/>
    <row r="3402" ht="30" customHeight="1"/>
    <row r="3403" ht="30" customHeight="1"/>
    <row r="3404" ht="30" customHeight="1"/>
    <row r="3405" ht="30" customHeight="1"/>
    <row r="3406" ht="30" customHeight="1"/>
    <row r="3407" ht="30" customHeight="1"/>
    <row r="3408" ht="30" customHeight="1"/>
    <row r="3409" ht="30" customHeight="1"/>
    <row r="3410" ht="30" customHeight="1"/>
    <row r="3411" ht="30" customHeight="1"/>
    <row r="3412" ht="30" customHeight="1"/>
    <row r="3413" ht="30" customHeight="1"/>
    <row r="3414" ht="30" customHeight="1"/>
    <row r="3415" ht="30" customHeight="1"/>
    <row r="3416" ht="30" customHeight="1"/>
    <row r="3417" ht="30" customHeight="1"/>
    <row r="3418" ht="30" customHeight="1"/>
    <row r="3419" ht="30" customHeight="1"/>
    <row r="3420" ht="30" customHeight="1"/>
    <row r="3421" ht="30" customHeight="1"/>
    <row r="3422" ht="30" customHeight="1"/>
    <row r="3423" ht="30" customHeight="1"/>
    <row r="3424" ht="30" customHeight="1"/>
    <row r="3425" ht="30" customHeight="1"/>
    <row r="3426" ht="30" customHeight="1"/>
    <row r="3427" ht="30" customHeight="1"/>
    <row r="3428" ht="30" customHeight="1"/>
    <row r="3429" ht="30" customHeight="1"/>
    <row r="3430" ht="30" customHeight="1"/>
    <row r="3431" ht="30" customHeight="1"/>
    <row r="3432" ht="30" customHeight="1"/>
    <row r="3433" ht="30" customHeight="1"/>
    <row r="3434" ht="30" customHeight="1"/>
    <row r="3435" ht="30" customHeight="1"/>
    <row r="3436" ht="30" customHeight="1"/>
    <row r="3437" ht="30" customHeight="1"/>
    <row r="3438" ht="30" customHeight="1"/>
    <row r="3439" ht="30" customHeight="1"/>
    <row r="3440" ht="30" customHeight="1"/>
    <row r="3441" ht="30" customHeight="1"/>
    <row r="3442" ht="30" customHeight="1"/>
    <row r="3443" ht="30" customHeight="1"/>
    <row r="3444" ht="30" customHeight="1"/>
    <row r="3445" ht="30" customHeight="1"/>
    <row r="3446" ht="30" customHeight="1"/>
    <row r="3447" ht="30" customHeight="1"/>
    <row r="3448" ht="30" customHeight="1"/>
    <row r="3449" ht="30" customHeight="1"/>
    <row r="3450" ht="30" customHeight="1"/>
    <row r="3451" ht="30" customHeight="1"/>
    <row r="3452" ht="30" customHeight="1"/>
    <row r="3453" ht="30" customHeight="1"/>
    <row r="3454" ht="30" customHeight="1"/>
    <row r="3455" ht="30" customHeight="1"/>
    <row r="3456" ht="30" customHeight="1"/>
    <row r="3457" ht="30" customHeight="1"/>
    <row r="3458" ht="30" customHeight="1"/>
    <row r="3459" ht="30" customHeight="1"/>
    <row r="3460" ht="30" customHeight="1"/>
    <row r="3461" ht="30" customHeight="1"/>
    <row r="3462" ht="30" customHeight="1"/>
    <row r="3463" ht="30" customHeight="1"/>
    <row r="3464" ht="30" customHeight="1"/>
    <row r="3465" ht="30" customHeight="1"/>
    <row r="3466" ht="30" customHeight="1"/>
    <row r="3467" ht="30" customHeight="1"/>
    <row r="3468" ht="30" customHeight="1"/>
    <row r="3469" ht="30" customHeight="1"/>
    <row r="3470" ht="30" customHeight="1"/>
    <row r="3471" ht="30" customHeight="1"/>
    <row r="3472" ht="30" customHeight="1"/>
    <row r="3473" ht="30" customHeight="1"/>
    <row r="3474" ht="30" customHeight="1"/>
    <row r="3475" ht="30" customHeight="1"/>
    <row r="3476" ht="30" customHeight="1"/>
    <row r="3477" ht="30" customHeight="1"/>
    <row r="3478" ht="30" customHeight="1"/>
    <row r="3479" ht="30" customHeight="1"/>
    <row r="3480" ht="30" customHeight="1"/>
    <row r="3481" ht="30" customHeight="1"/>
    <row r="3482" ht="30" customHeight="1"/>
    <row r="3483" ht="30" customHeight="1"/>
    <row r="3484" ht="30" customHeight="1"/>
    <row r="3485" ht="30" customHeight="1"/>
    <row r="3486" ht="30" customHeight="1"/>
    <row r="3487" ht="30" customHeight="1"/>
    <row r="3488" ht="30" customHeight="1"/>
    <row r="3489" ht="30" customHeight="1"/>
    <row r="3490" ht="30" customHeight="1"/>
    <row r="3491" ht="30" customHeight="1"/>
    <row r="3492" ht="30" customHeight="1"/>
    <row r="3493" ht="30" customHeight="1"/>
    <row r="3494" ht="30" customHeight="1"/>
    <row r="3495" ht="30" customHeight="1"/>
    <row r="3496" ht="30" customHeight="1"/>
    <row r="3497" ht="30" customHeight="1"/>
    <row r="3498" ht="30" customHeight="1"/>
    <row r="3499" ht="30" customHeight="1"/>
    <row r="3500" ht="30" customHeight="1"/>
    <row r="3501" ht="30" customHeight="1"/>
    <row r="3502" ht="30" customHeight="1"/>
    <row r="3503" ht="30" customHeight="1"/>
    <row r="3504" ht="30" customHeight="1"/>
    <row r="3505" ht="30" customHeight="1"/>
    <row r="3506" ht="30" customHeight="1"/>
    <row r="3507" ht="30" customHeight="1"/>
    <row r="3508" ht="30" customHeight="1"/>
    <row r="3509" ht="30" customHeight="1"/>
    <row r="3510" ht="30" customHeight="1"/>
    <row r="3511" ht="30" customHeight="1"/>
    <row r="3512" ht="30" customHeight="1"/>
    <row r="3513" ht="30" customHeight="1"/>
    <row r="3514" ht="30" customHeight="1"/>
    <row r="3515" ht="30" customHeight="1"/>
    <row r="3516" ht="30" customHeight="1"/>
    <row r="3517" ht="30" customHeight="1"/>
    <row r="3518" ht="30" customHeight="1"/>
    <row r="3519" ht="30" customHeight="1"/>
    <row r="3520" ht="30" customHeight="1"/>
    <row r="3521" ht="30" customHeight="1"/>
    <row r="3522" ht="30" customHeight="1"/>
    <row r="3523" ht="30" customHeight="1"/>
    <row r="3524" ht="30" customHeight="1"/>
    <row r="3525" ht="30" customHeight="1"/>
    <row r="3526" ht="30" customHeight="1"/>
    <row r="3527" ht="30" customHeight="1"/>
    <row r="3528" ht="30" customHeight="1"/>
    <row r="3529" ht="30" customHeight="1"/>
    <row r="3530" ht="30" customHeight="1"/>
    <row r="3531" ht="30" customHeight="1"/>
    <row r="3532" ht="30" customHeight="1"/>
    <row r="3533" ht="30" customHeight="1"/>
    <row r="3534" ht="30" customHeight="1"/>
    <row r="3535" ht="30" customHeight="1"/>
    <row r="3536" ht="30" customHeight="1"/>
    <row r="3537" ht="30" customHeight="1"/>
    <row r="3538" ht="30" customHeight="1"/>
    <row r="3539" ht="30" customHeight="1"/>
    <row r="3540" ht="30" customHeight="1"/>
    <row r="3541" ht="30" customHeight="1"/>
    <row r="3542" ht="30" customHeight="1"/>
    <row r="3543" ht="30" customHeight="1"/>
    <row r="3544" ht="30" customHeight="1"/>
    <row r="3545" ht="30" customHeight="1"/>
    <row r="3546" ht="30" customHeight="1"/>
    <row r="3547" ht="30" customHeight="1"/>
    <row r="3548" ht="30" customHeight="1"/>
    <row r="3549" ht="30" customHeight="1"/>
    <row r="3550" ht="30" customHeight="1"/>
    <row r="3551" ht="30" customHeight="1"/>
    <row r="3552" ht="30" customHeight="1"/>
    <row r="3553" ht="30" customHeight="1"/>
    <row r="3554" ht="30" customHeight="1"/>
    <row r="3555" ht="30" customHeight="1"/>
    <row r="3556" ht="30" customHeight="1"/>
    <row r="3557" ht="30" customHeight="1"/>
    <row r="3558" ht="30" customHeight="1"/>
    <row r="3559" ht="30" customHeight="1"/>
    <row r="3560" ht="30" customHeight="1"/>
    <row r="3561" ht="30" customHeight="1"/>
    <row r="3562" ht="30" customHeight="1"/>
    <row r="3563" ht="30" customHeight="1"/>
    <row r="3564" ht="30" customHeight="1"/>
    <row r="3565" ht="30" customHeight="1"/>
    <row r="3566" ht="30" customHeight="1"/>
    <row r="3567" ht="30" customHeight="1"/>
    <row r="3568" ht="30" customHeight="1"/>
    <row r="3569" ht="30" customHeight="1"/>
    <row r="3570" ht="30" customHeight="1"/>
    <row r="3571" ht="30" customHeight="1"/>
    <row r="3572" ht="30" customHeight="1"/>
    <row r="3573" ht="30" customHeight="1"/>
    <row r="3574" ht="30" customHeight="1"/>
    <row r="3575" ht="30" customHeight="1"/>
    <row r="3576" ht="30" customHeight="1"/>
    <row r="3577" ht="30" customHeight="1"/>
    <row r="3578" ht="30" customHeight="1"/>
    <row r="3579" ht="30" customHeight="1"/>
    <row r="3580" ht="30" customHeight="1"/>
    <row r="3581" ht="30" customHeight="1"/>
    <row r="3582" ht="30" customHeight="1"/>
    <row r="3583" ht="30" customHeight="1"/>
    <row r="3584" ht="30" customHeight="1"/>
    <row r="3585" ht="30" customHeight="1"/>
    <row r="3586" ht="30" customHeight="1"/>
    <row r="3587" ht="30" customHeight="1"/>
    <row r="3588" ht="30" customHeight="1"/>
    <row r="3589" ht="30" customHeight="1"/>
    <row r="3590" ht="30" customHeight="1"/>
    <row r="3591" ht="30" customHeight="1"/>
    <row r="3592" ht="30" customHeight="1"/>
    <row r="3593" ht="30" customHeight="1"/>
    <row r="3594" ht="30" customHeight="1"/>
    <row r="3595" ht="30" customHeight="1"/>
    <row r="3596" ht="30" customHeight="1"/>
    <row r="3597" ht="30" customHeight="1"/>
    <row r="3598" ht="30" customHeight="1"/>
    <row r="3599" ht="30" customHeight="1"/>
    <row r="3600" ht="30" customHeight="1"/>
    <row r="3601" ht="30" customHeight="1"/>
    <row r="3602" ht="30" customHeight="1"/>
    <row r="3603" ht="30" customHeight="1"/>
    <row r="3604" ht="30" customHeight="1"/>
    <row r="3605" ht="30" customHeight="1"/>
    <row r="3606" ht="30" customHeight="1"/>
    <row r="3607" ht="30" customHeight="1"/>
    <row r="3608" ht="30" customHeight="1"/>
    <row r="3609" ht="30" customHeight="1"/>
    <row r="3610" ht="30" customHeight="1"/>
    <row r="3611" ht="30" customHeight="1"/>
    <row r="3612" ht="30" customHeight="1"/>
    <row r="3613" ht="30" customHeight="1"/>
    <row r="3614" ht="30" customHeight="1"/>
    <row r="3615" ht="30" customHeight="1"/>
    <row r="3616" ht="30" customHeight="1"/>
    <row r="3617" ht="30" customHeight="1"/>
    <row r="3618" ht="30" customHeight="1"/>
    <row r="3619" ht="30" customHeight="1"/>
    <row r="3620" ht="30" customHeight="1"/>
    <row r="3621" ht="30" customHeight="1"/>
    <row r="3622" ht="30" customHeight="1"/>
    <row r="3623" ht="30" customHeight="1"/>
    <row r="3624" ht="30" customHeight="1"/>
    <row r="3625" ht="30" customHeight="1"/>
    <row r="3626" ht="30" customHeight="1"/>
    <row r="3627" ht="30" customHeight="1"/>
    <row r="3628" ht="30" customHeight="1"/>
    <row r="3629" ht="30" customHeight="1"/>
    <row r="3630" ht="30" customHeight="1"/>
    <row r="3631" ht="30" customHeight="1"/>
    <row r="3632" ht="30" customHeight="1"/>
    <row r="3633" ht="30" customHeight="1"/>
    <row r="3634" ht="30" customHeight="1"/>
    <row r="3635" ht="30" customHeight="1"/>
    <row r="3636" ht="30" customHeight="1"/>
    <row r="3637" ht="30" customHeight="1"/>
    <row r="3638" ht="30" customHeight="1"/>
    <row r="3639" ht="30" customHeight="1"/>
    <row r="3640" ht="30" customHeight="1"/>
    <row r="3641" ht="30" customHeight="1"/>
    <row r="3642" ht="30" customHeight="1"/>
    <row r="3643" ht="30" customHeight="1"/>
    <row r="3644" ht="30" customHeight="1"/>
    <row r="3645" ht="30" customHeight="1"/>
    <row r="3646" ht="30" customHeight="1"/>
    <row r="3647" ht="30" customHeight="1"/>
    <row r="3648" ht="30" customHeight="1"/>
    <row r="3649" ht="30" customHeight="1"/>
    <row r="3650" ht="30" customHeight="1"/>
    <row r="3651" ht="30" customHeight="1"/>
    <row r="3652" ht="30" customHeight="1"/>
    <row r="3653" ht="30" customHeight="1"/>
    <row r="3654" ht="30" customHeight="1"/>
    <row r="3655" ht="30" customHeight="1"/>
    <row r="3656" ht="30" customHeight="1"/>
    <row r="3657" ht="30" customHeight="1"/>
    <row r="3658" ht="30" customHeight="1"/>
    <row r="3659" ht="30" customHeight="1"/>
    <row r="3660" ht="30" customHeight="1"/>
    <row r="3661" ht="30" customHeight="1"/>
    <row r="3662" ht="30" customHeight="1"/>
    <row r="3663" ht="30" customHeight="1"/>
    <row r="3664" ht="30" customHeight="1"/>
    <row r="3665" ht="30" customHeight="1"/>
    <row r="3666" ht="30" customHeight="1"/>
    <row r="3667" ht="30" customHeight="1"/>
    <row r="3668" ht="30" customHeight="1"/>
    <row r="3669" ht="30" customHeight="1"/>
    <row r="3670" ht="30" customHeight="1"/>
    <row r="3671" ht="30" customHeight="1"/>
    <row r="3672" ht="30" customHeight="1"/>
    <row r="3673" ht="30" customHeight="1"/>
    <row r="3674" ht="30" customHeight="1"/>
    <row r="3675" ht="30" customHeight="1"/>
    <row r="3676" ht="30" customHeight="1"/>
    <row r="3677" ht="30" customHeight="1"/>
    <row r="3678" ht="30" customHeight="1"/>
    <row r="3679" ht="30" customHeight="1"/>
    <row r="3680" ht="30" customHeight="1"/>
    <row r="3681" ht="30" customHeight="1"/>
    <row r="3682" ht="30" customHeight="1"/>
    <row r="3683" ht="30" customHeight="1"/>
    <row r="3684" ht="30" customHeight="1"/>
    <row r="3685" ht="30" customHeight="1"/>
    <row r="3686" ht="30" customHeight="1"/>
    <row r="3687" ht="30" customHeight="1"/>
    <row r="3688" ht="30" customHeight="1"/>
    <row r="3689" ht="30" customHeight="1"/>
    <row r="3690" ht="30" customHeight="1"/>
    <row r="3691" ht="30" customHeight="1"/>
    <row r="3692" ht="30" customHeight="1"/>
    <row r="3693" ht="30" customHeight="1"/>
    <row r="3694" ht="30" customHeight="1"/>
    <row r="3695" ht="30" customHeight="1"/>
    <row r="3696" ht="30" customHeight="1"/>
    <row r="3697" ht="30" customHeight="1"/>
    <row r="3698" ht="30" customHeight="1"/>
    <row r="3699" ht="30" customHeight="1"/>
    <row r="3700" ht="30" customHeight="1"/>
    <row r="3701" ht="30" customHeight="1"/>
    <row r="3702" ht="30" customHeight="1"/>
    <row r="3703" ht="30" customHeight="1"/>
    <row r="3704" ht="30" customHeight="1"/>
    <row r="3705" ht="30" customHeight="1"/>
    <row r="3706" ht="30" customHeight="1"/>
    <row r="3707" ht="30" customHeight="1"/>
    <row r="3708" ht="30" customHeight="1"/>
    <row r="3709" ht="30" customHeight="1"/>
    <row r="3710" ht="30" customHeight="1"/>
    <row r="3711" ht="30" customHeight="1"/>
    <row r="3712" ht="30" customHeight="1"/>
    <row r="3713" ht="30" customHeight="1"/>
    <row r="3714" ht="30" customHeight="1"/>
    <row r="3715" ht="30" customHeight="1"/>
    <row r="3716" ht="30" customHeight="1"/>
    <row r="3717" ht="30" customHeight="1"/>
    <row r="3718" ht="30" customHeight="1"/>
    <row r="3719" ht="30" customHeight="1"/>
    <row r="3720" ht="30" customHeight="1"/>
    <row r="3721" ht="30" customHeight="1"/>
    <row r="3722" ht="30" customHeight="1"/>
    <row r="3723" ht="30" customHeight="1"/>
    <row r="3724" ht="30" customHeight="1"/>
    <row r="3725" ht="30" customHeight="1"/>
    <row r="3726" ht="30" customHeight="1"/>
    <row r="3727" ht="30" customHeight="1"/>
    <row r="3728" ht="30" customHeight="1"/>
    <row r="3729" ht="30" customHeight="1"/>
    <row r="3730" ht="30" customHeight="1"/>
    <row r="3731" ht="30" customHeight="1"/>
    <row r="3732" ht="30" customHeight="1"/>
    <row r="3733" ht="30" customHeight="1"/>
    <row r="3734" ht="30" customHeight="1"/>
    <row r="3735" ht="30" customHeight="1"/>
    <row r="3736" ht="30" customHeight="1"/>
    <row r="3737" ht="30" customHeight="1"/>
    <row r="3738" ht="30" customHeight="1"/>
    <row r="3739" ht="30" customHeight="1"/>
    <row r="3740" ht="30" customHeight="1"/>
    <row r="3741" ht="30" customHeight="1"/>
    <row r="3742" ht="30" customHeight="1"/>
    <row r="3743" ht="30" customHeight="1"/>
    <row r="3744" ht="30" customHeight="1"/>
    <row r="3745" ht="30" customHeight="1"/>
    <row r="3746" ht="30" customHeight="1"/>
    <row r="3747" ht="30" customHeight="1"/>
    <row r="3748" ht="30" customHeight="1"/>
    <row r="3749" ht="30" customHeight="1"/>
    <row r="3750" ht="30" customHeight="1"/>
    <row r="3751" ht="30" customHeight="1"/>
    <row r="3752" ht="30" customHeight="1"/>
    <row r="3753" ht="30" customHeight="1"/>
    <row r="3754" ht="30" customHeight="1"/>
    <row r="3755" ht="30" customHeight="1"/>
    <row r="3756" ht="30" customHeight="1"/>
    <row r="3757" ht="30" customHeight="1"/>
    <row r="3758" ht="30" customHeight="1"/>
    <row r="3759" ht="30" customHeight="1"/>
    <row r="3760" ht="30" customHeight="1"/>
    <row r="3761" ht="30" customHeight="1"/>
    <row r="3762" ht="30" customHeight="1"/>
    <row r="3763" ht="30" customHeight="1"/>
    <row r="3764" ht="30" customHeight="1"/>
    <row r="3765" ht="30" customHeight="1"/>
    <row r="3766" ht="30" customHeight="1"/>
    <row r="3767" ht="30" customHeight="1"/>
    <row r="3768" ht="30" customHeight="1"/>
    <row r="3769" ht="30" customHeight="1"/>
    <row r="3770" ht="30" customHeight="1"/>
    <row r="3771" ht="30" customHeight="1"/>
    <row r="3772" ht="30" customHeight="1"/>
    <row r="3773" ht="30" customHeight="1"/>
    <row r="3774" ht="30" customHeight="1"/>
    <row r="3775" ht="30" customHeight="1"/>
    <row r="3776" ht="30" customHeight="1"/>
    <row r="3777" ht="30" customHeight="1"/>
    <row r="3778" ht="30" customHeight="1"/>
    <row r="3779" ht="30" customHeight="1"/>
    <row r="3780" ht="30" customHeight="1"/>
    <row r="3781" ht="30" customHeight="1"/>
    <row r="3782" ht="30" customHeight="1"/>
    <row r="3783" ht="30" customHeight="1"/>
    <row r="3784" ht="30" customHeight="1"/>
    <row r="3785" ht="30" customHeight="1"/>
    <row r="3786" ht="30" customHeight="1"/>
    <row r="3787" ht="30" customHeight="1"/>
    <row r="3788" ht="30" customHeight="1"/>
    <row r="3789" ht="30" customHeight="1"/>
    <row r="3790" ht="30" customHeight="1"/>
    <row r="3791" ht="30" customHeight="1"/>
    <row r="3792" ht="30" customHeight="1"/>
    <row r="3793" ht="30" customHeight="1"/>
    <row r="3794" ht="30" customHeight="1"/>
    <row r="3795" ht="30" customHeight="1"/>
    <row r="3796" ht="30" customHeight="1"/>
    <row r="3797" ht="30" customHeight="1"/>
    <row r="3798" ht="30" customHeight="1"/>
    <row r="3799" ht="30" customHeight="1"/>
    <row r="3800" ht="30" customHeight="1"/>
    <row r="3801" ht="30" customHeight="1"/>
    <row r="3802" ht="30" customHeight="1"/>
    <row r="3803" ht="30" customHeight="1"/>
    <row r="3804" ht="30" customHeight="1"/>
    <row r="3805" ht="30" customHeight="1"/>
    <row r="3806" ht="30" customHeight="1"/>
    <row r="3807" ht="30" customHeight="1"/>
    <row r="3808" ht="30" customHeight="1"/>
    <row r="3809" ht="30" customHeight="1"/>
    <row r="3810" ht="30" customHeight="1"/>
    <row r="3811" ht="30" customHeight="1"/>
    <row r="3812" ht="30" customHeight="1"/>
    <row r="3813" ht="30" customHeight="1"/>
    <row r="3814" ht="30" customHeight="1"/>
    <row r="3815" ht="30" customHeight="1"/>
    <row r="3816" ht="30" customHeight="1"/>
    <row r="3817" ht="30" customHeight="1"/>
    <row r="3818" ht="30" customHeight="1"/>
    <row r="3819" ht="30" customHeight="1"/>
    <row r="3820" ht="30" customHeight="1"/>
    <row r="3821" ht="30" customHeight="1"/>
    <row r="3822" ht="30" customHeight="1"/>
    <row r="3823" ht="30" customHeight="1"/>
    <row r="3824" ht="30" customHeight="1"/>
    <row r="3825" ht="30" customHeight="1"/>
    <row r="3826" ht="30" customHeight="1"/>
    <row r="3827" ht="30" customHeight="1"/>
    <row r="3828" ht="30" customHeight="1"/>
    <row r="3829" ht="30" customHeight="1"/>
    <row r="3830" ht="30" customHeight="1"/>
    <row r="3831" ht="30" customHeight="1"/>
    <row r="3832" ht="30" customHeight="1"/>
    <row r="3833" ht="30" customHeight="1"/>
    <row r="3834" ht="30" customHeight="1"/>
    <row r="3835" ht="30" customHeight="1"/>
    <row r="3836" ht="30" customHeight="1"/>
    <row r="3837" ht="30" customHeight="1"/>
    <row r="3838" ht="30" customHeight="1"/>
    <row r="3839" ht="30" customHeight="1"/>
    <row r="3840" ht="30" customHeight="1"/>
    <row r="3841" ht="30" customHeight="1"/>
    <row r="3842" ht="30" customHeight="1"/>
    <row r="3843" ht="30" customHeight="1"/>
    <row r="3844" ht="30" customHeight="1"/>
    <row r="3845" ht="30" customHeight="1"/>
    <row r="3846" ht="30" customHeight="1"/>
    <row r="3847" ht="30" customHeight="1"/>
    <row r="3848" ht="30" customHeight="1"/>
    <row r="3849" ht="30" customHeight="1"/>
    <row r="3850" ht="30" customHeight="1"/>
    <row r="3851" ht="30" customHeight="1"/>
    <row r="3852" ht="30" customHeight="1"/>
    <row r="3853" ht="30" customHeight="1"/>
    <row r="3854" ht="30" customHeight="1"/>
    <row r="3855" ht="30" customHeight="1"/>
    <row r="3856" ht="30" customHeight="1"/>
    <row r="3857" ht="30" customHeight="1"/>
    <row r="3858" ht="30" customHeight="1"/>
    <row r="3859" ht="30" customHeight="1"/>
    <row r="3860" ht="30" customHeight="1"/>
    <row r="3861" ht="30" customHeight="1"/>
    <row r="3862" ht="30" customHeight="1"/>
    <row r="3863" ht="30" customHeight="1"/>
    <row r="3864" ht="30" customHeight="1"/>
    <row r="3865" ht="30" customHeight="1"/>
    <row r="3866" ht="30" customHeight="1"/>
    <row r="3867" ht="30" customHeight="1"/>
    <row r="3868" ht="30" customHeight="1"/>
    <row r="3869" ht="30" customHeight="1"/>
    <row r="3870" ht="30" customHeight="1"/>
    <row r="3871" ht="30" customHeight="1"/>
    <row r="3872" ht="30" customHeight="1"/>
    <row r="3873" ht="30" customHeight="1"/>
    <row r="3874" ht="30" customHeight="1"/>
    <row r="3875" ht="30" customHeight="1"/>
    <row r="3876" ht="30" customHeight="1"/>
    <row r="3877" ht="30" customHeight="1"/>
    <row r="3878" ht="30" customHeight="1"/>
    <row r="3879" ht="30" customHeight="1"/>
    <row r="3880" ht="30" customHeight="1"/>
    <row r="3881" ht="30" customHeight="1"/>
    <row r="3882" ht="30" customHeight="1"/>
    <row r="3883" ht="30" customHeight="1"/>
    <row r="3884" ht="30" customHeight="1"/>
    <row r="3885" ht="30" customHeight="1"/>
    <row r="3886" ht="30" customHeight="1"/>
    <row r="3887" ht="30" customHeight="1"/>
    <row r="3888" ht="30" customHeight="1"/>
    <row r="3889" ht="30" customHeight="1"/>
    <row r="3890" ht="30" customHeight="1"/>
    <row r="3891" ht="30" customHeight="1"/>
    <row r="3892" ht="30" customHeight="1"/>
    <row r="3893" ht="30" customHeight="1"/>
    <row r="3894" ht="30" customHeight="1"/>
    <row r="3895" ht="30" customHeight="1"/>
    <row r="3896" ht="30" customHeight="1"/>
    <row r="3897" ht="30" customHeight="1"/>
    <row r="3898" ht="30" customHeight="1"/>
    <row r="3899" ht="30" customHeight="1"/>
    <row r="3900" ht="30" customHeight="1"/>
    <row r="3901" ht="30" customHeight="1"/>
    <row r="3902" ht="30" customHeight="1"/>
    <row r="3903" ht="30" customHeight="1"/>
    <row r="3904" ht="30" customHeight="1"/>
    <row r="3905" ht="30" customHeight="1"/>
    <row r="3906" ht="30" customHeight="1"/>
    <row r="3907" ht="30" customHeight="1"/>
    <row r="3908" ht="30" customHeight="1"/>
    <row r="3909" ht="30" customHeight="1"/>
    <row r="3910" ht="30" customHeight="1"/>
    <row r="3911" ht="30" customHeight="1"/>
    <row r="3912" ht="30" customHeight="1"/>
    <row r="3913" ht="30" customHeight="1"/>
    <row r="3914" ht="30" customHeight="1"/>
    <row r="3915" ht="30" customHeight="1"/>
    <row r="3916" ht="30" customHeight="1"/>
    <row r="3917" ht="30" customHeight="1"/>
    <row r="3918" ht="30" customHeight="1"/>
    <row r="3919" ht="30" customHeight="1"/>
    <row r="3920" ht="30" customHeight="1"/>
    <row r="3921" ht="30" customHeight="1"/>
    <row r="3922" ht="30" customHeight="1"/>
    <row r="3923" ht="30" customHeight="1"/>
    <row r="3924" ht="30" customHeight="1"/>
    <row r="3925" ht="30" customHeight="1"/>
    <row r="3926" ht="30" customHeight="1"/>
    <row r="3927" ht="30" customHeight="1"/>
    <row r="3928" ht="30" customHeight="1"/>
    <row r="3929" ht="30" customHeight="1"/>
    <row r="3930" ht="30" customHeight="1"/>
    <row r="3931" ht="30" customHeight="1"/>
    <row r="3932" ht="30" customHeight="1"/>
    <row r="3933" ht="30" customHeight="1"/>
    <row r="3934" ht="30" customHeight="1"/>
    <row r="3935" ht="30" customHeight="1"/>
    <row r="3936" ht="30" customHeight="1"/>
    <row r="3937" ht="30" customHeight="1"/>
    <row r="3938" ht="30" customHeight="1"/>
    <row r="3939" ht="30" customHeight="1"/>
    <row r="3940" ht="30" customHeight="1"/>
    <row r="3941" ht="30" customHeight="1"/>
    <row r="3942" ht="30" customHeight="1"/>
    <row r="3943" ht="30" customHeight="1"/>
    <row r="3944" ht="30" customHeight="1"/>
    <row r="3945" ht="30" customHeight="1"/>
    <row r="3946" ht="30" customHeight="1"/>
    <row r="3947" ht="30" customHeight="1"/>
    <row r="3948" ht="30" customHeight="1"/>
    <row r="3949" ht="30" customHeight="1"/>
    <row r="3950" ht="30" customHeight="1"/>
    <row r="3951" ht="30" customHeight="1"/>
    <row r="3952" ht="30" customHeight="1"/>
    <row r="3953" ht="30" customHeight="1"/>
    <row r="3954" ht="30" customHeight="1"/>
    <row r="3955" ht="30" customHeight="1"/>
    <row r="3956" ht="30" customHeight="1"/>
    <row r="3957" ht="30" customHeight="1"/>
    <row r="3958" ht="30" customHeight="1"/>
    <row r="3959" ht="30" customHeight="1"/>
    <row r="3960" ht="30" customHeight="1"/>
    <row r="3961" ht="30" customHeight="1"/>
    <row r="3962" ht="30" customHeight="1"/>
    <row r="3963" ht="30" customHeight="1"/>
    <row r="3964" ht="30" customHeight="1"/>
    <row r="3965" ht="30" customHeight="1"/>
    <row r="3966" ht="30" customHeight="1"/>
    <row r="3967" ht="30" customHeight="1"/>
    <row r="3968" ht="30" customHeight="1"/>
    <row r="3969" ht="30" customHeight="1"/>
    <row r="3970" ht="30" customHeight="1"/>
    <row r="3971" ht="30" customHeight="1"/>
    <row r="3972" ht="30" customHeight="1"/>
    <row r="3973" ht="30" customHeight="1"/>
    <row r="3974" ht="30" customHeight="1"/>
    <row r="3975" ht="30" customHeight="1"/>
    <row r="3976" ht="30" customHeight="1"/>
    <row r="3977" ht="30" customHeight="1"/>
    <row r="3978" ht="30" customHeight="1"/>
    <row r="3979" ht="30" customHeight="1"/>
    <row r="3980" ht="30" customHeight="1"/>
    <row r="3981" ht="30" customHeight="1"/>
    <row r="3982" ht="30" customHeight="1"/>
    <row r="3983" ht="30" customHeight="1"/>
    <row r="3984" ht="30" customHeight="1"/>
    <row r="3985" ht="30" customHeight="1"/>
    <row r="3986" ht="30" customHeight="1"/>
    <row r="3987" ht="30" customHeight="1"/>
    <row r="3988" ht="30" customHeight="1"/>
    <row r="3989" ht="30" customHeight="1"/>
    <row r="3990" ht="30" customHeight="1"/>
    <row r="3991" ht="30" customHeight="1"/>
    <row r="3992" ht="30" customHeight="1"/>
    <row r="3993" ht="30" customHeight="1"/>
    <row r="3994" ht="30" customHeight="1"/>
    <row r="3995" ht="30" customHeight="1"/>
    <row r="3996" ht="30" customHeight="1"/>
    <row r="3997" ht="30" customHeight="1"/>
    <row r="3998" ht="30" customHeight="1"/>
    <row r="3999" ht="30" customHeight="1"/>
    <row r="4000" ht="30" customHeight="1"/>
    <row r="4001" ht="30" customHeight="1"/>
    <row r="4002" ht="30" customHeight="1"/>
    <row r="4003" ht="30" customHeight="1"/>
    <row r="4004" ht="30" customHeight="1"/>
    <row r="4005" ht="30" customHeight="1"/>
    <row r="4006" ht="30" customHeight="1"/>
    <row r="4007" ht="30" customHeight="1"/>
    <row r="4008" ht="30" customHeight="1"/>
    <row r="4009" ht="30" customHeight="1"/>
    <row r="4010" ht="30" customHeight="1"/>
    <row r="4011" ht="30" customHeight="1"/>
    <row r="4012" ht="30" customHeight="1"/>
    <row r="4013" ht="30" customHeight="1"/>
    <row r="4014" ht="30" customHeight="1"/>
    <row r="4015" ht="30" customHeight="1"/>
    <row r="4016" ht="30" customHeight="1"/>
    <row r="4017"/>
    <row r="4018"/>
    <row r="4019"/>
  </sheetData>
  <autoFilter ref="A1:S552" xr:uid="{00000000-0009-0000-0000-000002000000}">
    <sortState xmlns:xlrd2="http://schemas.microsoft.com/office/spreadsheetml/2017/richdata2" ref="A4:S461">
      <sortCondition ref="A1:A461"/>
    </sortState>
  </autoFilter>
  <mergeCells count="20">
    <mergeCell ref="T1:T2"/>
    <mergeCell ref="N1:N2"/>
    <mergeCell ref="P1:P2"/>
    <mergeCell ref="S1:S2"/>
    <mergeCell ref="R1:R2"/>
    <mergeCell ref="Q1:Q2"/>
    <mergeCell ref="O1:O2"/>
    <mergeCell ref="L1:L2"/>
    <mergeCell ref="M1:M2"/>
    <mergeCell ref="G1:G2"/>
    <mergeCell ref="H1:H2"/>
    <mergeCell ref="I1:I2"/>
    <mergeCell ref="J1:J2"/>
    <mergeCell ref="K1:K2"/>
    <mergeCell ref="F1:F2"/>
    <mergeCell ref="A1:A2"/>
    <mergeCell ref="B1:B2"/>
    <mergeCell ref="C1:C2"/>
    <mergeCell ref="D1:D2"/>
    <mergeCell ref="E1:E2"/>
  </mergeCells>
  <phoneticPr fontId="7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53D0-65A7-465C-9D11-C196961C21D3}">
  <sheetPr>
    <tabColor rgb="FFFF00FF"/>
  </sheetPr>
  <dimension ref="B1:AH18"/>
  <sheetViews>
    <sheetView workbookViewId="0">
      <selection activeCell="O7" sqref="O7"/>
    </sheetView>
  </sheetViews>
  <sheetFormatPr defaultColWidth="0" defaultRowHeight="12" zeroHeight="1"/>
  <cols>
    <col min="1" max="1" width="2.85546875" customWidth="1"/>
    <col min="2" max="2" width="9.140625" style="271" customWidth="1"/>
    <col min="3" max="3" width="18.7109375" style="271" customWidth="1"/>
    <col min="4" max="17" width="9.140625" style="271" customWidth="1"/>
    <col min="18" max="18" width="3.140625" customWidth="1"/>
    <col min="19" max="34" width="9.140625" hidden="1" customWidth="1"/>
    <col min="35" max="43" width="0" hidden="1" customWidth="1"/>
  </cols>
  <sheetData>
    <row r="1" spans="2:17"/>
    <row r="2" spans="2:17" ht="39.75" customHeight="1">
      <c r="B2" s="876" t="s">
        <v>6453</v>
      </c>
      <c r="C2" s="877"/>
      <c r="D2" s="877"/>
      <c r="E2" s="877"/>
      <c r="F2" s="877"/>
      <c r="G2" s="877"/>
      <c r="H2" s="877"/>
      <c r="I2" s="877"/>
      <c r="J2" s="877"/>
      <c r="K2" s="877"/>
      <c r="L2" s="877"/>
      <c r="M2" s="877"/>
      <c r="N2" s="877"/>
      <c r="O2" s="877"/>
      <c r="P2" s="877"/>
      <c r="Q2" s="878"/>
    </row>
    <row r="3" spans="2:17" ht="39.75" customHeight="1">
      <c r="B3" s="871" t="s">
        <v>6454</v>
      </c>
      <c r="C3" s="872"/>
      <c r="D3" s="272" t="s">
        <v>6455</v>
      </c>
      <c r="E3" s="272" t="s">
        <v>6456</v>
      </c>
      <c r="F3" s="272" t="s">
        <v>6457</v>
      </c>
      <c r="G3" s="272" t="s">
        <v>6458</v>
      </c>
      <c r="H3" s="272" t="s">
        <v>6459</v>
      </c>
      <c r="I3" s="272" t="s">
        <v>6460</v>
      </c>
      <c r="J3" s="272" t="s">
        <v>6461</v>
      </c>
      <c r="K3" s="272" t="s">
        <v>6462</v>
      </c>
      <c r="L3" s="272" t="s">
        <v>6463</v>
      </c>
      <c r="M3" s="272" t="s">
        <v>6464</v>
      </c>
      <c r="N3" s="272" t="s">
        <v>6465</v>
      </c>
      <c r="O3" s="284" t="s">
        <v>6466</v>
      </c>
      <c r="P3" s="273" t="s">
        <v>6467</v>
      </c>
      <c r="Q3" s="285" t="s">
        <v>6468</v>
      </c>
    </row>
    <row r="4" spans="2:17" ht="39.75" customHeight="1">
      <c r="B4" s="873" t="s">
        <v>0</v>
      </c>
      <c r="C4" s="276" t="s">
        <v>6469</v>
      </c>
      <c r="D4" s="279">
        <v>236</v>
      </c>
      <c r="E4" s="279">
        <v>285</v>
      </c>
      <c r="F4" s="279">
        <v>348</v>
      </c>
      <c r="G4" s="279">
        <v>377</v>
      </c>
      <c r="H4" s="279">
        <v>300</v>
      </c>
      <c r="I4" s="279">
        <v>310</v>
      </c>
      <c r="J4" s="279">
        <v>306</v>
      </c>
      <c r="K4" s="279">
        <v>341</v>
      </c>
      <c r="L4" s="279">
        <v>208</v>
      </c>
      <c r="M4" s="279">
        <v>213</v>
      </c>
      <c r="N4" s="279">
        <v>282</v>
      </c>
      <c r="O4" s="280">
        <v>212</v>
      </c>
      <c r="P4" s="441">
        <v>285</v>
      </c>
      <c r="Q4" s="286">
        <v>3418</v>
      </c>
    </row>
    <row r="5" spans="2:17" ht="39.75" customHeight="1">
      <c r="B5" s="874"/>
      <c r="C5" s="277" t="s">
        <v>2666</v>
      </c>
      <c r="D5" s="442">
        <v>70</v>
      </c>
      <c r="E5" s="442">
        <v>47</v>
      </c>
      <c r="F5" s="442">
        <v>40</v>
      </c>
      <c r="G5" s="442">
        <v>43</v>
      </c>
      <c r="H5" s="442">
        <v>74</v>
      </c>
      <c r="I5" s="442">
        <v>38</v>
      </c>
      <c r="J5" s="442">
        <v>40</v>
      </c>
      <c r="K5" s="442">
        <v>67</v>
      </c>
      <c r="L5" s="442">
        <v>36</v>
      </c>
      <c r="M5" s="442">
        <v>39</v>
      </c>
      <c r="N5" s="442">
        <v>72</v>
      </c>
      <c r="O5" s="443">
        <v>44</v>
      </c>
      <c r="P5" s="444">
        <v>51</v>
      </c>
      <c r="Q5" s="287">
        <v>610</v>
      </c>
    </row>
    <row r="6" spans="2:17" ht="39.75" customHeight="1">
      <c r="B6" s="874"/>
      <c r="C6" s="277" t="s">
        <v>2675</v>
      </c>
      <c r="D6" s="442">
        <v>83</v>
      </c>
      <c r="E6" s="442">
        <v>119</v>
      </c>
      <c r="F6" s="442">
        <v>154</v>
      </c>
      <c r="G6" s="442">
        <v>167</v>
      </c>
      <c r="H6" s="442">
        <v>113</v>
      </c>
      <c r="I6" s="442">
        <v>136</v>
      </c>
      <c r="J6" s="442">
        <v>133</v>
      </c>
      <c r="K6" s="442">
        <v>137</v>
      </c>
      <c r="L6" s="442">
        <v>86</v>
      </c>
      <c r="M6" s="442">
        <v>91</v>
      </c>
      <c r="N6" s="442">
        <v>105</v>
      </c>
      <c r="O6" s="443">
        <v>84</v>
      </c>
      <c r="P6" s="444">
        <v>117</v>
      </c>
      <c r="Q6" s="287">
        <v>1408</v>
      </c>
    </row>
    <row r="7" spans="2:17" ht="39.75" customHeight="1">
      <c r="B7" s="874"/>
      <c r="C7" s="277" t="s">
        <v>6470</v>
      </c>
      <c r="D7" s="274">
        <v>153</v>
      </c>
      <c r="E7" s="274">
        <v>166</v>
      </c>
      <c r="F7" s="274">
        <v>194</v>
      </c>
      <c r="G7" s="274">
        <v>210</v>
      </c>
      <c r="H7" s="274">
        <v>187</v>
      </c>
      <c r="I7" s="274">
        <v>174</v>
      </c>
      <c r="J7" s="274">
        <v>173</v>
      </c>
      <c r="K7" s="274">
        <v>204</v>
      </c>
      <c r="L7" s="274">
        <v>122</v>
      </c>
      <c r="M7" s="274">
        <v>130</v>
      </c>
      <c r="N7" s="274">
        <v>177</v>
      </c>
      <c r="O7" s="275">
        <v>128</v>
      </c>
      <c r="P7" s="445" t="s">
        <v>6471</v>
      </c>
      <c r="Q7" s="288" t="s">
        <v>6472</v>
      </c>
    </row>
    <row r="8" spans="2:17" ht="39.75" customHeight="1">
      <c r="B8" s="874"/>
      <c r="C8" s="277" t="s">
        <v>6473</v>
      </c>
      <c r="D8" s="446" t="s">
        <v>6474</v>
      </c>
      <c r="E8" s="446" t="s">
        <v>6475</v>
      </c>
      <c r="F8" s="446" t="s">
        <v>6476</v>
      </c>
      <c r="G8" s="446" t="s">
        <v>6477</v>
      </c>
      <c r="H8" s="447" t="s">
        <v>6478</v>
      </c>
      <c r="I8" s="447" t="s">
        <v>6478</v>
      </c>
      <c r="J8" s="447" t="s">
        <v>6474</v>
      </c>
      <c r="K8" s="447" t="s">
        <v>6479</v>
      </c>
      <c r="L8" s="447" t="s">
        <v>6480</v>
      </c>
      <c r="M8" s="447" t="s">
        <v>6481</v>
      </c>
      <c r="N8" s="447" t="s">
        <v>6482</v>
      </c>
      <c r="O8" s="448" t="s">
        <v>6483</v>
      </c>
      <c r="P8" s="449" t="s">
        <v>6484</v>
      </c>
      <c r="Q8" s="289">
        <v>375</v>
      </c>
    </row>
    <row r="9" spans="2:17" ht="39.75" customHeight="1">
      <c r="B9" s="874"/>
      <c r="C9" s="277" t="s">
        <v>6485</v>
      </c>
      <c r="D9" s="446" t="s">
        <v>6486</v>
      </c>
      <c r="E9" s="446" t="s">
        <v>6487</v>
      </c>
      <c r="F9" s="446" t="s">
        <v>6488</v>
      </c>
      <c r="G9" s="446" t="s">
        <v>6489</v>
      </c>
      <c r="H9" s="446" t="s">
        <v>6490</v>
      </c>
      <c r="I9" s="446" t="s">
        <v>6491</v>
      </c>
      <c r="J9" s="446" t="s">
        <v>6492</v>
      </c>
      <c r="K9" s="446" t="s">
        <v>6493</v>
      </c>
      <c r="L9" s="446" t="s">
        <v>6494</v>
      </c>
      <c r="M9" s="446" t="s">
        <v>6495</v>
      </c>
      <c r="N9" s="446" t="s">
        <v>6496</v>
      </c>
      <c r="O9" s="446" t="s">
        <v>6497</v>
      </c>
      <c r="P9" s="449" t="s">
        <v>6498</v>
      </c>
      <c r="Q9" s="289">
        <v>562</v>
      </c>
    </row>
    <row r="10" spans="2:17" ht="39.75" customHeight="1">
      <c r="B10" s="874"/>
      <c r="C10" s="277" t="s">
        <v>6499</v>
      </c>
      <c r="D10" s="281" t="s">
        <v>6500</v>
      </c>
      <c r="E10" s="281" t="s">
        <v>6501</v>
      </c>
      <c r="F10" s="281" t="s">
        <v>6502</v>
      </c>
      <c r="G10" s="281" t="s">
        <v>6503</v>
      </c>
      <c r="H10" s="282" t="s">
        <v>6504</v>
      </c>
      <c r="I10" s="282" t="s">
        <v>6505</v>
      </c>
      <c r="J10" s="282" t="s">
        <v>6506</v>
      </c>
      <c r="K10" s="282" t="s">
        <v>6486</v>
      </c>
      <c r="L10" s="282" t="s">
        <v>6507</v>
      </c>
      <c r="M10" s="282" t="s">
        <v>6508</v>
      </c>
      <c r="N10" s="282" t="s">
        <v>6509</v>
      </c>
      <c r="O10" s="283" t="s">
        <v>6497</v>
      </c>
      <c r="P10" s="450">
        <v>78</v>
      </c>
      <c r="Q10" s="289">
        <v>937</v>
      </c>
    </row>
    <row r="11" spans="2:17" ht="39.75" customHeight="1">
      <c r="B11" s="874"/>
      <c r="C11" s="278" t="s">
        <v>6510</v>
      </c>
      <c r="D11" s="451">
        <v>0.42</v>
      </c>
      <c r="E11" s="451">
        <v>0.4</v>
      </c>
      <c r="F11" s="451">
        <v>0.44</v>
      </c>
      <c r="G11" s="451">
        <v>0.32</v>
      </c>
      <c r="H11" s="451">
        <v>0.43</v>
      </c>
      <c r="I11" s="451">
        <v>0.26</v>
      </c>
      <c r="J11" s="451">
        <v>0.17</v>
      </c>
      <c r="K11" s="451">
        <v>0.21</v>
      </c>
      <c r="L11" s="451">
        <v>0.33</v>
      </c>
      <c r="M11" s="451">
        <v>0.1</v>
      </c>
      <c r="N11" s="451">
        <v>0.06</v>
      </c>
      <c r="O11" s="452">
        <v>0.06</v>
      </c>
      <c r="P11" s="879">
        <v>0.27</v>
      </c>
      <c r="Q11" s="880"/>
    </row>
    <row r="12" spans="2:17" ht="39.75" customHeight="1">
      <c r="B12" s="875"/>
      <c r="C12" s="290" t="s">
        <v>6511</v>
      </c>
      <c r="D12" s="453">
        <v>0.3</v>
      </c>
      <c r="E12" s="453">
        <v>0.26</v>
      </c>
      <c r="F12" s="453">
        <v>0.3</v>
      </c>
      <c r="G12" s="453">
        <v>0.15</v>
      </c>
      <c r="H12" s="453">
        <v>0.28000000000000003</v>
      </c>
      <c r="I12" s="453">
        <v>0.12</v>
      </c>
      <c r="J12" s="453">
        <v>0.08</v>
      </c>
      <c r="K12" s="453">
        <v>0.08</v>
      </c>
      <c r="L12" s="453">
        <v>0.18</v>
      </c>
      <c r="M12" s="453">
        <v>0.1</v>
      </c>
      <c r="N12" s="453">
        <v>0.05</v>
      </c>
      <c r="O12" s="454">
        <v>0.06</v>
      </c>
      <c r="P12" s="881">
        <v>0.16</v>
      </c>
      <c r="Q12" s="882"/>
    </row>
    <row r="13" spans="2:17"/>
    <row r="14" spans="2:17" ht="249.75" customHeight="1"/>
    <row r="15" spans="2:17" ht="22.5" customHeight="1"/>
    <row r="16" spans="2:17" ht="11.25" hidden="1" customHeight="1"/>
    <row r="17" ht="39.75" hidden="1" customHeight="1"/>
    <row r="18" ht="39.75" hidden="1" customHeight="1"/>
  </sheetData>
  <mergeCells count="5">
    <mergeCell ref="B3:C3"/>
    <mergeCell ref="B4:B12"/>
    <mergeCell ref="B2:Q2"/>
    <mergeCell ref="P11:Q11"/>
    <mergeCell ref="P12:Q12"/>
  </mergeCells>
  <phoneticPr fontId="7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9DD83-EFD8-4BB6-9996-AAF06FC6740E}">
  <sheetPr>
    <tabColor rgb="FF00B050"/>
  </sheetPr>
  <dimension ref="B2:P51"/>
  <sheetViews>
    <sheetView workbookViewId="0">
      <selection activeCell="H33" sqref="H33"/>
    </sheetView>
  </sheetViews>
  <sheetFormatPr defaultRowHeight="12"/>
  <cols>
    <col min="1" max="1" width="9.140625" style="308"/>
    <col min="2" max="2" width="22.5703125" style="308" bestFit="1" customWidth="1"/>
    <col min="3" max="14" width="9.140625" style="308"/>
    <col min="15" max="15" width="9.28515625" style="308" bestFit="1" customWidth="1"/>
    <col min="16" max="16384" width="9.140625" style="308"/>
  </cols>
  <sheetData>
    <row r="2" spans="2:16" ht="40.5" customHeight="1">
      <c r="B2" s="883" t="s">
        <v>6512</v>
      </c>
      <c r="C2" s="884"/>
      <c r="D2" s="884"/>
      <c r="E2" s="884"/>
      <c r="F2" s="884"/>
      <c r="G2" s="884"/>
      <c r="H2" s="884"/>
      <c r="I2" s="884"/>
      <c r="J2" s="884"/>
      <c r="K2" s="884"/>
      <c r="L2" s="884"/>
      <c r="M2" s="884"/>
      <c r="N2" s="884"/>
      <c r="O2" s="884"/>
      <c r="P2" s="885"/>
    </row>
    <row r="3" spans="2:16" ht="24" customHeight="1">
      <c r="B3" s="369" t="s">
        <v>1438</v>
      </c>
      <c r="C3" s="370" t="s">
        <v>1439</v>
      </c>
      <c r="D3" s="371" t="s">
        <v>1440</v>
      </c>
      <c r="E3" s="371" t="s">
        <v>1441</v>
      </c>
      <c r="F3" s="371" t="s">
        <v>1442</v>
      </c>
      <c r="G3" s="371" t="s">
        <v>1443</v>
      </c>
      <c r="H3" s="371" t="s">
        <v>1444</v>
      </c>
      <c r="I3" s="371" t="s">
        <v>1445</v>
      </c>
      <c r="J3" s="371" t="s">
        <v>1446</v>
      </c>
      <c r="K3" s="371" t="s">
        <v>1447</v>
      </c>
      <c r="L3" s="371" t="s">
        <v>1448</v>
      </c>
      <c r="M3" s="371" t="s">
        <v>1449</v>
      </c>
      <c r="N3" s="372" t="s">
        <v>1450</v>
      </c>
      <c r="O3" s="886" t="s">
        <v>1451</v>
      </c>
      <c r="P3" s="887"/>
    </row>
    <row r="4" spans="2:16" ht="24.75" customHeight="1">
      <c r="B4" s="337" t="s">
        <v>1452</v>
      </c>
      <c r="C4" s="338">
        <f>SUM(C5,(C6*2))</f>
        <v>151</v>
      </c>
      <c r="D4" s="339">
        <f t="shared" ref="D4:N4" si="0">SUM(D5,(D6*2))</f>
        <v>242</v>
      </c>
      <c r="E4" s="339">
        <f t="shared" si="0"/>
        <v>224</v>
      </c>
      <c r="F4" s="339">
        <f t="shared" si="0"/>
        <v>260</v>
      </c>
      <c r="G4" s="339">
        <f t="shared" si="0"/>
        <v>204</v>
      </c>
      <c r="H4" s="339">
        <f t="shared" si="0"/>
        <v>177</v>
      </c>
      <c r="I4" s="339">
        <f t="shared" si="0"/>
        <v>223</v>
      </c>
      <c r="J4" s="339">
        <f t="shared" si="0"/>
        <v>250</v>
      </c>
      <c r="K4" s="339">
        <f>SUM(K5,(K6*2))</f>
        <v>266</v>
      </c>
      <c r="L4" s="339">
        <f t="shared" si="0"/>
        <v>246</v>
      </c>
      <c r="M4" s="339">
        <f t="shared" si="0"/>
        <v>270</v>
      </c>
      <c r="N4" s="343">
        <f t="shared" si="0"/>
        <v>237</v>
      </c>
      <c r="O4" s="888">
        <f t="shared" ref="O4:O7" si="1">SUM(C4:N4)</f>
        <v>2750</v>
      </c>
      <c r="P4" s="889"/>
    </row>
    <row r="5" spans="2:16" ht="24.75" customHeight="1">
      <c r="B5" s="192" t="s">
        <v>1453</v>
      </c>
      <c r="C5" s="94">
        <f>'가압 불량분석'!D5</f>
        <v>39</v>
      </c>
      <c r="D5" s="94">
        <f>'가압 불량분석'!E5</f>
        <v>106</v>
      </c>
      <c r="E5" s="94">
        <f>'가압 불량분석'!F5</f>
        <v>70</v>
      </c>
      <c r="F5" s="94">
        <f>'가압 불량분석'!G5</f>
        <v>56</v>
      </c>
      <c r="G5" s="94">
        <f>'가압 불량분석'!H5</f>
        <v>28</v>
      </c>
      <c r="H5" s="94">
        <f>'가압 불량분석'!I5</f>
        <v>61</v>
      </c>
      <c r="I5" s="94">
        <f>'가압 불량분석'!J5</f>
        <v>91</v>
      </c>
      <c r="J5" s="94">
        <f>'가압 불량분석'!K5</f>
        <v>92</v>
      </c>
      <c r="K5" s="94">
        <f>'가압 불량분석'!L5</f>
        <v>144</v>
      </c>
      <c r="L5" s="94">
        <f>'가압 불량분석'!M5</f>
        <v>102</v>
      </c>
      <c r="M5" s="94">
        <f>'가압 불량분석'!N5</f>
        <v>88</v>
      </c>
      <c r="N5" s="344">
        <f>'가압 불량분석'!O5</f>
        <v>45</v>
      </c>
      <c r="O5" s="890">
        <f>'가압 불량분석'!P5</f>
        <v>922</v>
      </c>
      <c r="P5" s="891"/>
    </row>
    <row r="6" spans="2:16" ht="24.75" customHeight="1">
      <c r="B6" s="357" t="s">
        <v>1454</v>
      </c>
      <c r="C6" s="358">
        <f>'가압 불량분석'!D6</f>
        <v>56</v>
      </c>
      <c r="D6" s="358">
        <f>'가압 불량분석'!E6</f>
        <v>68</v>
      </c>
      <c r="E6" s="358">
        <f>'가압 불량분석'!F6</f>
        <v>77</v>
      </c>
      <c r="F6" s="358">
        <f>'가압 불량분석'!G6</f>
        <v>102</v>
      </c>
      <c r="G6" s="358">
        <f>'가압 불량분석'!H6</f>
        <v>88</v>
      </c>
      <c r="H6" s="358">
        <f>'가압 불량분석'!I6</f>
        <v>58</v>
      </c>
      <c r="I6" s="358">
        <f>'가압 불량분석'!J6</f>
        <v>66</v>
      </c>
      <c r="J6" s="358">
        <f>'가압 불량분석'!K6</f>
        <v>79</v>
      </c>
      <c r="K6" s="358">
        <f>'가압 불량분석'!L6</f>
        <v>61</v>
      </c>
      <c r="L6" s="358">
        <f>'가압 불량분석'!M6</f>
        <v>72</v>
      </c>
      <c r="M6" s="358">
        <f>'가압 불량분석'!N6</f>
        <v>91</v>
      </c>
      <c r="N6" s="359">
        <f>'가압 불량분석'!O6</f>
        <v>96</v>
      </c>
      <c r="O6" s="892">
        <f>'가압 불량분석'!P6</f>
        <v>914</v>
      </c>
      <c r="P6" s="893"/>
    </row>
    <row r="7" spans="2:16" ht="24.75" customHeight="1">
      <c r="B7" s="373" t="s">
        <v>1455</v>
      </c>
      <c r="C7" s="374">
        <f t="shared" ref="C7:N7" si="2">SUM(C5:C6)</f>
        <v>95</v>
      </c>
      <c r="D7" s="375">
        <f t="shared" si="2"/>
        <v>174</v>
      </c>
      <c r="E7" s="375">
        <f t="shared" si="2"/>
        <v>147</v>
      </c>
      <c r="F7" s="375">
        <f t="shared" si="2"/>
        <v>158</v>
      </c>
      <c r="G7" s="375">
        <f t="shared" si="2"/>
        <v>116</v>
      </c>
      <c r="H7" s="375">
        <f t="shared" si="2"/>
        <v>119</v>
      </c>
      <c r="I7" s="375">
        <f>SUM(I5:I6)</f>
        <v>157</v>
      </c>
      <c r="J7" s="375">
        <f t="shared" si="2"/>
        <v>171</v>
      </c>
      <c r="K7" s="375">
        <f t="shared" si="2"/>
        <v>205</v>
      </c>
      <c r="L7" s="375">
        <f t="shared" si="2"/>
        <v>174</v>
      </c>
      <c r="M7" s="375">
        <f t="shared" si="2"/>
        <v>179</v>
      </c>
      <c r="N7" s="376">
        <f t="shared" si="2"/>
        <v>141</v>
      </c>
      <c r="O7" s="894">
        <f t="shared" si="1"/>
        <v>1836</v>
      </c>
      <c r="P7" s="895"/>
    </row>
    <row r="8" spans="2:16" ht="24.75" customHeight="1">
      <c r="B8" s="904" t="s">
        <v>6513</v>
      </c>
      <c r="C8" s="905"/>
      <c r="D8" s="905"/>
      <c r="E8" s="905"/>
      <c r="F8" s="905"/>
      <c r="G8" s="905"/>
      <c r="H8" s="905"/>
      <c r="I8" s="905"/>
      <c r="J8" s="905"/>
      <c r="K8" s="905"/>
      <c r="L8" s="905"/>
      <c r="M8" s="905"/>
      <c r="N8" s="905"/>
      <c r="O8" s="906"/>
      <c r="P8" s="907"/>
    </row>
    <row r="9" spans="2:16" ht="24.75" customHeight="1">
      <c r="B9" s="377" t="s">
        <v>6514</v>
      </c>
      <c r="C9" s="383">
        <v>95</v>
      </c>
      <c r="D9" s="384">
        <v>92</v>
      </c>
      <c r="E9" s="385">
        <v>96</v>
      </c>
      <c r="F9" s="385">
        <v>88</v>
      </c>
      <c r="G9" s="385">
        <v>104</v>
      </c>
      <c r="H9" s="385">
        <v>106</v>
      </c>
      <c r="I9" s="385">
        <v>117</v>
      </c>
      <c r="J9" s="385">
        <v>109</v>
      </c>
      <c r="K9" s="385">
        <v>104</v>
      </c>
      <c r="L9" s="385"/>
      <c r="M9" s="385"/>
      <c r="N9" s="386"/>
      <c r="O9" s="902">
        <f>AVERAGE(C9:N9)</f>
        <v>101.22222222222223</v>
      </c>
      <c r="P9" s="903"/>
    </row>
    <row r="10" spans="2:16" ht="24.75" customHeight="1">
      <c r="B10" s="377" t="s">
        <v>6515</v>
      </c>
      <c r="C10" s="387">
        <v>133</v>
      </c>
      <c r="D10" s="388">
        <v>118</v>
      </c>
      <c r="E10" s="389">
        <v>120</v>
      </c>
      <c r="F10" s="389">
        <v>115</v>
      </c>
      <c r="G10" s="389">
        <v>130</v>
      </c>
      <c r="H10" s="389">
        <v>136</v>
      </c>
      <c r="I10" s="389">
        <v>146</v>
      </c>
      <c r="J10" s="389">
        <v>135</v>
      </c>
      <c r="K10" s="389">
        <v>140</v>
      </c>
      <c r="L10" s="389"/>
      <c r="M10" s="389"/>
      <c r="N10" s="390"/>
      <c r="O10" s="902">
        <f>AVERAGE(C10:N10)</f>
        <v>130.33333333333334</v>
      </c>
      <c r="P10" s="903"/>
    </row>
    <row r="11" spans="2:16" ht="24.75" customHeight="1">
      <c r="B11" s="377" t="s">
        <v>6516</v>
      </c>
      <c r="C11" s="391">
        <v>117</v>
      </c>
      <c r="D11" s="392">
        <v>99</v>
      </c>
      <c r="E11" s="393">
        <v>111</v>
      </c>
      <c r="F11" s="393">
        <v>107</v>
      </c>
      <c r="G11" s="393">
        <v>125</v>
      </c>
      <c r="H11" s="393">
        <v>120</v>
      </c>
      <c r="I11" s="393">
        <v>129</v>
      </c>
      <c r="J11" s="393">
        <v>121</v>
      </c>
      <c r="K11" s="393">
        <v>118</v>
      </c>
      <c r="L11" s="393"/>
      <c r="M11" s="393"/>
      <c r="N11" s="394"/>
      <c r="O11" s="902">
        <f>AVERAGE(C11:N11)</f>
        <v>116.33333333333333</v>
      </c>
      <c r="P11" s="903"/>
    </row>
    <row r="12" spans="2:16" ht="17.25">
      <c r="B12" s="353" t="s">
        <v>1381</v>
      </c>
      <c r="C12" s="896" t="s">
        <v>6517</v>
      </c>
      <c r="D12" s="897"/>
      <c r="E12" s="897"/>
      <c r="F12" s="897"/>
      <c r="G12" s="897"/>
      <c r="H12" s="897"/>
      <c r="I12" s="897"/>
      <c r="J12" s="897"/>
      <c r="K12" s="897"/>
      <c r="L12" s="897"/>
      <c r="M12" s="897"/>
      <c r="N12" s="897"/>
      <c r="O12" s="898"/>
      <c r="P12" s="378" t="s">
        <v>6518</v>
      </c>
    </row>
    <row r="13" spans="2:16" ht="16.5">
      <c r="B13" s="342" t="s">
        <v>6519</v>
      </c>
      <c r="C13" s="457">
        <f>SUM(C14:C17)</f>
        <v>33</v>
      </c>
      <c r="D13" s="457">
        <f t="shared" ref="D13:N13" si="3">SUM(D14:D17)</f>
        <v>56</v>
      </c>
      <c r="E13" s="457">
        <f t="shared" si="3"/>
        <v>38</v>
      </c>
      <c r="F13" s="457">
        <f t="shared" si="3"/>
        <v>32</v>
      </c>
      <c r="G13" s="457">
        <f t="shared" si="3"/>
        <v>28</v>
      </c>
      <c r="H13" s="457">
        <f t="shared" si="3"/>
        <v>35</v>
      </c>
      <c r="I13" s="457">
        <f t="shared" si="3"/>
        <v>64</v>
      </c>
      <c r="J13" s="457">
        <f t="shared" si="3"/>
        <v>53</v>
      </c>
      <c r="K13" s="457">
        <f t="shared" si="3"/>
        <v>47</v>
      </c>
      <c r="L13" s="457">
        <f t="shared" si="3"/>
        <v>62</v>
      </c>
      <c r="M13" s="457">
        <f t="shared" si="3"/>
        <v>79</v>
      </c>
      <c r="N13" s="457">
        <f t="shared" si="3"/>
        <v>37</v>
      </c>
      <c r="O13" s="458">
        <f>SUM(C13:N13)</f>
        <v>564</v>
      </c>
      <c r="P13" s="379">
        <f>O13/O7</f>
        <v>0.30718954248366015</v>
      </c>
    </row>
    <row r="14" spans="2:16" ht="19.5" customHeight="1">
      <c r="B14" s="355" t="s">
        <v>1429</v>
      </c>
      <c r="C14" s="459" cm="1">
        <f t="array" ref="C14">SUM(IF(FREQUENCY(
    IF(('가압 날짜별 실적'!$E$2:$E$10025="MICRON BOISE")*
       ('가압 날짜별 실적'!$I$2:$I$10025=1),
       MATCH('가압 날짜별 실적'!$D$2:$D$10025,'가압 날짜별 실적'!$D$2:$D$10025,0)),
    ROW('가압 날짜별 실적'!$D$2:$D$10025)-ROW('가압 날짜별 실적'!$D$2)+1),1))</f>
        <v>1</v>
      </c>
      <c r="D14" s="460" cm="1">
        <f t="array" ref="D14">SUM(IF(FREQUENCY(
    IF(('가압 날짜별 실적'!$E$2:$E$10025="MICRON BOISE")*
       ('가압 날짜별 실적'!$I$2:$I$10025=2),
       MATCH('가압 날짜별 실적'!$D$2:$D$10025,'가압 날짜별 실적'!$D$2:$D$10025,0)),
    ROW('가압 날짜별 실적'!$D$2:$D$10025)-ROW('가압 날짜별 실적'!$D$2)+1),1))</f>
        <v>3</v>
      </c>
      <c r="E14" s="460" cm="1">
        <f t="array" ref="E14">SUM(IF(FREQUENCY(
    IF(('가압 날짜별 실적'!$E$2:$E$10025="MICRON BOISE")*
       ('가압 날짜별 실적'!$I$2:$I$10025=3),
       MATCH('가압 날짜별 실적'!$D$2:$D$10025,'가압 날짜별 실적'!$D$2:$D$10025,0)),
    ROW('가압 날짜별 실적'!$D$2:$D$10025)-ROW('가압 날짜별 실적'!$D$2)+1),1))</f>
        <v>1</v>
      </c>
      <c r="F14" s="460" cm="1">
        <f t="array" ref="F14">SUM(IF(FREQUENCY(
    IF(('가압 날짜별 실적'!$E$2:$E$10025="MICRON BOISE")*
       ('가압 날짜별 실적'!$I$2:$I$10025=4),
       MATCH('가압 날짜별 실적'!$D$2:$D$10025,'가압 날짜별 실적'!$D$2:$D$10025,0)),
    ROW('가압 날짜별 실적'!$D$2:$D$10025)-ROW('가압 날짜별 실적'!$D$2)+1),1))</f>
        <v>2</v>
      </c>
      <c r="G14" s="460" cm="1">
        <f t="array" ref="G14">SUM(IF(FREQUENCY(
    IF(('가압 날짜별 실적'!$E$2:$E$10025="MICRON BOISE")*
       ('가압 날짜별 실적'!$I$2:$I$10025=5),
       MATCH('가압 날짜별 실적'!$D$2:$D$10025,'가압 날짜별 실적'!$D$2:$D$10025,0)),
    ROW('가압 날짜별 실적'!$D$2:$D$10025)-ROW('가압 날짜별 실적'!$D$2)+1),1))</f>
        <v>0</v>
      </c>
      <c r="H14" s="460" cm="1">
        <f t="array" ref="H14">SUM(IF(FREQUENCY(
    IF(('가압 날짜별 실적'!$E$2:$E$10025="MICRON BOISE")*
       ('가압 날짜별 실적'!$I$2:$I$10025=6),
       MATCH('가압 날짜별 실적'!$D$2:$D$10025,'가압 날짜별 실적'!$D$2:$D$10025,0)),
    ROW('가압 날짜별 실적'!$D$2:$D$10025)-ROW('가압 날짜별 실적'!$D$2)+1),1))</f>
        <v>1</v>
      </c>
      <c r="I14" s="460" cm="1">
        <f t="array" ref="I14">SUM(IF(FREQUENCY(
    IF(('가압 날짜별 실적'!$E$2:$E$10025="MICRON BOISE")*
       ('가압 날짜별 실적'!$I$2:$I$10025=7),
       MATCH('가압 날짜별 실적'!$D$2:$D$10025,'가압 날짜별 실적'!$D$2:$D$10025,0)),
    ROW('가압 날짜별 실적'!$D$2:$D$10025)-ROW('가압 날짜별 실적'!$D$2)+1),1))</f>
        <v>3</v>
      </c>
      <c r="J14" s="460" cm="1">
        <f t="array" ref="J14">SUM(IF(FREQUENCY(
    IF(('가압 날짜별 실적'!$E$2:$E$10025="MICRON BOISE")*
       ('가압 날짜별 실적'!$I$2:$I$10025=8),
       MATCH('가압 날짜별 실적'!$D$2:$D$10025,'가압 날짜별 실적'!$D$2:$D$10025,0)),
    ROW('가압 날짜별 실적'!$D$2:$D$10025)-ROW('가압 날짜별 실적'!$D$2)+1),1))</f>
        <v>2</v>
      </c>
      <c r="K14" s="460" cm="1">
        <f t="array" ref="K14">SUM(IF(FREQUENCY(
    IF(('가압 날짜별 실적'!$E$2:$E$10025="MICRON BOISE")*
       ('가압 날짜별 실적'!$I$2:$I$10025=9),
       MATCH('가압 날짜별 실적'!$D$2:$D$10025,'가압 날짜별 실적'!$D$2:$D$10025,0)),
    ROW('가압 날짜별 실적'!$D$2:$D$10025)-ROW('가압 날짜별 실적'!$D$2)+1),1))</f>
        <v>1</v>
      </c>
      <c r="L14" s="460" cm="1">
        <f t="array" ref="L14">SUM(IF(FREQUENCY(
    IF(('가압 날짜별 실적'!$E$2:$E$10025="MICRON BOISE")*
       ('가압 날짜별 실적'!$I$2:$I$10025=10),
       MATCH('가압 날짜별 실적'!$D$2:$D$10025,'가압 날짜별 실적'!$D$2:$D$10025,0)),
    ROW('가압 날짜별 실적'!$D$2:$D$10025)-ROW('가압 날짜별 실적'!$D$2)+1),1))</f>
        <v>1</v>
      </c>
      <c r="M14" s="460" cm="1">
        <f t="array" ref="M14">SUM(IF(FREQUENCY(
    IF(('가압 날짜별 실적'!$E$2:$E$10025="MICRON BOISE")*
       ('가압 날짜별 실적'!$I$2:$I$10025=11),
       MATCH('가압 날짜별 실적'!$D$2:$D$10025,'가압 날짜별 실적'!$D$2:$D$10025,0)),
    ROW('가압 날짜별 실적'!$D$2:$D$10025)-ROW('가압 날짜별 실적'!$D$2)+1),1))</f>
        <v>3</v>
      </c>
      <c r="N14" s="461" cm="1">
        <f t="array" ref="N14">SUM(IF(FREQUENCY(
    IF(('가압 날짜별 실적'!$E$2:$E$10025="MICRON BOISE")*
       ('가압 날짜별 실적'!$I$2:$I$10025=12),
       MATCH('가압 날짜별 실적'!$D$2:$D$10025,'가압 날짜별 실적'!$D$2:$D$10025,0)),
    ROW('가압 날짜별 실적'!$D$2:$D$10025)-ROW('가압 날짜별 실적'!$D$2)+1),1))</f>
        <v>3</v>
      </c>
      <c r="O14" s="462">
        <f>SUM(C14:N14)</f>
        <v>21</v>
      </c>
      <c r="P14" s="352">
        <f>O14/O7</f>
        <v>1.1437908496732025E-2</v>
      </c>
    </row>
    <row r="15" spans="2:16" ht="19.5" customHeight="1">
      <c r="B15" s="342" t="s">
        <v>1585</v>
      </c>
      <c r="C15" s="463" cm="1">
        <f t="array" ref="C15">SUM(IF(FREQUENCY(
    IF(('가압 날짜별 실적'!$E$2:$E$10025="MICRON TW")*
       ('가압 날짜별 실적'!$I$2:$I$10025=1),
       MATCH('가압 날짜별 실적'!$D$2:$D$10025,'가압 날짜별 실적'!$D$2:$D$10025,0)),
    ROW('가압 날짜별 실적'!$D$2:$D$10025)-ROW('가압 날짜별 실적'!$D$2)+1),1))</f>
        <v>31</v>
      </c>
      <c r="D15" s="464" cm="1">
        <f t="array" ref="D15">SUM(IF(FREQUENCY(
    IF(('가압 날짜별 실적'!$E$2:$E$10025="MICRON TW")*
       ('가압 날짜별 실적'!$I$2:$I$10025=2),
       MATCH('가압 날짜별 실적'!$D$2:$D$10025,'가압 날짜별 실적'!$D$2:$D$10025,0)),
    ROW('가압 날짜별 실적'!$D$2:$D$10025)-ROW('가압 날짜별 실적'!$D$2)+1),1))</f>
        <v>52</v>
      </c>
      <c r="E15" s="464" cm="1">
        <f t="array" ref="E15">SUM(IF(FREQUENCY(
    IF(('가압 날짜별 실적'!$E$2:$E$10025="MICRON TW")*
       ('가압 날짜별 실적'!$I$2:$I$10025=3),
       MATCH('가압 날짜별 실적'!$D$2:$D$10025,'가압 날짜별 실적'!$D$2:$D$10025,0)),
    ROW('가압 날짜별 실적'!$D$2:$D$10025)-ROW('가압 날짜별 실적'!$D$2)+1),1))</f>
        <v>36</v>
      </c>
      <c r="F15" s="464" cm="1">
        <f t="array" ref="F15">SUM(IF(FREQUENCY(
    IF(('가압 날짜별 실적'!$E$2:$E$10025="MICRON TW")*
       ('가압 날짜별 실적'!$I$2:$I$10025=4),
       MATCH('가압 날짜별 실적'!$D$2:$D$10025,'가압 날짜별 실적'!$D$2:$D$10025,0)),
    ROW('가압 날짜별 실적'!$D$2:$D$10025)-ROW('가압 날짜별 실적'!$D$2)+1),1))</f>
        <v>30</v>
      </c>
      <c r="G15" s="464" cm="1">
        <f t="array" ref="G15">SUM(IF(FREQUENCY(
    IF(('가압 날짜별 실적'!$E$2:$E$10025="MICRON TW")*
       ('가압 날짜별 실적'!$I$2:$I$10025=5),
       MATCH('가압 날짜별 실적'!$D$2:$D$10025,'가압 날짜별 실적'!$D$2:$D$10025,0)),
    ROW('가압 날짜별 실적'!$D$2:$D$10025)-ROW('가압 날짜별 실적'!$D$2)+1),1))</f>
        <v>21</v>
      </c>
      <c r="H15" s="464" cm="1">
        <f t="array" ref="H15">SUM(IF(FREQUENCY(
    IF(('가압 날짜별 실적'!$E$2:$E$10025="MICRON TW")*
       ('가압 날짜별 실적'!$I$2:$I$10025=6),
       MATCH('가압 날짜별 실적'!$D$2:$D$10025,'가압 날짜별 실적'!$D$2:$D$10025,0)),
    ROW('가압 날짜별 실적'!$D$2:$D$10025)-ROW('가압 날짜별 실적'!$D$2)+1),1))</f>
        <v>17</v>
      </c>
      <c r="I15" s="464" cm="1">
        <f t="array" ref="I15">SUM(IF(FREQUENCY(
    IF(('가압 날짜별 실적'!$E$2:$E$10025="MICRON TW")*
       ('가압 날짜별 실적'!$I$2:$I$10025=7),
       MATCH('가압 날짜별 실적'!$D$2:$D$10025,'가압 날짜별 실적'!$D$2:$D$10025,0)),
    ROW('가압 날짜별 실적'!$D$2:$D$10025)-ROW('가압 날짜별 실적'!$D$2)+1),1))</f>
        <v>48</v>
      </c>
      <c r="J15" s="464" cm="1">
        <f t="array" ref="J15">SUM(IF(FREQUENCY(
    IF(('가압 날짜별 실적'!$E$2:$E$10025="MICRON TW")*
       ('가압 날짜별 실적'!$I$2:$I$10025=8),
       MATCH('가압 날짜별 실적'!$D$2:$D$10025,'가압 날짜별 실적'!$D$2:$D$10025,0)),
    ROW('가압 날짜별 실적'!$D$2:$D$10025)-ROW('가압 날짜별 실적'!$D$2)+1),1))</f>
        <v>34</v>
      </c>
      <c r="K15" s="464" cm="1">
        <f t="array" ref="K15">SUM(IF(FREQUENCY(
    IF(('가압 날짜별 실적'!$E$2:$E$10025="MICRON TW")*
       ('가압 날짜별 실적'!$I$2:$I$10025=9),
       MATCH('가압 날짜별 실적'!$D$2:$D$10025,'가압 날짜별 실적'!$D$2:$D$10025,0)),
    ROW('가압 날짜별 실적'!$D$2:$D$10025)-ROW('가압 날짜별 실적'!$D$2)+1),1))</f>
        <v>19</v>
      </c>
      <c r="L15" s="464" cm="1">
        <f t="array" ref="L15">SUM(IF(FREQUENCY(
    IF(('가압 날짜별 실적'!$E$2:$E$10025="MICRON TW")*
       ('가압 날짜별 실적'!$I$2:$I$10025=10),
       MATCH('가압 날짜별 실적'!$D$2:$D$10025,'가압 날짜별 실적'!$D$2:$D$10025,0)),
    ROW('가압 날짜별 실적'!$D$2:$D$10025)-ROW('가압 날짜별 실적'!$D$2)+1),1))</f>
        <v>46</v>
      </c>
      <c r="M15" s="464" cm="1">
        <f t="array" ref="M15">SUM(IF(FREQUENCY(
    IF(('가압 날짜별 실적'!$E$2:$E$10025="MICRON TW")*
       ('가압 날짜별 실적'!$I$2:$I$10025=11),
       MATCH('가압 날짜별 실적'!$D$2:$D$10025,'가압 날짜별 실적'!$D$2:$D$10025,0)),
    ROW('가압 날짜별 실적'!$D$2:$D$10025)-ROW('가압 날짜별 실적'!$D$2)+1),1))</f>
        <v>52</v>
      </c>
      <c r="N15" s="465" cm="1">
        <f t="array" ref="N15">SUM(IF(FREQUENCY(
    IF(('가압 날짜별 실적'!$E$2:$E$10025="MICRON TW")*
       ('가압 날짜별 실적'!$I$2:$I$10025=12),
       MATCH('가압 날짜별 실적'!$D$2:$D$10025,'가압 날짜별 실적'!$D$2:$D$10025,0)),
    ROW('가압 날짜별 실적'!$D$2:$D$10025)-ROW('가압 날짜별 실적'!$D$2)+1),1))</f>
        <v>30</v>
      </c>
      <c r="O15" s="466">
        <f t="shared" ref="O15:O27" si="4">SUM(C15:N15)</f>
        <v>416</v>
      </c>
      <c r="P15" s="351">
        <f>O15/O7</f>
        <v>0.22657952069716775</v>
      </c>
    </row>
    <row r="16" spans="2:16" ht="19.5" customHeight="1">
      <c r="B16" s="349" t="s">
        <v>1431</v>
      </c>
      <c r="C16" s="467" cm="1">
        <f t="array" ref="C16">SUM(IF(FREQUENCY(
    IF(('가압 날짜별 실적'!$E$2:$E$10025="MICRON VA")*
       ('가압 날짜별 실적'!$I$2:$I$10025=1),
       MATCH('가압 날짜별 실적'!$D$2:$D$10025,'가압 날짜별 실적'!$D$2:$D$10025,0)),
    ROW('가압 날짜별 실적'!$D$2:$D$10025)-ROW('가압 날짜별 실적'!$D$2)+1),1))</f>
        <v>0</v>
      </c>
      <c r="D16" s="468" cm="1">
        <f t="array" ref="D16">SUM(IF(FREQUENCY(
    IF(('가압 날짜별 실적'!$E$2:$E$10025="MICRON VA")*
       ('가압 날짜별 실적'!$I$2:$I$10025=2),
       MATCH('가압 날짜별 실적'!$D$2:$D$10025,'가압 날짜별 실적'!$D$2:$D$10025,0)),
    ROW('가압 날짜별 실적'!$D$2:$D$10025)-ROW('가압 날짜별 실적'!$D$2)+1),1))</f>
        <v>0</v>
      </c>
      <c r="E16" s="468" cm="1">
        <f t="array" ref="E16">SUM(IF(FREQUENCY(
    IF(('가압 날짜별 실적'!$E$2:$E$10025="MICRON VA")*
       ('가압 날짜별 실적'!$I$2:$I$10025=3),
       MATCH('가압 날짜별 실적'!$D$2:$D$10025,'가압 날짜별 실적'!$D$2:$D$10025,0)),
    ROW('가압 날짜별 실적'!$D$2:$D$10025)-ROW('가압 날짜별 실적'!$D$2)+1),1))</f>
        <v>0</v>
      </c>
      <c r="F16" s="468" cm="1">
        <f t="array" ref="F16">SUM(IF(FREQUENCY(
    IF(('가압 날짜별 실적'!$E$2:$E$10025="MICRON VA")*
       ('가압 날짜별 실적'!$I$2:$I$10025=4),
       MATCH('가압 날짜별 실적'!$D$2:$D$10025,'가압 날짜별 실적'!$D$2:$D$10025,0)),
    ROW('가압 날짜별 실적'!$D$2:$D$10025)-ROW('가압 날짜별 실적'!$D$2)+1),1))</f>
        <v>0</v>
      </c>
      <c r="G16" s="468" cm="1">
        <f t="array" ref="G16">SUM(IF(FREQUENCY(
    IF(('가압 날짜별 실적'!$E$2:$E$10025="MICRON VA")*
       ('가압 날짜별 실적'!$I$2:$I$10025=5),
       MATCH('가압 날짜별 실적'!$D$2:$D$10025,'가압 날짜별 실적'!$D$2:$D$10025,0)),
    ROW('가압 날짜별 실적'!$D$2:$D$10025)-ROW('가압 날짜별 실적'!$D$2)+1),1))</f>
        <v>6</v>
      </c>
      <c r="H16" s="468" cm="1">
        <f t="array" ref="H16">SUM(IF(FREQUENCY(
    IF(('가압 날짜별 실적'!$E$2:$E$10025="MICRON VA")*
       ('가압 날짜별 실적'!$I$2:$I$10025=6),
       MATCH('가압 날짜별 실적'!$D$2:$D$10025,'가압 날짜별 실적'!$D$2:$D$10025,0)),
    ROW('가압 날짜별 실적'!$D$2:$D$10025)-ROW('가압 날짜별 실적'!$D$2)+1),1))</f>
        <v>16</v>
      </c>
      <c r="I16" s="468" cm="1">
        <f t="array" ref="I16">SUM(IF(FREQUENCY(
    IF(('가압 날짜별 실적'!$E$2:$E$10025="MICRON VA")*
       ('가압 날짜별 실적'!$I$2:$I$10025=7),
       MATCH('가압 날짜별 실적'!$D$2:$D$10025,'가압 날짜별 실적'!$D$2:$D$10025,0)),
    ROW('가압 날짜별 실적'!$D$2:$D$10025)-ROW('가압 날짜별 실적'!$D$2)+1),1))</f>
        <v>10</v>
      </c>
      <c r="J16" s="468" cm="1">
        <f t="array" ref="J16">SUM(IF(FREQUENCY(
    IF(('가압 날짜별 실적'!$E$2:$E$10025="MICRON VA")*
       ('가압 날짜별 실적'!$I$2:$I$10025=8),
       MATCH('가압 날짜별 실적'!$D$2:$D$10025,'가압 날짜별 실적'!$D$2:$D$10025,0)),
    ROW('가압 날짜별 실적'!$D$2:$D$10025)-ROW('가압 날짜별 실적'!$D$2)+1),1))</f>
        <v>14</v>
      </c>
      <c r="K16" s="468" cm="1">
        <f t="array" ref="K16">SUM(IF(FREQUENCY(
    IF(('가압 날짜별 실적'!$E$2:$E$10025="MICRON VA")*
       ('가압 날짜별 실적'!$I$2:$I$10025=9),
       MATCH('가압 날짜별 실적'!$D$2:$D$10025,'가압 날짜별 실적'!$D$2:$D$10025,0)),
    ROW('가압 날짜별 실적'!$D$2:$D$10025)-ROW('가압 날짜별 실적'!$D$2)+1),1))</f>
        <v>23</v>
      </c>
      <c r="L16" s="468" cm="1">
        <f t="array" ref="L16">SUM(IF(FREQUENCY(
    IF(('가압 날짜별 실적'!$E$2:$E$10025="MICRON VA")*
       ('가압 날짜별 실적'!$I$2:$I$10025=10),
       MATCH('가압 날짜별 실적'!$D$2:$D$10025,'가압 날짜별 실적'!$D$2:$D$10025,0)),
    ROW('가압 날짜별 실적'!$D$2:$D$10025)-ROW('가압 날짜별 실적'!$D$2)+1),1))</f>
        <v>8</v>
      </c>
      <c r="M16" s="468" cm="1">
        <f t="array" ref="M16">SUM(IF(FREQUENCY(
    IF(('가압 날짜별 실적'!$E$2:$E$10025="MICRON VA")*
       ('가압 날짜별 실적'!$I$2:$I$10025=11),
       MATCH('가압 날짜별 실적'!$D$2:$D$10025,'가압 날짜별 실적'!$D$2:$D$10025,0)),
    ROW('가압 날짜별 실적'!$D$2:$D$10025)-ROW('가압 날짜별 실적'!$D$2)+1),1))</f>
        <v>8</v>
      </c>
      <c r="N16" s="469" cm="1">
        <f t="array" ref="N16">SUM(IF(FREQUENCY(
    IF(('가압 날짜별 실적'!$E$2:$E$10025="MICRON VA")*
       ('가압 날짜별 실적'!$I$2:$I$10025=12),
       MATCH('가압 날짜별 실적'!$D$2:$D$10025,'가압 날짜별 실적'!$D$2:$D$10025,0)),
    ROW('가압 날짜별 실적'!$D$2:$D$10025)-ROW('가압 날짜별 실적'!$D$2)+1),1))</f>
        <v>2</v>
      </c>
      <c r="O16" s="470">
        <f t="shared" si="4"/>
        <v>87</v>
      </c>
      <c r="P16" s="350">
        <f>O16/O7</f>
        <v>4.7385620915032678E-2</v>
      </c>
    </row>
    <row r="17" spans="2:16" ht="19.5" customHeight="1">
      <c r="B17" s="340" t="s">
        <v>1422</v>
      </c>
      <c r="C17" s="471" cm="1">
        <f t="array" ref="C17">SUM(IF(FREQUENCY(
    IF(('가압 날짜별 실적'!$E$2:$E$10025="MICRON SG")*
       ('가압 날짜별 실적'!$I$2:$I$10025=1),
       MATCH('가압 날짜별 실적'!$D$2:$D$10025,'가압 날짜별 실적'!$D$2:$D$10025,0)),
    ROW('가압 날짜별 실적'!$D$2:$D$10025)-ROW('가압 날짜별 실적'!$D$2)+1),1))</f>
        <v>1</v>
      </c>
      <c r="D17" s="472" cm="1">
        <f t="array" ref="D17">SUM(IF(FREQUENCY(
    IF(('가압 날짜별 실적'!$E$2:$E$10025="MICRON SG")*
       ('가압 날짜별 실적'!$I$2:$I$10025=2),
       MATCH('가압 날짜별 실적'!$D$2:$D$10025,'가압 날짜별 실적'!$D$2:$D$10025,0)),
    ROW('가압 날짜별 실적'!$D$2:$D$10025)-ROW('가압 날짜별 실적'!$D$2)+1),1))</f>
        <v>1</v>
      </c>
      <c r="E17" s="472" cm="1">
        <f t="array" ref="E17">SUM(IF(FREQUENCY(
    IF(('가압 날짜별 실적'!$E$2:$E$10025="MICRON SG")*
       ('가압 날짜별 실적'!$I$2:$I$10025=3),
       MATCH('가압 날짜별 실적'!$D$2:$D$10025,'가압 날짜별 실적'!$D$2:$D$10025,0)),
    ROW('가압 날짜별 실적'!$D$2:$D$10025)-ROW('가압 날짜별 실적'!$D$2)+1),1))</f>
        <v>1</v>
      </c>
      <c r="F17" s="472" cm="1">
        <f t="array" ref="F17">SUM(IF(FREQUENCY(
    IF(('가압 날짜별 실적'!$E$2:$E$10025="MICRON SG")*
       ('가압 날짜별 실적'!$I$2:$I$10025=4),
       MATCH('가압 날짜별 실적'!$D$2:$D$10025,'가압 날짜별 실적'!$D$2:$D$10025,0)),
    ROW('가압 날짜별 실적'!$D$2:$D$10025)-ROW('가압 날짜별 실적'!$D$2)+1),1))</f>
        <v>0</v>
      </c>
      <c r="G17" s="472" cm="1">
        <f t="array" ref="G17">SUM(IF(FREQUENCY(
    IF(('가압 날짜별 실적'!$E$2:$E$10025="MICRON SG")*
       ('가압 날짜별 실적'!$I$2:$I$10025=5),
       MATCH('가압 날짜별 실적'!$D$2:$D$10025,'가압 날짜별 실적'!$D$2:$D$10025,0)),
    ROW('가압 날짜별 실적'!$D$2:$D$10025)-ROW('가압 날짜별 실적'!$D$2)+1),1))</f>
        <v>1</v>
      </c>
      <c r="H17" s="472" cm="1">
        <f t="array" ref="H17">SUM(IF(FREQUENCY(
    IF(('가압 날짜별 실적'!$E$2:$E$10025="MICRON SG")*
       ('가압 날짜별 실적'!$I$2:$I$10025=6),
       MATCH('가압 날짜별 실적'!$D$2:$D$10025,'가압 날짜별 실적'!$D$2:$D$10025,0)),
    ROW('가압 날짜별 실적'!$D$2:$D$10025)-ROW('가압 날짜별 실적'!$D$2)+1),1))</f>
        <v>1</v>
      </c>
      <c r="I17" s="472" cm="1">
        <f t="array" ref="I17">SUM(IF(FREQUENCY(
    IF(('가압 날짜별 실적'!$E$2:$E$10025="MICRON SG")*
       ('가압 날짜별 실적'!$I$2:$I$10025=7),
       MATCH('가압 날짜별 실적'!$D$2:$D$10025,'가압 날짜별 실적'!$D$2:$D$10025,0)),
    ROW('가압 날짜별 실적'!$D$2:$D$10025)-ROW('가압 날짜별 실적'!$D$2)+1),1))</f>
        <v>3</v>
      </c>
      <c r="J17" s="472" cm="1">
        <f t="array" ref="J17">SUM(IF(FREQUENCY(
    IF(('가압 날짜별 실적'!$E$2:$E$10025="MICRON SG")*
       ('가압 날짜별 실적'!$I$2:$I$10025=8),
       MATCH('가압 날짜별 실적'!$D$2:$D$10025,'가압 날짜별 실적'!$D$2:$D$10025,0)),
    ROW('가압 날짜별 실적'!$D$2:$D$10025)-ROW('가압 날짜별 실적'!$D$2)+1),1))</f>
        <v>3</v>
      </c>
      <c r="K17" s="472" cm="1">
        <f t="array" ref="K17">SUM(IF(FREQUENCY(
    IF(('가압 날짜별 실적'!$E$2:$E$10025="MICRON SG")*
       ('가압 날짜별 실적'!$I$2:$I$10025=9),
       MATCH('가압 날짜별 실적'!$D$2:$D$10025,'가압 날짜별 실적'!$D$2:$D$10025,0)),
    ROW('가압 날짜별 실적'!$D$2:$D$10025)-ROW('가압 날짜별 실적'!$D$2)+1),1))</f>
        <v>4</v>
      </c>
      <c r="L17" s="473" cm="1">
        <f t="array" ref="L17">SUM(IF(FREQUENCY(
    IF(('가압 날짜별 실적'!$E$2:$E$10025="MICRON SG")*
       ('가압 날짜별 실적'!$I$2:$I$10025=10),
       MATCH('가압 날짜별 실적'!$D$2:$D$10025,'가압 날짜별 실적'!$D$2:$D$10025,0)),
    ROW('가압 날짜별 실적'!$D$2:$D$10025)-ROW('가압 날짜별 실적'!$D$2)+1),1))</f>
        <v>7</v>
      </c>
      <c r="M17" s="472" cm="1">
        <f t="array" ref="M17">SUM(IF(FREQUENCY(
    IF(('가압 날짜별 실적'!$E$2:$E$10025="MICRON SG")*
       ('가압 날짜별 실적'!$I$2:$I$10025=11),
       MATCH('가압 날짜별 실적'!$D$2:$D$10025,'가압 날짜별 실적'!$D$2:$D$10025,0)),
    ROW('가압 날짜별 실적'!$D$2:$D$10025)-ROW('가압 날짜별 실적'!$D$2)+1),1))</f>
        <v>16</v>
      </c>
      <c r="N17" s="474" cm="1">
        <f t="array" ref="N17">SUM(IF(FREQUENCY(
    IF(('가압 날짜별 실적'!$E$2:$E$10025="MICRON SG")*
       ('가압 날짜별 실적'!$I$2:$I$10025=12),
       MATCH('가압 날짜별 실적'!$D$2:$D$10025,'가압 날짜별 실적'!$D$2:$D$10025,0)),
    ROW('가압 날짜별 실적'!$D$2:$D$10025)-ROW('가압 날짜별 실적'!$D$2)+1),1))</f>
        <v>2</v>
      </c>
      <c r="O17" s="475">
        <f t="shared" si="4"/>
        <v>40</v>
      </c>
      <c r="P17" s="345">
        <f>O17/O7</f>
        <v>2.178649237472767E-2</v>
      </c>
    </row>
    <row r="18" spans="2:16" ht="19.5" customHeight="1">
      <c r="B18" s="341" t="s">
        <v>1424</v>
      </c>
      <c r="C18" s="476" cm="1">
        <f t="array" ref="C18">SUM(IF(FREQUENCY(
    IF(('가압 날짜별 실적'!$E$2:$E$10025="MICRON JP")*
       ('가압 날짜별 실적'!$I$2:$I$10025=1),
       MATCH('가압 날짜별 실적'!$D$2:$D$10025,'가압 날짜별 실적'!$D$2:$D$10025,0)),
    ROW('가압 날짜별 실적'!$D$2:$D$10025)-ROW('가압 날짜별 실적'!$D$2)+1),1))</f>
        <v>3</v>
      </c>
      <c r="D18" s="477" cm="1">
        <f t="array" ref="D18">SUM(IF(FREQUENCY(
    IF(('가압 날짜별 실적'!$E$2:$E$10025="MICRON JP")*
       ('가압 날짜별 실적'!$I$2:$I$10025=2),
       MATCH('가압 날짜별 실적'!$D$2:$D$10025,'가압 날짜별 실적'!$D$2:$D$10025,0)),
    ROW('가압 날짜별 실적'!$D$2:$D$10025)-ROW('가압 날짜별 실적'!$D$2)+1),1))</f>
        <v>1</v>
      </c>
      <c r="E18" s="477" cm="1">
        <f t="array" ref="E18">SUM(IF(FREQUENCY(
    IF(('가압 날짜별 실적'!$E$2:$E$10025="MICRON JP")*
       ('가압 날짜별 실적'!$I$2:$I$10025=3),
       MATCH('가압 날짜별 실적'!$D$2:$D$10025,'가압 날짜별 실적'!$D$2:$D$10025,0)),
    ROW('가압 날짜별 실적'!$D$2:$D$10025)-ROW('가압 날짜별 실적'!$D$2)+1),1))</f>
        <v>1</v>
      </c>
      <c r="F18" s="477" cm="1">
        <f t="array" ref="F18">SUM(IF(FREQUENCY(
    IF(('가압 날짜별 실적'!$E$2:$E$10025="MICRON JP")*
       ('가압 날짜별 실적'!$I$2:$I$10025=4),
       MATCH('가압 날짜별 실적'!$D$2:$D$10025,'가압 날짜별 실적'!$D$2:$D$10025,0)),
    ROW('가압 날짜별 실적'!$D$2:$D$10025)-ROW('가압 날짜별 실적'!$D$2)+1),1))</f>
        <v>1</v>
      </c>
      <c r="G18" s="477" cm="1">
        <f t="array" ref="G18">SUM(IF(FREQUENCY(
    IF(('가압 날짜별 실적'!$E$2:$E$10025="MICRON JP")*
       ('가압 날짜별 실적'!$I$2:$I$10025=5),
       MATCH('가압 날짜별 실적'!$D$2:$D$10025,'가압 날짜별 실적'!$D$2:$D$10025,0)),
    ROW('가압 날짜별 실적'!$D$2:$D$10025)-ROW('가압 날짜별 실적'!$D$2)+1),1))</f>
        <v>3</v>
      </c>
      <c r="H18" s="477" cm="1">
        <f t="array" ref="H18">SUM(IF(FREQUENCY(
    IF(('가압 날짜별 실적'!$E$2:$E$10025="MICRON JP")*
       ('가압 날짜별 실적'!$I$2:$I$10025=6),
       MATCH('가압 날짜별 실적'!$D$2:$D$10025,'가압 날짜별 실적'!$D$2:$D$10025,0)),
    ROW('가압 날짜별 실적'!$D$2:$D$10025)-ROW('가압 날짜별 실적'!$D$2)+1),1))</f>
        <v>7</v>
      </c>
      <c r="I18" s="477" cm="1">
        <f t="array" ref="I18">SUM(IF(FREQUENCY(
    IF(('가압 날짜별 실적'!$E$2:$E$10025="MICRON JP")*
       ('가압 날짜별 실적'!$I$2:$I$10025=7),
       MATCH('가압 날짜별 실적'!$D$2:$D$10025,'가압 날짜별 실적'!$D$2:$D$10025,0)),
    ROW('가압 날짜별 실적'!$D$2:$D$10025)-ROW('가압 날짜별 실적'!$D$2)+1),1))</f>
        <v>20</v>
      </c>
      <c r="J18" s="477" cm="1">
        <f t="array" ref="J18">SUM(IF(FREQUENCY(
    IF(('가압 날짜별 실적'!$E$2:$E$10025="MICRON JP")*
       ('가압 날짜별 실적'!$I$2:$I$10025=8),
       MATCH('가압 날짜별 실적'!$D$2:$D$10025,'가압 날짜별 실적'!$D$2:$D$10025,0)),
    ROW('가압 날짜별 실적'!$D$2:$D$10025)-ROW('가압 날짜별 실적'!$D$2)+1),1))</f>
        <v>6</v>
      </c>
      <c r="K18" s="477" cm="1">
        <f t="array" ref="K18">SUM(IF(FREQUENCY(
    IF(('가압 날짜별 실적'!$E$2:$E$10025="MICRON JP")*
       ('가압 날짜별 실적'!$I$2:$I$10025=9),
       MATCH('가압 날짜별 실적'!$D$2:$D$10025,'가압 날짜별 실적'!$D$2:$D$10025,0)),
    ROW('가압 날짜별 실적'!$D$2:$D$10025)-ROW('가압 날짜별 실적'!$D$2)+1),1))</f>
        <v>13</v>
      </c>
      <c r="L18" s="477" cm="1">
        <f t="array" ref="L18">SUM(IF(FREQUENCY(
    IF(('가압 날짜별 실적'!$E$2:$E$10025="MICRON JP")*
       ('가압 날짜별 실적'!$I$2:$I$10025=10),
       MATCH('가압 날짜별 실적'!$D$2:$D$10025,'가압 날짜별 실적'!$D$2:$D$10025,0)),
    ROW('가압 날짜별 실적'!$D$2:$D$10025)-ROW('가압 날짜별 실적'!$D$2)+1),1))</f>
        <v>3</v>
      </c>
      <c r="M18" s="477" cm="1">
        <f t="array" ref="M18">SUM(IF(FREQUENCY(
    IF(('가압 날짜별 실적'!$E$2:$E$10025="MICRON JP")*
       ('가압 날짜별 실적'!$I$2:$I$10025=11),
       MATCH('가압 날짜별 실적'!$D$2:$D$10025,'가압 날짜별 실적'!$D$2:$D$10025,0)),
    ROW('가압 날짜별 실적'!$D$2:$D$10025)-ROW('가압 날짜별 실적'!$D$2)+1),1))</f>
        <v>6</v>
      </c>
      <c r="N18" s="478" cm="1">
        <f t="array" ref="N18">SUM(IF(FREQUENCY(
    IF(('가압 날짜별 실적'!$E$2:$E$10025="MICRON JP")*
       ('가압 날짜별 실적'!$I$2:$I$10025=12),
       MATCH('가압 날짜별 실적'!$D$2:$D$10025,'가압 날짜별 실적'!$D$2:$D$10025,0)),
    ROW('가압 날짜별 실적'!$D$2:$D$10025)-ROW('가압 날짜별 실적'!$D$2)+1),1))</f>
        <v>7</v>
      </c>
      <c r="O18" s="479">
        <f t="shared" si="4"/>
        <v>71</v>
      </c>
      <c r="P18" s="347">
        <f>O18/O7</f>
        <v>3.8671023965141611E-2</v>
      </c>
    </row>
    <row r="19" spans="2:16" ht="19.5" customHeight="1">
      <c r="B19" s="342" t="s">
        <v>1426</v>
      </c>
      <c r="C19" s="463" cm="1">
        <f t="array" ref="C19">SUM(IF(FREQUENCY(
    IF(('가압 날짜별 실적'!$E$2:$E$10025="YMTC")*
       ('가압 날짜별 실적'!$I$2:$I$10025=1),
       MATCH('가압 날짜별 실적'!$D$2:$D$10025,'가압 날짜별 실적'!$D$2:$D$10025,0)),
    ROW('가압 날짜별 실적'!$D$2:$D$10025)-ROW('가압 날짜별 실적'!$D$2)+1),1))</f>
        <v>4</v>
      </c>
      <c r="D19" s="464" cm="1">
        <f t="array" ref="D19">SUM(IF(FREQUENCY(
    IF(('가압 날짜별 실적'!$E$2:$E$10025="YMTC")*
       ('가압 날짜별 실적'!$I$2:$I$10025=2),
       MATCH('가압 날짜별 실적'!$D$2:$D$10025,'가압 날짜별 실적'!$D$2:$D$10025,0)),
    ROW('가압 날짜별 실적'!$D$2:$D$10025)-ROW('가압 날짜별 실적'!$D$2)+1),1))</f>
        <v>5</v>
      </c>
      <c r="E19" s="464" cm="1">
        <f t="array" ref="E19">SUM(IF(FREQUENCY(
    IF(('가압 날짜별 실적'!$E$2:$E$10025="YMTC")*
       ('가압 날짜별 실적'!$I$2:$I$10025=3),
       MATCH('가압 날짜별 실적'!$D$2:$D$10025,'가압 날짜별 실적'!$D$2:$D$10025,0)),
    ROW('가압 날짜별 실적'!$D$2:$D$10025)-ROW('가압 날짜별 실적'!$D$2)+1),1))</f>
        <v>20</v>
      </c>
      <c r="F19" s="464" cm="1">
        <f t="array" ref="F19">SUM(IF(FREQUENCY(
    IF(('가압 날짜별 실적'!$E$2:$E$10025="YMTC")*
       ('가압 날짜별 실적'!$I$2:$I$10025=4),
       MATCH('가압 날짜별 실적'!$D$2:$D$10025,'가압 날짜별 실적'!$D$2:$D$10025,0)),
    ROW('가압 날짜별 실적'!$D$2:$D$10025)-ROW('가압 날짜별 실적'!$D$2)+1),1))</f>
        <v>40</v>
      </c>
      <c r="G19" s="464" cm="1">
        <f t="array" ref="G19">SUM(IF(FREQUENCY(
    IF(('가압 날짜별 실적'!$E$2:$E$10025="YMTC")*
       ('가압 날짜별 실적'!$I$2:$I$10025=5),
       MATCH('가압 날짜별 실적'!$D$2:$D$10025,'가압 날짜별 실적'!$D$2:$D$10025,0)),
    ROW('가압 날짜별 실적'!$D$2:$D$10025)-ROW('가압 날짜별 실적'!$D$2)+1),1))</f>
        <v>42</v>
      </c>
      <c r="H19" s="464" cm="1">
        <f t="array" ref="H19">SUM(IF(FREQUENCY(
    IF(('가압 날짜별 실적'!$E$2:$E$10025="YMTC")*
       ('가압 날짜별 실적'!$I$2:$I$10025=6),
       MATCH('가압 날짜별 실적'!$D$2:$D$10025,'가압 날짜별 실적'!$D$2:$D$10025,0)),
    ROW('가압 날짜별 실적'!$D$2:$D$10025)-ROW('가압 날짜별 실적'!$D$2)+1),1))</f>
        <v>23</v>
      </c>
      <c r="I19" s="464" cm="1">
        <f t="array" ref="I19">SUM(IF(FREQUENCY(
    IF(('가압 날짜별 실적'!$E$2:$E$10025="YMTC")*
       ('가압 날짜별 실적'!$I$2:$I$10025=7),
       MATCH('가압 날짜별 실적'!$D$2:$D$10025,'가압 날짜별 실적'!$D$2:$D$10025,0)),
    ROW('가압 날짜별 실적'!$D$2:$D$10025)-ROW('가압 날짜별 실적'!$D$2)+1),1))</f>
        <v>18</v>
      </c>
      <c r="J19" s="464" cm="1">
        <f t="array" ref="J19">SUM(IF(FREQUENCY(
    IF(('가압 날짜별 실적'!$E$2:$E$10025="YMTC")*
       ('가압 날짜별 실적'!$I$2:$I$10025=8),
       MATCH('가압 날짜별 실적'!$D$2:$D$10025,'가압 날짜별 실적'!$D$2:$D$10025,0)),
    ROW('가압 날짜별 실적'!$D$2:$D$10025)-ROW('가압 날짜별 실적'!$D$2)+1),1))</f>
        <v>30</v>
      </c>
      <c r="K19" s="464" cm="1">
        <f t="array" ref="K19">SUM(IF(FREQUENCY(
    IF(('가압 날짜별 실적'!$E$2:$E$10025="YMTC")*
       ('가압 날짜별 실적'!$I$2:$I$10025=9),
       MATCH('가압 날짜별 실적'!$D$2:$D$10025,'가압 날짜별 실적'!$D$2:$D$10025,0)),
    ROW('가압 날짜별 실적'!$D$2:$D$10025)-ROW('가압 날짜별 실적'!$D$2)+1),1))</f>
        <v>24</v>
      </c>
      <c r="L19" s="464" cm="1">
        <f t="array" ref="L19">SUM(IF(FREQUENCY(
    IF(('가압 날짜별 실적'!$E$2:$E$10025="YMTC")*
       ('가압 날짜별 실적'!$I$2:$I$10025=10),
       MATCH('가압 날짜별 실적'!$D$2:$D$10025,'가압 날짜별 실적'!$D$2:$D$10025,0)),
    ROW('가압 날짜별 실적'!$D$2:$D$10025)-ROW('가압 날짜별 실적'!$D$2)+1),1))</f>
        <v>10</v>
      </c>
      <c r="M19" s="464" cm="1">
        <f t="array" ref="M19">SUM(IF(FREQUENCY(
    IF(('가압 날짜별 실적'!$E$2:$E$10025="YMTC")*
       ('가압 날짜별 실적'!$I$2:$I$10025=11),
       MATCH('가압 날짜별 실적'!$D$2:$D$10025,'가압 날짜별 실적'!$D$2:$D$10025,0)),
    ROW('가압 날짜별 실적'!$D$2:$D$10025)-ROW('가압 날짜별 실적'!$D$2)+1),1))</f>
        <v>8</v>
      </c>
      <c r="N19" s="465" cm="1">
        <f t="array" ref="N19">SUM(IF(FREQUENCY(
    IF(('가압 날짜별 실적'!$E$2:$E$10025="YMTC")*
       ('가압 날짜별 실적'!$I$2:$I$10025=12),
       MATCH('가압 날짜별 실적'!$D$2:$D$10025,'가압 날짜별 실적'!$D$2:$D$10025,0)),
    ROW('가압 날짜별 실적'!$D$2:$D$10025)-ROW('가압 날짜별 실적'!$D$2)+1),1))</f>
        <v>22</v>
      </c>
      <c r="O19" s="466">
        <f t="shared" si="4"/>
        <v>246</v>
      </c>
      <c r="P19" s="351">
        <f>O19/O7</f>
        <v>0.13398692810457516</v>
      </c>
    </row>
    <row r="20" spans="2:16" ht="19.5" customHeight="1">
      <c r="B20" s="349" t="s">
        <v>1400</v>
      </c>
      <c r="C20" s="480" cm="1">
        <f t="array" ref="C20">SUM(IF(FREQUENCY(
    IF(('가압 날짜별 실적'!$E$2:$E$10025="CXMT")*
       ('가압 날짜별 실적'!$I$2:$I$10025=1),
       MATCH('가압 날짜별 실적'!$D$2:$D$10025,'가압 날짜별 실적'!$D$2:$D$10025,0)),
    ROW('가압 날짜별 실적'!$D$2:$D$10025)-ROW('가압 날짜별 실적'!$D$2)+1),1))</f>
        <v>0</v>
      </c>
      <c r="D20" s="468" cm="1">
        <f t="array" ref="D20">SUM(IF(FREQUENCY(
    IF(('가압 날짜별 실적'!$E$2:$E$10025="CXMT")*
       ('가압 날짜별 실적'!$I$2:$I$10025=2),
       MATCH('가압 날짜별 실적'!$D$2:$D$10025,'가압 날짜별 실적'!$D$2:$D$10025,0)),
    ROW('가압 날짜별 실적'!$D$2:$D$10025)-ROW('가압 날짜별 실적'!$D$2)+1),1))</f>
        <v>0</v>
      </c>
      <c r="E20" s="468" cm="1">
        <f t="array" ref="E20">SUM(IF(FREQUENCY(
    IF(('가압 날짜별 실적'!$E$2:$E$10025="CXMT")*
       ('가압 날짜별 실적'!$I$2:$I$10025=3),
       MATCH('가압 날짜별 실적'!$D$2:$D$10025,'가압 날짜별 실적'!$D$2:$D$10025,0)),
    ROW('가압 날짜별 실적'!$D$2:$D$10025)-ROW('가압 날짜별 실적'!$D$2)+1),1))</f>
        <v>2</v>
      </c>
      <c r="F20" s="468" cm="1">
        <f t="array" ref="F20">SUM(IF(FREQUENCY(
    IF(('가압 날짜별 실적'!$E$2:$E$10025="CXMT")*
       ('가압 날짜별 실적'!$I$2:$I$10025=4),
       MATCH('가압 날짜별 실적'!$D$2:$D$10025,'가압 날짜별 실적'!$D$2:$D$10025,0)),
    ROW('가압 날짜별 실적'!$D$2:$D$10025)-ROW('가압 날짜별 실적'!$D$2)+1),1))</f>
        <v>0</v>
      </c>
      <c r="G20" s="468" cm="1">
        <f t="array" ref="G20">SUM(IF(FREQUENCY(
    IF(('가압 날짜별 실적'!$E$2:$E$10025="CXMT")*
       ('가압 날짜별 실적'!$I$2:$I$10025=5),
       MATCH('가압 날짜별 실적'!$D$2:$D$10025,'가압 날짜별 실적'!$D$2:$D$10025,0)),
    ROW('가압 날짜별 실적'!$D$2:$D$10025)-ROW('가압 날짜별 실적'!$D$2)+1),1))</f>
        <v>1</v>
      </c>
      <c r="H20" s="468" cm="1">
        <f t="array" ref="H20">SUM(IF(FREQUENCY(
    IF(('가압 날짜별 실적'!$E$2:$E$10025="CXMT")*
       ('가압 날짜별 실적'!$I$2:$I$10025=6),
       MATCH('가압 날짜별 실적'!$D$2:$D$10025,'가압 날짜별 실적'!$D$2:$D$10025,0)),
    ROW('가압 날짜별 실적'!$D$2:$D$10025)-ROW('가압 날짜별 실적'!$D$2)+1),1))</f>
        <v>0</v>
      </c>
      <c r="I20" s="468" cm="1">
        <f t="array" ref="I20">SUM(IF(FREQUENCY(
    IF(('가압 날짜별 실적'!$E$2:$E$10025="CXMT")*
       ('가압 날짜별 실적'!$I$2:$I$10025=7),
       MATCH('가압 날짜별 실적'!$D$2:$D$10025,'가압 날짜별 실적'!$D$2:$D$10025,0)),
    ROW('가압 날짜별 실적'!$D$2:$D$10025)-ROW('가압 날짜별 실적'!$D$2)+1),1))</f>
        <v>0</v>
      </c>
      <c r="J20" s="468" cm="1">
        <f t="array" ref="J20">SUM(IF(FREQUENCY(
    IF(('가압 날짜별 실적'!$E$2:$E$10025="CXMT")*
       ('가압 날짜별 실적'!$I$2:$I$10025=8),
       MATCH('가압 날짜별 실적'!$D$2:$D$10025,'가압 날짜별 실적'!$D$2:$D$10025,0)),
    ROW('가압 날짜별 실적'!$D$2:$D$10025)-ROW('가압 날짜별 실적'!$D$2)+1),1))</f>
        <v>0</v>
      </c>
      <c r="K20" s="468" cm="1">
        <f t="array" ref="K20">SUM(IF(FREQUENCY(
    IF(('가압 날짜별 실적'!$E$2:$E$10025="CXMT")*
       ('가압 날짜별 실적'!$I$2:$I$10025=9),
       MATCH('가압 날짜별 실적'!$D$2:$D$10025,'가압 날짜별 실적'!$D$2:$D$10025,0)),
    ROW('가압 날짜별 실적'!$D$2:$D$10025)-ROW('가압 날짜별 실적'!$D$2)+1),1))</f>
        <v>0</v>
      </c>
      <c r="L20" s="468" cm="1">
        <f t="array" ref="L20">SUM(IF(FREQUENCY(
    IF(('가압 날짜별 실적'!$E$2:$E$10025="CXMT")*
       ('가압 날짜별 실적'!$I$2:$I$10025=10),
       MATCH('가압 날짜별 실적'!$D$2:$D$10025,'가압 날짜별 실적'!$D$2:$D$10025,0)),
    ROW('가압 날짜별 실적'!$D$2:$D$10025)-ROW('가압 날짜별 실적'!$D$2)+1),1))</f>
        <v>0</v>
      </c>
      <c r="M20" s="468" cm="1">
        <f t="array" ref="M20">SUM(IF(FREQUENCY(
    IF(('가압 날짜별 실적'!$E$2:$E$10025="CXMT")*
       ('가압 날짜별 실적'!$I$2:$I$10025=11),
       MATCH('가압 날짜별 실적'!$D$2:$D$10025,'가압 날짜별 실적'!$D$2:$D$10025,0)),
    ROW('가압 날짜별 실적'!$D$2:$D$10025)-ROW('가압 날짜별 실적'!$D$2)+1),1))</f>
        <v>0</v>
      </c>
      <c r="N20" s="469" cm="1">
        <f t="array" ref="N20">SUM(IF(FREQUENCY(
    IF(('가압 날짜별 실적'!$E$2:$E$10025="CXMT")*
       ('가압 날짜별 실적'!$I$2:$I$10025=12),
       MATCH('가압 날짜별 실적'!$D$2:$D$10025,'가압 날짜별 실적'!$D$2:$D$10025,0)),
    ROW('가압 날짜별 실적'!$D$2:$D$10025)-ROW('가압 날짜별 실적'!$D$2)+1),1))</f>
        <v>0</v>
      </c>
      <c r="O20" s="470">
        <f t="shared" si="4"/>
        <v>3</v>
      </c>
      <c r="P20" s="350">
        <f>O20/O7</f>
        <v>1.6339869281045752E-3</v>
      </c>
    </row>
    <row r="21" spans="2:16" ht="19.5" customHeight="1">
      <c r="B21" s="340" t="s">
        <v>1394</v>
      </c>
      <c r="C21" s="471" cm="1">
        <f t="array" ref="C21">SUM(IF(FREQUENCY(
    IF(('가압 날짜별 실적'!$E$2:$E$10025="BAZM")*
       ('가압 날짜별 실적'!$I$2:$I$10025=1),
       MATCH('가압 날짜별 실적'!$D$2:$D$10025,'가압 날짜별 실적'!$D$2:$D$10025,0)),
    ROW('가압 날짜별 실적'!$D$2:$D$10025)-ROW('가압 날짜별 실적'!$D$2)+1),1))</f>
        <v>1</v>
      </c>
      <c r="D21" s="472" cm="1">
        <f t="array" ref="D21">SUM(IF(FREQUENCY(
    IF(('가압 날짜별 실적'!$E$2:$E$10025="BAZM")*
       ('가압 날짜별 실적'!$I$2:$I$10025=2),
       MATCH('가압 날짜별 실적'!$D$2:$D$10025,'가압 날짜별 실적'!$D$2:$D$10025,0)),
    ROW('가압 날짜별 실적'!$D$2:$D$10025)-ROW('가압 날짜별 실적'!$D$2)+1),1))</f>
        <v>0</v>
      </c>
      <c r="E21" s="472" cm="1">
        <f t="array" ref="E21">SUM(IF(FREQUENCY(
    IF(('가압 날짜별 실적'!$E$2:$E$10025="BAZM")*
       ('가압 날짜별 실적'!$I$2:$I$10025=3),
       MATCH('가압 날짜별 실적'!$D$2:$D$10025,'가압 날짜별 실적'!$D$2:$D$10025,0)),
    ROW('가압 날짜별 실적'!$D$2:$D$10025)-ROW('가압 날짜별 실적'!$D$2)+1),1))</f>
        <v>0</v>
      </c>
      <c r="F21" s="472" cm="1">
        <f t="array" ref="F21">SUM(IF(FREQUENCY(
    IF(('가압 날짜별 실적'!$E$2:$E$10025="BAZM")*
       ('가압 날짜별 실적'!$I$2:$I$10025=4),
       MATCH('가압 날짜별 실적'!$D$2:$D$10025,'가압 날짜별 실적'!$D$2:$D$10025,0)),
    ROW('가압 날짜별 실적'!$D$2:$D$10025)-ROW('가압 날짜별 실적'!$D$2)+1),1))</f>
        <v>0</v>
      </c>
      <c r="G21" s="472" cm="1">
        <f t="array" ref="G21">SUM(IF(FREQUENCY(
    IF(('가압 날짜별 실적'!$E$2:$E$10025="BAZM")*
       ('가압 날짜별 실적'!$I$2:$I$10025=5),
       MATCH('가압 날짜별 실적'!$D$2:$D$10025,'가압 날짜별 실적'!$D$2:$D$10025,0)),
    ROW('가압 날짜별 실적'!$D$2:$D$10025)-ROW('가압 날짜별 실적'!$D$2)+1),1))</f>
        <v>0</v>
      </c>
      <c r="H21" s="472" cm="1">
        <f t="array" ref="H21">SUM(IF(FREQUENCY(
    IF(('가압 날짜별 실적'!$E$2:$E$10025="BAZM")*
       ('가압 날짜별 실적'!$I$2:$I$10025=6),
       MATCH('가압 날짜별 실적'!$D$2:$D$10025,'가압 날짜별 실적'!$D$2:$D$10025,0)),
    ROW('가압 날짜별 실적'!$D$2:$D$10025)-ROW('가압 날짜별 실적'!$D$2)+1),1))</f>
        <v>0</v>
      </c>
      <c r="I21" s="472" cm="1">
        <f t="array" ref="I21">SUM(IF(FREQUENCY(
    IF(('가압 날짜별 실적'!$E$2:$E$10025="BAZM")*
       ('가압 날짜별 실적'!$I$2:$I$10025=7),
       MATCH('가압 날짜별 실적'!$D$2:$D$10025,'가압 날짜별 실적'!$D$2:$D$10025,0)),
    ROW('가압 날짜별 실적'!$D$2:$D$10025)-ROW('가압 날짜별 실적'!$D$2)+1),1))</f>
        <v>0</v>
      </c>
      <c r="J21" s="472" cm="1">
        <f t="array" ref="J21">SUM(IF(FREQUENCY(
    IF(('가압 날짜별 실적'!$E$2:$E$10025="BAZM")*
       ('가압 날짜별 실적'!$I$2:$I$10025=8),
       MATCH('가압 날짜별 실적'!$D$2:$D$10025,'가압 날짜별 실적'!$D$2:$D$10025,0)),
    ROW('가압 날짜별 실적'!$D$2:$D$10025)-ROW('가압 날짜별 실적'!$D$2)+1),1))</f>
        <v>3</v>
      </c>
      <c r="K21" s="472" cm="1">
        <f t="array" ref="K21">SUM(IF(FREQUENCY(
    IF(('가압 날짜별 실적'!$E$2:$E$10025="BAZM")*
       ('가압 날짜별 실적'!$I$2:$I$10025=9),
       MATCH('가압 날짜별 실적'!$D$2:$D$10025,'가압 날짜별 실적'!$D$2:$D$10025,0)),
    ROW('가압 날짜별 실적'!$D$2:$D$10025)-ROW('가압 날짜별 실적'!$D$2)+1),1))</f>
        <v>15</v>
      </c>
      <c r="L21" s="472" cm="1">
        <f t="array" ref="L21">SUM(IF(FREQUENCY(
    IF(('가압 날짜별 실적'!$E$2:$E$10025="BAZM")*
       ('가압 날짜별 실적'!$I$2:$I$10025=10),
       MATCH('가압 날짜별 실적'!$D$2:$D$10025,'가압 날짜별 실적'!$D$2:$D$10025,0)),
    ROW('가압 날짜별 실적'!$D$2:$D$10025)-ROW('가압 날짜별 실적'!$D$2)+1),1))</f>
        <v>4</v>
      </c>
      <c r="M21" s="472" cm="1">
        <f t="array" ref="M21">SUM(IF(FREQUENCY(
    IF(('가압 날짜별 실적'!$E$2:$E$10025="BAZM")*
       ('가압 날짜별 실적'!$I$2:$I$10025=11),
       MATCH('가압 날짜별 실적'!$D$2:$D$10025,'가압 날짜별 실적'!$D$2:$D$10025,0)),
    ROW('가압 날짜별 실적'!$D$2:$D$10025)-ROW('가압 날짜별 실적'!$D$2)+1),1))</f>
        <v>4</v>
      </c>
      <c r="N21" s="474" cm="1">
        <f t="array" ref="N21">SUM(IF(FREQUENCY(
    IF(('가압 날짜별 실적'!$E$2:$E$10025="BAZM")*
       ('가압 날짜별 실적'!$I$2:$I$10025=12),
       MATCH('가압 날짜별 실적'!$D$2:$D$10025,'가압 날짜별 실적'!$D$2:$D$10025,0)),
    ROW('가압 날짜별 실적'!$D$2:$D$10025)-ROW('가압 날짜별 실적'!$D$2)+1),1))</f>
        <v>1</v>
      </c>
      <c r="O21" s="475">
        <f t="shared" si="4"/>
        <v>28</v>
      </c>
      <c r="P21" s="345">
        <f>O21/O7</f>
        <v>1.5250544662309368E-2</v>
      </c>
    </row>
    <row r="22" spans="2:16" ht="19.5" customHeight="1">
      <c r="B22" s="341" t="s">
        <v>1433</v>
      </c>
      <c r="C22" s="476" cm="1">
        <f t="array" ref="C22">SUM(IF(FREQUENCY(
    IF(('가압 날짜별 실적'!$E$2:$E$10025="NEXCHIP")*
       ('가압 날짜별 실적'!$I$2:$I$10025=1),
       MATCH('가압 날짜별 실적'!$D$2:$D$10025,'가압 날짜별 실적'!$D$2:$D$10025,0)),
    ROW('가압 날짜별 실적'!$D$2:$D$10025)-ROW('가압 날짜별 실적'!$D$2)+1),1))</f>
        <v>0</v>
      </c>
      <c r="D22" s="477" cm="1">
        <f t="array" ref="D22">SUM(IF(FREQUENCY(
    IF(('가압 날짜별 실적'!$E$2:$E$10025="NEXCHIP")*
       ('가압 날짜별 실적'!$I$2:$I$10025=2),
       MATCH('가압 날짜별 실적'!$D$2:$D$10025,'가압 날짜별 실적'!$D$2:$D$10025,0)),
    ROW('가압 날짜별 실적'!$D$2:$D$10025)-ROW('가압 날짜별 실적'!$D$2)+1),1))</f>
        <v>0</v>
      </c>
      <c r="E22" s="477" cm="1">
        <f t="array" ref="E22">SUM(IF(FREQUENCY(
    IF(('가압 날짜별 실적'!$E$2:$E$10025="NEXCHIP")*
       ('가압 날짜별 실적'!$I$2:$I$10025=3),
       MATCH('가압 날짜별 실적'!$D$2:$D$10025,'가압 날짜별 실적'!$D$2:$D$10025,0)),
    ROW('가압 날짜별 실적'!$D$2:$D$10025)-ROW('가압 날짜별 실적'!$D$2)+1),1))</f>
        <v>0</v>
      </c>
      <c r="F22" s="477" cm="1">
        <f t="array" ref="F22">SUM(IF(FREQUENCY(
    IF(('가압 날짜별 실적'!$E$2:$E$10025="NEXCHIP")*
       ('가압 날짜별 실적'!$I$2:$I$10025=4),
       MATCH('가압 날짜별 실적'!$D$2:$D$10025,'가압 날짜별 실적'!$D$2:$D$10025,0)),
    ROW('가압 날짜별 실적'!$D$2:$D$10025)-ROW('가압 날짜별 실적'!$D$2)+1),1))</f>
        <v>17</v>
      </c>
      <c r="G22" s="477" cm="1">
        <f t="array" ref="G22">SUM(IF(FREQUENCY(
    IF(('가압 날짜별 실적'!$E$2:$E$10025="NEXCHIP")*
       ('가압 날짜별 실적'!$I$2:$I$10025=5),
       MATCH('가압 날짜별 실적'!$D$2:$D$10025,'가압 날짜별 실적'!$D$2:$D$10025,0)),
    ROW('가압 날짜별 실적'!$D$2:$D$10025)-ROW('가압 날짜별 실적'!$D$2)+1),1))</f>
        <v>7</v>
      </c>
      <c r="H22" s="477" cm="1">
        <f t="array" ref="H22">SUM(IF(FREQUENCY(
    IF(('가압 날짜별 실적'!$E$2:$E$10025="NEXCHIP")*
       ('가압 날짜별 실적'!$I$2:$I$10025=6),
       MATCH('가압 날짜별 실적'!$D$2:$D$10025,'가압 날짜별 실적'!$D$2:$D$10025,0)),
    ROW('가압 날짜별 실적'!$D$2:$D$10025)-ROW('가압 날짜별 실적'!$D$2)+1),1))</f>
        <v>0</v>
      </c>
      <c r="I22" s="477" cm="1">
        <f t="array" ref="I22">SUM(IF(FREQUENCY(
    IF(('가압 날짜별 실적'!$E$2:$E$10025="NEXCHIP")*
       ('가압 날짜별 실적'!$I$2:$I$10025=7),
       MATCH('가압 날짜별 실적'!$D$2:$D$10025,'가압 날짜별 실적'!$D$2:$D$10025,0)),
    ROW('가압 날짜별 실적'!$D$2:$D$10025)-ROW('가압 날짜별 실적'!$D$2)+1),1))</f>
        <v>3</v>
      </c>
      <c r="J22" s="477" cm="1">
        <f t="array" ref="J22">SUM(IF(FREQUENCY(
    IF(('가압 날짜별 실적'!$E$2:$E$10025="NEXCHIP")*
       ('가압 날짜별 실적'!$I$2:$I$10025=8),
       MATCH('가압 날짜별 실적'!$D$2:$D$10025,'가압 날짜별 실적'!$D$2:$D$10025,0)),
    ROW('가압 날짜별 실적'!$D$2:$D$10025)-ROW('가압 날짜별 실적'!$D$2)+1),1))</f>
        <v>1</v>
      </c>
      <c r="K22" s="477" cm="1">
        <f t="array" ref="K22">SUM(IF(FREQUENCY(
    IF(('가압 날짜별 실적'!$E$2:$E$10025="NEXCHIP")*
       ('가압 날짜별 실적'!$I$2:$I$10025=9),
       MATCH('가압 날짜별 실적'!$D$2:$D$10025,'가압 날짜별 실적'!$D$2:$D$10025,0)),
    ROW('가압 날짜별 실적'!$D$2:$D$10025)-ROW('가압 날짜별 실적'!$D$2)+1),1))</f>
        <v>1</v>
      </c>
      <c r="L22" s="477" cm="1">
        <f t="array" ref="L22">SUM(IF(FREQUENCY(
    IF(('가압 날짜별 실적'!$E$2:$E$10025="NEXCHIP")*
       ('가압 날짜별 실적'!$I$2:$I$10025=10),
       MATCH('가압 날짜별 실적'!$D$2:$D$10025,'가압 날짜별 실적'!$D$2:$D$10025,0)),
    ROW('가압 날짜별 실적'!$D$2:$D$10025)-ROW('가압 날짜별 실적'!$D$2)+1),1))</f>
        <v>0</v>
      </c>
      <c r="M22" s="477" cm="1">
        <f t="array" ref="M22">SUM(IF(FREQUENCY(
    IF(('가압 날짜별 실적'!$E$2:$E$10025="NEXCHIP")*
       ('가압 날짜별 실적'!$I$2:$I$10025=11),
       MATCH('가압 날짜별 실적'!$D$2:$D$10025,'가압 날짜별 실적'!$D$2:$D$10025,0)),
    ROW('가압 날짜별 실적'!$D$2:$D$10025)-ROW('가압 날짜별 실적'!$D$2)+1),1))</f>
        <v>3</v>
      </c>
      <c r="N22" s="478" cm="1">
        <f t="array" ref="N22">SUM(IF(FREQUENCY(
    IF(('가압 날짜별 실적'!$E$2:$E$10025="NEXCHIP")*
       ('가압 날짜별 실적'!$I$2:$I$10025=12),
       MATCH('가압 날짜별 실적'!$D$2:$D$10025,'가압 날짜별 실적'!$D$2:$D$10025,0)),
    ROW('가압 날짜별 실적'!$D$2:$D$10025)-ROW('가압 날짜별 실적'!$D$2)+1),1))</f>
        <v>4</v>
      </c>
      <c r="O22" s="479">
        <f t="shared" si="4"/>
        <v>36</v>
      </c>
      <c r="P22" s="347">
        <f>O22/O7</f>
        <v>1.9607843137254902E-2</v>
      </c>
    </row>
    <row r="23" spans="2:16" ht="19.5" customHeight="1">
      <c r="B23" s="342" t="s">
        <v>1405</v>
      </c>
      <c r="C23" s="463" cm="1">
        <f t="array" ref="C23">SUM(IF(FREQUENCY(
    IF(('가압 날짜별 실적'!$E$2:$E$10025="SEC")*
       ('가압 날짜별 실적'!$I$2:$I$10025=1),
       MATCH('가압 날짜별 실적'!$D$2:$D$10025,'가압 날짜별 실적'!$D$2:$D$10025,0)),
    ROW('가압 날짜별 실적'!$D$2:$D$10025)-ROW('가압 날짜별 실적'!$D$2)+1),1))</f>
        <v>53</v>
      </c>
      <c r="D23" s="464" cm="1">
        <f t="array" ref="D23">SUM(IF(FREQUENCY(
    IF(('가압 날짜별 실적'!$E$2:$E$10025="SEC")*
       ('가압 날짜별 실적'!$I$2:$I$10025=2),
       MATCH('가압 날짜별 실적'!$D$2:$D$10025,'가압 날짜별 실적'!$D$2:$D$10025,0)),
    ROW('가압 날짜별 실적'!$D$2:$D$10025)-ROW('가압 날짜별 실적'!$D$2)+1),1))</f>
        <v>76</v>
      </c>
      <c r="E23" s="464" cm="1">
        <f t="array" ref="E23">SUM(IF(FREQUENCY(
    IF(('가압 날짜별 실적'!$E$2:$E$10025="SEC")*
       ('가압 날짜별 실적'!$I$2:$I$10025=3),
       MATCH('가압 날짜별 실적'!$D$2:$D$10025,'가압 날짜별 실적'!$D$2:$D$10025,0)),
    ROW('가압 날짜별 실적'!$D$2:$D$10025)-ROW('가압 날짜별 실적'!$D$2)+1),1))</f>
        <v>36</v>
      </c>
      <c r="F23" s="464" cm="1">
        <f t="array" ref="F23">SUM(IF(FREQUENCY(
    IF(('가압 날짜별 실적'!$E$2:$E$10025="SEC")*
       ('가압 날짜별 실적'!$I$2:$I$10025=4),
       MATCH('가압 날짜별 실적'!$D$2:$D$10025,'가압 날짜별 실적'!$D$2:$D$10025,0)),
    ROW('가압 날짜별 실적'!$D$2:$D$10025)-ROW('가압 날짜별 실적'!$D$2)+1),1))</f>
        <v>36</v>
      </c>
      <c r="G23" s="464" cm="1">
        <f t="array" ref="G23">SUM(IF(FREQUENCY(
    IF(('가압 날짜별 실적'!$E$2:$E$10025="SEC")*
       ('가압 날짜별 실적'!$I$2:$I$10025=5),
       MATCH('가압 날짜별 실적'!$D$2:$D$10025,'가압 날짜별 실적'!$D$2:$D$10025,0)),
    ROW('가압 날짜별 실적'!$D$2:$D$10025)-ROW('가압 날짜별 실적'!$D$2)+1),1))</f>
        <v>28</v>
      </c>
      <c r="H23" s="464" cm="1">
        <f t="array" ref="H23">SUM(IF(FREQUENCY(
    IF(('가압 날짜별 실적'!$E$2:$E$10025="SEC")*
       ('가압 날짜별 실적'!$I$2:$I$10025=6),
       MATCH('가압 날짜별 실적'!$D$2:$D$10025,'가압 날짜별 실적'!$D$2:$D$10025,0)),
    ROW('가압 날짜별 실적'!$D$2:$D$10025)-ROW('가압 날짜별 실적'!$D$2)+1),1))</f>
        <v>47</v>
      </c>
      <c r="I23" s="464" cm="1">
        <f t="array" ref="I23">SUM(IF(FREQUENCY(
    IF(('가압 날짜별 실적'!$E$2:$E$10025="SEC")*
       ('가압 날짜별 실적'!$I$2:$I$10025=7),
       MATCH('가압 날짜별 실적'!$D$2:$D$10025,'가압 날짜별 실적'!$D$2:$D$10025,0)),
    ROW('가압 날짜별 실적'!$D$2:$D$10025)-ROW('가압 날짜별 실적'!$D$2)+1),1))</f>
        <v>49</v>
      </c>
      <c r="J23" s="464" cm="1">
        <f t="array" ref="J23">SUM(IF(FREQUENCY(
    IF(('가압 날짜별 실적'!$E$2:$E$10025="SEC")*
       ('가압 날짜별 실적'!$I$2:$I$10025=8),
       MATCH('가압 날짜별 실적'!$D$2:$D$10025,'가압 날짜별 실적'!$D$2:$D$10025,0)),
    ROW('가압 날짜별 실적'!$D$2:$D$10025)-ROW('가압 날짜별 실적'!$D$2)+1),1))</f>
        <v>68</v>
      </c>
      <c r="K23" s="464" cm="1">
        <f t="array" ref="K23">SUM(IF(FREQUENCY(
    IF(('가압 날짜별 실적'!$E$2:$E$10025="SEC")*
       ('가압 날짜별 실적'!$I$2:$I$10025=9),
       MATCH('가압 날짜별 실적'!$D$2:$D$10025,'가압 날짜별 실적'!$D$2:$D$10025,0)),
    ROW('가압 날짜별 실적'!$D$2:$D$10025)-ROW('가압 날짜별 실적'!$D$2)+1),1))</f>
        <v>91</v>
      </c>
      <c r="L23" s="464" cm="1">
        <f t="array" ref="L23">SUM(IF(FREQUENCY(
    IF(('가압 날짜별 실적'!$E$2:$E$10025="SEC")*
       ('가압 날짜별 실적'!$I$2:$I$10025=10),
       MATCH('가압 날짜별 실적'!$D$2:$D$10025,'가압 날짜별 실적'!$D$2:$D$10025,0)),
    ROW('가압 날짜별 실적'!$D$2:$D$10025)-ROW('가압 날짜별 실적'!$D$2)+1),1))</f>
        <v>80</v>
      </c>
      <c r="M23" s="464" cm="1">
        <f t="array" ref="M23">SUM(IF(FREQUENCY(
    IF(('가압 날짜별 실적'!$E$2:$E$10025="SEC")*
       ('가압 날짜별 실적'!$I$2:$I$10025=11),
       MATCH('가압 날짜별 실적'!$D$2:$D$10025,'가압 날짜별 실적'!$D$2:$D$10025,0)),
    ROW('가압 날짜별 실적'!$D$2:$D$10025)-ROW('가압 날짜별 실적'!$D$2)+1),1))</f>
        <v>74</v>
      </c>
      <c r="N23" s="465" cm="1">
        <f t="array" ref="N23">SUM(IF(FREQUENCY(
    IF(('가압 날짜별 실적'!$E$2:$E$10025="SEC")*
       ('가압 날짜별 실적'!$I$2:$I$10025=12),
       MATCH('가압 날짜별 실적'!$D$2:$D$10025,'가압 날짜별 실적'!$D$2:$D$10025,0)),
    ROW('가압 날짜별 실적'!$D$2:$D$10025)-ROW('가압 날짜별 실적'!$D$2)+1),1))</f>
        <v>31</v>
      </c>
      <c r="O23" s="466">
        <f t="shared" si="4"/>
        <v>669</v>
      </c>
      <c r="P23" s="351">
        <f>O23/O7</f>
        <v>0.36437908496732024</v>
      </c>
    </row>
    <row r="24" spans="2:16" ht="19.5" customHeight="1">
      <c r="B24" s="349" t="s">
        <v>1399</v>
      </c>
      <c r="C24" s="467" cm="1">
        <f t="array" ref="C24">SUM(IF(FREQUENCY(
    IF(('가압 날짜별 실적'!$E$2:$E$10025="SCS")*
       ('가압 날짜별 실적'!$I$2:$I$10025=1),
       MATCH('가압 날짜별 실적'!$D$2:$D$10025,'가압 날짜별 실적'!$D$2:$D$10025,0)),
    ROW('가압 날짜별 실적'!$D$2:$D$10025)-ROW('가압 날짜별 실적'!$D$2)+1),1))</f>
        <v>0</v>
      </c>
      <c r="D24" s="468" cm="1">
        <f t="array" ref="D24">SUM(IF(FREQUENCY(
    IF(('가압 날짜별 실적'!$E$2:$E$10025="SCS")*
       ('가압 날짜별 실적'!$I$2:$I$10025=2),
       MATCH('가압 날짜별 실적'!$D$2:$D$10025,'가압 날짜별 실적'!$D$2:$D$10025,0)),
    ROW('가압 날짜별 실적'!$D$2:$D$10025)-ROW('가압 날짜별 실적'!$D$2)+1),1))</f>
        <v>20</v>
      </c>
      <c r="E24" s="468" cm="1">
        <f t="array" ref="E24">SUM(IF(FREQUENCY(
    IF(('가압 날짜별 실적'!$E$2:$E$10025="SCS")*
       ('가압 날짜별 실적'!$I$2:$I$10025=3),
       MATCH('가압 날짜별 실적'!$D$2:$D$10025,'가압 날짜별 실적'!$D$2:$D$10025,0)),
    ROW('가압 날짜별 실적'!$D$2:$D$10025)-ROW('가압 날짜별 실적'!$D$2)+1),1))</f>
        <v>2</v>
      </c>
      <c r="F24" s="468" cm="1">
        <f t="array" ref="F24">SUM(IF(FREQUENCY(
    IF(('가압 날짜별 실적'!$E$2:$E$10025="SCS")*
       ('가압 날짜별 실적'!$I$2:$I$10025=4),
       MATCH('가압 날짜별 실적'!$D$2:$D$10025,'가압 날짜별 실적'!$D$2:$D$10025,0)),
    ROW('가압 날짜별 실적'!$D$2:$D$10025)-ROW('가압 날짜별 실적'!$D$2)+1),1))</f>
        <v>3</v>
      </c>
      <c r="G24" s="468" cm="1">
        <f t="array" ref="G24">SUM(IF(FREQUENCY(
    IF(('가압 날짜별 실적'!$E$2:$E$10025="SCS")*
       ('가압 날짜별 실적'!$I$2:$I$10025=5),
       MATCH('가압 날짜별 실적'!$D$2:$D$10025,'가압 날짜별 실적'!$D$2:$D$10025,0)),
    ROW('가압 날짜별 실적'!$D$2:$D$10025)-ROW('가압 날짜별 실적'!$D$2)+1),1))</f>
        <v>0</v>
      </c>
      <c r="H24" s="468" cm="1">
        <f t="array" ref="H24">SUM(IF(FREQUENCY(
    IF(('가압 날짜별 실적'!$E$2:$E$10025="SCS")*
       ('가압 날짜별 실적'!$I$2:$I$10025=6),
       MATCH('가압 날짜별 실적'!$D$2:$D$10025,'가압 날짜별 실적'!$D$2:$D$10025,0)),
    ROW('가압 날짜별 실적'!$D$2:$D$10025)-ROW('가압 날짜별 실적'!$D$2)+1),1))</f>
        <v>0</v>
      </c>
      <c r="I24" s="468" cm="1">
        <f t="array" ref="I24">SUM(IF(FREQUENCY(
    IF(('가압 날짜별 실적'!$E$2:$E$10025="SCS")*
       ('가압 날짜별 실적'!$I$2:$I$10025=7),
       MATCH('가압 날짜별 실적'!$D$2:$D$10025,'가압 날짜별 실적'!$D$2:$D$10025,0)),
    ROW('가압 날짜별 실적'!$D$2:$D$10025)-ROW('가압 날짜별 실적'!$D$2)+1),1))</f>
        <v>0</v>
      </c>
      <c r="J24" s="468" cm="1">
        <f t="array" ref="J24">SUM(IF(FREQUENCY(
    IF(('가압 날짜별 실적'!$E$2:$E$10025="SCS")*
       ('가압 날짜별 실적'!$I$2:$I$10025=8),
       MATCH('가압 날짜별 실적'!$D$2:$D$10025,'가압 날짜별 실적'!$D$2:$D$10025,0)),
    ROW('가압 날짜별 실적'!$D$2:$D$10025)-ROW('가압 날짜별 실적'!$D$2)+1),1))</f>
        <v>8</v>
      </c>
      <c r="K24" s="468" cm="1">
        <f t="array" ref="K24">SUM(IF(FREQUENCY(
    IF(('가압 날짜별 실적'!$E$2:$E$10025="SCS")*
       ('가압 날짜별 실적'!$I$2:$I$10025=9),
       MATCH('가압 날짜별 실적'!$D$2:$D$10025,'가압 날짜별 실적'!$D$2:$D$10025,0)),
    ROW('가압 날짜별 실적'!$D$2:$D$10025)-ROW('가압 날짜별 실적'!$D$2)+1),1))</f>
        <v>0</v>
      </c>
      <c r="L24" s="468" cm="1">
        <f t="array" ref="L24">SUM(IF(FREQUENCY(
    IF(('가압 날짜별 실적'!$E$2:$E$10025="SCS")*
       ('가압 날짜별 실적'!$I$2:$I$10025=10),
       MATCH('가압 날짜별 실적'!$D$2:$D$10025,'가압 날짜별 실적'!$D$2:$D$10025,0)),
    ROW('가압 날짜별 실적'!$D$2:$D$10025)-ROW('가압 날짜별 실적'!$D$2)+1),1))</f>
        <v>10</v>
      </c>
      <c r="M24" s="468" cm="1">
        <f t="array" ref="M24">SUM(IF(FREQUENCY(
    IF(('가압 날짜별 실적'!$E$2:$E$10025="SCS")*
       ('가압 날짜별 실적'!$I$2:$I$10025=11),
       MATCH('가압 날짜별 실적'!$D$2:$D$10025,'가압 날짜별 실적'!$D$2:$D$10025,0)),
    ROW('가압 날짜별 실적'!$D$2:$D$10025)-ROW('가압 날짜별 실적'!$D$2)+1),1))</f>
        <v>0</v>
      </c>
      <c r="N24" s="469" cm="1">
        <f t="array" ref="N24">SUM(IF(FREQUENCY(
    IF(('가압 날짜별 실적'!$E$2:$E$10025="SCS")*
       ('가압 날짜별 실적'!$I$2:$I$10025=12),
       MATCH('가압 날짜별 실적'!$D$2:$D$10025,'가압 날짜별 실적'!$D$2:$D$10025,0)),
    ROW('가압 날짜별 실적'!$D$2:$D$10025)-ROW('가압 날짜별 실적'!$D$2)+1),1))</f>
        <v>0</v>
      </c>
      <c r="O24" s="470">
        <f t="shared" si="4"/>
        <v>43</v>
      </c>
      <c r="P24" s="350">
        <f>O24/O7</f>
        <v>2.3420479302832243E-2</v>
      </c>
    </row>
    <row r="25" spans="2:16" ht="19.5" customHeight="1">
      <c r="B25" s="340" t="s">
        <v>1403</v>
      </c>
      <c r="C25" s="471" cm="1">
        <f t="array" ref="C25">SUM(IF(FREQUENCY(
    IF(('가압 날짜별 실적'!$E$2:$E$10025="SDC")*
       ('가압 날짜별 실적'!$I$2:$I$10025=1),
       MATCH('가압 날짜별 실적'!$D$2:$D$10025,'가압 날짜별 실적'!$D$2:$D$10025,0)),
    ROW('가압 날짜별 실적'!$D$2:$D$10025)-ROW('가압 날짜별 실적'!$D$2)+1),1))</f>
        <v>0</v>
      </c>
      <c r="D25" s="472" cm="1">
        <f t="array" ref="D25">SUM(IF(FREQUENCY(
    IF(('가압 날짜별 실적'!$E$2:$E$10025="SDC")*
       ('가압 날짜별 실적'!$I$2:$I$10025=2),
       MATCH('가압 날짜별 실적'!$D$2:$D$10025,'가압 날짜별 실적'!$D$2:$D$10025,0)),
    ROW('가압 날짜별 실적'!$D$2:$D$10025)-ROW('가압 날짜별 실적'!$D$2)+1),1))</f>
        <v>0</v>
      </c>
      <c r="E25" s="472" cm="1">
        <f t="array" ref="E25">SUM(IF(FREQUENCY(
    IF(('가압 날짜별 실적'!$E$2:$E$10025="SDC")*
       ('가압 날짜별 실적'!$I$2:$I$10025=3),
       MATCH('가압 날짜별 실적'!$D$2:$D$10025,'가압 날짜별 실적'!$D$2:$D$10025,0)),
    ROW('가압 날짜별 실적'!$D$2:$D$10025)-ROW('가압 날짜별 실적'!$D$2)+1),1))</f>
        <v>1</v>
      </c>
      <c r="F25" s="472" cm="1">
        <f t="array" ref="F25">SUM(IF(FREQUENCY(
    IF(('가압 날짜별 실적'!$E$2:$E$10025="SDC")*
       ('가압 날짜별 실적'!$I$2:$I$10025=4),
       MATCH('가압 날짜별 실적'!$D$2:$D$10025,'가압 날짜별 실적'!$D$2:$D$10025,0)),
    ROW('가압 날짜별 실적'!$D$2:$D$10025)-ROW('가압 날짜별 실적'!$D$2)+1),1))</f>
        <v>14</v>
      </c>
      <c r="G25" s="472" cm="1">
        <f t="array" ref="G25">SUM(IF(FREQUENCY(
    IF(('가압 날짜별 실적'!$E$2:$E$10025="SDC")*
       ('가압 날짜별 실적'!$I$2:$I$10025=5),
       MATCH('가압 날짜별 실적'!$D$2:$D$10025,'가압 날짜별 실적'!$D$2:$D$10025,0)),
    ROW('가압 날짜별 실적'!$D$2:$D$10025)-ROW('가압 날짜별 실적'!$D$2)+1),1))</f>
        <v>0</v>
      </c>
      <c r="H25" s="472" cm="1">
        <f t="array" ref="H25">SUM(IF(FREQUENCY(
    IF(('가압 날짜별 실적'!$E$2:$E$10025="SDC")*
       ('가압 날짜별 실적'!$I$2:$I$10025=6),
       MATCH('가압 날짜별 실적'!$D$2:$D$10025,'가압 날짜별 실적'!$D$2:$D$10025,0)),
    ROW('가압 날짜별 실적'!$D$2:$D$10025)-ROW('가압 날짜별 실적'!$D$2)+1),1))</f>
        <v>0</v>
      </c>
      <c r="I25" s="472" cm="1">
        <f t="array" ref="I25">SUM(IF(FREQUENCY(
    IF(('가압 날짜별 실적'!$E$2:$E$10025="SDC")*
       ('가압 날짜별 실적'!$I$2:$I$10025=7),
       MATCH('가압 날짜별 실적'!$D$2:$D$10025,'가압 날짜별 실적'!$D$2:$D$10025,0)),
    ROW('가압 날짜별 실적'!$D$2:$D$10025)-ROW('가압 날짜별 실적'!$D$2)+1),1))</f>
        <v>0</v>
      </c>
      <c r="J25" s="472" cm="1">
        <f t="array" ref="J25">SUM(IF(FREQUENCY(
    IF(('가압 날짜별 실적'!$E$2:$E$10025="SDC")*
       ('가압 날짜별 실적'!$I$2:$I$10025=8),
       MATCH('가압 날짜별 실적'!$D$2:$D$10025,'가압 날짜별 실적'!$D$2:$D$10025,0)),
    ROW('가압 날짜별 실적'!$D$2:$D$10025)-ROW('가압 날짜별 실적'!$D$2)+1),1))</f>
        <v>0</v>
      </c>
      <c r="K25" s="472" cm="1">
        <f t="array" ref="K25">SUM(IF(FREQUENCY(
    IF(('가압 날짜별 실적'!$E$2:$E$10025="SDC")*
       ('가압 날짜별 실적'!$I$2:$I$10025=9),
       MATCH('가압 날짜별 실적'!$D$2:$D$10025,'가압 날짜별 실적'!$D$2:$D$10025,0)),
    ROW('가압 날짜별 실적'!$D$2:$D$10025)-ROW('가압 날짜별 실적'!$D$2)+1),1))</f>
        <v>0</v>
      </c>
      <c r="L25" s="472" cm="1">
        <f t="array" ref="L25">SUM(IF(FREQUENCY(
    IF(('가압 날짜별 실적'!$E$2:$E$10025="SDC")*
       ('가압 날짜별 실적'!$I$2:$I$10025=10),
       MATCH('가압 날짜별 실적'!$D$2:$D$10025,'가압 날짜별 실적'!$D$2:$D$10025,0)),
    ROW('가압 날짜별 실적'!$D$2:$D$10025)-ROW('가압 날짜별 실적'!$D$2)+1),1))</f>
        <v>0</v>
      </c>
      <c r="M25" s="472" cm="1">
        <f t="array" ref="M25">SUM(IF(FREQUENCY(
    IF(('가압 날짜별 실적'!$E$2:$E$10025="SDC")*
       ('가압 날짜별 실적'!$I$2:$I$10025=11),
       MATCH('가압 날짜별 실적'!$D$2:$D$10025,'가압 날짜별 실적'!$D$2:$D$10025,0)),
    ROW('가압 날짜별 실적'!$D$2:$D$10025)-ROW('가압 날짜별 실적'!$D$2)+1),1))</f>
        <v>1</v>
      </c>
      <c r="N25" s="474" cm="1">
        <f t="array" ref="N25">SUM(IF(FREQUENCY(
    IF(('가압 날짜별 실적'!$E$2:$E$10025="SDC")*
       ('가압 날짜별 실적'!$I$2:$I$10025=12),
       MATCH('가압 날짜별 실적'!$D$2:$D$10025,'가압 날짜별 실적'!$D$2:$D$10025,0)),
    ROW('가압 날짜별 실적'!$D$2:$D$10025)-ROW('가압 날짜별 실적'!$D$2)+1),1))</f>
        <v>0</v>
      </c>
      <c r="O25" s="475">
        <f t="shared" si="4"/>
        <v>16</v>
      </c>
      <c r="P25" s="345">
        <f>O25/O7</f>
        <v>8.7145969498910684E-3</v>
      </c>
    </row>
    <row r="26" spans="2:16" ht="19.5" customHeight="1">
      <c r="B26" s="340" t="s">
        <v>1409</v>
      </c>
      <c r="C26" s="471" cm="1">
        <f t="array" ref="C26">SUM(IF(FREQUENCY(
    IF(('가압 날짜별 실적'!$E$2:$E$10025="SK-HYNIX")*
       ('가압 날짜별 실적'!$I$2:$I$10025=1),
       MATCH('가압 날짜별 실적'!$D$2:$D$10025,'가압 날짜별 실적'!$D$2:$D$10025,0)),
    ROW('가압 날짜별 실적'!$D$2:$D$10025)-ROW('가압 날짜별 실적'!$D$2)+1),1))</f>
        <v>0</v>
      </c>
      <c r="D26" s="472" cm="1">
        <f t="array" ref="D26">SUM(IF(FREQUENCY(
    IF(('가압 날짜별 실적'!$E$2:$E$10025="SK-HYNIX")*
       ('가압 날짜별 실적'!$I$2:$I$10025=2),
       MATCH('가압 날짜별 실적'!$D$2:$D$10025,'가압 날짜별 실적'!$D$2:$D$10025,0)),
    ROW('가압 날짜별 실적'!$D$2:$D$10025)-ROW('가압 날짜별 실적'!$D$2)+1),1))</f>
        <v>12</v>
      </c>
      <c r="E26" s="472" cm="1">
        <f t="array" ref="E26">SUM(IF(FREQUENCY(
    IF(('가압 날짜별 실적'!$E$2:$E$10025="SK-HYNIX")*
       ('가압 날짜별 실적'!$I$2:$I$10025=3),
       MATCH('가압 날짜별 실적'!$D$2:$D$10025,'가압 날짜별 실적'!$D$2:$D$10025,0)),
    ROW('가압 날짜별 실적'!$D$2:$D$10025)-ROW('가압 날짜별 실적'!$D$2)+1),1))</f>
        <v>43</v>
      </c>
      <c r="F26" s="472" cm="1">
        <f t="array" ref="F26">SUM(IF(FREQUENCY(
    IF(('가압 날짜별 실적'!$E$2:$E$10025="SK-HYNIX")*
       ('가압 날짜별 실적'!$I$2:$I$10025=4),
       MATCH('가압 날짜별 실적'!$D$2:$D$10025,'가압 날짜별 실적'!$D$2:$D$10025,0)),
    ROW('가압 날짜별 실적'!$D$2:$D$10025)-ROW('가압 날짜별 실적'!$D$2)+1),1))</f>
        <v>11</v>
      </c>
      <c r="G26" s="472" cm="1">
        <f t="array" ref="G26">SUM(IF(FREQUENCY(
    IF(('가압 날짜별 실적'!$E$2:$E$10025="SK-HYNIX")*
       ('가압 날짜별 실적'!$I$2:$I$10025=5),
       MATCH('가압 날짜별 실적'!$D$2:$D$10025,'가압 날짜별 실적'!$D$2:$D$10025,0)),
    ROW('가압 날짜별 실적'!$D$2:$D$10025)-ROW('가압 날짜별 실적'!$D$2)+1),1))</f>
        <v>5</v>
      </c>
      <c r="H26" s="472" cm="1">
        <f t="array" ref="H26">SUM(IF(FREQUENCY(
    IF(('가압 날짜별 실적'!$E$2:$E$10025="SK-HYNIX")*
       ('가압 날짜별 실적'!$I$2:$I$10025=6),
       MATCH('가압 날짜별 실적'!$D$2:$D$10025,'가압 날짜별 실적'!$D$2:$D$10025,0)),
    ROW('가압 날짜별 실적'!$D$2:$D$10025)-ROW('가압 날짜별 실적'!$D$2)+1),1))</f>
        <v>0</v>
      </c>
      <c r="I26" s="472" cm="1">
        <f t="array" ref="I26">SUM(IF(FREQUENCY(
    IF(('가압 날짜별 실적'!$E$2:$E$10025="SK-HYNIX")*
       ('가압 날짜별 실적'!$I$2:$I$10025=7),
       MATCH('가압 날짜별 실적'!$D$2:$D$10025,'가압 날짜별 실적'!$D$2:$D$10025,0)),
    ROW('가압 날짜별 실적'!$D$2:$D$10025)-ROW('가압 날짜별 실적'!$D$2)+1),1))</f>
        <v>1</v>
      </c>
      <c r="J26" s="472" cm="1">
        <f t="array" ref="J26">SUM(IF(FREQUENCY(
    IF(('가압 날짜별 실적'!$E$2:$E$10025="SK-HYNIX")*
       ('가압 날짜별 실적'!$I$2:$I$10025=8),
       MATCH('가압 날짜별 실적'!$D$2:$D$10025,'가압 날짜별 실적'!$D$2:$D$10025,0)),
    ROW('가압 날짜별 실적'!$D$2:$D$10025)-ROW('가압 날짜별 실적'!$D$2)+1),1))</f>
        <v>0</v>
      </c>
      <c r="K26" s="472" cm="1">
        <f t="array" ref="K26">SUM(IF(FREQUENCY(
    IF(('가압 날짜별 실적'!$E$2:$E$10025="SK-HYNIX")*
       ('가압 날짜별 실적'!$I$2:$I$10025=9),
       MATCH('가압 날짜별 실적'!$D$2:$D$10025,'가압 날짜별 실적'!$D$2:$D$10025,0)),
    ROW('가압 날짜별 실적'!$D$2:$D$10025)-ROW('가압 날짜별 실적'!$D$2)+1),1))</f>
        <v>8</v>
      </c>
      <c r="L26" s="472" cm="1">
        <f t="array" ref="L26">SUM(IF(FREQUENCY(
    IF(('가압 날짜별 실적'!$E$2:$E$10025="SK-HYNIX")*
       ('가압 날짜별 실적'!$I$2:$I$10025=10),
       MATCH('가압 날짜별 실적'!$D$2:$D$10025,'가압 날짜별 실적'!$D$2:$D$10025,0)),
    ROW('가압 날짜별 실적'!$D$2:$D$10025)-ROW('가압 날짜별 실적'!$D$2)+1),1))</f>
        <v>0</v>
      </c>
      <c r="M26" s="472" cm="1">
        <f t="array" ref="M26">SUM(IF(FREQUENCY(
    IF(('가압 날짜별 실적'!$E$2:$E$10025="SK-HYNIX")*
       ('가압 날짜별 실적'!$I$2:$I$10025=11),
       MATCH('가압 날짜별 실적'!$D$2:$D$10025,'가압 날짜별 실적'!$D$2:$D$10025,0)),
    ROW('가압 날짜별 실적'!$D$2:$D$10025)-ROW('가압 날짜별 실적'!$D$2)+1),1))</f>
        <v>2</v>
      </c>
      <c r="N26" s="474" cm="1">
        <f t="array" ref="N26">SUM(IF(FREQUENCY(
    IF(('가압 날짜별 실적'!$E$2:$E$10025="SK-HYNIX")*
       ('가압 날짜별 실적'!$I$2:$I$10025=12),
       MATCH('가압 날짜별 실적'!$D$2:$D$10025,'가압 날짜별 실적'!$D$2:$D$10025,0)),
    ROW('가압 날짜별 실적'!$D$2:$D$10025)-ROW('가압 날짜별 실적'!$D$2)+1),1))</f>
        <v>8</v>
      </c>
      <c r="O26" s="475">
        <f t="shared" si="4"/>
        <v>90</v>
      </c>
      <c r="P26" s="345">
        <f>O26/O7</f>
        <v>4.9019607843137254E-2</v>
      </c>
    </row>
    <row r="27" spans="2:16" ht="19.5" customHeight="1">
      <c r="B27" s="341" t="s">
        <v>1392</v>
      </c>
      <c r="C27" s="476" cm="1">
        <f t="array" ref="C27">SUM(IF(FREQUENCY(
    IF(('가압 날짜별 실적'!$E$2:$E$10025="PV")*
       ('가압 날짜별 실적'!$I$2:$I$10025=1),
       MATCH('가압 날짜별 실적'!$D$2:$D$10025,'가압 날짜별 실적'!$D$2:$D$10025,0)),
    ROW('가압 날짜별 실적'!$D$2:$D$10025)-ROW('가압 날짜별 실적'!$D$2)+1),1))</f>
        <v>1</v>
      </c>
      <c r="D27" s="477" cm="1">
        <f t="array" ref="D27">SUM(IF(FREQUENCY(
    IF(('가압 날짜별 실적'!$E$2:$E$10025="PV")*
       ('가압 날짜별 실적'!$I$2:$I$10025=2),
       MATCH('가압 날짜별 실적'!$D$2:$D$10025,'가압 날짜별 실적'!$D$2:$D$10025,0)),
    ROW('가압 날짜별 실적'!$D$2:$D$10025)-ROW('가압 날짜별 실적'!$D$2)+1),1))</f>
        <v>1</v>
      </c>
      <c r="E27" s="477" cm="1">
        <f t="array" ref="E27">SUM(IF(FREQUENCY(
    IF(('가압 날짜별 실적'!$E$2:$E$10025="PV")*
       ('가압 날짜별 실적'!$I$2:$I$10025=3),
       MATCH('가압 날짜별 실적'!$D$2:$D$10025,'가압 날짜별 실적'!$D$2:$D$10025,0)),
    ROW('가압 날짜별 실적'!$D$2:$D$10025)-ROW('가압 날짜별 실적'!$D$2)+1),1))</f>
        <v>0</v>
      </c>
      <c r="F27" s="477" cm="1">
        <f t="array" ref="F27">SUM(IF(FREQUENCY(
    IF(('가압 날짜별 실적'!$E$2:$E$10025="PV")*
       ('가압 날짜별 실적'!$I$2:$I$10025=4),
       MATCH('가압 날짜별 실적'!$D$2:$D$10025,'가압 날짜별 실적'!$D$2:$D$10025,0)),
    ROW('가압 날짜별 실적'!$D$2:$D$10025)-ROW('가압 날짜별 실적'!$D$2)+1),1))</f>
        <v>0</v>
      </c>
      <c r="G27" s="477" cm="1">
        <f t="array" ref="G27">SUM(IF(FREQUENCY(
    IF(('가압 날짜별 실적'!$E$2:$E$10025="PV")*
       ('가압 날짜별 실적'!$I$2:$I$10025=5),
       MATCH('가압 날짜별 실적'!$D$2:$D$10025,'가압 날짜별 실적'!$D$2:$D$10025,0)),
    ROW('가압 날짜별 실적'!$D$2:$D$10025)-ROW('가압 날짜별 실적'!$D$2)+1),1))</f>
        <v>0</v>
      </c>
      <c r="H27" s="477" cm="1">
        <f t="array" ref="H27">SUM(IF(FREQUENCY(
    IF(('가압 날짜별 실적'!$E$2:$E$10025="PV")*
       ('가압 날짜별 실적'!$I$2:$I$10025=6),
       MATCH('가압 날짜별 실적'!$D$2:$D$10025,'가압 날짜별 실적'!$D$2:$D$10025,0)),
    ROW('가압 날짜별 실적'!$D$2:$D$10025)-ROW('가압 날짜별 실적'!$D$2)+1),1))</f>
        <v>0</v>
      </c>
      <c r="I27" s="477" cm="1">
        <f t="array" ref="I27">SUM(IF(FREQUENCY(
    IF(('가압 날짜별 실적'!$E$2:$E$10025="PV")*
       ('가압 날짜별 실적'!$I$2:$I$10025=7),
       MATCH('가압 날짜별 실적'!$D$2:$D$10025,'가압 날짜별 실적'!$D$2:$D$10025,0)),
    ROW('가압 날짜별 실적'!$D$2:$D$10025)-ROW('가압 날짜별 실적'!$D$2)+1),1))</f>
        <v>0</v>
      </c>
      <c r="J27" s="477" cm="1">
        <f t="array" ref="J27">SUM(IF(FREQUENCY(
    IF(('가압 날짜별 실적'!$E$2:$E$10025="PV")*
       ('가압 날짜별 실적'!$I$2:$I$10025=8),
       MATCH('가압 날짜별 실적'!$D$2:$D$10025,'가압 날짜별 실적'!$D$2:$D$10025,0)),
    ROW('가압 날짜별 실적'!$D$2:$D$10025)-ROW('가압 날짜별 실적'!$D$2)+1),1))</f>
        <v>0</v>
      </c>
      <c r="K27" s="477" cm="1">
        <f t="array" ref="K27">SUM(IF(FREQUENCY(
    IF(('가압 날짜별 실적'!$E$2:$E$10025="PV")*
       ('가압 날짜별 실적'!$I$2:$I$10025=9),
       MATCH('가압 날짜별 실적'!$D$2:$D$10025,'가압 날짜별 실적'!$D$2:$D$10025,0)),
    ROW('가압 날짜별 실적'!$D$2:$D$10025)-ROW('가압 날짜별 실적'!$D$2)+1),1))</f>
        <v>2</v>
      </c>
      <c r="L27" s="477" cm="1">
        <f t="array" ref="L27">SUM(IF(FREQUENCY(
    IF(('가압 날짜별 실적'!$E$2:$E$10025="PV")*
       ('가압 날짜별 실적'!$I$2:$I$10025=10),
       MATCH('가압 날짜별 실적'!$D$2:$D$10025,'가압 날짜별 실적'!$D$2:$D$10025,0)),
    ROW('가압 날짜별 실적'!$D$2:$D$10025)-ROW('가압 날짜별 실적'!$D$2)+1),1))</f>
        <v>0</v>
      </c>
      <c r="M27" s="477" cm="1">
        <f t="array" ref="M27">SUM(IF(FREQUENCY(
    IF(('가압 날짜별 실적'!$E$2:$E$10025="PV")*
       ('가압 날짜별 실적'!$I$2:$I$10025=11),
       MATCH('가압 날짜별 실적'!$D$2:$D$10025,'가압 날짜별 실적'!$D$2:$D$10025,0)),
    ROW('가압 날짜별 실적'!$D$2:$D$10025)-ROW('가압 날짜별 실적'!$D$2)+1),1))</f>
        <v>2</v>
      </c>
      <c r="N27" s="478" cm="1">
        <f t="array" ref="N27">SUM(IF(FREQUENCY(
    IF(('가압 날짜별 실적'!$E$2:$E$10025="PV")*
       ('가압 날짜별 실적'!$I$2:$I$10025=12),
       MATCH('가압 날짜별 실적'!$D$2:$D$10025,'가압 날짜별 실적'!$D$2:$D$10025,0)),
    ROW('가압 날짜별 실적'!$D$2:$D$10025)-ROW('가압 날짜별 실적'!$D$2)+1),1))</f>
        <v>3</v>
      </c>
      <c r="O27" s="479">
        <f t="shared" si="4"/>
        <v>9</v>
      </c>
      <c r="P27" s="347">
        <f>O27/O7</f>
        <v>4.9019607843137254E-3</v>
      </c>
    </row>
    <row r="28" spans="2:16" ht="19.5" customHeight="1">
      <c r="B28" s="348" t="s">
        <v>6520</v>
      </c>
      <c r="C28" s="481">
        <f>C7-(SUM(C14:C27))</f>
        <v>0</v>
      </c>
      <c r="D28" s="482">
        <f>D7-(SUM(D14:D27))</f>
        <v>3</v>
      </c>
      <c r="E28" s="482">
        <f t="shared" ref="E28:O28" si="5">E7-(SUM(E14:E27))</f>
        <v>4</v>
      </c>
      <c r="F28" s="482">
        <f t="shared" si="5"/>
        <v>4</v>
      </c>
      <c r="G28" s="482">
        <f t="shared" si="5"/>
        <v>2</v>
      </c>
      <c r="H28" s="482">
        <f t="shared" si="5"/>
        <v>7</v>
      </c>
      <c r="I28" s="482">
        <f t="shared" si="5"/>
        <v>2</v>
      </c>
      <c r="J28" s="482">
        <f t="shared" si="5"/>
        <v>2</v>
      </c>
      <c r="K28" s="482">
        <f t="shared" si="5"/>
        <v>4</v>
      </c>
      <c r="L28" s="482">
        <f t="shared" si="5"/>
        <v>5</v>
      </c>
      <c r="M28" s="482">
        <f t="shared" si="5"/>
        <v>0</v>
      </c>
      <c r="N28" s="483">
        <f t="shared" si="5"/>
        <v>28</v>
      </c>
      <c r="O28" s="484">
        <f t="shared" si="5"/>
        <v>61</v>
      </c>
      <c r="P28" s="346">
        <f>O28/O7</f>
        <v>3.3224400871459697E-2</v>
      </c>
    </row>
    <row r="29" spans="2:16" ht="17.25">
      <c r="B29" s="356" t="s">
        <v>6521</v>
      </c>
      <c r="C29" s="899" t="s">
        <v>6522</v>
      </c>
      <c r="D29" s="900"/>
      <c r="E29" s="900"/>
      <c r="F29" s="900"/>
      <c r="G29" s="900"/>
      <c r="H29" s="900"/>
      <c r="I29" s="900"/>
      <c r="J29" s="900"/>
      <c r="K29" s="900"/>
      <c r="L29" s="900"/>
      <c r="M29" s="900"/>
      <c r="N29" s="900"/>
      <c r="O29" s="901"/>
      <c r="P29" s="354" t="s">
        <v>6518</v>
      </c>
    </row>
    <row r="30" spans="2:16" ht="19.5" customHeight="1">
      <c r="B30" s="349" t="s">
        <v>2184</v>
      </c>
      <c r="C30" s="467" cm="1">
        <f t="array" ref="C30">SUM(IF(FREQUENCY(
    IF(('가압 날짜별 실적'!$F$2:$F$10025="DRAGON AB")*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D30" s="468" cm="1">
        <f t="array" ref="D30">SUM(IF(FREQUENCY(
    IF(('가압 날짜별 실적'!$F$2:$F$10025="DRAGON AB")*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E30" s="468" cm="1">
        <f t="array" ref="E30">SUM(IF(FREQUENCY(
    IF(('가압 날짜별 실적'!$F$2:$F$10025="DRAGON AB")*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F30" s="468" cm="1">
        <f t="array" ref="F30">SUM(IF(FREQUENCY(
    IF(('가압 날짜별 실적'!$F$2:$F$10025="DRAGON AB")*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G30" s="468" cm="1">
        <f t="array" ref="G30">SUM(IF(FREQUENCY(
    IF(('가압 날짜별 실적'!$F$2:$F$10025="DRAGON AB")*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H30" s="468" cm="1">
        <f t="array" ref="H30">SUM(IF(FREQUENCY(
    IF(('가압 날짜별 실적'!$F$2:$F$10025="DRAGON AB")*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I30" s="468" cm="1">
        <f t="array" ref="I30">SUM(IF(FREQUENCY(
    IF(('가압 날짜별 실적'!$F$2:$F$10025="DRAGON AB")*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J30" s="468" cm="1">
        <f t="array" ref="J30">SUM(IF(FREQUENCY(
    IF(('가압 날짜별 실적'!$F$2:$F$10025="DRAGON AB")*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K30" s="468" cm="1">
        <f t="array" ref="K30">SUM(IF(FREQUENCY(
    IF(('가압 날짜별 실적'!$F$2:$F$10025="DRAGON AB")*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L30" s="468" cm="1">
        <f t="array" ref="L30">SUM(IF(FREQUENCY(
    IF(('가압 날짜별 실적'!$F$2:$F$10025="DRAGON AB")*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M30" s="468" cm="1">
        <f t="array" ref="M30">SUM(IF(FREQUENCY(
    IF(('가압 날짜별 실적'!$F$2:$F$10025="DRAGON AB")*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N30" s="469" cm="1">
        <f t="array" ref="N30">SUM(IF(FREQUENCY(
    IF(('가압 날짜별 실적'!$F$2:$F$10025="DRAGON AB")*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O30" s="485">
        <f>SUM(C30:N30)</f>
        <v>1</v>
      </c>
      <c r="P30" s="360">
        <f>O30/O7</f>
        <v>5.4466230936819177E-4</v>
      </c>
    </row>
    <row r="31" spans="2:16" ht="19.5" customHeight="1">
      <c r="B31" s="340" t="s">
        <v>1911</v>
      </c>
      <c r="C31" s="486" cm="1">
        <f t="array" ref="C31">SUM(IF(FREQUENCY(
    IF(('가압 날짜별 실적'!$F$2:$F$10025="DRAGON AB DUAL")*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D31" s="487" cm="1">
        <f t="array" ref="D31">SUM(IF(FREQUENCY(
    IF(('가압 날짜별 실적'!$F$2:$F$10025="DRAGON AB DUAL")*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E31" s="487" cm="1">
        <f t="array" ref="E31">SUM(IF(FREQUENCY(
    IF(('가압 날짜별 실적'!$F$2:$F$10025="DRAGON AB DUAL")*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2</v>
      </c>
      <c r="F31" s="487" cm="1">
        <f t="array" ref="F31">SUM(IF(FREQUENCY(
    IF(('가압 날짜별 실적'!$F$2:$F$10025="DRAGON AB DUAL")*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G31" s="487" cm="1">
        <f t="array" ref="G31">SUM(IF(FREQUENCY(
    IF(('가압 날짜별 실적'!$F$2:$F$10025="DRAGON AB DUAL")*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H31" s="487" cm="1">
        <f t="array" ref="H31">SUM(IF(FREQUENCY(
    IF(('가압 날짜별 실적'!$F$2:$F$10025="DRAGON AB DUAL")*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I31" s="487" cm="1">
        <f t="array" ref="I31">SUM(IF(FREQUENCY(
    IF(('가압 날짜별 실적'!$F$2:$F$10025="DRAGON AB DUAL")*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J31" s="487" cm="1">
        <f t="array" ref="J31">SUM(IF(FREQUENCY(
    IF(('가압 날짜별 실적'!$F$2:$F$10025="DRAGON AB DUAL")*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K31" s="487" cm="1">
        <f t="array" ref="K31">SUM(IF(FREQUENCY(
    IF(('가압 날짜별 실적'!$F$2:$F$10025="DRAGON AB DUAL")*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L31" s="487" cm="1">
        <f t="array" ref="L31">SUM(IF(FREQUENCY(
    IF(('가압 날짜별 실적'!$F$2:$F$10025="DRAGON AB DUAL")*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M31" s="487" cm="1">
        <f t="array" ref="M31">SUM(IF(FREQUENCY(
    IF(('가압 날짜별 실적'!$F$2:$F$10025="DRAGON AB DUAL")*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N31" s="488" cm="1">
        <f t="array" ref="N31">SUM(IF(FREQUENCY(
    IF(('가압 날짜별 실적'!$F$2:$F$10025="DRAGON AB DUAL")*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O31" s="489">
        <f t="shared" ref="O31:O50" si="6">SUM(C31:N31)</f>
        <v>6</v>
      </c>
      <c r="P31" s="361">
        <f>O31/O7</f>
        <v>3.2679738562091504E-3</v>
      </c>
    </row>
    <row r="32" spans="2:16" ht="19.5" customHeight="1">
      <c r="B32" s="340" t="s">
        <v>1616</v>
      </c>
      <c r="C32" s="486" cm="1">
        <f t="array" ref="C32">SUM(IF(FREQUENCY(
    IF(('가압 날짜별 실적'!$F$2:$F$10025="DRAGON LE")*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D32" s="487" cm="1">
        <f t="array" ref="D32">SUM(IF(FREQUENCY(
    IF(('가압 날짜별 실적'!$F$2:$F$10025="DRAGON LE")*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2</v>
      </c>
      <c r="E32" s="487" cm="1">
        <f t="array" ref="E32">SUM(IF(FREQUENCY(
    IF(('가압 날짜별 실적'!$F$2:$F$10025="DRAGON LE")*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8</v>
      </c>
      <c r="F32" s="487" cm="1">
        <f t="array" ref="F32">SUM(IF(FREQUENCY(
    IF(('가압 날짜별 실적'!$F$2:$F$10025="DRAGON LE")*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10</v>
      </c>
      <c r="G32" s="487" cm="1">
        <f t="array" ref="G32">SUM(IF(FREQUENCY(
    IF(('가압 날짜별 실적'!$F$2:$F$10025="DRAGON LE")*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2</v>
      </c>
      <c r="H32" s="487" cm="1">
        <f t="array" ref="H32">SUM(IF(FREQUENCY(
    IF(('가압 날짜별 실적'!$F$2:$F$10025="DRAGON LE")*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I32" s="487" cm="1">
        <f t="array" ref="I32">SUM(IF(FREQUENCY(
    IF(('가압 날짜별 실적'!$F$2:$F$10025="DRAGON LE")*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4</v>
      </c>
      <c r="J32" s="487" cm="1">
        <f t="array" ref="J32">SUM(IF(FREQUENCY(
    IF(('가압 날짜별 실적'!$F$2:$F$10025="DRAGON LE")*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8</v>
      </c>
      <c r="K32" s="487" cm="1">
        <f t="array" ref="K32">SUM(IF(FREQUENCY(
    IF(('가압 날짜별 실적'!$F$2:$F$10025="DRAGON LE")*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L32" s="487" cm="1">
        <f t="array" ref="L32">SUM(IF(FREQUENCY(
    IF(('가압 날짜별 실적'!$F$2:$F$10025="DRAGON LE")*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2</v>
      </c>
      <c r="M32" s="487" cm="1">
        <f t="array" ref="M32">SUM(IF(FREQUENCY(
    IF(('가압 날짜별 실적'!$F$2:$F$10025="DRAGON LE")*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N32" s="488" cm="1">
        <f t="array" ref="N32">SUM(IF(FREQUENCY(
    IF(('가압 날짜별 실적'!$F$2:$F$10025="DRAGON LE")*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2</v>
      </c>
      <c r="O32" s="489">
        <f t="shared" si="6"/>
        <v>62</v>
      </c>
      <c r="P32" s="361">
        <f>O32/O7</f>
        <v>3.3769063180827889E-2</v>
      </c>
    </row>
    <row r="33" spans="2:16" ht="19.5" customHeight="1">
      <c r="B33" s="341" t="s">
        <v>1581</v>
      </c>
      <c r="C33" s="490" cm="1">
        <f t="array" ref="C33">SUM(IF(FREQUENCY(
    IF(('가압 날짜별 실적'!$F$2:$F$10025="DRAGON LE DUAL")*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13</v>
      </c>
      <c r="D33" s="491" cm="1">
        <f t="array" ref="D33">SUM(IF(FREQUENCY(
    IF(('가압 날짜별 실적'!$F$2:$F$10025="DRAGON LE DUAL")*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E33" s="491" cm="1">
        <f t="array" ref="E33">SUM(IF(FREQUENCY(
    IF(('가압 날짜별 실적'!$F$2:$F$10025="DRAGON LE DUAL")*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4</v>
      </c>
      <c r="F33" s="491" cm="1">
        <f t="array" ref="F33">SUM(IF(FREQUENCY(
    IF(('가압 날짜별 실적'!$F$2:$F$10025="DRAGON LE DUAL")*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10</v>
      </c>
      <c r="G33" s="491" cm="1">
        <f t="array" ref="G33">SUM(IF(FREQUENCY(
    IF(('가압 날짜별 실적'!$F$2:$F$10025="DRAGON LE DUAL")*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14</v>
      </c>
      <c r="H33" s="491" cm="1">
        <f t="array" ref="H33">SUM(IF(FREQUENCY(
    IF(('가압 날짜별 실적'!$F$2:$F$10025="DRAGON LE DUAL")*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I33" s="491" cm="1">
        <f t="array" ref="I33">SUM(IF(FREQUENCY(
    IF(('가압 날짜별 실적'!$F$2:$F$10025="DRAGON LE DUAL")*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2</v>
      </c>
      <c r="J33" s="491" cm="1">
        <f t="array" ref="J33">SUM(IF(FREQUENCY(
    IF(('가압 날짜별 실적'!$F$2:$F$10025="DRAGON LE DUAL")*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K33" s="491" cm="1">
        <f t="array" ref="K33">SUM(IF(FREQUENCY(
    IF(('가압 날짜별 실적'!$F$2:$F$10025="DRAGON LE DUAL")*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L33" s="492" cm="1">
        <f t="array" ref="L33">SUM(IF(FREQUENCY(
    IF(('가압 날짜별 실적'!$F$2:$F$10025="DRAGON LE DUAL")*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2</v>
      </c>
      <c r="M33" s="491" cm="1">
        <f t="array" ref="M33">SUM(IF(FREQUENCY(
    IF(('가압 날짜별 실적'!$F$2:$F$10025="DRAGON LE DUAL")*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N33" s="493" cm="1">
        <f t="array" ref="N33">SUM(IF(FREQUENCY(
    IF(('가압 날짜별 실적'!$F$2:$F$10025="DRAGON LE DUAL")*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O33" s="494">
        <f t="shared" si="6"/>
        <v>66</v>
      </c>
      <c r="P33" s="362">
        <f>O33/O7</f>
        <v>3.5947712418300651E-2</v>
      </c>
    </row>
    <row r="34" spans="2:16" ht="19.5" customHeight="1">
      <c r="B34" s="348" t="s">
        <v>1591</v>
      </c>
      <c r="C34" s="495" cm="1">
        <f t="array" ref="C34">SUM(IF(FREQUENCY(
    IF(('가압 날짜별 실적'!$F$2:$F$10025="GAIA-I")*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29</v>
      </c>
      <c r="D34" s="496" cm="1">
        <f t="array" ref="D34">SUM(IF(FREQUENCY(
    IF(('가압 날짜별 실적'!$F$2:$F$10025="GAIA-I")*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49</v>
      </c>
      <c r="E34" s="496" cm="1">
        <f t="array" ref="E34">SUM(IF(FREQUENCY(
    IF(('가압 날짜별 실적'!$F$2:$F$10025="GAIA-I")*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10</v>
      </c>
      <c r="F34" s="496" cm="1">
        <f t="array" ref="F34">SUM(IF(FREQUENCY(
    IF(('가압 날짜별 실적'!$F$2:$F$10025="GAIA-I")*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10</v>
      </c>
      <c r="G34" s="496" cm="1">
        <f t="array" ref="G34">SUM(IF(FREQUENCY(
    IF(('가압 날짜별 실적'!$F$2:$F$10025="GAIA-I")*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10</v>
      </c>
      <c r="H34" s="496" cm="1">
        <f t="array" ref="H34">SUM(IF(FREQUENCY(
    IF(('가압 날짜별 실적'!$F$2:$F$10025="GAIA-I")*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40</v>
      </c>
      <c r="I34" s="496" cm="1">
        <f t="array" ref="I34">SUM(IF(FREQUENCY(
    IF(('가압 날짜별 실적'!$F$2:$F$10025="GAIA-I")*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61</v>
      </c>
      <c r="J34" s="496" cm="1">
        <f t="array" ref="J34">SUM(IF(FREQUENCY(
    IF(('가압 날짜별 실적'!$F$2:$F$10025="GAIA-I")*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36</v>
      </c>
      <c r="K34" s="496" cm="1">
        <f t="array" ref="K34">SUM(IF(FREQUENCY(
    IF(('가압 날짜별 실적'!$F$2:$F$10025="GAIA-I")*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53</v>
      </c>
      <c r="L34" s="496" cm="1">
        <f t="array" ref="L34">SUM(IF(FREQUENCY(
    IF(('가압 날짜별 실적'!$F$2:$F$10025="GAIA-I")*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42</v>
      </c>
      <c r="M34" s="496" cm="1">
        <f t="array" ref="M34">SUM(IF(FREQUENCY(
    IF(('가압 날짜별 실적'!$F$2:$F$10025="GAIA-I")*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49</v>
      </c>
      <c r="N34" s="497" cm="1">
        <f t="array" ref="N34">SUM(IF(FREQUENCY(
    IF(('가압 날짜별 실적'!$F$2:$F$10025="GAIA-I")*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16</v>
      </c>
      <c r="O34" s="498">
        <f t="shared" si="6"/>
        <v>405</v>
      </c>
      <c r="P34" s="363">
        <f>O34/O7</f>
        <v>0.22058823529411764</v>
      </c>
    </row>
    <row r="35" spans="2:16" ht="19.5" customHeight="1">
      <c r="B35" s="382" t="s">
        <v>6523</v>
      </c>
      <c r="C35" s="499" cm="1">
        <f t="array" ref="C35">ROWS(
  _xlfn.UNIQUE(
    _xlfn._xlws.FILTER(
      '가압 날짜별 실적'!$D$2:$D$10023,
      (TRIM('가압 날짜별 실적'!$F$2:$F$10023)="GAIA-I")*
      ISNUMBER(MATCH(TRIM('가압 날짜별 실적'!$E$2:$E$10023),{"MICRON TW","MICRON SG","MICRON VA"},0))*
      (VALUE('가압 날짜별 실적'!$I$2:$I$10023)=1)*
      ('가압 날짜별 실적'!$D$2:$D$10023&lt;&gt;"")
    )
  )
)</f>
        <v>2</v>
      </c>
      <c r="D35" s="500" cm="1">
        <f t="array" ref="D35">ROWS(
  _xlfn.UNIQUE(
    _xlfn._xlws.FILTER(
      '가압 날짜별 실적'!$D$2:$D$10023,
      (TRIM('가압 날짜별 실적'!$F$2:$F$10023)="GAIA-I")*
      ISNUMBER(MATCH(TRIM('가압 날짜별 실적'!$E$2:$E$10023),{"MICRON TW","MICRON SG","MICRON VA"},0))*
      (VALUE('가압 날짜별 실적'!$I$2:$I$10023)=2)*
      ('가압 날짜별 실적'!$D$2:$D$10023&lt;&gt;"")
    )
  )
)</f>
        <v>2</v>
      </c>
      <c r="E35" s="500" cm="1">
        <f t="array" ref="E35">ROWS(
  _xlfn.UNIQUE(
    _xlfn._xlws.FILTER(
      '가압 날짜별 실적'!$D$2:$D$10023,
      (TRIM('가압 날짜별 실적'!$F$2:$F$10023)="GAIA-I")*
      ISNUMBER(MATCH(TRIM('가압 날짜별 실적'!$E$2:$E$10023),{"MICRON TW","MICRON SG","MICRON VA"},0))*
      (VALUE('가압 날짜별 실적'!$I$2:$I$10023)=3)*
      ('가압 날짜별 실적'!$D$2:$D$10023&lt;&gt;"")
    )
  )
)</f>
        <v>2</v>
      </c>
      <c r="F35" s="500" cm="1">
        <f t="array" ref="F35">ROWS(
  _xlfn.UNIQUE(
    _xlfn._xlws.FILTER(
      '가압 날짜별 실적'!$D$2:$D$10023,
      (TRIM('가압 날짜별 실적'!$F$2:$F$10023)="GAIA-I")*
      ISNUMBER(MATCH(TRIM('가압 날짜별 실적'!$E$2:$E$10023),{"MICRON TW","MICRON SG","MICRON VA"},0))*
      (VALUE('가압 날짜별 실적'!$I$2:$I$10023)=4)*
      ('가압 날짜별 실적'!$D$2:$D$10023&lt;&gt;"")
    )
  )
)</f>
        <v>2</v>
      </c>
      <c r="G35" s="500" cm="1">
        <f t="array" ref="G35">ROWS(
  _xlfn.UNIQUE(
    _xlfn._xlws.FILTER(
      '가압 날짜별 실적'!$D$2:$D$10023,
      (TRIM('가압 날짜별 실적'!$F$2:$F$10023)="GAIA-I")*
      ISNUMBER(MATCH(TRIM('가압 날짜별 실적'!$E$2:$E$10023),{"MICRON TW","MICRON SG","MICRON VA"},0))*
      (VALUE('가압 날짜별 실적'!$I$2:$I$10023)=5)*
      ('가압 날짜별 실적'!$D$2:$D$10023&lt;&gt;"")
    )
  )
)</f>
        <v>8</v>
      </c>
      <c r="H35" s="500" cm="1">
        <f t="array" ref="H35">ROWS(
  _xlfn.UNIQUE(
    _xlfn._xlws.FILTER(
      '가압 날짜별 실적'!$D$2:$D$10023,
      (TRIM('가압 날짜별 실적'!$F$2:$F$10023)="GAIA-I")*
      ISNUMBER(MATCH(TRIM('가압 날짜별 실적'!$E$2:$E$10023),{"MICRON TW","MICRON SG","MICRON VA"},0))*
      (VALUE('가압 날짜별 실적'!$I$2:$I$10023)=6)*
      ('가압 날짜별 실적'!$D$2:$D$10023&lt;&gt;"")
    )
  )
)</f>
        <v>16</v>
      </c>
      <c r="I35" s="500" cm="1">
        <f t="array" ref="I35">ROWS(
  _xlfn.UNIQUE(
    _xlfn._xlws.FILTER(
      '가압 날짜별 실적'!$D$2:$D$10023,
      (TRIM('가압 날짜별 실적'!$F$2:$F$10023)="GAIA-I")*
      ISNUMBER(MATCH(TRIM('가압 날짜별 실적'!$E$2:$E$10023),{"MICRON TW","MICRON SG","MICRON VA"},0))*
      (VALUE('가압 날짜별 실적'!$I$2:$I$10023)=7)*
      ('가압 날짜별 실적'!$D$2:$D$10023&lt;&gt;"")
    )
  )
)</f>
        <v>38</v>
      </c>
      <c r="J35" s="500" cm="1">
        <f t="array" ref="J35">ROWS(
  _xlfn.UNIQUE(
    _xlfn._xlws.FILTER(
      '가압 날짜별 실적'!$D$2:$D$10023,
      (TRIM('가압 날짜별 실적'!$F$2:$F$10023)="GAIA-I")*
      ISNUMBER(MATCH(TRIM('가압 날짜별 실적'!$E$2:$E$10023),{"MICRON TW","MICRON SG","MICRON VA"},0))*
      (VALUE('가압 날짜별 실적'!$I$2:$I$10023)=8)*
      ('가압 날짜별 실적'!$D$2:$D$10023&lt;&gt;"")
    )
  )
)</f>
        <v>22</v>
      </c>
      <c r="K35" s="500" cm="1">
        <f t="array" ref="K35">ROWS(
  _xlfn.UNIQUE(
    _xlfn._xlws.FILTER(
      '가압 날짜별 실적'!$D$2:$D$10023,
      (TRIM('가압 날짜별 실적'!$F$2:$F$10023)="GAIA-I")*
      ISNUMBER(MATCH(TRIM('가압 날짜별 실적'!$E$2:$E$10023),{"MICRON TW","MICRON SG","MICRON VA"},0))*
      (VALUE('가압 날짜별 실적'!$I$2:$I$10023)=9)*
      ('가압 날짜별 실적'!$D$2:$D$10023&lt;&gt;"")
    )
  )
)</f>
        <v>27</v>
      </c>
      <c r="L35" s="500" cm="1">
        <f t="array" ref="L35">ROWS(
  _xlfn.UNIQUE(
    _xlfn._xlws.FILTER(
      '가압 날짜별 실적'!$D$2:$D$10023,
      (TRIM('가압 날짜별 실적'!$F$2:$F$10023)="GAIA-I")*
      ISNUMBER(MATCH(TRIM('가압 날짜별 실적'!$E$2:$E$10023),{"MICRON TW","MICRON SG","MICRON VA"},0))*
      (VALUE('가압 날짜별 실적'!$I$2:$I$10023)=10)*
      ('가압 날짜별 실적'!$D$2:$D$10023&lt;&gt;"")
    )
  )
)</f>
        <v>16</v>
      </c>
      <c r="M35" s="500">
        <v>0</v>
      </c>
      <c r="N35" s="501">
        <v>0</v>
      </c>
      <c r="O35" s="502">
        <f t="shared" si="6"/>
        <v>135</v>
      </c>
      <c r="P35" s="363"/>
    </row>
    <row r="36" spans="2:16" ht="19.5" customHeight="1">
      <c r="B36" s="348" t="s">
        <v>1477</v>
      </c>
      <c r="C36" s="495" cm="1">
        <f t="array" ref="C36">SUM(IF(FREQUENCY(
    IF(('가압 날짜별 실적'!$F$2:$F$10025="GAIA-II")*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2</v>
      </c>
      <c r="D36" s="496" cm="1">
        <f t="array" ref="D36">SUM(IF(FREQUENCY(
    IF(('가압 날짜별 실적'!$F$2:$F$10025="GAIA-II")*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32</v>
      </c>
      <c r="E36" s="496" cm="1">
        <f t="array" ref="E36">SUM(IF(FREQUENCY(
    IF(('가압 날짜별 실적'!$F$2:$F$10025="GAIA-II")*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F36" s="496" cm="1">
        <f t="array" ref="F36">SUM(IF(FREQUENCY(
    IF(('가압 날짜별 실적'!$F$2:$F$10025="GAIA-II")*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8</v>
      </c>
      <c r="G36" s="496" cm="1">
        <f t="array" ref="G36">SUM(IF(FREQUENCY(
    IF(('가압 날짜별 실적'!$F$2:$F$10025="GAIA-II")*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5</v>
      </c>
      <c r="H36" s="496" cm="1">
        <f t="array" ref="H36">SUM(IF(FREQUENCY(
    IF(('가압 날짜별 실적'!$F$2:$F$10025="GAIA-II")*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I36" s="496" cm="1">
        <f t="array" ref="I36">SUM(IF(FREQUENCY(
    IF(('가압 날짜별 실적'!$F$2:$F$10025="GAIA-II")*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16</v>
      </c>
      <c r="J36" s="496" cm="1">
        <f t="array" ref="J36">SUM(IF(FREQUENCY(
    IF(('가압 날짜별 실적'!$F$2:$F$10025="GAIA-II")*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23</v>
      </c>
      <c r="K36" s="496" cm="1">
        <f t="array" ref="K36">SUM(IF(FREQUENCY(
    IF(('가압 날짜별 실적'!$F$2:$F$10025="GAIA-II")*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15</v>
      </c>
      <c r="L36" s="496" cm="1">
        <f t="array" ref="L36">SUM(IF(FREQUENCY(
    IF(('가압 날짜별 실적'!$F$2:$F$10025="GAIA-II")*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4</v>
      </c>
      <c r="M36" s="496" cm="1">
        <f t="array" ref="M36">SUM(IF(FREQUENCY(
    IF(('가압 날짜별 실적'!$F$2:$F$10025="GAIA-II")*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9</v>
      </c>
      <c r="N36" s="497" cm="1">
        <f t="array" ref="N36">SUM(IF(FREQUENCY(
    IF(('가압 날짜별 실적'!$F$2:$F$10025="GAIA-II")*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5</v>
      </c>
      <c r="O36" s="498">
        <f t="shared" si="6"/>
        <v>125</v>
      </c>
      <c r="P36" s="363">
        <f>O36/O7</f>
        <v>6.8082788671023964E-2</v>
      </c>
    </row>
    <row r="37" spans="2:16" ht="19.5" customHeight="1">
      <c r="B37" s="348" t="s">
        <v>1476</v>
      </c>
      <c r="C37" s="503" cm="1">
        <f t="array" ref="C37">SUM(IF(FREQUENCY(
    IF(('가압 날짜별 실적'!$F$2:$F$10025="GAIA-I DUAL")*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37</v>
      </c>
      <c r="D37" s="496" cm="1">
        <f t="array" ref="D37">SUM(IF(FREQUENCY(
    IF(('가압 날짜별 실적'!$F$2:$F$10025="GAIA-I DUAL")*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57</v>
      </c>
      <c r="E37" s="496" cm="1">
        <f t="array" ref="E37">SUM(IF(FREQUENCY(
    IF(('가압 날짜별 실적'!$F$2:$F$10025="GAIA-I DUAL")*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55</v>
      </c>
      <c r="F37" s="496" cm="1">
        <f t="array" ref="F37">SUM(IF(FREQUENCY(
    IF(('가압 날짜별 실적'!$F$2:$F$10025="GAIA-I DUAL")*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78</v>
      </c>
      <c r="G37" s="496" cm="1">
        <f t="array" ref="G37">SUM(IF(FREQUENCY(
    IF(('가압 날짜별 실적'!$F$2:$F$10025="GAIA-I DUAL")*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65</v>
      </c>
      <c r="H37" s="496" cm="1">
        <f t="array" ref="H37">SUM(IF(FREQUENCY(
    IF(('가압 날짜별 실적'!$F$2:$F$10025="GAIA-I DUAL")*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43</v>
      </c>
      <c r="I37" s="496" cm="1">
        <f t="array" ref="I37">SUM(IF(FREQUENCY(
    IF(('가압 날짜별 실적'!$F$2:$F$10025="GAIA-I DUAL")*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56</v>
      </c>
      <c r="J37" s="496" cm="1">
        <f t="array" ref="J37">SUM(IF(FREQUENCY(
    IF(('가압 날짜별 실적'!$F$2:$F$10025="GAIA-I DUAL")*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63</v>
      </c>
      <c r="K37" s="496" cm="1">
        <f t="array" ref="K37">SUM(IF(FREQUENCY(
    IF(('가압 날짜별 실적'!$F$2:$F$10025="GAIA-I DUAL")*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48</v>
      </c>
      <c r="L37" s="496" cm="1">
        <f t="array" ref="L37">SUM(IF(FREQUENCY(
    IF(('가압 날짜별 실적'!$F$2:$F$10025="GAIA-I DUAL")*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61</v>
      </c>
      <c r="M37" s="496" cm="1">
        <f t="array" ref="M37">SUM(IF(FREQUENCY(
    IF(('가압 날짜별 실적'!$F$2:$F$10025="GAIA-I DUAL")*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67</v>
      </c>
      <c r="N37" s="497" cm="1">
        <f t="array" ref="N37">SUM(IF(FREQUENCY(
    IF(('가압 날짜별 실적'!$F$2:$F$10025="GAIA-I DUAL")*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71</v>
      </c>
      <c r="O37" s="498">
        <f t="shared" si="6"/>
        <v>701</v>
      </c>
      <c r="P37" s="363">
        <f>O37/O7</f>
        <v>0.38180827886710239</v>
      </c>
    </row>
    <row r="38" spans="2:16" ht="24">
      <c r="B38" s="504" t="s">
        <v>6524</v>
      </c>
      <c r="C38" s="505">
        <f t="shared" ref="C38:O38" si="7">C18</f>
        <v>3</v>
      </c>
      <c r="D38" s="505">
        <f t="shared" si="7"/>
        <v>1</v>
      </c>
      <c r="E38" s="505">
        <f t="shared" si="7"/>
        <v>1</v>
      </c>
      <c r="F38" s="505">
        <f t="shared" si="7"/>
        <v>1</v>
      </c>
      <c r="G38" s="505">
        <f t="shared" si="7"/>
        <v>3</v>
      </c>
      <c r="H38" s="505">
        <f t="shared" si="7"/>
        <v>7</v>
      </c>
      <c r="I38" s="505">
        <f t="shared" si="7"/>
        <v>20</v>
      </c>
      <c r="J38" s="505">
        <f t="shared" si="7"/>
        <v>6</v>
      </c>
      <c r="K38" s="505">
        <f t="shared" si="7"/>
        <v>13</v>
      </c>
      <c r="L38" s="505">
        <f t="shared" si="7"/>
        <v>3</v>
      </c>
      <c r="M38" s="505">
        <f t="shared" si="7"/>
        <v>6</v>
      </c>
      <c r="N38" s="506">
        <f t="shared" si="7"/>
        <v>7</v>
      </c>
      <c r="O38" s="507">
        <f t="shared" si="7"/>
        <v>71</v>
      </c>
      <c r="P38" s="364"/>
    </row>
    <row r="39" spans="2:16" ht="19.5" customHeight="1">
      <c r="B39" s="355" t="s">
        <v>1478</v>
      </c>
      <c r="C39" s="508" cm="1">
        <f t="array" ref="C39">SUM(IF(FREQUENCY(
    IF(('가압 날짜별 실적'!$F$2:$F$10025="GAIA-II DUAL")*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D39" s="509" cm="1">
        <f t="array" ref="D39">SUM(IF(FREQUENCY(
    IF(('가압 날짜별 실적'!$F$2:$F$10025="GAIA-II DUAL")*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E39" s="509" cm="1">
        <f t="array" ref="E39">SUM(IF(FREQUENCY(
    IF(('가압 날짜별 실적'!$F$2:$F$10025="GAIA-II DUAL")*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3</v>
      </c>
      <c r="F39" s="509" cm="1">
        <f t="array" ref="F39">SUM(IF(FREQUENCY(
    IF(('가압 날짜별 실적'!$F$2:$F$10025="GAIA-II DUAL")*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G39" s="509" cm="1">
        <f t="array" ref="G39">SUM(IF(FREQUENCY(
    IF(('가압 날짜별 실적'!$F$2:$F$10025="GAIA-II DUAL")*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H39" s="509" cm="1">
        <f t="array" ref="H39">SUM(IF(FREQUENCY(
    IF(('가압 날짜별 실적'!$F$2:$F$10025="GAIA-II DUAL")*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5</v>
      </c>
      <c r="I39" s="509" cm="1">
        <f t="array" ref="I39">SUM(IF(FREQUENCY(
    IF(('가압 날짜별 실적'!$F$2:$F$10025="GAIA-II DUAL")*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J39" s="509" cm="1">
        <f t="array" ref="J39">SUM(IF(FREQUENCY(
    IF(('가압 날짜별 실적'!$F$2:$F$10025="GAIA-II DUAL")*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2</v>
      </c>
      <c r="K39" s="509" cm="1">
        <f t="array" ref="K39">SUM(IF(FREQUENCY(
    IF(('가압 날짜별 실적'!$F$2:$F$10025="GAIA-II DUAL")*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8</v>
      </c>
      <c r="L39" s="509" cm="1">
        <f t="array" ref="L39">SUM(IF(FREQUENCY(
    IF(('가압 날짜별 실적'!$F$2:$F$10025="GAIA-II DUAL")*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3</v>
      </c>
      <c r="M39" s="509" cm="1">
        <f t="array" ref="M39">SUM(IF(FREQUENCY(
    IF(('가압 날짜별 실적'!$F$2:$F$10025="GAIA-II DUAL")*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N39" s="510" cm="1">
        <f t="array" ref="N39">SUM(IF(FREQUENCY(
    IF(('가압 날짜별 실적'!$F$2:$F$10025="GAIA-II DUAL")*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5</v>
      </c>
      <c r="O39" s="511">
        <f t="shared" si="6"/>
        <v>32</v>
      </c>
      <c r="P39" s="365">
        <f>O39/O7</f>
        <v>1.7429193899782137E-2</v>
      </c>
    </row>
    <row r="40" spans="2:16" ht="19.5" customHeight="1">
      <c r="B40" s="342" t="s">
        <v>1479</v>
      </c>
      <c r="C40" s="463" cm="1">
        <f t="array" ref="C40">SUM(IF(FREQUENCY(
    IF(('가압 날짜별 실적'!$F$2:$F$10025="GAIA-P")*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D40" s="464" cm="1">
        <f t="array" ref="D40">SUM(IF(FREQUENCY(
    IF(('가압 날짜별 실적'!$F$2:$F$10025="GAIA-P")*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15</v>
      </c>
      <c r="E40" s="464" cm="1">
        <f t="array" ref="E40">SUM(IF(FREQUENCY(
    IF(('가압 날짜별 실적'!$F$2:$F$10025="GAIA-P")*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45</v>
      </c>
      <c r="F40" s="464" cm="1">
        <f t="array" ref="F40">SUM(IF(FREQUENCY(
    IF(('가압 날짜별 실적'!$F$2:$F$10025="GAIA-P")*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25</v>
      </c>
      <c r="G40" s="464" cm="1">
        <f t="array" ref="G40">SUM(IF(FREQUENCY(
    IF(('가압 날짜별 실적'!$F$2:$F$10025="GAIA-P")*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H40" s="464" cm="1">
        <f t="array" ref="H40">SUM(IF(FREQUENCY(
    IF(('가압 날짜별 실적'!$F$2:$F$10025="GAIA-P")*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I40" s="464" cm="1">
        <f t="array" ref="I40">SUM(IF(FREQUENCY(
    IF(('가압 날짜별 실적'!$F$2:$F$10025="GAIA-P")*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J40" s="464" cm="1">
        <f t="array" ref="J40">SUM(IF(FREQUENCY(
    IF(('가압 날짜별 실적'!$F$2:$F$10025="GAIA-P")*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3</v>
      </c>
      <c r="K40" s="464" cm="1">
        <f t="array" ref="K40">SUM(IF(FREQUENCY(
    IF(('가압 날짜별 실적'!$F$2:$F$10025="GAIA-P")*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26</v>
      </c>
      <c r="L40" s="464" cm="1">
        <f t="array" ref="L40">SUM(IF(FREQUENCY(
    IF(('가압 날짜별 실적'!$F$2:$F$10025="GAIA-P")*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4</v>
      </c>
      <c r="M40" s="464" cm="1">
        <f t="array" ref="M40">SUM(IF(FREQUENCY(
    IF(('가압 날짜별 실적'!$F$2:$F$10025="GAIA-P")*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7</v>
      </c>
      <c r="N40" s="465" cm="1">
        <f t="array" ref="N40">SUM(IF(FREQUENCY(
    IF(('가압 날짜별 실적'!$F$2:$F$10025="GAIA-P")*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13</v>
      </c>
      <c r="O40" s="512">
        <f t="shared" si="6"/>
        <v>146</v>
      </c>
      <c r="P40" s="366">
        <f>O40/O7</f>
        <v>7.9520697167755991E-2</v>
      </c>
    </row>
    <row r="41" spans="2:16" ht="24">
      <c r="B41" s="504" t="s">
        <v>6525</v>
      </c>
      <c r="C41" s="513">
        <f t="shared" ref="C41:O41" si="8">C26</f>
        <v>0</v>
      </c>
      <c r="D41" s="513">
        <f t="shared" si="8"/>
        <v>12</v>
      </c>
      <c r="E41" s="513">
        <f t="shared" si="8"/>
        <v>43</v>
      </c>
      <c r="F41" s="513">
        <f t="shared" si="8"/>
        <v>11</v>
      </c>
      <c r="G41" s="513">
        <f t="shared" si="8"/>
        <v>5</v>
      </c>
      <c r="H41" s="513">
        <f t="shared" si="8"/>
        <v>0</v>
      </c>
      <c r="I41" s="513">
        <f t="shared" si="8"/>
        <v>1</v>
      </c>
      <c r="J41" s="513">
        <f t="shared" si="8"/>
        <v>0</v>
      </c>
      <c r="K41" s="513">
        <f t="shared" si="8"/>
        <v>8</v>
      </c>
      <c r="L41" s="513">
        <f t="shared" si="8"/>
        <v>0</v>
      </c>
      <c r="M41" s="513">
        <f t="shared" si="8"/>
        <v>2</v>
      </c>
      <c r="N41" s="514">
        <f t="shared" si="8"/>
        <v>8</v>
      </c>
      <c r="O41" s="515">
        <f t="shared" si="8"/>
        <v>90</v>
      </c>
      <c r="P41" s="367"/>
    </row>
    <row r="42" spans="2:16" ht="19.5" customHeight="1">
      <c r="B42" s="349" t="s">
        <v>1480</v>
      </c>
      <c r="C42" s="516" cm="1">
        <f t="array" ref="C42">SUM(IF(FREQUENCY(
    IF(('가압 날짜별 실적'!$F$2:$F$10025="GAIA-P DUAL")*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4</v>
      </c>
      <c r="D42" s="517" cm="1">
        <f t="array" ref="D42">SUM(IF(FREQUENCY(
    IF(('가압 날짜별 실적'!$F$2:$F$10025="GAIA-P DUAL")*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4</v>
      </c>
      <c r="E42" s="517" cm="1">
        <f t="array" ref="E42">SUM(IF(FREQUENCY(
    IF(('가압 날짜별 실적'!$F$2:$F$10025="GAIA-P DUAL")*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8</v>
      </c>
      <c r="F42" s="517" cm="1">
        <f t="array" ref="F42">SUM(IF(FREQUENCY(
    IF(('가압 날짜별 실적'!$F$2:$F$10025="GAIA-P DUAL")*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3</v>
      </c>
      <c r="G42" s="517" cm="1">
        <f t="array" ref="G42">SUM(IF(FREQUENCY(
    IF(('가압 날짜별 실적'!$F$2:$F$10025="GAIA-P DUAL")*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3</v>
      </c>
      <c r="H42" s="517" cm="1">
        <f t="array" ref="H42">SUM(IF(FREQUENCY(
    IF(('가압 날짜별 실적'!$F$2:$F$10025="GAIA-P DUAL")*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5</v>
      </c>
      <c r="I42" s="517" cm="1">
        <f t="array" ref="I42">SUM(IF(FREQUENCY(
    IF(('가압 날짜별 실적'!$F$2:$F$10025="GAIA-P DUAL")*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2</v>
      </c>
      <c r="J42" s="517" cm="1">
        <f t="array" ref="J42">SUM(IF(FREQUENCY(
    IF(('가압 날짜별 실적'!$F$2:$F$10025="GAIA-P DUAL")*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K42" s="517" cm="1">
        <f t="array" ref="K42">SUM(IF(FREQUENCY(
    IF(('가압 날짜별 실적'!$F$2:$F$10025="GAIA-P DUAL")*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L42" s="517" cm="1">
        <f t="array" ref="L42">SUM(IF(FREQUENCY(
    IF(('가압 날짜별 실적'!$F$2:$F$10025="GAIA-P DUAL")*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5</v>
      </c>
      <c r="M42" s="517" cm="1">
        <f t="array" ref="M42">SUM(IF(FREQUENCY(
    IF(('가압 날짜별 실적'!$F$2:$F$10025="GAIA-P DUAL")*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16</v>
      </c>
      <c r="N42" s="518" cm="1">
        <f t="array" ref="N42">SUM(IF(FREQUENCY(
    IF(('가압 날짜별 실적'!$F$2:$F$10025="GAIA-P DUAL")*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16</v>
      </c>
      <c r="O42" s="519">
        <f t="shared" si="6"/>
        <v>68</v>
      </c>
      <c r="P42" s="368">
        <f>O42/O7</f>
        <v>3.7037037037037035E-2</v>
      </c>
    </row>
    <row r="43" spans="2:16" ht="19.5" customHeight="1">
      <c r="B43" s="340" t="s">
        <v>5265</v>
      </c>
      <c r="C43" s="486" cm="1">
        <f t="array" ref="C43">SUM(IF(FREQUENCY(
    IF(('가압 날짜별 실적'!$F$2:$F$10025="GAIA-P-II DUAL")*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D43" s="487" cm="1">
        <f t="array" ref="D43">SUM(IF(FREQUENCY(
    IF(('가압 날짜별 실적'!$F$2:$F$10025="GAIA-P-II DUAL")*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E43" s="487" cm="1">
        <f t="array" ref="E43">SUM(IF(FREQUENCY(
    IF(('가압 날짜별 실적'!$F$2:$F$10025="GAIA-P-II DUAL")*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F43" s="487" cm="1">
        <f t="array" ref="F43">SUM(IF(FREQUENCY(
    IF(('가압 날짜별 실적'!$F$2:$F$10025="GAIA-P-II DUAL")*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G43" s="487" cm="1">
        <f t="array" ref="G43">SUM(IF(FREQUENCY(
    IF(('가압 날짜별 실적'!$F$2:$F$10025="GAIA-P-II DUAL")*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H43" s="487" cm="1">
        <f t="array" ref="H43">SUM(IF(FREQUENCY(
    IF(('가압 날짜별 실적'!$F$2:$F$10025="GAIA-P-II DUAL")*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I43" s="487" cm="1">
        <f t="array" ref="I43">SUM(IF(FREQUENCY(
    IF(('가압 날짜별 실적'!$F$2:$F$10025="GAIA-P-II DUAL")*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J43" s="487" cm="1">
        <f t="array" ref="J43">SUM(IF(FREQUENCY(
    IF(('가압 날짜별 실적'!$F$2:$F$10025="GAIA-P-II DUAL")*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K43" s="487" cm="1">
        <f t="array" ref="K43">SUM(IF(FREQUENCY(
    IF(('가압 날짜별 실적'!$F$2:$F$10025="GAIA-P-II DUAL")*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L43" s="487" cm="1">
        <f t="array" ref="L43">SUM(IF(FREQUENCY(
    IF(('가압 날짜별 실적'!$F$2:$F$10025="GAIA-P-II DUAL")*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M43" s="487" cm="1">
        <f t="array" ref="M43">SUM(IF(FREQUENCY(
    IF(('가압 날짜별 실적'!$F$2:$F$10025="GAIA-P-II DUAL")*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N43" s="488" cm="1">
        <f t="array" ref="N43">SUM(IF(FREQUENCY(
    IF(('가압 날짜별 실적'!$F$2:$F$10025="GAIA-P-II DUAL")*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O43" s="489">
        <f t="shared" si="6"/>
        <v>1</v>
      </c>
      <c r="P43" s="361">
        <f>O43/O7</f>
        <v>5.4466230936819177E-4</v>
      </c>
    </row>
    <row r="44" spans="2:16" ht="19.5" customHeight="1">
      <c r="B44" s="340" t="s">
        <v>3180</v>
      </c>
      <c r="C44" s="486" cm="1">
        <f t="array" ref="C44">SUM(IF(FREQUENCY(
    IF(('가압 날짜별 실적'!$F$2:$F$10025="GALLANT-A")*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D44" s="487" cm="1">
        <f t="array" ref="D44">SUM(IF(FREQUENCY(
    IF(('가압 날짜별 실적'!$F$2:$F$10025="GALLANT-A")*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E44" s="487" cm="1">
        <f t="array" ref="E44">SUM(IF(FREQUENCY(
    IF(('가압 날짜별 실적'!$F$2:$F$10025="GALLANT-A")*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F44" s="487" cm="1">
        <f t="array" ref="F44">SUM(IF(FREQUENCY(
    IF(('가압 날짜별 실적'!$F$2:$F$10025="GALLANT-A")*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G44" s="487" cm="1">
        <f t="array" ref="G44">SUM(IF(FREQUENCY(
    IF(('가압 날짜별 실적'!$F$2:$F$10025="GALLANT-A")*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H44" s="487" cm="1">
        <f t="array" ref="H44">SUM(IF(FREQUENCY(
    IF(('가압 날짜별 실적'!$F$2:$F$10025="GALLANT-A")*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I44" s="487" cm="1">
        <f t="array" ref="I44">SUM(IF(FREQUENCY(
    IF(('가압 날짜별 실적'!$F$2:$F$10025="GALLANT-A")*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J44" s="487" cm="1">
        <f t="array" ref="J44">SUM(IF(FREQUENCY(
    IF(('가압 날짜별 실적'!$F$2:$F$10025="GALLANT-A")*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K44" s="487" cm="1">
        <f t="array" ref="K44">SUM(IF(FREQUENCY(
    IF(('가압 날짜별 실적'!$F$2:$F$10025="GALLANT-A")*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L44" s="487" cm="1">
        <f t="array" ref="L44">SUM(IF(FREQUENCY(
    IF(('가압 날짜별 실적'!$F$2:$F$10025="GALLANT-A")*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4</v>
      </c>
      <c r="M44" s="487" cm="1">
        <f t="array" ref="M44">SUM(IF(FREQUENCY(
    IF(('가압 날짜별 실적'!$F$2:$F$10025="GALLANT-A")*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N44" s="488" cm="1">
        <f t="array" ref="N44">SUM(IF(FREQUENCY(
    IF(('가압 날짜별 실적'!$F$2:$F$10025="GALLANT-A")*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O44" s="489">
        <f t="shared" si="6"/>
        <v>11</v>
      </c>
      <c r="P44" s="361">
        <f>O44/O7</f>
        <v>5.9912854030501088E-3</v>
      </c>
    </row>
    <row r="45" spans="2:16" ht="19.5" customHeight="1">
      <c r="B45" s="340" t="s">
        <v>1393</v>
      </c>
      <c r="C45" s="486" cm="1">
        <f t="array" ref="C45">SUM(IF(FREQUENCY(
    IF(('가압 날짜별 실적'!$F$2:$F$10025="IVAS")*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D45" s="487" cm="1">
        <f t="array" ref="D45">SUM(IF(FREQUENCY(
    IF(('가압 날짜별 실적'!$F$2:$F$10025="IVAS")*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E45" s="487" cm="1">
        <f t="array" ref="E45">SUM(IF(FREQUENCY(
    IF(('가압 날짜별 실적'!$F$2:$F$10025="IVAS")*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F45" s="487" cm="1">
        <f t="array" ref="F45">SUM(IF(FREQUENCY(
    IF(('가압 날짜별 실적'!$F$2:$F$10025="IVAS")*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G45" s="487" cm="1">
        <f t="array" ref="G45">SUM(IF(FREQUENCY(
    IF(('가압 날짜별 실적'!$F$2:$F$10025="IVAS")*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H45" s="487" cm="1">
        <f t="array" ref="H45">SUM(IF(FREQUENCY(
    IF(('가압 날짜별 실적'!$F$2:$F$10025="IVAS")*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I45" s="487" cm="1">
        <f t="array" ref="I45">SUM(IF(FREQUENCY(
    IF(('가압 날짜별 실적'!$F$2:$F$10025="IVAS")*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J45" s="487" cm="1">
        <f t="array" ref="J45">SUM(IF(FREQUENCY(
    IF(('가압 날짜별 실적'!$F$2:$F$10025="IVAS")*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K45" s="487" cm="1">
        <f t="array" ref="K45">SUM(IF(FREQUENCY(
    IF(('가압 날짜별 실적'!$F$2:$F$10025="IVAS")*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2</v>
      </c>
      <c r="L45" s="487" cm="1">
        <f t="array" ref="L45">SUM(IF(FREQUENCY(
    IF(('가압 날짜별 실적'!$F$2:$F$10025="IVAS")*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M45" s="487" cm="1">
        <f t="array" ref="M45">SUM(IF(FREQUENCY(
    IF(('가압 날짜별 실적'!$F$2:$F$10025="IVAS")*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2</v>
      </c>
      <c r="N45" s="488" cm="1">
        <f t="array" ref="N45">SUM(IF(FREQUENCY(
    IF(('가압 날짜별 실적'!$F$2:$F$10025="IVAS")*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3</v>
      </c>
      <c r="O45" s="489">
        <f t="shared" si="6"/>
        <v>9</v>
      </c>
      <c r="P45" s="361">
        <f>O45/O7</f>
        <v>4.9019607843137254E-3</v>
      </c>
    </row>
    <row r="46" spans="2:16" ht="19.5" customHeight="1">
      <c r="B46" s="340" t="s">
        <v>6526</v>
      </c>
      <c r="C46" s="486" cm="1">
        <f t="array" ref="C46">SUM(IF(FREQUENCY(
    IF(('가압 날짜별 실적'!$F$2:$F$10025="O3 DESTRUCTOR")*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D46" s="487" cm="1">
        <f t="array" ref="D46">SUM(IF(FREQUENCY(
    IF(('가압 날짜별 실적'!$F$2:$F$10025="O3 DESTRUCTOR")*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E46" s="487" cm="1">
        <f t="array" ref="E46">SUM(IF(FREQUENCY(
    IF(('가압 날짜별 실적'!$F$2:$F$10025="O3 DESTRUCTOR")*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3</v>
      </c>
      <c r="F46" s="487" cm="1">
        <f t="array" ref="F46">SUM(IF(FREQUENCY(
    IF(('가압 날짜별 실적'!$F$2:$F$10025="O3 DESTRUCTOR")*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2</v>
      </c>
      <c r="G46" s="487" cm="1">
        <f t="array" ref="G46">SUM(IF(FREQUENCY(
    IF(('가압 날짜별 실적'!$F$2:$F$10025="O3 DESTRUCTOR")*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2</v>
      </c>
      <c r="H46" s="487" cm="1">
        <f t="array" ref="H46">SUM(IF(FREQUENCY(
    IF(('가압 날짜별 실적'!$F$2:$F$10025="O3 DESTRUCTOR")*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I46" s="487" cm="1">
        <f t="array" ref="I46">SUM(IF(FREQUENCY(
    IF(('가압 날짜별 실적'!$F$2:$F$10025="O3 DESTRUCTOR")*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J46" s="487" cm="1">
        <f t="array" ref="J46">SUM(IF(FREQUENCY(
    IF(('가압 날짜별 실적'!$F$2:$F$10025="O3 DESTRUCTOR")*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4</v>
      </c>
      <c r="K46" s="487" cm="1">
        <f t="array" ref="K46">SUM(IF(FREQUENCY(
    IF(('가압 날짜별 실적'!$F$2:$F$10025="O3 DESTRUCTOR")*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3</v>
      </c>
      <c r="L46" s="487" cm="1">
        <f t="array" ref="L46">SUM(IF(FREQUENCY(
    IF(('가압 날짜별 실적'!$F$2:$F$10025="O3 DESTRUCTOR")*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4</v>
      </c>
      <c r="M46" s="487" cm="1">
        <f t="array" ref="M46">SUM(IF(FREQUENCY(
    IF(('가압 날짜별 실적'!$F$2:$F$10025="O3 DESTRUCTOR")*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N46" s="488" cm="1">
        <f t="array" ref="N46">SUM(IF(FREQUENCY(
    IF(('가압 날짜별 실적'!$F$2:$F$10025="O3 DESTRUCTOR")*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O46" s="489">
        <f t="shared" si="6"/>
        <v>25</v>
      </c>
      <c r="P46" s="361">
        <f>O46/O7</f>
        <v>1.3616557734204794E-2</v>
      </c>
    </row>
    <row r="47" spans="2:16" ht="19.5" customHeight="1">
      <c r="B47" s="340" t="s">
        <v>1482</v>
      </c>
      <c r="C47" s="486" cm="1">
        <f t="array" ref="C47">SUM(IF(FREQUENCY(
    IF(('가압 날짜별 실적'!$F$2:$F$10025="SWS-I")*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D47" s="487" cm="1">
        <f t="array" ref="D47">SUM(IF(FREQUENCY(
    IF(('가압 날짜별 실적'!$F$2:$F$10025="SWS-I")*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2</v>
      </c>
      <c r="E47" s="487" cm="1">
        <f t="array" ref="E47">SUM(IF(FREQUENCY(
    IF(('가압 날짜별 실적'!$F$2:$F$10025="SWS-I")*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4</v>
      </c>
      <c r="F47" s="487" cm="1">
        <f t="array" ref="F47">SUM(IF(FREQUENCY(
    IF(('가압 날짜별 실적'!$F$2:$F$10025="SWS-I")*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G47" s="487" cm="1">
        <f t="array" ref="G47">SUM(IF(FREQUENCY(
    IF(('가압 날짜별 실적'!$F$2:$F$10025="SWS-I")*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1</v>
      </c>
      <c r="H47" s="487" cm="1">
        <f t="array" ref="H47">SUM(IF(FREQUENCY(
    IF(('가압 날짜별 실적'!$F$2:$F$10025="SWS-I")*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I47" s="487" cm="1">
        <f t="array" ref="I47">SUM(IF(FREQUENCY(
    IF(('가압 날짜별 실적'!$F$2:$F$10025="SWS-I")*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3</v>
      </c>
      <c r="J47" s="487" cm="1">
        <f t="array" ref="J47">SUM(IF(FREQUENCY(
    IF(('가압 날짜별 실적'!$F$2:$F$10025="SWS-I")*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K47" s="487" cm="1">
        <f t="array" ref="K47">SUM(IF(FREQUENCY(
    IF(('가압 날짜별 실적'!$F$2:$F$10025="SWS-I")*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4</v>
      </c>
      <c r="L47" s="487" cm="1">
        <f t="array" ref="L47">SUM(IF(FREQUENCY(
    IF(('가압 날짜별 실적'!$F$2:$F$10025="SWS-I")*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3</v>
      </c>
      <c r="M47" s="487" cm="1">
        <f t="array" ref="M47">SUM(IF(FREQUENCY(
    IF(('가압 날짜별 실적'!$F$2:$F$10025="SWS-I")*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7</v>
      </c>
      <c r="N47" s="488" cm="1">
        <f t="array" ref="N47">SUM(IF(FREQUENCY(
    IF(('가압 날짜별 실적'!$F$2:$F$10025="SWS-I")*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O47" s="489">
        <f t="shared" si="6"/>
        <v>38</v>
      </c>
      <c r="P47" s="361">
        <f>O47/O7</f>
        <v>2.0697167755991286E-2</v>
      </c>
    </row>
    <row r="48" spans="2:16" ht="19.5" customHeight="1">
      <c r="B48" s="341" t="s">
        <v>5173</v>
      </c>
      <c r="C48" s="490" cm="1">
        <f t="array" ref="C48">SUM(IF(FREQUENCY(
    IF(('가압 날짜별 실적'!$F$2:$F$10025="GAIA-ORIGIN")*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D48" s="491" cm="1">
        <f t="array" ref="D48">SUM(IF(FREQUENCY(
    IF(('가압 날짜별 실적'!$F$2:$F$10025="GAIA-ORIGIN")*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E48" s="491" cm="1">
        <f t="array" ref="E48">SUM(IF(FREQUENCY(
    IF(('가압 날짜별 실적'!$F$2:$F$10025="GAIA-ORIGIN")*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F48" s="491" cm="1">
        <f t="array" ref="F48">SUM(IF(FREQUENCY(
    IF(('가압 날짜별 실적'!$F$2:$F$10025="GAIA-ORIGIN")*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G48" s="491" cm="1">
        <f t="array" ref="G48">SUM(IF(FREQUENCY(
    IF(('가압 날짜별 실적'!$F$2:$F$10025="GAIA-ORIGIN")*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H48" s="491" cm="1">
        <f t="array" ref="H48">SUM(IF(FREQUENCY(
    IF(('가압 날짜별 실적'!$F$2:$F$10025="GAIA-ORIGIN")*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I48" s="491" cm="1">
        <f t="array" ref="I48">SUM(IF(FREQUENCY(
    IF(('가압 날짜별 실적'!$F$2:$F$10025="GAIA-ORIGIN")*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J48" s="491" cm="1">
        <f t="array" ref="J48">SUM(IF(FREQUENCY(
    IF(('가압 날짜별 실적'!$F$2:$F$10025="GAIA-ORIGIN")*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4</v>
      </c>
      <c r="K48" s="491" cm="1">
        <f t="array" ref="K48">SUM(IF(FREQUENCY(
    IF(('가압 날짜별 실적'!$F$2:$F$10025="GAIA-ORIGIN")*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31</v>
      </c>
      <c r="L48" s="491" cm="1">
        <f t="array" ref="L48">SUM(IF(FREQUENCY(
    IF(('가압 날짜별 실적'!$F$2:$F$10025="GAIA-ORIGIN")*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29</v>
      </c>
      <c r="M48" s="491" cm="1">
        <f t="array" ref="M48">SUM(IF(FREQUENCY(
    IF(('가압 날짜별 실적'!$F$2:$F$10025="GAIA-ORIGIN")*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9</v>
      </c>
      <c r="N48" s="493" cm="1">
        <f t="array" ref="N48">SUM(IF(FREQUENCY(
    IF(('가압 날짜별 실적'!$F$2:$F$10025="GAIA-ORIGIN")*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O48" s="489">
        <f t="shared" si="6"/>
        <v>73</v>
      </c>
      <c r="P48" s="362">
        <f>O48/O7</f>
        <v>3.9760348583877995E-2</v>
      </c>
    </row>
    <row r="49" spans="2:16" ht="19.5" customHeight="1">
      <c r="B49" s="341" t="s">
        <v>5177</v>
      </c>
      <c r="C49" s="490" cm="1">
        <f t="array" ref="C49">SUM(IF(FREQUENCY(
    IF(('가압 날짜별 실적'!$F$2:$F$10025="GAIA-ORIGIN DUO")*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D49" s="491" cm="1">
        <f t="array" ref="D49">SUM(IF(FREQUENCY(
    IF(('가압 날짜별 실적'!$F$2:$F$10025="GAIA-ORIGIN DUO")*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E49" s="491" cm="1">
        <f t="array" ref="E49">SUM(IF(FREQUENCY(
    IF(('가압 날짜별 실적'!$F$2:$F$10025="GAIA-ORIGIN DUO")*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F49" s="491" cm="1">
        <f t="array" ref="F49">SUM(IF(FREQUENCY(
    IF(('가압 날짜별 실적'!$F$2:$F$10025="GAIA-ORIGIN DUO")*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G49" s="491" cm="1">
        <f t="array" ref="G49">SUM(IF(FREQUENCY(
    IF(('가압 날짜별 실적'!$F$2:$F$10025="GAIA-ORIGIN DUO")*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H49" s="491" cm="1">
        <f t="array" ref="H49">SUM(IF(FREQUENCY(
    IF(('가압 날짜별 실적'!$F$2:$F$10025="GAIA-ORIGIN DUO")*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I49" s="491" cm="1">
        <f t="array" ref="I49">SUM(IF(FREQUENCY(
    IF(('가압 날짜별 실적'!$F$2:$F$10025="GAIA-ORIGIN DUO")*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J49" s="491" cm="1">
        <f t="array" ref="J49">SUM(IF(FREQUENCY(
    IF(('가압 날짜별 실적'!$F$2:$F$10025="GAIA-ORIGIN DUO")*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K49" s="491" cm="1">
        <f t="array" ref="K49">SUM(IF(FREQUENCY(
    IF(('가압 날짜별 실적'!$F$2:$F$10025="GAIA-ORIGIN DUO")*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L49" s="491" cm="1">
        <f t="array" ref="L49">SUM(IF(FREQUENCY(
    IF(('가압 날짜별 실적'!$F$2:$F$10025="GAIA-ORIGIN DUO")*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9</v>
      </c>
      <c r="M49" s="491" cm="1">
        <f t="array" ref="M49">SUM(IF(FREQUENCY(
    IF(('가압 날짜별 실적'!$F$2:$F$10025="GAIA-ORIGIN DUO")*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N49" s="493" cm="1">
        <f t="array" ref="N49">SUM(IF(FREQUENCY(
    IF(('가압 날짜별 실적'!$F$2:$F$10025="GAIA-ORIGIN DUO")*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O49" s="489">
        <f t="shared" si="6"/>
        <v>15</v>
      </c>
      <c r="P49" s="362">
        <f>O49/O7</f>
        <v>8.1699346405228763E-3</v>
      </c>
    </row>
    <row r="50" spans="2:16" ht="19.5" customHeight="1">
      <c r="B50" s="341" t="s">
        <v>1427</v>
      </c>
      <c r="C50" s="490" cm="1">
        <f t="array" ref="C50">SUM(IF(FREQUENCY(
    IF(('가압 날짜별 실적'!$F$2:$F$10025="HOT N2 MODULE")*
       ('가압 날짜별 실적'!$I$2:$I$10025=1)*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D50" s="491" cm="1">
        <f t="array" ref="D50">SUM(IF(FREQUENCY(
    IF(('가압 날짜별 실적'!$F$2:$F$10025="HOT N2 MODULE")*
       ('가압 날짜별 실적'!$I$2:$I$10025=2)*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E50" s="491" cm="1">
        <f t="array" ref="E50">SUM(IF(FREQUENCY(
    IF(('가압 날짜별 실적'!$F$2:$F$10025="HOT N2 MODULE")*
       ('가압 날짜별 실적'!$I$2:$I$10025=3)*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F50" s="491" cm="1">
        <f t="array" ref="F50">SUM(IF(FREQUENCY(
    IF(('가압 날짜별 실적'!$F$2:$F$10025="HOT N2 MODULE")*
       ('가압 날짜별 실적'!$I$2:$I$10025=4)*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G50" s="491" cm="1">
        <f t="array" ref="G50">SUM(IF(FREQUENCY(
    IF(('가압 날짜별 실적'!$F$2:$F$10025="HOT N2 MODULE")*
       ('가압 날짜별 실적'!$I$2:$I$10025=5)*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H50" s="491" cm="1">
        <f t="array" ref="H50">SUM(IF(FREQUENCY(
    IF(('가압 날짜별 실적'!$F$2:$F$10025="HOT N2 MODULE")*
       ('가압 날짜별 실적'!$I$2:$I$10025=6)*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I50" s="491" cm="1">
        <f t="array" ref="I50">SUM(IF(FREQUENCY(
    IF(('가압 날짜별 실적'!$F$2:$F$10025="HOT N2 MODULE")*
       ('가압 날짜별 실적'!$I$2:$I$10025=7)*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J50" s="491" cm="1">
        <f t="array" ref="J50">SUM(IF(FREQUENCY(
    IF(('가압 날짜별 실적'!$F$2:$F$10025="HOT N2 MODULE")*
       ('가압 날짜별 실적'!$I$2:$I$10025=8)*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K50" s="491" cm="1">
        <f t="array" ref="K50">SUM(IF(FREQUENCY(
    IF(('가압 날짜별 실적'!$F$2:$F$10025="HOT N2 MODULE")*
       ('가압 날짜별 실적'!$I$2:$I$10025=9)*
       ('가압 날짜별 실적'!$D$2:$D$10025&lt;&gt;""),
       MATCH('가압 날짜별 실적'!$D$2:$D$10025,'가압 날짜별 실적'!$D$2:$D$10025,0)),
    ROW('가압 날짜별 실적'!$D$2:$D$10025)-ROW('가압 날짜별 실적'!$D$2)+1),1))</f>
        <v>6</v>
      </c>
      <c r="L50" s="491" cm="1">
        <f t="array" ref="L50">SUM(IF(FREQUENCY(
    IF(('가압 날짜별 실적'!$F$2:$F$10025="HOT N2 MODULE")*
       ('가압 날짜별 실적'!$I$2:$I$10025=10)*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M50" s="491" cm="1">
        <f t="array" ref="M50">SUM(IF(FREQUENCY(
    IF(('가압 날짜별 실적'!$F$2:$F$10025="HOT N2 MODULE")*
       ('가압 날짜별 실적'!$I$2:$I$10025=11)*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N50" s="493" cm="1">
        <f t="array" ref="N50">SUM(IF(FREQUENCY(
    IF(('가압 날짜별 실적'!$F$2:$F$10025="HOT N2 MODULE")*
       ('가압 날짜별 실적'!$I$2:$I$10025=12)*
       ('가압 날짜별 실적'!$D$2:$D$10025&lt;&gt;""),
       MATCH('가압 날짜별 실적'!$D$2:$D$10025,'가압 날짜별 실적'!$D$2:$D$10025,0)),
    ROW('가압 날짜별 실적'!$D$2:$D$10025)-ROW('가압 날짜별 실적'!$D$2)+1),1))</f>
        <v>0</v>
      </c>
      <c r="O50" s="489">
        <f t="shared" si="6"/>
        <v>12</v>
      </c>
      <c r="P50" s="362">
        <f>O50/O7</f>
        <v>6.5359477124183009E-3</v>
      </c>
    </row>
    <row r="51" spans="2:16" ht="19.5" customHeight="1">
      <c r="B51" s="342" t="s">
        <v>6527</v>
      </c>
      <c r="C51" s="513">
        <f>C7-(SUM(C30:C37,C42:C50,C39:C40))</f>
        <v>-1</v>
      </c>
      <c r="D51" s="513">
        <f t="shared" ref="D51:O51" si="9">D7-(SUM(D30:D37,D42:D50,D39:D40))</f>
        <v>-2</v>
      </c>
      <c r="E51" s="513">
        <f t="shared" si="9"/>
        <v>3</v>
      </c>
      <c r="F51" s="513">
        <f t="shared" si="9"/>
        <v>9</v>
      </c>
      <c r="G51" s="513">
        <f t="shared" si="9"/>
        <v>-2</v>
      </c>
      <c r="H51" s="513">
        <f t="shared" si="9"/>
        <v>-11</v>
      </c>
      <c r="I51" s="513">
        <f t="shared" si="9"/>
        <v>-38</v>
      </c>
      <c r="J51" s="513">
        <f t="shared" si="9"/>
        <v>-13</v>
      </c>
      <c r="K51" s="513">
        <f t="shared" si="9"/>
        <v>-27</v>
      </c>
      <c r="L51" s="513">
        <f t="shared" si="9"/>
        <v>-15</v>
      </c>
      <c r="M51" s="513">
        <f t="shared" si="9"/>
        <v>1</v>
      </c>
      <c r="N51" s="514">
        <f t="shared" si="9"/>
        <v>1</v>
      </c>
      <c r="O51" s="515">
        <f t="shared" si="9"/>
        <v>-95</v>
      </c>
      <c r="P51" s="367">
        <f>O51/O7</f>
        <v>-5.1742919389978215E-2</v>
      </c>
    </row>
  </sheetData>
  <mergeCells count="12">
    <mergeCell ref="O7:P7"/>
    <mergeCell ref="C12:O12"/>
    <mergeCell ref="C29:O29"/>
    <mergeCell ref="O9:P9"/>
    <mergeCell ref="O10:P10"/>
    <mergeCell ref="O11:P11"/>
    <mergeCell ref="B8:P8"/>
    <mergeCell ref="B2:P2"/>
    <mergeCell ref="O3:P3"/>
    <mergeCell ref="O4:P4"/>
    <mergeCell ref="O5:P5"/>
    <mergeCell ref="O6:P6"/>
  </mergeCells>
  <phoneticPr fontId="7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686B9-8B71-434B-8255-F16F32F7C99E}">
  <dimension ref="A1:BB23"/>
  <sheetViews>
    <sheetView workbookViewId="0">
      <pane xSplit="1" topLeftCell="AB13" activePane="topRight" state="frozen"/>
      <selection pane="topRight" activeCell="AX9" sqref="AX9"/>
    </sheetView>
  </sheetViews>
  <sheetFormatPr defaultColWidth="0" defaultRowHeight="12"/>
  <cols>
    <col min="1" max="1" width="20.7109375" style="333" bestFit="1" customWidth="1"/>
    <col min="2" max="2" width="9.140625" style="333" bestFit="1" customWidth="1"/>
    <col min="3" max="54" width="9.140625" style="333" customWidth="1"/>
    <col min="55" max="16384" width="0" style="333" hidden="1"/>
  </cols>
  <sheetData>
    <row r="1" spans="1:54" s="309" customFormat="1" ht="25.5" customHeight="1">
      <c r="A1" s="552" t="s">
        <v>6528</v>
      </c>
      <c r="B1" s="909" t="s">
        <v>6455</v>
      </c>
      <c r="C1" s="909"/>
      <c r="D1" s="909"/>
      <c r="E1" s="909"/>
      <c r="F1" s="909"/>
      <c r="G1" s="909" t="s">
        <v>6456</v>
      </c>
      <c r="H1" s="909"/>
      <c r="I1" s="909"/>
      <c r="J1" s="909"/>
      <c r="K1" s="909" t="s">
        <v>6457</v>
      </c>
      <c r="L1" s="909"/>
      <c r="M1" s="909"/>
      <c r="N1" s="909"/>
      <c r="O1" s="910"/>
      <c r="P1" s="909" t="s">
        <v>6458</v>
      </c>
      <c r="Q1" s="909"/>
      <c r="R1" s="909"/>
      <c r="S1" s="910"/>
      <c r="T1" s="909" t="s">
        <v>6459</v>
      </c>
      <c r="U1" s="909"/>
      <c r="V1" s="909"/>
      <c r="W1" s="910"/>
      <c r="X1" s="909" t="s">
        <v>6460</v>
      </c>
      <c r="Y1" s="909"/>
      <c r="Z1" s="909"/>
      <c r="AA1" s="909"/>
      <c r="AB1" s="910"/>
      <c r="AC1" s="909" t="s">
        <v>6461</v>
      </c>
      <c r="AD1" s="909"/>
      <c r="AE1" s="909"/>
      <c r="AF1" s="910"/>
      <c r="AG1" s="909" t="s">
        <v>6462</v>
      </c>
      <c r="AH1" s="909"/>
      <c r="AI1" s="909"/>
      <c r="AJ1" s="910"/>
      <c r="AK1" s="909" t="s">
        <v>6463</v>
      </c>
      <c r="AL1" s="909"/>
      <c r="AM1" s="909"/>
      <c r="AN1" s="909"/>
      <c r="AO1" s="910"/>
      <c r="AP1" s="911" t="s">
        <v>6464</v>
      </c>
      <c r="AQ1" s="911"/>
      <c r="AR1" s="911"/>
      <c r="AS1" s="911"/>
      <c r="AT1" s="912" t="s">
        <v>6465</v>
      </c>
      <c r="AU1" s="908"/>
      <c r="AV1" s="908"/>
      <c r="AW1" s="908"/>
      <c r="AX1" s="908" t="s">
        <v>6466</v>
      </c>
      <c r="AY1" s="908"/>
      <c r="AZ1" s="908"/>
      <c r="BA1" s="908"/>
      <c r="BB1" s="399"/>
    </row>
    <row r="2" spans="1:54" s="334" customFormat="1" ht="21" customHeight="1">
      <c r="A2" s="336" t="s">
        <v>6454</v>
      </c>
      <c r="B2" s="553" t="s">
        <v>6529</v>
      </c>
      <c r="C2" s="553" t="s">
        <v>6530</v>
      </c>
      <c r="D2" s="553" t="s">
        <v>6531</v>
      </c>
      <c r="E2" s="553" t="s">
        <v>6532</v>
      </c>
      <c r="F2" s="553" t="s">
        <v>6533</v>
      </c>
      <c r="G2" s="553" t="s">
        <v>6534</v>
      </c>
      <c r="H2" s="553" t="s">
        <v>6535</v>
      </c>
      <c r="I2" s="553" t="s">
        <v>6536</v>
      </c>
      <c r="J2" s="553" t="s">
        <v>6537</v>
      </c>
      <c r="K2" s="553" t="s">
        <v>6538</v>
      </c>
      <c r="L2" s="553" t="s">
        <v>6539</v>
      </c>
      <c r="M2" s="553" t="s">
        <v>6540</v>
      </c>
      <c r="N2" s="553" t="s">
        <v>6541</v>
      </c>
      <c r="O2" s="553" t="s">
        <v>6542</v>
      </c>
      <c r="P2" s="553" t="s">
        <v>6543</v>
      </c>
      <c r="Q2" s="553" t="s">
        <v>6544</v>
      </c>
      <c r="R2" s="553" t="s">
        <v>6545</v>
      </c>
      <c r="S2" s="553" t="s">
        <v>6546</v>
      </c>
      <c r="T2" s="553" t="s">
        <v>6547</v>
      </c>
      <c r="U2" s="553" t="s">
        <v>6548</v>
      </c>
      <c r="V2" s="553" t="s">
        <v>6549</v>
      </c>
      <c r="W2" s="553" t="s">
        <v>6550</v>
      </c>
      <c r="X2" s="553" t="s">
        <v>6551</v>
      </c>
      <c r="Y2" s="553" t="s">
        <v>6552</v>
      </c>
      <c r="Z2" s="553" t="s">
        <v>6553</v>
      </c>
      <c r="AA2" s="553" t="s">
        <v>6554</v>
      </c>
      <c r="AB2" s="553" t="s">
        <v>6555</v>
      </c>
      <c r="AC2" s="553" t="s">
        <v>6556</v>
      </c>
      <c r="AD2" s="553" t="s">
        <v>6557</v>
      </c>
      <c r="AE2" s="553" t="s">
        <v>6558</v>
      </c>
      <c r="AF2" s="553" t="s">
        <v>6559</v>
      </c>
      <c r="AG2" s="553" t="s">
        <v>6560</v>
      </c>
      <c r="AH2" s="553" t="s">
        <v>6561</v>
      </c>
      <c r="AI2" s="553" t="s">
        <v>6562</v>
      </c>
      <c r="AJ2" s="553" t="s">
        <v>6563</v>
      </c>
      <c r="AK2" s="553" t="s">
        <v>6564</v>
      </c>
      <c r="AL2" s="553" t="s">
        <v>6565</v>
      </c>
      <c r="AM2" s="553" t="s">
        <v>6566</v>
      </c>
      <c r="AN2" s="553" t="s">
        <v>6567</v>
      </c>
      <c r="AO2" s="553" t="s">
        <v>6568</v>
      </c>
      <c r="AP2" s="553" t="s">
        <v>6569</v>
      </c>
      <c r="AQ2" s="553" t="s">
        <v>6570</v>
      </c>
      <c r="AR2" s="553" t="s">
        <v>6571</v>
      </c>
      <c r="AS2" s="553" t="s">
        <v>6572</v>
      </c>
      <c r="AT2" s="335" t="s">
        <v>6573</v>
      </c>
      <c r="AU2" s="335" t="s">
        <v>6574</v>
      </c>
      <c r="AV2" s="335" t="s">
        <v>6575</v>
      </c>
      <c r="AW2" s="335" t="s">
        <v>6576</v>
      </c>
      <c r="AX2" s="335" t="s">
        <v>6577</v>
      </c>
      <c r="AY2" s="335" t="s">
        <v>6578</v>
      </c>
      <c r="AZ2" s="335" t="s">
        <v>6579</v>
      </c>
      <c r="BA2" s="335" t="s">
        <v>6580</v>
      </c>
      <c r="BB2" s="551" t="s">
        <v>6581</v>
      </c>
    </row>
    <row r="3" spans="1:54" ht="21" customHeight="1">
      <c r="A3" s="455" t="s">
        <v>1382</v>
      </c>
      <c r="B3" s="130" t="s">
        <v>6582</v>
      </c>
      <c r="C3" s="130" t="s">
        <v>6582</v>
      </c>
      <c r="D3" s="130" t="s">
        <v>6582</v>
      </c>
      <c r="E3" s="130" t="s">
        <v>6582</v>
      </c>
      <c r="F3" s="130" t="s">
        <v>6582</v>
      </c>
      <c r="G3" s="130" t="s">
        <v>6582</v>
      </c>
      <c r="H3" s="130" t="s">
        <v>6582</v>
      </c>
      <c r="I3" s="130" t="s">
        <v>6582</v>
      </c>
      <c r="J3" s="130" t="s">
        <v>6582</v>
      </c>
      <c r="K3" s="130" t="s">
        <v>6582</v>
      </c>
      <c r="L3" s="130" t="s">
        <v>6582</v>
      </c>
      <c r="M3" s="130" t="s">
        <v>6582</v>
      </c>
      <c r="N3" s="130" t="s">
        <v>6582</v>
      </c>
      <c r="O3" s="130" t="s">
        <v>6582</v>
      </c>
      <c r="P3" s="130" t="s">
        <v>6582</v>
      </c>
      <c r="Q3" s="130" t="s">
        <v>6582</v>
      </c>
      <c r="R3" s="130" t="s">
        <v>6582</v>
      </c>
      <c r="S3" s="130" t="s">
        <v>6582</v>
      </c>
      <c r="T3" s="130" t="s">
        <v>6582</v>
      </c>
      <c r="U3" s="130" t="s">
        <v>6582</v>
      </c>
      <c r="V3" s="130" t="s">
        <v>6582</v>
      </c>
      <c r="W3" s="130" t="s">
        <v>6582</v>
      </c>
      <c r="X3" s="130" t="s">
        <v>6582</v>
      </c>
      <c r="Y3" s="130" t="s">
        <v>6582</v>
      </c>
      <c r="Z3" s="130" t="s">
        <v>6582</v>
      </c>
      <c r="AA3" s="130" t="s">
        <v>6582</v>
      </c>
      <c r="AB3" s="130" t="s">
        <v>6582</v>
      </c>
      <c r="AC3" s="130" t="s">
        <v>6582</v>
      </c>
      <c r="AD3" s="130" t="s">
        <v>6582</v>
      </c>
      <c r="AE3" s="130" t="s">
        <v>6582</v>
      </c>
      <c r="AF3" s="130" t="s">
        <v>6582</v>
      </c>
      <c r="AG3" s="130" t="s">
        <v>6582</v>
      </c>
      <c r="AH3" s="130" t="s">
        <v>6582</v>
      </c>
      <c r="AI3" s="130" t="s">
        <v>6582</v>
      </c>
      <c r="AJ3" s="130" t="s">
        <v>6582</v>
      </c>
      <c r="AK3" s="130" t="s">
        <v>6582</v>
      </c>
      <c r="AL3" s="130" t="s">
        <v>6582</v>
      </c>
      <c r="AM3" s="130" t="s">
        <v>6582</v>
      </c>
      <c r="AN3" s="130" t="s">
        <v>6582</v>
      </c>
      <c r="AO3" s="130" t="s">
        <v>6582</v>
      </c>
      <c r="AP3" s="130" t="s">
        <v>6582</v>
      </c>
      <c r="AQ3" s="130" t="s">
        <v>6582</v>
      </c>
      <c r="AR3" s="130" t="s">
        <v>6582</v>
      </c>
      <c r="AS3" s="130" t="s">
        <v>6582</v>
      </c>
      <c r="AT3" s="130" t="s">
        <v>6582</v>
      </c>
      <c r="AU3" s="130" t="s">
        <v>6582</v>
      </c>
      <c r="AV3" s="130" t="s">
        <v>6582</v>
      </c>
      <c r="AW3" s="130" t="s">
        <v>6582</v>
      </c>
      <c r="AX3" s="130" t="s">
        <v>6582</v>
      </c>
      <c r="AY3" s="130" t="s">
        <v>6582</v>
      </c>
      <c r="AZ3" s="130" t="s">
        <v>6582</v>
      </c>
      <c r="BA3" s="130" t="s">
        <v>6582</v>
      </c>
      <c r="BB3" s="422" t="s">
        <v>6582</v>
      </c>
    </row>
    <row r="4" spans="1:54" ht="18" customHeight="1">
      <c r="A4" s="456" t="s">
        <v>1591</v>
      </c>
      <c r="B4" s="130" cm="1">
        <f t="array" ref="B4">IFERROR(
  SUM(--(FREQUENCY(
      IF( (EXACT('가압 날짜별 실적'!$F$2:$F$10027,$A4))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4</v>
      </c>
      <c r="C4" s="130" cm="1">
        <f t="array" ref="C4">IFERROR(
  SUM(--(FREQUENCY(
      IF( (EXACT('가압 날짜별 실적'!$F$2:$F$10027,$A4))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3</v>
      </c>
      <c r="D4" s="130" cm="1">
        <f t="array" ref="D4">IFERROR(
  SUM(--(FREQUENCY(
      IF( (EXACT('가압 날짜별 실적'!$F$2:$F$10027,$A4))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12</v>
      </c>
      <c r="E4" s="130" cm="1">
        <f t="array" ref="E4">IFERROR(
  SUM(--(FREQUENCY(
      IF( (EXACT('가압 날짜별 실적'!$F$2:$F$10027,$A4))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10</v>
      </c>
      <c r="F4" s="130" cm="1">
        <f t="array" ref="F4">IFERROR(
  SUM(--(FREQUENCY(
      IF( (EXACT('가압 날짜별 실적'!$F$2:$F$10027,$A4))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4" s="130" cm="1">
        <f t="array" ref="G4">IFERROR(
  SUM(--(FREQUENCY(
      IF( (EXACT('가압 날짜별 실적'!$F$2:$F$10027,$A4))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10</v>
      </c>
      <c r="H4" s="130" cm="1">
        <f t="array" ref="H4">IFERROR(
  SUM(--(FREQUENCY(
      IF( (EXACT('가압 날짜별 실적'!$F$2:$F$10027,$A4))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8</v>
      </c>
      <c r="I4" s="130" cm="1">
        <f t="array" ref="I4">IFERROR(
  SUM(--(FREQUENCY(
      IF( (EXACT('가압 날짜별 실적'!$F$2:$F$10027,$A4))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14</v>
      </c>
      <c r="J4" s="130" cm="1">
        <f t="array" ref="J4">IFERROR(
  SUM(--(FREQUENCY(
      IF( (EXACT('가압 날짜별 실적'!$F$2:$F$10027,$A4))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17</v>
      </c>
      <c r="K4" s="130" cm="1">
        <f t="array" ref="K4">IFERROR(
  SUM(--(FREQUENCY(
      IF( (EXACT('가압 날짜별 실적'!$F$2:$F$10027,$A4))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0</v>
      </c>
      <c r="L4" s="130" cm="1">
        <f t="array" ref="L4">IFERROR(
  SUM(--(FREQUENCY(
      IF( (EXACT('가압 날짜별 실적'!$F$2:$F$10027,$A4))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2</v>
      </c>
      <c r="M4" s="130" cm="1">
        <f t="array" ref="M4">IFERROR(
  SUM(--(FREQUENCY(
      IF( (EXACT('가압 날짜별 실적'!$F$2:$F$10027,$A4))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8</v>
      </c>
      <c r="N4" s="130" cm="1">
        <f t="array" ref="N4">IFERROR(
  SUM(--(FREQUENCY(
      IF( (EXACT('가압 날짜별 실적'!$F$2:$F$10027,$A4))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0</v>
      </c>
      <c r="O4" s="130" cm="1">
        <f t="array" ref="O4">IFERROR(
  SUM(--(FREQUENCY(
      IF( (EXACT('가압 날짜별 실적'!$F$2:$F$10027,$A4))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0</v>
      </c>
      <c r="P4" s="130" cm="1">
        <f t="array" ref="P4">IFERROR(
  SUM(--(FREQUENCY(
      IF( (EXACT('가압 날짜별 실적'!$F$2:$F$10027,$A4))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4</v>
      </c>
      <c r="Q4" s="130" cm="1">
        <f t="array" ref="Q4">IFERROR(
  SUM(--(FREQUENCY(
      IF( (EXACT('가압 날짜별 실적'!$F$2:$F$10027,$A4))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0</v>
      </c>
      <c r="R4" s="130" cm="1">
        <f t="array" ref="R4">IFERROR(
  SUM(--(FREQUENCY(
      IF( (EXACT('가압 날짜별 실적'!$F$2:$F$10027,$A4))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3</v>
      </c>
      <c r="S4" s="130" cm="1">
        <f t="array" ref="S4">IFERROR(
  SUM(--(FREQUENCY(
      IF( (EXACT('가압 날짜별 실적'!$F$2:$F$10027,$A4))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3</v>
      </c>
      <c r="T4" s="130" cm="1">
        <f t="array" ref="T4">IFERROR(
  SUM(--(FREQUENCY(
      IF( (EXACT('가압 날짜별 실적'!$F$2:$F$10027,$A4))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2</v>
      </c>
      <c r="U4" s="130" cm="1">
        <f t="array" ref="U4">IFERROR(
  SUM(--(FREQUENCY(
      IF( (EXACT('가압 날짜별 실적'!$F$2:$F$10027,$A4))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3</v>
      </c>
      <c r="V4" s="130" cm="1">
        <f t="array" ref="V4">IFERROR(
  SUM(--(FREQUENCY(
      IF( (EXACT('가압 날짜별 실적'!$F$2:$F$10027,$A4))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0</v>
      </c>
      <c r="W4" s="130" cm="1">
        <f t="array" ref="W4">IFERROR(
  SUM(--(FREQUENCY(
      IF( (EXACT('가압 날짜별 실적'!$F$2:$F$10027,$A4))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5</v>
      </c>
      <c r="X4" s="130" cm="1">
        <f t="array" ref="X4">IFERROR(
  SUM(--(FREQUENCY(
      IF( (EXACT('가압 날짜별 실적'!$F$2:$F$10027,$A4))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7</v>
      </c>
      <c r="Y4" s="130" cm="1">
        <f t="array" ref="Y4">IFERROR(
  SUM(--(FREQUENCY(
      IF( (EXACT('가압 날짜별 실적'!$F$2:$F$10027,$A4))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16</v>
      </c>
      <c r="Z4" s="130" cm="1">
        <f t="array" ref="Z4">IFERROR(
  SUM(--(FREQUENCY(
      IF( (EXACT('가압 날짜별 실적'!$F$2:$F$10027,$A4))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8</v>
      </c>
      <c r="AA4" s="130" cm="1">
        <f t="array" ref="AA4">IFERROR(
  SUM(--(FREQUENCY(
      IF( (EXACT('가압 날짜별 실적'!$F$2:$F$10027,$A4))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4</v>
      </c>
      <c r="AB4" s="130" cm="1">
        <f t="array" ref="AB4">IFERROR(
  SUM(--(FREQUENCY(
      IF( (EXACT('가압 날짜별 실적'!$F$2:$F$10027,$A4))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16</v>
      </c>
      <c r="AC4" s="130" cm="1">
        <f t="array" ref="AC4">IFERROR(
  SUM(--(FREQUENCY(
      IF( (EXACT('가압 날짜별 실적'!$F$2:$F$10027,$A4))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9</v>
      </c>
      <c r="AD4" s="130" cm="1">
        <f t="array" ref="AD4">IFERROR(
  SUM(--(FREQUENCY(
      IF( (EXACT('가압 날짜별 실적'!$F$2:$F$10027,$A4))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11</v>
      </c>
      <c r="AE4" s="130" cm="1">
        <f t="array" ref="AE4">IFERROR(
  SUM(--(FREQUENCY(
      IF( (EXACT('가압 날짜별 실적'!$F$2:$F$10027,$A4))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19</v>
      </c>
      <c r="AF4" s="130" cm="1">
        <f t="array" ref="AF4">IFERROR(
  SUM(--(FREQUENCY(
      IF( (EXACT('가압 날짜별 실적'!$F$2:$F$10027,$A4))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12</v>
      </c>
      <c r="AG4" s="130" cm="1">
        <f t="array" ref="AG4">IFERROR(
  SUM(--(FREQUENCY(
      IF( (EXACT('가압 날짜별 실적'!$F$2:$F$10027,$A4))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11</v>
      </c>
      <c r="AH4" s="130" cm="1">
        <f t="array" ref="AH4">IFERROR(
  SUM(--(FREQUENCY(
      IF( (EXACT('가압 날짜별 실적'!$F$2:$F$10027,$A4))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5</v>
      </c>
      <c r="AI4" s="130" cm="1">
        <f t="array" ref="AI4">IFERROR(
  SUM(--(FREQUENCY(
      IF( (EXACT('가압 날짜별 실적'!$F$2:$F$10027,$A4))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5</v>
      </c>
      <c r="AJ4" s="130" cm="1">
        <f t="array" ref="AJ4">IFERROR(
  SUM(--(FREQUENCY(
      IF( (EXACT('가압 날짜별 실적'!$F$2:$F$10027,$A4))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14</v>
      </c>
      <c r="AK4" s="130" cm="1">
        <f t="array" ref="AK4">IFERROR(
  SUM(--(FREQUENCY(
      IF( (EXACT('가압 날짜별 실적'!$F$2:$F$10027,$A4))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12</v>
      </c>
      <c r="AL4" s="130" cm="1">
        <f t="array" ref="AL4">IFERROR(
  SUM(--(FREQUENCY(
      IF( (EXACT('가압 날짜별 실적'!$F$2:$F$10027,$A4))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12</v>
      </c>
      <c r="AM4" s="130" cm="1">
        <f t="array" ref="AM4">IFERROR(
  SUM(--(FREQUENCY(
      IF( (EXACT('가압 날짜별 실적'!$F$2:$F$10027,$A4))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10</v>
      </c>
      <c r="AN4" s="130" cm="1">
        <f t="array" ref="AN4">IFERROR(
  SUM(--(FREQUENCY(
      IF( (EXACT('가압 날짜별 실적'!$F$2:$F$10027,$A4))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15</v>
      </c>
      <c r="AO4" s="130" cm="1">
        <f t="array" ref="AO4">IFERROR(
  SUM(--(FREQUENCY(
      IF( (EXACT('가압 날짜별 실적'!$F$2:$F$10027,$A4))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10</v>
      </c>
      <c r="AP4" s="130" cm="1">
        <f t="array" ref="AP4">IFERROR(
  SUM(--(FREQUENCY(
      IF( (EXACT('가압 날짜별 실적'!$F$2:$F$10027,$A4))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4" s="130" cm="1">
        <f t="array" ref="AQ4">IFERROR(
  SUM(--(FREQUENCY(
      IF( (EXACT('가압 날짜별 실적'!$F$2:$F$10027,$A4))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4</v>
      </c>
      <c r="AR4" s="130" cm="1">
        <f t="array" ref="AR4">IFERROR(
  SUM(--(FREQUENCY(
      IF( (EXACT('가압 날짜별 실적'!$F$2:$F$10027,$A4))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18</v>
      </c>
      <c r="AS4" s="130" cm="1">
        <f t="array" ref="AS4">IFERROR(
  SUM(--(FREQUENCY(
      IF( (EXACT('가압 날짜별 실적'!$F$2:$F$10027,$A4))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14</v>
      </c>
      <c r="AT4" s="130" cm="1">
        <f t="array" ref="AT4">IFERROR(
  SUM(--(FREQUENCY(
      IF( (EXACT('가압 날짜별 실적'!$F$2:$F$10027,$A4))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10</v>
      </c>
      <c r="AU4" s="130" cm="1">
        <f t="array" ref="AU4">IFERROR(
  SUM(--(FREQUENCY(
      IF( (EXACT('가압 날짜별 실적'!$F$2:$F$10027,$A4))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15</v>
      </c>
      <c r="AV4" s="130" cm="1">
        <f t="array" ref="AV4">IFERROR(
  SUM(--(FREQUENCY(
      IF( (EXACT('가압 날짜별 실적'!$F$2:$F$10027,$A4))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9</v>
      </c>
      <c r="AW4" s="130" cm="1">
        <f t="array" ref="AW4">IFERROR(
  SUM(--(FREQUENCY(
      IF( (EXACT('가압 날짜별 실적'!$F$2:$F$10027,$A4))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15</v>
      </c>
      <c r="AX4" s="130" cm="1">
        <f t="array" ref="AX4">IFERROR(
  SUM(--(FREQUENCY(
      IF( (EXACT('가압 날짜별 실적'!$F$2:$F$10027,$A4))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7</v>
      </c>
      <c r="AY4" s="130" cm="1">
        <f t="array" ref="AY4">IFERROR(
  SUM(--(FREQUENCY(
      IF( (EXACT('가압 날짜별 실적'!$F$2:$F$10027,$A4))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2</v>
      </c>
      <c r="AZ4" s="130" cm="1">
        <f t="array" ref="AZ4">IFERROR(
  SUM(--(FREQUENCY(
      IF( (EXACT('가압 날짜별 실적'!$F$2:$F$10027,$A4))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7</v>
      </c>
      <c r="BA4" s="130" cm="1">
        <f t="array" ref="BA4">IFERROR(
  SUM(--(FREQUENCY(
      IF( (EXACT('가압 날짜별 실적'!$F$2:$F$10027,$A4))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0</v>
      </c>
      <c r="BB4" s="422">
        <f>SUM(B4:BA4)</f>
        <v>405</v>
      </c>
    </row>
    <row r="5" spans="1:54" ht="18" customHeight="1">
      <c r="A5" s="456" t="s">
        <v>1477</v>
      </c>
      <c r="B5" s="130" cm="1">
        <f t="array" ref="B5">IFERROR(
  SUM(--(FREQUENCY(
      IF( (EXACT('가압 날짜별 실적'!$F$2:$F$10027,$A5))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0</v>
      </c>
      <c r="C5" s="130" cm="1">
        <f t="array" ref="C5">IFERROR(
  SUM(--(FREQUENCY(
      IF( (EXACT('가압 날짜별 실적'!$F$2:$F$10027,$A5))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0</v>
      </c>
      <c r="D5" s="130" cm="1">
        <f t="array" ref="D5">IFERROR(
  SUM(--(FREQUENCY(
      IF( (EXACT('가압 날짜별 실적'!$F$2:$F$10027,$A5))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0</v>
      </c>
      <c r="E5" s="130" cm="1">
        <f t="array" ref="E5">IFERROR(
  SUM(--(FREQUENCY(
      IF( (EXACT('가압 날짜별 실적'!$F$2:$F$10027,$A5))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2</v>
      </c>
      <c r="F5" s="130" cm="1">
        <f t="array" ref="F5">IFERROR(
  SUM(--(FREQUENCY(
      IF( (EXACT('가압 날짜별 실적'!$F$2:$F$10027,$A5))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5" s="130" cm="1">
        <f t="array" ref="G5">IFERROR(
  SUM(--(FREQUENCY(
      IF( (EXACT('가압 날짜별 실적'!$F$2:$F$10027,$A5))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0</v>
      </c>
      <c r="H5" s="130" cm="1">
        <f t="array" ref="H5">IFERROR(
  SUM(--(FREQUENCY(
      IF( (EXACT('가압 날짜별 실적'!$F$2:$F$10027,$A5))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8</v>
      </c>
      <c r="I5" s="130" cm="1">
        <f t="array" ref="I5">IFERROR(
  SUM(--(FREQUENCY(
      IF( (EXACT('가압 날짜별 실적'!$F$2:$F$10027,$A5))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14</v>
      </c>
      <c r="J5" s="130" cm="1">
        <f t="array" ref="J5">IFERROR(
  SUM(--(FREQUENCY(
      IF( (EXACT('가압 날짜별 실적'!$F$2:$F$10027,$A5))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10</v>
      </c>
      <c r="K5" s="130" cm="1">
        <f t="array" ref="K5">IFERROR(
  SUM(--(FREQUENCY(
      IF( (EXACT('가압 날짜별 실적'!$F$2:$F$10027,$A5))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0</v>
      </c>
      <c r="L5" s="130" cm="1">
        <f t="array" ref="L5">IFERROR(
  SUM(--(FREQUENCY(
      IF( (EXACT('가압 날짜별 실적'!$F$2:$F$10027,$A5))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0</v>
      </c>
      <c r="M5" s="130" cm="1">
        <f t="array" ref="M5">IFERROR(
  SUM(--(FREQUENCY(
      IF( (EXACT('가압 날짜별 실적'!$F$2:$F$10027,$A5))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0</v>
      </c>
      <c r="N5" s="130" cm="1">
        <f t="array" ref="N5">IFERROR(
  SUM(--(FREQUENCY(
      IF( (EXACT('가압 날짜별 실적'!$F$2:$F$10027,$A5))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0</v>
      </c>
      <c r="O5" s="130" cm="1">
        <f t="array" ref="O5">IFERROR(
  SUM(--(FREQUENCY(
      IF( (EXACT('가압 날짜별 실적'!$F$2:$F$10027,$A5))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0</v>
      </c>
      <c r="P5" s="130" cm="1">
        <f t="array" ref="P5">IFERROR(
  SUM(--(FREQUENCY(
      IF( (EXACT('가압 날짜별 실적'!$F$2:$F$10027,$A5))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0</v>
      </c>
      <c r="Q5" s="130" cm="1">
        <f t="array" ref="Q5">IFERROR(
  SUM(--(FREQUENCY(
      IF( (EXACT('가압 날짜별 실적'!$F$2:$F$10027,$A5))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2</v>
      </c>
      <c r="R5" s="130" cm="1">
        <f t="array" ref="R5">IFERROR(
  SUM(--(FREQUENCY(
      IF( (EXACT('가압 날짜별 실적'!$F$2:$F$10027,$A5))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4</v>
      </c>
      <c r="S5" s="130" cm="1">
        <f t="array" ref="S5">IFERROR(
  SUM(--(FREQUENCY(
      IF( (EXACT('가압 날짜별 실적'!$F$2:$F$10027,$A5))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2</v>
      </c>
      <c r="T5" s="130" cm="1">
        <f t="array" ref="T5">IFERROR(
  SUM(--(FREQUENCY(
      IF( (EXACT('가압 날짜별 실적'!$F$2:$F$10027,$A5))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2</v>
      </c>
      <c r="U5" s="130" cm="1">
        <f t="array" ref="U5">IFERROR(
  SUM(--(FREQUENCY(
      IF( (EXACT('가압 날짜별 실적'!$F$2:$F$10027,$A5))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1</v>
      </c>
      <c r="V5" s="130" cm="1">
        <f t="array" ref="V5">IFERROR(
  SUM(--(FREQUENCY(
      IF( (EXACT('가압 날짜별 실적'!$F$2:$F$10027,$A5))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0</v>
      </c>
      <c r="W5" s="130" cm="1">
        <f t="array" ref="W5">IFERROR(
  SUM(--(FREQUENCY(
      IF( (EXACT('가압 날짜별 실적'!$F$2:$F$10027,$A5))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2</v>
      </c>
      <c r="X5" s="130" cm="1">
        <f t="array" ref="X5">IFERROR(
  SUM(--(FREQUENCY(
      IF( (EXACT('가압 날짜별 실적'!$F$2:$F$10027,$A5))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4</v>
      </c>
      <c r="Y5" s="130" cm="1">
        <f t="array" ref="Y5">IFERROR(
  SUM(--(FREQUENCY(
      IF( (EXACT('가압 날짜별 실적'!$F$2:$F$10027,$A5))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2</v>
      </c>
      <c r="Z5" s="130" cm="1">
        <f t="array" ref="Z5">IFERROR(
  SUM(--(FREQUENCY(
      IF( (EXACT('가압 날짜별 실적'!$F$2:$F$10027,$A5))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0</v>
      </c>
      <c r="AA5" s="130" cm="1">
        <f t="array" ref="AA5">IFERROR(
  SUM(--(FREQUENCY(
      IF( (EXACT('가압 날짜별 실적'!$F$2:$F$10027,$A5))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0</v>
      </c>
      <c r="AB5" s="130" cm="1">
        <f t="array" ref="AB5">IFERROR(
  SUM(--(FREQUENCY(
      IF( (EXACT('가압 날짜별 실적'!$F$2:$F$10027,$A5))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0</v>
      </c>
      <c r="AC5" s="130" cm="1">
        <f t="array" ref="AC5">IFERROR(
  SUM(--(FREQUENCY(
      IF( (EXACT('가압 날짜별 실적'!$F$2:$F$10027,$A5))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4</v>
      </c>
      <c r="AD5" s="130" cm="1">
        <f t="array" ref="AD5">IFERROR(
  SUM(--(FREQUENCY(
      IF( (EXACT('가압 날짜별 실적'!$F$2:$F$10027,$A5))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0</v>
      </c>
      <c r="AE5" s="130" cm="1">
        <f t="array" ref="AE5">IFERROR(
  SUM(--(FREQUENCY(
      IF( (EXACT('가압 날짜별 실적'!$F$2:$F$10027,$A5))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4</v>
      </c>
      <c r="AF5" s="130" cm="1">
        <f t="array" ref="AF5">IFERROR(
  SUM(--(FREQUENCY(
      IF( (EXACT('가압 날짜별 실적'!$F$2:$F$10027,$A5))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9</v>
      </c>
      <c r="AG5" s="130" cm="1">
        <f t="array" ref="AG5">IFERROR(
  SUM(--(FREQUENCY(
      IF( (EXACT('가압 날짜별 실적'!$F$2:$F$10027,$A5))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8</v>
      </c>
      <c r="AH5" s="130" cm="1">
        <f t="array" ref="AH5">IFERROR(
  SUM(--(FREQUENCY(
      IF( (EXACT('가압 날짜별 실적'!$F$2:$F$10027,$A5))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1</v>
      </c>
      <c r="AI5" s="130" cm="1">
        <f t="array" ref="AI5">IFERROR(
  SUM(--(FREQUENCY(
      IF( (EXACT('가압 날짜별 실적'!$F$2:$F$10027,$A5))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3</v>
      </c>
      <c r="AJ5" s="130" cm="1">
        <f t="array" ref="AJ5">IFERROR(
  SUM(--(FREQUENCY(
      IF( (EXACT('가압 날짜별 실적'!$F$2:$F$10027,$A5))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10</v>
      </c>
      <c r="AK5" s="130" cm="1">
        <f t="array" ref="AK5">IFERROR(
  SUM(--(FREQUENCY(
      IF( (EXACT('가압 날짜별 실적'!$F$2:$F$10027,$A5))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9</v>
      </c>
      <c r="AL5" s="130" cm="1">
        <f t="array" ref="AL5">IFERROR(
  SUM(--(FREQUENCY(
      IF( (EXACT('가압 날짜별 실적'!$F$2:$F$10027,$A5))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0</v>
      </c>
      <c r="AM5" s="130" cm="1">
        <f t="array" ref="AM5">IFERROR(
  SUM(--(FREQUENCY(
      IF( (EXACT('가압 날짜별 실적'!$F$2:$F$10027,$A5))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2</v>
      </c>
      <c r="AN5" s="130" cm="1">
        <f t="array" ref="AN5">IFERROR(
  SUM(--(FREQUENCY(
      IF( (EXACT('가압 날짜별 실적'!$F$2:$F$10027,$A5))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4</v>
      </c>
      <c r="AO5" s="130" cm="1">
        <f t="array" ref="AO5">IFERROR(
  SUM(--(FREQUENCY(
      IF( (EXACT('가압 날짜별 실적'!$F$2:$F$10027,$A5))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0</v>
      </c>
      <c r="AP5" s="130" cm="1">
        <f t="array" ref="AP5">IFERROR(
  SUM(--(FREQUENCY(
      IF( (EXACT('가압 날짜별 실적'!$F$2:$F$10027,$A5))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5" s="130" cm="1">
        <f t="array" ref="AQ5">IFERROR(
  SUM(--(FREQUENCY(
      IF( (EXACT('가압 날짜별 실적'!$F$2:$F$10027,$A5))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4</v>
      </c>
      <c r="AR5" s="130" cm="1">
        <f t="array" ref="AR5">IFERROR(
  SUM(--(FREQUENCY(
      IF( (EXACT('가압 날짜별 실적'!$F$2:$F$10027,$A5))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0</v>
      </c>
      <c r="AS5" s="130" cm="1">
        <f t="array" ref="AS5">IFERROR(
  SUM(--(FREQUENCY(
      IF( (EXACT('가압 날짜별 실적'!$F$2:$F$10027,$A5))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0</v>
      </c>
      <c r="AT5" s="130" cm="1">
        <f t="array" ref="AT5">IFERROR(
  SUM(--(FREQUENCY(
      IF( (EXACT('가압 날짜별 실적'!$F$2:$F$10027,$A5))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2</v>
      </c>
      <c r="AU5" s="130" cm="1">
        <f t="array" ref="AU5">IFERROR(
  SUM(--(FREQUENCY(
      IF( (EXACT('가압 날짜별 실적'!$F$2:$F$10027,$A5))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2</v>
      </c>
      <c r="AV5" s="130" cm="1">
        <f t="array" ref="AV5">IFERROR(
  SUM(--(FREQUENCY(
      IF( (EXACT('가압 날짜별 실적'!$F$2:$F$10027,$A5))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0</v>
      </c>
      <c r="AW5" s="130" cm="1">
        <f t="array" ref="AW5">IFERROR(
  SUM(--(FREQUENCY(
      IF( (EXACT('가압 날짜별 실적'!$F$2:$F$10027,$A5))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5</v>
      </c>
      <c r="AX5" s="130" cm="1">
        <f t="array" ref="AX5">IFERROR(
  SUM(--(FREQUENCY(
      IF( (EXACT('가압 날짜별 실적'!$F$2:$F$10027,$A5))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3</v>
      </c>
      <c r="AY5" s="130" cm="1">
        <f t="array" ref="AY5">IFERROR(
  SUM(--(FREQUENCY(
      IF( (EXACT('가압 날짜별 실적'!$F$2:$F$10027,$A5))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0</v>
      </c>
      <c r="AZ5" s="130" cm="1">
        <f t="array" ref="AZ5">IFERROR(
  SUM(--(FREQUENCY(
      IF( (EXACT('가압 날짜별 실적'!$F$2:$F$10027,$A5))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0</v>
      </c>
      <c r="BA5" s="130" cm="1">
        <f t="array" ref="BA5">IFERROR(
  SUM(--(FREQUENCY(
      IF( (EXACT('가압 날짜별 실적'!$F$2:$F$10027,$A5))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0</v>
      </c>
      <c r="BB5" s="422">
        <f>SUM(B5:BA5)</f>
        <v>123</v>
      </c>
    </row>
    <row r="6" spans="1:54" ht="18" customHeight="1">
      <c r="A6" s="456" t="s">
        <v>1476</v>
      </c>
      <c r="B6" s="130" cm="1">
        <f t="array" ref="B6">IFERROR(
  SUM(--(FREQUENCY(
      IF( (EXACT('가압 날짜별 실적'!$F$2:$F$10027,$A6))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4</v>
      </c>
      <c r="C6" s="130" cm="1">
        <f t="array" ref="C6">IFERROR(
  SUM(--(FREQUENCY(
      IF( (EXACT('가압 날짜별 실적'!$F$2:$F$10027,$A6))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11</v>
      </c>
      <c r="D6" s="130" cm="1">
        <f t="array" ref="D6">IFERROR(
  SUM(--(FREQUENCY(
      IF( (EXACT('가압 날짜별 실적'!$F$2:$F$10027,$A6))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12</v>
      </c>
      <c r="E6" s="130" cm="1">
        <f t="array" ref="E6">IFERROR(
  SUM(--(FREQUENCY(
      IF( (EXACT('가압 날짜별 실적'!$F$2:$F$10027,$A6))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10</v>
      </c>
      <c r="F6" s="130" cm="1">
        <f t="array" ref="F6">IFERROR(
  SUM(--(FREQUENCY(
      IF( (EXACT('가압 날짜별 실적'!$F$2:$F$10027,$A6))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6" s="130" cm="1">
        <f t="array" ref="G6">IFERROR(
  SUM(--(FREQUENCY(
      IF( (EXACT('가압 날짜별 실적'!$F$2:$F$10027,$A6))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18</v>
      </c>
      <c r="H6" s="130" cm="1">
        <f t="array" ref="H6">IFERROR(
  SUM(--(FREQUENCY(
      IF( (EXACT('가압 날짜별 실적'!$F$2:$F$10027,$A6))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14</v>
      </c>
      <c r="I6" s="130" cm="1">
        <f t="array" ref="I6">IFERROR(
  SUM(--(FREQUENCY(
      IF( (EXACT('가압 날짜별 실적'!$F$2:$F$10027,$A6))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18</v>
      </c>
      <c r="J6" s="130" cm="1">
        <f t="array" ref="J6">IFERROR(
  SUM(--(FREQUENCY(
      IF( (EXACT('가압 날짜별 실적'!$F$2:$F$10027,$A6))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7</v>
      </c>
      <c r="K6" s="130" cm="1">
        <f t="array" ref="K6">IFERROR(
  SUM(--(FREQUENCY(
      IF( (EXACT('가압 날짜별 실적'!$F$2:$F$10027,$A6))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4</v>
      </c>
      <c r="L6" s="130" cm="1">
        <f t="array" ref="L6">IFERROR(
  SUM(--(FREQUENCY(
      IF( (EXACT('가압 날짜별 실적'!$F$2:$F$10027,$A6))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17</v>
      </c>
      <c r="M6" s="130" cm="1">
        <f t="array" ref="M6">IFERROR(
  SUM(--(FREQUENCY(
      IF( (EXACT('가압 날짜별 실적'!$F$2:$F$10027,$A6))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8</v>
      </c>
      <c r="N6" s="130" cm="1">
        <f t="array" ref="N6">IFERROR(
  SUM(--(FREQUENCY(
      IF( (EXACT('가압 날짜별 실적'!$F$2:$F$10027,$A6))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22</v>
      </c>
      <c r="O6" s="130" cm="1">
        <f t="array" ref="O6">IFERROR(
  SUM(--(FREQUENCY(
      IF( (EXACT('가압 날짜별 실적'!$F$2:$F$10027,$A6))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19</v>
      </c>
      <c r="P6" s="130" cm="1">
        <f t="array" ref="P6">IFERROR(
  SUM(--(FREQUENCY(
      IF( (EXACT('가압 날짜별 실적'!$F$2:$F$10027,$A6))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21</v>
      </c>
      <c r="Q6" s="130" cm="1">
        <f t="array" ref="Q6">IFERROR(
  SUM(--(FREQUENCY(
      IF( (EXACT('가압 날짜별 실적'!$F$2:$F$10027,$A6))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17</v>
      </c>
      <c r="R6" s="130" cm="1">
        <f t="array" ref="R6">IFERROR(
  SUM(--(FREQUENCY(
      IF( (EXACT('가압 날짜별 실적'!$F$2:$F$10027,$A6))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10</v>
      </c>
      <c r="S6" s="130" cm="1">
        <f t="array" ref="S6">IFERROR(
  SUM(--(FREQUENCY(
      IF( (EXACT('가압 날짜별 실적'!$F$2:$F$10027,$A6))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15</v>
      </c>
      <c r="T6" s="130" cm="1">
        <f t="array" ref="T6">IFERROR(
  SUM(--(FREQUENCY(
      IF( (EXACT('가압 날짜별 실적'!$F$2:$F$10027,$A6))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9</v>
      </c>
      <c r="U6" s="130" cm="1">
        <f t="array" ref="U6">IFERROR(
  SUM(--(FREQUENCY(
      IF( (EXACT('가압 날짜별 실적'!$F$2:$F$10027,$A6))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13</v>
      </c>
      <c r="V6" s="130" cm="1">
        <f t="array" ref="V6">IFERROR(
  SUM(--(FREQUENCY(
      IF( (EXACT('가압 날짜별 실적'!$F$2:$F$10027,$A6))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18</v>
      </c>
      <c r="W6" s="130" cm="1">
        <f t="array" ref="W6">IFERROR(
  SUM(--(FREQUENCY(
      IF( (EXACT('가압 날짜별 실적'!$F$2:$F$10027,$A6))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25</v>
      </c>
      <c r="X6" s="130" cm="1">
        <f t="array" ref="X6">IFERROR(
  SUM(--(FREQUENCY(
      IF( (EXACT('가압 날짜별 실적'!$F$2:$F$10027,$A6))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7</v>
      </c>
      <c r="Y6" s="130" cm="1">
        <f t="array" ref="Y6">IFERROR(
  SUM(--(FREQUENCY(
      IF( (EXACT('가압 날짜별 실적'!$F$2:$F$10027,$A6))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17</v>
      </c>
      <c r="Z6" s="130" cm="1">
        <f t="array" ref="Z6">IFERROR(
  SUM(--(FREQUENCY(
      IF( (EXACT('가압 날짜별 실적'!$F$2:$F$10027,$A6))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1</v>
      </c>
      <c r="AA6" s="130" cm="1">
        <f t="array" ref="AA6">IFERROR(
  SUM(--(FREQUENCY(
      IF( (EXACT('가압 날짜별 실적'!$F$2:$F$10027,$A6))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18</v>
      </c>
      <c r="AB6" s="130" cm="1">
        <f t="array" ref="AB6">IFERROR(
  SUM(--(FREQUENCY(
      IF( (EXACT('가압 날짜별 실적'!$F$2:$F$10027,$A6))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12</v>
      </c>
      <c r="AC6" s="130" cm="1">
        <f t="array" ref="AC6">IFERROR(
  SUM(--(FREQUENCY(
      IF( (EXACT('가압 날짜별 실적'!$F$2:$F$10027,$A6))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13</v>
      </c>
      <c r="AD6" s="130" cm="1">
        <f t="array" ref="AD6">IFERROR(
  SUM(--(FREQUENCY(
      IF( (EXACT('가압 날짜별 실적'!$F$2:$F$10027,$A6))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12</v>
      </c>
      <c r="AE6" s="130" cm="1">
        <f t="array" ref="AE6">IFERROR(
  SUM(--(FREQUENCY(
      IF( (EXACT('가압 날짜별 실적'!$F$2:$F$10027,$A6))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10</v>
      </c>
      <c r="AF6" s="130" cm="1">
        <f t="array" ref="AF6">IFERROR(
  SUM(--(FREQUENCY(
      IF( (EXACT('가압 날짜별 실적'!$F$2:$F$10027,$A6))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12</v>
      </c>
      <c r="AG6" s="130" cm="1">
        <f t="array" ref="AG6">IFERROR(
  SUM(--(FREQUENCY(
      IF( (EXACT('가압 날짜별 실적'!$F$2:$F$10027,$A6))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10</v>
      </c>
      <c r="AH6" s="130" cm="1">
        <f t="array" ref="AH6">IFERROR(
  SUM(--(FREQUENCY(
      IF( (EXACT('가압 날짜별 실적'!$F$2:$F$10027,$A6))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18</v>
      </c>
      <c r="AI6" s="130" cm="1">
        <f t="array" ref="AI6">IFERROR(
  SUM(--(FREQUENCY(
      IF( (EXACT('가압 날짜별 실적'!$F$2:$F$10027,$A6))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19</v>
      </c>
      <c r="AJ6" s="130" cm="1">
        <f t="array" ref="AJ6">IFERROR(
  SUM(--(FREQUENCY(
      IF( (EXACT('가압 날짜별 실적'!$F$2:$F$10027,$A6))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13</v>
      </c>
      <c r="AK6" s="130" cm="1">
        <f t="array" ref="AK6">IFERROR(
  SUM(--(FREQUENCY(
      IF( (EXACT('가압 날짜별 실적'!$F$2:$F$10027,$A6))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10</v>
      </c>
      <c r="AL6" s="130" cm="1">
        <f t="array" ref="AL6">IFERROR(
  SUM(--(FREQUENCY(
      IF( (EXACT('가압 날짜별 실적'!$F$2:$F$10027,$A6))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15</v>
      </c>
      <c r="AM6" s="130" cm="1">
        <f t="array" ref="AM6">IFERROR(
  SUM(--(FREQUENCY(
      IF( (EXACT('가압 날짜별 실적'!$F$2:$F$10027,$A6))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10</v>
      </c>
      <c r="AN6" s="130" cm="1">
        <f t="array" ref="AN6">IFERROR(
  SUM(--(FREQUENCY(
      IF( (EXACT('가압 날짜별 실적'!$F$2:$F$10027,$A6))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6</v>
      </c>
      <c r="AO6" s="130" cm="1">
        <f t="array" ref="AO6">IFERROR(
  SUM(--(FREQUENCY(
      IF( (EXACT('가압 날짜별 실적'!$F$2:$F$10027,$A6))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13</v>
      </c>
      <c r="AP6" s="130" cm="1">
        <f t="array" ref="AP6">IFERROR(
  SUM(--(FREQUENCY(
      IF( (EXACT('가압 날짜별 실적'!$F$2:$F$10027,$A6))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6" s="130" cm="1">
        <f t="array" ref="AQ6">IFERROR(
  SUM(--(FREQUENCY(
      IF( (EXACT('가압 날짜별 실적'!$F$2:$F$10027,$A6))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23</v>
      </c>
      <c r="AR6" s="130" cm="1">
        <f t="array" ref="AR6">IFERROR(
  SUM(--(FREQUENCY(
      IF( (EXACT('가압 날짜별 실적'!$F$2:$F$10027,$A6))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21</v>
      </c>
      <c r="AS6" s="130" cm="1">
        <f t="array" ref="AS6">IFERROR(
  SUM(--(FREQUENCY(
      IF( (EXACT('가압 날짜별 실적'!$F$2:$F$10027,$A6))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11</v>
      </c>
      <c r="AT6" s="130" cm="1">
        <f t="array" ref="AT6">IFERROR(
  SUM(--(FREQUENCY(
      IF( (EXACT('가압 날짜별 실적'!$F$2:$F$10027,$A6))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15</v>
      </c>
      <c r="AU6" s="130" cm="1">
        <f t="array" ref="AU6">IFERROR(
  SUM(--(FREQUENCY(
      IF( (EXACT('가압 날짜별 실적'!$F$2:$F$10027,$A6))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16</v>
      </c>
      <c r="AV6" s="130" cm="1">
        <f t="array" ref="AV6">IFERROR(
  SUM(--(FREQUENCY(
      IF( (EXACT('가압 날짜별 실적'!$F$2:$F$10027,$A6))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25</v>
      </c>
      <c r="AW6" s="130" cm="1">
        <f t="array" ref="AW6">IFERROR(
  SUM(--(FREQUENCY(
      IF( (EXACT('가압 날짜별 실적'!$F$2:$F$10027,$A6))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11</v>
      </c>
      <c r="AX6" s="130" cm="1">
        <f t="array" ref="AX6">IFERROR(
  SUM(--(FREQUENCY(
      IF( (EXACT('가압 날짜별 실적'!$F$2:$F$10027,$A6))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10</v>
      </c>
      <c r="AY6" s="130" cm="1">
        <f t="array" ref="AY6">IFERROR(
  SUM(--(FREQUENCY(
      IF( (EXACT('가압 날짜별 실적'!$F$2:$F$10027,$A6))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14</v>
      </c>
      <c r="AZ6" s="130" cm="1">
        <f t="array" ref="AZ6">IFERROR(
  SUM(--(FREQUENCY(
      IF( (EXACT('가압 날짜별 실적'!$F$2:$F$10027,$A6))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26</v>
      </c>
      <c r="BA6" s="130" cm="1">
        <f t="array" ref="BA6">IFERROR(
  SUM(--(FREQUENCY(
      IF( (EXACT('가압 날짜별 실적'!$F$2:$F$10027,$A6))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12</v>
      </c>
      <c r="BB6" s="422">
        <f t="shared" ref="BB6:BB23" si="0">SUM(B6:BA6)</f>
        <v>692</v>
      </c>
    </row>
    <row r="7" spans="1:54" ht="18" customHeight="1">
      <c r="A7" s="456" t="s">
        <v>1478</v>
      </c>
      <c r="B7" s="130" cm="1">
        <f t="array" ref="B7">IFERROR(
  SUM(--(FREQUENCY(
      IF( (EXACT('가압 날짜별 실적'!$F$2:$F$10027,$A7))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0</v>
      </c>
      <c r="C7" s="130" cm="1">
        <f t="array" ref="C7">IFERROR(
  SUM(--(FREQUENCY(
      IF( (EXACT('가압 날짜별 실적'!$F$2:$F$10027,$A7))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0</v>
      </c>
      <c r="D7" s="130" cm="1">
        <f t="array" ref="D7">IFERROR(
  SUM(--(FREQUENCY(
      IF( (EXACT('가압 날짜별 실적'!$F$2:$F$10027,$A7))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0</v>
      </c>
      <c r="E7" s="130" cm="1">
        <f t="array" ref="E7">IFERROR(
  SUM(--(FREQUENCY(
      IF( (EXACT('가압 날짜별 실적'!$F$2:$F$10027,$A7))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0</v>
      </c>
      <c r="F7" s="130" cm="1">
        <f t="array" ref="F7">IFERROR(
  SUM(--(FREQUENCY(
      IF( (EXACT('가압 날짜별 실적'!$F$2:$F$10027,$A7))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7" s="130" cm="1">
        <f t="array" ref="G7">IFERROR(
  SUM(--(FREQUENCY(
      IF( (EXACT('가압 날짜별 실적'!$F$2:$F$10027,$A7))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0</v>
      </c>
      <c r="H7" s="130" cm="1">
        <f t="array" ref="H7">IFERROR(
  SUM(--(FREQUENCY(
      IF( (EXACT('가압 날짜별 실적'!$F$2:$F$10027,$A7))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0</v>
      </c>
      <c r="I7" s="130" cm="1">
        <f t="array" ref="I7">IFERROR(
  SUM(--(FREQUENCY(
      IF( (EXACT('가압 날짜별 실적'!$F$2:$F$10027,$A7))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0</v>
      </c>
      <c r="J7" s="130" cm="1">
        <f t="array" ref="J7">IFERROR(
  SUM(--(FREQUENCY(
      IF( (EXACT('가압 날짜별 실적'!$F$2:$F$10027,$A7))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0</v>
      </c>
      <c r="K7" s="130" cm="1">
        <f t="array" ref="K7">IFERROR(
  SUM(--(FREQUENCY(
      IF( (EXACT('가압 날짜별 실적'!$F$2:$F$10027,$A7))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2</v>
      </c>
      <c r="L7" s="130" cm="1">
        <f t="array" ref="L7">IFERROR(
  SUM(--(FREQUENCY(
      IF( (EXACT('가압 날짜별 실적'!$F$2:$F$10027,$A7))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1</v>
      </c>
      <c r="M7" s="130" cm="1">
        <f t="array" ref="M7">IFERROR(
  SUM(--(FREQUENCY(
      IF( (EXACT('가압 날짜별 실적'!$F$2:$F$10027,$A7))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0</v>
      </c>
      <c r="N7" s="130" cm="1">
        <f t="array" ref="N7">IFERROR(
  SUM(--(FREQUENCY(
      IF( (EXACT('가압 날짜별 실적'!$F$2:$F$10027,$A7))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0</v>
      </c>
      <c r="O7" s="130" cm="1">
        <f t="array" ref="O7">IFERROR(
  SUM(--(FREQUENCY(
      IF( (EXACT('가압 날짜별 실적'!$F$2:$F$10027,$A7))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0</v>
      </c>
      <c r="P7" s="130" cm="1">
        <f t="array" ref="P7">IFERROR(
  SUM(--(FREQUENCY(
      IF( (EXACT('가압 날짜별 실적'!$F$2:$F$10027,$A7))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0</v>
      </c>
      <c r="Q7" s="130" cm="1">
        <f t="array" ref="Q7">IFERROR(
  SUM(--(FREQUENCY(
      IF( (EXACT('가압 날짜별 실적'!$F$2:$F$10027,$A7))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0</v>
      </c>
      <c r="R7" s="130" cm="1">
        <f t="array" ref="R7">IFERROR(
  SUM(--(FREQUENCY(
      IF( (EXACT('가압 날짜별 실적'!$F$2:$F$10027,$A7))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0</v>
      </c>
      <c r="S7" s="130" cm="1">
        <f t="array" ref="S7">IFERROR(
  SUM(--(FREQUENCY(
      IF( (EXACT('가압 날짜별 실적'!$F$2:$F$10027,$A7))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0</v>
      </c>
      <c r="T7" s="130" cm="1">
        <f t="array" ref="T7">IFERROR(
  SUM(--(FREQUENCY(
      IF( (EXACT('가압 날짜별 실적'!$F$2:$F$10027,$A7))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0</v>
      </c>
      <c r="U7" s="130" cm="1">
        <f t="array" ref="U7">IFERROR(
  SUM(--(FREQUENCY(
      IF( (EXACT('가압 날짜별 실적'!$F$2:$F$10027,$A7))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0</v>
      </c>
      <c r="V7" s="130" cm="1">
        <f t="array" ref="V7">IFERROR(
  SUM(--(FREQUENCY(
      IF( (EXACT('가압 날짜별 실적'!$F$2:$F$10027,$A7))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0</v>
      </c>
      <c r="W7" s="130" cm="1">
        <f t="array" ref="W7">IFERROR(
  SUM(--(FREQUENCY(
      IF( (EXACT('가압 날짜별 실적'!$F$2:$F$10027,$A7))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0</v>
      </c>
      <c r="X7" s="130" cm="1">
        <f t="array" ref="X7">IFERROR(
  SUM(--(FREQUENCY(
      IF( (EXACT('가압 날짜별 실적'!$F$2:$F$10027,$A7))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1</v>
      </c>
      <c r="Y7" s="130" cm="1">
        <f t="array" ref="Y7">IFERROR(
  SUM(--(FREQUENCY(
      IF( (EXACT('가압 날짜별 실적'!$F$2:$F$10027,$A7))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0</v>
      </c>
      <c r="Z7" s="130" cm="1">
        <f t="array" ref="Z7">IFERROR(
  SUM(--(FREQUENCY(
      IF( (EXACT('가압 날짜별 실적'!$F$2:$F$10027,$A7))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1</v>
      </c>
      <c r="AA7" s="130" cm="1">
        <f t="array" ref="AA7">IFERROR(
  SUM(--(FREQUENCY(
      IF( (EXACT('가압 날짜별 실적'!$F$2:$F$10027,$A7))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1</v>
      </c>
      <c r="AB7" s="130" cm="1">
        <f t="array" ref="AB7">IFERROR(
  SUM(--(FREQUENCY(
      IF( (EXACT('가압 날짜별 실적'!$F$2:$F$10027,$A7))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2</v>
      </c>
      <c r="AC7" s="130" cm="1">
        <f t="array" ref="AC7">IFERROR(
  SUM(--(FREQUENCY(
      IF( (EXACT('가압 날짜별 실적'!$F$2:$F$10027,$A7))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2</v>
      </c>
      <c r="AD7" s="130" cm="1">
        <f t="array" ref="AD7">IFERROR(
  SUM(--(FREQUENCY(
      IF( (EXACT('가압 날짜별 실적'!$F$2:$F$10027,$A7))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3</v>
      </c>
      <c r="AE7" s="130" cm="1">
        <f t="array" ref="AE7">IFERROR(
  SUM(--(FREQUENCY(
      IF( (EXACT('가압 날짜별 실적'!$F$2:$F$10027,$A7))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0</v>
      </c>
      <c r="AF7" s="130" cm="1">
        <f t="array" ref="AF7">IFERROR(
  SUM(--(FREQUENCY(
      IF( (EXACT('가압 날짜별 실적'!$F$2:$F$10027,$A7))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1</v>
      </c>
      <c r="AG7" s="130" cm="1">
        <f t="array" ref="AG7">IFERROR(
  SUM(--(FREQUENCY(
      IF( (EXACT('가압 날짜별 실적'!$F$2:$F$10027,$A7))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0</v>
      </c>
      <c r="AH7" s="130" cm="1">
        <f t="array" ref="AH7">IFERROR(
  SUM(--(FREQUENCY(
      IF( (EXACT('가압 날짜별 실적'!$F$2:$F$10027,$A7))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0</v>
      </c>
      <c r="AI7" s="130" cm="1">
        <f t="array" ref="AI7">IFERROR(
  SUM(--(FREQUENCY(
      IF( (EXACT('가압 날짜별 실적'!$F$2:$F$10027,$A7))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0</v>
      </c>
      <c r="AJ7" s="130" cm="1">
        <f t="array" ref="AJ7">IFERROR(
  SUM(--(FREQUENCY(
      IF( (EXACT('가압 날짜별 실적'!$F$2:$F$10027,$A7))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2</v>
      </c>
      <c r="AK7" s="130" cm="1">
        <f t="array" ref="AK7">IFERROR(
  SUM(--(FREQUENCY(
      IF( (EXACT('가압 날짜별 실적'!$F$2:$F$10027,$A7))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2</v>
      </c>
      <c r="AL7" s="130" cm="1">
        <f t="array" ref="AL7">IFERROR(
  SUM(--(FREQUENCY(
      IF( (EXACT('가압 날짜별 실적'!$F$2:$F$10027,$A7))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2</v>
      </c>
      <c r="AM7" s="130" cm="1">
        <f t="array" ref="AM7">IFERROR(
  SUM(--(FREQUENCY(
      IF( (EXACT('가압 날짜별 실적'!$F$2:$F$10027,$A7))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2</v>
      </c>
      <c r="AN7" s="130" cm="1">
        <f t="array" ref="AN7">IFERROR(
  SUM(--(FREQUENCY(
      IF( (EXACT('가압 날짜별 실적'!$F$2:$F$10027,$A7))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2</v>
      </c>
      <c r="AO7" s="130" cm="1">
        <f t="array" ref="AO7">IFERROR(
  SUM(--(FREQUENCY(
      IF( (EXACT('가압 날짜별 실적'!$F$2:$F$10027,$A7))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0</v>
      </c>
      <c r="AP7" s="130" cm="1">
        <f t="array" ref="AP7">IFERROR(
  SUM(--(FREQUENCY(
      IF( (EXACT('가압 날짜별 실적'!$F$2:$F$10027,$A7))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7" s="130" cm="1">
        <f t="array" ref="AQ7">IFERROR(
  SUM(--(FREQUENCY(
      IF( (EXACT('가압 날짜별 실적'!$F$2:$F$10027,$A7))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0</v>
      </c>
      <c r="AR7" s="130" cm="1">
        <f t="array" ref="AR7">IFERROR(
  SUM(--(FREQUENCY(
      IF( (EXACT('가압 날짜별 실적'!$F$2:$F$10027,$A7))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1</v>
      </c>
      <c r="AS7" s="130" cm="1">
        <f t="array" ref="AS7">IFERROR(
  SUM(--(FREQUENCY(
      IF( (EXACT('가압 날짜별 실적'!$F$2:$F$10027,$A7))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2</v>
      </c>
      <c r="AT7" s="130" cm="1">
        <f t="array" ref="AT7">IFERROR(
  SUM(--(FREQUENCY(
      IF( (EXACT('가압 날짜별 실적'!$F$2:$F$10027,$A7))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0</v>
      </c>
      <c r="AU7" s="130" cm="1">
        <f t="array" ref="AU7">IFERROR(
  SUM(--(FREQUENCY(
      IF( (EXACT('가압 날짜별 실적'!$F$2:$F$10027,$A7))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0</v>
      </c>
      <c r="AV7" s="130" cm="1">
        <f t="array" ref="AV7">IFERROR(
  SUM(--(FREQUENCY(
      IF( (EXACT('가압 날짜별 실적'!$F$2:$F$10027,$A7))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0</v>
      </c>
      <c r="AW7" s="130" cm="1">
        <f t="array" ref="AW7">IFERROR(
  SUM(--(FREQUENCY(
      IF( (EXACT('가압 날짜별 실적'!$F$2:$F$10027,$A7))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0</v>
      </c>
      <c r="AX7" s="130" cm="1">
        <f t="array" ref="AX7">IFERROR(
  SUM(--(FREQUENCY(
      IF( (EXACT('가압 날짜별 실적'!$F$2:$F$10027,$A7))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0</v>
      </c>
      <c r="AY7" s="130" cm="1">
        <f t="array" ref="AY7">IFERROR(
  SUM(--(FREQUENCY(
      IF( (EXACT('가압 날짜별 실적'!$F$2:$F$10027,$A7))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0</v>
      </c>
      <c r="AZ7" s="130" cm="1">
        <f t="array" ref="AZ7">IFERROR(
  SUM(--(FREQUENCY(
      IF( (EXACT('가압 날짜별 실적'!$F$2:$F$10027,$A7))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0</v>
      </c>
      <c r="BA7" s="130" cm="1">
        <f t="array" ref="BA7">IFERROR(
  SUM(--(FREQUENCY(
      IF( (EXACT('가압 날짜별 실적'!$F$2:$F$10027,$A7))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5</v>
      </c>
      <c r="BB7" s="422">
        <f t="shared" si="0"/>
        <v>32</v>
      </c>
    </row>
    <row r="8" spans="1:54" ht="18" customHeight="1">
      <c r="A8" s="456" t="s">
        <v>1479</v>
      </c>
      <c r="B8" s="130" cm="1">
        <f t="array" ref="B8">IFERROR(
  SUM(--(FREQUENCY(
      IF( (EXACT('가압 날짜별 실적'!$F$2:$F$10027,$A8))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1</v>
      </c>
      <c r="C8" s="130" cm="1">
        <f t="array" ref="C8">IFERROR(
  SUM(--(FREQUENCY(
      IF( (EXACT('가압 날짜별 실적'!$F$2:$F$10027,$A8))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0</v>
      </c>
      <c r="D8" s="130" cm="1">
        <f t="array" ref="D8">IFERROR(
  SUM(--(FREQUENCY(
      IF( (EXACT('가압 날짜별 실적'!$F$2:$F$10027,$A8))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0</v>
      </c>
      <c r="E8" s="130" cm="1">
        <f t="array" ref="E8">IFERROR(
  SUM(--(FREQUENCY(
      IF( (EXACT('가압 날짜별 실적'!$F$2:$F$10027,$A8))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0</v>
      </c>
      <c r="F8" s="130" cm="1">
        <f t="array" ref="F8">IFERROR(
  SUM(--(FREQUENCY(
      IF( (EXACT('가압 날짜별 실적'!$F$2:$F$10027,$A8))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8" s="130" cm="1">
        <f t="array" ref="G8">IFERROR(
  SUM(--(FREQUENCY(
      IF( (EXACT('가압 날짜별 실적'!$F$2:$F$10027,$A8))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3</v>
      </c>
      <c r="H8" s="130" cm="1">
        <f t="array" ref="H8">IFERROR(
  SUM(--(FREQUENCY(
      IF( (EXACT('가압 날짜별 실적'!$F$2:$F$10027,$A8))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6</v>
      </c>
      <c r="I8" s="130" cm="1">
        <f t="array" ref="I8">IFERROR(
  SUM(--(FREQUENCY(
      IF( (EXACT('가압 날짜별 실적'!$F$2:$F$10027,$A8))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0</v>
      </c>
      <c r="J8" s="130" cm="1">
        <f t="array" ref="J8">IFERROR(
  SUM(--(FREQUENCY(
      IF( (EXACT('가압 날짜별 실적'!$F$2:$F$10027,$A8))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6</v>
      </c>
      <c r="K8" s="130" cm="1">
        <f t="array" ref="K8">IFERROR(
  SUM(--(FREQUENCY(
      IF( (EXACT('가압 날짜별 실적'!$F$2:$F$10027,$A8))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9</v>
      </c>
      <c r="L8" s="130" cm="1">
        <f t="array" ref="L8">IFERROR(
  SUM(--(FREQUENCY(
      IF( (EXACT('가압 날짜별 실적'!$F$2:$F$10027,$A8))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13</v>
      </c>
      <c r="M8" s="130" cm="1">
        <f t="array" ref="M8">IFERROR(
  SUM(--(FREQUENCY(
      IF( (EXACT('가압 날짜별 실적'!$F$2:$F$10027,$A8))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9</v>
      </c>
      <c r="N8" s="130" cm="1">
        <f t="array" ref="N8">IFERROR(
  SUM(--(FREQUENCY(
      IF( (EXACT('가압 날짜별 실적'!$F$2:$F$10027,$A8))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11</v>
      </c>
      <c r="O8" s="130" cm="1">
        <f t="array" ref="O8">IFERROR(
  SUM(--(FREQUENCY(
      IF( (EXACT('가압 날짜별 실적'!$F$2:$F$10027,$A8))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10</v>
      </c>
      <c r="P8" s="130" cm="1">
        <f t="array" ref="P8">IFERROR(
  SUM(--(FREQUENCY(
      IF( (EXACT('가압 날짜별 실적'!$F$2:$F$10027,$A8))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10</v>
      </c>
      <c r="Q8" s="130" cm="1">
        <f t="array" ref="Q8">IFERROR(
  SUM(--(FREQUENCY(
      IF( (EXACT('가압 날짜별 실적'!$F$2:$F$10027,$A8))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8</v>
      </c>
      <c r="R8" s="130" cm="1">
        <f t="array" ref="R8">IFERROR(
  SUM(--(FREQUENCY(
      IF( (EXACT('가압 날짜별 실적'!$F$2:$F$10027,$A8))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0</v>
      </c>
      <c r="S8" s="130" cm="1">
        <f t="array" ref="S8">IFERROR(
  SUM(--(FREQUENCY(
      IF( (EXACT('가압 날짜별 실적'!$F$2:$F$10027,$A8))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0</v>
      </c>
      <c r="T8" s="130" cm="1">
        <f t="array" ref="T8">IFERROR(
  SUM(--(FREQUENCY(
      IF( (EXACT('가압 날짜별 실적'!$F$2:$F$10027,$A8))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5</v>
      </c>
      <c r="U8" s="130" cm="1">
        <f t="array" ref="U8">IFERROR(
  SUM(--(FREQUENCY(
      IF( (EXACT('가압 날짜별 실적'!$F$2:$F$10027,$A8))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1</v>
      </c>
      <c r="V8" s="130" cm="1">
        <f t="array" ref="V8">IFERROR(
  SUM(--(FREQUENCY(
      IF( (EXACT('가압 날짜별 실적'!$F$2:$F$10027,$A8))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0</v>
      </c>
      <c r="W8" s="130" cm="1">
        <f t="array" ref="W8">IFERROR(
  SUM(--(FREQUENCY(
      IF( (EXACT('가압 날짜별 실적'!$F$2:$F$10027,$A8))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0</v>
      </c>
      <c r="X8" s="130" cm="1">
        <f t="array" ref="X8">IFERROR(
  SUM(--(FREQUENCY(
      IF( (EXACT('가압 날짜별 실적'!$F$2:$F$10027,$A8))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0</v>
      </c>
      <c r="Y8" s="130" cm="1">
        <f t="array" ref="Y8">IFERROR(
  SUM(--(FREQUENCY(
      IF( (EXACT('가압 날짜별 실적'!$F$2:$F$10027,$A8))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0</v>
      </c>
      <c r="Z8" s="130" cm="1">
        <f t="array" ref="Z8">IFERROR(
  SUM(--(FREQUENCY(
      IF( (EXACT('가압 날짜별 실적'!$F$2:$F$10027,$A8))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0</v>
      </c>
      <c r="AA8" s="130" cm="1">
        <f t="array" ref="AA8">IFERROR(
  SUM(--(FREQUENCY(
      IF( (EXACT('가압 날짜별 실적'!$F$2:$F$10027,$A8))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0</v>
      </c>
      <c r="AB8" s="130" cm="1">
        <f t="array" ref="AB8">IFERROR(
  SUM(--(FREQUENCY(
      IF( (EXACT('가압 날짜별 실적'!$F$2:$F$10027,$A8))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0</v>
      </c>
      <c r="AC8" s="130" cm="1">
        <f t="array" ref="AC8">IFERROR(
  SUM(--(FREQUENCY(
      IF( (EXACT('가압 날짜별 실적'!$F$2:$F$10027,$A8))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0</v>
      </c>
      <c r="AD8" s="130" cm="1">
        <f t="array" ref="AD8">IFERROR(
  SUM(--(FREQUENCY(
      IF( (EXACT('가압 날짜별 실적'!$F$2:$F$10027,$A8))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1</v>
      </c>
      <c r="AE8" s="130" cm="1">
        <f t="array" ref="AE8">IFERROR(
  SUM(--(FREQUENCY(
      IF( (EXACT('가압 날짜별 실적'!$F$2:$F$10027,$A8))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0</v>
      </c>
      <c r="AF8" s="130" cm="1">
        <f t="array" ref="AF8">IFERROR(
  SUM(--(FREQUENCY(
      IF( (EXACT('가압 날짜별 실적'!$F$2:$F$10027,$A8))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2</v>
      </c>
      <c r="AG8" s="130" cm="1">
        <f t="array" ref="AG8">IFERROR(
  SUM(--(FREQUENCY(
      IF( (EXACT('가압 날짜별 실적'!$F$2:$F$10027,$A8))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0</v>
      </c>
      <c r="AH8" s="130" cm="1">
        <f t="array" ref="AH8">IFERROR(
  SUM(--(FREQUENCY(
      IF( (EXACT('가압 날짜별 실적'!$F$2:$F$10027,$A8))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1</v>
      </c>
      <c r="AI8" s="130" cm="1">
        <f t="array" ref="AI8">IFERROR(
  SUM(--(FREQUENCY(
      IF( (EXACT('가압 날짜별 실적'!$F$2:$F$10027,$A8))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0</v>
      </c>
      <c r="AJ8" s="130" cm="1">
        <f t="array" ref="AJ8">IFERROR(
  SUM(--(FREQUENCY(
      IF( (EXACT('가압 날짜별 실적'!$F$2:$F$10027,$A8))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0</v>
      </c>
      <c r="AK8" s="130" cm="1">
        <f t="array" ref="AK8">IFERROR(
  SUM(--(FREQUENCY(
      IF( (EXACT('가압 날짜별 실적'!$F$2:$F$10027,$A8))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1</v>
      </c>
      <c r="AL8" s="130" cm="1">
        <f t="array" ref="AL8">IFERROR(
  SUM(--(FREQUENCY(
      IF( (EXACT('가압 날짜별 실적'!$F$2:$F$10027,$A8))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1</v>
      </c>
      <c r="AM8" s="130" cm="1">
        <f t="array" ref="AM8">IFERROR(
  SUM(--(FREQUENCY(
      IF( (EXACT('가압 날짜별 실적'!$F$2:$F$10027,$A8))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9</v>
      </c>
      <c r="AN8" s="130" cm="1">
        <f t="array" ref="AN8">IFERROR(
  SUM(--(FREQUENCY(
      IF( (EXACT('가압 날짜별 실적'!$F$2:$F$10027,$A8))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14</v>
      </c>
      <c r="AO8" s="130" cm="1">
        <f t="array" ref="AO8">IFERROR(
  SUM(--(FREQUENCY(
      IF( (EXACT('가압 날짜별 실적'!$F$2:$F$10027,$A8))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1</v>
      </c>
      <c r="AP8" s="130" cm="1">
        <f t="array" ref="AP8">IFERROR(
  SUM(--(FREQUENCY(
      IF( (EXACT('가압 날짜별 실적'!$F$2:$F$10027,$A8))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8" s="130" cm="1">
        <f t="array" ref="AQ8">IFERROR(
  SUM(--(FREQUENCY(
      IF( (EXACT('가압 날짜별 실적'!$F$2:$F$10027,$A8))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0</v>
      </c>
      <c r="AR8" s="130" cm="1">
        <f t="array" ref="AR8">IFERROR(
  SUM(--(FREQUENCY(
      IF( (EXACT('가압 날짜별 실적'!$F$2:$F$10027,$A8))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0</v>
      </c>
      <c r="AS8" s="130" cm="1">
        <f t="array" ref="AS8">IFERROR(
  SUM(--(FREQUENCY(
      IF( (EXACT('가압 날짜별 실적'!$F$2:$F$10027,$A8))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4</v>
      </c>
      <c r="AT8" s="130" cm="1">
        <f t="array" ref="AT8">IFERROR(
  SUM(--(FREQUENCY(
      IF( (EXACT('가압 날짜별 실적'!$F$2:$F$10027,$A8))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3</v>
      </c>
      <c r="AU8" s="130" cm="1">
        <f t="array" ref="AU8">IFERROR(
  SUM(--(FREQUENCY(
      IF( (EXACT('가압 날짜별 실적'!$F$2:$F$10027,$A8))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4</v>
      </c>
      <c r="AV8" s="130" cm="1">
        <f t="array" ref="AV8">IFERROR(
  SUM(--(FREQUENCY(
      IF( (EXACT('가압 날짜별 실적'!$F$2:$F$10027,$A8))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0</v>
      </c>
      <c r="AW8" s="130" cm="1">
        <f t="array" ref="AW8">IFERROR(
  SUM(--(FREQUENCY(
      IF( (EXACT('가압 날짜별 실적'!$F$2:$F$10027,$A8))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0</v>
      </c>
      <c r="AX8" s="130" cm="1">
        <f t="array" ref="AX8">IFERROR(
  SUM(--(FREQUENCY(
      IF( (EXACT('가압 날짜별 실적'!$F$2:$F$10027,$A8))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2</v>
      </c>
      <c r="AY8" s="130" cm="1">
        <f t="array" ref="AY8">IFERROR(
  SUM(--(FREQUENCY(
      IF( (EXACT('가압 날짜별 실적'!$F$2:$F$10027,$A8))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3</v>
      </c>
      <c r="AZ8" s="130" cm="1">
        <f t="array" ref="AZ8">IFERROR(
  SUM(--(FREQUENCY(
      IF( (EXACT('가압 날짜별 실적'!$F$2:$F$10027,$A8))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3</v>
      </c>
      <c r="BA8" s="130" cm="1">
        <f t="array" ref="BA8">IFERROR(
  SUM(--(FREQUENCY(
      IF( (EXACT('가압 날짜별 실적'!$F$2:$F$10027,$A8))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5</v>
      </c>
      <c r="BB8" s="422">
        <f t="shared" si="0"/>
        <v>146</v>
      </c>
    </row>
    <row r="9" spans="1:54" ht="18" customHeight="1">
      <c r="A9" s="456" t="s">
        <v>1480</v>
      </c>
      <c r="B9" s="130" cm="1">
        <f t="array" ref="B9">IFERROR(
  SUM(--(FREQUENCY(
      IF( (EXACT('가압 날짜별 실적'!$F$2:$F$10027,$A9))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0</v>
      </c>
      <c r="C9" s="130" cm="1">
        <f t="array" ref="C9">IFERROR(
  SUM(--(FREQUENCY(
      IF( (EXACT('가압 날짜별 실적'!$F$2:$F$10027,$A9))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0</v>
      </c>
      <c r="D9" s="130" cm="1">
        <f t="array" ref="D9">IFERROR(
  SUM(--(FREQUENCY(
      IF( (EXACT('가압 날짜별 실적'!$F$2:$F$10027,$A9))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1</v>
      </c>
      <c r="E9" s="130" cm="1">
        <f t="array" ref="E9">IFERROR(
  SUM(--(FREQUENCY(
      IF( (EXACT('가압 날짜별 실적'!$F$2:$F$10027,$A9))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3</v>
      </c>
      <c r="F9" s="130" cm="1">
        <f t="array" ref="F9">IFERROR(
  SUM(--(FREQUENCY(
      IF( (EXACT('가압 날짜별 실적'!$F$2:$F$10027,$A9))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9" s="130" cm="1">
        <f t="array" ref="G9">IFERROR(
  SUM(--(FREQUENCY(
      IF( (EXACT('가압 날짜별 실적'!$F$2:$F$10027,$A9))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2</v>
      </c>
      <c r="H9" s="130" cm="1">
        <f t="array" ref="H9">IFERROR(
  SUM(--(FREQUENCY(
      IF( (EXACT('가압 날짜별 실적'!$F$2:$F$10027,$A9))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0</v>
      </c>
      <c r="I9" s="130" cm="1">
        <f t="array" ref="I9">IFERROR(
  SUM(--(FREQUENCY(
      IF( (EXACT('가압 날짜별 실적'!$F$2:$F$10027,$A9))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0</v>
      </c>
      <c r="J9" s="130" cm="1">
        <f t="array" ref="J9">IFERROR(
  SUM(--(FREQUENCY(
      IF( (EXACT('가압 날짜별 실적'!$F$2:$F$10027,$A9))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2</v>
      </c>
      <c r="K9" s="130" cm="1">
        <f t="array" ref="K9">IFERROR(
  SUM(--(FREQUENCY(
      IF( (EXACT('가압 날짜별 실적'!$F$2:$F$10027,$A9))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6</v>
      </c>
      <c r="L9" s="130" cm="1">
        <f t="array" ref="L9">IFERROR(
  SUM(--(FREQUENCY(
      IF( (EXACT('가압 날짜별 실적'!$F$2:$F$10027,$A9))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0</v>
      </c>
      <c r="M9" s="130" cm="1">
        <f t="array" ref="M9">IFERROR(
  SUM(--(FREQUENCY(
      IF( (EXACT('가압 날짜별 실적'!$F$2:$F$10027,$A9))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0</v>
      </c>
      <c r="N9" s="130" cm="1">
        <f t="array" ref="N9">IFERROR(
  SUM(--(FREQUENCY(
      IF( (EXACT('가압 날짜별 실적'!$F$2:$F$10027,$A9))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2</v>
      </c>
      <c r="O9" s="130" cm="1">
        <f t="array" ref="O9">IFERROR(
  SUM(--(FREQUENCY(
      IF( (EXACT('가압 날짜별 실적'!$F$2:$F$10027,$A9))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2</v>
      </c>
      <c r="P9" s="130" cm="1">
        <f t="array" ref="P9">IFERROR(
  SUM(--(FREQUENCY(
      IF( (EXACT('가압 날짜별 실적'!$F$2:$F$10027,$A9))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0</v>
      </c>
      <c r="Q9" s="130" cm="1">
        <f t="array" ref="Q9">IFERROR(
  SUM(--(FREQUENCY(
      IF( (EXACT('가압 날짜별 실적'!$F$2:$F$10027,$A9))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0</v>
      </c>
      <c r="R9" s="130" cm="1">
        <f t="array" ref="R9">IFERROR(
  SUM(--(FREQUENCY(
      IF( (EXACT('가압 날짜별 실적'!$F$2:$F$10027,$A9))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1</v>
      </c>
      <c r="S9" s="130" cm="1">
        <f t="array" ref="S9">IFERROR(
  SUM(--(FREQUENCY(
      IF( (EXACT('가압 날짜별 실적'!$F$2:$F$10027,$A9))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0</v>
      </c>
      <c r="T9" s="130" cm="1">
        <f t="array" ref="T9">IFERROR(
  SUM(--(FREQUENCY(
      IF( (EXACT('가압 날짜별 실적'!$F$2:$F$10027,$A9))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0</v>
      </c>
      <c r="U9" s="130" cm="1">
        <f t="array" ref="U9">IFERROR(
  SUM(--(FREQUENCY(
      IF( (EXACT('가압 날짜별 실적'!$F$2:$F$10027,$A9))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3</v>
      </c>
      <c r="V9" s="130" cm="1">
        <f t="array" ref="V9">IFERROR(
  SUM(--(FREQUENCY(
      IF( (EXACT('가압 날짜별 실적'!$F$2:$F$10027,$A9))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0</v>
      </c>
      <c r="W9" s="130" cm="1">
        <f t="array" ref="W9">IFERROR(
  SUM(--(FREQUENCY(
      IF( (EXACT('가압 날짜별 실적'!$F$2:$F$10027,$A9))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0</v>
      </c>
      <c r="X9" s="130" cm="1">
        <f t="array" ref="X9">IFERROR(
  SUM(--(FREQUENCY(
      IF( (EXACT('가압 날짜별 실적'!$F$2:$F$10027,$A9))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3</v>
      </c>
      <c r="Y9" s="130" cm="1">
        <f t="array" ref="Y9">IFERROR(
  SUM(--(FREQUENCY(
      IF( (EXACT('가압 날짜별 실적'!$F$2:$F$10027,$A9))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1</v>
      </c>
      <c r="Z9" s="130" cm="1">
        <f t="array" ref="Z9">IFERROR(
  SUM(--(FREQUENCY(
      IF( (EXACT('가압 날짜별 실적'!$F$2:$F$10027,$A9))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1</v>
      </c>
      <c r="AA9" s="130" cm="1">
        <f t="array" ref="AA9">IFERROR(
  SUM(--(FREQUENCY(
      IF( (EXACT('가압 날짜별 실적'!$F$2:$F$10027,$A9))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0</v>
      </c>
      <c r="AB9" s="130" cm="1">
        <f t="array" ref="AB9">IFERROR(
  SUM(--(FREQUENCY(
      IF( (EXACT('가압 날짜별 실적'!$F$2:$F$10027,$A9))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0</v>
      </c>
      <c r="AC9" s="130" cm="1">
        <f t="array" ref="AC9">IFERROR(
  SUM(--(FREQUENCY(
      IF( (EXACT('가압 날짜별 실적'!$F$2:$F$10027,$A9))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2</v>
      </c>
      <c r="AD9" s="130" cm="1">
        <f t="array" ref="AD9">IFERROR(
  SUM(--(FREQUENCY(
      IF( (EXACT('가압 날짜별 실적'!$F$2:$F$10027,$A9))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0</v>
      </c>
      <c r="AE9" s="130" cm="1">
        <f t="array" ref="AE9">IFERROR(
  SUM(--(FREQUENCY(
      IF( (EXACT('가압 날짜별 실적'!$F$2:$F$10027,$A9))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0</v>
      </c>
      <c r="AF9" s="130" cm="1">
        <f t="array" ref="AF9">IFERROR(
  SUM(--(FREQUENCY(
      IF( (EXACT('가압 날짜별 실적'!$F$2:$F$10027,$A9))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0</v>
      </c>
      <c r="AG9" s="130" cm="1">
        <f t="array" ref="AG9">IFERROR(
  SUM(--(FREQUENCY(
      IF( (EXACT('가압 날짜별 실적'!$F$2:$F$10027,$A9))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1</v>
      </c>
      <c r="AH9" s="130" cm="1">
        <f t="array" ref="AH9">IFERROR(
  SUM(--(FREQUENCY(
      IF( (EXACT('가압 날짜별 실적'!$F$2:$F$10027,$A9))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0</v>
      </c>
      <c r="AI9" s="130" cm="1">
        <f t="array" ref="AI9">IFERROR(
  SUM(--(FREQUENCY(
      IF( (EXACT('가압 날짜별 실적'!$F$2:$F$10027,$A9))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0</v>
      </c>
      <c r="AJ9" s="130" cm="1">
        <f t="array" ref="AJ9">IFERROR(
  SUM(--(FREQUENCY(
      IF( (EXACT('가압 날짜별 실적'!$F$2:$F$10027,$A9))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0</v>
      </c>
      <c r="AK9" s="130" cm="1">
        <f t="array" ref="AK9">IFERROR(
  SUM(--(FREQUENCY(
      IF( (EXACT('가압 날짜별 실적'!$F$2:$F$10027,$A9))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0</v>
      </c>
      <c r="AL9" s="130" cm="1">
        <f t="array" ref="AL9">IFERROR(
  SUM(--(FREQUENCY(
      IF( (EXACT('가압 날짜별 실적'!$F$2:$F$10027,$A9))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0</v>
      </c>
      <c r="AM9" s="130" cm="1">
        <f t="array" ref="AM9">IFERROR(
  SUM(--(FREQUENCY(
      IF( (EXACT('가압 날짜별 실적'!$F$2:$F$10027,$A9))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1</v>
      </c>
      <c r="AN9" s="130" cm="1">
        <f t="array" ref="AN9">IFERROR(
  SUM(--(FREQUENCY(
      IF( (EXACT('가압 날짜별 실적'!$F$2:$F$10027,$A9))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0</v>
      </c>
      <c r="AO9" s="130" cm="1">
        <f t="array" ref="AO9">IFERROR(
  SUM(--(FREQUENCY(
      IF( (EXACT('가압 날짜별 실적'!$F$2:$F$10027,$A9))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0</v>
      </c>
      <c r="AP9" s="130" cm="1">
        <f t="array" ref="AP9">IFERROR(
  SUM(--(FREQUENCY(
      IF( (EXACT('가압 날짜별 실적'!$F$2:$F$10027,$A9))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9" s="130" cm="1">
        <f t="array" ref="AQ9">IFERROR(
  SUM(--(FREQUENCY(
      IF( (EXACT('가압 날짜별 실적'!$F$2:$F$10027,$A9))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0</v>
      </c>
      <c r="AR9" s="130" cm="1">
        <f t="array" ref="AR9">IFERROR(
  SUM(--(FREQUENCY(
      IF( (EXACT('가압 날짜별 실적'!$F$2:$F$10027,$A9))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2</v>
      </c>
      <c r="AS9" s="130" cm="1">
        <f t="array" ref="AS9">IFERROR(
  SUM(--(FREQUENCY(
      IF( (EXACT('가압 날짜별 실적'!$F$2:$F$10027,$A9))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3</v>
      </c>
      <c r="AT9" s="130" cm="1">
        <f t="array" ref="AT9">IFERROR(
  SUM(--(FREQUENCY(
      IF( (EXACT('가압 날짜별 실적'!$F$2:$F$10027,$A9))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0</v>
      </c>
      <c r="AU9" s="130" cm="1">
        <f t="array" ref="AU9">IFERROR(
  SUM(--(FREQUENCY(
      IF( (EXACT('가압 날짜별 실적'!$F$2:$F$10027,$A9))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10</v>
      </c>
      <c r="AV9" s="130" cm="1">
        <f t="array" ref="AV9">IFERROR(
  SUM(--(FREQUENCY(
      IF( (EXACT('가압 날짜별 실적'!$F$2:$F$10027,$A9))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6</v>
      </c>
      <c r="AW9" s="130" cm="1">
        <f t="array" ref="AW9">IFERROR(
  SUM(--(FREQUENCY(
      IF( (EXACT('가압 날짜별 실적'!$F$2:$F$10027,$A9))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0</v>
      </c>
      <c r="AX9" s="130" cm="1">
        <f t="array" ref="AX9">IFERROR(
  SUM(--(FREQUENCY(
      IF( (EXACT('가압 날짜별 실적'!$F$2:$F$10027,$A9))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7</v>
      </c>
      <c r="AY9" s="130" cm="1">
        <f t="array" ref="AY9">IFERROR(
  SUM(--(FREQUENCY(
      IF( (EXACT('가압 날짜별 실적'!$F$2:$F$10027,$A9))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6</v>
      </c>
      <c r="AZ9" s="130" cm="1">
        <f t="array" ref="AZ9">IFERROR(
  SUM(--(FREQUENCY(
      IF( (EXACT('가압 날짜별 실적'!$F$2:$F$10027,$A9))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2</v>
      </c>
      <c r="BA9" s="130" cm="1">
        <f t="array" ref="BA9">IFERROR(
  SUM(--(FREQUENCY(
      IF( (EXACT('가압 날짜별 실적'!$F$2:$F$10027,$A9))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0</v>
      </c>
      <c r="BB9" s="422">
        <f t="shared" si="0"/>
        <v>67</v>
      </c>
    </row>
    <row r="10" spans="1:54" ht="18" customHeight="1">
      <c r="A10" s="456" t="s">
        <v>5265</v>
      </c>
      <c r="B10" s="130" cm="1">
        <f t="array" ref="B10">IFERROR(
  SUM(--(FREQUENCY(
      IF( (EXACT('가압 날짜별 실적'!$F$2:$F$10027,$A10))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0</v>
      </c>
      <c r="C10" s="130" cm="1">
        <f t="array" ref="C10">IFERROR(
  SUM(--(FREQUENCY(
      IF( (EXACT('가압 날짜별 실적'!$F$2:$F$10027,$A10))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0</v>
      </c>
      <c r="D10" s="130" cm="1">
        <f t="array" ref="D10">IFERROR(
  SUM(--(FREQUENCY(
      IF( (EXACT('가압 날짜별 실적'!$F$2:$F$10027,$A10))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0</v>
      </c>
      <c r="E10" s="130" cm="1">
        <f t="array" ref="E10">IFERROR(
  SUM(--(FREQUENCY(
      IF( (EXACT('가압 날짜별 실적'!$F$2:$F$10027,$A10))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0</v>
      </c>
      <c r="F10" s="130" cm="1">
        <f t="array" ref="F10">IFERROR(
  SUM(--(FREQUENCY(
      IF( (EXACT('가압 날짜별 실적'!$F$2:$F$10027,$A10))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10" s="130" cm="1">
        <f t="array" ref="G10">IFERROR(
  SUM(--(FREQUENCY(
      IF( (EXACT('가압 날짜별 실적'!$F$2:$F$10027,$A10))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0</v>
      </c>
      <c r="H10" s="130" cm="1">
        <f t="array" ref="H10">IFERROR(
  SUM(--(FREQUENCY(
      IF( (EXACT('가압 날짜별 실적'!$F$2:$F$10027,$A10))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0</v>
      </c>
      <c r="I10" s="130" cm="1">
        <f t="array" ref="I10">IFERROR(
  SUM(--(FREQUENCY(
      IF( (EXACT('가압 날짜별 실적'!$F$2:$F$10027,$A10))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0</v>
      </c>
      <c r="J10" s="130" cm="1">
        <f t="array" ref="J10">IFERROR(
  SUM(--(FREQUENCY(
      IF( (EXACT('가압 날짜별 실적'!$F$2:$F$10027,$A10))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0</v>
      </c>
      <c r="K10" s="130" cm="1">
        <f t="array" ref="K10">IFERROR(
  SUM(--(FREQUENCY(
      IF( (EXACT('가압 날짜별 실적'!$F$2:$F$10027,$A10))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0</v>
      </c>
      <c r="L10" s="130" cm="1">
        <f t="array" ref="L10">IFERROR(
  SUM(--(FREQUENCY(
      IF( (EXACT('가압 날짜별 실적'!$F$2:$F$10027,$A10))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0</v>
      </c>
      <c r="M10" s="130" cm="1">
        <f t="array" ref="M10">IFERROR(
  SUM(--(FREQUENCY(
      IF( (EXACT('가압 날짜별 실적'!$F$2:$F$10027,$A10))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0</v>
      </c>
      <c r="N10" s="130" cm="1">
        <f t="array" ref="N10">IFERROR(
  SUM(--(FREQUENCY(
      IF( (EXACT('가압 날짜별 실적'!$F$2:$F$10027,$A10))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0</v>
      </c>
      <c r="O10" s="130" cm="1">
        <f t="array" ref="O10">IFERROR(
  SUM(--(FREQUENCY(
      IF( (EXACT('가압 날짜별 실적'!$F$2:$F$10027,$A10))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0</v>
      </c>
      <c r="P10" s="130" cm="1">
        <f t="array" ref="P10">IFERROR(
  SUM(--(FREQUENCY(
      IF( (EXACT('가압 날짜별 실적'!$F$2:$F$10027,$A10))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0</v>
      </c>
      <c r="Q10" s="130" cm="1">
        <f t="array" ref="Q10">IFERROR(
  SUM(--(FREQUENCY(
      IF( (EXACT('가압 날짜별 실적'!$F$2:$F$10027,$A10))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0</v>
      </c>
      <c r="R10" s="130" cm="1">
        <f t="array" ref="R10">IFERROR(
  SUM(--(FREQUENCY(
      IF( (EXACT('가압 날짜별 실적'!$F$2:$F$10027,$A10))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0</v>
      </c>
      <c r="S10" s="130" cm="1">
        <f t="array" ref="S10">IFERROR(
  SUM(--(FREQUENCY(
      IF( (EXACT('가압 날짜별 실적'!$F$2:$F$10027,$A10))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0</v>
      </c>
      <c r="T10" s="130" cm="1">
        <f t="array" ref="T10">IFERROR(
  SUM(--(FREQUENCY(
      IF( (EXACT('가압 날짜별 실적'!$F$2:$F$10027,$A10))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0</v>
      </c>
      <c r="U10" s="130" cm="1">
        <f t="array" ref="U10">IFERROR(
  SUM(--(FREQUENCY(
      IF( (EXACT('가압 날짜별 실적'!$F$2:$F$10027,$A10))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0</v>
      </c>
      <c r="V10" s="130" cm="1">
        <f t="array" ref="V10">IFERROR(
  SUM(--(FREQUENCY(
      IF( (EXACT('가압 날짜별 실적'!$F$2:$F$10027,$A10))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0</v>
      </c>
      <c r="W10" s="130" cm="1">
        <f t="array" ref="W10">IFERROR(
  SUM(--(FREQUENCY(
      IF( (EXACT('가압 날짜별 실적'!$F$2:$F$10027,$A10))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0</v>
      </c>
      <c r="X10" s="130" cm="1">
        <f t="array" ref="X10">IFERROR(
  SUM(--(FREQUENCY(
      IF( (EXACT('가압 날짜별 실적'!$F$2:$F$10027,$A10))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0</v>
      </c>
      <c r="Y10" s="130" cm="1">
        <f t="array" ref="Y10">IFERROR(
  SUM(--(FREQUENCY(
      IF( (EXACT('가압 날짜별 실적'!$F$2:$F$10027,$A10))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0</v>
      </c>
      <c r="Z10" s="130" cm="1">
        <f t="array" ref="Z10">IFERROR(
  SUM(--(FREQUENCY(
      IF( (EXACT('가압 날짜별 실적'!$F$2:$F$10027,$A10))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0</v>
      </c>
      <c r="AA10" s="130" cm="1">
        <f t="array" ref="AA10">IFERROR(
  SUM(--(FREQUENCY(
      IF( (EXACT('가압 날짜별 실적'!$F$2:$F$10027,$A10))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0</v>
      </c>
      <c r="AB10" s="130" cm="1">
        <f t="array" ref="AB10">IFERROR(
  SUM(--(FREQUENCY(
      IF( (EXACT('가압 날짜별 실적'!$F$2:$F$10027,$A10))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0</v>
      </c>
      <c r="AC10" s="130" cm="1">
        <f t="array" ref="AC10">IFERROR(
  SUM(--(FREQUENCY(
      IF( (EXACT('가압 날짜별 실적'!$F$2:$F$10027,$A10))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0</v>
      </c>
      <c r="AD10" s="130" cm="1">
        <f t="array" ref="AD10">IFERROR(
  SUM(--(FREQUENCY(
      IF( (EXACT('가압 날짜별 실적'!$F$2:$F$10027,$A10))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0</v>
      </c>
      <c r="AE10" s="130" cm="1">
        <f t="array" ref="AE10">IFERROR(
  SUM(--(FREQUENCY(
      IF( (EXACT('가압 날짜별 실적'!$F$2:$F$10027,$A10))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0</v>
      </c>
      <c r="AF10" s="130" cm="1">
        <f t="array" ref="AF10">IFERROR(
  SUM(--(FREQUENCY(
      IF( (EXACT('가압 날짜별 실적'!$F$2:$F$10027,$A10))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0</v>
      </c>
      <c r="AG10" s="130" cm="1">
        <f t="array" ref="AG10">IFERROR(
  SUM(--(FREQUENCY(
      IF( (EXACT('가압 날짜별 실적'!$F$2:$F$10027,$A10))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0</v>
      </c>
      <c r="AH10" s="130" cm="1">
        <f t="array" ref="AH10">IFERROR(
  SUM(--(FREQUENCY(
      IF( (EXACT('가압 날짜별 실적'!$F$2:$F$10027,$A10))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0</v>
      </c>
      <c r="AI10" s="130" cm="1">
        <f t="array" ref="AI10">IFERROR(
  SUM(--(FREQUENCY(
      IF( (EXACT('가압 날짜별 실적'!$F$2:$F$10027,$A10))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0</v>
      </c>
      <c r="AJ10" s="130" cm="1">
        <f t="array" ref="AJ10">IFERROR(
  SUM(--(FREQUENCY(
      IF( (EXACT('가압 날짜별 실적'!$F$2:$F$10027,$A10))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0</v>
      </c>
      <c r="AK10" s="130" cm="1">
        <f t="array" ref="AK10">IFERROR(
  SUM(--(FREQUENCY(
      IF( (EXACT('가압 날짜별 실적'!$F$2:$F$10027,$A10))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0</v>
      </c>
      <c r="AL10" s="130" cm="1">
        <f t="array" ref="AL10">IFERROR(
  SUM(--(FREQUENCY(
      IF( (EXACT('가압 날짜별 실적'!$F$2:$F$10027,$A10))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0</v>
      </c>
      <c r="AM10" s="130" cm="1">
        <f t="array" ref="AM10">IFERROR(
  SUM(--(FREQUENCY(
      IF( (EXACT('가압 날짜별 실적'!$F$2:$F$10027,$A10))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0</v>
      </c>
      <c r="AN10" s="130" cm="1">
        <f t="array" ref="AN10">IFERROR(
  SUM(--(FREQUENCY(
      IF( (EXACT('가압 날짜별 실적'!$F$2:$F$10027,$A10))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0</v>
      </c>
      <c r="AO10" s="130" cm="1">
        <f t="array" ref="AO10">IFERROR(
  SUM(--(FREQUENCY(
      IF( (EXACT('가압 날짜별 실적'!$F$2:$F$10027,$A10))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1</v>
      </c>
      <c r="AP10" s="130" cm="1">
        <f t="array" ref="AP10">IFERROR(
  SUM(--(FREQUENCY(
      IF( (EXACT('가압 날짜별 실적'!$F$2:$F$10027,$A10))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10" s="130" cm="1">
        <f t="array" ref="AQ10">IFERROR(
  SUM(--(FREQUENCY(
      IF( (EXACT('가압 날짜별 실적'!$F$2:$F$10027,$A10))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0</v>
      </c>
      <c r="AR10" s="130" cm="1">
        <f t="array" ref="AR10">IFERROR(
  SUM(--(FREQUENCY(
      IF( (EXACT('가압 날짜별 실적'!$F$2:$F$10027,$A10))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0</v>
      </c>
      <c r="AS10" s="130" cm="1">
        <f t="array" ref="AS10">IFERROR(
  SUM(--(FREQUENCY(
      IF( (EXACT('가압 날짜별 실적'!$F$2:$F$10027,$A10))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0</v>
      </c>
      <c r="AT10" s="130" cm="1">
        <f t="array" ref="AT10">IFERROR(
  SUM(--(FREQUENCY(
      IF( (EXACT('가압 날짜별 실적'!$F$2:$F$10027,$A10))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0</v>
      </c>
      <c r="AU10" s="130" cm="1">
        <f t="array" ref="AU10">IFERROR(
  SUM(--(FREQUENCY(
      IF( (EXACT('가압 날짜별 실적'!$F$2:$F$10027,$A10))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0</v>
      </c>
      <c r="AV10" s="130" cm="1">
        <f t="array" ref="AV10">IFERROR(
  SUM(--(FREQUENCY(
      IF( (EXACT('가압 날짜별 실적'!$F$2:$F$10027,$A10))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0</v>
      </c>
      <c r="AW10" s="130" cm="1">
        <f t="array" ref="AW10">IFERROR(
  SUM(--(FREQUENCY(
      IF( (EXACT('가압 날짜별 실적'!$F$2:$F$10027,$A10))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0</v>
      </c>
      <c r="AX10" s="130" cm="1">
        <f t="array" ref="AX10">IFERROR(
  SUM(--(FREQUENCY(
      IF( (EXACT('가압 날짜별 실적'!$F$2:$F$10027,$A10))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0</v>
      </c>
      <c r="AY10" s="130" cm="1">
        <f t="array" ref="AY10">IFERROR(
  SUM(--(FREQUENCY(
      IF( (EXACT('가압 날짜별 실적'!$F$2:$F$10027,$A10))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0</v>
      </c>
      <c r="AZ10" s="130" cm="1">
        <f t="array" ref="AZ10">IFERROR(
  SUM(--(FREQUENCY(
      IF( (EXACT('가압 날짜별 실적'!$F$2:$F$10027,$A10))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0</v>
      </c>
      <c r="BA10" s="130" cm="1">
        <f t="array" ref="BA10">IFERROR(
  SUM(--(FREQUENCY(
      IF( (EXACT('가압 날짜별 실적'!$F$2:$F$10027,$A10))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0</v>
      </c>
      <c r="BB10" s="422">
        <f t="shared" si="0"/>
        <v>1</v>
      </c>
    </row>
    <row r="11" spans="1:54" ht="18" customHeight="1">
      <c r="A11" s="456" t="s">
        <v>1616</v>
      </c>
      <c r="B11" s="130" cm="1">
        <f t="array" ref="B11">IFERROR(
  SUM(--(FREQUENCY(
      IF( (EXACT('가압 날짜별 실적'!$F$2:$F$10027,$A11))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0</v>
      </c>
      <c r="C11" s="130" cm="1">
        <f t="array" ref="C11">IFERROR(
  SUM(--(FREQUENCY(
      IF( (EXACT('가압 날짜별 실적'!$F$2:$F$10027,$A11))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4</v>
      </c>
      <c r="D11" s="130" cm="1">
        <f t="array" ref="D11">IFERROR(
  SUM(--(FREQUENCY(
      IF( (EXACT('가압 날짜별 실적'!$F$2:$F$10027,$A11))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0</v>
      </c>
      <c r="E11" s="130" cm="1">
        <f t="array" ref="E11">IFERROR(
  SUM(--(FREQUENCY(
      IF( (EXACT('가압 날짜별 실적'!$F$2:$F$10027,$A11))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2</v>
      </c>
      <c r="F11" s="130" cm="1">
        <f t="array" ref="F11">IFERROR(
  SUM(--(FREQUENCY(
      IF( (EXACT('가압 날짜별 실적'!$F$2:$F$10027,$A11))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11" s="130" cm="1">
        <f t="array" ref="G11">IFERROR(
  SUM(--(FREQUENCY(
      IF( (EXACT('가압 날짜별 실적'!$F$2:$F$10027,$A11))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2</v>
      </c>
      <c r="H11" s="130" cm="1">
        <f t="array" ref="H11">IFERROR(
  SUM(--(FREQUENCY(
      IF( (EXACT('가압 날짜별 실적'!$F$2:$F$10027,$A11))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0</v>
      </c>
      <c r="I11" s="130" cm="1">
        <f t="array" ref="I11">IFERROR(
  SUM(--(FREQUENCY(
      IF( (EXACT('가압 날짜별 실적'!$F$2:$F$10027,$A11))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0</v>
      </c>
      <c r="J11" s="130" cm="1">
        <f t="array" ref="J11">IFERROR(
  SUM(--(FREQUENCY(
      IF( (EXACT('가압 날짜별 실적'!$F$2:$F$10027,$A11))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0</v>
      </c>
      <c r="K11" s="130" cm="1">
        <f t="array" ref="K11">IFERROR(
  SUM(--(FREQUENCY(
      IF( (EXACT('가압 날짜별 실적'!$F$2:$F$10027,$A11))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4</v>
      </c>
      <c r="L11" s="130" cm="1">
        <f t="array" ref="L11">IFERROR(
  SUM(--(FREQUENCY(
      IF( (EXACT('가압 날짜별 실적'!$F$2:$F$10027,$A11))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0</v>
      </c>
      <c r="M11" s="130" cm="1">
        <f t="array" ref="M11">IFERROR(
  SUM(--(FREQUENCY(
      IF( (EXACT('가압 날짜별 실적'!$F$2:$F$10027,$A11))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2</v>
      </c>
      <c r="N11" s="130" cm="1">
        <f t="array" ref="N11">IFERROR(
  SUM(--(FREQUENCY(
      IF( (EXACT('가압 날짜별 실적'!$F$2:$F$10027,$A11))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2</v>
      </c>
      <c r="O11" s="130" cm="1">
        <f t="array" ref="O11">IFERROR(
  SUM(--(FREQUENCY(
      IF( (EXACT('가압 날짜별 실적'!$F$2:$F$10027,$A11))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6</v>
      </c>
      <c r="P11" s="130" cm="1">
        <f t="array" ref="P11">IFERROR(
  SUM(--(FREQUENCY(
      IF( (EXACT('가압 날짜별 실적'!$F$2:$F$10027,$A11))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0</v>
      </c>
      <c r="Q11" s="130" cm="1">
        <f t="array" ref="Q11">IFERROR(
  SUM(--(FREQUENCY(
      IF( (EXACT('가압 날짜별 실적'!$F$2:$F$10027,$A11))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2</v>
      </c>
      <c r="R11" s="130" cm="1">
        <f t="array" ref="R11">IFERROR(
  SUM(--(FREQUENCY(
      IF( (EXACT('가압 날짜별 실적'!$F$2:$F$10027,$A11))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2</v>
      </c>
      <c r="S11" s="130" cm="1">
        <f t="array" ref="S11">IFERROR(
  SUM(--(FREQUENCY(
      IF( (EXACT('가압 날짜별 실적'!$F$2:$F$10027,$A11))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0</v>
      </c>
      <c r="T11" s="130" cm="1">
        <f t="array" ref="T11">IFERROR(
  SUM(--(FREQUENCY(
      IF( (EXACT('가압 날짜별 실적'!$F$2:$F$10027,$A11))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2</v>
      </c>
      <c r="U11" s="130" cm="1">
        <f t="array" ref="U11">IFERROR(
  SUM(--(FREQUENCY(
      IF( (EXACT('가압 날짜별 실적'!$F$2:$F$10027,$A11))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0</v>
      </c>
      <c r="V11" s="130" cm="1">
        <f t="array" ref="V11">IFERROR(
  SUM(--(FREQUENCY(
      IF( (EXACT('가압 날짜별 실적'!$F$2:$F$10027,$A11))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0</v>
      </c>
      <c r="W11" s="130" cm="1">
        <f t="array" ref="W11">IFERROR(
  SUM(--(FREQUENCY(
      IF( (EXACT('가압 날짜별 실적'!$F$2:$F$10027,$A11))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0</v>
      </c>
      <c r="X11" s="130" cm="1">
        <f t="array" ref="X11">IFERROR(
  SUM(--(FREQUENCY(
      IF( (EXACT('가압 날짜별 실적'!$F$2:$F$10027,$A11))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0</v>
      </c>
      <c r="Y11" s="130" cm="1">
        <f t="array" ref="Y11">IFERROR(
  SUM(--(FREQUENCY(
      IF( (EXACT('가압 날짜별 실적'!$F$2:$F$10027,$A11))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0</v>
      </c>
      <c r="Z11" s="130" cm="1">
        <f t="array" ref="Z11">IFERROR(
  SUM(--(FREQUENCY(
      IF( (EXACT('가압 날짜별 실적'!$F$2:$F$10027,$A11))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0</v>
      </c>
      <c r="AA11" s="130" cm="1">
        <f t="array" ref="AA11">IFERROR(
  SUM(--(FREQUENCY(
      IF( (EXACT('가압 날짜별 실적'!$F$2:$F$10027,$A11))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6</v>
      </c>
      <c r="AB11" s="130" cm="1">
        <f t="array" ref="AB11">IFERROR(
  SUM(--(FREQUENCY(
      IF( (EXACT('가압 날짜별 실적'!$F$2:$F$10027,$A11))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0</v>
      </c>
      <c r="AC11" s="130" cm="1">
        <f t="array" ref="AC11">IFERROR(
  SUM(--(FREQUENCY(
      IF( (EXACT('가압 날짜별 실적'!$F$2:$F$10027,$A11))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2</v>
      </c>
      <c r="AD11" s="130" cm="1">
        <f t="array" ref="AD11">IFERROR(
  SUM(--(FREQUENCY(
      IF( (EXACT('가압 날짜별 실적'!$F$2:$F$10027,$A11))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0</v>
      </c>
      <c r="AE11" s="130" cm="1">
        <f t="array" ref="AE11">IFERROR(
  SUM(--(FREQUENCY(
      IF( (EXACT('가압 날짜별 실적'!$F$2:$F$10027,$A11))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2</v>
      </c>
      <c r="AF11" s="130" cm="1">
        <f t="array" ref="AF11">IFERROR(
  SUM(--(FREQUENCY(
      IF( (EXACT('가압 날짜별 실적'!$F$2:$F$10027,$A11))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0</v>
      </c>
      <c r="AG11" s="130" cm="1">
        <f t="array" ref="AG11">IFERROR(
  SUM(--(FREQUENCY(
      IF( (EXACT('가압 날짜별 실적'!$F$2:$F$10027,$A11))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3</v>
      </c>
      <c r="AH11" s="130" cm="1">
        <f t="array" ref="AH11">IFERROR(
  SUM(--(FREQUENCY(
      IF( (EXACT('가압 날짜별 실적'!$F$2:$F$10027,$A11))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3</v>
      </c>
      <c r="AI11" s="130" cm="1">
        <f t="array" ref="AI11">IFERROR(
  SUM(--(FREQUENCY(
      IF( (EXACT('가압 날짜별 실적'!$F$2:$F$10027,$A11))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2</v>
      </c>
      <c r="AJ11" s="130" cm="1">
        <f t="array" ref="AJ11">IFERROR(
  SUM(--(FREQUENCY(
      IF( (EXACT('가압 날짜별 실적'!$F$2:$F$10027,$A11))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0</v>
      </c>
      <c r="AK11" s="130" cm="1">
        <f t="array" ref="AK11">IFERROR(
  SUM(--(FREQUENCY(
      IF( (EXACT('가압 날짜별 실적'!$F$2:$F$10027,$A11))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0</v>
      </c>
      <c r="AL11" s="130" cm="1">
        <f t="array" ref="AL11">IFERROR(
  SUM(--(FREQUENCY(
      IF( (EXACT('가압 날짜별 실적'!$F$2:$F$10027,$A11))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4</v>
      </c>
      <c r="AM11" s="130" cm="1">
        <f t="array" ref="AM11">IFERROR(
  SUM(--(FREQUENCY(
      IF( (EXACT('가압 날짜별 실적'!$F$2:$F$10027,$A11))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0</v>
      </c>
      <c r="AN11" s="130" cm="1">
        <f t="array" ref="AN11">IFERROR(
  SUM(--(FREQUENCY(
      IF( (EXACT('가압 날짜별 실적'!$F$2:$F$10027,$A11))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2</v>
      </c>
      <c r="AO11" s="130" cm="1">
        <f t="array" ref="AO11">IFERROR(
  SUM(--(FREQUENCY(
      IF( (EXACT('가압 날짜별 실적'!$F$2:$F$10027,$A11))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2</v>
      </c>
      <c r="AP11" s="130" cm="1">
        <f t="array" ref="AP11">IFERROR(
  SUM(--(FREQUENCY(
      IF( (EXACT('가압 날짜별 실적'!$F$2:$F$10027,$A11))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11" s="130" cm="1">
        <f t="array" ref="AQ11">IFERROR(
  SUM(--(FREQUENCY(
      IF( (EXACT('가압 날짜별 실적'!$F$2:$F$10027,$A11))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0</v>
      </c>
      <c r="AR11" s="130" cm="1">
        <f t="array" ref="AR11">IFERROR(
  SUM(--(FREQUENCY(
      IF( (EXACT('가압 날짜별 실적'!$F$2:$F$10027,$A11))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0</v>
      </c>
      <c r="AS11" s="130" cm="1">
        <f t="array" ref="AS11">IFERROR(
  SUM(--(FREQUENCY(
      IF( (EXACT('가압 날짜별 실적'!$F$2:$F$10027,$A11))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0</v>
      </c>
      <c r="AT11" s="130" cm="1">
        <f t="array" ref="AT11">IFERROR(
  SUM(--(FREQUENCY(
      IF( (EXACT('가압 날짜별 실적'!$F$2:$F$10027,$A11))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2</v>
      </c>
      <c r="AU11" s="130" cm="1">
        <f t="array" ref="AU11">IFERROR(
  SUM(--(FREQUENCY(
      IF( (EXACT('가압 날짜별 실적'!$F$2:$F$10027,$A11))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0</v>
      </c>
      <c r="AV11" s="130" cm="1">
        <f t="array" ref="AV11">IFERROR(
  SUM(--(FREQUENCY(
      IF( (EXACT('가압 날짜별 실적'!$F$2:$F$10027,$A11))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0</v>
      </c>
      <c r="AW11" s="130" cm="1">
        <f t="array" ref="AW11">IFERROR(
  SUM(--(FREQUENCY(
      IF( (EXACT('가압 날짜별 실적'!$F$2:$F$10027,$A11))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4</v>
      </c>
      <c r="AX11" s="130" cm="1">
        <f t="array" ref="AX11">IFERROR(
  SUM(--(FREQUENCY(
      IF( (EXACT('가압 날짜별 실적'!$F$2:$F$10027,$A11))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0</v>
      </c>
      <c r="AY11" s="130" cm="1">
        <f t="array" ref="AY11">IFERROR(
  SUM(--(FREQUENCY(
      IF( (EXACT('가압 날짜별 실적'!$F$2:$F$10027,$A11))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0</v>
      </c>
      <c r="AZ11" s="130" cm="1">
        <f t="array" ref="AZ11">IFERROR(
  SUM(--(FREQUENCY(
      IF( (EXACT('가압 날짜별 실적'!$F$2:$F$10027,$A11))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2</v>
      </c>
      <c r="BA11" s="130" cm="1">
        <f t="array" ref="BA11">IFERROR(
  SUM(--(FREQUENCY(
      IF( (EXACT('가압 날짜별 실적'!$F$2:$F$10027,$A11))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0</v>
      </c>
      <c r="BB11" s="422">
        <f t="shared" si="0"/>
        <v>62</v>
      </c>
    </row>
    <row r="12" spans="1:54" ht="18" customHeight="1">
      <c r="A12" s="456" t="s">
        <v>1581</v>
      </c>
      <c r="B12" s="130" cm="1">
        <f t="array" ref="B12">IFERROR(
  SUM(--(FREQUENCY(
      IF( (EXACT('가압 날짜별 실적'!$F$2:$F$10027,$A12))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0</v>
      </c>
      <c r="C12" s="130" cm="1">
        <f t="array" ref="C12">IFERROR(
  SUM(--(FREQUENCY(
      IF( (EXACT('가압 날짜별 실적'!$F$2:$F$10027,$A12))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4</v>
      </c>
      <c r="D12" s="130" cm="1">
        <f t="array" ref="D12">IFERROR(
  SUM(--(FREQUENCY(
      IF( (EXACT('가압 날짜별 실적'!$F$2:$F$10027,$A12))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2</v>
      </c>
      <c r="E12" s="130" cm="1">
        <f t="array" ref="E12">IFERROR(
  SUM(--(FREQUENCY(
      IF( (EXACT('가압 날짜별 실적'!$F$2:$F$10027,$A12))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7</v>
      </c>
      <c r="F12" s="130" cm="1">
        <f t="array" ref="F12">IFERROR(
  SUM(--(FREQUENCY(
      IF( (EXACT('가압 날짜별 실적'!$F$2:$F$10027,$A12))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12" s="130" cm="1">
        <f t="array" ref="G12">IFERROR(
  SUM(--(FREQUENCY(
      IF( (EXACT('가압 날짜별 실적'!$F$2:$F$10027,$A12))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0</v>
      </c>
      <c r="H12" s="130" cm="1">
        <f t="array" ref="H12">IFERROR(
  SUM(--(FREQUENCY(
      IF( (EXACT('가압 날짜별 실적'!$F$2:$F$10027,$A12))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3</v>
      </c>
      <c r="I12" s="130" cm="1">
        <f t="array" ref="I12">IFERROR(
  SUM(--(FREQUENCY(
      IF( (EXACT('가압 날짜별 실적'!$F$2:$F$10027,$A12))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1</v>
      </c>
      <c r="J12" s="130" cm="1">
        <f t="array" ref="J12">IFERROR(
  SUM(--(FREQUENCY(
      IF( (EXACT('가압 날짜별 실적'!$F$2:$F$10027,$A12))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2</v>
      </c>
      <c r="K12" s="130" cm="1">
        <f t="array" ref="K12">IFERROR(
  SUM(--(FREQUENCY(
      IF( (EXACT('가압 날짜별 실적'!$F$2:$F$10027,$A12))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1</v>
      </c>
      <c r="L12" s="130" cm="1">
        <f t="array" ref="L12">IFERROR(
  SUM(--(FREQUENCY(
      IF( (EXACT('가압 날짜별 실적'!$F$2:$F$10027,$A12))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1</v>
      </c>
      <c r="M12" s="130" cm="1">
        <f t="array" ref="M12">IFERROR(
  SUM(--(FREQUENCY(
      IF( (EXACT('가압 날짜별 실적'!$F$2:$F$10027,$A12))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1</v>
      </c>
      <c r="N12" s="130" cm="1">
        <f t="array" ref="N12">IFERROR(
  SUM(--(FREQUENCY(
      IF( (EXACT('가압 날짜별 실적'!$F$2:$F$10027,$A12))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1</v>
      </c>
      <c r="O12" s="130" cm="1">
        <f t="array" ref="O12">IFERROR(
  SUM(--(FREQUENCY(
      IF( (EXACT('가압 날짜별 실적'!$F$2:$F$10027,$A12))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3</v>
      </c>
      <c r="P12" s="130" cm="1">
        <f t="array" ref="P12">IFERROR(
  SUM(--(FREQUENCY(
      IF( (EXACT('가압 날짜별 실적'!$F$2:$F$10027,$A12))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2</v>
      </c>
      <c r="Q12" s="130" cm="1">
        <f t="array" ref="Q12">IFERROR(
  SUM(--(FREQUENCY(
      IF( (EXACT('가압 날짜별 실적'!$F$2:$F$10027,$A12))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0</v>
      </c>
      <c r="R12" s="130" cm="1">
        <f t="array" ref="R12">IFERROR(
  SUM(--(FREQUENCY(
      IF( (EXACT('가압 날짜별 실적'!$F$2:$F$10027,$A12))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4</v>
      </c>
      <c r="S12" s="130" cm="1">
        <f t="array" ref="S12">IFERROR(
  SUM(--(FREQUENCY(
      IF( (EXACT('가압 날짜별 실적'!$F$2:$F$10027,$A12))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1</v>
      </c>
      <c r="T12" s="130" cm="1">
        <f t="array" ref="T12">IFERROR(
  SUM(--(FREQUENCY(
      IF( (EXACT('가압 날짜별 실적'!$F$2:$F$10027,$A12))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4</v>
      </c>
      <c r="U12" s="130" cm="1">
        <f t="array" ref="U12">IFERROR(
  SUM(--(FREQUENCY(
      IF( (EXACT('가압 날짜별 실적'!$F$2:$F$10027,$A12))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6</v>
      </c>
      <c r="V12" s="130" cm="1">
        <f t="array" ref="V12">IFERROR(
  SUM(--(FREQUENCY(
      IF( (EXACT('가압 날짜별 실적'!$F$2:$F$10027,$A12))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3</v>
      </c>
      <c r="W12" s="130" cm="1">
        <f t="array" ref="W12">IFERROR(
  SUM(--(FREQUENCY(
      IF( (EXACT('가압 날짜별 실적'!$F$2:$F$10027,$A12))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1</v>
      </c>
      <c r="X12" s="130" cm="1">
        <f t="array" ref="X12">IFERROR(
  SUM(--(FREQUENCY(
      IF( (EXACT('가압 날짜별 실적'!$F$2:$F$10027,$A12))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0</v>
      </c>
      <c r="Y12" s="130" cm="1">
        <f t="array" ref="Y12">IFERROR(
  SUM(--(FREQUENCY(
      IF( (EXACT('가압 날짜별 실적'!$F$2:$F$10027,$A12))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1</v>
      </c>
      <c r="Z12" s="130" cm="1">
        <f t="array" ref="Z12">IFERROR(
  SUM(--(FREQUENCY(
      IF( (EXACT('가압 날짜별 실적'!$F$2:$F$10027,$A12))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0</v>
      </c>
      <c r="AA12" s="130" cm="1">
        <f t="array" ref="AA12">IFERROR(
  SUM(--(FREQUENCY(
      IF( (EXACT('가압 날짜별 실적'!$F$2:$F$10027,$A12))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0</v>
      </c>
      <c r="AB12" s="130" cm="1">
        <f t="array" ref="AB12">IFERROR(
  SUM(--(FREQUENCY(
      IF( (EXACT('가압 날짜별 실적'!$F$2:$F$10027,$A12))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1</v>
      </c>
      <c r="AC12" s="130" cm="1">
        <f t="array" ref="AC12">IFERROR(
  SUM(--(FREQUENCY(
      IF( (EXACT('가압 날짜별 실적'!$F$2:$F$10027,$A12))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0</v>
      </c>
      <c r="AD12" s="130" cm="1">
        <f t="array" ref="AD12">IFERROR(
  SUM(--(FREQUENCY(
      IF( (EXACT('가압 날짜별 실적'!$F$2:$F$10027,$A12))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1</v>
      </c>
      <c r="AE12" s="130" cm="1">
        <f t="array" ref="AE12">IFERROR(
  SUM(--(FREQUENCY(
      IF( (EXACT('가압 날짜별 실적'!$F$2:$F$10027,$A12))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0</v>
      </c>
      <c r="AF12" s="130" cm="1">
        <f t="array" ref="AF12">IFERROR(
  SUM(--(FREQUENCY(
      IF( (EXACT('가압 날짜별 실적'!$F$2:$F$10027,$A12))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0</v>
      </c>
      <c r="AG12" s="130" cm="1">
        <f t="array" ref="AG12">IFERROR(
  SUM(--(FREQUENCY(
      IF( (EXACT('가압 날짜별 실적'!$F$2:$F$10027,$A12))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1</v>
      </c>
      <c r="AH12" s="130" cm="1">
        <f t="array" ref="AH12">IFERROR(
  SUM(--(FREQUENCY(
      IF( (EXACT('가압 날짜별 실적'!$F$2:$F$10027,$A12))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0</v>
      </c>
      <c r="AI12" s="130" cm="1">
        <f t="array" ref="AI12">IFERROR(
  SUM(--(FREQUENCY(
      IF( (EXACT('가압 날짜별 실적'!$F$2:$F$10027,$A12))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3</v>
      </c>
      <c r="AJ12" s="130" cm="1">
        <f t="array" ref="AJ12">IFERROR(
  SUM(--(FREQUENCY(
      IF( (EXACT('가압 날짜별 실적'!$F$2:$F$10027,$A12))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2</v>
      </c>
      <c r="AK12" s="130" cm="1">
        <f t="array" ref="AK12">IFERROR(
  SUM(--(FREQUENCY(
      IF( (EXACT('가압 날짜별 실적'!$F$2:$F$10027,$A12))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1</v>
      </c>
      <c r="AL12" s="130" cm="1">
        <f t="array" ref="AL12">IFERROR(
  SUM(--(FREQUENCY(
      IF( (EXACT('가압 날짜별 실적'!$F$2:$F$10027,$A12))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0</v>
      </c>
      <c r="AM12" s="130" cm="1">
        <f t="array" ref="AM12">IFERROR(
  SUM(--(FREQUENCY(
      IF( (EXACT('가압 날짜별 실적'!$F$2:$F$10027,$A12))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0</v>
      </c>
      <c r="AN12" s="130" cm="1">
        <f t="array" ref="AN12">IFERROR(
  SUM(--(FREQUENCY(
      IF( (EXACT('가압 날짜별 실적'!$F$2:$F$10027,$A12))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0</v>
      </c>
      <c r="AO12" s="130" cm="1">
        <f t="array" ref="AO12">IFERROR(
  SUM(--(FREQUENCY(
      IF( (EXACT('가압 날짜별 실적'!$F$2:$F$10027,$A12))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0</v>
      </c>
      <c r="AP12" s="130" cm="1">
        <f t="array" ref="AP12">IFERROR(
  SUM(--(FREQUENCY(
      IF( (EXACT('가압 날짜별 실적'!$F$2:$F$10027,$A12))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12" s="130" cm="1">
        <f t="array" ref="AQ12">IFERROR(
  SUM(--(FREQUENCY(
      IF( (EXACT('가압 날짜별 실적'!$F$2:$F$10027,$A12))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0</v>
      </c>
      <c r="AR12" s="130" cm="1">
        <f t="array" ref="AR12">IFERROR(
  SUM(--(FREQUENCY(
      IF( (EXACT('가압 날짜별 실적'!$F$2:$F$10027,$A12))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0</v>
      </c>
      <c r="AS12" s="130" cm="1">
        <f t="array" ref="AS12">IFERROR(
  SUM(--(FREQUENCY(
      IF( (EXACT('가압 날짜별 실적'!$F$2:$F$10027,$A12))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2</v>
      </c>
      <c r="AT12" s="130" cm="1">
        <f t="array" ref="AT12">IFERROR(
  SUM(--(FREQUENCY(
      IF( (EXACT('가압 날짜별 실적'!$F$2:$F$10027,$A12))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0</v>
      </c>
      <c r="AU12" s="130" cm="1">
        <f t="array" ref="AU12">IFERROR(
  SUM(--(FREQUENCY(
      IF( (EXACT('가압 날짜별 실적'!$F$2:$F$10027,$A12))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2</v>
      </c>
      <c r="AV12" s="130" cm="1">
        <f t="array" ref="AV12">IFERROR(
  SUM(--(FREQUENCY(
      IF( (EXACT('가압 날짜별 실적'!$F$2:$F$10027,$A12))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2</v>
      </c>
      <c r="AW12" s="130" cm="1">
        <f t="array" ref="AW12">IFERROR(
  SUM(--(FREQUENCY(
      IF( (EXACT('가압 날짜별 실적'!$F$2:$F$10027,$A12))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2</v>
      </c>
      <c r="AX12" s="130" cm="1">
        <f t="array" ref="AX12">IFERROR(
  SUM(--(FREQUENCY(
      IF( (EXACT('가압 날짜별 실적'!$F$2:$F$10027,$A12))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1</v>
      </c>
      <c r="AY12" s="130" cm="1">
        <f t="array" ref="AY12">IFERROR(
  SUM(--(FREQUENCY(
      IF( (EXACT('가압 날짜별 실적'!$F$2:$F$10027,$A12))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0</v>
      </c>
      <c r="AZ12" s="130" cm="1">
        <f t="array" ref="AZ12">IFERROR(
  SUM(--(FREQUENCY(
      IF( (EXACT('가압 날짜별 실적'!$F$2:$F$10027,$A12))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0</v>
      </c>
      <c r="BA12" s="130" cm="1">
        <f t="array" ref="BA12">IFERROR(
  SUM(--(FREQUENCY(
      IF( (EXACT('가압 날짜별 실적'!$F$2:$F$10027,$A12))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0</v>
      </c>
      <c r="BB12" s="422">
        <f t="shared" si="0"/>
        <v>66</v>
      </c>
    </row>
    <row r="13" spans="1:54" ht="18" customHeight="1">
      <c r="A13" s="456" t="s">
        <v>2184</v>
      </c>
      <c r="B13" s="130" cm="1">
        <f t="array" ref="B13">IFERROR(
  SUM(--(FREQUENCY(
      IF( (EXACT('가압 날짜별 실적'!$F$2:$F$10027,$A13))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0</v>
      </c>
      <c r="C13" s="130" cm="1">
        <f t="array" ref="C13">IFERROR(
  SUM(--(FREQUENCY(
      IF( (EXACT('가압 날짜별 실적'!$F$2:$F$10027,$A13))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0</v>
      </c>
      <c r="D13" s="130" cm="1">
        <f t="array" ref="D13">IFERROR(
  SUM(--(FREQUENCY(
      IF( (EXACT('가압 날짜별 실적'!$F$2:$F$10027,$A13))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0</v>
      </c>
      <c r="E13" s="130" cm="1">
        <f t="array" ref="E13">IFERROR(
  SUM(--(FREQUENCY(
      IF( (EXACT('가압 날짜별 실적'!$F$2:$F$10027,$A13))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0</v>
      </c>
      <c r="F13" s="130" cm="1">
        <f t="array" ref="F13">IFERROR(
  SUM(--(FREQUENCY(
      IF( (EXACT('가압 날짜별 실적'!$F$2:$F$10027,$A13))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13" s="130" cm="1">
        <f t="array" ref="G13">IFERROR(
  SUM(--(FREQUENCY(
      IF( (EXACT('가압 날짜별 실적'!$F$2:$F$10027,$A13))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0</v>
      </c>
      <c r="H13" s="130" cm="1">
        <f t="array" ref="H13">IFERROR(
  SUM(--(FREQUENCY(
      IF( (EXACT('가압 날짜별 실적'!$F$2:$F$10027,$A13))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0</v>
      </c>
      <c r="I13" s="130" cm="1">
        <f t="array" ref="I13">IFERROR(
  SUM(--(FREQUENCY(
      IF( (EXACT('가압 날짜별 실적'!$F$2:$F$10027,$A13))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0</v>
      </c>
      <c r="J13" s="130" cm="1">
        <f t="array" ref="J13">IFERROR(
  SUM(--(FREQUENCY(
      IF( (EXACT('가압 날짜별 실적'!$F$2:$F$10027,$A13))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0</v>
      </c>
      <c r="K13" s="130" cm="1">
        <f t="array" ref="K13">IFERROR(
  SUM(--(FREQUENCY(
      IF( (EXACT('가압 날짜별 실적'!$F$2:$F$10027,$A13))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0</v>
      </c>
      <c r="L13" s="130" cm="1">
        <f t="array" ref="L13">IFERROR(
  SUM(--(FREQUENCY(
      IF( (EXACT('가압 날짜별 실적'!$F$2:$F$10027,$A13))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0</v>
      </c>
      <c r="M13" s="130" cm="1">
        <f t="array" ref="M13">IFERROR(
  SUM(--(FREQUENCY(
      IF( (EXACT('가압 날짜별 실적'!$F$2:$F$10027,$A13))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0</v>
      </c>
      <c r="N13" s="130" cm="1">
        <f t="array" ref="N13">IFERROR(
  SUM(--(FREQUENCY(
      IF( (EXACT('가압 날짜별 실적'!$F$2:$F$10027,$A13))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0</v>
      </c>
      <c r="O13" s="130" cm="1">
        <f t="array" ref="O13">IFERROR(
  SUM(--(FREQUENCY(
      IF( (EXACT('가압 날짜별 실적'!$F$2:$F$10027,$A13))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0</v>
      </c>
      <c r="P13" s="130" cm="1">
        <f t="array" ref="P13">IFERROR(
  SUM(--(FREQUENCY(
      IF( (EXACT('가압 날짜별 실적'!$F$2:$F$10027,$A13))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0</v>
      </c>
      <c r="Q13" s="130" cm="1">
        <f t="array" ref="Q13">IFERROR(
  SUM(--(FREQUENCY(
      IF( (EXACT('가압 날짜별 실적'!$F$2:$F$10027,$A13))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0</v>
      </c>
      <c r="R13" s="130" cm="1">
        <f t="array" ref="R13">IFERROR(
  SUM(--(FREQUENCY(
      IF( (EXACT('가압 날짜별 실적'!$F$2:$F$10027,$A13))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0</v>
      </c>
      <c r="S13" s="130" cm="1">
        <f t="array" ref="S13">IFERROR(
  SUM(--(FREQUENCY(
      IF( (EXACT('가압 날짜별 실적'!$F$2:$F$10027,$A13))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0</v>
      </c>
      <c r="T13" s="130" cm="1">
        <f t="array" ref="T13">IFERROR(
  SUM(--(FREQUENCY(
      IF( (EXACT('가압 날짜별 실적'!$F$2:$F$10027,$A13))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0</v>
      </c>
      <c r="U13" s="130" cm="1">
        <f t="array" ref="U13">IFERROR(
  SUM(--(FREQUENCY(
      IF( (EXACT('가압 날짜별 실적'!$F$2:$F$10027,$A13))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1</v>
      </c>
      <c r="V13" s="130" cm="1">
        <f t="array" ref="V13">IFERROR(
  SUM(--(FREQUENCY(
      IF( (EXACT('가압 날짜별 실적'!$F$2:$F$10027,$A13))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0</v>
      </c>
      <c r="W13" s="130" cm="1">
        <f t="array" ref="W13">IFERROR(
  SUM(--(FREQUENCY(
      IF( (EXACT('가압 날짜별 실적'!$F$2:$F$10027,$A13))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0</v>
      </c>
      <c r="X13" s="130" cm="1">
        <f t="array" ref="X13">IFERROR(
  SUM(--(FREQUENCY(
      IF( (EXACT('가압 날짜별 실적'!$F$2:$F$10027,$A13))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0</v>
      </c>
      <c r="Y13" s="130" cm="1">
        <f t="array" ref="Y13">IFERROR(
  SUM(--(FREQUENCY(
      IF( (EXACT('가압 날짜별 실적'!$F$2:$F$10027,$A13))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0</v>
      </c>
      <c r="Z13" s="130" cm="1">
        <f t="array" ref="Z13">IFERROR(
  SUM(--(FREQUENCY(
      IF( (EXACT('가압 날짜별 실적'!$F$2:$F$10027,$A13))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0</v>
      </c>
      <c r="AA13" s="130" cm="1">
        <f t="array" ref="AA13">IFERROR(
  SUM(--(FREQUENCY(
      IF( (EXACT('가압 날짜별 실적'!$F$2:$F$10027,$A13))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0</v>
      </c>
      <c r="AB13" s="130" cm="1">
        <f t="array" ref="AB13">IFERROR(
  SUM(--(FREQUENCY(
      IF( (EXACT('가압 날짜별 실적'!$F$2:$F$10027,$A13))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0</v>
      </c>
      <c r="AC13" s="130" cm="1">
        <f t="array" ref="AC13">IFERROR(
  SUM(--(FREQUENCY(
      IF( (EXACT('가압 날짜별 실적'!$F$2:$F$10027,$A13))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0</v>
      </c>
      <c r="AD13" s="130" cm="1">
        <f t="array" ref="AD13">IFERROR(
  SUM(--(FREQUENCY(
      IF( (EXACT('가압 날짜별 실적'!$F$2:$F$10027,$A13))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0</v>
      </c>
      <c r="AE13" s="130" cm="1">
        <f t="array" ref="AE13">IFERROR(
  SUM(--(FREQUENCY(
      IF( (EXACT('가압 날짜별 실적'!$F$2:$F$10027,$A13))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0</v>
      </c>
      <c r="AF13" s="130" cm="1">
        <f t="array" ref="AF13">IFERROR(
  SUM(--(FREQUENCY(
      IF( (EXACT('가압 날짜별 실적'!$F$2:$F$10027,$A13))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0</v>
      </c>
      <c r="AG13" s="130" cm="1">
        <f t="array" ref="AG13">IFERROR(
  SUM(--(FREQUENCY(
      IF( (EXACT('가압 날짜별 실적'!$F$2:$F$10027,$A13))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0</v>
      </c>
      <c r="AH13" s="130" cm="1">
        <f t="array" ref="AH13">IFERROR(
  SUM(--(FREQUENCY(
      IF( (EXACT('가압 날짜별 실적'!$F$2:$F$10027,$A13))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0</v>
      </c>
      <c r="AI13" s="130" cm="1">
        <f t="array" ref="AI13">IFERROR(
  SUM(--(FREQUENCY(
      IF( (EXACT('가압 날짜별 실적'!$F$2:$F$10027,$A13))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0</v>
      </c>
      <c r="AJ13" s="130" cm="1">
        <f t="array" ref="AJ13">IFERROR(
  SUM(--(FREQUENCY(
      IF( (EXACT('가압 날짜별 실적'!$F$2:$F$10027,$A13))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0</v>
      </c>
      <c r="AK13" s="130" cm="1">
        <f t="array" ref="AK13">IFERROR(
  SUM(--(FREQUENCY(
      IF( (EXACT('가압 날짜별 실적'!$F$2:$F$10027,$A13))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0</v>
      </c>
      <c r="AL13" s="130" cm="1">
        <f t="array" ref="AL13">IFERROR(
  SUM(--(FREQUENCY(
      IF( (EXACT('가압 날짜별 실적'!$F$2:$F$10027,$A13))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0</v>
      </c>
      <c r="AM13" s="130" cm="1">
        <f t="array" ref="AM13">IFERROR(
  SUM(--(FREQUENCY(
      IF( (EXACT('가압 날짜별 실적'!$F$2:$F$10027,$A13))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0</v>
      </c>
      <c r="AN13" s="130" cm="1">
        <f t="array" ref="AN13">IFERROR(
  SUM(--(FREQUENCY(
      IF( (EXACT('가압 날짜별 실적'!$F$2:$F$10027,$A13))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0</v>
      </c>
      <c r="AO13" s="130" cm="1">
        <f t="array" ref="AO13">IFERROR(
  SUM(--(FREQUENCY(
      IF( (EXACT('가압 날짜별 실적'!$F$2:$F$10027,$A13))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0</v>
      </c>
      <c r="AP13" s="130" cm="1">
        <f t="array" ref="AP13">IFERROR(
  SUM(--(FREQUENCY(
      IF( (EXACT('가압 날짜별 실적'!$F$2:$F$10027,$A13))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13" s="130" cm="1">
        <f t="array" ref="AQ13">IFERROR(
  SUM(--(FREQUENCY(
      IF( (EXACT('가압 날짜별 실적'!$F$2:$F$10027,$A13))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0</v>
      </c>
      <c r="AR13" s="130" cm="1">
        <f t="array" ref="AR13">IFERROR(
  SUM(--(FREQUENCY(
      IF( (EXACT('가압 날짜별 실적'!$F$2:$F$10027,$A13))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0</v>
      </c>
      <c r="AS13" s="130" cm="1">
        <f t="array" ref="AS13">IFERROR(
  SUM(--(FREQUENCY(
      IF( (EXACT('가압 날짜별 실적'!$F$2:$F$10027,$A13))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0</v>
      </c>
      <c r="AT13" s="130" cm="1">
        <f t="array" ref="AT13">IFERROR(
  SUM(--(FREQUENCY(
      IF( (EXACT('가압 날짜별 실적'!$F$2:$F$10027,$A13))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0</v>
      </c>
      <c r="AU13" s="130" cm="1">
        <f t="array" ref="AU13">IFERROR(
  SUM(--(FREQUENCY(
      IF( (EXACT('가압 날짜별 실적'!$F$2:$F$10027,$A13))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0</v>
      </c>
      <c r="AV13" s="130" cm="1">
        <f t="array" ref="AV13">IFERROR(
  SUM(--(FREQUENCY(
      IF( (EXACT('가압 날짜별 실적'!$F$2:$F$10027,$A13))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0</v>
      </c>
      <c r="AW13" s="130" cm="1">
        <f t="array" ref="AW13">IFERROR(
  SUM(--(FREQUENCY(
      IF( (EXACT('가압 날짜별 실적'!$F$2:$F$10027,$A13))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0</v>
      </c>
      <c r="AX13" s="130" cm="1">
        <f t="array" ref="AX13">IFERROR(
  SUM(--(FREQUENCY(
      IF( (EXACT('가압 날짜별 실적'!$F$2:$F$10027,$A13))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0</v>
      </c>
      <c r="AY13" s="130" cm="1">
        <f t="array" ref="AY13">IFERROR(
  SUM(--(FREQUENCY(
      IF( (EXACT('가압 날짜별 실적'!$F$2:$F$10027,$A13))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0</v>
      </c>
      <c r="AZ13" s="130" cm="1">
        <f t="array" ref="AZ13">IFERROR(
  SUM(--(FREQUENCY(
      IF( (EXACT('가압 날짜별 실적'!$F$2:$F$10027,$A13))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0</v>
      </c>
      <c r="BA13" s="130" cm="1">
        <f t="array" ref="BA13">IFERROR(
  SUM(--(FREQUENCY(
      IF( (EXACT('가압 날짜별 실적'!$F$2:$F$10027,$A13))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0</v>
      </c>
      <c r="BB13" s="422">
        <f t="shared" si="0"/>
        <v>1</v>
      </c>
    </row>
    <row r="14" spans="1:54" ht="18" customHeight="1">
      <c r="A14" s="456" t="s">
        <v>1911</v>
      </c>
      <c r="B14" s="130" cm="1">
        <f t="array" ref="B14">IFERROR(
  SUM(--(FREQUENCY(
      IF( (EXACT('가압 날짜별 실적'!$F$2:$F$10027,$A14))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0</v>
      </c>
      <c r="C14" s="130" cm="1">
        <f t="array" ref="C14">IFERROR(
  SUM(--(FREQUENCY(
      IF( (EXACT('가압 날짜별 실적'!$F$2:$F$10027,$A14))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0</v>
      </c>
      <c r="D14" s="130" cm="1">
        <f t="array" ref="D14">IFERROR(
  SUM(--(FREQUENCY(
      IF( (EXACT('가압 날짜별 실적'!$F$2:$F$10027,$A14))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0</v>
      </c>
      <c r="E14" s="130" cm="1">
        <f t="array" ref="E14">IFERROR(
  SUM(--(FREQUENCY(
      IF( (EXACT('가압 날짜별 실적'!$F$2:$F$10027,$A14))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0</v>
      </c>
      <c r="F14" s="130" cm="1">
        <f t="array" ref="F14">IFERROR(
  SUM(--(FREQUENCY(
      IF( (EXACT('가압 날짜별 실적'!$F$2:$F$10027,$A14))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14" s="130" cm="1">
        <f t="array" ref="G14">IFERROR(
  SUM(--(FREQUENCY(
      IF( (EXACT('가압 날짜별 실적'!$F$2:$F$10027,$A14))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0</v>
      </c>
      <c r="H14" s="130" cm="1">
        <f t="array" ref="H14">IFERROR(
  SUM(--(FREQUENCY(
      IF( (EXACT('가압 날짜별 실적'!$F$2:$F$10027,$A14))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0</v>
      </c>
      <c r="I14" s="130" cm="1">
        <f t="array" ref="I14">IFERROR(
  SUM(--(FREQUENCY(
      IF( (EXACT('가압 날짜별 실적'!$F$2:$F$10027,$A14))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0</v>
      </c>
      <c r="J14" s="130" cm="1">
        <f t="array" ref="J14">IFERROR(
  SUM(--(FREQUENCY(
      IF( (EXACT('가압 날짜별 실적'!$F$2:$F$10027,$A14))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0</v>
      </c>
      <c r="K14" s="130" cm="1">
        <f t="array" ref="K14">IFERROR(
  SUM(--(FREQUENCY(
      IF( (EXACT('가압 날짜별 실적'!$F$2:$F$10027,$A14))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0</v>
      </c>
      <c r="L14" s="130" cm="1">
        <f t="array" ref="L14">IFERROR(
  SUM(--(FREQUENCY(
      IF( (EXACT('가압 날짜별 실적'!$F$2:$F$10027,$A14))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0</v>
      </c>
      <c r="M14" s="130" cm="1">
        <f t="array" ref="M14">IFERROR(
  SUM(--(FREQUENCY(
      IF( (EXACT('가압 날짜별 실적'!$F$2:$F$10027,$A14))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2</v>
      </c>
      <c r="N14" s="130" cm="1">
        <f t="array" ref="N14">IFERROR(
  SUM(--(FREQUENCY(
      IF( (EXACT('가압 날짜별 실적'!$F$2:$F$10027,$A14))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0</v>
      </c>
      <c r="O14" s="130" cm="1">
        <f t="array" ref="O14">IFERROR(
  SUM(--(FREQUENCY(
      IF( (EXACT('가압 날짜별 실적'!$F$2:$F$10027,$A14))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0</v>
      </c>
      <c r="P14" s="130" cm="1">
        <f t="array" ref="P14">IFERROR(
  SUM(--(FREQUENCY(
      IF( (EXACT('가압 날짜별 실적'!$F$2:$F$10027,$A14))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0</v>
      </c>
      <c r="Q14" s="130" cm="1">
        <f t="array" ref="Q14">IFERROR(
  SUM(--(FREQUENCY(
      IF( (EXACT('가압 날짜별 실적'!$F$2:$F$10027,$A14))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0</v>
      </c>
      <c r="R14" s="130" cm="1">
        <f t="array" ref="R14">IFERROR(
  SUM(--(FREQUENCY(
      IF( (EXACT('가압 날짜별 실적'!$F$2:$F$10027,$A14))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0</v>
      </c>
      <c r="S14" s="130" cm="1">
        <f t="array" ref="S14">IFERROR(
  SUM(--(FREQUENCY(
      IF( (EXACT('가압 날짜별 실적'!$F$2:$F$10027,$A14))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0</v>
      </c>
      <c r="T14" s="130" cm="1">
        <f t="array" ref="T14">IFERROR(
  SUM(--(FREQUENCY(
      IF( (EXACT('가압 날짜별 실적'!$F$2:$F$10027,$A14))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0</v>
      </c>
      <c r="U14" s="130" cm="1">
        <f t="array" ref="U14">IFERROR(
  SUM(--(FREQUENCY(
      IF( (EXACT('가압 날짜별 실적'!$F$2:$F$10027,$A14))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0</v>
      </c>
      <c r="V14" s="130" cm="1">
        <f t="array" ref="V14">IFERROR(
  SUM(--(FREQUENCY(
      IF( (EXACT('가압 날짜별 실적'!$F$2:$F$10027,$A14))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1</v>
      </c>
      <c r="W14" s="130" cm="1">
        <f t="array" ref="W14">IFERROR(
  SUM(--(FREQUENCY(
      IF( (EXACT('가압 날짜별 실적'!$F$2:$F$10027,$A14))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0</v>
      </c>
      <c r="X14" s="130" cm="1">
        <f t="array" ref="X14">IFERROR(
  SUM(--(FREQUENCY(
      IF( (EXACT('가압 날짜별 실적'!$F$2:$F$10027,$A14))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1</v>
      </c>
      <c r="Y14" s="130" cm="1">
        <f t="array" ref="Y14">IFERROR(
  SUM(--(FREQUENCY(
      IF( (EXACT('가압 날짜별 실적'!$F$2:$F$10027,$A14))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0</v>
      </c>
      <c r="Z14" s="130" cm="1">
        <f t="array" ref="Z14">IFERROR(
  SUM(--(FREQUENCY(
      IF( (EXACT('가압 날짜별 실적'!$F$2:$F$10027,$A14))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0</v>
      </c>
      <c r="AA14" s="130" cm="1">
        <f t="array" ref="AA14">IFERROR(
  SUM(--(FREQUENCY(
      IF( (EXACT('가압 날짜별 실적'!$F$2:$F$10027,$A14))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0</v>
      </c>
      <c r="AB14" s="130" cm="1">
        <f t="array" ref="AB14">IFERROR(
  SUM(--(FREQUENCY(
      IF( (EXACT('가압 날짜별 실적'!$F$2:$F$10027,$A14))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0</v>
      </c>
      <c r="AC14" s="130" cm="1">
        <f t="array" ref="AC14">IFERROR(
  SUM(--(FREQUENCY(
      IF( (EXACT('가압 날짜별 실적'!$F$2:$F$10027,$A14))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0</v>
      </c>
      <c r="AD14" s="130" cm="1">
        <f t="array" ref="AD14">IFERROR(
  SUM(--(FREQUENCY(
      IF( (EXACT('가압 날짜별 실적'!$F$2:$F$10027,$A14))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0</v>
      </c>
      <c r="AE14" s="130" cm="1">
        <f t="array" ref="AE14">IFERROR(
  SUM(--(FREQUENCY(
      IF( (EXACT('가압 날짜별 실적'!$F$2:$F$10027,$A14))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0</v>
      </c>
      <c r="AF14" s="130" cm="1">
        <f t="array" ref="AF14">IFERROR(
  SUM(--(FREQUENCY(
      IF( (EXACT('가압 날짜별 실적'!$F$2:$F$10027,$A14))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0</v>
      </c>
      <c r="AG14" s="130" cm="1">
        <f t="array" ref="AG14">IFERROR(
  SUM(--(FREQUENCY(
      IF( (EXACT('가압 날짜별 실적'!$F$2:$F$10027,$A14))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0</v>
      </c>
      <c r="AH14" s="130" cm="1">
        <f t="array" ref="AH14">IFERROR(
  SUM(--(FREQUENCY(
      IF( (EXACT('가압 날짜별 실적'!$F$2:$F$10027,$A14))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0</v>
      </c>
      <c r="AI14" s="130" cm="1">
        <f t="array" ref="AI14">IFERROR(
  SUM(--(FREQUENCY(
      IF( (EXACT('가압 날짜별 실적'!$F$2:$F$10027,$A14))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0</v>
      </c>
      <c r="AJ14" s="130" cm="1">
        <f t="array" ref="AJ14">IFERROR(
  SUM(--(FREQUENCY(
      IF( (EXACT('가압 날짜별 실적'!$F$2:$F$10027,$A14))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0</v>
      </c>
      <c r="AK14" s="130" cm="1">
        <f t="array" ref="AK14">IFERROR(
  SUM(--(FREQUENCY(
      IF( (EXACT('가압 날짜별 실적'!$F$2:$F$10027,$A14))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0</v>
      </c>
      <c r="AL14" s="130" cm="1">
        <f t="array" ref="AL14">IFERROR(
  SUM(--(FREQUENCY(
      IF( (EXACT('가압 날짜별 실적'!$F$2:$F$10027,$A14))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0</v>
      </c>
      <c r="AM14" s="130" cm="1">
        <f t="array" ref="AM14">IFERROR(
  SUM(--(FREQUENCY(
      IF( (EXACT('가압 날짜별 실적'!$F$2:$F$10027,$A14))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0</v>
      </c>
      <c r="AN14" s="130" cm="1">
        <f t="array" ref="AN14">IFERROR(
  SUM(--(FREQUENCY(
      IF( (EXACT('가압 날짜별 실적'!$F$2:$F$10027,$A14))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0</v>
      </c>
      <c r="AO14" s="130" cm="1">
        <f t="array" ref="AO14">IFERROR(
  SUM(--(FREQUENCY(
      IF( (EXACT('가압 날짜별 실적'!$F$2:$F$10027,$A14))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0</v>
      </c>
      <c r="AP14" s="130" cm="1">
        <f t="array" ref="AP14">IFERROR(
  SUM(--(FREQUENCY(
      IF( (EXACT('가압 날짜별 실적'!$F$2:$F$10027,$A14))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14" s="130" cm="1">
        <f t="array" ref="AQ14">IFERROR(
  SUM(--(FREQUENCY(
      IF( (EXACT('가압 날짜별 실적'!$F$2:$F$10027,$A14))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1</v>
      </c>
      <c r="AR14" s="130" cm="1">
        <f t="array" ref="AR14">IFERROR(
  SUM(--(FREQUENCY(
      IF( (EXACT('가압 날짜별 실적'!$F$2:$F$10027,$A14))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0</v>
      </c>
      <c r="AS14" s="130" cm="1">
        <f t="array" ref="AS14">IFERROR(
  SUM(--(FREQUENCY(
      IF( (EXACT('가압 날짜별 실적'!$F$2:$F$10027,$A14))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0</v>
      </c>
      <c r="AT14" s="130" cm="1">
        <f t="array" ref="AT14">IFERROR(
  SUM(--(FREQUENCY(
      IF( (EXACT('가압 날짜별 실적'!$F$2:$F$10027,$A14))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0</v>
      </c>
      <c r="AU14" s="130" cm="1">
        <f t="array" ref="AU14">IFERROR(
  SUM(--(FREQUENCY(
      IF( (EXACT('가압 날짜별 실적'!$F$2:$F$10027,$A14))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0</v>
      </c>
      <c r="AV14" s="130" cm="1">
        <f t="array" ref="AV14">IFERROR(
  SUM(--(FREQUENCY(
      IF( (EXACT('가압 날짜별 실적'!$F$2:$F$10027,$A14))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0</v>
      </c>
      <c r="AW14" s="130" cm="1">
        <f t="array" ref="AW14">IFERROR(
  SUM(--(FREQUENCY(
      IF( (EXACT('가압 날짜별 실적'!$F$2:$F$10027,$A14))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0</v>
      </c>
      <c r="AX14" s="130" cm="1">
        <f t="array" ref="AX14">IFERROR(
  SUM(--(FREQUENCY(
      IF( (EXACT('가압 날짜별 실적'!$F$2:$F$10027,$A14))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0</v>
      </c>
      <c r="AY14" s="130" cm="1">
        <f t="array" ref="AY14">IFERROR(
  SUM(--(FREQUENCY(
      IF( (EXACT('가압 날짜별 실적'!$F$2:$F$10027,$A14))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0</v>
      </c>
      <c r="AZ14" s="130" cm="1">
        <f t="array" ref="AZ14">IFERROR(
  SUM(--(FREQUENCY(
      IF( (EXACT('가압 날짜별 실적'!$F$2:$F$10027,$A14))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0</v>
      </c>
      <c r="BA14" s="130" cm="1">
        <f t="array" ref="BA14">IFERROR(
  SUM(--(FREQUENCY(
      IF( (EXACT('가압 날짜별 실적'!$F$2:$F$10027,$A14))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0</v>
      </c>
      <c r="BB14" s="422">
        <f t="shared" si="0"/>
        <v>5</v>
      </c>
    </row>
    <row r="15" spans="1:54" ht="18" customHeight="1">
      <c r="A15" s="456" t="s">
        <v>1401</v>
      </c>
      <c r="B15" s="130" cm="1">
        <f t="array" ref="B15">IFERROR(
  SUM(--(FREQUENCY(
      IF( (EXACT('가압 날짜별 실적'!$F$2:$F$10027,$A15))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0</v>
      </c>
      <c r="C15" s="130" cm="1">
        <f t="array" ref="C15">IFERROR(
  SUM(--(FREQUENCY(
      IF( (EXACT('가압 날짜별 실적'!$F$2:$F$10027,$A15))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0</v>
      </c>
      <c r="D15" s="130" cm="1">
        <f t="array" ref="D15">IFERROR(
  SUM(--(FREQUENCY(
      IF( (EXACT('가압 날짜별 실적'!$F$2:$F$10027,$A15))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0</v>
      </c>
      <c r="E15" s="130" cm="1">
        <f t="array" ref="E15">IFERROR(
  SUM(--(FREQUENCY(
      IF( (EXACT('가압 날짜별 실적'!$F$2:$F$10027,$A15))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0</v>
      </c>
      <c r="F15" s="130" cm="1">
        <f t="array" ref="F15">IFERROR(
  SUM(--(FREQUENCY(
      IF( (EXACT('가압 날짜별 실적'!$F$2:$F$10027,$A15))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15" s="130" cm="1">
        <f t="array" ref="G15">IFERROR(
  SUM(--(FREQUENCY(
      IF( (EXACT('가압 날짜별 실적'!$F$2:$F$10027,$A15))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2</v>
      </c>
      <c r="H15" s="130" cm="1">
        <f t="array" ref="H15">IFERROR(
  SUM(--(FREQUENCY(
      IF( (EXACT('가압 날짜별 실적'!$F$2:$F$10027,$A15))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0</v>
      </c>
      <c r="I15" s="130" cm="1">
        <f t="array" ref="I15">IFERROR(
  SUM(--(FREQUENCY(
      IF( (EXACT('가압 날짜별 실적'!$F$2:$F$10027,$A15))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0</v>
      </c>
      <c r="J15" s="130" cm="1">
        <f t="array" ref="J15">IFERROR(
  SUM(--(FREQUENCY(
      IF( (EXACT('가압 날짜별 실적'!$F$2:$F$10027,$A15))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4</v>
      </c>
      <c r="K15" s="130" cm="1">
        <f t="array" ref="K15">IFERROR(
  SUM(--(FREQUENCY(
      IF( (EXACT('가압 날짜별 실적'!$F$2:$F$10027,$A15))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1</v>
      </c>
      <c r="L15" s="130" cm="1">
        <f t="array" ref="L15">IFERROR(
  SUM(--(FREQUENCY(
      IF( (EXACT('가압 날짜별 실적'!$F$2:$F$10027,$A15))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2</v>
      </c>
      <c r="M15" s="130" cm="1">
        <f t="array" ref="M15">IFERROR(
  SUM(--(FREQUENCY(
      IF( (EXACT('가압 날짜별 실적'!$F$2:$F$10027,$A15))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0</v>
      </c>
      <c r="N15" s="130" cm="1">
        <f t="array" ref="N15">IFERROR(
  SUM(--(FREQUENCY(
      IF( (EXACT('가압 날짜별 실적'!$F$2:$F$10027,$A15))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0</v>
      </c>
      <c r="O15" s="130" cm="1">
        <f t="array" ref="O15">IFERROR(
  SUM(--(FREQUENCY(
      IF( (EXACT('가압 날짜별 실적'!$F$2:$F$10027,$A15))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0</v>
      </c>
      <c r="P15" s="130" cm="1">
        <f t="array" ref="P15">IFERROR(
  SUM(--(FREQUENCY(
      IF( (EXACT('가압 날짜별 실적'!$F$2:$F$10027,$A15))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0</v>
      </c>
      <c r="Q15" s="130" cm="1">
        <f t="array" ref="Q15">IFERROR(
  SUM(--(FREQUENCY(
      IF( (EXACT('가압 날짜별 실적'!$F$2:$F$10027,$A15))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2</v>
      </c>
      <c r="R15" s="130" cm="1">
        <f t="array" ref="R15">IFERROR(
  SUM(--(FREQUENCY(
      IF( (EXACT('가압 날짜별 실적'!$F$2:$F$10027,$A15))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0</v>
      </c>
      <c r="S15" s="130" cm="1">
        <f t="array" ref="S15">IFERROR(
  SUM(--(FREQUENCY(
      IF( (EXACT('가압 날짜별 실적'!$F$2:$F$10027,$A15))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0</v>
      </c>
      <c r="T15" s="130" cm="1">
        <f t="array" ref="T15">IFERROR(
  SUM(--(FREQUENCY(
      IF( (EXACT('가압 날짜별 실적'!$F$2:$F$10027,$A15))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0</v>
      </c>
      <c r="U15" s="130" cm="1">
        <f t="array" ref="U15">IFERROR(
  SUM(--(FREQUENCY(
      IF( (EXACT('가압 날짜별 실적'!$F$2:$F$10027,$A15))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2</v>
      </c>
      <c r="V15" s="130" cm="1">
        <f t="array" ref="V15">IFERROR(
  SUM(--(FREQUENCY(
      IF( (EXACT('가압 날짜별 실적'!$F$2:$F$10027,$A15))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0</v>
      </c>
      <c r="W15" s="130" cm="1">
        <f t="array" ref="W15">IFERROR(
  SUM(--(FREQUENCY(
      IF( (EXACT('가압 날짜별 실적'!$F$2:$F$10027,$A15))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0</v>
      </c>
      <c r="X15" s="130" cm="1">
        <f t="array" ref="X15">IFERROR(
  SUM(--(FREQUENCY(
      IF( (EXACT('가압 날짜별 실적'!$F$2:$F$10027,$A15))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0</v>
      </c>
      <c r="Y15" s="130" cm="1">
        <f t="array" ref="Y15">IFERROR(
  SUM(--(FREQUENCY(
      IF( (EXACT('가압 날짜별 실적'!$F$2:$F$10027,$A15))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0</v>
      </c>
      <c r="Z15" s="130" cm="1">
        <f t="array" ref="Z15">IFERROR(
  SUM(--(FREQUENCY(
      IF( (EXACT('가압 날짜별 실적'!$F$2:$F$10027,$A15))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0</v>
      </c>
      <c r="AA15" s="130" cm="1">
        <f t="array" ref="AA15">IFERROR(
  SUM(--(FREQUENCY(
      IF( (EXACT('가압 날짜별 실적'!$F$2:$F$10027,$A15))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0</v>
      </c>
      <c r="AB15" s="130" cm="1">
        <f t="array" ref="AB15">IFERROR(
  SUM(--(FREQUENCY(
      IF( (EXACT('가압 날짜별 실적'!$F$2:$F$10027,$A15))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0</v>
      </c>
      <c r="AC15" s="130" cm="1">
        <f t="array" ref="AC15">IFERROR(
  SUM(--(FREQUENCY(
      IF( (EXACT('가압 날짜별 실적'!$F$2:$F$10027,$A15))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0</v>
      </c>
      <c r="AD15" s="130" cm="1">
        <f t="array" ref="AD15">IFERROR(
  SUM(--(FREQUENCY(
      IF( (EXACT('가압 날짜별 실적'!$F$2:$F$10027,$A15))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0</v>
      </c>
      <c r="AE15" s="130" cm="1">
        <f t="array" ref="AE15">IFERROR(
  SUM(--(FREQUENCY(
      IF( (EXACT('가압 날짜별 실적'!$F$2:$F$10027,$A15))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0</v>
      </c>
      <c r="AF15" s="130" cm="1">
        <f t="array" ref="AF15">IFERROR(
  SUM(--(FREQUENCY(
      IF( (EXACT('가압 날짜별 실적'!$F$2:$F$10027,$A15))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0</v>
      </c>
      <c r="AG15" s="130" cm="1">
        <f t="array" ref="AG15">IFERROR(
  SUM(--(FREQUENCY(
      IF( (EXACT('가압 날짜별 실적'!$F$2:$F$10027,$A15))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3</v>
      </c>
      <c r="AH15" s="130" cm="1">
        <f t="array" ref="AH15">IFERROR(
  SUM(--(FREQUENCY(
      IF( (EXACT('가압 날짜별 실적'!$F$2:$F$10027,$A15))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1</v>
      </c>
      <c r="AI15" s="130" cm="1">
        <f t="array" ref="AI15">IFERROR(
  SUM(--(FREQUENCY(
      IF( (EXACT('가압 날짜별 실적'!$F$2:$F$10027,$A15))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0</v>
      </c>
      <c r="AJ15" s="130" cm="1">
        <f t="array" ref="AJ15">IFERROR(
  SUM(--(FREQUENCY(
      IF( (EXACT('가압 날짜별 실적'!$F$2:$F$10027,$A15))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0</v>
      </c>
      <c r="AK15" s="130" cm="1">
        <f t="array" ref="AK15">IFERROR(
  SUM(--(FREQUENCY(
      IF( (EXACT('가압 날짜별 실적'!$F$2:$F$10027,$A15))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0</v>
      </c>
      <c r="AL15" s="130" cm="1">
        <f t="array" ref="AL15">IFERROR(
  SUM(--(FREQUENCY(
      IF( (EXACT('가압 날짜별 실적'!$F$2:$F$10027,$A15))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0</v>
      </c>
      <c r="AM15" s="130" cm="1">
        <f t="array" ref="AM15">IFERROR(
  SUM(--(FREQUENCY(
      IF( (EXACT('가압 날짜별 실적'!$F$2:$F$10027,$A15))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0</v>
      </c>
      <c r="AN15" s="130" cm="1">
        <f t="array" ref="AN15">IFERROR(
  SUM(--(FREQUENCY(
      IF( (EXACT('가압 날짜별 실적'!$F$2:$F$10027,$A15))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3</v>
      </c>
      <c r="AO15" s="130" cm="1">
        <f t="array" ref="AO15">IFERROR(
  SUM(--(FREQUENCY(
      IF( (EXACT('가압 날짜별 실적'!$F$2:$F$10027,$A15))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0</v>
      </c>
      <c r="AP15" s="130" cm="1">
        <f t="array" ref="AP15">IFERROR(
  SUM(--(FREQUENCY(
      IF( (EXACT('가압 날짜별 실적'!$F$2:$F$10027,$A15))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15" s="130" cm="1">
        <f t="array" ref="AQ15">IFERROR(
  SUM(--(FREQUENCY(
      IF( (EXACT('가압 날짜별 실적'!$F$2:$F$10027,$A15))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0</v>
      </c>
      <c r="AR15" s="130" cm="1">
        <f t="array" ref="AR15">IFERROR(
  SUM(--(FREQUENCY(
      IF( (EXACT('가압 날짜별 실적'!$F$2:$F$10027,$A15))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1</v>
      </c>
      <c r="AS15" s="130" cm="1">
        <f t="array" ref="AS15">IFERROR(
  SUM(--(FREQUENCY(
      IF( (EXACT('가압 날짜별 실적'!$F$2:$F$10027,$A15))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3</v>
      </c>
      <c r="AT15" s="130" cm="1">
        <f t="array" ref="AT15">IFERROR(
  SUM(--(FREQUENCY(
      IF( (EXACT('가압 날짜별 실적'!$F$2:$F$10027,$A15))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0</v>
      </c>
      <c r="AU15" s="130" cm="1">
        <f t="array" ref="AU15">IFERROR(
  SUM(--(FREQUENCY(
      IF( (EXACT('가압 날짜별 실적'!$F$2:$F$10027,$A15))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0</v>
      </c>
      <c r="AV15" s="130" cm="1">
        <f t="array" ref="AV15">IFERROR(
  SUM(--(FREQUENCY(
      IF( (EXACT('가압 날짜별 실적'!$F$2:$F$10027,$A15))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0</v>
      </c>
      <c r="AW15" s="130" cm="1">
        <f t="array" ref="AW15">IFERROR(
  SUM(--(FREQUENCY(
      IF( (EXACT('가압 날짜별 실적'!$F$2:$F$10027,$A15))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0</v>
      </c>
      <c r="AX15" s="130" cm="1">
        <f t="array" ref="AX15">IFERROR(
  SUM(--(FREQUENCY(
      IF( (EXACT('가압 날짜별 실적'!$F$2:$F$10027,$A15))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1</v>
      </c>
      <c r="AY15" s="130" cm="1">
        <f t="array" ref="AY15">IFERROR(
  SUM(--(FREQUENCY(
      IF( (EXACT('가압 날짜별 실적'!$F$2:$F$10027,$A15))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0</v>
      </c>
      <c r="AZ15" s="130" cm="1">
        <f t="array" ref="AZ15">IFERROR(
  SUM(--(FREQUENCY(
      IF( (EXACT('가압 날짜별 실적'!$F$2:$F$10027,$A15))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0</v>
      </c>
      <c r="BA15" s="130" cm="1">
        <f t="array" ref="BA15">IFERROR(
  SUM(--(FREQUENCY(
      IF( (EXACT('가압 날짜별 실적'!$F$2:$F$10027,$A15))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0</v>
      </c>
      <c r="BB15" s="422">
        <f t="shared" si="0"/>
        <v>25</v>
      </c>
    </row>
    <row r="16" spans="1:54" ht="18" customHeight="1">
      <c r="A16" s="456" t="s">
        <v>1427</v>
      </c>
      <c r="B16" s="130" cm="1">
        <f t="array" ref="B16">IFERROR(
  SUM(--(FREQUENCY(
      IF( (EXACT('가압 날짜별 실적'!$F$2:$F$10027,$A16))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0</v>
      </c>
      <c r="C16" s="130" cm="1">
        <f t="array" ref="C16">IFERROR(
  SUM(--(FREQUENCY(
      IF( (EXACT('가압 날짜별 실적'!$F$2:$F$10027,$A16))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0</v>
      </c>
      <c r="D16" s="130" cm="1">
        <f t="array" ref="D16">IFERROR(
  SUM(--(FREQUENCY(
      IF( (EXACT('가압 날짜별 실적'!$F$2:$F$10027,$A16))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0</v>
      </c>
      <c r="E16" s="130" cm="1">
        <f t="array" ref="E16">IFERROR(
  SUM(--(FREQUENCY(
      IF( (EXACT('가압 날짜별 실적'!$F$2:$F$10027,$A16))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0</v>
      </c>
      <c r="F16" s="130" cm="1">
        <f t="array" ref="F16">IFERROR(
  SUM(--(FREQUENCY(
      IF( (EXACT('가압 날짜별 실적'!$F$2:$F$10027,$A16))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16" s="130" cm="1">
        <f t="array" ref="G16">IFERROR(
  SUM(--(FREQUENCY(
      IF( (EXACT('가압 날짜별 실적'!$F$2:$F$10027,$A16))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0</v>
      </c>
      <c r="H16" s="130" cm="1">
        <f t="array" ref="H16">IFERROR(
  SUM(--(FREQUENCY(
      IF( (EXACT('가압 날짜별 실적'!$F$2:$F$10027,$A16))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0</v>
      </c>
      <c r="I16" s="130" cm="1">
        <f t="array" ref="I16">IFERROR(
  SUM(--(FREQUENCY(
      IF( (EXACT('가압 날짜별 실적'!$F$2:$F$10027,$A16))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0</v>
      </c>
      <c r="J16" s="130" cm="1">
        <f t="array" ref="J16">IFERROR(
  SUM(--(FREQUENCY(
      IF( (EXACT('가압 날짜별 실적'!$F$2:$F$10027,$A16))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0</v>
      </c>
      <c r="K16" s="130" cm="1">
        <f t="array" ref="K16">IFERROR(
  SUM(--(FREQUENCY(
      IF( (EXACT('가압 날짜별 실적'!$F$2:$F$10027,$A16))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0</v>
      </c>
      <c r="L16" s="130" cm="1">
        <f t="array" ref="L16">IFERROR(
  SUM(--(FREQUENCY(
      IF( (EXACT('가압 날짜별 실적'!$F$2:$F$10027,$A16))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0</v>
      </c>
      <c r="M16" s="130" cm="1">
        <f t="array" ref="M16">IFERROR(
  SUM(--(FREQUENCY(
      IF( (EXACT('가압 날짜별 실적'!$F$2:$F$10027,$A16))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0</v>
      </c>
      <c r="N16" s="130" cm="1">
        <f t="array" ref="N16">IFERROR(
  SUM(--(FREQUENCY(
      IF( (EXACT('가압 날짜별 실적'!$F$2:$F$10027,$A16))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0</v>
      </c>
      <c r="O16" s="130" cm="1">
        <f t="array" ref="O16">IFERROR(
  SUM(--(FREQUENCY(
      IF( (EXACT('가압 날짜별 실적'!$F$2:$F$10027,$A16))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0</v>
      </c>
      <c r="P16" s="130" cm="1">
        <f t="array" ref="P16">IFERROR(
  SUM(--(FREQUENCY(
      IF( (EXACT('가압 날짜별 실적'!$F$2:$F$10027,$A16))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0</v>
      </c>
      <c r="Q16" s="130" cm="1">
        <f t="array" ref="Q16">IFERROR(
  SUM(--(FREQUENCY(
      IF( (EXACT('가압 날짜별 실적'!$F$2:$F$10027,$A16))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0</v>
      </c>
      <c r="R16" s="130" cm="1">
        <f t="array" ref="R16">IFERROR(
  SUM(--(FREQUENCY(
      IF( (EXACT('가압 날짜별 실적'!$F$2:$F$10027,$A16))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0</v>
      </c>
      <c r="S16" s="130" cm="1">
        <f t="array" ref="S16">IFERROR(
  SUM(--(FREQUENCY(
      IF( (EXACT('가압 날짜별 실적'!$F$2:$F$10027,$A16))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0</v>
      </c>
      <c r="T16" s="130" cm="1">
        <f t="array" ref="T16">IFERROR(
  SUM(--(FREQUENCY(
      IF( (EXACT('가압 날짜별 실적'!$F$2:$F$10027,$A16))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0</v>
      </c>
      <c r="U16" s="130" cm="1">
        <f t="array" ref="U16">IFERROR(
  SUM(--(FREQUENCY(
      IF( (EXACT('가압 날짜별 실적'!$F$2:$F$10027,$A16))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0</v>
      </c>
      <c r="V16" s="130" cm="1">
        <f t="array" ref="V16">IFERROR(
  SUM(--(FREQUENCY(
      IF( (EXACT('가압 날짜별 실적'!$F$2:$F$10027,$A16))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0</v>
      </c>
      <c r="W16" s="130" cm="1">
        <f t="array" ref="W16">IFERROR(
  SUM(--(FREQUENCY(
      IF( (EXACT('가압 날짜별 실적'!$F$2:$F$10027,$A16))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0</v>
      </c>
      <c r="X16" s="130" cm="1">
        <f t="array" ref="X16">IFERROR(
  SUM(--(FREQUENCY(
      IF( (EXACT('가압 날짜별 실적'!$F$2:$F$10027,$A16))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0</v>
      </c>
      <c r="Y16" s="130" cm="1">
        <f t="array" ref="Y16">IFERROR(
  SUM(--(FREQUENCY(
      IF( (EXACT('가압 날짜별 실적'!$F$2:$F$10027,$A16))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0</v>
      </c>
      <c r="Z16" s="130" cm="1">
        <f t="array" ref="Z16">IFERROR(
  SUM(--(FREQUENCY(
      IF( (EXACT('가압 날짜별 실적'!$F$2:$F$10027,$A16))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0</v>
      </c>
      <c r="AA16" s="130" cm="1">
        <f t="array" ref="AA16">IFERROR(
  SUM(--(FREQUENCY(
      IF( (EXACT('가압 날짜별 실적'!$F$2:$F$10027,$A16))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0</v>
      </c>
      <c r="AB16" s="130" cm="1">
        <f t="array" ref="AB16">IFERROR(
  SUM(--(FREQUENCY(
      IF( (EXACT('가압 날짜별 실적'!$F$2:$F$10027,$A16))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0</v>
      </c>
      <c r="AC16" s="130" cm="1">
        <f t="array" ref="AC16">IFERROR(
  SUM(--(FREQUENCY(
      IF( (EXACT('가압 날짜별 실적'!$F$2:$F$10027,$A16))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6</v>
      </c>
      <c r="AD16" s="130" cm="1">
        <f t="array" ref="AD16">IFERROR(
  SUM(--(FREQUENCY(
      IF( (EXACT('가압 날짜별 실적'!$F$2:$F$10027,$A16))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0</v>
      </c>
      <c r="AE16" s="130" cm="1">
        <f t="array" ref="AE16">IFERROR(
  SUM(--(FREQUENCY(
      IF( (EXACT('가압 날짜별 실적'!$F$2:$F$10027,$A16))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0</v>
      </c>
      <c r="AF16" s="130" cm="1">
        <f t="array" ref="AF16">IFERROR(
  SUM(--(FREQUENCY(
      IF( (EXACT('가압 날짜별 실적'!$F$2:$F$10027,$A16))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0</v>
      </c>
      <c r="AG16" s="130" cm="1">
        <f t="array" ref="AG16">IFERROR(
  SUM(--(FREQUENCY(
      IF( (EXACT('가압 날짜별 실적'!$F$2:$F$10027,$A16))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0</v>
      </c>
      <c r="AH16" s="130" cm="1">
        <f t="array" ref="AH16">IFERROR(
  SUM(--(FREQUENCY(
      IF( (EXACT('가압 날짜별 실적'!$F$2:$F$10027,$A16))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0</v>
      </c>
      <c r="AI16" s="130" cm="1">
        <f t="array" ref="AI16">IFERROR(
  SUM(--(FREQUENCY(
      IF( (EXACT('가압 날짜별 실적'!$F$2:$F$10027,$A16))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0</v>
      </c>
      <c r="AJ16" s="130" cm="1">
        <f t="array" ref="AJ16">IFERROR(
  SUM(--(FREQUENCY(
      IF( (EXACT('가압 날짜별 실적'!$F$2:$F$10027,$A16))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0</v>
      </c>
      <c r="AK16" s="130" cm="1">
        <f t="array" ref="AK16">IFERROR(
  SUM(--(FREQUENCY(
      IF( (EXACT('가압 날짜별 실적'!$F$2:$F$10027,$A16))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0</v>
      </c>
      <c r="AL16" s="130" cm="1">
        <f t="array" ref="AL16">IFERROR(
  SUM(--(FREQUENCY(
      IF( (EXACT('가압 날짜별 실적'!$F$2:$F$10027,$A16))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0</v>
      </c>
      <c r="AM16" s="130" cm="1">
        <f t="array" ref="AM16">IFERROR(
  SUM(--(FREQUENCY(
      IF( (EXACT('가압 날짜별 실적'!$F$2:$F$10027,$A16))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3</v>
      </c>
      <c r="AN16" s="130" cm="1">
        <f t="array" ref="AN16">IFERROR(
  SUM(--(FREQUENCY(
      IF( (EXACT('가압 날짜별 실적'!$F$2:$F$10027,$A16))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0</v>
      </c>
      <c r="AO16" s="130" cm="1">
        <f t="array" ref="AO16">IFERROR(
  SUM(--(FREQUENCY(
      IF( (EXACT('가압 날짜별 실적'!$F$2:$F$10027,$A16))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3</v>
      </c>
      <c r="AP16" s="130" cm="1">
        <f t="array" ref="AP16">IFERROR(
  SUM(--(FREQUENCY(
      IF( (EXACT('가압 날짜별 실적'!$F$2:$F$10027,$A16))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16" s="130" cm="1">
        <f t="array" ref="AQ16">IFERROR(
  SUM(--(FREQUENCY(
      IF( (EXACT('가압 날짜별 실적'!$F$2:$F$10027,$A16))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0</v>
      </c>
      <c r="AR16" s="130" cm="1">
        <f t="array" ref="AR16">IFERROR(
  SUM(--(FREQUENCY(
      IF( (EXACT('가압 날짜별 실적'!$F$2:$F$10027,$A16))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0</v>
      </c>
      <c r="AS16" s="130" cm="1">
        <f t="array" ref="AS16">IFERROR(
  SUM(--(FREQUENCY(
      IF( (EXACT('가압 날짜별 실적'!$F$2:$F$10027,$A16))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0</v>
      </c>
      <c r="AT16" s="130" cm="1">
        <f t="array" ref="AT16">IFERROR(
  SUM(--(FREQUENCY(
      IF( (EXACT('가압 날짜별 실적'!$F$2:$F$10027,$A16))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0</v>
      </c>
      <c r="AU16" s="130" cm="1">
        <f t="array" ref="AU16">IFERROR(
  SUM(--(FREQUENCY(
      IF( (EXACT('가압 날짜별 실적'!$F$2:$F$10027,$A16))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0</v>
      </c>
      <c r="AV16" s="130" cm="1">
        <f t="array" ref="AV16">IFERROR(
  SUM(--(FREQUENCY(
      IF( (EXACT('가압 날짜별 실적'!$F$2:$F$10027,$A16))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0</v>
      </c>
      <c r="AW16" s="130" cm="1">
        <f t="array" ref="AW16">IFERROR(
  SUM(--(FREQUENCY(
      IF( (EXACT('가압 날짜별 실적'!$F$2:$F$10027,$A16))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0</v>
      </c>
      <c r="AX16" s="130" cm="1">
        <f t="array" ref="AX16">IFERROR(
  SUM(--(FREQUENCY(
      IF( (EXACT('가압 날짜별 실적'!$F$2:$F$10027,$A16))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0</v>
      </c>
      <c r="AY16" s="130" cm="1">
        <f t="array" ref="AY16">IFERROR(
  SUM(--(FREQUENCY(
      IF( (EXACT('가압 날짜별 실적'!$F$2:$F$10027,$A16))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0</v>
      </c>
      <c r="AZ16" s="130" cm="1">
        <f t="array" ref="AZ16">IFERROR(
  SUM(--(FREQUENCY(
      IF( (EXACT('가압 날짜별 실적'!$F$2:$F$10027,$A16))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0</v>
      </c>
      <c r="BA16" s="130" cm="1">
        <f t="array" ref="BA16">IFERROR(
  SUM(--(FREQUENCY(
      IF( (EXACT('가압 날짜별 실적'!$F$2:$F$10027,$A16))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0</v>
      </c>
      <c r="BB16" s="422">
        <f t="shared" si="0"/>
        <v>12</v>
      </c>
    </row>
    <row r="17" spans="1:54" ht="18" customHeight="1">
      <c r="A17" s="456" t="s">
        <v>5173</v>
      </c>
      <c r="B17" s="130" cm="1">
        <f t="array" ref="B17">IFERROR(
  SUM(--(FREQUENCY(
      IF( (EXACT('가압 날짜별 실적'!$F$2:$F$10027,$A17))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0</v>
      </c>
      <c r="C17" s="130" cm="1">
        <f t="array" ref="C17">IFERROR(
  SUM(--(FREQUENCY(
      IF( (EXACT('가압 날짜별 실적'!$F$2:$F$10027,$A17))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0</v>
      </c>
      <c r="D17" s="130" cm="1">
        <f t="array" ref="D17">IFERROR(
  SUM(--(FREQUENCY(
      IF( (EXACT('가압 날짜별 실적'!$F$2:$F$10027,$A17))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0</v>
      </c>
      <c r="E17" s="130" cm="1">
        <f t="array" ref="E17">IFERROR(
  SUM(--(FREQUENCY(
      IF( (EXACT('가압 날짜별 실적'!$F$2:$F$10027,$A17))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0</v>
      </c>
      <c r="F17" s="130" cm="1">
        <f t="array" ref="F17">IFERROR(
  SUM(--(FREQUENCY(
      IF( (EXACT('가압 날짜별 실적'!$F$2:$F$10027,$A17))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17" s="130" cm="1">
        <f t="array" ref="G17">IFERROR(
  SUM(--(FREQUENCY(
      IF( (EXACT('가압 날짜별 실적'!$F$2:$F$10027,$A17))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0</v>
      </c>
      <c r="H17" s="130" cm="1">
        <f t="array" ref="H17">IFERROR(
  SUM(--(FREQUENCY(
      IF( (EXACT('가압 날짜별 실적'!$F$2:$F$10027,$A17))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0</v>
      </c>
      <c r="I17" s="130" cm="1">
        <f t="array" ref="I17">IFERROR(
  SUM(--(FREQUENCY(
      IF( (EXACT('가압 날짜별 실적'!$F$2:$F$10027,$A17))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0</v>
      </c>
      <c r="J17" s="130" cm="1">
        <f t="array" ref="J17">IFERROR(
  SUM(--(FREQUENCY(
      IF( (EXACT('가압 날짜별 실적'!$F$2:$F$10027,$A17))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0</v>
      </c>
      <c r="K17" s="130" cm="1">
        <f t="array" ref="K17">IFERROR(
  SUM(--(FREQUENCY(
      IF( (EXACT('가압 날짜별 실적'!$F$2:$F$10027,$A17))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0</v>
      </c>
      <c r="L17" s="130" cm="1">
        <f t="array" ref="L17">IFERROR(
  SUM(--(FREQUENCY(
      IF( (EXACT('가압 날짜별 실적'!$F$2:$F$10027,$A17))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0</v>
      </c>
      <c r="M17" s="130" cm="1">
        <f t="array" ref="M17">IFERROR(
  SUM(--(FREQUENCY(
      IF( (EXACT('가압 날짜별 실적'!$F$2:$F$10027,$A17))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0</v>
      </c>
      <c r="N17" s="130" cm="1">
        <f t="array" ref="N17">IFERROR(
  SUM(--(FREQUENCY(
      IF( (EXACT('가압 날짜별 실적'!$F$2:$F$10027,$A17))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0</v>
      </c>
      <c r="O17" s="130" cm="1">
        <f t="array" ref="O17">IFERROR(
  SUM(--(FREQUENCY(
      IF( (EXACT('가압 날짜별 실적'!$F$2:$F$10027,$A17))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0</v>
      </c>
      <c r="P17" s="130" cm="1">
        <f t="array" ref="P17">IFERROR(
  SUM(--(FREQUENCY(
      IF( (EXACT('가압 날짜별 실적'!$F$2:$F$10027,$A17))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0</v>
      </c>
      <c r="Q17" s="130" cm="1">
        <f t="array" ref="Q17">IFERROR(
  SUM(--(FREQUENCY(
      IF( (EXACT('가압 날짜별 실적'!$F$2:$F$10027,$A17))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0</v>
      </c>
      <c r="R17" s="130" cm="1">
        <f t="array" ref="R17">IFERROR(
  SUM(--(FREQUENCY(
      IF( (EXACT('가압 날짜별 실적'!$F$2:$F$10027,$A17))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0</v>
      </c>
      <c r="S17" s="130" cm="1">
        <f t="array" ref="S17">IFERROR(
  SUM(--(FREQUENCY(
      IF( (EXACT('가압 날짜별 실적'!$F$2:$F$10027,$A17))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0</v>
      </c>
      <c r="T17" s="130" cm="1">
        <f t="array" ref="T17">IFERROR(
  SUM(--(FREQUENCY(
      IF( (EXACT('가압 날짜별 실적'!$F$2:$F$10027,$A17))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0</v>
      </c>
      <c r="U17" s="130" cm="1">
        <f t="array" ref="U17">IFERROR(
  SUM(--(FREQUENCY(
      IF( (EXACT('가압 날짜별 실적'!$F$2:$F$10027,$A17))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0</v>
      </c>
      <c r="V17" s="130" cm="1">
        <f t="array" ref="V17">IFERROR(
  SUM(--(FREQUENCY(
      IF( (EXACT('가압 날짜별 실적'!$F$2:$F$10027,$A17))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0</v>
      </c>
      <c r="W17" s="130" cm="1">
        <f t="array" ref="W17">IFERROR(
  SUM(--(FREQUENCY(
      IF( (EXACT('가압 날짜별 실적'!$F$2:$F$10027,$A17))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0</v>
      </c>
      <c r="X17" s="130" cm="1">
        <f t="array" ref="X17">IFERROR(
  SUM(--(FREQUENCY(
      IF( (EXACT('가압 날짜별 실적'!$F$2:$F$10027,$A17))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0</v>
      </c>
      <c r="Y17" s="130" cm="1">
        <f t="array" ref="Y17">IFERROR(
  SUM(--(FREQUENCY(
      IF( (EXACT('가압 날짜별 실적'!$F$2:$F$10027,$A17))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0</v>
      </c>
      <c r="Z17" s="130" cm="1">
        <f t="array" ref="Z17">IFERROR(
  SUM(--(FREQUENCY(
      IF( (EXACT('가압 날짜별 실적'!$F$2:$F$10027,$A17))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0</v>
      </c>
      <c r="AA17" s="130" cm="1">
        <f t="array" ref="AA17">IFERROR(
  SUM(--(FREQUENCY(
      IF( (EXACT('가압 날짜별 실적'!$F$2:$F$10027,$A17))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0</v>
      </c>
      <c r="AB17" s="130" cm="1">
        <f t="array" ref="AB17">IFERROR(
  SUM(--(FREQUENCY(
      IF( (EXACT('가압 날짜별 실적'!$F$2:$F$10027,$A17))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0</v>
      </c>
      <c r="AC17" s="130" cm="1">
        <f t="array" ref="AC17">IFERROR(
  SUM(--(FREQUENCY(
      IF( (EXACT('가압 날짜별 실적'!$F$2:$F$10027,$A17))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0</v>
      </c>
      <c r="AD17" s="130" cm="1">
        <f t="array" ref="AD17">IFERROR(
  SUM(--(FREQUENCY(
      IF( (EXACT('가압 날짜별 실적'!$F$2:$F$10027,$A17))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0</v>
      </c>
      <c r="AE17" s="130" cm="1">
        <f t="array" ref="AE17">IFERROR(
  SUM(--(FREQUENCY(
      IF( (EXACT('가압 날짜별 실적'!$F$2:$F$10027,$A17))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0</v>
      </c>
      <c r="AF17" s="130" cm="1">
        <f t="array" ref="AF17">IFERROR(
  SUM(--(FREQUENCY(
      IF( (EXACT('가압 날짜별 실적'!$F$2:$F$10027,$A17))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0</v>
      </c>
      <c r="AG17" s="130" cm="1">
        <f t="array" ref="AG17">IFERROR(
  SUM(--(FREQUENCY(
      IF( (EXACT('가압 날짜별 실적'!$F$2:$F$10027,$A17))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0</v>
      </c>
      <c r="AH17" s="130" cm="1">
        <f t="array" ref="AH17">IFERROR(
  SUM(--(FREQUENCY(
      IF( (EXACT('가압 날짜별 실적'!$F$2:$F$10027,$A17))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0</v>
      </c>
      <c r="AI17" s="130" cm="1">
        <f t="array" ref="AI17">IFERROR(
  SUM(--(FREQUENCY(
      IF( (EXACT('가압 날짜별 실적'!$F$2:$F$10027,$A17))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0</v>
      </c>
      <c r="AJ17" s="130" cm="1">
        <f t="array" ref="AJ17">IFERROR(
  SUM(--(FREQUENCY(
      IF( (EXACT('가압 날짜별 실적'!$F$2:$F$10027,$A17))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4</v>
      </c>
      <c r="AK17" s="130" cm="1">
        <f t="array" ref="AK17">IFERROR(
  SUM(--(FREQUENCY(
      IF( (EXACT('가압 날짜별 실적'!$F$2:$F$10027,$A17))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0</v>
      </c>
      <c r="AL17" s="130" cm="1">
        <f t="array" ref="AL17">IFERROR(
  SUM(--(FREQUENCY(
      IF( (EXACT('가압 날짜별 실적'!$F$2:$F$10027,$A17))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9</v>
      </c>
      <c r="AM17" s="130" cm="1">
        <f t="array" ref="AM17">IFERROR(
  SUM(--(FREQUENCY(
      IF( (EXACT('가압 날짜별 실적'!$F$2:$F$10027,$A17))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22</v>
      </c>
      <c r="AN17" s="130" cm="1">
        <f t="array" ref="AN17">IFERROR(
  SUM(--(FREQUENCY(
      IF( (EXACT('가압 날짜별 실적'!$F$2:$F$10027,$A17))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0</v>
      </c>
      <c r="AO17" s="130" cm="1">
        <f t="array" ref="AO17">IFERROR(
  SUM(--(FREQUENCY(
      IF( (EXACT('가압 날짜별 실적'!$F$2:$F$10027,$A17))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0</v>
      </c>
      <c r="AP17" s="130" cm="1">
        <f t="array" ref="AP17">IFERROR(
  SUM(--(FREQUENCY(
      IF( (EXACT('가압 날짜별 실적'!$F$2:$F$10027,$A17))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17" s="130" cm="1">
        <f t="array" ref="AQ17">IFERROR(
  SUM(--(FREQUENCY(
      IF( (EXACT('가압 날짜별 실적'!$F$2:$F$10027,$A17))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19</v>
      </c>
      <c r="AR17" s="130" cm="1">
        <f t="array" ref="AR17">IFERROR(
  SUM(--(FREQUENCY(
      IF( (EXACT('가압 날짜별 실적'!$F$2:$F$10027,$A17))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0</v>
      </c>
      <c r="AS17" s="130" cm="1">
        <f t="array" ref="AS17">IFERROR(
  SUM(--(FREQUENCY(
      IF( (EXACT('가압 날짜별 실적'!$F$2:$F$10027,$A17))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10</v>
      </c>
      <c r="AT17" s="130" cm="1">
        <f t="array" ref="AT17">IFERROR(
  SUM(--(FREQUENCY(
      IF( (EXACT('가압 날짜별 실적'!$F$2:$F$10027,$A17))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0</v>
      </c>
      <c r="AU17" s="130" cm="1">
        <f t="array" ref="AU17">IFERROR(
  SUM(--(FREQUENCY(
      IF( (EXACT('가압 날짜별 실적'!$F$2:$F$10027,$A17))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9</v>
      </c>
      <c r="AV17" s="130" cm="1">
        <f t="array" ref="AV17">IFERROR(
  SUM(--(FREQUENCY(
      IF( (EXACT('가압 날짜별 실적'!$F$2:$F$10027,$A17))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0</v>
      </c>
      <c r="AW17" s="130" cm="1">
        <f t="array" ref="AW17">IFERROR(
  SUM(--(FREQUENCY(
      IF( (EXACT('가압 날짜별 실적'!$F$2:$F$10027,$A17))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0</v>
      </c>
      <c r="AX17" s="130" cm="1">
        <f t="array" ref="AX17">IFERROR(
  SUM(--(FREQUENCY(
      IF( (EXACT('가압 날짜별 실적'!$F$2:$F$10027,$A17))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0</v>
      </c>
      <c r="AY17" s="130" cm="1">
        <f t="array" ref="AY17">IFERROR(
  SUM(--(FREQUENCY(
      IF( (EXACT('가압 날짜별 실적'!$F$2:$F$10027,$A17))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0</v>
      </c>
      <c r="AZ17" s="130" cm="1">
        <f t="array" ref="AZ17">IFERROR(
  SUM(--(FREQUENCY(
      IF( (EXACT('가압 날짜별 실적'!$F$2:$F$10027,$A17))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0</v>
      </c>
      <c r="BA17" s="130" cm="1">
        <f t="array" ref="BA17">IFERROR(
  SUM(--(FREQUENCY(
      IF( (EXACT('가압 날짜별 실적'!$F$2:$F$10027,$A17))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0</v>
      </c>
      <c r="BB17" s="422">
        <f t="shared" si="0"/>
        <v>73</v>
      </c>
    </row>
    <row r="18" spans="1:54" ht="18" customHeight="1">
      <c r="A18" s="456" t="s">
        <v>5177</v>
      </c>
      <c r="B18" s="130" cm="1">
        <f t="array" ref="B18">IFERROR(
  SUM(--(FREQUENCY(
      IF( (EXACT('가압 날짜별 실적'!$F$2:$F$10027,$A18))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0</v>
      </c>
      <c r="C18" s="130" cm="1">
        <f t="array" ref="C18">IFERROR(
  SUM(--(FREQUENCY(
      IF( (EXACT('가압 날짜별 실적'!$F$2:$F$10027,$A18))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0</v>
      </c>
      <c r="D18" s="130" cm="1">
        <f t="array" ref="D18">IFERROR(
  SUM(--(FREQUENCY(
      IF( (EXACT('가압 날짜별 실적'!$F$2:$F$10027,$A18))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0</v>
      </c>
      <c r="E18" s="130" cm="1">
        <f t="array" ref="E18">IFERROR(
  SUM(--(FREQUENCY(
      IF( (EXACT('가압 날짜별 실적'!$F$2:$F$10027,$A18))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0</v>
      </c>
      <c r="F18" s="130" cm="1">
        <f t="array" ref="F18">IFERROR(
  SUM(--(FREQUENCY(
      IF( (EXACT('가압 날짜별 실적'!$F$2:$F$10027,$A18))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18" s="130" cm="1">
        <f t="array" ref="G18">IFERROR(
  SUM(--(FREQUENCY(
      IF( (EXACT('가압 날짜별 실적'!$F$2:$F$10027,$A18))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0</v>
      </c>
      <c r="H18" s="130" cm="1">
        <f t="array" ref="H18">IFERROR(
  SUM(--(FREQUENCY(
      IF( (EXACT('가압 날짜별 실적'!$F$2:$F$10027,$A18))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0</v>
      </c>
      <c r="I18" s="130" cm="1">
        <f t="array" ref="I18">IFERROR(
  SUM(--(FREQUENCY(
      IF( (EXACT('가압 날짜별 실적'!$F$2:$F$10027,$A18))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0</v>
      </c>
      <c r="J18" s="130" cm="1">
        <f t="array" ref="J18">IFERROR(
  SUM(--(FREQUENCY(
      IF( (EXACT('가압 날짜별 실적'!$F$2:$F$10027,$A18))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0</v>
      </c>
      <c r="K18" s="130" cm="1">
        <f t="array" ref="K18">IFERROR(
  SUM(--(FREQUENCY(
      IF( (EXACT('가압 날짜별 실적'!$F$2:$F$10027,$A18))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0</v>
      </c>
      <c r="L18" s="130" cm="1">
        <f t="array" ref="L18">IFERROR(
  SUM(--(FREQUENCY(
      IF( (EXACT('가압 날짜별 실적'!$F$2:$F$10027,$A18))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0</v>
      </c>
      <c r="M18" s="130" cm="1">
        <f t="array" ref="M18">IFERROR(
  SUM(--(FREQUENCY(
      IF( (EXACT('가압 날짜별 실적'!$F$2:$F$10027,$A18))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0</v>
      </c>
      <c r="N18" s="130" cm="1">
        <f t="array" ref="N18">IFERROR(
  SUM(--(FREQUENCY(
      IF( (EXACT('가압 날짜별 실적'!$F$2:$F$10027,$A18))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0</v>
      </c>
      <c r="O18" s="130" cm="1">
        <f t="array" ref="O18">IFERROR(
  SUM(--(FREQUENCY(
      IF( (EXACT('가압 날짜별 실적'!$F$2:$F$10027,$A18))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0</v>
      </c>
      <c r="P18" s="130" cm="1">
        <f t="array" ref="P18">IFERROR(
  SUM(--(FREQUENCY(
      IF( (EXACT('가압 날짜별 실적'!$F$2:$F$10027,$A18))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0</v>
      </c>
      <c r="Q18" s="130" cm="1">
        <f t="array" ref="Q18">IFERROR(
  SUM(--(FREQUENCY(
      IF( (EXACT('가압 날짜별 실적'!$F$2:$F$10027,$A18))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0</v>
      </c>
      <c r="R18" s="130" cm="1">
        <f t="array" ref="R18">IFERROR(
  SUM(--(FREQUENCY(
      IF( (EXACT('가압 날짜별 실적'!$F$2:$F$10027,$A18))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0</v>
      </c>
      <c r="S18" s="130" cm="1">
        <f t="array" ref="S18">IFERROR(
  SUM(--(FREQUENCY(
      IF( (EXACT('가압 날짜별 실적'!$F$2:$F$10027,$A18))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0</v>
      </c>
      <c r="T18" s="130" cm="1">
        <f t="array" ref="T18">IFERROR(
  SUM(--(FREQUENCY(
      IF( (EXACT('가압 날짜별 실적'!$F$2:$F$10027,$A18))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0</v>
      </c>
      <c r="U18" s="130" cm="1">
        <f t="array" ref="U18">IFERROR(
  SUM(--(FREQUENCY(
      IF( (EXACT('가압 날짜별 실적'!$F$2:$F$10027,$A18))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0</v>
      </c>
      <c r="V18" s="130" cm="1">
        <f t="array" ref="V18">IFERROR(
  SUM(--(FREQUENCY(
      IF( (EXACT('가압 날짜별 실적'!$F$2:$F$10027,$A18))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0</v>
      </c>
      <c r="W18" s="130" cm="1">
        <f t="array" ref="W18">IFERROR(
  SUM(--(FREQUENCY(
      IF( (EXACT('가압 날짜별 실적'!$F$2:$F$10027,$A18))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0</v>
      </c>
      <c r="X18" s="130" cm="1">
        <f t="array" ref="X18">IFERROR(
  SUM(--(FREQUENCY(
      IF( (EXACT('가압 날짜별 실적'!$F$2:$F$10027,$A18))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0</v>
      </c>
      <c r="Y18" s="130" cm="1">
        <f t="array" ref="Y18">IFERROR(
  SUM(--(FREQUENCY(
      IF( (EXACT('가압 날짜별 실적'!$F$2:$F$10027,$A18))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0</v>
      </c>
      <c r="Z18" s="130" cm="1">
        <f t="array" ref="Z18">IFERROR(
  SUM(--(FREQUENCY(
      IF( (EXACT('가압 날짜별 실적'!$F$2:$F$10027,$A18))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0</v>
      </c>
      <c r="AA18" s="130" cm="1">
        <f t="array" ref="AA18">IFERROR(
  SUM(--(FREQUENCY(
      IF( (EXACT('가압 날짜별 실적'!$F$2:$F$10027,$A18))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0</v>
      </c>
      <c r="AB18" s="130" cm="1">
        <f t="array" ref="AB18">IFERROR(
  SUM(--(FREQUENCY(
      IF( (EXACT('가압 날짜별 실적'!$F$2:$F$10027,$A18))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0</v>
      </c>
      <c r="AC18" s="130" cm="1">
        <f t="array" ref="AC18">IFERROR(
  SUM(--(FREQUENCY(
      IF( (EXACT('가압 날짜별 실적'!$F$2:$F$10027,$A18))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0</v>
      </c>
      <c r="AD18" s="130" cm="1">
        <f t="array" ref="AD18">IFERROR(
  SUM(--(FREQUENCY(
      IF( (EXACT('가압 날짜별 실적'!$F$2:$F$10027,$A18))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0</v>
      </c>
      <c r="AE18" s="130" cm="1">
        <f t="array" ref="AE18">IFERROR(
  SUM(--(FREQUENCY(
      IF( (EXACT('가압 날짜별 실적'!$F$2:$F$10027,$A18))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0</v>
      </c>
      <c r="AF18" s="130" cm="1">
        <f t="array" ref="AF18">IFERROR(
  SUM(--(FREQUENCY(
      IF( (EXACT('가압 날짜별 실적'!$F$2:$F$10027,$A18))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0</v>
      </c>
      <c r="AG18" s="130" cm="1">
        <f t="array" ref="AG18">IFERROR(
  SUM(--(FREQUENCY(
      IF( (EXACT('가압 날짜별 실적'!$F$2:$F$10027,$A18))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0</v>
      </c>
      <c r="AH18" s="130" cm="1">
        <f t="array" ref="AH18">IFERROR(
  SUM(--(FREQUENCY(
      IF( (EXACT('가압 날짜별 실적'!$F$2:$F$10027,$A18))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0</v>
      </c>
      <c r="AI18" s="130" cm="1">
        <f t="array" ref="AI18">IFERROR(
  SUM(--(FREQUENCY(
      IF( (EXACT('가압 날짜별 실적'!$F$2:$F$10027,$A18))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0</v>
      </c>
      <c r="AJ18" s="130" cm="1">
        <f t="array" ref="AJ18">IFERROR(
  SUM(--(FREQUENCY(
      IF( (EXACT('가압 날짜별 실적'!$F$2:$F$10027,$A18))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6</v>
      </c>
      <c r="AK18" s="130" cm="1">
        <f t="array" ref="AK18">IFERROR(
  SUM(--(FREQUENCY(
      IF( (EXACT('가압 날짜별 실적'!$F$2:$F$10027,$A18))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0</v>
      </c>
      <c r="AL18" s="130" cm="1">
        <f t="array" ref="AL18">IFERROR(
  SUM(--(FREQUENCY(
      IF( (EXACT('가압 날짜별 실적'!$F$2:$F$10027,$A18))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0</v>
      </c>
      <c r="AM18" s="130" cm="1">
        <f t="array" ref="AM18">IFERROR(
  SUM(--(FREQUENCY(
      IF( (EXACT('가압 날짜별 실적'!$F$2:$F$10027,$A18))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0</v>
      </c>
      <c r="AN18" s="130" cm="1">
        <f t="array" ref="AN18">IFERROR(
  SUM(--(FREQUENCY(
      IF( (EXACT('가압 날짜별 실적'!$F$2:$F$10027,$A18))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0</v>
      </c>
      <c r="AO18" s="130" cm="1">
        <f t="array" ref="AO18">IFERROR(
  SUM(--(FREQUENCY(
      IF( (EXACT('가압 날짜별 실적'!$F$2:$F$10027,$A18))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0</v>
      </c>
      <c r="AP18" s="130" cm="1">
        <f t="array" ref="AP18">IFERROR(
  SUM(--(FREQUENCY(
      IF( (EXACT('가압 날짜별 실적'!$F$2:$F$10027,$A18))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18" s="130" cm="1">
        <f t="array" ref="AQ18">IFERROR(
  SUM(--(FREQUENCY(
      IF( (EXACT('가압 날짜별 실적'!$F$2:$F$10027,$A18))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9</v>
      </c>
      <c r="AR18" s="130" cm="1">
        <f t="array" ref="AR18">IFERROR(
  SUM(--(FREQUENCY(
      IF( (EXACT('가압 날짜별 실적'!$F$2:$F$10027,$A18))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0</v>
      </c>
      <c r="AS18" s="130" cm="1">
        <f t="array" ref="AS18">IFERROR(
  SUM(--(FREQUENCY(
      IF( (EXACT('가압 날짜별 실적'!$F$2:$F$10027,$A18))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0</v>
      </c>
      <c r="AT18" s="130" cm="1">
        <f t="array" ref="AT18">IFERROR(
  SUM(--(FREQUENCY(
      IF( (EXACT('가압 날짜별 실적'!$F$2:$F$10027,$A18))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0</v>
      </c>
      <c r="AU18" s="130" cm="1">
        <f t="array" ref="AU18">IFERROR(
  SUM(--(FREQUENCY(
      IF( (EXACT('가압 날짜별 실적'!$F$2:$F$10027,$A18))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0</v>
      </c>
      <c r="AV18" s="130" cm="1">
        <f t="array" ref="AV18">IFERROR(
  SUM(--(FREQUENCY(
      IF( (EXACT('가압 날짜별 실적'!$F$2:$F$10027,$A18))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0</v>
      </c>
      <c r="AW18" s="130" cm="1">
        <f t="array" ref="AW18">IFERROR(
  SUM(--(FREQUENCY(
      IF( (EXACT('가압 날짜별 실적'!$F$2:$F$10027,$A18))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0</v>
      </c>
      <c r="AX18" s="130" cm="1">
        <f t="array" ref="AX18">IFERROR(
  SUM(--(FREQUENCY(
      IF( (EXACT('가압 날짜별 실적'!$F$2:$F$10027,$A18))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0</v>
      </c>
      <c r="AY18" s="130" cm="1">
        <f t="array" ref="AY18">IFERROR(
  SUM(--(FREQUENCY(
      IF( (EXACT('가압 날짜별 실적'!$F$2:$F$10027,$A18))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0</v>
      </c>
      <c r="AZ18" s="130" cm="1">
        <f t="array" ref="AZ18">IFERROR(
  SUM(--(FREQUENCY(
      IF( (EXACT('가압 날짜별 실적'!$F$2:$F$10027,$A18))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0</v>
      </c>
      <c r="BA18" s="130" cm="1">
        <f t="array" ref="BA18">IFERROR(
  SUM(--(FREQUENCY(
      IF( (EXACT('가압 날짜별 실적'!$F$2:$F$10027,$A18))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0</v>
      </c>
      <c r="BB18" s="422">
        <f t="shared" si="0"/>
        <v>15</v>
      </c>
    </row>
    <row r="19" spans="1:54" ht="18" customHeight="1">
      <c r="A19" s="456" t="s">
        <v>1393</v>
      </c>
      <c r="B19" s="130" cm="1">
        <f t="array" ref="B19">IFERROR(
  SUM(--(FREQUENCY(
      IF( (EXACT('가압 날짜별 실적'!$F$2:$F$10027,$A19))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1</v>
      </c>
      <c r="C19" s="130" cm="1">
        <f t="array" ref="C19">IFERROR(
  SUM(--(FREQUENCY(
      IF( (EXACT('가압 날짜별 실적'!$F$2:$F$10027,$A19))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0</v>
      </c>
      <c r="D19" s="130" cm="1">
        <f t="array" ref="D19">IFERROR(
  SUM(--(FREQUENCY(
      IF( (EXACT('가압 날짜별 실적'!$F$2:$F$10027,$A19))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0</v>
      </c>
      <c r="E19" s="130" cm="1">
        <f t="array" ref="E19">IFERROR(
  SUM(--(FREQUENCY(
      IF( (EXACT('가압 날짜별 실적'!$F$2:$F$10027,$A19))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0</v>
      </c>
      <c r="F19" s="130" cm="1">
        <f t="array" ref="F19">IFERROR(
  SUM(--(FREQUENCY(
      IF( (EXACT('가압 날짜별 실적'!$F$2:$F$10027,$A19))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19" s="130" cm="1">
        <f t="array" ref="G19">IFERROR(
  SUM(--(FREQUENCY(
      IF( (EXACT('가압 날짜별 실적'!$F$2:$F$10027,$A19))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0</v>
      </c>
      <c r="H19" s="130" cm="1">
        <f t="array" ref="H19">IFERROR(
  SUM(--(FREQUENCY(
      IF( (EXACT('가압 날짜별 실적'!$F$2:$F$10027,$A19))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0</v>
      </c>
      <c r="I19" s="130" cm="1">
        <f t="array" ref="I19">IFERROR(
  SUM(--(FREQUENCY(
      IF( (EXACT('가압 날짜별 실적'!$F$2:$F$10027,$A19))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1</v>
      </c>
      <c r="J19" s="130" cm="1">
        <f t="array" ref="J19">IFERROR(
  SUM(--(FREQUENCY(
      IF( (EXACT('가압 날짜별 실적'!$F$2:$F$10027,$A19))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0</v>
      </c>
      <c r="K19" s="130" cm="1">
        <f t="array" ref="K19">IFERROR(
  SUM(--(FREQUENCY(
      IF( (EXACT('가압 날짜별 실적'!$F$2:$F$10027,$A19))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0</v>
      </c>
      <c r="L19" s="130" cm="1">
        <f t="array" ref="L19">IFERROR(
  SUM(--(FREQUENCY(
      IF( (EXACT('가압 날짜별 실적'!$F$2:$F$10027,$A19))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0</v>
      </c>
      <c r="M19" s="130" cm="1">
        <f t="array" ref="M19">IFERROR(
  SUM(--(FREQUENCY(
      IF( (EXACT('가압 날짜별 실적'!$F$2:$F$10027,$A19))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0</v>
      </c>
      <c r="N19" s="130" cm="1">
        <f t="array" ref="N19">IFERROR(
  SUM(--(FREQUENCY(
      IF( (EXACT('가압 날짜별 실적'!$F$2:$F$10027,$A19))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0</v>
      </c>
      <c r="O19" s="130" cm="1">
        <f t="array" ref="O19">IFERROR(
  SUM(--(FREQUENCY(
      IF( (EXACT('가압 날짜별 실적'!$F$2:$F$10027,$A19))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0</v>
      </c>
      <c r="P19" s="130" cm="1">
        <f t="array" ref="P19">IFERROR(
  SUM(--(FREQUENCY(
      IF( (EXACT('가압 날짜별 실적'!$F$2:$F$10027,$A19))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0</v>
      </c>
      <c r="Q19" s="130" cm="1">
        <f t="array" ref="Q19">IFERROR(
  SUM(--(FREQUENCY(
      IF( (EXACT('가압 날짜별 실적'!$F$2:$F$10027,$A19))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0</v>
      </c>
      <c r="R19" s="130" cm="1">
        <f t="array" ref="R19">IFERROR(
  SUM(--(FREQUENCY(
      IF( (EXACT('가압 날짜별 실적'!$F$2:$F$10027,$A19))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0</v>
      </c>
      <c r="S19" s="130" cm="1">
        <f t="array" ref="S19">IFERROR(
  SUM(--(FREQUENCY(
      IF( (EXACT('가압 날짜별 실적'!$F$2:$F$10027,$A19))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0</v>
      </c>
      <c r="T19" s="130" cm="1">
        <f t="array" ref="T19">IFERROR(
  SUM(--(FREQUENCY(
      IF( (EXACT('가압 날짜별 실적'!$F$2:$F$10027,$A19))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0</v>
      </c>
      <c r="U19" s="130" cm="1">
        <f t="array" ref="U19">IFERROR(
  SUM(--(FREQUENCY(
      IF( (EXACT('가압 날짜별 실적'!$F$2:$F$10027,$A19))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0</v>
      </c>
      <c r="V19" s="130" cm="1">
        <f t="array" ref="V19">IFERROR(
  SUM(--(FREQUENCY(
      IF( (EXACT('가압 날짜별 실적'!$F$2:$F$10027,$A19))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0</v>
      </c>
      <c r="W19" s="130" cm="1">
        <f t="array" ref="W19">IFERROR(
  SUM(--(FREQUENCY(
      IF( (EXACT('가압 날짜별 실적'!$F$2:$F$10027,$A19))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0</v>
      </c>
      <c r="X19" s="130" cm="1">
        <f t="array" ref="X19">IFERROR(
  SUM(--(FREQUENCY(
      IF( (EXACT('가압 날짜별 실적'!$F$2:$F$10027,$A19))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0</v>
      </c>
      <c r="Y19" s="130" cm="1">
        <f t="array" ref="Y19">IFERROR(
  SUM(--(FREQUENCY(
      IF( (EXACT('가압 날짜별 실적'!$F$2:$F$10027,$A19))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0</v>
      </c>
      <c r="Z19" s="130" cm="1">
        <f t="array" ref="Z19">IFERROR(
  SUM(--(FREQUENCY(
      IF( (EXACT('가압 날짜별 실적'!$F$2:$F$10027,$A19))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0</v>
      </c>
      <c r="AA19" s="130" cm="1">
        <f t="array" ref="AA19">IFERROR(
  SUM(--(FREQUENCY(
      IF( (EXACT('가압 날짜별 실적'!$F$2:$F$10027,$A19))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0</v>
      </c>
      <c r="AB19" s="130" cm="1">
        <f t="array" ref="AB19">IFERROR(
  SUM(--(FREQUENCY(
      IF( (EXACT('가압 날짜별 실적'!$F$2:$F$10027,$A19))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0</v>
      </c>
      <c r="AC19" s="130" cm="1">
        <f t="array" ref="AC19">IFERROR(
  SUM(--(FREQUENCY(
      IF( (EXACT('가압 날짜별 실적'!$F$2:$F$10027,$A19))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0</v>
      </c>
      <c r="AD19" s="130" cm="1">
        <f t="array" ref="AD19">IFERROR(
  SUM(--(FREQUENCY(
      IF( (EXACT('가압 날짜별 실적'!$F$2:$F$10027,$A19))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0</v>
      </c>
      <c r="AE19" s="130" cm="1">
        <f t="array" ref="AE19">IFERROR(
  SUM(--(FREQUENCY(
      IF( (EXACT('가압 날짜별 실적'!$F$2:$F$10027,$A19))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0</v>
      </c>
      <c r="AF19" s="130" cm="1">
        <f t="array" ref="AF19">IFERROR(
  SUM(--(FREQUENCY(
      IF( (EXACT('가압 날짜별 실적'!$F$2:$F$10027,$A19))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0</v>
      </c>
      <c r="AG19" s="130" cm="1">
        <f t="array" ref="AG19">IFERROR(
  SUM(--(FREQUENCY(
      IF( (EXACT('가압 날짜별 실적'!$F$2:$F$10027,$A19))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0</v>
      </c>
      <c r="AH19" s="130" cm="1">
        <f t="array" ref="AH19">IFERROR(
  SUM(--(FREQUENCY(
      IF( (EXACT('가압 날짜별 실적'!$F$2:$F$10027,$A19))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0</v>
      </c>
      <c r="AI19" s="130" cm="1">
        <f t="array" ref="AI19">IFERROR(
  SUM(--(FREQUENCY(
      IF( (EXACT('가압 날짜별 실적'!$F$2:$F$10027,$A19))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0</v>
      </c>
      <c r="AJ19" s="130" cm="1">
        <f t="array" ref="AJ19">IFERROR(
  SUM(--(FREQUENCY(
      IF( (EXACT('가압 날짜별 실적'!$F$2:$F$10027,$A19))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0</v>
      </c>
      <c r="AK19" s="130" cm="1">
        <f t="array" ref="AK19">IFERROR(
  SUM(--(FREQUENCY(
      IF( (EXACT('가압 날짜별 실적'!$F$2:$F$10027,$A19))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1</v>
      </c>
      <c r="AL19" s="130" cm="1">
        <f t="array" ref="AL19">IFERROR(
  SUM(--(FREQUENCY(
      IF( (EXACT('가압 날짜별 실적'!$F$2:$F$10027,$A19))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0</v>
      </c>
      <c r="AM19" s="130" cm="1">
        <f t="array" ref="AM19">IFERROR(
  SUM(--(FREQUENCY(
      IF( (EXACT('가압 날짜별 실적'!$F$2:$F$10027,$A19))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1</v>
      </c>
      <c r="AN19" s="130" cm="1">
        <f t="array" ref="AN19">IFERROR(
  SUM(--(FREQUENCY(
      IF( (EXACT('가압 날짜별 실적'!$F$2:$F$10027,$A19))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0</v>
      </c>
      <c r="AO19" s="130" cm="1">
        <f t="array" ref="AO19">IFERROR(
  SUM(--(FREQUENCY(
      IF( (EXACT('가압 날짜별 실적'!$F$2:$F$10027,$A19))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0</v>
      </c>
      <c r="AP19" s="130" cm="1">
        <f t="array" ref="AP19">IFERROR(
  SUM(--(FREQUENCY(
      IF( (EXACT('가압 날짜별 실적'!$F$2:$F$10027,$A19))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19" s="130" cm="1">
        <f t="array" ref="AQ19">IFERROR(
  SUM(--(FREQUENCY(
      IF( (EXACT('가압 날짜별 실적'!$F$2:$F$10027,$A19))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0</v>
      </c>
      <c r="AR19" s="130" cm="1">
        <f t="array" ref="AR19">IFERROR(
  SUM(--(FREQUENCY(
      IF( (EXACT('가압 날짜별 실적'!$F$2:$F$10027,$A19))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0</v>
      </c>
      <c r="AS19" s="130" cm="1">
        <f t="array" ref="AS19">IFERROR(
  SUM(--(FREQUENCY(
      IF( (EXACT('가압 날짜별 실적'!$F$2:$F$10027,$A19))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0</v>
      </c>
      <c r="AT19" s="130" cm="1">
        <f t="array" ref="AT19">IFERROR(
  SUM(--(FREQUENCY(
      IF( (EXACT('가압 날짜별 실적'!$F$2:$F$10027,$A19))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0</v>
      </c>
      <c r="AU19" s="130" cm="1">
        <f t="array" ref="AU19">IFERROR(
  SUM(--(FREQUENCY(
      IF( (EXACT('가압 날짜별 실적'!$F$2:$F$10027,$A19))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0</v>
      </c>
      <c r="AV19" s="130" cm="1">
        <f t="array" ref="AV19">IFERROR(
  SUM(--(FREQUENCY(
      IF( (EXACT('가압 날짜별 실적'!$F$2:$F$10027,$A19))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2</v>
      </c>
      <c r="AW19" s="130" cm="1">
        <f t="array" ref="AW19">IFERROR(
  SUM(--(FREQUENCY(
      IF( (EXACT('가압 날짜별 실적'!$F$2:$F$10027,$A19))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0</v>
      </c>
      <c r="AX19" s="130" cm="1">
        <f t="array" ref="AX19">IFERROR(
  SUM(--(FREQUENCY(
      IF( (EXACT('가압 날짜별 실적'!$F$2:$F$10027,$A19))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2</v>
      </c>
      <c r="AY19" s="130" cm="1">
        <f t="array" ref="AY19">IFERROR(
  SUM(--(FREQUENCY(
      IF( (EXACT('가압 날짜별 실적'!$F$2:$F$10027,$A19))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0</v>
      </c>
      <c r="AZ19" s="130" cm="1">
        <f t="array" ref="AZ19">IFERROR(
  SUM(--(FREQUENCY(
      IF( (EXACT('가압 날짜별 실적'!$F$2:$F$10027,$A19))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0</v>
      </c>
      <c r="BA19" s="130" cm="1">
        <f t="array" ref="BA19">IFERROR(
  SUM(--(FREQUENCY(
      IF( (EXACT('가압 날짜별 실적'!$F$2:$F$10027,$A19))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1</v>
      </c>
      <c r="BB19" s="422">
        <f t="shared" si="0"/>
        <v>9</v>
      </c>
    </row>
    <row r="20" spans="1:54" ht="18" customHeight="1">
      <c r="A20" s="456" t="s">
        <v>3180</v>
      </c>
      <c r="B20" s="130" cm="1">
        <f t="array" ref="B20">IFERROR(
  SUM(--(FREQUENCY(
      IF( (EXACT('가압 날짜별 실적'!$F$2:$F$10027,$A20))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0</v>
      </c>
      <c r="C20" s="130" cm="1">
        <f t="array" ref="C20">IFERROR(
  SUM(--(FREQUENCY(
      IF( (EXACT('가압 날짜별 실적'!$F$2:$F$10027,$A20))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0</v>
      </c>
      <c r="D20" s="130" cm="1">
        <f t="array" ref="D20">IFERROR(
  SUM(--(FREQUENCY(
      IF( (EXACT('가압 날짜별 실적'!$F$2:$F$10027,$A20))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0</v>
      </c>
      <c r="E20" s="130" cm="1">
        <f t="array" ref="E20">IFERROR(
  SUM(--(FREQUENCY(
      IF( (EXACT('가압 날짜별 실적'!$F$2:$F$10027,$A20))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0</v>
      </c>
      <c r="F20" s="130" cm="1">
        <f t="array" ref="F20">IFERROR(
  SUM(--(FREQUENCY(
      IF( (EXACT('가압 날짜별 실적'!$F$2:$F$10027,$A20))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20" s="130" cm="1">
        <f t="array" ref="G20">IFERROR(
  SUM(--(FREQUENCY(
      IF( (EXACT('가압 날짜별 실적'!$F$2:$F$10027,$A20))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0</v>
      </c>
      <c r="H20" s="130" cm="1">
        <f t="array" ref="H20">IFERROR(
  SUM(--(FREQUENCY(
      IF( (EXACT('가압 날짜별 실적'!$F$2:$F$10027,$A20))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0</v>
      </c>
      <c r="I20" s="130" cm="1">
        <f t="array" ref="I20">IFERROR(
  SUM(--(FREQUENCY(
      IF( (EXACT('가압 날짜별 실적'!$F$2:$F$10027,$A20))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0</v>
      </c>
      <c r="J20" s="130" cm="1">
        <f t="array" ref="J20">IFERROR(
  SUM(--(FREQUENCY(
      IF( (EXACT('가압 날짜별 실적'!$F$2:$F$10027,$A20))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0</v>
      </c>
      <c r="K20" s="130" cm="1">
        <f t="array" ref="K20">IFERROR(
  SUM(--(FREQUENCY(
      IF( (EXACT('가압 날짜별 실적'!$F$2:$F$10027,$A20))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0</v>
      </c>
      <c r="L20" s="130" cm="1">
        <f t="array" ref="L20">IFERROR(
  SUM(--(FREQUENCY(
      IF( (EXACT('가압 날짜별 실적'!$F$2:$F$10027,$A20))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0</v>
      </c>
      <c r="M20" s="130" cm="1">
        <f t="array" ref="M20">IFERROR(
  SUM(--(FREQUENCY(
      IF( (EXACT('가압 날짜별 실적'!$F$2:$F$10027,$A20))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0</v>
      </c>
      <c r="N20" s="130" cm="1">
        <f t="array" ref="N20">IFERROR(
  SUM(--(FREQUENCY(
      IF( (EXACT('가압 날짜별 실적'!$F$2:$F$10027,$A20))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0</v>
      </c>
      <c r="O20" s="130" cm="1">
        <f t="array" ref="O20">IFERROR(
  SUM(--(FREQUENCY(
      IF( (EXACT('가압 날짜별 실적'!$F$2:$F$10027,$A20))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0</v>
      </c>
      <c r="P20" s="130" cm="1">
        <f t="array" ref="P20">IFERROR(
  SUM(--(FREQUENCY(
      IF( (EXACT('가압 날짜별 실적'!$F$2:$F$10027,$A20))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0</v>
      </c>
      <c r="Q20" s="130" cm="1">
        <f t="array" ref="Q20">IFERROR(
  SUM(--(FREQUENCY(
      IF( (EXACT('가압 날짜별 실적'!$F$2:$F$10027,$A20))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0</v>
      </c>
      <c r="R20" s="130" cm="1">
        <f t="array" ref="R20">IFERROR(
  SUM(--(FREQUENCY(
      IF( (EXACT('가압 날짜별 실적'!$F$2:$F$10027,$A20))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0</v>
      </c>
      <c r="S20" s="130" cm="1">
        <f t="array" ref="S20">IFERROR(
  SUM(--(FREQUENCY(
      IF( (EXACT('가압 날짜별 실적'!$F$2:$F$10027,$A20))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0</v>
      </c>
      <c r="T20" s="130" cm="1">
        <f t="array" ref="T20">IFERROR(
  SUM(--(FREQUENCY(
      IF( (EXACT('가압 날짜별 실적'!$F$2:$F$10027,$A20))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0</v>
      </c>
      <c r="U20" s="130" cm="1">
        <f t="array" ref="U20">IFERROR(
  SUM(--(FREQUENCY(
      IF( (EXACT('가압 날짜별 실적'!$F$2:$F$10027,$A20))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0</v>
      </c>
      <c r="V20" s="130" cm="1">
        <f t="array" ref="V20">IFERROR(
  SUM(--(FREQUENCY(
      IF( (EXACT('가압 날짜별 실적'!$F$2:$F$10027,$A20))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0</v>
      </c>
      <c r="W20" s="130" cm="1">
        <f t="array" ref="W20">IFERROR(
  SUM(--(FREQUENCY(
      IF( (EXACT('가압 날짜별 실적'!$F$2:$F$10027,$A20))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0</v>
      </c>
      <c r="X20" s="130" cm="1">
        <f t="array" ref="X20">IFERROR(
  SUM(--(FREQUENCY(
      IF( (EXACT('가압 날짜별 실적'!$F$2:$F$10027,$A20))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0</v>
      </c>
      <c r="Y20" s="130" cm="1">
        <f t="array" ref="Y20">IFERROR(
  SUM(--(FREQUENCY(
      IF( (EXACT('가압 날짜별 실적'!$F$2:$F$10027,$A20))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0</v>
      </c>
      <c r="Z20" s="130" cm="1">
        <f t="array" ref="Z20">IFERROR(
  SUM(--(FREQUENCY(
      IF( (EXACT('가압 날짜별 실적'!$F$2:$F$10027,$A20))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1</v>
      </c>
      <c r="AA20" s="130" cm="1">
        <f t="array" ref="AA20">IFERROR(
  SUM(--(FREQUENCY(
      IF( (EXACT('가압 날짜별 실적'!$F$2:$F$10027,$A20))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0</v>
      </c>
      <c r="AB20" s="130" cm="1">
        <f t="array" ref="AB20">IFERROR(
  SUM(--(FREQUENCY(
      IF( (EXACT('가압 날짜별 실적'!$F$2:$F$10027,$A20))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0</v>
      </c>
      <c r="AC20" s="130" cm="1">
        <f t="array" ref="AC20">IFERROR(
  SUM(--(FREQUENCY(
      IF( (EXACT('가압 날짜별 실적'!$F$2:$F$10027,$A20))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0</v>
      </c>
      <c r="AD20" s="130" cm="1">
        <f t="array" ref="AD20">IFERROR(
  SUM(--(FREQUENCY(
      IF( (EXACT('가압 날짜별 실적'!$F$2:$F$10027,$A20))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0</v>
      </c>
      <c r="AE20" s="130" cm="1">
        <f t="array" ref="AE20">IFERROR(
  SUM(--(FREQUENCY(
      IF( (EXACT('가압 날짜별 실적'!$F$2:$F$10027,$A20))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0</v>
      </c>
      <c r="AF20" s="130" cm="1">
        <f t="array" ref="AF20">IFERROR(
  SUM(--(FREQUENCY(
      IF( (EXACT('가압 날짜별 실적'!$F$2:$F$10027,$A20))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0</v>
      </c>
      <c r="AG20" s="130" cm="1">
        <f t="array" ref="AG20">IFERROR(
  SUM(--(FREQUENCY(
      IF( (EXACT('가압 날짜별 실적'!$F$2:$F$10027,$A20))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0</v>
      </c>
      <c r="AH20" s="130" cm="1">
        <f t="array" ref="AH20">IFERROR(
  SUM(--(FREQUENCY(
      IF( (EXACT('가압 날짜별 실적'!$F$2:$F$10027,$A20))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0</v>
      </c>
      <c r="AI20" s="130" cm="1">
        <f t="array" ref="AI20">IFERROR(
  SUM(--(FREQUENCY(
      IF( (EXACT('가압 날짜별 실적'!$F$2:$F$10027,$A20))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0</v>
      </c>
      <c r="AJ20" s="130" cm="1">
        <f t="array" ref="AJ20">IFERROR(
  SUM(--(FREQUENCY(
      IF( (EXACT('가압 날짜별 실적'!$F$2:$F$10027,$A20))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0</v>
      </c>
      <c r="AK20" s="130" cm="1">
        <f t="array" ref="AK20">IFERROR(
  SUM(--(FREQUENCY(
      IF( (EXACT('가압 날짜별 실적'!$F$2:$F$10027,$A20))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0</v>
      </c>
      <c r="AL20" s="130" cm="1">
        <f t="array" ref="AL20">IFERROR(
  SUM(--(FREQUENCY(
      IF( (EXACT('가압 날짜별 실적'!$F$2:$F$10027,$A20))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0</v>
      </c>
      <c r="AM20" s="130" cm="1">
        <f t="array" ref="AM20">IFERROR(
  SUM(--(FREQUENCY(
      IF( (EXACT('가압 날짜별 실적'!$F$2:$F$10027,$A20))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0</v>
      </c>
      <c r="AN20" s="130" cm="1">
        <f t="array" ref="AN20">IFERROR(
  SUM(--(FREQUENCY(
      IF( (EXACT('가압 날짜별 실적'!$F$2:$F$10027,$A20))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0</v>
      </c>
      <c r="AO20" s="130" cm="1">
        <f t="array" ref="AO20">IFERROR(
  SUM(--(FREQUENCY(
      IF( (EXACT('가압 날짜별 실적'!$F$2:$F$10027,$A20))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0</v>
      </c>
      <c r="AP20" s="130" cm="1">
        <f t="array" ref="AP20">IFERROR(
  SUM(--(FREQUENCY(
      IF( (EXACT('가압 날짜별 실적'!$F$2:$F$10027,$A20))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20" s="130" cm="1">
        <f t="array" ref="AQ20">IFERROR(
  SUM(--(FREQUENCY(
      IF( (EXACT('가압 날짜별 실적'!$F$2:$F$10027,$A20))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0</v>
      </c>
      <c r="AR20" s="130" cm="1">
        <f t="array" ref="AR20">IFERROR(
  SUM(--(FREQUENCY(
      IF( (EXACT('가압 날짜별 실적'!$F$2:$F$10027,$A20))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3</v>
      </c>
      <c r="AS20" s="130" cm="1">
        <f t="array" ref="AS20">IFERROR(
  SUM(--(FREQUENCY(
      IF( (EXACT('가압 날짜별 실적'!$F$2:$F$10027,$A20))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1</v>
      </c>
      <c r="AT20" s="130" cm="1">
        <f t="array" ref="AT20">IFERROR(
  SUM(--(FREQUENCY(
      IF( (EXACT('가압 날짜별 실적'!$F$2:$F$10027,$A20))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0</v>
      </c>
      <c r="AU20" s="130" cm="1">
        <f t="array" ref="AU20">IFERROR(
  SUM(--(FREQUENCY(
      IF( (EXACT('가압 날짜별 실적'!$F$2:$F$10027,$A20))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0</v>
      </c>
      <c r="AV20" s="130" cm="1">
        <f t="array" ref="AV20">IFERROR(
  SUM(--(FREQUENCY(
      IF( (EXACT('가압 날짜별 실적'!$F$2:$F$10027,$A20))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0</v>
      </c>
      <c r="AW20" s="130" cm="1">
        <f t="array" ref="AW20">IFERROR(
  SUM(--(FREQUENCY(
      IF( (EXACT('가압 날짜별 실적'!$F$2:$F$10027,$A20))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0</v>
      </c>
      <c r="AX20" s="130" cm="1">
        <f t="array" ref="AX20">IFERROR(
  SUM(--(FREQUENCY(
      IF( (EXACT('가압 날짜별 실적'!$F$2:$F$10027,$A20))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0</v>
      </c>
      <c r="AY20" s="130" cm="1">
        <f t="array" ref="AY20">IFERROR(
  SUM(--(FREQUENCY(
      IF( (EXACT('가압 날짜별 실적'!$F$2:$F$10027,$A20))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6</v>
      </c>
      <c r="AZ20" s="130" cm="1">
        <f t="array" ref="AZ20">IFERROR(
  SUM(--(FREQUENCY(
      IF( (EXACT('가압 날짜별 실적'!$F$2:$F$10027,$A20))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0</v>
      </c>
      <c r="BA20" s="130" cm="1">
        <f t="array" ref="BA20">IFERROR(
  SUM(--(FREQUENCY(
      IF( (EXACT('가압 날짜별 실적'!$F$2:$F$10027,$A20))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0</v>
      </c>
      <c r="BB20" s="422">
        <f t="shared" si="0"/>
        <v>11</v>
      </c>
    </row>
    <row r="21" spans="1:54" ht="18" customHeight="1">
      <c r="A21" s="456" t="s">
        <v>6583</v>
      </c>
      <c r="B21" s="130" cm="1">
        <f t="array" ref="B21">IFERROR(
  SUM(--(FREQUENCY(
      IF( (EXACT('가압 날짜별 실적'!$F$2:$F$10027,$A21))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0</v>
      </c>
      <c r="C21" s="130" cm="1">
        <f t="array" ref="C21">IFERROR(
  SUM(--(FREQUENCY(
      IF( (EXACT('가압 날짜별 실적'!$F$2:$F$10027,$A21))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0</v>
      </c>
      <c r="D21" s="130" cm="1">
        <f t="array" ref="D21">IFERROR(
  SUM(--(FREQUENCY(
      IF( (EXACT('가압 날짜별 실적'!$F$2:$F$10027,$A21))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0</v>
      </c>
      <c r="E21" s="130" cm="1">
        <f t="array" ref="E21">IFERROR(
  SUM(--(FREQUENCY(
      IF( (EXACT('가압 날짜별 실적'!$F$2:$F$10027,$A21))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0</v>
      </c>
      <c r="F21" s="130" cm="1">
        <f t="array" ref="F21">IFERROR(
  SUM(--(FREQUENCY(
      IF( (EXACT('가압 날짜별 실적'!$F$2:$F$10027,$A21))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21" s="130" cm="1">
        <f t="array" ref="G21">IFERROR(
  SUM(--(FREQUENCY(
      IF( (EXACT('가압 날짜별 실적'!$F$2:$F$10027,$A21))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0</v>
      </c>
      <c r="H21" s="130" cm="1">
        <f t="array" ref="H21">IFERROR(
  SUM(--(FREQUENCY(
      IF( (EXACT('가압 날짜별 실적'!$F$2:$F$10027,$A21))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0</v>
      </c>
      <c r="I21" s="130" cm="1">
        <f t="array" ref="I21">IFERROR(
  SUM(--(FREQUENCY(
      IF( (EXACT('가압 날짜별 실적'!$F$2:$F$10027,$A21))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0</v>
      </c>
      <c r="J21" s="130" cm="1">
        <f t="array" ref="J21">IFERROR(
  SUM(--(FREQUENCY(
      IF( (EXACT('가압 날짜별 실적'!$F$2:$F$10027,$A21))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0</v>
      </c>
      <c r="K21" s="130" cm="1">
        <f t="array" ref="K21">IFERROR(
  SUM(--(FREQUENCY(
      IF( (EXACT('가압 날짜별 실적'!$F$2:$F$10027,$A21))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0</v>
      </c>
      <c r="L21" s="130" cm="1">
        <f t="array" ref="L21">IFERROR(
  SUM(--(FREQUENCY(
      IF( (EXACT('가압 날짜별 실적'!$F$2:$F$10027,$A21))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0</v>
      </c>
      <c r="M21" s="130" cm="1">
        <f t="array" ref="M21">IFERROR(
  SUM(--(FREQUENCY(
      IF( (EXACT('가압 날짜별 실적'!$F$2:$F$10027,$A21))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0</v>
      </c>
      <c r="N21" s="130" cm="1">
        <f t="array" ref="N21">IFERROR(
  SUM(--(FREQUENCY(
      IF( (EXACT('가압 날짜별 실적'!$F$2:$F$10027,$A21))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0</v>
      </c>
      <c r="O21" s="130" cm="1">
        <f t="array" ref="O21">IFERROR(
  SUM(--(FREQUENCY(
      IF( (EXACT('가압 날짜별 실적'!$F$2:$F$10027,$A21))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0</v>
      </c>
      <c r="P21" s="130" cm="1">
        <f t="array" ref="P21">IFERROR(
  SUM(--(FREQUENCY(
      IF( (EXACT('가압 날짜별 실적'!$F$2:$F$10027,$A21))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0</v>
      </c>
      <c r="Q21" s="130" cm="1">
        <f t="array" ref="Q21">IFERROR(
  SUM(--(FREQUENCY(
      IF( (EXACT('가압 날짜별 실적'!$F$2:$F$10027,$A21))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0</v>
      </c>
      <c r="R21" s="130" cm="1">
        <f t="array" ref="R21">IFERROR(
  SUM(--(FREQUENCY(
      IF( (EXACT('가압 날짜별 실적'!$F$2:$F$10027,$A21))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0</v>
      </c>
      <c r="S21" s="130" cm="1">
        <f t="array" ref="S21">IFERROR(
  SUM(--(FREQUENCY(
      IF( (EXACT('가압 날짜별 실적'!$F$2:$F$10027,$A21))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0</v>
      </c>
      <c r="T21" s="130" cm="1">
        <f t="array" ref="T21">IFERROR(
  SUM(--(FREQUENCY(
      IF( (EXACT('가압 날짜별 실적'!$F$2:$F$10027,$A21))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0</v>
      </c>
      <c r="U21" s="130" cm="1">
        <f t="array" ref="U21">IFERROR(
  SUM(--(FREQUENCY(
      IF( (EXACT('가압 날짜별 실적'!$F$2:$F$10027,$A21))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0</v>
      </c>
      <c r="V21" s="130" cm="1">
        <f t="array" ref="V21">IFERROR(
  SUM(--(FREQUENCY(
      IF( (EXACT('가압 날짜별 실적'!$F$2:$F$10027,$A21))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0</v>
      </c>
      <c r="W21" s="130" cm="1">
        <f t="array" ref="W21">IFERROR(
  SUM(--(FREQUENCY(
      IF( (EXACT('가압 날짜별 실적'!$F$2:$F$10027,$A21))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0</v>
      </c>
      <c r="X21" s="130" cm="1">
        <f t="array" ref="X21">IFERROR(
  SUM(--(FREQUENCY(
      IF( (EXACT('가압 날짜별 실적'!$F$2:$F$10027,$A21))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0</v>
      </c>
      <c r="Y21" s="130" cm="1">
        <f t="array" ref="Y21">IFERROR(
  SUM(--(FREQUENCY(
      IF( (EXACT('가압 날짜별 실적'!$F$2:$F$10027,$A21))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0</v>
      </c>
      <c r="Z21" s="130" cm="1">
        <f t="array" ref="Z21">IFERROR(
  SUM(--(FREQUENCY(
      IF( (EXACT('가압 날짜별 실적'!$F$2:$F$10027,$A21))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0</v>
      </c>
      <c r="AA21" s="130" cm="1">
        <f t="array" ref="AA21">IFERROR(
  SUM(--(FREQUENCY(
      IF( (EXACT('가압 날짜별 실적'!$F$2:$F$10027,$A21))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0</v>
      </c>
      <c r="AB21" s="130" cm="1">
        <f t="array" ref="AB21">IFERROR(
  SUM(--(FREQUENCY(
      IF( (EXACT('가압 날짜별 실적'!$F$2:$F$10027,$A21))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0</v>
      </c>
      <c r="AC21" s="130" cm="1">
        <f t="array" ref="AC21">IFERROR(
  SUM(--(FREQUENCY(
      IF( (EXACT('가압 날짜별 실적'!$F$2:$F$10027,$A21))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0</v>
      </c>
      <c r="AD21" s="130" cm="1">
        <f t="array" ref="AD21">IFERROR(
  SUM(--(FREQUENCY(
      IF( (EXACT('가압 날짜별 실적'!$F$2:$F$10027,$A21))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0</v>
      </c>
      <c r="AE21" s="130" cm="1">
        <f t="array" ref="AE21">IFERROR(
  SUM(--(FREQUENCY(
      IF( (EXACT('가압 날짜별 실적'!$F$2:$F$10027,$A21))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0</v>
      </c>
      <c r="AF21" s="130" cm="1">
        <f t="array" ref="AF21">IFERROR(
  SUM(--(FREQUENCY(
      IF( (EXACT('가압 날짜별 실적'!$F$2:$F$10027,$A21))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0</v>
      </c>
      <c r="AG21" s="130" cm="1">
        <f t="array" ref="AG21">IFERROR(
  SUM(--(FREQUENCY(
      IF( (EXACT('가압 날짜별 실적'!$F$2:$F$10027,$A21))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0</v>
      </c>
      <c r="AH21" s="130" cm="1">
        <f t="array" ref="AH21">IFERROR(
  SUM(--(FREQUENCY(
      IF( (EXACT('가압 날짜별 실적'!$F$2:$F$10027,$A21))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0</v>
      </c>
      <c r="AI21" s="130" cm="1">
        <f t="array" ref="AI21">IFERROR(
  SUM(--(FREQUENCY(
      IF( (EXACT('가압 날짜별 실적'!$F$2:$F$10027,$A21))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0</v>
      </c>
      <c r="AJ21" s="130" cm="1">
        <f t="array" ref="AJ21">IFERROR(
  SUM(--(FREQUENCY(
      IF( (EXACT('가압 날짜별 실적'!$F$2:$F$10027,$A21))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0</v>
      </c>
      <c r="AK21" s="130" cm="1">
        <f t="array" ref="AK21">IFERROR(
  SUM(--(FREQUENCY(
      IF( (EXACT('가압 날짜별 실적'!$F$2:$F$10027,$A21))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0</v>
      </c>
      <c r="AL21" s="130" cm="1">
        <f t="array" ref="AL21">IFERROR(
  SUM(--(FREQUENCY(
      IF( (EXACT('가압 날짜별 실적'!$F$2:$F$10027,$A21))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0</v>
      </c>
      <c r="AM21" s="130" cm="1">
        <f t="array" ref="AM21">IFERROR(
  SUM(--(FREQUENCY(
      IF( (EXACT('가압 날짜별 실적'!$F$2:$F$10027,$A21))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0</v>
      </c>
      <c r="AN21" s="130" cm="1">
        <f t="array" ref="AN21">IFERROR(
  SUM(--(FREQUENCY(
      IF( (EXACT('가압 날짜별 실적'!$F$2:$F$10027,$A21))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0</v>
      </c>
      <c r="AO21" s="130" cm="1">
        <f t="array" ref="AO21">IFERROR(
  SUM(--(FREQUENCY(
      IF( (EXACT('가압 날짜별 실적'!$F$2:$F$10027,$A21))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0</v>
      </c>
      <c r="AP21" s="130" cm="1">
        <f t="array" ref="AP21">IFERROR(
  SUM(--(FREQUENCY(
      IF( (EXACT('가압 날짜별 실적'!$F$2:$F$10027,$A21))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21" s="130" cm="1">
        <f t="array" ref="AQ21">IFERROR(
  SUM(--(FREQUENCY(
      IF( (EXACT('가압 날짜별 실적'!$F$2:$F$10027,$A21))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0</v>
      </c>
      <c r="AR21" s="130" cm="1">
        <f t="array" ref="AR21">IFERROR(
  SUM(--(FREQUENCY(
      IF( (EXACT('가압 날짜별 실적'!$F$2:$F$10027,$A21))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0</v>
      </c>
      <c r="AS21" s="130" cm="1">
        <f t="array" ref="AS21">IFERROR(
  SUM(--(FREQUENCY(
      IF( (EXACT('가압 날짜별 실적'!$F$2:$F$10027,$A21))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0</v>
      </c>
      <c r="AT21" s="130" cm="1">
        <f t="array" ref="AT21">IFERROR(
  SUM(--(FREQUENCY(
      IF( (EXACT('가압 날짜별 실적'!$F$2:$F$10027,$A21))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0</v>
      </c>
      <c r="AU21" s="130" cm="1">
        <f t="array" ref="AU21">IFERROR(
  SUM(--(FREQUENCY(
      IF( (EXACT('가압 날짜별 실적'!$F$2:$F$10027,$A21))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0</v>
      </c>
      <c r="AV21" s="130" cm="1">
        <f t="array" ref="AV21">IFERROR(
  SUM(--(FREQUENCY(
      IF( (EXACT('가압 날짜별 실적'!$F$2:$F$10027,$A21))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0</v>
      </c>
      <c r="AW21" s="130" cm="1">
        <f t="array" ref="AW21">IFERROR(
  SUM(--(FREQUENCY(
      IF( (EXACT('가압 날짜별 실적'!$F$2:$F$10027,$A21))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0</v>
      </c>
      <c r="AX21" s="130" cm="1">
        <f t="array" ref="AX21">IFERROR(
  SUM(--(FREQUENCY(
      IF( (EXACT('가압 날짜별 실적'!$F$2:$F$10027,$A21))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0</v>
      </c>
      <c r="AY21" s="130" cm="1">
        <f t="array" ref="AY21">IFERROR(
  SUM(--(FREQUENCY(
      IF( (EXACT('가압 날짜별 실적'!$F$2:$F$10027,$A21))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0</v>
      </c>
      <c r="AZ21" s="130" cm="1">
        <f t="array" ref="AZ21">IFERROR(
  SUM(--(FREQUENCY(
      IF( (EXACT('가압 날짜별 실적'!$F$2:$F$10027,$A21))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0</v>
      </c>
      <c r="BA21" s="130" cm="1">
        <f t="array" ref="BA21">IFERROR(
  SUM(--(FREQUENCY(
      IF( (EXACT('가압 날짜별 실적'!$F$2:$F$10027,$A21))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0</v>
      </c>
      <c r="BB21" s="422">
        <f t="shared" si="0"/>
        <v>0</v>
      </c>
    </row>
    <row r="22" spans="1:54" ht="18" customHeight="1">
      <c r="A22" s="456" t="s">
        <v>6584</v>
      </c>
      <c r="B22" s="130" cm="1">
        <f t="array" ref="B22">IFERROR(
  SUM(--(FREQUENCY(
      IF( (EXACT('가압 날짜별 실적'!$F$2:$F$10027,$A22)) *
          ('가압 날짜별 실적'!$H$2:$H$10027 = VALUE(LEFT(B$2,LEN(B$2)-1))),
          MATCH('가압 날짜별 실적'!$D$2:$D$10027,'가압 날짜별 실적'!$D$2:$D$10027,0)
      ),
      ROW('가압 날짜별 실적'!$D$2:$D$10027)-ROW('가압 날짜별 실적'!$D$2)+1
  )&gt;0)),
0)</f>
        <v>0</v>
      </c>
      <c r="C22" s="130" cm="1">
        <f t="array" ref="C22">IFERROR(
  SUM(--(FREQUENCY(
      IF( (EXACT('가압 날짜별 실적'!$F$2:$F$10027,$A22)) *
          ('가압 날짜별 실적'!$H$2:$H$10027 = VALUE(LEFT(C$2,LEN(C$2)-1))),
          MATCH('가압 날짜별 실적'!$D$2:$D$10027,'가압 날짜별 실적'!$D$2:$D$10027,0)
      ),
      ROW('가압 날짜별 실적'!$D$2:$D$10027)-ROW('가압 날짜별 실적'!$D$2)+1
  )&gt;0)),
0)</f>
        <v>0</v>
      </c>
      <c r="D22" s="130" cm="1">
        <f t="array" ref="D22">IFERROR(
  SUM(--(FREQUENCY(
      IF( (EXACT('가압 날짜별 실적'!$F$2:$F$10027,$A22)) *
          ('가압 날짜별 실적'!$H$2:$H$10027 = VALUE(LEFT(D$2,LEN(D$2)-1))),
          MATCH('가압 날짜별 실적'!$D$2:$D$10027,'가압 날짜별 실적'!$D$2:$D$10027,0)
      ),
      ROW('가압 날짜별 실적'!$D$2:$D$10027)-ROW('가압 날짜별 실적'!$D$2)+1
  )&gt;0)),
0)</f>
        <v>0</v>
      </c>
      <c r="E22" s="130" cm="1">
        <f t="array" ref="E22">IFERROR(
  SUM(--(FREQUENCY(
      IF( (EXACT('가압 날짜별 실적'!$F$2:$F$10027,$A22)) *
          ('가압 날짜별 실적'!$H$2:$H$10027 = VALUE(LEFT(E$2,LEN(E$2)-1))),
          MATCH('가압 날짜별 실적'!$D$2:$D$10027,'가압 날짜별 실적'!$D$2:$D$10027,0)
      ),
      ROW('가압 날짜별 실적'!$D$2:$D$10027)-ROW('가압 날짜별 실적'!$D$2)+1
  )&gt;0)),
0)</f>
        <v>1</v>
      </c>
      <c r="F22" s="130" cm="1">
        <f t="array" ref="F22">IFERROR(
  SUM(--(FREQUENCY(
      IF( (EXACT('가압 날짜별 실적'!$F$2:$F$10027,$A22)) *
          ('가압 날짜별 실적'!$H$2:$H$10027 = VALUE(LEFT(F$2,LEN(F$2)-1))),
          MATCH('가압 날짜별 실적'!$D$2:$D$10027,'가압 날짜별 실적'!$D$2:$D$10027,0)
      ),
      ROW('가압 날짜별 실적'!$D$2:$D$10027)-ROW('가압 날짜별 실적'!$D$2)+1
  )&gt;0)),
0)</f>
        <v>0</v>
      </c>
      <c r="G22" s="130" cm="1">
        <f t="array" ref="G22">IFERROR(
  SUM(--(FREQUENCY(
      IF( (EXACT('가압 날짜별 실적'!$F$2:$F$10027,$A22)) *
          ('가압 날짜별 실적'!$H$2:$H$10027 = VALUE(LEFT(G$2,LEN(G$2)-1))),
          MATCH('가압 날짜별 실적'!$D$2:$D$10027,'가압 날짜별 실적'!$D$2:$D$10027,0)
      ),
      ROW('가압 날짜별 실적'!$D$2:$D$10027)-ROW('가압 날짜별 실적'!$D$2)+1
  )&gt;0)),
0)</f>
        <v>0</v>
      </c>
      <c r="H22" s="130" cm="1">
        <f t="array" ref="H22">IFERROR(
  SUM(--(FREQUENCY(
      IF( (EXACT('가압 날짜별 실적'!$F$2:$F$10027,$A22)) *
          ('가압 날짜별 실적'!$H$2:$H$10027 = VALUE(LEFT(H$2,LEN(H$2)-1))),
          MATCH('가압 날짜별 실적'!$D$2:$D$10027,'가압 날짜별 실적'!$D$2:$D$10027,0)
      ),
      ROW('가압 날짜별 실적'!$D$2:$D$10027)-ROW('가압 날짜별 실적'!$D$2)+1
  )&gt;0)),
0)</f>
        <v>0</v>
      </c>
      <c r="I22" s="130" cm="1">
        <f t="array" ref="I22">IFERROR(
  SUM(--(FREQUENCY(
      IF( (EXACT('가압 날짜별 실적'!$F$2:$F$10027,$A22)) *
          ('가압 날짜별 실적'!$H$2:$H$10027 = VALUE(LEFT(I$2,LEN(I$2)-1))),
          MATCH('가압 날짜별 실적'!$D$2:$D$10027,'가압 날짜별 실적'!$D$2:$D$10027,0)
      ),
      ROW('가압 날짜별 실적'!$D$2:$D$10027)-ROW('가압 날짜별 실적'!$D$2)+1
  )&gt;0)),
0)</f>
        <v>0</v>
      </c>
      <c r="J22" s="130" cm="1">
        <f t="array" ref="J22">IFERROR(
  SUM(--(FREQUENCY(
      IF( (EXACT('가압 날짜별 실적'!$F$2:$F$10027,$A22)) *
          ('가압 날짜별 실적'!$H$2:$H$10027 = VALUE(LEFT(J$2,LEN(J$2)-1))),
          MATCH('가압 날짜별 실적'!$D$2:$D$10027,'가압 날짜별 실적'!$D$2:$D$10027,0)
      ),
      ROW('가압 날짜별 실적'!$D$2:$D$10027)-ROW('가압 날짜별 실적'!$D$2)+1
  )&gt;0)),
0)</f>
        <v>0</v>
      </c>
      <c r="K22" s="130" cm="1">
        <f t="array" ref="K22">IFERROR(
  SUM(--(FREQUENCY(
      IF( (EXACT('가압 날짜별 실적'!$F$2:$F$10027,$A22)) *
          ('가압 날짜별 실적'!$H$2:$H$10027 = VALUE(LEFT(K$2,LEN(K$2)-1))),
          MATCH('가압 날짜별 실적'!$D$2:$D$10027,'가압 날짜별 실적'!$D$2:$D$10027,0)
      ),
      ROW('가압 날짜별 실적'!$D$2:$D$10027)-ROW('가압 날짜별 실적'!$D$2)+1
  )&gt;0)),
0)</f>
        <v>0</v>
      </c>
      <c r="L22" s="130" cm="1">
        <f t="array" ref="L22">IFERROR(
  SUM(--(FREQUENCY(
      IF( (EXACT('가압 날짜별 실적'!$F$2:$F$10027,$A22)) *
          ('가압 날짜별 실적'!$H$2:$H$10027 = VALUE(LEFT(L$2,LEN(L$2)-1))),
          MATCH('가압 날짜별 실적'!$D$2:$D$10027,'가압 날짜별 실적'!$D$2:$D$10027,0)
      ),
      ROW('가압 날짜별 실적'!$D$2:$D$10027)-ROW('가압 날짜별 실적'!$D$2)+1
  )&gt;0)),
0)</f>
        <v>0</v>
      </c>
      <c r="M22" s="130" cm="1">
        <f t="array" ref="M22">IFERROR(
  SUM(--(FREQUENCY(
      IF( (EXACT('가압 날짜별 실적'!$F$2:$F$10027,$A22)) *
          ('가압 날짜별 실적'!$H$2:$H$10027 = VALUE(LEFT(M$2,LEN(M$2)-1))),
          MATCH('가압 날짜별 실적'!$D$2:$D$10027,'가압 날짜별 실적'!$D$2:$D$10027,0)
      ),
      ROW('가압 날짜별 실적'!$D$2:$D$10027)-ROW('가압 날짜별 실적'!$D$2)+1
  )&gt;0)),
0)</f>
        <v>0</v>
      </c>
      <c r="N22" s="130" cm="1">
        <f t="array" ref="N22">IFERROR(
  SUM(--(FREQUENCY(
      IF( (EXACT('가압 날짜별 실적'!$F$2:$F$10027,$A22)) *
          ('가압 날짜별 실적'!$H$2:$H$10027 = VALUE(LEFT(N$2,LEN(N$2)-1))),
          MATCH('가압 날짜별 실적'!$D$2:$D$10027,'가압 날짜별 실적'!$D$2:$D$10027,0)
      ),
      ROW('가압 날짜별 실적'!$D$2:$D$10027)-ROW('가압 날짜별 실적'!$D$2)+1
  )&gt;0)),
0)</f>
        <v>0</v>
      </c>
      <c r="O22" s="130" cm="1">
        <f t="array" ref="O22">IFERROR(
  SUM(--(FREQUENCY(
      IF( (EXACT('가압 날짜별 실적'!$F$2:$F$10027,$A22)) *
          ('가압 날짜별 실적'!$H$2:$H$10027 = VALUE(LEFT(O$2,LEN(O$2)-1))),
          MATCH('가압 날짜별 실적'!$D$2:$D$10027,'가압 날짜별 실적'!$D$2:$D$10027,0)
      ),
      ROW('가압 날짜별 실적'!$D$2:$D$10027)-ROW('가압 날짜별 실적'!$D$2)+1
  )&gt;0)),
0)</f>
        <v>0</v>
      </c>
      <c r="P22" s="130" cm="1">
        <f t="array" ref="P22">IFERROR(
  SUM(--(FREQUENCY(
      IF( (EXACT('가압 날짜별 실적'!$F$2:$F$10027,$A22)) *
          ('가압 날짜별 실적'!$H$2:$H$10027 = VALUE(LEFT(P$2,LEN(P$2)-1))),
          MATCH('가압 날짜별 실적'!$D$2:$D$10027,'가압 날짜별 실적'!$D$2:$D$10027,0)
      ),
      ROW('가압 날짜별 실적'!$D$2:$D$10027)-ROW('가압 날짜별 실적'!$D$2)+1
  )&gt;0)),
0)</f>
        <v>0</v>
      </c>
      <c r="Q22" s="130" cm="1">
        <f t="array" ref="Q22">IFERROR(
  SUM(--(FREQUENCY(
      IF( (EXACT('가압 날짜별 실적'!$F$2:$F$10027,$A22)) *
          ('가압 날짜별 실적'!$H$2:$H$10027 = VALUE(LEFT(Q$2,LEN(Q$2)-1))),
          MATCH('가압 날짜별 실적'!$D$2:$D$10027,'가압 날짜별 실적'!$D$2:$D$10027,0)
      ),
      ROW('가압 날짜별 실적'!$D$2:$D$10027)-ROW('가압 날짜별 실적'!$D$2)+1
  )&gt;0)),
0)</f>
        <v>0</v>
      </c>
      <c r="R22" s="130" cm="1">
        <f t="array" ref="R22">IFERROR(
  SUM(--(FREQUENCY(
      IF( (EXACT('가압 날짜별 실적'!$F$2:$F$10027,$A22)) *
          ('가압 날짜별 실적'!$H$2:$H$10027 = VALUE(LEFT(R$2,LEN(R$2)-1))),
          MATCH('가압 날짜별 실적'!$D$2:$D$10027,'가압 날짜별 실적'!$D$2:$D$10027,0)
      ),
      ROW('가압 날짜별 실적'!$D$2:$D$10027)-ROW('가압 날짜별 실적'!$D$2)+1
  )&gt;0)),
0)</f>
        <v>0</v>
      </c>
      <c r="S22" s="130" cm="1">
        <f t="array" ref="S22">IFERROR(
  SUM(--(FREQUENCY(
      IF( (EXACT('가압 날짜별 실적'!$F$2:$F$10027,$A22)) *
          ('가압 날짜별 실적'!$H$2:$H$10027 = VALUE(LEFT(S$2,LEN(S$2)-1))),
          MATCH('가압 날짜별 실적'!$D$2:$D$10027,'가압 날짜별 실적'!$D$2:$D$10027,0)
      ),
      ROW('가압 날짜별 실적'!$D$2:$D$10027)-ROW('가압 날짜별 실적'!$D$2)+1
  )&gt;0)),
0)</f>
        <v>0</v>
      </c>
      <c r="T22" s="130" cm="1">
        <f t="array" ref="T22">IFERROR(
  SUM(--(FREQUENCY(
      IF( (EXACT('가압 날짜별 실적'!$F$2:$F$10027,$A22)) *
          ('가압 날짜별 실적'!$H$2:$H$10027 = VALUE(LEFT(T$2,LEN(T$2)-1))),
          MATCH('가압 날짜별 실적'!$D$2:$D$10027,'가압 날짜별 실적'!$D$2:$D$10027,0)
      ),
      ROW('가압 날짜별 실적'!$D$2:$D$10027)-ROW('가압 날짜별 실적'!$D$2)+1
  )&gt;0)),
0)</f>
        <v>0</v>
      </c>
      <c r="U22" s="130" cm="1">
        <f t="array" ref="U22">IFERROR(
  SUM(--(FREQUENCY(
      IF( (EXACT('가압 날짜별 실적'!$F$2:$F$10027,$A22)) *
          ('가압 날짜별 실적'!$H$2:$H$10027 = VALUE(LEFT(U$2,LEN(U$2)-1))),
          MATCH('가압 날짜별 실적'!$D$2:$D$10027,'가압 날짜별 실적'!$D$2:$D$10027,0)
      ),
      ROW('가압 날짜별 실적'!$D$2:$D$10027)-ROW('가압 날짜별 실적'!$D$2)+1
  )&gt;0)),
0)</f>
        <v>0</v>
      </c>
      <c r="V22" s="130" cm="1">
        <f t="array" ref="V22">IFERROR(
  SUM(--(FREQUENCY(
      IF( (EXACT('가압 날짜별 실적'!$F$2:$F$10027,$A22)) *
          ('가압 날짜별 실적'!$H$2:$H$10027 = VALUE(LEFT(V$2,LEN(V$2)-1))),
          MATCH('가압 날짜별 실적'!$D$2:$D$10027,'가압 날짜별 실적'!$D$2:$D$10027,0)
      ),
      ROW('가압 날짜별 실적'!$D$2:$D$10027)-ROW('가압 날짜별 실적'!$D$2)+1
  )&gt;0)),
0)</f>
        <v>0</v>
      </c>
      <c r="W22" s="130" cm="1">
        <f t="array" ref="W22">IFERROR(
  SUM(--(FREQUENCY(
      IF( (EXACT('가압 날짜별 실적'!$F$2:$F$10027,$A22)) *
          ('가압 날짜별 실적'!$H$2:$H$10027 = VALUE(LEFT(W$2,LEN(W$2)-1))),
          MATCH('가압 날짜별 실적'!$D$2:$D$10027,'가압 날짜별 실적'!$D$2:$D$10027,0)
      ),
      ROW('가압 날짜별 실적'!$D$2:$D$10027)-ROW('가압 날짜별 실적'!$D$2)+1
  )&gt;0)),
0)</f>
        <v>0</v>
      </c>
      <c r="X22" s="130" cm="1">
        <f t="array" ref="X22">IFERROR(
  SUM(--(FREQUENCY(
      IF( (EXACT('가압 날짜별 실적'!$F$2:$F$10027,$A22)) *
          ('가압 날짜별 실적'!$H$2:$H$10027 = VALUE(LEFT(X$2,LEN(X$2)-1))),
          MATCH('가압 날짜별 실적'!$D$2:$D$10027,'가압 날짜별 실적'!$D$2:$D$10027,0)
      ),
      ROW('가압 날짜별 실적'!$D$2:$D$10027)-ROW('가압 날짜별 실적'!$D$2)+1
  )&gt;0)),
0)</f>
        <v>0</v>
      </c>
      <c r="Y22" s="130" cm="1">
        <f t="array" ref="Y22">IFERROR(
  SUM(--(FREQUENCY(
      IF( (EXACT('가압 날짜별 실적'!$F$2:$F$10027,$A22)) *
          ('가압 날짜별 실적'!$H$2:$H$10027 = VALUE(LEFT(Y$2,LEN(Y$2)-1))),
          MATCH('가압 날짜별 실적'!$D$2:$D$10027,'가압 날짜별 실적'!$D$2:$D$10027,0)
      ),
      ROW('가압 날짜별 실적'!$D$2:$D$10027)-ROW('가압 날짜별 실적'!$D$2)+1
  )&gt;0)),
0)</f>
        <v>0</v>
      </c>
      <c r="Z22" s="130" cm="1">
        <f t="array" ref="Z22">IFERROR(
  SUM(--(FREQUENCY(
      IF( (EXACT('가압 날짜별 실적'!$F$2:$F$10027,$A22)) *
          ('가압 날짜별 실적'!$H$2:$H$10027 = VALUE(LEFT(Z$2,LEN(Z$2)-1))),
          MATCH('가압 날짜별 실적'!$D$2:$D$10027,'가압 날짜별 실적'!$D$2:$D$10027,0)
      ),
      ROW('가압 날짜별 실적'!$D$2:$D$10027)-ROW('가압 날짜별 실적'!$D$2)+1
  )&gt;0)),
0)</f>
        <v>0</v>
      </c>
      <c r="AA22" s="130" cm="1">
        <f t="array" ref="AA22">IFERROR(
  SUM(--(FREQUENCY(
      IF( (EXACT('가압 날짜별 실적'!$F$2:$F$10027,$A22)) *
          ('가압 날짜별 실적'!$H$2:$H$10027 = VALUE(LEFT(AA$2,LEN(AA$2)-1))),
          MATCH('가압 날짜별 실적'!$D$2:$D$10027,'가압 날짜별 실적'!$D$2:$D$10027,0)
      ),
      ROW('가압 날짜별 실적'!$D$2:$D$10027)-ROW('가압 날짜별 실적'!$D$2)+1
  )&gt;0)),
0)</f>
        <v>0</v>
      </c>
      <c r="AB22" s="130" cm="1">
        <f t="array" ref="AB22">IFERROR(
  SUM(--(FREQUENCY(
      IF( (EXACT('가압 날짜별 실적'!$F$2:$F$10027,$A22)) *
          ('가압 날짜별 실적'!$H$2:$H$10027 = VALUE(LEFT(AB$2,LEN(AB$2)-1))),
          MATCH('가압 날짜별 실적'!$D$2:$D$10027,'가압 날짜별 실적'!$D$2:$D$10027,0)
      ),
      ROW('가압 날짜별 실적'!$D$2:$D$10027)-ROW('가압 날짜별 실적'!$D$2)+1
  )&gt;0)),
0)</f>
        <v>0</v>
      </c>
      <c r="AC22" s="130" cm="1">
        <f t="array" ref="AC22">IFERROR(
  SUM(--(FREQUENCY(
      IF( (EXACT('가압 날짜별 실적'!$F$2:$F$10027,$A22)) *
          ('가압 날짜별 실적'!$H$2:$H$10027 = VALUE(LEFT(AC$2,LEN(AC$2)-1))),
          MATCH('가압 날짜별 실적'!$D$2:$D$10027,'가압 날짜별 실적'!$D$2:$D$10027,0)
      ),
      ROW('가압 날짜별 실적'!$D$2:$D$10027)-ROW('가압 날짜별 실적'!$D$2)+1
  )&gt;0)),
0)</f>
        <v>0</v>
      </c>
      <c r="AD22" s="130" cm="1">
        <f t="array" ref="AD22">IFERROR(
  SUM(--(FREQUENCY(
      IF( (EXACT('가압 날짜별 실적'!$F$2:$F$10027,$A22)) *
          ('가압 날짜별 실적'!$H$2:$H$10027 = VALUE(LEFT(AD$2,LEN(AD$2)-1))),
          MATCH('가압 날짜별 실적'!$D$2:$D$10027,'가압 날짜별 실적'!$D$2:$D$10027,0)
      ),
      ROW('가압 날짜별 실적'!$D$2:$D$10027)-ROW('가압 날짜별 실적'!$D$2)+1
  )&gt;0)),
0)</f>
        <v>0</v>
      </c>
      <c r="AE22" s="130" cm="1">
        <f t="array" ref="AE22">IFERROR(
  SUM(--(FREQUENCY(
      IF( (EXACT('가압 날짜별 실적'!$F$2:$F$10027,$A22)) *
          ('가압 날짜별 실적'!$H$2:$H$10027 = VALUE(LEFT(AE$2,LEN(AE$2)-1))),
          MATCH('가압 날짜별 실적'!$D$2:$D$10027,'가압 날짜별 실적'!$D$2:$D$10027,0)
      ),
      ROW('가압 날짜별 실적'!$D$2:$D$10027)-ROW('가압 날짜별 실적'!$D$2)+1
  )&gt;0)),
0)</f>
        <v>0</v>
      </c>
      <c r="AF22" s="130" cm="1">
        <f t="array" ref="AF22">IFERROR(
  SUM(--(FREQUENCY(
      IF( (EXACT('가압 날짜별 실적'!$F$2:$F$10027,$A22)) *
          ('가압 날짜별 실적'!$H$2:$H$10027 = VALUE(LEFT(AF$2,LEN(AF$2)-1))),
          MATCH('가압 날짜별 실적'!$D$2:$D$10027,'가압 날짜별 실적'!$D$2:$D$10027,0)
      ),
      ROW('가압 날짜별 실적'!$D$2:$D$10027)-ROW('가압 날짜별 실적'!$D$2)+1
  )&gt;0)),
0)</f>
        <v>0</v>
      </c>
      <c r="AG22" s="130" cm="1">
        <f t="array" ref="AG22">IFERROR(
  SUM(--(FREQUENCY(
      IF( (EXACT('가압 날짜별 실적'!$F$2:$F$10027,$A22)) *
          ('가압 날짜별 실적'!$H$2:$H$10027 = VALUE(LEFT(AG$2,LEN(AG$2)-1))),
          MATCH('가압 날짜별 실적'!$D$2:$D$10027,'가압 날짜별 실적'!$D$2:$D$10027,0)
      ),
      ROW('가압 날짜별 실적'!$D$2:$D$10027)-ROW('가압 날짜별 실적'!$D$2)+1
  )&gt;0)),
0)</f>
        <v>0</v>
      </c>
      <c r="AH22" s="130" cm="1">
        <f t="array" ref="AH22">IFERROR(
  SUM(--(FREQUENCY(
      IF( (EXACT('가압 날짜별 실적'!$F$2:$F$10027,$A22)) *
          ('가압 날짜별 실적'!$H$2:$H$10027 = VALUE(LEFT(AH$2,LEN(AH$2)-1))),
          MATCH('가압 날짜별 실적'!$D$2:$D$10027,'가압 날짜별 실적'!$D$2:$D$10027,0)
      ),
      ROW('가압 날짜별 실적'!$D$2:$D$10027)-ROW('가압 날짜별 실적'!$D$2)+1
  )&gt;0)),
0)</f>
        <v>0</v>
      </c>
      <c r="AI22" s="130" cm="1">
        <f t="array" ref="AI22">IFERROR(
  SUM(--(FREQUENCY(
      IF( (EXACT('가압 날짜별 실적'!$F$2:$F$10027,$A22)) *
          ('가압 날짜별 실적'!$H$2:$H$10027 = VALUE(LEFT(AI$2,LEN(AI$2)-1))),
          MATCH('가압 날짜별 실적'!$D$2:$D$10027,'가압 날짜별 실적'!$D$2:$D$10027,0)
      ),
      ROW('가압 날짜별 실적'!$D$2:$D$10027)-ROW('가압 날짜별 실적'!$D$2)+1
  )&gt;0)),
0)</f>
        <v>0</v>
      </c>
      <c r="AJ22" s="130" cm="1">
        <f t="array" ref="AJ22">IFERROR(
  SUM(--(FREQUENCY(
      IF( (EXACT('가압 날짜별 실적'!$F$2:$F$10027,$A22)) *
          ('가압 날짜별 실적'!$H$2:$H$10027 = VALUE(LEFT(AJ$2,LEN(AJ$2)-1))),
          MATCH('가압 날짜별 실적'!$D$2:$D$10027,'가압 날짜별 실적'!$D$2:$D$10027,0)
      ),
      ROW('가압 날짜별 실적'!$D$2:$D$10027)-ROW('가압 날짜별 실적'!$D$2)+1
  )&gt;0)),
0)</f>
        <v>0</v>
      </c>
      <c r="AK22" s="130" cm="1">
        <f t="array" ref="AK22">IFERROR(
  SUM(--(FREQUENCY(
      IF( (EXACT('가압 날짜별 실적'!$F$2:$F$10027,$A22)) *
          ('가압 날짜별 실적'!$H$2:$H$10027 = VALUE(LEFT(AK$2,LEN(AK$2)-1))),
          MATCH('가압 날짜별 실적'!$D$2:$D$10027,'가압 날짜별 실적'!$D$2:$D$10027,0)
      ),
      ROW('가압 날짜별 실적'!$D$2:$D$10027)-ROW('가압 날짜별 실적'!$D$2)+1
  )&gt;0)),
0)</f>
        <v>0</v>
      </c>
      <c r="AL22" s="130" cm="1">
        <f t="array" ref="AL22">IFERROR(
  SUM(--(FREQUENCY(
      IF( (EXACT('가압 날짜별 실적'!$F$2:$F$10027,$A22)) *
          ('가압 날짜별 실적'!$H$2:$H$10027 = VALUE(LEFT(AL$2,LEN(AL$2)-1))),
          MATCH('가압 날짜별 실적'!$D$2:$D$10027,'가압 날짜별 실적'!$D$2:$D$10027,0)
      ),
      ROW('가압 날짜별 실적'!$D$2:$D$10027)-ROW('가압 날짜별 실적'!$D$2)+1
  )&gt;0)),
0)</f>
        <v>0</v>
      </c>
      <c r="AM22" s="130" cm="1">
        <f t="array" ref="AM22">IFERROR(
  SUM(--(FREQUENCY(
      IF( (EXACT('가압 날짜별 실적'!$F$2:$F$10027,$A22)) *
          ('가압 날짜별 실적'!$H$2:$H$10027 = VALUE(LEFT(AM$2,LEN(AM$2)-1))),
          MATCH('가압 날짜별 실적'!$D$2:$D$10027,'가압 날짜별 실적'!$D$2:$D$10027,0)
      ),
      ROW('가압 날짜별 실적'!$D$2:$D$10027)-ROW('가압 날짜별 실적'!$D$2)+1
  )&gt;0)),
0)</f>
        <v>0</v>
      </c>
      <c r="AN22" s="130" cm="1">
        <f t="array" ref="AN22">IFERROR(
  SUM(--(FREQUENCY(
      IF( (EXACT('가압 날짜별 실적'!$F$2:$F$10027,$A22)) *
          ('가압 날짜별 실적'!$H$2:$H$10027 = VALUE(LEFT(AN$2,LEN(AN$2)-1))),
          MATCH('가압 날짜별 실적'!$D$2:$D$10027,'가압 날짜별 실적'!$D$2:$D$10027,0)
      ),
      ROW('가압 날짜별 실적'!$D$2:$D$10027)-ROW('가압 날짜별 실적'!$D$2)+1
  )&gt;0)),
0)</f>
        <v>0</v>
      </c>
      <c r="AO22" s="130" cm="1">
        <f t="array" ref="AO22">IFERROR(
  SUM(--(FREQUENCY(
      IF( (EXACT('가압 날짜별 실적'!$F$2:$F$10027,$A22)) *
          ('가압 날짜별 실적'!$H$2:$H$10027 = VALUE(LEFT(AO$2,LEN(AO$2)-1))),
          MATCH('가압 날짜별 실적'!$D$2:$D$10027,'가압 날짜별 실적'!$D$2:$D$10027,0)
      ),
      ROW('가압 날짜별 실적'!$D$2:$D$10027)-ROW('가압 날짜별 실적'!$D$2)+1
  )&gt;0)),
0)</f>
        <v>0</v>
      </c>
      <c r="AP22" s="130" cm="1">
        <f t="array" ref="AP22">IFERROR(
  SUM(--(FREQUENCY(
      IF( (EXACT('가압 날짜별 실적'!$F$2:$F$10027,$A22)) *
          ('가압 날짜별 실적'!$H$2:$H$10027 = VALUE(LEFT(AP$2,LEN(AP$2)-1))),
          MATCH('가압 날짜별 실적'!$D$2:$D$10027,'가압 날짜별 실적'!$D$2:$D$10027,0)
      ),
      ROW('가압 날짜별 실적'!$D$2:$D$10027)-ROW('가압 날짜별 실적'!$D$2)+1
  )&gt;0)),
0)</f>
        <v>0</v>
      </c>
      <c r="AQ22" s="130" cm="1">
        <f t="array" ref="AQ22">IFERROR(
  SUM(--(FREQUENCY(
      IF( (EXACT('가압 날짜별 실적'!$F$2:$F$10027,$A22)) *
          ('가압 날짜별 실적'!$H$2:$H$10027 = VALUE(LEFT(AQ$2,LEN(AQ$2)-1))),
          MATCH('가압 날짜별 실적'!$D$2:$D$10027,'가압 날짜별 실적'!$D$2:$D$10027,0)
      ),
      ROW('가압 날짜별 실적'!$D$2:$D$10027)-ROW('가압 날짜별 실적'!$D$2)+1
  )&gt;0)),
0)</f>
        <v>0</v>
      </c>
      <c r="AR22" s="130" cm="1">
        <f t="array" ref="AR22">IFERROR(
  SUM(--(FREQUENCY(
      IF( (EXACT('가압 날짜별 실적'!$F$2:$F$10027,$A22)) *
          ('가압 날짜별 실적'!$H$2:$H$10027 = VALUE(LEFT(AR$2,LEN(AR$2)-1))),
          MATCH('가압 날짜별 실적'!$D$2:$D$10027,'가압 날짜별 실적'!$D$2:$D$10027,0)
      ),
      ROW('가압 날짜별 실적'!$D$2:$D$10027)-ROW('가압 날짜별 실적'!$D$2)+1
  )&gt;0)),
0)</f>
        <v>0</v>
      </c>
      <c r="AS22" s="130" cm="1">
        <f t="array" ref="AS22">IFERROR(
  SUM(--(FREQUENCY(
      IF( (EXACT('가압 날짜별 실적'!$F$2:$F$10027,$A22)) *
          ('가압 날짜별 실적'!$H$2:$H$10027 = VALUE(LEFT(AS$2,LEN(AS$2)-1))),
          MATCH('가압 날짜별 실적'!$D$2:$D$10027,'가압 날짜별 실적'!$D$2:$D$10027,0)
      ),
      ROW('가압 날짜별 실적'!$D$2:$D$10027)-ROW('가압 날짜별 실적'!$D$2)+1
  )&gt;0)),
0)</f>
        <v>0</v>
      </c>
      <c r="AT22" s="130" cm="1">
        <f t="array" ref="AT22">IFERROR(
  SUM(--(FREQUENCY(
      IF( (EXACT('가압 날짜별 실적'!$F$2:$F$10027,$A22)) *
          ('가압 날짜별 실적'!$H$2:$H$10027 = VALUE(LEFT(AT$2,LEN(AT$2)-1))),
          MATCH('가압 날짜별 실적'!$D$2:$D$10027,'가압 날짜별 실적'!$D$2:$D$10027,0)
      ),
      ROW('가압 날짜별 실적'!$D$2:$D$10027)-ROW('가압 날짜별 실적'!$D$2)+1
  )&gt;0)),
0)</f>
        <v>0</v>
      </c>
      <c r="AU22" s="130" cm="1">
        <f t="array" ref="AU22">IFERROR(
  SUM(--(FREQUENCY(
      IF( (EXACT('가압 날짜별 실적'!$F$2:$F$10027,$A22)) *
          ('가압 날짜별 실적'!$H$2:$H$10027 = VALUE(LEFT(AU$2,LEN(AU$2)-1))),
          MATCH('가압 날짜별 실적'!$D$2:$D$10027,'가압 날짜별 실적'!$D$2:$D$10027,0)
      ),
      ROW('가압 날짜별 실적'!$D$2:$D$10027)-ROW('가압 날짜별 실적'!$D$2)+1
  )&gt;0)),
0)</f>
        <v>0</v>
      </c>
      <c r="AV22" s="130" cm="1">
        <f t="array" ref="AV22">IFERROR(
  SUM(--(FREQUENCY(
      IF( (EXACT('가압 날짜별 실적'!$F$2:$F$10027,$A22)) *
          ('가압 날짜별 실적'!$H$2:$H$10027 = VALUE(LEFT(AV$2,LEN(AV$2)-1))),
          MATCH('가압 날짜별 실적'!$D$2:$D$10027,'가압 날짜별 실적'!$D$2:$D$10027,0)
      ),
      ROW('가압 날짜별 실적'!$D$2:$D$10027)-ROW('가압 날짜별 실적'!$D$2)+1
  )&gt;0)),
0)</f>
        <v>0</v>
      </c>
      <c r="AW22" s="130" cm="1">
        <f t="array" ref="AW22">IFERROR(
  SUM(--(FREQUENCY(
      IF( (EXACT('가압 날짜별 실적'!$F$2:$F$10027,$A22)) *
          ('가압 날짜별 실적'!$H$2:$H$10027 = VALUE(LEFT(AW$2,LEN(AW$2)-1))),
          MATCH('가압 날짜별 실적'!$D$2:$D$10027,'가압 날짜별 실적'!$D$2:$D$10027,0)
      ),
      ROW('가압 날짜별 실적'!$D$2:$D$10027)-ROW('가압 날짜별 실적'!$D$2)+1
  )&gt;0)),
0)</f>
        <v>0</v>
      </c>
      <c r="AX22" s="130" cm="1">
        <f t="array" ref="AX22">IFERROR(
  SUM(--(FREQUENCY(
      IF( (EXACT('가압 날짜별 실적'!$F$2:$F$10027,$A22)) *
          ('가압 날짜별 실적'!$H$2:$H$10027 = VALUE(LEFT(AX$2,LEN(AX$2)-1))),
          MATCH('가압 날짜별 실적'!$D$2:$D$10027,'가압 날짜별 실적'!$D$2:$D$10027,0)
      ),
      ROW('가압 날짜별 실적'!$D$2:$D$10027)-ROW('가압 날짜별 실적'!$D$2)+1
  )&gt;0)),
0)</f>
        <v>0</v>
      </c>
      <c r="AY22" s="130" cm="1">
        <f t="array" ref="AY22">IFERROR(
  SUM(--(FREQUENCY(
      IF( (EXACT('가압 날짜별 실적'!$F$2:$F$10027,$A22)) *
          ('가압 날짜별 실적'!$H$2:$H$10027 = VALUE(LEFT(AY$2,LEN(AY$2)-1))),
          MATCH('가압 날짜별 실적'!$D$2:$D$10027,'가압 날짜별 실적'!$D$2:$D$10027,0)
      ),
      ROW('가압 날짜별 실적'!$D$2:$D$10027)-ROW('가압 날짜별 실적'!$D$2)+1
  )&gt;0)),
0)</f>
        <v>0</v>
      </c>
      <c r="AZ22" s="130" cm="1">
        <f t="array" ref="AZ22">IFERROR(
  SUM(--(FREQUENCY(
      IF( (EXACT('가압 날짜별 실적'!$F$2:$F$10027,$A22)) *
          ('가압 날짜별 실적'!$H$2:$H$10027 = VALUE(LEFT(AZ$2,LEN(AZ$2)-1))),
          MATCH('가압 날짜별 실적'!$D$2:$D$10027,'가압 날짜별 실적'!$D$2:$D$10027,0)
      ),
      ROW('가압 날짜별 실적'!$D$2:$D$10027)-ROW('가압 날짜별 실적'!$D$2)+1
  )&gt;0)),
0)</f>
        <v>0</v>
      </c>
      <c r="BA22" s="130" cm="1">
        <f t="array" ref="BA22">IFERROR(
  SUM(--(FREQUENCY(
      IF( (EXACT('가압 날짜별 실적'!$F$2:$F$10027,$A22)) *
          ('가압 날짜별 실적'!$H$2:$H$10027 = VALUE(LEFT(BA$2,LEN(BA$2)-1))),
          MATCH('가압 날짜별 실적'!$D$2:$D$10027,'가압 날짜별 실적'!$D$2:$D$10027,0)
      ),
      ROW('가압 날짜별 실적'!$D$2:$D$10027)-ROW('가압 날짜별 실적'!$D$2)+1
  )&gt;0)),
0)</f>
        <v>0</v>
      </c>
      <c r="BB22" s="422">
        <f t="shared" si="0"/>
        <v>1</v>
      </c>
    </row>
    <row r="23" spans="1:54" ht="23.25" customHeight="1">
      <c r="A23" s="456" t="s">
        <v>6585</v>
      </c>
      <c r="B23" s="130">
        <f>SUM(B4:B22)</f>
        <v>10</v>
      </c>
      <c r="C23" s="130">
        <f t="shared" ref="C23:BA23" si="1">SUM(C4:C22)</f>
        <v>22</v>
      </c>
      <c r="D23" s="130">
        <f t="shared" si="1"/>
        <v>27</v>
      </c>
      <c r="E23" s="130">
        <f t="shared" si="1"/>
        <v>35</v>
      </c>
      <c r="F23" s="130">
        <f t="shared" si="1"/>
        <v>0</v>
      </c>
      <c r="G23" s="130">
        <f t="shared" si="1"/>
        <v>37</v>
      </c>
      <c r="H23" s="130">
        <f t="shared" si="1"/>
        <v>39</v>
      </c>
      <c r="I23" s="130">
        <f t="shared" si="1"/>
        <v>48</v>
      </c>
      <c r="J23" s="130">
        <f t="shared" si="1"/>
        <v>48</v>
      </c>
      <c r="K23" s="130">
        <f t="shared" si="1"/>
        <v>27</v>
      </c>
      <c r="L23" s="130">
        <f t="shared" si="1"/>
        <v>36</v>
      </c>
      <c r="M23" s="130">
        <f t="shared" si="1"/>
        <v>30</v>
      </c>
      <c r="N23" s="130">
        <f t="shared" si="1"/>
        <v>38</v>
      </c>
      <c r="O23" s="130">
        <f t="shared" si="1"/>
        <v>40</v>
      </c>
      <c r="P23" s="130">
        <f t="shared" si="1"/>
        <v>37</v>
      </c>
      <c r="Q23" s="130">
        <f t="shared" si="1"/>
        <v>31</v>
      </c>
      <c r="R23" s="130">
        <f t="shared" si="1"/>
        <v>24</v>
      </c>
      <c r="S23" s="130">
        <f t="shared" si="1"/>
        <v>21</v>
      </c>
      <c r="T23" s="130">
        <f t="shared" si="1"/>
        <v>24</v>
      </c>
      <c r="U23" s="130">
        <f t="shared" si="1"/>
        <v>30</v>
      </c>
      <c r="V23" s="130">
        <f t="shared" si="1"/>
        <v>22</v>
      </c>
      <c r="W23" s="130">
        <f t="shared" si="1"/>
        <v>33</v>
      </c>
      <c r="X23" s="130">
        <f t="shared" si="1"/>
        <v>23</v>
      </c>
      <c r="Y23" s="130">
        <f t="shared" si="1"/>
        <v>37</v>
      </c>
      <c r="Z23" s="130">
        <f t="shared" si="1"/>
        <v>12</v>
      </c>
      <c r="AA23" s="130">
        <f t="shared" si="1"/>
        <v>29</v>
      </c>
      <c r="AB23" s="130">
        <f t="shared" si="1"/>
        <v>31</v>
      </c>
      <c r="AC23" s="130">
        <f t="shared" si="1"/>
        <v>38</v>
      </c>
      <c r="AD23" s="130">
        <f t="shared" si="1"/>
        <v>28</v>
      </c>
      <c r="AE23" s="130">
        <f t="shared" si="1"/>
        <v>35</v>
      </c>
      <c r="AF23" s="130">
        <f t="shared" si="1"/>
        <v>36</v>
      </c>
      <c r="AG23" s="130">
        <f t="shared" si="1"/>
        <v>37</v>
      </c>
      <c r="AH23" s="130">
        <f t="shared" si="1"/>
        <v>29</v>
      </c>
      <c r="AI23" s="130">
        <f t="shared" si="1"/>
        <v>32</v>
      </c>
      <c r="AJ23" s="130">
        <f t="shared" si="1"/>
        <v>51</v>
      </c>
      <c r="AK23" s="130">
        <f t="shared" si="1"/>
        <v>36</v>
      </c>
      <c r="AL23" s="130">
        <f t="shared" si="1"/>
        <v>43</v>
      </c>
      <c r="AM23" s="130">
        <f t="shared" si="1"/>
        <v>60</v>
      </c>
      <c r="AN23" s="130">
        <f t="shared" si="1"/>
        <v>46</v>
      </c>
      <c r="AO23" s="130">
        <f t="shared" si="1"/>
        <v>30</v>
      </c>
      <c r="AP23" s="130">
        <f t="shared" si="1"/>
        <v>0</v>
      </c>
      <c r="AQ23" s="130">
        <f t="shared" si="1"/>
        <v>60</v>
      </c>
      <c r="AR23" s="130">
        <f t="shared" si="1"/>
        <v>46</v>
      </c>
      <c r="AS23" s="130">
        <f t="shared" si="1"/>
        <v>50</v>
      </c>
      <c r="AT23" s="130">
        <f t="shared" si="1"/>
        <v>32</v>
      </c>
      <c r="AU23" s="130">
        <f t="shared" si="1"/>
        <v>58</v>
      </c>
      <c r="AV23" s="130">
        <f t="shared" si="1"/>
        <v>44</v>
      </c>
      <c r="AW23" s="130">
        <f t="shared" si="1"/>
        <v>37</v>
      </c>
      <c r="AX23" s="130">
        <f t="shared" si="1"/>
        <v>33</v>
      </c>
      <c r="AY23" s="130">
        <f t="shared" si="1"/>
        <v>31</v>
      </c>
      <c r="AZ23" s="130">
        <f t="shared" si="1"/>
        <v>40</v>
      </c>
      <c r="BA23" s="130">
        <f t="shared" si="1"/>
        <v>23</v>
      </c>
      <c r="BB23" s="422">
        <f t="shared" si="0"/>
        <v>1746</v>
      </c>
    </row>
  </sheetData>
  <mergeCells count="12">
    <mergeCell ref="AX1:BA1"/>
    <mergeCell ref="B1:F1"/>
    <mergeCell ref="G1:J1"/>
    <mergeCell ref="K1:O1"/>
    <mergeCell ref="P1:S1"/>
    <mergeCell ref="T1:W1"/>
    <mergeCell ref="X1:AB1"/>
    <mergeCell ref="AC1:AF1"/>
    <mergeCell ref="AG1:AJ1"/>
    <mergeCell ref="AK1:AO1"/>
    <mergeCell ref="AP1:AS1"/>
    <mergeCell ref="AT1:AW1"/>
  </mergeCells>
  <phoneticPr fontId="7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46F5C-E83C-4E51-862D-7EE5BD03C52B}">
  <sheetPr>
    <tabColor rgb="FFC9E2B8"/>
  </sheetPr>
  <dimension ref="A1:Y2233"/>
  <sheetViews>
    <sheetView topLeftCell="A1651" workbookViewId="0">
      <selection activeCell="A1651" sqref="A1651"/>
    </sheetView>
  </sheetViews>
  <sheetFormatPr defaultRowHeight="12"/>
  <cols>
    <col min="1" max="1" width="19.28515625" style="531" bestFit="1" customWidth="1"/>
    <col min="2" max="2" width="9.85546875" style="531" bestFit="1" customWidth="1"/>
    <col min="3" max="3" width="19" style="531" bestFit="1" customWidth="1"/>
    <col min="4" max="4" width="34.28515625" style="531" bestFit="1" customWidth="1"/>
    <col min="5" max="5" width="32.28515625" style="531" bestFit="1" customWidth="1"/>
    <col min="6" max="6" width="18.140625" style="531" bestFit="1" customWidth="1"/>
    <col min="7" max="7" width="22.7109375" style="531" bestFit="1" customWidth="1"/>
    <col min="8" max="8" width="17.28515625" style="531" bestFit="1" customWidth="1"/>
    <col min="9" max="9" width="8" style="531" bestFit="1" customWidth="1"/>
    <col min="10" max="10" width="10.85546875" style="531" bestFit="1" customWidth="1"/>
    <col min="11" max="16384" width="9.140625" style="531"/>
  </cols>
  <sheetData>
    <row r="1" spans="1:25" ht="12.75">
      <c r="A1" s="528" t="s">
        <v>3576</v>
      </c>
      <c r="B1" s="528" t="s">
        <v>3577</v>
      </c>
      <c r="C1" s="528" t="s">
        <v>3578</v>
      </c>
      <c r="D1" s="528" t="s">
        <v>6586</v>
      </c>
      <c r="E1" s="528" t="s">
        <v>6587</v>
      </c>
      <c r="F1" s="528" t="s">
        <v>3579</v>
      </c>
      <c r="G1" s="528" t="s">
        <v>3580</v>
      </c>
      <c r="H1" s="528" t="s">
        <v>6588</v>
      </c>
      <c r="I1" s="528" t="s">
        <v>6589</v>
      </c>
      <c r="J1" s="528" t="s">
        <v>6590</v>
      </c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29"/>
      <c r="W1" s="529"/>
      <c r="X1" s="529"/>
      <c r="Y1" s="530"/>
    </row>
    <row r="2" spans="1:25" ht="12.75">
      <c r="A2" s="532" t="s">
        <v>6591</v>
      </c>
      <c r="B2" s="532" t="s">
        <v>6592</v>
      </c>
      <c r="C2" s="532" t="s">
        <v>6593</v>
      </c>
      <c r="D2" s="533"/>
      <c r="E2" s="532" t="s">
        <v>1405</v>
      </c>
      <c r="F2" s="532" t="s">
        <v>2392</v>
      </c>
      <c r="G2" s="532" t="s">
        <v>2392</v>
      </c>
      <c r="H2" s="532" t="s">
        <v>2392</v>
      </c>
      <c r="I2" s="532" t="s">
        <v>6594</v>
      </c>
      <c r="J2" s="534">
        <v>45950</v>
      </c>
      <c r="K2" s="535"/>
      <c r="L2" s="535"/>
      <c r="M2" s="535"/>
      <c r="N2" s="535"/>
      <c r="O2" s="535"/>
      <c r="P2" s="535"/>
      <c r="Q2" s="535"/>
      <c r="R2" s="535"/>
      <c r="S2" s="535"/>
      <c r="T2" s="535"/>
      <c r="U2" s="535"/>
      <c r="V2" s="535"/>
      <c r="W2" s="535"/>
      <c r="X2" s="535"/>
      <c r="Y2" s="536"/>
    </row>
    <row r="3" spans="1:25" ht="12.75">
      <c r="A3" s="532" t="s">
        <v>6595</v>
      </c>
      <c r="B3" s="532" t="s">
        <v>6592</v>
      </c>
      <c r="C3" s="532" t="s">
        <v>6593</v>
      </c>
      <c r="D3" s="533"/>
      <c r="E3" s="532" t="s">
        <v>1405</v>
      </c>
      <c r="F3" s="532" t="s">
        <v>2392</v>
      </c>
      <c r="G3" s="532" t="s">
        <v>2392</v>
      </c>
      <c r="H3" s="532" t="s">
        <v>2392</v>
      </c>
      <c r="I3" s="532" t="s">
        <v>6594</v>
      </c>
      <c r="J3" s="534">
        <v>45950</v>
      </c>
      <c r="K3" s="535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  <c r="Y3" s="536"/>
    </row>
    <row r="4" spans="1:25" ht="12.75">
      <c r="A4" s="532" t="s">
        <v>6596</v>
      </c>
      <c r="B4" s="532" t="s">
        <v>6592</v>
      </c>
      <c r="C4" s="532" t="s">
        <v>6593</v>
      </c>
      <c r="D4" s="533"/>
      <c r="E4" s="532" t="s">
        <v>1405</v>
      </c>
      <c r="F4" s="532" t="s">
        <v>2392</v>
      </c>
      <c r="G4" s="532" t="s">
        <v>2392</v>
      </c>
      <c r="H4" s="532" t="s">
        <v>2392</v>
      </c>
      <c r="I4" s="532" t="s">
        <v>6594</v>
      </c>
      <c r="J4" s="534">
        <v>45950</v>
      </c>
      <c r="K4" s="535"/>
      <c r="L4" s="535"/>
      <c r="M4" s="535"/>
      <c r="N4" s="535"/>
      <c r="O4" s="535"/>
      <c r="P4" s="535"/>
      <c r="Q4" s="535"/>
      <c r="R4" s="535"/>
      <c r="S4" s="535"/>
      <c r="T4" s="535"/>
      <c r="U4" s="535"/>
      <c r="V4" s="535"/>
      <c r="W4" s="535"/>
      <c r="X4" s="535"/>
      <c r="Y4" s="536"/>
    </row>
    <row r="5" spans="1:25" ht="12.75">
      <c r="A5" s="532" t="s">
        <v>6597</v>
      </c>
      <c r="B5" s="532" t="s">
        <v>6592</v>
      </c>
      <c r="C5" s="532" t="s">
        <v>6593</v>
      </c>
      <c r="D5" s="533"/>
      <c r="E5" s="532" t="s">
        <v>1405</v>
      </c>
      <c r="F5" s="532" t="s">
        <v>2392</v>
      </c>
      <c r="G5" s="532" t="s">
        <v>2392</v>
      </c>
      <c r="H5" s="532" t="s">
        <v>2392</v>
      </c>
      <c r="I5" s="532" t="s">
        <v>6594</v>
      </c>
      <c r="J5" s="534">
        <v>45950</v>
      </c>
      <c r="K5" s="535"/>
      <c r="L5" s="535"/>
      <c r="M5" s="535"/>
      <c r="N5" s="535"/>
      <c r="O5" s="535"/>
      <c r="P5" s="535"/>
      <c r="Q5" s="535"/>
      <c r="R5" s="535"/>
      <c r="S5" s="535"/>
      <c r="T5" s="535"/>
      <c r="U5" s="535"/>
      <c r="V5" s="535"/>
      <c r="W5" s="535"/>
      <c r="X5" s="535"/>
      <c r="Y5" s="536"/>
    </row>
    <row r="6" spans="1:25" ht="12.75">
      <c r="A6" s="532" t="s">
        <v>6598</v>
      </c>
      <c r="B6" s="532" t="s">
        <v>6592</v>
      </c>
      <c r="C6" s="532" t="s">
        <v>6593</v>
      </c>
      <c r="D6" s="533"/>
      <c r="E6" s="532" t="s">
        <v>1405</v>
      </c>
      <c r="F6" s="532" t="s">
        <v>2392</v>
      </c>
      <c r="G6" s="532" t="s">
        <v>2392</v>
      </c>
      <c r="H6" s="532" t="s">
        <v>2392</v>
      </c>
      <c r="I6" s="532" t="s">
        <v>6594</v>
      </c>
      <c r="J6" s="534">
        <v>45950</v>
      </c>
      <c r="K6" s="535"/>
      <c r="L6" s="535"/>
      <c r="M6" s="535"/>
      <c r="N6" s="535"/>
      <c r="O6" s="535"/>
      <c r="P6" s="535"/>
      <c r="Q6" s="535"/>
      <c r="R6" s="535"/>
      <c r="S6" s="535"/>
      <c r="T6" s="535"/>
      <c r="U6" s="535"/>
      <c r="V6" s="535"/>
      <c r="W6" s="535"/>
      <c r="X6" s="535"/>
      <c r="Y6" s="536"/>
    </row>
    <row r="7" spans="1:25" ht="12.75">
      <c r="A7" s="532" t="s">
        <v>6599</v>
      </c>
      <c r="B7" s="532" t="s">
        <v>6592</v>
      </c>
      <c r="C7" s="532" t="s">
        <v>6593</v>
      </c>
      <c r="D7" s="533"/>
      <c r="E7" s="532" t="s">
        <v>1405</v>
      </c>
      <c r="F7" s="532" t="s">
        <v>2392</v>
      </c>
      <c r="G7" s="532" t="s">
        <v>2392</v>
      </c>
      <c r="H7" s="532" t="s">
        <v>2392</v>
      </c>
      <c r="I7" s="532" t="s">
        <v>6594</v>
      </c>
      <c r="J7" s="534">
        <v>45950</v>
      </c>
      <c r="K7" s="535"/>
      <c r="L7" s="535"/>
      <c r="M7" s="535"/>
      <c r="N7" s="535"/>
      <c r="O7" s="535"/>
      <c r="P7" s="535"/>
      <c r="Q7" s="535"/>
      <c r="R7" s="535"/>
      <c r="S7" s="535"/>
      <c r="T7" s="535"/>
      <c r="U7" s="535"/>
      <c r="V7" s="535"/>
      <c r="W7" s="535"/>
      <c r="X7" s="535"/>
      <c r="Y7" s="536"/>
    </row>
    <row r="8" spans="1:25" ht="12.75">
      <c r="A8" s="532" t="s">
        <v>6600</v>
      </c>
      <c r="B8" s="532" t="s">
        <v>6592</v>
      </c>
      <c r="C8" s="532" t="s">
        <v>6593</v>
      </c>
      <c r="D8" s="533"/>
      <c r="E8" s="532" t="s">
        <v>1405</v>
      </c>
      <c r="F8" s="532" t="s">
        <v>2392</v>
      </c>
      <c r="G8" s="532" t="s">
        <v>2392</v>
      </c>
      <c r="H8" s="532" t="s">
        <v>2392</v>
      </c>
      <c r="I8" s="532" t="s">
        <v>6594</v>
      </c>
      <c r="J8" s="534">
        <v>45950</v>
      </c>
      <c r="K8" s="535"/>
      <c r="L8" s="535"/>
      <c r="M8" s="535"/>
      <c r="N8" s="535"/>
      <c r="O8" s="535"/>
      <c r="P8" s="535"/>
      <c r="Q8" s="535"/>
      <c r="R8" s="535"/>
      <c r="S8" s="535"/>
      <c r="T8" s="535"/>
      <c r="U8" s="535"/>
      <c r="V8" s="535"/>
      <c r="W8" s="535"/>
      <c r="X8" s="535"/>
      <c r="Y8" s="536"/>
    </row>
    <row r="9" spans="1:25" ht="12.75">
      <c r="A9" s="532" t="s">
        <v>6601</v>
      </c>
      <c r="B9" s="532" t="s">
        <v>6592</v>
      </c>
      <c r="C9" s="532" t="s">
        <v>6593</v>
      </c>
      <c r="D9" s="533"/>
      <c r="E9" s="532" t="s">
        <v>1405</v>
      </c>
      <c r="F9" s="532" t="s">
        <v>2392</v>
      </c>
      <c r="G9" s="532" t="s">
        <v>2392</v>
      </c>
      <c r="H9" s="532" t="s">
        <v>2392</v>
      </c>
      <c r="I9" s="532" t="s">
        <v>6594</v>
      </c>
      <c r="J9" s="534">
        <v>45950</v>
      </c>
      <c r="K9" s="535"/>
      <c r="L9" s="535"/>
      <c r="M9" s="535"/>
      <c r="N9" s="535"/>
      <c r="O9" s="535"/>
      <c r="P9" s="535"/>
      <c r="Q9" s="535"/>
      <c r="R9" s="535"/>
      <c r="S9" s="535"/>
      <c r="T9" s="535"/>
      <c r="U9" s="535"/>
      <c r="V9" s="535"/>
      <c r="W9" s="535"/>
      <c r="X9" s="535"/>
      <c r="Y9" s="536"/>
    </row>
    <row r="10" spans="1:25" ht="12.75">
      <c r="A10" s="532" t="s">
        <v>6602</v>
      </c>
      <c r="B10" s="532" t="s">
        <v>6592</v>
      </c>
      <c r="C10" s="532" t="s">
        <v>6593</v>
      </c>
      <c r="D10" s="533"/>
      <c r="E10" s="532" t="s">
        <v>1405</v>
      </c>
      <c r="F10" s="532" t="s">
        <v>2392</v>
      </c>
      <c r="G10" s="532" t="s">
        <v>2392</v>
      </c>
      <c r="H10" s="532" t="s">
        <v>2392</v>
      </c>
      <c r="I10" s="532" t="s">
        <v>6603</v>
      </c>
      <c r="J10" s="534">
        <v>45950</v>
      </c>
      <c r="K10" s="535"/>
      <c r="L10" s="535"/>
      <c r="M10" s="535"/>
      <c r="N10" s="535"/>
      <c r="O10" s="535"/>
      <c r="P10" s="535"/>
      <c r="Q10" s="535"/>
      <c r="R10" s="535"/>
      <c r="S10" s="535"/>
      <c r="T10" s="535"/>
      <c r="U10" s="535"/>
      <c r="V10" s="535"/>
      <c r="W10" s="535"/>
      <c r="X10" s="535"/>
      <c r="Y10" s="536"/>
    </row>
    <row r="11" spans="1:25" ht="12.75">
      <c r="A11" s="532" t="s">
        <v>3204</v>
      </c>
      <c r="B11" s="532">
        <v>41100435</v>
      </c>
      <c r="C11" s="532" t="s">
        <v>3801</v>
      </c>
      <c r="D11" s="532" t="s">
        <v>1482</v>
      </c>
      <c r="E11" s="532" t="s">
        <v>1585</v>
      </c>
      <c r="F11" s="532" t="s">
        <v>2391</v>
      </c>
      <c r="G11" s="532" t="s">
        <v>1468</v>
      </c>
      <c r="H11" s="533"/>
      <c r="I11" s="532" t="s">
        <v>6604</v>
      </c>
      <c r="J11" s="534">
        <v>45946</v>
      </c>
      <c r="K11" s="535"/>
      <c r="L11" s="535"/>
      <c r="M11" s="535"/>
      <c r="N11" s="535"/>
      <c r="O11" s="535"/>
      <c r="P11" s="535"/>
      <c r="Q11" s="535"/>
      <c r="R11" s="535"/>
      <c r="S11" s="535"/>
      <c r="T11" s="535"/>
      <c r="U11" s="535"/>
      <c r="V11" s="535"/>
      <c r="W11" s="535"/>
      <c r="X11" s="535"/>
      <c r="Y11" s="536"/>
    </row>
    <row r="12" spans="1:25" ht="12.75">
      <c r="A12" s="532" t="s">
        <v>3370</v>
      </c>
      <c r="B12" s="532">
        <v>41200075</v>
      </c>
      <c r="C12" s="532" t="s">
        <v>1476</v>
      </c>
      <c r="D12" s="532" t="s">
        <v>1476</v>
      </c>
      <c r="E12" s="532" t="s">
        <v>1585</v>
      </c>
      <c r="F12" s="532" t="s">
        <v>2391</v>
      </c>
      <c r="G12" s="532" t="s">
        <v>1468</v>
      </c>
      <c r="H12" s="532" t="s">
        <v>2391</v>
      </c>
      <c r="I12" s="532" t="s">
        <v>6604</v>
      </c>
      <c r="J12" s="534">
        <v>45946</v>
      </c>
      <c r="K12" s="535"/>
      <c r="L12" s="535"/>
      <c r="M12" s="535"/>
      <c r="N12" s="535"/>
      <c r="O12" s="535"/>
      <c r="P12" s="535"/>
      <c r="Q12" s="535"/>
      <c r="R12" s="535"/>
      <c r="S12" s="535"/>
      <c r="T12" s="535"/>
      <c r="U12" s="535"/>
      <c r="V12" s="535"/>
      <c r="W12" s="535"/>
      <c r="X12" s="535"/>
      <c r="Y12" s="536"/>
    </row>
    <row r="13" spans="1:25" ht="12.75">
      <c r="A13" s="532" t="s">
        <v>3369</v>
      </c>
      <c r="B13" s="532">
        <v>41200075</v>
      </c>
      <c r="C13" s="532" t="s">
        <v>1476</v>
      </c>
      <c r="D13" s="532" t="s">
        <v>1476</v>
      </c>
      <c r="E13" s="532" t="s">
        <v>1585</v>
      </c>
      <c r="F13" s="532" t="s">
        <v>2391</v>
      </c>
      <c r="G13" s="532" t="s">
        <v>1468</v>
      </c>
      <c r="H13" s="532" t="s">
        <v>2391</v>
      </c>
      <c r="I13" s="532" t="s">
        <v>6604</v>
      </c>
      <c r="J13" s="534">
        <v>45946</v>
      </c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535"/>
      <c r="Y13" s="536"/>
    </row>
    <row r="14" spans="1:25" ht="12.75">
      <c r="A14" s="532" t="s">
        <v>3246</v>
      </c>
      <c r="B14" s="532">
        <v>41200076</v>
      </c>
      <c r="C14" s="532" t="s">
        <v>1476</v>
      </c>
      <c r="D14" s="532" t="s">
        <v>1476</v>
      </c>
      <c r="E14" s="532" t="s">
        <v>1585</v>
      </c>
      <c r="F14" s="532" t="s">
        <v>2395</v>
      </c>
      <c r="G14" s="532" t="s">
        <v>1468</v>
      </c>
      <c r="H14" s="532" t="s">
        <v>2392</v>
      </c>
      <c r="I14" s="532" t="s">
        <v>6604</v>
      </c>
      <c r="J14" s="534">
        <v>45946</v>
      </c>
      <c r="K14" s="535"/>
      <c r="L14" s="535"/>
      <c r="M14" s="535"/>
      <c r="N14" s="535"/>
      <c r="O14" s="535"/>
      <c r="P14" s="535"/>
      <c r="Q14" s="535"/>
      <c r="R14" s="535"/>
      <c r="S14" s="535"/>
      <c r="T14" s="535"/>
      <c r="U14" s="535"/>
      <c r="V14" s="535"/>
      <c r="W14" s="535"/>
      <c r="X14" s="535"/>
      <c r="Y14" s="536"/>
    </row>
    <row r="15" spans="1:25" ht="12.75">
      <c r="A15" s="532" t="s">
        <v>3282</v>
      </c>
      <c r="B15" s="532">
        <v>41200076</v>
      </c>
      <c r="C15" s="532" t="s">
        <v>1476</v>
      </c>
      <c r="D15" s="532" t="s">
        <v>1476</v>
      </c>
      <c r="E15" s="532" t="s">
        <v>1585</v>
      </c>
      <c r="F15" s="532" t="s">
        <v>2391</v>
      </c>
      <c r="G15" s="532" t="s">
        <v>2392</v>
      </c>
      <c r="H15" s="532" t="s">
        <v>2392</v>
      </c>
      <c r="I15" s="532" t="s">
        <v>6604</v>
      </c>
      <c r="J15" s="534">
        <v>45946</v>
      </c>
      <c r="K15" s="535"/>
      <c r="L15" s="535"/>
      <c r="M15" s="535"/>
      <c r="N15" s="535"/>
      <c r="O15" s="535"/>
      <c r="P15" s="535"/>
      <c r="Q15" s="535"/>
      <c r="R15" s="535"/>
      <c r="S15" s="535"/>
      <c r="T15" s="535"/>
      <c r="U15" s="535"/>
      <c r="V15" s="535"/>
      <c r="W15" s="535"/>
      <c r="X15" s="535"/>
      <c r="Y15" s="536"/>
    </row>
    <row r="16" spans="1:25" ht="12.75">
      <c r="A16" s="532" t="s">
        <v>3249</v>
      </c>
      <c r="B16" s="532">
        <v>41200076</v>
      </c>
      <c r="C16" s="532" t="s">
        <v>1476</v>
      </c>
      <c r="D16" s="532" t="s">
        <v>1476</v>
      </c>
      <c r="E16" s="532" t="s">
        <v>1585</v>
      </c>
      <c r="F16" s="532" t="s">
        <v>2391</v>
      </c>
      <c r="G16" s="532" t="s">
        <v>2392</v>
      </c>
      <c r="H16" s="532" t="s">
        <v>2392</v>
      </c>
      <c r="I16" s="532" t="s">
        <v>6604</v>
      </c>
      <c r="J16" s="534">
        <v>45946</v>
      </c>
      <c r="K16" s="535"/>
      <c r="L16" s="535"/>
      <c r="M16" s="535"/>
      <c r="N16" s="535"/>
      <c r="O16" s="535"/>
      <c r="P16" s="535"/>
      <c r="Q16" s="535"/>
      <c r="R16" s="535"/>
      <c r="S16" s="535"/>
      <c r="T16" s="535"/>
      <c r="U16" s="535"/>
      <c r="V16" s="535"/>
      <c r="W16" s="535"/>
      <c r="X16" s="535"/>
      <c r="Y16" s="536"/>
    </row>
    <row r="17" spans="1:25" ht="12.75">
      <c r="A17" s="532" t="s">
        <v>3216</v>
      </c>
      <c r="B17" s="532">
        <v>41200133</v>
      </c>
      <c r="C17" s="532" t="s">
        <v>1476</v>
      </c>
      <c r="D17" s="532" t="s">
        <v>6605</v>
      </c>
      <c r="E17" s="532" t="s">
        <v>1429</v>
      </c>
      <c r="F17" s="532" t="s">
        <v>2395</v>
      </c>
      <c r="G17" s="532" t="s">
        <v>2392</v>
      </c>
      <c r="H17" s="532" t="s">
        <v>2392</v>
      </c>
      <c r="I17" s="532" t="s">
        <v>6604</v>
      </c>
      <c r="J17" s="534">
        <v>45946</v>
      </c>
      <c r="K17" s="535"/>
      <c r="L17" s="535"/>
      <c r="M17" s="535"/>
      <c r="N17" s="535"/>
      <c r="O17" s="535"/>
      <c r="P17" s="535"/>
      <c r="Q17" s="535"/>
      <c r="R17" s="535"/>
      <c r="S17" s="535"/>
      <c r="T17" s="535"/>
      <c r="U17" s="535"/>
      <c r="V17" s="535"/>
      <c r="W17" s="535"/>
      <c r="X17" s="535"/>
      <c r="Y17" s="536"/>
    </row>
    <row r="18" spans="1:25" ht="12.75">
      <c r="A18" s="532" t="s">
        <v>3215</v>
      </c>
      <c r="B18" s="532">
        <v>41200133</v>
      </c>
      <c r="C18" s="532" t="s">
        <v>1476</v>
      </c>
      <c r="D18" s="532" t="s">
        <v>6605</v>
      </c>
      <c r="E18" s="532" t="s">
        <v>1429</v>
      </c>
      <c r="F18" s="532" t="s">
        <v>2395</v>
      </c>
      <c r="G18" s="532" t="s">
        <v>2392</v>
      </c>
      <c r="H18" s="532" t="s">
        <v>2392</v>
      </c>
      <c r="I18" s="532" t="s">
        <v>6604</v>
      </c>
      <c r="J18" s="534">
        <v>45946</v>
      </c>
      <c r="K18" s="535"/>
      <c r="L18" s="535"/>
      <c r="M18" s="535"/>
      <c r="N18" s="535"/>
      <c r="O18" s="535"/>
      <c r="P18" s="535"/>
      <c r="Q18" s="535"/>
      <c r="R18" s="535"/>
      <c r="S18" s="535"/>
      <c r="T18" s="535"/>
      <c r="U18" s="535"/>
      <c r="V18" s="535"/>
      <c r="W18" s="535"/>
      <c r="X18" s="535"/>
      <c r="Y18" s="536"/>
    </row>
    <row r="19" spans="1:25" ht="12.75">
      <c r="A19" s="532" t="s">
        <v>3217</v>
      </c>
      <c r="B19" s="532">
        <v>41200105</v>
      </c>
      <c r="C19" s="532" t="s">
        <v>1476</v>
      </c>
      <c r="D19" s="532" t="s">
        <v>1591</v>
      </c>
      <c r="E19" s="532" t="s">
        <v>1424</v>
      </c>
      <c r="F19" s="532" t="s">
        <v>2395</v>
      </c>
      <c r="G19" s="532" t="s">
        <v>1468</v>
      </c>
      <c r="H19" s="532" t="s">
        <v>2392</v>
      </c>
      <c r="I19" s="532" t="s">
        <v>6604</v>
      </c>
      <c r="J19" s="534">
        <v>45946</v>
      </c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6"/>
    </row>
    <row r="20" spans="1:25" ht="12.75">
      <c r="A20" s="532" t="s">
        <v>3212</v>
      </c>
      <c r="B20" s="532">
        <v>41200129</v>
      </c>
      <c r="C20" s="532" t="s">
        <v>1591</v>
      </c>
      <c r="D20" s="532" t="s">
        <v>6606</v>
      </c>
      <c r="E20" s="532" t="s">
        <v>1431</v>
      </c>
      <c r="F20" s="532" t="s">
        <v>2395</v>
      </c>
      <c r="G20" s="532" t="s">
        <v>1469</v>
      </c>
      <c r="H20" s="532" t="s">
        <v>2392</v>
      </c>
      <c r="I20" s="532" t="s">
        <v>6604</v>
      </c>
      <c r="J20" s="534">
        <v>45946</v>
      </c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6"/>
    </row>
    <row r="21" spans="1:25" ht="12.75">
      <c r="A21" s="532" t="s">
        <v>5339</v>
      </c>
      <c r="B21" s="532">
        <v>41000558</v>
      </c>
      <c r="C21" s="532" t="s">
        <v>6607</v>
      </c>
      <c r="D21" s="532" t="s">
        <v>6607</v>
      </c>
      <c r="E21" s="532" t="s">
        <v>1405</v>
      </c>
      <c r="F21" s="532" t="s">
        <v>5127</v>
      </c>
      <c r="G21" s="532" t="s">
        <v>1469</v>
      </c>
      <c r="H21" s="533"/>
      <c r="I21" s="532" t="s">
        <v>6604</v>
      </c>
      <c r="J21" s="534">
        <v>45946</v>
      </c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6"/>
    </row>
    <row r="22" spans="1:25" ht="12.75">
      <c r="A22" s="532" t="s">
        <v>3235</v>
      </c>
      <c r="B22" s="532">
        <v>41200007</v>
      </c>
      <c r="C22" s="532" t="s">
        <v>1591</v>
      </c>
      <c r="D22" s="532" t="s">
        <v>6608</v>
      </c>
      <c r="E22" s="532" t="s">
        <v>1405</v>
      </c>
      <c r="F22" s="532" t="s">
        <v>2391</v>
      </c>
      <c r="G22" s="532" t="s">
        <v>2392</v>
      </c>
      <c r="H22" s="532" t="s">
        <v>2392</v>
      </c>
      <c r="I22" s="532" t="s">
        <v>6604</v>
      </c>
      <c r="J22" s="534">
        <v>45946</v>
      </c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6"/>
    </row>
    <row r="23" spans="1:25" ht="12.75">
      <c r="A23" s="532" t="s">
        <v>3234</v>
      </c>
      <c r="B23" s="532">
        <v>41200007</v>
      </c>
      <c r="C23" s="532" t="s">
        <v>1591</v>
      </c>
      <c r="D23" s="532" t="s">
        <v>6608</v>
      </c>
      <c r="E23" s="532" t="s">
        <v>1405</v>
      </c>
      <c r="F23" s="532" t="s">
        <v>2391</v>
      </c>
      <c r="G23" s="532" t="s">
        <v>2392</v>
      </c>
      <c r="H23" s="532" t="s">
        <v>2392</v>
      </c>
      <c r="I23" s="532" t="s">
        <v>6604</v>
      </c>
      <c r="J23" s="534">
        <v>45946</v>
      </c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6"/>
    </row>
    <row r="24" spans="1:25" ht="12.75">
      <c r="A24" s="532" t="s">
        <v>3233</v>
      </c>
      <c r="B24" s="532">
        <v>41200007</v>
      </c>
      <c r="C24" s="532" t="s">
        <v>1591</v>
      </c>
      <c r="D24" s="532" t="s">
        <v>6608</v>
      </c>
      <c r="E24" s="532" t="s">
        <v>1405</v>
      </c>
      <c r="F24" s="532" t="s">
        <v>2391</v>
      </c>
      <c r="G24" s="532" t="s">
        <v>2392</v>
      </c>
      <c r="H24" s="532" t="s">
        <v>2392</v>
      </c>
      <c r="I24" s="532" t="s">
        <v>6604</v>
      </c>
      <c r="J24" s="534">
        <v>45946</v>
      </c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6"/>
    </row>
    <row r="25" spans="1:25" ht="12.75">
      <c r="A25" s="532" t="s">
        <v>3255</v>
      </c>
      <c r="B25" s="532">
        <v>41200122</v>
      </c>
      <c r="C25" s="532" t="s">
        <v>1476</v>
      </c>
      <c r="D25" s="532" t="s">
        <v>1476</v>
      </c>
      <c r="E25" s="532" t="s">
        <v>1585</v>
      </c>
      <c r="F25" s="532" t="s">
        <v>2395</v>
      </c>
      <c r="G25" s="532" t="s">
        <v>1469</v>
      </c>
      <c r="H25" s="532" t="s">
        <v>2392</v>
      </c>
      <c r="I25" s="532" t="s">
        <v>6604</v>
      </c>
      <c r="J25" s="534">
        <v>45946</v>
      </c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6"/>
    </row>
    <row r="26" spans="1:25" ht="12.75">
      <c r="A26" s="532" t="s">
        <v>3254</v>
      </c>
      <c r="B26" s="532">
        <v>41200122</v>
      </c>
      <c r="C26" s="532" t="s">
        <v>1476</v>
      </c>
      <c r="D26" s="532" t="s">
        <v>1476</v>
      </c>
      <c r="E26" s="532" t="s">
        <v>1585</v>
      </c>
      <c r="F26" s="532" t="s">
        <v>2395</v>
      </c>
      <c r="G26" s="532" t="s">
        <v>1469</v>
      </c>
      <c r="H26" s="532" t="s">
        <v>2392</v>
      </c>
      <c r="I26" s="532" t="s">
        <v>6604</v>
      </c>
      <c r="J26" s="534">
        <v>45946</v>
      </c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6"/>
    </row>
    <row r="27" spans="1:25" ht="12.75">
      <c r="A27" s="532" t="s">
        <v>3202</v>
      </c>
      <c r="B27" s="532">
        <v>41200124</v>
      </c>
      <c r="C27" s="532" t="s">
        <v>1476</v>
      </c>
      <c r="D27" s="532" t="s">
        <v>6609</v>
      </c>
      <c r="E27" s="532" t="s">
        <v>1585</v>
      </c>
      <c r="F27" s="532" t="s">
        <v>2395</v>
      </c>
      <c r="G27" s="532" t="s">
        <v>1469</v>
      </c>
      <c r="H27" s="532" t="s">
        <v>2392</v>
      </c>
      <c r="I27" s="532" t="s">
        <v>6604</v>
      </c>
      <c r="J27" s="534">
        <v>45946</v>
      </c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6"/>
    </row>
    <row r="28" spans="1:25" ht="12.75">
      <c r="A28" s="532" t="s">
        <v>3201</v>
      </c>
      <c r="B28" s="532">
        <v>41200124</v>
      </c>
      <c r="C28" s="532" t="s">
        <v>1476</v>
      </c>
      <c r="D28" s="532" t="s">
        <v>6609</v>
      </c>
      <c r="E28" s="532" t="s">
        <v>1585</v>
      </c>
      <c r="F28" s="532" t="s">
        <v>2395</v>
      </c>
      <c r="G28" s="532" t="s">
        <v>1469</v>
      </c>
      <c r="H28" s="532" t="s">
        <v>2392</v>
      </c>
      <c r="I28" s="532" t="s">
        <v>6604</v>
      </c>
      <c r="J28" s="534">
        <v>45946</v>
      </c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6"/>
    </row>
    <row r="29" spans="1:25" ht="12.75">
      <c r="A29" s="532" t="s">
        <v>3169</v>
      </c>
      <c r="B29" s="532">
        <v>41200122</v>
      </c>
      <c r="C29" s="532" t="s">
        <v>1476</v>
      </c>
      <c r="D29" s="532" t="s">
        <v>1476</v>
      </c>
      <c r="E29" s="532" t="s">
        <v>1585</v>
      </c>
      <c r="F29" s="532" t="s">
        <v>2391</v>
      </c>
      <c r="G29" s="532" t="s">
        <v>2392</v>
      </c>
      <c r="H29" s="532" t="s">
        <v>2392</v>
      </c>
      <c r="I29" s="532" t="s">
        <v>6604</v>
      </c>
      <c r="J29" s="534">
        <v>45946</v>
      </c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6"/>
    </row>
    <row r="30" spans="1:25" ht="12.75">
      <c r="A30" s="532" t="s">
        <v>3165</v>
      </c>
      <c r="B30" s="532">
        <v>41200122</v>
      </c>
      <c r="C30" s="532" t="s">
        <v>1476</v>
      </c>
      <c r="D30" s="532" t="s">
        <v>1476</v>
      </c>
      <c r="E30" s="532" t="s">
        <v>1585</v>
      </c>
      <c r="F30" s="532" t="s">
        <v>2391</v>
      </c>
      <c r="G30" s="532" t="s">
        <v>2392</v>
      </c>
      <c r="H30" s="532" t="s">
        <v>2392</v>
      </c>
      <c r="I30" s="532" t="s">
        <v>6604</v>
      </c>
      <c r="J30" s="534">
        <v>45946</v>
      </c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6"/>
    </row>
    <row r="31" spans="1:25" ht="12.75">
      <c r="A31" s="532" t="s">
        <v>3207</v>
      </c>
      <c r="B31" s="532">
        <v>41100286</v>
      </c>
      <c r="C31" s="532" t="s">
        <v>1476</v>
      </c>
      <c r="D31" s="532" t="s">
        <v>6610</v>
      </c>
      <c r="E31" s="532" t="s">
        <v>1424</v>
      </c>
      <c r="F31" s="532" t="s">
        <v>2391</v>
      </c>
      <c r="G31" s="532" t="s">
        <v>2392</v>
      </c>
      <c r="H31" s="532" t="s">
        <v>2392</v>
      </c>
      <c r="I31" s="532" t="s">
        <v>6604</v>
      </c>
      <c r="J31" s="534">
        <v>45946</v>
      </c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6"/>
    </row>
    <row r="32" spans="1:25" ht="12.75">
      <c r="A32" s="532" t="s">
        <v>5337</v>
      </c>
      <c r="B32" s="532">
        <v>41000558</v>
      </c>
      <c r="C32" s="532" t="s">
        <v>6607</v>
      </c>
      <c r="D32" s="532" t="s">
        <v>6607</v>
      </c>
      <c r="E32" s="532" t="s">
        <v>1405</v>
      </c>
      <c r="F32" s="532" t="s">
        <v>5127</v>
      </c>
      <c r="G32" s="532" t="s">
        <v>1469</v>
      </c>
      <c r="H32" s="533"/>
      <c r="I32" s="532" t="s">
        <v>6604</v>
      </c>
      <c r="J32" s="534">
        <v>45946</v>
      </c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6"/>
    </row>
    <row r="33" spans="1:25" ht="12.75">
      <c r="A33" s="532" t="s">
        <v>3200</v>
      </c>
      <c r="B33" s="532">
        <v>41200007</v>
      </c>
      <c r="C33" s="532" t="s">
        <v>1591</v>
      </c>
      <c r="D33" s="532" t="s">
        <v>6608</v>
      </c>
      <c r="E33" s="532" t="s">
        <v>1405</v>
      </c>
      <c r="F33" s="532" t="s">
        <v>2391</v>
      </c>
      <c r="G33" s="532" t="s">
        <v>2392</v>
      </c>
      <c r="H33" s="532" t="s">
        <v>2391</v>
      </c>
      <c r="I33" s="532" t="s">
        <v>6604</v>
      </c>
      <c r="J33" s="534">
        <v>45946</v>
      </c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6"/>
    </row>
    <row r="34" spans="1:25" ht="12.75">
      <c r="A34" s="532" t="s">
        <v>3199</v>
      </c>
      <c r="B34" s="532">
        <v>41200007</v>
      </c>
      <c r="C34" s="532" t="s">
        <v>1591</v>
      </c>
      <c r="D34" s="532" t="s">
        <v>6608</v>
      </c>
      <c r="E34" s="532" t="s">
        <v>1405</v>
      </c>
      <c r="F34" s="532" t="s">
        <v>2391</v>
      </c>
      <c r="G34" s="532" t="s">
        <v>2392</v>
      </c>
      <c r="H34" s="532" t="s">
        <v>2391</v>
      </c>
      <c r="I34" s="532" t="s">
        <v>6604</v>
      </c>
      <c r="J34" s="534">
        <v>45946</v>
      </c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6"/>
    </row>
    <row r="35" spans="1:25" ht="12.75">
      <c r="A35" s="532" t="s">
        <v>5338</v>
      </c>
      <c r="B35" s="532">
        <v>41000558</v>
      </c>
      <c r="C35" s="532" t="s">
        <v>6607</v>
      </c>
      <c r="D35" s="532" t="s">
        <v>6607</v>
      </c>
      <c r="E35" s="532" t="s">
        <v>1405</v>
      </c>
      <c r="F35" s="532" t="s">
        <v>5127</v>
      </c>
      <c r="G35" s="532" t="s">
        <v>1469</v>
      </c>
      <c r="H35" s="533"/>
      <c r="I35" s="532" t="s">
        <v>6604</v>
      </c>
      <c r="J35" s="534">
        <v>45946</v>
      </c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6"/>
    </row>
    <row r="36" spans="1:25" ht="12.75">
      <c r="A36" s="532" t="s">
        <v>3208</v>
      </c>
      <c r="B36" s="532">
        <v>41100435</v>
      </c>
      <c r="C36" s="532" t="s">
        <v>3801</v>
      </c>
      <c r="D36" s="532" t="s">
        <v>1482</v>
      </c>
      <c r="E36" s="532" t="s">
        <v>1585</v>
      </c>
      <c r="F36" s="532" t="s">
        <v>2391</v>
      </c>
      <c r="G36" s="532" t="s">
        <v>2392</v>
      </c>
      <c r="H36" s="533"/>
      <c r="I36" s="532" t="s">
        <v>6604</v>
      </c>
      <c r="J36" s="534">
        <v>45946</v>
      </c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6"/>
    </row>
    <row r="37" spans="1:25" ht="12.75">
      <c r="A37" s="532" t="s">
        <v>3219</v>
      </c>
      <c r="B37" s="532">
        <v>41200048</v>
      </c>
      <c r="C37" s="532" t="s">
        <v>1476</v>
      </c>
      <c r="D37" s="532" t="s">
        <v>1426</v>
      </c>
      <c r="E37" s="532" t="s">
        <v>1426</v>
      </c>
      <c r="F37" s="532" t="s">
        <v>2395</v>
      </c>
      <c r="G37" s="532" t="s">
        <v>1469</v>
      </c>
      <c r="H37" s="532" t="s">
        <v>2392</v>
      </c>
      <c r="I37" s="532" t="s">
        <v>6604</v>
      </c>
      <c r="J37" s="534">
        <v>45946</v>
      </c>
      <c r="K37" s="535"/>
      <c r="L37" s="535"/>
      <c r="M37" s="535"/>
      <c r="N37" s="535"/>
      <c r="O37" s="535"/>
      <c r="P37" s="535"/>
      <c r="Q37" s="535"/>
      <c r="R37" s="535"/>
      <c r="S37" s="535"/>
      <c r="T37" s="535"/>
      <c r="U37" s="535"/>
      <c r="V37" s="535"/>
      <c r="W37" s="535"/>
      <c r="X37" s="535"/>
      <c r="Y37" s="536"/>
    </row>
    <row r="38" spans="1:25" ht="12.75">
      <c r="A38" s="532" t="s">
        <v>3218</v>
      </c>
      <c r="B38" s="532">
        <v>41200048</v>
      </c>
      <c r="C38" s="532" t="s">
        <v>1476</v>
      </c>
      <c r="D38" s="532" t="s">
        <v>1426</v>
      </c>
      <c r="E38" s="532" t="s">
        <v>1426</v>
      </c>
      <c r="F38" s="532" t="s">
        <v>2395</v>
      </c>
      <c r="G38" s="532" t="s">
        <v>1469</v>
      </c>
      <c r="H38" s="532" t="s">
        <v>2392</v>
      </c>
      <c r="I38" s="532" t="s">
        <v>6604</v>
      </c>
      <c r="J38" s="534">
        <v>45946</v>
      </c>
      <c r="K38" s="535"/>
      <c r="L38" s="535"/>
      <c r="M38" s="535"/>
      <c r="N38" s="535"/>
      <c r="O38" s="535"/>
      <c r="P38" s="535"/>
      <c r="Q38" s="535"/>
      <c r="R38" s="535"/>
      <c r="S38" s="535"/>
      <c r="T38" s="535"/>
      <c r="U38" s="535"/>
      <c r="V38" s="535"/>
      <c r="W38" s="535"/>
      <c r="X38" s="535"/>
      <c r="Y38" s="536"/>
    </row>
    <row r="39" spans="1:25" ht="12.75">
      <c r="A39" s="532" t="s">
        <v>3209</v>
      </c>
      <c r="B39" s="532">
        <v>41200048</v>
      </c>
      <c r="C39" s="532" t="s">
        <v>1476</v>
      </c>
      <c r="D39" s="532" t="s">
        <v>1426</v>
      </c>
      <c r="E39" s="532" t="s">
        <v>1426</v>
      </c>
      <c r="F39" s="532" t="s">
        <v>2395</v>
      </c>
      <c r="G39" s="532" t="s">
        <v>1469</v>
      </c>
      <c r="H39" s="532" t="s">
        <v>2392</v>
      </c>
      <c r="I39" s="532" t="s">
        <v>6604</v>
      </c>
      <c r="J39" s="534">
        <v>45946</v>
      </c>
      <c r="K39" s="535"/>
      <c r="L39" s="535"/>
      <c r="M39" s="535"/>
      <c r="N39" s="535"/>
      <c r="O39" s="535"/>
      <c r="P39" s="535"/>
      <c r="Q39" s="535"/>
      <c r="R39" s="535"/>
      <c r="S39" s="535"/>
      <c r="T39" s="535"/>
      <c r="U39" s="535"/>
      <c r="V39" s="535"/>
      <c r="W39" s="535"/>
      <c r="X39" s="535"/>
      <c r="Y39" s="536"/>
    </row>
    <row r="40" spans="1:25" ht="12.75">
      <c r="A40" s="532" t="s">
        <v>3157</v>
      </c>
      <c r="B40" s="532">
        <v>41100264</v>
      </c>
      <c r="C40" s="532" t="s">
        <v>1591</v>
      </c>
      <c r="D40" s="532" t="s">
        <v>6611</v>
      </c>
      <c r="E40" s="532" t="s">
        <v>1585</v>
      </c>
      <c r="F40" s="532" t="s">
        <v>2395</v>
      </c>
      <c r="G40" s="532" t="s">
        <v>2392</v>
      </c>
      <c r="H40" s="532" t="s">
        <v>2392</v>
      </c>
      <c r="I40" s="532" t="s">
        <v>6604</v>
      </c>
      <c r="J40" s="534">
        <v>45946</v>
      </c>
      <c r="K40" s="535"/>
      <c r="L40" s="535"/>
      <c r="M40" s="535"/>
      <c r="N40" s="535"/>
      <c r="O40" s="535"/>
      <c r="P40" s="535"/>
      <c r="Q40" s="535"/>
      <c r="R40" s="535"/>
      <c r="S40" s="535"/>
      <c r="T40" s="535"/>
      <c r="U40" s="535"/>
      <c r="V40" s="535"/>
      <c r="W40" s="535"/>
      <c r="X40" s="535"/>
      <c r="Y40" s="536"/>
    </row>
    <row r="41" spans="1:25" ht="12.75">
      <c r="A41" s="532" t="s">
        <v>3156</v>
      </c>
      <c r="B41" s="532">
        <v>41100264</v>
      </c>
      <c r="C41" s="532" t="s">
        <v>1591</v>
      </c>
      <c r="D41" s="532" t="s">
        <v>6611</v>
      </c>
      <c r="E41" s="532" t="s">
        <v>1585</v>
      </c>
      <c r="F41" s="532" t="s">
        <v>2395</v>
      </c>
      <c r="G41" s="532" t="s">
        <v>2392</v>
      </c>
      <c r="H41" s="532" t="s">
        <v>2392</v>
      </c>
      <c r="I41" s="532" t="s">
        <v>6604</v>
      </c>
      <c r="J41" s="534">
        <v>45946</v>
      </c>
      <c r="K41" s="535"/>
      <c r="L41" s="535"/>
      <c r="M41" s="535"/>
      <c r="N41" s="535"/>
      <c r="O41" s="535"/>
      <c r="P41" s="535"/>
      <c r="Q41" s="535"/>
      <c r="R41" s="535"/>
      <c r="S41" s="535"/>
      <c r="T41" s="535"/>
      <c r="U41" s="535"/>
      <c r="V41" s="535"/>
      <c r="W41" s="535"/>
      <c r="X41" s="535"/>
      <c r="Y41" s="536"/>
    </row>
    <row r="42" spans="1:25" ht="12.75">
      <c r="A42" s="532" t="s">
        <v>3189</v>
      </c>
      <c r="B42" s="532">
        <v>41200007</v>
      </c>
      <c r="C42" s="532" t="s">
        <v>1591</v>
      </c>
      <c r="D42" s="532" t="s">
        <v>6608</v>
      </c>
      <c r="E42" s="532" t="s">
        <v>1405</v>
      </c>
      <c r="F42" s="532" t="s">
        <v>2391</v>
      </c>
      <c r="G42" s="532" t="s">
        <v>1468</v>
      </c>
      <c r="H42" s="532" t="s">
        <v>2391</v>
      </c>
      <c r="I42" s="532" t="s">
        <v>6604</v>
      </c>
      <c r="J42" s="534">
        <v>45946</v>
      </c>
      <c r="K42" s="535"/>
      <c r="L42" s="535"/>
      <c r="M42" s="535"/>
      <c r="N42" s="535"/>
      <c r="O42" s="535"/>
      <c r="P42" s="535"/>
      <c r="Q42" s="535"/>
      <c r="R42" s="535"/>
      <c r="S42" s="535"/>
      <c r="T42" s="535"/>
      <c r="U42" s="535"/>
      <c r="V42" s="535"/>
      <c r="W42" s="535"/>
      <c r="X42" s="535"/>
      <c r="Y42" s="536"/>
    </row>
    <row r="43" spans="1:25" ht="12.75">
      <c r="A43" s="532" t="s">
        <v>3188</v>
      </c>
      <c r="B43" s="532">
        <v>41200007</v>
      </c>
      <c r="C43" s="532" t="s">
        <v>1591</v>
      </c>
      <c r="D43" s="532" t="s">
        <v>6608</v>
      </c>
      <c r="E43" s="532" t="s">
        <v>1405</v>
      </c>
      <c r="F43" s="532" t="s">
        <v>2391</v>
      </c>
      <c r="G43" s="532" t="s">
        <v>1468</v>
      </c>
      <c r="H43" s="532" t="s">
        <v>2391</v>
      </c>
      <c r="I43" s="532" t="s">
        <v>6604</v>
      </c>
      <c r="J43" s="534">
        <v>45946</v>
      </c>
      <c r="K43" s="535"/>
      <c r="L43" s="535"/>
      <c r="M43" s="535"/>
      <c r="N43" s="535"/>
      <c r="O43" s="535"/>
      <c r="P43" s="535"/>
      <c r="Q43" s="535"/>
      <c r="R43" s="535"/>
      <c r="S43" s="535"/>
      <c r="T43" s="535"/>
      <c r="U43" s="535"/>
      <c r="V43" s="535"/>
      <c r="W43" s="535"/>
      <c r="X43" s="535"/>
      <c r="Y43" s="536"/>
    </row>
    <row r="44" spans="1:25" ht="12.75">
      <c r="A44" s="532" t="s">
        <v>3206</v>
      </c>
      <c r="B44" s="532">
        <v>41200158</v>
      </c>
      <c r="C44" s="532" t="s">
        <v>1480</v>
      </c>
      <c r="D44" s="532" t="s">
        <v>1480</v>
      </c>
      <c r="E44" s="532" t="s">
        <v>1405</v>
      </c>
      <c r="F44" s="532" t="s">
        <v>2391</v>
      </c>
      <c r="G44" s="532" t="s">
        <v>2392</v>
      </c>
      <c r="H44" s="532" t="s">
        <v>2391</v>
      </c>
      <c r="I44" s="532" t="s">
        <v>6604</v>
      </c>
      <c r="J44" s="534">
        <v>45946</v>
      </c>
      <c r="K44" s="535"/>
      <c r="L44" s="535"/>
      <c r="M44" s="535"/>
      <c r="N44" s="535"/>
      <c r="O44" s="535"/>
      <c r="P44" s="535"/>
      <c r="Q44" s="535"/>
      <c r="R44" s="535"/>
      <c r="S44" s="535"/>
      <c r="T44" s="535"/>
      <c r="U44" s="535"/>
      <c r="V44" s="535"/>
      <c r="W44" s="535"/>
      <c r="X44" s="535"/>
      <c r="Y44" s="536"/>
    </row>
    <row r="45" spans="1:25" ht="12.75">
      <c r="A45" s="532" t="s">
        <v>3205</v>
      </c>
      <c r="B45" s="532">
        <v>41200158</v>
      </c>
      <c r="C45" s="532" t="s">
        <v>1480</v>
      </c>
      <c r="D45" s="532" t="s">
        <v>1480</v>
      </c>
      <c r="E45" s="532" t="s">
        <v>1405</v>
      </c>
      <c r="F45" s="532" t="s">
        <v>2391</v>
      </c>
      <c r="G45" s="532" t="s">
        <v>2392</v>
      </c>
      <c r="H45" s="532" t="s">
        <v>2391</v>
      </c>
      <c r="I45" s="532" t="s">
        <v>6604</v>
      </c>
      <c r="J45" s="534">
        <v>45946</v>
      </c>
      <c r="K45" s="535"/>
      <c r="L45" s="535"/>
      <c r="M45" s="535"/>
      <c r="N45" s="535"/>
      <c r="O45" s="535"/>
      <c r="P45" s="535"/>
      <c r="Q45" s="535"/>
      <c r="R45" s="535"/>
      <c r="S45" s="535"/>
      <c r="T45" s="535"/>
      <c r="U45" s="535"/>
      <c r="V45" s="535"/>
      <c r="W45" s="535"/>
      <c r="X45" s="535"/>
      <c r="Y45" s="536"/>
    </row>
    <row r="46" spans="1:25" ht="12.75">
      <c r="A46" s="532" t="s">
        <v>3198</v>
      </c>
      <c r="B46" s="532">
        <v>41200158</v>
      </c>
      <c r="C46" s="532" t="s">
        <v>1480</v>
      </c>
      <c r="D46" s="532" t="s">
        <v>1480</v>
      </c>
      <c r="E46" s="532" t="s">
        <v>1405</v>
      </c>
      <c r="F46" s="532" t="s">
        <v>2391</v>
      </c>
      <c r="G46" s="532" t="s">
        <v>2392</v>
      </c>
      <c r="H46" s="532" t="s">
        <v>2391</v>
      </c>
      <c r="I46" s="532" t="s">
        <v>6604</v>
      </c>
      <c r="J46" s="534">
        <v>45946</v>
      </c>
      <c r="K46" s="535"/>
      <c r="L46" s="535"/>
      <c r="M46" s="535"/>
      <c r="N46" s="535"/>
      <c r="O46" s="535"/>
      <c r="P46" s="535"/>
      <c r="Q46" s="535"/>
      <c r="R46" s="535"/>
      <c r="S46" s="535"/>
      <c r="T46" s="535"/>
      <c r="U46" s="535"/>
      <c r="V46" s="535"/>
      <c r="W46" s="535"/>
      <c r="X46" s="535"/>
      <c r="Y46" s="536"/>
    </row>
    <row r="47" spans="1:25" ht="12.75">
      <c r="A47" s="532" t="s">
        <v>3194</v>
      </c>
      <c r="B47" s="532">
        <v>41200125</v>
      </c>
      <c r="C47" s="532" t="s">
        <v>1476</v>
      </c>
      <c r="D47" s="532" t="s">
        <v>1476</v>
      </c>
      <c r="E47" s="532" t="s">
        <v>1585</v>
      </c>
      <c r="F47" s="532" t="s">
        <v>2391</v>
      </c>
      <c r="G47" s="532" t="s">
        <v>2392</v>
      </c>
      <c r="H47" s="532" t="s">
        <v>2391</v>
      </c>
      <c r="I47" s="532" t="s">
        <v>6604</v>
      </c>
      <c r="J47" s="534">
        <v>45946</v>
      </c>
      <c r="K47" s="535"/>
      <c r="L47" s="535"/>
      <c r="M47" s="535"/>
      <c r="N47" s="535"/>
      <c r="O47" s="535"/>
      <c r="P47" s="535"/>
      <c r="Q47" s="535"/>
      <c r="R47" s="535"/>
      <c r="S47" s="535"/>
      <c r="T47" s="535"/>
      <c r="U47" s="535"/>
      <c r="V47" s="535"/>
      <c r="W47" s="535"/>
      <c r="X47" s="535"/>
      <c r="Y47" s="536"/>
    </row>
    <row r="48" spans="1:25" ht="12.75">
      <c r="A48" s="532" t="s">
        <v>6612</v>
      </c>
      <c r="B48" s="532" t="s">
        <v>6592</v>
      </c>
      <c r="C48" s="532" t="s">
        <v>6593</v>
      </c>
      <c r="D48" s="533"/>
      <c r="E48" s="532" t="s">
        <v>1405</v>
      </c>
      <c r="F48" s="532" t="s">
        <v>2392</v>
      </c>
      <c r="G48" s="532" t="s">
        <v>2392</v>
      </c>
      <c r="H48" s="532" t="s">
        <v>2392</v>
      </c>
      <c r="I48" s="532" t="s">
        <v>6613</v>
      </c>
      <c r="J48" s="534">
        <v>45945</v>
      </c>
      <c r="K48" s="535"/>
      <c r="L48" s="535"/>
      <c r="M48" s="535"/>
      <c r="N48" s="535"/>
      <c r="O48" s="535"/>
      <c r="P48" s="535"/>
      <c r="Q48" s="535"/>
      <c r="R48" s="535"/>
      <c r="S48" s="535"/>
      <c r="T48" s="535"/>
      <c r="U48" s="535"/>
      <c r="V48" s="535"/>
      <c r="W48" s="535"/>
      <c r="X48" s="535"/>
      <c r="Y48" s="536"/>
    </row>
    <row r="49" spans="1:25" ht="12.75">
      <c r="A49" s="532" t="s">
        <v>6614</v>
      </c>
      <c r="B49" s="532" t="s">
        <v>6592</v>
      </c>
      <c r="C49" s="532" t="s">
        <v>6593</v>
      </c>
      <c r="D49" s="533"/>
      <c r="E49" s="532" t="s">
        <v>1405</v>
      </c>
      <c r="F49" s="532" t="s">
        <v>2392</v>
      </c>
      <c r="G49" s="532" t="s">
        <v>2392</v>
      </c>
      <c r="H49" s="532" t="s">
        <v>2392</v>
      </c>
      <c r="I49" s="532" t="s">
        <v>6613</v>
      </c>
      <c r="J49" s="534">
        <v>45945</v>
      </c>
      <c r="K49" s="535"/>
      <c r="L49" s="535"/>
      <c r="M49" s="535"/>
      <c r="N49" s="535"/>
      <c r="O49" s="535"/>
      <c r="P49" s="535"/>
      <c r="Q49" s="535"/>
      <c r="R49" s="535"/>
      <c r="S49" s="535"/>
      <c r="T49" s="535"/>
      <c r="U49" s="535"/>
      <c r="V49" s="535"/>
      <c r="W49" s="535"/>
      <c r="X49" s="535"/>
      <c r="Y49" s="536"/>
    </row>
    <row r="50" spans="1:25" ht="12.75">
      <c r="A50" s="532" t="s">
        <v>6615</v>
      </c>
      <c r="B50" s="532" t="s">
        <v>6592</v>
      </c>
      <c r="C50" s="532" t="s">
        <v>6593</v>
      </c>
      <c r="D50" s="533"/>
      <c r="E50" s="532" t="s">
        <v>1405</v>
      </c>
      <c r="F50" s="532" t="s">
        <v>2392</v>
      </c>
      <c r="G50" s="532" t="s">
        <v>2392</v>
      </c>
      <c r="H50" s="532" t="s">
        <v>2392</v>
      </c>
      <c r="I50" s="532" t="s">
        <v>6613</v>
      </c>
      <c r="J50" s="534">
        <v>45944</v>
      </c>
      <c r="K50" s="535"/>
      <c r="L50" s="535"/>
      <c r="M50" s="535"/>
      <c r="N50" s="535"/>
      <c r="O50" s="535"/>
      <c r="P50" s="535"/>
      <c r="Q50" s="535"/>
      <c r="R50" s="535"/>
      <c r="S50" s="535"/>
      <c r="T50" s="535"/>
      <c r="U50" s="535"/>
      <c r="V50" s="535"/>
      <c r="W50" s="535"/>
      <c r="X50" s="535"/>
      <c r="Y50" s="536"/>
    </row>
    <row r="51" spans="1:25" ht="12.75">
      <c r="A51" s="532" t="s">
        <v>6616</v>
      </c>
      <c r="B51" s="532" t="s">
        <v>6592</v>
      </c>
      <c r="C51" s="532" t="s">
        <v>6593</v>
      </c>
      <c r="D51" s="533"/>
      <c r="E51" s="532" t="s">
        <v>1405</v>
      </c>
      <c r="F51" s="532" t="s">
        <v>2392</v>
      </c>
      <c r="G51" s="532" t="s">
        <v>2392</v>
      </c>
      <c r="H51" s="532" t="s">
        <v>2392</v>
      </c>
      <c r="I51" s="532" t="s">
        <v>6613</v>
      </c>
      <c r="J51" s="534">
        <v>45944</v>
      </c>
      <c r="K51" s="535"/>
      <c r="L51" s="535"/>
      <c r="M51" s="535"/>
      <c r="N51" s="535"/>
      <c r="O51" s="535"/>
      <c r="P51" s="535"/>
      <c r="Q51" s="535"/>
      <c r="R51" s="535"/>
      <c r="S51" s="535"/>
      <c r="T51" s="535"/>
      <c r="U51" s="535"/>
      <c r="V51" s="535"/>
      <c r="W51" s="535"/>
      <c r="X51" s="535"/>
      <c r="Y51" s="536"/>
    </row>
    <row r="52" spans="1:25" ht="12.75">
      <c r="A52" s="532" t="s">
        <v>3155</v>
      </c>
      <c r="B52" s="532">
        <v>41100338</v>
      </c>
      <c r="C52" s="532" t="s">
        <v>1591</v>
      </c>
      <c r="D52" s="532" t="s">
        <v>6617</v>
      </c>
      <c r="E52" s="532" t="s">
        <v>1585</v>
      </c>
      <c r="F52" s="532" t="s">
        <v>2395</v>
      </c>
      <c r="G52" s="532" t="s">
        <v>1469</v>
      </c>
      <c r="H52" s="532" t="s">
        <v>2392</v>
      </c>
      <c r="I52" s="532" t="s">
        <v>6604</v>
      </c>
      <c r="J52" s="534">
        <v>45943</v>
      </c>
      <c r="K52" s="535"/>
      <c r="L52" s="535"/>
      <c r="M52" s="535"/>
      <c r="N52" s="535"/>
      <c r="O52" s="535"/>
      <c r="P52" s="535"/>
      <c r="Q52" s="535"/>
      <c r="R52" s="535"/>
      <c r="S52" s="535"/>
      <c r="T52" s="535"/>
      <c r="U52" s="535"/>
      <c r="V52" s="535"/>
      <c r="W52" s="535"/>
      <c r="X52" s="535"/>
      <c r="Y52" s="536"/>
    </row>
    <row r="53" spans="1:25" ht="12.75">
      <c r="A53" s="532" t="s">
        <v>3154</v>
      </c>
      <c r="B53" s="532">
        <v>41100338</v>
      </c>
      <c r="C53" s="532" t="s">
        <v>1591</v>
      </c>
      <c r="D53" s="532" t="s">
        <v>6617</v>
      </c>
      <c r="E53" s="532" t="s">
        <v>1585</v>
      </c>
      <c r="F53" s="532" t="s">
        <v>2395</v>
      </c>
      <c r="G53" s="532" t="s">
        <v>1469</v>
      </c>
      <c r="H53" s="532" t="s">
        <v>2392</v>
      </c>
      <c r="I53" s="532" t="s">
        <v>6604</v>
      </c>
      <c r="J53" s="534">
        <v>45943</v>
      </c>
      <c r="K53" s="535"/>
      <c r="L53" s="535"/>
      <c r="M53" s="535"/>
      <c r="N53" s="535"/>
      <c r="O53" s="535"/>
      <c r="P53" s="535"/>
      <c r="Q53" s="535"/>
      <c r="R53" s="535"/>
      <c r="S53" s="535"/>
      <c r="T53" s="535"/>
      <c r="U53" s="535"/>
      <c r="V53" s="535"/>
      <c r="W53" s="535"/>
      <c r="X53" s="535"/>
      <c r="Y53" s="536"/>
    </row>
    <row r="54" spans="1:25" ht="12.75">
      <c r="A54" s="532" t="s">
        <v>3422</v>
      </c>
      <c r="B54" s="532">
        <v>41200122</v>
      </c>
      <c r="C54" s="532" t="s">
        <v>1476</v>
      </c>
      <c r="D54" s="532" t="s">
        <v>1476</v>
      </c>
      <c r="E54" s="532" t="s">
        <v>1585</v>
      </c>
      <c r="F54" s="532" t="s">
        <v>2555</v>
      </c>
      <c r="G54" s="532" t="s">
        <v>2555</v>
      </c>
      <c r="H54" s="532" t="s">
        <v>2392</v>
      </c>
      <c r="I54" s="532" t="s">
        <v>6604</v>
      </c>
      <c r="J54" s="534">
        <v>45943</v>
      </c>
      <c r="K54" s="535"/>
      <c r="L54" s="535"/>
      <c r="M54" s="535"/>
      <c r="N54" s="535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6"/>
    </row>
    <row r="55" spans="1:25" ht="12.75">
      <c r="A55" s="532" t="s">
        <v>3315</v>
      </c>
      <c r="B55" s="532">
        <v>41200122</v>
      </c>
      <c r="C55" s="532" t="s">
        <v>1476</v>
      </c>
      <c r="D55" s="532" t="s">
        <v>1476</v>
      </c>
      <c r="E55" s="532" t="s">
        <v>1585</v>
      </c>
      <c r="F55" s="532" t="s">
        <v>2555</v>
      </c>
      <c r="G55" s="532" t="s">
        <v>2555</v>
      </c>
      <c r="H55" s="532" t="s">
        <v>2392</v>
      </c>
      <c r="I55" s="532" t="s">
        <v>6604</v>
      </c>
      <c r="J55" s="534">
        <v>45943</v>
      </c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6"/>
    </row>
    <row r="56" spans="1:25" ht="12.75">
      <c r="A56" s="532" t="s">
        <v>5330</v>
      </c>
      <c r="B56" s="532">
        <v>41000558</v>
      </c>
      <c r="C56" s="532" t="s">
        <v>6607</v>
      </c>
      <c r="D56" s="532" t="s">
        <v>6607</v>
      </c>
      <c r="E56" s="532" t="s">
        <v>1405</v>
      </c>
      <c r="F56" s="532" t="s">
        <v>5127</v>
      </c>
      <c r="G56" s="532" t="s">
        <v>1469</v>
      </c>
      <c r="H56" s="533"/>
      <c r="I56" s="532" t="s">
        <v>6604</v>
      </c>
      <c r="J56" s="534">
        <v>45943</v>
      </c>
      <c r="K56" s="535"/>
      <c r="L56" s="535"/>
      <c r="M56" s="535"/>
      <c r="N56" s="535"/>
      <c r="O56" s="535"/>
      <c r="P56" s="535"/>
      <c r="Q56" s="535"/>
      <c r="R56" s="535"/>
      <c r="S56" s="535"/>
      <c r="T56" s="535"/>
      <c r="U56" s="535"/>
      <c r="V56" s="535"/>
      <c r="W56" s="535"/>
      <c r="X56" s="535"/>
      <c r="Y56" s="536"/>
    </row>
    <row r="57" spans="1:25" ht="12.75">
      <c r="A57" s="532" t="s">
        <v>3184</v>
      </c>
      <c r="B57" s="532">
        <v>41100317</v>
      </c>
      <c r="C57" s="532" t="s">
        <v>1476</v>
      </c>
      <c r="D57" s="532" t="s">
        <v>1476</v>
      </c>
      <c r="E57" s="532" t="s">
        <v>1585</v>
      </c>
      <c r="F57" s="532" t="s">
        <v>2391</v>
      </c>
      <c r="G57" s="532" t="s">
        <v>2392</v>
      </c>
      <c r="H57" s="532" t="s">
        <v>2391</v>
      </c>
      <c r="I57" s="532" t="s">
        <v>6604</v>
      </c>
      <c r="J57" s="534">
        <v>45943</v>
      </c>
      <c r="K57" s="535"/>
      <c r="L57" s="535"/>
      <c r="M57" s="535"/>
      <c r="N57" s="535"/>
      <c r="O57" s="535"/>
      <c r="P57" s="535"/>
      <c r="Q57" s="535"/>
      <c r="R57" s="535"/>
      <c r="S57" s="535"/>
      <c r="T57" s="535"/>
      <c r="U57" s="535"/>
      <c r="V57" s="535"/>
      <c r="W57" s="535"/>
      <c r="X57" s="535"/>
      <c r="Y57" s="536"/>
    </row>
    <row r="58" spans="1:25" ht="12.75">
      <c r="A58" s="532" t="s">
        <v>3162</v>
      </c>
      <c r="B58" s="532">
        <v>41200152</v>
      </c>
      <c r="C58" s="532" t="s">
        <v>1476</v>
      </c>
      <c r="D58" s="532" t="s">
        <v>6618</v>
      </c>
      <c r="E58" s="532" t="s">
        <v>1585</v>
      </c>
      <c r="F58" s="532" t="s">
        <v>2395</v>
      </c>
      <c r="G58" s="532" t="s">
        <v>2392</v>
      </c>
      <c r="H58" s="532" t="s">
        <v>2392</v>
      </c>
      <c r="I58" s="532" t="s">
        <v>6604</v>
      </c>
      <c r="J58" s="534">
        <v>45943</v>
      </c>
      <c r="K58" s="535"/>
      <c r="L58" s="535"/>
      <c r="M58" s="535"/>
      <c r="N58" s="535"/>
      <c r="O58" s="535"/>
      <c r="P58" s="535"/>
      <c r="Q58" s="535"/>
      <c r="R58" s="535"/>
      <c r="S58" s="535"/>
      <c r="T58" s="535"/>
      <c r="U58" s="535"/>
      <c r="V58" s="535"/>
      <c r="W58" s="535"/>
      <c r="X58" s="535"/>
      <c r="Y58" s="536"/>
    </row>
    <row r="59" spans="1:25" ht="12.75">
      <c r="A59" s="532" t="s">
        <v>3161</v>
      </c>
      <c r="B59" s="532">
        <v>41200152</v>
      </c>
      <c r="C59" s="532" t="s">
        <v>1476</v>
      </c>
      <c r="D59" s="532" t="s">
        <v>6618</v>
      </c>
      <c r="E59" s="532" t="s">
        <v>1585</v>
      </c>
      <c r="F59" s="532" t="s">
        <v>2395</v>
      </c>
      <c r="G59" s="532" t="s">
        <v>2392</v>
      </c>
      <c r="H59" s="532" t="s">
        <v>2392</v>
      </c>
      <c r="I59" s="532" t="s">
        <v>6604</v>
      </c>
      <c r="J59" s="534">
        <v>45943</v>
      </c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5"/>
      <c r="V59" s="535"/>
      <c r="W59" s="535"/>
      <c r="X59" s="535"/>
      <c r="Y59" s="536"/>
    </row>
    <row r="60" spans="1:25" ht="12.75">
      <c r="A60" s="532" t="s">
        <v>3175</v>
      </c>
      <c r="B60" s="532">
        <v>41200122</v>
      </c>
      <c r="C60" s="532" t="s">
        <v>1476</v>
      </c>
      <c r="D60" s="532" t="s">
        <v>1476</v>
      </c>
      <c r="E60" s="532" t="s">
        <v>1585</v>
      </c>
      <c r="F60" s="532" t="s">
        <v>2395</v>
      </c>
      <c r="G60" s="532" t="s">
        <v>1469</v>
      </c>
      <c r="H60" s="532" t="s">
        <v>2392</v>
      </c>
      <c r="I60" s="532" t="s">
        <v>6604</v>
      </c>
      <c r="J60" s="534">
        <v>45943</v>
      </c>
      <c r="K60" s="535"/>
      <c r="L60" s="535"/>
      <c r="M60" s="535"/>
      <c r="N60" s="535"/>
      <c r="O60" s="535"/>
      <c r="P60" s="535"/>
      <c r="Q60" s="535"/>
      <c r="R60" s="535"/>
      <c r="S60" s="535"/>
      <c r="T60" s="535"/>
      <c r="U60" s="535"/>
      <c r="V60" s="535"/>
      <c r="W60" s="535"/>
      <c r="X60" s="535"/>
      <c r="Y60" s="536"/>
    </row>
    <row r="61" spans="1:25" ht="12.75">
      <c r="A61" s="532" t="s">
        <v>3136</v>
      </c>
      <c r="B61" s="532">
        <v>41200109</v>
      </c>
      <c r="C61" s="532" t="s">
        <v>1591</v>
      </c>
      <c r="D61" s="532" t="s">
        <v>6619</v>
      </c>
      <c r="E61" s="532" t="s">
        <v>1585</v>
      </c>
      <c r="F61" s="532" t="s">
        <v>2395</v>
      </c>
      <c r="G61" s="532" t="s">
        <v>1468</v>
      </c>
      <c r="H61" s="532" t="s">
        <v>2392</v>
      </c>
      <c r="I61" s="532" t="s">
        <v>6604</v>
      </c>
      <c r="J61" s="534">
        <v>45943</v>
      </c>
      <c r="K61" s="535"/>
      <c r="L61" s="535"/>
      <c r="M61" s="535"/>
      <c r="N61" s="535"/>
      <c r="O61" s="535"/>
      <c r="P61" s="535"/>
      <c r="Q61" s="535"/>
      <c r="R61" s="535"/>
      <c r="S61" s="535"/>
      <c r="T61" s="535"/>
      <c r="U61" s="535"/>
      <c r="V61" s="535"/>
      <c r="W61" s="535"/>
      <c r="X61" s="535"/>
      <c r="Y61" s="536"/>
    </row>
    <row r="62" spans="1:25" ht="12.75">
      <c r="A62" s="532" t="s">
        <v>3135</v>
      </c>
      <c r="B62" s="532">
        <v>41200109</v>
      </c>
      <c r="C62" s="532" t="s">
        <v>1591</v>
      </c>
      <c r="D62" s="532" t="s">
        <v>6619</v>
      </c>
      <c r="E62" s="532" t="s">
        <v>1585</v>
      </c>
      <c r="F62" s="532" t="s">
        <v>2395</v>
      </c>
      <c r="G62" s="532" t="s">
        <v>1468</v>
      </c>
      <c r="H62" s="532" t="s">
        <v>2392</v>
      </c>
      <c r="I62" s="532" t="s">
        <v>6604</v>
      </c>
      <c r="J62" s="534">
        <v>45943</v>
      </c>
      <c r="K62" s="535"/>
      <c r="L62" s="535"/>
      <c r="M62" s="535"/>
      <c r="N62" s="535"/>
      <c r="O62" s="535"/>
      <c r="P62" s="535"/>
      <c r="Q62" s="535"/>
      <c r="R62" s="535"/>
      <c r="S62" s="535"/>
      <c r="T62" s="535"/>
      <c r="U62" s="535"/>
      <c r="V62" s="535"/>
      <c r="W62" s="535"/>
      <c r="X62" s="535"/>
      <c r="Y62" s="536"/>
    </row>
    <row r="63" spans="1:25" ht="12.75">
      <c r="A63" s="532" t="s">
        <v>3174</v>
      </c>
      <c r="B63" s="532">
        <v>41200184</v>
      </c>
      <c r="C63" s="532" t="s">
        <v>1479</v>
      </c>
      <c r="D63" s="532" t="s">
        <v>1394</v>
      </c>
      <c r="E63" s="532" t="s">
        <v>1394</v>
      </c>
      <c r="F63" s="532" t="s">
        <v>2391</v>
      </c>
      <c r="G63" s="532" t="s">
        <v>1468</v>
      </c>
      <c r="H63" s="532" t="s">
        <v>2391</v>
      </c>
      <c r="I63" s="532" t="s">
        <v>6604</v>
      </c>
      <c r="J63" s="534">
        <v>45943</v>
      </c>
      <c r="K63" s="535"/>
      <c r="L63" s="535"/>
      <c r="M63" s="535"/>
      <c r="N63" s="535"/>
      <c r="O63" s="535"/>
      <c r="P63" s="535"/>
      <c r="Q63" s="535"/>
      <c r="R63" s="535"/>
      <c r="S63" s="535"/>
      <c r="T63" s="535"/>
      <c r="U63" s="535"/>
      <c r="V63" s="535"/>
      <c r="W63" s="535"/>
      <c r="X63" s="535"/>
      <c r="Y63" s="536"/>
    </row>
    <row r="64" spans="1:25" ht="12.75">
      <c r="A64" s="532" t="s">
        <v>3173</v>
      </c>
      <c r="B64" s="532">
        <v>41200184</v>
      </c>
      <c r="C64" s="532" t="s">
        <v>1479</v>
      </c>
      <c r="D64" s="532" t="s">
        <v>1394</v>
      </c>
      <c r="E64" s="532" t="s">
        <v>1394</v>
      </c>
      <c r="F64" s="532" t="s">
        <v>2391</v>
      </c>
      <c r="G64" s="532" t="s">
        <v>1468</v>
      </c>
      <c r="H64" s="532" t="s">
        <v>2391</v>
      </c>
      <c r="I64" s="532" t="s">
        <v>6604</v>
      </c>
      <c r="J64" s="534">
        <v>45943</v>
      </c>
      <c r="K64" s="535"/>
      <c r="L64" s="535"/>
      <c r="M64" s="535"/>
      <c r="N64" s="535"/>
      <c r="O64" s="535"/>
      <c r="P64" s="535"/>
      <c r="Q64" s="535"/>
      <c r="R64" s="535"/>
      <c r="S64" s="535"/>
      <c r="T64" s="535"/>
      <c r="U64" s="535"/>
      <c r="V64" s="535"/>
      <c r="W64" s="535"/>
      <c r="X64" s="535"/>
      <c r="Y64" s="536"/>
    </row>
    <row r="65" spans="1:25" ht="12.75">
      <c r="A65" s="532" t="s">
        <v>3167</v>
      </c>
      <c r="B65" s="532">
        <v>41200184</v>
      </c>
      <c r="C65" s="532" t="s">
        <v>1479</v>
      </c>
      <c r="D65" s="532" t="s">
        <v>1394</v>
      </c>
      <c r="E65" s="532" t="s">
        <v>1394</v>
      </c>
      <c r="F65" s="532" t="s">
        <v>2391</v>
      </c>
      <c r="G65" s="532" t="s">
        <v>1468</v>
      </c>
      <c r="H65" s="532" t="s">
        <v>2391</v>
      </c>
      <c r="I65" s="532" t="s">
        <v>6604</v>
      </c>
      <c r="J65" s="534">
        <v>45943</v>
      </c>
      <c r="K65" s="535"/>
      <c r="L65" s="535"/>
      <c r="M65" s="535"/>
      <c r="N65" s="535"/>
      <c r="O65" s="535"/>
      <c r="P65" s="535"/>
      <c r="Q65" s="535"/>
      <c r="R65" s="535"/>
      <c r="S65" s="535"/>
      <c r="T65" s="535"/>
      <c r="U65" s="535"/>
      <c r="V65" s="535"/>
      <c r="W65" s="535"/>
      <c r="X65" s="535"/>
      <c r="Y65" s="536"/>
    </row>
    <row r="66" spans="1:25" ht="12.75">
      <c r="A66" s="532" t="s">
        <v>3166</v>
      </c>
      <c r="B66" s="532">
        <v>41200171</v>
      </c>
      <c r="C66" s="532" t="s">
        <v>1479</v>
      </c>
      <c r="D66" s="532" t="s">
        <v>1394</v>
      </c>
      <c r="E66" s="532" t="s">
        <v>1394</v>
      </c>
      <c r="F66" s="532" t="s">
        <v>2391</v>
      </c>
      <c r="G66" s="532" t="s">
        <v>1468</v>
      </c>
      <c r="H66" s="532" t="s">
        <v>2391</v>
      </c>
      <c r="I66" s="532" t="s">
        <v>6604</v>
      </c>
      <c r="J66" s="534">
        <v>45943</v>
      </c>
      <c r="K66" s="535"/>
      <c r="L66" s="535"/>
      <c r="M66" s="535"/>
      <c r="N66" s="535"/>
      <c r="O66" s="535"/>
      <c r="P66" s="535"/>
      <c r="Q66" s="535"/>
      <c r="R66" s="535"/>
      <c r="S66" s="535"/>
      <c r="T66" s="535"/>
      <c r="U66" s="535"/>
      <c r="V66" s="535"/>
      <c r="W66" s="535"/>
      <c r="X66" s="535"/>
      <c r="Y66" s="536"/>
    </row>
    <row r="67" spans="1:25" ht="12.75">
      <c r="A67" s="532" t="s">
        <v>3142</v>
      </c>
      <c r="B67" s="532">
        <v>41100435</v>
      </c>
      <c r="C67" s="532" t="s">
        <v>3801</v>
      </c>
      <c r="D67" s="532" t="s">
        <v>1482</v>
      </c>
      <c r="E67" s="532" t="s">
        <v>1585</v>
      </c>
      <c r="F67" s="532" t="s">
        <v>2391</v>
      </c>
      <c r="G67" s="532" t="s">
        <v>1468</v>
      </c>
      <c r="H67" s="533"/>
      <c r="I67" s="532" t="s">
        <v>6604</v>
      </c>
      <c r="J67" s="534">
        <v>45943</v>
      </c>
      <c r="K67" s="535"/>
      <c r="L67" s="535"/>
      <c r="M67" s="535"/>
      <c r="N67" s="535"/>
      <c r="O67" s="535"/>
      <c r="P67" s="535"/>
      <c r="Q67" s="535"/>
      <c r="R67" s="535"/>
      <c r="S67" s="535"/>
      <c r="T67" s="535"/>
      <c r="U67" s="535"/>
      <c r="V67" s="535"/>
      <c r="W67" s="535"/>
      <c r="X67" s="535"/>
      <c r="Y67" s="536"/>
    </row>
    <row r="68" spans="1:25" ht="12.75">
      <c r="A68" s="532" t="s">
        <v>3153</v>
      </c>
      <c r="B68" s="532">
        <v>41200005</v>
      </c>
      <c r="C68" s="532" t="s">
        <v>1591</v>
      </c>
      <c r="D68" s="532" t="s">
        <v>1591</v>
      </c>
      <c r="E68" s="532" t="s">
        <v>1405</v>
      </c>
      <c r="F68" s="532" t="s">
        <v>2395</v>
      </c>
      <c r="G68" s="532" t="s">
        <v>1469</v>
      </c>
      <c r="H68" s="532" t="s">
        <v>2392</v>
      </c>
      <c r="I68" s="532" t="s">
        <v>6604</v>
      </c>
      <c r="J68" s="534">
        <v>45943</v>
      </c>
      <c r="K68" s="535"/>
      <c r="L68" s="535"/>
      <c r="M68" s="535"/>
      <c r="N68" s="535"/>
      <c r="O68" s="535"/>
      <c r="P68" s="535"/>
      <c r="Q68" s="535"/>
      <c r="R68" s="535"/>
      <c r="S68" s="535"/>
      <c r="T68" s="535"/>
      <c r="U68" s="535"/>
      <c r="V68" s="535"/>
      <c r="W68" s="535"/>
      <c r="X68" s="535"/>
      <c r="Y68" s="536"/>
    </row>
    <row r="69" spans="1:25" ht="12.75">
      <c r="A69" s="532" t="s">
        <v>3152</v>
      </c>
      <c r="B69" s="532">
        <v>41200005</v>
      </c>
      <c r="C69" s="532" t="s">
        <v>1591</v>
      </c>
      <c r="D69" s="532" t="s">
        <v>1591</v>
      </c>
      <c r="E69" s="532" t="s">
        <v>1405</v>
      </c>
      <c r="F69" s="532" t="s">
        <v>2395</v>
      </c>
      <c r="G69" s="532" t="s">
        <v>1469</v>
      </c>
      <c r="H69" s="532" t="s">
        <v>2392</v>
      </c>
      <c r="I69" s="532" t="s">
        <v>6604</v>
      </c>
      <c r="J69" s="534">
        <v>45943</v>
      </c>
      <c r="K69" s="535"/>
      <c r="L69" s="535"/>
      <c r="M69" s="535"/>
      <c r="N69" s="535"/>
      <c r="O69" s="535"/>
      <c r="P69" s="535"/>
      <c r="Q69" s="535"/>
      <c r="R69" s="535"/>
      <c r="S69" s="535"/>
      <c r="T69" s="535"/>
      <c r="U69" s="535"/>
      <c r="V69" s="535"/>
      <c r="W69" s="535"/>
      <c r="X69" s="535"/>
      <c r="Y69" s="536"/>
    </row>
    <row r="70" spans="1:25" ht="12.75">
      <c r="A70" s="532" t="s">
        <v>3151</v>
      </c>
      <c r="B70" s="532">
        <v>41200005</v>
      </c>
      <c r="C70" s="532" t="s">
        <v>1591</v>
      </c>
      <c r="D70" s="532" t="s">
        <v>1591</v>
      </c>
      <c r="E70" s="532" t="s">
        <v>1405</v>
      </c>
      <c r="F70" s="532" t="s">
        <v>2395</v>
      </c>
      <c r="G70" s="532" t="s">
        <v>1469</v>
      </c>
      <c r="H70" s="532" t="s">
        <v>2392</v>
      </c>
      <c r="I70" s="532" t="s">
        <v>6604</v>
      </c>
      <c r="J70" s="534">
        <v>45943</v>
      </c>
      <c r="K70" s="535"/>
      <c r="L70" s="535"/>
      <c r="M70" s="535"/>
      <c r="N70" s="535"/>
      <c r="O70" s="535"/>
      <c r="P70" s="535"/>
      <c r="Q70" s="535"/>
      <c r="R70" s="535"/>
      <c r="S70" s="535"/>
      <c r="T70" s="535"/>
      <c r="U70" s="535"/>
      <c r="V70" s="535"/>
      <c r="W70" s="535"/>
      <c r="X70" s="535"/>
      <c r="Y70" s="536"/>
    </row>
    <row r="71" spans="1:25" ht="12.75">
      <c r="A71" s="532" t="s">
        <v>3150</v>
      </c>
      <c r="B71" s="532">
        <v>41200005</v>
      </c>
      <c r="C71" s="532" t="s">
        <v>1591</v>
      </c>
      <c r="D71" s="532" t="s">
        <v>1591</v>
      </c>
      <c r="E71" s="532" t="s">
        <v>1405</v>
      </c>
      <c r="F71" s="532" t="s">
        <v>2395</v>
      </c>
      <c r="G71" s="532" t="s">
        <v>1469</v>
      </c>
      <c r="H71" s="532" t="s">
        <v>2392</v>
      </c>
      <c r="I71" s="532" t="s">
        <v>6604</v>
      </c>
      <c r="J71" s="534">
        <v>45943</v>
      </c>
      <c r="K71" s="535"/>
      <c r="L71" s="535"/>
      <c r="M71" s="535"/>
      <c r="N71" s="535"/>
      <c r="O71" s="535"/>
      <c r="P71" s="535"/>
      <c r="Q71" s="535"/>
      <c r="R71" s="535"/>
      <c r="S71" s="535"/>
      <c r="T71" s="535"/>
      <c r="U71" s="535"/>
      <c r="V71" s="535"/>
      <c r="W71" s="535"/>
      <c r="X71" s="535"/>
      <c r="Y71" s="536"/>
    </row>
    <row r="72" spans="1:25" ht="12.75">
      <c r="A72" s="532" t="s">
        <v>3191</v>
      </c>
      <c r="B72" s="532">
        <v>41200074</v>
      </c>
      <c r="C72" s="532" t="s">
        <v>1478</v>
      </c>
      <c r="D72" s="532" t="s">
        <v>6620</v>
      </c>
      <c r="E72" s="532" t="s">
        <v>1405</v>
      </c>
      <c r="F72" s="532" t="s">
        <v>2391</v>
      </c>
      <c r="G72" s="532" t="s">
        <v>2392</v>
      </c>
      <c r="H72" s="532" t="s">
        <v>2391</v>
      </c>
      <c r="I72" s="532" t="s">
        <v>6604</v>
      </c>
      <c r="J72" s="534">
        <v>45943</v>
      </c>
      <c r="K72" s="535"/>
      <c r="L72" s="535"/>
      <c r="M72" s="535"/>
      <c r="N72" s="535"/>
      <c r="O72" s="535"/>
      <c r="P72" s="535"/>
      <c r="Q72" s="535"/>
      <c r="R72" s="535"/>
      <c r="S72" s="535"/>
      <c r="T72" s="535"/>
      <c r="U72" s="535"/>
      <c r="V72" s="535"/>
      <c r="W72" s="535"/>
      <c r="X72" s="535"/>
      <c r="Y72" s="536"/>
    </row>
    <row r="73" spans="1:25" ht="12.75">
      <c r="A73" s="532" t="s">
        <v>3195</v>
      </c>
      <c r="B73" s="532">
        <v>41200074</v>
      </c>
      <c r="C73" s="532" t="s">
        <v>1478</v>
      </c>
      <c r="D73" s="532" t="s">
        <v>6620</v>
      </c>
      <c r="E73" s="532" t="s">
        <v>1405</v>
      </c>
      <c r="F73" s="532" t="s">
        <v>2391</v>
      </c>
      <c r="G73" s="532" t="s">
        <v>2392</v>
      </c>
      <c r="H73" s="532" t="s">
        <v>2391</v>
      </c>
      <c r="I73" s="532" t="s">
        <v>6604</v>
      </c>
      <c r="J73" s="534">
        <v>45943</v>
      </c>
      <c r="K73" s="535"/>
      <c r="L73" s="535"/>
      <c r="M73" s="535"/>
      <c r="N73" s="535"/>
      <c r="O73" s="535"/>
      <c r="P73" s="535"/>
      <c r="Q73" s="535"/>
      <c r="R73" s="535"/>
      <c r="S73" s="535"/>
      <c r="T73" s="535"/>
      <c r="U73" s="535"/>
      <c r="V73" s="535"/>
      <c r="W73" s="535"/>
      <c r="X73" s="535"/>
      <c r="Y73" s="536"/>
    </row>
    <row r="74" spans="1:25" ht="12.75">
      <c r="A74" s="532" t="s">
        <v>3182</v>
      </c>
      <c r="B74" s="532">
        <v>41200007</v>
      </c>
      <c r="C74" s="532" t="s">
        <v>1591</v>
      </c>
      <c r="D74" s="532" t="s">
        <v>6608</v>
      </c>
      <c r="E74" s="532" t="s">
        <v>1405</v>
      </c>
      <c r="F74" s="532" t="s">
        <v>2395</v>
      </c>
      <c r="G74" s="532" t="s">
        <v>1469</v>
      </c>
      <c r="H74" s="532" t="s">
        <v>2392</v>
      </c>
      <c r="I74" s="532" t="s">
        <v>6604</v>
      </c>
      <c r="J74" s="534">
        <v>45943</v>
      </c>
      <c r="K74" s="535"/>
      <c r="L74" s="535"/>
      <c r="M74" s="535"/>
      <c r="N74" s="535"/>
      <c r="O74" s="535"/>
      <c r="P74" s="535"/>
      <c r="Q74" s="535"/>
      <c r="R74" s="535"/>
      <c r="S74" s="535"/>
      <c r="T74" s="535"/>
      <c r="U74" s="535"/>
      <c r="V74" s="535"/>
      <c r="W74" s="535"/>
      <c r="X74" s="535"/>
      <c r="Y74" s="536"/>
    </row>
    <row r="75" spans="1:25" ht="12.75">
      <c r="A75" s="532" t="s">
        <v>3181</v>
      </c>
      <c r="B75" s="532">
        <v>41200007</v>
      </c>
      <c r="C75" s="532" t="s">
        <v>1591</v>
      </c>
      <c r="D75" s="532" t="s">
        <v>6608</v>
      </c>
      <c r="E75" s="532" t="s">
        <v>1405</v>
      </c>
      <c r="F75" s="532" t="s">
        <v>2395</v>
      </c>
      <c r="G75" s="532" t="s">
        <v>1469</v>
      </c>
      <c r="H75" s="532" t="s">
        <v>2392</v>
      </c>
      <c r="I75" s="532" t="s">
        <v>6604</v>
      </c>
      <c r="J75" s="534">
        <v>45943</v>
      </c>
      <c r="K75" s="535"/>
      <c r="L75" s="535"/>
      <c r="M75" s="535"/>
      <c r="N75" s="535"/>
      <c r="O75" s="535"/>
      <c r="P75" s="535"/>
      <c r="Q75" s="535"/>
      <c r="R75" s="535"/>
      <c r="S75" s="535"/>
      <c r="T75" s="535"/>
      <c r="U75" s="535"/>
      <c r="V75" s="535"/>
      <c r="W75" s="535"/>
      <c r="X75" s="535"/>
      <c r="Y75" s="536"/>
    </row>
    <row r="76" spans="1:25" ht="12.75">
      <c r="A76" s="532" t="s">
        <v>3163</v>
      </c>
      <c r="B76" s="532">
        <v>41100435</v>
      </c>
      <c r="C76" s="532" t="s">
        <v>3801</v>
      </c>
      <c r="D76" s="532" t="s">
        <v>1482</v>
      </c>
      <c r="E76" s="532" t="s">
        <v>1585</v>
      </c>
      <c r="F76" s="532" t="s">
        <v>2391</v>
      </c>
      <c r="G76" s="532" t="s">
        <v>2392</v>
      </c>
      <c r="H76" s="533"/>
      <c r="I76" s="532" t="s">
        <v>6604</v>
      </c>
      <c r="J76" s="534">
        <v>45943</v>
      </c>
      <c r="K76" s="535"/>
      <c r="L76" s="535"/>
      <c r="M76" s="535"/>
      <c r="N76" s="535"/>
      <c r="O76" s="535"/>
      <c r="P76" s="535"/>
      <c r="Q76" s="535"/>
      <c r="R76" s="535"/>
      <c r="S76" s="535"/>
      <c r="T76" s="535"/>
      <c r="U76" s="535"/>
      <c r="V76" s="535"/>
      <c r="W76" s="535"/>
      <c r="X76" s="535"/>
      <c r="Y76" s="536"/>
    </row>
    <row r="77" spans="1:25" ht="12.75">
      <c r="A77" s="532" t="s">
        <v>3137</v>
      </c>
      <c r="B77" s="532">
        <v>41200076</v>
      </c>
      <c r="C77" s="532" t="s">
        <v>1476</v>
      </c>
      <c r="D77" s="532" t="s">
        <v>1476</v>
      </c>
      <c r="E77" s="532" t="s">
        <v>1585</v>
      </c>
      <c r="F77" s="532" t="s">
        <v>2395</v>
      </c>
      <c r="G77" s="532" t="s">
        <v>1468</v>
      </c>
      <c r="H77" s="532" t="s">
        <v>2392</v>
      </c>
      <c r="I77" s="532" t="s">
        <v>6604</v>
      </c>
      <c r="J77" s="534">
        <v>45943</v>
      </c>
      <c r="K77" s="535"/>
      <c r="L77" s="535"/>
      <c r="M77" s="535"/>
      <c r="N77" s="535"/>
      <c r="O77" s="535"/>
      <c r="P77" s="535"/>
      <c r="Q77" s="535"/>
      <c r="R77" s="535"/>
      <c r="S77" s="535"/>
      <c r="T77" s="535"/>
      <c r="U77" s="535"/>
      <c r="V77" s="535"/>
      <c r="W77" s="535"/>
      <c r="X77" s="535"/>
      <c r="Y77" s="536"/>
    </row>
    <row r="78" spans="1:25" ht="12.75">
      <c r="A78" s="532" t="s">
        <v>3179</v>
      </c>
      <c r="B78" s="532">
        <v>41100665</v>
      </c>
      <c r="C78" s="532" t="s">
        <v>3180</v>
      </c>
      <c r="D78" s="532" t="s">
        <v>3180</v>
      </c>
      <c r="E78" s="532" t="s">
        <v>1416</v>
      </c>
      <c r="F78" s="532" t="s">
        <v>2395</v>
      </c>
      <c r="G78" s="532" t="s">
        <v>1469</v>
      </c>
      <c r="H78" s="533"/>
      <c r="I78" s="532" t="s">
        <v>6604</v>
      </c>
      <c r="J78" s="534">
        <v>45943</v>
      </c>
      <c r="K78" s="535"/>
      <c r="L78" s="535"/>
      <c r="M78" s="535"/>
      <c r="N78" s="535"/>
      <c r="O78" s="535"/>
      <c r="P78" s="535"/>
      <c r="Q78" s="535"/>
      <c r="R78" s="535"/>
      <c r="S78" s="535"/>
      <c r="T78" s="535"/>
      <c r="U78" s="535"/>
      <c r="V78" s="535"/>
      <c r="W78" s="535"/>
      <c r="X78" s="535"/>
      <c r="Y78" s="536"/>
    </row>
    <row r="79" spans="1:25" ht="12.75">
      <c r="A79" s="532" t="s">
        <v>3178</v>
      </c>
      <c r="B79" s="532">
        <v>41200007</v>
      </c>
      <c r="C79" s="532" t="s">
        <v>1591</v>
      </c>
      <c r="D79" s="532" t="s">
        <v>6608</v>
      </c>
      <c r="E79" s="532" t="s">
        <v>1405</v>
      </c>
      <c r="F79" s="532" t="s">
        <v>2391</v>
      </c>
      <c r="G79" s="532" t="s">
        <v>2392</v>
      </c>
      <c r="H79" s="532" t="s">
        <v>2391</v>
      </c>
      <c r="I79" s="532" t="s">
        <v>6604</v>
      </c>
      <c r="J79" s="534">
        <v>45943</v>
      </c>
      <c r="K79" s="535"/>
      <c r="L79" s="535"/>
      <c r="M79" s="535"/>
      <c r="N79" s="535"/>
      <c r="O79" s="535"/>
      <c r="P79" s="535"/>
      <c r="Q79" s="535"/>
      <c r="R79" s="535"/>
      <c r="S79" s="535"/>
      <c r="T79" s="535"/>
      <c r="U79" s="535"/>
      <c r="V79" s="535"/>
      <c r="W79" s="535"/>
      <c r="X79" s="535"/>
      <c r="Y79" s="536"/>
    </row>
    <row r="80" spans="1:25" ht="12.75">
      <c r="A80" s="532" t="s">
        <v>3177</v>
      </c>
      <c r="B80" s="532">
        <v>41200007</v>
      </c>
      <c r="C80" s="532" t="s">
        <v>1591</v>
      </c>
      <c r="D80" s="532" t="s">
        <v>6608</v>
      </c>
      <c r="E80" s="532" t="s">
        <v>1405</v>
      </c>
      <c r="F80" s="532" t="s">
        <v>2391</v>
      </c>
      <c r="G80" s="532" t="s">
        <v>2392</v>
      </c>
      <c r="H80" s="532" t="s">
        <v>2391</v>
      </c>
      <c r="I80" s="532" t="s">
        <v>6604</v>
      </c>
      <c r="J80" s="534">
        <v>45943</v>
      </c>
      <c r="K80" s="535"/>
      <c r="L80" s="535"/>
      <c r="M80" s="535"/>
      <c r="N80" s="535"/>
      <c r="O80" s="535"/>
      <c r="P80" s="535"/>
      <c r="Q80" s="535"/>
      <c r="R80" s="535"/>
      <c r="S80" s="535"/>
      <c r="T80" s="535"/>
      <c r="U80" s="535"/>
      <c r="V80" s="535"/>
      <c r="W80" s="535"/>
      <c r="X80" s="535"/>
      <c r="Y80" s="536"/>
    </row>
    <row r="81" spans="1:25" ht="12.75">
      <c r="A81" s="532" t="s">
        <v>3176</v>
      </c>
      <c r="B81" s="532">
        <v>41200007</v>
      </c>
      <c r="C81" s="532" t="s">
        <v>1591</v>
      </c>
      <c r="D81" s="532" t="s">
        <v>6608</v>
      </c>
      <c r="E81" s="532" t="s">
        <v>1405</v>
      </c>
      <c r="F81" s="532" t="s">
        <v>2391</v>
      </c>
      <c r="G81" s="532" t="s">
        <v>2392</v>
      </c>
      <c r="H81" s="532" t="s">
        <v>2391</v>
      </c>
      <c r="I81" s="532" t="s">
        <v>6604</v>
      </c>
      <c r="J81" s="534">
        <v>45943</v>
      </c>
      <c r="K81" s="535"/>
      <c r="L81" s="535"/>
      <c r="M81" s="535"/>
      <c r="N81" s="535"/>
      <c r="O81" s="535"/>
      <c r="P81" s="535"/>
      <c r="Q81" s="535"/>
      <c r="R81" s="535"/>
      <c r="S81" s="535"/>
      <c r="T81" s="535"/>
      <c r="U81" s="535"/>
      <c r="V81" s="535"/>
      <c r="W81" s="535"/>
      <c r="X81" s="535"/>
      <c r="Y81" s="536"/>
    </row>
    <row r="82" spans="1:25" ht="12.75">
      <c r="A82" s="532" t="s">
        <v>3214</v>
      </c>
      <c r="B82" s="532">
        <v>41200007</v>
      </c>
      <c r="C82" s="532" t="s">
        <v>1591</v>
      </c>
      <c r="D82" s="532" t="s">
        <v>6608</v>
      </c>
      <c r="E82" s="532" t="s">
        <v>1405</v>
      </c>
      <c r="F82" s="532" t="s">
        <v>2391</v>
      </c>
      <c r="G82" s="532" t="s">
        <v>2392</v>
      </c>
      <c r="H82" s="532" t="s">
        <v>2391</v>
      </c>
      <c r="I82" s="532" t="s">
        <v>6604</v>
      </c>
      <c r="J82" s="534">
        <v>45943</v>
      </c>
      <c r="K82" s="535"/>
      <c r="L82" s="535"/>
      <c r="M82" s="535"/>
      <c r="N82" s="535"/>
      <c r="O82" s="535"/>
      <c r="P82" s="535"/>
      <c r="Q82" s="535"/>
      <c r="R82" s="535"/>
      <c r="S82" s="535"/>
      <c r="T82" s="535"/>
      <c r="U82" s="535"/>
      <c r="V82" s="535"/>
      <c r="W82" s="535"/>
      <c r="X82" s="535"/>
      <c r="Y82" s="536"/>
    </row>
    <row r="83" spans="1:25" ht="12.75">
      <c r="A83" s="532" t="s">
        <v>3213</v>
      </c>
      <c r="B83" s="532">
        <v>41200007</v>
      </c>
      <c r="C83" s="532" t="s">
        <v>1591</v>
      </c>
      <c r="D83" s="532" t="s">
        <v>6608</v>
      </c>
      <c r="E83" s="532" t="s">
        <v>1405</v>
      </c>
      <c r="F83" s="532" t="s">
        <v>2391</v>
      </c>
      <c r="G83" s="532" t="s">
        <v>2392</v>
      </c>
      <c r="H83" s="532" t="s">
        <v>2391</v>
      </c>
      <c r="I83" s="532" t="s">
        <v>6604</v>
      </c>
      <c r="J83" s="534">
        <v>45943</v>
      </c>
      <c r="K83" s="535"/>
      <c r="L83" s="535"/>
      <c r="M83" s="535"/>
      <c r="N83" s="535"/>
      <c r="O83" s="535"/>
      <c r="P83" s="535"/>
      <c r="Q83" s="535"/>
      <c r="R83" s="535"/>
      <c r="S83" s="535"/>
      <c r="T83" s="535"/>
      <c r="U83" s="535"/>
      <c r="V83" s="535"/>
      <c r="W83" s="535"/>
      <c r="X83" s="535"/>
      <c r="Y83" s="536"/>
    </row>
    <row r="84" spans="1:25" ht="12.75">
      <c r="A84" s="532" t="s">
        <v>3187</v>
      </c>
      <c r="B84" s="532">
        <v>41200007</v>
      </c>
      <c r="C84" s="532" t="s">
        <v>1591</v>
      </c>
      <c r="D84" s="532" t="s">
        <v>6608</v>
      </c>
      <c r="E84" s="532" t="s">
        <v>1405</v>
      </c>
      <c r="F84" s="532" t="s">
        <v>2391</v>
      </c>
      <c r="G84" s="532" t="s">
        <v>2392</v>
      </c>
      <c r="H84" s="532" t="s">
        <v>2391</v>
      </c>
      <c r="I84" s="532" t="s">
        <v>6604</v>
      </c>
      <c r="J84" s="534">
        <v>45943</v>
      </c>
      <c r="K84" s="535"/>
      <c r="L84" s="535"/>
      <c r="M84" s="535"/>
      <c r="N84" s="535"/>
      <c r="O84" s="535"/>
      <c r="P84" s="535"/>
      <c r="Q84" s="535"/>
      <c r="R84" s="535"/>
      <c r="S84" s="535"/>
      <c r="T84" s="535"/>
      <c r="U84" s="535"/>
      <c r="V84" s="535"/>
      <c r="W84" s="535"/>
      <c r="X84" s="535"/>
      <c r="Y84" s="536"/>
    </row>
    <row r="85" spans="1:25" ht="12.75">
      <c r="A85" s="532" t="s">
        <v>3186</v>
      </c>
      <c r="B85" s="532">
        <v>41200007</v>
      </c>
      <c r="C85" s="532" t="s">
        <v>1591</v>
      </c>
      <c r="D85" s="532" t="s">
        <v>6608</v>
      </c>
      <c r="E85" s="532" t="s">
        <v>1405</v>
      </c>
      <c r="F85" s="532" t="s">
        <v>2391</v>
      </c>
      <c r="G85" s="532" t="s">
        <v>2392</v>
      </c>
      <c r="H85" s="532" t="s">
        <v>2391</v>
      </c>
      <c r="I85" s="532" t="s">
        <v>6604</v>
      </c>
      <c r="J85" s="534">
        <v>45943</v>
      </c>
      <c r="K85" s="535"/>
      <c r="L85" s="535"/>
      <c r="M85" s="535"/>
      <c r="N85" s="535"/>
      <c r="O85" s="535"/>
      <c r="P85" s="535"/>
      <c r="Q85" s="535"/>
      <c r="R85" s="535"/>
      <c r="S85" s="535"/>
      <c r="T85" s="535"/>
      <c r="U85" s="535"/>
      <c r="V85" s="535"/>
      <c r="W85" s="535"/>
      <c r="X85" s="535"/>
      <c r="Y85" s="536"/>
    </row>
    <row r="86" spans="1:25" ht="12.75">
      <c r="A86" s="532" t="s">
        <v>3197</v>
      </c>
      <c r="B86" s="532">
        <v>41200007</v>
      </c>
      <c r="C86" s="532" t="s">
        <v>1591</v>
      </c>
      <c r="D86" s="532" t="s">
        <v>6608</v>
      </c>
      <c r="E86" s="532" t="s">
        <v>1405</v>
      </c>
      <c r="F86" s="532" t="s">
        <v>2395</v>
      </c>
      <c r="G86" s="532" t="s">
        <v>1469</v>
      </c>
      <c r="H86" s="532" t="s">
        <v>2392</v>
      </c>
      <c r="I86" s="532" t="s">
        <v>6604</v>
      </c>
      <c r="J86" s="534">
        <v>45943</v>
      </c>
      <c r="K86" s="535"/>
      <c r="L86" s="535"/>
      <c r="M86" s="535"/>
      <c r="N86" s="535"/>
      <c r="O86" s="535"/>
      <c r="P86" s="535"/>
      <c r="Q86" s="535"/>
      <c r="R86" s="535"/>
      <c r="S86" s="535"/>
      <c r="T86" s="535"/>
      <c r="U86" s="535"/>
      <c r="V86" s="535"/>
      <c r="W86" s="535"/>
      <c r="X86" s="535"/>
      <c r="Y86" s="536"/>
    </row>
    <row r="87" spans="1:25" ht="12.75">
      <c r="A87" s="532" t="s">
        <v>3196</v>
      </c>
      <c r="B87" s="532">
        <v>41200007</v>
      </c>
      <c r="C87" s="532" t="s">
        <v>1591</v>
      </c>
      <c r="D87" s="532" t="s">
        <v>6608</v>
      </c>
      <c r="E87" s="532" t="s">
        <v>1405</v>
      </c>
      <c r="F87" s="532" t="s">
        <v>2395</v>
      </c>
      <c r="G87" s="532" t="s">
        <v>1469</v>
      </c>
      <c r="H87" s="532" t="s">
        <v>2392</v>
      </c>
      <c r="I87" s="532" t="s">
        <v>6604</v>
      </c>
      <c r="J87" s="534">
        <v>45943</v>
      </c>
      <c r="K87" s="535"/>
      <c r="L87" s="535"/>
      <c r="M87" s="535"/>
      <c r="N87" s="535"/>
      <c r="O87" s="535"/>
      <c r="P87" s="535"/>
      <c r="Q87" s="535"/>
      <c r="R87" s="535"/>
      <c r="S87" s="535"/>
      <c r="T87" s="535"/>
      <c r="U87" s="535"/>
      <c r="V87" s="535"/>
      <c r="W87" s="535"/>
      <c r="X87" s="535"/>
      <c r="Y87" s="536"/>
    </row>
    <row r="88" spans="1:25" ht="12.75">
      <c r="A88" s="532" t="s">
        <v>3168</v>
      </c>
      <c r="B88" s="532">
        <v>41200122</v>
      </c>
      <c r="C88" s="532" t="s">
        <v>1476</v>
      </c>
      <c r="D88" s="532" t="s">
        <v>1476</v>
      </c>
      <c r="E88" s="532" t="s">
        <v>1585</v>
      </c>
      <c r="F88" s="532" t="s">
        <v>2395</v>
      </c>
      <c r="G88" s="532" t="s">
        <v>1469</v>
      </c>
      <c r="H88" s="532" t="s">
        <v>2392</v>
      </c>
      <c r="I88" s="532" t="s">
        <v>6604</v>
      </c>
      <c r="J88" s="534">
        <v>45943</v>
      </c>
      <c r="K88" s="535"/>
      <c r="L88" s="535"/>
      <c r="M88" s="535"/>
      <c r="N88" s="535"/>
      <c r="O88" s="535"/>
      <c r="P88" s="535"/>
      <c r="Q88" s="535"/>
      <c r="R88" s="535"/>
      <c r="S88" s="535"/>
      <c r="T88" s="535"/>
      <c r="U88" s="535"/>
      <c r="V88" s="535"/>
      <c r="W88" s="535"/>
      <c r="X88" s="535"/>
      <c r="Y88" s="536"/>
    </row>
    <row r="89" spans="1:25" ht="12.75">
      <c r="A89" s="532" t="s">
        <v>5328</v>
      </c>
      <c r="B89" s="532">
        <v>41200179</v>
      </c>
      <c r="C89" s="532" t="s">
        <v>1478</v>
      </c>
      <c r="D89" s="532" t="s">
        <v>6621</v>
      </c>
      <c r="E89" s="532" t="s">
        <v>1426</v>
      </c>
      <c r="F89" s="532" t="s">
        <v>2395</v>
      </c>
      <c r="G89" s="532" t="s">
        <v>2392</v>
      </c>
      <c r="H89" s="532" t="s">
        <v>2392</v>
      </c>
      <c r="I89" s="532" t="s">
        <v>6604</v>
      </c>
      <c r="J89" s="534">
        <v>45943</v>
      </c>
      <c r="K89" s="535"/>
      <c r="L89" s="535"/>
      <c r="M89" s="535"/>
      <c r="N89" s="535"/>
      <c r="O89" s="535"/>
      <c r="P89" s="535"/>
      <c r="Q89" s="535"/>
      <c r="R89" s="535"/>
      <c r="S89" s="535"/>
      <c r="T89" s="535"/>
      <c r="U89" s="535"/>
      <c r="V89" s="535"/>
      <c r="W89" s="535"/>
      <c r="X89" s="535"/>
      <c r="Y89" s="536"/>
    </row>
    <row r="90" spans="1:25" ht="12.75">
      <c r="A90" s="532" t="s">
        <v>3149</v>
      </c>
      <c r="B90" s="532">
        <v>41200109</v>
      </c>
      <c r="C90" s="532" t="s">
        <v>1591</v>
      </c>
      <c r="D90" s="532" t="s">
        <v>6619</v>
      </c>
      <c r="E90" s="532" t="s">
        <v>1585</v>
      </c>
      <c r="F90" s="532" t="s">
        <v>2391</v>
      </c>
      <c r="G90" s="532" t="s">
        <v>2392</v>
      </c>
      <c r="H90" s="532" t="s">
        <v>2391</v>
      </c>
      <c r="I90" s="532" t="s">
        <v>6604</v>
      </c>
      <c r="J90" s="534">
        <v>45943</v>
      </c>
      <c r="K90" s="535"/>
      <c r="L90" s="535"/>
      <c r="M90" s="535"/>
      <c r="N90" s="535"/>
      <c r="O90" s="535"/>
      <c r="P90" s="535"/>
      <c r="Q90" s="535"/>
      <c r="R90" s="535"/>
      <c r="S90" s="535"/>
      <c r="T90" s="535"/>
      <c r="U90" s="535"/>
      <c r="V90" s="535"/>
      <c r="W90" s="535"/>
      <c r="X90" s="535"/>
      <c r="Y90" s="536"/>
    </row>
    <row r="91" spans="1:25" ht="12.75">
      <c r="A91" s="532" t="s">
        <v>3148</v>
      </c>
      <c r="B91" s="532">
        <v>41200109</v>
      </c>
      <c r="C91" s="532" t="s">
        <v>1591</v>
      </c>
      <c r="D91" s="532" t="s">
        <v>6619</v>
      </c>
      <c r="E91" s="532" t="s">
        <v>1585</v>
      </c>
      <c r="F91" s="532" t="s">
        <v>2391</v>
      </c>
      <c r="G91" s="532" t="s">
        <v>2392</v>
      </c>
      <c r="H91" s="532" t="s">
        <v>2391</v>
      </c>
      <c r="I91" s="532" t="s">
        <v>6604</v>
      </c>
      <c r="J91" s="534">
        <v>45943</v>
      </c>
      <c r="K91" s="535"/>
      <c r="L91" s="535"/>
      <c r="M91" s="535"/>
      <c r="N91" s="535"/>
      <c r="O91" s="535"/>
      <c r="P91" s="535"/>
      <c r="Q91" s="535"/>
      <c r="R91" s="535"/>
      <c r="S91" s="535"/>
      <c r="T91" s="535"/>
      <c r="U91" s="535"/>
      <c r="V91" s="535"/>
      <c r="W91" s="535"/>
      <c r="X91" s="535"/>
      <c r="Y91" s="536"/>
    </row>
    <row r="92" spans="1:25" ht="12.75">
      <c r="A92" s="532" t="s">
        <v>3183</v>
      </c>
      <c r="B92" s="532">
        <v>41200125</v>
      </c>
      <c r="C92" s="532" t="s">
        <v>1476</v>
      </c>
      <c r="D92" s="532" t="s">
        <v>1476</v>
      </c>
      <c r="E92" s="532" t="s">
        <v>1585</v>
      </c>
      <c r="F92" s="532" t="s">
        <v>2395</v>
      </c>
      <c r="G92" s="532" t="s">
        <v>2392</v>
      </c>
      <c r="H92" s="532" t="s">
        <v>2392</v>
      </c>
      <c r="I92" s="532" t="s">
        <v>6604</v>
      </c>
      <c r="J92" s="534">
        <v>45943</v>
      </c>
      <c r="K92" s="535"/>
      <c r="L92" s="535"/>
      <c r="M92" s="535"/>
      <c r="N92" s="535"/>
      <c r="O92" s="535"/>
      <c r="P92" s="535"/>
      <c r="Q92" s="535"/>
      <c r="R92" s="535"/>
      <c r="S92" s="535"/>
      <c r="T92" s="535"/>
      <c r="U92" s="535"/>
      <c r="V92" s="535"/>
      <c r="W92" s="535"/>
      <c r="X92" s="535"/>
      <c r="Y92" s="536"/>
    </row>
    <row r="93" spans="1:25" ht="12.75">
      <c r="A93" s="532" t="s">
        <v>3144</v>
      </c>
      <c r="B93" s="532">
        <v>41000556</v>
      </c>
      <c r="C93" s="532" t="s">
        <v>1476</v>
      </c>
      <c r="D93" s="532" t="s">
        <v>1476</v>
      </c>
      <c r="E93" s="532" t="s">
        <v>1585</v>
      </c>
      <c r="F93" s="532" t="s">
        <v>2395</v>
      </c>
      <c r="G93" s="532" t="s">
        <v>1469</v>
      </c>
      <c r="H93" s="532" t="s">
        <v>2392</v>
      </c>
      <c r="I93" s="532" t="s">
        <v>6604</v>
      </c>
      <c r="J93" s="534">
        <v>45943</v>
      </c>
      <c r="K93" s="535"/>
      <c r="L93" s="535"/>
      <c r="M93" s="535"/>
      <c r="N93" s="535"/>
      <c r="O93" s="535"/>
      <c r="P93" s="535"/>
      <c r="Q93" s="535"/>
      <c r="R93" s="535"/>
      <c r="S93" s="535"/>
      <c r="T93" s="535"/>
      <c r="U93" s="535"/>
      <c r="V93" s="535"/>
      <c r="W93" s="535"/>
      <c r="X93" s="535"/>
      <c r="Y93" s="536"/>
    </row>
    <row r="94" spans="1:25" ht="12.75">
      <c r="A94" s="532" t="s">
        <v>3145</v>
      </c>
      <c r="B94" s="532">
        <v>41200007</v>
      </c>
      <c r="C94" s="532" t="s">
        <v>1591</v>
      </c>
      <c r="D94" s="532" t="s">
        <v>6608</v>
      </c>
      <c r="E94" s="532" t="s">
        <v>1405</v>
      </c>
      <c r="F94" s="532" t="s">
        <v>2395</v>
      </c>
      <c r="G94" s="532" t="s">
        <v>1469</v>
      </c>
      <c r="H94" s="532" t="s">
        <v>2392</v>
      </c>
      <c r="I94" s="532" t="s">
        <v>6604</v>
      </c>
      <c r="J94" s="534">
        <v>45943</v>
      </c>
      <c r="K94" s="535"/>
      <c r="L94" s="535"/>
      <c r="M94" s="535"/>
      <c r="N94" s="535"/>
      <c r="O94" s="535"/>
      <c r="P94" s="535"/>
      <c r="Q94" s="535"/>
      <c r="R94" s="535"/>
      <c r="S94" s="535"/>
      <c r="T94" s="535"/>
      <c r="U94" s="535"/>
      <c r="V94" s="535"/>
      <c r="W94" s="535"/>
      <c r="X94" s="535"/>
      <c r="Y94" s="536"/>
    </row>
    <row r="95" spans="1:25" ht="12.75">
      <c r="A95" s="532" t="s">
        <v>3134</v>
      </c>
      <c r="B95" s="532">
        <v>41200007</v>
      </c>
      <c r="C95" s="532" t="s">
        <v>1591</v>
      </c>
      <c r="D95" s="532" t="s">
        <v>6608</v>
      </c>
      <c r="E95" s="532" t="s">
        <v>1405</v>
      </c>
      <c r="F95" s="532" t="s">
        <v>2395</v>
      </c>
      <c r="G95" s="532" t="s">
        <v>1469</v>
      </c>
      <c r="H95" s="532" t="s">
        <v>2392</v>
      </c>
      <c r="I95" s="532" t="s">
        <v>6604</v>
      </c>
      <c r="J95" s="534">
        <v>45943</v>
      </c>
      <c r="K95" s="535"/>
      <c r="L95" s="535"/>
      <c r="M95" s="535"/>
      <c r="N95" s="535"/>
      <c r="O95" s="535"/>
      <c r="P95" s="535"/>
      <c r="Q95" s="535"/>
      <c r="R95" s="535"/>
      <c r="S95" s="535"/>
      <c r="T95" s="535"/>
      <c r="U95" s="535"/>
      <c r="V95" s="535"/>
      <c r="W95" s="535"/>
      <c r="X95" s="535"/>
      <c r="Y95" s="536"/>
    </row>
    <row r="96" spans="1:25" ht="12.75">
      <c r="A96" s="532" t="s">
        <v>6622</v>
      </c>
      <c r="B96" s="532" t="s">
        <v>6592</v>
      </c>
      <c r="C96" s="532" t="s">
        <v>6593</v>
      </c>
      <c r="D96" s="533"/>
      <c r="E96" s="532" t="s">
        <v>1405</v>
      </c>
      <c r="F96" s="532" t="s">
        <v>2392</v>
      </c>
      <c r="G96" s="532" t="s">
        <v>2392</v>
      </c>
      <c r="H96" s="532" t="s">
        <v>2392</v>
      </c>
      <c r="I96" s="532" t="s">
        <v>6613</v>
      </c>
      <c r="J96" s="534">
        <v>45943</v>
      </c>
      <c r="K96" s="535"/>
      <c r="L96" s="535"/>
      <c r="M96" s="535"/>
      <c r="N96" s="535"/>
      <c r="O96" s="535"/>
      <c r="P96" s="535"/>
      <c r="Q96" s="535"/>
      <c r="R96" s="535"/>
      <c r="S96" s="535"/>
      <c r="T96" s="535"/>
      <c r="U96" s="535"/>
      <c r="V96" s="535"/>
      <c r="W96" s="535"/>
      <c r="X96" s="535"/>
      <c r="Y96" s="536"/>
    </row>
    <row r="97" spans="1:25" ht="12.75">
      <c r="A97" s="532" t="s">
        <v>6623</v>
      </c>
      <c r="B97" s="532" t="s">
        <v>6592</v>
      </c>
      <c r="C97" s="532" t="s">
        <v>6593</v>
      </c>
      <c r="D97" s="533"/>
      <c r="E97" s="532" t="s">
        <v>1405</v>
      </c>
      <c r="F97" s="532" t="s">
        <v>2392</v>
      </c>
      <c r="G97" s="532" t="s">
        <v>2392</v>
      </c>
      <c r="H97" s="532" t="s">
        <v>2392</v>
      </c>
      <c r="I97" s="532" t="s">
        <v>6613</v>
      </c>
      <c r="J97" s="534">
        <v>45943</v>
      </c>
      <c r="K97" s="535"/>
      <c r="L97" s="535"/>
      <c r="M97" s="535"/>
      <c r="N97" s="535"/>
      <c r="O97" s="535"/>
      <c r="P97" s="535"/>
      <c r="Q97" s="535"/>
      <c r="R97" s="535"/>
      <c r="S97" s="535"/>
      <c r="T97" s="535"/>
      <c r="U97" s="535"/>
      <c r="V97" s="535"/>
      <c r="W97" s="535"/>
      <c r="X97" s="535"/>
      <c r="Y97" s="536"/>
    </row>
    <row r="98" spans="1:25" ht="12.75">
      <c r="A98" s="532" t="s">
        <v>6624</v>
      </c>
      <c r="B98" s="532" t="s">
        <v>6592</v>
      </c>
      <c r="C98" s="532" t="s">
        <v>6593</v>
      </c>
      <c r="D98" s="533"/>
      <c r="E98" s="532" t="s">
        <v>1405</v>
      </c>
      <c r="F98" s="532" t="s">
        <v>2392</v>
      </c>
      <c r="G98" s="532" t="s">
        <v>2392</v>
      </c>
      <c r="H98" s="532" t="s">
        <v>2392</v>
      </c>
      <c r="I98" s="532" t="s">
        <v>6613</v>
      </c>
      <c r="J98" s="534">
        <v>45943</v>
      </c>
      <c r="K98" s="535"/>
      <c r="L98" s="535"/>
      <c r="M98" s="535"/>
      <c r="N98" s="535"/>
      <c r="O98" s="535"/>
      <c r="P98" s="535"/>
      <c r="Q98" s="535"/>
      <c r="R98" s="535"/>
      <c r="S98" s="535"/>
      <c r="T98" s="535"/>
      <c r="U98" s="535"/>
      <c r="V98" s="535"/>
      <c r="W98" s="535"/>
      <c r="X98" s="535"/>
      <c r="Y98" s="536"/>
    </row>
    <row r="99" spans="1:25" ht="12.75">
      <c r="A99" s="532" t="s">
        <v>6625</v>
      </c>
      <c r="B99" s="532" t="s">
        <v>6592</v>
      </c>
      <c r="C99" s="532" t="s">
        <v>6593</v>
      </c>
      <c r="D99" s="533"/>
      <c r="E99" s="532" t="s">
        <v>1405</v>
      </c>
      <c r="F99" s="532" t="s">
        <v>2392</v>
      </c>
      <c r="G99" s="532" t="s">
        <v>2392</v>
      </c>
      <c r="H99" s="533"/>
      <c r="I99" s="532" t="s">
        <v>6603</v>
      </c>
      <c r="J99" s="534">
        <v>45940</v>
      </c>
      <c r="K99" s="535"/>
      <c r="L99" s="535"/>
      <c r="M99" s="535"/>
      <c r="N99" s="535"/>
      <c r="O99" s="535"/>
      <c r="P99" s="535"/>
      <c r="Q99" s="535"/>
      <c r="R99" s="535"/>
      <c r="S99" s="535"/>
      <c r="T99" s="535"/>
      <c r="U99" s="535"/>
      <c r="V99" s="535"/>
      <c r="W99" s="535"/>
      <c r="X99" s="535"/>
      <c r="Y99" s="536"/>
    </row>
    <row r="100" spans="1:25" ht="12.75">
      <c r="A100" s="532" t="s">
        <v>6626</v>
      </c>
      <c r="B100" s="532" t="s">
        <v>6592</v>
      </c>
      <c r="C100" s="532" t="s">
        <v>6593</v>
      </c>
      <c r="D100" s="533"/>
      <c r="E100" s="532" t="s">
        <v>1405</v>
      </c>
      <c r="F100" s="532" t="s">
        <v>2392</v>
      </c>
      <c r="G100" s="532" t="s">
        <v>2392</v>
      </c>
      <c r="H100" s="533"/>
      <c r="I100" s="532" t="s">
        <v>6603</v>
      </c>
      <c r="J100" s="534">
        <v>45940</v>
      </c>
      <c r="K100" s="535"/>
      <c r="L100" s="535"/>
      <c r="M100" s="535"/>
      <c r="N100" s="535"/>
      <c r="O100" s="535"/>
      <c r="P100" s="535"/>
      <c r="Q100" s="535"/>
      <c r="R100" s="535"/>
      <c r="S100" s="535"/>
      <c r="T100" s="535"/>
      <c r="U100" s="535"/>
      <c r="V100" s="535"/>
      <c r="W100" s="535"/>
      <c r="X100" s="535"/>
      <c r="Y100" s="536"/>
    </row>
    <row r="101" spans="1:25" ht="12.75">
      <c r="A101" s="532" t="s">
        <v>6627</v>
      </c>
      <c r="B101" s="532" t="s">
        <v>6592</v>
      </c>
      <c r="C101" s="532" t="s">
        <v>6593</v>
      </c>
      <c r="D101" s="533"/>
      <c r="E101" s="532" t="s">
        <v>1405</v>
      </c>
      <c r="F101" s="532" t="s">
        <v>2392</v>
      </c>
      <c r="G101" s="532" t="s">
        <v>2392</v>
      </c>
      <c r="H101" s="533"/>
      <c r="I101" s="532" t="s">
        <v>6603</v>
      </c>
      <c r="J101" s="534">
        <v>45932</v>
      </c>
      <c r="K101" s="535"/>
      <c r="L101" s="535"/>
      <c r="M101" s="535"/>
      <c r="N101" s="535"/>
      <c r="O101" s="535"/>
      <c r="P101" s="535"/>
      <c r="Q101" s="535"/>
      <c r="R101" s="535"/>
      <c r="S101" s="535"/>
      <c r="T101" s="535"/>
      <c r="U101" s="535"/>
      <c r="V101" s="535"/>
      <c r="W101" s="535"/>
      <c r="X101" s="535"/>
      <c r="Y101" s="536"/>
    </row>
    <row r="102" spans="1:25" ht="12.75">
      <c r="A102" s="532" t="s">
        <v>6628</v>
      </c>
      <c r="B102" s="532" t="s">
        <v>6592</v>
      </c>
      <c r="C102" s="532" t="s">
        <v>6593</v>
      </c>
      <c r="D102" s="533"/>
      <c r="E102" s="532" t="s">
        <v>1405</v>
      </c>
      <c r="F102" s="532" t="s">
        <v>2392</v>
      </c>
      <c r="G102" s="532" t="s">
        <v>2392</v>
      </c>
      <c r="H102" s="533"/>
      <c r="I102" s="532" t="s">
        <v>6629</v>
      </c>
      <c r="J102" s="534">
        <v>45932</v>
      </c>
      <c r="K102" s="535"/>
      <c r="L102" s="535"/>
      <c r="M102" s="535"/>
      <c r="N102" s="535"/>
      <c r="O102" s="535"/>
      <c r="P102" s="535"/>
      <c r="Q102" s="535"/>
      <c r="R102" s="535"/>
      <c r="S102" s="535"/>
      <c r="T102" s="535"/>
      <c r="U102" s="535"/>
      <c r="V102" s="535"/>
      <c r="W102" s="535"/>
      <c r="X102" s="535"/>
      <c r="Y102" s="536"/>
    </row>
    <row r="103" spans="1:25" ht="12.75">
      <c r="A103" s="532" t="s">
        <v>6630</v>
      </c>
      <c r="B103" s="532" t="s">
        <v>6592</v>
      </c>
      <c r="C103" s="532" t="s">
        <v>6593</v>
      </c>
      <c r="D103" s="533"/>
      <c r="E103" s="532" t="s">
        <v>1405</v>
      </c>
      <c r="F103" s="532" t="s">
        <v>2392</v>
      </c>
      <c r="G103" s="532" t="s">
        <v>2392</v>
      </c>
      <c r="H103" s="533"/>
      <c r="I103" s="532" t="s">
        <v>6629</v>
      </c>
      <c r="J103" s="534">
        <v>45931</v>
      </c>
      <c r="K103" s="535"/>
      <c r="L103" s="535"/>
      <c r="M103" s="535"/>
      <c r="N103" s="535"/>
      <c r="O103" s="535"/>
      <c r="P103" s="535"/>
      <c r="Q103" s="535"/>
      <c r="R103" s="535"/>
      <c r="S103" s="535"/>
      <c r="T103" s="535"/>
      <c r="U103" s="535"/>
      <c r="V103" s="535"/>
      <c r="W103" s="535"/>
      <c r="X103" s="535"/>
      <c r="Y103" s="536"/>
    </row>
    <row r="104" spans="1:25" ht="12.75">
      <c r="A104" s="532" t="s">
        <v>6631</v>
      </c>
      <c r="B104" s="532" t="s">
        <v>6592</v>
      </c>
      <c r="C104" s="532" t="s">
        <v>6593</v>
      </c>
      <c r="D104" s="533"/>
      <c r="E104" s="532" t="s">
        <v>1405</v>
      </c>
      <c r="F104" s="532" t="s">
        <v>2392</v>
      </c>
      <c r="G104" s="532" t="s">
        <v>2392</v>
      </c>
      <c r="H104" s="533"/>
      <c r="I104" s="532" t="s">
        <v>6629</v>
      </c>
      <c r="J104" s="534">
        <v>45931</v>
      </c>
      <c r="K104" s="535"/>
      <c r="L104" s="535"/>
      <c r="M104" s="535"/>
      <c r="N104" s="535"/>
      <c r="O104" s="535"/>
      <c r="P104" s="535"/>
      <c r="Q104" s="535"/>
      <c r="R104" s="535"/>
      <c r="S104" s="535"/>
      <c r="T104" s="535"/>
      <c r="U104" s="535"/>
      <c r="V104" s="535"/>
      <c r="W104" s="535"/>
      <c r="X104" s="535"/>
      <c r="Y104" s="536"/>
    </row>
    <row r="105" spans="1:25" ht="12.75">
      <c r="A105" s="532" t="s">
        <v>5262</v>
      </c>
      <c r="B105" s="532" t="s">
        <v>6632</v>
      </c>
      <c r="C105" s="533"/>
      <c r="D105" s="533"/>
      <c r="E105" s="532" t="s">
        <v>1424</v>
      </c>
      <c r="F105" s="532" t="s">
        <v>2395</v>
      </c>
      <c r="G105" s="532" t="s">
        <v>2392</v>
      </c>
      <c r="H105" s="533"/>
      <c r="I105" s="532" t="s">
        <v>6594</v>
      </c>
      <c r="J105" s="534">
        <v>45929</v>
      </c>
      <c r="K105" s="535"/>
      <c r="L105" s="535"/>
      <c r="M105" s="535"/>
      <c r="N105" s="535"/>
      <c r="O105" s="535"/>
      <c r="P105" s="535"/>
      <c r="Q105" s="535"/>
      <c r="R105" s="535"/>
      <c r="S105" s="535"/>
      <c r="T105" s="535"/>
      <c r="U105" s="535"/>
      <c r="V105" s="535"/>
      <c r="W105" s="535"/>
      <c r="X105" s="535"/>
      <c r="Y105" s="536"/>
    </row>
    <row r="106" spans="1:25" ht="12.75">
      <c r="A106" s="532" t="s">
        <v>5261</v>
      </c>
      <c r="B106" s="532" t="s">
        <v>6632</v>
      </c>
      <c r="C106" s="533"/>
      <c r="D106" s="533"/>
      <c r="E106" s="532" t="s">
        <v>1424</v>
      </c>
      <c r="F106" s="532" t="s">
        <v>2395</v>
      </c>
      <c r="G106" s="532" t="s">
        <v>2392</v>
      </c>
      <c r="H106" s="533"/>
      <c r="I106" s="532" t="s">
        <v>6594</v>
      </c>
      <c r="J106" s="534">
        <v>45929</v>
      </c>
      <c r="K106" s="535"/>
      <c r="L106" s="535"/>
      <c r="M106" s="535"/>
      <c r="N106" s="535"/>
      <c r="O106" s="535"/>
      <c r="P106" s="535"/>
      <c r="Q106" s="535"/>
      <c r="R106" s="535"/>
      <c r="S106" s="535"/>
      <c r="T106" s="535"/>
      <c r="U106" s="535"/>
      <c r="V106" s="535"/>
      <c r="W106" s="535"/>
      <c r="X106" s="535"/>
      <c r="Y106" s="536"/>
    </row>
    <row r="107" spans="1:25" ht="12.75">
      <c r="A107" s="532" t="s">
        <v>5260</v>
      </c>
      <c r="B107" s="532" t="s">
        <v>6632</v>
      </c>
      <c r="C107" s="533"/>
      <c r="D107" s="533"/>
      <c r="E107" s="532" t="s">
        <v>1424</v>
      </c>
      <c r="F107" s="532" t="s">
        <v>2395</v>
      </c>
      <c r="G107" s="532" t="s">
        <v>2392</v>
      </c>
      <c r="H107" s="533"/>
      <c r="I107" s="532" t="s">
        <v>6594</v>
      </c>
      <c r="J107" s="534">
        <v>45929</v>
      </c>
      <c r="K107" s="535"/>
      <c r="L107" s="535"/>
      <c r="M107" s="535"/>
      <c r="N107" s="535"/>
      <c r="O107" s="535"/>
      <c r="P107" s="535"/>
      <c r="Q107" s="535"/>
      <c r="R107" s="535"/>
      <c r="S107" s="535"/>
      <c r="T107" s="535"/>
      <c r="U107" s="535"/>
      <c r="V107" s="535"/>
      <c r="W107" s="535"/>
      <c r="X107" s="535"/>
      <c r="Y107" s="536"/>
    </row>
    <row r="108" spans="1:25" ht="12.75">
      <c r="A108" s="532" t="s">
        <v>3039</v>
      </c>
      <c r="B108" s="532">
        <v>41200007</v>
      </c>
      <c r="C108" s="532" t="s">
        <v>1591</v>
      </c>
      <c r="D108" s="532" t="s">
        <v>6608</v>
      </c>
      <c r="E108" s="532" t="s">
        <v>1405</v>
      </c>
      <c r="F108" s="532" t="s">
        <v>2395</v>
      </c>
      <c r="G108" s="532" t="s">
        <v>1468</v>
      </c>
      <c r="H108" s="533"/>
      <c r="I108" s="532" t="s">
        <v>6604</v>
      </c>
      <c r="J108" s="534">
        <v>45926</v>
      </c>
      <c r="K108" s="535"/>
      <c r="L108" s="535"/>
      <c r="M108" s="535"/>
      <c r="N108" s="535"/>
      <c r="O108" s="535"/>
      <c r="P108" s="535"/>
      <c r="Q108" s="535"/>
      <c r="R108" s="535"/>
      <c r="S108" s="535"/>
      <c r="T108" s="535"/>
      <c r="U108" s="535"/>
      <c r="V108" s="535"/>
      <c r="W108" s="535"/>
      <c r="X108" s="535"/>
      <c r="Y108" s="536"/>
    </row>
    <row r="109" spans="1:25" ht="12.75">
      <c r="A109" s="532" t="s">
        <v>3038</v>
      </c>
      <c r="B109" s="532">
        <v>41200007</v>
      </c>
      <c r="C109" s="532" t="s">
        <v>1591</v>
      </c>
      <c r="D109" s="532" t="s">
        <v>6608</v>
      </c>
      <c r="E109" s="532" t="s">
        <v>1405</v>
      </c>
      <c r="F109" s="532" t="s">
        <v>2395</v>
      </c>
      <c r="G109" s="532" t="s">
        <v>1468</v>
      </c>
      <c r="H109" s="533"/>
      <c r="I109" s="532" t="s">
        <v>6604</v>
      </c>
      <c r="J109" s="534">
        <v>45926</v>
      </c>
      <c r="K109" s="535"/>
      <c r="L109" s="535"/>
      <c r="M109" s="535"/>
      <c r="N109" s="535"/>
      <c r="O109" s="535"/>
      <c r="P109" s="535"/>
      <c r="Q109" s="535"/>
      <c r="R109" s="535"/>
      <c r="S109" s="535"/>
      <c r="T109" s="535"/>
      <c r="U109" s="535"/>
      <c r="V109" s="535"/>
      <c r="W109" s="535"/>
      <c r="X109" s="535"/>
      <c r="Y109" s="536"/>
    </row>
    <row r="110" spans="1:25" ht="12.75">
      <c r="A110" s="532" t="s">
        <v>3027</v>
      </c>
      <c r="B110" s="532">
        <v>41200007</v>
      </c>
      <c r="C110" s="532" t="s">
        <v>1591</v>
      </c>
      <c r="D110" s="532" t="s">
        <v>6608</v>
      </c>
      <c r="E110" s="532" t="s">
        <v>1405</v>
      </c>
      <c r="F110" s="532" t="s">
        <v>2395</v>
      </c>
      <c r="G110" s="532" t="s">
        <v>1468</v>
      </c>
      <c r="H110" s="532" t="s">
        <v>2392</v>
      </c>
      <c r="I110" s="532" t="s">
        <v>6604</v>
      </c>
      <c r="J110" s="534">
        <v>45926</v>
      </c>
      <c r="K110" s="535"/>
      <c r="L110" s="535"/>
      <c r="M110" s="535"/>
      <c r="N110" s="535"/>
      <c r="O110" s="535"/>
      <c r="P110" s="535"/>
      <c r="Q110" s="535"/>
      <c r="R110" s="535"/>
      <c r="S110" s="535"/>
      <c r="T110" s="535"/>
      <c r="U110" s="535"/>
      <c r="V110" s="535"/>
      <c r="W110" s="535"/>
      <c r="X110" s="535"/>
      <c r="Y110" s="536"/>
    </row>
    <row r="111" spans="1:25" ht="12.75">
      <c r="A111" s="532" t="s">
        <v>3026</v>
      </c>
      <c r="B111" s="532">
        <v>41200007</v>
      </c>
      <c r="C111" s="532" t="s">
        <v>1591</v>
      </c>
      <c r="D111" s="532" t="s">
        <v>6608</v>
      </c>
      <c r="E111" s="532" t="s">
        <v>1405</v>
      </c>
      <c r="F111" s="532" t="s">
        <v>2395</v>
      </c>
      <c r="G111" s="532" t="s">
        <v>1468</v>
      </c>
      <c r="H111" s="532" t="s">
        <v>2392</v>
      </c>
      <c r="I111" s="532" t="s">
        <v>6604</v>
      </c>
      <c r="J111" s="534">
        <v>45926</v>
      </c>
      <c r="K111" s="535"/>
      <c r="L111" s="535"/>
      <c r="M111" s="535"/>
      <c r="N111" s="535"/>
      <c r="O111" s="535"/>
      <c r="P111" s="535"/>
      <c r="Q111" s="535"/>
      <c r="R111" s="535"/>
      <c r="S111" s="535"/>
      <c r="T111" s="535"/>
      <c r="U111" s="535"/>
      <c r="V111" s="535"/>
      <c r="W111" s="535"/>
      <c r="X111" s="535"/>
      <c r="Y111" s="536"/>
    </row>
    <row r="112" spans="1:25" ht="12.75">
      <c r="A112" s="532" t="s">
        <v>1891</v>
      </c>
      <c r="B112" s="532">
        <v>41200180</v>
      </c>
      <c r="C112" s="532" t="s">
        <v>1479</v>
      </c>
      <c r="D112" s="532" t="s">
        <v>6633</v>
      </c>
      <c r="E112" s="532" t="s">
        <v>1409</v>
      </c>
      <c r="F112" s="532" t="s">
        <v>2392</v>
      </c>
      <c r="G112" s="532" t="s">
        <v>1469</v>
      </c>
      <c r="H112" s="533"/>
      <c r="I112" s="532" t="s">
        <v>6604</v>
      </c>
      <c r="J112" s="534">
        <v>45926</v>
      </c>
      <c r="K112" s="535"/>
      <c r="L112" s="535"/>
      <c r="M112" s="535"/>
      <c r="N112" s="535"/>
      <c r="O112" s="535"/>
      <c r="P112" s="535"/>
      <c r="Q112" s="535"/>
      <c r="R112" s="535"/>
      <c r="S112" s="535"/>
      <c r="T112" s="535"/>
      <c r="U112" s="535"/>
      <c r="V112" s="535"/>
      <c r="W112" s="535"/>
      <c r="X112" s="535"/>
      <c r="Y112" s="536"/>
    </row>
    <row r="113" spans="1:25" ht="12.75">
      <c r="A113" s="532" t="s">
        <v>1890</v>
      </c>
      <c r="B113" s="532">
        <v>41200180</v>
      </c>
      <c r="C113" s="532" t="s">
        <v>1479</v>
      </c>
      <c r="D113" s="532" t="s">
        <v>6633</v>
      </c>
      <c r="E113" s="532" t="s">
        <v>1409</v>
      </c>
      <c r="F113" s="532" t="s">
        <v>2392</v>
      </c>
      <c r="G113" s="532" t="s">
        <v>1469</v>
      </c>
      <c r="H113" s="532" t="s">
        <v>2392</v>
      </c>
      <c r="I113" s="532" t="s">
        <v>6604</v>
      </c>
      <c r="J113" s="534">
        <v>45926</v>
      </c>
      <c r="K113" s="535"/>
      <c r="L113" s="535"/>
      <c r="M113" s="535"/>
      <c r="N113" s="535"/>
      <c r="O113" s="535"/>
      <c r="P113" s="535"/>
      <c r="Q113" s="535"/>
      <c r="R113" s="535"/>
      <c r="S113" s="535"/>
      <c r="T113" s="535"/>
      <c r="U113" s="535"/>
      <c r="V113" s="535"/>
      <c r="W113" s="535"/>
      <c r="X113" s="535"/>
      <c r="Y113" s="536"/>
    </row>
    <row r="114" spans="1:25" ht="12.75">
      <c r="A114" s="532" t="s">
        <v>3139</v>
      </c>
      <c r="B114" s="532">
        <v>41200177</v>
      </c>
      <c r="C114" s="532" t="s">
        <v>1476</v>
      </c>
      <c r="D114" s="532" t="s">
        <v>1426</v>
      </c>
      <c r="E114" s="532" t="s">
        <v>1426</v>
      </c>
      <c r="F114" s="532" t="s">
        <v>2395</v>
      </c>
      <c r="G114" s="532" t="s">
        <v>1469</v>
      </c>
      <c r="H114" s="532" t="s">
        <v>2392</v>
      </c>
      <c r="I114" s="532" t="s">
        <v>6604</v>
      </c>
      <c r="J114" s="534">
        <v>45926</v>
      </c>
      <c r="K114" s="535"/>
      <c r="L114" s="535"/>
      <c r="M114" s="535"/>
      <c r="N114" s="535"/>
      <c r="O114" s="535"/>
      <c r="P114" s="535"/>
      <c r="Q114" s="535"/>
      <c r="R114" s="535"/>
      <c r="S114" s="535"/>
      <c r="T114" s="535"/>
      <c r="U114" s="535"/>
      <c r="V114" s="535"/>
      <c r="W114" s="535"/>
      <c r="X114" s="535"/>
      <c r="Y114" s="536"/>
    </row>
    <row r="115" spans="1:25" ht="12.75">
      <c r="A115" s="532" t="s">
        <v>3138</v>
      </c>
      <c r="B115" s="532">
        <v>41200177</v>
      </c>
      <c r="C115" s="532" t="s">
        <v>1476</v>
      </c>
      <c r="D115" s="532" t="s">
        <v>1426</v>
      </c>
      <c r="E115" s="532" t="s">
        <v>1426</v>
      </c>
      <c r="F115" s="532" t="s">
        <v>2395</v>
      </c>
      <c r="G115" s="532" t="s">
        <v>1469</v>
      </c>
      <c r="H115" s="532" t="s">
        <v>2392</v>
      </c>
      <c r="I115" s="532" t="s">
        <v>6604</v>
      </c>
      <c r="J115" s="534">
        <v>45926</v>
      </c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6"/>
    </row>
    <row r="116" spans="1:25" ht="12.75">
      <c r="A116" s="532" t="s">
        <v>3171</v>
      </c>
      <c r="B116" s="532">
        <v>41000514</v>
      </c>
      <c r="C116" s="532" t="s">
        <v>1581</v>
      </c>
      <c r="D116" s="532" t="s">
        <v>6634</v>
      </c>
      <c r="E116" s="532" t="s">
        <v>1405</v>
      </c>
      <c r="F116" s="532" t="s">
        <v>2392</v>
      </c>
      <c r="G116" s="532" t="s">
        <v>2392</v>
      </c>
      <c r="H116" s="533"/>
      <c r="I116" s="532" t="s">
        <v>6604</v>
      </c>
      <c r="J116" s="534">
        <v>45924</v>
      </c>
      <c r="K116" s="535"/>
      <c r="L116" s="535"/>
      <c r="M116" s="535"/>
      <c r="N116" s="535"/>
      <c r="O116" s="535"/>
      <c r="P116" s="535"/>
      <c r="Q116" s="535"/>
      <c r="R116" s="535"/>
      <c r="S116" s="535"/>
      <c r="T116" s="535"/>
      <c r="U116" s="535"/>
      <c r="V116" s="535"/>
      <c r="W116" s="535"/>
      <c r="X116" s="535"/>
      <c r="Y116" s="536"/>
    </row>
    <row r="117" spans="1:25" ht="12.75">
      <c r="A117" s="532" t="s">
        <v>3170</v>
      </c>
      <c r="B117" s="532">
        <v>41000514</v>
      </c>
      <c r="C117" s="532" t="s">
        <v>1581</v>
      </c>
      <c r="D117" s="532" t="s">
        <v>6634</v>
      </c>
      <c r="E117" s="532" t="s">
        <v>1405</v>
      </c>
      <c r="F117" s="532" t="s">
        <v>2392</v>
      </c>
      <c r="G117" s="532" t="s">
        <v>2392</v>
      </c>
      <c r="H117" s="533"/>
      <c r="I117" s="532" t="s">
        <v>6604</v>
      </c>
      <c r="J117" s="534">
        <v>45924</v>
      </c>
      <c r="K117" s="535"/>
      <c r="L117" s="535"/>
      <c r="M117" s="535"/>
      <c r="N117" s="535"/>
      <c r="O117" s="535"/>
      <c r="P117" s="535"/>
      <c r="Q117" s="535"/>
      <c r="R117" s="535"/>
      <c r="S117" s="535"/>
      <c r="T117" s="535"/>
      <c r="U117" s="535"/>
      <c r="V117" s="535"/>
      <c r="W117" s="535"/>
      <c r="X117" s="535"/>
      <c r="Y117" s="536"/>
    </row>
    <row r="118" spans="1:25" ht="12.75">
      <c r="A118" s="532" t="s">
        <v>3140</v>
      </c>
      <c r="B118" s="532">
        <v>41200127</v>
      </c>
      <c r="C118" s="532" t="s">
        <v>1591</v>
      </c>
      <c r="D118" s="532" t="s">
        <v>6606</v>
      </c>
      <c r="E118" s="532" t="s">
        <v>1431</v>
      </c>
      <c r="F118" s="532" t="s">
        <v>2391</v>
      </c>
      <c r="G118" s="532" t="s">
        <v>1468</v>
      </c>
      <c r="H118" s="532" t="s">
        <v>2392</v>
      </c>
      <c r="I118" s="532" t="s">
        <v>6604</v>
      </c>
      <c r="J118" s="534">
        <v>45924</v>
      </c>
      <c r="K118" s="535"/>
      <c r="L118" s="535"/>
      <c r="M118" s="535"/>
      <c r="N118" s="535"/>
      <c r="O118" s="535"/>
      <c r="P118" s="535"/>
      <c r="Q118" s="535"/>
      <c r="R118" s="535"/>
      <c r="S118" s="535"/>
      <c r="T118" s="535"/>
      <c r="U118" s="535"/>
      <c r="V118" s="535"/>
      <c r="W118" s="535"/>
      <c r="X118" s="535"/>
      <c r="Y118" s="536"/>
    </row>
    <row r="119" spans="1:25" ht="12.75">
      <c r="A119" s="532" t="s">
        <v>3133</v>
      </c>
      <c r="B119" s="532">
        <v>41200152</v>
      </c>
      <c r="C119" s="532" t="s">
        <v>1476</v>
      </c>
      <c r="D119" s="532" t="s">
        <v>6618</v>
      </c>
      <c r="E119" s="532" t="s">
        <v>1585</v>
      </c>
      <c r="F119" s="532" t="s">
        <v>2395</v>
      </c>
      <c r="G119" s="532" t="s">
        <v>1469</v>
      </c>
      <c r="H119" s="532" t="s">
        <v>2392</v>
      </c>
      <c r="I119" s="532" t="s">
        <v>6604</v>
      </c>
      <c r="J119" s="534">
        <v>45924</v>
      </c>
      <c r="K119" s="535"/>
      <c r="L119" s="535"/>
      <c r="M119" s="535"/>
      <c r="N119" s="535"/>
      <c r="O119" s="535"/>
      <c r="P119" s="535"/>
      <c r="Q119" s="535"/>
      <c r="R119" s="535"/>
      <c r="S119" s="535"/>
      <c r="T119" s="535"/>
      <c r="U119" s="535"/>
      <c r="V119" s="535"/>
      <c r="W119" s="535"/>
      <c r="X119" s="535"/>
      <c r="Y119" s="536"/>
    </row>
    <row r="120" spans="1:25" ht="12.75">
      <c r="A120" s="532" t="s">
        <v>3119</v>
      </c>
      <c r="B120" s="532">
        <v>41200152</v>
      </c>
      <c r="C120" s="532" t="s">
        <v>1476</v>
      </c>
      <c r="D120" s="532" t="s">
        <v>6618</v>
      </c>
      <c r="E120" s="532" t="s">
        <v>1585</v>
      </c>
      <c r="F120" s="532" t="s">
        <v>2395</v>
      </c>
      <c r="G120" s="532" t="s">
        <v>1469</v>
      </c>
      <c r="H120" s="532" t="s">
        <v>2392</v>
      </c>
      <c r="I120" s="532" t="s">
        <v>6604</v>
      </c>
      <c r="J120" s="534">
        <v>45924</v>
      </c>
      <c r="K120" s="535"/>
      <c r="L120" s="535"/>
      <c r="M120" s="535"/>
      <c r="N120" s="535"/>
      <c r="O120" s="535"/>
      <c r="P120" s="535"/>
      <c r="Q120" s="535"/>
      <c r="R120" s="535"/>
      <c r="S120" s="535"/>
      <c r="T120" s="535"/>
      <c r="U120" s="535"/>
      <c r="V120" s="535"/>
      <c r="W120" s="535"/>
      <c r="X120" s="535"/>
      <c r="Y120" s="536"/>
    </row>
    <row r="121" spans="1:25" ht="12.75">
      <c r="A121" s="532" t="s">
        <v>3147</v>
      </c>
      <c r="B121" s="532">
        <v>41200119</v>
      </c>
      <c r="C121" s="532" t="s">
        <v>1476</v>
      </c>
      <c r="D121" s="532" t="s">
        <v>1422</v>
      </c>
      <c r="E121" s="532" t="s">
        <v>1422</v>
      </c>
      <c r="F121" s="532" t="s">
        <v>2395</v>
      </c>
      <c r="G121" s="532" t="s">
        <v>1469</v>
      </c>
      <c r="H121" s="532" t="s">
        <v>2392</v>
      </c>
      <c r="I121" s="532" t="s">
        <v>6604</v>
      </c>
      <c r="J121" s="534">
        <v>45924</v>
      </c>
      <c r="K121" s="535"/>
      <c r="L121" s="535"/>
      <c r="M121" s="535"/>
      <c r="N121" s="535"/>
      <c r="O121" s="535"/>
      <c r="P121" s="535"/>
      <c r="Q121" s="535"/>
      <c r="R121" s="535"/>
      <c r="S121" s="535"/>
      <c r="T121" s="535"/>
      <c r="U121" s="535"/>
      <c r="V121" s="535"/>
      <c r="W121" s="535"/>
      <c r="X121" s="535"/>
      <c r="Y121" s="536"/>
    </row>
    <row r="122" spans="1:25" ht="12.75">
      <c r="A122" s="532" t="s">
        <v>3146</v>
      </c>
      <c r="B122" s="532">
        <v>41200119</v>
      </c>
      <c r="C122" s="532" t="s">
        <v>1476</v>
      </c>
      <c r="D122" s="532" t="s">
        <v>1422</v>
      </c>
      <c r="E122" s="532" t="s">
        <v>1422</v>
      </c>
      <c r="F122" s="532" t="s">
        <v>2395</v>
      </c>
      <c r="G122" s="532" t="s">
        <v>1469</v>
      </c>
      <c r="H122" s="532" t="s">
        <v>2392</v>
      </c>
      <c r="I122" s="532" t="s">
        <v>6604</v>
      </c>
      <c r="J122" s="534">
        <v>45924</v>
      </c>
      <c r="K122" s="535"/>
      <c r="L122" s="535"/>
      <c r="M122" s="535"/>
      <c r="N122" s="535"/>
      <c r="O122" s="535"/>
      <c r="P122" s="535"/>
      <c r="Q122" s="535"/>
      <c r="R122" s="535"/>
      <c r="S122" s="535"/>
      <c r="T122" s="535"/>
      <c r="U122" s="535"/>
      <c r="V122" s="535"/>
      <c r="W122" s="535"/>
      <c r="X122" s="535"/>
      <c r="Y122" s="536"/>
    </row>
    <row r="123" spans="1:25" ht="12.75">
      <c r="A123" s="532" t="s">
        <v>3158</v>
      </c>
      <c r="B123" s="532">
        <v>41100584</v>
      </c>
      <c r="C123" s="532" t="s">
        <v>1591</v>
      </c>
      <c r="D123" s="532" t="s">
        <v>6635</v>
      </c>
      <c r="E123" s="532" t="s">
        <v>1422</v>
      </c>
      <c r="F123" s="532" t="s">
        <v>2391</v>
      </c>
      <c r="G123" s="532" t="s">
        <v>1468</v>
      </c>
      <c r="H123" s="532" t="s">
        <v>2392</v>
      </c>
      <c r="I123" s="532" t="s">
        <v>6604</v>
      </c>
      <c r="J123" s="534">
        <v>45924</v>
      </c>
      <c r="K123" s="535"/>
      <c r="L123" s="535"/>
      <c r="M123" s="535"/>
      <c r="N123" s="535"/>
      <c r="O123" s="535"/>
      <c r="P123" s="535"/>
      <c r="Q123" s="535"/>
      <c r="R123" s="535"/>
      <c r="S123" s="535"/>
      <c r="T123" s="535"/>
      <c r="U123" s="535"/>
      <c r="V123" s="535"/>
      <c r="W123" s="535"/>
      <c r="X123" s="535"/>
      <c r="Y123" s="536"/>
    </row>
    <row r="124" spans="1:25" ht="12.75">
      <c r="A124" s="532" t="s">
        <v>3129</v>
      </c>
      <c r="B124" s="532">
        <v>41100584</v>
      </c>
      <c r="C124" s="532" t="s">
        <v>1591</v>
      </c>
      <c r="D124" s="532" t="s">
        <v>6635</v>
      </c>
      <c r="E124" s="532" t="s">
        <v>1422</v>
      </c>
      <c r="F124" s="532" t="s">
        <v>2391</v>
      </c>
      <c r="G124" s="532" t="s">
        <v>1468</v>
      </c>
      <c r="H124" s="532" t="s">
        <v>2392</v>
      </c>
      <c r="I124" s="532" t="s">
        <v>6604</v>
      </c>
      <c r="J124" s="534">
        <v>45924</v>
      </c>
      <c r="K124" s="535"/>
      <c r="L124" s="535"/>
      <c r="M124" s="535"/>
      <c r="N124" s="535"/>
      <c r="O124" s="535"/>
      <c r="P124" s="535"/>
      <c r="Q124" s="535"/>
      <c r="R124" s="535"/>
      <c r="S124" s="535"/>
      <c r="T124" s="535"/>
      <c r="U124" s="535"/>
      <c r="V124" s="535"/>
      <c r="W124" s="535"/>
      <c r="X124" s="535"/>
      <c r="Y124" s="536"/>
    </row>
    <row r="125" spans="1:25" ht="12.75">
      <c r="A125" s="532" t="s">
        <v>3115</v>
      </c>
      <c r="B125" s="532">
        <v>41200087</v>
      </c>
      <c r="C125" s="532" t="s">
        <v>1476</v>
      </c>
      <c r="D125" s="532" t="s">
        <v>1476</v>
      </c>
      <c r="E125" s="532" t="s">
        <v>1429</v>
      </c>
      <c r="F125" s="532" t="s">
        <v>2395</v>
      </c>
      <c r="G125" s="532" t="s">
        <v>2392</v>
      </c>
      <c r="H125" s="532" t="s">
        <v>2392</v>
      </c>
      <c r="I125" s="532" t="s">
        <v>6604</v>
      </c>
      <c r="J125" s="534">
        <v>45924</v>
      </c>
      <c r="K125" s="535"/>
      <c r="L125" s="535"/>
      <c r="M125" s="535"/>
      <c r="N125" s="535"/>
      <c r="O125" s="535"/>
      <c r="P125" s="535"/>
      <c r="Q125" s="535"/>
      <c r="R125" s="535"/>
      <c r="S125" s="535"/>
      <c r="T125" s="535"/>
      <c r="U125" s="535"/>
      <c r="V125" s="535"/>
      <c r="W125" s="535"/>
      <c r="X125" s="535"/>
      <c r="Y125" s="536"/>
    </row>
    <row r="126" spans="1:25" ht="12.75">
      <c r="A126" s="532" t="s">
        <v>3125</v>
      </c>
      <c r="B126" s="532">
        <v>41200076</v>
      </c>
      <c r="C126" s="532" t="s">
        <v>1476</v>
      </c>
      <c r="D126" s="532" t="s">
        <v>1476</v>
      </c>
      <c r="E126" s="532" t="s">
        <v>1585</v>
      </c>
      <c r="F126" s="532" t="s">
        <v>2391</v>
      </c>
      <c r="G126" s="532" t="s">
        <v>1468</v>
      </c>
      <c r="H126" s="532" t="s">
        <v>2392</v>
      </c>
      <c r="I126" s="532" t="s">
        <v>6604</v>
      </c>
      <c r="J126" s="534">
        <v>45924</v>
      </c>
      <c r="K126" s="535"/>
      <c r="L126" s="535"/>
      <c r="M126" s="535"/>
      <c r="N126" s="535"/>
      <c r="O126" s="535"/>
      <c r="P126" s="535"/>
      <c r="Q126" s="535"/>
      <c r="R126" s="535"/>
      <c r="S126" s="535"/>
      <c r="T126" s="535"/>
      <c r="U126" s="535"/>
      <c r="V126" s="535"/>
      <c r="W126" s="535"/>
      <c r="X126" s="535"/>
      <c r="Y126" s="536"/>
    </row>
    <row r="127" spans="1:25" ht="12.75">
      <c r="A127" s="532" t="s">
        <v>3112</v>
      </c>
      <c r="B127" s="532">
        <v>41100478</v>
      </c>
      <c r="C127" s="532" t="s">
        <v>1476</v>
      </c>
      <c r="D127" s="532" t="s">
        <v>1476</v>
      </c>
      <c r="E127" s="532" t="s">
        <v>1585</v>
      </c>
      <c r="F127" s="532" t="s">
        <v>2391</v>
      </c>
      <c r="G127" s="532" t="s">
        <v>1468</v>
      </c>
      <c r="H127" s="532" t="s">
        <v>2392</v>
      </c>
      <c r="I127" s="532" t="s">
        <v>6604</v>
      </c>
      <c r="J127" s="534">
        <v>45924</v>
      </c>
      <c r="K127" s="535"/>
      <c r="L127" s="535"/>
      <c r="M127" s="535"/>
      <c r="N127" s="535"/>
      <c r="O127" s="535"/>
      <c r="P127" s="535"/>
      <c r="Q127" s="535"/>
      <c r="R127" s="535"/>
      <c r="S127" s="535"/>
      <c r="T127" s="535"/>
      <c r="U127" s="535"/>
      <c r="V127" s="535"/>
      <c r="W127" s="535"/>
      <c r="X127" s="535"/>
      <c r="Y127" s="536"/>
    </row>
    <row r="128" spans="1:25" ht="12.75">
      <c r="A128" s="532" t="s">
        <v>3124</v>
      </c>
      <c r="B128" s="532">
        <v>41200129</v>
      </c>
      <c r="C128" s="532" t="s">
        <v>1591</v>
      </c>
      <c r="D128" s="532" t="s">
        <v>6606</v>
      </c>
      <c r="E128" s="532" t="s">
        <v>1431</v>
      </c>
      <c r="F128" s="532" t="s">
        <v>2391</v>
      </c>
      <c r="G128" s="532" t="s">
        <v>1468</v>
      </c>
      <c r="H128" s="532" t="s">
        <v>2392</v>
      </c>
      <c r="I128" s="532" t="s">
        <v>6604</v>
      </c>
      <c r="J128" s="534">
        <v>45924</v>
      </c>
      <c r="K128" s="535"/>
      <c r="L128" s="535"/>
      <c r="M128" s="535"/>
      <c r="N128" s="535"/>
      <c r="O128" s="535"/>
      <c r="P128" s="535"/>
      <c r="Q128" s="535"/>
      <c r="R128" s="535"/>
      <c r="S128" s="535"/>
      <c r="T128" s="535"/>
      <c r="U128" s="535"/>
      <c r="V128" s="535"/>
      <c r="W128" s="535"/>
      <c r="X128" s="535"/>
      <c r="Y128" s="536"/>
    </row>
    <row r="129" spans="1:25" ht="12.75">
      <c r="A129" s="532" t="s">
        <v>3160</v>
      </c>
      <c r="B129" s="532">
        <v>41200088</v>
      </c>
      <c r="C129" s="532" t="s">
        <v>1476</v>
      </c>
      <c r="D129" s="532" t="s">
        <v>1476</v>
      </c>
      <c r="E129" s="532" t="s">
        <v>1422</v>
      </c>
      <c r="F129" s="532" t="s">
        <v>2395</v>
      </c>
      <c r="G129" s="532" t="s">
        <v>1469</v>
      </c>
      <c r="H129" s="532" t="s">
        <v>2392</v>
      </c>
      <c r="I129" s="532" t="s">
        <v>6604</v>
      </c>
      <c r="J129" s="534">
        <v>45924</v>
      </c>
      <c r="K129" s="535"/>
      <c r="L129" s="535"/>
      <c r="M129" s="535"/>
      <c r="N129" s="535"/>
      <c r="O129" s="535"/>
      <c r="P129" s="535"/>
      <c r="Q129" s="535"/>
      <c r="R129" s="535"/>
      <c r="S129" s="535"/>
      <c r="T129" s="535"/>
      <c r="U129" s="535"/>
      <c r="V129" s="535"/>
      <c r="W129" s="535"/>
      <c r="X129" s="535"/>
      <c r="Y129" s="536"/>
    </row>
    <row r="130" spans="1:25" ht="12.75">
      <c r="A130" s="532" t="s">
        <v>3159</v>
      </c>
      <c r="B130" s="532">
        <v>41200088</v>
      </c>
      <c r="C130" s="532" t="s">
        <v>1476</v>
      </c>
      <c r="D130" s="532" t="s">
        <v>1476</v>
      </c>
      <c r="E130" s="532" t="s">
        <v>1422</v>
      </c>
      <c r="F130" s="532" t="s">
        <v>2395</v>
      </c>
      <c r="G130" s="532" t="s">
        <v>1469</v>
      </c>
      <c r="H130" s="532" t="s">
        <v>2392</v>
      </c>
      <c r="I130" s="532" t="s">
        <v>6604</v>
      </c>
      <c r="J130" s="534">
        <v>45924</v>
      </c>
      <c r="K130" s="535"/>
      <c r="L130" s="535"/>
      <c r="M130" s="535"/>
      <c r="N130" s="535"/>
      <c r="O130" s="535"/>
      <c r="P130" s="535"/>
      <c r="Q130" s="535"/>
      <c r="R130" s="535"/>
      <c r="S130" s="535"/>
      <c r="T130" s="535"/>
      <c r="U130" s="535"/>
      <c r="V130" s="535"/>
      <c r="W130" s="535"/>
      <c r="X130" s="535"/>
      <c r="Y130" s="536"/>
    </row>
    <row r="131" spans="1:25" ht="12.75">
      <c r="A131" s="532" t="s">
        <v>3123</v>
      </c>
      <c r="B131" s="532">
        <v>41200061</v>
      </c>
      <c r="C131" s="532" t="s">
        <v>1480</v>
      </c>
      <c r="D131" s="532" t="s">
        <v>6636</v>
      </c>
      <c r="E131" s="532" t="s">
        <v>1405</v>
      </c>
      <c r="F131" s="532" t="s">
        <v>2391</v>
      </c>
      <c r="G131" s="532" t="s">
        <v>2392</v>
      </c>
      <c r="H131" s="532" t="s">
        <v>2391</v>
      </c>
      <c r="I131" s="532" t="s">
        <v>6604</v>
      </c>
      <c r="J131" s="534">
        <v>45924</v>
      </c>
      <c r="K131" s="535"/>
      <c r="L131" s="535"/>
      <c r="M131" s="535"/>
      <c r="N131" s="535"/>
      <c r="O131" s="535"/>
      <c r="P131" s="535"/>
      <c r="Q131" s="535"/>
      <c r="R131" s="535"/>
      <c r="S131" s="535"/>
      <c r="T131" s="535"/>
      <c r="U131" s="535"/>
      <c r="V131" s="535"/>
      <c r="W131" s="535"/>
      <c r="X131" s="535"/>
      <c r="Y131" s="536"/>
    </row>
    <row r="132" spans="1:25" ht="12.75">
      <c r="A132" s="532" t="s">
        <v>3128</v>
      </c>
      <c r="B132" s="532">
        <v>41200061</v>
      </c>
      <c r="C132" s="532" t="s">
        <v>1480</v>
      </c>
      <c r="D132" s="532" t="s">
        <v>6636</v>
      </c>
      <c r="E132" s="532" t="s">
        <v>1405</v>
      </c>
      <c r="F132" s="532" t="s">
        <v>2391</v>
      </c>
      <c r="G132" s="532" t="s">
        <v>2392</v>
      </c>
      <c r="H132" s="532" t="s">
        <v>2391</v>
      </c>
      <c r="I132" s="532" t="s">
        <v>6604</v>
      </c>
      <c r="J132" s="534">
        <v>45924</v>
      </c>
      <c r="K132" s="535"/>
      <c r="L132" s="535"/>
      <c r="M132" s="535"/>
      <c r="N132" s="535"/>
      <c r="O132" s="535"/>
      <c r="P132" s="535"/>
      <c r="Q132" s="535"/>
      <c r="R132" s="535"/>
      <c r="S132" s="535"/>
      <c r="T132" s="535"/>
      <c r="U132" s="535"/>
      <c r="V132" s="535"/>
      <c r="W132" s="535"/>
      <c r="X132" s="535"/>
      <c r="Y132" s="536"/>
    </row>
    <row r="133" spans="1:25" ht="12.75">
      <c r="A133" s="532" t="s">
        <v>3295</v>
      </c>
      <c r="B133" s="532">
        <v>41200101</v>
      </c>
      <c r="C133" s="532" t="s">
        <v>1476</v>
      </c>
      <c r="D133" s="532" t="s">
        <v>1476</v>
      </c>
      <c r="E133" s="532" t="s">
        <v>1585</v>
      </c>
      <c r="F133" s="532" t="s">
        <v>2395</v>
      </c>
      <c r="G133" s="532" t="s">
        <v>1468</v>
      </c>
      <c r="H133" s="532" t="s">
        <v>2392</v>
      </c>
      <c r="I133" s="532" t="s">
        <v>6604</v>
      </c>
      <c r="J133" s="534">
        <v>45924</v>
      </c>
      <c r="K133" s="535"/>
      <c r="L133" s="535"/>
      <c r="M133" s="535"/>
      <c r="N133" s="535"/>
      <c r="O133" s="535"/>
      <c r="P133" s="535"/>
      <c r="Q133" s="535"/>
      <c r="R133" s="535"/>
      <c r="S133" s="535"/>
      <c r="T133" s="535"/>
      <c r="U133" s="535"/>
      <c r="V133" s="535"/>
      <c r="W133" s="535"/>
      <c r="X133" s="535"/>
      <c r="Y133" s="536"/>
    </row>
    <row r="134" spans="1:25" ht="12.75">
      <c r="A134" s="532" t="s">
        <v>3294</v>
      </c>
      <c r="B134" s="532">
        <v>41200101</v>
      </c>
      <c r="C134" s="532" t="s">
        <v>1476</v>
      </c>
      <c r="D134" s="532" t="s">
        <v>1476</v>
      </c>
      <c r="E134" s="532" t="s">
        <v>1585</v>
      </c>
      <c r="F134" s="532" t="s">
        <v>2395</v>
      </c>
      <c r="G134" s="532" t="s">
        <v>1468</v>
      </c>
      <c r="H134" s="532" t="s">
        <v>2392</v>
      </c>
      <c r="I134" s="532" t="s">
        <v>6604</v>
      </c>
      <c r="J134" s="534">
        <v>45924</v>
      </c>
      <c r="K134" s="535"/>
      <c r="L134" s="535"/>
      <c r="M134" s="535"/>
      <c r="N134" s="535"/>
      <c r="O134" s="535"/>
      <c r="P134" s="535"/>
      <c r="Q134" s="535"/>
      <c r="R134" s="535"/>
      <c r="S134" s="535"/>
      <c r="T134" s="535"/>
      <c r="U134" s="535"/>
      <c r="V134" s="535"/>
      <c r="W134" s="535"/>
      <c r="X134" s="535"/>
      <c r="Y134" s="536"/>
    </row>
    <row r="135" spans="1:25" ht="12.75">
      <c r="A135" s="532" t="s">
        <v>3130</v>
      </c>
      <c r="B135" s="532">
        <v>41200101</v>
      </c>
      <c r="C135" s="532" t="s">
        <v>1476</v>
      </c>
      <c r="D135" s="532" t="s">
        <v>1476</v>
      </c>
      <c r="E135" s="532" t="s">
        <v>1585</v>
      </c>
      <c r="F135" s="532" t="s">
        <v>2395</v>
      </c>
      <c r="G135" s="532" t="s">
        <v>1468</v>
      </c>
      <c r="H135" s="532" t="s">
        <v>2392</v>
      </c>
      <c r="I135" s="532" t="s">
        <v>6604</v>
      </c>
      <c r="J135" s="534">
        <v>45924</v>
      </c>
      <c r="K135" s="535"/>
      <c r="L135" s="535"/>
      <c r="M135" s="535"/>
      <c r="N135" s="535"/>
      <c r="O135" s="535"/>
      <c r="P135" s="535"/>
      <c r="Q135" s="535"/>
      <c r="R135" s="535"/>
      <c r="S135" s="535"/>
      <c r="T135" s="535"/>
      <c r="U135" s="535"/>
      <c r="V135" s="535"/>
      <c r="W135" s="535"/>
      <c r="X135" s="535"/>
      <c r="Y135" s="536"/>
    </row>
    <row r="136" spans="1:25" ht="12.75">
      <c r="A136" s="532" t="s">
        <v>3122</v>
      </c>
      <c r="B136" s="532">
        <v>41200101</v>
      </c>
      <c r="C136" s="532" t="s">
        <v>1476</v>
      </c>
      <c r="D136" s="532" t="s">
        <v>1476</v>
      </c>
      <c r="E136" s="532" t="s">
        <v>1585</v>
      </c>
      <c r="F136" s="532" t="s">
        <v>2395</v>
      </c>
      <c r="G136" s="532" t="s">
        <v>1468</v>
      </c>
      <c r="H136" s="532" t="s">
        <v>2392</v>
      </c>
      <c r="I136" s="532" t="s">
        <v>6604</v>
      </c>
      <c r="J136" s="534">
        <v>45924</v>
      </c>
      <c r="K136" s="535"/>
      <c r="L136" s="535"/>
      <c r="M136" s="535"/>
      <c r="N136" s="535"/>
      <c r="O136" s="535"/>
      <c r="P136" s="535"/>
      <c r="Q136" s="535"/>
      <c r="R136" s="535"/>
      <c r="S136" s="535"/>
      <c r="T136" s="535"/>
      <c r="U136" s="535"/>
      <c r="V136" s="535"/>
      <c r="W136" s="535"/>
      <c r="X136" s="535"/>
      <c r="Y136" s="536"/>
    </row>
    <row r="137" spans="1:25" ht="12.75">
      <c r="A137" s="532" t="s">
        <v>3117</v>
      </c>
      <c r="B137" s="532">
        <v>41200101</v>
      </c>
      <c r="C137" s="532" t="s">
        <v>1476</v>
      </c>
      <c r="D137" s="532" t="s">
        <v>1476</v>
      </c>
      <c r="E137" s="532" t="s">
        <v>1585</v>
      </c>
      <c r="F137" s="532" t="s">
        <v>2391</v>
      </c>
      <c r="G137" s="532" t="s">
        <v>2392</v>
      </c>
      <c r="H137" s="532" t="s">
        <v>2391</v>
      </c>
      <c r="I137" s="532" t="s">
        <v>6604</v>
      </c>
      <c r="J137" s="534">
        <v>45924</v>
      </c>
      <c r="K137" s="535"/>
      <c r="L137" s="535"/>
      <c r="M137" s="535"/>
      <c r="N137" s="535"/>
      <c r="O137" s="535"/>
      <c r="P137" s="535"/>
      <c r="Q137" s="535"/>
      <c r="R137" s="535"/>
      <c r="S137" s="535"/>
      <c r="T137" s="535"/>
      <c r="U137" s="535"/>
      <c r="V137" s="535"/>
      <c r="W137" s="535"/>
      <c r="X137" s="535"/>
      <c r="Y137" s="536"/>
    </row>
    <row r="138" spans="1:25" ht="12.75">
      <c r="A138" s="532" t="s">
        <v>3103</v>
      </c>
      <c r="B138" s="532">
        <v>41200101</v>
      </c>
      <c r="C138" s="532" t="s">
        <v>1476</v>
      </c>
      <c r="D138" s="532" t="s">
        <v>1476</v>
      </c>
      <c r="E138" s="532" t="s">
        <v>1585</v>
      </c>
      <c r="F138" s="532" t="s">
        <v>2391</v>
      </c>
      <c r="G138" s="532" t="s">
        <v>2392</v>
      </c>
      <c r="H138" s="532" t="s">
        <v>2391</v>
      </c>
      <c r="I138" s="532" t="s">
        <v>6604</v>
      </c>
      <c r="J138" s="534">
        <v>45924</v>
      </c>
      <c r="K138" s="535"/>
      <c r="L138" s="535"/>
      <c r="M138" s="535"/>
      <c r="N138" s="535"/>
      <c r="O138" s="535"/>
      <c r="P138" s="535"/>
      <c r="Q138" s="535"/>
      <c r="R138" s="535"/>
      <c r="S138" s="535"/>
      <c r="T138" s="535"/>
      <c r="U138" s="535"/>
      <c r="V138" s="535"/>
      <c r="W138" s="535"/>
      <c r="X138" s="535"/>
      <c r="Y138" s="536"/>
    </row>
    <row r="139" spans="1:25" ht="12.75">
      <c r="A139" s="532" t="s">
        <v>3127</v>
      </c>
      <c r="B139" s="532">
        <v>41000516</v>
      </c>
      <c r="C139" s="532" t="s">
        <v>1476</v>
      </c>
      <c r="D139" s="532" t="s">
        <v>6610</v>
      </c>
      <c r="E139" s="532" t="s">
        <v>1405</v>
      </c>
      <c r="F139" s="532" t="s">
        <v>2395</v>
      </c>
      <c r="G139" s="532" t="s">
        <v>1469</v>
      </c>
      <c r="H139" s="532" t="s">
        <v>2392</v>
      </c>
      <c r="I139" s="532" t="s">
        <v>6604</v>
      </c>
      <c r="J139" s="534">
        <v>45924</v>
      </c>
      <c r="K139" s="535"/>
      <c r="L139" s="535"/>
      <c r="M139" s="535"/>
      <c r="N139" s="535"/>
      <c r="O139" s="535"/>
      <c r="P139" s="535"/>
      <c r="Q139" s="535"/>
      <c r="R139" s="535"/>
      <c r="S139" s="535"/>
      <c r="T139" s="535"/>
      <c r="U139" s="535"/>
      <c r="V139" s="535"/>
      <c r="W139" s="535"/>
      <c r="X139" s="535"/>
      <c r="Y139" s="536"/>
    </row>
    <row r="140" spans="1:25" ht="12.75">
      <c r="A140" s="532" t="s">
        <v>3126</v>
      </c>
      <c r="B140" s="532">
        <v>41000516</v>
      </c>
      <c r="C140" s="532" t="s">
        <v>1476</v>
      </c>
      <c r="D140" s="532" t="s">
        <v>6610</v>
      </c>
      <c r="E140" s="532" t="s">
        <v>1405</v>
      </c>
      <c r="F140" s="532" t="s">
        <v>2395</v>
      </c>
      <c r="G140" s="532" t="s">
        <v>1469</v>
      </c>
      <c r="H140" s="532" t="s">
        <v>2392</v>
      </c>
      <c r="I140" s="532" t="s">
        <v>6604</v>
      </c>
      <c r="J140" s="534">
        <v>45924</v>
      </c>
      <c r="K140" s="535"/>
      <c r="L140" s="535"/>
      <c r="M140" s="535"/>
      <c r="N140" s="535"/>
      <c r="O140" s="535"/>
      <c r="P140" s="535"/>
      <c r="Q140" s="535"/>
      <c r="R140" s="535"/>
      <c r="S140" s="535"/>
      <c r="T140" s="535"/>
      <c r="U140" s="535"/>
      <c r="V140" s="535"/>
      <c r="W140" s="535"/>
      <c r="X140" s="535"/>
      <c r="Y140" s="536"/>
    </row>
    <row r="141" spans="1:25" ht="12.75">
      <c r="A141" s="532" t="s">
        <v>3118</v>
      </c>
      <c r="B141" s="532">
        <v>41000544</v>
      </c>
      <c r="C141" s="532" t="s">
        <v>1476</v>
      </c>
      <c r="D141" s="532" t="s">
        <v>6610</v>
      </c>
      <c r="E141" s="532" t="s">
        <v>1405</v>
      </c>
      <c r="F141" s="532" t="s">
        <v>2391</v>
      </c>
      <c r="G141" s="532" t="s">
        <v>1468</v>
      </c>
      <c r="H141" s="532" t="s">
        <v>2392</v>
      </c>
      <c r="I141" s="532" t="s">
        <v>6604</v>
      </c>
      <c r="J141" s="534">
        <v>45924</v>
      </c>
      <c r="K141" s="535"/>
      <c r="L141" s="535"/>
      <c r="M141" s="535"/>
      <c r="N141" s="535"/>
      <c r="O141" s="535"/>
      <c r="P141" s="535"/>
      <c r="Q141" s="535"/>
      <c r="R141" s="535"/>
      <c r="S141" s="535"/>
      <c r="T141" s="535"/>
      <c r="U141" s="535"/>
      <c r="V141" s="535"/>
      <c r="W141" s="535"/>
      <c r="X141" s="535"/>
      <c r="Y141" s="536"/>
    </row>
    <row r="142" spans="1:25" ht="12.75">
      <c r="A142" s="532" t="s">
        <v>5316</v>
      </c>
      <c r="B142" s="532">
        <v>41100666</v>
      </c>
      <c r="C142" s="532" t="s">
        <v>3180</v>
      </c>
      <c r="D142" s="532" t="s">
        <v>6637</v>
      </c>
      <c r="E142" s="532" t="s">
        <v>1416</v>
      </c>
      <c r="F142" s="532" t="s">
        <v>2395</v>
      </c>
      <c r="G142" s="532" t="s">
        <v>2392</v>
      </c>
      <c r="H142" s="533"/>
      <c r="I142" s="532" t="s">
        <v>6604</v>
      </c>
      <c r="J142" s="534">
        <v>45924</v>
      </c>
      <c r="K142" s="535"/>
      <c r="L142" s="535"/>
      <c r="M142" s="535"/>
      <c r="N142" s="535"/>
      <c r="O142" s="535"/>
      <c r="P142" s="535"/>
      <c r="Q142" s="535"/>
      <c r="R142" s="535"/>
      <c r="S142" s="535"/>
      <c r="T142" s="535"/>
      <c r="U142" s="535"/>
      <c r="V142" s="535"/>
      <c r="W142" s="535"/>
      <c r="X142" s="535"/>
      <c r="Y142" s="536"/>
    </row>
    <row r="143" spans="1:25" ht="12.75">
      <c r="A143" s="532" t="s">
        <v>5315</v>
      </c>
      <c r="B143" s="532">
        <v>41100666</v>
      </c>
      <c r="C143" s="532" t="s">
        <v>3180</v>
      </c>
      <c r="D143" s="532" t="s">
        <v>6637</v>
      </c>
      <c r="E143" s="532" t="s">
        <v>1416</v>
      </c>
      <c r="F143" s="532" t="s">
        <v>2395</v>
      </c>
      <c r="G143" s="532" t="s">
        <v>2392</v>
      </c>
      <c r="H143" s="533"/>
      <c r="I143" s="532" t="s">
        <v>6604</v>
      </c>
      <c r="J143" s="534">
        <v>45924</v>
      </c>
      <c r="K143" s="535"/>
      <c r="L143" s="535"/>
      <c r="M143" s="535"/>
      <c r="N143" s="535"/>
      <c r="O143" s="535"/>
      <c r="P143" s="535"/>
      <c r="Q143" s="535"/>
      <c r="R143" s="535"/>
      <c r="S143" s="535"/>
      <c r="T143" s="535"/>
      <c r="U143" s="535"/>
      <c r="V143" s="535"/>
      <c r="W143" s="535"/>
      <c r="X143" s="535"/>
      <c r="Y143" s="536"/>
    </row>
    <row r="144" spans="1:25" ht="12.75">
      <c r="A144" s="532" t="s">
        <v>5314</v>
      </c>
      <c r="B144" s="532">
        <v>41100666</v>
      </c>
      <c r="C144" s="532" t="s">
        <v>3180</v>
      </c>
      <c r="D144" s="532" t="s">
        <v>6637</v>
      </c>
      <c r="E144" s="532" t="s">
        <v>1416</v>
      </c>
      <c r="F144" s="532" t="s">
        <v>2395</v>
      </c>
      <c r="G144" s="532" t="s">
        <v>2392</v>
      </c>
      <c r="H144" s="533"/>
      <c r="I144" s="532" t="s">
        <v>6604</v>
      </c>
      <c r="J144" s="534">
        <v>45924</v>
      </c>
      <c r="K144" s="535"/>
      <c r="L144" s="535"/>
      <c r="M144" s="535"/>
      <c r="N144" s="535"/>
      <c r="O144" s="535"/>
      <c r="P144" s="535"/>
      <c r="Q144" s="535"/>
      <c r="R144" s="535"/>
      <c r="S144" s="535"/>
      <c r="T144" s="535"/>
      <c r="U144" s="535"/>
      <c r="V144" s="535"/>
      <c r="W144" s="535"/>
      <c r="X144" s="535"/>
      <c r="Y144" s="536"/>
    </row>
    <row r="145" spans="1:25" ht="12.75">
      <c r="A145" s="532" t="s">
        <v>3113</v>
      </c>
      <c r="B145" s="532">
        <v>41200122</v>
      </c>
      <c r="C145" s="532" t="s">
        <v>1476</v>
      </c>
      <c r="D145" s="532" t="s">
        <v>1476</v>
      </c>
      <c r="E145" s="532" t="s">
        <v>1585</v>
      </c>
      <c r="F145" s="532" t="s">
        <v>2391</v>
      </c>
      <c r="G145" s="532" t="s">
        <v>1468</v>
      </c>
      <c r="H145" s="532" t="s">
        <v>2392</v>
      </c>
      <c r="I145" s="532" t="s">
        <v>6604</v>
      </c>
      <c r="J145" s="534">
        <v>45924</v>
      </c>
      <c r="K145" s="535"/>
      <c r="L145" s="535"/>
      <c r="M145" s="535"/>
      <c r="N145" s="535"/>
      <c r="O145" s="535"/>
      <c r="P145" s="535"/>
      <c r="Q145" s="535"/>
      <c r="R145" s="535"/>
      <c r="S145" s="535"/>
      <c r="T145" s="535"/>
      <c r="U145" s="535"/>
      <c r="V145" s="535"/>
      <c r="W145" s="535"/>
      <c r="X145" s="535"/>
      <c r="Y145" s="536"/>
    </row>
    <row r="146" spans="1:25" ht="12.75">
      <c r="A146" s="532" t="s">
        <v>3120</v>
      </c>
      <c r="B146" s="532">
        <v>41200101</v>
      </c>
      <c r="C146" s="532" t="s">
        <v>1476</v>
      </c>
      <c r="D146" s="532" t="s">
        <v>1476</v>
      </c>
      <c r="E146" s="532" t="s">
        <v>1585</v>
      </c>
      <c r="F146" s="532" t="s">
        <v>2395</v>
      </c>
      <c r="G146" s="532" t="s">
        <v>2392</v>
      </c>
      <c r="H146" s="532" t="s">
        <v>2392</v>
      </c>
      <c r="I146" s="532" t="s">
        <v>6604</v>
      </c>
      <c r="J146" s="534">
        <v>45924</v>
      </c>
      <c r="K146" s="535"/>
      <c r="L146" s="535"/>
      <c r="M146" s="535"/>
      <c r="N146" s="535"/>
      <c r="O146" s="535"/>
      <c r="P146" s="535"/>
      <c r="Q146" s="535"/>
      <c r="R146" s="535"/>
      <c r="S146" s="535"/>
      <c r="T146" s="535"/>
      <c r="U146" s="535"/>
      <c r="V146" s="535"/>
      <c r="W146" s="535"/>
      <c r="X146" s="535"/>
      <c r="Y146" s="536"/>
    </row>
    <row r="147" spans="1:25" ht="12.75">
      <c r="A147" s="532" t="s">
        <v>5324</v>
      </c>
      <c r="B147" s="532">
        <v>41200176</v>
      </c>
      <c r="C147" s="532" t="s">
        <v>6638</v>
      </c>
      <c r="D147" s="532" t="s">
        <v>5325</v>
      </c>
      <c r="E147" s="532" t="s">
        <v>1405</v>
      </c>
      <c r="F147" s="532" t="s">
        <v>2391</v>
      </c>
      <c r="G147" s="532" t="s">
        <v>2392</v>
      </c>
      <c r="H147" s="532" t="s">
        <v>2391</v>
      </c>
      <c r="I147" s="532" t="s">
        <v>6604</v>
      </c>
      <c r="J147" s="534">
        <v>45924</v>
      </c>
      <c r="K147" s="535"/>
      <c r="L147" s="535"/>
      <c r="M147" s="535"/>
      <c r="N147" s="535"/>
      <c r="O147" s="535"/>
      <c r="P147" s="535"/>
      <c r="Q147" s="535"/>
      <c r="R147" s="535"/>
      <c r="S147" s="535"/>
      <c r="T147" s="535"/>
      <c r="U147" s="535"/>
      <c r="V147" s="535"/>
      <c r="W147" s="535"/>
      <c r="X147" s="535"/>
      <c r="Y147" s="536"/>
    </row>
    <row r="148" spans="1:25" ht="12.75">
      <c r="A148" s="532" t="s">
        <v>6639</v>
      </c>
      <c r="B148" s="532">
        <v>41200176</v>
      </c>
      <c r="C148" s="532" t="s">
        <v>6638</v>
      </c>
      <c r="D148" s="532" t="s">
        <v>5325</v>
      </c>
      <c r="E148" s="532" t="s">
        <v>1405</v>
      </c>
      <c r="F148" s="532" t="s">
        <v>2391</v>
      </c>
      <c r="G148" s="532" t="s">
        <v>2392</v>
      </c>
      <c r="H148" s="532" t="s">
        <v>2391</v>
      </c>
      <c r="I148" s="532" t="s">
        <v>6604</v>
      </c>
      <c r="J148" s="534">
        <v>45924</v>
      </c>
      <c r="K148" s="535"/>
      <c r="L148" s="535"/>
      <c r="M148" s="535"/>
      <c r="N148" s="535"/>
      <c r="O148" s="535"/>
      <c r="P148" s="535"/>
      <c r="Q148" s="535"/>
      <c r="R148" s="535"/>
      <c r="S148" s="535"/>
      <c r="T148" s="535"/>
      <c r="U148" s="535"/>
      <c r="V148" s="535"/>
      <c r="W148" s="535"/>
      <c r="X148" s="535"/>
      <c r="Y148" s="536"/>
    </row>
    <row r="149" spans="1:25" ht="12.75">
      <c r="A149" s="532" t="s">
        <v>3111</v>
      </c>
      <c r="B149" s="532">
        <v>41200006</v>
      </c>
      <c r="C149" s="532" t="s">
        <v>1477</v>
      </c>
      <c r="D149" s="532" t="s">
        <v>6640</v>
      </c>
      <c r="E149" s="532" t="s">
        <v>1405</v>
      </c>
      <c r="F149" s="532" t="s">
        <v>2391</v>
      </c>
      <c r="G149" s="532" t="s">
        <v>1468</v>
      </c>
      <c r="H149" s="532" t="s">
        <v>2392</v>
      </c>
      <c r="I149" s="532" t="s">
        <v>6604</v>
      </c>
      <c r="J149" s="534">
        <v>45924</v>
      </c>
      <c r="K149" s="535"/>
      <c r="L149" s="535"/>
      <c r="M149" s="535"/>
      <c r="N149" s="535"/>
      <c r="O149" s="535"/>
      <c r="P149" s="535"/>
      <c r="Q149" s="535"/>
      <c r="R149" s="535"/>
      <c r="S149" s="535"/>
      <c r="T149" s="535"/>
      <c r="U149" s="535"/>
      <c r="V149" s="535"/>
      <c r="W149" s="535"/>
      <c r="X149" s="535"/>
      <c r="Y149" s="536"/>
    </row>
    <row r="150" spans="1:25" ht="12.75">
      <c r="A150" s="532" t="s">
        <v>3110</v>
      </c>
      <c r="B150" s="532">
        <v>41200006</v>
      </c>
      <c r="C150" s="532" t="s">
        <v>1477</v>
      </c>
      <c r="D150" s="532" t="s">
        <v>6640</v>
      </c>
      <c r="E150" s="532" t="s">
        <v>1405</v>
      </c>
      <c r="F150" s="532" t="s">
        <v>2391</v>
      </c>
      <c r="G150" s="532" t="s">
        <v>1468</v>
      </c>
      <c r="H150" s="532" t="s">
        <v>2392</v>
      </c>
      <c r="I150" s="532" t="s">
        <v>6604</v>
      </c>
      <c r="J150" s="534">
        <v>45924</v>
      </c>
      <c r="K150" s="535"/>
      <c r="L150" s="535"/>
      <c r="M150" s="535"/>
      <c r="N150" s="535"/>
      <c r="O150" s="535"/>
      <c r="P150" s="535"/>
      <c r="Q150" s="535"/>
      <c r="R150" s="535"/>
      <c r="S150" s="535"/>
      <c r="T150" s="535"/>
      <c r="U150" s="535"/>
      <c r="V150" s="535"/>
      <c r="W150" s="535"/>
      <c r="X150" s="535"/>
      <c r="Y150" s="536"/>
    </row>
    <row r="151" spans="1:25" ht="12.75">
      <c r="A151" s="532" t="s">
        <v>3109</v>
      </c>
      <c r="B151" s="532">
        <v>41100286</v>
      </c>
      <c r="C151" s="532" t="s">
        <v>1476</v>
      </c>
      <c r="D151" s="532" t="s">
        <v>6610</v>
      </c>
      <c r="E151" s="532" t="s">
        <v>1424</v>
      </c>
      <c r="F151" s="532" t="s">
        <v>2395</v>
      </c>
      <c r="G151" s="532" t="s">
        <v>2392</v>
      </c>
      <c r="H151" s="532" t="s">
        <v>2392</v>
      </c>
      <c r="I151" s="532" t="s">
        <v>6604</v>
      </c>
      <c r="J151" s="534">
        <v>45924</v>
      </c>
      <c r="K151" s="535"/>
      <c r="L151" s="535"/>
      <c r="M151" s="535"/>
      <c r="N151" s="535"/>
      <c r="O151" s="535"/>
      <c r="P151" s="535"/>
      <c r="Q151" s="535"/>
      <c r="R151" s="535"/>
      <c r="S151" s="535"/>
      <c r="T151" s="535"/>
      <c r="U151" s="535"/>
      <c r="V151" s="535"/>
      <c r="W151" s="535"/>
      <c r="X151" s="535"/>
      <c r="Y151" s="536"/>
    </row>
    <row r="152" spans="1:25" ht="12.75">
      <c r="A152" s="532" t="s">
        <v>3141</v>
      </c>
      <c r="B152" s="532">
        <v>41200004</v>
      </c>
      <c r="C152" s="532" t="s">
        <v>1476</v>
      </c>
      <c r="D152" s="532" t="s">
        <v>1476</v>
      </c>
      <c r="E152" s="532" t="s">
        <v>1424</v>
      </c>
      <c r="F152" s="532" t="s">
        <v>2391</v>
      </c>
      <c r="G152" s="532" t="s">
        <v>1468</v>
      </c>
      <c r="H152" s="532" t="s">
        <v>2392</v>
      </c>
      <c r="I152" s="532" t="s">
        <v>6604</v>
      </c>
      <c r="J152" s="534">
        <v>45924</v>
      </c>
      <c r="K152" s="535"/>
      <c r="L152" s="535"/>
      <c r="M152" s="535"/>
      <c r="N152" s="535"/>
      <c r="O152" s="535"/>
      <c r="P152" s="535"/>
      <c r="Q152" s="535"/>
      <c r="R152" s="535"/>
      <c r="S152" s="535"/>
      <c r="T152" s="535"/>
      <c r="U152" s="535"/>
      <c r="V152" s="535"/>
      <c r="W152" s="535"/>
      <c r="X152" s="535"/>
      <c r="Y152" s="536"/>
    </row>
    <row r="153" spans="1:25" ht="12.75">
      <c r="A153" s="532" t="s">
        <v>3095</v>
      </c>
      <c r="B153" s="532">
        <v>41200007</v>
      </c>
      <c r="C153" s="532" t="s">
        <v>1591</v>
      </c>
      <c r="D153" s="532" t="s">
        <v>6608</v>
      </c>
      <c r="E153" s="532" t="s">
        <v>1405</v>
      </c>
      <c r="F153" s="532" t="s">
        <v>2395</v>
      </c>
      <c r="G153" s="532" t="s">
        <v>1469</v>
      </c>
      <c r="H153" s="532" t="s">
        <v>2392</v>
      </c>
      <c r="I153" s="532" t="s">
        <v>6604</v>
      </c>
      <c r="J153" s="534">
        <v>45924</v>
      </c>
      <c r="K153" s="535"/>
      <c r="L153" s="535"/>
      <c r="M153" s="535"/>
      <c r="N153" s="535"/>
      <c r="O153" s="535"/>
      <c r="P153" s="535"/>
      <c r="Q153" s="535"/>
      <c r="R153" s="535"/>
      <c r="S153" s="535"/>
      <c r="T153" s="535"/>
      <c r="U153" s="535"/>
      <c r="V153" s="535"/>
      <c r="W153" s="535"/>
      <c r="X153" s="535"/>
      <c r="Y153" s="536"/>
    </row>
    <row r="154" spans="1:25" ht="12.75">
      <c r="A154" s="532" t="s">
        <v>3092</v>
      </c>
      <c r="B154" s="532">
        <v>41200007</v>
      </c>
      <c r="C154" s="532" t="s">
        <v>1591</v>
      </c>
      <c r="D154" s="532" t="s">
        <v>6608</v>
      </c>
      <c r="E154" s="532" t="s">
        <v>1405</v>
      </c>
      <c r="F154" s="532" t="s">
        <v>2395</v>
      </c>
      <c r="G154" s="532" t="s">
        <v>1469</v>
      </c>
      <c r="H154" s="532" t="s">
        <v>2392</v>
      </c>
      <c r="I154" s="532" t="s">
        <v>6604</v>
      </c>
      <c r="J154" s="534">
        <v>45924</v>
      </c>
      <c r="K154" s="535"/>
      <c r="L154" s="535"/>
      <c r="M154" s="535"/>
      <c r="N154" s="535"/>
      <c r="O154" s="535"/>
      <c r="P154" s="535"/>
      <c r="Q154" s="535"/>
      <c r="R154" s="535"/>
      <c r="S154" s="535"/>
      <c r="T154" s="535"/>
      <c r="U154" s="535"/>
      <c r="V154" s="535"/>
      <c r="W154" s="535"/>
      <c r="X154" s="535"/>
      <c r="Y154" s="536"/>
    </row>
    <row r="155" spans="1:25" ht="12.75">
      <c r="A155" s="532" t="s">
        <v>6641</v>
      </c>
      <c r="B155" s="532">
        <v>41200178</v>
      </c>
      <c r="C155" s="532" t="s">
        <v>6642</v>
      </c>
      <c r="D155" s="532" t="s">
        <v>6643</v>
      </c>
      <c r="E155" s="532" t="s">
        <v>6644</v>
      </c>
      <c r="F155" s="532" t="s">
        <v>2391</v>
      </c>
      <c r="G155" s="532" t="s">
        <v>2392</v>
      </c>
      <c r="H155" s="532" t="s">
        <v>2391</v>
      </c>
      <c r="I155" s="532" t="s">
        <v>6604</v>
      </c>
      <c r="J155" s="534">
        <v>45918</v>
      </c>
      <c r="K155" s="535"/>
      <c r="L155" s="535"/>
      <c r="M155" s="535"/>
      <c r="N155" s="535"/>
      <c r="O155" s="535"/>
      <c r="P155" s="535"/>
      <c r="Q155" s="535"/>
      <c r="R155" s="535"/>
      <c r="S155" s="535"/>
      <c r="T155" s="535"/>
      <c r="U155" s="535"/>
      <c r="V155" s="535"/>
      <c r="W155" s="535"/>
      <c r="X155" s="535"/>
      <c r="Y155" s="536"/>
    </row>
    <row r="156" spans="1:25" ht="12.75">
      <c r="A156" s="532" t="s">
        <v>6645</v>
      </c>
      <c r="B156" s="532">
        <v>41200178</v>
      </c>
      <c r="C156" s="532" t="s">
        <v>6642</v>
      </c>
      <c r="D156" s="532" t="s">
        <v>6643</v>
      </c>
      <c r="E156" s="532" t="s">
        <v>6644</v>
      </c>
      <c r="F156" s="532" t="s">
        <v>2391</v>
      </c>
      <c r="G156" s="532" t="s">
        <v>2392</v>
      </c>
      <c r="H156" s="532" t="s">
        <v>2391</v>
      </c>
      <c r="I156" s="532" t="s">
        <v>6604</v>
      </c>
      <c r="J156" s="534">
        <v>45918</v>
      </c>
      <c r="K156" s="535"/>
      <c r="L156" s="535"/>
      <c r="M156" s="535"/>
      <c r="N156" s="535"/>
      <c r="O156" s="535"/>
      <c r="P156" s="535"/>
      <c r="Q156" s="535"/>
      <c r="R156" s="535"/>
      <c r="S156" s="535"/>
      <c r="T156" s="535"/>
      <c r="U156" s="535"/>
      <c r="V156" s="535"/>
      <c r="W156" s="535"/>
      <c r="X156" s="535"/>
      <c r="Y156" s="536"/>
    </row>
    <row r="157" spans="1:25" ht="12.75">
      <c r="A157" s="532" t="s">
        <v>3062</v>
      </c>
      <c r="B157" s="532">
        <v>41200173</v>
      </c>
      <c r="C157" s="532" t="s">
        <v>1591</v>
      </c>
      <c r="D157" s="532" t="s">
        <v>1405</v>
      </c>
      <c r="E157" s="532" t="s">
        <v>1405</v>
      </c>
      <c r="F157" s="532" t="s">
        <v>2395</v>
      </c>
      <c r="G157" s="532" t="s">
        <v>1468</v>
      </c>
      <c r="H157" s="532" t="s">
        <v>2392</v>
      </c>
      <c r="I157" s="532" t="s">
        <v>6604</v>
      </c>
      <c r="J157" s="534">
        <v>45918</v>
      </c>
      <c r="K157" s="535"/>
      <c r="L157" s="535"/>
      <c r="M157" s="535"/>
      <c r="N157" s="535"/>
      <c r="O157" s="535"/>
      <c r="P157" s="535"/>
      <c r="Q157" s="535"/>
      <c r="R157" s="535"/>
      <c r="S157" s="535"/>
      <c r="T157" s="535"/>
      <c r="U157" s="535"/>
      <c r="V157" s="535"/>
      <c r="W157" s="535"/>
      <c r="X157" s="535"/>
      <c r="Y157" s="536"/>
    </row>
    <row r="158" spans="1:25" ht="12.75">
      <c r="A158" s="532" t="s">
        <v>3061</v>
      </c>
      <c r="B158" s="532">
        <v>41200173</v>
      </c>
      <c r="C158" s="532" t="s">
        <v>1591</v>
      </c>
      <c r="D158" s="532" t="s">
        <v>1405</v>
      </c>
      <c r="E158" s="532" t="s">
        <v>1405</v>
      </c>
      <c r="F158" s="532" t="s">
        <v>2395</v>
      </c>
      <c r="G158" s="532" t="s">
        <v>1468</v>
      </c>
      <c r="H158" s="532" t="s">
        <v>2392</v>
      </c>
      <c r="I158" s="532" t="s">
        <v>6604</v>
      </c>
      <c r="J158" s="534">
        <v>45918</v>
      </c>
      <c r="K158" s="535"/>
      <c r="L158" s="535"/>
      <c r="M158" s="535"/>
      <c r="N158" s="535"/>
      <c r="O158" s="535"/>
      <c r="P158" s="535"/>
      <c r="Q158" s="535"/>
      <c r="R158" s="535"/>
      <c r="S158" s="535"/>
      <c r="T158" s="535"/>
      <c r="U158" s="535"/>
      <c r="V158" s="535"/>
      <c r="W158" s="535"/>
      <c r="X158" s="535"/>
      <c r="Y158" s="536"/>
    </row>
    <row r="159" spans="1:25" ht="12.75">
      <c r="A159" s="532" t="s">
        <v>3097</v>
      </c>
      <c r="B159" s="532">
        <v>41200122</v>
      </c>
      <c r="C159" s="532" t="s">
        <v>1476</v>
      </c>
      <c r="D159" s="532" t="s">
        <v>1476</v>
      </c>
      <c r="E159" s="532" t="s">
        <v>1585</v>
      </c>
      <c r="F159" s="532" t="s">
        <v>2395</v>
      </c>
      <c r="G159" s="532" t="s">
        <v>1469</v>
      </c>
      <c r="H159" s="532" t="s">
        <v>2392</v>
      </c>
      <c r="I159" s="532" t="s">
        <v>6604</v>
      </c>
      <c r="J159" s="534">
        <v>45918</v>
      </c>
      <c r="K159" s="535"/>
      <c r="L159" s="535"/>
      <c r="M159" s="535"/>
      <c r="N159" s="535"/>
      <c r="O159" s="535"/>
      <c r="P159" s="535"/>
      <c r="Q159" s="535"/>
      <c r="R159" s="535"/>
      <c r="S159" s="535"/>
      <c r="T159" s="535"/>
      <c r="U159" s="535"/>
      <c r="V159" s="535"/>
      <c r="W159" s="535"/>
      <c r="X159" s="535"/>
      <c r="Y159" s="536"/>
    </row>
    <row r="160" spans="1:25" ht="12.75">
      <c r="A160" s="532" t="s">
        <v>3099</v>
      </c>
      <c r="B160" s="532">
        <v>41200133</v>
      </c>
      <c r="C160" s="532" t="s">
        <v>1476</v>
      </c>
      <c r="D160" s="532" t="s">
        <v>6605</v>
      </c>
      <c r="E160" s="532" t="s">
        <v>1429</v>
      </c>
      <c r="F160" s="532" t="s">
        <v>2395</v>
      </c>
      <c r="G160" s="532" t="s">
        <v>1468</v>
      </c>
      <c r="H160" s="532" t="s">
        <v>2392</v>
      </c>
      <c r="I160" s="532" t="s">
        <v>6604</v>
      </c>
      <c r="J160" s="534">
        <v>45918</v>
      </c>
      <c r="K160" s="535"/>
      <c r="L160" s="535"/>
      <c r="M160" s="535"/>
      <c r="N160" s="535"/>
      <c r="O160" s="535"/>
      <c r="P160" s="535"/>
      <c r="Q160" s="535"/>
      <c r="R160" s="535"/>
      <c r="S160" s="535"/>
      <c r="T160" s="535"/>
      <c r="U160" s="535"/>
      <c r="V160" s="535"/>
      <c r="W160" s="535"/>
      <c r="X160" s="535"/>
      <c r="Y160" s="536"/>
    </row>
    <row r="161" spans="1:25" ht="12.75">
      <c r="A161" s="532" t="s">
        <v>3105</v>
      </c>
      <c r="B161" s="532">
        <v>41000544</v>
      </c>
      <c r="C161" s="532" t="s">
        <v>1476</v>
      </c>
      <c r="D161" s="532" t="s">
        <v>6610</v>
      </c>
      <c r="E161" s="532" t="s">
        <v>1405</v>
      </c>
      <c r="F161" s="532" t="s">
        <v>2395</v>
      </c>
      <c r="G161" s="532" t="s">
        <v>1468</v>
      </c>
      <c r="H161" s="532" t="s">
        <v>2392</v>
      </c>
      <c r="I161" s="532" t="s">
        <v>6604</v>
      </c>
      <c r="J161" s="534">
        <v>45918</v>
      </c>
      <c r="K161" s="535"/>
      <c r="L161" s="535"/>
      <c r="M161" s="535"/>
      <c r="N161" s="535"/>
      <c r="O161" s="535"/>
      <c r="P161" s="535"/>
      <c r="Q161" s="535"/>
      <c r="R161" s="535"/>
      <c r="S161" s="535"/>
      <c r="T161" s="535"/>
      <c r="U161" s="535"/>
      <c r="V161" s="535"/>
      <c r="W161" s="535"/>
      <c r="X161" s="535"/>
      <c r="Y161" s="536"/>
    </row>
    <row r="162" spans="1:25" ht="12.75">
      <c r="A162" s="532" t="s">
        <v>3104</v>
      </c>
      <c r="B162" s="532">
        <v>41200029</v>
      </c>
      <c r="C162" s="532" t="s">
        <v>1476</v>
      </c>
      <c r="D162" s="532" t="s">
        <v>6610</v>
      </c>
      <c r="E162" s="532" t="s">
        <v>1405</v>
      </c>
      <c r="F162" s="532" t="s">
        <v>2395</v>
      </c>
      <c r="G162" s="532" t="s">
        <v>1468</v>
      </c>
      <c r="H162" s="532" t="s">
        <v>2392</v>
      </c>
      <c r="I162" s="532" t="s">
        <v>6604</v>
      </c>
      <c r="J162" s="534">
        <v>45918</v>
      </c>
      <c r="K162" s="535"/>
      <c r="L162" s="535"/>
      <c r="M162" s="535"/>
      <c r="N162" s="535"/>
      <c r="O162" s="535"/>
      <c r="P162" s="535"/>
      <c r="Q162" s="535"/>
      <c r="R162" s="535"/>
      <c r="S162" s="535"/>
      <c r="T162" s="535"/>
      <c r="U162" s="535"/>
      <c r="V162" s="535"/>
      <c r="W162" s="535"/>
      <c r="X162" s="535"/>
      <c r="Y162" s="536"/>
    </row>
    <row r="163" spans="1:25" ht="12.75">
      <c r="A163" s="532" t="s">
        <v>3076</v>
      </c>
      <c r="B163" s="532">
        <v>41200076</v>
      </c>
      <c r="C163" s="532" t="s">
        <v>1476</v>
      </c>
      <c r="D163" s="532" t="s">
        <v>1476</v>
      </c>
      <c r="E163" s="532" t="s">
        <v>1585</v>
      </c>
      <c r="F163" s="532" t="s">
        <v>2395</v>
      </c>
      <c r="G163" s="532" t="s">
        <v>1469</v>
      </c>
      <c r="H163" s="532" t="s">
        <v>2392</v>
      </c>
      <c r="I163" s="532" t="s">
        <v>6604</v>
      </c>
      <c r="J163" s="534">
        <v>45918</v>
      </c>
      <c r="K163" s="535"/>
      <c r="L163" s="535"/>
      <c r="M163" s="535"/>
      <c r="N163" s="535"/>
      <c r="O163" s="535"/>
      <c r="P163" s="535"/>
      <c r="Q163" s="535"/>
      <c r="R163" s="535"/>
      <c r="S163" s="535"/>
      <c r="T163" s="535"/>
      <c r="U163" s="535"/>
      <c r="V163" s="535"/>
      <c r="W163" s="535"/>
      <c r="X163" s="535"/>
      <c r="Y163" s="536"/>
    </row>
    <row r="164" spans="1:25" ht="12.75">
      <c r="A164" s="532" t="s">
        <v>3074</v>
      </c>
      <c r="B164" s="532">
        <v>41200076</v>
      </c>
      <c r="C164" s="532" t="s">
        <v>1476</v>
      </c>
      <c r="D164" s="532" t="s">
        <v>1476</v>
      </c>
      <c r="E164" s="532" t="s">
        <v>1585</v>
      </c>
      <c r="F164" s="532" t="s">
        <v>2395</v>
      </c>
      <c r="G164" s="532" t="s">
        <v>1469</v>
      </c>
      <c r="H164" s="532" t="s">
        <v>2392</v>
      </c>
      <c r="I164" s="532" t="s">
        <v>6604</v>
      </c>
      <c r="J164" s="534">
        <v>45918</v>
      </c>
      <c r="K164" s="535"/>
      <c r="L164" s="535"/>
      <c r="M164" s="535"/>
      <c r="N164" s="535"/>
      <c r="O164" s="535"/>
      <c r="P164" s="535"/>
      <c r="Q164" s="535"/>
      <c r="R164" s="535"/>
      <c r="S164" s="535"/>
      <c r="T164" s="535"/>
      <c r="U164" s="535"/>
      <c r="V164" s="535"/>
      <c r="W164" s="535"/>
      <c r="X164" s="535"/>
      <c r="Y164" s="536"/>
    </row>
    <row r="165" spans="1:25" ht="12.75">
      <c r="A165" s="532" t="s">
        <v>3084</v>
      </c>
      <c r="B165" s="532">
        <v>41100435</v>
      </c>
      <c r="C165" s="532" t="s">
        <v>3801</v>
      </c>
      <c r="D165" s="532" t="s">
        <v>1482</v>
      </c>
      <c r="E165" s="532" t="s">
        <v>1585</v>
      </c>
      <c r="F165" s="532" t="s">
        <v>2395</v>
      </c>
      <c r="G165" s="532" t="s">
        <v>1469</v>
      </c>
      <c r="H165" s="533"/>
      <c r="I165" s="532" t="s">
        <v>6604</v>
      </c>
      <c r="J165" s="534">
        <v>45918</v>
      </c>
      <c r="K165" s="535"/>
      <c r="L165" s="535"/>
      <c r="M165" s="535"/>
      <c r="N165" s="535"/>
      <c r="O165" s="535"/>
      <c r="P165" s="535"/>
      <c r="Q165" s="535"/>
      <c r="R165" s="535"/>
      <c r="S165" s="535"/>
      <c r="T165" s="535"/>
      <c r="U165" s="535"/>
      <c r="V165" s="535"/>
      <c r="W165" s="535"/>
      <c r="X165" s="535"/>
      <c r="Y165" s="536"/>
    </row>
    <row r="166" spans="1:25" ht="12.75">
      <c r="A166" s="532" t="s">
        <v>5256</v>
      </c>
      <c r="B166" s="532">
        <v>41000558</v>
      </c>
      <c r="C166" s="532" t="s">
        <v>6607</v>
      </c>
      <c r="D166" s="532" t="s">
        <v>6607</v>
      </c>
      <c r="E166" s="532" t="s">
        <v>1405</v>
      </c>
      <c r="F166" s="532" t="s">
        <v>5127</v>
      </c>
      <c r="G166" s="532" t="s">
        <v>2392</v>
      </c>
      <c r="H166" s="533"/>
      <c r="I166" s="532" t="s">
        <v>6604</v>
      </c>
      <c r="J166" s="534">
        <v>45918</v>
      </c>
      <c r="K166" s="535"/>
      <c r="L166" s="535"/>
      <c r="M166" s="535"/>
      <c r="N166" s="535"/>
      <c r="O166" s="535"/>
      <c r="P166" s="535"/>
      <c r="Q166" s="535"/>
      <c r="R166" s="535"/>
      <c r="S166" s="535"/>
      <c r="T166" s="535"/>
      <c r="U166" s="535"/>
      <c r="V166" s="535"/>
      <c r="W166" s="535"/>
      <c r="X166" s="535"/>
      <c r="Y166" s="536"/>
    </row>
    <row r="167" spans="1:25" ht="12.75">
      <c r="A167" s="532" t="s">
        <v>5255</v>
      </c>
      <c r="B167" s="532">
        <v>41000558</v>
      </c>
      <c r="C167" s="532" t="s">
        <v>6607</v>
      </c>
      <c r="D167" s="532" t="s">
        <v>6607</v>
      </c>
      <c r="E167" s="532" t="s">
        <v>1405</v>
      </c>
      <c r="F167" s="532" t="s">
        <v>5127</v>
      </c>
      <c r="G167" s="532" t="s">
        <v>2392</v>
      </c>
      <c r="H167" s="533"/>
      <c r="I167" s="532" t="s">
        <v>6604</v>
      </c>
      <c r="J167" s="534">
        <v>45918</v>
      </c>
      <c r="K167" s="535"/>
      <c r="L167" s="535"/>
      <c r="M167" s="535"/>
      <c r="N167" s="535"/>
      <c r="O167" s="535"/>
      <c r="P167" s="535"/>
      <c r="Q167" s="535"/>
      <c r="R167" s="535"/>
      <c r="S167" s="535"/>
      <c r="T167" s="535"/>
      <c r="U167" s="535"/>
      <c r="V167" s="535"/>
      <c r="W167" s="535"/>
      <c r="X167" s="535"/>
      <c r="Y167" s="536"/>
    </row>
    <row r="168" spans="1:25" ht="12.75">
      <c r="A168" s="532" t="s">
        <v>3071</v>
      </c>
      <c r="B168" s="532">
        <v>41000544</v>
      </c>
      <c r="C168" s="532" t="s">
        <v>1476</v>
      </c>
      <c r="D168" s="532" t="s">
        <v>6610</v>
      </c>
      <c r="E168" s="532" t="s">
        <v>1405</v>
      </c>
      <c r="F168" s="532" t="s">
        <v>2391</v>
      </c>
      <c r="G168" s="532" t="s">
        <v>1468</v>
      </c>
      <c r="H168" s="532" t="s">
        <v>2392</v>
      </c>
      <c r="I168" s="532" t="s">
        <v>6604</v>
      </c>
      <c r="J168" s="534">
        <v>45918</v>
      </c>
      <c r="K168" s="535"/>
      <c r="L168" s="535"/>
      <c r="M168" s="535"/>
      <c r="N168" s="535"/>
      <c r="O168" s="535"/>
      <c r="P168" s="535"/>
      <c r="Q168" s="535"/>
      <c r="R168" s="535"/>
      <c r="S168" s="535"/>
      <c r="T168" s="535"/>
      <c r="U168" s="535"/>
      <c r="V168" s="535"/>
      <c r="W168" s="535"/>
      <c r="X168" s="535"/>
      <c r="Y168" s="536"/>
    </row>
    <row r="169" spans="1:25" ht="12.75">
      <c r="A169" s="532" t="s">
        <v>3060</v>
      </c>
      <c r="B169" s="532">
        <v>41200127</v>
      </c>
      <c r="C169" s="532" t="s">
        <v>1591</v>
      </c>
      <c r="D169" s="532" t="s">
        <v>6606</v>
      </c>
      <c r="E169" s="532" t="s">
        <v>1431</v>
      </c>
      <c r="F169" s="532" t="s">
        <v>2391</v>
      </c>
      <c r="G169" s="532" t="s">
        <v>2392</v>
      </c>
      <c r="H169" s="532" t="s">
        <v>2392</v>
      </c>
      <c r="I169" s="532" t="s">
        <v>6604</v>
      </c>
      <c r="J169" s="534">
        <v>45918</v>
      </c>
      <c r="K169" s="535"/>
      <c r="L169" s="535"/>
      <c r="M169" s="535"/>
      <c r="N169" s="535"/>
      <c r="O169" s="535"/>
      <c r="P169" s="535"/>
      <c r="Q169" s="535"/>
      <c r="R169" s="535"/>
      <c r="S169" s="535"/>
      <c r="T169" s="535"/>
      <c r="U169" s="535"/>
      <c r="V169" s="535"/>
      <c r="W169" s="535"/>
      <c r="X169" s="535"/>
      <c r="Y169" s="536"/>
    </row>
    <row r="170" spans="1:25" ht="12.75">
      <c r="A170" s="532" t="s">
        <v>3059</v>
      </c>
      <c r="B170" s="532">
        <v>41200127</v>
      </c>
      <c r="C170" s="532" t="s">
        <v>1591</v>
      </c>
      <c r="D170" s="532" t="s">
        <v>6606</v>
      </c>
      <c r="E170" s="532" t="s">
        <v>1431</v>
      </c>
      <c r="F170" s="532" t="s">
        <v>2391</v>
      </c>
      <c r="G170" s="532" t="s">
        <v>2392</v>
      </c>
      <c r="H170" s="532" t="s">
        <v>2392</v>
      </c>
      <c r="I170" s="532" t="s">
        <v>6604</v>
      </c>
      <c r="J170" s="534">
        <v>45918</v>
      </c>
      <c r="K170" s="535"/>
      <c r="L170" s="535"/>
      <c r="M170" s="535"/>
      <c r="N170" s="535"/>
      <c r="O170" s="535"/>
      <c r="P170" s="535"/>
      <c r="Q170" s="535"/>
      <c r="R170" s="535"/>
      <c r="S170" s="535"/>
      <c r="T170" s="535"/>
      <c r="U170" s="535"/>
      <c r="V170" s="535"/>
      <c r="W170" s="535"/>
      <c r="X170" s="535"/>
      <c r="Y170" s="536"/>
    </row>
    <row r="171" spans="1:25" ht="12.75">
      <c r="A171" s="532" t="s">
        <v>3073</v>
      </c>
      <c r="B171" s="532">
        <v>41200131</v>
      </c>
      <c r="C171" s="532" t="s">
        <v>1476</v>
      </c>
      <c r="D171" s="532" t="s">
        <v>6606</v>
      </c>
      <c r="E171" s="532" t="s">
        <v>1431</v>
      </c>
      <c r="F171" s="532" t="s">
        <v>2391</v>
      </c>
      <c r="G171" s="532" t="s">
        <v>1468</v>
      </c>
      <c r="H171" s="532" t="s">
        <v>2392</v>
      </c>
      <c r="I171" s="532" t="s">
        <v>6604</v>
      </c>
      <c r="J171" s="534">
        <v>45918</v>
      </c>
      <c r="K171" s="535"/>
      <c r="L171" s="535"/>
      <c r="M171" s="535"/>
      <c r="N171" s="535"/>
      <c r="O171" s="535"/>
      <c r="P171" s="535"/>
      <c r="Q171" s="535"/>
      <c r="R171" s="535"/>
      <c r="S171" s="535"/>
      <c r="T171" s="535"/>
      <c r="U171" s="535"/>
      <c r="V171" s="535"/>
      <c r="W171" s="535"/>
      <c r="X171" s="535"/>
      <c r="Y171" s="536"/>
    </row>
    <row r="172" spans="1:25" ht="12.75">
      <c r="A172" s="532" t="s">
        <v>3072</v>
      </c>
      <c r="B172" s="532">
        <v>41200131</v>
      </c>
      <c r="C172" s="532" t="s">
        <v>1476</v>
      </c>
      <c r="D172" s="532" t="s">
        <v>6606</v>
      </c>
      <c r="E172" s="532" t="s">
        <v>1431</v>
      </c>
      <c r="F172" s="532" t="s">
        <v>2391</v>
      </c>
      <c r="G172" s="532" t="s">
        <v>1468</v>
      </c>
      <c r="H172" s="532" t="s">
        <v>2392</v>
      </c>
      <c r="I172" s="532" t="s">
        <v>6604</v>
      </c>
      <c r="J172" s="534">
        <v>45918</v>
      </c>
      <c r="K172" s="535"/>
      <c r="L172" s="535"/>
      <c r="M172" s="535"/>
      <c r="N172" s="535"/>
      <c r="O172" s="535"/>
      <c r="P172" s="535"/>
      <c r="Q172" s="535"/>
      <c r="R172" s="535"/>
      <c r="S172" s="535"/>
      <c r="T172" s="535"/>
      <c r="U172" s="535"/>
      <c r="V172" s="535"/>
      <c r="W172" s="535"/>
      <c r="X172" s="535"/>
      <c r="Y172" s="536"/>
    </row>
    <row r="173" spans="1:25" ht="12.75">
      <c r="A173" s="532" t="s">
        <v>3078</v>
      </c>
      <c r="B173" s="532">
        <v>41200128</v>
      </c>
      <c r="C173" s="532" t="s">
        <v>1591</v>
      </c>
      <c r="D173" s="532" t="s">
        <v>6606</v>
      </c>
      <c r="E173" s="532" t="s">
        <v>1431</v>
      </c>
      <c r="F173" s="532" t="s">
        <v>2395</v>
      </c>
      <c r="G173" s="532" t="s">
        <v>1469</v>
      </c>
      <c r="H173" s="532" t="s">
        <v>2392</v>
      </c>
      <c r="I173" s="532" t="s">
        <v>6604</v>
      </c>
      <c r="J173" s="534">
        <v>45918</v>
      </c>
      <c r="K173" s="535"/>
      <c r="L173" s="535"/>
      <c r="M173" s="535"/>
      <c r="N173" s="535"/>
      <c r="O173" s="535"/>
      <c r="P173" s="535"/>
      <c r="Q173" s="535"/>
      <c r="R173" s="535"/>
      <c r="S173" s="535"/>
      <c r="T173" s="535"/>
      <c r="U173" s="535"/>
      <c r="V173" s="535"/>
      <c r="W173" s="535"/>
      <c r="X173" s="535"/>
      <c r="Y173" s="536"/>
    </row>
    <row r="174" spans="1:25" ht="12.75">
      <c r="A174" s="532" t="s">
        <v>3077</v>
      </c>
      <c r="B174" s="532">
        <v>41200128</v>
      </c>
      <c r="C174" s="532" t="s">
        <v>1591</v>
      </c>
      <c r="D174" s="532" t="s">
        <v>6606</v>
      </c>
      <c r="E174" s="532" t="s">
        <v>1431</v>
      </c>
      <c r="F174" s="532" t="s">
        <v>2395</v>
      </c>
      <c r="G174" s="532" t="s">
        <v>1469</v>
      </c>
      <c r="H174" s="532" t="s">
        <v>2392</v>
      </c>
      <c r="I174" s="532" t="s">
        <v>6604</v>
      </c>
      <c r="J174" s="534">
        <v>45918</v>
      </c>
      <c r="K174" s="535"/>
      <c r="L174" s="535"/>
      <c r="M174" s="535"/>
      <c r="N174" s="535"/>
      <c r="O174" s="535"/>
      <c r="P174" s="535"/>
      <c r="Q174" s="535"/>
      <c r="R174" s="535"/>
      <c r="S174" s="535"/>
      <c r="T174" s="535"/>
      <c r="U174" s="535"/>
      <c r="V174" s="535"/>
      <c r="W174" s="535"/>
      <c r="X174" s="535"/>
      <c r="Y174" s="536"/>
    </row>
    <row r="175" spans="1:25" ht="12.75">
      <c r="A175" s="532" t="s">
        <v>3051</v>
      </c>
      <c r="B175" s="532">
        <v>41200053</v>
      </c>
      <c r="C175" s="532" t="s">
        <v>2184</v>
      </c>
      <c r="D175" s="532" t="s">
        <v>6646</v>
      </c>
      <c r="E175" s="532" t="s">
        <v>1405</v>
      </c>
      <c r="F175" s="532" t="s">
        <v>2392</v>
      </c>
      <c r="G175" s="532" t="s">
        <v>2392</v>
      </c>
      <c r="H175" s="533"/>
      <c r="I175" s="532" t="s">
        <v>6604</v>
      </c>
      <c r="J175" s="534">
        <v>45918</v>
      </c>
      <c r="K175" s="535"/>
      <c r="L175" s="535"/>
      <c r="M175" s="535"/>
      <c r="N175" s="535"/>
      <c r="O175" s="535"/>
      <c r="P175" s="535"/>
      <c r="Q175" s="535"/>
      <c r="R175" s="535"/>
      <c r="S175" s="535"/>
      <c r="T175" s="535"/>
      <c r="U175" s="535"/>
      <c r="V175" s="535"/>
      <c r="W175" s="535"/>
      <c r="X175" s="535"/>
      <c r="Y175" s="536"/>
    </row>
    <row r="176" spans="1:25" ht="12.75">
      <c r="A176" s="532" t="s">
        <v>3050</v>
      </c>
      <c r="B176" s="532">
        <v>41200053</v>
      </c>
      <c r="C176" s="532" t="s">
        <v>2184</v>
      </c>
      <c r="D176" s="532" t="s">
        <v>6646</v>
      </c>
      <c r="E176" s="532" t="s">
        <v>1405</v>
      </c>
      <c r="F176" s="532" t="s">
        <v>2392</v>
      </c>
      <c r="G176" s="532" t="s">
        <v>2392</v>
      </c>
      <c r="H176" s="533"/>
      <c r="I176" s="532" t="s">
        <v>6604</v>
      </c>
      <c r="J176" s="534">
        <v>45918</v>
      </c>
      <c r="K176" s="535"/>
      <c r="L176" s="535"/>
      <c r="M176" s="535"/>
      <c r="N176" s="535"/>
      <c r="O176" s="535"/>
      <c r="P176" s="535"/>
      <c r="Q176" s="535"/>
      <c r="R176" s="535"/>
      <c r="S176" s="535"/>
      <c r="T176" s="535"/>
      <c r="U176" s="535"/>
      <c r="V176" s="535"/>
      <c r="W176" s="535"/>
      <c r="X176" s="535"/>
      <c r="Y176" s="536"/>
    </row>
    <row r="177" spans="1:25" ht="12.75">
      <c r="A177" s="532" t="s">
        <v>3063</v>
      </c>
      <c r="B177" s="532">
        <v>41200122</v>
      </c>
      <c r="C177" s="532" t="s">
        <v>1476</v>
      </c>
      <c r="D177" s="532" t="s">
        <v>1476</v>
      </c>
      <c r="E177" s="532" t="s">
        <v>1585</v>
      </c>
      <c r="F177" s="532" t="s">
        <v>2391</v>
      </c>
      <c r="G177" s="532" t="s">
        <v>1468</v>
      </c>
      <c r="H177" s="532" t="s">
        <v>2392</v>
      </c>
      <c r="I177" s="532" t="s">
        <v>6604</v>
      </c>
      <c r="J177" s="534">
        <v>45918</v>
      </c>
      <c r="K177" s="535"/>
      <c r="L177" s="535"/>
      <c r="M177" s="535"/>
      <c r="N177" s="535"/>
      <c r="O177" s="535"/>
      <c r="P177" s="535"/>
      <c r="Q177" s="535"/>
      <c r="R177" s="535"/>
      <c r="S177" s="535"/>
      <c r="T177" s="535"/>
      <c r="U177" s="535"/>
      <c r="V177" s="535"/>
      <c r="W177" s="535"/>
      <c r="X177" s="535"/>
      <c r="Y177" s="536"/>
    </row>
    <row r="178" spans="1:25" ht="12.75">
      <c r="A178" s="532" t="s">
        <v>5215</v>
      </c>
      <c r="B178" s="532" t="s">
        <v>6632</v>
      </c>
      <c r="C178" s="533"/>
      <c r="D178" s="533"/>
      <c r="E178" s="532" t="s">
        <v>1424</v>
      </c>
      <c r="F178" s="532" t="s">
        <v>2395</v>
      </c>
      <c r="G178" s="532" t="s">
        <v>2392</v>
      </c>
      <c r="H178" s="533"/>
      <c r="I178" s="532" t="s">
        <v>6594</v>
      </c>
      <c r="J178" s="534">
        <v>45916</v>
      </c>
      <c r="K178" s="535"/>
      <c r="L178" s="535"/>
      <c r="M178" s="535"/>
      <c r="N178" s="535"/>
      <c r="O178" s="535"/>
      <c r="P178" s="535"/>
      <c r="Q178" s="535"/>
      <c r="R178" s="535"/>
      <c r="S178" s="535"/>
      <c r="T178" s="535"/>
      <c r="U178" s="535"/>
      <c r="V178" s="535"/>
      <c r="W178" s="535"/>
      <c r="X178" s="535"/>
      <c r="Y178" s="536"/>
    </row>
    <row r="179" spans="1:25" ht="12.75">
      <c r="A179" s="532" t="s">
        <v>5214</v>
      </c>
      <c r="B179" s="532" t="s">
        <v>6632</v>
      </c>
      <c r="C179" s="533"/>
      <c r="D179" s="533"/>
      <c r="E179" s="532" t="s">
        <v>1424</v>
      </c>
      <c r="F179" s="532" t="s">
        <v>2395</v>
      </c>
      <c r="G179" s="532" t="s">
        <v>2392</v>
      </c>
      <c r="H179" s="533"/>
      <c r="I179" s="532" t="s">
        <v>6594</v>
      </c>
      <c r="J179" s="534">
        <v>45916</v>
      </c>
      <c r="K179" s="535"/>
      <c r="L179" s="535"/>
      <c r="M179" s="535"/>
      <c r="N179" s="535"/>
      <c r="O179" s="535"/>
      <c r="P179" s="535"/>
      <c r="Q179" s="535"/>
      <c r="R179" s="535"/>
      <c r="S179" s="535"/>
      <c r="T179" s="535"/>
      <c r="U179" s="535"/>
      <c r="V179" s="535"/>
      <c r="W179" s="535"/>
      <c r="X179" s="535"/>
      <c r="Y179" s="536"/>
    </row>
    <row r="180" spans="1:25" ht="12.75">
      <c r="A180" s="532" t="s">
        <v>5213</v>
      </c>
      <c r="B180" s="532" t="s">
        <v>6632</v>
      </c>
      <c r="C180" s="533"/>
      <c r="D180" s="533"/>
      <c r="E180" s="532" t="s">
        <v>1424</v>
      </c>
      <c r="F180" s="532" t="s">
        <v>2395</v>
      </c>
      <c r="G180" s="532" t="s">
        <v>2392</v>
      </c>
      <c r="H180" s="533"/>
      <c r="I180" s="532" t="s">
        <v>6594</v>
      </c>
      <c r="J180" s="534">
        <v>45916</v>
      </c>
      <c r="K180" s="535"/>
      <c r="L180" s="535"/>
      <c r="M180" s="535"/>
      <c r="N180" s="535"/>
      <c r="O180" s="535"/>
      <c r="P180" s="535"/>
      <c r="Q180" s="535"/>
      <c r="R180" s="535"/>
      <c r="S180" s="535"/>
      <c r="T180" s="535"/>
      <c r="U180" s="535"/>
      <c r="V180" s="535"/>
      <c r="W180" s="535"/>
      <c r="X180" s="535"/>
      <c r="Y180" s="536"/>
    </row>
    <row r="181" spans="1:25" ht="12.75">
      <c r="A181" s="532" t="s">
        <v>1892</v>
      </c>
      <c r="B181" s="532">
        <v>41200145</v>
      </c>
      <c r="C181" s="532" t="s">
        <v>1479</v>
      </c>
      <c r="D181" s="532" t="s">
        <v>6647</v>
      </c>
      <c r="E181" s="532" t="s">
        <v>1409</v>
      </c>
      <c r="F181" s="532" t="s">
        <v>2391</v>
      </c>
      <c r="G181" s="532" t="s">
        <v>1468</v>
      </c>
      <c r="H181" s="532" t="s">
        <v>2392</v>
      </c>
      <c r="I181" s="532" t="s">
        <v>6604</v>
      </c>
      <c r="J181" s="534">
        <v>45912</v>
      </c>
      <c r="K181" s="535"/>
      <c r="L181" s="535"/>
      <c r="M181" s="535"/>
      <c r="N181" s="535"/>
      <c r="O181" s="535"/>
      <c r="P181" s="535"/>
      <c r="Q181" s="535"/>
      <c r="R181" s="535"/>
      <c r="S181" s="535"/>
      <c r="T181" s="535"/>
      <c r="U181" s="535"/>
      <c r="V181" s="535"/>
      <c r="W181" s="535"/>
      <c r="X181" s="535"/>
      <c r="Y181" s="536"/>
    </row>
    <row r="182" spans="1:25" ht="12.75">
      <c r="A182" s="532" t="s">
        <v>1872</v>
      </c>
      <c r="B182" s="532">
        <v>41200145</v>
      </c>
      <c r="C182" s="532" t="s">
        <v>1479</v>
      </c>
      <c r="D182" s="532" t="s">
        <v>6647</v>
      </c>
      <c r="E182" s="532" t="s">
        <v>1409</v>
      </c>
      <c r="F182" s="532" t="s">
        <v>2391</v>
      </c>
      <c r="G182" s="532" t="s">
        <v>1468</v>
      </c>
      <c r="H182" s="532" t="s">
        <v>2392</v>
      </c>
      <c r="I182" s="532" t="s">
        <v>6604</v>
      </c>
      <c r="J182" s="534">
        <v>45912</v>
      </c>
      <c r="K182" s="535"/>
      <c r="L182" s="535"/>
      <c r="M182" s="535"/>
      <c r="N182" s="535"/>
      <c r="O182" s="535"/>
      <c r="P182" s="535"/>
      <c r="Q182" s="535"/>
      <c r="R182" s="535"/>
      <c r="S182" s="535"/>
      <c r="T182" s="535"/>
      <c r="U182" s="535"/>
      <c r="V182" s="535"/>
      <c r="W182" s="535"/>
      <c r="X182" s="535"/>
      <c r="Y182" s="536"/>
    </row>
    <row r="183" spans="1:25" ht="12.75">
      <c r="A183" s="532" t="s">
        <v>1871</v>
      </c>
      <c r="B183" s="532">
        <v>41200145</v>
      </c>
      <c r="C183" s="532" t="s">
        <v>1479</v>
      </c>
      <c r="D183" s="532" t="s">
        <v>6647</v>
      </c>
      <c r="E183" s="532" t="s">
        <v>1409</v>
      </c>
      <c r="F183" s="532" t="s">
        <v>2391</v>
      </c>
      <c r="G183" s="532" t="s">
        <v>1468</v>
      </c>
      <c r="H183" s="532" t="s">
        <v>2392</v>
      </c>
      <c r="I183" s="532" t="s">
        <v>6604</v>
      </c>
      <c r="J183" s="534">
        <v>45912</v>
      </c>
      <c r="K183" s="535"/>
      <c r="L183" s="535"/>
      <c r="M183" s="535"/>
      <c r="N183" s="535"/>
      <c r="O183" s="535"/>
      <c r="P183" s="535"/>
      <c r="Q183" s="535"/>
      <c r="R183" s="535"/>
      <c r="S183" s="535"/>
      <c r="T183" s="535"/>
      <c r="U183" s="535"/>
      <c r="V183" s="535"/>
      <c r="W183" s="535"/>
      <c r="X183" s="535"/>
      <c r="Y183" s="536"/>
    </row>
    <row r="184" spans="1:25" ht="12.75">
      <c r="A184" s="532" t="s">
        <v>1870</v>
      </c>
      <c r="B184" s="532">
        <v>41200145</v>
      </c>
      <c r="C184" s="532" t="s">
        <v>1479</v>
      </c>
      <c r="D184" s="532" t="s">
        <v>6647</v>
      </c>
      <c r="E184" s="532" t="s">
        <v>1409</v>
      </c>
      <c r="F184" s="532" t="s">
        <v>2391</v>
      </c>
      <c r="G184" s="532" t="s">
        <v>1468</v>
      </c>
      <c r="H184" s="532" t="s">
        <v>2392</v>
      </c>
      <c r="I184" s="532" t="s">
        <v>6604</v>
      </c>
      <c r="J184" s="534">
        <v>45912</v>
      </c>
      <c r="K184" s="535"/>
      <c r="L184" s="535"/>
      <c r="M184" s="535"/>
      <c r="N184" s="535"/>
      <c r="O184" s="535"/>
      <c r="P184" s="535"/>
      <c r="Q184" s="535"/>
      <c r="R184" s="535"/>
      <c r="S184" s="535"/>
      <c r="T184" s="535"/>
      <c r="U184" s="535"/>
      <c r="V184" s="535"/>
      <c r="W184" s="535"/>
      <c r="X184" s="535"/>
      <c r="Y184" s="536"/>
    </row>
    <row r="185" spans="1:25" ht="12.75">
      <c r="A185" s="532" t="s">
        <v>1869</v>
      </c>
      <c r="B185" s="532">
        <v>41200145</v>
      </c>
      <c r="C185" s="532" t="s">
        <v>1479</v>
      </c>
      <c r="D185" s="532" t="s">
        <v>6647</v>
      </c>
      <c r="E185" s="532" t="s">
        <v>1409</v>
      </c>
      <c r="F185" s="532" t="s">
        <v>2391</v>
      </c>
      <c r="G185" s="532" t="s">
        <v>1468</v>
      </c>
      <c r="H185" s="532" t="s">
        <v>2392</v>
      </c>
      <c r="I185" s="532" t="s">
        <v>6604</v>
      </c>
      <c r="J185" s="534">
        <v>45912</v>
      </c>
      <c r="K185" s="535"/>
      <c r="L185" s="535"/>
      <c r="M185" s="535"/>
      <c r="N185" s="535"/>
      <c r="O185" s="535"/>
      <c r="P185" s="535"/>
      <c r="Q185" s="535"/>
      <c r="R185" s="535"/>
      <c r="S185" s="535"/>
      <c r="T185" s="535"/>
      <c r="U185" s="535"/>
      <c r="V185" s="535"/>
      <c r="W185" s="535"/>
      <c r="X185" s="535"/>
      <c r="Y185" s="536"/>
    </row>
    <row r="186" spans="1:25" ht="12.75">
      <c r="A186" s="532" t="s">
        <v>1802</v>
      </c>
      <c r="B186" s="532">
        <v>41200145</v>
      </c>
      <c r="C186" s="532" t="s">
        <v>1479</v>
      </c>
      <c r="D186" s="532" t="s">
        <v>6647</v>
      </c>
      <c r="E186" s="532" t="s">
        <v>1409</v>
      </c>
      <c r="F186" s="532" t="s">
        <v>2391</v>
      </c>
      <c r="G186" s="532" t="s">
        <v>1468</v>
      </c>
      <c r="H186" s="532" t="s">
        <v>2392</v>
      </c>
      <c r="I186" s="532" t="s">
        <v>6604</v>
      </c>
      <c r="J186" s="534">
        <v>45912</v>
      </c>
      <c r="K186" s="535"/>
      <c r="L186" s="535"/>
      <c r="M186" s="535"/>
      <c r="N186" s="535"/>
      <c r="O186" s="535"/>
      <c r="P186" s="535"/>
      <c r="Q186" s="535"/>
      <c r="R186" s="535"/>
      <c r="S186" s="535"/>
      <c r="T186" s="535"/>
      <c r="U186" s="535"/>
      <c r="V186" s="535"/>
      <c r="W186" s="535"/>
      <c r="X186" s="535"/>
      <c r="Y186" s="536"/>
    </row>
    <row r="187" spans="1:25" ht="12.75">
      <c r="A187" s="532" t="s">
        <v>5254</v>
      </c>
      <c r="B187" s="532">
        <v>41000558</v>
      </c>
      <c r="C187" s="532" t="s">
        <v>6607</v>
      </c>
      <c r="D187" s="532" t="s">
        <v>6607</v>
      </c>
      <c r="E187" s="532" t="s">
        <v>1405</v>
      </c>
      <c r="F187" s="532" t="s">
        <v>5127</v>
      </c>
      <c r="G187" s="532" t="s">
        <v>2392</v>
      </c>
      <c r="H187" s="533"/>
      <c r="I187" s="532" t="s">
        <v>6604</v>
      </c>
      <c r="J187" s="534">
        <v>45911</v>
      </c>
      <c r="K187" s="535"/>
      <c r="L187" s="535"/>
      <c r="M187" s="535"/>
      <c r="N187" s="535"/>
      <c r="O187" s="535"/>
      <c r="P187" s="535"/>
      <c r="Q187" s="535"/>
      <c r="R187" s="535"/>
      <c r="S187" s="535"/>
      <c r="T187" s="535"/>
      <c r="U187" s="535"/>
      <c r="V187" s="535"/>
      <c r="W187" s="535"/>
      <c r="X187" s="535"/>
      <c r="Y187" s="536"/>
    </row>
    <row r="188" spans="1:25" ht="12.75">
      <c r="A188" s="532" t="s">
        <v>3069</v>
      </c>
      <c r="B188" s="532">
        <v>41200101</v>
      </c>
      <c r="C188" s="532" t="s">
        <v>1476</v>
      </c>
      <c r="D188" s="532" t="s">
        <v>1476</v>
      </c>
      <c r="E188" s="532" t="s">
        <v>1585</v>
      </c>
      <c r="F188" s="532" t="s">
        <v>2395</v>
      </c>
      <c r="G188" s="532" t="s">
        <v>1468</v>
      </c>
      <c r="H188" s="532" t="s">
        <v>2392</v>
      </c>
      <c r="I188" s="532" t="s">
        <v>6604</v>
      </c>
      <c r="J188" s="534">
        <v>45911</v>
      </c>
      <c r="K188" s="535"/>
      <c r="L188" s="535"/>
      <c r="M188" s="535"/>
      <c r="N188" s="535"/>
      <c r="O188" s="535"/>
      <c r="P188" s="535"/>
      <c r="Q188" s="535"/>
      <c r="R188" s="535"/>
      <c r="S188" s="535"/>
      <c r="T188" s="535"/>
      <c r="U188" s="535"/>
      <c r="V188" s="535"/>
      <c r="W188" s="535"/>
      <c r="X188" s="535"/>
      <c r="Y188" s="536"/>
    </row>
    <row r="189" spans="1:25" ht="12.75">
      <c r="A189" s="532" t="s">
        <v>3438</v>
      </c>
      <c r="B189" s="532">
        <v>41200101</v>
      </c>
      <c r="C189" s="532" t="s">
        <v>1476</v>
      </c>
      <c r="D189" s="532" t="s">
        <v>1476</v>
      </c>
      <c r="E189" s="532" t="s">
        <v>1585</v>
      </c>
      <c r="F189" s="532" t="s">
        <v>2395</v>
      </c>
      <c r="G189" s="532" t="s">
        <v>1468</v>
      </c>
      <c r="H189" s="532" t="s">
        <v>2392</v>
      </c>
      <c r="I189" s="532" t="s">
        <v>6604</v>
      </c>
      <c r="J189" s="534">
        <v>45911</v>
      </c>
      <c r="K189" s="535"/>
      <c r="L189" s="535"/>
      <c r="M189" s="535"/>
      <c r="N189" s="535"/>
      <c r="O189" s="535"/>
      <c r="P189" s="535"/>
      <c r="Q189" s="535"/>
      <c r="R189" s="535"/>
      <c r="S189" s="535"/>
      <c r="T189" s="535"/>
      <c r="U189" s="535"/>
      <c r="V189" s="535"/>
      <c r="W189" s="535"/>
      <c r="X189" s="535"/>
      <c r="Y189" s="536"/>
    </row>
    <row r="190" spans="1:25" ht="12.75">
      <c r="A190" s="532" t="s">
        <v>3203</v>
      </c>
      <c r="B190" s="532">
        <v>41200101</v>
      </c>
      <c r="C190" s="532" t="s">
        <v>1476</v>
      </c>
      <c r="D190" s="532" t="s">
        <v>1476</v>
      </c>
      <c r="E190" s="532" t="s">
        <v>1585</v>
      </c>
      <c r="F190" s="532" t="s">
        <v>2395</v>
      </c>
      <c r="G190" s="532" t="s">
        <v>1468</v>
      </c>
      <c r="H190" s="532" t="s">
        <v>2392</v>
      </c>
      <c r="I190" s="532" t="s">
        <v>6604</v>
      </c>
      <c r="J190" s="534">
        <v>45911</v>
      </c>
      <c r="K190" s="535"/>
      <c r="L190" s="535"/>
      <c r="M190" s="535"/>
      <c r="N190" s="535"/>
      <c r="O190" s="535"/>
      <c r="P190" s="535"/>
      <c r="Q190" s="535"/>
      <c r="R190" s="535"/>
      <c r="S190" s="535"/>
      <c r="T190" s="535"/>
      <c r="U190" s="535"/>
      <c r="V190" s="535"/>
      <c r="W190" s="535"/>
      <c r="X190" s="535"/>
      <c r="Y190" s="536"/>
    </row>
    <row r="191" spans="1:25" ht="12.75">
      <c r="A191" s="532" t="s">
        <v>3045</v>
      </c>
      <c r="B191" s="532">
        <v>41100584</v>
      </c>
      <c r="C191" s="532" t="s">
        <v>1591</v>
      </c>
      <c r="D191" s="532" t="s">
        <v>6635</v>
      </c>
      <c r="E191" s="532" t="s">
        <v>1422</v>
      </c>
      <c r="F191" s="532" t="s">
        <v>2391</v>
      </c>
      <c r="G191" s="532" t="s">
        <v>2392</v>
      </c>
      <c r="H191" s="532" t="s">
        <v>2392</v>
      </c>
      <c r="I191" s="532" t="s">
        <v>6604</v>
      </c>
      <c r="J191" s="534">
        <v>45911</v>
      </c>
      <c r="K191" s="535"/>
      <c r="L191" s="535"/>
      <c r="M191" s="535"/>
      <c r="N191" s="535"/>
      <c r="O191" s="535"/>
      <c r="P191" s="535"/>
      <c r="Q191" s="535"/>
      <c r="R191" s="535"/>
      <c r="S191" s="535"/>
      <c r="T191" s="535"/>
      <c r="U191" s="535"/>
      <c r="V191" s="535"/>
      <c r="W191" s="535"/>
      <c r="X191" s="535"/>
      <c r="Y191" s="536"/>
    </row>
    <row r="192" spans="1:25" ht="12.75">
      <c r="A192" s="532" t="s">
        <v>3384</v>
      </c>
      <c r="B192" s="532">
        <v>41200033</v>
      </c>
      <c r="C192" s="532" t="s">
        <v>1476</v>
      </c>
      <c r="D192" s="532" t="s">
        <v>6611</v>
      </c>
      <c r="E192" s="532" t="s">
        <v>1426</v>
      </c>
      <c r="F192" s="532" t="s">
        <v>2555</v>
      </c>
      <c r="G192" s="532" t="s">
        <v>2555</v>
      </c>
      <c r="H192" s="532" t="s">
        <v>2392</v>
      </c>
      <c r="I192" s="532" t="s">
        <v>6604</v>
      </c>
      <c r="J192" s="534">
        <v>45911</v>
      </c>
      <c r="K192" s="535"/>
      <c r="L192" s="535"/>
      <c r="M192" s="535"/>
      <c r="N192" s="535"/>
      <c r="O192" s="535"/>
      <c r="P192" s="535"/>
      <c r="Q192" s="535"/>
      <c r="R192" s="535"/>
      <c r="S192" s="535"/>
      <c r="T192" s="535"/>
      <c r="U192" s="535"/>
      <c r="V192" s="535"/>
      <c r="W192" s="535"/>
      <c r="X192" s="535"/>
      <c r="Y192" s="536"/>
    </row>
    <row r="193" spans="1:25" ht="12.75">
      <c r="A193" s="532" t="s">
        <v>3098</v>
      </c>
      <c r="B193" s="532">
        <v>41200033</v>
      </c>
      <c r="C193" s="532" t="s">
        <v>1476</v>
      </c>
      <c r="D193" s="532" t="s">
        <v>6611</v>
      </c>
      <c r="E193" s="532" t="s">
        <v>1426</v>
      </c>
      <c r="F193" s="532" t="s">
        <v>2555</v>
      </c>
      <c r="G193" s="532" t="s">
        <v>2555</v>
      </c>
      <c r="H193" s="532" t="s">
        <v>2392</v>
      </c>
      <c r="I193" s="532" t="s">
        <v>6604</v>
      </c>
      <c r="J193" s="534">
        <v>45911</v>
      </c>
      <c r="K193" s="535"/>
      <c r="L193" s="535"/>
      <c r="M193" s="535"/>
      <c r="N193" s="535"/>
      <c r="O193" s="535"/>
      <c r="P193" s="535"/>
      <c r="Q193" s="535"/>
      <c r="R193" s="535"/>
      <c r="S193" s="535"/>
      <c r="T193" s="535"/>
      <c r="U193" s="535"/>
      <c r="V193" s="535"/>
      <c r="W193" s="535"/>
      <c r="X193" s="535"/>
      <c r="Y193" s="536"/>
    </row>
    <row r="194" spans="1:25" ht="12.75">
      <c r="A194" s="532" t="s">
        <v>3047</v>
      </c>
      <c r="B194" s="532">
        <v>41100286</v>
      </c>
      <c r="C194" s="532" t="s">
        <v>1476</v>
      </c>
      <c r="D194" s="532" t="s">
        <v>6610</v>
      </c>
      <c r="E194" s="532" t="s">
        <v>1424</v>
      </c>
      <c r="F194" s="532" t="s">
        <v>2391</v>
      </c>
      <c r="G194" s="532" t="s">
        <v>1468</v>
      </c>
      <c r="H194" s="532" t="s">
        <v>2392</v>
      </c>
      <c r="I194" s="532" t="s">
        <v>6604</v>
      </c>
      <c r="J194" s="534">
        <v>45911</v>
      </c>
      <c r="K194" s="535"/>
      <c r="L194" s="535"/>
      <c r="M194" s="535"/>
      <c r="N194" s="535"/>
      <c r="O194" s="535"/>
      <c r="P194" s="535"/>
      <c r="Q194" s="535"/>
      <c r="R194" s="535"/>
      <c r="S194" s="535"/>
      <c r="T194" s="535"/>
      <c r="U194" s="535"/>
      <c r="V194" s="535"/>
      <c r="W194" s="535"/>
      <c r="X194" s="535"/>
      <c r="Y194" s="536"/>
    </row>
    <row r="195" spans="1:25" ht="12.75">
      <c r="A195" s="532" t="s">
        <v>3053</v>
      </c>
      <c r="B195" s="532">
        <v>41200047</v>
      </c>
      <c r="C195" s="532" t="s">
        <v>1476</v>
      </c>
      <c r="D195" s="532" t="s">
        <v>1426</v>
      </c>
      <c r="E195" s="532" t="s">
        <v>1426</v>
      </c>
      <c r="F195" s="532" t="s">
        <v>2395</v>
      </c>
      <c r="G195" s="532" t="s">
        <v>1468</v>
      </c>
      <c r="H195" s="532" t="s">
        <v>2392</v>
      </c>
      <c r="I195" s="532" t="s">
        <v>6604</v>
      </c>
      <c r="J195" s="534">
        <v>45911</v>
      </c>
      <c r="K195" s="535"/>
      <c r="L195" s="535"/>
      <c r="M195" s="535"/>
      <c r="N195" s="535"/>
      <c r="O195" s="535"/>
      <c r="P195" s="535"/>
      <c r="Q195" s="535"/>
      <c r="R195" s="535"/>
      <c r="S195" s="535"/>
      <c r="T195" s="535"/>
      <c r="U195" s="535"/>
      <c r="V195" s="535"/>
      <c r="W195" s="535"/>
      <c r="X195" s="535"/>
      <c r="Y195" s="536"/>
    </row>
    <row r="196" spans="1:25" ht="12.75">
      <c r="A196" s="532" t="s">
        <v>3052</v>
      </c>
      <c r="B196" s="532">
        <v>41200047</v>
      </c>
      <c r="C196" s="532" t="s">
        <v>1476</v>
      </c>
      <c r="D196" s="532" t="s">
        <v>1426</v>
      </c>
      <c r="E196" s="532" t="s">
        <v>1426</v>
      </c>
      <c r="F196" s="532" t="s">
        <v>2395</v>
      </c>
      <c r="G196" s="532" t="s">
        <v>1468</v>
      </c>
      <c r="H196" s="532" t="s">
        <v>2392</v>
      </c>
      <c r="I196" s="532" t="s">
        <v>6604</v>
      </c>
      <c r="J196" s="534">
        <v>45911</v>
      </c>
      <c r="K196" s="535"/>
      <c r="L196" s="535"/>
      <c r="M196" s="535"/>
      <c r="N196" s="535"/>
      <c r="O196" s="535"/>
      <c r="P196" s="535"/>
      <c r="Q196" s="535"/>
      <c r="R196" s="535"/>
      <c r="S196" s="535"/>
      <c r="T196" s="535"/>
      <c r="U196" s="535"/>
      <c r="V196" s="535"/>
      <c r="W196" s="535"/>
      <c r="X196" s="535"/>
      <c r="Y196" s="536"/>
    </row>
    <row r="197" spans="1:25" ht="12.75">
      <c r="A197" s="532" t="s">
        <v>3049</v>
      </c>
      <c r="B197" s="532">
        <v>41200047</v>
      </c>
      <c r="C197" s="532" t="s">
        <v>1476</v>
      </c>
      <c r="D197" s="532" t="s">
        <v>1426</v>
      </c>
      <c r="E197" s="532" t="s">
        <v>1426</v>
      </c>
      <c r="F197" s="532" t="s">
        <v>2395</v>
      </c>
      <c r="G197" s="532" t="s">
        <v>1469</v>
      </c>
      <c r="H197" s="532" t="s">
        <v>2392</v>
      </c>
      <c r="I197" s="532" t="s">
        <v>6604</v>
      </c>
      <c r="J197" s="534">
        <v>45911</v>
      </c>
      <c r="K197" s="535"/>
      <c r="L197" s="535"/>
      <c r="M197" s="535"/>
      <c r="N197" s="535"/>
      <c r="O197" s="535"/>
      <c r="P197" s="535"/>
      <c r="Q197" s="535"/>
      <c r="R197" s="535"/>
      <c r="S197" s="535"/>
      <c r="T197" s="535"/>
      <c r="U197" s="535"/>
      <c r="V197" s="535"/>
      <c r="W197" s="535"/>
      <c r="X197" s="535"/>
      <c r="Y197" s="536"/>
    </row>
    <row r="198" spans="1:25" ht="12.75">
      <c r="A198" s="532" t="s">
        <v>3048</v>
      </c>
      <c r="B198" s="532">
        <v>41200047</v>
      </c>
      <c r="C198" s="532" t="s">
        <v>1476</v>
      </c>
      <c r="D198" s="532" t="s">
        <v>1426</v>
      </c>
      <c r="E198" s="532" t="s">
        <v>1426</v>
      </c>
      <c r="F198" s="532" t="s">
        <v>2395</v>
      </c>
      <c r="G198" s="532" t="s">
        <v>1469</v>
      </c>
      <c r="H198" s="532" t="s">
        <v>2392</v>
      </c>
      <c r="I198" s="532" t="s">
        <v>6604</v>
      </c>
      <c r="J198" s="534">
        <v>45911</v>
      </c>
      <c r="K198" s="535"/>
      <c r="L198" s="535"/>
      <c r="M198" s="535"/>
      <c r="N198" s="535"/>
      <c r="O198" s="535"/>
      <c r="P198" s="535"/>
      <c r="Q198" s="535"/>
      <c r="R198" s="535"/>
      <c r="S198" s="535"/>
      <c r="T198" s="535"/>
      <c r="U198" s="535"/>
      <c r="V198" s="535"/>
      <c r="W198" s="535"/>
      <c r="X198" s="535"/>
      <c r="Y198" s="536"/>
    </row>
    <row r="199" spans="1:25" ht="12.75">
      <c r="A199" s="532" t="s">
        <v>3043</v>
      </c>
      <c r="B199" s="532">
        <v>41200047</v>
      </c>
      <c r="C199" s="532" t="s">
        <v>1476</v>
      </c>
      <c r="D199" s="532" t="s">
        <v>1426</v>
      </c>
      <c r="E199" s="532" t="s">
        <v>1426</v>
      </c>
      <c r="F199" s="532" t="s">
        <v>2395</v>
      </c>
      <c r="G199" s="532" t="s">
        <v>1469</v>
      </c>
      <c r="H199" s="532" t="s">
        <v>2392</v>
      </c>
      <c r="I199" s="532" t="s">
        <v>6604</v>
      </c>
      <c r="J199" s="534">
        <v>45911</v>
      </c>
      <c r="K199" s="535"/>
      <c r="L199" s="535"/>
      <c r="M199" s="535"/>
      <c r="N199" s="535"/>
      <c r="O199" s="535"/>
      <c r="P199" s="535"/>
      <c r="Q199" s="535"/>
      <c r="R199" s="535"/>
      <c r="S199" s="535"/>
      <c r="T199" s="535"/>
      <c r="U199" s="535"/>
      <c r="V199" s="535"/>
      <c r="W199" s="535"/>
      <c r="X199" s="535"/>
      <c r="Y199" s="536"/>
    </row>
    <row r="200" spans="1:25" ht="12.75">
      <c r="A200" s="532" t="s">
        <v>3040</v>
      </c>
      <c r="B200" s="532">
        <v>41200036</v>
      </c>
      <c r="C200" s="532" t="s">
        <v>1476</v>
      </c>
      <c r="D200" s="532" t="s">
        <v>1426</v>
      </c>
      <c r="E200" s="532" t="s">
        <v>1426</v>
      </c>
      <c r="F200" s="532" t="s">
        <v>2395</v>
      </c>
      <c r="G200" s="532" t="s">
        <v>1468</v>
      </c>
      <c r="H200" s="532" t="s">
        <v>2392</v>
      </c>
      <c r="I200" s="532" t="s">
        <v>6604</v>
      </c>
      <c r="J200" s="534">
        <v>45911</v>
      </c>
      <c r="K200" s="535"/>
      <c r="L200" s="535"/>
      <c r="M200" s="535"/>
      <c r="N200" s="535"/>
      <c r="O200" s="535"/>
      <c r="P200" s="535"/>
      <c r="Q200" s="535"/>
      <c r="R200" s="535"/>
      <c r="S200" s="535"/>
      <c r="T200" s="535"/>
      <c r="U200" s="535"/>
      <c r="V200" s="535"/>
      <c r="W200" s="535"/>
      <c r="X200" s="535"/>
      <c r="Y200" s="536"/>
    </row>
    <row r="201" spans="1:25" ht="12.75">
      <c r="A201" s="532" t="s">
        <v>3079</v>
      </c>
      <c r="B201" s="532">
        <v>41100075</v>
      </c>
      <c r="C201" s="532" t="s">
        <v>1481</v>
      </c>
      <c r="D201" s="532" t="s">
        <v>6648</v>
      </c>
      <c r="E201" s="532" t="s">
        <v>1415</v>
      </c>
      <c r="F201" s="532" t="s">
        <v>2391</v>
      </c>
      <c r="G201" s="532" t="s">
        <v>1469</v>
      </c>
      <c r="H201" s="533"/>
      <c r="I201" s="532" t="s">
        <v>6604</v>
      </c>
      <c r="J201" s="534">
        <v>45911</v>
      </c>
      <c r="K201" s="535"/>
      <c r="L201" s="535"/>
      <c r="M201" s="535"/>
      <c r="N201" s="535"/>
      <c r="O201" s="535"/>
      <c r="P201" s="535"/>
      <c r="Q201" s="535"/>
      <c r="R201" s="535"/>
      <c r="S201" s="535"/>
      <c r="T201" s="535"/>
      <c r="U201" s="535"/>
      <c r="V201" s="535"/>
      <c r="W201" s="535"/>
      <c r="X201" s="535"/>
      <c r="Y201" s="536"/>
    </row>
    <row r="202" spans="1:25" ht="12.75">
      <c r="A202" s="532" t="s">
        <v>3046</v>
      </c>
      <c r="B202" s="532">
        <v>41200113</v>
      </c>
      <c r="C202" s="532" t="s">
        <v>1476</v>
      </c>
      <c r="D202" s="532" t="s">
        <v>1591</v>
      </c>
      <c r="E202" s="532" t="s">
        <v>1424</v>
      </c>
      <c r="F202" s="532" t="s">
        <v>2391</v>
      </c>
      <c r="G202" s="532" t="s">
        <v>2392</v>
      </c>
      <c r="H202" s="532" t="s">
        <v>2392</v>
      </c>
      <c r="I202" s="532" t="s">
        <v>6604</v>
      </c>
      <c r="J202" s="534">
        <v>45911</v>
      </c>
      <c r="K202" s="535"/>
      <c r="L202" s="535"/>
      <c r="M202" s="535"/>
      <c r="N202" s="535"/>
      <c r="O202" s="535"/>
      <c r="P202" s="535"/>
      <c r="Q202" s="535"/>
      <c r="R202" s="535"/>
      <c r="S202" s="535"/>
      <c r="T202" s="535"/>
      <c r="U202" s="535"/>
      <c r="V202" s="535"/>
      <c r="W202" s="535"/>
      <c r="X202" s="535"/>
      <c r="Y202" s="536"/>
    </row>
    <row r="203" spans="1:25" ht="12.75">
      <c r="A203" s="532" t="s">
        <v>6649</v>
      </c>
      <c r="B203" s="532">
        <v>41200046</v>
      </c>
      <c r="C203" s="532" t="s">
        <v>1476</v>
      </c>
      <c r="D203" s="532" t="s">
        <v>1426</v>
      </c>
      <c r="E203" s="532" t="s">
        <v>1426</v>
      </c>
      <c r="F203" s="532" t="s">
        <v>2391</v>
      </c>
      <c r="G203" s="532" t="s">
        <v>1468</v>
      </c>
      <c r="H203" s="532" t="s">
        <v>2392</v>
      </c>
      <c r="I203" s="532" t="s">
        <v>6604</v>
      </c>
      <c r="J203" s="534">
        <v>45911</v>
      </c>
      <c r="K203" s="535"/>
      <c r="L203" s="535"/>
      <c r="M203" s="535"/>
      <c r="N203" s="535"/>
      <c r="O203" s="535"/>
      <c r="P203" s="535"/>
      <c r="Q203" s="535"/>
      <c r="R203" s="535"/>
      <c r="S203" s="535"/>
      <c r="T203" s="535"/>
      <c r="U203" s="535"/>
      <c r="V203" s="535"/>
      <c r="W203" s="535"/>
      <c r="X203" s="535"/>
      <c r="Y203" s="536"/>
    </row>
    <row r="204" spans="1:25" ht="12.75">
      <c r="A204" s="532" t="s">
        <v>6650</v>
      </c>
      <c r="B204" s="532">
        <v>41200046</v>
      </c>
      <c r="C204" s="532" t="s">
        <v>1476</v>
      </c>
      <c r="D204" s="532" t="s">
        <v>1426</v>
      </c>
      <c r="E204" s="532" t="s">
        <v>1426</v>
      </c>
      <c r="F204" s="532" t="s">
        <v>2391</v>
      </c>
      <c r="G204" s="532" t="s">
        <v>1468</v>
      </c>
      <c r="H204" s="532" t="s">
        <v>2392</v>
      </c>
      <c r="I204" s="532" t="s">
        <v>6604</v>
      </c>
      <c r="J204" s="534">
        <v>45911</v>
      </c>
      <c r="K204" s="535"/>
      <c r="L204" s="535"/>
      <c r="M204" s="535"/>
      <c r="N204" s="535"/>
      <c r="O204" s="535"/>
      <c r="P204" s="535"/>
      <c r="Q204" s="535"/>
      <c r="R204" s="535"/>
      <c r="S204" s="535"/>
      <c r="T204" s="535"/>
      <c r="U204" s="535"/>
      <c r="V204" s="535"/>
      <c r="W204" s="535"/>
      <c r="X204" s="535"/>
      <c r="Y204" s="536"/>
    </row>
    <row r="205" spans="1:25" ht="12.75">
      <c r="A205" s="532" t="s">
        <v>3528</v>
      </c>
      <c r="B205" s="532">
        <v>41200038</v>
      </c>
      <c r="C205" s="532" t="s">
        <v>1476</v>
      </c>
      <c r="D205" s="532" t="s">
        <v>1426</v>
      </c>
      <c r="E205" s="532" t="s">
        <v>1426</v>
      </c>
      <c r="F205" s="532" t="s">
        <v>2395</v>
      </c>
      <c r="G205" s="532" t="s">
        <v>1468</v>
      </c>
      <c r="H205" s="532" t="s">
        <v>2392</v>
      </c>
      <c r="I205" s="532" t="s">
        <v>6604</v>
      </c>
      <c r="J205" s="534">
        <v>45911</v>
      </c>
      <c r="K205" s="535"/>
      <c r="L205" s="535"/>
      <c r="M205" s="535"/>
      <c r="N205" s="535"/>
      <c r="O205" s="535"/>
      <c r="P205" s="535"/>
      <c r="Q205" s="535"/>
      <c r="R205" s="535"/>
      <c r="S205" s="535"/>
      <c r="T205" s="535"/>
      <c r="U205" s="535"/>
      <c r="V205" s="535"/>
      <c r="W205" s="535"/>
      <c r="X205" s="535"/>
      <c r="Y205" s="536"/>
    </row>
    <row r="206" spans="1:25" ht="12.75">
      <c r="A206" s="532" t="s">
        <v>3023</v>
      </c>
      <c r="B206" s="532">
        <v>41200053</v>
      </c>
      <c r="C206" s="532" t="s">
        <v>2184</v>
      </c>
      <c r="D206" s="532" t="s">
        <v>6646</v>
      </c>
      <c r="E206" s="532" t="s">
        <v>1405</v>
      </c>
      <c r="F206" s="532" t="s">
        <v>2392</v>
      </c>
      <c r="G206" s="532" t="s">
        <v>1469</v>
      </c>
      <c r="H206" s="533"/>
      <c r="I206" s="532" t="s">
        <v>6604</v>
      </c>
      <c r="J206" s="534">
        <v>45911</v>
      </c>
      <c r="K206" s="535"/>
      <c r="L206" s="535"/>
      <c r="M206" s="535"/>
      <c r="N206" s="535"/>
      <c r="O206" s="535"/>
      <c r="P206" s="535"/>
      <c r="Q206" s="535"/>
      <c r="R206" s="535"/>
      <c r="S206" s="535"/>
      <c r="T206" s="535"/>
      <c r="U206" s="535"/>
      <c r="V206" s="535"/>
      <c r="W206" s="535"/>
      <c r="X206" s="535"/>
      <c r="Y206" s="536"/>
    </row>
    <row r="207" spans="1:25" ht="12.75">
      <c r="A207" s="532" t="s">
        <v>3022</v>
      </c>
      <c r="B207" s="532">
        <v>41200053</v>
      </c>
      <c r="C207" s="532" t="s">
        <v>2184</v>
      </c>
      <c r="D207" s="532" t="s">
        <v>6646</v>
      </c>
      <c r="E207" s="532" t="s">
        <v>1405</v>
      </c>
      <c r="F207" s="532" t="s">
        <v>2392</v>
      </c>
      <c r="G207" s="532" t="s">
        <v>1469</v>
      </c>
      <c r="H207" s="533"/>
      <c r="I207" s="532" t="s">
        <v>6604</v>
      </c>
      <c r="J207" s="534">
        <v>45911</v>
      </c>
      <c r="K207" s="535"/>
      <c r="L207" s="535"/>
      <c r="M207" s="535"/>
      <c r="N207" s="535"/>
      <c r="O207" s="535"/>
      <c r="P207" s="535"/>
      <c r="Q207" s="535"/>
      <c r="R207" s="535"/>
      <c r="S207" s="535"/>
      <c r="T207" s="535"/>
      <c r="U207" s="535"/>
      <c r="V207" s="535"/>
      <c r="W207" s="535"/>
      <c r="X207" s="535"/>
      <c r="Y207" s="536"/>
    </row>
    <row r="208" spans="1:25" ht="12.75">
      <c r="A208" s="532" t="s">
        <v>3008</v>
      </c>
      <c r="B208" s="532">
        <v>41200027</v>
      </c>
      <c r="C208" s="532" t="s">
        <v>1591</v>
      </c>
      <c r="D208" s="532" t="s">
        <v>1591</v>
      </c>
      <c r="E208" s="532" t="s">
        <v>1405</v>
      </c>
      <c r="F208" s="532" t="s">
        <v>2391</v>
      </c>
      <c r="G208" s="532" t="s">
        <v>1468</v>
      </c>
      <c r="H208" s="532" t="s">
        <v>2392</v>
      </c>
      <c r="I208" s="532" t="s">
        <v>6604</v>
      </c>
      <c r="J208" s="534">
        <v>45911</v>
      </c>
      <c r="K208" s="535"/>
      <c r="L208" s="535"/>
      <c r="M208" s="535"/>
      <c r="N208" s="535"/>
      <c r="O208" s="535"/>
      <c r="P208" s="535"/>
      <c r="Q208" s="535"/>
      <c r="R208" s="535"/>
      <c r="S208" s="535"/>
      <c r="T208" s="535"/>
      <c r="U208" s="535"/>
      <c r="V208" s="535"/>
      <c r="W208" s="535"/>
      <c r="X208" s="535"/>
      <c r="Y208" s="536"/>
    </row>
    <row r="209" spans="1:25" ht="12.75">
      <c r="A209" s="532" t="s">
        <v>3007</v>
      </c>
      <c r="B209" s="532">
        <v>41200027</v>
      </c>
      <c r="C209" s="532" t="s">
        <v>1591</v>
      </c>
      <c r="D209" s="532" t="s">
        <v>1591</v>
      </c>
      <c r="E209" s="532" t="s">
        <v>1405</v>
      </c>
      <c r="F209" s="532" t="s">
        <v>2391</v>
      </c>
      <c r="G209" s="532" t="s">
        <v>1468</v>
      </c>
      <c r="H209" s="532" t="s">
        <v>2392</v>
      </c>
      <c r="I209" s="532" t="s">
        <v>6604</v>
      </c>
      <c r="J209" s="534">
        <v>45911</v>
      </c>
      <c r="K209" s="535"/>
      <c r="L209" s="535"/>
      <c r="M209" s="535"/>
      <c r="N209" s="535"/>
      <c r="O209" s="535"/>
      <c r="P209" s="535"/>
      <c r="Q209" s="535"/>
      <c r="R209" s="535"/>
      <c r="S209" s="535"/>
      <c r="T209" s="535"/>
      <c r="U209" s="535"/>
      <c r="V209" s="535"/>
      <c r="W209" s="535"/>
      <c r="X209" s="535"/>
      <c r="Y209" s="536"/>
    </row>
    <row r="210" spans="1:25" ht="12.75">
      <c r="A210" s="532" t="s">
        <v>3013</v>
      </c>
      <c r="B210" s="532">
        <v>41200091</v>
      </c>
      <c r="C210" s="532" t="s">
        <v>1591</v>
      </c>
      <c r="D210" s="532" t="s">
        <v>1424</v>
      </c>
      <c r="E210" s="532" t="s">
        <v>1424</v>
      </c>
      <c r="F210" s="532" t="s">
        <v>2395</v>
      </c>
      <c r="G210" s="532" t="s">
        <v>1468</v>
      </c>
      <c r="H210" s="532" t="s">
        <v>2392</v>
      </c>
      <c r="I210" s="532" t="s">
        <v>6604</v>
      </c>
      <c r="J210" s="534">
        <v>45911</v>
      </c>
      <c r="K210" s="535"/>
      <c r="L210" s="535"/>
      <c r="M210" s="535"/>
      <c r="N210" s="535"/>
      <c r="O210" s="535"/>
      <c r="P210" s="535"/>
      <c r="Q210" s="535"/>
      <c r="R210" s="535"/>
      <c r="S210" s="535"/>
      <c r="T210" s="535"/>
      <c r="U210" s="535"/>
      <c r="V210" s="535"/>
      <c r="W210" s="535"/>
      <c r="X210" s="535"/>
      <c r="Y210" s="536"/>
    </row>
    <row r="211" spans="1:25" ht="12.75">
      <c r="A211" s="532" t="s">
        <v>3031</v>
      </c>
      <c r="B211" s="532">
        <v>41200074</v>
      </c>
      <c r="C211" s="532" t="s">
        <v>1478</v>
      </c>
      <c r="D211" s="532" t="s">
        <v>6620</v>
      </c>
      <c r="E211" s="532" t="s">
        <v>1405</v>
      </c>
      <c r="F211" s="532" t="s">
        <v>2395</v>
      </c>
      <c r="G211" s="532" t="s">
        <v>1469</v>
      </c>
      <c r="H211" s="532" t="s">
        <v>2392</v>
      </c>
      <c r="I211" s="532" t="s">
        <v>6604</v>
      </c>
      <c r="J211" s="534">
        <v>45911</v>
      </c>
      <c r="K211" s="535"/>
      <c r="L211" s="535"/>
      <c r="M211" s="535"/>
      <c r="N211" s="535"/>
      <c r="O211" s="535"/>
      <c r="P211" s="535"/>
      <c r="Q211" s="535"/>
      <c r="R211" s="535"/>
      <c r="S211" s="535"/>
      <c r="T211" s="535"/>
      <c r="U211" s="535"/>
      <c r="V211" s="535"/>
      <c r="W211" s="535"/>
      <c r="X211" s="535"/>
      <c r="Y211" s="536"/>
    </row>
    <row r="212" spans="1:25" ht="12.75">
      <c r="A212" s="532" t="s">
        <v>3030</v>
      </c>
      <c r="B212" s="532">
        <v>41200074</v>
      </c>
      <c r="C212" s="532" t="s">
        <v>1478</v>
      </c>
      <c r="D212" s="532" t="s">
        <v>6620</v>
      </c>
      <c r="E212" s="532" t="s">
        <v>1405</v>
      </c>
      <c r="F212" s="532" t="s">
        <v>2395</v>
      </c>
      <c r="G212" s="532" t="s">
        <v>1469</v>
      </c>
      <c r="H212" s="532" t="s">
        <v>2392</v>
      </c>
      <c r="I212" s="532" t="s">
        <v>6604</v>
      </c>
      <c r="J212" s="534">
        <v>45911</v>
      </c>
      <c r="K212" s="535"/>
      <c r="L212" s="535"/>
      <c r="M212" s="535"/>
      <c r="N212" s="535"/>
      <c r="O212" s="535"/>
      <c r="P212" s="535"/>
      <c r="Q212" s="535"/>
      <c r="R212" s="535"/>
      <c r="S212" s="535"/>
      <c r="T212" s="535"/>
      <c r="U212" s="535"/>
      <c r="V212" s="535"/>
      <c r="W212" s="535"/>
      <c r="X212" s="535"/>
      <c r="Y212" s="536"/>
    </row>
    <row r="213" spans="1:25" ht="12.75">
      <c r="A213" s="532" t="s">
        <v>3025</v>
      </c>
      <c r="B213" s="532">
        <v>41200171</v>
      </c>
      <c r="C213" s="532" t="s">
        <v>1479</v>
      </c>
      <c r="D213" s="532" t="s">
        <v>1394</v>
      </c>
      <c r="E213" s="532" t="s">
        <v>1394</v>
      </c>
      <c r="F213" s="532" t="s">
        <v>2395</v>
      </c>
      <c r="G213" s="532" t="s">
        <v>1468</v>
      </c>
      <c r="H213" s="532" t="s">
        <v>2392</v>
      </c>
      <c r="I213" s="532" t="s">
        <v>6604</v>
      </c>
      <c r="J213" s="534">
        <v>45905</v>
      </c>
      <c r="K213" s="535"/>
      <c r="L213" s="535"/>
      <c r="M213" s="535"/>
      <c r="N213" s="535"/>
      <c r="O213" s="535"/>
      <c r="P213" s="535"/>
      <c r="Q213" s="535"/>
      <c r="R213" s="535"/>
      <c r="S213" s="535"/>
      <c r="T213" s="535"/>
      <c r="U213" s="535"/>
      <c r="V213" s="535"/>
      <c r="W213" s="535"/>
      <c r="X213" s="535"/>
      <c r="Y213" s="536"/>
    </row>
    <row r="214" spans="1:25" ht="12.75">
      <c r="A214" s="532" t="s">
        <v>3024</v>
      </c>
      <c r="B214" s="532">
        <v>41200171</v>
      </c>
      <c r="C214" s="532" t="s">
        <v>1479</v>
      </c>
      <c r="D214" s="532" t="s">
        <v>1394</v>
      </c>
      <c r="E214" s="532" t="s">
        <v>1394</v>
      </c>
      <c r="F214" s="532" t="s">
        <v>2395</v>
      </c>
      <c r="G214" s="532" t="s">
        <v>1468</v>
      </c>
      <c r="H214" s="532" t="s">
        <v>2392</v>
      </c>
      <c r="I214" s="532" t="s">
        <v>6604</v>
      </c>
      <c r="J214" s="534">
        <v>45905</v>
      </c>
      <c r="K214" s="535"/>
      <c r="L214" s="535"/>
      <c r="M214" s="535"/>
      <c r="N214" s="535"/>
      <c r="O214" s="535"/>
      <c r="P214" s="535"/>
      <c r="Q214" s="535"/>
      <c r="R214" s="535"/>
      <c r="S214" s="535"/>
      <c r="T214" s="535"/>
      <c r="U214" s="535"/>
      <c r="V214" s="535"/>
      <c r="W214" s="535"/>
      <c r="X214" s="535"/>
      <c r="Y214" s="536"/>
    </row>
    <row r="215" spans="1:25" ht="12.75">
      <c r="A215" s="532" t="s">
        <v>3010</v>
      </c>
      <c r="B215" s="532">
        <v>41200171</v>
      </c>
      <c r="C215" s="532" t="s">
        <v>1479</v>
      </c>
      <c r="D215" s="532" t="s">
        <v>1394</v>
      </c>
      <c r="E215" s="532" t="s">
        <v>1394</v>
      </c>
      <c r="F215" s="532" t="s">
        <v>2395</v>
      </c>
      <c r="G215" s="532" t="s">
        <v>1468</v>
      </c>
      <c r="H215" s="532" t="s">
        <v>2392</v>
      </c>
      <c r="I215" s="532" t="s">
        <v>6604</v>
      </c>
      <c r="J215" s="534">
        <v>45905</v>
      </c>
      <c r="K215" s="535"/>
      <c r="L215" s="535"/>
      <c r="M215" s="535"/>
      <c r="N215" s="535"/>
      <c r="O215" s="535"/>
      <c r="P215" s="535"/>
      <c r="Q215" s="535"/>
      <c r="R215" s="535"/>
      <c r="S215" s="535"/>
      <c r="T215" s="535"/>
      <c r="U215" s="535"/>
      <c r="V215" s="535"/>
      <c r="W215" s="535"/>
      <c r="X215" s="535"/>
      <c r="Y215" s="536"/>
    </row>
    <row r="216" spans="1:25" ht="12.75">
      <c r="A216" s="532" t="s">
        <v>3009</v>
      </c>
      <c r="B216" s="532">
        <v>41200171</v>
      </c>
      <c r="C216" s="532" t="s">
        <v>1479</v>
      </c>
      <c r="D216" s="532" t="s">
        <v>1394</v>
      </c>
      <c r="E216" s="532" t="s">
        <v>1394</v>
      </c>
      <c r="F216" s="532" t="s">
        <v>2395</v>
      </c>
      <c r="G216" s="532" t="s">
        <v>1468</v>
      </c>
      <c r="H216" s="532" t="s">
        <v>2392</v>
      </c>
      <c r="I216" s="532" t="s">
        <v>6604</v>
      </c>
      <c r="J216" s="534">
        <v>45905</v>
      </c>
      <c r="K216" s="535"/>
      <c r="L216" s="535"/>
      <c r="M216" s="535"/>
      <c r="N216" s="535"/>
      <c r="O216" s="535"/>
      <c r="P216" s="535"/>
      <c r="Q216" s="535"/>
      <c r="R216" s="535"/>
      <c r="S216" s="535"/>
      <c r="T216" s="535"/>
      <c r="U216" s="535"/>
      <c r="V216" s="535"/>
      <c r="W216" s="535"/>
      <c r="X216" s="535"/>
      <c r="Y216" s="536"/>
    </row>
    <row r="217" spans="1:25" ht="12.75">
      <c r="A217" s="532" t="s">
        <v>3002</v>
      </c>
      <c r="B217" s="532">
        <v>41200171</v>
      </c>
      <c r="C217" s="532" t="s">
        <v>1479</v>
      </c>
      <c r="D217" s="532" t="s">
        <v>1394</v>
      </c>
      <c r="E217" s="532" t="s">
        <v>1394</v>
      </c>
      <c r="F217" s="532" t="s">
        <v>2395</v>
      </c>
      <c r="G217" s="532" t="s">
        <v>1468</v>
      </c>
      <c r="H217" s="532" t="s">
        <v>2392</v>
      </c>
      <c r="I217" s="532" t="s">
        <v>6604</v>
      </c>
      <c r="J217" s="534">
        <v>45905</v>
      </c>
      <c r="K217" s="535"/>
      <c r="L217" s="535"/>
      <c r="M217" s="535"/>
      <c r="N217" s="535"/>
      <c r="O217" s="535"/>
      <c r="P217" s="535"/>
      <c r="Q217" s="535"/>
      <c r="R217" s="535"/>
      <c r="S217" s="535"/>
      <c r="T217" s="535"/>
      <c r="U217" s="535"/>
      <c r="V217" s="535"/>
      <c r="W217" s="535"/>
      <c r="X217" s="535"/>
      <c r="Y217" s="536"/>
    </row>
    <row r="218" spans="1:25" ht="12.75">
      <c r="A218" s="532" t="s">
        <v>3001</v>
      </c>
      <c r="B218" s="532">
        <v>41200171</v>
      </c>
      <c r="C218" s="532" t="s">
        <v>1479</v>
      </c>
      <c r="D218" s="532" t="s">
        <v>1394</v>
      </c>
      <c r="E218" s="532" t="s">
        <v>1394</v>
      </c>
      <c r="F218" s="532" t="s">
        <v>2395</v>
      </c>
      <c r="G218" s="532" t="s">
        <v>1468</v>
      </c>
      <c r="H218" s="532" t="s">
        <v>2392</v>
      </c>
      <c r="I218" s="532" t="s">
        <v>6604</v>
      </c>
      <c r="J218" s="534">
        <v>45905</v>
      </c>
      <c r="K218" s="535"/>
      <c r="L218" s="535"/>
      <c r="M218" s="535"/>
      <c r="N218" s="535"/>
      <c r="O218" s="535"/>
      <c r="P218" s="535"/>
      <c r="Q218" s="535"/>
      <c r="R218" s="535"/>
      <c r="S218" s="535"/>
      <c r="T218" s="535"/>
      <c r="U218" s="535"/>
      <c r="V218" s="535"/>
      <c r="W218" s="535"/>
      <c r="X218" s="535"/>
      <c r="Y218" s="536"/>
    </row>
    <row r="219" spans="1:25" ht="12.75">
      <c r="A219" s="532" t="s">
        <v>3000</v>
      </c>
      <c r="B219" s="532">
        <v>41200171</v>
      </c>
      <c r="C219" s="532" t="s">
        <v>1479</v>
      </c>
      <c r="D219" s="532" t="s">
        <v>1394</v>
      </c>
      <c r="E219" s="532" t="s">
        <v>1394</v>
      </c>
      <c r="F219" s="532" t="s">
        <v>2395</v>
      </c>
      <c r="G219" s="532" t="s">
        <v>1468</v>
      </c>
      <c r="H219" s="532" t="s">
        <v>2392</v>
      </c>
      <c r="I219" s="532" t="s">
        <v>6604</v>
      </c>
      <c r="J219" s="534">
        <v>45905</v>
      </c>
      <c r="K219" s="535"/>
      <c r="L219" s="535"/>
      <c r="M219" s="535"/>
      <c r="N219" s="535"/>
      <c r="O219" s="535"/>
      <c r="P219" s="535"/>
      <c r="Q219" s="535"/>
      <c r="R219" s="535"/>
      <c r="S219" s="535"/>
      <c r="T219" s="535"/>
      <c r="U219" s="535"/>
      <c r="V219" s="535"/>
      <c r="W219" s="535"/>
      <c r="X219" s="535"/>
      <c r="Y219" s="536"/>
    </row>
    <row r="220" spans="1:25" ht="12.75">
      <c r="A220" s="532" t="s">
        <v>2999</v>
      </c>
      <c r="B220" s="532">
        <v>41200171</v>
      </c>
      <c r="C220" s="532" t="s">
        <v>1479</v>
      </c>
      <c r="D220" s="532" t="s">
        <v>1394</v>
      </c>
      <c r="E220" s="532" t="s">
        <v>1394</v>
      </c>
      <c r="F220" s="532" t="s">
        <v>2395</v>
      </c>
      <c r="G220" s="532" t="s">
        <v>1468</v>
      </c>
      <c r="H220" s="532" t="s">
        <v>2392</v>
      </c>
      <c r="I220" s="532" t="s">
        <v>6604</v>
      </c>
      <c r="J220" s="534">
        <v>45905</v>
      </c>
      <c r="K220" s="535"/>
      <c r="L220" s="535"/>
      <c r="M220" s="535"/>
      <c r="N220" s="535"/>
      <c r="O220" s="535"/>
      <c r="P220" s="535"/>
      <c r="Q220" s="535"/>
      <c r="R220" s="535"/>
      <c r="S220" s="535"/>
      <c r="T220" s="535"/>
      <c r="U220" s="535"/>
      <c r="V220" s="535"/>
      <c r="W220" s="535"/>
      <c r="X220" s="535"/>
      <c r="Y220" s="536"/>
    </row>
    <row r="221" spans="1:25" ht="12.75">
      <c r="A221" s="532" t="s">
        <v>2994</v>
      </c>
      <c r="B221" s="532">
        <v>41200171</v>
      </c>
      <c r="C221" s="532" t="s">
        <v>1479</v>
      </c>
      <c r="D221" s="532" t="s">
        <v>1394</v>
      </c>
      <c r="E221" s="532" t="s">
        <v>1394</v>
      </c>
      <c r="F221" s="532" t="s">
        <v>2395</v>
      </c>
      <c r="G221" s="532" t="s">
        <v>1468</v>
      </c>
      <c r="H221" s="532" t="s">
        <v>2392</v>
      </c>
      <c r="I221" s="532" t="s">
        <v>6604</v>
      </c>
      <c r="J221" s="534">
        <v>45905</v>
      </c>
      <c r="K221" s="535"/>
      <c r="L221" s="535"/>
      <c r="M221" s="535"/>
      <c r="N221" s="535"/>
      <c r="O221" s="535"/>
      <c r="P221" s="535"/>
      <c r="Q221" s="535"/>
      <c r="R221" s="535"/>
      <c r="S221" s="535"/>
      <c r="T221" s="535"/>
      <c r="U221" s="535"/>
      <c r="V221" s="535"/>
      <c r="W221" s="535"/>
      <c r="X221" s="535"/>
      <c r="Y221" s="536"/>
    </row>
    <row r="222" spans="1:25" ht="12.75">
      <c r="A222" s="532" t="s">
        <v>2991</v>
      </c>
      <c r="B222" s="532">
        <v>41200171</v>
      </c>
      <c r="C222" s="532" t="s">
        <v>1479</v>
      </c>
      <c r="D222" s="532" t="s">
        <v>1394</v>
      </c>
      <c r="E222" s="532" t="s">
        <v>1394</v>
      </c>
      <c r="F222" s="532" t="s">
        <v>2395</v>
      </c>
      <c r="G222" s="532" t="s">
        <v>1468</v>
      </c>
      <c r="H222" s="532" t="s">
        <v>2392</v>
      </c>
      <c r="I222" s="532" t="s">
        <v>6604</v>
      </c>
      <c r="J222" s="534">
        <v>45905</v>
      </c>
      <c r="K222" s="535"/>
      <c r="L222" s="535"/>
      <c r="M222" s="535"/>
      <c r="N222" s="535"/>
      <c r="O222" s="535"/>
      <c r="P222" s="535"/>
      <c r="Q222" s="535"/>
      <c r="R222" s="535"/>
      <c r="S222" s="535"/>
      <c r="T222" s="535"/>
      <c r="U222" s="535"/>
      <c r="V222" s="535"/>
      <c r="W222" s="535"/>
      <c r="X222" s="535"/>
      <c r="Y222" s="536"/>
    </row>
    <row r="223" spans="1:25" ht="12.75">
      <c r="A223" s="532" t="s">
        <v>2990</v>
      </c>
      <c r="B223" s="532">
        <v>41200171</v>
      </c>
      <c r="C223" s="532" t="s">
        <v>1479</v>
      </c>
      <c r="D223" s="532" t="s">
        <v>1394</v>
      </c>
      <c r="E223" s="532" t="s">
        <v>1394</v>
      </c>
      <c r="F223" s="532" t="s">
        <v>2395</v>
      </c>
      <c r="G223" s="532" t="s">
        <v>1468</v>
      </c>
      <c r="H223" s="532" t="s">
        <v>2392</v>
      </c>
      <c r="I223" s="532" t="s">
        <v>6604</v>
      </c>
      <c r="J223" s="534">
        <v>45905</v>
      </c>
      <c r="K223" s="535"/>
      <c r="L223" s="535"/>
      <c r="M223" s="535"/>
      <c r="N223" s="535"/>
      <c r="O223" s="535"/>
      <c r="P223" s="535"/>
      <c r="Q223" s="535"/>
      <c r="R223" s="535"/>
      <c r="S223" s="535"/>
      <c r="T223" s="535"/>
      <c r="U223" s="535"/>
      <c r="V223" s="535"/>
      <c r="W223" s="535"/>
      <c r="X223" s="535"/>
      <c r="Y223" s="536"/>
    </row>
    <row r="224" spans="1:25" ht="12.75">
      <c r="A224" s="532" t="s">
        <v>2989</v>
      </c>
      <c r="B224" s="532">
        <v>41200171</v>
      </c>
      <c r="C224" s="532" t="s">
        <v>1479</v>
      </c>
      <c r="D224" s="532" t="s">
        <v>1394</v>
      </c>
      <c r="E224" s="532" t="s">
        <v>1394</v>
      </c>
      <c r="F224" s="532" t="s">
        <v>2395</v>
      </c>
      <c r="G224" s="532" t="s">
        <v>1468</v>
      </c>
      <c r="H224" s="532" t="s">
        <v>2392</v>
      </c>
      <c r="I224" s="532" t="s">
        <v>6604</v>
      </c>
      <c r="J224" s="534">
        <v>45905</v>
      </c>
      <c r="K224" s="535"/>
      <c r="L224" s="535"/>
      <c r="M224" s="535"/>
      <c r="N224" s="535"/>
      <c r="O224" s="535"/>
      <c r="P224" s="535"/>
      <c r="Q224" s="535"/>
      <c r="R224" s="535"/>
      <c r="S224" s="535"/>
      <c r="T224" s="535"/>
      <c r="U224" s="535"/>
      <c r="V224" s="535"/>
      <c r="W224" s="535"/>
      <c r="X224" s="535"/>
      <c r="Y224" s="536"/>
    </row>
    <row r="225" spans="1:25" ht="12.75">
      <c r="A225" s="532" t="s">
        <v>2970</v>
      </c>
      <c r="B225" s="532">
        <v>41200171</v>
      </c>
      <c r="C225" s="532" t="s">
        <v>1479</v>
      </c>
      <c r="D225" s="532" t="s">
        <v>1394</v>
      </c>
      <c r="E225" s="532" t="s">
        <v>1394</v>
      </c>
      <c r="F225" s="532" t="s">
        <v>2395</v>
      </c>
      <c r="G225" s="532" t="s">
        <v>1469</v>
      </c>
      <c r="H225" s="532" t="s">
        <v>2392</v>
      </c>
      <c r="I225" s="532" t="s">
        <v>6604</v>
      </c>
      <c r="J225" s="534">
        <v>45905</v>
      </c>
      <c r="K225" s="535"/>
      <c r="L225" s="535"/>
      <c r="M225" s="535"/>
      <c r="N225" s="535"/>
      <c r="O225" s="535"/>
      <c r="P225" s="535"/>
      <c r="Q225" s="535"/>
      <c r="R225" s="535"/>
      <c r="S225" s="535"/>
      <c r="T225" s="535"/>
      <c r="U225" s="535"/>
      <c r="V225" s="535"/>
      <c r="W225" s="535"/>
      <c r="X225" s="535"/>
      <c r="Y225" s="536"/>
    </row>
    <row r="226" spans="1:25" ht="12.75">
      <c r="A226" s="532" t="s">
        <v>2969</v>
      </c>
      <c r="B226" s="532">
        <v>41200171</v>
      </c>
      <c r="C226" s="532" t="s">
        <v>1479</v>
      </c>
      <c r="D226" s="532" t="s">
        <v>1394</v>
      </c>
      <c r="E226" s="532" t="s">
        <v>1394</v>
      </c>
      <c r="F226" s="532" t="s">
        <v>2395</v>
      </c>
      <c r="G226" s="532" t="s">
        <v>1469</v>
      </c>
      <c r="H226" s="532" t="s">
        <v>2392</v>
      </c>
      <c r="I226" s="532" t="s">
        <v>6604</v>
      </c>
      <c r="J226" s="534">
        <v>45905</v>
      </c>
      <c r="K226" s="535"/>
      <c r="L226" s="535"/>
      <c r="M226" s="535"/>
      <c r="N226" s="535"/>
      <c r="O226" s="535"/>
      <c r="P226" s="535"/>
      <c r="Q226" s="535"/>
      <c r="R226" s="535"/>
      <c r="S226" s="535"/>
      <c r="T226" s="535"/>
      <c r="U226" s="535"/>
      <c r="V226" s="535"/>
      <c r="W226" s="535"/>
      <c r="X226" s="535"/>
      <c r="Y226" s="536"/>
    </row>
    <row r="227" spans="1:25" ht="12.75">
      <c r="A227" s="532" t="s">
        <v>2967</v>
      </c>
      <c r="B227" s="532">
        <v>41200171</v>
      </c>
      <c r="C227" s="532" t="s">
        <v>1479</v>
      </c>
      <c r="D227" s="532" t="s">
        <v>1394</v>
      </c>
      <c r="E227" s="532" t="s">
        <v>1394</v>
      </c>
      <c r="F227" s="532" t="s">
        <v>2395</v>
      </c>
      <c r="G227" s="532" t="s">
        <v>1469</v>
      </c>
      <c r="H227" s="532" t="s">
        <v>2392</v>
      </c>
      <c r="I227" s="532" t="s">
        <v>6604</v>
      </c>
      <c r="J227" s="534">
        <v>45905</v>
      </c>
      <c r="K227" s="535"/>
      <c r="L227" s="535"/>
      <c r="M227" s="535"/>
      <c r="N227" s="535"/>
      <c r="O227" s="535"/>
      <c r="P227" s="535"/>
      <c r="Q227" s="535"/>
      <c r="R227" s="535"/>
      <c r="S227" s="535"/>
      <c r="T227" s="535"/>
      <c r="U227" s="535"/>
      <c r="V227" s="535"/>
      <c r="W227" s="535"/>
      <c r="X227" s="535"/>
      <c r="Y227" s="536"/>
    </row>
    <row r="228" spans="1:25" ht="12.75">
      <c r="A228" s="532" t="s">
        <v>3005</v>
      </c>
      <c r="B228" s="532">
        <v>41200006</v>
      </c>
      <c r="C228" s="532" t="s">
        <v>1477</v>
      </c>
      <c r="D228" s="532" t="s">
        <v>6640</v>
      </c>
      <c r="E228" s="532" t="s">
        <v>1405</v>
      </c>
      <c r="F228" s="532" t="s">
        <v>2395</v>
      </c>
      <c r="G228" s="532" t="s">
        <v>1469</v>
      </c>
      <c r="H228" s="532" t="s">
        <v>2392</v>
      </c>
      <c r="I228" s="532" t="s">
        <v>6604</v>
      </c>
      <c r="J228" s="534">
        <v>45904</v>
      </c>
      <c r="K228" s="535"/>
      <c r="L228" s="535"/>
      <c r="M228" s="535"/>
      <c r="N228" s="535"/>
      <c r="O228" s="535"/>
      <c r="P228" s="535"/>
      <c r="Q228" s="535"/>
      <c r="R228" s="535"/>
      <c r="S228" s="535"/>
      <c r="T228" s="535"/>
      <c r="U228" s="535"/>
      <c r="V228" s="535"/>
      <c r="W228" s="535"/>
      <c r="X228" s="535"/>
      <c r="Y228" s="536"/>
    </row>
    <row r="229" spans="1:25" ht="12.75">
      <c r="A229" s="532" t="s">
        <v>3004</v>
      </c>
      <c r="B229" s="532">
        <v>41200006</v>
      </c>
      <c r="C229" s="532" t="s">
        <v>1477</v>
      </c>
      <c r="D229" s="532" t="s">
        <v>6640</v>
      </c>
      <c r="E229" s="532" t="s">
        <v>1405</v>
      </c>
      <c r="F229" s="532" t="s">
        <v>2395</v>
      </c>
      <c r="G229" s="532" t="s">
        <v>1469</v>
      </c>
      <c r="H229" s="532" t="s">
        <v>2392</v>
      </c>
      <c r="I229" s="532" t="s">
        <v>6604</v>
      </c>
      <c r="J229" s="534">
        <v>45904</v>
      </c>
      <c r="K229" s="535"/>
      <c r="L229" s="535"/>
      <c r="M229" s="535"/>
      <c r="N229" s="535"/>
      <c r="O229" s="535"/>
      <c r="P229" s="535"/>
      <c r="Q229" s="535"/>
      <c r="R229" s="535"/>
      <c r="S229" s="535"/>
      <c r="T229" s="535"/>
      <c r="U229" s="535"/>
      <c r="V229" s="535"/>
      <c r="W229" s="535"/>
      <c r="X229" s="535"/>
      <c r="Y229" s="536"/>
    </row>
    <row r="230" spans="1:25" ht="12.75">
      <c r="A230" s="532" t="s">
        <v>3021</v>
      </c>
      <c r="B230" s="532">
        <v>41100264</v>
      </c>
      <c r="C230" s="532" t="s">
        <v>1591</v>
      </c>
      <c r="D230" s="532" t="s">
        <v>6611</v>
      </c>
      <c r="E230" s="532" t="s">
        <v>1585</v>
      </c>
      <c r="F230" s="532" t="s">
        <v>2391</v>
      </c>
      <c r="G230" s="532" t="s">
        <v>1468</v>
      </c>
      <c r="H230" s="532" t="s">
        <v>2392</v>
      </c>
      <c r="I230" s="532" t="s">
        <v>6604</v>
      </c>
      <c r="J230" s="534">
        <v>45904</v>
      </c>
      <c r="K230" s="535"/>
      <c r="L230" s="535"/>
      <c r="M230" s="535"/>
      <c r="N230" s="535"/>
      <c r="O230" s="535"/>
      <c r="P230" s="535"/>
      <c r="Q230" s="535"/>
      <c r="R230" s="535"/>
      <c r="S230" s="535"/>
      <c r="T230" s="535"/>
      <c r="U230" s="535"/>
      <c r="V230" s="535"/>
      <c r="W230" s="535"/>
      <c r="X230" s="535"/>
      <c r="Y230" s="536"/>
    </row>
    <row r="231" spans="1:25" ht="12.75">
      <c r="A231" s="532" t="s">
        <v>3020</v>
      </c>
      <c r="B231" s="532">
        <v>41100264</v>
      </c>
      <c r="C231" s="532" t="s">
        <v>1591</v>
      </c>
      <c r="D231" s="532" t="s">
        <v>6611</v>
      </c>
      <c r="E231" s="532" t="s">
        <v>1585</v>
      </c>
      <c r="F231" s="532" t="s">
        <v>2391</v>
      </c>
      <c r="G231" s="532" t="s">
        <v>1468</v>
      </c>
      <c r="H231" s="532" t="s">
        <v>2392</v>
      </c>
      <c r="I231" s="532" t="s">
        <v>6604</v>
      </c>
      <c r="J231" s="534">
        <v>45904</v>
      </c>
      <c r="K231" s="535"/>
      <c r="L231" s="535"/>
      <c r="M231" s="535"/>
      <c r="N231" s="535"/>
      <c r="O231" s="535"/>
      <c r="P231" s="535"/>
      <c r="Q231" s="535"/>
      <c r="R231" s="535"/>
      <c r="S231" s="535"/>
      <c r="T231" s="535"/>
      <c r="U231" s="535"/>
      <c r="V231" s="535"/>
      <c r="W231" s="535"/>
      <c r="X231" s="535"/>
      <c r="Y231" s="536"/>
    </row>
    <row r="232" spans="1:25" ht="12.75">
      <c r="A232" s="532" t="s">
        <v>3003</v>
      </c>
      <c r="B232" s="532">
        <v>41200042</v>
      </c>
      <c r="C232" s="532" t="s">
        <v>1476</v>
      </c>
      <c r="D232" s="532" t="s">
        <v>1426</v>
      </c>
      <c r="E232" s="532" t="s">
        <v>1426</v>
      </c>
      <c r="F232" s="532" t="s">
        <v>2391</v>
      </c>
      <c r="G232" s="532" t="s">
        <v>1468</v>
      </c>
      <c r="H232" s="532" t="s">
        <v>2392</v>
      </c>
      <c r="I232" s="532" t="s">
        <v>6604</v>
      </c>
      <c r="J232" s="534">
        <v>45904</v>
      </c>
      <c r="K232" s="535"/>
      <c r="L232" s="535"/>
      <c r="M232" s="535"/>
      <c r="N232" s="535"/>
      <c r="O232" s="535"/>
      <c r="P232" s="535"/>
      <c r="Q232" s="535"/>
      <c r="R232" s="535"/>
      <c r="S232" s="535"/>
      <c r="T232" s="535"/>
      <c r="U232" s="535"/>
      <c r="V232" s="535"/>
      <c r="W232" s="535"/>
      <c r="X232" s="535"/>
      <c r="Y232" s="536"/>
    </row>
    <row r="233" spans="1:25" ht="12.75">
      <c r="A233" s="532" t="s">
        <v>3368</v>
      </c>
      <c r="B233" s="532">
        <v>41200039</v>
      </c>
      <c r="C233" s="532" t="s">
        <v>1476</v>
      </c>
      <c r="D233" s="532" t="s">
        <v>1426</v>
      </c>
      <c r="E233" s="532" t="s">
        <v>1426</v>
      </c>
      <c r="F233" s="532" t="s">
        <v>2391</v>
      </c>
      <c r="G233" s="532" t="s">
        <v>1468</v>
      </c>
      <c r="H233" s="532" t="s">
        <v>2392</v>
      </c>
      <c r="I233" s="532" t="s">
        <v>6604</v>
      </c>
      <c r="J233" s="534">
        <v>45904</v>
      </c>
      <c r="K233" s="535"/>
      <c r="L233" s="535"/>
      <c r="M233" s="535"/>
      <c r="N233" s="535"/>
      <c r="O233" s="535"/>
      <c r="P233" s="535"/>
      <c r="Q233" s="535"/>
      <c r="R233" s="535"/>
      <c r="S233" s="535"/>
      <c r="T233" s="535"/>
      <c r="U233" s="535"/>
      <c r="V233" s="535"/>
      <c r="W233" s="535"/>
      <c r="X233" s="535"/>
      <c r="Y233" s="536"/>
    </row>
    <row r="234" spans="1:25" ht="12.75">
      <c r="A234" s="532" t="s">
        <v>2995</v>
      </c>
      <c r="B234" s="532">
        <v>41200127</v>
      </c>
      <c r="C234" s="532" t="s">
        <v>1591</v>
      </c>
      <c r="D234" s="532" t="s">
        <v>6606</v>
      </c>
      <c r="E234" s="532" t="s">
        <v>1431</v>
      </c>
      <c r="F234" s="532" t="s">
        <v>2395</v>
      </c>
      <c r="G234" s="532" t="s">
        <v>1469</v>
      </c>
      <c r="H234" s="532" t="s">
        <v>2392</v>
      </c>
      <c r="I234" s="532" t="s">
        <v>6604</v>
      </c>
      <c r="J234" s="534">
        <v>45904</v>
      </c>
      <c r="K234" s="535"/>
      <c r="L234" s="535"/>
      <c r="M234" s="535"/>
      <c r="N234" s="535"/>
      <c r="O234" s="535"/>
      <c r="P234" s="535"/>
      <c r="Q234" s="535"/>
      <c r="R234" s="535"/>
      <c r="S234" s="535"/>
      <c r="T234" s="535"/>
      <c r="U234" s="535"/>
      <c r="V234" s="535"/>
      <c r="W234" s="535"/>
      <c r="X234" s="535"/>
      <c r="Y234" s="536"/>
    </row>
    <row r="235" spans="1:25" ht="12.75">
      <c r="A235" s="532" t="s">
        <v>3015</v>
      </c>
      <c r="B235" s="532">
        <v>41200033</v>
      </c>
      <c r="C235" s="532" t="s">
        <v>1476</v>
      </c>
      <c r="D235" s="532" t="s">
        <v>6611</v>
      </c>
      <c r="E235" s="532" t="s">
        <v>1426</v>
      </c>
      <c r="F235" s="532" t="s">
        <v>2391</v>
      </c>
      <c r="G235" s="532" t="s">
        <v>1469</v>
      </c>
      <c r="H235" s="532" t="s">
        <v>2392</v>
      </c>
      <c r="I235" s="532" t="s">
        <v>6604</v>
      </c>
      <c r="J235" s="534">
        <v>45904</v>
      </c>
      <c r="K235" s="535"/>
      <c r="L235" s="535"/>
      <c r="M235" s="535"/>
      <c r="N235" s="535"/>
      <c r="O235" s="535"/>
      <c r="P235" s="535"/>
      <c r="Q235" s="535"/>
      <c r="R235" s="535"/>
      <c r="S235" s="535"/>
      <c r="T235" s="535"/>
      <c r="U235" s="535"/>
      <c r="V235" s="535"/>
      <c r="W235" s="535"/>
      <c r="X235" s="535"/>
      <c r="Y235" s="536"/>
    </row>
    <row r="236" spans="1:25" ht="12.75">
      <c r="A236" s="532" t="s">
        <v>2988</v>
      </c>
      <c r="B236" s="532">
        <v>41100286</v>
      </c>
      <c r="C236" s="532" t="s">
        <v>1476</v>
      </c>
      <c r="D236" s="532" t="s">
        <v>6610</v>
      </c>
      <c r="E236" s="532" t="s">
        <v>1424</v>
      </c>
      <c r="F236" s="532" t="s">
        <v>2391</v>
      </c>
      <c r="G236" s="532" t="s">
        <v>1468</v>
      </c>
      <c r="H236" s="532" t="s">
        <v>2392</v>
      </c>
      <c r="I236" s="532" t="s">
        <v>6604</v>
      </c>
      <c r="J236" s="534">
        <v>45904</v>
      </c>
      <c r="K236" s="535"/>
      <c r="L236" s="535"/>
      <c r="M236" s="535"/>
      <c r="N236" s="535"/>
      <c r="O236" s="535"/>
      <c r="P236" s="535"/>
      <c r="Q236" s="535"/>
      <c r="R236" s="535"/>
      <c r="S236" s="535"/>
      <c r="T236" s="535"/>
      <c r="U236" s="535"/>
      <c r="V236" s="535"/>
      <c r="W236" s="535"/>
      <c r="X236" s="535"/>
      <c r="Y236" s="536"/>
    </row>
    <row r="237" spans="1:25" ht="12.75">
      <c r="A237" s="532" t="s">
        <v>2986</v>
      </c>
      <c r="B237" s="532">
        <v>41200109</v>
      </c>
      <c r="C237" s="532" t="s">
        <v>1591</v>
      </c>
      <c r="D237" s="532" t="s">
        <v>6619</v>
      </c>
      <c r="E237" s="532" t="s">
        <v>1585</v>
      </c>
      <c r="F237" s="532" t="s">
        <v>2395</v>
      </c>
      <c r="G237" s="532" t="s">
        <v>1469</v>
      </c>
      <c r="H237" s="532" t="s">
        <v>2392</v>
      </c>
      <c r="I237" s="532" t="s">
        <v>6604</v>
      </c>
      <c r="J237" s="534">
        <v>45904</v>
      </c>
      <c r="K237" s="535"/>
      <c r="L237" s="535"/>
      <c r="M237" s="535"/>
      <c r="N237" s="535"/>
      <c r="O237" s="535"/>
      <c r="P237" s="535"/>
      <c r="Q237" s="535"/>
      <c r="R237" s="535"/>
      <c r="S237" s="535"/>
      <c r="T237" s="535"/>
      <c r="U237" s="535"/>
      <c r="V237" s="535"/>
      <c r="W237" s="535"/>
      <c r="X237" s="535"/>
      <c r="Y237" s="536"/>
    </row>
    <row r="238" spans="1:25" ht="12.75">
      <c r="A238" s="532" t="s">
        <v>2984</v>
      </c>
      <c r="B238" s="532">
        <v>41200109</v>
      </c>
      <c r="C238" s="532" t="s">
        <v>1591</v>
      </c>
      <c r="D238" s="532" t="s">
        <v>6619</v>
      </c>
      <c r="E238" s="532" t="s">
        <v>1585</v>
      </c>
      <c r="F238" s="532" t="s">
        <v>2395</v>
      </c>
      <c r="G238" s="532" t="s">
        <v>1469</v>
      </c>
      <c r="H238" s="532" t="s">
        <v>2392</v>
      </c>
      <c r="I238" s="532" t="s">
        <v>6604</v>
      </c>
      <c r="J238" s="534">
        <v>45904</v>
      </c>
      <c r="K238" s="535"/>
      <c r="L238" s="535"/>
      <c r="M238" s="535"/>
      <c r="N238" s="535"/>
      <c r="O238" s="535"/>
      <c r="P238" s="535"/>
      <c r="Q238" s="535"/>
      <c r="R238" s="535"/>
      <c r="S238" s="535"/>
      <c r="T238" s="535"/>
      <c r="U238" s="535"/>
      <c r="V238" s="535"/>
      <c r="W238" s="535"/>
      <c r="X238" s="535"/>
      <c r="Y238" s="536"/>
    </row>
    <row r="239" spans="1:25" ht="12.75">
      <c r="A239" s="532" t="s">
        <v>2971</v>
      </c>
      <c r="B239" s="532">
        <v>41200042</v>
      </c>
      <c r="C239" s="532" t="s">
        <v>1476</v>
      </c>
      <c r="D239" s="532" t="s">
        <v>1426</v>
      </c>
      <c r="E239" s="532" t="s">
        <v>1426</v>
      </c>
      <c r="F239" s="532" t="s">
        <v>2391</v>
      </c>
      <c r="G239" s="532" t="s">
        <v>2392</v>
      </c>
      <c r="H239" s="532" t="s">
        <v>2392</v>
      </c>
      <c r="I239" s="532" t="s">
        <v>6604</v>
      </c>
      <c r="J239" s="534">
        <v>45904</v>
      </c>
      <c r="K239" s="535"/>
      <c r="L239" s="535"/>
      <c r="M239" s="535"/>
      <c r="N239" s="535"/>
      <c r="O239" s="535"/>
      <c r="P239" s="535"/>
      <c r="Q239" s="535"/>
      <c r="R239" s="535"/>
      <c r="S239" s="535"/>
      <c r="T239" s="535"/>
      <c r="U239" s="535"/>
      <c r="V239" s="535"/>
      <c r="W239" s="535"/>
      <c r="X239" s="535"/>
      <c r="Y239" s="536"/>
    </row>
    <row r="240" spans="1:25" ht="12.75">
      <c r="A240" s="532" t="s">
        <v>2964</v>
      </c>
      <c r="B240" s="532">
        <v>41200006</v>
      </c>
      <c r="C240" s="532" t="s">
        <v>1477</v>
      </c>
      <c r="D240" s="532" t="s">
        <v>6640</v>
      </c>
      <c r="E240" s="532" t="s">
        <v>1405</v>
      </c>
      <c r="F240" s="532" t="s">
        <v>2391</v>
      </c>
      <c r="G240" s="532" t="s">
        <v>2392</v>
      </c>
      <c r="H240" s="532" t="s">
        <v>2392</v>
      </c>
      <c r="I240" s="532" t="s">
        <v>6604</v>
      </c>
      <c r="J240" s="534">
        <v>45904</v>
      </c>
      <c r="K240" s="535"/>
      <c r="L240" s="535"/>
      <c r="M240" s="535"/>
      <c r="N240" s="535"/>
      <c r="O240" s="535"/>
      <c r="P240" s="535"/>
      <c r="Q240" s="535"/>
      <c r="R240" s="535"/>
      <c r="S240" s="535"/>
      <c r="T240" s="535"/>
      <c r="U240" s="535"/>
      <c r="V240" s="535"/>
      <c r="W240" s="535"/>
      <c r="X240" s="535"/>
      <c r="Y240" s="536"/>
    </row>
    <row r="241" spans="1:25" ht="12.75">
      <c r="A241" s="532" t="s">
        <v>2961</v>
      </c>
      <c r="B241" s="532">
        <v>41200006</v>
      </c>
      <c r="C241" s="532" t="s">
        <v>1477</v>
      </c>
      <c r="D241" s="532" t="s">
        <v>6640</v>
      </c>
      <c r="E241" s="532" t="s">
        <v>1405</v>
      </c>
      <c r="F241" s="532" t="s">
        <v>2391</v>
      </c>
      <c r="G241" s="532" t="s">
        <v>2392</v>
      </c>
      <c r="H241" s="532" t="s">
        <v>2392</v>
      </c>
      <c r="I241" s="532" t="s">
        <v>6604</v>
      </c>
      <c r="J241" s="534">
        <v>45904</v>
      </c>
      <c r="K241" s="535"/>
      <c r="L241" s="535"/>
      <c r="M241" s="535"/>
      <c r="N241" s="535"/>
      <c r="O241" s="535"/>
      <c r="P241" s="535"/>
      <c r="Q241" s="535"/>
      <c r="R241" s="535"/>
      <c r="S241" s="535"/>
      <c r="T241" s="535"/>
      <c r="U241" s="535"/>
      <c r="V241" s="535"/>
      <c r="W241" s="535"/>
      <c r="X241" s="535"/>
      <c r="Y241" s="536"/>
    </row>
    <row r="242" spans="1:25" ht="12.75">
      <c r="A242" s="532" t="s">
        <v>2974</v>
      </c>
      <c r="B242" s="532">
        <v>41200061</v>
      </c>
      <c r="C242" s="532" t="s">
        <v>1480</v>
      </c>
      <c r="D242" s="532" t="s">
        <v>6636</v>
      </c>
      <c r="E242" s="532" t="s">
        <v>1405</v>
      </c>
      <c r="F242" s="532" t="s">
        <v>2395</v>
      </c>
      <c r="G242" s="532" t="s">
        <v>1469</v>
      </c>
      <c r="H242" s="532" t="s">
        <v>2392</v>
      </c>
      <c r="I242" s="532" t="s">
        <v>6604</v>
      </c>
      <c r="J242" s="534">
        <v>45904</v>
      </c>
      <c r="K242" s="535"/>
      <c r="L242" s="535"/>
      <c r="M242" s="535"/>
      <c r="N242" s="535"/>
      <c r="O242" s="535"/>
      <c r="P242" s="535"/>
      <c r="Q242" s="535"/>
      <c r="R242" s="535"/>
      <c r="S242" s="535"/>
      <c r="T242" s="535"/>
      <c r="U242" s="535"/>
      <c r="V242" s="535"/>
      <c r="W242" s="535"/>
      <c r="X242" s="535"/>
      <c r="Y242" s="536"/>
    </row>
    <row r="243" spans="1:25" ht="12.75">
      <c r="A243" s="532" t="s">
        <v>3019</v>
      </c>
      <c r="B243" s="532">
        <v>41200027</v>
      </c>
      <c r="C243" s="532" t="s">
        <v>1591</v>
      </c>
      <c r="D243" s="532" t="s">
        <v>1591</v>
      </c>
      <c r="E243" s="532" t="s">
        <v>1405</v>
      </c>
      <c r="F243" s="532" t="s">
        <v>2391</v>
      </c>
      <c r="G243" s="532" t="s">
        <v>2392</v>
      </c>
      <c r="H243" s="532" t="s">
        <v>2392</v>
      </c>
      <c r="I243" s="532" t="s">
        <v>6604</v>
      </c>
      <c r="J243" s="534">
        <v>45904</v>
      </c>
      <c r="K243" s="535"/>
      <c r="L243" s="535"/>
      <c r="M243" s="535"/>
      <c r="N243" s="535"/>
      <c r="O243" s="535"/>
      <c r="P243" s="535"/>
      <c r="Q243" s="535"/>
      <c r="R243" s="535"/>
      <c r="S243" s="535"/>
      <c r="T243" s="535"/>
      <c r="U243" s="535"/>
      <c r="V243" s="535"/>
      <c r="W243" s="535"/>
      <c r="X243" s="535"/>
      <c r="Y243" s="536"/>
    </row>
    <row r="244" spans="1:25" ht="12.75">
      <c r="A244" s="532" t="s">
        <v>2972</v>
      </c>
      <c r="B244" s="532">
        <v>41200027</v>
      </c>
      <c r="C244" s="532" t="s">
        <v>1591</v>
      </c>
      <c r="D244" s="532" t="s">
        <v>1591</v>
      </c>
      <c r="E244" s="532" t="s">
        <v>1405</v>
      </c>
      <c r="F244" s="532" t="s">
        <v>2391</v>
      </c>
      <c r="G244" s="532" t="s">
        <v>2392</v>
      </c>
      <c r="H244" s="532" t="s">
        <v>2392</v>
      </c>
      <c r="I244" s="532" t="s">
        <v>6604</v>
      </c>
      <c r="J244" s="534">
        <v>45904</v>
      </c>
      <c r="K244" s="535"/>
      <c r="L244" s="535"/>
      <c r="M244" s="535"/>
      <c r="N244" s="535"/>
      <c r="O244" s="535"/>
      <c r="P244" s="535"/>
      <c r="Q244" s="535"/>
      <c r="R244" s="535"/>
      <c r="S244" s="535"/>
      <c r="T244" s="535"/>
      <c r="U244" s="535"/>
      <c r="V244" s="535"/>
      <c r="W244" s="535"/>
      <c r="X244" s="535"/>
      <c r="Y244" s="536"/>
    </row>
    <row r="245" spans="1:25" ht="12.75">
      <c r="A245" s="532" t="s">
        <v>6651</v>
      </c>
      <c r="B245" s="532">
        <v>41200046</v>
      </c>
      <c r="C245" s="532" t="s">
        <v>1476</v>
      </c>
      <c r="D245" s="532" t="s">
        <v>1426</v>
      </c>
      <c r="E245" s="532" t="s">
        <v>1426</v>
      </c>
      <c r="F245" s="532" t="s">
        <v>2395</v>
      </c>
      <c r="G245" s="532" t="s">
        <v>1468</v>
      </c>
      <c r="H245" s="532" t="s">
        <v>2392</v>
      </c>
      <c r="I245" s="532" t="s">
        <v>6604</v>
      </c>
      <c r="J245" s="534">
        <v>45904</v>
      </c>
      <c r="K245" s="535"/>
      <c r="L245" s="535"/>
      <c r="M245" s="535"/>
      <c r="N245" s="535"/>
      <c r="O245" s="535"/>
      <c r="P245" s="535"/>
      <c r="Q245" s="535"/>
      <c r="R245" s="535"/>
      <c r="S245" s="535"/>
      <c r="T245" s="535"/>
      <c r="U245" s="535"/>
      <c r="V245" s="535"/>
      <c r="W245" s="535"/>
      <c r="X245" s="535"/>
      <c r="Y245" s="536"/>
    </row>
    <row r="246" spans="1:25" ht="12.75">
      <c r="A246" s="532" t="s">
        <v>6652</v>
      </c>
      <c r="B246" s="532">
        <v>41200046</v>
      </c>
      <c r="C246" s="532" t="s">
        <v>1476</v>
      </c>
      <c r="D246" s="532" t="s">
        <v>1426</v>
      </c>
      <c r="E246" s="532" t="s">
        <v>1426</v>
      </c>
      <c r="F246" s="532" t="s">
        <v>2395</v>
      </c>
      <c r="G246" s="532" t="s">
        <v>1468</v>
      </c>
      <c r="H246" s="532" t="s">
        <v>2392</v>
      </c>
      <c r="I246" s="532" t="s">
        <v>6604</v>
      </c>
      <c r="J246" s="534">
        <v>45904</v>
      </c>
      <c r="K246" s="535"/>
      <c r="L246" s="535"/>
      <c r="M246" s="535"/>
      <c r="N246" s="535"/>
      <c r="O246" s="535"/>
      <c r="P246" s="535"/>
      <c r="Q246" s="535"/>
      <c r="R246" s="535"/>
      <c r="S246" s="535"/>
      <c r="T246" s="535"/>
      <c r="U246" s="535"/>
      <c r="V246" s="535"/>
      <c r="W246" s="535"/>
      <c r="X246" s="535"/>
      <c r="Y246" s="536"/>
    </row>
    <row r="247" spans="1:25" ht="12.75">
      <c r="A247" s="532" t="s">
        <v>6653</v>
      </c>
      <c r="B247" s="532">
        <v>41200046</v>
      </c>
      <c r="C247" s="532" t="s">
        <v>1476</v>
      </c>
      <c r="D247" s="532" t="s">
        <v>1426</v>
      </c>
      <c r="E247" s="532" t="s">
        <v>1426</v>
      </c>
      <c r="F247" s="532" t="s">
        <v>2395</v>
      </c>
      <c r="G247" s="532" t="s">
        <v>1468</v>
      </c>
      <c r="H247" s="532" t="s">
        <v>2392</v>
      </c>
      <c r="I247" s="532" t="s">
        <v>6604</v>
      </c>
      <c r="J247" s="534">
        <v>45904</v>
      </c>
      <c r="K247" s="535"/>
      <c r="L247" s="535"/>
      <c r="M247" s="535"/>
      <c r="N247" s="535"/>
      <c r="O247" s="535"/>
      <c r="P247" s="535"/>
      <c r="Q247" s="535"/>
      <c r="R247" s="535"/>
      <c r="S247" s="535"/>
      <c r="T247" s="535"/>
      <c r="U247" s="535"/>
      <c r="V247" s="535"/>
      <c r="W247" s="535"/>
      <c r="X247" s="535"/>
      <c r="Y247" s="536"/>
    </row>
    <row r="248" spans="1:25" ht="12.75">
      <c r="A248" s="532" t="s">
        <v>6654</v>
      </c>
      <c r="B248" s="532">
        <v>41200046</v>
      </c>
      <c r="C248" s="532" t="s">
        <v>1476</v>
      </c>
      <c r="D248" s="532" t="s">
        <v>1426</v>
      </c>
      <c r="E248" s="532" t="s">
        <v>1426</v>
      </c>
      <c r="F248" s="532" t="s">
        <v>2395</v>
      </c>
      <c r="G248" s="532" t="s">
        <v>1468</v>
      </c>
      <c r="H248" s="532" t="s">
        <v>2392</v>
      </c>
      <c r="I248" s="532" t="s">
        <v>6604</v>
      </c>
      <c r="J248" s="534">
        <v>45904</v>
      </c>
      <c r="K248" s="535"/>
      <c r="L248" s="535"/>
      <c r="M248" s="535"/>
      <c r="N248" s="535"/>
      <c r="O248" s="535"/>
      <c r="P248" s="535"/>
      <c r="Q248" s="535"/>
      <c r="R248" s="535"/>
      <c r="S248" s="535"/>
      <c r="T248" s="535"/>
      <c r="U248" s="535"/>
      <c r="V248" s="535"/>
      <c r="W248" s="535"/>
      <c r="X248" s="535"/>
      <c r="Y248" s="536"/>
    </row>
    <row r="249" spans="1:25" ht="12.75">
      <c r="A249" s="532" t="s">
        <v>3055</v>
      </c>
      <c r="B249" s="532">
        <v>41200033</v>
      </c>
      <c r="C249" s="532" t="s">
        <v>1476</v>
      </c>
      <c r="D249" s="532" t="s">
        <v>6611</v>
      </c>
      <c r="E249" s="532" t="s">
        <v>1426</v>
      </c>
      <c r="F249" s="532" t="s">
        <v>2395</v>
      </c>
      <c r="G249" s="532" t="s">
        <v>1469</v>
      </c>
      <c r="H249" s="532" t="s">
        <v>2392</v>
      </c>
      <c r="I249" s="532" t="s">
        <v>6604</v>
      </c>
      <c r="J249" s="534">
        <v>45904</v>
      </c>
      <c r="K249" s="535"/>
      <c r="L249" s="535"/>
      <c r="M249" s="535"/>
      <c r="N249" s="535"/>
      <c r="O249" s="535"/>
      <c r="P249" s="535"/>
      <c r="Q249" s="535"/>
      <c r="R249" s="535"/>
      <c r="S249" s="535"/>
      <c r="T249" s="535"/>
      <c r="U249" s="535"/>
      <c r="V249" s="535"/>
      <c r="W249" s="535"/>
      <c r="X249" s="535"/>
      <c r="Y249" s="536"/>
    </row>
    <row r="250" spans="1:25" ht="12.75">
      <c r="A250" s="532" t="s">
        <v>3041</v>
      </c>
      <c r="B250" s="532">
        <v>41200033</v>
      </c>
      <c r="C250" s="532" t="s">
        <v>1476</v>
      </c>
      <c r="D250" s="532" t="s">
        <v>6611</v>
      </c>
      <c r="E250" s="532" t="s">
        <v>1426</v>
      </c>
      <c r="F250" s="532" t="s">
        <v>2395</v>
      </c>
      <c r="G250" s="532" t="s">
        <v>1469</v>
      </c>
      <c r="H250" s="532" t="s">
        <v>2392</v>
      </c>
      <c r="I250" s="532" t="s">
        <v>6604</v>
      </c>
      <c r="J250" s="534">
        <v>45904</v>
      </c>
      <c r="K250" s="535"/>
      <c r="L250" s="535"/>
      <c r="M250" s="535"/>
      <c r="N250" s="535"/>
      <c r="O250" s="535"/>
      <c r="P250" s="535"/>
      <c r="Q250" s="535"/>
      <c r="R250" s="535"/>
      <c r="S250" s="535"/>
      <c r="T250" s="535"/>
      <c r="U250" s="535"/>
      <c r="V250" s="535"/>
      <c r="W250" s="535"/>
      <c r="X250" s="535"/>
      <c r="Y250" s="536"/>
    </row>
    <row r="251" spans="1:25" ht="12.75">
      <c r="A251" s="532" t="s">
        <v>3035</v>
      </c>
      <c r="B251" s="532">
        <v>41200007</v>
      </c>
      <c r="C251" s="532" t="s">
        <v>1591</v>
      </c>
      <c r="D251" s="532" t="s">
        <v>6608</v>
      </c>
      <c r="E251" s="532" t="s">
        <v>1405</v>
      </c>
      <c r="F251" s="532" t="s">
        <v>2391</v>
      </c>
      <c r="G251" s="532" t="s">
        <v>2392</v>
      </c>
      <c r="H251" s="532" t="s">
        <v>2392</v>
      </c>
      <c r="I251" s="532" t="s">
        <v>6604</v>
      </c>
      <c r="J251" s="534">
        <v>45904</v>
      </c>
      <c r="K251" s="535"/>
      <c r="L251" s="535"/>
      <c r="M251" s="535"/>
      <c r="N251" s="535"/>
      <c r="O251" s="535"/>
      <c r="P251" s="535"/>
      <c r="Q251" s="535"/>
      <c r="R251" s="535"/>
      <c r="S251" s="535"/>
      <c r="T251" s="535"/>
      <c r="U251" s="535"/>
      <c r="V251" s="535"/>
      <c r="W251" s="535"/>
      <c r="X251" s="535"/>
      <c r="Y251" s="536"/>
    </row>
    <row r="252" spans="1:25" ht="12.75">
      <c r="A252" s="532" t="s">
        <v>3033</v>
      </c>
      <c r="B252" s="532">
        <v>41200007</v>
      </c>
      <c r="C252" s="532" t="s">
        <v>1591</v>
      </c>
      <c r="D252" s="532" t="s">
        <v>6608</v>
      </c>
      <c r="E252" s="532" t="s">
        <v>1405</v>
      </c>
      <c r="F252" s="532" t="s">
        <v>2391</v>
      </c>
      <c r="G252" s="532" t="s">
        <v>2392</v>
      </c>
      <c r="H252" s="532" t="s">
        <v>2392</v>
      </c>
      <c r="I252" s="532" t="s">
        <v>6604</v>
      </c>
      <c r="J252" s="534">
        <v>45904</v>
      </c>
      <c r="K252" s="535"/>
      <c r="L252" s="535"/>
      <c r="M252" s="535"/>
      <c r="N252" s="535"/>
      <c r="O252" s="535"/>
      <c r="P252" s="535"/>
      <c r="Q252" s="535"/>
      <c r="R252" s="535"/>
      <c r="S252" s="535"/>
      <c r="T252" s="535"/>
      <c r="U252" s="535"/>
      <c r="V252" s="535"/>
      <c r="W252" s="535"/>
      <c r="X252" s="535"/>
      <c r="Y252" s="536"/>
    </row>
    <row r="253" spans="1:25" ht="12.75">
      <c r="A253" s="532" t="s">
        <v>3017</v>
      </c>
      <c r="B253" s="532">
        <v>41200007</v>
      </c>
      <c r="C253" s="532" t="s">
        <v>1591</v>
      </c>
      <c r="D253" s="532" t="s">
        <v>6608</v>
      </c>
      <c r="E253" s="532" t="s">
        <v>1405</v>
      </c>
      <c r="F253" s="532" t="s">
        <v>2391</v>
      </c>
      <c r="G253" s="532" t="s">
        <v>2392</v>
      </c>
      <c r="H253" s="532" t="s">
        <v>2392</v>
      </c>
      <c r="I253" s="532" t="s">
        <v>6604</v>
      </c>
      <c r="J253" s="534">
        <v>45904</v>
      </c>
      <c r="K253" s="535"/>
      <c r="L253" s="535"/>
      <c r="M253" s="535"/>
      <c r="N253" s="535"/>
      <c r="O253" s="535"/>
      <c r="P253" s="535"/>
      <c r="Q253" s="535"/>
      <c r="R253" s="535"/>
      <c r="S253" s="535"/>
      <c r="T253" s="535"/>
      <c r="U253" s="535"/>
      <c r="V253" s="535"/>
      <c r="W253" s="535"/>
      <c r="X253" s="535"/>
      <c r="Y253" s="536"/>
    </row>
    <row r="254" spans="1:25" ht="12.75">
      <c r="A254" s="532" t="s">
        <v>3036</v>
      </c>
      <c r="B254" s="532">
        <v>41200007</v>
      </c>
      <c r="C254" s="532" t="s">
        <v>1591</v>
      </c>
      <c r="D254" s="532" t="s">
        <v>6608</v>
      </c>
      <c r="E254" s="532" t="s">
        <v>1405</v>
      </c>
      <c r="F254" s="532" t="s">
        <v>2391</v>
      </c>
      <c r="G254" s="532" t="s">
        <v>2392</v>
      </c>
      <c r="H254" s="532" t="s">
        <v>2392</v>
      </c>
      <c r="I254" s="532" t="s">
        <v>6604</v>
      </c>
      <c r="J254" s="534">
        <v>45904</v>
      </c>
      <c r="K254" s="535"/>
      <c r="L254" s="535"/>
      <c r="M254" s="535"/>
      <c r="N254" s="535"/>
      <c r="O254" s="535"/>
      <c r="P254" s="535"/>
      <c r="Q254" s="535"/>
      <c r="R254" s="535"/>
      <c r="S254" s="535"/>
      <c r="T254" s="535"/>
      <c r="U254" s="535"/>
      <c r="V254" s="535"/>
      <c r="W254" s="535"/>
      <c r="X254" s="535"/>
      <c r="Y254" s="536"/>
    </row>
    <row r="255" spans="1:25" ht="12.75">
      <c r="A255" s="532" t="s">
        <v>2938</v>
      </c>
      <c r="B255" s="532">
        <v>41200169</v>
      </c>
      <c r="C255" s="532" t="s">
        <v>1479</v>
      </c>
      <c r="D255" s="532" t="s">
        <v>1408</v>
      </c>
      <c r="E255" s="532" t="s">
        <v>6655</v>
      </c>
      <c r="F255" s="532" t="s">
        <v>2395</v>
      </c>
      <c r="G255" s="532" t="s">
        <v>1469</v>
      </c>
      <c r="H255" s="532" t="s">
        <v>2392</v>
      </c>
      <c r="I255" s="532" t="s">
        <v>6604</v>
      </c>
      <c r="J255" s="534">
        <v>45901</v>
      </c>
      <c r="K255" s="535"/>
      <c r="L255" s="535"/>
      <c r="M255" s="535"/>
      <c r="N255" s="535"/>
      <c r="O255" s="535"/>
      <c r="P255" s="535"/>
      <c r="Q255" s="535"/>
      <c r="R255" s="535"/>
      <c r="S255" s="535"/>
      <c r="T255" s="535"/>
      <c r="U255" s="535"/>
      <c r="V255" s="535"/>
      <c r="W255" s="535"/>
      <c r="X255" s="535"/>
      <c r="Y255" s="536"/>
    </row>
    <row r="256" spans="1:25" ht="12.75">
      <c r="A256" s="532" t="s">
        <v>2937</v>
      </c>
      <c r="B256" s="532">
        <v>41200169</v>
      </c>
      <c r="C256" s="532" t="s">
        <v>1479</v>
      </c>
      <c r="D256" s="532" t="s">
        <v>1408</v>
      </c>
      <c r="E256" s="532" t="s">
        <v>6655</v>
      </c>
      <c r="F256" s="532" t="s">
        <v>2395</v>
      </c>
      <c r="G256" s="532" t="s">
        <v>1469</v>
      </c>
      <c r="H256" s="532" t="s">
        <v>2392</v>
      </c>
      <c r="I256" s="532" t="s">
        <v>6604</v>
      </c>
      <c r="J256" s="534">
        <v>45901</v>
      </c>
      <c r="K256" s="535"/>
      <c r="L256" s="535"/>
      <c r="M256" s="535"/>
      <c r="N256" s="535"/>
      <c r="O256" s="535"/>
      <c r="P256" s="535"/>
      <c r="Q256" s="535"/>
      <c r="R256" s="535"/>
      <c r="S256" s="535"/>
      <c r="T256" s="535"/>
      <c r="U256" s="535"/>
      <c r="V256" s="535"/>
      <c r="W256" s="535"/>
      <c r="X256" s="535"/>
      <c r="Y256" s="536"/>
    </row>
    <row r="257" spans="1:25" ht="12.75">
      <c r="A257" s="532" t="s">
        <v>5264</v>
      </c>
      <c r="B257" s="532">
        <v>41200172</v>
      </c>
      <c r="C257" s="532" t="s">
        <v>1480</v>
      </c>
      <c r="D257" s="532" t="s">
        <v>1405</v>
      </c>
      <c r="E257" s="532" t="s">
        <v>1405</v>
      </c>
      <c r="F257" s="532" t="s">
        <v>2395</v>
      </c>
      <c r="G257" s="532" t="s">
        <v>2392</v>
      </c>
      <c r="H257" s="532" t="s">
        <v>2392</v>
      </c>
      <c r="I257" s="532" t="s">
        <v>6604</v>
      </c>
      <c r="J257" s="534">
        <v>45901</v>
      </c>
      <c r="K257" s="535"/>
      <c r="L257" s="535"/>
      <c r="M257" s="535"/>
      <c r="N257" s="535"/>
      <c r="O257" s="535"/>
      <c r="P257" s="535"/>
      <c r="Q257" s="535"/>
      <c r="R257" s="535"/>
      <c r="S257" s="535"/>
      <c r="T257" s="535"/>
      <c r="U257" s="535"/>
      <c r="V257" s="535"/>
      <c r="W257" s="535"/>
      <c r="X257" s="535"/>
      <c r="Y257" s="536"/>
    </row>
    <row r="258" spans="1:25" ht="12.75">
      <c r="A258" s="532" t="s">
        <v>3087</v>
      </c>
      <c r="B258" s="532">
        <v>41200033</v>
      </c>
      <c r="C258" s="532" t="s">
        <v>1476</v>
      </c>
      <c r="D258" s="532" t="s">
        <v>6611</v>
      </c>
      <c r="E258" s="532" t="s">
        <v>1426</v>
      </c>
      <c r="F258" s="532" t="s">
        <v>2391</v>
      </c>
      <c r="G258" s="532" t="s">
        <v>1468</v>
      </c>
      <c r="H258" s="532" t="s">
        <v>2392</v>
      </c>
      <c r="I258" s="532" t="s">
        <v>6604</v>
      </c>
      <c r="J258" s="534">
        <v>45898</v>
      </c>
      <c r="K258" s="535"/>
      <c r="L258" s="535"/>
      <c r="M258" s="535"/>
      <c r="N258" s="535"/>
      <c r="O258" s="535"/>
      <c r="P258" s="535"/>
      <c r="Q258" s="535"/>
      <c r="R258" s="535"/>
      <c r="S258" s="535"/>
      <c r="T258" s="535"/>
      <c r="U258" s="535"/>
      <c r="V258" s="535"/>
      <c r="W258" s="535"/>
      <c r="X258" s="535"/>
      <c r="Y258" s="536"/>
    </row>
    <row r="259" spans="1:25" ht="12.75">
      <c r="A259" s="532" t="s">
        <v>2966</v>
      </c>
      <c r="B259" s="532">
        <v>41200033</v>
      </c>
      <c r="C259" s="532" t="s">
        <v>1476</v>
      </c>
      <c r="D259" s="532" t="s">
        <v>6611</v>
      </c>
      <c r="E259" s="532" t="s">
        <v>1426</v>
      </c>
      <c r="F259" s="532" t="s">
        <v>2391</v>
      </c>
      <c r="G259" s="532" t="s">
        <v>1468</v>
      </c>
      <c r="H259" s="532" t="s">
        <v>2392</v>
      </c>
      <c r="I259" s="532" t="s">
        <v>6604</v>
      </c>
      <c r="J259" s="534">
        <v>45898</v>
      </c>
      <c r="K259" s="535"/>
      <c r="L259" s="535"/>
      <c r="M259" s="535"/>
      <c r="N259" s="535"/>
      <c r="O259" s="535"/>
      <c r="P259" s="535"/>
      <c r="Q259" s="535"/>
      <c r="R259" s="535"/>
      <c r="S259" s="535"/>
      <c r="T259" s="535"/>
      <c r="U259" s="535"/>
      <c r="V259" s="535"/>
      <c r="W259" s="535"/>
      <c r="X259" s="535"/>
      <c r="Y259" s="536"/>
    </row>
    <row r="260" spans="1:25" ht="12.75">
      <c r="A260" s="532" t="s">
        <v>3065</v>
      </c>
      <c r="B260" s="532">
        <v>41200105</v>
      </c>
      <c r="C260" s="532" t="s">
        <v>1476</v>
      </c>
      <c r="D260" s="532" t="s">
        <v>1591</v>
      </c>
      <c r="E260" s="532" t="s">
        <v>1424</v>
      </c>
      <c r="F260" s="532" t="s">
        <v>2391</v>
      </c>
      <c r="G260" s="532" t="s">
        <v>1468</v>
      </c>
      <c r="H260" s="532" t="s">
        <v>2392</v>
      </c>
      <c r="I260" s="532" t="s">
        <v>6604</v>
      </c>
      <c r="J260" s="534">
        <v>45898</v>
      </c>
      <c r="K260" s="535"/>
      <c r="L260" s="535"/>
      <c r="M260" s="535"/>
      <c r="N260" s="535"/>
      <c r="O260" s="535"/>
      <c r="P260" s="535"/>
      <c r="Q260" s="535"/>
      <c r="R260" s="535"/>
      <c r="S260" s="535"/>
      <c r="T260" s="535"/>
      <c r="U260" s="535"/>
      <c r="V260" s="535"/>
      <c r="W260" s="535"/>
      <c r="X260" s="535"/>
      <c r="Y260" s="536"/>
    </row>
    <row r="261" spans="1:25" ht="12.75">
      <c r="A261" s="532" t="s">
        <v>2948</v>
      </c>
      <c r="B261" s="532">
        <v>41200127</v>
      </c>
      <c r="C261" s="532" t="s">
        <v>1591</v>
      </c>
      <c r="D261" s="532" t="s">
        <v>6606</v>
      </c>
      <c r="E261" s="532" t="s">
        <v>1431</v>
      </c>
      <c r="F261" s="532" t="s">
        <v>2395</v>
      </c>
      <c r="G261" s="532" t="s">
        <v>1469</v>
      </c>
      <c r="H261" s="532" t="s">
        <v>2392</v>
      </c>
      <c r="I261" s="532" t="s">
        <v>6604</v>
      </c>
      <c r="J261" s="534">
        <v>45898</v>
      </c>
      <c r="K261" s="535"/>
      <c r="L261" s="535"/>
      <c r="M261" s="535"/>
      <c r="N261" s="535"/>
      <c r="O261" s="535"/>
      <c r="P261" s="535"/>
      <c r="Q261" s="535"/>
      <c r="R261" s="535"/>
      <c r="S261" s="535"/>
      <c r="T261" s="535"/>
      <c r="U261" s="535"/>
      <c r="V261" s="535"/>
      <c r="W261" s="535"/>
      <c r="X261" s="535"/>
      <c r="Y261" s="536"/>
    </row>
    <row r="262" spans="1:25" ht="12.75">
      <c r="A262" s="532" t="s">
        <v>2960</v>
      </c>
      <c r="B262" s="532">
        <v>41200127</v>
      </c>
      <c r="C262" s="532" t="s">
        <v>1591</v>
      </c>
      <c r="D262" s="532" t="s">
        <v>6606</v>
      </c>
      <c r="E262" s="532" t="s">
        <v>1431</v>
      </c>
      <c r="F262" s="532" t="s">
        <v>2395</v>
      </c>
      <c r="G262" s="532" t="s">
        <v>1469</v>
      </c>
      <c r="H262" s="532" t="s">
        <v>2392</v>
      </c>
      <c r="I262" s="532" t="s">
        <v>6604</v>
      </c>
      <c r="J262" s="534">
        <v>45898</v>
      </c>
      <c r="K262" s="535"/>
      <c r="L262" s="535"/>
      <c r="M262" s="535"/>
      <c r="N262" s="535"/>
      <c r="O262" s="535"/>
      <c r="P262" s="535"/>
      <c r="Q262" s="535"/>
      <c r="R262" s="535"/>
      <c r="S262" s="535"/>
      <c r="T262" s="535"/>
      <c r="U262" s="535"/>
      <c r="V262" s="535"/>
      <c r="W262" s="535"/>
      <c r="X262" s="535"/>
      <c r="Y262" s="536"/>
    </row>
    <row r="263" spans="1:25" ht="12.75">
      <c r="A263" s="532" t="s">
        <v>2959</v>
      </c>
      <c r="B263" s="532">
        <v>41200127</v>
      </c>
      <c r="C263" s="532" t="s">
        <v>1591</v>
      </c>
      <c r="D263" s="532" t="s">
        <v>6606</v>
      </c>
      <c r="E263" s="532" t="s">
        <v>1431</v>
      </c>
      <c r="F263" s="532" t="s">
        <v>2395</v>
      </c>
      <c r="G263" s="532" t="s">
        <v>1469</v>
      </c>
      <c r="H263" s="532" t="s">
        <v>2392</v>
      </c>
      <c r="I263" s="532" t="s">
        <v>6604</v>
      </c>
      <c r="J263" s="534">
        <v>45898</v>
      </c>
      <c r="K263" s="535"/>
      <c r="L263" s="535"/>
      <c r="M263" s="535"/>
      <c r="N263" s="535"/>
      <c r="O263" s="535"/>
      <c r="P263" s="535"/>
      <c r="Q263" s="535"/>
      <c r="R263" s="535"/>
      <c r="S263" s="535"/>
      <c r="T263" s="535"/>
      <c r="U263" s="535"/>
      <c r="V263" s="535"/>
      <c r="W263" s="535"/>
      <c r="X263" s="535"/>
      <c r="Y263" s="536"/>
    </row>
    <row r="264" spans="1:25" ht="12.75">
      <c r="A264" s="532" t="s">
        <v>2943</v>
      </c>
      <c r="B264" s="532">
        <v>41200128</v>
      </c>
      <c r="C264" s="532" t="s">
        <v>1591</v>
      </c>
      <c r="D264" s="532" t="s">
        <v>6606</v>
      </c>
      <c r="E264" s="532" t="s">
        <v>1431</v>
      </c>
      <c r="F264" s="532" t="s">
        <v>2395</v>
      </c>
      <c r="G264" s="532" t="s">
        <v>1469</v>
      </c>
      <c r="H264" s="532" t="s">
        <v>2392</v>
      </c>
      <c r="I264" s="532" t="s">
        <v>6604</v>
      </c>
      <c r="J264" s="534">
        <v>45898</v>
      </c>
      <c r="K264" s="535"/>
      <c r="L264" s="535"/>
      <c r="M264" s="535"/>
      <c r="N264" s="535"/>
      <c r="O264" s="535"/>
      <c r="P264" s="535"/>
      <c r="Q264" s="535"/>
      <c r="R264" s="535"/>
      <c r="S264" s="535"/>
      <c r="T264" s="535"/>
      <c r="U264" s="535"/>
      <c r="V264" s="535"/>
      <c r="W264" s="535"/>
      <c r="X264" s="535"/>
      <c r="Y264" s="536"/>
    </row>
    <row r="265" spans="1:25" ht="12.75">
      <c r="A265" s="532" t="s">
        <v>2942</v>
      </c>
      <c r="B265" s="532">
        <v>41100264</v>
      </c>
      <c r="C265" s="532" t="s">
        <v>1591</v>
      </c>
      <c r="D265" s="532" t="s">
        <v>6611</v>
      </c>
      <c r="E265" s="532" t="s">
        <v>1585</v>
      </c>
      <c r="F265" s="532" t="s">
        <v>2391</v>
      </c>
      <c r="G265" s="532" t="s">
        <v>2392</v>
      </c>
      <c r="H265" s="532" t="s">
        <v>2392</v>
      </c>
      <c r="I265" s="532" t="s">
        <v>6604</v>
      </c>
      <c r="J265" s="534">
        <v>45898</v>
      </c>
      <c r="K265" s="535"/>
      <c r="L265" s="535"/>
      <c r="M265" s="535"/>
      <c r="N265" s="535"/>
      <c r="O265" s="535"/>
      <c r="P265" s="535"/>
      <c r="Q265" s="535"/>
      <c r="R265" s="535"/>
      <c r="S265" s="535"/>
      <c r="T265" s="535"/>
      <c r="U265" s="535"/>
      <c r="V265" s="535"/>
      <c r="W265" s="535"/>
      <c r="X265" s="535"/>
      <c r="Y265" s="536"/>
    </row>
    <row r="266" spans="1:25" ht="12.75">
      <c r="A266" s="532" t="s">
        <v>2941</v>
      </c>
      <c r="B266" s="532">
        <v>41100264</v>
      </c>
      <c r="C266" s="532" t="s">
        <v>1591</v>
      </c>
      <c r="D266" s="532" t="s">
        <v>6611</v>
      </c>
      <c r="E266" s="532" t="s">
        <v>1585</v>
      </c>
      <c r="F266" s="532" t="s">
        <v>2391</v>
      </c>
      <c r="G266" s="532" t="s">
        <v>2392</v>
      </c>
      <c r="H266" s="532" t="s">
        <v>2392</v>
      </c>
      <c r="I266" s="532" t="s">
        <v>6604</v>
      </c>
      <c r="J266" s="534">
        <v>45898</v>
      </c>
      <c r="K266" s="535"/>
      <c r="L266" s="535"/>
      <c r="M266" s="535"/>
      <c r="N266" s="535"/>
      <c r="O266" s="535"/>
      <c r="P266" s="535"/>
      <c r="Q266" s="535"/>
      <c r="R266" s="535"/>
      <c r="S266" s="535"/>
      <c r="T266" s="535"/>
      <c r="U266" s="535"/>
      <c r="V266" s="535"/>
      <c r="W266" s="535"/>
      <c r="X266" s="535"/>
      <c r="Y266" s="536"/>
    </row>
    <row r="267" spans="1:25" ht="12.75">
      <c r="A267" s="532" t="s">
        <v>2957</v>
      </c>
      <c r="B267" s="532">
        <v>41200122</v>
      </c>
      <c r="C267" s="532" t="s">
        <v>1476</v>
      </c>
      <c r="D267" s="532" t="s">
        <v>1476</v>
      </c>
      <c r="E267" s="532" t="s">
        <v>1585</v>
      </c>
      <c r="F267" s="532" t="s">
        <v>2395</v>
      </c>
      <c r="G267" s="532" t="s">
        <v>1468</v>
      </c>
      <c r="H267" s="532" t="s">
        <v>2392</v>
      </c>
      <c r="I267" s="532" t="s">
        <v>6604</v>
      </c>
      <c r="J267" s="534">
        <v>45898</v>
      </c>
      <c r="K267" s="535"/>
      <c r="L267" s="535"/>
      <c r="M267" s="535"/>
      <c r="N267" s="535"/>
      <c r="O267" s="535"/>
      <c r="P267" s="535"/>
      <c r="Q267" s="535"/>
      <c r="R267" s="535"/>
      <c r="S267" s="535"/>
      <c r="T267" s="535"/>
      <c r="U267" s="535"/>
      <c r="V267" s="535"/>
      <c r="W267" s="535"/>
      <c r="X267" s="535"/>
      <c r="Y267" s="536"/>
    </row>
    <row r="268" spans="1:25" ht="12.75">
      <c r="A268" s="532" t="s">
        <v>5220</v>
      </c>
      <c r="B268" s="532">
        <v>41100548</v>
      </c>
      <c r="C268" s="532" t="s">
        <v>1393</v>
      </c>
      <c r="D268" s="532" t="s">
        <v>6656</v>
      </c>
      <c r="E268" s="532" t="s">
        <v>1392</v>
      </c>
      <c r="F268" s="532" t="s">
        <v>2395</v>
      </c>
      <c r="G268" s="532" t="s">
        <v>1469</v>
      </c>
      <c r="H268" s="532" t="s">
        <v>2392</v>
      </c>
      <c r="I268" s="532" t="s">
        <v>6604</v>
      </c>
      <c r="J268" s="534">
        <v>45898</v>
      </c>
      <c r="K268" s="535"/>
      <c r="L268" s="535"/>
      <c r="M268" s="535"/>
      <c r="N268" s="535"/>
      <c r="O268" s="535"/>
      <c r="P268" s="535"/>
      <c r="Q268" s="535"/>
      <c r="R268" s="535"/>
      <c r="S268" s="535"/>
      <c r="T268" s="535"/>
      <c r="U268" s="535"/>
      <c r="V268" s="535"/>
      <c r="W268" s="535"/>
      <c r="X268" s="535"/>
      <c r="Y268" s="536"/>
    </row>
    <row r="269" spans="1:25" ht="12.75">
      <c r="A269" s="532" t="s">
        <v>3491</v>
      </c>
      <c r="B269" s="532">
        <v>41200034</v>
      </c>
      <c r="C269" s="532" t="s">
        <v>1476</v>
      </c>
      <c r="D269" s="532" t="s">
        <v>1426</v>
      </c>
      <c r="E269" s="532" t="s">
        <v>1426</v>
      </c>
      <c r="F269" s="532" t="s">
        <v>2395</v>
      </c>
      <c r="G269" s="532" t="s">
        <v>1468</v>
      </c>
      <c r="H269" s="532" t="s">
        <v>2392</v>
      </c>
      <c r="I269" s="532" t="s">
        <v>6604</v>
      </c>
      <c r="J269" s="534">
        <v>45898</v>
      </c>
      <c r="K269" s="535"/>
      <c r="L269" s="535"/>
      <c r="M269" s="535"/>
      <c r="N269" s="535"/>
      <c r="O269" s="535"/>
      <c r="P269" s="535"/>
      <c r="Q269" s="535"/>
      <c r="R269" s="535"/>
      <c r="S269" s="535"/>
      <c r="T269" s="535"/>
      <c r="U269" s="535"/>
      <c r="V269" s="535"/>
      <c r="W269" s="535"/>
      <c r="X269" s="535"/>
      <c r="Y269" s="536"/>
    </row>
    <row r="270" spans="1:25" ht="12.75">
      <c r="A270" s="532" t="s">
        <v>2958</v>
      </c>
      <c r="B270" s="532">
        <v>41200134</v>
      </c>
      <c r="C270" s="532" t="s">
        <v>1476</v>
      </c>
      <c r="D270" s="532" t="s">
        <v>6605</v>
      </c>
      <c r="E270" s="532" t="s">
        <v>1429</v>
      </c>
      <c r="F270" s="532" t="s">
        <v>2395</v>
      </c>
      <c r="G270" s="532" t="s">
        <v>1468</v>
      </c>
      <c r="H270" s="532" t="s">
        <v>2392</v>
      </c>
      <c r="I270" s="532" t="s">
        <v>6604</v>
      </c>
      <c r="J270" s="534">
        <v>45898</v>
      </c>
      <c r="K270" s="535"/>
      <c r="L270" s="535"/>
      <c r="M270" s="535"/>
      <c r="N270" s="535"/>
      <c r="O270" s="535"/>
      <c r="P270" s="535"/>
      <c r="Q270" s="535"/>
      <c r="R270" s="535"/>
      <c r="S270" s="535"/>
      <c r="T270" s="535"/>
      <c r="U270" s="535"/>
      <c r="V270" s="535"/>
      <c r="W270" s="535"/>
      <c r="X270" s="535"/>
      <c r="Y270" s="536"/>
    </row>
    <row r="271" spans="1:25" ht="12.75">
      <c r="A271" s="532" t="s">
        <v>2973</v>
      </c>
      <c r="B271" s="532">
        <v>41200131</v>
      </c>
      <c r="C271" s="532" t="s">
        <v>1476</v>
      </c>
      <c r="D271" s="532" t="s">
        <v>6606</v>
      </c>
      <c r="E271" s="532" t="s">
        <v>1431</v>
      </c>
      <c r="F271" s="532" t="s">
        <v>2391</v>
      </c>
      <c r="G271" s="532" t="s">
        <v>1468</v>
      </c>
      <c r="H271" s="532" t="s">
        <v>2392</v>
      </c>
      <c r="I271" s="532" t="s">
        <v>6604</v>
      </c>
      <c r="J271" s="534">
        <v>45898</v>
      </c>
      <c r="K271" s="535"/>
      <c r="L271" s="535"/>
      <c r="M271" s="535"/>
      <c r="N271" s="535"/>
      <c r="O271" s="535"/>
      <c r="P271" s="535"/>
      <c r="Q271" s="535"/>
      <c r="R271" s="535"/>
      <c r="S271" s="535"/>
      <c r="T271" s="535"/>
      <c r="U271" s="535"/>
      <c r="V271" s="535"/>
      <c r="W271" s="535"/>
      <c r="X271" s="535"/>
      <c r="Y271" s="536"/>
    </row>
    <row r="272" spans="1:25" ht="12.75">
      <c r="A272" s="532" t="s">
        <v>3081</v>
      </c>
      <c r="B272" s="532">
        <v>41200076</v>
      </c>
      <c r="C272" s="532" t="s">
        <v>1476</v>
      </c>
      <c r="D272" s="532" t="s">
        <v>1476</v>
      </c>
      <c r="E272" s="532" t="s">
        <v>1585</v>
      </c>
      <c r="F272" s="532" t="s">
        <v>2391</v>
      </c>
      <c r="G272" s="532" t="s">
        <v>1468</v>
      </c>
      <c r="H272" s="532" t="s">
        <v>2392</v>
      </c>
      <c r="I272" s="532" t="s">
        <v>6604</v>
      </c>
      <c r="J272" s="534">
        <v>45898</v>
      </c>
      <c r="K272" s="535"/>
      <c r="L272" s="535"/>
      <c r="M272" s="535"/>
      <c r="N272" s="535"/>
      <c r="O272" s="535"/>
      <c r="P272" s="535"/>
      <c r="Q272" s="535"/>
      <c r="R272" s="535"/>
      <c r="S272" s="535"/>
      <c r="T272" s="535"/>
      <c r="U272" s="535"/>
      <c r="V272" s="535"/>
      <c r="W272" s="535"/>
      <c r="X272" s="535"/>
      <c r="Y272" s="536"/>
    </row>
    <row r="273" spans="1:25" ht="12.75">
      <c r="A273" s="532" t="s">
        <v>2965</v>
      </c>
      <c r="B273" s="532">
        <v>41200039</v>
      </c>
      <c r="C273" s="532" t="s">
        <v>1476</v>
      </c>
      <c r="D273" s="532" t="s">
        <v>1426</v>
      </c>
      <c r="E273" s="532" t="s">
        <v>1426</v>
      </c>
      <c r="F273" s="532" t="s">
        <v>2391</v>
      </c>
      <c r="G273" s="532" t="s">
        <v>2392</v>
      </c>
      <c r="H273" s="532" t="s">
        <v>2392</v>
      </c>
      <c r="I273" s="532" t="s">
        <v>6604</v>
      </c>
      <c r="J273" s="534">
        <v>45898</v>
      </c>
      <c r="K273" s="535"/>
      <c r="L273" s="535"/>
      <c r="M273" s="535"/>
      <c r="N273" s="535"/>
      <c r="O273" s="535"/>
      <c r="P273" s="535"/>
      <c r="Q273" s="535"/>
      <c r="R273" s="535"/>
      <c r="S273" s="535"/>
      <c r="T273" s="535"/>
      <c r="U273" s="535"/>
      <c r="V273" s="535"/>
      <c r="W273" s="535"/>
      <c r="X273" s="535"/>
      <c r="Y273" s="536"/>
    </row>
    <row r="274" spans="1:25" ht="12.75">
      <c r="A274" s="532" t="s">
        <v>2923</v>
      </c>
      <c r="B274" s="532">
        <v>41200039</v>
      </c>
      <c r="C274" s="532" t="s">
        <v>1476</v>
      </c>
      <c r="D274" s="532" t="s">
        <v>1426</v>
      </c>
      <c r="E274" s="532" t="s">
        <v>1426</v>
      </c>
      <c r="F274" s="532" t="s">
        <v>2391</v>
      </c>
      <c r="G274" s="532" t="s">
        <v>2392</v>
      </c>
      <c r="H274" s="532" t="s">
        <v>2392</v>
      </c>
      <c r="I274" s="532" t="s">
        <v>6604</v>
      </c>
      <c r="J274" s="534">
        <v>45898</v>
      </c>
      <c r="K274" s="535"/>
      <c r="L274" s="535"/>
      <c r="M274" s="535"/>
      <c r="N274" s="535"/>
      <c r="O274" s="535"/>
      <c r="P274" s="535"/>
      <c r="Q274" s="535"/>
      <c r="R274" s="535"/>
      <c r="S274" s="535"/>
      <c r="T274" s="535"/>
      <c r="U274" s="535"/>
      <c r="V274" s="535"/>
      <c r="W274" s="535"/>
      <c r="X274" s="535"/>
      <c r="Y274" s="536"/>
    </row>
    <row r="275" spans="1:25" ht="12.75">
      <c r="A275" s="532" t="s">
        <v>2932</v>
      </c>
      <c r="B275" s="532">
        <v>41200034</v>
      </c>
      <c r="C275" s="532" t="s">
        <v>1476</v>
      </c>
      <c r="D275" s="532" t="s">
        <v>1426</v>
      </c>
      <c r="E275" s="532" t="s">
        <v>1426</v>
      </c>
      <c r="F275" s="532" t="s">
        <v>2395</v>
      </c>
      <c r="G275" s="532" t="s">
        <v>1469</v>
      </c>
      <c r="H275" s="532" t="s">
        <v>2392</v>
      </c>
      <c r="I275" s="532" t="s">
        <v>6604</v>
      </c>
      <c r="J275" s="534">
        <v>45898</v>
      </c>
      <c r="K275" s="535"/>
      <c r="L275" s="535"/>
      <c r="M275" s="535"/>
      <c r="N275" s="535"/>
      <c r="O275" s="535"/>
      <c r="P275" s="535"/>
      <c r="Q275" s="535"/>
      <c r="R275" s="535"/>
      <c r="S275" s="535"/>
      <c r="T275" s="535"/>
      <c r="U275" s="535"/>
      <c r="V275" s="535"/>
      <c r="W275" s="535"/>
      <c r="X275" s="535"/>
      <c r="Y275" s="536"/>
    </row>
    <row r="276" spans="1:25" ht="12.75">
      <c r="A276" s="532" t="s">
        <v>2931</v>
      </c>
      <c r="B276" s="532">
        <v>41200034</v>
      </c>
      <c r="C276" s="532" t="s">
        <v>1476</v>
      </c>
      <c r="D276" s="532" t="s">
        <v>1426</v>
      </c>
      <c r="E276" s="532" t="s">
        <v>1426</v>
      </c>
      <c r="F276" s="532" t="s">
        <v>2395</v>
      </c>
      <c r="G276" s="532" t="s">
        <v>1469</v>
      </c>
      <c r="H276" s="532" t="s">
        <v>2392</v>
      </c>
      <c r="I276" s="532" t="s">
        <v>6604</v>
      </c>
      <c r="J276" s="534">
        <v>45898</v>
      </c>
      <c r="K276" s="535"/>
      <c r="L276" s="535"/>
      <c r="M276" s="535"/>
      <c r="N276" s="535"/>
      <c r="O276" s="535"/>
      <c r="P276" s="535"/>
      <c r="Q276" s="535"/>
      <c r="R276" s="535"/>
      <c r="S276" s="535"/>
      <c r="T276" s="535"/>
      <c r="U276" s="535"/>
      <c r="V276" s="535"/>
      <c r="W276" s="535"/>
      <c r="X276" s="535"/>
      <c r="Y276" s="536"/>
    </row>
    <row r="277" spans="1:25" ht="12.75">
      <c r="A277" s="532" t="s">
        <v>2935</v>
      </c>
      <c r="B277" s="532">
        <v>41200119</v>
      </c>
      <c r="C277" s="532" t="s">
        <v>1476</v>
      </c>
      <c r="D277" s="532" t="s">
        <v>1422</v>
      </c>
      <c r="E277" s="532" t="s">
        <v>1422</v>
      </c>
      <c r="F277" s="532" t="s">
        <v>2391</v>
      </c>
      <c r="G277" s="532" t="s">
        <v>1468</v>
      </c>
      <c r="H277" s="532" t="s">
        <v>2392</v>
      </c>
      <c r="I277" s="532" t="s">
        <v>6604</v>
      </c>
      <c r="J277" s="534">
        <v>45898</v>
      </c>
      <c r="K277" s="535"/>
      <c r="L277" s="535"/>
      <c r="M277" s="535"/>
      <c r="N277" s="535"/>
      <c r="O277" s="535"/>
      <c r="P277" s="535"/>
      <c r="Q277" s="535"/>
      <c r="R277" s="535"/>
      <c r="S277" s="535"/>
      <c r="T277" s="535"/>
      <c r="U277" s="535"/>
      <c r="V277" s="535"/>
      <c r="W277" s="535"/>
      <c r="X277" s="535"/>
      <c r="Y277" s="536"/>
    </row>
    <row r="278" spans="1:25" ht="12.75">
      <c r="A278" s="532" t="s">
        <v>2930</v>
      </c>
      <c r="B278" s="532">
        <v>41200136</v>
      </c>
      <c r="C278" s="532" t="s">
        <v>1482</v>
      </c>
      <c r="D278" s="532" t="s">
        <v>1431</v>
      </c>
      <c r="E278" s="532" t="s">
        <v>1431</v>
      </c>
      <c r="F278" s="532" t="s">
        <v>2395</v>
      </c>
      <c r="G278" s="532" t="s">
        <v>1469</v>
      </c>
      <c r="H278" s="533"/>
      <c r="I278" s="532" t="s">
        <v>6604</v>
      </c>
      <c r="J278" s="534">
        <v>45898</v>
      </c>
      <c r="K278" s="535"/>
      <c r="L278" s="535"/>
      <c r="M278" s="535"/>
      <c r="N278" s="535"/>
      <c r="O278" s="535"/>
      <c r="P278" s="535"/>
      <c r="Q278" s="535"/>
      <c r="R278" s="535"/>
      <c r="S278" s="535"/>
      <c r="T278" s="535"/>
      <c r="U278" s="535"/>
      <c r="V278" s="535"/>
      <c r="W278" s="535"/>
      <c r="X278" s="535"/>
      <c r="Y278" s="536"/>
    </row>
    <row r="279" spans="1:25" ht="12.75">
      <c r="A279" s="532" t="s">
        <v>2925</v>
      </c>
      <c r="B279" s="532">
        <v>41200129</v>
      </c>
      <c r="C279" s="532" t="s">
        <v>1591</v>
      </c>
      <c r="D279" s="532" t="s">
        <v>6606</v>
      </c>
      <c r="E279" s="532" t="s">
        <v>1431</v>
      </c>
      <c r="F279" s="532" t="s">
        <v>2391</v>
      </c>
      <c r="G279" s="532" t="s">
        <v>1468</v>
      </c>
      <c r="H279" s="532" t="s">
        <v>2392</v>
      </c>
      <c r="I279" s="532" t="s">
        <v>6604</v>
      </c>
      <c r="J279" s="534">
        <v>45898</v>
      </c>
      <c r="K279" s="535"/>
      <c r="L279" s="535"/>
      <c r="M279" s="535"/>
      <c r="N279" s="535"/>
      <c r="O279" s="535"/>
      <c r="P279" s="535"/>
      <c r="Q279" s="535"/>
      <c r="R279" s="535"/>
      <c r="S279" s="535"/>
      <c r="T279" s="535"/>
      <c r="U279" s="535"/>
      <c r="V279" s="535"/>
      <c r="W279" s="535"/>
      <c r="X279" s="535"/>
      <c r="Y279" s="536"/>
    </row>
    <row r="280" spans="1:25" ht="12.75">
      <c r="A280" s="532" t="s">
        <v>2940</v>
      </c>
      <c r="B280" s="532">
        <v>41200074</v>
      </c>
      <c r="C280" s="532" t="s">
        <v>1478</v>
      </c>
      <c r="D280" s="532" t="s">
        <v>6620</v>
      </c>
      <c r="E280" s="532" t="s">
        <v>1405</v>
      </c>
      <c r="F280" s="532" t="s">
        <v>2395</v>
      </c>
      <c r="G280" s="532" t="s">
        <v>1469</v>
      </c>
      <c r="H280" s="532" t="s">
        <v>2392</v>
      </c>
      <c r="I280" s="532" t="s">
        <v>6604</v>
      </c>
      <c r="J280" s="534">
        <v>45898</v>
      </c>
      <c r="K280" s="535"/>
      <c r="L280" s="535"/>
      <c r="M280" s="535"/>
      <c r="N280" s="535"/>
      <c r="O280" s="535"/>
      <c r="P280" s="535"/>
      <c r="Q280" s="535"/>
      <c r="R280" s="535"/>
      <c r="S280" s="535"/>
      <c r="T280" s="535"/>
      <c r="U280" s="535"/>
      <c r="V280" s="535"/>
      <c r="W280" s="535"/>
      <c r="X280" s="535"/>
      <c r="Y280" s="536"/>
    </row>
    <row r="281" spans="1:25" ht="12.75">
      <c r="A281" s="532" t="s">
        <v>2939</v>
      </c>
      <c r="B281" s="532">
        <v>41200074</v>
      </c>
      <c r="C281" s="532" t="s">
        <v>1478</v>
      </c>
      <c r="D281" s="532" t="s">
        <v>6620</v>
      </c>
      <c r="E281" s="532" t="s">
        <v>1405</v>
      </c>
      <c r="F281" s="532" t="s">
        <v>2395</v>
      </c>
      <c r="G281" s="532" t="s">
        <v>1469</v>
      </c>
      <c r="H281" s="532" t="s">
        <v>2392</v>
      </c>
      <c r="I281" s="532" t="s">
        <v>6604</v>
      </c>
      <c r="J281" s="534">
        <v>45898</v>
      </c>
      <c r="K281" s="535"/>
      <c r="L281" s="535"/>
      <c r="M281" s="535"/>
      <c r="N281" s="535"/>
      <c r="O281" s="535"/>
      <c r="P281" s="535"/>
      <c r="Q281" s="535"/>
      <c r="R281" s="535"/>
      <c r="S281" s="535"/>
      <c r="T281" s="535"/>
      <c r="U281" s="535"/>
      <c r="V281" s="535"/>
      <c r="W281" s="535"/>
      <c r="X281" s="535"/>
      <c r="Y281" s="536"/>
    </row>
    <row r="282" spans="1:25" ht="12.75">
      <c r="A282" s="532" t="s">
        <v>2934</v>
      </c>
      <c r="B282" s="532">
        <v>41200127</v>
      </c>
      <c r="C282" s="532" t="s">
        <v>1591</v>
      </c>
      <c r="D282" s="532" t="s">
        <v>6606</v>
      </c>
      <c r="E282" s="532" t="s">
        <v>1431</v>
      </c>
      <c r="F282" s="532" t="s">
        <v>2395</v>
      </c>
      <c r="G282" s="532" t="s">
        <v>2392</v>
      </c>
      <c r="H282" s="532" t="s">
        <v>2392</v>
      </c>
      <c r="I282" s="532" t="s">
        <v>6604</v>
      </c>
      <c r="J282" s="534">
        <v>45898</v>
      </c>
      <c r="K282" s="535"/>
      <c r="L282" s="535"/>
      <c r="M282" s="535"/>
      <c r="N282" s="535"/>
      <c r="O282" s="535"/>
      <c r="P282" s="535"/>
      <c r="Q282" s="535"/>
      <c r="R282" s="535"/>
      <c r="S282" s="535"/>
      <c r="T282" s="535"/>
      <c r="U282" s="535"/>
      <c r="V282" s="535"/>
      <c r="W282" s="535"/>
      <c r="X282" s="535"/>
      <c r="Y282" s="536"/>
    </row>
    <row r="283" spans="1:25" ht="12.75">
      <c r="A283" s="532" t="s">
        <v>3083</v>
      </c>
      <c r="B283" s="532">
        <v>41200038</v>
      </c>
      <c r="C283" s="532" t="s">
        <v>1476</v>
      </c>
      <c r="D283" s="532" t="s">
        <v>1426</v>
      </c>
      <c r="E283" s="532" t="s">
        <v>1426</v>
      </c>
      <c r="F283" s="532" t="s">
        <v>2391</v>
      </c>
      <c r="G283" s="532" t="s">
        <v>1468</v>
      </c>
      <c r="H283" s="532" t="s">
        <v>2392</v>
      </c>
      <c r="I283" s="532" t="s">
        <v>6604</v>
      </c>
      <c r="J283" s="534">
        <v>45898</v>
      </c>
      <c r="K283" s="535"/>
      <c r="L283" s="535"/>
      <c r="M283" s="535"/>
      <c r="N283" s="535"/>
      <c r="O283" s="535"/>
      <c r="P283" s="535"/>
      <c r="Q283" s="535"/>
      <c r="R283" s="535"/>
      <c r="S283" s="535"/>
      <c r="T283" s="535"/>
      <c r="U283" s="535"/>
      <c r="V283" s="535"/>
      <c r="W283" s="535"/>
      <c r="X283" s="535"/>
      <c r="Y283" s="536"/>
    </row>
    <row r="284" spans="1:25" ht="12.75">
      <c r="A284" s="532" t="s">
        <v>2915</v>
      </c>
      <c r="B284" s="532">
        <v>41200127</v>
      </c>
      <c r="C284" s="532" t="s">
        <v>1591</v>
      </c>
      <c r="D284" s="532" t="s">
        <v>6606</v>
      </c>
      <c r="E284" s="532" t="s">
        <v>1431</v>
      </c>
      <c r="F284" s="532" t="s">
        <v>2395</v>
      </c>
      <c r="G284" s="532" t="s">
        <v>2392</v>
      </c>
      <c r="H284" s="532" t="s">
        <v>2392</v>
      </c>
      <c r="I284" s="532" t="s">
        <v>6604</v>
      </c>
      <c r="J284" s="534">
        <v>45898</v>
      </c>
      <c r="K284" s="535"/>
      <c r="L284" s="535"/>
      <c r="M284" s="535"/>
      <c r="N284" s="535"/>
      <c r="O284" s="535"/>
      <c r="P284" s="535"/>
      <c r="Q284" s="535"/>
      <c r="R284" s="535"/>
      <c r="S284" s="535"/>
      <c r="T284" s="535"/>
      <c r="U284" s="535"/>
      <c r="V284" s="535"/>
      <c r="W284" s="535"/>
      <c r="X284" s="535"/>
      <c r="Y284" s="536"/>
    </row>
    <row r="285" spans="1:25" ht="12.75">
      <c r="A285" s="532" t="s">
        <v>2933</v>
      </c>
      <c r="B285" s="532">
        <v>41200131</v>
      </c>
      <c r="C285" s="532" t="s">
        <v>1476</v>
      </c>
      <c r="D285" s="532" t="s">
        <v>6606</v>
      </c>
      <c r="E285" s="532" t="s">
        <v>1431</v>
      </c>
      <c r="F285" s="532" t="s">
        <v>2391</v>
      </c>
      <c r="G285" s="532" t="s">
        <v>2392</v>
      </c>
      <c r="H285" s="532" t="s">
        <v>2392</v>
      </c>
      <c r="I285" s="532" t="s">
        <v>6604</v>
      </c>
      <c r="J285" s="534">
        <v>45898</v>
      </c>
      <c r="K285" s="535"/>
      <c r="L285" s="535"/>
      <c r="M285" s="535"/>
      <c r="N285" s="535"/>
      <c r="O285" s="535"/>
      <c r="P285" s="535"/>
      <c r="Q285" s="535"/>
      <c r="R285" s="535"/>
      <c r="S285" s="535"/>
      <c r="T285" s="535"/>
      <c r="U285" s="535"/>
      <c r="V285" s="535"/>
      <c r="W285" s="535"/>
      <c r="X285" s="535"/>
      <c r="Y285" s="536"/>
    </row>
    <row r="286" spans="1:25" ht="12.75">
      <c r="A286" s="532" t="s">
        <v>2921</v>
      </c>
      <c r="B286" s="532">
        <v>41200131</v>
      </c>
      <c r="C286" s="532" t="s">
        <v>1476</v>
      </c>
      <c r="D286" s="532" t="s">
        <v>6606</v>
      </c>
      <c r="E286" s="532" t="s">
        <v>1431</v>
      </c>
      <c r="F286" s="532" t="s">
        <v>2391</v>
      </c>
      <c r="G286" s="532" t="s">
        <v>2392</v>
      </c>
      <c r="H286" s="532" t="s">
        <v>2392</v>
      </c>
      <c r="I286" s="532" t="s">
        <v>6604</v>
      </c>
      <c r="J286" s="534">
        <v>45898</v>
      </c>
      <c r="K286" s="535"/>
      <c r="L286" s="535"/>
      <c r="M286" s="535"/>
      <c r="N286" s="535"/>
      <c r="O286" s="535"/>
      <c r="P286" s="535"/>
      <c r="Q286" s="535"/>
      <c r="R286" s="535"/>
      <c r="S286" s="535"/>
      <c r="T286" s="535"/>
      <c r="U286" s="535"/>
      <c r="V286" s="535"/>
      <c r="W286" s="535"/>
      <c r="X286" s="535"/>
      <c r="Y286" s="536"/>
    </row>
    <row r="287" spans="1:25" ht="12.75">
      <c r="A287" s="532" t="s">
        <v>2926</v>
      </c>
      <c r="B287" s="532">
        <v>41200122</v>
      </c>
      <c r="C287" s="532" t="s">
        <v>1476</v>
      </c>
      <c r="D287" s="532" t="s">
        <v>1476</v>
      </c>
      <c r="E287" s="532" t="s">
        <v>1585</v>
      </c>
      <c r="F287" s="532" t="s">
        <v>2391</v>
      </c>
      <c r="G287" s="532" t="s">
        <v>1468</v>
      </c>
      <c r="H287" s="532" t="s">
        <v>2392</v>
      </c>
      <c r="I287" s="532" t="s">
        <v>6604</v>
      </c>
      <c r="J287" s="534">
        <v>45898</v>
      </c>
      <c r="K287" s="535"/>
      <c r="L287" s="535"/>
      <c r="M287" s="535"/>
      <c r="N287" s="535"/>
      <c r="O287" s="535"/>
      <c r="P287" s="535"/>
      <c r="Q287" s="535"/>
      <c r="R287" s="535"/>
      <c r="S287" s="535"/>
      <c r="T287" s="535"/>
      <c r="U287" s="535"/>
      <c r="V287" s="535"/>
      <c r="W287" s="535"/>
      <c r="X287" s="535"/>
      <c r="Y287" s="536"/>
    </row>
    <row r="288" spans="1:25" ht="12.75">
      <c r="A288" s="532" t="s">
        <v>3042</v>
      </c>
      <c r="B288" s="532">
        <v>41200128</v>
      </c>
      <c r="C288" s="532" t="s">
        <v>1591</v>
      </c>
      <c r="D288" s="532" t="s">
        <v>6606</v>
      </c>
      <c r="E288" s="532" t="s">
        <v>1431</v>
      </c>
      <c r="F288" s="532" t="s">
        <v>2555</v>
      </c>
      <c r="G288" s="532" t="s">
        <v>2555</v>
      </c>
      <c r="H288" s="532" t="s">
        <v>2392</v>
      </c>
      <c r="I288" s="532" t="s">
        <v>6604</v>
      </c>
      <c r="J288" s="534">
        <v>45898</v>
      </c>
      <c r="K288" s="535"/>
      <c r="L288" s="535"/>
      <c r="M288" s="535"/>
      <c r="N288" s="535"/>
      <c r="O288" s="535"/>
      <c r="P288" s="535"/>
      <c r="Q288" s="535"/>
      <c r="R288" s="535"/>
      <c r="S288" s="535"/>
      <c r="T288" s="535"/>
      <c r="U288" s="535"/>
      <c r="V288" s="535"/>
      <c r="W288" s="535"/>
      <c r="X288" s="535"/>
      <c r="Y288" s="536"/>
    </row>
    <row r="289" spans="1:25" ht="12.75">
      <c r="A289" s="532" t="s">
        <v>3014</v>
      </c>
      <c r="B289" s="532">
        <v>41200128</v>
      </c>
      <c r="C289" s="532" t="s">
        <v>1591</v>
      </c>
      <c r="D289" s="532" t="s">
        <v>6606</v>
      </c>
      <c r="E289" s="532" t="s">
        <v>1431</v>
      </c>
      <c r="F289" s="532" t="s">
        <v>2555</v>
      </c>
      <c r="G289" s="532" t="s">
        <v>2555</v>
      </c>
      <c r="H289" s="532" t="s">
        <v>2392</v>
      </c>
      <c r="I289" s="532" t="s">
        <v>6604</v>
      </c>
      <c r="J289" s="534">
        <v>45898</v>
      </c>
      <c r="K289" s="535"/>
      <c r="L289" s="535"/>
      <c r="M289" s="535"/>
      <c r="N289" s="535"/>
      <c r="O289" s="535"/>
      <c r="P289" s="535"/>
      <c r="Q289" s="535"/>
      <c r="R289" s="535"/>
      <c r="S289" s="535"/>
      <c r="T289" s="535"/>
      <c r="U289" s="535"/>
      <c r="V289" s="535"/>
      <c r="W289" s="535"/>
      <c r="X289" s="535"/>
      <c r="Y289" s="536"/>
    </row>
    <row r="290" spans="1:25" ht="12.75">
      <c r="A290" s="532" t="s">
        <v>3006</v>
      </c>
      <c r="B290" s="532">
        <v>41200128</v>
      </c>
      <c r="C290" s="532" t="s">
        <v>1591</v>
      </c>
      <c r="D290" s="532" t="s">
        <v>6606</v>
      </c>
      <c r="E290" s="532" t="s">
        <v>1431</v>
      </c>
      <c r="F290" s="532" t="s">
        <v>2555</v>
      </c>
      <c r="G290" s="532" t="s">
        <v>2555</v>
      </c>
      <c r="H290" s="532" t="s">
        <v>2392</v>
      </c>
      <c r="I290" s="532" t="s">
        <v>6604</v>
      </c>
      <c r="J290" s="534">
        <v>45898</v>
      </c>
      <c r="K290" s="535"/>
      <c r="L290" s="535"/>
      <c r="M290" s="535"/>
      <c r="N290" s="535"/>
      <c r="O290" s="535"/>
      <c r="P290" s="535"/>
      <c r="Q290" s="535"/>
      <c r="R290" s="535"/>
      <c r="S290" s="535"/>
      <c r="T290" s="535"/>
      <c r="U290" s="535"/>
      <c r="V290" s="535"/>
      <c r="W290" s="535"/>
      <c r="X290" s="535"/>
      <c r="Y290" s="536"/>
    </row>
    <row r="291" spans="1:25" ht="12.75">
      <c r="A291" s="532" t="s">
        <v>2908</v>
      </c>
      <c r="B291" s="532">
        <v>41200160</v>
      </c>
      <c r="C291" s="532" t="s">
        <v>1591</v>
      </c>
      <c r="D291" s="532" t="s">
        <v>6606</v>
      </c>
      <c r="E291" s="532" t="s">
        <v>1431</v>
      </c>
      <c r="F291" s="532" t="s">
        <v>2391</v>
      </c>
      <c r="G291" s="532" t="s">
        <v>2392</v>
      </c>
      <c r="H291" s="532" t="s">
        <v>2392</v>
      </c>
      <c r="I291" s="532" t="s">
        <v>6604</v>
      </c>
      <c r="J291" s="534">
        <v>45898</v>
      </c>
      <c r="K291" s="535"/>
      <c r="L291" s="535"/>
      <c r="M291" s="535"/>
      <c r="N291" s="535"/>
      <c r="O291" s="535"/>
      <c r="P291" s="535"/>
      <c r="Q291" s="535"/>
      <c r="R291" s="535"/>
      <c r="S291" s="535"/>
      <c r="T291" s="535"/>
      <c r="U291" s="535"/>
      <c r="V291" s="535"/>
      <c r="W291" s="535"/>
      <c r="X291" s="535"/>
      <c r="Y291" s="536"/>
    </row>
    <row r="292" spans="1:25" ht="12.75">
      <c r="A292" s="532" t="s">
        <v>2919</v>
      </c>
      <c r="B292" s="532">
        <v>41200053</v>
      </c>
      <c r="C292" s="532" t="s">
        <v>2184</v>
      </c>
      <c r="D292" s="532" t="s">
        <v>6646</v>
      </c>
      <c r="E292" s="532" t="s">
        <v>1405</v>
      </c>
      <c r="F292" s="532" t="s">
        <v>2392</v>
      </c>
      <c r="G292" s="532" t="s">
        <v>2392</v>
      </c>
      <c r="H292" s="533"/>
      <c r="I292" s="532" t="s">
        <v>6604</v>
      </c>
      <c r="J292" s="534">
        <v>45898</v>
      </c>
      <c r="K292" s="535"/>
      <c r="L292" s="535"/>
      <c r="M292" s="535"/>
      <c r="N292" s="535"/>
      <c r="O292" s="535"/>
      <c r="P292" s="535"/>
      <c r="Q292" s="535"/>
      <c r="R292" s="535"/>
      <c r="S292" s="535"/>
      <c r="T292" s="535"/>
      <c r="U292" s="535"/>
      <c r="V292" s="535"/>
      <c r="W292" s="535"/>
      <c r="X292" s="535"/>
      <c r="Y292" s="536"/>
    </row>
    <row r="293" spans="1:25" ht="12.75">
      <c r="A293" s="532" t="s">
        <v>2918</v>
      </c>
      <c r="B293" s="532">
        <v>41200053</v>
      </c>
      <c r="C293" s="532" t="s">
        <v>2184</v>
      </c>
      <c r="D293" s="532" t="s">
        <v>6646</v>
      </c>
      <c r="E293" s="532" t="s">
        <v>1405</v>
      </c>
      <c r="F293" s="532" t="s">
        <v>2392</v>
      </c>
      <c r="G293" s="532" t="s">
        <v>2392</v>
      </c>
      <c r="H293" s="533"/>
      <c r="I293" s="532" t="s">
        <v>6604</v>
      </c>
      <c r="J293" s="534">
        <v>45898</v>
      </c>
      <c r="K293" s="535"/>
      <c r="L293" s="535"/>
      <c r="M293" s="535"/>
      <c r="N293" s="535"/>
      <c r="O293" s="535"/>
      <c r="P293" s="535"/>
      <c r="Q293" s="535"/>
      <c r="R293" s="535"/>
      <c r="S293" s="535"/>
      <c r="T293" s="535"/>
      <c r="U293" s="535"/>
      <c r="V293" s="535"/>
      <c r="W293" s="535"/>
      <c r="X293" s="535"/>
      <c r="Y293" s="536"/>
    </row>
    <row r="294" spans="1:25" ht="12.75">
      <c r="A294" s="532" t="s">
        <v>2917</v>
      </c>
      <c r="B294" s="532">
        <v>41200053</v>
      </c>
      <c r="C294" s="532" t="s">
        <v>2184</v>
      </c>
      <c r="D294" s="532" t="s">
        <v>6646</v>
      </c>
      <c r="E294" s="532" t="s">
        <v>1405</v>
      </c>
      <c r="F294" s="532" t="s">
        <v>2392</v>
      </c>
      <c r="G294" s="532" t="s">
        <v>2392</v>
      </c>
      <c r="H294" s="533"/>
      <c r="I294" s="532" t="s">
        <v>6604</v>
      </c>
      <c r="J294" s="534">
        <v>45898</v>
      </c>
      <c r="K294" s="535"/>
      <c r="L294" s="535"/>
      <c r="M294" s="535"/>
      <c r="N294" s="535"/>
      <c r="O294" s="535"/>
      <c r="P294" s="535"/>
      <c r="Q294" s="535"/>
      <c r="R294" s="535"/>
      <c r="S294" s="535"/>
      <c r="T294" s="535"/>
      <c r="U294" s="535"/>
      <c r="V294" s="535"/>
      <c r="W294" s="535"/>
      <c r="X294" s="535"/>
      <c r="Y294" s="536"/>
    </row>
    <row r="295" spans="1:25" ht="12.75">
      <c r="A295" s="532" t="s">
        <v>2916</v>
      </c>
      <c r="B295" s="532">
        <v>41200053</v>
      </c>
      <c r="C295" s="532" t="s">
        <v>2184</v>
      </c>
      <c r="D295" s="532" t="s">
        <v>6646</v>
      </c>
      <c r="E295" s="532" t="s">
        <v>1405</v>
      </c>
      <c r="F295" s="532" t="s">
        <v>2392</v>
      </c>
      <c r="G295" s="532" t="s">
        <v>2392</v>
      </c>
      <c r="H295" s="533"/>
      <c r="I295" s="532" t="s">
        <v>6604</v>
      </c>
      <c r="J295" s="534">
        <v>45898</v>
      </c>
      <c r="K295" s="535"/>
      <c r="L295" s="535"/>
      <c r="M295" s="535"/>
      <c r="N295" s="535"/>
      <c r="O295" s="535"/>
      <c r="P295" s="535"/>
      <c r="Q295" s="535"/>
      <c r="R295" s="535"/>
      <c r="S295" s="535"/>
      <c r="T295" s="535"/>
      <c r="U295" s="535"/>
      <c r="V295" s="535"/>
      <c r="W295" s="535"/>
      <c r="X295" s="535"/>
      <c r="Y295" s="536"/>
    </row>
    <row r="296" spans="1:25" ht="12.75">
      <c r="A296" s="532" t="s">
        <v>3090</v>
      </c>
      <c r="B296" s="532">
        <v>41200006</v>
      </c>
      <c r="C296" s="532" t="s">
        <v>1477</v>
      </c>
      <c r="D296" s="532" t="s">
        <v>6640</v>
      </c>
      <c r="E296" s="532" t="s">
        <v>1405</v>
      </c>
      <c r="F296" s="532" t="s">
        <v>2395</v>
      </c>
      <c r="G296" s="532" t="s">
        <v>1469</v>
      </c>
      <c r="H296" s="532" t="s">
        <v>2392</v>
      </c>
      <c r="I296" s="532" t="s">
        <v>6604</v>
      </c>
      <c r="J296" s="534">
        <v>45898</v>
      </c>
      <c r="K296" s="535"/>
      <c r="L296" s="535"/>
      <c r="M296" s="535"/>
      <c r="N296" s="535"/>
      <c r="O296" s="535"/>
      <c r="P296" s="535"/>
      <c r="Q296" s="535"/>
      <c r="R296" s="535"/>
      <c r="S296" s="535"/>
      <c r="T296" s="535"/>
      <c r="U296" s="535"/>
      <c r="V296" s="535"/>
      <c r="W296" s="535"/>
      <c r="X296" s="535"/>
      <c r="Y296" s="536"/>
    </row>
    <row r="297" spans="1:25" ht="12.75">
      <c r="A297" s="532" t="s">
        <v>3100</v>
      </c>
      <c r="B297" s="532">
        <v>41200006</v>
      </c>
      <c r="C297" s="532" t="s">
        <v>1477</v>
      </c>
      <c r="D297" s="532" t="s">
        <v>6640</v>
      </c>
      <c r="E297" s="532" t="s">
        <v>1405</v>
      </c>
      <c r="F297" s="532" t="s">
        <v>2395</v>
      </c>
      <c r="G297" s="532" t="s">
        <v>1469</v>
      </c>
      <c r="H297" s="532" t="s">
        <v>2392</v>
      </c>
      <c r="I297" s="532" t="s">
        <v>6604</v>
      </c>
      <c r="J297" s="534">
        <v>45898</v>
      </c>
      <c r="K297" s="535"/>
      <c r="L297" s="535"/>
      <c r="M297" s="535"/>
      <c r="N297" s="535"/>
      <c r="O297" s="535"/>
      <c r="P297" s="535"/>
      <c r="Q297" s="535"/>
      <c r="R297" s="535"/>
      <c r="S297" s="535"/>
      <c r="T297" s="535"/>
      <c r="U297" s="535"/>
      <c r="V297" s="535"/>
      <c r="W297" s="535"/>
      <c r="X297" s="535"/>
      <c r="Y297" s="536"/>
    </row>
    <row r="298" spans="1:25" ht="12.75">
      <c r="A298" s="532" t="s">
        <v>2998</v>
      </c>
      <c r="B298" s="532">
        <v>41200006</v>
      </c>
      <c r="C298" s="532" t="s">
        <v>1477</v>
      </c>
      <c r="D298" s="532" t="s">
        <v>6640</v>
      </c>
      <c r="E298" s="532" t="s">
        <v>1405</v>
      </c>
      <c r="F298" s="532" t="s">
        <v>2395</v>
      </c>
      <c r="G298" s="532" t="s">
        <v>1469</v>
      </c>
      <c r="H298" s="532" t="s">
        <v>2392</v>
      </c>
      <c r="I298" s="532" t="s">
        <v>6604</v>
      </c>
      <c r="J298" s="534">
        <v>45898</v>
      </c>
      <c r="K298" s="535"/>
      <c r="L298" s="535"/>
      <c r="M298" s="535"/>
      <c r="N298" s="535"/>
      <c r="O298" s="535"/>
      <c r="P298" s="535"/>
      <c r="Q298" s="535"/>
      <c r="R298" s="535"/>
      <c r="S298" s="535"/>
      <c r="T298" s="535"/>
      <c r="U298" s="535"/>
      <c r="V298" s="535"/>
      <c r="W298" s="535"/>
      <c r="X298" s="535"/>
      <c r="Y298" s="536"/>
    </row>
    <row r="299" spans="1:25" ht="12.75">
      <c r="A299" s="532" t="s">
        <v>2996</v>
      </c>
      <c r="B299" s="532">
        <v>41200006</v>
      </c>
      <c r="C299" s="532" t="s">
        <v>1477</v>
      </c>
      <c r="D299" s="532" t="s">
        <v>6640</v>
      </c>
      <c r="E299" s="532" t="s">
        <v>1405</v>
      </c>
      <c r="F299" s="532" t="s">
        <v>2395</v>
      </c>
      <c r="G299" s="532" t="s">
        <v>1469</v>
      </c>
      <c r="H299" s="532" t="s">
        <v>2392</v>
      </c>
      <c r="I299" s="532" t="s">
        <v>6604</v>
      </c>
      <c r="J299" s="534">
        <v>45898</v>
      </c>
      <c r="K299" s="535"/>
      <c r="L299" s="535"/>
      <c r="M299" s="535"/>
      <c r="N299" s="535"/>
      <c r="O299" s="535"/>
      <c r="P299" s="535"/>
      <c r="Q299" s="535"/>
      <c r="R299" s="535"/>
      <c r="S299" s="535"/>
      <c r="T299" s="535"/>
      <c r="U299" s="535"/>
      <c r="V299" s="535"/>
      <c r="W299" s="535"/>
      <c r="X299" s="535"/>
      <c r="Y299" s="536"/>
    </row>
    <row r="300" spans="1:25" ht="12.75">
      <c r="A300" s="532" t="s">
        <v>2901</v>
      </c>
      <c r="B300" s="532">
        <v>41200136</v>
      </c>
      <c r="C300" s="532" t="s">
        <v>1482</v>
      </c>
      <c r="D300" s="532" t="s">
        <v>1431</v>
      </c>
      <c r="E300" s="532" t="s">
        <v>1431</v>
      </c>
      <c r="F300" s="532" t="s">
        <v>2391</v>
      </c>
      <c r="G300" s="532" t="s">
        <v>2392</v>
      </c>
      <c r="H300" s="533"/>
      <c r="I300" s="532" t="s">
        <v>6604</v>
      </c>
      <c r="J300" s="534">
        <v>45890</v>
      </c>
      <c r="K300" s="535"/>
      <c r="L300" s="535"/>
      <c r="M300" s="535"/>
      <c r="N300" s="535"/>
      <c r="O300" s="535"/>
      <c r="P300" s="535"/>
      <c r="Q300" s="535"/>
      <c r="R300" s="535"/>
      <c r="S300" s="535"/>
      <c r="T300" s="535"/>
      <c r="U300" s="535"/>
      <c r="V300" s="535"/>
      <c r="W300" s="535"/>
      <c r="X300" s="535"/>
      <c r="Y300" s="536"/>
    </row>
    <row r="301" spans="1:25" ht="12.75">
      <c r="A301" s="532" t="s">
        <v>2900</v>
      </c>
      <c r="B301" s="532">
        <v>41200127</v>
      </c>
      <c r="C301" s="532" t="s">
        <v>1591</v>
      </c>
      <c r="D301" s="532" t="s">
        <v>6606</v>
      </c>
      <c r="E301" s="532" t="s">
        <v>1431</v>
      </c>
      <c r="F301" s="532" t="s">
        <v>2391</v>
      </c>
      <c r="G301" s="532" t="s">
        <v>2392</v>
      </c>
      <c r="H301" s="533"/>
      <c r="I301" s="532" t="s">
        <v>6604</v>
      </c>
      <c r="J301" s="534">
        <v>45890</v>
      </c>
      <c r="K301" s="535"/>
      <c r="L301" s="535"/>
      <c r="M301" s="535"/>
      <c r="N301" s="535"/>
      <c r="O301" s="535"/>
      <c r="P301" s="535"/>
      <c r="Q301" s="535"/>
      <c r="R301" s="535"/>
      <c r="S301" s="535"/>
      <c r="T301" s="535"/>
      <c r="U301" s="535"/>
      <c r="V301" s="535"/>
      <c r="W301" s="535"/>
      <c r="X301" s="535"/>
      <c r="Y301" s="536"/>
    </row>
    <row r="302" spans="1:25" ht="12.75">
      <c r="A302" s="532" t="s">
        <v>2914</v>
      </c>
      <c r="B302" s="532">
        <v>41200149</v>
      </c>
      <c r="C302" s="532" t="s">
        <v>1476</v>
      </c>
      <c r="D302" s="532" t="s">
        <v>1426</v>
      </c>
      <c r="E302" s="532" t="s">
        <v>1426</v>
      </c>
      <c r="F302" s="532" t="s">
        <v>2395</v>
      </c>
      <c r="G302" s="532" t="s">
        <v>1469</v>
      </c>
      <c r="H302" s="533"/>
      <c r="I302" s="532" t="s">
        <v>6604</v>
      </c>
      <c r="J302" s="534">
        <v>45890</v>
      </c>
      <c r="K302" s="535"/>
      <c r="L302" s="535"/>
      <c r="M302" s="535"/>
      <c r="N302" s="535"/>
      <c r="O302" s="535"/>
      <c r="P302" s="535"/>
      <c r="Q302" s="535"/>
      <c r="R302" s="535"/>
      <c r="S302" s="535"/>
      <c r="T302" s="535"/>
      <c r="U302" s="535"/>
      <c r="V302" s="535"/>
      <c r="W302" s="535"/>
      <c r="X302" s="535"/>
      <c r="Y302" s="536"/>
    </row>
    <row r="303" spans="1:25" ht="12.75">
      <c r="A303" s="532" t="s">
        <v>2912</v>
      </c>
      <c r="B303" s="532">
        <v>41200047</v>
      </c>
      <c r="C303" s="532" t="s">
        <v>1476</v>
      </c>
      <c r="D303" s="532" t="s">
        <v>1426</v>
      </c>
      <c r="E303" s="532" t="s">
        <v>1426</v>
      </c>
      <c r="F303" s="532" t="s">
        <v>2391</v>
      </c>
      <c r="G303" s="532" t="s">
        <v>1468</v>
      </c>
      <c r="H303" s="533"/>
      <c r="I303" s="532" t="s">
        <v>6604</v>
      </c>
      <c r="J303" s="534">
        <v>45890</v>
      </c>
      <c r="K303" s="535"/>
      <c r="L303" s="535"/>
      <c r="M303" s="535"/>
      <c r="N303" s="535"/>
      <c r="O303" s="535"/>
      <c r="P303" s="535"/>
      <c r="Q303" s="535"/>
      <c r="R303" s="535"/>
      <c r="S303" s="535"/>
      <c r="T303" s="535"/>
      <c r="U303" s="535"/>
      <c r="V303" s="535"/>
      <c r="W303" s="535"/>
      <c r="X303" s="535"/>
      <c r="Y303" s="536"/>
    </row>
    <row r="304" spans="1:25" ht="12.75">
      <c r="A304" s="532" t="s">
        <v>2911</v>
      </c>
      <c r="B304" s="532">
        <v>41200047</v>
      </c>
      <c r="C304" s="532" t="s">
        <v>1476</v>
      </c>
      <c r="D304" s="532" t="s">
        <v>1426</v>
      </c>
      <c r="E304" s="532" t="s">
        <v>1426</v>
      </c>
      <c r="F304" s="532" t="s">
        <v>2391</v>
      </c>
      <c r="G304" s="532" t="s">
        <v>1468</v>
      </c>
      <c r="H304" s="533"/>
      <c r="I304" s="532" t="s">
        <v>6604</v>
      </c>
      <c r="J304" s="534">
        <v>45890</v>
      </c>
      <c r="K304" s="535"/>
      <c r="L304" s="535"/>
      <c r="M304" s="535"/>
      <c r="N304" s="535"/>
      <c r="O304" s="535"/>
      <c r="P304" s="535"/>
      <c r="Q304" s="535"/>
      <c r="R304" s="535"/>
      <c r="S304" s="535"/>
      <c r="T304" s="535"/>
      <c r="U304" s="535"/>
      <c r="V304" s="535"/>
      <c r="W304" s="535"/>
      <c r="X304" s="535"/>
      <c r="Y304" s="536"/>
    </row>
    <row r="305" spans="1:25" ht="12.75">
      <c r="A305" s="532" t="s">
        <v>2910</v>
      </c>
      <c r="B305" s="532">
        <v>41200047</v>
      </c>
      <c r="C305" s="532" t="s">
        <v>1476</v>
      </c>
      <c r="D305" s="532" t="s">
        <v>1426</v>
      </c>
      <c r="E305" s="532" t="s">
        <v>1426</v>
      </c>
      <c r="F305" s="532" t="s">
        <v>2391</v>
      </c>
      <c r="G305" s="532" t="s">
        <v>1468</v>
      </c>
      <c r="H305" s="533"/>
      <c r="I305" s="532" t="s">
        <v>6604</v>
      </c>
      <c r="J305" s="534">
        <v>45890</v>
      </c>
      <c r="K305" s="535"/>
      <c r="L305" s="535"/>
      <c r="M305" s="535"/>
      <c r="N305" s="535"/>
      <c r="O305" s="535"/>
      <c r="P305" s="535"/>
      <c r="Q305" s="535"/>
      <c r="R305" s="535"/>
      <c r="S305" s="535"/>
      <c r="T305" s="535"/>
      <c r="U305" s="535"/>
      <c r="V305" s="535"/>
      <c r="W305" s="535"/>
      <c r="X305" s="535"/>
      <c r="Y305" s="536"/>
    </row>
    <row r="306" spans="1:25" ht="12.75">
      <c r="A306" s="532" t="s">
        <v>2913</v>
      </c>
      <c r="B306" s="532">
        <v>41200007</v>
      </c>
      <c r="C306" s="532" t="s">
        <v>1591</v>
      </c>
      <c r="D306" s="532" t="s">
        <v>6608</v>
      </c>
      <c r="E306" s="532" t="s">
        <v>1405</v>
      </c>
      <c r="F306" s="532" t="s">
        <v>2395</v>
      </c>
      <c r="G306" s="532" t="s">
        <v>1468</v>
      </c>
      <c r="H306" s="533"/>
      <c r="I306" s="532" t="s">
        <v>6604</v>
      </c>
      <c r="J306" s="534">
        <v>45890</v>
      </c>
      <c r="K306" s="535"/>
      <c r="L306" s="535"/>
      <c r="M306" s="535"/>
      <c r="N306" s="535"/>
      <c r="O306" s="535"/>
      <c r="P306" s="535"/>
      <c r="Q306" s="535"/>
      <c r="R306" s="535"/>
      <c r="S306" s="535"/>
      <c r="T306" s="535"/>
      <c r="U306" s="535"/>
      <c r="V306" s="535"/>
      <c r="W306" s="535"/>
      <c r="X306" s="535"/>
      <c r="Y306" s="536"/>
    </row>
    <row r="307" spans="1:25" ht="12.75">
      <c r="A307" s="532" t="s">
        <v>3080</v>
      </c>
      <c r="B307" s="532">
        <v>41200076</v>
      </c>
      <c r="C307" s="532" t="s">
        <v>1476</v>
      </c>
      <c r="D307" s="532" t="s">
        <v>1476</v>
      </c>
      <c r="E307" s="532" t="s">
        <v>1585</v>
      </c>
      <c r="F307" s="532" t="s">
        <v>2391</v>
      </c>
      <c r="G307" s="532" t="s">
        <v>1468</v>
      </c>
      <c r="H307" s="533"/>
      <c r="I307" s="532" t="s">
        <v>6604</v>
      </c>
      <c r="J307" s="534">
        <v>45890</v>
      </c>
      <c r="K307" s="535"/>
      <c r="L307" s="535"/>
      <c r="M307" s="535"/>
      <c r="N307" s="535"/>
      <c r="O307" s="535"/>
      <c r="P307" s="535"/>
      <c r="Q307" s="535"/>
      <c r="R307" s="535"/>
      <c r="S307" s="535"/>
      <c r="T307" s="535"/>
      <c r="U307" s="535"/>
      <c r="V307" s="535"/>
      <c r="W307" s="535"/>
      <c r="X307" s="535"/>
      <c r="Y307" s="536"/>
    </row>
    <row r="308" spans="1:25" ht="12.75">
      <c r="A308" s="532" t="s">
        <v>2936</v>
      </c>
      <c r="B308" s="532">
        <v>41200125</v>
      </c>
      <c r="C308" s="532" t="s">
        <v>1476</v>
      </c>
      <c r="D308" s="532" t="s">
        <v>1476</v>
      </c>
      <c r="E308" s="532" t="s">
        <v>1585</v>
      </c>
      <c r="F308" s="532" t="s">
        <v>2395</v>
      </c>
      <c r="G308" s="532" t="s">
        <v>1468</v>
      </c>
      <c r="H308" s="533"/>
      <c r="I308" s="532" t="s">
        <v>6604</v>
      </c>
      <c r="J308" s="534">
        <v>45890</v>
      </c>
      <c r="K308" s="535"/>
      <c r="L308" s="535"/>
      <c r="M308" s="535"/>
      <c r="N308" s="535"/>
      <c r="O308" s="535"/>
      <c r="P308" s="535"/>
      <c r="Q308" s="535"/>
      <c r="R308" s="535"/>
      <c r="S308" s="535"/>
      <c r="T308" s="535"/>
      <c r="U308" s="535"/>
      <c r="V308" s="535"/>
      <c r="W308" s="535"/>
      <c r="X308" s="535"/>
      <c r="Y308" s="536"/>
    </row>
    <row r="309" spans="1:25" ht="12.75">
      <c r="A309" s="532" t="s">
        <v>2902</v>
      </c>
      <c r="B309" s="532">
        <v>41200122</v>
      </c>
      <c r="C309" s="532" t="s">
        <v>1476</v>
      </c>
      <c r="D309" s="532" t="s">
        <v>1476</v>
      </c>
      <c r="E309" s="532" t="s">
        <v>1585</v>
      </c>
      <c r="F309" s="532" t="s">
        <v>2395</v>
      </c>
      <c r="G309" s="532" t="s">
        <v>1468</v>
      </c>
      <c r="H309" s="533"/>
      <c r="I309" s="532" t="s">
        <v>6604</v>
      </c>
      <c r="J309" s="534">
        <v>45890</v>
      </c>
      <c r="K309" s="535"/>
      <c r="L309" s="535"/>
      <c r="M309" s="535"/>
      <c r="N309" s="535"/>
      <c r="O309" s="535"/>
      <c r="P309" s="535"/>
      <c r="Q309" s="535"/>
      <c r="R309" s="535"/>
      <c r="S309" s="535"/>
      <c r="T309" s="535"/>
      <c r="U309" s="535"/>
      <c r="V309" s="535"/>
      <c r="W309" s="535"/>
      <c r="X309" s="535"/>
      <c r="Y309" s="536"/>
    </row>
    <row r="310" spans="1:25" ht="12.75">
      <c r="A310" s="532" t="s">
        <v>2903</v>
      </c>
      <c r="B310" s="532">
        <v>41200007</v>
      </c>
      <c r="C310" s="532" t="s">
        <v>1591</v>
      </c>
      <c r="D310" s="532" t="s">
        <v>6608</v>
      </c>
      <c r="E310" s="532" t="s">
        <v>1405</v>
      </c>
      <c r="F310" s="532" t="s">
        <v>2395</v>
      </c>
      <c r="G310" s="532" t="s">
        <v>1468</v>
      </c>
      <c r="H310" s="533"/>
      <c r="I310" s="532" t="s">
        <v>6604</v>
      </c>
      <c r="J310" s="534">
        <v>45890</v>
      </c>
      <c r="K310" s="535"/>
      <c r="L310" s="535"/>
      <c r="M310" s="535"/>
      <c r="N310" s="535"/>
      <c r="O310" s="535"/>
      <c r="P310" s="535"/>
      <c r="Q310" s="535"/>
      <c r="R310" s="535"/>
      <c r="S310" s="535"/>
      <c r="T310" s="535"/>
      <c r="U310" s="535"/>
      <c r="V310" s="535"/>
      <c r="W310" s="535"/>
      <c r="X310" s="535"/>
      <c r="Y310" s="536"/>
    </row>
    <row r="311" spans="1:25" ht="12.75">
      <c r="A311" s="532" t="s">
        <v>2897</v>
      </c>
      <c r="B311" s="532">
        <v>41100264</v>
      </c>
      <c r="C311" s="532" t="s">
        <v>1591</v>
      </c>
      <c r="D311" s="532" t="s">
        <v>6611</v>
      </c>
      <c r="E311" s="532" t="s">
        <v>1585</v>
      </c>
      <c r="F311" s="532" t="s">
        <v>2395</v>
      </c>
      <c r="G311" s="532" t="s">
        <v>2392</v>
      </c>
      <c r="H311" s="533"/>
      <c r="I311" s="532" t="s">
        <v>6604</v>
      </c>
      <c r="J311" s="534">
        <v>45890</v>
      </c>
      <c r="K311" s="535"/>
      <c r="L311" s="535"/>
      <c r="M311" s="535"/>
      <c r="N311" s="535"/>
      <c r="O311" s="535"/>
      <c r="P311" s="535"/>
      <c r="Q311" s="535"/>
      <c r="R311" s="535"/>
      <c r="S311" s="535"/>
      <c r="T311" s="535"/>
      <c r="U311" s="535"/>
      <c r="V311" s="535"/>
      <c r="W311" s="535"/>
      <c r="X311" s="535"/>
      <c r="Y311" s="536"/>
    </row>
    <row r="312" spans="1:25" ht="12.75">
      <c r="A312" s="532" t="s">
        <v>2893</v>
      </c>
      <c r="B312" s="532">
        <v>41100264</v>
      </c>
      <c r="C312" s="532" t="s">
        <v>1591</v>
      </c>
      <c r="D312" s="532" t="s">
        <v>6611</v>
      </c>
      <c r="E312" s="532" t="s">
        <v>1585</v>
      </c>
      <c r="F312" s="532" t="s">
        <v>2395</v>
      </c>
      <c r="G312" s="532" t="s">
        <v>2392</v>
      </c>
      <c r="H312" s="533"/>
      <c r="I312" s="532" t="s">
        <v>6604</v>
      </c>
      <c r="J312" s="534">
        <v>45890</v>
      </c>
      <c r="K312" s="535"/>
      <c r="L312" s="535"/>
      <c r="M312" s="535"/>
      <c r="N312" s="535"/>
      <c r="O312" s="535"/>
      <c r="P312" s="535"/>
      <c r="Q312" s="535"/>
      <c r="R312" s="535"/>
      <c r="S312" s="535"/>
      <c r="T312" s="535"/>
      <c r="U312" s="535"/>
      <c r="V312" s="535"/>
      <c r="W312" s="535"/>
      <c r="X312" s="535"/>
      <c r="Y312" s="536"/>
    </row>
    <row r="313" spans="1:25" ht="12.75">
      <c r="A313" s="532" t="s">
        <v>2892</v>
      </c>
      <c r="B313" s="532">
        <v>41200160</v>
      </c>
      <c r="C313" s="532" t="s">
        <v>1591</v>
      </c>
      <c r="D313" s="532" t="s">
        <v>6606</v>
      </c>
      <c r="E313" s="532" t="s">
        <v>1431</v>
      </c>
      <c r="F313" s="532" t="s">
        <v>2395</v>
      </c>
      <c r="G313" s="532" t="s">
        <v>1469</v>
      </c>
      <c r="H313" s="533"/>
      <c r="I313" s="532" t="s">
        <v>6604</v>
      </c>
      <c r="J313" s="534">
        <v>45890</v>
      </c>
      <c r="K313" s="535"/>
      <c r="L313" s="535"/>
      <c r="M313" s="535"/>
      <c r="N313" s="535"/>
      <c r="O313" s="535"/>
      <c r="P313" s="535"/>
      <c r="Q313" s="535"/>
      <c r="R313" s="535"/>
      <c r="S313" s="535"/>
      <c r="T313" s="535"/>
      <c r="U313" s="535"/>
      <c r="V313" s="535"/>
      <c r="W313" s="535"/>
      <c r="X313" s="535"/>
      <c r="Y313" s="536"/>
    </row>
    <row r="314" spans="1:25" ht="12.75">
      <c r="A314" s="532" t="s">
        <v>2909</v>
      </c>
      <c r="B314" s="532">
        <v>41200036</v>
      </c>
      <c r="C314" s="532" t="s">
        <v>1476</v>
      </c>
      <c r="D314" s="532" t="s">
        <v>1426</v>
      </c>
      <c r="E314" s="532" t="s">
        <v>1426</v>
      </c>
      <c r="F314" s="532" t="s">
        <v>2391</v>
      </c>
      <c r="G314" s="532" t="s">
        <v>2392</v>
      </c>
      <c r="H314" s="533"/>
      <c r="I314" s="532" t="s">
        <v>6604</v>
      </c>
      <c r="J314" s="534">
        <v>45890</v>
      </c>
      <c r="K314" s="535"/>
      <c r="L314" s="535"/>
      <c r="M314" s="535"/>
      <c r="N314" s="535"/>
      <c r="O314" s="535"/>
      <c r="P314" s="535"/>
      <c r="Q314" s="535"/>
      <c r="R314" s="535"/>
      <c r="S314" s="535"/>
      <c r="T314" s="535"/>
      <c r="U314" s="535"/>
      <c r="V314" s="535"/>
      <c r="W314" s="535"/>
      <c r="X314" s="535"/>
      <c r="Y314" s="536"/>
    </row>
    <row r="315" spans="1:25" ht="12.75">
      <c r="A315" s="532" t="s">
        <v>2907</v>
      </c>
      <c r="B315" s="532">
        <v>41100435</v>
      </c>
      <c r="C315" s="532" t="s">
        <v>3801</v>
      </c>
      <c r="D315" s="532" t="s">
        <v>1482</v>
      </c>
      <c r="E315" s="532" t="s">
        <v>1585</v>
      </c>
      <c r="F315" s="532" t="s">
        <v>2395</v>
      </c>
      <c r="G315" s="532" t="s">
        <v>1469</v>
      </c>
      <c r="H315" s="533"/>
      <c r="I315" s="532" t="s">
        <v>6604</v>
      </c>
      <c r="J315" s="534">
        <v>45890</v>
      </c>
      <c r="K315" s="535"/>
      <c r="L315" s="535"/>
      <c r="M315" s="535"/>
      <c r="N315" s="535"/>
      <c r="O315" s="535"/>
      <c r="P315" s="535"/>
      <c r="Q315" s="535"/>
      <c r="R315" s="535"/>
      <c r="S315" s="535"/>
      <c r="T315" s="535"/>
      <c r="U315" s="535"/>
      <c r="V315" s="535"/>
      <c r="W315" s="535"/>
      <c r="X315" s="535"/>
      <c r="Y315" s="536"/>
    </row>
    <row r="316" spans="1:25" ht="12.75">
      <c r="A316" s="532" t="s">
        <v>2881</v>
      </c>
      <c r="B316" s="532">
        <v>41200128</v>
      </c>
      <c r="C316" s="532" t="s">
        <v>1591</v>
      </c>
      <c r="D316" s="532" t="s">
        <v>6606</v>
      </c>
      <c r="E316" s="532" t="s">
        <v>1431</v>
      </c>
      <c r="F316" s="532" t="s">
        <v>2391</v>
      </c>
      <c r="G316" s="532" t="s">
        <v>1468</v>
      </c>
      <c r="H316" s="533"/>
      <c r="I316" s="532" t="s">
        <v>6604</v>
      </c>
      <c r="J316" s="534">
        <v>45890</v>
      </c>
      <c r="K316" s="535"/>
      <c r="L316" s="535"/>
      <c r="M316" s="535"/>
      <c r="N316" s="535"/>
      <c r="O316" s="535"/>
      <c r="P316" s="535"/>
      <c r="Q316" s="535"/>
      <c r="R316" s="535"/>
      <c r="S316" s="535"/>
      <c r="T316" s="535"/>
      <c r="U316" s="535"/>
      <c r="V316" s="535"/>
      <c r="W316" s="535"/>
      <c r="X316" s="535"/>
      <c r="Y316" s="536"/>
    </row>
    <row r="317" spans="1:25" ht="12.75">
      <c r="A317" s="532" t="s">
        <v>2861</v>
      </c>
      <c r="B317" s="532">
        <v>41200069</v>
      </c>
      <c r="C317" s="532" t="s">
        <v>3884</v>
      </c>
      <c r="D317" s="532" t="s">
        <v>1433</v>
      </c>
      <c r="E317" s="532" t="s">
        <v>1433</v>
      </c>
      <c r="F317" s="532" t="s">
        <v>2391</v>
      </c>
      <c r="G317" s="532" t="s">
        <v>2392</v>
      </c>
      <c r="H317" s="533"/>
      <c r="I317" s="532" t="s">
        <v>6604</v>
      </c>
      <c r="J317" s="534">
        <v>45890</v>
      </c>
      <c r="K317" s="535"/>
      <c r="L317" s="535"/>
      <c r="M317" s="535"/>
      <c r="N317" s="535"/>
      <c r="O317" s="535"/>
      <c r="P317" s="535"/>
      <c r="Q317" s="535"/>
      <c r="R317" s="535"/>
      <c r="S317" s="535"/>
      <c r="T317" s="535"/>
      <c r="U317" s="535"/>
      <c r="V317" s="535"/>
      <c r="W317" s="535"/>
      <c r="X317" s="535"/>
      <c r="Y317" s="536"/>
    </row>
    <row r="318" spans="1:25" ht="12.75">
      <c r="A318" s="532" t="s">
        <v>2891</v>
      </c>
      <c r="B318" s="532">
        <v>41200074</v>
      </c>
      <c r="C318" s="532" t="s">
        <v>1478</v>
      </c>
      <c r="D318" s="532" t="s">
        <v>6620</v>
      </c>
      <c r="E318" s="532" t="s">
        <v>1405</v>
      </c>
      <c r="F318" s="532" t="s">
        <v>2391</v>
      </c>
      <c r="G318" s="532" t="s">
        <v>1468</v>
      </c>
      <c r="H318" s="533"/>
      <c r="I318" s="532" t="s">
        <v>6604</v>
      </c>
      <c r="J318" s="534">
        <v>45890</v>
      </c>
      <c r="K318" s="535"/>
      <c r="L318" s="535"/>
      <c r="M318" s="535"/>
      <c r="N318" s="535"/>
      <c r="O318" s="535"/>
      <c r="P318" s="535"/>
      <c r="Q318" s="535"/>
      <c r="R318" s="535"/>
      <c r="S318" s="535"/>
      <c r="T318" s="535"/>
      <c r="U318" s="535"/>
      <c r="V318" s="535"/>
      <c r="W318" s="535"/>
      <c r="X318" s="535"/>
      <c r="Y318" s="536"/>
    </row>
    <row r="319" spans="1:25" ht="12.75">
      <c r="A319" s="532" t="s">
        <v>2885</v>
      </c>
      <c r="B319" s="532">
        <v>41200074</v>
      </c>
      <c r="C319" s="532" t="s">
        <v>1478</v>
      </c>
      <c r="D319" s="532" t="s">
        <v>6620</v>
      </c>
      <c r="E319" s="532" t="s">
        <v>1405</v>
      </c>
      <c r="F319" s="532" t="s">
        <v>2391</v>
      </c>
      <c r="G319" s="532" t="s">
        <v>1468</v>
      </c>
      <c r="H319" s="533"/>
      <c r="I319" s="532" t="s">
        <v>6604</v>
      </c>
      <c r="J319" s="534">
        <v>45890</v>
      </c>
      <c r="K319" s="535"/>
      <c r="L319" s="535"/>
      <c r="M319" s="535"/>
      <c r="N319" s="535"/>
      <c r="O319" s="535"/>
      <c r="P319" s="535"/>
      <c r="Q319" s="535"/>
      <c r="R319" s="535"/>
      <c r="S319" s="535"/>
      <c r="T319" s="535"/>
      <c r="U319" s="535"/>
      <c r="V319" s="535"/>
      <c r="W319" s="535"/>
      <c r="X319" s="535"/>
      <c r="Y319" s="536"/>
    </row>
    <row r="320" spans="1:25" ht="12.75">
      <c r="A320" s="532" t="s">
        <v>2883</v>
      </c>
      <c r="B320" s="532">
        <v>41200131</v>
      </c>
      <c r="C320" s="532" t="s">
        <v>1476</v>
      </c>
      <c r="D320" s="532" t="s">
        <v>6606</v>
      </c>
      <c r="E320" s="532" t="s">
        <v>1431</v>
      </c>
      <c r="F320" s="532" t="s">
        <v>2395</v>
      </c>
      <c r="G320" s="532" t="s">
        <v>1468</v>
      </c>
      <c r="H320" s="533"/>
      <c r="I320" s="532" t="s">
        <v>6604</v>
      </c>
      <c r="J320" s="534">
        <v>45890</v>
      </c>
      <c r="K320" s="535"/>
      <c r="L320" s="535"/>
      <c r="M320" s="535"/>
      <c r="N320" s="535"/>
      <c r="O320" s="535"/>
      <c r="P320" s="535"/>
      <c r="Q320" s="535"/>
      <c r="R320" s="535"/>
      <c r="S320" s="535"/>
      <c r="T320" s="535"/>
      <c r="U320" s="535"/>
      <c r="V320" s="535"/>
      <c r="W320" s="535"/>
      <c r="X320" s="535"/>
      <c r="Y320" s="536"/>
    </row>
    <row r="321" spans="1:25" ht="12.75">
      <c r="A321" s="532" t="s">
        <v>2882</v>
      </c>
      <c r="B321" s="532">
        <v>41200131</v>
      </c>
      <c r="C321" s="532" t="s">
        <v>1476</v>
      </c>
      <c r="D321" s="532" t="s">
        <v>6606</v>
      </c>
      <c r="E321" s="532" t="s">
        <v>1431</v>
      </c>
      <c r="F321" s="532" t="s">
        <v>2395</v>
      </c>
      <c r="G321" s="532" t="s">
        <v>1468</v>
      </c>
      <c r="H321" s="533"/>
      <c r="I321" s="532" t="s">
        <v>6604</v>
      </c>
      <c r="J321" s="534">
        <v>45890</v>
      </c>
      <c r="K321" s="535"/>
      <c r="L321" s="535"/>
      <c r="M321" s="535"/>
      <c r="N321" s="535"/>
      <c r="O321" s="535"/>
      <c r="P321" s="535"/>
      <c r="Q321" s="535"/>
      <c r="R321" s="535"/>
      <c r="S321" s="535"/>
      <c r="T321" s="535"/>
      <c r="U321" s="535"/>
      <c r="V321" s="535"/>
      <c r="W321" s="535"/>
      <c r="X321" s="535"/>
      <c r="Y321" s="536"/>
    </row>
    <row r="322" spans="1:25" ht="12.75">
      <c r="A322" s="532" t="s">
        <v>2920</v>
      </c>
      <c r="B322" s="532">
        <v>41200113</v>
      </c>
      <c r="C322" s="532" t="s">
        <v>1476</v>
      </c>
      <c r="D322" s="532" t="s">
        <v>1591</v>
      </c>
      <c r="E322" s="532" t="s">
        <v>1424</v>
      </c>
      <c r="F322" s="532" t="s">
        <v>2395</v>
      </c>
      <c r="G322" s="532" t="s">
        <v>1469</v>
      </c>
      <c r="H322" s="533"/>
      <c r="I322" s="532" t="s">
        <v>6604</v>
      </c>
      <c r="J322" s="534">
        <v>45890</v>
      </c>
      <c r="K322" s="535"/>
      <c r="L322" s="535"/>
      <c r="M322" s="535"/>
      <c r="N322" s="535"/>
      <c r="O322" s="535"/>
      <c r="P322" s="535"/>
      <c r="Q322" s="535"/>
      <c r="R322" s="535"/>
      <c r="S322" s="535"/>
      <c r="T322" s="535"/>
      <c r="U322" s="535"/>
      <c r="V322" s="535"/>
      <c r="W322" s="535"/>
      <c r="X322" s="535"/>
      <c r="Y322" s="536"/>
    </row>
    <row r="323" spans="1:25" ht="12.75">
      <c r="A323" s="532" t="s">
        <v>2875</v>
      </c>
      <c r="B323" s="532">
        <v>41200007</v>
      </c>
      <c r="C323" s="532" t="s">
        <v>1591</v>
      </c>
      <c r="D323" s="532" t="s">
        <v>6608</v>
      </c>
      <c r="E323" s="532" t="s">
        <v>1405</v>
      </c>
      <c r="F323" s="532" t="s">
        <v>2395</v>
      </c>
      <c r="G323" s="532" t="s">
        <v>1469</v>
      </c>
      <c r="H323" s="533"/>
      <c r="I323" s="532" t="s">
        <v>6604</v>
      </c>
      <c r="J323" s="534">
        <v>45890</v>
      </c>
      <c r="K323" s="535"/>
      <c r="L323" s="535"/>
      <c r="M323" s="535"/>
      <c r="N323" s="535"/>
      <c r="O323" s="535"/>
      <c r="P323" s="535"/>
      <c r="Q323" s="535"/>
      <c r="R323" s="535"/>
      <c r="S323" s="535"/>
      <c r="T323" s="535"/>
      <c r="U323" s="535"/>
      <c r="V323" s="535"/>
      <c r="W323" s="535"/>
      <c r="X323" s="535"/>
      <c r="Y323" s="536"/>
    </row>
    <row r="324" spans="1:25" ht="12.75">
      <c r="A324" s="532" t="s">
        <v>2874</v>
      </c>
      <c r="B324" s="532">
        <v>41200007</v>
      </c>
      <c r="C324" s="532" t="s">
        <v>1591</v>
      </c>
      <c r="D324" s="532" t="s">
        <v>6608</v>
      </c>
      <c r="E324" s="532" t="s">
        <v>1405</v>
      </c>
      <c r="F324" s="532" t="s">
        <v>2395</v>
      </c>
      <c r="G324" s="532" t="s">
        <v>1469</v>
      </c>
      <c r="H324" s="533"/>
      <c r="I324" s="532" t="s">
        <v>6604</v>
      </c>
      <c r="J324" s="534">
        <v>45890</v>
      </c>
      <c r="K324" s="535"/>
      <c r="L324" s="535"/>
      <c r="M324" s="535"/>
      <c r="N324" s="535"/>
      <c r="O324" s="535"/>
      <c r="P324" s="535"/>
      <c r="Q324" s="535"/>
      <c r="R324" s="535"/>
      <c r="S324" s="535"/>
      <c r="T324" s="535"/>
      <c r="U324" s="535"/>
      <c r="V324" s="535"/>
      <c r="W324" s="535"/>
      <c r="X324" s="535"/>
      <c r="Y324" s="536"/>
    </row>
    <row r="325" spans="1:25" ht="12.75">
      <c r="A325" s="532" t="s">
        <v>2906</v>
      </c>
      <c r="B325" s="532">
        <v>41200109</v>
      </c>
      <c r="C325" s="532" t="s">
        <v>1591</v>
      </c>
      <c r="D325" s="532" t="s">
        <v>6619</v>
      </c>
      <c r="E325" s="532" t="s">
        <v>1585</v>
      </c>
      <c r="F325" s="532" t="s">
        <v>2395</v>
      </c>
      <c r="G325" s="532" t="s">
        <v>1469</v>
      </c>
      <c r="H325" s="533"/>
      <c r="I325" s="532" t="s">
        <v>6604</v>
      </c>
      <c r="J325" s="534">
        <v>45890</v>
      </c>
      <c r="K325" s="535"/>
      <c r="L325" s="535"/>
      <c r="M325" s="535"/>
      <c r="N325" s="535"/>
      <c r="O325" s="535"/>
      <c r="P325" s="535"/>
      <c r="Q325" s="535"/>
      <c r="R325" s="535"/>
      <c r="S325" s="535"/>
      <c r="T325" s="535"/>
      <c r="U325" s="535"/>
      <c r="V325" s="535"/>
      <c r="W325" s="535"/>
      <c r="X325" s="535"/>
      <c r="Y325" s="536"/>
    </row>
    <row r="326" spans="1:25" ht="12.75">
      <c r="A326" s="532" t="s">
        <v>2905</v>
      </c>
      <c r="B326" s="532">
        <v>41200109</v>
      </c>
      <c r="C326" s="532" t="s">
        <v>1591</v>
      </c>
      <c r="D326" s="532" t="s">
        <v>6619</v>
      </c>
      <c r="E326" s="532" t="s">
        <v>1585</v>
      </c>
      <c r="F326" s="532" t="s">
        <v>2395</v>
      </c>
      <c r="G326" s="532" t="s">
        <v>1469</v>
      </c>
      <c r="H326" s="533"/>
      <c r="I326" s="532" t="s">
        <v>6604</v>
      </c>
      <c r="J326" s="534">
        <v>45890</v>
      </c>
      <c r="K326" s="535"/>
      <c r="L326" s="535"/>
      <c r="M326" s="535"/>
      <c r="N326" s="535"/>
      <c r="O326" s="535"/>
      <c r="P326" s="535"/>
      <c r="Q326" s="535"/>
      <c r="R326" s="535"/>
      <c r="S326" s="535"/>
      <c r="T326" s="535"/>
      <c r="U326" s="535"/>
      <c r="V326" s="535"/>
      <c r="W326" s="535"/>
      <c r="X326" s="535"/>
      <c r="Y326" s="536"/>
    </row>
    <row r="327" spans="1:25" ht="12.75">
      <c r="A327" s="532" t="s">
        <v>2876</v>
      </c>
      <c r="B327" s="532">
        <v>41200029</v>
      </c>
      <c r="C327" s="532" t="s">
        <v>1476</v>
      </c>
      <c r="D327" s="532" t="s">
        <v>6610</v>
      </c>
      <c r="E327" s="532" t="s">
        <v>1405</v>
      </c>
      <c r="F327" s="532" t="s">
        <v>2395</v>
      </c>
      <c r="G327" s="532" t="s">
        <v>2392</v>
      </c>
      <c r="H327" s="533"/>
      <c r="I327" s="532" t="s">
        <v>6604</v>
      </c>
      <c r="J327" s="534">
        <v>45890</v>
      </c>
      <c r="K327" s="535"/>
      <c r="L327" s="535"/>
      <c r="M327" s="535"/>
      <c r="N327" s="535"/>
      <c r="O327" s="535"/>
      <c r="P327" s="535"/>
      <c r="Q327" s="535"/>
      <c r="R327" s="535"/>
      <c r="S327" s="535"/>
      <c r="T327" s="535"/>
      <c r="U327" s="535"/>
      <c r="V327" s="535"/>
      <c r="W327" s="535"/>
      <c r="X327" s="535"/>
      <c r="Y327" s="536"/>
    </row>
    <row r="328" spans="1:25" ht="12.75">
      <c r="A328" s="532" t="s">
        <v>2872</v>
      </c>
      <c r="B328" s="532">
        <v>41200076</v>
      </c>
      <c r="C328" s="532" t="s">
        <v>1476</v>
      </c>
      <c r="D328" s="532" t="s">
        <v>1476</v>
      </c>
      <c r="E328" s="532" t="s">
        <v>1585</v>
      </c>
      <c r="F328" s="532" t="s">
        <v>2391</v>
      </c>
      <c r="G328" s="532" t="s">
        <v>1468</v>
      </c>
      <c r="H328" s="533"/>
      <c r="I328" s="532" t="s">
        <v>6604</v>
      </c>
      <c r="J328" s="534">
        <v>45890</v>
      </c>
      <c r="K328" s="535"/>
      <c r="L328" s="535"/>
      <c r="M328" s="535"/>
      <c r="N328" s="535"/>
      <c r="O328" s="535"/>
      <c r="P328" s="535"/>
      <c r="Q328" s="535"/>
      <c r="R328" s="535"/>
      <c r="S328" s="535"/>
      <c r="T328" s="535"/>
      <c r="U328" s="535"/>
      <c r="V328" s="535"/>
      <c r="W328" s="535"/>
      <c r="X328" s="535"/>
      <c r="Y328" s="536"/>
    </row>
    <row r="329" spans="1:25" ht="12.75">
      <c r="A329" s="532" t="s">
        <v>2865</v>
      </c>
      <c r="B329" s="532">
        <v>41200119</v>
      </c>
      <c r="C329" s="532" t="s">
        <v>1476</v>
      </c>
      <c r="D329" s="532" t="s">
        <v>1422</v>
      </c>
      <c r="E329" s="532" t="s">
        <v>1422</v>
      </c>
      <c r="F329" s="532" t="s">
        <v>2395</v>
      </c>
      <c r="G329" s="532" t="s">
        <v>1469</v>
      </c>
      <c r="H329" s="533"/>
      <c r="I329" s="532" t="s">
        <v>6604</v>
      </c>
      <c r="J329" s="534">
        <v>45890</v>
      </c>
      <c r="K329" s="535"/>
      <c r="L329" s="535"/>
      <c r="M329" s="535"/>
      <c r="N329" s="535"/>
      <c r="O329" s="535"/>
      <c r="P329" s="535"/>
      <c r="Q329" s="535"/>
      <c r="R329" s="535"/>
      <c r="S329" s="535"/>
      <c r="T329" s="535"/>
      <c r="U329" s="535"/>
      <c r="V329" s="535"/>
      <c r="W329" s="535"/>
      <c r="X329" s="535"/>
      <c r="Y329" s="536"/>
    </row>
    <row r="330" spans="1:25" ht="12.75">
      <c r="A330" s="532" t="s">
        <v>2864</v>
      </c>
      <c r="B330" s="532">
        <v>41200119</v>
      </c>
      <c r="C330" s="532" t="s">
        <v>1476</v>
      </c>
      <c r="D330" s="532" t="s">
        <v>1422</v>
      </c>
      <c r="E330" s="532" t="s">
        <v>1422</v>
      </c>
      <c r="F330" s="532" t="s">
        <v>2391</v>
      </c>
      <c r="G330" s="532" t="s">
        <v>1468</v>
      </c>
      <c r="H330" s="533"/>
      <c r="I330" s="532" t="s">
        <v>6604</v>
      </c>
      <c r="J330" s="534">
        <v>45890</v>
      </c>
      <c r="K330" s="535"/>
      <c r="L330" s="535"/>
      <c r="M330" s="535"/>
      <c r="N330" s="535"/>
      <c r="O330" s="535"/>
      <c r="P330" s="535"/>
      <c r="Q330" s="535"/>
      <c r="R330" s="535"/>
      <c r="S330" s="535"/>
      <c r="T330" s="535"/>
      <c r="U330" s="535"/>
      <c r="V330" s="535"/>
      <c r="W330" s="535"/>
      <c r="X330" s="535"/>
      <c r="Y330" s="536"/>
    </row>
    <row r="331" spans="1:25" ht="12.75">
      <c r="A331" s="532" t="s">
        <v>3028</v>
      </c>
      <c r="B331" s="532">
        <v>41200076</v>
      </c>
      <c r="C331" s="532" t="s">
        <v>1476</v>
      </c>
      <c r="D331" s="532" t="s">
        <v>1476</v>
      </c>
      <c r="E331" s="532" t="s">
        <v>1585</v>
      </c>
      <c r="F331" s="532" t="s">
        <v>2391</v>
      </c>
      <c r="G331" s="532" t="s">
        <v>1468</v>
      </c>
      <c r="H331" s="533"/>
      <c r="I331" s="532" t="s">
        <v>6604</v>
      </c>
      <c r="J331" s="534">
        <v>45890</v>
      </c>
      <c r="K331" s="535"/>
      <c r="L331" s="535"/>
      <c r="M331" s="535"/>
      <c r="N331" s="535"/>
      <c r="O331" s="535"/>
      <c r="P331" s="535"/>
      <c r="Q331" s="535"/>
      <c r="R331" s="535"/>
      <c r="S331" s="535"/>
      <c r="T331" s="535"/>
      <c r="U331" s="535"/>
      <c r="V331" s="535"/>
      <c r="W331" s="535"/>
      <c r="X331" s="535"/>
      <c r="Y331" s="536"/>
    </row>
    <row r="332" spans="1:25" ht="12.75">
      <c r="A332" s="532" t="s">
        <v>2850</v>
      </c>
      <c r="B332" s="532">
        <v>41200005</v>
      </c>
      <c r="C332" s="532" t="s">
        <v>1591</v>
      </c>
      <c r="D332" s="532" t="s">
        <v>1591</v>
      </c>
      <c r="E332" s="532" t="s">
        <v>1405</v>
      </c>
      <c r="F332" s="532" t="s">
        <v>2391</v>
      </c>
      <c r="G332" s="532" t="s">
        <v>1468</v>
      </c>
      <c r="H332" s="533"/>
      <c r="I332" s="532" t="s">
        <v>6604</v>
      </c>
      <c r="J332" s="534">
        <v>45890</v>
      </c>
      <c r="K332" s="535"/>
      <c r="L332" s="535"/>
      <c r="M332" s="535"/>
      <c r="N332" s="535"/>
      <c r="O332" s="535"/>
      <c r="P332" s="535"/>
      <c r="Q332" s="535"/>
      <c r="R332" s="535"/>
      <c r="S332" s="535"/>
      <c r="T332" s="535"/>
      <c r="U332" s="535"/>
      <c r="V332" s="535"/>
      <c r="W332" s="535"/>
      <c r="X332" s="535"/>
      <c r="Y332" s="536"/>
    </row>
    <row r="333" spans="1:25" ht="12.75">
      <c r="A333" s="532" t="s">
        <v>2848</v>
      </c>
      <c r="B333" s="532">
        <v>41200005</v>
      </c>
      <c r="C333" s="532" t="s">
        <v>1591</v>
      </c>
      <c r="D333" s="532" t="s">
        <v>1591</v>
      </c>
      <c r="E333" s="532" t="s">
        <v>1405</v>
      </c>
      <c r="F333" s="532" t="s">
        <v>2391</v>
      </c>
      <c r="G333" s="532" t="s">
        <v>1468</v>
      </c>
      <c r="H333" s="533"/>
      <c r="I333" s="532" t="s">
        <v>6604</v>
      </c>
      <c r="J333" s="534">
        <v>45890</v>
      </c>
      <c r="K333" s="535"/>
      <c r="L333" s="535"/>
      <c r="M333" s="535"/>
      <c r="N333" s="535"/>
      <c r="O333" s="535"/>
      <c r="P333" s="535"/>
      <c r="Q333" s="535"/>
      <c r="R333" s="535"/>
      <c r="S333" s="535"/>
      <c r="T333" s="535"/>
      <c r="U333" s="535"/>
      <c r="V333" s="535"/>
      <c r="W333" s="535"/>
      <c r="X333" s="535"/>
      <c r="Y333" s="536"/>
    </row>
    <row r="334" spans="1:25" ht="12.75">
      <c r="A334" s="532" t="s">
        <v>2854</v>
      </c>
      <c r="B334" s="532">
        <v>41200006</v>
      </c>
      <c r="C334" s="532" t="s">
        <v>1477</v>
      </c>
      <c r="D334" s="532" t="s">
        <v>6640</v>
      </c>
      <c r="E334" s="532" t="s">
        <v>1405</v>
      </c>
      <c r="F334" s="532" t="s">
        <v>2395</v>
      </c>
      <c r="G334" s="532" t="s">
        <v>1469</v>
      </c>
      <c r="H334" s="533"/>
      <c r="I334" s="532" t="s">
        <v>6604</v>
      </c>
      <c r="J334" s="534">
        <v>45890</v>
      </c>
      <c r="K334" s="535"/>
      <c r="L334" s="535"/>
      <c r="M334" s="535"/>
      <c r="N334" s="535"/>
      <c r="O334" s="535"/>
      <c r="P334" s="535"/>
      <c r="Q334" s="535"/>
      <c r="R334" s="535"/>
      <c r="S334" s="535"/>
      <c r="T334" s="535"/>
      <c r="U334" s="535"/>
      <c r="V334" s="535"/>
      <c r="W334" s="535"/>
      <c r="X334" s="535"/>
      <c r="Y334" s="536"/>
    </row>
    <row r="335" spans="1:25" ht="12.75">
      <c r="A335" s="532" t="s">
        <v>2853</v>
      </c>
      <c r="B335" s="532">
        <v>41200006</v>
      </c>
      <c r="C335" s="532" t="s">
        <v>1477</v>
      </c>
      <c r="D335" s="532" t="s">
        <v>6640</v>
      </c>
      <c r="E335" s="532" t="s">
        <v>1405</v>
      </c>
      <c r="F335" s="532" t="s">
        <v>2395</v>
      </c>
      <c r="G335" s="532" t="s">
        <v>1469</v>
      </c>
      <c r="H335" s="533"/>
      <c r="I335" s="532" t="s">
        <v>6604</v>
      </c>
      <c r="J335" s="534">
        <v>45890</v>
      </c>
      <c r="K335" s="535"/>
      <c r="L335" s="535"/>
      <c r="M335" s="535"/>
      <c r="N335" s="535"/>
      <c r="O335" s="535"/>
      <c r="P335" s="535"/>
      <c r="Q335" s="535"/>
      <c r="R335" s="535"/>
      <c r="S335" s="535"/>
      <c r="T335" s="535"/>
      <c r="U335" s="535"/>
      <c r="V335" s="535"/>
      <c r="W335" s="535"/>
      <c r="X335" s="535"/>
      <c r="Y335" s="536"/>
    </row>
    <row r="336" spans="1:25" ht="12.75">
      <c r="A336" s="532" t="s">
        <v>2846</v>
      </c>
      <c r="B336" s="532">
        <v>41200005</v>
      </c>
      <c r="C336" s="532" t="s">
        <v>1591</v>
      </c>
      <c r="D336" s="532" t="s">
        <v>1591</v>
      </c>
      <c r="E336" s="532" t="s">
        <v>1405</v>
      </c>
      <c r="F336" s="532" t="s">
        <v>2391</v>
      </c>
      <c r="G336" s="532" t="s">
        <v>1468</v>
      </c>
      <c r="H336" s="533"/>
      <c r="I336" s="532" t="s">
        <v>6604</v>
      </c>
      <c r="J336" s="534">
        <v>45890</v>
      </c>
      <c r="K336" s="535"/>
      <c r="L336" s="535"/>
      <c r="M336" s="535"/>
      <c r="N336" s="535"/>
      <c r="O336" s="535"/>
      <c r="P336" s="535"/>
      <c r="Q336" s="535"/>
      <c r="R336" s="535"/>
      <c r="S336" s="535"/>
      <c r="T336" s="535"/>
      <c r="U336" s="535"/>
      <c r="V336" s="535"/>
      <c r="W336" s="535"/>
      <c r="X336" s="535"/>
      <c r="Y336" s="536"/>
    </row>
    <row r="337" spans="1:25" ht="12.75">
      <c r="A337" s="532" t="s">
        <v>2844</v>
      </c>
      <c r="B337" s="532">
        <v>41200005</v>
      </c>
      <c r="C337" s="532" t="s">
        <v>1591</v>
      </c>
      <c r="D337" s="532" t="s">
        <v>1591</v>
      </c>
      <c r="E337" s="532" t="s">
        <v>1405</v>
      </c>
      <c r="F337" s="532" t="s">
        <v>2391</v>
      </c>
      <c r="G337" s="532" t="s">
        <v>1468</v>
      </c>
      <c r="H337" s="533"/>
      <c r="I337" s="532" t="s">
        <v>6604</v>
      </c>
      <c r="J337" s="534">
        <v>45890</v>
      </c>
      <c r="K337" s="535"/>
      <c r="L337" s="535"/>
      <c r="M337" s="535"/>
      <c r="N337" s="535"/>
      <c r="O337" s="535"/>
      <c r="P337" s="535"/>
      <c r="Q337" s="535"/>
      <c r="R337" s="535"/>
      <c r="S337" s="535"/>
      <c r="T337" s="535"/>
      <c r="U337" s="535"/>
      <c r="V337" s="535"/>
      <c r="W337" s="535"/>
      <c r="X337" s="535"/>
      <c r="Y337" s="536"/>
    </row>
    <row r="338" spans="1:25" ht="12.75">
      <c r="A338" s="532" t="s">
        <v>2839</v>
      </c>
      <c r="B338" s="532">
        <v>41200007</v>
      </c>
      <c r="C338" s="532" t="s">
        <v>1591</v>
      </c>
      <c r="D338" s="532" t="s">
        <v>6608</v>
      </c>
      <c r="E338" s="532" t="s">
        <v>1405</v>
      </c>
      <c r="F338" s="532" t="s">
        <v>2391</v>
      </c>
      <c r="G338" s="532" t="s">
        <v>2392</v>
      </c>
      <c r="H338" s="533"/>
      <c r="I338" s="532" t="s">
        <v>6604</v>
      </c>
      <c r="J338" s="534">
        <v>45882</v>
      </c>
      <c r="K338" s="535"/>
      <c r="L338" s="535"/>
      <c r="M338" s="535"/>
      <c r="N338" s="535"/>
      <c r="O338" s="535"/>
      <c r="P338" s="535"/>
      <c r="Q338" s="535"/>
      <c r="R338" s="535"/>
      <c r="S338" s="535"/>
      <c r="T338" s="535"/>
      <c r="U338" s="535"/>
      <c r="V338" s="535"/>
      <c r="W338" s="535"/>
      <c r="X338" s="535"/>
      <c r="Y338" s="536"/>
    </row>
    <row r="339" spans="1:25" ht="12.75">
      <c r="A339" s="532" t="s">
        <v>2838</v>
      </c>
      <c r="B339" s="532">
        <v>41200007</v>
      </c>
      <c r="C339" s="532" t="s">
        <v>1591</v>
      </c>
      <c r="D339" s="532" t="s">
        <v>6608</v>
      </c>
      <c r="E339" s="532" t="s">
        <v>1405</v>
      </c>
      <c r="F339" s="532" t="s">
        <v>2391</v>
      </c>
      <c r="G339" s="532" t="s">
        <v>2392</v>
      </c>
      <c r="H339" s="533"/>
      <c r="I339" s="532" t="s">
        <v>6604</v>
      </c>
      <c r="J339" s="534">
        <v>45882</v>
      </c>
      <c r="K339" s="535"/>
      <c r="L339" s="535"/>
      <c r="M339" s="535"/>
      <c r="N339" s="535"/>
      <c r="O339" s="535"/>
      <c r="P339" s="535"/>
      <c r="Q339" s="535"/>
      <c r="R339" s="535"/>
      <c r="S339" s="535"/>
      <c r="T339" s="535"/>
      <c r="U339" s="535"/>
      <c r="V339" s="535"/>
      <c r="W339" s="535"/>
      <c r="X339" s="535"/>
      <c r="Y339" s="536"/>
    </row>
    <row r="340" spans="1:25" ht="12.75">
      <c r="A340" s="532" t="s">
        <v>2873</v>
      </c>
      <c r="B340" s="532">
        <v>41200048</v>
      </c>
      <c r="C340" s="532" t="s">
        <v>1476</v>
      </c>
      <c r="D340" s="532" t="s">
        <v>1426</v>
      </c>
      <c r="E340" s="532" t="s">
        <v>1426</v>
      </c>
      <c r="F340" s="532" t="s">
        <v>2395</v>
      </c>
      <c r="G340" s="532" t="s">
        <v>1468</v>
      </c>
      <c r="H340" s="533"/>
      <c r="I340" s="532" t="s">
        <v>6604</v>
      </c>
      <c r="J340" s="534">
        <v>45882</v>
      </c>
      <c r="K340" s="535"/>
      <c r="L340" s="535"/>
      <c r="M340" s="535"/>
      <c r="N340" s="535"/>
      <c r="O340" s="535"/>
      <c r="P340" s="535"/>
      <c r="Q340" s="535"/>
      <c r="R340" s="535"/>
      <c r="S340" s="535"/>
      <c r="T340" s="535"/>
      <c r="U340" s="535"/>
      <c r="V340" s="535"/>
      <c r="W340" s="535"/>
      <c r="X340" s="535"/>
      <c r="Y340" s="536"/>
    </row>
    <row r="341" spans="1:25" ht="12.75">
      <c r="A341" s="532" t="s">
        <v>3082</v>
      </c>
      <c r="B341" s="532">
        <v>41200047</v>
      </c>
      <c r="C341" s="532" t="s">
        <v>1476</v>
      </c>
      <c r="D341" s="532" t="s">
        <v>1426</v>
      </c>
      <c r="E341" s="532" t="s">
        <v>1426</v>
      </c>
      <c r="F341" s="532" t="s">
        <v>2395</v>
      </c>
      <c r="G341" s="532" t="s">
        <v>1468</v>
      </c>
      <c r="H341" s="533"/>
      <c r="I341" s="532" t="s">
        <v>6604</v>
      </c>
      <c r="J341" s="534">
        <v>45882</v>
      </c>
      <c r="K341" s="535"/>
      <c r="L341" s="535"/>
      <c r="M341" s="535"/>
      <c r="N341" s="535"/>
      <c r="O341" s="535"/>
      <c r="P341" s="535"/>
      <c r="Q341" s="535"/>
      <c r="R341" s="535"/>
      <c r="S341" s="535"/>
      <c r="T341" s="535"/>
      <c r="U341" s="535"/>
      <c r="V341" s="535"/>
      <c r="W341" s="535"/>
      <c r="X341" s="535"/>
      <c r="Y341" s="536"/>
    </row>
    <row r="342" spans="1:25" ht="12.75">
      <c r="A342" s="532" t="s">
        <v>2840</v>
      </c>
      <c r="B342" s="532">
        <v>41200128</v>
      </c>
      <c r="C342" s="532" t="s">
        <v>1591</v>
      </c>
      <c r="D342" s="532" t="s">
        <v>6606</v>
      </c>
      <c r="E342" s="532" t="s">
        <v>1431</v>
      </c>
      <c r="F342" s="532" t="s">
        <v>2391</v>
      </c>
      <c r="G342" s="532" t="s">
        <v>1468</v>
      </c>
      <c r="H342" s="533"/>
      <c r="I342" s="532" t="s">
        <v>6604</v>
      </c>
      <c r="J342" s="534">
        <v>45882</v>
      </c>
      <c r="K342" s="535"/>
      <c r="L342" s="535"/>
      <c r="M342" s="535"/>
      <c r="N342" s="535"/>
      <c r="O342" s="535"/>
      <c r="P342" s="535"/>
      <c r="Q342" s="535"/>
      <c r="R342" s="535"/>
      <c r="S342" s="535"/>
      <c r="T342" s="535"/>
      <c r="U342" s="535"/>
      <c r="V342" s="535"/>
      <c r="W342" s="535"/>
      <c r="X342" s="535"/>
      <c r="Y342" s="536"/>
    </row>
    <row r="343" spans="1:25" ht="12.75">
      <c r="A343" s="532" t="s">
        <v>2830</v>
      </c>
      <c r="B343" s="532">
        <v>41200007</v>
      </c>
      <c r="C343" s="532" t="s">
        <v>1591</v>
      </c>
      <c r="D343" s="532" t="s">
        <v>6608</v>
      </c>
      <c r="E343" s="532" t="s">
        <v>1405</v>
      </c>
      <c r="F343" s="532" t="s">
        <v>2391</v>
      </c>
      <c r="G343" s="532" t="s">
        <v>2392</v>
      </c>
      <c r="H343" s="533"/>
      <c r="I343" s="532" t="s">
        <v>6604</v>
      </c>
      <c r="J343" s="534">
        <v>45882</v>
      </c>
      <c r="K343" s="535"/>
      <c r="L343" s="535"/>
      <c r="M343" s="535"/>
      <c r="N343" s="535"/>
      <c r="O343" s="535"/>
      <c r="P343" s="535"/>
      <c r="Q343" s="535"/>
      <c r="R343" s="535"/>
      <c r="S343" s="535"/>
      <c r="T343" s="535"/>
      <c r="U343" s="535"/>
      <c r="V343" s="535"/>
      <c r="W343" s="535"/>
      <c r="X343" s="535"/>
      <c r="Y343" s="536"/>
    </row>
    <row r="344" spans="1:25" ht="12.75">
      <c r="A344" s="532" t="s">
        <v>2827</v>
      </c>
      <c r="B344" s="532">
        <v>41200007</v>
      </c>
      <c r="C344" s="532" t="s">
        <v>1591</v>
      </c>
      <c r="D344" s="532" t="s">
        <v>6608</v>
      </c>
      <c r="E344" s="532" t="s">
        <v>1405</v>
      </c>
      <c r="F344" s="532" t="s">
        <v>2391</v>
      </c>
      <c r="G344" s="532" t="s">
        <v>2392</v>
      </c>
      <c r="H344" s="533"/>
      <c r="I344" s="532" t="s">
        <v>6604</v>
      </c>
      <c r="J344" s="534">
        <v>45882</v>
      </c>
      <c r="K344" s="535"/>
      <c r="L344" s="535"/>
      <c r="M344" s="535"/>
      <c r="N344" s="535"/>
      <c r="O344" s="535"/>
      <c r="P344" s="535"/>
      <c r="Q344" s="535"/>
      <c r="R344" s="535"/>
      <c r="S344" s="535"/>
      <c r="T344" s="535"/>
      <c r="U344" s="535"/>
      <c r="V344" s="535"/>
      <c r="W344" s="535"/>
      <c r="X344" s="535"/>
      <c r="Y344" s="536"/>
    </row>
    <row r="345" spans="1:25" ht="12.75">
      <c r="A345" s="532" t="s">
        <v>2807</v>
      </c>
      <c r="B345" s="532">
        <v>41100633</v>
      </c>
      <c r="C345" s="532" t="s">
        <v>1591</v>
      </c>
      <c r="D345" s="532" t="s">
        <v>6657</v>
      </c>
      <c r="E345" s="532" t="s">
        <v>1394</v>
      </c>
      <c r="F345" s="532" t="s">
        <v>2391</v>
      </c>
      <c r="G345" s="532" t="s">
        <v>2392</v>
      </c>
      <c r="H345" s="533"/>
      <c r="I345" s="532" t="s">
        <v>6604</v>
      </c>
      <c r="J345" s="534">
        <v>45882</v>
      </c>
      <c r="K345" s="535"/>
      <c r="L345" s="535"/>
      <c r="M345" s="535"/>
      <c r="N345" s="535"/>
      <c r="O345" s="535"/>
      <c r="P345" s="535"/>
      <c r="Q345" s="535"/>
      <c r="R345" s="535"/>
      <c r="S345" s="535"/>
      <c r="T345" s="535"/>
      <c r="U345" s="535"/>
      <c r="V345" s="535"/>
      <c r="W345" s="535"/>
      <c r="X345" s="535"/>
      <c r="Y345" s="536"/>
    </row>
    <row r="346" spans="1:25" ht="12.75">
      <c r="A346" s="532" t="s">
        <v>2833</v>
      </c>
      <c r="B346" s="532">
        <v>41000584</v>
      </c>
      <c r="C346" s="532" t="s">
        <v>1911</v>
      </c>
      <c r="D346" s="532" t="s">
        <v>6658</v>
      </c>
      <c r="E346" s="532" t="s">
        <v>1405</v>
      </c>
      <c r="F346" s="532" t="s">
        <v>2392</v>
      </c>
      <c r="G346" s="532" t="s">
        <v>2392</v>
      </c>
      <c r="H346" s="533"/>
      <c r="I346" s="532" t="s">
        <v>6604</v>
      </c>
      <c r="J346" s="534">
        <v>45882</v>
      </c>
      <c r="K346" s="535"/>
      <c r="L346" s="535"/>
      <c r="M346" s="535"/>
      <c r="N346" s="535"/>
      <c r="O346" s="535"/>
      <c r="P346" s="535"/>
      <c r="Q346" s="535"/>
      <c r="R346" s="535"/>
      <c r="S346" s="535"/>
      <c r="T346" s="535"/>
      <c r="U346" s="535"/>
      <c r="V346" s="535"/>
      <c r="W346" s="535"/>
      <c r="X346" s="535"/>
      <c r="Y346" s="536"/>
    </row>
    <row r="347" spans="1:25" ht="12.75">
      <c r="A347" s="532" t="s">
        <v>2815</v>
      </c>
      <c r="B347" s="532">
        <v>41200109</v>
      </c>
      <c r="C347" s="532" t="s">
        <v>1591</v>
      </c>
      <c r="D347" s="532" t="s">
        <v>6619</v>
      </c>
      <c r="E347" s="532" t="s">
        <v>1585</v>
      </c>
      <c r="F347" s="532" t="s">
        <v>2391</v>
      </c>
      <c r="G347" s="532" t="s">
        <v>2392</v>
      </c>
      <c r="H347" s="533"/>
      <c r="I347" s="532" t="s">
        <v>6604</v>
      </c>
      <c r="J347" s="534">
        <v>45882</v>
      </c>
      <c r="K347" s="535"/>
      <c r="L347" s="535"/>
      <c r="M347" s="535"/>
      <c r="N347" s="535"/>
      <c r="O347" s="535"/>
      <c r="P347" s="535"/>
      <c r="Q347" s="535"/>
      <c r="R347" s="535"/>
      <c r="S347" s="535"/>
      <c r="T347" s="535"/>
      <c r="U347" s="535"/>
      <c r="V347" s="535"/>
      <c r="W347" s="535"/>
      <c r="X347" s="535"/>
      <c r="Y347" s="536"/>
    </row>
    <row r="348" spans="1:25" ht="12.75">
      <c r="A348" s="532" t="s">
        <v>2813</v>
      </c>
      <c r="B348" s="532">
        <v>41200109</v>
      </c>
      <c r="C348" s="532" t="s">
        <v>1591</v>
      </c>
      <c r="D348" s="532" t="s">
        <v>6619</v>
      </c>
      <c r="E348" s="532" t="s">
        <v>1585</v>
      </c>
      <c r="F348" s="532" t="s">
        <v>2391</v>
      </c>
      <c r="G348" s="532" t="s">
        <v>2392</v>
      </c>
      <c r="H348" s="533"/>
      <c r="I348" s="532" t="s">
        <v>6604</v>
      </c>
      <c r="J348" s="534">
        <v>45882</v>
      </c>
      <c r="K348" s="535"/>
      <c r="L348" s="535"/>
      <c r="M348" s="535"/>
      <c r="N348" s="535"/>
      <c r="O348" s="535"/>
      <c r="P348" s="535"/>
      <c r="Q348" s="535"/>
      <c r="R348" s="535"/>
      <c r="S348" s="535"/>
      <c r="T348" s="535"/>
      <c r="U348" s="535"/>
      <c r="V348" s="535"/>
      <c r="W348" s="535"/>
      <c r="X348" s="535"/>
      <c r="Y348" s="536"/>
    </row>
    <row r="349" spans="1:25" ht="12.75">
      <c r="A349" s="532" t="s">
        <v>2842</v>
      </c>
      <c r="B349" s="532">
        <v>41200074</v>
      </c>
      <c r="C349" s="532" t="s">
        <v>1478</v>
      </c>
      <c r="D349" s="532" t="s">
        <v>6620</v>
      </c>
      <c r="E349" s="532" t="s">
        <v>1405</v>
      </c>
      <c r="F349" s="532" t="s">
        <v>2395</v>
      </c>
      <c r="G349" s="532" t="s">
        <v>1469</v>
      </c>
      <c r="H349" s="533"/>
      <c r="I349" s="532" t="s">
        <v>6604</v>
      </c>
      <c r="J349" s="534">
        <v>45882</v>
      </c>
      <c r="K349" s="535"/>
      <c r="L349" s="535"/>
      <c r="M349" s="535"/>
      <c r="N349" s="535"/>
      <c r="O349" s="535"/>
      <c r="P349" s="535"/>
      <c r="Q349" s="535"/>
      <c r="R349" s="535"/>
      <c r="S349" s="535"/>
      <c r="T349" s="535"/>
      <c r="U349" s="535"/>
      <c r="V349" s="535"/>
      <c r="W349" s="535"/>
      <c r="X349" s="535"/>
      <c r="Y349" s="536"/>
    </row>
    <row r="350" spans="1:25" ht="12.75">
      <c r="A350" s="532" t="s">
        <v>2855</v>
      </c>
      <c r="B350" s="532">
        <v>41200074</v>
      </c>
      <c r="C350" s="532" t="s">
        <v>1478</v>
      </c>
      <c r="D350" s="532" t="s">
        <v>6620</v>
      </c>
      <c r="E350" s="532" t="s">
        <v>1405</v>
      </c>
      <c r="F350" s="532" t="s">
        <v>2395</v>
      </c>
      <c r="G350" s="532" t="s">
        <v>1469</v>
      </c>
      <c r="H350" s="533"/>
      <c r="I350" s="532" t="s">
        <v>6604</v>
      </c>
      <c r="J350" s="534">
        <v>45882</v>
      </c>
      <c r="K350" s="535"/>
      <c r="L350" s="535"/>
      <c r="M350" s="535"/>
      <c r="N350" s="535"/>
      <c r="O350" s="535"/>
      <c r="P350" s="535"/>
      <c r="Q350" s="535"/>
      <c r="R350" s="535"/>
      <c r="S350" s="535"/>
      <c r="T350" s="535"/>
      <c r="U350" s="535"/>
      <c r="V350" s="535"/>
      <c r="W350" s="535"/>
      <c r="X350" s="535"/>
      <c r="Y350" s="536"/>
    </row>
    <row r="351" spans="1:25" ht="12.75">
      <c r="A351" s="532" t="s">
        <v>2836</v>
      </c>
      <c r="B351" s="532">
        <v>41200033</v>
      </c>
      <c r="C351" s="532" t="s">
        <v>1476</v>
      </c>
      <c r="D351" s="532" t="s">
        <v>6611</v>
      </c>
      <c r="E351" s="532" t="s">
        <v>1426</v>
      </c>
      <c r="F351" s="532" t="s">
        <v>2395</v>
      </c>
      <c r="G351" s="532" t="s">
        <v>1468</v>
      </c>
      <c r="H351" s="533"/>
      <c r="I351" s="532" t="s">
        <v>6604</v>
      </c>
      <c r="J351" s="534">
        <v>45882</v>
      </c>
      <c r="K351" s="535"/>
      <c r="L351" s="535"/>
      <c r="M351" s="535"/>
      <c r="N351" s="535"/>
      <c r="O351" s="535"/>
      <c r="P351" s="535"/>
      <c r="Q351" s="535"/>
      <c r="R351" s="535"/>
      <c r="S351" s="535"/>
      <c r="T351" s="535"/>
      <c r="U351" s="535"/>
      <c r="V351" s="535"/>
      <c r="W351" s="535"/>
      <c r="X351" s="535"/>
      <c r="Y351" s="536"/>
    </row>
    <row r="352" spans="1:25" ht="12.75">
      <c r="A352" s="532" t="s">
        <v>2835</v>
      </c>
      <c r="B352" s="532">
        <v>41200033</v>
      </c>
      <c r="C352" s="532" t="s">
        <v>1476</v>
      </c>
      <c r="D352" s="532" t="s">
        <v>6611</v>
      </c>
      <c r="E352" s="532" t="s">
        <v>1426</v>
      </c>
      <c r="F352" s="532" t="s">
        <v>2395</v>
      </c>
      <c r="G352" s="532" t="s">
        <v>1468</v>
      </c>
      <c r="H352" s="533"/>
      <c r="I352" s="532" t="s">
        <v>6604</v>
      </c>
      <c r="J352" s="534">
        <v>45882</v>
      </c>
      <c r="K352" s="535"/>
      <c r="L352" s="535"/>
      <c r="M352" s="535"/>
      <c r="N352" s="535"/>
      <c r="O352" s="535"/>
      <c r="P352" s="535"/>
      <c r="Q352" s="535"/>
      <c r="R352" s="535"/>
      <c r="S352" s="535"/>
      <c r="T352" s="535"/>
      <c r="U352" s="535"/>
      <c r="V352" s="535"/>
      <c r="W352" s="535"/>
      <c r="X352" s="535"/>
      <c r="Y352" s="536"/>
    </row>
    <row r="353" spans="1:25" ht="12.75">
      <c r="A353" s="532" t="s">
        <v>2834</v>
      </c>
      <c r="B353" s="532">
        <v>41200033</v>
      </c>
      <c r="C353" s="532" t="s">
        <v>1476</v>
      </c>
      <c r="D353" s="532" t="s">
        <v>6611</v>
      </c>
      <c r="E353" s="532" t="s">
        <v>1426</v>
      </c>
      <c r="F353" s="532" t="s">
        <v>2395</v>
      </c>
      <c r="G353" s="532" t="s">
        <v>1468</v>
      </c>
      <c r="H353" s="533"/>
      <c r="I353" s="532" t="s">
        <v>6604</v>
      </c>
      <c r="J353" s="534">
        <v>45882</v>
      </c>
      <c r="K353" s="535"/>
      <c r="L353" s="535"/>
      <c r="M353" s="535"/>
      <c r="N353" s="535"/>
      <c r="O353" s="535"/>
      <c r="P353" s="535"/>
      <c r="Q353" s="535"/>
      <c r="R353" s="535"/>
      <c r="S353" s="535"/>
      <c r="T353" s="535"/>
      <c r="U353" s="535"/>
      <c r="V353" s="535"/>
      <c r="W353" s="535"/>
      <c r="X353" s="535"/>
      <c r="Y353" s="536"/>
    </row>
    <row r="354" spans="1:25" ht="12.75">
      <c r="A354" s="532" t="s">
        <v>2806</v>
      </c>
      <c r="B354" s="532">
        <v>41100435</v>
      </c>
      <c r="C354" s="532" t="s">
        <v>3801</v>
      </c>
      <c r="D354" s="532" t="s">
        <v>1482</v>
      </c>
      <c r="E354" s="532" t="s">
        <v>1585</v>
      </c>
      <c r="F354" s="532" t="s">
        <v>2391</v>
      </c>
      <c r="G354" s="532" t="s">
        <v>2392</v>
      </c>
      <c r="H354" s="533"/>
      <c r="I354" s="532" t="s">
        <v>6604</v>
      </c>
      <c r="J354" s="534">
        <v>45882</v>
      </c>
      <c r="K354" s="535"/>
      <c r="L354" s="535"/>
      <c r="M354" s="535"/>
      <c r="N354" s="535"/>
      <c r="O354" s="535"/>
      <c r="P354" s="535"/>
      <c r="Q354" s="535"/>
      <c r="R354" s="535"/>
      <c r="S354" s="535"/>
      <c r="T354" s="535"/>
      <c r="U354" s="535"/>
      <c r="V354" s="535"/>
      <c r="W354" s="535"/>
      <c r="X354" s="535"/>
      <c r="Y354" s="536"/>
    </row>
    <row r="355" spans="1:25" ht="12.75">
      <c r="A355" s="532" t="s">
        <v>2825</v>
      </c>
      <c r="B355" s="532">
        <v>41200152</v>
      </c>
      <c r="C355" s="532" t="s">
        <v>1476</v>
      </c>
      <c r="D355" s="532" t="s">
        <v>6618</v>
      </c>
      <c r="E355" s="532" t="s">
        <v>1585</v>
      </c>
      <c r="F355" s="532" t="s">
        <v>2395</v>
      </c>
      <c r="G355" s="532" t="s">
        <v>1469</v>
      </c>
      <c r="H355" s="533"/>
      <c r="I355" s="532" t="s">
        <v>6604</v>
      </c>
      <c r="J355" s="534">
        <v>45882</v>
      </c>
      <c r="K355" s="535"/>
      <c r="L355" s="535"/>
      <c r="M355" s="535"/>
      <c r="N355" s="535"/>
      <c r="O355" s="535"/>
      <c r="P355" s="535"/>
      <c r="Q355" s="535"/>
      <c r="R355" s="535"/>
      <c r="S355" s="535"/>
      <c r="T355" s="535"/>
      <c r="U355" s="535"/>
      <c r="V355" s="535"/>
      <c r="W355" s="535"/>
      <c r="X355" s="535"/>
      <c r="Y355" s="536"/>
    </row>
    <row r="356" spans="1:25" ht="12.75">
      <c r="A356" s="532" t="s">
        <v>2824</v>
      </c>
      <c r="B356" s="532">
        <v>41200152</v>
      </c>
      <c r="C356" s="532" t="s">
        <v>1476</v>
      </c>
      <c r="D356" s="532" t="s">
        <v>6618</v>
      </c>
      <c r="E356" s="532" t="s">
        <v>1585</v>
      </c>
      <c r="F356" s="532" t="s">
        <v>2395</v>
      </c>
      <c r="G356" s="532" t="s">
        <v>1469</v>
      </c>
      <c r="H356" s="533"/>
      <c r="I356" s="532" t="s">
        <v>6604</v>
      </c>
      <c r="J356" s="534">
        <v>45882</v>
      </c>
      <c r="K356" s="535"/>
      <c r="L356" s="535"/>
      <c r="M356" s="535"/>
      <c r="N356" s="535"/>
      <c r="O356" s="535"/>
      <c r="P356" s="535"/>
      <c r="Q356" s="535"/>
      <c r="R356" s="535"/>
      <c r="S356" s="535"/>
      <c r="T356" s="535"/>
      <c r="U356" s="535"/>
      <c r="V356" s="535"/>
      <c r="W356" s="535"/>
      <c r="X356" s="535"/>
      <c r="Y356" s="536"/>
    </row>
    <row r="357" spans="1:25" ht="12.75">
      <c r="A357" s="532" t="s">
        <v>2819</v>
      </c>
      <c r="B357" s="532">
        <v>41200119</v>
      </c>
      <c r="C357" s="532" t="s">
        <v>1476</v>
      </c>
      <c r="D357" s="532" t="s">
        <v>1422</v>
      </c>
      <c r="E357" s="532" t="s">
        <v>1422</v>
      </c>
      <c r="F357" s="532" t="s">
        <v>2391</v>
      </c>
      <c r="G357" s="532" t="s">
        <v>1468</v>
      </c>
      <c r="H357" s="533"/>
      <c r="I357" s="532" t="s">
        <v>6604</v>
      </c>
      <c r="J357" s="534">
        <v>45882</v>
      </c>
      <c r="K357" s="535"/>
      <c r="L357" s="535"/>
      <c r="M357" s="535"/>
      <c r="N357" s="535"/>
      <c r="O357" s="535"/>
      <c r="P357" s="535"/>
      <c r="Q357" s="535"/>
      <c r="R357" s="535"/>
      <c r="S357" s="535"/>
      <c r="T357" s="535"/>
      <c r="U357" s="535"/>
      <c r="V357" s="535"/>
      <c r="W357" s="535"/>
      <c r="X357" s="535"/>
      <c r="Y357" s="536"/>
    </row>
    <row r="358" spans="1:25" ht="12.75">
      <c r="A358" s="532" t="s">
        <v>2799</v>
      </c>
      <c r="B358" s="532">
        <v>41200128</v>
      </c>
      <c r="C358" s="532" t="s">
        <v>1591</v>
      </c>
      <c r="D358" s="532" t="s">
        <v>6606</v>
      </c>
      <c r="E358" s="532" t="s">
        <v>1431</v>
      </c>
      <c r="F358" s="532" t="s">
        <v>2395</v>
      </c>
      <c r="G358" s="532" t="s">
        <v>2392</v>
      </c>
      <c r="H358" s="533"/>
      <c r="I358" s="532" t="s">
        <v>6604</v>
      </c>
      <c r="J358" s="534">
        <v>45882</v>
      </c>
      <c r="K358" s="535"/>
      <c r="L358" s="535"/>
      <c r="M358" s="535"/>
      <c r="N358" s="535"/>
      <c r="O358" s="535"/>
      <c r="P358" s="535"/>
      <c r="Q358" s="535"/>
      <c r="R358" s="535"/>
      <c r="S358" s="535"/>
      <c r="T358" s="535"/>
      <c r="U358" s="535"/>
      <c r="V358" s="535"/>
      <c r="W358" s="535"/>
      <c r="X358" s="535"/>
      <c r="Y358" s="536"/>
    </row>
    <row r="359" spans="1:25" ht="12.75">
      <c r="A359" s="532" t="s">
        <v>2794</v>
      </c>
      <c r="B359" s="532">
        <v>41200127</v>
      </c>
      <c r="C359" s="532" t="s">
        <v>1591</v>
      </c>
      <c r="D359" s="532" t="s">
        <v>6606</v>
      </c>
      <c r="E359" s="532" t="s">
        <v>1431</v>
      </c>
      <c r="F359" s="532" t="s">
        <v>2395</v>
      </c>
      <c r="G359" s="532" t="s">
        <v>1469</v>
      </c>
      <c r="H359" s="533"/>
      <c r="I359" s="532" t="s">
        <v>6604</v>
      </c>
      <c r="J359" s="534">
        <v>45882</v>
      </c>
      <c r="K359" s="535"/>
      <c r="L359" s="535"/>
      <c r="M359" s="535"/>
      <c r="N359" s="535"/>
      <c r="O359" s="535"/>
      <c r="P359" s="535"/>
      <c r="Q359" s="535"/>
      <c r="R359" s="535"/>
      <c r="S359" s="535"/>
      <c r="T359" s="535"/>
      <c r="U359" s="535"/>
      <c r="V359" s="535"/>
      <c r="W359" s="535"/>
      <c r="X359" s="535"/>
      <c r="Y359" s="536"/>
    </row>
    <row r="360" spans="1:25" ht="12.75">
      <c r="A360" s="532" t="s">
        <v>2816</v>
      </c>
      <c r="B360" s="532">
        <v>41000514</v>
      </c>
      <c r="C360" s="532" t="s">
        <v>1581</v>
      </c>
      <c r="D360" s="532" t="s">
        <v>6634</v>
      </c>
      <c r="E360" s="532" t="s">
        <v>1405</v>
      </c>
      <c r="F360" s="532" t="s">
        <v>2392</v>
      </c>
      <c r="G360" s="532" t="s">
        <v>2392</v>
      </c>
      <c r="H360" s="533"/>
      <c r="I360" s="532" t="s">
        <v>6604</v>
      </c>
      <c r="J360" s="534">
        <v>45882</v>
      </c>
      <c r="K360" s="535"/>
      <c r="L360" s="535"/>
      <c r="M360" s="535"/>
      <c r="N360" s="535"/>
      <c r="O360" s="535"/>
      <c r="P360" s="535"/>
      <c r="Q360" s="535"/>
      <c r="R360" s="535"/>
      <c r="S360" s="535"/>
      <c r="T360" s="535"/>
      <c r="U360" s="535"/>
      <c r="V360" s="535"/>
      <c r="W360" s="535"/>
      <c r="X360" s="535"/>
      <c r="Y360" s="536"/>
    </row>
    <row r="361" spans="1:25" ht="12.75">
      <c r="A361" s="532" t="s">
        <v>5188</v>
      </c>
      <c r="B361" s="532">
        <v>41200032</v>
      </c>
      <c r="C361" s="532" t="s">
        <v>1393</v>
      </c>
      <c r="D361" s="532" t="s">
        <v>6656</v>
      </c>
      <c r="E361" s="532" t="s">
        <v>1392</v>
      </c>
      <c r="F361" s="532" t="s">
        <v>2395</v>
      </c>
      <c r="G361" s="532" t="s">
        <v>1469</v>
      </c>
      <c r="H361" s="533"/>
      <c r="I361" s="532" t="s">
        <v>6604</v>
      </c>
      <c r="J361" s="534">
        <v>45882</v>
      </c>
      <c r="K361" s="535"/>
      <c r="L361" s="535"/>
      <c r="M361" s="535"/>
      <c r="N361" s="535"/>
      <c r="O361" s="535"/>
      <c r="P361" s="535"/>
      <c r="Q361" s="535"/>
      <c r="R361" s="535"/>
      <c r="S361" s="535"/>
      <c r="T361" s="535"/>
      <c r="U361" s="535"/>
      <c r="V361" s="535"/>
      <c r="W361" s="535"/>
      <c r="X361" s="535"/>
      <c r="Y361" s="536"/>
    </row>
    <row r="362" spans="1:25" ht="12.75">
      <c r="A362" s="532" t="s">
        <v>2792</v>
      </c>
      <c r="B362" s="532">
        <v>41200122</v>
      </c>
      <c r="C362" s="532" t="s">
        <v>1476</v>
      </c>
      <c r="D362" s="532" t="s">
        <v>1476</v>
      </c>
      <c r="E362" s="532" t="s">
        <v>1585</v>
      </c>
      <c r="F362" s="532" t="s">
        <v>2391</v>
      </c>
      <c r="G362" s="532" t="s">
        <v>1468</v>
      </c>
      <c r="H362" s="533"/>
      <c r="I362" s="532" t="s">
        <v>6604</v>
      </c>
      <c r="J362" s="534">
        <v>45882</v>
      </c>
      <c r="K362" s="535"/>
      <c r="L362" s="535"/>
      <c r="M362" s="535"/>
      <c r="N362" s="535"/>
      <c r="O362" s="535"/>
      <c r="P362" s="535"/>
      <c r="Q362" s="535"/>
      <c r="R362" s="535"/>
      <c r="S362" s="535"/>
      <c r="T362" s="535"/>
      <c r="U362" s="535"/>
      <c r="V362" s="535"/>
      <c r="W362" s="535"/>
      <c r="X362" s="535"/>
      <c r="Y362" s="536"/>
    </row>
    <row r="363" spans="1:25" ht="12.75">
      <c r="A363" s="532" t="s">
        <v>2802</v>
      </c>
      <c r="B363" s="532">
        <v>41200105</v>
      </c>
      <c r="C363" s="532" t="s">
        <v>1476</v>
      </c>
      <c r="D363" s="532" t="s">
        <v>1591</v>
      </c>
      <c r="E363" s="532" t="s">
        <v>1424</v>
      </c>
      <c r="F363" s="532" t="s">
        <v>2395</v>
      </c>
      <c r="G363" s="532" t="s">
        <v>1469</v>
      </c>
      <c r="H363" s="533"/>
      <c r="I363" s="532" t="s">
        <v>6604</v>
      </c>
      <c r="J363" s="534">
        <v>45876</v>
      </c>
      <c r="K363" s="535"/>
      <c r="L363" s="535"/>
      <c r="M363" s="535"/>
      <c r="N363" s="535"/>
      <c r="O363" s="535"/>
      <c r="P363" s="535"/>
      <c r="Q363" s="535"/>
      <c r="R363" s="535"/>
      <c r="S363" s="535"/>
      <c r="T363" s="535"/>
      <c r="U363" s="535"/>
      <c r="V363" s="535"/>
      <c r="W363" s="535"/>
      <c r="X363" s="535"/>
      <c r="Y363" s="536"/>
    </row>
    <row r="364" spans="1:25" ht="12.75">
      <c r="A364" s="532" t="s">
        <v>2851</v>
      </c>
      <c r="B364" s="532">
        <v>41100435</v>
      </c>
      <c r="C364" s="532" t="s">
        <v>3801</v>
      </c>
      <c r="D364" s="532" t="s">
        <v>1482</v>
      </c>
      <c r="E364" s="532" t="s">
        <v>1585</v>
      </c>
      <c r="F364" s="532" t="s">
        <v>2391</v>
      </c>
      <c r="G364" s="532" t="s">
        <v>1468</v>
      </c>
      <c r="H364" s="533"/>
      <c r="I364" s="532" t="s">
        <v>6604</v>
      </c>
      <c r="J364" s="534">
        <v>45876</v>
      </c>
      <c r="K364" s="535"/>
      <c r="L364" s="535"/>
      <c r="M364" s="535"/>
      <c r="N364" s="535"/>
      <c r="O364" s="535"/>
      <c r="P364" s="535"/>
      <c r="Q364" s="535"/>
      <c r="R364" s="535"/>
      <c r="S364" s="535"/>
      <c r="T364" s="535"/>
      <c r="U364" s="535"/>
      <c r="V364" s="535"/>
      <c r="W364" s="535"/>
      <c r="X364" s="535"/>
      <c r="Y364" s="536"/>
    </row>
    <row r="365" spans="1:25" ht="12.75">
      <c r="A365" s="532" t="s">
        <v>2809</v>
      </c>
      <c r="B365" s="532">
        <v>41200076</v>
      </c>
      <c r="C365" s="532" t="s">
        <v>1476</v>
      </c>
      <c r="D365" s="532" t="s">
        <v>1476</v>
      </c>
      <c r="E365" s="532" t="s">
        <v>1585</v>
      </c>
      <c r="F365" s="532" t="s">
        <v>2395</v>
      </c>
      <c r="G365" s="532" t="s">
        <v>1469</v>
      </c>
      <c r="H365" s="533"/>
      <c r="I365" s="532" t="s">
        <v>6604</v>
      </c>
      <c r="J365" s="534">
        <v>45876</v>
      </c>
      <c r="K365" s="535"/>
      <c r="L365" s="535"/>
      <c r="M365" s="535"/>
      <c r="N365" s="535"/>
      <c r="O365" s="535"/>
      <c r="P365" s="535"/>
      <c r="Q365" s="535"/>
      <c r="R365" s="535"/>
      <c r="S365" s="535"/>
      <c r="T365" s="535"/>
      <c r="U365" s="535"/>
      <c r="V365" s="535"/>
      <c r="W365" s="535"/>
      <c r="X365" s="535"/>
      <c r="Y365" s="536"/>
    </row>
    <row r="366" spans="1:25" ht="12.75">
      <c r="A366" s="532" t="s">
        <v>2787</v>
      </c>
      <c r="B366" s="532">
        <v>41200128</v>
      </c>
      <c r="C366" s="532" t="s">
        <v>1591</v>
      </c>
      <c r="D366" s="532" t="s">
        <v>6606</v>
      </c>
      <c r="E366" s="532" t="s">
        <v>1431</v>
      </c>
      <c r="F366" s="532" t="s">
        <v>2395</v>
      </c>
      <c r="G366" s="532" t="s">
        <v>2392</v>
      </c>
      <c r="H366" s="533"/>
      <c r="I366" s="532" t="s">
        <v>6604</v>
      </c>
      <c r="J366" s="534">
        <v>45876</v>
      </c>
      <c r="K366" s="535"/>
      <c r="L366" s="535"/>
      <c r="M366" s="535"/>
      <c r="N366" s="535"/>
      <c r="O366" s="535"/>
      <c r="P366" s="535"/>
      <c r="Q366" s="535"/>
      <c r="R366" s="535"/>
      <c r="S366" s="535"/>
      <c r="T366" s="535"/>
      <c r="U366" s="535"/>
      <c r="V366" s="535"/>
      <c r="W366" s="535"/>
      <c r="X366" s="535"/>
      <c r="Y366" s="536"/>
    </row>
    <row r="367" spans="1:25" ht="12.75">
      <c r="A367" s="532" t="s">
        <v>2801</v>
      </c>
      <c r="B367" s="532">
        <v>41200046</v>
      </c>
      <c r="C367" s="532" t="s">
        <v>1476</v>
      </c>
      <c r="D367" s="532" t="s">
        <v>1426</v>
      </c>
      <c r="E367" s="532" t="s">
        <v>1426</v>
      </c>
      <c r="F367" s="532" t="s">
        <v>2395</v>
      </c>
      <c r="G367" s="532" t="s">
        <v>1469</v>
      </c>
      <c r="H367" s="533"/>
      <c r="I367" s="532" t="s">
        <v>6604</v>
      </c>
      <c r="J367" s="534">
        <v>45876</v>
      </c>
      <c r="K367" s="535"/>
      <c r="L367" s="535"/>
      <c r="M367" s="535"/>
      <c r="N367" s="535"/>
      <c r="O367" s="535"/>
      <c r="P367" s="535"/>
      <c r="Q367" s="535"/>
      <c r="R367" s="535"/>
      <c r="S367" s="535"/>
      <c r="T367" s="535"/>
      <c r="U367" s="535"/>
      <c r="V367" s="535"/>
      <c r="W367" s="535"/>
      <c r="X367" s="535"/>
      <c r="Y367" s="536"/>
    </row>
    <row r="368" spans="1:25" ht="12.75">
      <c r="A368" s="532" t="s">
        <v>2801</v>
      </c>
      <c r="B368" s="532">
        <v>41200046</v>
      </c>
      <c r="C368" s="532" t="s">
        <v>1476</v>
      </c>
      <c r="D368" s="532" t="s">
        <v>1426</v>
      </c>
      <c r="E368" s="532" t="s">
        <v>1426</v>
      </c>
      <c r="F368" s="532" t="s">
        <v>2395</v>
      </c>
      <c r="G368" s="532" t="s">
        <v>1469</v>
      </c>
      <c r="H368" s="533"/>
      <c r="I368" s="532" t="s">
        <v>6604</v>
      </c>
      <c r="J368" s="534">
        <v>45876</v>
      </c>
      <c r="K368" s="535"/>
      <c r="L368" s="535"/>
      <c r="M368" s="535"/>
      <c r="N368" s="535"/>
      <c r="O368" s="535"/>
      <c r="P368" s="535"/>
      <c r="Q368" s="535"/>
      <c r="R368" s="535"/>
      <c r="S368" s="535"/>
      <c r="T368" s="535"/>
      <c r="U368" s="535"/>
      <c r="V368" s="535"/>
      <c r="W368" s="535"/>
      <c r="X368" s="535"/>
      <c r="Y368" s="536"/>
    </row>
    <row r="369" spans="1:25" ht="12.75">
      <c r="A369" s="532" t="s">
        <v>2800</v>
      </c>
      <c r="B369" s="532">
        <v>41200046</v>
      </c>
      <c r="C369" s="532" t="s">
        <v>1476</v>
      </c>
      <c r="D369" s="532" t="s">
        <v>1426</v>
      </c>
      <c r="E369" s="532" t="s">
        <v>1426</v>
      </c>
      <c r="F369" s="532" t="s">
        <v>2395</v>
      </c>
      <c r="G369" s="532" t="s">
        <v>1469</v>
      </c>
      <c r="H369" s="533"/>
      <c r="I369" s="532" t="s">
        <v>6604</v>
      </c>
      <c r="J369" s="534">
        <v>45876</v>
      </c>
      <c r="K369" s="535"/>
      <c r="L369" s="535"/>
      <c r="M369" s="535"/>
      <c r="N369" s="535"/>
      <c r="O369" s="535"/>
      <c r="P369" s="535"/>
      <c r="Q369" s="535"/>
      <c r="R369" s="535"/>
      <c r="S369" s="535"/>
      <c r="T369" s="535"/>
      <c r="U369" s="535"/>
      <c r="V369" s="535"/>
      <c r="W369" s="535"/>
      <c r="X369" s="535"/>
      <c r="Y369" s="536"/>
    </row>
    <row r="370" spans="1:25" ht="12.75">
      <c r="A370" s="532" t="s">
        <v>2841</v>
      </c>
      <c r="B370" s="532">
        <v>41100286</v>
      </c>
      <c r="C370" s="532" t="s">
        <v>1476</v>
      </c>
      <c r="D370" s="532" t="s">
        <v>6610</v>
      </c>
      <c r="E370" s="532" t="s">
        <v>1424</v>
      </c>
      <c r="F370" s="532" t="s">
        <v>2391</v>
      </c>
      <c r="G370" s="532" t="s">
        <v>1468</v>
      </c>
      <c r="H370" s="533"/>
      <c r="I370" s="532" t="s">
        <v>6604</v>
      </c>
      <c r="J370" s="534">
        <v>45876</v>
      </c>
      <c r="K370" s="535"/>
      <c r="L370" s="535"/>
      <c r="M370" s="535"/>
      <c r="N370" s="535"/>
      <c r="O370" s="535"/>
      <c r="P370" s="535"/>
      <c r="Q370" s="535"/>
      <c r="R370" s="535"/>
      <c r="S370" s="535"/>
      <c r="T370" s="535"/>
      <c r="U370" s="535"/>
      <c r="V370" s="535"/>
      <c r="W370" s="535"/>
      <c r="X370" s="535"/>
      <c r="Y370" s="536"/>
    </row>
    <row r="371" spans="1:25" ht="12.75">
      <c r="A371" s="532" t="s">
        <v>2808</v>
      </c>
      <c r="B371" s="532">
        <v>41100286</v>
      </c>
      <c r="C371" s="532" t="s">
        <v>1476</v>
      </c>
      <c r="D371" s="532" t="s">
        <v>6610</v>
      </c>
      <c r="E371" s="532" t="s">
        <v>1424</v>
      </c>
      <c r="F371" s="532" t="s">
        <v>2391</v>
      </c>
      <c r="G371" s="532" t="s">
        <v>1468</v>
      </c>
      <c r="H371" s="533"/>
      <c r="I371" s="532" t="s">
        <v>6604</v>
      </c>
      <c r="J371" s="534">
        <v>45876</v>
      </c>
      <c r="K371" s="535"/>
      <c r="L371" s="535"/>
      <c r="M371" s="535"/>
      <c r="N371" s="535"/>
      <c r="O371" s="535"/>
      <c r="P371" s="535"/>
      <c r="Q371" s="535"/>
      <c r="R371" s="535"/>
      <c r="S371" s="535"/>
      <c r="T371" s="535"/>
      <c r="U371" s="535"/>
      <c r="V371" s="535"/>
      <c r="W371" s="535"/>
      <c r="X371" s="535"/>
      <c r="Y371" s="536"/>
    </row>
    <row r="372" spans="1:25" ht="12.75">
      <c r="A372" s="532" t="s">
        <v>2795</v>
      </c>
      <c r="B372" s="532">
        <v>41100319</v>
      </c>
      <c r="C372" s="532" t="s">
        <v>1476</v>
      </c>
      <c r="D372" s="532" t="s">
        <v>1476</v>
      </c>
      <c r="E372" s="532" t="s">
        <v>1585</v>
      </c>
      <c r="F372" s="532" t="s">
        <v>2395</v>
      </c>
      <c r="G372" s="532" t="s">
        <v>2392</v>
      </c>
      <c r="H372" s="533"/>
      <c r="I372" s="532" t="s">
        <v>6604</v>
      </c>
      <c r="J372" s="534">
        <v>45876</v>
      </c>
      <c r="K372" s="535"/>
      <c r="L372" s="535"/>
      <c r="M372" s="535"/>
      <c r="N372" s="535"/>
      <c r="O372" s="535"/>
      <c r="P372" s="535"/>
      <c r="Q372" s="535"/>
      <c r="R372" s="535"/>
      <c r="S372" s="535"/>
      <c r="T372" s="535"/>
      <c r="U372" s="535"/>
      <c r="V372" s="535"/>
      <c r="W372" s="535"/>
      <c r="X372" s="535"/>
      <c r="Y372" s="536"/>
    </row>
    <row r="373" spans="1:25" ht="12.75">
      <c r="A373" s="532" t="s">
        <v>2791</v>
      </c>
      <c r="B373" s="532">
        <v>41200006</v>
      </c>
      <c r="C373" s="532" t="s">
        <v>1477</v>
      </c>
      <c r="D373" s="532" t="s">
        <v>6640</v>
      </c>
      <c r="E373" s="532" t="s">
        <v>1405</v>
      </c>
      <c r="F373" s="532" t="s">
        <v>2391</v>
      </c>
      <c r="G373" s="532" t="s">
        <v>1468</v>
      </c>
      <c r="H373" s="533"/>
      <c r="I373" s="532" t="s">
        <v>6604</v>
      </c>
      <c r="J373" s="534">
        <v>45876</v>
      </c>
      <c r="K373" s="535"/>
      <c r="L373" s="535"/>
      <c r="M373" s="535"/>
      <c r="N373" s="535"/>
      <c r="O373" s="535"/>
      <c r="P373" s="535"/>
      <c r="Q373" s="535"/>
      <c r="R373" s="535"/>
      <c r="S373" s="535"/>
      <c r="T373" s="535"/>
      <c r="U373" s="535"/>
      <c r="V373" s="535"/>
      <c r="W373" s="535"/>
      <c r="X373" s="535"/>
      <c r="Y373" s="536"/>
    </row>
    <row r="374" spans="1:25" ht="12.75">
      <c r="A374" s="532" t="s">
        <v>2790</v>
      </c>
      <c r="B374" s="532">
        <v>41200006</v>
      </c>
      <c r="C374" s="532" t="s">
        <v>1477</v>
      </c>
      <c r="D374" s="532" t="s">
        <v>6640</v>
      </c>
      <c r="E374" s="532" t="s">
        <v>1405</v>
      </c>
      <c r="F374" s="532" t="s">
        <v>2391</v>
      </c>
      <c r="G374" s="532" t="s">
        <v>1468</v>
      </c>
      <c r="H374" s="533"/>
      <c r="I374" s="532" t="s">
        <v>6604</v>
      </c>
      <c r="J374" s="534">
        <v>45876</v>
      </c>
      <c r="K374" s="535"/>
      <c r="L374" s="535"/>
      <c r="M374" s="535"/>
      <c r="N374" s="535"/>
      <c r="O374" s="535"/>
      <c r="P374" s="535"/>
      <c r="Q374" s="535"/>
      <c r="R374" s="535"/>
      <c r="S374" s="535"/>
      <c r="T374" s="535"/>
      <c r="U374" s="535"/>
      <c r="V374" s="535"/>
      <c r="W374" s="535"/>
      <c r="X374" s="535"/>
      <c r="Y374" s="536"/>
    </row>
    <row r="375" spans="1:25" ht="12.75">
      <c r="A375" s="532" t="s">
        <v>2782</v>
      </c>
      <c r="B375" s="532">
        <v>41200006</v>
      </c>
      <c r="C375" s="532" t="s">
        <v>1477</v>
      </c>
      <c r="D375" s="532" t="s">
        <v>6640</v>
      </c>
      <c r="E375" s="532" t="s">
        <v>1405</v>
      </c>
      <c r="F375" s="532" t="s">
        <v>2391</v>
      </c>
      <c r="G375" s="532" t="s">
        <v>1468</v>
      </c>
      <c r="H375" s="533"/>
      <c r="I375" s="532" t="s">
        <v>6604</v>
      </c>
      <c r="J375" s="534">
        <v>45876</v>
      </c>
      <c r="K375" s="535"/>
      <c r="L375" s="535"/>
      <c r="M375" s="535"/>
      <c r="N375" s="535"/>
      <c r="O375" s="535"/>
      <c r="P375" s="535"/>
      <c r="Q375" s="535"/>
      <c r="R375" s="535"/>
      <c r="S375" s="535"/>
      <c r="T375" s="535"/>
      <c r="U375" s="535"/>
      <c r="V375" s="535"/>
      <c r="W375" s="535"/>
      <c r="X375" s="535"/>
      <c r="Y375" s="536"/>
    </row>
    <row r="376" spans="1:25" ht="12.75">
      <c r="A376" s="532" t="s">
        <v>2781</v>
      </c>
      <c r="B376" s="532">
        <v>41200006</v>
      </c>
      <c r="C376" s="532" t="s">
        <v>1477</v>
      </c>
      <c r="D376" s="532" t="s">
        <v>6640</v>
      </c>
      <c r="E376" s="532" t="s">
        <v>1405</v>
      </c>
      <c r="F376" s="532" t="s">
        <v>2391</v>
      </c>
      <c r="G376" s="532" t="s">
        <v>1468</v>
      </c>
      <c r="H376" s="533"/>
      <c r="I376" s="532" t="s">
        <v>6604</v>
      </c>
      <c r="J376" s="534">
        <v>45876</v>
      </c>
      <c r="K376" s="535"/>
      <c r="L376" s="535"/>
      <c r="M376" s="535"/>
      <c r="N376" s="535"/>
      <c r="O376" s="535"/>
      <c r="P376" s="535"/>
      <c r="Q376" s="535"/>
      <c r="R376" s="535"/>
      <c r="S376" s="535"/>
      <c r="T376" s="535"/>
      <c r="U376" s="535"/>
      <c r="V376" s="535"/>
      <c r="W376" s="535"/>
      <c r="X376" s="535"/>
      <c r="Y376" s="536"/>
    </row>
    <row r="377" spans="1:25" ht="12.75">
      <c r="A377" s="532" t="s">
        <v>2789</v>
      </c>
      <c r="B377" s="532">
        <v>41200074</v>
      </c>
      <c r="C377" s="532" t="s">
        <v>1478</v>
      </c>
      <c r="D377" s="532" t="s">
        <v>6620</v>
      </c>
      <c r="E377" s="532" t="s">
        <v>1405</v>
      </c>
      <c r="F377" s="532" t="s">
        <v>2395</v>
      </c>
      <c r="G377" s="532" t="s">
        <v>2392</v>
      </c>
      <c r="H377" s="533"/>
      <c r="I377" s="532" t="s">
        <v>6604</v>
      </c>
      <c r="J377" s="534">
        <v>45876</v>
      </c>
      <c r="K377" s="535"/>
      <c r="L377" s="535"/>
      <c r="M377" s="535"/>
      <c r="N377" s="535"/>
      <c r="O377" s="535"/>
      <c r="P377" s="535"/>
      <c r="Q377" s="535"/>
      <c r="R377" s="535"/>
      <c r="S377" s="535"/>
      <c r="T377" s="535"/>
      <c r="U377" s="535"/>
      <c r="V377" s="535"/>
      <c r="W377" s="535"/>
      <c r="X377" s="535"/>
      <c r="Y377" s="536"/>
    </row>
    <row r="378" spans="1:25" ht="12.75">
      <c r="A378" s="532" t="s">
        <v>2788</v>
      </c>
      <c r="B378" s="532">
        <v>41200074</v>
      </c>
      <c r="C378" s="532" t="s">
        <v>1478</v>
      </c>
      <c r="D378" s="532" t="s">
        <v>6620</v>
      </c>
      <c r="E378" s="532" t="s">
        <v>1405</v>
      </c>
      <c r="F378" s="532" t="s">
        <v>2395</v>
      </c>
      <c r="G378" s="532" t="s">
        <v>2392</v>
      </c>
      <c r="H378" s="533"/>
      <c r="I378" s="532" t="s">
        <v>6604</v>
      </c>
      <c r="J378" s="534">
        <v>45876</v>
      </c>
      <c r="K378" s="535"/>
      <c r="L378" s="535"/>
      <c r="M378" s="535"/>
      <c r="N378" s="535"/>
      <c r="O378" s="535"/>
      <c r="P378" s="535"/>
      <c r="Q378" s="535"/>
      <c r="R378" s="535"/>
      <c r="S378" s="535"/>
      <c r="T378" s="535"/>
      <c r="U378" s="535"/>
      <c r="V378" s="535"/>
      <c r="W378" s="535"/>
      <c r="X378" s="535"/>
      <c r="Y378" s="536"/>
    </row>
    <row r="379" spans="1:25" ht="12.75">
      <c r="A379" s="532" t="s">
        <v>3029</v>
      </c>
      <c r="B379" s="532">
        <v>41200033</v>
      </c>
      <c r="C379" s="532" t="s">
        <v>1476</v>
      </c>
      <c r="D379" s="532" t="s">
        <v>6611</v>
      </c>
      <c r="E379" s="532" t="s">
        <v>1426</v>
      </c>
      <c r="F379" s="532" t="s">
        <v>2391</v>
      </c>
      <c r="G379" s="532" t="s">
        <v>1468</v>
      </c>
      <c r="H379" s="533"/>
      <c r="I379" s="532" t="s">
        <v>6604</v>
      </c>
      <c r="J379" s="534">
        <v>45876</v>
      </c>
      <c r="K379" s="535"/>
      <c r="L379" s="535"/>
      <c r="M379" s="535"/>
      <c r="N379" s="535"/>
      <c r="O379" s="535"/>
      <c r="P379" s="535"/>
      <c r="Q379" s="535"/>
      <c r="R379" s="535"/>
      <c r="S379" s="535"/>
      <c r="T379" s="535"/>
      <c r="U379" s="535"/>
      <c r="V379" s="535"/>
      <c r="W379" s="535"/>
      <c r="X379" s="535"/>
      <c r="Y379" s="536"/>
    </row>
    <row r="380" spans="1:25" ht="12.75">
      <c r="A380" s="532" t="s">
        <v>2785</v>
      </c>
      <c r="B380" s="532">
        <v>41200006</v>
      </c>
      <c r="C380" s="532" t="s">
        <v>1477</v>
      </c>
      <c r="D380" s="532" t="s">
        <v>6640</v>
      </c>
      <c r="E380" s="532" t="s">
        <v>1405</v>
      </c>
      <c r="F380" s="532" t="s">
        <v>2395</v>
      </c>
      <c r="G380" s="532" t="s">
        <v>1469</v>
      </c>
      <c r="H380" s="533"/>
      <c r="I380" s="532" t="s">
        <v>6604</v>
      </c>
      <c r="J380" s="534">
        <v>45876</v>
      </c>
      <c r="K380" s="535"/>
      <c r="L380" s="535"/>
      <c r="M380" s="535"/>
      <c r="N380" s="535"/>
      <c r="O380" s="535"/>
      <c r="P380" s="535"/>
      <c r="Q380" s="535"/>
      <c r="R380" s="535"/>
      <c r="S380" s="535"/>
      <c r="T380" s="535"/>
      <c r="U380" s="535"/>
      <c r="V380" s="535"/>
      <c r="W380" s="535"/>
      <c r="X380" s="535"/>
      <c r="Y380" s="536"/>
    </row>
    <row r="381" spans="1:25" ht="12.75">
      <c r="A381" s="532" t="s">
        <v>2783</v>
      </c>
      <c r="B381" s="532">
        <v>41200006</v>
      </c>
      <c r="C381" s="532" t="s">
        <v>1477</v>
      </c>
      <c r="D381" s="532" t="s">
        <v>6640</v>
      </c>
      <c r="E381" s="532" t="s">
        <v>1405</v>
      </c>
      <c r="F381" s="532" t="s">
        <v>2395</v>
      </c>
      <c r="G381" s="532" t="s">
        <v>1469</v>
      </c>
      <c r="H381" s="533"/>
      <c r="I381" s="532" t="s">
        <v>6604</v>
      </c>
      <c r="J381" s="534">
        <v>45876</v>
      </c>
      <c r="K381" s="535"/>
      <c r="L381" s="535"/>
      <c r="M381" s="535"/>
      <c r="N381" s="535"/>
      <c r="O381" s="535"/>
      <c r="P381" s="535"/>
      <c r="Q381" s="535"/>
      <c r="R381" s="535"/>
      <c r="S381" s="535"/>
      <c r="T381" s="535"/>
      <c r="U381" s="535"/>
      <c r="V381" s="535"/>
      <c r="W381" s="535"/>
      <c r="X381" s="535"/>
      <c r="Y381" s="536"/>
    </row>
    <row r="382" spans="1:25" ht="12.75">
      <c r="A382" s="532" t="s">
        <v>2774</v>
      </c>
      <c r="B382" s="532">
        <v>41200109</v>
      </c>
      <c r="C382" s="532" t="s">
        <v>1591</v>
      </c>
      <c r="D382" s="532" t="s">
        <v>6619</v>
      </c>
      <c r="E382" s="532" t="s">
        <v>1585</v>
      </c>
      <c r="F382" s="532" t="s">
        <v>2395</v>
      </c>
      <c r="G382" s="532" t="s">
        <v>2392</v>
      </c>
      <c r="H382" s="533"/>
      <c r="I382" s="532" t="s">
        <v>6604</v>
      </c>
      <c r="J382" s="534">
        <v>45876</v>
      </c>
      <c r="K382" s="535"/>
      <c r="L382" s="535"/>
      <c r="M382" s="535"/>
      <c r="N382" s="535"/>
      <c r="O382" s="535"/>
      <c r="P382" s="535"/>
      <c r="Q382" s="535"/>
      <c r="R382" s="535"/>
      <c r="S382" s="535"/>
      <c r="T382" s="535"/>
      <c r="U382" s="535"/>
      <c r="V382" s="535"/>
      <c r="W382" s="535"/>
      <c r="X382" s="535"/>
      <c r="Y382" s="536"/>
    </row>
    <row r="383" spans="1:25" ht="12.75">
      <c r="A383" s="532" t="s">
        <v>2773</v>
      </c>
      <c r="B383" s="532">
        <v>41200109</v>
      </c>
      <c r="C383" s="532" t="s">
        <v>1591</v>
      </c>
      <c r="D383" s="532" t="s">
        <v>6619</v>
      </c>
      <c r="E383" s="532" t="s">
        <v>1585</v>
      </c>
      <c r="F383" s="532" t="s">
        <v>2395</v>
      </c>
      <c r="G383" s="532" t="s">
        <v>2392</v>
      </c>
      <c r="H383" s="533"/>
      <c r="I383" s="532" t="s">
        <v>6604</v>
      </c>
      <c r="J383" s="534">
        <v>45876</v>
      </c>
      <c r="K383" s="535"/>
      <c r="L383" s="535"/>
      <c r="M383" s="535"/>
      <c r="N383" s="535"/>
      <c r="O383" s="535"/>
      <c r="P383" s="535"/>
      <c r="Q383" s="535"/>
      <c r="R383" s="535"/>
      <c r="S383" s="535"/>
      <c r="T383" s="535"/>
      <c r="U383" s="535"/>
      <c r="V383" s="535"/>
      <c r="W383" s="535"/>
      <c r="X383" s="535"/>
      <c r="Y383" s="536"/>
    </row>
    <row r="384" spans="1:25" ht="12.75">
      <c r="A384" s="532" t="s">
        <v>2762</v>
      </c>
      <c r="B384" s="532">
        <v>41200129</v>
      </c>
      <c r="C384" s="532" t="s">
        <v>1591</v>
      </c>
      <c r="D384" s="532" t="s">
        <v>6606</v>
      </c>
      <c r="E384" s="532" t="s">
        <v>1431</v>
      </c>
      <c r="F384" s="532" t="s">
        <v>2391</v>
      </c>
      <c r="G384" s="532" t="s">
        <v>1468</v>
      </c>
      <c r="H384" s="533"/>
      <c r="I384" s="532" t="s">
        <v>6604</v>
      </c>
      <c r="J384" s="534">
        <v>45876</v>
      </c>
      <c r="K384" s="535"/>
      <c r="L384" s="535"/>
      <c r="M384" s="535"/>
      <c r="N384" s="535"/>
      <c r="O384" s="535"/>
      <c r="P384" s="535"/>
      <c r="Q384" s="535"/>
      <c r="R384" s="535"/>
      <c r="S384" s="535"/>
      <c r="T384" s="535"/>
      <c r="U384" s="535"/>
      <c r="V384" s="535"/>
      <c r="W384" s="535"/>
      <c r="X384" s="535"/>
      <c r="Y384" s="536"/>
    </row>
    <row r="385" spans="1:25" ht="12.75">
      <c r="A385" s="532" t="s">
        <v>2761</v>
      </c>
      <c r="B385" s="532">
        <v>41200129</v>
      </c>
      <c r="C385" s="532" t="s">
        <v>1591</v>
      </c>
      <c r="D385" s="532" t="s">
        <v>6606</v>
      </c>
      <c r="E385" s="532" t="s">
        <v>1431</v>
      </c>
      <c r="F385" s="532" t="s">
        <v>2391</v>
      </c>
      <c r="G385" s="532" t="s">
        <v>1468</v>
      </c>
      <c r="H385" s="533"/>
      <c r="I385" s="532" t="s">
        <v>6604</v>
      </c>
      <c r="J385" s="534">
        <v>45876</v>
      </c>
      <c r="K385" s="535"/>
      <c r="L385" s="535"/>
      <c r="M385" s="535"/>
      <c r="N385" s="535"/>
      <c r="O385" s="535"/>
      <c r="P385" s="535"/>
      <c r="Q385" s="535"/>
      <c r="R385" s="535"/>
      <c r="S385" s="535"/>
      <c r="T385" s="535"/>
      <c r="U385" s="535"/>
      <c r="V385" s="535"/>
      <c r="W385" s="535"/>
      <c r="X385" s="535"/>
      <c r="Y385" s="536"/>
    </row>
    <row r="386" spans="1:25" ht="12.75">
      <c r="A386" s="532" t="s">
        <v>2779</v>
      </c>
      <c r="B386" s="532">
        <v>41100550</v>
      </c>
      <c r="C386" s="532" t="s">
        <v>1477</v>
      </c>
      <c r="D386" s="532" t="s">
        <v>6640</v>
      </c>
      <c r="E386" s="532" t="s">
        <v>1405</v>
      </c>
      <c r="F386" s="532" t="s">
        <v>2395</v>
      </c>
      <c r="G386" s="532" t="s">
        <v>1468</v>
      </c>
      <c r="H386" s="533"/>
      <c r="I386" s="532" t="s">
        <v>6604</v>
      </c>
      <c r="J386" s="534">
        <v>45876</v>
      </c>
      <c r="K386" s="535"/>
      <c r="L386" s="535"/>
      <c r="M386" s="535"/>
      <c r="N386" s="535"/>
      <c r="O386" s="535"/>
      <c r="P386" s="535"/>
      <c r="Q386" s="535"/>
      <c r="R386" s="535"/>
      <c r="S386" s="535"/>
      <c r="T386" s="535"/>
      <c r="U386" s="535"/>
      <c r="V386" s="535"/>
      <c r="W386" s="535"/>
      <c r="X386" s="535"/>
      <c r="Y386" s="536"/>
    </row>
    <row r="387" spans="1:25" ht="12.75">
      <c r="A387" s="532" t="s">
        <v>2777</v>
      </c>
      <c r="B387" s="532">
        <v>41100550</v>
      </c>
      <c r="C387" s="532" t="s">
        <v>1477</v>
      </c>
      <c r="D387" s="532" t="s">
        <v>6640</v>
      </c>
      <c r="E387" s="532" t="s">
        <v>1405</v>
      </c>
      <c r="F387" s="532" t="s">
        <v>2395</v>
      </c>
      <c r="G387" s="532" t="s">
        <v>1468</v>
      </c>
      <c r="H387" s="533"/>
      <c r="I387" s="532" t="s">
        <v>6604</v>
      </c>
      <c r="J387" s="534">
        <v>45876</v>
      </c>
      <c r="K387" s="535"/>
      <c r="L387" s="535"/>
      <c r="M387" s="535"/>
      <c r="N387" s="535"/>
      <c r="O387" s="535"/>
      <c r="P387" s="535"/>
      <c r="Q387" s="535"/>
      <c r="R387" s="535"/>
      <c r="S387" s="535"/>
      <c r="T387" s="535"/>
      <c r="U387" s="535"/>
      <c r="V387" s="535"/>
      <c r="W387" s="535"/>
      <c r="X387" s="535"/>
      <c r="Y387" s="536"/>
    </row>
    <row r="388" spans="1:25" ht="12.75">
      <c r="A388" s="532" t="s">
        <v>2768</v>
      </c>
      <c r="B388" s="532">
        <v>41200168</v>
      </c>
      <c r="C388" s="532" t="s">
        <v>1476</v>
      </c>
      <c r="D388" s="532" t="s">
        <v>1405</v>
      </c>
      <c r="E388" s="532" t="s">
        <v>1405</v>
      </c>
      <c r="F388" s="532" t="s">
        <v>2395</v>
      </c>
      <c r="G388" s="532" t="s">
        <v>1469</v>
      </c>
      <c r="H388" s="533"/>
      <c r="I388" s="532" t="s">
        <v>6604</v>
      </c>
      <c r="J388" s="534">
        <v>45876</v>
      </c>
      <c r="K388" s="535"/>
      <c r="L388" s="535"/>
      <c r="M388" s="535"/>
      <c r="N388" s="535"/>
      <c r="O388" s="535"/>
      <c r="P388" s="535"/>
      <c r="Q388" s="535"/>
      <c r="R388" s="535"/>
      <c r="S388" s="535"/>
      <c r="T388" s="535"/>
      <c r="U388" s="535"/>
      <c r="V388" s="535"/>
      <c r="W388" s="535"/>
      <c r="X388" s="535"/>
      <c r="Y388" s="536"/>
    </row>
    <row r="389" spans="1:25" ht="12.75">
      <c r="A389" s="532" t="s">
        <v>2767</v>
      </c>
      <c r="B389" s="532">
        <v>41200168</v>
      </c>
      <c r="C389" s="532" t="s">
        <v>1476</v>
      </c>
      <c r="D389" s="532" t="s">
        <v>1405</v>
      </c>
      <c r="E389" s="532" t="s">
        <v>1405</v>
      </c>
      <c r="F389" s="532" t="s">
        <v>2395</v>
      </c>
      <c r="G389" s="532" t="s">
        <v>1469</v>
      </c>
      <c r="H389" s="533"/>
      <c r="I389" s="532" t="s">
        <v>6604</v>
      </c>
      <c r="J389" s="534">
        <v>45876</v>
      </c>
      <c r="K389" s="535"/>
      <c r="L389" s="535"/>
      <c r="M389" s="535"/>
      <c r="N389" s="535"/>
      <c r="O389" s="535"/>
      <c r="P389" s="535"/>
      <c r="Q389" s="535"/>
      <c r="R389" s="535"/>
      <c r="S389" s="535"/>
      <c r="T389" s="535"/>
      <c r="U389" s="535"/>
      <c r="V389" s="535"/>
      <c r="W389" s="535"/>
      <c r="X389" s="535"/>
      <c r="Y389" s="536"/>
    </row>
    <row r="390" spans="1:25" ht="12.75">
      <c r="A390" s="532" t="s">
        <v>2763</v>
      </c>
      <c r="B390" s="532">
        <v>41200168</v>
      </c>
      <c r="C390" s="532" t="s">
        <v>1476</v>
      </c>
      <c r="D390" s="532" t="s">
        <v>1405</v>
      </c>
      <c r="E390" s="532" t="s">
        <v>1405</v>
      </c>
      <c r="F390" s="532" t="s">
        <v>2395</v>
      </c>
      <c r="G390" s="532" t="s">
        <v>1469</v>
      </c>
      <c r="H390" s="533"/>
      <c r="I390" s="532" t="s">
        <v>6604</v>
      </c>
      <c r="J390" s="534">
        <v>45876</v>
      </c>
      <c r="K390" s="535"/>
      <c r="L390" s="535"/>
      <c r="M390" s="535"/>
      <c r="N390" s="535"/>
      <c r="O390" s="535"/>
      <c r="P390" s="535"/>
      <c r="Q390" s="535"/>
      <c r="R390" s="535"/>
      <c r="S390" s="535"/>
      <c r="T390" s="535"/>
      <c r="U390" s="535"/>
      <c r="V390" s="535"/>
      <c r="W390" s="535"/>
      <c r="X390" s="535"/>
      <c r="Y390" s="536"/>
    </row>
    <row r="391" spans="1:25" ht="12.75">
      <c r="A391" s="532" t="s">
        <v>2748</v>
      </c>
      <c r="B391" s="532">
        <v>41200048</v>
      </c>
      <c r="C391" s="532" t="s">
        <v>1476</v>
      </c>
      <c r="D391" s="532" t="s">
        <v>1426</v>
      </c>
      <c r="E391" s="532" t="s">
        <v>1426</v>
      </c>
      <c r="F391" s="532" t="s">
        <v>2391</v>
      </c>
      <c r="G391" s="532" t="s">
        <v>1468</v>
      </c>
      <c r="H391" s="533"/>
      <c r="I391" s="532" t="s">
        <v>6604</v>
      </c>
      <c r="J391" s="534">
        <v>45876</v>
      </c>
      <c r="K391" s="535"/>
      <c r="L391" s="535"/>
      <c r="M391" s="535"/>
      <c r="N391" s="535"/>
      <c r="O391" s="535"/>
      <c r="P391" s="535"/>
      <c r="Q391" s="535"/>
      <c r="R391" s="535"/>
      <c r="S391" s="535"/>
      <c r="T391" s="535"/>
      <c r="U391" s="535"/>
      <c r="V391" s="535"/>
      <c r="W391" s="535"/>
      <c r="X391" s="535"/>
      <c r="Y391" s="536"/>
    </row>
    <row r="392" spans="1:25" ht="12.75">
      <c r="A392" s="532" t="s">
        <v>2747</v>
      </c>
      <c r="B392" s="532">
        <v>41200048</v>
      </c>
      <c r="C392" s="532" t="s">
        <v>1476</v>
      </c>
      <c r="D392" s="532" t="s">
        <v>1426</v>
      </c>
      <c r="E392" s="532" t="s">
        <v>1426</v>
      </c>
      <c r="F392" s="532" t="s">
        <v>2391</v>
      </c>
      <c r="G392" s="532" t="s">
        <v>1468</v>
      </c>
      <c r="H392" s="533"/>
      <c r="I392" s="532" t="s">
        <v>6604</v>
      </c>
      <c r="J392" s="534">
        <v>45876</v>
      </c>
      <c r="K392" s="535"/>
      <c r="L392" s="535"/>
      <c r="M392" s="535"/>
      <c r="N392" s="535"/>
      <c r="O392" s="535"/>
      <c r="P392" s="535"/>
      <c r="Q392" s="535"/>
      <c r="R392" s="535"/>
      <c r="S392" s="535"/>
      <c r="T392" s="535"/>
      <c r="U392" s="535"/>
      <c r="V392" s="535"/>
      <c r="W392" s="535"/>
      <c r="X392" s="535"/>
      <c r="Y392" s="536"/>
    </row>
    <row r="393" spans="1:25" ht="12.75">
      <c r="A393" s="532" t="s">
        <v>2754</v>
      </c>
      <c r="B393" s="532">
        <v>41200038</v>
      </c>
      <c r="C393" s="532" t="s">
        <v>1476</v>
      </c>
      <c r="D393" s="532" t="s">
        <v>1426</v>
      </c>
      <c r="E393" s="532" t="s">
        <v>1426</v>
      </c>
      <c r="F393" s="532" t="s">
        <v>2395</v>
      </c>
      <c r="G393" s="532" t="s">
        <v>2392</v>
      </c>
      <c r="H393" s="533"/>
      <c r="I393" s="532" t="s">
        <v>6604</v>
      </c>
      <c r="J393" s="534">
        <v>45876</v>
      </c>
      <c r="K393" s="535"/>
      <c r="L393" s="535"/>
      <c r="M393" s="535"/>
      <c r="N393" s="535"/>
      <c r="O393" s="535"/>
      <c r="P393" s="535"/>
      <c r="Q393" s="535"/>
      <c r="R393" s="535"/>
      <c r="S393" s="535"/>
      <c r="T393" s="535"/>
      <c r="U393" s="535"/>
      <c r="V393" s="535"/>
      <c r="W393" s="535"/>
      <c r="X393" s="535"/>
      <c r="Y393" s="536"/>
    </row>
    <row r="394" spans="1:25" ht="12.75">
      <c r="A394" s="532" t="s">
        <v>2786</v>
      </c>
      <c r="B394" s="532">
        <v>41100227</v>
      </c>
      <c r="C394" s="532" t="s">
        <v>1476</v>
      </c>
      <c r="D394" s="533"/>
      <c r="E394" s="532" t="s">
        <v>1424</v>
      </c>
      <c r="F394" s="532" t="s">
        <v>2395</v>
      </c>
      <c r="G394" s="532" t="s">
        <v>1469</v>
      </c>
      <c r="H394" s="533"/>
      <c r="I394" s="532" t="s">
        <v>6604</v>
      </c>
      <c r="J394" s="534">
        <v>45876</v>
      </c>
      <c r="K394" s="535"/>
      <c r="L394" s="535"/>
      <c r="M394" s="535"/>
      <c r="N394" s="535"/>
      <c r="O394" s="535"/>
      <c r="P394" s="535"/>
      <c r="Q394" s="535"/>
      <c r="R394" s="535"/>
      <c r="S394" s="535"/>
      <c r="T394" s="535"/>
      <c r="U394" s="535"/>
      <c r="V394" s="535"/>
      <c r="W394" s="535"/>
      <c r="X394" s="535"/>
      <c r="Y394" s="536"/>
    </row>
    <row r="395" spans="1:25" ht="12.75">
      <c r="A395" s="532" t="s">
        <v>2772</v>
      </c>
      <c r="B395" s="532">
        <v>41200109</v>
      </c>
      <c r="C395" s="532" t="s">
        <v>1591</v>
      </c>
      <c r="D395" s="532" t="s">
        <v>6619</v>
      </c>
      <c r="E395" s="532" t="s">
        <v>1585</v>
      </c>
      <c r="F395" s="532" t="s">
        <v>2391</v>
      </c>
      <c r="G395" s="532" t="s">
        <v>2392</v>
      </c>
      <c r="H395" s="532" t="s">
        <v>2392</v>
      </c>
      <c r="I395" s="532" t="s">
        <v>6604</v>
      </c>
      <c r="J395" s="534">
        <v>45876</v>
      </c>
      <c r="K395" s="535"/>
      <c r="L395" s="535"/>
      <c r="M395" s="535"/>
      <c r="N395" s="535"/>
      <c r="O395" s="535"/>
      <c r="P395" s="535"/>
      <c r="Q395" s="535"/>
      <c r="R395" s="535"/>
      <c r="S395" s="535"/>
      <c r="T395" s="535"/>
      <c r="U395" s="535"/>
      <c r="V395" s="535"/>
      <c r="W395" s="535"/>
      <c r="X395" s="535"/>
      <c r="Y395" s="536"/>
    </row>
    <row r="396" spans="1:25" ht="12.75">
      <c r="A396" s="532" t="s">
        <v>2771</v>
      </c>
      <c r="B396" s="532">
        <v>41200109</v>
      </c>
      <c r="C396" s="532" t="s">
        <v>1591</v>
      </c>
      <c r="D396" s="532" t="s">
        <v>6619</v>
      </c>
      <c r="E396" s="532" t="s">
        <v>1585</v>
      </c>
      <c r="F396" s="532" t="s">
        <v>2391</v>
      </c>
      <c r="G396" s="532" t="s">
        <v>2392</v>
      </c>
      <c r="H396" s="532" t="s">
        <v>2392</v>
      </c>
      <c r="I396" s="532" t="s">
        <v>6604</v>
      </c>
      <c r="J396" s="534">
        <v>45876</v>
      </c>
      <c r="K396" s="535"/>
      <c r="L396" s="535"/>
      <c r="M396" s="535"/>
      <c r="N396" s="535"/>
      <c r="O396" s="535"/>
      <c r="P396" s="535"/>
      <c r="Q396" s="535"/>
      <c r="R396" s="535"/>
      <c r="S396" s="535"/>
      <c r="T396" s="535"/>
      <c r="U396" s="535"/>
      <c r="V396" s="535"/>
      <c r="W396" s="535"/>
      <c r="X396" s="535"/>
      <c r="Y396" s="536"/>
    </row>
    <row r="397" spans="1:25" ht="12.75">
      <c r="A397" s="532" t="s">
        <v>2756</v>
      </c>
      <c r="B397" s="532">
        <v>41100435</v>
      </c>
      <c r="C397" s="532" t="s">
        <v>3801</v>
      </c>
      <c r="D397" s="532" t="s">
        <v>1482</v>
      </c>
      <c r="E397" s="532" t="s">
        <v>1585</v>
      </c>
      <c r="F397" s="532" t="s">
        <v>2391</v>
      </c>
      <c r="G397" s="532" t="s">
        <v>1468</v>
      </c>
      <c r="H397" s="533"/>
      <c r="I397" s="532" t="s">
        <v>6604</v>
      </c>
      <c r="J397" s="534">
        <v>45876</v>
      </c>
      <c r="K397" s="535"/>
      <c r="L397" s="535"/>
      <c r="M397" s="535"/>
      <c r="N397" s="535"/>
      <c r="O397" s="535"/>
      <c r="P397" s="535"/>
      <c r="Q397" s="535"/>
      <c r="R397" s="535"/>
      <c r="S397" s="535"/>
      <c r="T397" s="535"/>
      <c r="U397" s="535"/>
      <c r="V397" s="535"/>
      <c r="W397" s="535"/>
      <c r="X397" s="535"/>
      <c r="Y397" s="536"/>
    </row>
    <row r="398" spans="1:25" ht="12.75">
      <c r="A398" s="532" t="s">
        <v>2757</v>
      </c>
      <c r="B398" s="532">
        <v>41100435</v>
      </c>
      <c r="C398" s="532" t="s">
        <v>3801</v>
      </c>
      <c r="D398" s="532" t="s">
        <v>1482</v>
      </c>
      <c r="E398" s="532" t="s">
        <v>1585</v>
      </c>
      <c r="F398" s="532" t="s">
        <v>2391</v>
      </c>
      <c r="G398" s="532" t="s">
        <v>1468</v>
      </c>
      <c r="H398" s="533"/>
      <c r="I398" s="532" t="s">
        <v>6604</v>
      </c>
      <c r="J398" s="534">
        <v>45876</v>
      </c>
      <c r="K398" s="535"/>
      <c r="L398" s="535"/>
      <c r="M398" s="535"/>
      <c r="N398" s="535"/>
      <c r="O398" s="535"/>
      <c r="P398" s="535"/>
      <c r="Q398" s="535"/>
      <c r="R398" s="535"/>
      <c r="S398" s="535"/>
      <c r="T398" s="535"/>
      <c r="U398" s="535"/>
      <c r="V398" s="535"/>
      <c r="W398" s="535"/>
      <c r="X398" s="535"/>
      <c r="Y398" s="536"/>
    </row>
    <row r="399" spans="1:25" ht="12.75">
      <c r="A399" s="532" t="s">
        <v>2760</v>
      </c>
      <c r="B399" s="532">
        <v>41200047</v>
      </c>
      <c r="C399" s="532" t="s">
        <v>1476</v>
      </c>
      <c r="D399" s="532" t="s">
        <v>1426</v>
      </c>
      <c r="E399" s="532" t="s">
        <v>1426</v>
      </c>
      <c r="F399" s="532" t="s">
        <v>2395</v>
      </c>
      <c r="G399" s="532" t="s">
        <v>1469</v>
      </c>
      <c r="H399" s="532" t="s">
        <v>2392</v>
      </c>
      <c r="I399" s="532" t="s">
        <v>6604</v>
      </c>
      <c r="J399" s="534">
        <v>45869</v>
      </c>
      <c r="K399" s="535"/>
      <c r="L399" s="535"/>
      <c r="M399" s="535"/>
      <c r="N399" s="535"/>
      <c r="O399" s="535"/>
      <c r="P399" s="535"/>
      <c r="Q399" s="535"/>
      <c r="R399" s="535"/>
      <c r="S399" s="535"/>
      <c r="T399" s="535"/>
      <c r="U399" s="535"/>
      <c r="V399" s="535"/>
      <c r="W399" s="535"/>
      <c r="X399" s="535"/>
      <c r="Y399" s="536"/>
    </row>
    <row r="400" spans="1:25" ht="12.75">
      <c r="A400" s="532" t="s">
        <v>2753</v>
      </c>
      <c r="B400" s="532">
        <v>41200047</v>
      </c>
      <c r="C400" s="532" t="s">
        <v>1476</v>
      </c>
      <c r="D400" s="532" t="s">
        <v>1426</v>
      </c>
      <c r="E400" s="532" t="s">
        <v>1426</v>
      </c>
      <c r="F400" s="532" t="s">
        <v>2395</v>
      </c>
      <c r="G400" s="532" t="s">
        <v>1469</v>
      </c>
      <c r="H400" s="532" t="s">
        <v>2392</v>
      </c>
      <c r="I400" s="532" t="s">
        <v>6604</v>
      </c>
      <c r="J400" s="534">
        <v>45869</v>
      </c>
      <c r="K400" s="535"/>
      <c r="L400" s="535"/>
      <c r="M400" s="535"/>
      <c r="N400" s="535"/>
      <c r="O400" s="535"/>
      <c r="P400" s="535"/>
      <c r="Q400" s="535"/>
      <c r="R400" s="535"/>
      <c r="S400" s="535"/>
      <c r="T400" s="535"/>
      <c r="U400" s="535"/>
      <c r="V400" s="535"/>
      <c r="W400" s="535"/>
      <c r="X400" s="535"/>
      <c r="Y400" s="536"/>
    </row>
    <row r="401" spans="1:25" ht="12.75">
      <c r="A401" s="532" t="s">
        <v>2759</v>
      </c>
      <c r="B401" s="532">
        <v>41200047</v>
      </c>
      <c r="C401" s="532" t="s">
        <v>1476</v>
      </c>
      <c r="D401" s="532" t="s">
        <v>1426</v>
      </c>
      <c r="E401" s="532" t="s">
        <v>1426</v>
      </c>
      <c r="F401" s="532" t="s">
        <v>2395</v>
      </c>
      <c r="G401" s="532" t="s">
        <v>1469</v>
      </c>
      <c r="H401" s="532" t="s">
        <v>2392</v>
      </c>
      <c r="I401" s="532" t="s">
        <v>6604</v>
      </c>
      <c r="J401" s="534">
        <v>45869</v>
      </c>
      <c r="K401" s="535"/>
      <c r="L401" s="535"/>
      <c r="M401" s="535"/>
      <c r="N401" s="535"/>
      <c r="O401" s="535"/>
      <c r="P401" s="535"/>
      <c r="Q401" s="535"/>
      <c r="R401" s="535"/>
      <c r="S401" s="535"/>
      <c r="T401" s="535"/>
      <c r="U401" s="535"/>
      <c r="V401" s="535"/>
      <c r="W401" s="535"/>
      <c r="X401" s="535"/>
      <c r="Y401" s="536"/>
    </row>
    <row r="402" spans="1:25" ht="12.75">
      <c r="A402" s="532" t="s">
        <v>2758</v>
      </c>
      <c r="B402" s="532">
        <v>41200021</v>
      </c>
      <c r="C402" s="532" t="s">
        <v>1476</v>
      </c>
      <c r="D402" s="532" t="s">
        <v>1591</v>
      </c>
      <c r="E402" s="532" t="s">
        <v>1424</v>
      </c>
      <c r="F402" s="532" t="s">
        <v>2391</v>
      </c>
      <c r="G402" s="532" t="s">
        <v>1468</v>
      </c>
      <c r="H402" s="532" t="s">
        <v>2392</v>
      </c>
      <c r="I402" s="532" t="s">
        <v>6604</v>
      </c>
      <c r="J402" s="534">
        <v>45869</v>
      </c>
      <c r="K402" s="535"/>
      <c r="L402" s="535"/>
      <c r="M402" s="535"/>
      <c r="N402" s="535"/>
      <c r="O402" s="535"/>
      <c r="P402" s="535"/>
      <c r="Q402" s="535"/>
      <c r="R402" s="535"/>
      <c r="S402" s="535"/>
      <c r="T402" s="535"/>
      <c r="U402" s="535"/>
      <c r="V402" s="535"/>
      <c r="W402" s="535"/>
      <c r="X402" s="535"/>
      <c r="Y402" s="536"/>
    </row>
    <row r="403" spans="1:25" ht="12.75">
      <c r="A403" s="532" t="s">
        <v>2737</v>
      </c>
      <c r="B403" s="532">
        <v>41200166</v>
      </c>
      <c r="C403" s="532" t="s">
        <v>1476</v>
      </c>
      <c r="D403" s="532" t="s">
        <v>6659</v>
      </c>
      <c r="E403" s="532" t="s">
        <v>1422</v>
      </c>
      <c r="F403" s="532" t="s">
        <v>2391</v>
      </c>
      <c r="G403" s="532" t="s">
        <v>2392</v>
      </c>
      <c r="H403" s="532" t="s">
        <v>2392</v>
      </c>
      <c r="I403" s="532" t="s">
        <v>6604</v>
      </c>
      <c r="J403" s="534">
        <v>45869</v>
      </c>
      <c r="K403" s="535"/>
      <c r="L403" s="535"/>
      <c r="M403" s="535"/>
      <c r="N403" s="535"/>
      <c r="O403" s="535"/>
      <c r="P403" s="535"/>
      <c r="Q403" s="535"/>
      <c r="R403" s="535"/>
      <c r="S403" s="535"/>
      <c r="T403" s="535"/>
      <c r="U403" s="535"/>
      <c r="V403" s="535"/>
      <c r="W403" s="535"/>
      <c r="X403" s="535"/>
      <c r="Y403" s="536"/>
    </row>
    <row r="404" spans="1:25" ht="12.75">
      <c r="A404" s="532" t="s">
        <v>2752</v>
      </c>
      <c r="B404" s="532">
        <v>41200006</v>
      </c>
      <c r="C404" s="532" t="s">
        <v>1477</v>
      </c>
      <c r="D404" s="532" t="s">
        <v>6640</v>
      </c>
      <c r="E404" s="532" t="s">
        <v>1405</v>
      </c>
      <c r="F404" s="532" t="s">
        <v>2395</v>
      </c>
      <c r="G404" s="532" t="s">
        <v>1469</v>
      </c>
      <c r="H404" s="532" t="s">
        <v>2392</v>
      </c>
      <c r="I404" s="532" t="s">
        <v>6604</v>
      </c>
      <c r="J404" s="534">
        <v>45869</v>
      </c>
      <c r="K404" s="535"/>
      <c r="L404" s="535"/>
      <c r="M404" s="535"/>
      <c r="N404" s="535"/>
      <c r="O404" s="535"/>
      <c r="P404" s="535"/>
      <c r="Q404" s="535"/>
      <c r="R404" s="535"/>
      <c r="S404" s="535"/>
      <c r="T404" s="535"/>
      <c r="U404" s="535"/>
      <c r="V404" s="535"/>
      <c r="W404" s="535"/>
      <c r="X404" s="535"/>
      <c r="Y404" s="536"/>
    </row>
    <row r="405" spans="1:25" ht="12.75">
      <c r="A405" s="532" t="s">
        <v>2751</v>
      </c>
      <c r="B405" s="532">
        <v>41200006</v>
      </c>
      <c r="C405" s="532" t="s">
        <v>1477</v>
      </c>
      <c r="D405" s="532" t="s">
        <v>6640</v>
      </c>
      <c r="E405" s="532" t="s">
        <v>1405</v>
      </c>
      <c r="F405" s="532" t="s">
        <v>2395</v>
      </c>
      <c r="G405" s="532" t="s">
        <v>1469</v>
      </c>
      <c r="H405" s="532" t="s">
        <v>2392</v>
      </c>
      <c r="I405" s="532" t="s">
        <v>6604</v>
      </c>
      <c r="J405" s="534">
        <v>45869</v>
      </c>
      <c r="K405" s="535"/>
      <c r="L405" s="535"/>
      <c r="M405" s="535"/>
      <c r="N405" s="535"/>
      <c r="O405" s="535"/>
      <c r="P405" s="535"/>
      <c r="Q405" s="535"/>
      <c r="R405" s="535"/>
      <c r="S405" s="535"/>
      <c r="T405" s="535"/>
      <c r="U405" s="535"/>
      <c r="V405" s="535"/>
      <c r="W405" s="535"/>
      <c r="X405" s="535"/>
      <c r="Y405" s="536"/>
    </row>
    <row r="406" spans="1:25" ht="12.75">
      <c r="A406" s="532" t="s">
        <v>2739</v>
      </c>
      <c r="B406" s="532">
        <v>41000514</v>
      </c>
      <c r="C406" s="532" t="s">
        <v>1581</v>
      </c>
      <c r="D406" s="532" t="s">
        <v>6634</v>
      </c>
      <c r="E406" s="532" t="s">
        <v>1405</v>
      </c>
      <c r="F406" s="532" t="s">
        <v>2395</v>
      </c>
      <c r="G406" s="532" t="s">
        <v>2392</v>
      </c>
      <c r="H406" s="533"/>
      <c r="I406" s="532" t="s">
        <v>6604</v>
      </c>
      <c r="J406" s="534">
        <v>45869</v>
      </c>
      <c r="K406" s="535"/>
      <c r="L406" s="535"/>
      <c r="M406" s="535"/>
      <c r="N406" s="535"/>
      <c r="O406" s="535"/>
      <c r="P406" s="535"/>
      <c r="Q406" s="535"/>
      <c r="R406" s="535"/>
      <c r="S406" s="535"/>
      <c r="T406" s="535"/>
      <c r="U406" s="535"/>
      <c r="V406" s="535"/>
      <c r="W406" s="535"/>
      <c r="X406" s="535"/>
      <c r="Y406" s="536"/>
    </row>
    <row r="407" spans="1:25" ht="12.75">
      <c r="A407" s="532" t="s">
        <v>2738</v>
      </c>
      <c r="B407" s="532">
        <v>41200137</v>
      </c>
      <c r="C407" s="532" t="s">
        <v>1911</v>
      </c>
      <c r="D407" s="532" t="s">
        <v>1911</v>
      </c>
      <c r="E407" s="532" t="s">
        <v>1405</v>
      </c>
      <c r="F407" s="532" t="s">
        <v>2392</v>
      </c>
      <c r="G407" s="532" t="s">
        <v>2392</v>
      </c>
      <c r="H407" s="533"/>
      <c r="I407" s="532" t="s">
        <v>6604</v>
      </c>
      <c r="J407" s="534">
        <v>45869</v>
      </c>
      <c r="K407" s="535"/>
      <c r="L407" s="535"/>
      <c r="M407" s="535"/>
      <c r="N407" s="535"/>
      <c r="O407" s="535"/>
      <c r="P407" s="535"/>
      <c r="Q407" s="535"/>
      <c r="R407" s="535"/>
      <c r="S407" s="535"/>
      <c r="T407" s="535"/>
      <c r="U407" s="535"/>
      <c r="V407" s="535"/>
      <c r="W407" s="535"/>
      <c r="X407" s="535"/>
      <c r="Y407" s="536"/>
    </row>
    <row r="408" spans="1:25" ht="12.75">
      <c r="A408" s="532" t="s">
        <v>2742</v>
      </c>
      <c r="B408" s="532">
        <v>41000584</v>
      </c>
      <c r="C408" s="532" t="s">
        <v>1911</v>
      </c>
      <c r="D408" s="532" t="s">
        <v>6658</v>
      </c>
      <c r="E408" s="532" t="s">
        <v>1405</v>
      </c>
      <c r="F408" s="532" t="s">
        <v>2391</v>
      </c>
      <c r="G408" s="532" t="s">
        <v>1468</v>
      </c>
      <c r="H408" s="533"/>
      <c r="I408" s="532" t="s">
        <v>6604</v>
      </c>
      <c r="J408" s="534">
        <v>45869</v>
      </c>
      <c r="K408" s="535"/>
      <c r="L408" s="535"/>
      <c r="M408" s="535"/>
      <c r="N408" s="535"/>
      <c r="O408" s="535"/>
      <c r="P408" s="535"/>
      <c r="Q408" s="535"/>
      <c r="R408" s="535"/>
      <c r="S408" s="535"/>
      <c r="T408" s="535"/>
      <c r="U408" s="535"/>
      <c r="V408" s="535"/>
      <c r="W408" s="535"/>
      <c r="X408" s="535"/>
      <c r="Y408" s="536"/>
    </row>
    <row r="409" spans="1:25" ht="12.75">
      <c r="A409" s="532" t="s">
        <v>3210</v>
      </c>
      <c r="B409" s="532">
        <v>41200007</v>
      </c>
      <c r="C409" s="532" t="s">
        <v>1591</v>
      </c>
      <c r="D409" s="532" t="s">
        <v>6608</v>
      </c>
      <c r="E409" s="532" t="s">
        <v>1405</v>
      </c>
      <c r="F409" s="532" t="s">
        <v>2395</v>
      </c>
      <c r="G409" s="532" t="s">
        <v>1469</v>
      </c>
      <c r="H409" s="532" t="s">
        <v>2392</v>
      </c>
      <c r="I409" s="532" t="s">
        <v>6604</v>
      </c>
      <c r="J409" s="534">
        <v>45869</v>
      </c>
      <c r="K409" s="535"/>
      <c r="L409" s="535"/>
      <c r="M409" s="535"/>
      <c r="N409" s="535"/>
      <c r="O409" s="535"/>
      <c r="P409" s="535"/>
      <c r="Q409" s="535"/>
      <c r="R409" s="535"/>
      <c r="S409" s="535"/>
      <c r="T409" s="535"/>
      <c r="U409" s="535"/>
      <c r="V409" s="535"/>
      <c r="W409" s="535"/>
      <c r="X409" s="535"/>
      <c r="Y409" s="536"/>
    </row>
    <row r="410" spans="1:25" ht="12.75">
      <c r="A410" s="532" t="s">
        <v>3190</v>
      </c>
      <c r="B410" s="532">
        <v>41200007</v>
      </c>
      <c r="C410" s="532" t="s">
        <v>1591</v>
      </c>
      <c r="D410" s="532" t="s">
        <v>6608</v>
      </c>
      <c r="E410" s="532" t="s">
        <v>1405</v>
      </c>
      <c r="F410" s="532" t="s">
        <v>2395</v>
      </c>
      <c r="G410" s="532" t="s">
        <v>1469</v>
      </c>
      <c r="H410" s="532" t="s">
        <v>2392</v>
      </c>
      <c r="I410" s="532" t="s">
        <v>6604</v>
      </c>
      <c r="J410" s="534">
        <v>45869</v>
      </c>
      <c r="K410" s="535"/>
      <c r="L410" s="535"/>
      <c r="M410" s="535"/>
      <c r="N410" s="535"/>
      <c r="O410" s="535"/>
      <c r="P410" s="535"/>
      <c r="Q410" s="535"/>
      <c r="R410" s="535"/>
      <c r="S410" s="535"/>
      <c r="T410" s="535"/>
      <c r="U410" s="535"/>
      <c r="V410" s="535"/>
      <c r="W410" s="535"/>
      <c r="X410" s="535"/>
      <c r="Y410" s="536"/>
    </row>
    <row r="411" spans="1:25" ht="12.75">
      <c r="A411" s="532" t="s">
        <v>3058</v>
      </c>
      <c r="B411" s="532">
        <v>41200007</v>
      </c>
      <c r="C411" s="532" t="s">
        <v>1591</v>
      </c>
      <c r="D411" s="532" t="s">
        <v>6608</v>
      </c>
      <c r="E411" s="532" t="s">
        <v>1405</v>
      </c>
      <c r="F411" s="532" t="s">
        <v>2395</v>
      </c>
      <c r="G411" s="532" t="s">
        <v>1469</v>
      </c>
      <c r="H411" s="532" t="s">
        <v>2392</v>
      </c>
      <c r="I411" s="532" t="s">
        <v>6604</v>
      </c>
      <c r="J411" s="534">
        <v>45869</v>
      </c>
      <c r="K411" s="535"/>
      <c r="L411" s="535"/>
      <c r="M411" s="535"/>
      <c r="N411" s="535"/>
      <c r="O411" s="535"/>
      <c r="P411" s="535"/>
      <c r="Q411" s="535"/>
      <c r="R411" s="535"/>
      <c r="S411" s="535"/>
      <c r="T411" s="535"/>
      <c r="U411" s="535"/>
      <c r="V411" s="535"/>
      <c r="W411" s="535"/>
      <c r="X411" s="535"/>
      <c r="Y411" s="536"/>
    </row>
    <row r="412" spans="1:25" ht="12.75">
      <c r="A412" s="532" t="s">
        <v>3056</v>
      </c>
      <c r="B412" s="532">
        <v>41200007</v>
      </c>
      <c r="C412" s="532" t="s">
        <v>1591</v>
      </c>
      <c r="D412" s="532" t="s">
        <v>6608</v>
      </c>
      <c r="E412" s="532" t="s">
        <v>1405</v>
      </c>
      <c r="F412" s="532" t="s">
        <v>2395</v>
      </c>
      <c r="G412" s="532" t="s">
        <v>1469</v>
      </c>
      <c r="H412" s="532" t="s">
        <v>2392</v>
      </c>
      <c r="I412" s="532" t="s">
        <v>6604</v>
      </c>
      <c r="J412" s="534">
        <v>45869</v>
      </c>
      <c r="K412" s="535"/>
      <c r="L412" s="535"/>
      <c r="M412" s="535"/>
      <c r="N412" s="535"/>
      <c r="O412" s="535"/>
      <c r="P412" s="535"/>
      <c r="Q412" s="535"/>
      <c r="R412" s="535"/>
      <c r="S412" s="535"/>
      <c r="T412" s="535"/>
      <c r="U412" s="535"/>
      <c r="V412" s="535"/>
      <c r="W412" s="535"/>
      <c r="X412" s="535"/>
      <c r="Y412" s="536"/>
    </row>
    <row r="413" spans="1:25" ht="12.75">
      <c r="A413" s="532" t="s">
        <v>5139</v>
      </c>
      <c r="B413" s="532">
        <v>41000559</v>
      </c>
      <c r="C413" s="532" t="s">
        <v>6607</v>
      </c>
      <c r="D413" s="532" t="s">
        <v>6607</v>
      </c>
      <c r="E413" s="532" t="s">
        <v>1413</v>
      </c>
      <c r="F413" s="532" t="s">
        <v>5127</v>
      </c>
      <c r="G413" s="532" t="s">
        <v>2392</v>
      </c>
      <c r="H413" s="533"/>
      <c r="I413" s="532" t="s">
        <v>6604</v>
      </c>
      <c r="J413" s="534">
        <v>45869</v>
      </c>
      <c r="K413" s="535"/>
      <c r="L413" s="535"/>
      <c r="M413" s="535"/>
      <c r="N413" s="535"/>
      <c r="O413" s="535"/>
      <c r="P413" s="535"/>
      <c r="Q413" s="535"/>
      <c r="R413" s="535"/>
      <c r="S413" s="535"/>
      <c r="T413" s="535"/>
      <c r="U413" s="535"/>
      <c r="V413" s="535"/>
      <c r="W413" s="535"/>
      <c r="X413" s="535"/>
      <c r="Y413" s="536"/>
    </row>
    <row r="414" spans="1:25" ht="12.75">
      <c r="A414" s="532" t="s">
        <v>2746</v>
      </c>
      <c r="B414" s="532">
        <v>41200038</v>
      </c>
      <c r="C414" s="532" t="s">
        <v>1476</v>
      </c>
      <c r="D414" s="532" t="s">
        <v>1426</v>
      </c>
      <c r="E414" s="532" t="s">
        <v>1426</v>
      </c>
      <c r="F414" s="532" t="s">
        <v>2391</v>
      </c>
      <c r="G414" s="532" t="s">
        <v>1468</v>
      </c>
      <c r="H414" s="532" t="s">
        <v>2392</v>
      </c>
      <c r="I414" s="532" t="s">
        <v>6604</v>
      </c>
      <c r="J414" s="534">
        <v>45869</v>
      </c>
      <c r="K414" s="535"/>
      <c r="L414" s="535"/>
      <c r="M414" s="535"/>
      <c r="N414" s="535"/>
      <c r="O414" s="535"/>
      <c r="P414" s="535"/>
      <c r="Q414" s="535"/>
      <c r="R414" s="535"/>
      <c r="S414" s="535"/>
      <c r="T414" s="535"/>
      <c r="U414" s="535"/>
      <c r="V414" s="535"/>
      <c r="W414" s="535"/>
      <c r="X414" s="535"/>
      <c r="Y414" s="536"/>
    </row>
    <row r="415" spans="1:25" ht="12.75">
      <c r="A415" s="532" t="s">
        <v>2745</v>
      </c>
      <c r="B415" s="532">
        <v>41200038</v>
      </c>
      <c r="C415" s="532" t="s">
        <v>1476</v>
      </c>
      <c r="D415" s="532" t="s">
        <v>1426</v>
      </c>
      <c r="E415" s="532" t="s">
        <v>1426</v>
      </c>
      <c r="F415" s="532" t="s">
        <v>2391</v>
      </c>
      <c r="G415" s="532" t="s">
        <v>1468</v>
      </c>
      <c r="H415" s="532" t="s">
        <v>2392</v>
      </c>
      <c r="I415" s="532" t="s">
        <v>6604</v>
      </c>
      <c r="J415" s="534">
        <v>45869</v>
      </c>
      <c r="K415" s="535"/>
      <c r="L415" s="535"/>
      <c r="M415" s="535"/>
      <c r="N415" s="535"/>
      <c r="O415" s="535"/>
      <c r="P415" s="535"/>
      <c r="Q415" s="535"/>
      <c r="R415" s="535"/>
      <c r="S415" s="535"/>
      <c r="T415" s="535"/>
      <c r="U415" s="535"/>
      <c r="V415" s="535"/>
      <c r="W415" s="535"/>
      <c r="X415" s="535"/>
      <c r="Y415" s="536"/>
    </row>
    <row r="416" spans="1:25" ht="12.75">
      <c r="A416" s="532" t="s">
        <v>2740</v>
      </c>
      <c r="B416" s="532">
        <v>41200039</v>
      </c>
      <c r="C416" s="532" t="s">
        <v>1476</v>
      </c>
      <c r="D416" s="532" t="s">
        <v>1426</v>
      </c>
      <c r="E416" s="532" t="s">
        <v>1426</v>
      </c>
      <c r="F416" s="532" t="s">
        <v>2395</v>
      </c>
      <c r="G416" s="532" t="s">
        <v>2392</v>
      </c>
      <c r="H416" s="532" t="s">
        <v>2392</v>
      </c>
      <c r="I416" s="532" t="s">
        <v>6604</v>
      </c>
      <c r="J416" s="534">
        <v>45869</v>
      </c>
      <c r="K416" s="535"/>
      <c r="L416" s="535"/>
      <c r="M416" s="535"/>
      <c r="N416" s="535"/>
      <c r="O416" s="535"/>
      <c r="P416" s="535"/>
      <c r="Q416" s="535"/>
      <c r="R416" s="535"/>
      <c r="S416" s="535"/>
      <c r="T416" s="535"/>
      <c r="U416" s="535"/>
      <c r="V416" s="535"/>
      <c r="W416" s="535"/>
      <c r="X416" s="535"/>
      <c r="Y416" s="536"/>
    </row>
    <row r="417" spans="1:25" ht="12.75">
      <c r="A417" s="532" t="s">
        <v>2731</v>
      </c>
      <c r="B417" s="532">
        <v>41200129</v>
      </c>
      <c r="C417" s="532" t="s">
        <v>1591</v>
      </c>
      <c r="D417" s="532" t="s">
        <v>6606</v>
      </c>
      <c r="E417" s="532" t="s">
        <v>1431</v>
      </c>
      <c r="F417" s="532" t="s">
        <v>2391</v>
      </c>
      <c r="G417" s="532" t="s">
        <v>1468</v>
      </c>
      <c r="H417" s="532" t="s">
        <v>2392</v>
      </c>
      <c r="I417" s="532" t="s">
        <v>6604</v>
      </c>
      <c r="J417" s="534">
        <v>45869</v>
      </c>
      <c r="K417" s="535"/>
      <c r="L417" s="535"/>
      <c r="M417" s="535"/>
      <c r="N417" s="535"/>
      <c r="O417" s="535"/>
      <c r="P417" s="535"/>
      <c r="Q417" s="535"/>
      <c r="R417" s="535"/>
      <c r="S417" s="535"/>
      <c r="T417" s="535"/>
      <c r="U417" s="535"/>
      <c r="V417" s="535"/>
      <c r="W417" s="535"/>
      <c r="X417" s="535"/>
      <c r="Y417" s="536"/>
    </row>
    <row r="418" spans="1:25" ht="12.75">
      <c r="A418" s="532" t="s">
        <v>2793</v>
      </c>
      <c r="B418" s="532">
        <v>41000556</v>
      </c>
      <c r="C418" s="532" t="s">
        <v>1476</v>
      </c>
      <c r="D418" s="532" t="s">
        <v>1476</v>
      </c>
      <c r="E418" s="532" t="s">
        <v>1585</v>
      </c>
      <c r="F418" s="532" t="s">
        <v>2391</v>
      </c>
      <c r="G418" s="532" t="s">
        <v>1468</v>
      </c>
      <c r="H418" s="532" t="s">
        <v>2392</v>
      </c>
      <c r="I418" s="532" t="s">
        <v>6604</v>
      </c>
      <c r="J418" s="534">
        <v>45869</v>
      </c>
      <c r="K418" s="535"/>
      <c r="L418" s="535"/>
      <c r="M418" s="535"/>
      <c r="N418" s="535"/>
      <c r="O418" s="535"/>
      <c r="P418" s="535"/>
      <c r="Q418" s="535"/>
      <c r="R418" s="535"/>
      <c r="S418" s="535"/>
      <c r="T418" s="535"/>
      <c r="U418" s="535"/>
      <c r="V418" s="535"/>
      <c r="W418" s="535"/>
      <c r="X418" s="535"/>
      <c r="Y418" s="536"/>
    </row>
    <row r="419" spans="1:25" ht="12.75">
      <c r="A419" s="532" t="s">
        <v>2733</v>
      </c>
      <c r="B419" s="532">
        <v>41200124</v>
      </c>
      <c r="C419" s="532" t="s">
        <v>1476</v>
      </c>
      <c r="D419" s="532" t="s">
        <v>6609</v>
      </c>
      <c r="E419" s="532" t="s">
        <v>1585</v>
      </c>
      <c r="F419" s="532" t="s">
        <v>2395</v>
      </c>
      <c r="G419" s="532" t="s">
        <v>1469</v>
      </c>
      <c r="H419" s="532" t="s">
        <v>2392</v>
      </c>
      <c r="I419" s="532" t="s">
        <v>6604</v>
      </c>
      <c r="J419" s="534">
        <v>45869</v>
      </c>
      <c r="K419" s="535"/>
      <c r="L419" s="535"/>
      <c r="M419" s="535"/>
      <c r="N419" s="535"/>
      <c r="O419" s="535"/>
      <c r="P419" s="535"/>
      <c r="Q419" s="535"/>
      <c r="R419" s="535"/>
      <c r="S419" s="535"/>
      <c r="T419" s="535"/>
      <c r="U419" s="535"/>
      <c r="V419" s="535"/>
      <c r="W419" s="535"/>
      <c r="X419" s="535"/>
      <c r="Y419" s="536"/>
    </row>
    <row r="420" spans="1:25" ht="12.75">
      <c r="A420" s="532" t="s">
        <v>2749</v>
      </c>
      <c r="B420" s="532">
        <v>41200125</v>
      </c>
      <c r="C420" s="532" t="s">
        <v>1476</v>
      </c>
      <c r="D420" s="532" t="s">
        <v>1476</v>
      </c>
      <c r="E420" s="532" t="s">
        <v>1585</v>
      </c>
      <c r="F420" s="532" t="s">
        <v>2395</v>
      </c>
      <c r="G420" s="532" t="s">
        <v>1469</v>
      </c>
      <c r="H420" s="532" t="s">
        <v>2392</v>
      </c>
      <c r="I420" s="532" t="s">
        <v>6604</v>
      </c>
      <c r="J420" s="534">
        <v>45869</v>
      </c>
      <c r="K420" s="535"/>
      <c r="L420" s="535"/>
      <c r="M420" s="535"/>
      <c r="N420" s="535"/>
      <c r="O420" s="535"/>
      <c r="P420" s="535"/>
      <c r="Q420" s="535"/>
      <c r="R420" s="535"/>
      <c r="S420" s="535"/>
      <c r="T420" s="535"/>
      <c r="U420" s="535"/>
      <c r="V420" s="535"/>
      <c r="W420" s="535"/>
      <c r="X420" s="535"/>
      <c r="Y420" s="536"/>
    </row>
    <row r="421" spans="1:25" ht="12.75">
      <c r="A421" s="532" t="s">
        <v>2741</v>
      </c>
      <c r="B421" s="532">
        <v>41200076</v>
      </c>
      <c r="C421" s="532" t="s">
        <v>1476</v>
      </c>
      <c r="D421" s="532" t="s">
        <v>1476</v>
      </c>
      <c r="E421" s="532" t="s">
        <v>1585</v>
      </c>
      <c r="F421" s="532" t="s">
        <v>2395</v>
      </c>
      <c r="G421" s="532" t="s">
        <v>1468</v>
      </c>
      <c r="H421" s="532" t="s">
        <v>2392</v>
      </c>
      <c r="I421" s="532" t="s">
        <v>6604</v>
      </c>
      <c r="J421" s="534">
        <v>45869</v>
      </c>
      <c r="K421" s="535"/>
      <c r="L421" s="535"/>
      <c r="M421" s="535"/>
      <c r="N421" s="535"/>
      <c r="O421" s="535"/>
      <c r="P421" s="535"/>
      <c r="Q421" s="535"/>
      <c r="R421" s="535"/>
      <c r="S421" s="535"/>
      <c r="T421" s="535"/>
      <c r="U421" s="535"/>
      <c r="V421" s="535"/>
      <c r="W421" s="535"/>
      <c r="X421" s="535"/>
      <c r="Y421" s="536"/>
    </row>
    <row r="422" spans="1:25" ht="12.75">
      <c r="A422" s="532" t="s">
        <v>2723</v>
      </c>
      <c r="B422" s="532">
        <v>41200128</v>
      </c>
      <c r="C422" s="532" t="s">
        <v>1591</v>
      </c>
      <c r="D422" s="532" t="s">
        <v>6606</v>
      </c>
      <c r="E422" s="532" t="s">
        <v>1429</v>
      </c>
      <c r="F422" s="532" t="s">
        <v>2391</v>
      </c>
      <c r="G422" s="532" t="s">
        <v>1468</v>
      </c>
      <c r="H422" s="532" t="s">
        <v>2392</v>
      </c>
      <c r="I422" s="532" t="s">
        <v>6604</v>
      </c>
      <c r="J422" s="534">
        <v>45869</v>
      </c>
      <c r="K422" s="535"/>
      <c r="L422" s="535"/>
      <c r="M422" s="535"/>
      <c r="N422" s="535"/>
      <c r="O422" s="535"/>
      <c r="P422" s="535"/>
      <c r="Q422" s="535"/>
      <c r="R422" s="535"/>
      <c r="S422" s="535"/>
      <c r="T422" s="535"/>
      <c r="U422" s="535"/>
      <c r="V422" s="535"/>
      <c r="W422" s="535"/>
      <c r="X422" s="535"/>
      <c r="Y422" s="536"/>
    </row>
    <row r="423" spans="1:25" ht="12.75">
      <c r="A423" s="532" t="s">
        <v>2822</v>
      </c>
      <c r="B423" s="532">
        <v>41200006</v>
      </c>
      <c r="C423" s="532" t="s">
        <v>1477</v>
      </c>
      <c r="D423" s="532" t="s">
        <v>6640</v>
      </c>
      <c r="E423" s="532" t="s">
        <v>1405</v>
      </c>
      <c r="F423" s="532" t="s">
        <v>2395</v>
      </c>
      <c r="G423" s="532" t="s">
        <v>1468</v>
      </c>
      <c r="H423" s="532" t="s">
        <v>2392</v>
      </c>
      <c r="I423" s="532" t="s">
        <v>6604</v>
      </c>
      <c r="J423" s="534">
        <v>45869</v>
      </c>
      <c r="K423" s="535"/>
      <c r="L423" s="535"/>
      <c r="M423" s="535"/>
      <c r="N423" s="535"/>
      <c r="O423" s="535"/>
      <c r="P423" s="535"/>
      <c r="Q423" s="535"/>
      <c r="R423" s="535"/>
      <c r="S423" s="535"/>
      <c r="T423" s="535"/>
      <c r="U423" s="535"/>
      <c r="V423" s="535"/>
      <c r="W423" s="535"/>
      <c r="X423" s="535"/>
      <c r="Y423" s="536"/>
    </row>
    <row r="424" spans="1:25" ht="12.75">
      <c r="A424" s="532" t="s">
        <v>2820</v>
      </c>
      <c r="B424" s="532">
        <v>41200006</v>
      </c>
      <c r="C424" s="532" t="s">
        <v>1477</v>
      </c>
      <c r="D424" s="532" t="s">
        <v>6640</v>
      </c>
      <c r="E424" s="532" t="s">
        <v>1405</v>
      </c>
      <c r="F424" s="532" t="s">
        <v>2395</v>
      </c>
      <c r="G424" s="532" t="s">
        <v>1468</v>
      </c>
      <c r="H424" s="532" t="s">
        <v>2392</v>
      </c>
      <c r="I424" s="532" t="s">
        <v>6604</v>
      </c>
      <c r="J424" s="534">
        <v>45869</v>
      </c>
      <c r="K424" s="535"/>
      <c r="L424" s="535"/>
      <c r="M424" s="535"/>
      <c r="N424" s="535"/>
      <c r="O424" s="535"/>
      <c r="P424" s="535"/>
      <c r="Q424" s="535"/>
      <c r="R424" s="535"/>
      <c r="S424" s="535"/>
      <c r="T424" s="535"/>
      <c r="U424" s="535"/>
      <c r="V424" s="535"/>
      <c r="W424" s="535"/>
      <c r="X424" s="535"/>
      <c r="Y424" s="536"/>
    </row>
    <row r="425" spans="1:25" ht="12.75">
      <c r="A425" s="532" t="s">
        <v>2732</v>
      </c>
      <c r="B425" s="532">
        <v>41200150</v>
      </c>
      <c r="C425" s="532" t="s">
        <v>1476</v>
      </c>
      <c r="D425" s="532" t="s">
        <v>6660</v>
      </c>
      <c r="E425" s="532" t="s">
        <v>1424</v>
      </c>
      <c r="F425" s="532" t="s">
        <v>2395</v>
      </c>
      <c r="G425" s="532" t="s">
        <v>1468</v>
      </c>
      <c r="H425" s="532" t="s">
        <v>2392</v>
      </c>
      <c r="I425" s="532" t="s">
        <v>6604</v>
      </c>
      <c r="J425" s="534">
        <v>45869</v>
      </c>
      <c r="K425" s="535"/>
      <c r="L425" s="535"/>
      <c r="M425" s="535"/>
      <c r="N425" s="535"/>
      <c r="O425" s="535"/>
      <c r="P425" s="535"/>
      <c r="Q425" s="535"/>
      <c r="R425" s="535"/>
      <c r="S425" s="535"/>
      <c r="T425" s="535"/>
      <c r="U425" s="535"/>
      <c r="V425" s="535"/>
      <c r="W425" s="535"/>
      <c r="X425" s="535"/>
      <c r="Y425" s="536"/>
    </row>
    <row r="426" spans="1:25" ht="12.75">
      <c r="A426" s="532" t="s">
        <v>2843</v>
      </c>
      <c r="B426" s="532">
        <v>41200076</v>
      </c>
      <c r="C426" s="532" t="s">
        <v>1476</v>
      </c>
      <c r="D426" s="532" t="s">
        <v>1476</v>
      </c>
      <c r="E426" s="532" t="s">
        <v>1585</v>
      </c>
      <c r="F426" s="532" t="s">
        <v>2555</v>
      </c>
      <c r="G426" s="532" t="s">
        <v>2555</v>
      </c>
      <c r="H426" s="532" t="s">
        <v>2392</v>
      </c>
      <c r="I426" s="532" t="s">
        <v>6604</v>
      </c>
      <c r="J426" s="534">
        <v>45869</v>
      </c>
      <c r="K426" s="535"/>
      <c r="L426" s="535"/>
      <c r="M426" s="535"/>
      <c r="N426" s="535"/>
      <c r="O426" s="535"/>
      <c r="P426" s="535"/>
      <c r="Q426" s="535"/>
      <c r="R426" s="535"/>
      <c r="S426" s="535"/>
      <c r="T426" s="535"/>
      <c r="U426" s="535"/>
      <c r="V426" s="535"/>
      <c r="W426" s="535"/>
      <c r="X426" s="535"/>
      <c r="Y426" s="536"/>
    </row>
    <row r="427" spans="1:25" ht="12.75">
      <c r="A427" s="532" t="s">
        <v>3114</v>
      </c>
      <c r="B427" s="532">
        <v>41200122</v>
      </c>
      <c r="C427" s="532" t="s">
        <v>1476</v>
      </c>
      <c r="D427" s="532" t="s">
        <v>1476</v>
      </c>
      <c r="E427" s="532" t="s">
        <v>1585</v>
      </c>
      <c r="F427" s="532" t="s">
        <v>2555</v>
      </c>
      <c r="G427" s="532" t="s">
        <v>2555</v>
      </c>
      <c r="H427" s="532" t="s">
        <v>2392</v>
      </c>
      <c r="I427" s="532" t="s">
        <v>6604</v>
      </c>
      <c r="J427" s="534">
        <v>45869</v>
      </c>
      <c r="K427" s="535"/>
      <c r="L427" s="535"/>
      <c r="M427" s="535"/>
      <c r="N427" s="535"/>
      <c r="O427" s="535"/>
      <c r="P427" s="535"/>
      <c r="Q427" s="535"/>
      <c r="R427" s="535"/>
      <c r="S427" s="535"/>
      <c r="T427" s="535"/>
      <c r="U427" s="535"/>
      <c r="V427" s="535"/>
      <c r="W427" s="535"/>
      <c r="X427" s="535"/>
      <c r="Y427" s="536"/>
    </row>
    <row r="428" spans="1:25" ht="12.75">
      <c r="A428" s="532" t="s">
        <v>2722</v>
      </c>
      <c r="B428" s="532">
        <v>41200133</v>
      </c>
      <c r="C428" s="532" t="s">
        <v>1476</v>
      </c>
      <c r="D428" s="532" t="s">
        <v>6605</v>
      </c>
      <c r="E428" s="532" t="s">
        <v>1429</v>
      </c>
      <c r="F428" s="532" t="s">
        <v>2391</v>
      </c>
      <c r="G428" s="532" t="s">
        <v>1468</v>
      </c>
      <c r="H428" s="532" t="s">
        <v>2392</v>
      </c>
      <c r="I428" s="532" t="s">
        <v>6604</v>
      </c>
      <c r="J428" s="534">
        <v>45869</v>
      </c>
      <c r="K428" s="535"/>
      <c r="L428" s="535"/>
      <c r="M428" s="535"/>
      <c r="N428" s="535"/>
      <c r="O428" s="535"/>
      <c r="P428" s="535"/>
      <c r="Q428" s="535"/>
      <c r="R428" s="535"/>
      <c r="S428" s="535"/>
      <c r="T428" s="535"/>
      <c r="U428" s="535"/>
      <c r="V428" s="535"/>
      <c r="W428" s="535"/>
      <c r="X428" s="535"/>
      <c r="Y428" s="536"/>
    </row>
    <row r="429" spans="1:25" ht="12.75">
      <c r="A429" s="532" t="s">
        <v>2708</v>
      </c>
      <c r="B429" s="532">
        <v>41200127</v>
      </c>
      <c r="C429" s="532" t="s">
        <v>1591</v>
      </c>
      <c r="D429" s="532" t="s">
        <v>6606</v>
      </c>
      <c r="E429" s="532" t="s">
        <v>1431</v>
      </c>
      <c r="F429" s="532" t="s">
        <v>2391</v>
      </c>
      <c r="G429" s="532" t="s">
        <v>2392</v>
      </c>
      <c r="H429" s="532" t="s">
        <v>2392</v>
      </c>
      <c r="I429" s="532" t="s">
        <v>6604</v>
      </c>
      <c r="J429" s="534">
        <v>45869</v>
      </c>
      <c r="K429" s="535"/>
      <c r="L429" s="535"/>
      <c r="M429" s="535"/>
      <c r="N429" s="535"/>
      <c r="O429" s="535"/>
      <c r="P429" s="535"/>
      <c r="Q429" s="535"/>
      <c r="R429" s="535"/>
      <c r="S429" s="535"/>
      <c r="T429" s="535"/>
      <c r="U429" s="535"/>
      <c r="V429" s="535"/>
      <c r="W429" s="535"/>
      <c r="X429" s="535"/>
      <c r="Y429" s="536"/>
    </row>
    <row r="430" spans="1:25" ht="12.75">
      <c r="A430" s="532" t="s">
        <v>2707</v>
      </c>
      <c r="B430" s="532">
        <v>41200127</v>
      </c>
      <c r="C430" s="532" t="s">
        <v>1591</v>
      </c>
      <c r="D430" s="532" t="s">
        <v>6606</v>
      </c>
      <c r="E430" s="532" t="s">
        <v>1431</v>
      </c>
      <c r="F430" s="532" t="s">
        <v>2391</v>
      </c>
      <c r="G430" s="532" t="s">
        <v>2392</v>
      </c>
      <c r="H430" s="532" t="s">
        <v>2392</v>
      </c>
      <c r="I430" s="532" t="s">
        <v>6604</v>
      </c>
      <c r="J430" s="534">
        <v>45869</v>
      </c>
      <c r="K430" s="535"/>
      <c r="L430" s="535"/>
      <c r="M430" s="535"/>
      <c r="N430" s="535"/>
      <c r="O430" s="535"/>
      <c r="P430" s="535"/>
      <c r="Q430" s="535"/>
      <c r="R430" s="535"/>
      <c r="S430" s="535"/>
      <c r="T430" s="535"/>
      <c r="U430" s="535"/>
      <c r="V430" s="535"/>
      <c r="W430" s="535"/>
      <c r="X430" s="535"/>
      <c r="Y430" s="536"/>
    </row>
    <row r="431" spans="1:25" ht="12.75">
      <c r="A431" s="532" t="s">
        <v>2867</v>
      </c>
      <c r="B431" s="532">
        <v>41200034</v>
      </c>
      <c r="C431" s="532" t="s">
        <v>1476</v>
      </c>
      <c r="D431" s="532" t="s">
        <v>1426</v>
      </c>
      <c r="E431" s="532" t="s">
        <v>1426</v>
      </c>
      <c r="F431" s="532" t="s">
        <v>2555</v>
      </c>
      <c r="G431" s="532" t="s">
        <v>2555</v>
      </c>
      <c r="H431" s="532" t="s">
        <v>2392</v>
      </c>
      <c r="I431" s="532" t="s">
        <v>6604</v>
      </c>
      <c r="J431" s="534">
        <v>45869</v>
      </c>
      <c r="K431" s="535"/>
      <c r="L431" s="535"/>
      <c r="M431" s="535"/>
      <c r="N431" s="535"/>
      <c r="O431" s="535"/>
      <c r="P431" s="535"/>
      <c r="Q431" s="535"/>
      <c r="R431" s="535"/>
      <c r="S431" s="535"/>
      <c r="T431" s="535"/>
      <c r="U431" s="535"/>
      <c r="V431" s="535"/>
      <c r="W431" s="535"/>
      <c r="X431" s="535"/>
      <c r="Y431" s="536"/>
    </row>
    <row r="432" spans="1:25" ht="12.75">
      <c r="A432" s="532" t="s">
        <v>2736</v>
      </c>
      <c r="B432" s="532">
        <v>41000590</v>
      </c>
      <c r="C432" s="532" t="s">
        <v>5477</v>
      </c>
      <c r="D432" s="532" t="s">
        <v>6646</v>
      </c>
      <c r="E432" s="532" t="s">
        <v>1405</v>
      </c>
      <c r="F432" s="532" t="s">
        <v>2392</v>
      </c>
      <c r="G432" s="532" t="s">
        <v>1469</v>
      </c>
      <c r="H432" s="533"/>
      <c r="I432" s="532" t="s">
        <v>6604</v>
      </c>
      <c r="J432" s="534">
        <v>45869</v>
      </c>
      <c r="K432" s="535"/>
      <c r="L432" s="535"/>
      <c r="M432" s="535"/>
      <c r="N432" s="535"/>
      <c r="O432" s="535"/>
      <c r="P432" s="535"/>
      <c r="Q432" s="535"/>
      <c r="R432" s="535"/>
      <c r="S432" s="535"/>
      <c r="T432" s="535"/>
      <c r="U432" s="535"/>
      <c r="V432" s="535"/>
      <c r="W432" s="535"/>
      <c r="X432" s="535"/>
      <c r="Y432" s="536"/>
    </row>
    <row r="433" spans="1:25" ht="12.75">
      <c r="A433" s="532" t="s">
        <v>2735</v>
      </c>
      <c r="B433" s="532">
        <v>41000590</v>
      </c>
      <c r="C433" s="532" t="s">
        <v>5477</v>
      </c>
      <c r="D433" s="532" t="s">
        <v>6646</v>
      </c>
      <c r="E433" s="532" t="s">
        <v>1405</v>
      </c>
      <c r="F433" s="532" t="s">
        <v>2392</v>
      </c>
      <c r="G433" s="532" t="s">
        <v>1469</v>
      </c>
      <c r="H433" s="533"/>
      <c r="I433" s="532" t="s">
        <v>6604</v>
      </c>
      <c r="J433" s="534">
        <v>45869</v>
      </c>
      <c r="K433" s="535"/>
      <c r="L433" s="535"/>
      <c r="M433" s="535"/>
      <c r="N433" s="535"/>
      <c r="O433" s="535"/>
      <c r="P433" s="535"/>
      <c r="Q433" s="535"/>
      <c r="R433" s="535"/>
      <c r="S433" s="535"/>
      <c r="T433" s="535"/>
      <c r="U433" s="535"/>
      <c r="V433" s="535"/>
      <c r="W433" s="535"/>
      <c r="X433" s="535"/>
      <c r="Y433" s="536"/>
    </row>
    <row r="434" spans="1:25" ht="12.75">
      <c r="A434" s="532" t="s">
        <v>2721</v>
      </c>
      <c r="B434" s="532">
        <v>41200105</v>
      </c>
      <c r="C434" s="532" t="s">
        <v>1476</v>
      </c>
      <c r="D434" s="532" t="s">
        <v>1591</v>
      </c>
      <c r="E434" s="532" t="s">
        <v>1424</v>
      </c>
      <c r="F434" s="532" t="s">
        <v>2391</v>
      </c>
      <c r="G434" s="532" t="s">
        <v>2392</v>
      </c>
      <c r="H434" s="532" t="s">
        <v>2392</v>
      </c>
      <c r="I434" s="532" t="s">
        <v>6604</v>
      </c>
      <c r="J434" s="534">
        <v>45869</v>
      </c>
      <c r="K434" s="535"/>
      <c r="L434" s="535"/>
      <c r="M434" s="535"/>
      <c r="N434" s="535"/>
      <c r="O434" s="535"/>
      <c r="P434" s="535"/>
      <c r="Q434" s="535"/>
      <c r="R434" s="535"/>
      <c r="S434" s="535"/>
      <c r="T434" s="535"/>
      <c r="U434" s="535"/>
      <c r="V434" s="535"/>
      <c r="W434" s="535"/>
      <c r="X434" s="535"/>
      <c r="Y434" s="536"/>
    </row>
    <row r="435" spans="1:25" ht="12.75">
      <c r="A435" s="532" t="s">
        <v>2719</v>
      </c>
      <c r="B435" s="532">
        <v>41100374</v>
      </c>
      <c r="C435" s="532" t="s">
        <v>1476</v>
      </c>
      <c r="D435" s="532" t="s">
        <v>6610</v>
      </c>
      <c r="E435" s="532" t="s">
        <v>1585</v>
      </c>
      <c r="F435" s="532" t="s">
        <v>2395</v>
      </c>
      <c r="G435" s="532" t="s">
        <v>2392</v>
      </c>
      <c r="H435" s="532" t="s">
        <v>2392</v>
      </c>
      <c r="I435" s="532" t="s">
        <v>6604</v>
      </c>
      <c r="J435" s="534">
        <v>45869</v>
      </c>
      <c r="K435" s="535"/>
      <c r="L435" s="535"/>
      <c r="M435" s="535"/>
      <c r="N435" s="535"/>
      <c r="O435" s="535"/>
      <c r="P435" s="535"/>
      <c r="Q435" s="535"/>
      <c r="R435" s="535"/>
      <c r="S435" s="535"/>
      <c r="T435" s="535"/>
      <c r="U435" s="535"/>
      <c r="V435" s="535"/>
      <c r="W435" s="535"/>
      <c r="X435" s="535"/>
      <c r="Y435" s="536"/>
    </row>
    <row r="436" spans="1:25" ht="12.75">
      <c r="A436" s="532" t="s">
        <v>2712</v>
      </c>
      <c r="B436" s="532">
        <v>41000544</v>
      </c>
      <c r="C436" s="532" t="s">
        <v>1476</v>
      </c>
      <c r="D436" s="532" t="s">
        <v>6610</v>
      </c>
      <c r="E436" s="532" t="s">
        <v>1405</v>
      </c>
      <c r="F436" s="532" t="s">
        <v>2391</v>
      </c>
      <c r="G436" s="532" t="s">
        <v>1468</v>
      </c>
      <c r="H436" s="532" t="s">
        <v>2392</v>
      </c>
      <c r="I436" s="532" t="s">
        <v>6604</v>
      </c>
      <c r="J436" s="534">
        <v>45869</v>
      </c>
      <c r="K436" s="535"/>
      <c r="L436" s="535"/>
      <c r="M436" s="535"/>
      <c r="N436" s="535"/>
      <c r="O436" s="535"/>
      <c r="P436" s="535"/>
      <c r="Q436" s="535"/>
      <c r="R436" s="535"/>
      <c r="S436" s="535"/>
      <c r="T436" s="535"/>
      <c r="U436" s="535"/>
      <c r="V436" s="535"/>
      <c r="W436" s="535"/>
      <c r="X436" s="535"/>
      <c r="Y436" s="536"/>
    </row>
    <row r="437" spans="1:25" ht="12.75">
      <c r="A437" s="532" t="s">
        <v>5134</v>
      </c>
      <c r="B437" s="532">
        <v>41000558</v>
      </c>
      <c r="C437" s="532" t="s">
        <v>6607</v>
      </c>
      <c r="D437" s="532" t="s">
        <v>6607</v>
      </c>
      <c r="E437" s="532" t="s">
        <v>1405</v>
      </c>
      <c r="F437" s="532" t="s">
        <v>5127</v>
      </c>
      <c r="G437" s="532" t="s">
        <v>1469</v>
      </c>
      <c r="H437" s="533"/>
      <c r="I437" s="532" t="s">
        <v>6604</v>
      </c>
      <c r="J437" s="534">
        <v>45869</v>
      </c>
      <c r="K437" s="535"/>
      <c r="L437" s="535"/>
      <c r="M437" s="535"/>
      <c r="N437" s="535"/>
      <c r="O437" s="535"/>
      <c r="P437" s="535"/>
      <c r="Q437" s="535"/>
      <c r="R437" s="535"/>
      <c r="S437" s="535"/>
      <c r="T437" s="535"/>
      <c r="U437" s="535"/>
      <c r="V437" s="535"/>
      <c r="W437" s="535"/>
      <c r="X437" s="535"/>
      <c r="Y437" s="536"/>
    </row>
    <row r="438" spans="1:25" ht="12.75">
      <c r="A438" s="532" t="s">
        <v>5133</v>
      </c>
      <c r="B438" s="532">
        <v>41000558</v>
      </c>
      <c r="C438" s="532" t="s">
        <v>6607</v>
      </c>
      <c r="D438" s="532" t="s">
        <v>6607</v>
      </c>
      <c r="E438" s="532" t="s">
        <v>1405</v>
      </c>
      <c r="F438" s="532" t="s">
        <v>5127</v>
      </c>
      <c r="G438" s="532" t="s">
        <v>1469</v>
      </c>
      <c r="H438" s="533"/>
      <c r="I438" s="532" t="s">
        <v>6604</v>
      </c>
      <c r="J438" s="534">
        <v>45869</v>
      </c>
      <c r="K438" s="535"/>
      <c r="L438" s="535"/>
      <c r="M438" s="535"/>
      <c r="N438" s="535"/>
      <c r="O438" s="535"/>
      <c r="P438" s="535"/>
      <c r="Q438" s="535"/>
      <c r="R438" s="535"/>
      <c r="S438" s="535"/>
      <c r="T438" s="535"/>
      <c r="U438" s="535"/>
      <c r="V438" s="535"/>
      <c r="W438" s="535"/>
      <c r="X438" s="535"/>
      <c r="Y438" s="536"/>
    </row>
    <row r="439" spans="1:25" ht="12.75">
      <c r="A439" s="532" t="s">
        <v>2703</v>
      </c>
      <c r="B439" s="532">
        <v>41200076</v>
      </c>
      <c r="C439" s="532" t="s">
        <v>1476</v>
      </c>
      <c r="D439" s="532" t="s">
        <v>1476</v>
      </c>
      <c r="E439" s="532" t="s">
        <v>1585</v>
      </c>
      <c r="F439" s="532" t="s">
        <v>2395</v>
      </c>
      <c r="G439" s="532" t="s">
        <v>1468</v>
      </c>
      <c r="H439" s="533"/>
      <c r="I439" s="532" t="s">
        <v>6604</v>
      </c>
      <c r="J439" s="534">
        <v>45869</v>
      </c>
      <c r="K439" s="535"/>
      <c r="L439" s="535"/>
      <c r="M439" s="535"/>
      <c r="N439" s="535"/>
      <c r="O439" s="535"/>
      <c r="P439" s="535"/>
      <c r="Q439" s="535"/>
      <c r="R439" s="535"/>
      <c r="S439" s="535"/>
      <c r="T439" s="535"/>
      <c r="U439" s="535"/>
      <c r="V439" s="535"/>
      <c r="W439" s="535"/>
      <c r="X439" s="535"/>
      <c r="Y439" s="536"/>
    </row>
    <row r="440" spans="1:25" ht="12.75">
      <c r="A440" s="532" t="s">
        <v>2701</v>
      </c>
      <c r="B440" s="532">
        <v>41200076</v>
      </c>
      <c r="C440" s="532" t="s">
        <v>1476</v>
      </c>
      <c r="D440" s="532" t="s">
        <v>1476</v>
      </c>
      <c r="E440" s="532" t="s">
        <v>1585</v>
      </c>
      <c r="F440" s="532" t="s">
        <v>2395</v>
      </c>
      <c r="G440" s="532" t="s">
        <v>1468</v>
      </c>
      <c r="H440" s="533"/>
      <c r="I440" s="532" t="s">
        <v>6604</v>
      </c>
      <c r="J440" s="534">
        <v>45869</v>
      </c>
      <c r="K440" s="535"/>
      <c r="L440" s="535"/>
      <c r="M440" s="535"/>
      <c r="N440" s="535"/>
      <c r="O440" s="535"/>
      <c r="P440" s="535"/>
      <c r="Q440" s="535"/>
      <c r="R440" s="535"/>
      <c r="S440" s="535"/>
      <c r="T440" s="535"/>
      <c r="U440" s="535"/>
      <c r="V440" s="535"/>
      <c r="W440" s="535"/>
      <c r="X440" s="535"/>
      <c r="Y440" s="536"/>
    </row>
    <row r="441" spans="1:25" ht="12.75">
      <c r="A441" s="532" t="s">
        <v>2726</v>
      </c>
      <c r="B441" s="532">
        <v>41200046</v>
      </c>
      <c r="C441" s="532" t="s">
        <v>1476</v>
      </c>
      <c r="D441" s="532" t="s">
        <v>1426</v>
      </c>
      <c r="E441" s="532" t="s">
        <v>1426</v>
      </c>
      <c r="F441" s="532" t="s">
        <v>2395</v>
      </c>
      <c r="G441" s="532" t="s">
        <v>1469</v>
      </c>
      <c r="H441" s="533"/>
      <c r="I441" s="532" t="s">
        <v>6604</v>
      </c>
      <c r="J441" s="534">
        <v>45869</v>
      </c>
      <c r="K441" s="535"/>
      <c r="L441" s="535"/>
      <c r="M441" s="535"/>
      <c r="N441" s="535"/>
      <c r="O441" s="535"/>
      <c r="P441" s="535"/>
      <c r="Q441" s="535"/>
      <c r="R441" s="535"/>
      <c r="S441" s="535"/>
      <c r="T441" s="535"/>
      <c r="U441" s="535"/>
      <c r="V441" s="535"/>
      <c r="W441" s="535"/>
      <c r="X441" s="535"/>
      <c r="Y441" s="536"/>
    </row>
    <row r="442" spans="1:25" ht="12.75">
      <c r="A442" s="532" t="s">
        <v>2724</v>
      </c>
      <c r="B442" s="532">
        <v>41200046</v>
      </c>
      <c r="C442" s="532" t="s">
        <v>1476</v>
      </c>
      <c r="D442" s="532" t="s">
        <v>1426</v>
      </c>
      <c r="E442" s="532" t="s">
        <v>1426</v>
      </c>
      <c r="F442" s="532" t="s">
        <v>2395</v>
      </c>
      <c r="G442" s="532" t="s">
        <v>1469</v>
      </c>
      <c r="H442" s="533"/>
      <c r="I442" s="532" t="s">
        <v>6604</v>
      </c>
      <c r="J442" s="534">
        <v>45869</v>
      </c>
      <c r="K442" s="535"/>
      <c r="L442" s="535"/>
      <c r="M442" s="535"/>
      <c r="N442" s="535"/>
      <c r="O442" s="535"/>
      <c r="P442" s="535"/>
      <c r="Q442" s="535"/>
      <c r="R442" s="535"/>
      <c r="S442" s="535"/>
      <c r="T442" s="535"/>
      <c r="U442" s="535"/>
      <c r="V442" s="535"/>
      <c r="W442" s="535"/>
      <c r="X442" s="535"/>
      <c r="Y442" s="536"/>
    </row>
    <row r="443" spans="1:25" ht="12.75">
      <c r="A443" s="532" t="s">
        <v>2714</v>
      </c>
      <c r="B443" s="532">
        <v>41200046</v>
      </c>
      <c r="C443" s="532" t="s">
        <v>1476</v>
      </c>
      <c r="D443" s="532" t="s">
        <v>1426</v>
      </c>
      <c r="E443" s="532" t="s">
        <v>1426</v>
      </c>
      <c r="F443" s="532" t="s">
        <v>2395</v>
      </c>
      <c r="G443" s="532" t="s">
        <v>1469</v>
      </c>
      <c r="H443" s="533"/>
      <c r="I443" s="532" t="s">
        <v>6604</v>
      </c>
      <c r="J443" s="534">
        <v>45869</v>
      </c>
      <c r="K443" s="535"/>
      <c r="L443" s="535"/>
      <c r="M443" s="535"/>
      <c r="N443" s="535"/>
      <c r="O443" s="535"/>
      <c r="P443" s="535"/>
      <c r="Q443" s="535"/>
      <c r="R443" s="535"/>
      <c r="S443" s="535"/>
      <c r="T443" s="535"/>
      <c r="U443" s="535"/>
      <c r="V443" s="535"/>
      <c r="W443" s="535"/>
      <c r="X443" s="535"/>
      <c r="Y443" s="536"/>
    </row>
    <row r="444" spans="1:25" ht="12.75">
      <c r="A444" s="532" t="s">
        <v>2713</v>
      </c>
      <c r="B444" s="532">
        <v>41200046</v>
      </c>
      <c r="C444" s="532" t="s">
        <v>1476</v>
      </c>
      <c r="D444" s="532" t="s">
        <v>1426</v>
      </c>
      <c r="E444" s="532" t="s">
        <v>1426</v>
      </c>
      <c r="F444" s="532" t="s">
        <v>2395</v>
      </c>
      <c r="G444" s="532" t="s">
        <v>1469</v>
      </c>
      <c r="H444" s="533"/>
      <c r="I444" s="532" t="s">
        <v>6604</v>
      </c>
      <c r="J444" s="534">
        <v>45869</v>
      </c>
      <c r="K444" s="535"/>
      <c r="L444" s="535"/>
      <c r="M444" s="535"/>
      <c r="N444" s="535"/>
      <c r="O444" s="535"/>
      <c r="P444" s="535"/>
      <c r="Q444" s="535"/>
      <c r="R444" s="535"/>
      <c r="S444" s="535"/>
      <c r="T444" s="535"/>
      <c r="U444" s="535"/>
      <c r="V444" s="535"/>
      <c r="W444" s="535"/>
      <c r="X444" s="535"/>
      <c r="Y444" s="536"/>
    </row>
    <row r="445" spans="1:25" ht="12.75">
      <c r="A445" s="532" t="s">
        <v>2860</v>
      </c>
      <c r="B445" s="532">
        <v>41200006</v>
      </c>
      <c r="C445" s="532" t="s">
        <v>1477</v>
      </c>
      <c r="D445" s="532" t="s">
        <v>6640</v>
      </c>
      <c r="E445" s="532" t="s">
        <v>1405</v>
      </c>
      <c r="F445" s="532" t="s">
        <v>2391</v>
      </c>
      <c r="G445" s="532" t="s">
        <v>2392</v>
      </c>
      <c r="H445" s="532" t="s">
        <v>2392</v>
      </c>
      <c r="I445" s="532" t="s">
        <v>6604</v>
      </c>
      <c r="J445" s="534">
        <v>45863</v>
      </c>
      <c r="K445" s="535"/>
      <c r="L445" s="535"/>
      <c r="M445" s="535"/>
      <c r="N445" s="535"/>
      <c r="O445" s="535"/>
      <c r="P445" s="535"/>
      <c r="Q445" s="535"/>
      <c r="R445" s="535"/>
      <c r="S445" s="535"/>
      <c r="T445" s="535"/>
      <c r="U445" s="535"/>
      <c r="V445" s="535"/>
      <c r="W445" s="535"/>
      <c r="X445" s="535"/>
      <c r="Y445" s="536"/>
    </row>
    <row r="446" spans="1:25" ht="12.75">
      <c r="A446" s="532" t="s">
        <v>2859</v>
      </c>
      <c r="B446" s="532">
        <v>41200006</v>
      </c>
      <c r="C446" s="532" t="s">
        <v>1477</v>
      </c>
      <c r="D446" s="532" t="s">
        <v>6640</v>
      </c>
      <c r="E446" s="532" t="s">
        <v>1405</v>
      </c>
      <c r="F446" s="532" t="s">
        <v>2391</v>
      </c>
      <c r="G446" s="532" t="s">
        <v>2392</v>
      </c>
      <c r="H446" s="532" t="s">
        <v>2392</v>
      </c>
      <c r="I446" s="532" t="s">
        <v>6604</v>
      </c>
      <c r="J446" s="534">
        <v>45863</v>
      </c>
      <c r="K446" s="535"/>
      <c r="L446" s="535"/>
      <c r="M446" s="535"/>
      <c r="N446" s="535"/>
      <c r="O446" s="535"/>
      <c r="P446" s="535"/>
      <c r="Q446" s="535"/>
      <c r="R446" s="535"/>
      <c r="S446" s="535"/>
      <c r="T446" s="535"/>
      <c r="U446" s="535"/>
      <c r="V446" s="535"/>
      <c r="W446" s="535"/>
      <c r="X446" s="535"/>
      <c r="Y446" s="536"/>
    </row>
    <row r="447" spans="1:25" ht="12.75">
      <c r="A447" s="532" t="s">
        <v>2857</v>
      </c>
      <c r="B447" s="532">
        <v>41200006</v>
      </c>
      <c r="C447" s="532" t="s">
        <v>1477</v>
      </c>
      <c r="D447" s="532" t="s">
        <v>6640</v>
      </c>
      <c r="E447" s="532" t="s">
        <v>1405</v>
      </c>
      <c r="F447" s="532" t="s">
        <v>2391</v>
      </c>
      <c r="G447" s="532" t="s">
        <v>2392</v>
      </c>
      <c r="H447" s="532" t="s">
        <v>2392</v>
      </c>
      <c r="I447" s="532" t="s">
        <v>6604</v>
      </c>
      <c r="J447" s="534">
        <v>45863</v>
      </c>
      <c r="K447" s="535"/>
      <c r="L447" s="535"/>
      <c r="M447" s="535"/>
      <c r="N447" s="535"/>
      <c r="O447" s="535"/>
      <c r="P447" s="535"/>
      <c r="Q447" s="535"/>
      <c r="R447" s="535"/>
      <c r="S447" s="535"/>
      <c r="T447" s="535"/>
      <c r="U447" s="535"/>
      <c r="V447" s="535"/>
      <c r="W447" s="535"/>
      <c r="X447" s="535"/>
      <c r="Y447" s="536"/>
    </row>
    <row r="448" spans="1:25" ht="12.75">
      <c r="A448" s="532" t="s">
        <v>2710</v>
      </c>
      <c r="B448" s="532">
        <v>41200034</v>
      </c>
      <c r="C448" s="532" t="s">
        <v>1476</v>
      </c>
      <c r="D448" s="532" t="s">
        <v>1426</v>
      </c>
      <c r="E448" s="532" t="s">
        <v>1426</v>
      </c>
      <c r="F448" s="532" t="s">
        <v>2391</v>
      </c>
      <c r="G448" s="532" t="s">
        <v>1468</v>
      </c>
      <c r="H448" s="532" t="s">
        <v>2392</v>
      </c>
      <c r="I448" s="532" t="s">
        <v>6604</v>
      </c>
      <c r="J448" s="534">
        <v>45863</v>
      </c>
      <c r="K448" s="535"/>
      <c r="L448" s="535"/>
      <c r="M448" s="535"/>
      <c r="N448" s="535"/>
      <c r="O448" s="535"/>
      <c r="P448" s="535"/>
      <c r="Q448" s="535"/>
      <c r="R448" s="535"/>
      <c r="S448" s="535"/>
      <c r="T448" s="535"/>
      <c r="U448" s="535"/>
      <c r="V448" s="535"/>
      <c r="W448" s="535"/>
      <c r="X448" s="535"/>
      <c r="Y448" s="536"/>
    </row>
    <row r="449" spans="1:25" ht="12.75">
      <c r="A449" s="532" t="s">
        <v>2706</v>
      </c>
      <c r="B449" s="532">
        <v>41200034</v>
      </c>
      <c r="C449" s="532" t="s">
        <v>1476</v>
      </c>
      <c r="D449" s="532" t="s">
        <v>1426</v>
      </c>
      <c r="E449" s="532" t="s">
        <v>1426</v>
      </c>
      <c r="F449" s="532" t="s">
        <v>2391</v>
      </c>
      <c r="G449" s="532" t="s">
        <v>1468</v>
      </c>
      <c r="H449" s="532" t="s">
        <v>2392</v>
      </c>
      <c r="I449" s="532" t="s">
        <v>6604</v>
      </c>
      <c r="J449" s="534">
        <v>45863</v>
      </c>
      <c r="K449" s="535"/>
      <c r="L449" s="535"/>
      <c r="M449" s="535"/>
      <c r="N449" s="535"/>
      <c r="O449" s="535"/>
      <c r="P449" s="535"/>
      <c r="Q449" s="535"/>
      <c r="R449" s="535"/>
      <c r="S449" s="535"/>
      <c r="T449" s="535"/>
      <c r="U449" s="535"/>
      <c r="V449" s="535"/>
      <c r="W449" s="535"/>
      <c r="X449" s="535"/>
      <c r="Y449" s="536"/>
    </row>
    <row r="450" spans="1:25" ht="12.75">
      <c r="A450" s="532" t="s">
        <v>2711</v>
      </c>
      <c r="B450" s="532">
        <v>41100435</v>
      </c>
      <c r="C450" s="532" t="s">
        <v>3801</v>
      </c>
      <c r="D450" s="532" t="s">
        <v>1482</v>
      </c>
      <c r="E450" s="532" t="s">
        <v>1585</v>
      </c>
      <c r="F450" s="532" t="s">
        <v>2391</v>
      </c>
      <c r="G450" s="532" t="s">
        <v>1468</v>
      </c>
      <c r="H450" s="533"/>
      <c r="I450" s="532" t="s">
        <v>6604</v>
      </c>
      <c r="J450" s="534">
        <v>45863</v>
      </c>
      <c r="K450" s="535"/>
      <c r="L450" s="535"/>
      <c r="M450" s="535"/>
      <c r="N450" s="535"/>
      <c r="O450" s="535"/>
      <c r="P450" s="535"/>
      <c r="Q450" s="535"/>
      <c r="R450" s="535"/>
      <c r="S450" s="535"/>
      <c r="T450" s="535"/>
      <c r="U450" s="535"/>
      <c r="V450" s="535"/>
      <c r="W450" s="535"/>
      <c r="X450" s="535"/>
      <c r="Y450" s="536"/>
    </row>
    <row r="451" spans="1:25" ht="12.75">
      <c r="A451" s="532" t="s">
        <v>2709</v>
      </c>
      <c r="B451" s="532">
        <v>41200076</v>
      </c>
      <c r="C451" s="532" t="s">
        <v>1476</v>
      </c>
      <c r="D451" s="532" t="s">
        <v>1476</v>
      </c>
      <c r="E451" s="532" t="s">
        <v>1585</v>
      </c>
      <c r="F451" s="532" t="s">
        <v>2395</v>
      </c>
      <c r="G451" s="532" t="s">
        <v>2392</v>
      </c>
      <c r="H451" s="532" t="s">
        <v>2392</v>
      </c>
      <c r="I451" s="532" t="s">
        <v>6604</v>
      </c>
      <c r="J451" s="534">
        <v>45863</v>
      </c>
      <c r="K451" s="535"/>
      <c r="L451" s="535"/>
      <c r="M451" s="535"/>
      <c r="N451" s="535"/>
      <c r="O451" s="535"/>
      <c r="P451" s="535"/>
      <c r="Q451" s="535"/>
      <c r="R451" s="535"/>
      <c r="S451" s="535"/>
      <c r="T451" s="535"/>
      <c r="U451" s="535"/>
      <c r="V451" s="535"/>
      <c r="W451" s="535"/>
      <c r="X451" s="535"/>
      <c r="Y451" s="536"/>
    </row>
    <row r="452" spans="1:25" ht="12.75">
      <c r="A452" s="532" t="s">
        <v>2671</v>
      </c>
      <c r="B452" s="532">
        <v>41200136</v>
      </c>
      <c r="C452" s="532" t="s">
        <v>1482</v>
      </c>
      <c r="D452" s="532" t="s">
        <v>1431</v>
      </c>
      <c r="E452" s="532" t="s">
        <v>1431</v>
      </c>
      <c r="F452" s="532" t="s">
        <v>2395</v>
      </c>
      <c r="G452" s="532" t="s">
        <v>1468</v>
      </c>
      <c r="H452" s="533"/>
      <c r="I452" s="532" t="s">
        <v>6604</v>
      </c>
      <c r="J452" s="534">
        <v>45863</v>
      </c>
      <c r="K452" s="535"/>
      <c r="L452" s="535"/>
      <c r="M452" s="535"/>
      <c r="N452" s="535"/>
      <c r="O452" s="535"/>
      <c r="P452" s="535"/>
      <c r="Q452" s="535"/>
      <c r="R452" s="535"/>
      <c r="S452" s="535"/>
      <c r="T452" s="535"/>
      <c r="U452" s="535"/>
      <c r="V452" s="535"/>
      <c r="W452" s="535"/>
      <c r="X452" s="535"/>
      <c r="Y452" s="536"/>
    </row>
    <row r="453" spans="1:25" ht="12.75">
      <c r="A453" s="532" t="s">
        <v>2729</v>
      </c>
      <c r="B453" s="532">
        <v>41200007</v>
      </c>
      <c r="C453" s="532" t="s">
        <v>1591</v>
      </c>
      <c r="D453" s="532" t="s">
        <v>6608</v>
      </c>
      <c r="E453" s="532" t="s">
        <v>1405</v>
      </c>
      <c r="F453" s="532" t="s">
        <v>2391</v>
      </c>
      <c r="G453" s="532" t="s">
        <v>2392</v>
      </c>
      <c r="H453" s="532" t="s">
        <v>2392</v>
      </c>
      <c r="I453" s="532" t="s">
        <v>6604</v>
      </c>
      <c r="J453" s="534">
        <v>45863</v>
      </c>
      <c r="K453" s="535"/>
      <c r="L453" s="535"/>
      <c r="M453" s="535"/>
      <c r="N453" s="535"/>
      <c r="O453" s="535"/>
      <c r="P453" s="535"/>
      <c r="Q453" s="535"/>
      <c r="R453" s="535"/>
      <c r="S453" s="535"/>
      <c r="T453" s="535"/>
      <c r="U453" s="535"/>
      <c r="V453" s="535"/>
      <c r="W453" s="535"/>
      <c r="X453" s="535"/>
      <c r="Y453" s="536"/>
    </row>
    <row r="454" spans="1:25" ht="12.75">
      <c r="A454" s="532" t="s">
        <v>2728</v>
      </c>
      <c r="B454" s="532">
        <v>41200007</v>
      </c>
      <c r="C454" s="532" t="s">
        <v>1591</v>
      </c>
      <c r="D454" s="532" t="s">
        <v>6608</v>
      </c>
      <c r="E454" s="532" t="s">
        <v>1405</v>
      </c>
      <c r="F454" s="532" t="s">
        <v>2391</v>
      </c>
      <c r="G454" s="532" t="s">
        <v>2392</v>
      </c>
      <c r="H454" s="532" t="s">
        <v>2392</v>
      </c>
      <c r="I454" s="532" t="s">
        <v>6604</v>
      </c>
      <c r="J454" s="534">
        <v>45863</v>
      </c>
      <c r="K454" s="535"/>
      <c r="L454" s="535"/>
      <c r="M454" s="535"/>
      <c r="N454" s="535"/>
      <c r="O454" s="535"/>
      <c r="P454" s="535"/>
      <c r="Q454" s="535"/>
      <c r="R454" s="535"/>
      <c r="S454" s="535"/>
      <c r="T454" s="535"/>
      <c r="U454" s="535"/>
      <c r="V454" s="535"/>
      <c r="W454" s="535"/>
      <c r="X454" s="535"/>
      <c r="Y454" s="536"/>
    </row>
    <row r="455" spans="1:25" ht="12.75">
      <c r="A455" s="532" t="s">
        <v>2695</v>
      </c>
      <c r="B455" s="532">
        <v>41200007</v>
      </c>
      <c r="C455" s="532" t="s">
        <v>1591</v>
      </c>
      <c r="D455" s="532" t="s">
        <v>6608</v>
      </c>
      <c r="E455" s="532" t="s">
        <v>1405</v>
      </c>
      <c r="F455" s="532" t="s">
        <v>2391</v>
      </c>
      <c r="G455" s="532" t="s">
        <v>2392</v>
      </c>
      <c r="H455" s="532" t="s">
        <v>2392</v>
      </c>
      <c r="I455" s="532" t="s">
        <v>6604</v>
      </c>
      <c r="J455" s="534">
        <v>45863</v>
      </c>
      <c r="K455" s="535"/>
      <c r="L455" s="535"/>
      <c r="M455" s="535"/>
      <c r="N455" s="535"/>
      <c r="O455" s="535"/>
      <c r="P455" s="535"/>
      <c r="Q455" s="535"/>
      <c r="R455" s="535"/>
      <c r="S455" s="535"/>
      <c r="T455" s="535"/>
      <c r="U455" s="535"/>
      <c r="V455" s="535"/>
      <c r="W455" s="535"/>
      <c r="X455" s="535"/>
      <c r="Y455" s="536"/>
    </row>
    <row r="456" spans="1:25" ht="12.75">
      <c r="A456" s="532" t="s">
        <v>2694</v>
      </c>
      <c r="B456" s="532">
        <v>41200007</v>
      </c>
      <c r="C456" s="532" t="s">
        <v>1591</v>
      </c>
      <c r="D456" s="532" t="s">
        <v>6608</v>
      </c>
      <c r="E456" s="532" t="s">
        <v>1405</v>
      </c>
      <c r="F456" s="532" t="s">
        <v>2391</v>
      </c>
      <c r="G456" s="532" t="s">
        <v>2392</v>
      </c>
      <c r="H456" s="532" t="s">
        <v>2392</v>
      </c>
      <c r="I456" s="532" t="s">
        <v>6604</v>
      </c>
      <c r="J456" s="534">
        <v>45863</v>
      </c>
      <c r="K456" s="535"/>
      <c r="L456" s="535"/>
      <c r="M456" s="535"/>
      <c r="N456" s="535"/>
      <c r="O456" s="535"/>
      <c r="P456" s="535"/>
      <c r="Q456" s="535"/>
      <c r="R456" s="535"/>
      <c r="S456" s="535"/>
      <c r="T456" s="535"/>
      <c r="U456" s="535"/>
      <c r="V456" s="535"/>
      <c r="W456" s="535"/>
      <c r="X456" s="535"/>
      <c r="Y456" s="536"/>
    </row>
    <row r="457" spans="1:25" ht="12.75">
      <c r="A457" s="532" t="s">
        <v>2670</v>
      </c>
      <c r="B457" s="532">
        <v>41200006</v>
      </c>
      <c r="C457" s="532" t="s">
        <v>1477</v>
      </c>
      <c r="D457" s="532" t="s">
        <v>6640</v>
      </c>
      <c r="E457" s="532" t="s">
        <v>1405</v>
      </c>
      <c r="F457" s="532" t="s">
        <v>2391</v>
      </c>
      <c r="G457" s="532" t="s">
        <v>2392</v>
      </c>
      <c r="H457" s="532" t="s">
        <v>2392</v>
      </c>
      <c r="I457" s="532" t="s">
        <v>6604</v>
      </c>
      <c r="J457" s="534">
        <v>45863</v>
      </c>
      <c r="K457" s="535"/>
      <c r="L457" s="535"/>
      <c r="M457" s="535"/>
      <c r="N457" s="535"/>
      <c r="O457" s="535"/>
      <c r="P457" s="535"/>
      <c r="Q457" s="535"/>
      <c r="R457" s="535"/>
      <c r="S457" s="535"/>
      <c r="T457" s="535"/>
      <c r="U457" s="535"/>
      <c r="V457" s="535"/>
      <c r="W457" s="535"/>
      <c r="X457" s="535"/>
      <c r="Y457" s="536"/>
    </row>
    <row r="458" spans="1:25" ht="12.75">
      <c r="A458" s="532" t="s">
        <v>2691</v>
      </c>
      <c r="B458" s="532">
        <v>41200006</v>
      </c>
      <c r="C458" s="532" t="s">
        <v>1477</v>
      </c>
      <c r="D458" s="532" t="s">
        <v>6640</v>
      </c>
      <c r="E458" s="532" t="s">
        <v>1405</v>
      </c>
      <c r="F458" s="532" t="s">
        <v>2391</v>
      </c>
      <c r="G458" s="532" t="s">
        <v>2392</v>
      </c>
      <c r="H458" s="532" t="s">
        <v>2392</v>
      </c>
      <c r="I458" s="532" t="s">
        <v>6604</v>
      </c>
      <c r="J458" s="534">
        <v>45863</v>
      </c>
      <c r="K458" s="535"/>
      <c r="L458" s="535"/>
      <c r="M458" s="535"/>
      <c r="N458" s="535"/>
      <c r="O458" s="535"/>
      <c r="P458" s="535"/>
      <c r="Q458" s="535"/>
      <c r="R458" s="535"/>
      <c r="S458" s="535"/>
      <c r="T458" s="535"/>
      <c r="U458" s="535"/>
      <c r="V458" s="535"/>
      <c r="W458" s="535"/>
      <c r="X458" s="535"/>
      <c r="Y458" s="536"/>
    </row>
    <row r="459" spans="1:25" ht="12.75">
      <c r="A459" s="532" t="s">
        <v>5126</v>
      </c>
      <c r="B459" s="532">
        <v>41000558</v>
      </c>
      <c r="C459" s="532" t="s">
        <v>6607</v>
      </c>
      <c r="D459" s="532" t="s">
        <v>6607</v>
      </c>
      <c r="E459" s="532" t="s">
        <v>1405</v>
      </c>
      <c r="F459" s="532" t="s">
        <v>5127</v>
      </c>
      <c r="G459" s="532" t="s">
        <v>2392</v>
      </c>
      <c r="H459" s="533"/>
      <c r="I459" s="532" t="s">
        <v>6604</v>
      </c>
      <c r="J459" s="534">
        <v>45863</v>
      </c>
      <c r="K459" s="535"/>
      <c r="L459" s="535"/>
      <c r="M459" s="535"/>
      <c r="N459" s="535"/>
      <c r="O459" s="535"/>
      <c r="P459" s="535"/>
      <c r="Q459" s="535"/>
      <c r="R459" s="535"/>
      <c r="S459" s="535"/>
      <c r="T459" s="535"/>
      <c r="U459" s="535"/>
      <c r="V459" s="535"/>
      <c r="W459" s="535"/>
      <c r="X459" s="535"/>
      <c r="Y459" s="536"/>
    </row>
    <row r="460" spans="1:25" ht="12.75">
      <c r="A460" s="532" t="s">
        <v>2699</v>
      </c>
      <c r="B460" s="532">
        <v>41200033</v>
      </c>
      <c r="C460" s="532" t="s">
        <v>1476</v>
      </c>
      <c r="D460" s="532" t="s">
        <v>6611</v>
      </c>
      <c r="E460" s="532" t="s">
        <v>1426</v>
      </c>
      <c r="F460" s="532" t="s">
        <v>2391</v>
      </c>
      <c r="G460" s="532" t="s">
        <v>2392</v>
      </c>
      <c r="H460" s="532" t="s">
        <v>2392</v>
      </c>
      <c r="I460" s="532" t="s">
        <v>6604</v>
      </c>
      <c r="J460" s="534">
        <v>45863</v>
      </c>
      <c r="K460" s="535"/>
      <c r="L460" s="535"/>
      <c r="M460" s="535"/>
      <c r="N460" s="535"/>
      <c r="O460" s="535"/>
      <c r="P460" s="535"/>
      <c r="Q460" s="535"/>
      <c r="R460" s="535"/>
      <c r="S460" s="535"/>
      <c r="T460" s="535"/>
      <c r="U460" s="535"/>
      <c r="V460" s="535"/>
      <c r="W460" s="535"/>
      <c r="X460" s="535"/>
      <c r="Y460" s="536"/>
    </row>
    <row r="461" spans="1:25" ht="12.75">
      <c r="A461" s="532" t="s">
        <v>2698</v>
      </c>
      <c r="B461" s="532">
        <v>41200033</v>
      </c>
      <c r="C461" s="532" t="s">
        <v>1476</v>
      </c>
      <c r="D461" s="532" t="s">
        <v>6611</v>
      </c>
      <c r="E461" s="532" t="s">
        <v>1426</v>
      </c>
      <c r="F461" s="532" t="s">
        <v>2391</v>
      </c>
      <c r="G461" s="532" t="s">
        <v>2392</v>
      </c>
      <c r="H461" s="532" t="s">
        <v>2392</v>
      </c>
      <c r="I461" s="532" t="s">
        <v>6604</v>
      </c>
      <c r="J461" s="534">
        <v>45863</v>
      </c>
      <c r="K461" s="535"/>
      <c r="L461" s="535"/>
      <c r="M461" s="535"/>
      <c r="N461" s="535"/>
      <c r="O461" s="535"/>
      <c r="P461" s="535"/>
      <c r="Q461" s="535"/>
      <c r="R461" s="535"/>
      <c r="S461" s="535"/>
      <c r="T461" s="535"/>
      <c r="U461" s="535"/>
      <c r="V461" s="535"/>
      <c r="W461" s="535"/>
      <c r="X461" s="535"/>
      <c r="Y461" s="536"/>
    </row>
    <row r="462" spans="1:25" ht="12.75">
      <c r="A462" s="532" t="s">
        <v>2681</v>
      </c>
      <c r="B462" s="532">
        <v>41200033</v>
      </c>
      <c r="C462" s="532" t="s">
        <v>1476</v>
      </c>
      <c r="D462" s="532" t="s">
        <v>6611</v>
      </c>
      <c r="E462" s="532" t="s">
        <v>1426</v>
      </c>
      <c r="F462" s="532" t="s">
        <v>2395</v>
      </c>
      <c r="G462" s="532" t="s">
        <v>1469</v>
      </c>
      <c r="H462" s="532" t="s">
        <v>2392</v>
      </c>
      <c r="I462" s="532" t="s">
        <v>6604</v>
      </c>
      <c r="J462" s="534">
        <v>45863</v>
      </c>
      <c r="K462" s="535"/>
      <c r="L462" s="535"/>
      <c r="M462" s="535"/>
      <c r="N462" s="535"/>
      <c r="O462" s="535"/>
      <c r="P462" s="535"/>
      <c r="Q462" s="535"/>
      <c r="R462" s="535"/>
      <c r="S462" s="535"/>
      <c r="T462" s="535"/>
      <c r="U462" s="535"/>
      <c r="V462" s="535"/>
      <c r="W462" s="535"/>
      <c r="X462" s="535"/>
      <c r="Y462" s="536"/>
    </row>
    <row r="463" spans="1:25" ht="12.75">
      <c r="A463" s="532" t="s">
        <v>2852</v>
      </c>
      <c r="B463" s="532">
        <v>41100445</v>
      </c>
      <c r="C463" s="532" t="s">
        <v>1479</v>
      </c>
      <c r="D463" s="532" t="s">
        <v>6661</v>
      </c>
      <c r="E463" s="532" t="s">
        <v>2693</v>
      </c>
      <c r="F463" s="532" t="s">
        <v>2391</v>
      </c>
      <c r="G463" s="532" t="s">
        <v>1468</v>
      </c>
      <c r="H463" s="532" t="s">
        <v>2392</v>
      </c>
      <c r="I463" s="532" t="s">
        <v>6604</v>
      </c>
      <c r="J463" s="534">
        <v>45863</v>
      </c>
      <c r="K463" s="535"/>
      <c r="L463" s="535"/>
      <c r="M463" s="535"/>
      <c r="N463" s="535"/>
      <c r="O463" s="535"/>
      <c r="P463" s="535"/>
      <c r="Q463" s="535"/>
      <c r="R463" s="535"/>
      <c r="S463" s="535"/>
      <c r="T463" s="535"/>
      <c r="U463" s="535"/>
      <c r="V463" s="535"/>
      <c r="W463" s="535"/>
      <c r="X463" s="535"/>
      <c r="Y463" s="536"/>
    </row>
    <row r="464" spans="1:25" ht="12.75">
      <c r="A464" s="532" t="s">
        <v>2692</v>
      </c>
      <c r="B464" s="532">
        <v>41100445</v>
      </c>
      <c r="C464" s="532" t="s">
        <v>1479</v>
      </c>
      <c r="D464" s="532" t="s">
        <v>6661</v>
      </c>
      <c r="E464" s="532" t="s">
        <v>2693</v>
      </c>
      <c r="F464" s="532" t="s">
        <v>2391</v>
      </c>
      <c r="G464" s="532" t="s">
        <v>1468</v>
      </c>
      <c r="H464" s="532" t="s">
        <v>2392</v>
      </c>
      <c r="I464" s="532" t="s">
        <v>6604</v>
      </c>
      <c r="J464" s="534">
        <v>45863</v>
      </c>
      <c r="K464" s="535"/>
      <c r="L464" s="535"/>
      <c r="M464" s="535"/>
      <c r="N464" s="535"/>
      <c r="O464" s="535"/>
      <c r="P464" s="535"/>
      <c r="Q464" s="535"/>
      <c r="R464" s="535"/>
      <c r="S464" s="535"/>
      <c r="T464" s="535"/>
      <c r="U464" s="535"/>
      <c r="V464" s="535"/>
      <c r="W464" s="535"/>
      <c r="X464" s="535"/>
      <c r="Y464" s="536"/>
    </row>
    <row r="465" spans="1:25" ht="12.75">
      <c r="A465" s="532" t="s">
        <v>2837</v>
      </c>
      <c r="B465" s="532">
        <v>41200034</v>
      </c>
      <c r="C465" s="532" t="s">
        <v>1476</v>
      </c>
      <c r="D465" s="532" t="s">
        <v>1426</v>
      </c>
      <c r="E465" s="532" t="s">
        <v>1426</v>
      </c>
      <c r="F465" s="532" t="s">
        <v>2555</v>
      </c>
      <c r="G465" s="532" t="s">
        <v>2555</v>
      </c>
      <c r="H465" s="532" t="s">
        <v>2392</v>
      </c>
      <c r="I465" s="532" t="s">
        <v>6604</v>
      </c>
      <c r="J465" s="534">
        <v>45863</v>
      </c>
      <c r="K465" s="535"/>
      <c r="L465" s="535"/>
      <c r="M465" s="535"/>
      <c r="N465" s="535"/>
      <c r="O465" s="535"/>
      <c r="P465" s="535"/>
      <c r="Q465" s="535"/>
      <c r="R465" s="535"/>
      <c r="S465" s="535"/>
      <c r="T465" s="535"/>
      <c r="U465" s="535"/>
      <c r="V465" s="535"/>
      <c r="W465" s="535"/>
      <c r="X465" s="535"/>
      <c r="Y465" s="536"/>
    </row>
    <row r="466" spans="1:25" ht="12.75">
      <c r="A466" s="532" t="s">
        <v>2663</v>
      </c>
      <c r="B466" s="532">
        <v>41200167</v>
      </c>
      <c r="C466" s="532" t="s">
        <v>1591</v>
      </c>
      <c r="D466" s="532" t="s">
        <v>1399</v>
      </c>
      <c r="E466" s="532" t="s">
        <v>1399</v>
      </c>
      <c r="F466" s="532" t="s">
        <v>2391</v>
      </c>
      <c r="G466" s="532" t="s">
        <v>2392</v>
      </c>
      <c r="H466" s="532" t="s">
        <v>2392</v>
      </c>
      <c r="I466" s="532" t="s">
        <v>6604</v>
      </c>
      <c r="J466" s="534">
        <v>45863</v>
      </c>
      <c r="K466" s="535"/>
      <c r="L466" s="535"/>
      <c r="M466" s="535"/>
      <c r="N466" s="535"/>
      <c r="O466" s="535"/>
      <c r="P466" s="535"/>
      <c r="Q466" s="535"/>
      <c r="R466" s="535"/>
      <c r="S466" s="535"/>
      <c r="T466" s="535"/>
      <c r="U466" s="535"/>
      <c r="V466" s="535"/>
      <c r="W466" s="535"/>
      <c r="X466" s="535"/>
      <c r="Y466" s="536"/>
    </row>
    <row r="467" spans="1:25" ht="12.75">
      <c r="A467" s="532" t="s">
        <v>2662</v>
      </c>
      <c r="B467" s="532">
        <v>41200167</v>
      </c>
      <c r="C467" s="532" t="s">
        <v>1591</v>
      </c>
      <c r="D467" s="532" t="s">
        <v>1399</v>
      </c>
      <c r="E467" s="532" t="s">
        <v>1399</v>
      </c>
      <c r="F467" s="532" t="s">
        <v>2391</v>
      </c>
      <c r="G467" s="532" t="s">
        <v>2392</v>
      </c>
      <c r="H467" s="532" t="s">
        <v>2392</v>
      </c>
      <c r="I467" s="532" t="s">
        <v>6604</v>
      </c>
      <c r="J467" s="534">
        <v>45863</v>
      </c>
      <c r="K467" s="535"/>
      <c r="L467" s="535"/>
      <c r="M467" s="535"/>
      <c r="N467" s="535"/>
      <c r="O467" s="535"/>
      <c r="P467" s="535"/>
      <c r="Q467" s="535"/>
      <c r="R467" s="535"/>
      <c r="S467" s="535"/>
      <c r="T467" s="535"/>
      <c r="U467" s="535"/>
      <c r="V467" s="535"/>
      <c r="W467" s="535"/>
      <c r="X467" s="535"/>
      <c r="Y467" s="536"/>
    </row>
    <row r="468" spans="1:25" ht="12.75">
      <c r="A468" s="532" t="s">
        <v>2661</v>
      </c>
      <c r="B468" s="532">
        <v>41200167</v>
      </c>
      <c r="C468" s="532" t="s">
        <v>1591</v>
      </c>
      <c r="D468" s="532" t="s">
        <v>1399</v>
      </c>
      <c r="E468" s="532" t="s">
        <v>1399</v>
      </c>
      <c r="F468" s="532" t="s">
        <v>2391</v>
      </c>
      <c r="G468" s="532" t="s">
        <v>2392</v>
      </c>
      <c r="H468" s="532" t="s">
        <v>2392</v>
      </c>
      <c r="I468" s="532" t="s">
        <v>6604</v>
      </c>
      <c r="J468" s="534">
        <v>45863</v>
      </c>
      <c r="K468" s="535"/>
      <c r="L468" s="535"/>
      <c r="M468" s="535"/>
      <c r="N468" s="535"/>
      <c r="O468" s="535"/>
      <c r="P468" s="535"/>
      <c r="Q468" s="535"/>
      <c r="R468" s="535"/>
      <c r="S468" s="535"/>
      <c r="T468" s="535"/>
      <c r="U468" s="535"/>
      <c r="V468" s="535"/>
      <c r="W468" s="535"/>
      <c r="X468" s="535"/>
      <c r="Y468" s="536"/>
    </row>
    <row r="469" spans="1:25" ht="12.75">
      <c r="A469" s="532" t="s">
        <v>2659</v>
      </c>
      <c r="B469" s="532">
        <v>41200167</v>
      </c>
      <c r="C469" s="532" t="s">
        <v>1591</v>
      </c>
      <c r="D469" s="532" t="s">
        <v>1399</v>
      </c>
      <c r="E469" s="532" t="s">
        <v>1399</v>
      </c>
      <c r="F469" s="532" t="s">
        <v>2391</v>
      </c>
      <c r="G469" s="532" t="s">
        <v>2392</v>
      </c>
      <c r="H469" s="532" t="s">
        <v>2392</v>
      </c>
      <c r="I469" s="532" t="s">
        <v>6604</v>
      </c>
      <c r="J469" s="534">
        <v>45863</v>
      </c>
      <c r="K469" s="535"/>
      <c r="L469" s="535"/>
      <c r="M469" s="535"/>
      <c r="N469" s="535"/>
      <c r="O469" s="535"/>
      <c r="P469" s="535"/>
      <c r="Q469" s="535"/>
      <c r="R469" s="535"/>
      <c r="S469" s="535"/>
      <c r="T469" s="535"/>
      <c r="U469" s="535"/>
      <c r="V469" s="535"/>
      <c r="W469" s="535"/>
      <c r="X469" s="535"/>
      <c r="Y469" s="536"/>
    </row>
    <row r="470" spans="1:25" ht="12.75">
      <c r="A470" s="532" t="s">
        <v>2658</v>
      </c>
      <c r="B470" s="532">
        <v>41100224</v>
      </c>
      <c r="C470" s="532" t="s">
        <v>1591</v>
      </c>
      <c r="D470" s="532" t="s">
        <v>6657</v>
      </c>
      <c r="E470" s="532" t="s">
        <v>1585</v>
      </c>
      <c r="F470" s="532" t="s">
        <v>2391</v>
      </c>
      <c r="G470" s="532" t="s">
        <v>1468</v>
      </c>
      <c r="H470" s="532" t="s">
        <v>2392</v>
      </c>
      <c r="I470" s="532" t="s">
        <v>6604</v>
      </c>
      <c r="J470" s="534">
        <v>45863</v>
      </c>
      <c r="K470" s="535"/>
      <c r="L470" s="535"/>
      <c r="M470" s="535"/>
      <c r="N470" s="535"/>
      <c r="O470" s="535"/>
      <c r="P470" s="535"/>
      <c r="Q470" s="535"/>
      <c r="R470" s="535"/>
      <c r="S470" s="535"/>
      <c r="T470" s="535"/>
      <c r="U470" s="535"/>
      <c r="V470" s="535"/>
      <c r="W470" s="535"/>
      <c r="X470" s="535"/>
      <c r="Y470" s="536"/>
    </row>
    <row r="471" spans="1:25" ht="12.75">
      <c r="A471" s="532" t="s">
        <v>2657</v>
      </c>
      <c r="B471" s="532">
        <v>41100224</v>
      </c>
      <c r="C471" s="532" t="s">
        <v>1591</v>
      </c>
      <c r="D471" s="532" t="s">
        <v>6657</v>
      </c>
      <c r="E471" s="532" t="s">
        <v>1585</v>
      </c>
      <c r="F471" s="532" t="s">
        <v>2391</v>
      </c>
      <c r="G471" s="532" t="s">
        <v>1468</v>
      </c>
      <c r="H471" s="532" t="s">
        <v>2392</v>
      </c>
      <c r="I471" s="532" t="s">
        <v>6604</v>
      </c>
      <c r="J471" s="534">
        <v>45863</v>
      </c>
      <c r="K471" s="535"/>
      <c r="L471" s="535"/>
      <c r="M471" s="535"/>
      <c r="N471" s="535"/>
      <c r="O471" s="535"/>
      <c r="P471" s="535"/>
      <c r="Q471" s="535"/>
      <c r="R471" s="535"/>
      <c r="S471" s="535"/>
      <c r="T471" s="535"/>
      <c r="U471" s="535"/>
      <c r="V471" s="535"/>
      <c r="W471" s="535"/>
      <c r="X471" s="535"/>
      <c r="Y471" s="536"/>
    </row>
    <row r="472" spans="1:25" ht="12.75">
      <c r="A472" s="532" t="s">
        <v>2648</v>
      </c>
      <c r="B472" s="532">
        <v>41200127</v>
      </c>
      <c r="C472" s="532" t="s">
        <v>1591</v>
      </c>
      <c r="D472" s="532" t="s">
        <v>6606</v>
      </c>
      <c r="E472" s="532" t="s">
        <v>1431</v>
      </c>
      <c r="F472" s="532" t="s">
        <v>2395</v>
      </c>
      <c r="G472" s="532" t="s">
        <v>1469</v>
      </c>
      <c r="H472" s="532" t="s">
        <v>2392</v>
      </c>
      <c r="I472" s="532" t="s">
        <v>6604</v>
      </c>
      <c r="J472" s="534">
        <v>45863</v>
      </c>
      <c r="K472" s="535"/>
      <c r="L472" s="535"/>
      <c r="M472" s="535"/>
      <c r="N472" s="535"/>
      <c r="O472" s="535"/>
      <c r="P472" s="535"/>
      <c r="Q472" s="535"/>
      <c r="R472" s="535"/>
      <c r="S472" s="535"/>
      <c r="T472" s="535"/>
      <c r="U472" s="535"/>
      <c r="V472" s="535"/>
      <c r="W472" s="535"/>
      <c r="X472" s="535"/>
      <c r="Y472" s="536"/>
    </row>
    <row r="473" spans="1:25" ht="12.75">
      <c r="A473" s="532" t="s">
        <v>2647</v>
      </c>
      <c r="B473" s="532">
        <v>41200127</v>
      </c>
      <c r="C473" s="532" t="s">
        <v>1591</v>
      </c>
      <c r="D473" s="532" t="s">
        <v>6606</v>
      </c>
      <c r="E473" s="532" t="s">
        <v>1431</v>
      </c>
      <c r="F473" s="532" t="s">
        <v>2395</v>
      </c>
      <c r="G473" s="532" t="s">
        <v>1469</v>
      </c>
      <c r="H473" s="532" t="s">
        <v>2392</v>
      </c>
      <c r="I473" s="532" t="s">
        <v>6604</v>
      </c>
      <c r="J473" s="534">
        <v>45863</v>
      </c>
      <c r="K473" s="535"/>
      <c r="L473" s="535"/>
      <c r="M473" s="535"/>
      <c r="N473" s="535"/>
      <c r="O473" s="535"/>
      <c r="P473" s="535"/>
      <c r="Q473" s="535"/>
      <c r="R473" s="535"/>
      <c r="S473" s="535"/>
      <c r="T473" s="535"/>
      <c r="U473" s="535"/>
      <c r="V473" s="535"/>
      <c r="W473" s="535"/>
      <c r="X473" s="535"/>
      <c r="Y473" s="536"/>
    </row>
    <row r="474" spans="1:25" ht="12.75">
      <c r="A474" s="532" t="s">
        <v>2664</v>
      </c>
      <c r="B474" s="532">
        <v>41100374</v>
      </c>
      <c r="C474" s="532" t="s">
        <v>1476</v>
      </c>
      <c r="D474" s="532" t="s">
        <v>6610</v>
      </c>
      <c r="E474" s="532" t="s">
        <v>1585</v>
      </c>
      <c r="F474" s="532" t="s">
        <v>2391</v>
      </c>
      <c r="G474" s="532" t="s">
        <v>2392</v>
      </c>
      <c r="H474" s="532" t="s">
        <v>2392</v>
      </c>
      <c r="I474" s="532" t="s">
        <v>6604</v>
      </c>
      <c r="J474" s="534">
        <v>45863</v>
      </c>
      <c r="K474" s="535"/>
      <c r="L474" s="535"/>
      <c r="M474" s="535"/>
      <c r="N474" s="535"/>
      <c r="O474" s="535"/>
      <c r="P474" s="535"/>
      <c r="Q474" s="535"/>
      <c r="R474" s="535"/>
      <c r="S474" s="535"/>
      <c r="T474" s="535"/>
      <c r="U474" s="535"/>
      <c r="V474" s="535"/>
      <c r="W474" s="535"/>
      <c r="X474" s="535"/>
      <c r="Y474" s="536"/>
    </row>
    <row r="475" spans="1:25" ht="12.75">
      <c r="A475" s="532" t="s">
        <v>2871</v>
      </c>
      <c r="B475" s="532">
        <v>41200006</v>
      </c>
      <c r="C475" s="532" t="s">
        <v>1477</v>
      </c>
      <c r="D475" s="532" t="s">
        <v>6640</v>
      </c>
      <c r="E475" s="532" t="s">
        <v>1405</v>
      </c>
      <c r="F475" s="532" t="s">
        <v>2391</v>
      </c>
      <c r="G475" s="532" t="s">
        <v>2392</v>
      </c>
      <c r="H475" s="532" t="s">
        <v>2392</v>
      </c>
      <c r="I475" s="532" t="s">
        <v>6604</v>
      </c>
      <c r="J475" s="534">
        <v>45863</v>
      </c>
      <c r="K475" s="535"/>
      <c r="L475" s="535"/>
      <c r="M475" s="535"/>
      <c r="N475" s="535"/>
      <c r="O475" s="535"/>
      <c r="P475" s="535"/>
      <c r="Q475" s="535"/>
      <c r="R475" s="535"/>
      <c r="S475" s="535"/>
      <c r="T475" s="535"/>
      <c r="U475" s="535"/>
      <c r="V475" s="535"/>
      <c r="W475" s="535"/>
      <c r="X475" s="535"/>
      <c r="Y475" s="536"/>
    </row>
    <row r="476" spans="1:25" ht="12.75">
      <c r="A476" s="532" t="s">
        <v>2870</v>
      </c>
      <c r="B476" s="532">
        <v>41200006</v>
      </c>
      <c r="C476" s="532" t="s">
        <v>1477</v>
      </c>
      <c r="D476" s="532" t="s">
        <v>6640</v>
      </c>
      <c r="E476" s="532" t="s">
        <v>1405</v>
      </c>
      <c r="F476" s="532" t="s">
        <v>2391</v>
      </c>
      <c r="G476" s="532" t="s">
        <v>2392</v>
      </c>
      <c r="H476" s="532" t="s">
        <v>2392</v>
      </c>
      <c r="I476" s="532" t="s">
        <v>6604</v>
      </c>
      <c r="J476" s="534">
        <v>45863</v>
      </c>
      <c r="K476" s="535"/>
      <c r="L476" s="535"/>
      <c r="M476" s="535"/>
      <c r="N476" s="535"/>
      <c r="O476" s="535"/>
      <c r="P476" s="535"/>
      <c r="Q476" s="535"/>
      <c r="R476" s="535"/>
      <c r="S476" s="535"/>
      <c r="T476" s="535"/>
      <c r="U476" s="535"/>
      <c r="V476" s="535"/>
      <c r="W476" s="535"/>
      <c r="X476" s="535"/>
      <c r="Y476" s="536"/>
    </row>
    <row r="477" spans="1:25" ht="12.75">
      <c r="A477" s="532" t="s">
        <v>2869</v>
      </c>
      <c r="B477" s="532">
        <v>41200006</v>
      </c>
      <c r="C477" s="532" t="s">
        <v>1477</v>
      </c>
      <c r="D477" s="532" t="s">
        <v>6640</v>
      </c>
      <c r="E477" s="532" t="s">
        <v>1405</v>
      </c>
      <c r="F477" s="532" t="s">
        <v>2391</v>
      </c>
      <c r="G477" s="532" t="s">
        <v>2392</v>
      </c>
      <c r="H477" s="532" t="s">
        <v>2392</v>
      </c>
      <c r="I477" s="532" t="s">
        <v>6604</v>
      </c>
      <c r="J477" s="534">
        <v>45863</v>
      </c>
      <c r="K477" s="535"/>
      <c r="L477" s="535"/>
      <c r="M477" s="535"/>
      <c r="N477" s="535"/>
      <c r="O477" s="535"/>
      <c r="P477" s="535"/>
      <c r="Q477" s="535"/>
      <c r="R477" s="535"/>
      <c r="S477" s="535"/>
      <c r="T477" s="535"/>
      <c r="U477" s="535"/>
      <c r="V477" s="535"/>
      <c r="W477" s="535"/>
      <c r="X477" s="535"/>
      <c r="Y477" s="536"/>
    </row>
    <row r="478" spans="1:25" ht="12.75">
      <c r="A478" s="532" t="s">
        <v>2868</v>
      </c>
      <c r="B478" s="532">
        <v>41200006</v>
      </c>
      <c r="C478" s="532" t="s">
        <v>1477</v>
      </c>
      <c r="D478" s="532" t="s">
        <v>6640</v>
      </c>
      <c r="E478" s="532" t="s">
        <v>1405</v>
      </c>
      <c r="F478" s="532" t="s">
        <v>2391</v>
      </c>
      <c r="G478" s="532" t="s">
        <v>2392</v>
      </c>
      <c r="H478" s="532" t="s">
        <v>2392</v>
      </c>
      <c r="I478" s="532" t="s">
        <v>6604</v>
      </c>
      <c r="J478" s="534">
        <v>45863</v>
      </c>
      <c r="K478" s="535"/>
      <c r="L478" s="535"/>
      <c r="M478" s="535"/>
      <c r="N478" s="535"/>
      <c r="O478" s="535"/>
      <c r="P478" s="535"/>
      <c r="Q478" s="535"/>
      <c r="R478" s="535"/>
      <c r="S478" s="535"/>
      <c r="T478" s="535"/>
      <c r="U478" s="535"/>
      <c r="V478" s="535"/>
      <c r="W478" s="535"/>
      <c r="X478" s="535"/>
      <c r="Y478" s="536"/>
    </row>
    <row r="479" spans="1:25" ht="12.75">
      <c r="A479" s="532" t="s">
        <v>2700</v>
      </c>
      <c r="B479" s="532">
        <v>41200076</v>
      </c>
      <c r="C479" s="532" t="s">
        <v>1476</v>
      </c>
      <c r="D479" s="532" t="s">
        <v>1476</v>
      </c>
      <c r="E479" s="532" t="s">
        <v>1585</v>
      </c>
      <c r="F479" s="532" t="s">
        <v>2391</v>
      </c>
      <c r="G479" s="532" t="s">
        <v>2392</v>
      </c>
      <c r="H479" s="532" t="s">
        <v>2392</v>
      </c>
      <c r="I479" s="532" t="s">
        <v>6604</v>
      </c>
      <c r="J479" s="534">
        <v>45863</v>
      </c>
      <c r="K479" s="535"/>
      <c r="L479" s="535"/>
      <c r="M479" s="535"/>
      <c r="N479" s="535"/>
      <c r="O479" s="535"/>
      <c r="P479" s="535"/>
      <c r="Q479" s="535"/>
      <c r="R479" s="535"/>
      <c r="S479" s="535"/>
      <c r="T479" s="535"/>
      <c r="U479" s="535"/>
      <c r="V479" s="535"/>
      <c r="W479" s="535"/>
      <c r="X479" s="535"/>
      <c r="Y479" s="536"/>
    </row>
    <row r="480" spans="1:25" ht="12.75">
      <c r="A480" s="532" t="s">
        <v>2656</v>
      </c>
      <c r="B480" s="532">
        <v>41200158</v>
      </c>
      <c r="C480" s="532" t="s">
        <v>1480</v>
      </c>
      <c r="D480" s="532" t="s">
        <v>1480</v>
      </c>
      <c r="E480" s="532" t="s">
        <v>1405</v>
      </c>
      <c r="F480" s="532" t="s">
        <v>2391</v>
      </c>
      <c r="G480" s="532" t="s">
        <v>2392</v>
      </c>
      <c r="H480" s="532" t="s">
        <v>2392</v>
      </c>
      <c r="I480" s="532" t="s">
        <v>6604</v>
      </c>
      <c r="J480" s="534">
        <v>45863</v>
      </c>
      <c r="K480" s="535"/>
      <c r="L480" s="535"/>
      <c r="M480" s="535"/>
      <c r="N480" s="535"/>
      <c r="O480" s="535"/>
      <c r="P480" s="535"/>
      <c r="Q480" s="535"/>
      <c r="R480" s="535"/>
      <c r="S480" s="535"/>
      <c r="T480" s="535"/>
      <c r="U480" s="535"/>
      <c r="V480" s="535"/>
      <c r="W480" s="535"/>
      <c r="X480" s="535"/>
      <c r="Y480" s="536"/>
    </row>
    <row r="481" spans="1:25" ht="12.75">
      <c r="A481" s="532" t="s">
        <v>2674</v>
      </c>
      <c r="B481" s="532">
        <v>41200076</v>
      </c>
      <c r="C481" s="532" t="s">
        <v>1476</v>
      </c>
      <c r="D481" s="532" t="s">
        <v>1476</v>
      </c>
      <c r="E481" s="532" t="s">
        <v>1585</v>
      </c>
      <c r="F481" s="532" t="s">
        <v>2391</v>
      </c>
      <c r="G481" s="532" t="s">
        <v>2392</v>
      </c>
      <c r="H481" s="532" t="s">
        <v>2392</v>
      </c>
      <c r="I481" s="532" t="s">
        <v>6604</v>
      </c>
      <c r="J481" s="534">
        <v>45863</v>
      </c>
      <c r="K481" s="535"/>
      <c r="L481" s="535"/>
      <c r="M481" s="535"/>
      <c r="N481" s="535"/>
      <c r="O481" s="535"/>
      <c r="P481" s="535"/>
      <c r="Q481" s="535"/>
      <c r="R481" s="535"/>
      <c r="S481" s="535"/>
      <c r="T481" s="535"/>
      <c r="U481" s="535"/>
      <c r="V481" s="535"/>
      <c r="W481" s="535"/>
      <c r="X481" s="535"/>
      <c r="Y481" s="536"/>
    </row>
    <row r="482" spans="1:25" ht="12.75">
      <c r="A482" s="532" t="s">
        <v>2528</v>
      </c>
      <c r="B482" s="532">
        <v>41200125</v>
      </c>
      <c r="C482" s="532" t="s">
        <v>1476</v>
      </c>
      <c r="D482" s="532" t="s">
        <v>1476</v>
      </c>
      <c r="E482" s="532" t="s">
        <v>1585</v>
      </c>
      <c r="F482" s="532" t="s">
        <v>2391</v>
      </c>
      <c r="G482" s="532" t="s">
        <v>1469</v>
      </c>
      <c r="H482" s="532" t="s">
        <v>2392</v>
      </c>
      <c r="I482" s="532" t="s">
        <v>6604</v>
      </c>
      <c r="J482" s="534">
        <v>45861</v>
      </c>
      <c r="K482" s="535"/>
      <c r="L482" s="535"/>
      <c r="M482" s="535"/>
      <c r="N482" s="535"/>
      <c r="O482" s="535"/>
      <c r="P482" s="535"/>
      <c r="Q482" s="535"/>
      <c r="R482" s="535"/>
      <c r="S482" s="535"/>
      <c r="T482" s="535"/>
      <c r="U482" s="535"/>
      <c r="V482" s="535"/>
      <c r="W482" s="535"/>
      <c r="X482" s="535"/>
      <c r="Y482" s="536"/>
    </row>
    <row r="483" spans="1:25" ht="12.75">
      <c r="A483" s="532" t="s">
        <v>2639</v>
      </c>
      <c r="B483" s="532">
        <v>41100696</v>
      </c>
      <c r="C483" s="532" t="s">
        <v>1911</v>
      </c>
      <c r="D483" s="532" t="s">
        <v>6634</v>
      </c>
      <c r="E483" s="532" t="s">
        <v>1433</v>
      </c>
      <c r="F483" s="532" t="s">
        <v>2392</v>
      </c>
      <c r="G483" s="532" t="s">
        <v>2392</v>
      </c>
      <c r="H483" s="533"/>
      <c r="I483" s="532" t="s">
        <v>6604</v>
      </c>
      <c r="J483" s="534">
        <v>45854</v>
      </c>
      <c r="K483" s="535"/>
      <c r="L483" s="535"/>
      <c r="M483" s="535"/>
      <c r="N483" s="535"/>
      <c r="O483" s="535"/>
      <c r="P483" s="535"/>
      <c r="Q483" s="535"/>
      <c r="R483" s="535"/>
      <c r="S483" s="535"/>
      <c r="T483" s="535"/>
      <c r="U483" s="535"/>
      <c r="V483" s="535"/>
      <c r="W483" s="535"/>
      <c r="X483" s="535"/>
      <c r="Y483" s="536"/>
    </row>
    <row r="484" spans="1:25" ht="12.75">
      <c r="A484" s="532" t="s">
        <v>2650</v>
      </c>
      <c r="B484" s="532">
        <v>41100550</v>
      </c>
      <c r="C484" s="532" t="s">
        <v>1477</v>
      </c>
      <c r="D484" s="532" t="s">
        <v>6640</v>
      </c>
      <c r="E484" s="532" t="s">
        <v>1405</v>
      </c>
      <c r="F484" s="532" t="s">
        <v>2391</v>
      </c>
      <c r="G484" s="532" t="s">
        <v>2392</v>
      </c>
      <c r="H484" s="532" t="s">
        <v>2392</v>
      </c>
      <c r="I484" s="532" t="s">
        <v>6604</v>
      </c>
      <c r="J484" s="534">
        <v>45854</v>
      </c>
      <c r="K484" s="535"/>
      <c r="L484" s="535"/>
      <c r="M484" s="535"/>
      <c r="N484" s="535"/>
      <c r="O484" s="535"/>
      <c r="P484" s="535"/>
      <c r="Q484" s="535"/>
      <c r="R484" s="535"/>
      <c r="S484" s="535"/>
      <c r="T484" s="535"/>
      <c r="U484" s="535"/>
      <c r="V484" s="535"/>
      <c r="W484" s="535"/>
      <c r="X484" s="535"/>
      <c r="Y484" s="536"/>
    </row>
    <row r="485" spans="1:25" ht="12.75">
      <c r="A485" s="532" t="s">
        <v>2649</v>
      </c>
      <c r="B485" s="532">
        <v>41100550</v>
      </c>
      <c r="C485" s="532" t="s">
        <v>1477</v>
      </c>
      <c r="D485" s="532" t="s">
        <v>6640</v>
      </c>
      <c r="E485" s="532" t="s">
        <v>1405</v>
      </c>
      <c r="F485" s="532" t="s">
        <v>2391</v>
      </c>
      <c r="G485" s="532" t="s">
        <v>2392</v>
      </c>
      <c r="H485" s="532" t="s">
        <v>2392</v>
      </c>
      <c r="I485" s="532" t="s">
        <v>6604</v>
      </c>
      <c r="J485" s="534">
        <v>45854</v>
      </c>
      <c r="K485" s="535"/>
      <c r="L485" s="535"/>
      <c r="M485" s="535"/>
      <c r="N485" s="535"/>
      <c r="O485" s="535"/>
      <c r="P485" s="535"/>
      <c r="Q485" s="535"/>
      <c r="R485" s="535"/>
      <c r="S485" s="535"/>
      <c r="T485" s="535"/>
      <c r="U485" s="535"/>
      <c r="V485" s="535"/>
      <c r="W485" s="535"/>
      <c r="X485" s="535"/>
      <c r="Y485" s="536"/>
    </row>
    <row r="486" spans="1:25" ht="12.75">
      <c r="A486" s="532" t="s">
        <v>2643</v>
      </c>
      <c r="B486" s="532">
        <v>41100550</v>
      </c>
      <c r="C486" s="532" t="s">
        <v>1477</v>
      </c>
      <c r="D486" s="532" t="s">
        <v>6640</v>
      </c>
      <c r="E486" s="532" t="s">
        <v>1405</v>
      </c>
      <c r="F486" s="532" t="s">
        <v>2391</v>
      </c>
      <c r="G486" s="532" t="s">
        <v>1468</v>
      </c>
      <c r="H486" s="532" t="s">
        <v>2392</v>
      </c>
      <c r="I486" s="532" t="s">
        <v>6604</v>
      </c>
      <c r="J486" s="534">
        <v>45854</v>
      </c>
      <c r="K486" s="535"/>
      <c r="L486" s="535"/>
      <c r="M486" s="535"/>
      <c r="N486" s="535"/>
      <c r="O486" s="535"/>
      <c r="P486" s="535"/>
      <c r="Q486" s="535"/>
      <c r="R486" s="535"/>
      <c r="S486" s="535"/>
      <c r="T486" s="535"/>
      <c r="U486" s="535"/>
      <c r="V486" s="535"/>
      <c r="W486" s="535"/>
      <c r="X486" s="535"/>
      <c r="Y486" s="536"/>
    </row>
    <row r="487" spans="1:25" ht="12.75">
      <c r="A487" s="532" t="s">
        <v>2640</v>
      </c>
      <c r="B487" s="532">
        <v>41100550</v>
      </c>
      <c r="C487" s="532" t="s">
        <v>1477</v>
      </c>
      <c r="D487" s="532" t="s">
        <v>6640</v>
      </c>
      <c r="E487" s="532" t="s">
        <v>1405</v>
      </c>
      <c r="F487" s="532" t="s">
        <v>2391</v>
      </c>
      <c r="G487" s="532" t="s">
        <v>1468</v>
      </c>
      <c r="H487" s="532" t="s">
        <v>2392</v>
      </c>
      <c r="I487" s="532" t="s">
        <v>6604</v>
      </c>
      <c r="J487" s="534">
        <v>45854</v>
      </c>
      <c r="K487" s="535"/>
      <c r="L487" s="535"/>
      <c r="M487" s="535"/>
      <c r="N487" s="535"/>
      <c r="O487" s="535"/>
      <c r="P487" s="535"/>
      <c r="Q487" s="535"/>
      <c r="R487" s="535"/>
      <c r="S487" s="535"/>
      <c r="T487" s="535"/>
      <c r="U487" s="535"/>
      <c r="V487" s="535"/>
      <c r="W487" s="535"/>
      <c r="X487" s="535"/>
      <c r="Y487" s="536"/>
    </row>
    <row r="488" spans="1:25" ht="12.75">
      <c r="A488" s="532" t="s">
        <v>2646</v>
      </c>
      <c r="B488" s="532">
        <v>41200006</v>
      </c>
      <c r="C488" s="532" t="s">
        <v>1477</v>
      </c>
      <c r="D488" s="532" t="s">
        <v>6640</v>
      </c>
      <c r="E488" s="532" t="s">
        <v>1405</v>
      </c>
      <c r="F488" s="532" t="s">
        <v>2395</v>
      </c>
      <c r="G488" s="532" t="s">
        <v>1469</v>
      </c>
      <c r="H488" s="532" t="s">
        <v>2392</v>
      </c>
      <c r="I488" s="532" t="s">
        <v>6604</v>
      </c>
      <c r="J488" s="534">
        <v>45854</v>
      </c>
      <c r="K488" s="535"/>
      <c r="L488" s="535"/>
      <c r="M488" s="535"/>
      <c r="N488" s="535"/>
      <c r="O488" s="535"/>
      <c r="P488" s="535"/>
      <c r="Q488" s="535"/>
      <c r="R488" s="535"/>
      <c r="S488" s="535"/>
      <c r="T488" s="535"/>
      <c r="U488" s="535"/>
      <c r="V488" s="535"/>
      <c r="W488" s="535"/>
      <c r="X488" s="535"/>
      <c r="Y488" s="536"/>
    </row>
    <row r="489" spans="1:25" ht="12.75">
      <c r="A489" s="532" t="s">
        <v>2645</v>
      </c>
      <c r="B489" s="532">
        <v>41200006</v>
      </c>
      <c r="C489" s="532" t="s">
        <v>1477</v>
      </c>
      <c r="D489" s="532" t="s">
        <v>6640</v>
      </c>
      <c r="E489" s="532" t="s">
        <v>1405</v>
      </c>
      <c r="F489" s="532" t="s">
        <v>2395</v>
      </c>
      <c r="G489" s="532" t="s">
        <v>1469</v>
      </c>
      <c r="H489" s="532" t="s">
        <v>2392</v>
      </c>
      <c r="I489" s="532" t="s">
        <v>6604</v>
      </c>
      <c r="J489" s="534">
        <v>45854</v>
      </c>
      <c r="K489" s="535"/>
      <c r="L489" s="535"/>
      <c r="M489" s="535"/>
      <c r="N489" s="535"/>
      <c r="O489" s="535"/>
      <c r="P489" s="535"/>
      <c r="Q489" s="535"/>
      <c r="R489" s="535"/>
      <c r="S489" s="535"/>
      <c r="T489" s="535"/>
      <c r="U489" s="535"/>
      <c r="V489" s="535"/>
      <c r="W489" s="535"/>
      <c r="X489" s="535"/>
      <c r="Y489" s="536"/>
    </row>
    <row r="490" spans="1:25" ht="12.75">
      <c r="A490" s="532" t="s">
        <v>2644</v>
      </c>
      <c r="B490" s="532">
        <v>41200006</v>
      </c>
      <c r="C490" s="532" t="s">
        <v>1477</v>
      </c>
      <c r="D490" s="532" t="s">
        <v>6640</v>
      </c>
      <c r="E490" s="532" t="s">
        <v>1405</v>
      </c>
      <c r="F490" s="532" t="s">
        <v>2395</v>
      </c>
      <c r="G490" s="532" t="s">
        <v>1469</v>
      </c>
      <c r="H490" s="532" t="s">
        <v>2392</v>
      </c>
      <c r="I490" s="532" t="s">
        <v>6604</v>
      </c>
      <c r="J490" s="534">
        <v>45854</v>
      </c>
      <c r="K490" s="535"/>
      <c r="L490" s="535"/>
      <c r="M490" s="535"/>
      <c r="N490" s="535"/>
      <c r="O490" s="535"/>
      <c r="P490" s="535"/>
      <c r="Q490" s="535"/>
      <c r="R490" s="535"/>
      <c r="S490" s="535"/>
      <c r="T490" s="535"/>
      <c r="U490" s="535"/>
      <c r="V490" s="535"/>
      <c r="W490" s="535"/>
      <c r="X490" s="535"/>
      <c r="Y490" s="536"/>
    </row>
    <row r="491" spans="1:25" ht="12.75">
      <c r="A491" s="532" t="s">
        <v>2637</v>
      </c>
      <c r="B491" s="532">
        <v>41100435</v>
      </c>
      <c r="C491" s="532" t="s">
        <v>3801</v>
      </c>
      <c r="D491" s="532" t="s">
        <v>1482</v>
      </c>
      <c r="E491" s="532" t="s">
        <v>1585</v>
      </c>
      <c r="F491" s="532" t="s">
        <v>2391</v>
      </c>
      <c r="G491" s="532" t="s">
        <v>1468</v>
      </c>
      <c r="H491" s="533"/>
      <c r="I491" s="532" t="s">
        <v>6604</v>
      </c>
      <c r="J491" s="534">
        <v>45854</v>
      </c>
      <c r="K491" s="535"/>
      <c r="L491" s="535"/>
      <c r="M491" s="535"/>
      <c r="N491" s="535"/>
      <c r="O491" s="535"/>
      <c r="P491" s="535"/>
      <c r="Q491" s="535"/>
      <c r="R491" s="535"/>
      <c r="S491" s="535"/>
      <c r="T491" s="535"/>
      <c r="U491" s="535"/>
      <c r="V491" s="535"/>
      <c r="W491" s="535"/>
      <c r="X491" s="535"/>
      <c r="Y491" s="536"/>
    </row>
    <row r="492" spans="1:25" ht="12.75">
      <c r="A492" s="532" t="s">
        <v>2627</v>
      </c>
      <c r="B492" s="532">
        <v>41200128</v>
      </c>
      <c r="C492" s="532" t="s">
        <v>1591</v>
      </c>
      <c r="D492" s="532" t="s">
        <v>6606</v>
      </c>
      <c r="E492" s="532" t="s">
        <v>1431</v>
      </c>
      <c r="F492" s="532" t="s">
        <v>2395</v>
      </c>
      <c r="G492" s="532" t="s">
        <v>2392</v>
      </c>
      <c r="H492" s="532" t="s">
        <v>2392</v>
      </c>
      <c r="I492" s="532" t="s">
        <v>6604</v>
      </c>
      <c r="J492" s="534">
        <v>45854</v>
      </c>
      <c r="K492" s="535"/>
      <c r="L492" s="535"/>
      <c r="M492" s="535"/>
      <c r="N492" s="535"/>
      <c r="O492" s="535"/>
      <c r="P492" s="535"/>
      <c r="Q492" s="535"/>
      <c r="R492" s="535"/>
      <c r="S492" s="535"/>
      <c r="T492" s="535"/>
      <c r="U492" s="535"/>
      <c r="V492" s="535"/>
      <c r="W492" s="535"/>
      <c r="X492" s="535"/>
      <c r="Y492" s="536"/>
    </row>
    <row r="493" spans="1:25" ht="12.75">
      <c r="A493" s="532" t="s">
        <v>2632</v>
      </c>
      <c r="B493" s="532">
        <v>41200128</v>
      </c>
      <c r="C493" s="532" t="s">
        <v>1591</v>
      </c>
      <c r="D493" s="532" t="s">
        <v>6606</v>
      </c>
      <c r="E493" s="532" t="s">
        <v>1431</v>
      </c>
      <c r="F493" s="532" t="s">
        <v>2395</v>
      </c>
      <c r="G493" s="532" t="s">
        <v>1469</v>
      </c>
      <c r="H493" s="532" t="s">
        <v>2392</v>
      </c>
      <c r="I493" s="532" t="s">
        <v>6604</v>
      </c>
      <c r="J493" s="534">
        <v>45854</v>
      </c>
      <c r="K493" s="535"/>
      <c r="L493" s="535"/>
      <c r="M493" s="535"/>
      <c r="N493" s="535"/>
      <c r="O493" s="535"/>
      <c r="P493" s="535"/>
      <c r="Q493" s="535"/>
      <c r="R493" s="535"/>
      <c r="S493" s="535"/>
      <c r="T493" s="535"/>
      <c r="U493" s="535"/>
      <c r="V493" s="535"/>
      <c r="W493" s="535"/>
      <c r="X493" s="535"/>
      <c r="Y493" s="536"/>
    </row>
    <row r="494" spans="1:25" ht="12.75">
      <c r="A494" s="532" t="s">
        <v>2631</v>
      </c>
      <c r="B494" s="532">
        <v>41200128</v>
      </c>
      <c r="C494" s="532" t="s">
        <v>1591</v>
      </c>
      <c r="D494" s="532" t="s">
        <v>6606</v>
      </c>
      <c r="E494" s="532" t="s">
        <v>1431</v>
      </c>
      <c r="F494" s="532" t="s">
        <v>2395</v>
      </c>
      <c r="G494" s="532" t="s">
        <v>1469</v>
      </c>
      <c r="H494" s="532" t="s">
        <v>2392</v>
      </c>
      <c r="I494" s="532" t="s">
        <v>6604</v>
      </c>
      <c r="J494" s="534">
        <v>45854</v>
      </c>
      <c r="K494" s="535"/>
      <c r="L494" s="535"/>
      <c r="M494" s="535"/>
      <c r="N494" s="535"/>
      <c r="O494" s="535"/>
      <c r="P494" s="535"/>
      <c r="Q494" s="535"/>
      <c r="R494" s="535"/>
      <c r="S494" s="535"/>
      <c r="T494" s="535"/>
      <c r="U494" s="535"/>
      <c r="V494" s="535"/>
      <c r="W494" s="535"/>
      <c r="X494" s="535"/>
      <c r="Y494" s="536"/>
    </row>
    <row r="495" spans="1:25" ht="12.75">
      <c r="A495" s="532" t="s">
        <v>2654</v>
      </c>
      <c r="B495" s="532">
        <v>41200047</v>
      </c>
      <c r="C495" s="532" t="s">
        <v>1476</v>
      </c>
      <c r="D495" s="532" t="s">
        <v>1426</v>
      </c>
      <c r="E495" s="532" t="s">
        <v>1426</v>
      </c>
      <c r="F495" s="532" t="s">
        <v>2391</v>
      </c>
      <c r="G495" s="532" t="s">
        <v>2392</v>
      </c>
      <c r="H495" s="532" t="s">
        <v>2392</v>
      </c>
      <c r="I495" s="532" t="s">
        <v>6604</v>
      </c>
      <c r="J495" s="534">
        <v>45854</v>
      </c>
      <c r="K495" s="535"/>
      <c r="L495" s="535"/>
      <c r="M495" s="535"/>
      <c r="N495" s="535"/>
      <c r="O495" s="535"/>
      <c r="P495" s="535"/>
      <c r="Q495" s="535"/>
      <c r="R495" s="535"/>
      <c r="S495" s="535"/>
      <c r="T495" s="535"/>
      <c r="U495" s="535"/>
      <c r="V495" s="535"/>
      <c r="W495" s="535"/>
      <c r="X495" s="535"/>
      <c r="Y495" s="536"/>
    </row>
    <row r="496" spans="1:25" ht="12.75">
      <c r="A496" s="532" t="s">
        <v>2652</v>
      </c>
      <c r="B496" s="532">
        <v>41200047</v>
      </c>
      <c r="C496" s="532" t="s">
        <v>1476</v>
      </c>
      <c r="D496" s="532" t="s">
        <v>1426</v>
      </c>
      <c r="E496" s="532" t="s">
        <v>1426</v>
      </c>
      <c r="F496" s="532" t="s">
        <v>2391</v>
      </c>
      <c r="G496" s="532" t="s">
        <v>2392</v>
      </c>
      <c r="H496" s="532" t="s">
        <v>2392</v>
      </c>
      <c r="I496" s="532" t="s">
        <v>6604</v>
      </c>
      <c r="J496" s="534">
        <v>45854</v>
      </c>
      <c r="K496" s="535"/>
      <c r="L496" s="535"/>
      <c r="M496" s="535"/>
      <c r="N496" s="535"/>
      <c r="O496" s="535"/>
      <c r="P496" s="535"/>
      <c r="Q496" s="535"/>
      <c r="R496" s="535"/>
      <c r="S496" s="535"/>
      <c r="T496" s="535"/>
      <c r="U496" s="535"/>
      <c r="V496" s="535"/>
      <c r="W496" s="535"/>
      <c r="X496" s="535"/>
      <c r="Y496" s="536"/>
    </row>
    <row r="497" spans="1:25" ht="12.75">
      <c r="A497" s="532" t="s">
        <v>2651</v>
      </c>
      <c r="B497" s="532">
        <v>41200047</v>
      </c>
      <c r="C497" s="532" t="s">
        <v>1476</v>
      </c>
      <c r="D497" s="532" t="s">
        <v>1426</v>
      </c>
      <c r="E497" s="532" t="s">
        <v>1426</v>
      </c>
      <c r="F497" s="532" t="s">
        <v>2391</v>
      </c>
      <c r="G497" s="532" t="s">
        <v>2392</v>
      </c>
      <c r="H497" s="532" t="s">
        <v>2392</v>
      </c>
      <c r="I497" s="532" t="s">
        <v>6604</v>
      </c>
      <c r="J497" s="534">
        <v>45854</v>
      </c>
      <c r="K497" s="535"/>
      <c r="L497" s="535"/>
      <c r="M497" s="535"/>
      <c r="N497" s="535"/>
      <c r="O497" s="535"/>
      <c r="P497" s="535"/>
      <c r="Q497" s="535"/>
      <c r="R497" s="535"/>
      <c r="S497" s="535"/>
      <c r="T497" s="535"/>
      <c r="U497" s="535"/>
      <c r="V497" s="535"/>
      <c r="W497" s="535"/>
      <c r="X497" s="535"/>
      <c r="Y497" s="536"/>
    </row>
    <row r="498" spans="1:25" ht="12.75">
      <c r="A498" s="532" t="s">
        <v>2625</v>
      </c>
      <c r="B498" s="532">
        <v>41200163</v>
      </c>
      <c r="C498" s="532" t="s">
        <v>1479</v>
      </c>
      <c r="D498" s="532" t="s">
        <v>1394</v>
      </c>
      <c r="E498" s="532" t="s">
        <v>1394</v>
      </c>
      <c r="F498" s="532" t="s">
        <v>2395</v>
      </c>
      <c r="G498" s="532" t="s">
        <v>1469</v>
      </c>
      <c r="H498" s="532" t="s">
        <v>2392</v>
      </c>
      <c r="I498" s="532" t="s">
        <v>6604</v>
      </c>
      <c r="J498" s="534">
        <v>45854</v>
      </c>
      <c r="K498" s="535"/>
      <c r="L498" s="535"/>
      <c r="M498" s="535"/>
      <c r="N498" s="535"/>
      <c r="O498" s="535"/>
      <c r="P498" s="535"/>
      <c r="Q498" s="535"/>
      <c r="R498" s="535"/>
      <c r="S498" s="535"/>
      <c r="T498" s="535"/>
      <c r="U498" s="535"/>
      <c r="V498" s="535"/>
      <c r="W498" s="535"/>
      <c r="X498" s="535"/>
      <c r="Y498" s="536"/>
    </row>
    <row r="499" spans="1:25" ht="12.75">
      <c r="A499" s="532" t="s">
        <v>2624</v>
      </c>
      <c r="B499" s="532">
        <v>41200162</v>
      </c>
      <c r="C499" s="532" t="s">
        <v>1479</v>
      </c>
      <c r="D499" s="532" t="s">
        <v>1394</v>
      </c>
      <c r="E499" s="532" t="s">
        <v>1394</v>
      </c>
      <c r="F499" s="532" t="s">
        <v>2395</v>
      </c>
      <c r="G499" s="532" t="s">
        <v>1469</v>
      </c>
      <c r="H499" s="532" t="s">
        <v>2392</v>
      </c>
      <c r="I499" s="532" t="s">
        <v>6604</v>
      </c>
      <c r="J499" s="534">
        <v>45854</v>
      </c>
      <c r="K499" s="535"/>
      <c r="L499" s="535"/>
      <c r="M499" s="535"/>
      <c r="N499" s="535"/>
      <c r="O499" s="535"/>
      <c r="P499" s="535"/>
      <c r="Q499" s="535"/>
      <c r="R499" s="535"/>
      <c r="S499" s="535"/>
      <c r="T499" s="535"/>
      <c r="U499" s="535"/>
      <c r="V499" s="535"/>
      <c r="W499" s="535"/>
      <c r="X499" s="535"/>
      <c r="Y499" s="536"/>
    </row>
    <row r="500" spans="1:25" ht="12.75">
      <c r="A500" s="532" t="s">
        <v>2634</v>
      </c>
      <c r="B500" s="532">
        <v>41200119</v>
      </c>
      <c r="C500" s="532" t="s">
        <v>1476</v>
      </c>
      <c r="D500" s="532" t="s">
        <v>1422</v>
      </c>
      <c r="E500" s="532" t="s">
        <v>1422</v>
      </c>
      <c r="F500" s="532" t="s">
        <v>2391</v>
      </c>
      <c r="G500" s="532" t="s">
        <v>1468</v>
      </c>
      <c r="H500" s="532" t="s">
        <v>2392</v>
      </c>
      <c r="I500" s="532" t="s">
        <v>6604</v>
      </c>
      <c r="J500" s="534">
        <v>45854</v>
      </c>
      <c r="K500" s="535"/>
      <c r="L500" s="535"/>
      <c r="M500" s="535"/>
      <c r="N500" s="535"/>
      <c r="O500" s="535"/>
      <c r="P500" s="535"/>
      <c r="Q500" s="535"/>
      <c r="R500" s="535"/>
      <c r="S500" s="535"/>
      <c r="T500" s="535"/>
      <c r="U500" s="535"/>
      <c r="V500" s="535"/>
      <c r="W500" s="535"/>
      <c r="X500" s="535"/>
      <c r="Y500" s="536"/>
    </row>
    <row r="501" spans="1:25" ht="12.75">
      <c r="A501" s="532" t="s">
        <v>2636</v>
      </c>
      <c r="B501" s="532">
        <v>41200034</v>
      </c>
      <c r="C501" s="532" t="s">
        <v>1476</v>
      </c>
      <c r="D501" s="532" t="s">
        <v>1426</v>
      </c>
      <c r="E501" s="532" t="s">
        <v>1426</v>
      </c>
      <c r="F501" s="532" t="s">
        <v>2395</v>
      </c>
      <c r="G501" s="532" t="s">
        <v>1469</v>
      </c>
      <c r="H501" s="532" t="s">
        <v>2392</v>
      </c>
      <c r="I501" s="532" t="s">
        <v>6604</v>
      </c>
      <c r="J501" s="534">
        <v>45854</v>
      </c>
      <c r="K501" s="535"/>
      <c r="L501" s="535"/>
      <c r="M501" s="535"/>
      <c r="N501" s="535"/>
      <c r="O501" s="535"/>
      <c r="P501" s="535"/>
      <c r="Q501" s="535"/>
      <c r="R501" s="535"/>
      <c r="S501" s="535"/>
      <c r="T501" s="535"/>
      <c r="U501" s="535"/>
      <c r="V501" s="535"/>
      <c r="W501" s="535"/>
      <c r="X501" s="535"/>
      <c r="Y501" s="536"/>
    </row>
    <row r="502" spans="1:25" ht="12.75">
      <c r="A502" s="532" t="s">
        <v>2635</v>
      </c>
      <c r="B502" s="532">
        <v>41200034</v>
      </c>
      <c r="C502" s="532" t="s">
        <v>1476</v>
      </c>
      <c r="D502" s="532" t="s">
        <v>1426</v>
      </c>
      <c r="E502" s="532" t="s">
        <v>1426</v>
      </c>
      <c r="F502" s="532" t="s">
        <v>2395</v>
      </c>
      <c r="G502" s="532" t="s">
        <v>1469</v>
      </c>
      <c r="H502" s="532" t="s">
        <v>2392</v>
      </c>
      <c r="I502" s="532" t="s">
        <v>6604</v>
      </c>
      <c r="J502" s="534">
        <v>45854</v>
      </c>
      <c r="K502" s="535"/>
      <c r="L502" s="535"/>
      <c r="M502" s="535"/>
      <c r="N502" s="535"/>
      <c r="O502" s="535"/>
      <c r="P502" s="535"/>
      <c r="Q502" s="535"/>
      <c r="R502" s="535"/>
      <c r="S502" s="535"/>
      <c r="T502" s="535"/>
      <c r="U502" s="535"/>
      <c r="V502" s="535"/>
      <c r="W502" s="535"/>
      <c r="X502" s="535"/>
      <c r="Y502" s="536"/>
    </row>
    <row r="503" spans="1:25" ht="12.75">
      <c r="A503" s="532" t="s">
        <v>2626</v>
      </c>
      <c r="B503" s="532">
        <v>41200034</v>
      </c>
      <c r="C503" s="532" t="s">
        <v>1476</v>
      </c>
      <c r="D503" s="532" t="s">
        <v>1426</v>
      </c>
      <c r="E503" s="532" t="s">
        <v>1426</v>
      </c>
      <c r="F503" s="532" t="s">
        <v>2395</v>
      </c>
      <c r="G503" s="532" t="s">
        <v>1469</v>
      </c>
      <c r="H503" s="532" t="s">
        <v>2392</v>
      </c>
      <c r="I503" s="532" t="s">
        <v>6604</v>
      </c>
      <c r="J503" s="534">
        <v>45854</v>
      </c>
      <c r="K503" s="535"/>
      <c r="L503" s="535"/>
      <c r="M503" s="535"/>
      <c r="N503" s="535"/>
      <c r="O503" s="535"/>
      <c r="P503" s="535"/>
      <c r="Q503" s="535"/>
      <c r="R503" s="535"/>
      <c r="S503" s="535"/>
      <c r="T503" s="535"/>
      <c r="U503" s="535"/>
      <c r="V503" s="535"/>
      <c r="W503" s="535"/>
      <c r="X503" s="535"/>
      <c r="Y503" s="536"/>
    </row>
    <row r="504" spans="1:25" ht="12.75">
      <c r="A504" s="532" t="s">
        <v>2629</v>
      </c>
      <c r="B504" s="532">
        <v>41200034</v>
      </c>
      <c r="C504" s="532" t="s">
        <v>1476</v>
      </c>
      <c r="D504" s="532" t="s">
        <v>1426</v>
      </c>
      <c r="E504" s="532" t="s">
        <v>1426</v>
      </c>
      <c r="F504" s="532" t="s">
        <v>2395</v>
      </c>
      <c r="G504" s="532" t="s">
        <v>2392</v>
      </c>
      <c r="H504" s="532" t="s">
        <v>2392</v>
      </c>
      <c r="I504" s="532" t="s">
        <v>6604</v>
      </c>
      <c r="J504" s="534">
        <v>45854</v>
      </c>
      <c r="K504" s="535"/>
      <c r="L504" s="535"/>
      <c r="M504" s="535"/>
      <c r="N504" s="535"/>
      <c r="O504" s="535"/>
      <c r="P504" s="535"/>
      <c r="Q504" s="535"/>
      <c r="R504" s="535"/>
      <c r="S504" s="535"/>
      <c r="T504" s="535"/>
      <c r="U504" s="535"/>
      <c r="V504" s="535"/>
      <c r="W504" s="535"/>
      <c r="X504" s="535"/>
      <c r="Y504" s="536"/>
    </row>
    <row r="505" spans="1:25" ht="12.75">
      <c r="A505" s="532" t="s">
        <v>2628</v>
      </c>
      <c r="B505" s="532">
        <v>41200034</v>
      </c>
      <c r="C505" s="532" t="s">
        <v>1476</v>
      </c>
      <c r="D505" s="532" t="s">
        <v>1426</v>
      </c>
      <c r="E505" s="532" t="s">
        <v>1426</v>
      </c>
      <c r="F505" s="532" t="s">
        <v>2395</v>
      </c>
      <c r="G505" s="532" t="s">
        <v>2392</v>
      </c>
      <c r="H505" s="532" t="s">
        <v>2392</v>
      </c>
      <c r="I505" s="532" t="s">
        <v>6604</v>
      </c>
      <c r="J505" s="534">
        <v>45854</v>
      </c>
      <c r="K505" s="535"/>
      <c r="L505" s="535"/>
      <c r="M505" s="535"/>
      <c r="N505" s="535"/>
      <c r="O505" s="535"/>
      <c r="P505" s="535"/>
      <c r="Q505" s="535"/>
      <c r="R505" s="535"/>
      <c r="S505" s="535"/>
      <c r="T505" s="535"/>
      <c r="U505" s="535"/>
      <c r="V505" s="535"/>
      <c r="W505" s="535"/>
      <c r="X505" s="535"/>
      <c r="Y505" s="536"/>
    </row>
    <row r="506" spans="1:25" ht="12.75">
      <c r="A506" s="532" t="s">
        <v>2623</v>
      </c>
      <c r="B506" s="532">
        <v>41200036</v>
      </c>
      <c r="C506" s="532" t="s">
        <v>1476</v>
      </c>
      <c r="D506" s="532" t="s">
        <v>1426</v>
      </c>
      <c r="E506" s="532" t="s">
        <v>1426</v>
      </c>
      <c r="F506" s="532" t="s">
        <v>2391</v>
      </c>
      <c r="G506" s="532" t="s">
        <v>1468</v>
      </c>
      <c r="H506" s="532" t="s">
        <v>2392</v>
      </c>
      <c r="I506" s="532" t="s">
        <v>6604</v>
      </c>
      <c r="J506" s="534">
        <v>45854</v>
      </c>
      <c r="K506" s="535"/>
      <c r="L506" s="535"/>
      <c r="M506" s="535"/>
      <c r="N506" s="535"/>
      <c r="O506" s="535"/>
      <c r="P506" s="535"/>
      <c r="Q506" s="535"/>
      <c r="R506" s="535"/>
      <c r="S506" s="535"/>
      <c r="T506" s="535"/>
      <c r="U506" s="535"/>
      <c r="V506" s="535"/>
      <c r="W506" s="535"/>
      <c r="X506" s="535"/>
      <c r="Y506" s="536"/>
    </row>
    <row r="507" spans="1:25" ht="12.75">
      <c r="A507" s="532" t="s">
        <v>2607</v>
      </c>
      <c r="B507" s="532">
        <v>41100448</v>
      </c>
      <c r="C507" s="532" t="s">
        <v>1591</v>
      </c>
      <c r="D507" s="532" t="s">
        <v>6662</v>
      </c>
      <c r="E507" s="532" t="s">
        <v>1585</v>
      </c>
      <c r="F507" s="532" t="s">
        <v>2391</v>
      </c>
      <c r="G507" s="532" t="s">
        <v>2392</v>
      </c>
      <c r="H507" s="532" t="s">
        <v>2392</v>
      </c>
      <c r="I507" s="532" t="s">
        <v>6604</v>
      </c>
      <c r="J507" s="534">
        <v>45854</v>
      </c>
      <c r="K507" s="535"/>
      <c r="L507" s="535"/>
      <c r="M507" s="535"/>
      <c r="N507" s="535"/>
      <c r="O507" s="535"/>
      <c r="P507" s="535"/>
      <c r="Q507" s="535"/>
      <c r="R507" s="535"/>
      <c r="S507" s="535"/>
      <c r="T507" s="535"/>
      <c r="U507" s="535"/>
      <c r="V507" s="535"/>
      <c r="W507" s="535"/>
      <c r="X507" s="535"/>
      <c r="Y507" s="536"/>
    </row>
    <row r="508" spans="1:25" ht="12.75">
      <c r="A508" s="532" t="s">
        <v>2606</v>
      </c>
      <c r="B508" s="532">
        <v>41100448</v>
      </c>
      <c r="C508" s="532" t="s">
        <v>1591</v>
      </c>
      <c r="D508" s="532" t="s">
        <v>6662</v>
      </c>
      <c r="E508" s="532" t="s">
        <v>1585</v>
      </c>
      <c r="F508" s="532" t="s">
        <v>2391</v>
      </c>
      <c r="G508" s="532" t="s">
        <v>2392</v>
      </c>
      <c r="H508" s="532" t="s">
        <v>2392</v>
      </c>
      <c r="I508" s="532" t="s">
        <v>6604</v>
      </c>
      <c r="J508" s="534">
        <v>45854</v>
      </c>
      <c r="K508" s="535"/>
      <c r="L508" s="535"/>
      <c r="M508" s="535"/>
      <c r="N508" s="535"/>
      <c r="O508" s="535"/>
      <c r="P508" s="535"/>
      <c r="Q508" s="535"/>
      <c r="R508" s="535"/>
      <c r="S508" s="535"/>
      <c r="T508" s="535"/>
      <c r="U508" s="535"/>
      <c r="V508" s="535"/>
      <c r="W508" s="535"/>
      <c r="X508" s="535"/>
      <c r="Y508" s="536"/>
    </row>
    <row r="509" spans="1:25" ht="12.75">
      <c r="A509" s="532" t="s">
        <v>2605</v>
      </c>
      <c r="B509" s="532">
        <v>41200127</v>
      </c>
      <c r="C509" s="532" t="s">
        <v>1591</v>
      </c>
      <c r="D509" s="532" t="s">
        <v>6606</v>
      </c>
      <c r="E509" s="532" t="s">
        <v>1431</v>
      </c>
      <c r="F509" s="532" t="s">
        <v>2391</v>
      </c>
      <c r="G509" s="532" t="s">
        <v>1468</v>
      </c>
      <c r="H509" s="532" t="s">
        <v>2392</v>
      </c>
      <c r="I509" s="532" t="s">
        <v>6604</v>
      </c>
      <c r="J509" s="534">
        <v>45854</v>
      </c>
      <c r="K509" s="535"/>
      <c r="L509" s="535"/>
      <c r="M509" s="535"/>
      <c r="N509" s="535"/>
      <c r="O509" s="535"/>
      <c r="P509" s="535"/>
      <c r="Q509" s="535"/>
      <c r="R509" s="535"/>
      <c r="S509" s="535"/>
      <c r="T509" s="535"/>
      <c r="U509" s="535"/>
      <c r="V509" s="535"/>
      <c r="W509" s="535"/>
      <c r="X509" s="535"/>
      <c r="Y509" s="536"/>
    </row>
    <row r="510" spans="1:25" ht="12.75">
      <c r="A510" s="532" t="s">
        <v>2612</v>
      </c>
      <c r="B510" s="532">
        <v>41200034</v>
      </c>
      <c r="C510" s="532" t="s">
        <v>1476</v>
      </c>
      <c r="D510" s="532" t="s">
        <v>1426</v>
      </c>
      <c r="E510" s="532" t="s">
        <v>1426</v>
      </c>
      <c r="F510" s="532" t="s">
        <v>2395</v>
      </c>
      <c r="G510" s="532" t="s">
        <v>2392</v>
      </c>
      <c r="H510" s="532" t="s">
        <v>2392</v>
      </c>
      <c r="I510" s="532" t="s">
        <v>6604</v>
      </c>
      <c r="J510" s="534">
        <v>45854</v>
      </c>
      <c r="K510" s="535"/>
      <c r="L510" s="535"/>
      <c r="M510" s="535"/>
      <c r="N510" s="535"/>
      <c r="O510" s="535"/>
      <c r="P510" s="535"/>
      <c r="Q510" s="535"/>
      <c r="R510" s="535"/>
      <c r="S510" s="535"/>
      <c r="T510" s="535"/>
      <c r="U510" s="535"/>
      <c r="V510" s="535"/>
      <c r="W510" s="535"/>
      <c r="X510" s="535"/>
      <c r="Y510" s="536"/>
    </row>
    <row r="511" spans="1:25" ht="12.75">
      <c r="A511" s="532" t="s">
        <v>2611</v>
      </c>
      <c r="B511" s="532">
        <v>41200034</v>
      </c>
      <c r="C511" s="532" t="s">
        <v>1476</v>
      </c>
      <c r="D511" s="532" t="s">
        <v>1426</v>
      </c>
      <c r="E511" s="532" t="s">
        <v>1426</v>
      </c>
      <c r="F511" s="532" t="s">
        <v>2395</v>
      </c>
      <c r="G511" s="532" t="s">
        <v>2392</v>
      </c>
      <c r="H511" s="532" t="s">
        <v>2392</v>
      </c>
      <c r="I511" s="532" t="s">
        <v>6604</v>
      </c>
      <c r="J511" s="534">
        <v>45854</v>
      </c>
      <c r="K511" s="535"/>
      <c r="L511" s="535"/>
      <c r="M511" s="535"/>
      <c r="N511" s="535"/>
      <c r="O511" s="535"/>
      <c r="P511" s="535"/>
      <c r="Q511" s="535"/>
      <c r="R511" s="535"/>
      <c r="S511" s="535"/>
      <c r="T511" s="535"/>
      <c r="U511" s="535"/>
      <c r="V511" s="535"/>
      <c r="W511" s="535"/>
      <c r="X511" s="535"/>
      <c r="Y511" s="536"/>
    </row>
    <row r="512" spans="1:25" ht="12.75">
      <c r="A512" s="532" t="s">
        <v>2586</v>
      </c>
      <c r="B512" s="532">
        <v>41200034</v>
      </c>
      <c r="C512" s="532" t="s">
        <v>1476</v>
      </c>
      <c r="D512" s="532" t="s">
        <v>1426</v>
      </c>
      <c r="E512" s="532" t="s">
        <v>1426</v>
      </c>
      <c r="F512" s="532" t="s">
        <v>2395</v>
      </c>
      <c r="G512" s="532" t="s">
        <v>2392</v>
      </c>
      <c r="H512" s="532" t="s">
        <v>2392</v>
      </c>
      <c r="I512" s="532" t="s">
        <v>6604</v>
      </c>
      <c r="J512" s="534">
        <v>45854</v>
      </c>
      <c r="K512" s="535"/>
      <c r="L512" s="535"/>
      <c r="M512" s="535"/>
      <c r="N512" s="535"/>
      <c r="O512" s="535"/>
      <c r="P512" s="535"/>
      <c r="Q512" s="535"/>
      <c r="R512" s="535"/>
      <c r="S512" s="535"/>
      <c r="T512" s="535"/>
      <c r="U512" s="535"/>
      <c r="V512" s="535"/>
      <c r="W512" s="535"/>
      <c r="X512" s="535"/>
      <c r="Y512" s="536"/>
    </row>
    <row r="513" spans="1:25" ht="12.75">
      <c r="A513" s="532" t="s">
        <v>2596</v>
      </c>
      <c r="B513" s="532">
        <v>41200124</v>
      </c>
      <c r="C513" s="532" t="s">
        <v>1476</v>
      </c>
      <c r="D513" s="532" t="s">
        <v>6609</v>
      </c>
      <c r="E513" s="532" t="s">
        <v>1585</v>
      </c>
      <c r="F513" s="532" t="s">
        <v>2395</v>
      </c>
      <c r="G513" s="532" t="s">
        <v>2392</v>
      </c>
      <c r="H513" s="532" t="s">
        <v>2392</v>
      </c>
      <c r="I513" s="532" t="s">
        <v>6604</v>
      </c>
      <c r="J513" s="534">
        <v>45848</v>
      </c>
      <c r="K513" s="535"/>
      <c r="L513" s="535"/>
      <c r="M513" s="535"/>
      <c r="N513" s="535"/>
      <c r="O513" s="535"/>
      <c r="P513" s="535"/>
      <c r="Q513" s="535"/>
      <c r="R513" s="535"/>
      <c r="S513" s="535"/>
      <c r="T513" s="535"/>
      <c r="U513" s="535"/>
      <c r="V513" s="535"/>
      <c r="W513" s="535"/>
      <c r="X513" s="535"/>
      <c r="Y513" s="536"/>
    </row>
    <row r="514" spans="1:25" ht="12.75">
      <c r="A514" s="532" t="s">
        <v>2601</v>
      </c>
      <c r="B514" s="532">
        <v>41200124</v>
      </c>
      <c r="C514" s="532" t="s">
        <v>1476</v>
      </c>
      <c r="D514" s="532" t="s">
        <v>6609</v>
      </c>
      <c r="E514" s="532" t="s">
        <v>1585</v>
      </c>
      <c r="F514" s="532" t="s">
        <v>2391</v>
      </c>
      <c r="G514" s="532" t="s">
        <v>1468</v>
      </c>
      <c r="H514" s="532" t="s">
        <v>2392</v>
      </c>
      <c r="I514" s="532" t="s">
        <v>6604</v>
      </c>
      <c r="J514" s="534">
        <v>45848</v>
      </c>
      <c r="K514" s="535"/>
      <c r="L514" s="535"/>
      <c r="M514" s="535"/>
      <c r="N514" s="535"/>
      <c r="O514" s="535"/>
      <c r="P514" s="535"/>
      <c r="Q514" s="535"/>
      <c r="R514" s="535"/>
      <c r="S514" s="535"/>
      <c r="T514" s="535"/>
      <c r="U514" s="535"/>
      <c r="V514" s="535"/>
      <c r="W514" s="535"/>
      <c r="X514" s="535"/>
      <c r="Y514" s="536"/>
    </row>
    <row r="515" spans="1:25" ht="12.75">
      <c r="A515" s="532" t="s">
        <v>2600</v>
      </c>
      <c r="B515" s="532">
        <v>41200124</v>
      </c>
      <c r="C515" s="532" t="s">
        <v>1476</v>
      </c>
      <c r="D515" s="532" t="s">
        <v>6609</v>
      </c>
      <c r="E515" s="532" t="s">
        <v>1585</v>
      </c>
      <c r="F515" s="532" t="s">
        <v>2391</v>
      </c>
      <c r="G515" s="532" t="s">
        <v>1468</v>
      </c>
      <c r="H515" s="532" t="s">
        <v>2392</v>
      </c>
      <c r="I515" s="532" t="s">
        <v>6604</v>
      </c>
      <c r="J515" s="534">
        <v>45848</v>
      </c>
      <c r="K515" s="535"/>
      <c r="L515" s="535"/>
      <c r="M515" s="535"/>
      <c r="N515" s="535"/>
      <c r="O515" s="535"/>
      <c r="P515" s="535"/>
      <c r="Q515" s="535"/>
      <c r="R515" s="535"/>
      <c r="S515" s="535"/>
      <c r="T515" s="535"/>
      <c r="U515" s="535"/>
      <c r="V515" s="535"/>
      <c r="W515" s="535"/>
      <c r="X515" s="535"/>
      <c r="Y515" s="536"/>
    </row>
    <row r="516" spans="1:25" ht="12.75">
      <c r="A516" s="532" t="s">
        <v>2597</v>
      </c>
      <c r="B516" s="532">
        <v>41100435</v>
      </c>
      <c r="C516" s="532" t="s">
        <v>3801</v>
      </c>
      <c r="D516" s="532" t="s">
        <v>1482</v>
      </c>
      <c r="E516" s="532" t="s">
        <v>1405</v>
      </c>
      <c r="F516" s="532" t="s">
        <v>2395</v>
      </c>
      <c r="G516" s="532" t="s">
        <v>2392</v>
      </c>
      <c r="H516" s="533"/>
      <c r="I516" s="532" t="s">
        <v>6604</v>
      </c>
      <c r="J516" s="534">
        <v>45848</v>
      </c>
      <c r="K516" s="535"/>
      <c r="L516" s="535"/>
      <c r="M516" s="535"/>
      <c r="N516" s="535"/>
      <c r="O516" s="535"/>
      <c r="P516" s="535"/>
      <c r="Q516" s="535"/>
      <c r="R516" s="535"/>
      <c r="S516" s="535"/>
      <c r="T516" s="535"/>
      <c r="U516" s="535"/>
      <c r="V516" s="535"/>
      <c r="W516" s="535"/>
      <c r="X516" s="535"/>
      <c r="Y516" s="536"/>
    </row>
    <row r="517" spans="1:25" ht="12.75">
      <c r="A517" s="532" t="s">
        <v>2594</v>
      </c>
      <c r="B517" s="532">
        <v>41200006</v>
      </c>
      <c r="C517" s="532" t="s">
        <v>1477</v>
      </c>
      <c r="D517" s="532" t="s">
        <v>6640</v>
      </c>
      <c r="E517" s="532" t="s">
        <v>1405</v>
      </c>
      <c r="F517" s="532" t="s">
        <v>2391</v>
      </c>
      <c r="G517" s="532" t="s">
        <v>1468</v>
      </c>
      <c r="H517" s="532" t="s">
        <v>2392</v>
      </c>
      <c r="I517" s="532" t="s">
        <v>6604</v>
      </c>
      <c r="J517" s="534">
        <v>45848</v>
      </c>
      <c r="K517" s="535"/>
      <c r="L517" s="535"/>
      <c r="M517" s="535"/>
      <c r="N517" s="535"/>
      <c r="O517" s="535"/>
      <c r="P517" s="535"/>
      <c r="Q517" s="535"/>
      <c r="R517" s="535"/>
      <c r="S517" s="535"/>
      <c r="T517" s="535"/>
      <c r="U517" s="535"/>
      <c r="V517" s="535"/>
      <c r="W517" s="535"/>
      <c r="X517" s="535"/>
      <c r="Y517" s="536"/>
    </row>
    <row r="518" spans="1:25" ht="12.75">
      <c r="A518" s="532" t="s">
        <v>2588</v>
      </c>
      <c r="B518" s="532">
        <v>41200006</v>
      </c>
      <c r="C518" s="532" t="s">
        <v>1477</v>
      </c>
      <c r="D518" s="532" t="s">
        <v>6640</v>
      </c>
      <c r="E518" s="532" t="s">
        <v>1405</v>
      </c>
      <c r="F518" s="532" t="s">
        <v>2391</v>
      </c>
      <c r="G518" s="532" t="s">
        <v>1468</v>
      </c>
      <c r="H518" s="532" t="s">
        <v>2392</v>
      </c>
      <c r="I518" s="532" t="s">
        <v>6604</v>
      </c>
      <c r="J518" s="534">
        <v>45848</v>
      </c>
      <c r="K518" s="535"/>
      <c r="L518" s="535"/>
      <c r="M518" s="535"/>
      <c r="N518" s="535"/>
      <c r="O518" s="535"/>
      <c r="P518" s="535"/>
      <c r="Q518" s="535"/>
      <c r="R518" s="535"/>
      <c r="S518" s="535"/>
      <c r="T518" s="535"/>
      <c r="U518" s="535"/>
      <c r="V518" s="535"/>
      <c r="W518" s="535"/>
      <c r="X518" s="535"/>
      <c r="Y518" s="536"/>
    </row>
    <row r="519" spans="1:25" ht="12.75">
      <c r="A519" s="532" t="s">
        <v>2587</v>
      </c>
      <c r="B519" s="532">
        <v>41200006</v>
      </c>
      <c r="C519" s="532" t="s">
        <v>1477</v>
      </c>
      <c r="D519" s="532" t="s">
        <v>6640</v>
      </c>
      <c r="E519" s="532" t="s">
        <v>1405</v>
      </c>
      <c r="F519" s="532" t="s">
        <v>2391</v>
      </c>
      <c r="G519" s="532" t="s">
        <v>1468</v>
      </c>
      <c r="H519" s="532" t="s">
        <v>2392</v>
      </c>
      <c r="I519" s="532" t="s">
        <v>6604</v>
      </c>
      <c r="J519" s="534">
        <v>45848</v>
      </c>
      <c r="K519" s="535"/>
      <c r="L519" s="535"/>
      <c r="M519" s="535"/>
      <c r="N519" s="535"/>
      <c r="O519" s="535"/>
      <c r="P519" s="535"/>
      <c r="Q519" s="535"/>
      <c r="R519" s="535"/>
      <c r="S519" s="535"/>
      <c r="T519" s="535"/>
      <c r="U519" s="535"/>
      <c r="V519" s="535"/>
      <c r="W519" s="535"/>
      <c r="X519" s="535"/>
      <c r="Y519" s="536"/>
    </row>
    <row r="520" spans="1:25" ht="12.75">
      <c r="A520" s="532" t="s">
        <v>2615</v>
      </c>
      <c r="B520" s="532">
        <v>41100317</v>
      </c>
      <c r="C520" s="532" t="s">
        <v>1476</v>
      </c>
      <c r="D520" s="532" t="s">
        <v>1476</v>
      </c>
      <c r="E520" s="532" t="s">
        <v>1585</v>
      </c>
      <c r="F520" s="532" t="s">
        <v>2391</v>
      </c>
      <c r="G520" s="532" t="s">
        <v>2392</v>
      </c>
      <c r="H520" s="532" t="s">
        <v>2392</v>
      </c>
      <c r="I520" s="532" t="s">
        <v>6604</v>
      </c>
      <c r="J520" s="534">
        <v>45848</v>
      </c>
      <c r="K520" s="535"/>
      <c r="L520" s="535"/>
      <c r="M520" s="535"/>
      <c r="N520" s="535"/>
      <c r="O520" s="535"/>
      <c r="P520" s="535"/>
      <c r="Q520" s="535"/>
      <c r="R520" s="535"/>
      <c r="S520" s="535"/>
      <c r="T520" s="535"/>
      <c r="U520" s="535"/>
      <c r="V520" s="535"/>
      <c r="W520" s="535"/>
      <c r="X520" s="535"/>
      <c r="Y520" s="536"/>
    </row>
    <row r="521" spans="1:25" ht="12.75">
      <c r="A521" s="532" t="s">
        <v>2599</v>
      </c>
      <c r="B521" s="532">
        <v>41100502</v>
      </c>
      <c r="C521" s="532" t="s">
        <v>1591</v>
      </c>
      <c r="D521" s="532" t="s">
        <v>1591</v>
      </c>
      <c r="E521" s="532" t="s">
        <v>1585</v>
      </c>
      <c r="F521" s="532" t="s">
        <v>2395</v>
      </c>
      <c r="G521" s="532" t="s">
        <v>2392</v>
      </c>
      <c r="H521" s="532" t="s">
        <v>2392</v>
      </c>
      <c r="I521" s="532" t="s">
        <v>6604</v>
      </c>
      <c r="J521" s="534">
        <v>45848</v>
      </c>
      <c r="K521" s="535"/>
      <c r="L521" s="535"/>
      <c r="M521" s="535"/>
      <c r="N521" s="535"/>
      <c r="O521" s="535"/>
      <c r="P521" s="535"/>
      <c r="Q521" s="535"/>
      <c r="R521" s="535"/>
      <c r="S521" s="535"/>
      <c r="T521" s="535"/>
      <c r="U521" s="535"/>
      <c r="V521" s="535"/>
      <c r="W521" s="535"/>
      <c r="X521" s="535"/>
      <c r="Y521" s="536"/>
    </row>
    <row r="522" spans="1:25" ht="12.75">
      <c r="A522" s="532" t="s">
        <v>2598</v>
      </c>
      <c r="B522" s="532">
        <v>41100502</v>
      </c>
      <c r="C522" s="532" t="s">
        <v>1591</v>
      </c>
      <c r="D522" s="532" t="s">
        <v>1591</v>
      </c>
      <c r="E522" s="532" t="s">
        <v>1585</v>
      </c>
      <c r="F522" s="532" t="s">
        <v>2395</v>
      </c>
      <c r="G522" s="532" t="s">
        <v>2392</v>
      </c>
      <c r="H522" s="532" t="s">
        <v>2392</v>
      </c>
      <c r="I522" s="532" t="s">
        <v>6604</v>
      </c>
      <c r="J522" s="534">
        <v>45848</v>
      </c>
      <c r="K522" s="535"/>
      <c r="L522" s="535"/>
      <c r="M522" s="535"/>
      <c r="N522" s="535"/>
      <c r="O522" s="535"/>
      <c r="P522" s="535"/>
      <c r="Q522" s="535"/>
      <c r="R522" s="535"/>
      <c r="S522" s="535"/>
      <c r="T522" s="535"/>
      <c r="U522" s="535"/>
      <c r="V522" s="535"/>
      <c r="W522" s="535"/>
      <c r="X522" s="535"/>
      <c r="Y522" s="536"/>
    </row>
    <row r="523" spans="1:25" ht="12.75">
      <c r="A523" s="532" t="s">
        <v>2562</v>
      </c>
      <c r="B523" s="532">
        <v>41200134</v>
      </c>
      <c r="C523" s="532" t="s">
        <v>1476</v>
      </c>
      <c r="D523" s="532" t="s">
        <v>6605</v>
      </c>
      <c r="E523" s="532" t="s">
        <v>1429</v>
      </c>
      <c r="F523" s="532" t="s">
        <v>2395</v>
      </c>
      <c r="G523" s="532" t="s">
        <v>2392</v>
      </c>
      <c r="H523" s="532" t="s">
        <v>2392</v>
      </c>
      <c r="I523" s="532" t="s">
        <v>6604</v>
      </c>
      <c r="J523" s="534">
        <v>45848</v>
      </c>
      <c r="K523" s="535"/>
      <c r="L523" s="535"/>
      <c r="M523" s="535"/>
      <c r="N523" s="535"/>
      <c r="O523" s="535"/>
      <c r="P523" s="535"/>
      <c r="Q523" s="535"/>
      <c r="R523" s="535"/>
      <c r="S523" s="535"/>
      <c r="T523" s="535"/>
      <c r="U523" s="535"/>
      <c r="V523" s="535"/>
      <c r="W523" s="535"/>
      <c r="X523" s="535"/>
      <c r="Y523" s="536"/>
    </row>
    <row r="524" spans="1:25" ht="12.75">
      <c r="A524" s="532" t="s">
        <v>2559</v>
      </c>
      <c r="B524" s="532">
        <v>41200134</v>
      </c>
      <c r="C524" s="532" t="s">
        <v>1476</v>
      </c>
      <c r="D524" s="532" t="s">
        <v>6605</v>
      </c>
      <c r="E524" s="532" t="s">
        <v>1429</v>
      </c>
      <c r="F524" s="532" t="s">
        <v>2395</v>
      </c>
      <c r="G524" s="532" t="s">
        <v>2392</v>
      </c>
      <c r="H524" s="532" t="s">
        <v>2392</v>
      </c>
      <c r="I524" s="532" t="s">
        <v>6604</v>
      </c>
      <c r="J524" s="534">
        <v>45848</v>
      </c>
      <c r="K524" s="535"/>
      <c r="L524" s="535"/>
      <c r="M524" s="535"/>
      <c r="N524" s="535"/>
      <c r="O524" s="535"/>
      <c r="P524" s="535"/>
      <c r="Q524" s="535"/>
      <c r="R524" s="535"/>
      <c r="S524" s="535"/>
      <c r="T524" s="535"/>
      <c r="U524" s="535"/>
      <c r="V524" s="535"/>
      <c r="W524" s="535"/>
      <c r="X524" s="535"/>
      <c r="Y524" s="536"/>
    </row>
    <row r="525" spans="1:25" ht="12.75">
      <c r="A525" s="532" t="s">
        <v>2558</v>
      </c>
      <c r="B525" s="532">
        <v>41200164</v>
      </c>
      <c r="C525" s="532" t="s">
        <v>1476</v>
      </c>
      <c r="D525" s="532" t="s">
        <v>1404</v>
      </c>
      <c r="E525" s="532" t="s">
        <v>1404</v>
      </c>
      <c r="F525" s="532" t="s">
        <v>2391</v>
      </c>
      <c r="G525" s="532" t="s">
        <v>2392</v>
      </c>
      <c r="H525" s="532" t="s">
        <v>2392</v>
      </c>
      <c r="I525" s="532" t="s">
        <v>6604</v>
      </c>
      <c r="J525" s="534">
        <v>45848</v>
      </c>
      <c r="K525" s="535"/>
      <c r="L525" s="535"/>
      <c r="M525" s="535"/>
      <c r="N525" s="535"/>
      <c r="O525" s="535"/>
      <c r="P525" s="535"/>
      <c r="Q525" s="535"/>
      <c r="R525" s="535"/>
      <c r="S525" s="535"/>
      <c r="T525" s="535"/>
      <c r="U525" s="535"/>
      <c r="V525" s="535"/>
      <c r="W525" s="535"/>
      <c r="X525" s="535"/>
      <c r="Y525" s="536"/>
    </row>
    <row r="526" spans="1:25" ht="12.75">
      <c r="A526" s="532" t="s">
        <v>2570</v>
      </c>
      <c r="B526" s="532">
        <v>41200087</v>
      </c>
      <c r="C526" s="532" t="s">
        <v>1476</v>
      </c>
      <c r="D526" s="532" t="s">
        <v>1476</v>
      </c>
      <c r="E526" s="532" t="s">
        <v>1429</v>
      </c>
      <c r="F526" s="532" t="s">
        <v>2395</v>
      </c>
      <c r="G526" s="532" t="s">
        <v>2392</v>
      </c>
      <c r="H526" s="532" t="s">
        <v>2392</v>
      </c>
      <c r="I526" s="532" t="s">
        <v>6604</v>
      </c>
      <c r="J526" s="534">
        <v>45848</v>
      </c>
      <c r="K526" s="535"/>
      <c r="L526" s="535"/>
      <c r="M526" s="535"/>
      <c r="N526" s="535"/>
      <c r="O526" s="535"/>
      <c r="P526" s="535"/>
      <c r="Q526" s="535"/>
      <c r="R526" s="535"/>
      <c r="S526" s="535"/>
      <c r="T526" s="535"/>
      <c r="U526" s="535"/>
      <c r="V526" s="535"/>
      <c r="W526" s="535"/>
      <c r="X526" s="535"/>
      <c r="Y526" s="536"/>
    </row>
    <row r="527" spans="1:25" ht="12.75">
      <c r="A527" s="532" t="s">
        <v>2575</v>
      </c>
      <c r="B527" s="532">
        <v>41200128</v>
      </c>
      <c r="C527" s="532" t="s">
        <v>1591</v>
      </c>
      <c r="D527" s="532" t="s">
        <v>6606</v>
      </c>
      <c r="E527" s="532" t="s">
        <v>1431</v>
      </c>
      <c r="F527" s="532" t="s">
        <v>2391</v>
      </c>
      <c r="G527" s="532" t="s">
        <v>1468</v>
      </c>
      <c r="H527" s="532" t="s">
        <v>2392</v>
      </c>
      <c r="I527" s="532" t="s">
        <v>6604</v>
      </c>
      <c r="J527" s="534">
        <v>45848</v>
      </c>
      <c r="K527" s="535"/>
      <c r="L527" s="535"/>
      <c r="M527" s="535"/>
      <c r="N527" s="535"/>
      <c r="O527" s="535"/>
      <c r="P527" s="535"/>
      <c r="Q527" s="535"/>
      <c r="R527" s="535"/>
      <c r="S527" s="535"/>
      <c r="T527" s="535"/>
      <c r="U527" s="535"/>
      <c r="V527" s="535"/>
      <c r="W527" s="535"/>
      <c r="X527" s="535"/>
      <c r="Y527" s="536"/>
    </row>
    <row r="528" spans="1:25" ht="12.75">
      <c r="A528" s="532" t="s">
        <v>2569</v>
      </c>
      <c r="B528" s="532">
        <v>41200127</v>
      </c>
      <c r="C528" s="532" t="s">
        <v>1591</v>
      </c>
      <c r="D528" s="532" t="s">
        <v>6606</v>
      </c>
      <c r="E528" s="532" t="s">
        <v>1431</v>
      </c>
      <c r="F528" s="532" t="s">
        <v>2391</v>
      </c>
      <c r="G528" s="532" t="s">
        <v>1468</v>
      </c>
      <c r="H528" s="532" t="s">
        <v>2392</v>
      </c>
      <c r="I528" s="532" t="s">
        <v>6604</v>
      </c>
      <c r="J528" s="534">
        <v>45848</v>
      </c>
      <c r="K528" s="535"/>
      <c r="L528" s="535"/>
      <c r="M528" s="535"/>
      <c r="N528" s="535"/>
      <c r="O528" s="535"/>
      <c r="P528" s="535"/>
      <c r="Q528" s="535"/>
      <c r="R528" s="535"/>
      <c r="S528" s="535"/>
      <c r="T528" s="535"/>
      <c r="U528" s="535"/>
      <c r="V528" s="535"/>
      <c r="W528" s="535"/>
      <c r="X528" s="535"/>
      <c r="Y528" s="536"/>
    </row>
    <row r="529" spans="1:25" ht="12.75">
      <c r="A529" s="532" t="s">
        <v>2574</v>
      </c>
      <c r="B529" s="532">
        <v>41200153</v>
      </c>
      <c r="C529" s="532" t="s">
        <v>1476</v>
      </c>
      <c r="D529" s="532" t="s">
        <v>6663</v>
      </c>
      <c r="E529" s="532" t="s">
        <v>1422</v>
      </c>
      <c r="F529" s="532" t="s">
        <v>2391</v>
      </c>
      <c r="G529" s="532" t="s">
        <v>1468</v>
      </c>
      <c r="H529" s="532" t="s">
        <v>2392</v>
      </c>
      <c r="I529" s="532" t="s">
        <v>6604</v>
      </c>
      <c r="J529" s="534">
        <v>45848</v>
      </c>
      <c r="K529" s="535"/>
      <c r="L529" s="535"/>
      <c r="M529" s="535"/>
      <c r="N529" s="535"/>
      <c r="O529" s="535"/>
      <c r="P529" s="535"/>
      <c r="Q529" s="535"/>
      <c r="R529" s="535"/>
      <c r="S529" s="535"/>
      <c r="T529" s="535"/>
      <c r="U529" s="535"/>
      <c r="V529" s="535"/>
      <c r="W529" s="535"/>
      <c r="X529" s="535"/>
      <c r="Y529" s="536"/>
    </row>
    <row r="530" spans="1:25" ht="12.75">
      <c r="A530" s="532" t="s">
        <v>2567</v>
      </c>
      <c r="B530" s="532">
        <v>41200128</v>
      </c>
      <c r="C530" s="532" t="s">
        <v>1591</v>
      </c>
      <c r="D530" s="532" t="s">
        <v>6606</v>
      </c>
      <c r="E530" s="532" t="s">
        <v>1431</v>
      </c>
      <c r="F530" s="532" t="s">
        <v>2391</v>
      </c>
      <c r="G530" s="532" t="s">
        <v>1468</v>
      </c>
      <c r="H530" s="532" t="s">
        <v>2392</v>
      </c>
      <c r="I530" s="532" t="s">
        <v>6604</v>
      </c>
      <c r="J530" s="534">
        <v>45848</v>
      </c>
      <c r="K530" s="535"/>
      <c r="L530" s="535"/>
      <c r="M530" s="535"/>
      <c r="N530" s="535"/>
      <c r="O530" s="535"/>
      <c r="P530" s="535"/>
      <c r="Q530" s="535"/>
      <c r="R530" s="535"/>
      <c r="S530" s="535"/>
      <c r="T530" s="535"/>
      <c r="U530" s="535"/>
      <c r="V530" s="535"/>
      <c r="W530" s="535"/>
      <c r="X530" s="535"/>
      <c r="Y530" s="536"/>
    </row>
    <row r="531" spans="1:25" ht="12.75">
      <c r="A531" s="532" t="s">
        <v>2614</v>
      </c>
      <c r="B531" s="532">
        <v>41200129</v>
      </c>
      <c r="C531" s="532" t="s">
        <v>1591</v>
      </c>
      <c r="D531" s="532" t="s">
        <v>6606</v>
      </c>
      <c r="E531" s="532" t="s">
        <v>1431</v>
      </c>
      <c r="F531" s="532" t="s">
        <v>2395</v>
      </c>
      <c r="G531" s="532" t="s">
        <v>2392</v>
      </c>
      <c r="H531" s="532" t="s">
        <v>2392</v>
      </c>
      <c r="I531" s="532" t="s">
        <v>6604</v>
      </c>
      <c r="J531" s="534">
        <v>45848</v>
      </c>
      <c r="K531" s="535"/>
      <c r="L531" s="535"/>
      <c r="M531" s="535"/>
      <c r="N531" s="535"/>
      <c r="O531" s="535"/>
      <c r="P531" s="535"/>
      <c r="Q531" s="535"/>
      <c r="R531" s="535"/>
      <c r="S531" s="535"/>
      <c r="T531" s="535"/>
      <c r="U531" s="535"/>
      <c r="V531" s="535"/>
      <c r="W531" s="535"/>
      <c r="X531" s="535"/>
      <c r="Y531" s="536"/>
    </row>
    <row r="532" spans="1:25" ht="12.75">
      <c r="A532" s="532" t="s">
        <v>2580</v>
      </c>
      <c r="B532" s="532">
        <v>41200127</v>
      </c>
      <c r="C532" s="532" t="s">
        <v>1591</v>
      </c>
      <c r="D532" s="532" t="s">
        <v>6606</v>
      </c>
      <c r="E532" s="532" t="s">
        <v>1431</v>
      </c>
      <c r="F532" s="532" t="s">
        <v>2395</v>
      </c>
      <c r="G532" s="532" t="s">
        <v>1469</v>
      </c>
      <c r="H532" s="532" t="s">
        <v>2392</v>
      </c>
      <c r="I532" s="532" t="s">
        <v>6604</v>
      </c>
      <c r="J532" s="534">
        <v>45848</v>
      </c>
      <c r="K532" s="535"/>
      <c r="L532" s="535"/>
      <c r="M532" s="535"/>
      <c r="N532" s="535"/>
      <c r="O532" s="535"/>
      <c r="P532" s="535"/>
      <c r="Q532" s="535"/>
      <c r="R532" s="535"/>
      <c r="S532" s="535"/>
      <c r="T532" s="535"/>
      <c r="U532" s="535"/>
      <c r="V532" s="535"/>
      <c r="W532" s="535"/>
      <c r="X532" s="535"/>
      <c r="Y532" s="536"/>
    </row>
    <row r="533" spans="1:25" ht="12.75">
      <c r="A533" s="532" t="s">
        <v>2577</v>
      </c>
      <c r="B533" s="532">
        <v>41200127</v>
      </c>
      <c r="C533" s="532" t="s">
        <v>1591</v>
      </c>
      <c r="D533" s="532" t="s">
        <v>6606</v>
      </c>
      <c r="E533" s="532" t="s">
        <v>1431</v>
      </c>
      <c r="F533" s="532" t="s">
        <v>2395</v>
      </c>
      <c r="G533" s="532" t="s">
        <v>1469</v>
      </c>
      <c r="H533" s="532" t="s">
        <v>2392</v>
      </c>
      <c r="I533" s="532" t="s">
        <v>6604</v>
      </c>
      <c r="J533" s="534">
        <v>45848</v>
      </c>
      <c r="K533" s="535"/>
      <c r="L533" s="535"/>
      <c r="M533" s="535"/>
      <c r="N533" s="535"/>
      <c r="O533" s="535"/>
      <c r="P533" s="535"/>
      <c r="Q533" s="535"/>
      <c r="R533" s="535"/>
      <c r="S533" s="535"/>
      <c r="T533" s="535"/>
      <c r="U533" s="535"/>
      <c r="V533" s="535"/>
      <c r="W533" s="535"/>
      <c r="X533" s="535"/>
      <c r="Y533" s="536"/>
    </row>
    <row r="534" spans="1:25" ht="12.75">
      <c r="A534" s="532" t="s">
        <v>2576</v>
      </c>
      <c r="B534" s="532">
        <v>41200127</v>
      </c>
      <c r="C534" s="532" t="s">
        <v>1591</v>
      </c>
      <c r="D534" s="532" t="s">
        <v>6606</v>
      </c>
      <c r="E534" s="532" t="s">
        <v>1431</v>
      </c>
      <c r="F534" s="532" t="s">
        <v>2395</v>
      </c>
      <c r="G534" s="532" t="s">
        <v>1469</v>
      </c>
      <c r="H534" s="532" t="s">
        <v>2392</v>
      </c>
      <c r="I534" s="532" t="s">
        <v>6604</v>
      </c>
      <c r="J534" s="534">
        <v>45848</v>
      </c>
      <c r="K534" s="535"/>
      <c r="L534" s="535"/>
      <c r="M534" s="535"/>
      <c r="N534" s="535"/>
      <c r="O534" s="535"/>
      <c r="P534" s="535"/>
      <c r="Q534" s="535"/>
      <c r="R534" s="535"/>
      <c r="S534" s="535"/>
      <c r="T534" s="535"/>
      <c r="U534" s="535"/>
      <c r="V534" s="535"/>
      <c r="W534" s="535"/>
      <c r="X534" s="535"/>
      <c r="Y534" s="536"/>
    </row>
    <row r="535" spans="1:25" ht="12.75">
      <c r="A535" s="532" t="s">
        <v>2573</v>
      </c>
      <c r="B535" s="532">
        <v>41200101</v>
      </c>
      <c r="C535" s="532" t="s">
        <v>1476</v>
      </c>
      <c r="D535" s="532" t="s">
        <v>1476</v>
      </c>
      <c r="E535" s="532" t="s">
        <v>1585</v>
      </c>
      <c r="F535" s="532" t="s">
        <v>2391</v>
      </c>
      <c r="G535" s="532" t="s">
        <v>1468</v>
      </c>
      <c r="H535" s="532" t="s">
        <v>2392</v>
      </c>
      <c r="I535" s="532" t="s">
        <v>6604</v>
      </c>
      <c r="J535" s="534">
        <v>45848</v>
      </c>
      <c r="K535" s="535"/>
      <c r="L535" s="535"/>
      <c r="M535" s="535"/>
      <c r="N535" s="535"/>
      <c r="O535" s="535"/>
      <c r="P535" s="535"/>
      <c r="Q535" s="535"/>
      <c r="R535" s="535"/>
      <c r="S535" s="535"/>
      <c r="T535" s="535"/>
      <c r="U535" s="535"/>
      <c r="V535" s="535"/>
      <c r="W535" s="535"/>
      <c r="X535" s="535"/>
      <c r="Y535" s="536"/>
    </row>
    <row r="536" spans="1:25" ht="12.75">
      <c r="A536" s="532" t="s">
        <v>2572</v>
      </c>
      <c r="B536" s="532">
        <v>41200005</v>
      </c>
      <c r="C536" s="532" t="s">
        <v>1591</v>
      </c>
      <c r="D536" s="532" t="s">
        <v>1591</v>
      </c>
      <c r="E536" s="532" t="s">
        <v>1405</v>
      </c>
      <c r="F536" s="532" t="s">
        <v>2391</v>
      </c>
      <c r="G536" s="532" t="s">
        <v>1468</v>
      </c>
      <c r="H536" s="532" t="s">
        <v>2392</v>
      </c>
      <c r="I536" s="532" t="s">
        <v>6604</v>
      </c>
      <c r="J536" s="534">
        <v>45848</v>
      </c>
      <c r="K536" s="535"/>
      <c r="L536" s="535"/>
      <c r="M536" s="535"/>
      <c r="N536" s="535"/>
      <c r="O536" s="535"/>
      <c r="P536" s="535"/>
      <c r="Q536" s="535"/>
      <c r="R536" s="535"/>
      <c r="S536" s="535"/>
      <c r="T536" s="535"/>
      <c r="U536" s="535"/>
      <c r="V536" s="535"/>
      <c r="W536" s="535"/>
      <c r="X536" s="535"/>
      <c r="Y536" s="536"/>
    </row>
    <row r="537" spans="1:25" ht="12.75">
      <c r="A537" s="532" t="s">
        <v>2571</v>
      </c>
      <c r="B537" s="532">
        <v>41200005</v>
      </c>
      <c r="C537" s="532" t="s">
        <v>1591</v>
      </c>
      <c r="D537" s="532" t="s">
        <v>1591</v>
      </c>
      <c r="E537" s="532" t="s">
        <v>1405</v>
      </c>
      <c r="F537" s="532" t="s">
        <v>2391</v>
      </c>
      <c r="G537" s="532" t="s">
        <v>1468</v>
      </c>
      <c r="H537" s="532" t="s">
        <v>2392</v>
      </c>
      <c r="I537" s="532" t="s">
        <v>6604</v>
      </c>
      <c r="J537" s="534">
        <v>45848</v>
      </c>
      <c r="K537" s="535"/>
      <c r="L537" s="535"/>
      <c r="M537" s="535"/>
      <c r="N537" s="535"/>
      <c r="O537" s="535"/>
      <c r="P537" s="535"/>
      <c r="Q537" s="535"/>
      <c r="R537" s="535"/>
      <c r="S537" s="535"/>
      <c r="T537" s="535"/>
      <c r="U537" s="535"/>
      <c r="V537" s="535"/>
      <c r="W537" s="535"/>
      <c r="X537" s="535"/>
      <c r="Y537" s="536"/>
    </row>
    <row r="538" spans="1:25" ht="12.75">
      <c r="A538" s="532" t="s">
        <v>2557</v>
      </c>
      <c r="B538" s="532">
        <v>41200082</v>
      </c>
      <c r="C538" s="532" t="s">
        <v>1591</v>
      </c>
      <c r="D538" s="532" t="s">
        <v>6619</v>
      </c>
      <c r="E538" s="532" t="s">
        <v>1585</v>
      </c>
      <c r="F538" s="532" t="s">
        <v>2395</v>
      </c>
      <c r="G538" s="532" t="s">
        <v>2392</v>
      </c>
      <c r="H538" s="532" t="s">
        <v>2392</v>
      </c>
      <c r="I538" s="532" t="s">
        <v>6604</v>
      </c>
      <c r="J538" s="534">
        <v>45848</v>
      </c>
      <c r="K538" s="535"/>
      <c r="L538" s="535"/>
      <c r="M538" s="535"/>
      <c r="N538" s="535"/>
      <c r="O538" s="535"/>
      <c r="P538" s="535"/>
      <c r="Q538" s="535"/>
      <c r="R538" s="535"/>
      <c r="S538" s="535"/>
      <c r="T538" s="535"/>
      <c r="U538" s="535"/>
      <c r="V538" s="535"/>
      <c r="W538" s="535"/>
      <c r="X538" s="535"/>
      <c r="Y538" s="536"/>
    </row>
    <row r="539" spans="1:25" ht="12.75">
      <c r="A539" s="532" t="s">
        <v>2556</v>
      </c>
      <c r="B539" s="532">
        <v>41200082</v>
      </c>
      <c r="C539" s="532" t="s">
        <v>1591</v>
      </c>
      <c r="D539" s="532" t="s">
        <v>6619</v>
      </c>
      <c r="E539" s="532" t="s">
        <v>1585</v>
      </c>
      <c r="F539" s="532" t="s">
        <v>2395</v>
      </c>
      <c r="G539" s="532" t="s">
        <v>2392</v>
      </c>
      <c r="H539" s="532" t="s">
        <v>2392</v>
      </c>
      <c r="I539" s="532" t="s">
        <v>6604</v>
      </c>
      <c r="J539" s="534">
        <v>45848</v>
      </c>
      <c r="K539" s="535"/>
      <c r="L539" s="535"/>
      <c r="M539" s="535"/>
      <c r="N539" s="535"/>
      <c r="O539" s="535"/>
      <c r="P539" s="535"/>
      <c r="Q539" s="535"/>
      <c r="R539" s="535"/>
      <c r="S539" s="535"/>
      <c r="T539" s="535"/>
      <c r="U539" s="535"/>
      <c r="V539" s="535"/>
      <c r="W539" s="535"/>
      <c r="X539" s="535"/>
      <c r="Y539" s="536"/>
    </row>
    <row r="540" spans="1:25" ht="12.75">
      <c r="A540" s="532" t="s">
        <v>2566</v>
      </c>
      <c r="B540" s="532">
        <v>41200076</v>
      </c>
      <c r="C540" s="532" t="s">
        <v>1476</v>
      </c>
      <c r="D540" s="532" t="s">
        <v>1476</v>
      </c>
      <c r="E540" s="532" t="s">
        <v>1585</v>
      </c>
      <c r="F540" s="532" t="s">
        <v>2391</v>
      </c>
      <c r="G540" s="532" t="s">
        <v>1468</v>
      </c>
      <c r="H540" s="532" t="s">
        <v>2392</v>
      </c>
      <c r="I540" s="532" t="s">
        <v>6604</v>
      </c>
      <c r="J540" s="534">
        <v>45848</v>
      </c>
      <c r="K540" s="535"/>
      <c r="L540" s="535"/>
      <c r="M540" s="535"/>
      <c r="N540" s="535"/>
      <c r="O540" s="535"/>
      <c r="P540" s="535"/>
      <c r="Q540" s="535"/>
      <c r="R540" s="535"/>
      <c r="S540" s="535"/>
      <c r="T540" s="535"/>
      <c r="U540" s="535"/>
      <c r="V540" s="535"/>
      <c r="W540" s="535"/>
      <c r="X540" s="535"/>
      <c r="Y540" s="536"/>
    </row>
    <row r="541" spans="1:25" ht="12.75">
      <c r="A541" s="532" t="s">
        <v>2553</v>
      </c>
      <c r="B541" s="532">
        <v>41200076</v>
      </c>
      <c r="C541" s="532" t="s">
        <v>1476</v>
      </c>
      <c r="D541" s="532" t="s">
        <v>1476</v>
      </c>
      <c r="E541" s="532" t="s">
        <v>1585</v>
      </c>
      <c r="F541" s="532" t="s">
        <v>2391</v>
      </c>
      <c r="G541" s="532" t="s">
        <v>1468</v>
      </c>
      <c r="H541" s="532" t="s">
        <v>2392</v>
      </c>
      <c r="I541" s="532" t="s">
        <v>6604</v>
      </c>
      <c r="J541" s="534">
        <v>45848</v>
      </c>
      <c r="K541" s="535"/>
      <c r="L541" s="535"/>
      <c r="M541" s="535"/>
      <c r="N541" s="535"/>
      <c r="O541" s="535"/>
      <c r="P541" s="535"/>
      <c r="Q541" s="535"/>
      <c r="R541" s="535"/>
      <c r="S541" s="535"/>
      <c r="T541" s="535"/>
      <c r="U541" s="535"/>
      <c r="V541" s="535"/>
      <c r="W541" s="535"/>
      <c r="X541" s="535"/>
      <c r="Y541" s="536"/>
    </row>
    <row r="542" spans="1:25" ht="12.75">
      <c r="A542" s="532" t="s">
        <v>2690</v>
      </c>
      <c r="B542" s="532">
        <v>41200053</v>
      </c>
      <c r="C542" s="532" t="s">
        <v>2184</v>
      </c>
      <c r="D542" s="532" t="s">
        <v>6646</v>
      </c>
      <c r="E542" s="532" t="s">
        <v>1405</v>
      </c>
      <c r="F542" s="532" t="s">
        <v>2392</v>
      </c>
      <c r="G542" s="532" t="s">
        <v>2392</v>
      </c>
      <c r="H542" s="533"/>
      <c r="I542" s="532" t="s">
        <v>6604</v>
      </c>
      <c r="J542" s="534">
        <v>45848</v>
      </c>
      <c r="K542" s="535"/>
      <c r="L542" s="535"/>
      <c r="M542" s="535"/>
      <c r="N542" s="535"/>
      <c r="O542" s="535"/>
      <c r="P542" s="535"/>
      <c r="Q542" s="535"/>
      <c r="R542" s="535"/>
      <c r="S542" s="535"/>
      <c r="T542" s="535"/>
      <c r="U542" s="535"/>
      <c r="V542" s="535"/>
      <c r="W542" s="535"/>
      <c r="X542" s="535"/>
      <c r="Y542" s="536"/>
    </row>
    <row r="543" spans="1:25" ht="12.75">
      <c r="A543" s="532" t="s">
        <v>2689</v>
      </c>
      <c r="B543" s="532">
        <v>41200053</v>
      </c>
      <c r="C543" s="532" t="s">
        <v>2184</v>
      </c>
      <c r="D543" s="532" t="s">
        <v>6646</v>
      </c>
      <c r="E543" s="532" t="s">
        <v>1405</v>
      </c>
      <c r="F543" s="532" t="s">
        <v>2392</v>
      </c>
      <c r="G543" s="532" t="s">
        <v>2392</v>
      </c>
      <c r="H543" s="533"/>
      <c r="I543" s="532" t="s">
        <v>6604</v>
      </c>
      <c r="J543" s="534">
        <v>45848</v>
      </c>
      <c r="K543" s="535"/>
      <c r="L543" s="535"/>
      <c r="M543" s="535"/>
      <c r="N543" s="535"/>
      <c r="O543" s="535"/>
      <c r="P543" s="535"/>
      <c r="Q543" s="535"/>
      <c r="R543" s="535"/>
      <c r="S543" s="535"/>
      <c r="T543" s="535"/>
      <c r="U543" s="535"/>
      <c r="V543" s="535"/>
      <c r="W543" s="535"/>
      <c r="X543" s="535"/>
      <c r="Y543" s="536"/>
    </row>
    <row r="544" spans="1:25" ht="12.75">
      <c r="A544" s="532" t="s">
        <v>2686</v>
      </c>
      <c r="B544" s="532">
        <v>41200053</v>
      </c>
      <c r="C544" s="532" t="s">
        <v>2184</v>
      </c>
      <c r="D544" s="532" t="s">
        <v>6646</v>
      </c>
      <c r="E544" s="532" t="s">
        <v>1405</v>
      </c>
      <c r="F544" s="532" t="s">
        <v>2392</v>
      </c>
      <c r="G544" s="532" t="s">
        <v>2392</v>
      </c>
      <c r="H544" s="533"/>
      <c r="I544" s="532" t="s">
        <v>6604</v>
      </c>
      <c r="J544" s="534">
        <v>45848</v>
      </c>
      <c r="K544" s="535"/>
      <c r="L544" s="535"/>
      <c r="M544" s="535"/>
      <c r="N544" s="535"/>
      <c r="O544" s="535"/>
      <c r="P544" s="535"/>
      <c r="Q544" s="535"/>
      <c r="R544" s="535"/>
      <c r="S544" s="535"/>
      <c r="T544" s="535"/>
      <c r="U544" s="535"/>
      <c r="V544" s="535"/>
      <c r="W544" s="535"/>
      <c r="X544" s="535"/>
      <c r="Y544" s="536"/>
    </row>
    <row r="545" spans="1:25" ht="12.75">
      <c r="A545" s="532" t="s">
        <v>2585</v>
      </c>
      <c r="B545" s="532">
        <v>41200006</v>
      </c>
      <c r="C545" s="532" t="s">
        <v>1477</v>
      </c>
      <c r="D545" s="532" t="s">
        <v>6640</v>
      </c>
      <c r="E545" s="532" t="s">
        <v>1405</v>
      </c>
      <c r="F545" s="532" t="s">
        <v>2395</v>
      </c>
      <c r="G545" s="532" t="s">
        <v>2392</v>
      </c>
      <c r="H545" s="532" t="s">
        <v>2392</v>
      </c>
      <c r="I545" s="532" t="s">
        <v>6604</v>
      </c>
      <c r="J545" s="534">
        <v>45848</v>
      </c>
      <c r="K545" s="535"/>
      <c r="L545" s="535"/>
      <c r="M545" s="535"/>
      <c r="N545" s="535"/>
      <c r="O545" s="535"/>
      <c r="P545" s="535"/>
      <c r="Q545" s="535"/>
      <c r="R545" s="535"/>
      <c r="S545" s="535"/>
      <c r="T545" s="535"/>
      <c r="U545" s="535"/>
      <c r="V545" s="535"/>
      <c r="W545" s="535"/>
      <c r="X545" s="535"/>
      <c r="Y545" s="536"/>
    </row>
    <row r="546" spans="1:25" ht="12.75">
      <c r="A546" s="532" t="s">
        <v>2583</v>
      </c>
      <c r="B546" s="532">
        <v>41200006</v>
      </c>
      <c r="C546" s="532" t="s">
        <v>1477</v>
      </c>
      <c r="D546" s="532" t="s">
        <v>6640</v>
      </c>
      <c r="E546" s="532" t="s">
        <v>1405</v>
      </c>
      <c r="F546" s="532" t="s">
        <v>2395</v>
      </c>
      <c r="G546" s="532" t="s">
        <v>2392</v>
      </c>
      <c r="H546" s="532" t="s">
        <v>2392</v>
      </c>
      <c r="I546" s="532" t="s">
        <v>6604</v>
      </c>
      <c r="J546" s="534">
        <v>45848</v>
      </c>
      <c r="K546" s="535"/>
      <c r="L546" s="535"/>
      <c r="M546" s="535"/>
      <c r="N546" s="535"/>
      <c r="O546" s="535"/>
      <c r="P546" s="535"/>
      <c r="Q546" s="535"/>
      <c r="R546" s="535"/>
      <c r="S546" s="535"/>
      <c r="T546" s="535"/>
      <c r="U546" s="535"/>
      <c r="V546" s="535"/>
      <c r="W546" s="535"/>
      <c r="X546" s="535"/>
      <c r="Y546" s="536"/>
    </row>
    <row r="547" spans="1:25" ht="12.75">
      <c r="A547" s="532" t="s">
        <v>2582</v>
      </c>
      <c r="B547" s="532">
        <v>41200006</v>
      </c>
      <c r="C547" s="532" t="s">
        <v>1477</v>
      </c>
      <c r="D547" s="532" t="s">
        <v>6640</v>
      </c>
      <c r="E547" s="532" t="s">
        <v>1405</v>
      </c>
      <c r="F547" s="532" t="s">
        <v>2395</v>
      </c>
      <c r="G547" s="532" t="s">
        <v>2392</v>
      </c>
      <c r="H547" s="532" t="s">
        <v>2392</v>
      </c>
      <c r="I547" s="532" t="s">
        <v>6604</v>
      </c>
      <c r="J547" s="534">
        <v>45848</v>
      </c>
      <c r="K547" s="535"/>
      <c r="L547" s="535"/>
      <c r="M547" s="535"/>
      <c r="N547" s="535"/>
      <c r="O547" s="535"/>
      <c r="P547" s="535"/>
      <c r="Q547" s="535"/>
      <c r="R547" s="535"/>
      <c r="S547" s="535"/>
      <c r="T547" s="535"/>
      <c r="U547" s="535"/>
      <c r="V547" s="535"/>
      <c r="W547" s="535"/>
      <c r="X547" s="535"/>
      <c r="Y547" s="536"/>
    </row>
    <row r="548" spans="1:25" ht="12.75">
      <c r="A548" s="532" t="s">
        <v>2581</v>
      </c>
      <c r="B548" s="532">
        <v>41200006</v>
      </c>
      <c r="C548" s="532" t="s">
        <v>1477</v>
      </c>
      <c r="D548" s="532" t="s">
        <v>6640</v>
      </c>
      <c r="E548" s="532" t="s">
        <v>1405</v>
      </c>
      <c r="F548" s="532" t="s">
        <v>2395</v>
      </c>
      <c r="G548" s="532" t="s">
        <v>2392</v>
      </c>
      <c r="H548" s="532" t="s">
        <v>2392</v>
      </c>
      <c r="I548" s="532" t="s">
        <v>6604</v>
      </c>
      <c r="J548" s="534">
        <v>45848</v>
      </c>
      <c r="K548" s="535"/>
      <c r="L548" s="535"/>
      <c r="M548" s="535"/>
      <c r="N548" s="535"/>
      <c r="O548" s="535"/>
      <c r="P548" s="535"/>
      <c r="Q548" s="535"/>
      <c r="R548" s="535"/>
      <c r="S548" s="535"/>
      <c r="T548" s="535"/>
      <c r="U548" s="535"/>
      <c r="V548" s="535"/>
      <c r="W548" s="535"/>
      <c r="X548" s="535"/>
      <c r="Y548" s="536"/>
    </row>
    <row r="549" spans="1:25" ht="12.75">
      <c r="A549" s="532" t="s">
        <v>2949</v>
      </c>
      <c r="B549" s="532">
        <v>41100227</v>
      </c>
      <c r="C549" s="532" t="s">
        <v>1476</v>
      </c>
      <c r="D549" s="533"/>
      <c r="E549" s="532" t="s">
        <v>1424</v>
      </c>
      <c r="F549" s="532" t="s">
        <v>2395</v>
      </c>
      <c r="G549" s="532" t="s">
        <v>2392</v>
      </c>
      <c r="H549" s="532" t="s">
        <v>2392</v>
      </c>
      <c r="I549" s="532" t="s">
        <v>6604</v>
      </c>
      <c r="J549" s="534">
        <v>45848</v>
      </c>
      <c r="K549" s="535"/>
      <c r="L549" s="535"/>
      <c r="M549" s="535"/>
      <c r="N549" s="535"/>
      <c r="O549" s="535"/>
      <c r="P549" s="535"/>
      <c r="Q549" s="535"/>
      <c r="R549" s="535"/>
      <c r="S549" s="535"/>
      <c r="T549" s="535"/>
      <c r="U549" s="535"/>
      <c r="V549" s="535"/>
      <c r="W549" s="535"/>
      <c r="X549" s="535"/>
      <c r="Y549" s="536"/>
    </row>
    <row r="550" spans="1:25" ht="12.75">
      <c r="A550" s="532" t="s">
        <v>2544</v>
      </c>
      <c r="B550" s="532">
        <v>41000590</v>
      </c>
      <c r="C550" s="532" t="s">
        <v>5477</v>
      </c>
      <c r="D550" s="532" t="s">
        <v>6646</v>
      </c>
      <c r="E550" s="532" t="s">
        <v>1405</v>
      </c>
      <c r="F550" s="532" t="s">
        <v>2392</v>
      </c>
      <c r="G550" s="532" t="s">
        <v>2392</v>
      </c>
      <c r="H550" s="533"/>
      <c r="I550" s="532" t="s">
        <v>6604</v>
      </c>
      <c r="J550" s="534">
        <v>45848</v>
      </c>
      <c r="K550" s="535"/>
      <c r="L550" s="535"/>
      <c r="M550" s="535"/>
      <c r="N550" s="535"/>
      <c r="O550" s="535"/>
      <c r="P550" s="535"/>
      <c r="Q550" s="535"/>
      <c r="R550" s="535"/>
      <c r="S550" s="535"/>
      <c r="T550" s="535"/>
      <c r="U550" s="535"/>
      <c r="V550" s="535"/>
      <c r="W550" s="535"/>
      <c r="X550" s="535"/>
      <c r="Y550" s="536"/>
    </row>
    <row r="551" spans="1:25" ht="12.75">
      <c r="A551" s="532" t="s">
        <v>2540</v>
      </c>
      <c r="B551" s="532">
        <v>41000590</v>
      </c>
      <c r="C551" s="532" t="s">
        <v>5477</v>
      </c>
      <c r="D551" s="532" t="s">
        <v>6646</v>
      </c>
      <c r="E551" s="532" t="s">
        <v>1405</v>
      </c>
      <c r="F551" s="532" t="s">
        <v>2392</v>
      </c>
      <c r="G551" s="532" t="s">
        <v>2392</v>
      </c>
      <c r="H551" s="533"/>
      <c r="I551" s="532" t="s">
        <v>6604</v>
      </c>
      <c r="J551" s="534">
        <v>45848</v>
      </c>
      <c r="K551" s="535"/>
      <c r="L551" s="535"/>
      <c r="M551" s="535"/>
      <c r="N551" s="535"/>
      <c r="O551" s="535"/>
      <c r="P551" s="535"/>
      <c r="Q551" s="535"/>
      <c r="R551" s="535"/>
      <c r="S551" s="535"/>
      <c r="T551" s="535"/>
      <c r="U551" s="535"/>
      <c r="V551" s="535"/>
      <c r="W551" s="535"/>
      <c r="X551" s="535"/>
      <c r="Y551" s="536"/>
    </row>
    <row r="552" spans="1:25" ht="12.75">
      <c r="A552" s="532" t="s">
        <v>5075</v>
      </c>
      <c r="B552" s="532">
        <v>41100582</v>
      </c>
      <c r="C552" s="532" t="s">
        <v>1476</v>
      </c>
      <c r="D552" s="532" t="s">
        <v>1591</v>
      </c>
      <c r="E552" s="532" t="s">
        <v>1424</v>
      </c>
      <c r="F552" s="532" t="s">
        <v>2395</v>
      </c>
      <c r="G552" s="532" t="s">
        <v>2392</v>
      </c>
      <c r="H552" s="533"/>
      <c r="I552" s="532" t="s">
        <v>6594</v>
      </c>
      <c r="J552" s="534">
        <v>45848</v>
      </c>
      <c r="K552" s="535"/>
      <c r="L552" s="535"/>
      <c r="M552" s="535"/>
      <c r="N552" s="535"/>
      <c r="O552" s="535"/>
      <c r="P552" s="535"/>
      <c r="Q552" s="535"/>
      <c r="R552" s="535"/>
      <c r="S552" s="535"/>
      <c r="T552" s="535"/>
      <c r="U552" s="535"/>
      <c r="V552" s="535"/>
      <c r="W552" s="535"/>
      <c r="X552" s="535"/>
      <c r="Y552" s="536"/>
    </row>
    <row r="553" spans="1:25" ht="12.75">
      <c r="A553" s="532" t="s">
        <v>5074</v>
      </c>
      <c r="B553" s="532">
        <v>41100582</v>
      </c>
      <c r="C553" s="532" t="s">
        <v>1476</v>
      </c>
      <c r="D553" s="532" t="s">
        <v>1591</v>
      </c>
      <c r="E553" s="532" t="s">
        <v>1424</v>
      </c>
      <c r="F553" s="532" t="s">
        <v>2395</v>
      </c>
      <c r="G553" s="532" t="s">
        <v>2392</v>
      </c>
      <c r="H553" s="533"/>
      <c r="I553" s="532" t="s">
        <v>6594</v>
      </c>
      <c r="J553" s="534">
        <v>45848</v>
      </c>
      <c r="K553" s="535"/>
      <c r="L553" s="535"/>
      <c r="M553" s="535"/>
      <c r="N553" s="535"/>
      <c r="O553" s="535"/>
      <c r="P553" s="535"/>
      <c r="Q553" s="535"/>
      <c r="R553" s="535"/>
      <c r="S553" s="535"/>
      <c r="T553" s="535"/>
      <c r="U553" s="535"/>
      <c r="V553" s="535"/>
      <c r="W553" s="535"/>
      <c r="X553" s="535"/>
      <c r="Y553" s="536"/>
    </row>
    <row r="554" spans="1:25" ht="12.75">
      <c r="A554" s="532" t="s">
        <v>5073</v>
      </c>
      <c r="B554" s="532">
        <v>41100582</v>
      </c>
      <c r="C554" s="532" t="s">
        <v>1476</v>
      </c>
      <c r="D554" s="532" t="s">
        <v>1591</v>
      </c>
      <c r="E554" s="532" t="s">
        <v>1424</v>
      </c>
      <c r="F554" s="532" t="s">
        <v>2395</v>
      </c>
      <c r="G554" s="532" t="s">
        <v>2392</v>
      </c>
      <c r="H554" s="533"/>
      <c r="I554" s="532" t="s">
        <v>6594</v>
      </c>
      <c r="J554" s="534">
        <v>45848</v>
      </c>
      <c r="K554" s="535"/>
      <c r="L554" s="535"/>
      <c r="M554" s="535"/>
      <c r="N554" s="535"/>
      <c r="O554" s="535"/>
      <c r="P554" s="535"/>
      <c r="Q554" s="535"/>
      <c r="R554" s="535"/>
      <c r="S554" s="535"/>
      <c r="T554" s="535"/>
      <c r="U554" s="535"/>
      <c r="V554" s="535"/>
      <c r="W554" s="535"/>
      <c r="X554" s="535"/>
      <c r="Y554" s="536"/>
    </row>
    <row r="555" spans="1:25" ht="12.75">
      <c r="A555" s="532" t="s">
        <v>5072</v>
      </c>
      <c r="B555" s="532">
        <v>41100582</v>
      </c>
      <c r="C555" s="532" t="s">
        <v>1476</v>
      </c>
      <c r="D555" s="532" t="s">
        <v>1591</v>
      </c>
      <c r="E555" s="532" t="s">
        <v>1424</v>
      </c>
      <c r="F555" s="532" t="s">
        <v>2395</v>
      </c>
      <c r="G555" s="532" t="s">
        <v>2392</v>
      </c>
      <c r="H555" s="533"/>
      <c r="I555" s="532" t="s">
        <v>6594</v>
      </c>
      <c r="J555" s="534">
        <v>45848</v>
      </c>
      <c r="K555" s="535"/>
      <c r="L555" s="535"/>
      <c r="M555" s="535"/>
      <c r="N555" s="535"/>
      <c r="O555" s="535"/>
      <c r="P555" s="535"/>
      <c r="Q555" s="535"/>
      <c r="R555" s="535"/>
      <c r="S555" s="535"/>
      <c r="T555" s="535"/>
      <c r="U555" s="535"/>
      <c r="V555" s="535"/>
      <c r="W555" s="535"/>
      <c r="X555" s="535"/>
      <c r="Y555" s="536"/>
    </row>
    <row r="556" spans="1:25" ht="12.75">
      <c r="A556" s="532" t="s">
        <v>5071</v>
      </c>
      <c r="B556" s="532">
        <v>41100582</v>
      </c>
      <c r="C556" s="532" t="s">
        <v>1476</v>
      </c>
      <c r="D556" s="532" t="s">
        <v>1591</v>
      </c>
      <c r="E556" s="532" t="s">
        <v>1424</v>
      </c>
      <c r="F556" s="532" t="s">
        <v>2395</v>
      </c>
      <c r="G556" s="532" t="s">
        <v>2392</v>
      </c>
      <c r="H556" s="533"/>
      <c r="I556" s="532" t="s">
        <v>6594</v>
      </c>
      <c r="J556" s="534">
        <v>45848</v>
      </c>
      <c r="K556" s="535"/>
      <c r="L556" s="535"/>
      <c r="M556" s="535"/>
      <c r="N556" s="535"/>
      <c r="O556" s="535"/>
      <c r="P556" s="535"/>
      <c r="Q556" s="535"/>
      <c r="R556" s="535"/>
      <c r="S556" s="535"/>
      <c r="T556" s="535"/>
      <c r="U556" s="535"/>
      <c r="V556" s="535"/>
      <c r="W556" s="535"/>
      <c r="X556" s="535"/>
      <c r="Y556" s="536"/>
    </row>
    <row r="557" spans="1:25" ht="12.75">
      <c r="A557" s="532" t="s">
        <v>5068</v>
      </c>
      <c r="B557" s="532">
        <v>41100582</v>
      </c>
      <c r="C557" s="532" t="s">
        <v>1476</v>
      </c>
      <c r="D557" s="532" t="s">
        <v>1591</v>
      </c>
      <c r="E557" s="532" t="s">
        <v>1424</v>
      </c>
      <c r="F557" s="532" t="s">
        <v>2395</v>
      </c>
      <c r="G557" s="532" t="s">
        <v>2392</v>
      </c>
      <c r="H557" s="533"/>
      <c r="I557" s="532" t="s">
        <v>6594</v>
      </c>
      <c r="J557" s="534">
        <v>45848</v>
      </c>
      <c r="K557" s="535"/>
      <c r="L557" s="535"/>
      <c r="M557" s="535"/>
      <c r="N557" s="535"/>
      <c r="O557" s="535"/>
      <c r="P557" s="535"/>
      <c r="Q557" s="535"/>
      <c r="R557" s="535"/>
      <c r="S557" s="535"/>
      <c r="T557" s="535"/>
      <c r="U557" s="535"/>
      <c r="V557" s="535"/>
      <c r="W557" s="535"/>
      <c r="X557" s="535"/>
      <c r="Y557" s="536"/>
    </row>
    <row r="558" spans="1:25" ht="12.75">
      <c r="A558" s="532" t="s">
        <v>2798</v>
      </c>
      <c r="B558" s="532">
        <v>41000588</v>
      </c>
      <c r="C558" s="532" t="s">
        <v>1911</v>
      </c>
      <c r="D558" s="532" t="s">
        <v>6608</v>
      </c>
      <c r="E558" s="532" t="s">
        <v>1405</v>
      </c>
      <c r="F558" s="532" t="s">
        <v>2392</v>
      </c>
      <c r="G558" s="532" t="s">
        <v>2392</v>
      </c>
      <c r="H558" s="533"/>
      <c r="I558" s="532" t="s">
        <v>6604</v>
      </c>
      <c r="J558" s="534">
        <v>45840</v>
      </c>
      <c r="K558" s="535"/>
      <c r="L558" s="535"/>
      <c r="M558" s="535"/>
      <c r="N558" s="535"/>
      <c r="O558" s="535"/>
      <c r="P558" s="535"/>
      <c r="Q558" s="535"/>
      <c r="R558" s="535"/>
      <c r="S558" s="535"/>
      <c r="T558" s="535"/>
      <c r="U558" s="535"/>
      <c r="V558" s="535"/>
      <c r="W558" s="535"/>
      <c r="X558" s="535"/>
      <c r="Y558" s="536"/>
    </row>
    <row r="559" spans="1:25" ht="12.75">
      <c r="A559" s="532" t="s">
        <v>2551</v>
      </c>
      <c r="B559" s="532">
        <v>41200005</v>
      </c>
      <c r="C559" s="532" t="s">
        <v>1591</v>
      </c>
      <c r="D559" s="532" t="s">
        <v>1591</v>
      </c>
      <c r="E559" s="532" t="s">
        <v>1405</v>
      </c>
      <c r="F559" s="532" t="s">
        <v>2391</v>
      </c>
      <c r="G559" s="532" t="s">
        <v>1468</v>
      </c>
      <c r="H559" s="532" t="s">
        <v>2392</v>
      </c>
      <c r="I559" s="532" t="s">
        <v>6604</v>
      </c>
      <c r="J559" s="534">
        <v>45840</v>
      </c>
      <c r="K559" s="535"/>
      <c r="L559" s="535"/>
      <c r="M559" s="535"/>
      <c r="N559" s="535"/>
      <c r="O559" s="535"/>
      <c r="P559" s="535"/>
      <c r="Q559" s="535"/>
      <c r="R559" s="535"/>
      <c r="S559" s="535"/>
      <c r="T559" s="535"/>
      <c r="U559" s="535"/>
      <c r="V559" s="535"/>
      <c r="W559" s="535"/>
      <c r="X559" s="535"/>
      <c r="Y559" s="536"/>
    </row>
    <row r="560" spans="1:25" ht="12.75">
      <c r="A560" s="532" t="s">
        <v>2552</v>
      </c>
      <c r="B560" s="532">
        <v>41200005</v>
      </c>
      <c r="C560" s="532" t="s">
        <v>1591</v>
      </c>
      <c r="D560" s="532" t="s">
        <v>1591</v>
      </c>
      <c r="E560" s="532" t="s">
        <v>1405</v>
      </c>
      <c r="F560" s="532" t="s">
        <v>2391</v>
      </c>
      <c r="G560" s="532" t="s">
        <v>1468</v>
      </c>
      <c r="H560" s="532" t="s">
        <v>2392</v>
      </c>
      <c r="I560" s="532" t="s">
        <v>6604</v>
      </c>
      <c r="J560" s="534">
        <v>45840</v>
      </c>
      <c r="K560" s="535"/>
      <c r="L560" s="535"/>
      <c r="M560" s="535"/>
      <c r="N560" s="535"/>
      <c r="O560" s="535"/>
      <c r="P560" s="535"/>
      <c r="Q560" s="535"/>
      <c r="R560" s="535"/>
      <c r="S560" s="535"/>
      <c r="T560" s="535"/>
      <c r="U560" s="535"/>
      <c r="V560" s="535"/>
      <c r="W560" s="535"/>
      <c r="X560" s="535"/>
      <c r="Y560" s="536"/>
    </row>
    <row r="561" spans="1:25" ht="12.75">
      <c r="A561" s="532" t="s">
        <v>2534</v>
      </c>
      <c r="B561" s="532">
        <v>41200005</v>
      </c>
      <c r="C561" s="532" t="s">
        <v>1591</v>
      </c>
      <c r="D561" s="532" t="s">
        <v>1591</v>
      </c>
      <c r="E561" s="532" t="s">
        <v>1405</v>
      </c>
      <c r="F561" s="532" t="s">
        <v>2391</v>
      </c>
      <c r="G561" s="532" t="s">
        <v>1468</v>
      </c>
      <c r="H561" s="532" t="s">
        <v>2392</v>
      </c>
      <c r="I561" s="532" t="s">
        <v>6604</v>
      </c>
      <c r="J561" s="534">
        <v>45840</v>
      </c>
      <c r="K561" s="535"/>
      <c r="L561" s="535"/>
      <c r="M561" s="535"/>
      <c r="N561" s="535"/>
      <c r="O561" s="535"/>
      <c r="P561" s="535"/>
      <c r="Q561" s="535"/>
      <c r="R561" s="535"/>
      <c r="S561" s="535"/>
      <c r="T561" s="535"/>
      <c r="U561" s="535"/>
      <c r="V561" s="535"/>
      <c r="W561" s="535"/>
      <c r="X561" s="535"/>
      <c r="Y561" s="536"/>
    </row>
    <row r="562" spans="1:25" ht="12.75">
      <c r="A562" s="532" t="s">
        <v>2533</v>
      </c>
      <c r="B562" s="532">
        <v>41200005</v>
      </c>
      <c r="C562" s="532" t="s">
        <v>1591</v>
      </c>
      <c r="D562" s="532" t="s">
        <v>1591</v>
      </c>
      <c r="E562" s="532" t="s">
        <v>1405</v>
      </c>
      <c r="F562" s="532" t="s">
        <v>2391</v>
      </c>
      <c r="G562" s="532" t="s">
        <v>1468</v>
      </c>
      <c r="H562" s="532" t="s">
        <v>2392</v>
      </c>
      <c r="I562" s="532" t="s">
        <v>6604</v>
      </c>
      <c r="J562" s="534">
        <v>45840</v>
      </c>
      <c r="K562" s="535"/>
      <c r="L562" s="535"/>
      <c r="M562" s="535"/>
      <c r="N562" s="535"/>
      <c r="O562" s="535"/>
      <c r="P562" s="535"/>
      <c r="Q562" s="535"/>
      <c r="R562" s="535"/>
      <c r="S562" s="535"/>
      <c r="T562" s="535"/>
      <c r="U562" s="535"/>
      <c r="V562" s="535"/>
      <c r="W562" s="535"/>
      <c r="X562" s="535"/>
      <c r="Y562" s="536"/>
    </row>
    <row r="563" spans="1:25" ht="12.75">
      <c r="A563" s="532" t="s">
        <v>2539</v>
      </c>
      <c r="B563" s="532">
        <v>41100435</v>
      </c>
      <c r="C563" s="532" t="s">
        <v>3801</v>
      </c>
      <c r="D563" s="532" t="s">
        <v>1482</v>
      </c>
      <c r="E563" s="532" t="s">
        <v>1585</v>
      </c>
      <c r="F563" s="532" t="s">
        <v>2395</v>
      </c>
      <c r="G563" s="532" t="s">
        <v>2392</v>
      </c>
      <c r="H563" s="533"/>
      <c r="I563" s="532" t="s">
        <v>6604</v>
      </c>
      <c r="J563" s="534">
        <v>45840</v>
      </c>
      <c r="K563" s="535"/>
      <c r="L563" s="535"/>
      <c r="M563" s="535"/>
      <c r="N563" s="535"/>
      <c r="O563" s="535"/>
      <c r="P563" s="535"/>
      <c r="Q563" s="535"/>
      <c r="R563" s="535"/>
      <c r="S563" s="535"/>
      <c r="T563" s="535"/>
      <c r="U563" s="535"/>
      <c r="V563" s="535"/>
      <c r="W563" s="535"/>
      <c r="X563" s="535"/>
      <c r="Y563" s="536"/>
    </row>
    <row r="564" spans="1:25" ht="12.75">
      <c r="A564" s="532" t="s">
        <v>2532</v>
      </c>
      <c r="B564" s="532">
        <v>41100338</v>
      </c>
      <c r="C564" s="532" t="s">
        <v>1591</v>
      </c>
      <c r="D564" s="532" t="s">
        <v>6617</v>
      </c>
      <c r="E564" s="532" t="s">
        <v>1585</v>
      </c>
      <c r="F564" s="532" t="s">
        <v>2395</v>
      </c>
      <c r="G564" s="532" t="s">
        <v>2392</v>
      </c>
      <c r="H564" s="532" t="s">
        <v>2392</v>
      </c>
      <c r="I564" s="532" t="s">
        <v>6604</v>
      </c>
      <c r="J564" s="534">
        <v>45840</v>
      </c>
      <c r="K564" s="535"/>
      <c r="L564" s="535"/>
      <c r="M564" s="535"/>
      <c r="N564" s="535"/>
      <c r="O564" s="535"/>
      <c r="P564" s="535"/>
      <c r="Q564" s="535"/>
      <c r="R564" s="535"/>
      <c r="S564" s="535"/>
      <c r="T564" s="535"/>
      <c r="U564" s="535"/>
      <c r="V564" s="535"/>
      <c r="W564" s="535"/>
      <c r="X564" s="535"/>
      <c r="Y564" s="536"/>
    </row>
    <row r="565" spans="1:25" ht="12.75">
      <c r="A565" s="532" t="s">
        <v>2531</v>
      </c>
      <c r="B565" s="532">
        <v>41100338</v>
      </c>
      <c r="C565" s="532" t="s">
        <v>1591</v>
      </c>
      <c r="D565" s="532" t="s">
        <v>6617</v>
      </c>
      <c r="E565" s="532" t="s">
        <v>1585</v>
      </c>
      <c r="F565" s="532" t="s">
        <v>2395</v>
      </c>
      <c r="G565" s="532" t="s">
        <v>2392</v>
      </c>
      <c r="H565" s="532" t="s">
        <v>2392</v>
      </c>
      <c r="I565" s="532" t="s">
        <v>6604</v>
      </c>
      <c r="J565" s="534">
        <v>45840</v>
      </c>
      <c r="K565" s="535"/>
      <c r="L565" s="535"/>
      <c r="M565" s="535"/>
      <c r="N565" s="535"/>
      <c r="O565" s="535"/>
      <c r="P565" s="535"/>
      <c r="Q565" s="535"/>
      <c r="R565" s="535"/>
      <c r="S565" s="535"/>
      <c r="T565" s="535"/>
      <c r="U565" s="535"/>
      <c r="V565" s="535"/>
      <c r="W565" s="535"/>
      <c r="X565" s="535"/>
      <c r="Y565" s="536"/>
    </row>
    <row r="566" spans="1:25" ht="12.75">
      <c r="A566" s="532" t="s">
        <v>2519</v>
      </c>
      <c r="B566" s="532">
        <v>41100502</v>
      </c>
      <c r="C566" s="532" t="s">
        <v>1591</v>
      </c>
      <c r="D566" s="532" t="s">
        <v>1591</v>
      </c>
      <c r="E566" s="532" t="s">
        <v>1585</v>
      </c>
      <c r="F566" s="532" t="s">
        <v>2395</v>
      </c>
      <c r="G566" s="532" t="s">
        <v>2392</v>
      </c>
      <c r="H566" s="532" t="s">
        <v>2392</v>
      </c>
      <c r="I566" s="532" t="s">
        <v>6604</v>
      </c>
      <c r="J566" s="534">
        <v>45840</v>
      </c>
      <c r="K566" s="535"/>
      <c r="L566" s="535"/>
      <c r="M566" s="535"/>
      <c r="N566" s="535"/>
      <c r="O566" s="535"/>
      <c r="P566" s="535"/>
      <c r="Q566" s="535"/>
      <c r="R566" s="535"/>
      <c r="S566" s="535"/>
      <c r="T566" s="535"/>
      <c r="U566" s="535"/>
      <c r="V566" s="535"/>
      <c r="W566" s="535"/>
      <c r="X566" s="535"/>
      <c r="Y566" s="536"/>
    </row>
    <row r="567" spans="1:25" ht="12.75">
      <c r="A567" s="532" t="s">
        <v>2516</v>
      </c>
      <c r="B567" s="532">
        <v>41100502</v>
      </c>
      <c r="C567" s="532" t="s">
        <v>1591</v>
      </c>
      <c r="D567" s="532" t="s">
        <v>1591</v>
      </c>
      <c r="E567" s="532" t="s">
        <v>1585</v>
      </c>
      <c r="F567" s="532" t="s">
        <v>2395</v>
      </c>
      <c r="G567" s="532" t="s">
        <v>2392</v>
      </c>
      <c r="H567" s="532" t="s">
        <v>2392</v>
      </c>
      <c r="I567" s="532" t="s">
        <v>6604</v>
      </c>
      <c r="J567" s="534">
        <v>45840</v>
      </c>
      <c r="K567" s="535"/>
      <c r="L567" s="535"/>
      <c r="M567" s="535"/>
      <c r="N567" s="535"/>
      <c r="O567" s="535"/>
      <c r="P567" s="535"/>
      <c r="Q567" s="535"/>
      <c r="R567" s="535"/>
      <c r="S567" s="535"/>
      <c r="T567" s="535"/>
      <c r="U567" s="535"/>
      <c r="V567" s="535"/>
      <c r="W567" s="535"/>
      <c r="X567" s="535"/>
      <c r="Y567" s="536"/>
    </row>
    <row r="568" spans="1:25" ht="12.75">
      <c r="A568" s="532" t="s">
        <v>2538</v>
      </c>
      <c r="B568" s="532">
        <v>41200007</v>
      </c>
      <c r="C568" s="532" t="s">
        <v>1591</v>
      </c>
      <c r="D568" s="532" t="s">
        <v>6608</v>
      </c>
      <c r="E568" s="532" t="s">
        <v>1405</v>
      </c>
      <c r="F568" s="532" t="s">
        <v>2391</v>
      </c>
      <c r="G568" s="532" t="s">
        <v>1468</v>
      </c>
      <c r="H568" s="532" t="s">
        <v>2392</v>
      </c>
      <c r="I568" s="532" t="s">
        <v>6604</v>
      </c>
      <c r="J568" s="534">
        <v>45840</v>
      </c>
      <c r="K568" s="535"/>
      <c r="L568" s="535"/>
      <c r="M568" s="535"/>
      <c r="N568" s="535"/>
      <c r="O568" s="535"/>
      <c r="P568" s="535"/>
      <c r="Q568" s="535"/>
      <c r="R568" s="535"/>
      <c r="S568" s="535"/>
      <c r="T568" s="535"/>
      <c r="U568" s="535"/>
      <c r="V568" s="535"/>
      <c r="W568" s="535"/>
      <c r="X568" s="535"/>
      <c r="Y568" s="536"/>
    </row>
    <row r="569" spans="1:25" ht="12.75">
      <c r="A569" s="532" t="s">
        <v>2535</v>
      </c>
      <c r="B569" s="532">
        <v>41200007</v>
      </c>
      <c r="C569" s="532" t="s">
        <v>1591</v>
      </c>
      <c r="D569" s="532" t="s">
        <v>6608</v>
      </c>
      <c r="E569" s="532" t="s">
        <v>1405</v>
      </c>
      <c r="F569" s="532" t="s">
        <v>2391</v>
      </c>
      <c r="G569" s="532" t="s">
        <v>1468</v>
      </c>
      <c r="H569" s="532" t="s">
        <v>2392</v>
      </c>
      <c r="I569" s="532" t="s">
        <v>6604</v>
      </c>
      <c r="J569" s="534">
        <v>45840</v>
      </c>
      <c r="K569" s="535"/>
      <c r="L569" s="535"/>
      <c r="M569" s="535"/>
      <c r="N569" s="535"/>
      <c r="O569" s="535"/>
      <c r="P569" s="535"/>
      <c r="Q569" s="535"/>
      <c r="R569" s="535"/>
      <c r="S569" s="535"/>
      <c r="T569" s="535"/>
      <c r="U569" s="535"/>
      <c r="V569" s="535"/>
      <c r="W569" s="535"/>
      <c r="X569" s="535"/>
      <c r="Y569" s="536"/>
    </row>
    <row r="570" spans="1:25" ht="12.75">
      <c r="A570" s="532" t="s">
        <v>2530</v>
      </c>
      <c r="B570" s="532">
        <v>41200109</v>
      </c>
      <c r="C570" s="532" t="s">
        <v>1591</v>
      </c>
      <c r="D570" s="532" t="s">
        <v>6619</v>
      </c>
      <c r="E570" s="532" t="s">
        <v>1585</v>
      </c>
      <c r="F570" s="532" t="s">
        <v>2395</v>
      </c>
      <c r="G570" s="532" t="s">
        <v>2392</v>
      </c>
      <c r="H570" s="532" t="s">
        <v>2392</v>
      </c>
      <c r="I570" s="532" t="s">
        <v>6604</v>
      </c>
      <c r="J570" s="534">
        <v>45840</v>
      </c>
      <c r="K570" s="535"/>
      <c r="L570" s="535"/>
      <c r="M570" s="535"/>
      <c r="N570" s="535"/>
      <c r="O570" s="535"/>
      <c r="P570" s="535"/>
      <c r="Q570" s="535"/>
      <c r="R570" s="535"/>
      <c r="S570" s="535"/>
      <c r="T570" s="535"/>
      <c r="U570" s="535"/>
      <c r="V570" s="535"/>
      <c r="W570" s="535"/>
      <c r="X570" s="535"/>
      <c r="Y570" s="536"/>
    </row>
    <row r="571" spans="1:25" ht="12.75">
      <c r="A571" s="532" t="s">
        <v>2529</v>
      </c>
      <c r="B571" s="532">
        <v>41200109</v>
      </c>
      <c r="C571" s="532" t="s">
        <v>1591</v>
      </c>
      <c r="D571" s="532" t="s">
        <v>6619</v>
      </c>
      <c r="E571" s="532" t="s">
        <v>1585</v>
      </c>
      <c r="F571" s="532" t="s">
        <v>2395</v>
      </c>
      <c r="G571" s="532" t="s">
        <v>2392</v>
      </c>
      <c r="H571" s="532" t="s">
        <v>2392</v>
      </c>
      <c r="I571" s="532" t="s">
        <v>6604</v>
      </c>
      <c r="J571" s="534">
        <v>45840</v>
      </c>
      <c r="K571" s="535"/>
      <c r="L571" s="535"/>
      <c r="M571" s="535"/>
      <c r="N571" s="535"/>
      <c r="O571" s="535"/>
      <c r="P571" s="535"/>
      <c r="Q571" s="535"/>
      <c r="R571" s="535"/>
      <c r="S571" s="535"/>
      <c r="T571" s="535"/>
      <c r="U571" s="535"/>
      <c r="V571" s="535"/>
      <c r="W571" s="535"/>
      <c r="X571" s="535"/>
      <c r="Y571" s="536"/>
    </row>
    <row r="572" spans="1:25" ht="12.75">
      <c r="A572" s="532" t="s">
        <v>2511</v>
      </c>
      <c r="B572" s="532">
        <v>41200122</v>
      </c>
      <c r="C572" s="532" t="s">
        <v>1476</v>
      </c>
      <c r="D572" s="532" t="s">
        <v>1476</v>
      </c>
      <c r="E572" s="532" t="s">
        <v>1585</v>
      </c>
      <c r="F572" s="532" t="s">
        <v>2391</v>
      </c>
      <c r="G572" s="532" t="s">
        <v>1468</v>
      </c>
      <c r="H572" s="532" t="s">
        <v>2392</v>
      </c>
      <c r="I572" s="532" t="s">
        <v>6604</v>
      </c>
      <c r="J572" s="534">
        <v>45840</v>
      </c>
      <c r="K572" s="535"/>
      <c r="L572" s="535"/>
      <c r="M572" s="535"/>
      <c r="N572" s="535"/>
      <c r="O572" s="535"/>
      <c r="P572" s="535"/>
      <c r="Q572" s="535"/>
      <c r="R572" s="535"/>
      <c r="S572" s="535"/>
      <c r="T572" s="535"/>
      <c r="U572" s="535"/>
      <c r="V572" s="535"/>
      <c r="W572" s="535"/>
      <c r="X572" s="535"/>
      <c r="Y572" s="536"/>
    </row>
    <row r="573" spans="1:25" ht="12.75">
      <c r="A573" s="532" t="s">
        <v>2507</v>
      </c>
      <c r="B573" s="532">
        <v>41100338</v>
      </c>
      <c r="C573" s="532" t="s">
        <v>1591</v>
      </c>
      <c r="D573" s="532" t="s">
        <v>6617</v>
      </c>
      <c r="E573" s="532" t="s">
        <v>1585</v>
      </c>
      <c r="F573" s="532" t="s">
        <v>2391</v>
      </c>
      <c r="G573" s="532" t="s">
        <v>1468</v>
      </c>
      <c r="H573" s="532" t="s">
        <v>2392</v>
      </c>
      <c r="I573" s="532" t="s">
        <v>6604</v>
      </c>
      <c r="J573" s="534">
        <v>45840</v>
      </c>
      <c r="K573" s="535"/>
      <c r="L573" s="535"/>
      <c r="M573" s="535"/>
      <c r="N573" s="535"/>
      <c r="O573" s="535"/>
      <c r="P573" s="535"/>
      <c r="Q573" s="535"/>
      <c r="R573" s="535"/>
      <c r="S573" s="535"/>
      <c r="T573" s="535"/>
      <c r="U573" s="535"/>
      <c r="V573" s="535"/>
      <c r="W573" s="535"/>
      <c r="X573" s="535"/>
      <c r="Y573" s="536"/>
    </row>
    <row r="574" spans="1:25" ht="12.75">
      <c r="A574" s="532" t="s">
        <v>2506</v>
      </c>
      <c r="B574" s="532">
        <v>41100338</v>
      </c>
      <c r="C574" s="532" t="s">
        <v>1591</v>
      </c>
      <c r="D574" s="532" t="s">
        <v>6617</v>
      </c>
      <c r="E574" s="532" t="s">
        <v>1585</v>
      </c>
      <c r="F574" s="532" t="s">
        <v>2391</v>
      </c>
      <c r="G574" s="532" t="s">
        <v>1468</v>
      </c>
      <c r="H574" s="532" t="s">
        <v>2392</v>
      </c>
      <c r="I574" s="532" t="s">
        <v>6604</v>
      </c>
      <c r="J574" s="534">
        <v>45840</v>
      </c>
      <c r="K574" s="535"/>
      <c r="L574" s="535"/>
      <c r="M574" s="535"/>
      <c r="N574" s="535"/>
      <c r="O574" s="535"/>
      <c r="P574" s="535"/>
      <c r="Q574" s="535"/>
      <c r="R574" s="535"/>
      <c r="S574" s="535"/>
      <c r="T574" s="535"/>
      <c r="U574" s="535"/>
      <c r="V574" s="535"/>
      <c r="W574" s="535"/>
      <c r="X574" s="535"/>
      <c r="Y574" s="536"/>
    </row>
    <row r="575" spans="1:25" ht="12.75">
      <c r="A575" s="532" t="s">
        <v>2755</v>
      </c>
      <c r="B575" s="532">
        <v>41200006</v>
      </c>
      <c r="C575" s="532" t="s">
        <v>1477</v>
      </c>
      <c r="D575" s="532" t="s">
        <v>6640</v>
      </c>
      <c r="E575" s="532" t="s">
        <v>1405</v>
      </c>
      <c r="F575" s="532" t="s">
        <v>2395</v>
      </c>
      <c r="G575" s="532" t="s">
        <v>2392</v>
      </c>
      <c r="H575" s="532" t="s">
        <v>2392</v>
      </c>
      <c r="I575" s="532" t="s">
        <v>6604</v>
      </c>
      <c r="J575" s="534">
        <v>45840</v>
      </c>
      <c r="K575" s="535"/>
      <c r="L575" s="535"/>
      <c r="M575" s="535"/>
      <c r="N575" s="535"/>
      <c r="O575" s="535"/>
      <c r="P575" s="535"/>
      <c r="Q575" s="535"/>
      <c r="R575" s="535"/>
      <c r="S575" s="535"/>
      <c r="T575" s="535"/>
      <c r="U575" s="535"/>
      <c r="V575" s="535"/>
      <c r="W575" s="535"/>
      <c r="X575" s="535"/>
      <c r="Y575" s="536"/>
    </row>
    <row r="576" spans="1:25" ht="12.75">
      <c r="A576" s="532" t="s">
        <v>2622</v>
      </c>
      <c r="B576" s="532">
        <v>41200006</v>
      </c>
      <c r="C576" s="532" t="s">
        <v>1477</v>
      </c>
      <c r="D576" s="532" t="s">
        <v>6640</v>
      </c>
      <c r="E576" s="532" t="s">
        <v>1405</v>
      </c>
      <c r="F576" s="532" t="s">
        <v>2395</v>
      </c>
      <c r="G576" s="532" t="s">
        <v>2392</v>
      </c>
      <c r="H576" s="532" t="s">
        <v>2392</v>
      </c>
      <c r="I576" s="532" t="s">
        <v>6604</v>
      </c>
      <c r="J576" s="534">
        <v>45840</v>
      </c>
      <c r="K576" s="535"/>
      <c r="L576" s="535"/>
      <c r="M576" s="535"/>
      <c r="N576" s="535"/>
      <c r="O576" s="535"/>
      <c r="P576" s="535"/>
      <c r="Q576" s="535"/>
      <c r="R576" s="535"/>
      <c r="S576" s="535"/>
      <c r="T576" s="535"/>
      <c r="U576" s="535"/>
      <c r="V576" s="535"/>
      <c r="W576" s="535"/>
      <c r="X576" s="535"/>
      <c r="Y576" s="536"/>
    </row>
    <row r="577" spans="1:25" ht="12.75">
      <c r="A577" s="532" t="s">
        <v>2608</v>
      </c>
      <c r="B577" s="532">
        <v>41200006</v>
      </c>
      <c r="C577" s="532" t="s">
        <v>1477</v>
      </c>
      <c r="D577" s="532" t="s">
        <v>6640</v>
      </c>
      <c r="E577" s="532" t="s">
        <v>1405</v>
      </c>
      <c r="F577" s="532" t="s">
        <v>2395</v>
      </c>
      <c r="G577" s="532" t="s">
        <v>2392</v>
      </c>
      <c r="H577" s="532" t="s">
        <v>2392</v>
      </c>
      <c r="I577" s="532" t="s">
        <v>6604</v>
      </c>
      <c r="J577" s="534">
        <v>45840</v>
      </c>
      <c r="K577" s="535"/>
      <c r="L577" s="535"/>
      <c r="M577" s="535"/>
      <c r="N577" s="535"/>
      <c r="O577" s="535"/>
      <c r="P577" s="535"/>
      <c r="Q577" s="535"/>
      <c r="R577" s="535"/>
      <c r="S577" s="535"/>
      <c r="T577" s="535"/>
      <c r="U577" s="535"/>
      <c r="V577" s="535"/>
      <c r="W577" s="535"/>
      <c r="X577" s="535"/>
      <c r="Y577" s="536"/>
    </row>
    <row r="578" spans="1:25" ht="12.75">
      <c r="A578" s="532" t="s">
        <v>3102</v>
      </c>
      <c r="B578" s="532">
        <v>41200076</v>
      </c>
      <c r="C578" s="532" t="s">
        <v>1476</v>
      </c>
      <c r="D578" s="532" t="s">
        <v>1476</v>
      </c>
      <c r="E578" s="532" t="s">
        <v>1585</v>
      </c>
      <c r="F578" s="532" t="s">
        <v>2555</v>
      </c>
      <c r="G578" s="532" t="s">
        <v>2555</v>
      </c>
      <c r="H578" s="532" t="s">
        <v>2392</v>
      </c>
      <c r="I578" s="532" t="s">
        <v>6604</v>
      </c>
      <c r="J578" s="534">
        <v>45840</v>
      </c>
      <c r="K578" s="535"/>
      <c r="L578" s="535"/>
      <c r="M578" s="535"/>
      <c r="N578" s="535"/>
      <c r="O578" s="535"/>
      <c r="P578" s="535"/>
      <c r="Q578" s="535"/>
      <c r="R578" s="535"/>
      <c r="S578" s="535"/>
      <c r="T578" s="535"/>
      <c r="U578" s="535"/>
      <c r="V578" s="535"/>
      <c r="W578" s="535"/>
      <c r="X578" s="535"/>
      <c r="Y578" s="536"/>
    </row>
    <row r="579" spans="1:25" ht="12.75">
      <c r="A579" s="532" t="s">
        <v>2947</v>
      </c>
      <c r="B579" s="532">
        <v>41200076</v>
      </c>
      <c r="C579" s="532" t="s">
        <v>1476</v>
      </c>
      <c r="D579" s="532" t="s">
        <v>1476</v>
      </c>
      <c r="E579" s="532" t="s">
        <v>1585</v>
      </c>
      <c r="F579" s="532" t="s">
        <v>2555</v>
      </c>
      <c r="G579" s="532" t="s">
        <v>2555</v>
      </c>
      <c r="H579" s="532" t="s">
        <v>2392</v>
      </c>
      <c r="I579" s="532" t="s">
        <v>6604</v>
      </c>
      <c r="J579" s="534">
        <v>45840</v>
      </c>
      <c r="K579" s="535"/>
      <c r="L579" s="535"/>
      <c r="M579" s="535"/>
      <c r="N579" s="535"/>
      <c r="O579" s="535"/>
      <c r="P579" s="535"/>
      <c r="Q579" s="535"/>
      <c r="R579" s="535"/>
      <c r="S579" s="535"/>
      <c r="T579" s="535"/>
      <c r="U579" s="535"/>
      <c r="V579" s="535"/>
      <c r="W579" s="535"/>
      <c r="X579" s="535"/>
      <c r="Y579" s="536"/>
    </row>
    <row r="580" spans="1:25" ht="12.75">
      <c r="A580" s="532" t="s">
        <v>2525</v>
      </c>
      <c r="B580" s="532">
        <v>41200122</v>
      </c>
      <c r="C580" s="532" t="s">
        <v>1476</v>
      </c>
      <c r="D580" s="532" t="s">
        <v>1476</v>
      </c>
      <c r="E580" s="532" t="s">
        <v>1585</v>
      </c>
      <c r="F580" s="532" t="s">
        <v>2391</v>
      </c>
      <c r="G580" s="532" t="s">
        <v>1468</v>
      </c>
      <c r="H580" s="532" t="s">
        <v>2392</v>
      </c>
      <c r="I580" s="532" t="s">
        <v>6604</v>
      </c>
      <c r="J580" s="534">
        <v>45840</v>
      </c>
      <c r="K580" s="535"/>
      <c r="L580" s="535"/>
      <c r="M580" s="535"/>
      <c r="N580" s="535"/>
      <c r="O580" s="535"/>
      <c r="P580" s="535"/>
      <c r="Q580" s="535"/>
      <c r="R580" s="535"/>
      <c r="S580" s="535"/>
      <c r="T580" s="535"/>
      <c r="U580" s="535"/>
      <c r="V580" s="535"/>
      <c r="W580" s="535"/>
      <c r="X580" s="535"/>
      <c r="Y580" s="536"/>
    </row>
    <row r="581" spans="1:25" ht="12.75">
      <c r="A581" s="532" t="s">
        <v>2527</v>
      </c>
      <c r="B581" s="532">
        <v>41200066</v>
      </c>
      <c r="C581" s="532" t="s">
        <v>1476</v>
      </c>
      <c r="D581" s="532" t="s">
        <v>1424</v>
      </c>
      <c r="E581" s="532" t="s">
        <v>1424</v>
      </c>
      <c r="F581" s="532" t="s">
        <v>2395</v>
      </c>
      <c r="G581" s="532" t="s">
        <v>1469</v>
      </c>
      <c r="H581" s="532" t="s">
        <v>2392</v>
      </c>
      <c r="I581" s="532" t="s">
        <v>6604</v>
      </c>
      <c r="J581" s="534">
        <v>45840</v>
      </c>
      <c r="K581" s="535"/>
      <c r="L581" s="535"/>
      <c r="M581" s="535"/>
      <c r="N581" s="535"/>
      <c r="O581" s="535"/>
      <c r="P581" s="535"/>
      <c r="Q581" s="535"/>
      <c r="R581" s="535"/>
      <c r="S581" s="535"/>
      <c r="T581" s="535"/>
      <c r="U581" s="535"/>
      <c r="V581" s="535"/>
      <c r="W581" s="535"/>
      <c r="X581" s="535"/>
      <c r="Y581" s="536"/>
    </row>
    <row r="582" spans="1:25" ht="12.75">
      <c r="A582" s="532" t="s">
        <v>2524</v>
      </c>
      <c r="B582" s="532">
        <v>41100264</v>
      </c>
      <c r="C582" s="532" t="s">
        <v>1591</v>
      </c>
      <c r="D582" s="532" t="s">
        <v>6611</v>
      </c>
      <c r="E582" s="532" t="s">
        <v>1585</v>
      </c>
      <c r="F582" s="532" t="s">
        <v>2391</v>
      </c>
      <c r="G582" s="532" t="s">
        <v>1468</v>
      </c>
      <c r="H582" s="532" t="s">
        <v>2392</v>
      </c>
      <c r="I582" s="532" t="s">
        <v>6604</v>
      </c>
      <c r="J582" s="534">
        <v>45840</v>
      </c>
      <c r="K582" s="535"/>
      <c r="L582" s="535"/>
      <c r="M582" s="535"/>
      <c r="N582" s="535"/>
      <c r="O582" s="535"/>
      <c r="P582" s="535"/>
      <c r="Q582" s="535"/>
      <c r="R582" s="535"/>
      <c r="S582" s="535"/>
      <c r="T582" s="535"/>
      <c r="U582" s="535"/>
      <c r="V582" s="535"/>
      <c r="W582" s="535"/>
      <c r="X582" s="535"/>
      <c r="Y582" s="536"/>
    </row>
    <row r="583" spans="1:25" ht="12.75">
      <c r="A583" s="532" t="s">
        <v>2523</v>
      </c>
      <c r="B583" s="532">
        <v>41100264</v>
      </c>
      <c r="C583" s="532" t="s">
        <v>1591</v>
      </c>
      <c r="D583" s="532" t="s">
        <v>6611</v>
      </c>
      <c r="E583" s="532" t="s">
        <v>1585</v>
      </c>
      <c r="F583" s="532" t="s">
        <v>2391</v>
      </c>
      <c r="G583" s="532" t="s">
        <v>1468</v>
      </c>
      <c r="H583" s="532" t="s">
        <v>2392</v>
      </c>
      <c r="I583" s="532" t="s">
        <v>6604</v>
      </c>
      <c r="J583" s="534">
        <v>45840</v>
      </c>
      <c r="K583" s="535"/>
      <c r="L583" s="535"/>
      <c r="M583" s="535"/>
      <c r="N583" s="535"/>
      <c r="O583" s="535"/>
      <c r="P583" s="535"/>
      <c r="Q583" s="535"/>
      <c r="R583" s="535"/>
      <c r="S583" s="535"/>
      <c r="T583" s="535"/>
      <c r="U583" s="535"/>
      <c r="V583" s="535"/>
      <c r="W583" s="535"/>
      <c r="X583" s="535"/>
      <c r="Y583" s="536"/>
    </row>
    <row r="584" spans="1:25" ht="12.75">
      <c r="A584" s="532" t="s">
        <v>2680</v>
      </c>
      <c r="B584" s="532">
        <v>41200053</v>
      </c>
      <c r="C584" s="532" t="s">
        <v>2184</v>
      </c>
      <c r="D584" s="532" t="s">
        <v>6646</v>
      </c>
      <c r="E584" s="532" t="s">
        <v>1405</v>
      </c>
      <c r="F584" s="532" t="s">
        <v>2392</v>
      </c>
      <c r="G584" s="532" t="s">
        <v>2392</v>
      </c>
      <c r="H584" s="533"/>
      <c r="I584" s="532" t="s">
        <v>6604</v>
      </c>
      <c r="J584" s="534">
        <v>45840</v>
      </c>
      <c r="K584" s="535"/>
      <c r="L584" s="535"/>
      <c r="M584" s="535"/>
      <c r="N584" s="535"/>
      <c r="O584" s="535"/>
      <c r="P584" s="535"/>
      <c r="Q584" s="535"/>
      <c r="R584" s="535"/>
      <c r="S584" s="535"/>
      <c r="T584" s="535"/>
      <c r="U584" s="535"/>
      <c r="V584" s="535"/>
      <c r="W584" s="535"/>
      <c r="X584" s="535"/>
      <c r="Y584" s="536"/>
    </row>
    <row r="585" spans="1:25" ht="12.75">
      <c r="A585" s="532" t="s">
        <v>2667</v>
      </c>
      <c r="B585" s="532">
        <v>41200053</v>
      </c>
      <c r="C585" s="532" t="s">
        <v>2184</v>
      </c>
      <c r="D585" s="532" t="s">
        <v>6646</v>
      </c>
      <c r="E585" s="532" t="s">
        <v>1405</v>
      </c>
      <c r="F585" s="532" t="s">
        <v>2392</v>
      </c>
      <c r="G585" s="532" t="s">
        <v>2392</v>
      </c>
      <c r="H585" s="533"/>
      <c r="I585" s="532" t="s">
        <v>6604</v>
      </c>
      <c r="J585" s="534">
        <v>45840</v>
      </c>
      <c r="K585" s="535"/>
      <c r="L585" s="535"/>
      <c r="M585" s="535"/>
      <c r="N585" s="535"/>
      <c r="O585" s="535"/>
      <c r="P585" s="535"/>
      <c r="Q585" s="535"/>
      <c r="R585" s="535"/>
      <c r="S585" s="535"/>
      <c r="T585" s="535"/>
      <c r="U585" s="535"/>
      <c r="V585" s="535"/>
      <c r="W585" s="535"/>
      <c r="X585" s="535"/>
      <c r="Y585" s="536"/>
    </row>
    <row r="586" spans="1:25" ht="12.75">
      <c r="A586" s="532" t="s">
        <v>2665</v>
      </c>
      <c r="B586" s="532">
        <v>41200053</v>
      </c>
      <c r="C586" s="532" t="s">
        <v>2184</v>
      </c>
      <c r="D586" s="532" t="s">
        <v>6646</v>
      </c>
      <c r="E586" s="532" t="s">
        <v>1405</v>
      </c>
      <c r="F586" s="532" t="s">
        <v>2392</v>
      </c>
      <c r="G586" s="532" t="s">
        <v>2392</v>
      </c>
      <c r="H586" s="533"/>
      <c r="I586" s="532" t="s">
        <v>6604</v>
      </c>
      <c r="J586" s="534">
        <v>45840</v>
      </c>
      <c r="K586" s="535"/>
      <c r="L586" s="535"/>
      <c r="M586" s="535"/>
      <c r="N586" s="535"/>
      <c r="O586" s="535"/>
      <c r="P586" s="535"/>
      <c r="Q586" s="535"/>
      <c r="R586" s="535"/>
      <c r="S586" s="535"/>
      <c r="T586" s="535"/>
      <c r="U586" s="535"/>
      <c r="V586" s="535"/>
      <c r="W586" s="535"/>
      <c r="X586" s="535"/>
      <c r="Y586" s="536"/>
    </row>
    <row r="587" spans="1:25" ht="12.75">
      <c r="A587" s="532" t="s">
        <v>2505</v>
      </c>
      <c r="B587" s="532">
        <v>41200109</v>
      </c>
      <c r="C587" s="532" t="s">
        <v>1591</v>
      </c>
      <c r="D587" s="532" t="s">
        <v>6619</v>
      </c>
      <c r="E587" s="532" t="s">
        <v>1585</v>
      </c>
      <c r="F587" s="532" t="s">
        <v>2395</v>
      </c>
      <c r="G587" s="532" t="s">
        <v>1469</v>
      </c>
      <c r="H587" s="532" t="s">
        <v>2392</v>
      </c>
      <c r="I587" s="532" t="s">
        <v>6604</v>
      </c>
      <c r="J587" s="534">
        <v>45840</v>
      </c>
      <c r="K587" s="535"/>
      <c r="L587" s="535"/>
      <c r="M587" s="535"/>
      <c r="N587" s="535"/>
      <c r="O587" s="535"/>
      <c r="P587" s="535"/>
      <c r="Q587" s="535"/>
      <c r="R587" s="535"/>
      <c r="S587" s="535"/>
      <c r="T587" s="535"/>
      <c r="U587" s="535"/>
      <c r="V587" s="535"/>
      <c r="W587" s="535"/>
      <c r="X587" s="535"/>
      <c r="Y587" s="536"/>
    </row>
    <row r="588" spans="1:25" ht="12.75">
      <c r="A588" s="532" t="s">
        <v>2504</v>
      </c>
      <c r="B588" s="532">
        <v>41200109</v>
      </c>
      <c r="C588" s="532" t="s">
        <v>1591</v>
      </c>
      <c r="D588" s="532" t="s">
        <v>6619</v>
      </c>
      <c r="E588" s="532" t="s">
        <v>1585</v>
      </c>
      <c r="F588" s="532" t="s">
        <v>2395</v>
      </c>
      <c r="G588" s="532" t="s">
        <v>1469</v>
      </c>
      <c r="H588" s="532" t="s">
        <v>2392</v>
      </c>
      <c r="I588" s="532" t="s">
        <v>6604</v>
      </c>
      <c r="J588" s="534">
        <v>45840</v>
      </c>
      <c r="K588" s="535"/>
      <c r="L588" s="535"/>
      <c r="M588" s="535"/>
      <c r="N588" s="535"/>
      <c r="O588" s="535"/>
      <c r="P588" s="535"/>
      <c r="Q588" s="535"/>
      <c r="R588" s="535"/>
      <c r="S588" s="535"/>
      <c r="T588" s="535"/>
      <c r="U588" s="535"/>
      <c r="V588" s="535"/>
      <c r="W588" s="535"/>
      <c r="X588" s="535"/>
      <c r="Y588" s="536"/>
    </row>
    <row r="589" spans="1:25" ht="12.75">
      <c r="A589" s="532" t="s">
        <v>2503</v>
      </c>
      <c r="B589" s="532">
        <v>41200075</v>
      </c>
      <c r="C589" s="532" t="s">
        <v>1476</v>
      </c>
      <c r="D589" s="532" t="s">
        <v>1476</v>
      </c>
      <c r="E589" s="532" t="s">
        <v>1585</v>
      </c>
      <c r="F589" s="532" t="s">
        <v>2391</v>
      </c>
      <c r="G589" s="532" t="s">
        <v>1468</v>
      </c>
      <c r="H589" s="532" t="s">
        <v>2392</v>
      </c>
      <c r="I589" s="532" t="s">
        <v>6604</v>
      </c>
      <c r="J589" s="534">
        <v>45840</v>
      </c>
      <c r="K589" s="535"/>
      <c r="L589" s="535"/>
      <c r="M589" s="535"/>
      <c r="N589" s="535"/>
      <c r="O589" s="535"/>
      <c r="P589" s="535"/>
      <c r="Q589" s="535"/>
      <c r="R589" s="535"/>
      <c r="S589" s="535"/>
      <c r="T589" s="535"/>
      <c r="U589" s="535"/>
      <c r="V589" s="535"/>
      <c r="W589" s="535"/>
      <c r="X589" s="535"/>
      <c r="Y589" s="536"/>
    </row>
    <row r="590" spans="1:25" ht="12.75">
      <c r="A590" s="532" t="s">
        <v>2502</v>
      </c>
      <c r="B590" s="532">
        <v>41100286</v>
      </c>
      <c r="C590" s="532" t="s">
        <v>1476</v>
      </c>
      <c r="D590" s="532" t="s">
        <v>6610</v>
      </c>
      <c r="E590" s="532" t="s">
        <v>1424</v>
      </c>
      <c r="F590" s="532" t="s">
        <v>2391</v>
      </c>
      <c r="G590" s="532" t="s">
        <v>2392</v>
      </c>
      <c r="H590" s="532" t="s">
        <v>2392</v>
      </c>
      <c r="I590" s="532" t="s">
        <v>6604</v>
      </c>
      <c r="J590" s="534">
        <v>45840</v>
      </c>
      <c r="K590" s="535"/>
      <c r="L590" s="535"/>
      <c r="M590" s="535"/>
      <c r="N590" s="535"/>
      <c r="O590" s="535"/>
      <c r="P590" s="535"/>
      <c r="Q590" s="535"/>
      <c r="R590" s="535"/>
      <c r="S590" s="535"/>
      <c r="T590" s="535"/>
      <c r="U590" s="535"/>
      <c r="V590" s="535"/>
      <c r="W590" s="535"/>
      <c r="X590" s="535"/>
      <c r="Y590" s="536"/>
    </row>
    <row r="591" spans="1:25" ht="12.75">
      <c r="A591" s="532" t="s">
        <v>3367</v>
      </c>
      <c r="B591" s="532">
        <v>41200053</v>
      </c>
      <c r="C591" s="532" t="s">
        <v>2184</v>
      </c>
      <c r="D591" s="532" t="s">
        <v>6646</v>
      </c>
      <c r="E591" s="532" t="s">
        <v>1405</v>
      </c>
      <c r="F591" s="532" t="s">
        <v>2392</v>
      </c>
      <c r="G591" s="532" t="s">
        <v>2392</v>
      </c>
      <c r="H591" s="533"/>
      <c r="I591" s="535"/>
      <c r="J591" s="535"/>
      <c r="K591" s="535"/>
      <c r="L591" s="535"/>
      <c r="M591" s="535"/>
      <c r="N591" s="535"/>
      <c r="O591" s="535"/>
      <c r="P591" s="535"/>
      <c r="Q591" s="535"/>
      <c r="R591" s="535"/>
      <c r="S591" s="535"/>
      <c r="T591" s="535"/>
      <c r="U591" s="535"/>
      <c r="V591" s="535"/>
      <c r="W591" s="535"/>
      <c r="X591" s="535"/>
      <c r="Y591" s="536"/>
    </row>
    <row r="592" spans="1:25" ht="12.75">
      <c r="A592" s="532" t="s">
        <v>3366</v>
      </c>
      <c r="B592" s="532">
        <v>41200053</v>
      </c>
      <c r="C592" s="532" t="s">
        <v>2184</v>
      </c>
      <c r="D592" s="532" t="s">
        <v>6646</v>
      </c>
      <c r="E592" s="532" t="s">
        <v>1405</v>
      </c>
      <c r="F592" s="532" t="s">
        <v>2392</v>
      </c>
      <c r="G592" s="532" t="s">
        <v>2392</v>
      </c>
      <c r="H592" s="533"/>
      <c r="I592" s="535"/>
      <c r="J592" s="535"/>
      <c r="K592" s="535"/>
      <c r="L592" s="535"/>
      <c r="M592" s="535"/>
      <c r="N592" s="535"/>
      <c r="O592" s="535"/>
      <c r="P592" s="535"/>
      <c r="Q592" s="535"/>
      <c r="R592" s="535"/>
      <c r="S592" s="535"/>
      <c r="T592" s="535"/>
      <c r="U592" s="535"/>
      <c r="V592" s="535"/>
      <c r="W592" s="535"/>
      <c r="X592" s="535"/>
      <c r="Y592" s="536"/>
    </row>
    <row r="593" spans="1:25" ht="12.75">
      <c r="A593" s="532" t="s">
        <v>3365</v>
      </c>
      <c r="B593" s="532">
        <v>41200053</v>
      </c>
      <c r="C593" s="532" t="s">
        <v>2184</v>
      </c>
      <c r="D593" s="532" t="s">
        <v>6646</v>
      </c>
      <c r="E593" s="532" t="s">
        <v>1405</v>
      </c>
      <c r="F593" s="532" t="s">
        <v>2392</v>
      </c>
      <c r="G593" s="532" t="s">
        <v>2392</v>
      </c>
      <c r="H593" s="533"/>
      <c r="I593" s="535"/>
      <c r="J593" s="535"/>
      <c r="K593" s="535"/>
      <c r="L593" s="535"/>
      <c r="M593" s="535"/>
      <c r="N593" s="535"/>
      <c r="O593" s="535"/>
      <c r="P593" s="535"/>
      <c r="Q593" s="535"/>
      <c r="R593" s="535"/>
      <c r="S593" s="535"/>
      <c r="T593" s="535"/>
      <c r="U593" s="535"/>
      <c r="V593" s="535"/>
      <c r="W593" s="535"/>
      <c r="X593" s="535"/>
      <c r="Y593" s="536"/>
    </row>
    <row r="594" spans="1:25" ht="12.75">
      <c r="A594" s="532" t="s">
        <v>3364</v>
      </c>
      <c r="B594" s="532">
        <v>41200053</v>
      </c>
      <c r="C594" s="532" t="s">
        <v>2184</v>
      </c>
      <c r="D594" s="532" t="s">
        <v>6646</v>
      </c>
      <c r="E594" s="532" t="s">
        <v>1405</v>
      </c>
      <c r="F594" s="532" t="s">
        <v>2392</v>
      </c>
      <c r="G594" s="532" t="s">
        <v>2392</v>
      </c>
      <c r="H594" s="533"/>
      <c r="I594" s="535"/>
      <c r="J594" s="535"/>
      <c r="K594" s="535"/>
      <c r="L594" s="535"/>
      <c r="M594" s="535"/>
      <c r="N594" s="535"/>
      <c r="O594" s="535"/>
      <c r="P594" s="535"/>
      <c r="Q594" s="535"/>
      <c r="R594" s="535"/>
      <c r="S594" s="535"/>
      <c r="T594" s="535"/>
      <c r="U594" s="535"/>
      <c r="V594" s="535"/>
      <c r="W594" s="535"/>
      <c r="X594" s="535"/>
      <c r="Y594" s="536"/>
    </row>
    <row r="595" spans="1:25" ht="12.75">
      <c r="A595" s="532" t="s">
        <v>3377</v>
      </c>
      <c r="B595" s="532">
        <v>41200153</v>
      </c>
      <c r="C595" s="532" t="s">
        <v>1476</v>
      </c>
      <c r="D595" s="532" t="s">
        <v>6663</v>
      </c>
      <c r="E595" s="532" t="s">
        <v>1422</v>
      </c>
      <c r="F595" s="532" t="s">
        <v>2391</v>
      </c>
      <c r="G595" s="532" t="s">
        <v>1468</v>
      </c>
      <c r="H595" s="532" t="s">
        <v>2392</v>
      </c>
      <c r="I595" s="535"/>
      <c r="J595" s="535"/>
      <c r="K595" s="535"/>
      <c r="L595" s="535"/>
      <c r="M595" s="535"/>
      <c r="N595" s="535"/>
      <c r="O595" s="535"/>
      <c r="P595" s="535"/>
      <c r="Q595" s="535"/>
      <c r="R595" s="535"/>
      <c r="S595" s="535"/>
      <c r="T595" s="535"/>
      <c r="U595" s="535"/>
      <c r="V595" s="535"/>
      <c r="W595" s="535"/>
      <c r="X595" s="535"/>
      <c r="Y595" s="536"/>
    </row>
    <row r="596" spans="1:25" ht="12.75">
      <c r="A596" s="532" t="s">
        <v>3386</v>
      </c>
      <c r="B596" s="532">
        <v>41200122</v>
      </c>
      <c r="C596" s="532" t="s">
        <v>1476</v>
      </c>
      <c r="D596" s="532" t="s">
        <v>1476</v>
      </c>
      <c r="E596" s="532" t="s">
        <v>1585</v>
      </c>
      <c r="F596" s="532" t="s">
        <v>2391</v>
      </c>
      <c r="G596" s="532" t="s">
        <v>2392</v>
      </c>
      <c r="H596" s="532" t="s">
        <v>2392</v>
      </c>
      <c r="I596" s="535"/>
      <c r="J596" s="535"/>
      <c r="K596" s="535"/>
      <c r="L596" s="535"/>
      <c r="M596" s="535"/>
      <c r="N596" s="535"/>
      <c r="O596" s="535"/>
      <c r="P596" s="535"/>
      <c r="Q596" s="535"/>
      <c r="R596" s="535"/>
      <c r="S596" s="535"/>
      <c r="T596" s="535"/>
      <c r="U596" s="535"/>
      <c r="V596" s="535"/>
      <c r="W596" s="535"/>
      <c r="X596" s="535"/>
      <c r="Y596" s="536"/>
    </row>
    <row r="597" spans="1:25" ht="12.75">
      <c r="A597" s="532" t="s">
        <v>3373</v>
      </c>
      <c r="B597" s="532">
        <v>41200006</v>
      </c>
      <c r="C597" s="532" t="s">
        <v>1477</v>
      </c>
      <c r="D597" s="532" t="s">
        <v>6640</v>
      </c>
      <c r="E597" s="532" t="s">
        <v>1405</v>
      </c>
      <c r="F597" s="532" t="s">
        <v>2395</v>
      </c>
      <c r="G597" s="532" t="s">
        <v>1469</v>
      </c>
      <c r="H597" s="532" t="s">
        <v>2392</v>
      </c>
      <c r="I597" s="535"/>
      <c r="J597" s="535"/>
      <c r="K597" s="535"/>
      <c r="L597" s="535"/>
      <c r="M597" s="535"/>
      <c r="N597" s="535"/>
      <c r="O597" s="535"/>
      <c r="P597" s="535"/>
      <c r="Q597" s="535"/>
      <c r="R597" s="535"/>
      <c r="S597" s="535"/>
      <c r="T597" s="535"/>
      <c r="U597" s="535"/>
      <c r="V597" s="535"/>
      <c r="W597" s="535"/>
      <c r="X597" s="535"/>
      <c r="Y597" s="536"/>
    </row>
    <row r="598" spans="1:25" ht="12.75">
      <c r="A598" s="532" t="s">
        <v>3372</v>
      </c>
      <c r="B598" s="532">
        <v>41200006</v>
      </c>
      <c r="C598" s="532" t="s">
        <v>1477</v>
      </c>
      <c r="D598" s="532" t="s">
        <v>6640</v>
      </c>
      <c r="E598" s="532" t="s">
        <v>1405</v>
      </c>
      <c r="F598" s="532" t="s">
        <v>2395</v>
      </c>
      <c r="G598" s="532" t="s">
        <v>1469</v>
      </c>
      <c r="H598" s="532" t="s">
        <v>2392</v>
      </c>
      <c r="I598" s="535"/>
      <c r="J598" s="535"/>
      <c r="K598" s="535"/>
      <c r="L598" s="535"/>
      <c r="M598" s="535"/>
      <c r="N598" s="535"/>
      <c r="O598" s="535"/>
      <c r="P598" s="535"/>
      <c r="Q598" s="535"/>
      <c r="R598" s="535"/>
      <c r="S598" s="535"/>
      <c r="T598" s="535"/>
      <c r="U598" s="535"/>
      <c r="V598" s="535"/>
      <c r="W598" s="535"/>
      <c r="X598" s="535"/>
      <c r="Y598" s="536"/>
    </row>
    <row r="599" spans="1:25" ht="12.75">
      <c r="A599" s="532" t="s">
        <v>3416</v>
      </c>
      <c r="B599" s="532">
        <v>41100502</v>
      </c>
      <c r="C599" s="532" t="s">
        <v>1591</v>
      </c>
      <c r="D599" s="532" t="s">
        <v>1591</v>
      </c>
      <c r="E599" s="532" t="s">
        <v>1585</v>
      </c>
      <c r="F599" s="532" t="s">
        <v>2395</v>
      </c>
      <c r="G599" s="532" t="s">
        <v>1469</v>
      </c>
      <c r="H599" s="532" t="s">
        <v>2392</v>
      </c>
      <c r="I599" s="535"/>
      <c r="J599" s="535"/>
      <c r="K599" s="535"/>
      <c r="L599" s="535"/>
      <c r="M599" s="535"/>
      <c r="N599" s="535"/>
      <c r="O599" s="535"/>
      <c r="P599" s="535"/>
      <c r="Q599" s="535"/>
      <c r="R599" s="535"/>
      <c r="S599" s="535"/>
      <c r="T599" s="535"/>
      <c r="U599" s="535"/>
      <c r="V599" s="535"/>
      <c r="W599" s="535"/>
      <c r="X599" s="535"/>
      <c r="Y599" s="536"/>
    </row>
    <row r="600" spans="1:25" ht="12.75">
      <c r="A600" s="532" t="s">
        <v>3415</v>
      </c>
      <c r="B600" s="532">
        <v>41100502</v>
      </c>
      <c r="C600" s="532" t="s">
        <v>1591</v>
      </c>
      <c r="D600" s="532" t="s">
        <v>1591</v>
      </c>
      <c r="E600" s="532" t="s">
        <v>1585</v>
      </c>
      <c r="F600" s="532" t="s">
        <v>2395</v>
      </c>
      <c r="G600" s="532" t="s">
        <v>1469</v>
      </c>
      <c r="H600" s="532" t="s">
        <v>2392</v>
      </c>
      <c r="I600" s="535"/>
      <c r="J600" s="535"/>
      <c r="K600" s="535"/>
      <c r="L600" s="535"/>
      <c r="M600" s="535"/>
      <c r="N600" s="535"/>
      <c r="O600" s="535"/>
      <c r="P600" s="535"/>
      <c r="Q600" s="535"/>
      <c r="R600" s="535"/>
      <c r="S600" s="535"/>
      <c r="T600" s="535"/>
      <c r="U600" s="535"/>
      <c r="V600" s="535"/>
      <c r="W600" s="535"/>
      <c r="X600" s="535"/>
      <c r="Y600" s="536"/>
    </row>
    <row r="601" spans="1:25" ht="12.75">
      <c r="A601" s="532" t="s">
        <v>3337</v>
      </c>
      <c r="B601" s="532">
        <v>41100321</v>
      </c>
      <c r="C601" s="532" t="s">
        <v>1476</v>
      </c>
      <c r="D601" s="532" t="s">
        <v>6610</v>
      </c>
      <c r="E601" s="532" t="s">
        <v>1422</v>
      </c>
      <c r="F601" s="532" t="s">
        <v>2395</v>
      </c>
      <c r="G601" s="532" t="s">
        <v>1469</v>
      </c>
      <c r="H601" s="532" t="s">
        <v>2392</v>
      </c>
      <c r="I601" s="535"/>
      <c r="J601" s="535"/>
      <c r="K601" s="535"/>
      <c r="L601" s="535"/>
      <c r="M601" s="535"/>
      <c r="N601" s="535"/>
      <c r="O601" s="535"/>
      <c r="P601" s="535"/>
      <c r="Q601" s="535"/>
      <c r="R601" s="535"/>
      <c r="S601" s="535"/>
      <c r="T601" s="535"/>
      <c r="U601" s="535"/>
      <c r="V601" s="535"/>
      <c r="W601" s="535"/>
      <c r="X601" s="535"/>
      <c r="Y601" s="536"/>
    </row>
    <row r="602" spans="1:25" ht="12.75">
      <c r="A602" s="532" t="s">
        <v>3351</v>
      </c>
      <c r="B602" s="532">
        <v>41200004</v>
      </c>
      <c r="C602" s="532" t="s">
        <v>1476</v>
      </c>
      <c r="D602" s="532" t="s">
        <v>1476</v>
      </c>
      <c r="E602" s="532" t="s">
        <v>1424</v>
      </c>
      <c r="F602" s="532" t="s">
        <v>2395</v>
      </c>
      <c r="G602" s="532" t="s">
        <v>1469</v>
      </c>
      <c r="H602" s="532" t="s">
        <v>2392</v>
      </c>
      <c r="I602" s="535"/>
      <c r="J602" s="535"/>
      <c r="K602" s="535"/>
      <c r="L602" s="535"/>
      <c r="M602" s="535"/>
      <c r="N602" s="535"/>
      <c r="O602" s="535"/>
      <c r="P602" s="535"/>
      <c r="Q602" s="535"/>
      <c r="R602" s="535"/>
      <c r="S602" s="535"/>
      <c r="T602" s="535"/>
      <c r="U602" s="535"/>
      <c r="V602" s="535"/>
      <c r="W602" s="535"/>
      <c r="X602" s="535"/>
      <c r="Y602" s="536"/>
    </row>
    <row r="603" spans="1:25" ht="12.75">
      <c r="A603" s="532" t="s">
        <v>3442</v>
      </c>
      <c r="B603" s="532">
        <v>41200174</v>
      </c>
      <c r="C603" s="532" t="s">
        <v>1476</v>
      </c>
      <c r="D603" s="532" t="s">
        <v>1424</v>
      </c>
      <c r="E603" s="532" t="s">
        <v>1424</v>
      </c>
      <c r="F603" s="532" t="s">
        <v>2395</v>
      </c>
      <c r="G603" s="532" t="s">
        <v>1469</v>
      </c>
      <c r="H603" s="532" t="s">
        <v>2392</v>
      </c>
      <c r="I603" s="535"/>
      <c r="J603" s="535"/>
      <c r="K603" s="535"/>
      <c r="L603" s="535"/>
      <c r="M603" s="535"/>
      <c r="N603" s="535"/>
      <c r="O603" s="535"/>
      <c r="P603" s="535"/>
      <c r="Q603" s="535"/>
      <c r="R603" s="535"/>
      <c r="S603" s="535"/>
      <c r="T603" s="535"/>
      <c r="U603" s="535"/>
      <c r="V603" s="535"/>
      <c r="W603" s="535"/>
      <c r="X603" s="535"/>
      <c r="Y603" s="536"/>
    </row>
    <row r="604" spans="1:25" ht="12.75">
      <c r="A604" s="532" t="s">
        <v>3359</v>
      </c>
      <c r="B604" s="532">
        <v>41200007</v>
      </c>
      <c r="C604" s="532" t="s">
        <v>1591</v>
      </c>
      <c r="D604" s="532" t="s">
        <v>6608</v>
      </c>
      <c r="E604" s="532" t="s">
        <v>1405</v>
      </c>
      <c r="F604" s="532" t="s">
        <v>2391</v>
      </c>
      <c r="G604" s="532" t="s">
        <v>1468</v>
      </c>
      <c r="H604" s="532" t="s">
        <v>2392</v>
      </c>
      <c r="I604" s="535"/>
      <c r="J604" s="535"/>
      <c r="K604" s="535"/>
      <c r="L604" s="535"/>
      <c r="M604" s="535"/>
      <c r="N604" s="535"/>
      <c r="O604" s="535"/>
      <c r="P604" s="535"/>
      <c r="Q604" s="535"/>
      <c r="R604" s="535"/>
      <c r="S604" s="535"/>
      <c r="T604" s="535"/>
      <c r="U604" s="535"/>
      <c r="V604" s="535"/>
      <c r="W604" s="535"/>
      <c r="X604" s="535"/>
      <c r="Y604" s="536"/>
    </row>
    <row r="605" spans="1:25" ht="12.75">
      <c r="A605" s="532" t="s">
        <v>3358</v>
      </c>
      <c r="B605" s="532">
        <v>41200007</v>
      </c>
      <c r="C605" s="532" t="s">
        <v>1591</v>
      </c>
      <c r="D605" s="532" t="s">
        <v>6608</v>
      </c>
      <c r="E605" s="532" t="s">
        <v>1405</v>
      </c>
      <c r="F605" s="532" t="s">
        <v>2391</v>
      </c>
      <c r="G605" s="532" t="s">
        <v>1468</v>
      </c>
      <c r="H605" s="532" t="s">
        <v>2392</v>
      </c>
      <c r="I605" s="535"/>
      <c r="J605" s="535"/>
      <c r="K605" s="535"/>
      <c r="L605" s="535"/>
      <c r="M605" s="535"/>
      <c r="N605" s="535"/>
      <c r="O605" s="535"/>
      <c r="P605" s="535"/>
      <c r="Q605" s="535"/>
      <c r="R605" s="535"/>
      <c r="S605" s="535"/>
      <c r="T605" s="535"/>
      <c r="U605" s="535"/>
      <c r="V605" s="535"/>
      <c r="W605" s="535"/>
      <c r="X605" s="535"/>
      <c r="Y605" s="536"/>
    </row>
    <row r="606" spans="1:25" ht="12.75">
      <c r="A606" s="532" t="s">
        <v>3390</v>
      </c>
      <c r="B606" s="532">
        <v>41200152</v>
      </c>
      <c r="C606" s="532" t="s">
        <v>1476</v>
      </c>
      <c r="D606" s="532" t="s">
        <v>6618</v>
      </c>
      <c r="E606" s="532" t="s">
        <v>1585</v>
      </c>
      <c r="F606" s="532" t="s">
        <v>2555</v>
      </c>
      <c r="G606" s="532" t="s">
        <v>2555</v>
      </c>
      <c r="H606" s="532" t="s">
        <v>2392</v>
      </c>
      <c r="I606" s="535"/>
      <c r="J606" s="535"/>
      <c r="K606" s="535"/>
      <c r="L606" s="535"/>
      <c r="M606" s="535"/>
      <c r="N606" s="535"/>
      <c r="O606" s="535"/>
      <c r="P606" s="535"/>
      <c r="Q606" s="535"/>
      <c r="R606" s="535"/>
      <c r="S606" s="535"/>
      <c r="T606" s="535"/>
      <c r="U606" s="535"/>
      <c r="V606" s="535"/>
      <c r="W606" s="535"/>
      <c r="X606" s="535"/>
      <c r="Y606" s="536"/>
    </row>
    <row r="607" spans="1:25" ht="12.75">
      <c r="A607" s="532" t="s">
        <v>3389</v>
      </c>
      <c r="B607" s="532">
        <v>41200152</v>
      </c>
      <c r="C607" s="532" t="s">
        <v>1476</v>
      </c>
      <c r="D607" s="532" t="s">
        <v>6618</v>
      </c>
      <c r="E607" s="532" t="s">
        <v>1585</v>
      </c>
      <c r="F607" s="532" t="s">
        <v>2555</v>
      </c>
      <c r="G607" s="532" t="s">
        <v>2555</v>
      </c>
      <c r="H607" s="532" t="s">
        <v>2392</v>
      </c>
      <c r="I607" s="535"/>
      <c r="J607" s="535"/>
      <c r="K607" s="535"/>
      <c r="L607" s="535"/>
      <c r="M607" s="535"/>
      <c r="N607" s="535"/>
      <c r="O607" s="535"/>
      <c r="P607" s="535"/>
      <c r="Q607" s="535"/>
      <c r="R607" s="535"/>
      <c r="S607" s="535"/>
      <c r="T607" s="535"/>
      <c r="U607" s="535"/>
      <c r="V607" s="535"/>
      <c r="W607" s="535"/>
      <c r="X607" s="535"/>
      <c r="Y607" s="536"/>
    </row>
    <row r="608" spans="1:25" ht="12.75">
      <c r="A608" s="532" t="s">
        <v>6664</v>
      </c>
      <c r="B608" s="532">
        <v>41000560</v>
      </c>
      <c r="C608" s="532" t="s">
        <v>3638</v>
      </c>
      <c r="D608" s="532" t="s">
        <v>1424</v>
      </c>
      <c r="E608" s="532" t="s">
        <v>1424</v>
      </c>
      <c r="F608" s="532" t="s">
        <v>2395</v>
      </c>
      <c r="G608" s="532" t="s">
        <v>1469</v>
      </c>
      <c r="H608" s="532" t="s">
        <v>2392</v>
      </c>
      <c r="I608" s="535"/>
      <c r="J608" s="535"/>
      <c r="K608" s="535"/>
      <c r="L608" s="535"/>
      <c r="M608" s="535"/>
      <c r="N608" s="535"/>
      <c r="O608" s="535"/>
      <c r="P608" s="535"/>
      <c r="Q608" s="535"/>
      <c r="R608" s="535"/>
      <c r="S608" s="535"/>
      <c r="T608" s="535"/>
      <c r="U608" s="535"/>
      <c r="V608" s="535"/>
      <c r="W608" s="535"/>
      <c r="X608" s="535"/>
      <c r="Y608" s="536"/>
    </row>
    <row r="609" spans="1:25" ht="12.75">
      <c r="A609" s="532" t="s">
        <v>3349</v>
      </c>
      <c r="B609" s="532">
        <v>41100338</v>
      </c>
      <c r="C609" s="532" t="s">
        <v>1591</v>
      </c>
      <c r="D609" s="532" t="s">
        <v>6617</v>
      </c>
      <c r="E609" s="532" t="s">
        <v>1585</v>
      </c>
      <c r="F609" s="532" t="s">
        <v>2391</v>
      </c>
      <c r="G609" s="532" t="s">
        <v>2392</v>
      </c>
      <c r="H609" s="532" t="s">
        <v>2392</v>
      </c>
      <c r="I609" s="535"/>
      <c r="J609" s="535"/>
      <c r="K609" s="535"/>
      <c r="L609" s="535"/>
      <c r="M609" s="535"/>
      <c r="N609" s="535"/>
      <c r="O609" s="535"/>
      <c r="P609" s="535"/>
      <c r="Q609" s="535"/>
      <c r="R609" s="535"/>
      <c r="S609" s="535"/>
      <c r="T609" s="535"/>
      <c r="U609" s="535"/>
      <c r="V609" s="535"/>
      <c r="W609" s="535"/>
      <c r="X609" s="535"/>
      <c r="Y609" s="536"/>
    </row>
    <row r="610" spans="1:25" ht="12.75">
      <c r="A610" s="532" t="s">
        <v>3348</v>
      </c>
      <c r="B610" s="532">
        <v>41100338</v>
      </c>
      <c r="C610" s="532" t="s">
        <v>1591</v>
      </c>
      <c r="D610" s="532" t="s">
        <v>6617</v>
      </c>
      <c r="E610" s="532" t="s">
        <v>1585</v>
      </c>
      <c r="F610" s="532" t="s">
        <v>2391</v>
      </c>
      <c r="G610" s="532" t="s">
        <v>2392</v>
      </c>
      <c r="H610" s="532" t="s">
        <v>2392</v>
      </c>
      <c r="I610" s="535"/>
      <c r="J610" s="535"/>
      <c r="K610" s="535"/>
      <c r="L610" s="535"/>
      <c r="M610" s="535"/>
      <c r="N610" s="535"/>
      <c r="O610" s="535"/>
      <c r="P610" s="535"/>
      <c r="Q610" s="535"/>
      <c r="R610" s="535"/>
      <c r="S610" s="535"/>
      <c r="T610" s="535"/>
      <c r="U610" s="535"/>
      <c r="V610" s="535"/>
      <c r="W610" s="535"/>
      <c r="X610" s="535"/>
      <c r="Y610" s="536"/>
    </row>
    <row r="611" spans="1:25" ht="12.75">
      <c r="A611" s="532" t="s">
        <v>3397</v>
      </c>
      <c r="B611" s="532">
        <v>41200087</v>
      </c>
      <c r="C611" s="532" t="s">
        <v>1476</v>
      </c>
      <c r="D611" s="532" t="s">
        <v>1476</v>
      </c>
      <c r="E611" s="532" t="s">
        <v>1429</v>
      </c>
      <c r="F611" s="532" t="s">
        <v>2555</v>
      </c>
      <c r="G611" s="532" t="s">
        <v>2555</v>
      </c>
      <c r="H611" s="532" t="s">
        <v>2392</v>
      </c>
      <c r="I611" s="535"/>
      <c r="J611" s="535"/>
      <c r="K611" s="535"/>
      <c r="L611" s="535"/>
      <c r="M611" s="535"/>
      <c r="N611" s="535"/>
      <c r="O611" s="535"/>
      <c r="P611" s="535"/>
      <c r="Q611" s="535"/>
      <c r="R611" s="535"/>
      <c r="S611" s="535"/>
      <c r="T611" s="535"/>
      <c r="U611" s="535"/>
      <c r="V611" s="535"/>
      <c r="W611" s="535"/>
      <c r="X611" s="535"/>
      <c r="Y611" s="536"/>
    </row>
    <row r="612" spans="1:25" ht="12.75">
      <c r="A612" s="532" t="s">
        <v>3396</v>
      </c>
      <c r="B612" s="532">
        <v>41200087</v>
      </c>
      <c r="C612" s="532" t="s">
        <v>1476</v>
      </c>
      <c r="D612" s="532" t="s">
        <v>1476</v>
      </c>
      <c r="E612" s="532" t="s">
        <v>1429</v>
      </c>
      <c r="F612" s="532" t="s">
        <v>2555</v>
      </c>
      <c r="G612" s="532" t="s">
        <v>2555</v>
      </c>
      <c r="H612" s="532" t="s">
        <v>2392</v>
      </c>
      <c r="I612" s="535"/>
      <c r="J612" s="535"/>
      <c r="K612" s="535"/>
      <c r="L612" s="535"/>
      <c r="M612" s="535"/>
      <c r="N612" s="535"/>
      <c r="O612" s="535"/>
      <c r="P612" s="535"/>
      <c r="Q612" s="535"/>
      <c r="R612" s="535"/>
      <c r="S612" s="535"/>
      <c r="T612" s="535"/>
      <c r="U612" s="535"/>
      <c r="V612" s="535"/>
      <c r="W612" s="535"/>
      <c r="X612" s="535"/>
      <c r="Y612" s="536"/>
    </row>
    <row r="613" spans="1:25" ht="12.75">
      <c r="A613" s="532" t="s">
        <v>3363</v>
      </c>
      <c r="B613" s="532">
        <v>41200173</v>
      </c>
      <c r="C613" s="532" t="s">
        <v>1591</v>
      </c>
      <c r="D613" s="532" t="s">
        <v>1405</v>
      </c>
      <c r="E613" s="532" t="s">
        <v>1405</v>
      </c>
      <c r="F613" s="532" t="s">
        <v>2395</v>
      </c>
      <c r="G613" s="532" t="s">
        <v>1469</v>
      </c>
      <c r="H613" s="532" t="s">
        <v>2392</v>
      </c>
      <c r="I613" s="535"/>
      <c r="J613" s="535"/>
      <c r="K613" s="535"/>
      <c r="L613" s="535"/>
      <c r="M613" s="535"/>
      <c r="N613" s="535"/>
      <c r="O613" s="535"/>
      <c r="P613" s="535"/>
      <c r="Q613" s="535"/>
      <c r="R613" s="535"/>
      <c r="S613" s="535"/>
      <c r="T613" s="535"/>
      <c r="U613" s="535"/>
      <c r="V613" s="535"/>
      <c r="W613" s="535"/>
      <c r="X613" s="535"/>
      <c r="Y613" s="536"/>
    </row>
    <row r="614" spans="1:25" ht="12.75">
      <c r="A614" s="532" t="s">
        <v>3362</v>
      </c>
      <c r="B614" s="532">
        <v>41200173</v>
      </c>
      <c r="C614" s="532" t="s">
        <v>1591</v>
      </c>
      <c r="D614" s="532" t="s">
        <v>1405</v>
      </c>
      <c r="E614" s="532" t="s">
        <v>1405</v>
      </c>
      <c r="F614" s="532" t="s">
        <v>2395</v>
      </c>
      <c r="G614" s="532" t="s">
        <v>1469</v>
      </c>
      <c r="H614" s="532" t="s">
        <v>2392</v>
      </c>
      <c r="I614" s="535"/>
      <c r="J614" s="535"/>
      <c r="K614" s="535"/>
      <c r="L614" s="535"/>
      <c r="M614" s="535"/>
      <c r="N614" s="535"/>
      <c r="O614" s="535"/>
      <c r="P614" s="535"/>
      <c r="Q614" s="535"/>
      <c r="R614" s="535"/>
      <c r="S614" s="535"/>
      <c r="T614" s="535"/>
      <c r="U614" s="535"/>
      <c r="V614" s="535"/>
      <c r="W614" s="535"/>
      <c r="X614" s="535"/>
      <c r="Y614" s="536"/>
    </row>
    <row r="615" spans="1:25" ht="12.75">
      <c r="A615" s="532" t="s">
        <v>3350</v>
      </c>
      <c r="B615" s="532">
        <v>41100584</v>
      </c>
      <c r="C615" s="532" t="s">
        <v>1591</v>
      </c>
      <c r="D615" s="532" t="s">
        <v>6635</v>
      </c>
      <c r="E615" s="532" t="s">
        <v>1422</v>
      </c>
      <c r="F615" s="532" t="s">
        <v>2391</v>
      </c>
      <c r="G615" s="532" t="s">
        <v>1468</v>
      </c>
      <c r="H615" s="532" t="s">
        <v>2392</v>
      </c>
      <c r="I615" s="535"/>
      <c r="J615" s="535"/>
      <c r="K615" s="535"/>
      <c r="L615" s="535"/>
      <c r="M615" s="535"/>
      <c r="N615" s="535"/>
      <c r="O615" s="535"/>
      <c r="P615" s="535"/>
      <c r="Q615" s="535"/>
      <c r="R615" s="535"/>
      <c r="S615" s="535"/>
      <c r="T615" s="535"/>
      <c r="U615" s="535"/>
      <c r="V615" s="535"/>
      <c r="W615" s="535"/>
      <c r="X615" s="535"/>
      <c r="Y615" s="536"/>
    </row>
    <row r="616" spans="1:25" ht="12.75">
      <c r="A616" s="532" t="s">
        <v>3357</v>
      </c>
      <c r="B616" s="532">
        <v>41200005</v>
      </c>
      <c r="C616" s="532" t="s">
        <v>1591</v>
      </c>
      <c r="D616" s="532" t="s">
        <v>1591</v>
      </c>
      <c r="E616" s="532" t="s">
        <v>1405</v>
      </c>
      <c r="F616" s="532" t="s">
        <v>2391</v>
      </c>
      <c r="G616" s="532" t="s">
        <v>2392</v>
      </c>
      <c r="H616" s="532" t="s">
        <v>2392</v>
      </c>
      <c r="I616" s="535"/>
      <c r="J616" s="535"/>
      <c r="K616" s="535"/>
      <c r="L616" s="535"/>
      <c r="M616" s="535"/>
      <c r="N616" s="535"/>
      <c r="O616" s="535"/>
      <c r="P616" s="535"/>
      <c r="Q616" s="535"/>
      <c r="R616" s="535"/>
      <c r="S616" s="535"/>
      <c r="T616" s="535"/>
      <c r="U616" s="535"/>
      <c r="V616" s="535"/>
      <c r="W616" s="535"/>
      <c r="X616" s="535"/>
      <c r="Y616" s="536"/>
    </row>
    <row r="617" spans="1:25" ht="12.75">
      <c r="A617" s="532" t="s">
        <v>3355</v>
      </c>
      <c r="B617" s="532">
        <v>41200005</v>
      </c>
      <c r="C617" s="532" t="s">
        <v>1591</v>
      </c>
      <c r="D617" s="532" t="s">
        <v>1591</v>
      </c>
      <c r="E617" s="532" t="s">
        <v>1405</v>
      </c>
      <c r="F617" s="532" t="s">
        <v>2391</v>
      </c>
      <c r="G617" s="532" t="s">
        <v>2392</v>
      </c>
      <c r="H617" s="532" t="s">
        <v>2392</v>
      </c>
      <c r="I617" s="535"/>
      <c r="J617" s="535"/>
      <c r="K617" s="535"/>
      <c r="L617" s="535"/>
      <c r="M617" s="535"/>
      <c r="N617" s="535"/>
      <c r="O617" s="535"/>
      <c r="P617" s="535"/>
      <c r="Q617" s="535"/>
      <c r="R617" s="535"/>
      <c r="S617" s="535"/>
      <c r="T617" s="535"/>
      <c r="U617" s="535"/>
      <c r="V617" s="535"/>
      <c r="W617" s="535"/>
      <c r="X617" s="535"/>
      <c r="Y617" s="536"/>
    </row>
    <row r="618" spans="1:25" ht="12.75">
      <c r="A618" s="532" t="s">
        <v>3379</v>
      </c>
      <c r="B618" s="532">
        <v>41200109</v>
      </c>
      <c r="C618" s="532" t="s">
        <v>1591</v>
      </c>
      <c r="D618" s="532" t="s">
        <v>6619</v>
      </c>
      <c r="E618" s="532" t="s">
        <v>1585</v>
      </c>
      <c r="F618" s="532" t="s">
        <v>2391</v>
      </c>
      <c r="G618" s="532" t="s">
        <v>1468</v>
      </c>
      <c r="H618" s="532" t="s">
        <v>2392</v>
      </c>
      <c r="I618" s="535"/>
      <c r="J618" s="535"/>
      <c r="K618" s="535"/>
      <c r="L618" s="535"/>
      <c r="M618" s="535"/>
      <c r="N618" s="535"/>
      <c r="O618" s="535"/>
      <c r="P618" s="535"/>
      <c r="Q618" s="535"/>
      <c r="R618" s="535"/>
      <c r="S618" s="535"/>
      <c r="T618" s="535"/>
      <c r="U618" s="535"/>
      <c r="V618" s="535"/>
      <c r="W618" s="535"/>
      <c r="X618" s="535"/>
      <c r="Y618" s="536"/>
    </row>
    <row r="619" spans="1:25" ht="12.75">
      <c r="A619" s="532" t="s">
        <v>3378</v>
      </c>
      <c r="B619" s="532">
        <v>41200109</v>
      </c>
      <c r="C619" s="532" t="s">
        <v>1591</v>
      </c>
      <c r="D619" s="532" t="s">
        <v>6619</v>
      </c>
      <c r="E619" s="532" t="s">
        <v>1585</v>
      </c>
      <c r="F619" s="532" t="s">
        <v>2391</v>
      </c>
      <c r="G619" s="532" t="s">
        <v>1468</v>
      </c>
      <c r="H619" s="532" t="s">
        <v>2392</v>
      </c>
      <c r="I619" s="535"/>
      <c r="J619" s="535"/>
      <c r="K619" s="535"/>
      <c r="L619" s="535"/>
      <c r="M619" s="535"/>
      <c r="N619" s="535"/>
      <c r="O619" s="535"/>
      <c r="P619" s="535"/>
      <c r="Q619" s="535"/>
      <c r="R619" s="535"/>
      <c r="S619" s="535"/>
      <c r="T619" s="535"/>
      <c r="U619" s="535"/>
      <c r="V619" s="535"/>
      <c r="W619" s="535"/>
      <c r="X619" s="535"/>
      <c r="Y619" s="536"/>
    </row>
    <row r="620" spans="1:25" ht="12.75">
      <c r="A620" s="532" t="s">
        <v>3356</v>
      </c>
      <c r="B620" s="532">
        <v>41200181</v>
      </c>
      <c r="C620" s="532" t="s">
        <v>1581</v>
      </c>
      <c r="D620" s="532" t="s">
        <v>6665</v>
      </c>
      <c r="E620" s="532" t="s">
        <v>1405</v>
      </c>
      <c r="F620" s="532" t="s">
        <v>2392</v>
      </c>
      <c r="G620" s="532" t="s">
        <v>2392</v>
      </c>
      <c r="H620" s="533"/>
      <c r="I620" s="535"/>
      <c r="J620" s="535"/>
      <c r="K620" s="535"/>
      <c r="L620" s="535"/>
      <c r="M620" s="535"/>
      <c r="N620" s="535"/>
      <c r="O620" s="535"/>
      <c r="P620" s="535"/>
      <c r="Q620" s="535"/>
      <c r="R620" s="535"/>
      <c r="S620" s="535"/>
      <c r="T620" s="535"/>
      <c r="U620" s="535"/>
      <c r="V620" s="535"/>
      <c r="W620" s="535"/>
      <c r="X620" s="535"/>
      <c r="Y620" s="536"/>
    </row>
    <row r="621" spans="1:25" ht="12.75">
      <c r="A621" s="532" t="s">
        <v>3354</v>
      </c>
      <c r="B621" s="532">
        <v>41200088</v>
      </c>
      <c r="C621" s="532" t="s">
        <v>1476</v>
      </c>
      <c r="D621" s="532" t="s">
        <v>1476</v>
      </c>
      <c r="E621" s="532" t="s">
        <v>1422</v>
      </c>
      <c r="F621" s="532" t="s">
        <v>2391</v>
      </c>
      <c r="G621" s="532" t="s">
        <v>2392</v>
      </c>
      <c r="H621" s="532" t="s">
        <v>2392</v>
      </c>
      <c r="I621" s="535"/>
      <c r="J621" s="535"/>
      <c r="K621" s="535"/>
      <c r="L621" s="535"/>
      <c r="M621" s="535"/>
      <c r="N621" s="535"/>
      <c r="O621" s="535"/>
      <c r="P621" s="535"/>
      <c r="Q621" s="535"/>
      <c r="R621" s="535"/>
      <c r="S621" s="535"/>
      <c r="T621" s="535"/>
      <c r="U621" s="535"/>
      <c r="V621" s="535"/>
      <c r="W621" s="535"/>
      <c r="X621" s="535"/>
      <c r="Y621" s="536"/>
    </row>
    <row r="622" spans="1:25" ht="12.75">
      <c r="A622" s="532" t="s">
        <v>3347</v>
      </c>
      <c r="B622" s="532">
        <v>41200006</v>
      </c>
      <c r="C622" s="532" t="s">
        <v>1477</v>
      </c>
      <c r="D622" s="532" t="s">
        <v>6640</v>
      </c>
      <c r="E622" s="532" t="s">
        <v>1405</v>
      </c>
      <c r="F622" s="532" t="s">
        <v>2391</v>
      </c>
      <c r="G622" s="532" t="s">
        <v>2392</v>
      </c>
      <c r="H622" s="532" t="s">
        <v>2392</v>
      </c>
      <c r="I622" s="535"/>
      <c r="J622" s="535"/>
      <c r="K622" s="535"/>
      <c r="L622" s="535"/>
      <c r="M622" s="535"/>
      <c r="N622" s="535"/>
      <c r="O622" s="535"/>
      <c r="P622" s="535"/>
      <c r="Q622" s="535"/>
      <c r="R622" s="535"/>
      <c r="S622" s="535"/>
      <c r="T622" s="535"/>
      <c r="U622" s="535"/>
      <c r="V622" s="535"/>
      <c r="W622" s="535"/>
      <c r="X622" s="535"/>
      <c r="Y622" s="536"/>
    </row>
    <row r="623" spans="1:25" ht="12.75">
      <c r="A623" s="532" t="s">
        <v>3346</v>
      </c>
      <c r="B623" s="532">
        <v>41200006</v>
      </c>
      <c r="C623" s="532" t="s">
        <v>1477</v>
      </c>
      <c r="D623" s="532" t="s">
        <v>6640</v>
      </c>
      <c r="E623" s="532" t="s">
        <v>1405</v>
      </c>
      <c r="F623" s="532" t="s">
        <v>2391</v>
      </c>
      <c r="G623" s="532" t="s">
        <v>2392</v>
      </c>
      <c r="H623" s="532" t="s">
        <v>2392</v>
      </c>
      <c r="I623" s="535"/>
      <c r="J623" s="535"/>
      <c r="K623" s="535"/>
      <c r="L623" s="535"/>
      <c r="M623" s="535"/>
      <c r="N623" s="535"/>
      <c r="O623" s="535"/>
      <c r="P623" s="535"/>
      <c r="Q623" s="535"/>
      <c r="R623" s="535"/>
      <c r="S623" s="535"/>
      <c r="T623" s="535"/>
      <c r="U623" s="535"/>
      <c r="V623" s="535"/>
      <c r="W623" s="535"/>
      <c r="X623" s="535"/>
      <c r="Y623" s="536"/>
    </row>
    <row r="624" spans="1:25" ht="12.75">
      <c r="A624" s="532" t="s">
        <v>3342</v>
      </c>
      <c r="B624" s="532">
        <v>41100696</v>
      </c>
      <c r="C624" s="532" t="s">
        <v>1911</v>
      </c>
      <c r="D624" s="532" t="s">
        <v>6634</v>
      </c>
      <c r="E624" s="532" t="s">
        <v>1433</v>
      </c>
      <c r="F624" s="532" t="s">
        <v>2392</v>
      </c>
      <c r="G624" s="532" t="s">
        <v>2392</v>
      </c>
      <c r="H624" s="533"/>
      <c r="I624" s="535"/>
      <c r="J624" s="535"/>
      <c r="K624" s="535"/>
      <c r="L624" s="535"/>
      <c r="M624" s="535"/>
      <c r="N624" s="535"/>
      <c r="O624" s="535"/>
      <c r="P624" s="535"/>
      <c r="Q624" s="535"/>
      <c r="R624" s="535"/>
      <c r="S624" s="535"/>
      <c r="T624" s="535"/>
      <c r="U624" s="535"/>
      <c r="V624" s="535"/>
      <c r="W624" s="535"/>
      <c r="X624" s="535"/>
      <c r="Y624" s="536"/>
    </row>
    <row r="625" spans="1:25" ht="12.75">
      <c r="A625" s="532" t="s">
        <v>3340</v>
      </c>
      <c r="B625" s="532">
        <v>41100696</v>
      </c>
      <c r="C625" s="532" t="s">
        <v>1911</v>
      </c>
      <c r="D625" s="532" t="s">
        <v>6634</v>
      </c>
      <c r="E625" s="532" t="s">
        <v>1433</v>
      </c>
      <c r="F625" s="532" t="s">
        <v>2392</v>
      </c>
      <c r="G625" s="532" t="s">
        <v>2392</v>
      </c>
      <c r="H625" s="533"/>
      <c r="I625" s="535"/>
      <c r="J625" s="535"/>
      <c r="K625" s="535"/>
      <c r="L625" s="535"/>
      <c r="M625" s="535"/>
      <c r="N625" s="535"/>
      <c r="O625" s="535"/>
      <c r="P625" s="535"/>
      <c r="Q625" s="535"/>
      <c r="R625" s="535"/>
      <c r="S625" s="535"/>
      <c r="T625" s="535"/>
      <c r="U625" s="535"/>
      <c r="V625" s="535"/>
      <c r="W625" s="535"/>
      <c r="X625" s="535"/>
      <c r="Y625" s="536"/>
    </row>
    <row r="626" spans="1:25" ht="12.75">
      <c r="A626" s="532" t="s">
        <v>3336</v>
      </c>
      <c r="B626" s="532">
        <v>41100321</v>
      </c>
      <c r="C626" s="532" t="s">
        <v>1476</v>
      </c>
      <c r="D626" s="532" t="s">
        <v>6610</v>
      </c>
      <c r="E626" s="532" t="s">
        <v>1422</v>
      </c>
      <c r="F626" s="532" t="s">
        <v>2391</v>
      </c>
      <c r="G626" s="532" t="s">
        <v>1468</v>
      </c>
      <c r="H626" s="532" t="s">
        <v>2392</v>
      </c>
      <c r="I626" s="535"/>
      <c r="J626" s="535"/>
      <c r="K626" s="535"/>
      <c r="L626" s="535"/>
      <c r="M626" s="535"/>
      <c r="N626" s="535"/>
      <c r="O626" s="535"/>
      <c r="P626" s="535"/>
      <c r="Q626" s="535"/>
      <c r="R626" s="535"/>
      <c r="S626" s="535"/>
      <c r="T626" s="535"/>
      <c r="U626" s="535"/>
      <c r="V626" s="535"/>
      <c r="W626" s="535"/>
      <c r="X626" s="535"/>
      <c r="Y626" s="536"/>
    </row>
    <row r="627" spans="1:25" ht="12.75">
      <c r="A627" s="532" t="s">
        <v>3335</v>
      </c>
      <c r="B627" s="532">
        <v>41100321</v>
      </c>
      <c r="C627" s="532" t="s">
        <v>1476</v>
      </c>
      <c r="D627" s="532" t="s">
        <v>6610</v>
      </c>
      <c r="E627" s="532" t="s">
        <v>1422</v>
      </c>
      <c r="F627" s="532" t="s">
        <v>2391</v>
      </c>
      <c r="G627" s="532" t="s">
        <v>1468</v>
      </c>
      <c r="H627" s="532" t="s">
        <v>2392</v>
      </c>
      <c r="I627" s="535"/>
      <c r="J627" s="535"/>
      <c r="K627" s="535"/>
      <c r="L627" s="535"/>
      <c r="M627" s="535"/>
      <c r="N627" s="535"/>
      <c r="O627" s="535"/>
      <c r="P627" s="535"/>
      <c r="Q627" s="535"/>
      <c r="R627" s="535"/>
      <c r="S627" s="535"/>
      <c r="T627" s="535"/>
      <c r="U627" s="535"/>
      <c r="V627" s="535"/>
      <c r="W627" s="535"/>
      <c r="X627" s="535"/>
      <c r="Y627" s="536"/>
    </row>
    <row r="628" spans="1:25" ht="12.75">
      <c r="A628" s="532" t="s">
        <v>3345</v>
      </c>
      <c r="B628" s="532">
        <v>41100321</v>
      </c>
      <c r="C628" s="532" t="s">
        <v>1476</v>
      </c>
      <c r="D628" s="532" t="s">
        <v>6610</v>
      </c>
      <c r="E628" s="532" t="s">
        <v>1422</v>
      </c>
      <c r="F628" s="532" t="s">
        <v>2395</v>
      </c>
      <c r="G628" s="532" t="s">
        <v>1469</v>
      </c>
      <c r="H628" s="532" t="s">
        <v>2392</v>
      </c>
      <c r="I628" s="535"/>
      <c r="J628" s="535"/>
      <c r="K628" s="535"/>
      <c r="L628" s="535"/>
      <c r="M628" s="535"/>
      <c r="N628" s="535"/>
      <c r="O628" s="535"/>
      <c r="P628" s="535"/>
      <c r="Q628" s="535"/>
      <c r="R628" s="535"/>
      <c r="S628" s="535"/>
      <c r="T628" s="535"/>
      <c r="U628" s="535"/>
      <c r="V628" s="535"/>
      <c r="W628" s="535"/>
      <c r="X628" s="535"/>
      <c r="Y628" s="536"/>
    </row>
    <row r="629" spans="1:25" ht="12.75">
      <c r="A629" s="532" t="s">
        <v>3344</v>
      </c>
      <c r="B629" s="532">
        <v>41100321</v>
      </c>
      <c r="C629" s="532" t="s">
        <v>1476</v>
      </c>
      <c r="D629" s="532" t="s">
        <v>6610</v>
      </c>
      <c r="E629" s="532" t="s">
        <v>1422</v>
      </c>
      <c r="F629" s="532" t="s">
        <v>2395</v>
      </c>
      <c r="G629" s="532" t="s">
        <v>1469</v>
      </c>
      <c r="H629" s="532" t="s">
        <v>2392</v>
      </c>
      <c r="I629" s="535"/>
      <c r="J629" s="535"/>
      <c r="K629" s="535"/>
      <c r="L629" s="535"/>
      <c r="M629" s="535"/>
      <c r="N629" s="535"/>
      <c r="O629" s="535"/>
      <c r="P629" s="535"/>
      <c r="Q629" s="535"/>
      <c r="R629" s="535"/>
      <c r="S629" s="535"/>
      <c r="T629" s="535"/>
      <c r="U629" s="535"/>
      <c r="V629" s="535"/>
      <c r="W629" s="535"/>
      <c r="X629" s="535"/>
      <c r="Y629" s="536"/>
    </row>
    <row r="630" spans="1:25" ht="12.75">
      <c r="A630" s="532" t="s">
        <v>3307</v>
      </c>
      <c r="B630" s="532">
        <v>41200152</v>
      </c>
      <c r="C630" s="532" t="s">
        <v>1476</v>
      </c>
      <c r="D630" s="532" t="s">
        <v>6618</v>
      </c>
      <c r="E630" s="532" t="s">
        <v>1585</v>
      </c>
      <c r="F630" s="532" t="s">
        <v>2395</v>
      </c>
      <c r="G630" s="532" t="s">
        <v>1469</v>
      </c>
      <c r="H630" s="532" t="s">
        <v>2392</v>
      </c>
      <c r="I630" s="535"/>
      <c r="J630" s="535"/>
      <c r="K630" s="535"/>
      <c r="L630" s="535"/>
      <c r="M630" s="535"/>
      <c r="N630" s="535"/>
      <c r="O630" s="535"/>
      <c r="P630" s="535"/>
      <c r="Q630" s="535"/>
      <c r="R630" s="535"/>
      <c r="S630" s="535"/>
      <c r="T630" s="535"/>
      <c r="U630" s="535"/>
      <c r="V630" s="535"/>
      <c r="W630" s="535"/>
      <c r="X630" s="535"/>
      <c r="Y630" s="536"/>
    </row>
    <row r="631" spans="1:25" ht="12.75">
      <c r="A631" s="532" t="s">
        <v>3300</v>
      </c>
      <c r="B631" s="532">
        <v>41200152</v>
      </c>
      <c r="C631" s="532" t="s">
        <v>1476</v>
      </c>
      <c r="D631" s="532" t="s">
        <v>6618</v>
      </c>
      <c r="E631" s="532" t="s">
        <v>1585</v>
      </c>
      <c r="F631" s="532" t="s">
        <v>2395</v>
      </c>
      <c r="G631" s="532" t="s">
        <v>1469</v>
      </c>
      <c r="H631" s="532" t="s">
        <v>2392</v>
      </c>
      <c r="I631" s="535"/>
      <c r="J631" s="535"/>
      <c r="K631" s="535"/>
      <c r="L631" s="535"/>
      <c r="M631" s="535"/>
      <c r="N631" s="535"/>
      <c r="O631" s="535"/>
      <c r="P631" s="535"/>
      <c r="Q631" s="535"/>
      <c r="R631" s="535"/>
      <c r="S631" s="535"/>
      <c r="T631" s="535"/>
      <c r="U631" s="535"/>
      <c r="V631" s="535"/>
      <c r="W631" s="535"/>
      <c r="X631" s="535"/>
      <c r="Y631" s="536"/>
    </row>
    <row r="632" spans="1:25" ht="12.75">
      <c r="A632" s="532" t="s">
        <v>3343</v>
      </c>
      <c r="B632" s="532">
        <v>41200125</v>
      </c>
      <c r="C632" s="532" t="s">
        <v>1476</v>
      </c>
      <c r="D632" s="532" t="s">
        <v>1476</v>
      </c>
      <c r="E632" s="532" t="s">
        <v>1585</v>
      </c>
      <c r="F632" s="532" t="s">
        <v>2391</v>
      </c>
      <c r="G632" s="532" t="s">
        <v>1468</v>
      </c>
      <c r="H632" s="532" t="s">
        <v>2392</v>
      </c>
      <c r="I632" s="535"/>
      <c r="J632" s="535"/>
      <c r="K632" s="535"/>
      <c r="L632" s="535"/>
      <c r="M632" s="535"/>
      <c r="N632" s="535"/>
      <c r="O632" s="535"/>
      <c r="P632" s="535"/>
      <c r="Q632" s="535"/>
      <c r="R632" s="535"/>
      <c r="S632" s="535"/>
      <c r="T632" s="535"/>
      <c r="U632" s="535"/>
      <c r="V632" s="535"/>
      <c r="W632" s="535"/>
      <c r="X632" s="535"/>
      <c r="Y632" s="536"/>
    </row>
    <row r="633" spans="1:25" ht="12.75">
      <c r="A633" s="532" t="s">
        <v>3339</v>
      </c>
      <c r="B633" s="532">
        <v>41200122</v>
      </c>
      <c r="C633" s="532" t="s">
        <v>1476</v>
      </c>
      <c r="D633" s="532" t="s">
        <v>1476</v>
      </c>
      <c r="E633" s="532" t="s">
        <v>1585</v>
      </c>
      <c r="F633" s="532" t="s">
        <v>2391</v>
      </c>
      <c r="G633" s="532" t="s">
        <v>2392</v>
      </c>
      <c r="H633" s="532" t="s">
        <v>2392</v>
      </c>
      <c r="I633" s="535"/>
      <c r="J633" s="535"/>
      <c r="K633" s="535"/>
      <c r="L633" s="535"/>
      <c r="M633" s="535"/>
      <c r="N633" s="535"/>
      <c r="O633" s="535"/>
      <c r="P633" s="535"/>
      <c r="Q633" s="535"/>
      <c r="R633" s="535"/>
      <c r="S633" s="535"/>
      <c r="T633" s="535"/>
      <c r="U633" s="535"/>
      <c r="V633" s="535"/>
      <c r="W633" s="535"/>
      <c r="X633" s="535"/>
      <c r="Y633" s="536"/>
    </row>
    <row r="634" spans="1:25" ht="12.75">
      <c r="A634" s="532" t="s">
        <v>6666</v>
      </c>
      <c r="B634" s="532" t="s">
        <v>6592</v>
      </c>
      <c r="C634" s="532" t="s">
        <v>6593</v>
      </c>
      <c r="D634" s="533"/>
      <c r="E634" s="532" t="s">
        <v>1405</v>
      </c>
      <c r="F634" s="532" t="s">
        <v>2392</v>
      </c>
      <c r="G634" s="532" t="s">
        <v>2392</v>
      </c>
      <c r="H634" s="532" t="s">
        <v>2392</v>
      </c>
      <c r="I634" s="535"/>
      <c r="J634" s="535"/>
      <c r="K634" s="535"/>
      <c r="L634" s="535"/>
      <c r="M634" s="535"/>
      <c r="N634" s="535"/>
      <c r="O634" s="535"/>
      <c r="P634" s="535"/>
      <c r="Q634" s="535"/>
      <c r="R634" s="535"/>
      <c r="S634" s="535"/>
      <c r="T634" s="535"/>
      <c r="U634" s="535"/>
      <c r="V634" s="535"/>
      <c r="W634" s="535"/>
      <c r="X634" s="535"/>
      <c r="Y634" s="536"/>
    </row>
    <row r="635" spans="1:25" ht="12.75">
      <c r="A635" s="532" t="s">
        <v>6667</v>
      </c>
      <c r="B635" s="532" t="s">
        <v>6592</v>
      </c>
      <c r="C635" s="532" t="s">
        <v>6593</v>
      </c>
      <c r="D635" s="533"/>
      <c r="E635" s="532" t="s">
        <v>1405</v>
      </c>
      <c r="F635" s="532" t="s">
        <v>2392</v>
      </c>
      <c r="G635" s="532" t="s">
        <v>2392</v>
      </c>
      <c r="H635" s="532" t="s">
        <v>2392</v>
      </c>
      <c r="I635" s="535"/>
      <c r="J635" s="535"/>
      <c r="K635" s="535"/>
      <c r="L635" s="535"/>
      <c r="M635" s="535"/>
      <c r="N635" s="535"/>
      <c r="O635" s="535"/>
      <c r="P635" s="535"/>
      <c r="Q635" s="535"/>
      <c r="R635" s="535"/>
      <c r="S635" s="535"/>
      <c r="T635" s="535"/>
      <c r="U635" s="535"/>
      <c r="V635" s="535"/>
      <c r="W635" s="535"/>
      <c r="X635" s="535"/>
      <c r="Y635" s="536"/>
    </row>
    <row r="636" spans="1:25" ht="12.75">
      <c r="A636" s="532" t="s">
        <v>6668</v>
      </c>
      <c r="B636" s="532" t="s">
        <v>6592</v>
      </c>
      <c r="C636" s="532" t="s">
        <v>6593</v>
      </c>
      <c r="D636" s="533"/>
      <c r="E636" s="532" t="s">
        <v>1405</v>
      </c>
      <c r="F636" s="532" t="s">
        <v>2392</v>
      </c>
      <c r="G636" s="532" t="s">
        <v>2392</v>
      </c>
      <c r="H636" s="532" t="s">
        <v>2392</v>
      </c>
      <c r="I636" s="535"/>
      <c r="J636" s="535"/>
      <c r="K636" s="535"/>
      <c r="L636" s="535"/>
      <c r="M636" s="535"/>
      <c r="N636" s="535"/>
      <c r="O636" s="535"/>
      <c r="P636" s="535"/>
      <c r="Q636" s="535"/>
      <c r="R636" s="535"/>
      <c r="S636" s="535"/>
      <c r="T636" s="535"/>
      <c r="U636" s="535"/>
      <c r="V636" s="535"/>
      <c r="W636" s="535"/>
      <c r="X636" s="535"/>
      <c r="Y636" s="536"/>
    </row>
    <row r="637" spans="1:25" ht="12.75">
      <c r="A637" s="532" t="s">
        <v>6669</v>
      </c>
      <c r="B637" s="532" t="s">
        <v>6592</v>
      </c>
      <c r="C637" s="532" t="s">
        <v>6593</v>
      </c>
      <c r="D637" s="533"/>
      <c r="E637" s="532" t="s">
        <v>1405</v>
      </c>
      <c r="F637" s="532" t="s">
        <v>2392</v>
      </c>
      <c r="G637" s="532" t="s">
        <v>2392</v>
      </c>
      <c r="H637" s="532" t="s">
        <v>2392</v>
      </c>
      <c r="I637" s="535"/>
      <c r="J637" s="535"/>
      <c r="K637" s="535"/>
      <c r="L637" s="535"/>
      <c r="M637" s="535"/>
      <c r="N637" s="535"/>
      <c r="O637" s="535"/>
      <c r="P637" s="535"/>
      <c r="Q637" s="535"/>
      <c r="R637" s="535"/>
      <c r="S637" s="535"/>
      <c r="T637" s="535"/>
      <c r="U637" s="535"/>
      <c r="V637" s="535"/>
      <c r="W637" s="535"/>
      <c r="X637" s="535"/>
      <c r="Y637" s="536"/>
    </row>
    <row r="638" spans="1:25" ht="12.75">
      <c r="A638" s="532" t="s">
        <v>6670</v>
      </c>
      <c r="B638" s="532" t="s">
        <v>6592</v>
      </c>
      <c r="C638" s="532" t="s">
        <v>6593</v>
      </c>
      <c r="D638" s="533"/>
      <c r="E638" s="532" t="s">
        <v>1405</v>
      </c>
      <c r="F638" s="532" t="s">
        <v>2392</v>
      </c>
      <c r="G638" s="532" t="s">
        <v>2392</v>
      </c>
      <c r="H638" s="532" t="s">
        <v>2392</v>
      </c>
      <c r="I638" s="535"/>
      <c r="J638" s="535"/>
      <c r="K638" s="535"/>
      <c r="L638" s="535"/>
      <c r="M638" s="535"/>
      <c r="N638" s="535"/>
      <c r="O638" s="535"/>
      <c r="P638" s="535"/>
      <c r="Q638" s="535"/>
      <c r="R638" s="535"/>
      <c r="S638" s="535"/>
      <c r="T638" s="535"/>
      <c r="U638" s="535"/>
      <c r="V638" s="535"/>
      <c r="W638" s="535"/>
      <c r="X638" s="535"/>
      <c r="Y638" s="536"/>
    </row>
    <row r="639" spans="1:25" ht="12.75">
      <c r="A639" s="532" t="s">
        <v>6671</v>
      </c>
      <c r="B639" s="532" t="s">
        <v>6592</v>
      </c>
      <c r="C639" s="532" t="s">
        <v>6593</v>
      </c>
      <c r="D639" s="533"/>
      <c r="E639" s="532" t="s">
        <v>1405</v>
      </c>
      <c r="F639" s="532" t="s">
        <v>2392</v>
      </c>
      <c r="G639" s="532" t="s">
        <v>2392</v>
      </c>
      <c r="H639" s="532" t="s">
        <v>2392</v>
      </c>
      <c r="I639" s="535"/>
      <c r="J639" s="535"/>
      <c r="K639" s="535"/>
      <c r="L639" s="535"/>
      <c r="M639" s="535"/>
      <c r="N639" s="535"/>
      <c r="O639" s="535"/>
      <c r="P639" s="535"/>
      <c r="Q639" s="535"/>
      <c r="R639" s="535"/>
      <c r="S639" s="535"/>
      <c r="T639" s="535"/>
      <c r="U639" s="535"/>
      <c r="V639" s="535"/>
      <c r="W639" s="535"/>
      <c r="X639" s="535"/>
      <c r="Y639" s="536"/>
    </row>
    <row r="640" spans="1:25" ht="12.75">
      <c r="A640" s="532" t="s">
        <v>6672</v>
      </c>
      <c r="B640" s="532" t="s">
        <v>6592</v>
      </c>
      <c r="C640" s="532" t="s">
        <v>6593</v>
      </c>
      <c r="D640" s="533"/>
      <c r="E640" s="532" t="s">
        <v>1405</v>
      </c>
      <c r="F640" s="532" t="s">
        <v>2392</v>
      </c>
      <c r="G640" s="532" t="s">
        <v>2392</v>
      </c>
      <c r="H640" s="532" t="s">
        <v>2392</v>
      </c>
      <c r="I640" s="535"/>
      <c r="J640" s="535"/>
      <c r="K640" s="535"/>
      <c r="L640" s="535"/>
      <c r="M640" s="535"/>
      <c r="N640" s="535"/>
      <c r="O640" s="535"/>
      <c r="P640" s="535"/>
      <c r="Q640" s="535"/>
      <c r="R640" s="535"/>
      <c r="S640" s="535"/>
      <c r="T640" s="535"/>
      <c r="U640" s="535"/>
      <c r="V640" s="535"/>
      <c r="W640" s="535"/>
      <c r="X640" s="535"/>
      <c r="Y640" s="536"/>
    </row>
    <row r="641" spans="1:25" ht="12.75">
      <c r="A641" s="532" t="s">
        <v>6673</v>
      </c>
      <c r="B641" s="532" t="s">
        <v>6592</v>
      </c>
      <c r="C641" s="532" t="s">
        <v>6593</v>
      </c>
      <c r="D641" s="533"/>
      <c r="E641" s="532" t="s">
        <v>1405</v>
      </c>
      <c r="F641" s="532" t="s">
        <v>2392</v>
      </c>
      <c r="G641" s="532" t="s">
        <v>2392</v>
      </c>
      <c r="H641" s="532" t="s">
        <v>2392</v>
      </c>
      <c r="I641" s="535"/>
      <c r="J641" s="535"/>
      <c r="K641" s="535"/>
      <c r="L641" s="535"/>
      <c r="M641" s="535"/>
      <c r="N641" s="535"/>
      <c r="O641" s="535"/>
      <c r="P641" s="535"/>
      <c r="Q641" s="535"/>
      <c r="R641" s="535"/>
      <c r="S641" s="535"/>
      <c r="T641" s="535"/>
      <c r="U641" s="535"/>
      <c r="V641" s="535"/>
      <c r="W641" s="535"/>
      <c r="X641" s="535"/>
      <c r="Y641" s="536"/>
    </row>
    <row r="642" spans="1:25" ht="12.75">
      <c r="A642" s="532" t="s">
        <v>6674</v>
      </c>
      <c r="B642" s="532" t="s">
        <v>6592</v>
      </c>
      <c r="C642" s="532" t="s">
        <v>6593</v>
      </c>
      <c r="D642" s="533"/>
      <c r="E642" s="532" t="s">
        <v>1405</v>
      </c>
      <c r="F642" s="532" t="s">
        <v>2392</v>
      </c>
      <c r="G642" s="532" t="s">
        <v>2392</v>
      </c>
      <c r="H642" s="532" t="s">
        <v>2392</v>
      </c>
      <c r="I642" s="535"/>
      <c r="J642" s="535"/>
      <c r="K642" s="535"/>
      <c r="L642" s="535"/>
      <c r="M642" s="535"/>
      <c r="N642" s="535"/>
      <c r="O642" s="535"/>
      <c r="P642" s="535"/>
      <c r="Q642" s="535"/>
      <c r="R642" s="535"/>
      <c r="S642" s="535"/>
      <c r="T642" s="535"/>
      <c r="U642" s="535"/>
      <c r="V642" s="535"/>
      <c r="W642" s="535"/>
      <c r="X642" s="535"/>
      <c r="Y642" s="536"/>
    </row>
    <row r="643" spans="1:25" ht="12.75">
      <c r="A643" s="532" t="s">
        <v>6675</v>
      </c>
      <c r="B643" s="532" t="s">
        <v>6592</v>
      </c>
      <c r="C643" s="532" t="s">
        <v>6593</v>
      </c>
      <c r="D643" s="533"/>
      <c r="E643" s="532" t="s">
        <v>1405</v>
      </c>
      <c r="F643" s="532" t="s">
        <v>2392</v>
      </c>
      <c r="G643" s="532" t="s">
        <v>2392</v>
      </c>
      <c r="H643" s="532" t="s">
        <v>2392</v>
      </c>
      <c r="I643" s="535"/>
      <c r="J643" s="535"/>
      <c r="K643" s="535"/>
      <c r="L643" s="535"/>
      <c r="M643" s="535"/>
      <c r="N643" s="535"/>
      <c r="O643" s="535"/>
      <c r="P643" s="535"/>
      <c r="Q643" s="535"/>
      <c r="R643" s="535"/>
      <c r="S643" s="535"/>
      <c r="T643" s="535"/>
      <c r="U643" s="535"/>
      <c r="V643" s="535"/>
      <c r="W643" s="535"/>
      <c r="X643" s="535"/>
      <c r="Y643" s="536"/>
    </row>
    <row r="644" spans="1:25" ht="12.75">
      <c r="A644" s="532" t="s">
        <v>3332</v>
      </c>
      <c r="B644" s="532">
        <v>41200076</v>
      </c>
      <c r="C644" s="532" t="s">
        <v>1476</v>
      </c>
      <c r="D644" s="532" t="s">
        <v>1476</v>
      </c>
      <c r="E644" s="532" t="s">
        <v>1585</v>
      </c>
      <c r="F644" s="532" t="s">
        <v>2395</v>
      </c>
      <c r="G644" s="532" t="s">
        <v>1469</v>
      </c>
      <c r="H644" s="532" t="s">
        <v>2392</v>
      </c>
      <c r="I644" s="535"/>
      <c r="J644" s="535"/>
      <c r="K644" s="535"/>
      <c r="L644" s="535"/>
      <c r="M644" s="535"/>
      <c r="N644" s="535"/>
      <c r="O644" s="535"/>
      <c r="P644" s="535"/>
      <c r="Q644" s="535"/>
      <c r="R644" s="535"/>
      <c r="S644" s="535"/>
      <c r="T644" s="535"/>
      <c r="U644" s="535"/>
      <c r="V644" s="535"/>
      <c r="W644" s="535"/>
      <c r="X644" s="535"/>
      <c r="Y644" s="536"/>
    </row>
    <row r="645" spans="1:25" ht="12.75">
      <c r="A645" s="532" t="s">
        <v>3331</v>
      </c>
      <c r="B645" s="532">
        <v>41200124</v>
      </c>
      <c r="C645" s="532" t="s">
        <v>1476</v>
      </c>
      <c r="D645" s="532" t="s">
        <v>6609</v>
      </c>
      <c r="E645" s="532" t="s">
        <v>1585</v>
      </c>
      <c r="F645" s="532" t="s">
        <v>2391</v>
      </c>
      <c r="G645" s="532" t="s">
        <v>2392</v>
      </c>
      <c r="H645" s="532" t="s">
        <v>2392</v>
      </c>
      <c r="I645" s="535"/>
      <c r="J645" s="535"/>
      <c r="K645" s="535"/>
      <c r="L645" s="535"/>
      <c r="M645" s="535"/>
      <c r="N645" s="535"/>
      <c r="O645" s="535"/>
      <c r="P645" s="535"/>
      <c r="Q645" s="535"/>
      <c r="R645" s="535"/>
      <c r="S645" s="535"/>
      <c r="T645" s="535"/>
      <c r="U645" s="535"/>
      <c r="V645" s="535"/>
      <c r="W645" s="535"/>
      <c r="X645" s="535"/>
      <c r="Y645" s="536"/>
    </row>
    <row r="646" spans="1:25" ht="12.75">
      <c r="A646" s="532" t="s">
        <v>3330</v>
      </c>
      <c r="B646" s="532">
        <v>41200124</v>
      </c>
      <c r="C646" s="532" t="s">
        <v>1476</v>
      </c>
      <c r="D646" s="532" t="s">
        <v>6609</v>
      </c>
      <c r="E646" s="532" t="s">
        <v>1585</v>
      </c>
      <c r="F646" s="532" t="s">
        <v>2391</v>
      </c>
      <c r="G646" s="532" t="s">
        <v>2392</v>
      </c>
      <c r="H646" s="532" t="s">
        <v>2392</v>
      </c>
      <c r="I646" s="535"/>
      <c r="J646" s="535"/>
      <c r="K646" s="535"/>
      <c r="L646" s="535"/>
      <c r="M646" s="535"/>
      <c r="N646" s="535"/>
      <c r="O646" s="535"/>
      <c r="P646" s="535"/>
      <c r="Q646" s="535"/>
      <c r="R646" s="535"/>
      <c r="S646" s="535"/>
      <c r="T646" s="535"/>
      <c r="U646" s="535"/>
      <c r="V646" s="535"/>
      <c r="W646" s="535"/>
      <c r="X646" s="535"/>
      <c r="Y646" s="536"/>
    </row>
    <row r="647" spans="1:25" ht="12.75">
      <c r="A647" s="532" t="s">
        <v>3318</v>
      </c>
      <c r="B647" s="532">
        <v>41100435</v>
      </c>
      <c r="C647" s="532" t="s">
        <v>3801</v>
      </c>
      <c r="D647" s="532" t="s">
        <v>1482</v>
      </c>
      <c r="E647" s="532" t="s">
        <v>1585</v>
      </c>
      <c r="F647" s="532" t="s">
        <v>2391</v>
      </c>
      <c r="G647" s="532" t="s">
        <v>1468</v>
      </c>
      <c r="H647" s="533"/>
      <c r="I647" s="535"/>
      <c r="J647" s="535"/>
      <c r="K647" s="535"/>
      <c r="L647" s="535"/>
      <c r="M647" s="535"/>
      <c r="N647" s="535"/>
      <c r="O647" s="535"/>
      <c r="P647" s="535"/>
      <c r="Q647" s="535"/>
      <c r="R647" s="535"/>
      <c r="S647" s="535"/>
      <c r="T647" s="535"/>
      <c r="U647" s="535"/>
      <c r="V647" s="535"/>
      <c r="W647" s="535"/>
      <c r="X647" s="535"/>
      <c r="Y647" s="536"/>
    </row>
    <row r="648" spans="1:25" ht="12.75">
      <c r="A648" s="532" t="s">
        <v>3353</v>
      </c>
      <c r="B648" s="532">
        <v>41200007</v>
      </c>
      <c r="C648" s="532" t="s">
        <v>1591</v>
      </c>
      <c r="D648" s="532" t="s">
        <v>6608</v>
      </c>
      <c r="E648" s="532" t="s">
        <v>1405</v>
      </c>
      <c r="F648" s="532" t="s">
        <v>2395</v>
      </c>
      <c r="G648" s="532" t="s">
        <v>1469</v>
      </c>
      <c r="H648" s="532" t="s">
        <v>2392</v>
      </c>
      <c r="I648" s="535"/>
      <c r="J648" s="535"/>
      <c r="K648" s="535"/>
      <c r="L648" s="535"/>
      <c r="M648" s="535"/>
      <c r="N648" s="535"/>
      <c r="O648" s="535"/>
      <c r="P648" s="535"/>
      <c r="Q648" s="535"/>
      <c r="R648" s="535"/>
      <c r="S648" s="535"/>
      <c r="T648" s="535"/>
      <c r="U648" s="535"/>
      <c r="V648" s="535"/>
      <c r="W648" s="535"/>
      <c r="X648" s="535"/>
      <c r="Y648" s="536"/>
    </row>
    <row r="649" spans="1:25" ht="12.75">
      <c r="A649" s="532" t="s">
        <v>3352</v>
      </c>
      <c r="B649" s="532">
        <v>41200007</v>
      </c>
      <c r="C649" s="532" t="s">
        <v>1591</v>
      </c>
      <c r="D649" s="532" t="s">
        <v>6608</v>
      </c>
      <c r="E649" s="532" t="s">
        <v>1405</v>
      </c>
      <c r="F649" s="532" t="s">
        <v>2395</v>
      </c>
      <c r="G649" s="532" t="s">
        <v>1469</v>
      </c>
      <c r="H649" s="532" t="s">
        <v>2392</v>
      </c>
      <c r="I649" s="535"/>
      <c r="J649" s="535"/>
      <c r="K649" s="535"/>
      <c r="L649" s="535"/>
      <c r="M649" s="535"/>
      <c r="N649" s="535"/>
      <c r="O649" s="535"/>
      <c r="P649" s="535"/>
      <c r="Q649" s="535"/>
      <c r="R649" s="535"/>
      <c r="S649" s="535"/>
      <c r="T649" s="535"/>
      <c r="U649" s="535"/>
      <c r="V649" s="535"/>
      <c r="W649" s="535"/>
      <c r="X649" s="535"/>
      <c r="Y649" s="536"/>
    </row>
    <row r="650" spans="1:25" ht="12.75">
      <c r="A650" s="532" t="s">
        <v>3328</v>
      </c>
      <c r="B650" s="532">
        <v>41200158</v>
      </c>
      <c r="C650" s="532" t="s">
        <v>1480</v>
      </c>
      <c r="D650" s="532" t="s">
        <v>1480</v>
      </c>
      <c r="E650" s="532" t="s">
        <v>1405</v>
      </c>
      <c r="F650" s="532" t="s">
        <v>2395</v>
      </c>
      <c r="G650" s="532" t="s">
        <v>1469</v>
      </c>
      <c r="H650" s="532" t="s">
        <v>2392</v>
      </c>
      <c r="I650" s="535"/>
      <c r="J650" s="535"/>
      <c r="K650" s="535"/>
      <c r="L650" s="535"/>
      <c r="M650" s="535"/>
      <c r="N650" s="535"/>
      <c r="O650" s="535"/>
      <c r="P650" s="535"/>
      <c r="Q650" s="535"/>
      <c r="R650" s="535"/>
      <c r="S650" s="535"/>
      <c r="T650" s="535"/>
      <c r="U650" s="535"/>
      <c r="V650" s="535"/>
      <c r="W650" s="535"/>
      <c r="X650" s="535"/>
      <c r="Y650" s="536"/>
    </row>
    <row r="651" spans="1:25" ht="12.75">
      <c r="A651" s="532" t="s">
        <v>3327</v>
      </c>
      <c r="B651" s="532">
        <v>41200158</v>
      </c>
      <c r="C651" s="532" t="s">
        <v>1480</v>
      </c>
      <c r="D651" s="532" t="s">
        <v>1480</v>
      </c>
      <c r="E651" s="532" t="s">
        <v>1405</v>
      </c>
      <c r="F651" s="532" t="s">
        <v>2395</v>
      </c>
      <c r="G651" s="532" t="s">
        <v>1469</v>
      </c>
      <c r="H651" s="532" t="s">
        <v>2392</v>
      </c>
      <c r="I651" s="535"/>
      <c r="J651" s="535"/>
      <c r="K651" s="535"/>
      <c r="L651" s="535"/>
      <c r="M651" s="535"/>
      <c r="N651" s="535"/>
      <c r="O651" s="535"/>
      <c r="P651" s="535"/>
      <c r="Q651" s="535"/>
      <c r="R651" s="535"/>
      <c r="S651" s="535"/>
      <c r="T651" s="535"/>
      <c r="U651" s="535"/>
      <c r="V651" s="535"/>
      <c r="W651" s="535"/>
      <c r="X651" s="535"/>
      <c r="Y651" s="536"/>
    </row>
    <row r="652" spans="1:25" ht="12.75">
      <c r="A652" s="532" t="s">
        <v>3326</v>
      </c>
      <c r="B652" s="532">
        <v>41200158</v>
      </c>
      <c r="C652" s="532" t="s">
        <v>1480</v>
      </c>
      <c r="D652" s="532" t="s">
        <v>1480</v>
      </c>
      <c r="E652" s="532" t="s">
        <v>1405</v>
      </c>
      <c r="F652" s="532" t="s">
        <v>2395</v>
      </c>
      <c r="G652" s="532" t="s">
        <v>1469</v>
      </c>
      <c r="H652" s="532" t="s">
        <v>2392</v>
      </c>
      <c r="I652" s="535"/>
      <c r="J652" s="535"/>
      <c r="K652" s="535"/>
      <c r="L652" s="535"/>
      <c r="M652" s="535"/>
      <c r="N652" s="535"/>
      <c r="O652" s="535"/>
      <c r="P652" s="535"/>
      <c r="Q652" s="535"/>
      <c r="R652" s="535"/>
      <c r="S652" s="535"/>
      <c r="T652" s="535"/>
      <c r="U652" s="535"/>
      <c r="V652" s="535"/>
      <c r="W652" s="535"/>
      <c r="X652" s="535"/>
      <c r="Y652" s="536"/>
    </row>
    <row r="653" spans="1:25" ht="12.75">
      <c r="A653" s="532" t="s">
        <v>3329</v>
      </c>
      <c r="B653" s="532">
        <v>41200133</v>
      </c>
      <c r="C653" s="532" t="s">
        <v>1476</v>
      </c>
      <c r="D653" s="532" t="s">
        <v>6605</v>
      </c>
      <c r="E653" s="532" t="s">
        <v>1429</v>
      </c>
      <c r="F653" s="532" t="s">
        <v>2391</v>
      </c>
      <c r="G653" s="532" t="s">
        <v>2392</v>
      </c>
      <c r="H653" s="532" t="s">
        <v>2392</v>
      </c>
      <c r="I653" s="535"/>
      <c r="J653" s="535"/>
      <c r="K653" s="535"/>
      <c r="L653" s="535"/>
      <c r="M653" s="535"/>
      <c r="N653" s="535"/>
      <c r="O653" s="535"/>
      <c r="P653" s="535"/>
      <c r="Q653" s="535"/>
      <c r="R653" s="535"/>
      <c r="S653" s="535"/>
      <c r="T653" s="535"/>
      <c r="U653" s="535"/>
      <c r="V653" s="535"/>
      <c r="W653" s="535"/>
      <c r="X653" s="535"/>
      <c r="Y653" s="536"/>
    </row>
    <row r="654" spans="1:25" ht="12.75">
      <c r="A654" s="532" t="s">
        <v>3338</v>
      </c>
      <c r="B654" s="532">
        <v>41200125</v>
      </c>
      <c r="C654" s="532" t="s">
        <v>1476</v>
      </c>
      <c r="D654" s="532" t="s">
        <v>1476</v>
      </c>
      <c r="E654" s="532" t="s">
        <v>1585</v>
      </c>
      <c r="F654" s="532" t="s">
        <v>2395</v>
      </c>
      <c r="G654" s="532" t="s">
        <v>1469</v>
      </c>
      <c r="H654" s="532" t="s">
        <v>2392</v>
      </c>
      <c r="I654" s="535"/>
      <c r="J654" s="535"/>
      <c r="K654" s="535"/>
      <c r="L654" s="535"/>
      <c r="M654" s="535"/>
      <c r="N654" s="535"/>
      <c r="O654" s="535"/>
      <c r="P654" s="535"/>
      <c r="Q654" s="535"/>
      <c r="R654" s="535"/>
      <c r="S654" s="535"/>
      <c r="T654" s="535"/>
      <c r="U654" s="535"/>
      <c r="V654" s="535"/>
      <c r="W654" s="535"/>
      <c r="X654" s="535"/>
      <c r="Y654" s="536"/>
    </row>
    <row r="655" spans="1:25" ht="12.75">
      <c r="A655" s="532" t="s">
        <v>3319</v>
      </c>
      <c r="B655" s="532">
        <v>41200005</v>
      </c>
      <c r="C655" s="532" t="s">
        <v>1591</v>
      </c>
      <c r="D655" s="532" t="s">
        <v>1591</v>
      </c>
      <c r="E655" s="532" t="s">
        <v>1405</v>
      </c>
      <c r="F655" s="532" t="s">
        <v>2395</v>
      </c>
      <c r="G655" s="532" t="s">
        <v>1469</v>
      </c>
      <c r="H655" s="532" t="s">
        <v>2392</v>
      </c>
      <c r="I655" s="535"/>
      <c r="J655" s="535"/>
      <c r="K655" s="535"/>
      <c r="L655" s="535"/>
      <c r="M655" s="535"/>
      <c r="N655" s="535"/>
      <c r="O655" s="535"/>
      <c r="P655" s="535"/>
      <c r="Q655" s="535"/>
      <c r="R655" s="535"/>
      <c r="S655" s="535"/>
      <c r="T655" s="535"/>
      <c r="U655" s="535"/>
      <c r="V655" s="535"/>
      <c r="W655" s="535"/>
      <c r="X655" s="535"/>
      <c r="Y655" s="536"/>
    </row>
    <row r="656" spans="1:25" ht="12.75">
      <c r="A656" s="532" t="s">
        <v>3320</v>
      </c>
      <c r="B656" s="532">
        <v>41200005</v>
      </c>
      <c r="C656" s="532" t="s">
        <v>1591</v>
      </c>
      <c r="D656" s="532" t="s">
        <v>1591</v>
      </c>
      <c r="E656" s="532" t="s">
        <v>1405</v>
      </c>
      <c r="F656" s="532" t="s">
        <v>2395</v>
      </c>
      <c r="G656" s="532" t="s">
        <v>1469</v>
      </c>
      <c r="H656" s="532" t="s">
        <v>2392</v>
      </c>
      <c r="I656" s="535"/>
      <c r="J656" s="535"/>
      <c r="K656" s="535"/>
      <c r="L656" s="535"/>
      <c r="M656" s="535"/>
      <c r="N656" s="535"/>
      <c r="O656" s="535"/>
      <c r="P656" s="535"/>
      <c r="Q656" s="535"/>
      <c r="R656" s="535"/>
      <c r="S656" s="535"/>
      <c r="T656" s="535"/>
      <c r="U656" s="535"/>
      <c r="V656" s="535"/>
      <c r="W656" s="535"/>
      <c r="X656" s="535"/>
      <c r="Y656" s="536"/>
    </row>
    <row r="657" spans="1:25" ht="12.75">
      <c r="A657" s="532" t="s">
        <v>3325</v>
      </c>
      <c r="B657" s="532">
        <v>41200153</v>
      </c>
      <c r="C657" s="532" t="s">
        <v>1476</v>
      </c>
      <c r="D657" s="532" t="s">
        <v>6663</v>
      </c>
      <c r="E657" s="532" t="s">
        <v>1422</v>
      </c>
      <c r="F657" s="532" t="s">
        <v>2391</v>
      </c>
      <c r="G657" s="532" t="s">
        <v>1468</v>
      </c>
      <c r="H657" s="532" t="s">
        <v>2392</v>
      </c>
      <c r="I657" s="535"/>
      <c r="J657" s="535"/>
      <c r="K657" s="535"/>
      <c r="L657" s="535"/>
      <c r="M657" s="535"/>
      <c r="N657" s="535"/>
      <c r="O657" s="535"/>
      <c r="P657" s="535"/>
      <c r="Q657" s="535"/>
      <c r="R657" s="535"/>
      <c r="S657" s="535"/>
      <c r="T657" s="535"/>
      <c r="U657" s="535"/>
      <c r="V657" s="535"/>
      <c r="W657" s="535"/>
      <c r="X657" s="535"/>
      <c r="Y657" s="536"/>
    </row>
    <row r="658" spans="1:25" ht="12.75">
      <c r="A658" s="532" t="s">
        <v>3321</v>
      </c>
      <c r="B658" s="532">
        <v>41200153</v>
      </c>
      <c r="C658" s="532" t="s">
        <v>1476</v>
      </c>
      <c r="D658" s="532" t="s">
        <v>6663</v>
      </c>
      <c r="E658" s="532" t="s">
        <v>1422</v>
      </c>
      <c r="F658" s="532" t="s">
        <v>2391</v>
      </c>
      <c r="G658" s="532" t="s">
        <v>1468</v>
      </c>
      <c r="H658" s="532" t="s">
        <v>2392</v>
      </c>
      <c r="I658" s="535"/>
      <c r="J658" s="535"/>
      <c r="K658" s="535"/>
      <c r="L658" s="535"/>
      <c r="M658" s="535"/>
      <c r="N658" s="535"/>
      <c r="O658" s="535"/>
      <c r="P658" s="535"/>
      <c r="Q658" s="535"/>
      <c r="R658" s="535"/>
      <c r="S658" s="535"/>
      <c r="T658" s="535"/>
      <c r="U658" s="535"/>
      <c r="V658" s="535"/>
      <c r="W658" s="535"/>
      <c r="X658" s="535"/>
      <c r="Y658" s="536"/>
    </row>
    <row r="659" spans="1:25" ht="12.75">
      <c r="A659" s="532" t="s">
        <v>3322</v>
      </c>
      <c r="B659" s="532">
        <v>41200153</v>
      </c>
      <c r="C659" s="532" t="s">
        <v>1476</v>
      </c>
      <c r="D659" s="532" t="s">
        <v>6663</v>
      </c>
      <c r="E659" s="532" t="s">
        <v>1422</v>
      </c>
      <c r="F659" s="532" t="s">
        <v>2391</v>
      </c>
      <c r="G659" s="532" t="s">
        <v>1468</v>
      </c>
      <c r="H659" s="532" t="s">
        <v>2392</v>
      </c>
      <c r="I659" s="535"/>
      <c r="J659" s="535"/>
      <c r="K659" s="535"/>
      <c r="L659" s="535"/>
      <c r="M659" s="535"/>
      <c r="N659" s="535"/>
      <c r="O659" s="535"/>
      <c r="P659" s="535"/>
      <c r="Q659" s="535"/>
      <c r="R659" s="535"/>
      <c r="S659" s="535"/>
      <c r="T659" s="535"/>
      <c r="U659" s="535"/>
      <c r="V659" s="535"/>
      <c r="W659" s="535"/>
      <c r="X659" s="535"/>
      <c r="Y659" s="536"/>
    </row>
    <row r="660" spans="1:25" ht="12.75">
      <c r="A660" s="532" t="s">
        <v>3317</v>
      </c>
      <c r="B660" s="532">
        <v>41200153</v>
      </c>
      <c r="C660" s="532" t="s">
        <v>1476</v>
      </c>
      <c r="D660" s="532" t="s">
        <v>6663</v>
      </c>
      <c r="E660" s="532" t="s">
        <v>1422</v>
      </c>
      <c r="F660" s="532" t="s">
        <v>2391</v>
      </c>
      <c r="G660" s="532" t="s">
        <v>1468</v>
      </c>
      <c r="H660" s="532" t="s">
        <v>2392</v>
      </c>
      <c r="I660" s="535"/>
      <c r="J660" s="535"/>
      <c r="K660" s="535"/>
      <c r="L660" s="535"/>
      <c r="M660" s="535"/>
      <c r="N660" s="535"/>
      <c r="O660" s="535"/>
      <c r="P660" s="535"/>
      <c r="Q660" s="535"/>
      <c r="R660" s="535"/>
      <c r="S660" s="535"/>
      <c r="T660" s="535"/>
      <c r="U660" s="535"/>
      <c r="V660" s="535"/>
      <c r="W660" s="535"/>
      <c r="X660" s="535"/>
      <c r="Y660" s="536"/>
    </row>
    <row r="661" spans="1:25" ht="12.75">
      <c r="A661" s="532" t="s">
        <v>3302</v>
      </c>
      <c r="B661" s="532">
        <v>41200132</v>
      </c>
      <c r="C661" s="532" t="s">
        <v>1476</v>
      </c>
      <c r="D661" s="532" t="s">
        <v>6605</v>
      </c>
      <c r="E661" s="532" t="s">
        <v>1431</v>
      </c>
      <c r="F661" s="532" t="s">
        <v>2395</v>
      </c>
      <c r="G661" s="532" t="s">
        <v>2392</v>
      </c>
      <c r="H661" s="532" t="s">
        <v>2392</v>
      </c>
      <c r="I661" s="535"/>
      <c r="J661" s="535"/>
      <c r="K661" s="535"/>
      <c r="L661" s="535"/>
      <c r="M661" s="535"/>
      <c r="N661" s="535"/>
      <c r="O661" s="535"/>
      <c r="P661" s="535"/>
      <c r="Q661" s="535"/>
      <c r="R661" s="535"/>
      <c r="S661" s="535"/>
      <c r="T661" s="535"/>
      <c r="U661" s="535"/>
      <c r="V661" s="535"/>
      <c r="W661" s="535"/>
      <c r="X661" s="535"/>
      <c r="Y661" s="536"/>
    </row>
    <row r="662" spans="1:25" ht="12.75">
      <c r="A662" s="532" t="s">
        <v>3304</v>
      </c>
      <c r="B662" s="532">
        <v>41100502</v>
      </c>
      <c r="C662" s="532" t="s">
        <v>1591</v>
      </c>
      <c r="D662" s="532" t="s">
        <v>1591</v>
      </c>
      <c r="E662" s="532" t="s">
        <v>1585</v>
      </c>
      <c r="F662" s="532" t="s">
        <v>2391</v>
      </c>
      <c r="G662" s="532" t="s">
        <v>1468</v>
      </c>
      <c r="H662" s="532" t="s">
        <v>2392</v>
      </c>
      <c r="I662" s="535"/>
      <c r="J662" s="535"/>
      <c r="K662" s="535"/>
      <c r="L662" s="535"/>
      <c r="M662" s="535"/>
      <c r="N662" s="535"/>
      <c r="O662" s="535"/>
      <c r="P662" s="535"/>
      <c r="Q662" s="535"/>
      <c r="R662" s="535"/>
      <c r="S662" s="535"/>
      <c r="T662" s="535"/>
      <c r="U662" s="535"/>
      <c r="V662" s="535"/>
      <c r="W662" s="535"/>
      <c r="X662" s="535"/>
      <c r="Y662" s="536"/>
    </row>
    <row r="663" spans="1:25" ht="12.75">
      <c r="A663" s="532" t="s">
        <v>3303</v>
      </c>
      <c r="B663" s="532">
        <v>41100502</v>
      </c>
      <c r="C663" s="532" t="s">
        <v>1591</v>
      </c>
      <c r="D663" s="532" t="s">
        <v>1591</v>
      </c>
      <c r="E663" s="532" t="s">
        <v>1585</v>
      </c>
      <c r="F663" s="532" t="s">
        <v>2391</v>
      </c>
      <c r="G663" s="532" t="s">
        <v>1468</v>
      </c>
      <c r="H663" s="532" t="s">
        <v>2392</v>
      </c>
      <c r="I663" s="535"/>
      <c r="J663" s="535"/>
      <c r="K663" s="535"/>
      <c r="L663" s="535"/>
      <c r="M663" s="535"/>
      <c r="N663" s="535"/>
      <c r="O663" s="535"/>
      <c r="P663" s="535"/>
      <c r="Q663" s="535"/>
      <c r="R663" s="535"/>
      <c r="S663" s="535"/>
      <c r="T663" s="535"/>
      <c r="U663" s="535"/>
      <c r="V663" s="535"/>
      <c r="W663" s="535"/>
      <c r="X663" s="535"/>
      <c r="Y663" s="536"/>
    </row>
    <row r="664" spans="1:25" ht="12.75">
      <c r="A664" s="532" t="s">
        <v>3292</v>
      </c>
      <c r="B664" s="532">
        <v>41200109</v>
      </c>
      <c r="C664" s="532" t="s">
        <v>1591</v>
      </c>
      <c r="D664" s="532" t="s">
        <v>6619</v>
      </c>
      <c r="E664" s="532" t="s">
        <v>1585</v>
      </c>
      <c r="F664" s="532" t="s">
        <v>2391</v>
      </c>
      <c r="G664" s="532" t="s">
        <v>2392</v>
      </c>
      <c r="H664" s="532" t="s">
        <v>2392</v>
      </c>
      <c r="I664" s="535"/>
      <c r="J664" s="535"/>
      <c r="K664" s="535"/>
      <c r="L664" s="535"/>
      <c r="M664" s="535"/>
      <c r="N664" s="535"/>
      <c r="O664" s="535"/>
      <c r="P664" s="535"/>
      <c r="Q664" s="535"/>
      <c r="R664" s="535"/>
      <c r="S664" s="535"/>
      <c r="T664" s="535"/>
      <c r="U664" s="535"/>
      <c r="V664" s="535"/>
      <c r="W664" s="535"/>
      <c r="X664" s="535"/>
      <c r="Y664" s="536"/>
    </row>
    <row r="665" spans="1:25" ht="12.75">
      <c r="A665" s="532" t="s">
        <v>3291</v>
      </c>
      <c r="B665" s="532">
        <v>41200109</v>
      </c>
      <c r="C665" s="532" t="s">
        <v>1591</v>
      </c>
      <c r="D665" s="532" t="s">
        <v>6619</v>
      </c>
      <c r="E665" s="532" t="s">
        <v>1585</v>
      </c>
      <c r="F665" s="532" t="s">
        <v>2391</v>
      </c>
      <c r="G665" s="532" t="s">
        <v>2392</v>
      </c>
      <c r="H665" s="532" t="s">
        <v>2392</v>
      </c>
      <c r="I665" s="535"/>
      <c r="J665" s="535"/>
      <c r="K665" s="535"/>
      <c r="L665" s="535"/>
      <c r="M665" s="535"/>
      <c r="N665" s="535"/>
      <c r="O665" s="535"/>
      <c r="P665" s="535"/>
      <c r="Q665" s="535"/>
      <c r="R665" s="535"/>
      <c r="S665" s="535"/>
      <c r="T665" s="535"/>
      <c r="U665" s="535"/>
      <c r="V665" s="535"/>
      <c r="W665" s="535"/>
      <c r="X665" s="535"/>
      <c r="Y665" s="536"/>
    </row>
    <row r="666" spans="1:25" ht="12.75">
      <c r="A666" s="532" t="s">
        <v>3301</v>
      </c>
      <c r="B666" s="532">
        <v>41100374</v>
      </c>
      <c r="C666" s="532" t="s">
        <v>1476</v>
      </c>
      <c r="D666" s="532" t="s">
        <v>6610</v>
      </c>
      <c r="E666" s="532" t="s">
        <v>1585</v>
      </c>
      <c r="F666" s="532" t="s">
        <v>2391</v>
      </c>
      <c r="G666" s="532" t="s">
        <v>2392</v>
      </c>
      <c r="H666" s="532" t="s">
        <v>2392</v>
      </c>
      <c r="I666" s="535"/>
      <c r="J666" s="535"/>
      <c r="K666" s="535"/>
      <c r="L666" s="535"/>
      <c r="M666" s="535"/>
      <c r="N666" s="535"/>
      <c r="O666" s="535"/>
      <c r="P666" s="535"/>
      <c r="Q666" s="535"/>
      <c r="R666" s="535"/>
      <c r="S666" s="535"/>
      <c r="T666" s="535"/>
      <c r="U666" s="535"/>
      <c r="V666" s="535"/>
      <c r="W666" s="535"/>
      <c r="X666" s="535"/>
      <c r="Y666" s="536"/>
    </row>
    <row r="667" spans="1:25" ht="12.75">
      <c r="A667" s="532" t="s">
        <v>3297</v>
      </c>
      <c r="B667" s="532">
        <v>41100264</v>
      </c>
      <c r="C667" s="532" t="s">
        <v>1591</v>
      </c>
      <c r="D667" s="532" t="s">
        <v>6611</v>
      </c>
      <c r="E667" s="532" t="s">
        <v>1585</v>
      </c>
      <c r="F667" s="532" t="s">
        <v>2391</v>
      </c>
      <c r="G667" s="532" t="s">
        <v>1468</v>
      </c>
      <c r="H667" s="532" t="s">
        <v>2392</v>
      </c>
      <c r="I667" s="535"/>
      <c r="J667" s="535"/>
      <c r="K667" s="535"/>
      <c r="L667" s="535"/>
      <c r="M667" s="535"/>
      <c r="N667" s="535"/>
      <c r="O667" s="535"/>
      <c r="P667" s="535"/>
      <c r="Q667" s="535"/>
      <c r="R667" s="535"/>
      <c r="S667" s="535"/>
      <c r="T667" s="535"/>
      <c r="U667" s="535"/>
      <c r="V667" s="535"/>
      <c r="W667" s="535"/>
      <c r="X667" s="535"/>
      <c r="Y667" s="536"/>
    </row>
    <row r="668" spans="1:25" ht="12.75">
      <c r="A668" s="532" t="s">
        <v>3296</v>
      </c>
      <c r="B668" s="532">
        <v>41100264</v>
      </c>
      <c r="C668" s="532" t="s">
        <v>1591</v>
      </c>
      <c r="D668" s="532" t="s">
        <v>6611</v>
      </c>
      <c r="E668" s="532" t="s">
        <v>1585</v>
      </c>
      <c r="F668" s="532" t="s">
        <v>2391</v>
      </c>
      <c r="G668" s="532" t="s">
        <v>1468</v>
      </c>
      <c r="H668" s="532" t="s">
        <v>2392</v>
      </c>
      <c r="I668" s="535"/>
      <c r="J668" s="535"/>
      <c r="K668" s="535"/>
      <c r="L668" s="535"/>
      <c r="M668" s="535"/>
      <c r="N668" s="535"/>
      <c r="O668" s="535"/>
      <c r="P668" s="535"/>
      <c r="Q668" s="535"/>
      <c r="R668" s="535"/>
      <c r="S668" s="535"/>
      <c r="T668" s="535"/>
      <c r="U668" s="535"/>
      <c r="V668" s="535"/>
      <c r="W668" s="535"/>
      <c r="X668" s="535"/>
      <c r="Y668" s="536"/>
    </row>
    <row r="669" spans="1:25" ht="12.75">
      <c r="A669" s="532" t="s">
        <v>3299</v>
      </c>
      <c r="B669" s="532">
        <v>41200006</v>
      </c>
      <c r="C669" s="532" t="s">
        <v>1477</v>
      </c>
      <c r="D669" s="532" t="s">
        <v>6640</v>
      </c>
      <c r="E669" s="532" t="s">
        <v>1405</v>
      </c>
      <c r="F669" s="532" t="s">
        <v>2395</v>
      </c>
      <c r="G669" s="532" t="s">
        <v>1469</v>
      </c>
      <c r="H669" s="532" t="s">
        <v>2392</v>
      </c>
      <c r="I669" s="535"/>
      <c r="J669" s="535"/>
      <c r="K669" s="535"/>
      <c r="L669" s="535"/>
      <c r="M669" s="535"/>
      <c r="N669" s="535"/>
      <c r="O669" s="535"/>
      <c r="P669" s="535"/>
      <c r="Q669" s="535"/>
      <c r="R669" s="535"/>
      <c r="S669" s="535"/>
      <c r="T669" s="535"/>
      <c r="U669" s="535"/>
      <c r="V669" s="535"/>
      <c r="W669" s="535"/>
      <c r="X669" s="535"/>
      <c r="Y669" s="536"/>
    </row>
    <row r="670" spans="1:25" ht="12.75">
      <c r="A670" s="532" t="s">
        <v>3298</v>
      </c>
      <c r="B670" s="532">
        <v>41200006</v>
      </c>
      <c r="C670" s="532" t="s">
        <v>1477</v>
      </c>
      <c r="D670" s="532" t="s">
        <v>6640</v>
      </c>
      <c r="E670" s="532" t="s">
        <v>1405</v>
      </c>
      <c r="F670" s="532" t="s">
        <v>2395</v>
      </c>
      <c r="G670" s="532" t="s">
        <v>1469</v>
      </c>
      <c r="H670" s="532" t="s">
        <v>2392</v>
      </c>
      <c r="I670" s="535"/>
      <c r="J670" s="535"/>
      <c r="K670" s="535"/>
      <c r="L670" s="535"/>
      <c r="M670" s="535"/>
      <c r="N670" s="535"/>
      <c r="O670" s="535"/>
      <c r="P670" s="535"/>
      <c r="Q670" s="535"/>
      <c r="R670" s="535"/>
      <c r="S670" s="535"/>
      <c r="T670" s="535"/>
      <c r="U670" s="535"/>
      <c r="V670" s="535"/>
      <c r="W670" s="535"/>
      <c r="X670" s="535"/>
      <c r="Y670" s="536"/>
    </row>
    <row r="671" spans="1:25" ht="12.75">
      <c r="A671" s="532" t="s">
        <v>3313</v>
      </c>
      <c r="B671" s="532">
        <v>41200088</v>
      </c>
      <c r="C671" s="532" t="s">
        <v>1476</v>
      </c>
      <c r="D671" s="532" t="s">
        <v>1476</v>
      </c>
      <c r="E671" s="532" t="s">
        <v>1422</v>
      </c>
      <c r="F671" s="532" t="s">
        <v>2395</v>
      </c>
      <c r="G671" s="532" t="s">
        <v>1469</v>
      </c>
      <c r="H671" s="532" t="s">
        <v>2392</v>
      </c>
      <c r="I671" s="535"/>
      <c r="J671" s="535"/>
      <c r="K671" s="535"/>
      <c r="L671" s="535"/>
      <c r="M671" s="535"/>
      <c r="N671" s="535"/>
      <c r="O671" s="535"/>
      <c r="P671" s="535"/>
      <c r="Q671" s="535"/>
      <c r="R671" s="535"/>
      <c r="S671" s="535"/>
      <c r="T671" s="535"/>
      <c r="U671" s="535"/>
      <c r="V671" s="535"/>
      <c r="W671" s="535"/>
      <c r="X671" s="535"/>
      <c r="Y671" s="536"/>
    </row>
    <row r="672" spans="1:25" ht="12.75">
      <c r="A672" s="532" t="s">
        <v>3309</v>
      </c>
      <c r="B672" s="532">
        <v>41100584</v>
      </c>
      <c r="C672" s="532" t="s">
        <v>1591</v>
      </c>
      <c r="D672" s="532" t="s">
        <v>6635</v>
      </c>
      <c r="E672" s="532" t="s">
        <v>1422</v>
      </c>
      <c r="F672" s="532" t="s">
        <v>2391</v>
      </c>
      <c r="G672" s="532" t="s">
        <v>2392</v>
      </c>
      <c r="H672" s="532" t="s">
        <v>2392</v>
      </c>
      <c r="I672" s="535"/>
      <c r="J672" s="535"/>
      <c r="K672" s="535"/>
      <c r="L672" s="535"/>
      <c r="M672" s="535"/>
      <c r="N672" s="535"/>
      <c r="O672" s="535"/>
      <c r="P672" s="535"/>
      <c r="Q672" s="535"/>
      <c r="R672" s="535"/>
      <c r="S672" s="535"/>
      <c r="T672" s="535"/>
      <c r="U672" s="535"/>
      <c r="V672" s="535"/>
      <c r="W672" s="535"/>
      <c r="X672" s="535"/>
      <c r="Y672" s="536"/>
    </row>
    <row r="673" spans="1:25" ht="12.75">
      <c r="A673" s="532" t="s">
        <v>3242</v>
      </c>
      <c r="B673" s="532">
        <v>41200048</v>
      </c>
      <c r="C673" s="532" t="s">
        <v>1476</v>
      </c>
      <c r="D673" s="532" t="s">
        <v>1426</v>
      </c>
      <c r="E673" s="532" t="s">
        <v>1426</v>
      </c>
      <c r="F673" s="532" t="s">
        <v>2391</v>
      </c>
      <c r="G673" s="532" t="s">
        <v>2392</v>
      </c>
      <c r="H673" s="532" t="s">
        <v>2392</v>
      </c>
      <c r="I673" s="535"/>
      <c r="J673" s="535"/>
      <c r="K673" s="535"/>
      <c r="L673" s="535"/>
      <c r="M673" s="535"/>
      <c r="N673" s="535"/>
      <c r="O673" s="535"/>
      <c r="P673" s="535"/>
      <c r="Q673" s="535"/>
      <c r="R673" s="535"/>
      <c r="S673" s="535"/>
      <c r="T673" s="535"/>
      <c r="U673" s="535"/>
      <c r="V673" s="535"/>
      <c r="W673" s="535"/>
      <c r="X673" s="535"/>
      <c r="Y673" s="536"/>
    </row>
    <row r="674" spans="1:25" ht="12.75">
      <c r="A674" s="532" t="s">
        <v>5406</v>
      </c>
      <c r="B674" s="532">
        <v>41200182</v>
      </c>
      <c r="C674" s="532" t="s">
        <v>1393</v>
      </c>
      <c r="D674" s="532" t="s">
        <v>1392</v>
      </c>
      <c r="E674" s="532" t="s">
        <v>1392</v>
      </c>
      <c r="F674" s="532" t="s">
        <v>2395</v>
      </c>
      <c r="G674" s="532" t="s">
        <v>2392</v>
      </c>
      <c r="H674" s="532" t="s">
        <v>2392</v>
      </c>
      <c r="I674" s="535"/>
      <c r="J674" s="535"/>
      <c r="K674" s="535"/>
      <c r="L674" s="535"/>
      <c r="M674" s="535"/>
      <c r="N674" s="535"/>
      <c r="O674" s="535"/>
      <c r="P674" s="535"/>
      <c r="Q674" s="535"/>
      <c r="R674" s="535"/>
      <c r="S674" s="535"/>
      <c r="T674" s="535"/>
      <c r="U674" s="535"/>
      <c r="V674" s="535"/>
      <c r="W674" s="535"/>
      <c r="X674" s="535"/>
      <c r="Y674" s="536"/>
    </row>
    <row r="675" spans="1:25" ht="12.75">
      <c r="A675" s="532" t="s">
        <v>3293</v>
      </c>
      <c r="B675" s="532">
        <v>41200121</v>
      </c>
      <c r="C675" s="532" t="s">
        <v>1479</v>
      </c>
      <c r="D675" s="532" t="s">
        <v>6676</v>
      </c>
      <c r="E675" s="532" t="s">
        <v>1403</v>
      </c>
      <c r="F675" s="532" t="s">
        <v>2391</v>
      </c>
      <c r="G675" s="532" t="s">
        <v>2392</v>
      </c>
      <c r="H675" s="532" t="s">
        <v>2392</v>
      </c>
      <c r="I675" s="535"/>
      <c r="J675" s="535"/>
      <c r="K675" s="535"/>
      <c r="L675" s="535"/>
      <c r="M675" s="535"/>
      <c r="N675" s="535"/>
      <c r="O675" s="535"/>
      <c r="P675" s="535"/>
      <c r="Q675" s="535"/>
      <c r="R675" s="535"/>
      <c r="S675" s="535"/>
      <c r="T675" s="535"/>
      <c r="U675" s="535"/>
      <c r="V675" s="535"/>
      <c r="W675" s="535"/>
      <c r="X675" s="535"/>
      <c r="Y675" s="536"/>
    </row>
    <row r="676" spans="1:25" ht="12.75">
      <c r="A676" s="532" t="s">
        <v>3312</v>
      </c>
      <c r="B676" s="532">
        <v>41200005</v>
      </c>
      <c r="C676" s="532" t="s">
        <v>1591</v>
      </c>
      <c r="D676" s="532" t="s">
        <v>1591</v>
      </c>
      <c r="E676" s="532" t="s">
        <v>1405</v>
      </c>
      <c r="F676" s="532" t="s">
        <v>2391</v>
      </c>
      <c r="G676" s="532" t="s">
        <v>1468</v>
      </c>
      <c r="H676" s="532" t="s">
        <v>2392</v>
      </c>
      <c r="I676" s="535"/>
      <c r="J676" s="535"/>
      <c r="K676" s="535"/>
      <c r="L676" s="535"/>
      <c r="M676" s="535"/>
      <c r="N676" s="535"/>
      <c r="O676" s="535"/>
      <c r="P676" s="535"/>
      <c r="Q676" s="535"/>
      <c r="R676" s="535"/>
      <c r="S676" s="535"/>
      <c r="T676" s="535"/>
      <c r="U676" s="535"/>
      <c r="V676" s="535"/>
      <c r="W676" s="535"/>
      <c r="X676" s="535"/>
      <c r="Y676" s="536"/>
    </row>
    <row r="677" spans="1:25" ht="12.75">
      <c r="A677" s="532" t="s">
        <v>3310</v>
      </c>
      <c r="B677" s="532">
        <v>41200005</v>
      </c>
      <c r="C677" s="532" t="s">
        <v>1591</v>
      </c>
      <c r="D677" s="532" t="s">
        <v>1591</v>
      </c>
      <c r="E677" s="532" t="s">
        <v>1405</v>
      </c>
      <c r="F677" s="532" t="s">
        <v>2391</v>
      </c>
      <c r="G677" s="532" t="s">
        <v>1468</v>
      </c>
      <c r="H677" s="532" t="s">
        <v>2392</v>
      </c>
      <c r="I677" s="535"/>
      <c r="J677" s="535"/>
      <c r="K677" s="535"/>
      <c r="L677" s="535"/>
      <c r="M677" s="535"/>
      <c r="N677" s="535"/>
      <c r="O677" s="535"/>
      <c r="P677" s="535"/>
      <c r="Q677" s="535"/>
      <c r="R677" s="535"/>
      <c r="S677" s="535"/>
      <c r="T677" s="535"/>
      <c r="U677" s="535"/>
      <c r="V677" s="535"/>
      <c r="W677" s="535"/>
      <c r="X677" s="535"/>
      <c r="Y677" s="536"/>
    </row>
    <row r="678" spans="1:25" ht="12.75">
      <c r="A678" s="532" t="s">
        <v>3400</v>
      </c>
      <c r="B678" s="532">
        <v>41200066</v>
      </c>
      <c r="C678" s="532" t="s">
        <v>1476</v>
      </c>
      <c r="D678" s="532" t="s">
        <v>1424</v>
      </c>
      <c r="E678" s="532" t="s">
        <v>1424</v>
      </c>
      <c r="F678" s="532" t="s">
        <v>2395</v>
      </c>
      <c r="G678" s="532" t="s">
        <v>1469</v>
      </c>
      <c r="H678" s="532" t="s">
        <v>2392</v>
      </c>
      <c r="I678" s="535"/>
      <c r="J678" s="535"/>
      <c r="K678" s="535"/>
      <c r="L678" s="535"/>
      <c r="M678" s="535"/>
      <c r="N678" s="535"/>
      <c r="O678" s="535"/>
      <c r="P678" s="535"/>
      <c r="Q678" s="535"/>
      <c r="R678" s="535"/>
      <c r="S678" s="535"/>
      <c r="T678" s="535"/>
      <c r="U678" s="535"/>
      <c r="V678" s="535"/>
      <c r="W678" s="535"/>
      <c r="X678" s="535"/>
      <c r="Y678" s="536"/>
    </row>
    <row r="679" spans="1:25" ht="12.75">
      <c r="A679" s="532" t="s">
        <v>3286</v>
      </c>
      <c r="B679" s="532">
        <v>41200034</v>
      </c>
      <c r="C679" s="532" t="s">
        <v>1476</v>
      </c>
      <c r="D679" s="532" t="s">
        <v>1426</v>
      </c>
      <c r="E679" s="532" t="s">
        <v>1426</v>
      </c>
      <c r="F679" s="532" t="s">
        <v>2391</v>
      </c>
      <c r="G679" s="532" t="s">
        <v>1468</v>
      </c>
      <c r="H679" s="532" t="s">
        <v>2392</v>
      </c>
      <c r="I679" s="535"/>
      <c r="J679" s="535"/>
      <c r="K679" s="535"/>
      <c r="L679" s="535"/>
      <c r="M679" s="535"/>
      <c r="N679" s="535"/>
      <c r="O679" s="535"/>
      <c r="P679" s="535"/>
      <c r="Q679" s="535"/>
      <c r="R679" s="535"/>
      <c r="S679" s="535"/>
      <c r="T679" s="535"/>
      <c r="U679" s="535"/>
      <c r="V679" s="535"/>
      <c r="W679" s="535"/>
      <c r="X679" s="535"/>
      <c r="Y679" s="536"/>
    </row>
    <row r="680" spans="1:25" ht="12.75">
      <c r="A680" s="532" t="s">
        <v>3274</v>
      </c>
      <c r="B680" s="532">
        <v>41200007</v>
      </c>
      <c r="C680" s="532" t="s">
        <v>1591</v>
      </c>
      <c r="D680" s="532" t="s">
        <v>6608</v>
      </c>
      <c r="E680" s="532" t="s">
        <v>1405</v>
      </c>
      <c r="F680" s="532" t="s">
        <v>2391</v>
      </c>
      <c r="G680" s="532" t="s">
        <v>1468</v>
      </c>
      <c r="H680" s="532" t="s">
        <v>2392</v>
      </c>
      <c r="I680" s="535"/>
      <c r="J680" s="535"/>
      <c r="K680" s="535"/>
      <c r="L680" s="535"/>
      <c r="M680" s="535"/>
      <c r="N680" s="535"/>
      <c r="O680" s="535"/>
      <c r="P680" s="535"/>
      <c r="Q680" s="535"/>
      <c r="R680" s="535"/>
      <c r="S680" s="535"/>
      <c r="T680" s="535"/>
      <c r="U680" s="535"/>
      <c r="V680" s="535"/>
      <c r="W680" s="535"/>
      <c r="X680" s="535"/>
      <c r="Y680" s="536"/>
    </row>
    <row r="681" spans="1:25" ht="12.75">
      <c r="A681" s="532" t="s">
        <v>3272</v>
      </c>
      <c r="B681" s="532">
        <v>41200007</v>
      </c>
      <c r="C681" s="532" t="s">
        <v>1591</v>
      </c>
      <c r="D681" s="532" t="s">
        <v>6608</v>
      </c>
      <c r="E681" s="532" t="s">
        <v>1405</v>
      </c>
      <c r="F681" s="532" t="s">
        <v>2391</v>
      </c>
      <c r="G681" s="532" t="s">
        <v>1468</v>
      </c>
      <c r="H681" s="532" t="s">
        <v>2392</v>
      </c>
      <c r="I681" s="535"/>
      <c r="J681" s="535"/>
      <c r="K681" s="535"/>
      <c r="L681" s="535"/>
      <c r="M681" s="535"/>
      <c r="N681" s="535"/>
      <c r="O681" s="535"/>
      <c r="P681" s="535"/>
      <c r="Q681" s="535"/>
      <c r="R681" s="535"/>
      <c r="S681" s="535"/>
      <c r="T681" s="535"/>
      <c r="U681" s="535"/>
      <c r="V681" s="535"/>
      <c r="W681" s="535"/>
      <c r="X681" s="535"/>
      <c r="Y681" s="536"/>
    </row>
    <row r="682" spans="1:25" ht="12.75">
      <c r="A682" s="532" t="s">
        <v>3276</v>
      </c>
      <c r="B682" s="532">
        <v>41200007</v>
      </c>
      <c r="C682" s="532" t="s">
        <v>1591</v>
      </c>
      <c r="D682" s="532" t="s">
        <v>6608</v>
      </c>
      <c r="E682" s="532" t="s">
        <v>1405</v>
      </c>
      <c r="F682" s="532" t="s">
        <v>2391</v>
      </c>
      <c r="G682" s="532" t="s">
        <v>1468</v>
      </c>
      <c r="H682" s="532" t="s">
        <v>2392</v>
      </c>
      <c r="I682" s="535"/>
      <c r="J682" s="535"/>
      <c r="K682" s="535"/>
      <c r="L682" s="535"/>
      <c r="M682" s="535"/>
      <c r="N682" s="535"/>
      <c r="O682" s="535"/>
      <c r="P682" s="535"/>
      <c r="Q682" s="535"/>
      <c r="R682" s="535"/>
      <c r="S682" s="535"/>
      <c r="T682" s="535"/>
      <c r="U682" s="535"/>
      <c r="V682" s="535"/>
      <c r="W682" s="535"/>
      <c r="X682" s="535"/>
      <c r="Y682" s="536"/>
    </row>
    <row r="683" spans="1:25" ht="12.75">
      <c r="A683" s="532" t="s">
        <v>3241</v>
      </c>
      <c r="B683" s="532">
        <v>41100435</v>
      </c>
      <c r="C683" s="532" t="s">
        <v>3801</v>
      </c>
      <c r="D683" s="532" t="s">
        <v>1482</v>
      </c>
      <c r="E683" s="532" t="s">
        <v>1585</v>
      </c>
      <c r="F683" s="532" t="s">
        <v>2395</v>
      </c>
      <c r="G683" s="532" t="s">
        <v>2392</v>
      </c>
      <c r="H683" s="533"/>
      <c r="I683" s="535"/>
      <c r="J683" s="535"/>
      <c r="K683" s="535"/>
      <c r="L683" s="535"/>
      <c r="M683" s="535"/>
      <c r="N683" s="535"/>
      <c r="O683" s="535"/>
      <c r="P683" s="535"/>
      <c r="Q683" s="535"/>
      <c r="R683" s="535"/>
      <c r="S683" s="535"/>
      <c r="T683" s="535"/>
      <c r="U683" s="535"/>
      <c r="V683" s="535"/>
      <c r="W683" s="535"/>
      <c r="X683" s="535"/>
      <c r="Y683" s="536"/>
    </row>
    <row r="684" spans="1:25" ht="12.75">
      <c r="A684" s="532" t="s">
        <v>5404</v>
      </c>
      <c r="B684" s="532">
        <v>41200183</v>
      </c>
      <c r="C684" s="532" t="s">
        <v>1393</v>
      </c>
      <c r="D684" s="532" t="s">
        <v>1392</v>
      </c>
      <c r="E684" s="532" t="s">
        <v>1392</v>
      </c>
      <c r="F684" s="532" t="s">
        <v>2395</v>
      </c>
      <c r="G684" s="532" t="s">
        <v>1469</v>
      </c>
      <c r="H684" s="532" t="s">
        <v>2392</v>
      </c>
      <c r="I684" s="535"/>
      <c r="J684" s="535"/>
      <c r="K684" s="535"/>
      <c r="L684" s="535"/>
      <c r="M684" s="535"/>
      <c r="N684" s="535"/>
      <c r="O684" s="535"/>
      <c r="P684" s="535"/>
      <c r="Q684" s="535"/>
      <c r="R684" s="535"/>
      <c r="S684" s="535"/>
      <c r="T684" s="535"/>
      <c r="U684" s="535"/>
      <c r="V684" s="535"/>
      <c r="W684" s="535"/>
      <c r="X684" s="535"/>
      <c r="Y684" s="536"/>
    </row>
    <row r="685" spans="1:25" ht="12.75">
      <c r="A685" s="532" t="s">
        <v>3285</v>
      </c>
      <c r="B685" s="532">
        <v>41200029</v>
      </c>
      <c r="C685" s="532" t="s">
        <v>1476</v>
      </c>
      <c r="D685" s="532" t="s">
        <v>6610</v>
      </c>
      <c r="E685" s="532" t="s">
        <v>1405</v>
      </c>
      <c r="F685" s="532" t="s">
        <v>2395</v>
      </c>
      <c r="G685" s="532" t="s">
        <v>1469</v>
      </c>
      <c r="H685" s="532" t="s">
        <v>2392</v>
      </c>
      <c r="I685" s="535"/>
      <c r="J685" s="535"/>
      <c r="K685" s="535"/>
      <c r="L685" s="535"/>
      <c r="M685" s="535"/>
      <c r="N685" s="535"/>
      <c r="O685" s="535"/>
      <c r="P685" s="535"/>
      <c r="Q685" s="535"/>
      <c r="R685" s="535"/>
      <c r="S685" s="535"/>
      <c r="T685" s="535"/>
      <c r="U685" s="535"/>
      <c r="V685" s="535"/>
      <c r="W685" s="535"/>
      <c r="X685" s="535"/>
      <c r="Y685" s="536"/>
    </row>
    <row r="686" spans="1:25" ht="12.75">
      <c r="A686" s="532" t="s">
        <v>3281</v>
      </c>
      <c r="B686" s="532">
        <v>41200171</v>
      </c>
      <c r="C686" s="532" t="s">
        <v>1479</v>
      </c>
      <c r="D686" s="532" t="s">
        <v>1394</v>
      </c>
      <c r="E686" s="532" t="s">
        <v>1394</v>
      </c>
      <c r="F686" s="532" t="s">
        <v>2391</v>
      </c>
      <c r="G686" s="532" t="s">
        <v>2392</v>
      </c>
      <c r="H686" s="532" t="s">
        <v>2392</v>
      </c>
      <c r="I686" s="535"/>
      <c r="J686" s="535"/>
      <c r="K686" s="535"/>
      <c r="L686" s="535"/>
      <c r="M686" s="535"/>
      <c r="N686" s="535"/>
      <c r="O686" s="535"/>
      <c r="P686" s="535"/>
      <c r="Q686" s="535"/>
      <c r="R686" s="535"/>
      <c r="S686" s="535"/>
      <c r="T686" s="535"/>
      <c r="U686" s="535"/>
      <c r="V686" s="535"/>
      <c r="W686" s="535"/>
      <c r="X686" s="535"/>
      <c r="Y686" s="536"/>
    </row>
    <row r="687" spans="1:25" ht="12.75">
      <c r="A687" s="532" t="s">
        <v>3488</v>
      </c>
      <c r="B687" s="532">
        <v>41100502</v>
      </c>
      <c r="C687" s="532" t="s">
        <v>1591</v>
      </c>
      <c r="D687" s="532" t="s">
        <v>1591</v>
      </c>
      <c r="E687" s="532" t="s">
        <v>1585</v>
      </c>
      <c r="F687" s="532" t="s">
        <v>2395</v>
      </c>
      <c r="G687" s="532" t="s">
        <v>1469</v>
      </c>
      <c r="H687" s="532" t="s">
        <v>2392</v>
      </c>
      <c r="I687" s="535"/>
      <c r="J687" s="535"/>
      <c r="K687" s="535"/>
      <c r="L687" s="535"/>
      <c r="M687" s="535"/>
      <c r="N687" s="535"/>
      <c r="O687" s="535"/>
      <c r="P687" s="535"/>
      <c r="Q687" s="535"/>
      <c r="R687" s="535"/>
      <c r="S687" s="535"/>
      <c r="T687" s="535"/>
      <c r="U687" s="535"/>
      <c r="V687" s="535"/>
      <c r="W687" s="535"/>
      <c r="X687" s="535"/>
      <c r="Y687" s="536"/>
    </row>
    <row r="688" spans="1:25" ht="12.75">
      <c r="A688" s="532" t="s">
        <v>3486</v>
      </c>
      <c r="B688" s="532">
        <v>41100502</v>
      </c>
      <c r="C688" s="532" t="s">
        <v>1591</v>
      </c>
      <c r="D688" s="532" t="s">
        <v>1591</v>
      </c>
      <c r="E688" s="532" t="s">
        <v>1585</v>
      </c>
      <c r="F688" s="532" t="s">
        <v>2395</v>
      </c>
      <c r="G688" s="532" t="s">
        <v>1469</v>
      </c>
      <c r="H688" s="532" t="s">
        <v>2392</v>
      </c>
      <c r="I688" s="535"/>
      <c r="J688" s="535"/>
      <c r="K688" s="535"/>
      <c r="L688" s="535"/>
      <c r="M688" s="535"/>
      <c r="N688" s="535"/>
      <c r="O688" s="535"/>
      <c r="P688" s="535"/>
      <c r="Q688" s="535"/>
      <c r="R688" s="535"/>
      <c r="S688" s="535"/>
      <c r="T688" s="535"/>
      <c r="U688" s="535"/>
      <c r="V688" s="535"/>
      <c r="W688" s="535"/>
      <c r="X688" s="535"/>
      <c r="Y688" s="536"/>
    </row>
    <row r="689" spans="1:25" ht="12.75">
      <c r="A689" s="532" t="s">
        <v>3284</v>
      </c>
      <c r="B689" s="532">
        <v>41000584</v>
      </c>
      <c r="C689" s="532" t="s">
        <v>1911</v>
      </c>
      <c r="D689" s="532" t="s">
        <v>6658</v>
      </c>
      <c r="E689" s="532" t="s">
        <v>1405</v>
      </c>
      <c r="F689" s="532" t="s">
        <v>2392</v>
      </c>
      <c r="G689" s="532" t="s">
        <v>1468</v>
      </c>
      <c r="H689" s="533"/>
      <c r="I689" s="535"/>
      <c r="J689" s="535"/>
      <c r="K689" s="535"/>
      <c r="L689" s="535"/>
      <c r="M689" s="535"/>
      <c r="N689" s="535"/>
      <c r="O689" s="535"/>
      <c r="P689" s="535"/>
      <c r="Q689" s="535"/>
      <c r="R689" s="535"/>
      <c r="S689" s="535"/>
      <c r="T689" s="535"/>
      <c r="U689" s="535"/>
      <c r="V689" s="535"/>
      <c r="W689" s="535"/>
      <c r="X689" s="535"/>
      <c r="Y689" s="536"/>
    </row>
    <row r="690" spans="1:25" ht="12.75">
      <c r="A690" s="532" t="s">
        <v>3283</v>
      </c>
      <c r="B690" s="532">
        <v>41000584</v>
      </c>
      <c r="C690" s="532" t="s">
        <v>1911</v>
      </c>
      <c r="D690" s="532" t="s">
        <v>6658</v>
      </c>
      <c r="E690" s="532" t="s">
        <v>1405</v>
      </c>
      <c r="F690" s="532" t="s">
        <v>2392</v>
      </c>
      <c r="G690" s="532" t="s">
        <v>1468</v>
      </c>
      <c r="H690" s="533"/>
      <c r="I690" s="535"/>
      <c r="J690" s="535"/>
      <c r="K690" s="535"/>
      <c r="L690" s="535"/>
      <c r="M690" s="535"/>
      <c r="N690" s="535"/>
      <c r="O690" s="535"/>
      <c r="P690" s="535"/>
      <c r="Q690" s="535"/>
      <c r="R690" s="535"/>
      <c r="S690" s="535"/>
      <c r="T690" s="535"/>
      <c r="U690" s="535"/>
      <c r="V690" s="535"/>
      <c r="W690" s="535"/>
      <c r="X690" s="535"/>
      <c r="Y690" s="536"/>
    </row>
    <row r="691" spans="1:25" ht="12.75">
      <c r="A691" s="532" t="s">
        <v>6677</v>
      </c>
      <c r="B691" s="532">
        <v>42200067</v>
      </c>
      <c r="C691" s="532" t="s">
        <v>6678</v>
      </c>
      <c r="D691" s="532" t="s">
        <v>6679</v>
      </c>
      <c r="E691" s="532" t="s">
        <v>1405</v>
      </c>
      <c r="F691" s="532" t="s">
        <v>6680</v>
      </c>
      <c r="G691" s="532" t="s">
        <v>1468</v>
      </c>
      <c r="H691" s="533"/>
      <c r="I691" s="535"/>
      <c r="J691" s="535"/>
      <c r="K691" s="535"/>
      <c r="L691" s="535"/>
      <c r="M691" s="535"/>
      <c r="N691" s="535"/>
      <c r="O691" s="535"/>
      <c r="P691" s="535"/>
      <c r="Q691" s="535"/>
      <c r="R691" s="535"/>
      <c r="S691" s="535"/>
      <c r="T691" s="535"/>
      <c r="U691" s="535"/>
      <c r="V691" s="535"/>
      <c r="W691" s="535"/>
      <c r="X691" s="535"/>
      <c r="Y691" s="536"/>
    </row>
    <row r="692" spans="1:25" ht="12.75">
      <c r="A692" s="532" t="s">
        <v>6681</v>
      </c>
      <c r="B692" s="532">
        <v>42200064</v>
      </c>
      <c r="C692" s="532" t="s">
        <v>6682</v>
      </c>
      <c r="D692" s="532" t="s">
        <v>6683</v>
      </c>
      <c r="E692" s="532" t="s">
        <v>1405</v>
      </c>
      <c r="F692" s="532" t="s">
        <v>6684</v>
      </c>
      <c r="G692" s="532" t="s">
        <v>2392</v>
      </c>
      <c r="H692" s="533"/>
      <c r="I692" s="535"/>
      <c r="J692" s="535"/>
      <c r="K692" s="535"/>
      <c r="L692" s="535"/>
      <c r="M692" s="535"/>
      <c r="N692" s="535"/>
      <c r="O692" s="535"/>
      <c r="P692" s="535"/>
      <c r="Q692" s="535"/>
      <c r="R692" s="535"/>
      <c r="S692" s="535"/>
      <c r="T692" s="535"/>
      <c r="U692" s="535"/>
      <c r="V692" s="535"/>
      <c r="W692" s="535"/>
      <c r="X692" s="535"/>
      <c r="Y692" s="536"/>
    </row>
    <row r="693" spans="1:25" ht="12.75">
      <c r="A693" s="532" t="s">
        <v>6685</v>
      </c>
      <c r="B693" s="532">
        <v>42200064</v>
      </c>
      <c r="C693" s="532" t="s">
        <v>6682</v>
      </c>
      <c r="D693" s="532" t="s">
        <v>6683</v>
      </c>
      <c r="E693" s="532" t="s">
        <v>1405</v>
      </c>
      <c r="F693" s="532" t="s">
        <v>6684</v>
      </c>
      <c r="G693" s="532" t="s">
        <v>2392</v>
      </c>
      <c r="H693" s="533"/>
      <c r="I693" s="535"/>
      <c r="J693" s="535"/>
      <c r="K693" s="535"/>
      <c r="L693" s="535"/>
      <c r="M693" s="535"/>
      <c r="N693" s="535"/>
      <c r="O693" s="535"/>
      <c r="P693" s="535"/>
      <c r="Q693" s="535"/>
      <c r="R693" s="535"/>
      <c r="S693" s="535"/>
      <c r="T693" s="535"/>
      <c r="U693" s="535"/>
      <c r="V693" s="535"/>
      <c r="W693" s="535"/>
      <c r="X693" s="535"/>
      <c r="Y693" s="536"/>
    </row>
    <row r="694" spans="1:25" ht="12.75">
      <c r="A694" s="532" t="s">
        <v>6686</v>
      </c>
      <c r="B694" s="532">
        <v>42200064</v>
      </c>
      <c r="C694" s="532" t="s">
        <v>6682</v>
      </c>
      <c r="D694" s="532" t="s">
        <v>6683</v>
      </c>
      <c r="E694" s="532" t="s">
        <v>1405</v>
      </c>
      <c r="F694" s="532" t="s">
        <v>6684</v>
      </c>
      <c r="G694" s="532" t="s">
        <v>2392</v>
      </c>
      <c r="H694" s="533"/>
      <c r="I694" s="535"/>
      <c r="J694" s="535"/>
      <c r="K694" s="535"/>
      <c r="L694" s="535"/>
      <c r="M694" s="535"/>
      <c r="N694" s="535"/>
      <c r="O694" s="535"/>
      <c r="P694" s="535"/>
      <c r="Q694" s="535"/>
      <c r="R694" s="535"/>
      <c r="S694" s="535"/>
      <c r="T694" s="535"/>
      <c r="U694" s="535"/>
      <c r="V694" s="535"/>
      <c r="W694" s="535"/>
      <c r="X694" s="535"/>
      <c r="Y694" s="536"/>
    </row>
    <row r="695" spans="1:25" ht="12.75">
      <c r="A695" s="532" t="s">
        <v>6687</v>
      </c>
      <c r="B695" s="532">
        <v>42200067</v>
      </c>
      <c r="C695" s="532" t="s">
        <v>6678</v>
      </c>
      <c r="D695" s="532" t="s">
        <v>6679</v>
      </c>
      <c r="E695" s="532" t="s">
        <v>1405</v>
      </c>
      <c r="F695" s="532" t="s">
        <v>6680</v>
      </c>
      <c r="G695" s="532" t="s">
        <v>1468</v>
      </c>
      <c r="H695" s="533"/>
      <c r="I695" s="535"/>
      <c r="J695" s="535"/>
      <c r="K695" s="535"/>
      <c r="L695" s="535"/>
      <c r="M695" s="535"/>
      <c r="N695" s="535"/>
      <c r="O695" s="535"/>
      <c r="P695" s="535"/>
      <c r="Q695" s="535"/>
      <c r="R695" s="535"/>
      <c r="S695" s="535"/>
      <c r="T695" s="535"/>
      <c r="U695" s="535"/>
      <c r="V695" s="535"/>
      <c r="W695" s="535"/>
      <c r="X695" s="535"/>
      <c r="Y695" s="536"/>
    </row>
    <row r="696" spans="1:25" ht="12.75">
      <c r="A696" s="532" t="s">
        <v>6688</v>
      </c>
      <c r="B696" s="532">
        <v>42200064</v>
      </c>
      <c r="C696" s="532" t="s">
        <v>6682</v>
      </c>
      <c r="D696" s="532" t="s">
        <v>6683</v>
      </c>
      <c r="E696" s="532" t="s">
        <v>1405</v>
      </c>
      <c r="F696" s="532" t="s">
        <v>6684</v>
      </c>
      <c r="G696" s="532" t="s">
        <v>2392</v>
      </c>
      <c r="H696" s="533"/>
      <c r="I696" s="535"/>
      <c r="J696" s="535"/>
      <c r="K696" s="535"/>
      <c r="L696" s="535"/>
      <c r="M696" s="535"/>
      <c r="N696" s="535"/>
      <c r="O696" s="535"/>
      <c r="P696" s="535"/>
      <c r="Q696" s="535"/>
      <c r="R696" s="535"/>
      <c r="S696" s="535"/>
      <c r="T696" s="535"/>
      <c r="U696" s="535"/>
      <c r="V696" s="535"/>
      <c r="W696" s="535"/>
      <c r="X696" s="535"/>
      <c r="Y696" s="536"/>
    </row>
    <row r="697" spans="1:25" ht="12.75">
      <c r="A697" s="532" t="s">
        <v>6689</v>
      </c>
      <c r="B697" s="532">
        <v>42200064</v>
      </c>
      <c r="C697" s="532" t="s">
        <v>6682</v>
      </c>
      <c r="D697" s="532" t="s">
        <v>6683</v>
      </c>
      <c r="E697" s="532" t="s">
        <v>1405</v>
      </c>
      <c r="F697" s="532" t="s">
        <v>6684</v>
      </c>
      <c r="G697" s="532" t="s">
        <v>2392</v>
      </c>
      <c r="H697" s="533"/>
      <c r="I697" s="535"/>
      <c r="J697" s="535"/>
      <c r="K697" s="535"/>
      <c r="L697" s="535"/>
      <c r="M697" s="535"/>
      <c r="N697" s="535"/>
      <c r="O697" s="535"/>
      <c r="P697" s="535"/>
      <c r="Q697" s="535"/>
      <c r="R697" s="535"/>
      <c r="S697" s="535"/>
      <c r="T697" s="535"/>
      <c r="U697" s="535"/>
      <c r="V697" s="535"/>
      <c r="W697" s="535"/>
      <c r="X697" s="535"/>
      <c r="Y697" s="536"/>
    </row>
    <row r="698" spans="1:25" ht="12.75">
      <c r="A698" s="532" t="s">
        <v>6690</v>
      </c>
      <c r="B698" s="532">
        <v>42200064</v>
      </c>
      <c r="C698" s="532" t="s">
        <v>6682</v>
      </c>
      <c r="D698" s="532" t="s">
        <v>6683</v>
      </c>
      <c r="E698" s="532" t="s">
        <v>1405</v>
      </c>
      <c r="F698" s="532" t="s">
        <v>6684</v>
      </c>
      <c r="G698" s="532" t="s">
        <v>2392</v>
      </c>
      <c r="H698" s="533"/>
      <c r="I698" s="535"/>
      <c r="J698" s="535"/>
      <c r="K698" s="535"/>
      <c r="L698" s="535"/>
      <c r="M698" s="535"/>
      <c r="N698" s="535"/>
      <c r="O698" s="535"/>
      <c r="P698" s="535"/>
      <c r="Q698" s="535"/>
      <c r="R698" s="535"/>
      <c r="S698" s="535"/>
      <c r="T698" s="535"/>
      <c r="U698" s="535"/>
      <c r="V698" s="535"/>
      <c r="W698" s="535"/>
      <c r="X698" s="535"/>
      <c r="Y698" s="536"/>
    </row>
    <row r="699" spans="1:25" ht="12.75">
      <c r="A699" s="532" t="s">
        <v>6691</v>
      </c>
      <c r="B699" s="532">
        <v>42200067</v>
      </c>
      <c r="C699" s="532" t="s">
        <v>6678</v>
      </c>
      <c r="D699" s="532" t="s">
        <v>6679</v>
      </c>
      <c r="E699" s="532" t="s">
        <v>1405</v>
      </c>
      <c r="F699" s="532" t="s">
        <v>6680</v>
      </c>
      <c r="G699" s="532" t="s">
        <v>1468</v>
      </c>
      <c r="H699" s="533"/>
      <c r="I699" s="535"/>
      <c r="J699" s="535"/>
      <c r="K699" s="535"/>
      <c r="L699" s="535"/>
      <c r="M699" s="535"/>
      <c r="N699" s="535"/>
      <c r="O699" s="535"/>
      <c r="P699" s="535"/>
      <c r="Q699" s="535"/>
      <c r="R699" s="535"/>
      <c r="S699" s="535"/>
      <c r="T699" s="535"/>
      <c r="U699" s="535"/>
      <c r="V699" s="535"/>
      <c r="W699" s="535"/>
      <c r="X699" s="535"/>
      <c r="Y699" s="536"/>
    </row>
    <row r="700" spans="1:25" ht="12.75">
      <c r="A700" s="532" t="s">
        <v>6692</v>
      </c>
      <c r="B700" s="532">
        <v>42200064</v>
      </c>
      <c r="C700" s="532" t="s">
        <v>6682</v>
      </c>
      <c r="D700" s="532" t="s">
        <v>6683</v>
      </c>
      <c r="E700" s="532" t="s">
        <v>1405</v>
      </c>
      <c r="F700" s="532" t="s">
        <v>6684</v>
      </c>
      <c r="G700" s="532" t="s">
        <v>2392</v>
      </c>
      <c r="H700" s="533"/>
      <c r="I700" s="535"/>
      <c r="J700" s="535"/>
      <c r="K700" s="535"/>
      <c r="L700" s="535"/>
      <c r="M700" s="535"/>
      <c r="N700" s="535"/>
      <c r="O700" s="535"/>
      <c r="P700" s="535"/>
      <c r="Q700" s="535"/>
      <c r="R700" s="535"/>
      <c r="S700" s="535"/>
      <c r="T700" s="535"/>
      <c r="U700" s="535"/>
      <c r="V700" s="535"/>
      <c r="W700" s="535"/>
      <c r="X700" s="535"/>
      <c r="Y700" s="536"/>
    </row>
    <row r="701" spans="1:25" ht="12.75">
      <c r="A701" s="532" t="s">
        <v>6693</v>
      </c>
      <c r="B701" s="532">
        <v>42200064</v>
      </c>
      <c r="C701" s="532" t="s">
        <v>6682</v>
      </c>
      <c r="D701" s="532" t="s">
        <v>6683</v>
      </c>
      <c r="E701" s="532" t="s">
        <v>1405</v>
      </c>
      <c r="F701" s="532" t="s">
        <v>6684</v>
      </c>
      <c r="G701" s="532" t="s">
        <v>2392</v>
      </c>
      <c r="H701" s="533"/>
      <c r="I701" s="535"/>
      <c r="J701" s="535"/>
      <c r="K701" s="535"/>
      <c r="L701" s="535"/>
      <c r="M701" s="535"/>
      <c r="N701" s="535"/>
      <c r="O701" s="535"/>
      <c r="P701" s="535"/>
      <c r="Q701" s="535"/>
      <c r="R701" s="535"/>
      <c r="S701" s="535"/>
      <c r="T701" s="535"/>
      <c r="U701" s="535"/>
      <c r="V701" s="535"/>
      <c r="W701" s="535"/>
      <c r="X701" s="535"/>
      <c r="Y701" s="536"/>
    </row>
    <row r="702" spans="1:25" ht="12.75">
      <c r="A702" s="532" t="s">
        <v>6694</v>
      </c>
      <c r="B702" s="532">
        <v>42200064</v>
      </c>
      <c r="C702" s="532" t="s">
        <v>6682</v>
      </c>
      <c r="D702" s="532" t="s">
        <v>6683</v>
      </c>
      <c r="E702" s="532" t="s">
        <v>1405</v>
      </c>
      <c r="F702" s="532" t="s">
        <v>6684</v>
      </c>
      <c r="G702" s="532" t="s">
        <v>2392</v>
      </c>
      <c r="H702" s="533"/>
      <c r="I702" s="535"/>
      <c r="J702" s="535"/>
      <c r="K702" s="535"/>
      <c r="L702" s="535"/>
      <c r="M702" s="535"/>
      <c r="N702" s="535"/>
      <c r="O702" s="535"/>
      <c r="P702" s="535"/>
      <c r="Q702" s="535"/>
      <c r="R702" s="535"/>
      <c r="S702" s="535"/>
      <c r="T702" s="535"/>
      <c r="U702" s="535"/>
      <c r="V702" s="535"/>
      <c r="W702" s="535"/>
      <c r="X702" s="535"/>
      <c r="Y702" s="536"/>
    </row>
    <row r="703" spans="1:25" ht="12.75">
      <c r="A703" s="532" t="s">
        <v>6695</v>
      </c>
      <c r="B703" s="532">
        <v>42200067</v>
      </c>
      <c r="C703" s="532" t="s">
        <v>6678</v>
      </c>
      <c r="D703" s="532" t="s">
        <v>6679</v>
      </c>
      <c r="E703" s="532" t="s">
        <v>1405</v>
      </c>
      <c r="F703" s="532" t="s">
        <v>6680</v>
      </c>
      <c r="G703" s="532" t="s">
        <v>6696</v>
      </c>
      <c r="H703" s="533"/>
      <c r="I703" s="535"/>
      <c r="J703" s="535"/>
      <c r="K703" s="535"/>
      <c r="L703" s="535"/>
      <c r="M703" s="535"/>
      <c r="N703" s="535"/>
      <c r="O703" s="535"/>
      <c r="P703" s="535"/>
      <c r="Q703" s="535"/>
      <c r="R703" s="535"/>
      <c r="S703" s="535"/>
      <c r="T703" s="535"/>
      <c r="U703" s="535"/>
      <c r="V703" s="535"/>
      <c r="W703" s="535"/>
      <c r="X703" s="535"/>
      <c r="Y703" s="536"/>
    </row>
    <row r="704" spans="1:25" ht="12.75">
      <c r="A704" s="532" t="s">
        <v>6697</v>
      </c>
      <c r="B704" s="532">
        <v>42200064</v>
      </c>
      <c r="C704" s="532" t="s">
        <v>6682</v>
      </c>
      <c r="D704" s="532" t="s">
        <v>6683</v>
      </c>
      <c r="E704" s="532" t="s">
        <v>1405</v>
      </c>
      <c r="F704" s="532" t="s">
        <v>6698</v>
      </c>
      <c r="G704" s="532" t="s">
        <v>2392</v>
      </c>
      <c r="H704" s="533"/>
      <c r="I704" s="535"/>
      <c r="J704" s="535"/>
      <c r="K704" s="535"/>
      <c r="L704" s="535"/>
      <c r="M704" s="535"/>
      <c r="N704" s="535"/>
      <c r="O704" s="535"/>
      <c r="P704" s="535"/>
      <c r="Q704" s="535"/>
      <c r="R704" s="535"/>
      <c r="S704" s="535"/>
      <c r="T704" s="535"/>
      <c r="U704" s="535"/>
      <c r="V704" s="535"/>
      <c r="W704" s="535"/>
      <c r="X704" s="535"/>
      <c r="Y704" s="536"/>
    </row>
    <row r="705" spans="1:25" ht="12.75">
      <c r="A705" s="532" t="s">
        <v>6699</v>
      </c>
      <c r="B705" s="532">
        <v>42200064</v>
      </c>
      <c r="C705" s="532" t="s">
        <v>6682</v>
      </c>
      <c r="D705" s="532" t="s">
        <v>6683</v>
      </c>
      <c r="E705" s="532" t="s">
        <v>1405</v>
      </c>
      <c r="F705" s="532" t="s">
        <v>6698</v>
      </c>
      <c r="G705" s="532" t="s">
        <v>2392</v>
      </c>
      <c r="H705" s="533"/>
      <c r="I705" s="535"/>
      <c r="J705" s="535"/>
      <c r="K705" s="535"/>
      <c r="L705" s="535"/>
      <c r="M705" s="535"/>
      <c r="N705" s="535"/>
      <c r="O705" s="535"/>
      <c r="P705" s="535"/>
      <c r="Q705" s="535"/>
      <c r="R705" s="535"/>
      <c r="S705" s="535"/>
      <c r="T705" s="535"/>
      <c r="U705" s="535"/>
      <c r="V705" s="535"/>
      <c r="W705" s="535"/>
      <c r="X705" s="535"/>
      <c r="Y705" s="536"/>
    </row>
    <row r="706" spans="1:25" ht="12.75">
      <c r="A706" s="532" t="s">
        <v>6700</v>
      </c>
      <c r="B706" s="532">
        <v>42200064</v>
      </c>
      <c r="C706" s="532" t="s">
        <v>6682</v>
      </c>
      <c r="D706" s="532" t="s">
        <v>6683</v>
      </c>
      <c r="E706" s="532" t="s">
        <v>1405</v>
      </c>
      <c r="F706" s="532" t="s">
        <v>6698</v>
      </c>
      <c r="G706" s="532" t="s">
        <v>2392</v>
      </c>
      <c r="H706" s="533"/>
      <c r="I706" s="535"/>
      <c r="J706" s="535"/>
      <c r="K706" s="535"/>
      <c r="L706" s="535"/>
      <c r="M706" s="535"/>
      <c r="N706" s="535"/>
      <c r="O706" s="535"/>
      <c r="P706" s="535"/>
      <c r="Q706" s="535"/>
      <c r="R706" s="535"/>
      <c r="S706" s="535"/>
      <c r="T706" s="535"/>
      <c r="U706" s="535"/>
      <c r="V706" s="535"/>
      <c r="W706" s="535"/>
      <c r="X706" s="535"/>
      <c r="Y706" s="536"/>
    </row>
    <row r="707" spans="1:25" ht="12.75">
      <c r="A707" s="532" t="s">
        <v>6701</v>
      </c>
      <c r="B707" s="532">
        <v>42200067</v>
      </c>
      <c r="C707" s="532" t="s">
        <v>6678</v>
      </c>
      <c r="D707" s="532" t="s">
        <v>6679</v>
      </c>
      <c r="E707" s="532" t="s">
        <v>1405</v>
      </c>
      <c r="F707" s="532" t="s">
        <v>6680</v>
      </c>
      <c r="G707" s="532" t="s">
        <v>6696</v>
      </c>
      <c r="H707" s="533"/>
      <c r="I707" s="535"/>
      <c r="J707" s="535"/>
      <c r="K707" s="535"/>
      <c r="L707" s="535"/>
      <c r="M707" s="535"/>
      <c r="N707" s="535"/>
      <c r="O707" s="535"/>
      <c r="P707" s="535"/>
      <c r="Q707" s="535"/>
      <c r="R707" s="535"/>
      <c r="S707" s="535"/>
      <c r="T707" s="535"/>
      <c r="U707" s="535"/>
      <c r="V707" s="535"/>
      <c r="W707" s="535"/>
      <c r="X707" s="535"/>
      <c r="Y707" s="536"/>
    </row>
    <row r="708" spans="1:25" ht="12.75">
      <c r="A708" s="532" t="s">
        <v>6702</v>
      </c>
      <c r="B708" s="532">
        <v>42200064</v>
      </c>
      <c r="C708" s="532" t="s">
        <v>6682</v>
      </c>
      <c r="D708" s="532" t="s">
        <v>6683</v>
      </c>
      <c r="E708" s="532" t="s">
        <v>1405</v>
      </c>
      <c r="F708" s="532" t="s">
        <v>6698</v>
      </c>
      <c r="G708" s="532" t="s">
        <v>2392</v>
      </c>
      <c r="H708" s="533"/>
      <c r="I708" s="535"/>
      <c r="J708" s="535"/>
      <c r="K708" s="535"/>
      <c r="L708" s="535"/>
      <c r="M708" s="535"/>
      <c r="N708" s="535"/>
      <c r="O708" s="535"/>
      <c r="P708" s="535"/>
      <c r="Q708" s="535"/>
      <c r="R708" s="535"/>
      <c r="S708" s="535"/>
      <c r="T708" s="535"/>
      <c r="U708" s="535"/>
      <c r="V708" s="535"/>
      <c r="W708" s="535"/>
      <c r="X708" s="535"/>
      <c r="Y708" s="536"/>
    </row>
    <row r="709" spans="1:25" ht="12.75">
      <c r="A709" s="532" t="s">
        <v>6703</v>
      </c>
      <c r="B709" s="532">
        <v>42200064</v>
      </c>
      <c r="C709" s="532" t="s">
        <v>6682</v>
      </c>
      <c r="D709" s="532" t="s">
        <v>6683</v>
      </c>
      <c r="E709" s="532" t="s">
        <v>1405</v>
      </c>
      <c r="F709" s="532" t="s">
        <v>6698</v>
      </c>
      <c r="G709" s="532" t="s">
        <v>2392</v>
      </c>
      <c r="H709" s="533"/>
      <c r="I709" s="535"/>
      <c r="J709" s="535"/>
      <c r="K709" s="535"/>
      <c r="L709" s="535"/>
      <c r="M709" s="535"/>
      <c r="N709" s="535"/>
      <c r="O709" s="535"/>
      <c r="P709" s="535"/>
      <c r="Q709" s="535"/>
      <c r="R709" s="535"/>
      <c r="S709" s="535"/>
      <c r="T709" s="535"/>
      <c r="U709" s="535"/>
      <c r="V709" s="535"/>
      <c r="W709" s="535"/>
      <c r="X709" s="535"/>
      <c r="Y709" s="536"/>
    </row>
    <row r="710" spans="1:25" ht="12.75">
      <c r="A710" s="532" t="s">
        <v>6704</v>
      </c>
      <c r="B710" s="532">
        <v>42200064</v>
      </c>
      <c r="C710" s="532" t="s">
        <v>6682</v>
      </c>
      <c r="D710" s="532" t="s">
        <v>6683</v>
      </c>
      <c r="E710" s="532" t="s">
        <v>1405</v>
      </c>
      <c r="F710" s="532" t="s">
        <v>6698</v>
      </c>
      <c r="G710" s="532" t="s">
        <v>2392</v>
      </c>
      <c r="H710" s="533"/>
      <c r="I710" s="535"/>
      <c r="J710" s="535"/>
      <c r="K710" s="535"/>
      <c r="L710" s="535"/>
      <c r="M710" s="535"/>
      <c r="N710" s="535"/>
      <c r="O710" s="535"/>
      <c r="P710" s="535"/>
      <c r="Q710" s="535"/>
      <c r="R710" s="535"/>
      <c r="S710" s="535"/>
      <c r="T710" s="535"/>
      <c r="U710" s="535"/>
      <c r="V710" s="535"/>
      <c r="W710" s="535"/>
      <c r="X710" s="535"/>
      <c r="Y710" s="536"/>
    </row>
    <row r="711" spans="1:25" ht="12.75">
      <c r="A711" s="532" t="s">
        <v>6705</v>
      </c>
      <c r="B711" s="532">
        <v>42200009</v>
      </c>
      <c r="C711" s="532" t="s">
        <v>6678</v>
      </c>
      <c r="D711" s="532" t="s">
        <v>6706</v>
      </c>
      <c r="E711" s="532" t="s">
        <v>1405</v>
      </c>
      <c r="F711" s="532" t="s">
        <v>6680</v>
      </c>
      <c r="G711" s="532" t="s">
        <v>6696</v>
      </c>
      <c r="H711" s="533"/>
      <c r="I711" s="535"/>
      <c r="J711" s="535"/>
      <c r="K711" s="535"/>
      <c r="L711" s="535"/>
      <c r="M711" s="535"/>
      <c r="N711" s="535"/>
      <c r="O711" s="535"/>
      <c r="P711" s="535"/>
      <c r="Q711" s="535"/>
      <c r="R711" s="535"/>
      <c r="S711" s="535"/>
      <c r="T711" s="535"/>
      <c r="U711" s="535"/>
      <c r="V711" s="535"/>
      <c r="W711" s="535"/>
      <c r="X711" s="535"/>
      <c r="Y711" s="536"/>
    </row>
    <row r="712" spans="1:25" ht="12.75">
      <c r="A712" s="532" t="s">
        <v>6707</v>
      </c>
      <c r="B712" s="532">
        <v>42100231</v>
      </c>
      <c r="C712" s="532" t="s">
        <v>6708</v>
      </c>
      <c r="D712" s="532" t="s">
        <v>6708</v>
      </c>
      <c r="E712" s="532" t="s">
        <v>1405</v>
      </c>
      <c r="F712" s="532" t="s">
        <v>6684</v>
      </c>
      <c r="G712" s="532" t="s">
        <v>2392</v>
      </c>
      <c r="H712" s="533"/>
      <c r="I712" s="535"/>
      <c r="J712" s="535"/>
      <c r="K712" s="535"/>
      <c r="L712" s="535"/>
      <c r="M712" s="535"/>
      <c r="N712" s="535"/>
      <c r="O712" s="535"/>
      <c r="P712" s="535"/>
      <c r="Q712" s="535"/>
      <c r="R712" s="535"/>
      <c r="S712" s="535"/>
      <c r="T712" s="535"/>
      <c r="U712" s="535"/>
      <c r="V712" s="535"/>
      <c r="W712" s="535"/>
      <c r="X712" s="535"/>
      <c r="Y712" s="536"/>
    </row>
    <row r="713" spans="1:25" ht="12.75">
      <c r="A713" s="532" t="s">
        <v>6709</v>
      </c>
      <c r="B713" s="532">
        <v>42100231</v>
      </c>
      <c r="C713" s="532" t="s">
        <v>6708</v>
      </c>
      <c r="D713" s="532" t="s">
        <v>6708</v>
      </c>
      <c r="E713" s="532" t="s">
        <v>1405</v>
      </c>
      <c r="F713" s="532" t="s">
        <v>6684</v>
      </c>
      <c r="G713" s="532" t="s">
        <v>2392</v>
      </c>
      <c r="H713" s="533"/>
      <c r="I713" s="535"/>
      <c r="J713" s="535"/>
      <c r="K713" s="535"/>
      <c r="L713" s="535"/>
      <c r="M713" s="535"/>
      <c r="N713" s="535"/>
      <c r="O713" s="535"/>
      <c r="P713" s="535"/>
      <c r="Q713" s="535"/>
      <c r="R713" s="535"/>
      <c r="S713" s="535"/>
      <c r="T713" s="535"/>
      <c r="U713" s="535"/>
      <c r="V713" s="535"/>
      <c r="W713" s="535"/>
      <c r="X713" s="535"/>
      <c r="Y713" s="536"/>
    </row>
    <row r="714" spans="1:25" ht="12.75">
      <c r="A714" s="532" t="s">
        <v>6710</v>
      </c>
      <c r="B714" s="532">
        <v>42100231</v>
      </c>
      <c r="C714" s="532" t="s">
        <v>6708</v>
      </c>
      <c r="D714" s="532" t="s">
        <v>6708</v>
      </c>
      <c r="E714" s="532" t="s">
        <v>1405</v>
      </c>
      <c r="F714" s="532" t="s">
        <v>6684</v>
      </c>
      <c r="G714" s="532" t="s">
        <v>2392</v>
      </c>
      <c r="H714" s="533"/>
      <c r="I714" s="535"/>
      <c r="J714" s="535"/>
      <c r="K714" s="535"/>
      <c r="L714" s="535"/>
      <c r="M714" s="535"/>
      <c r="N714" s="535"/>
      <c r="O714" s="535"/>
      <c r="P714" s="535"/>
      <c r="Q714" s="535"/>
      <c r="R714" s="535"/>
      <c r="S714" s="535"/>
      <c r="T714" s="535"/>
      <c r="U714" s="535"/>
      <c r="V714" s="535"/>
      <c r="W714" s="535"/>
      <c r="X714" s="535"/>
      <c r="Y714" s="536"/>
    </row>
    <row r="715" spans="1:25" ht="12.75">
      <c r="A715" s="532" t="s">
        <v>6711</v>
      </c>
      <c r="B715" s="532">
        <v>42200007</v>
      </c>
      <c r="C715" s="532" t="s">
        <v>6712</v>
      </c>
      <c r="D715" s="532" t="s">
        <v>6713</v>
      </c>
      <c r="E715" s="532" t="s">
        <v>1405</v>
      </c>
      <c r="F715" s="532" t="s">
        <v>6680</v>
      </c>
      <c r="G715" s="532" t="s">
        <v>1468</v>
      </c>
      <c r="H715" s="533"/>
      <c r="I715" s="535"/>
      <c r="J715" s="535"/>
      <c r="K715" s="535"/>
      <c r="L715" s="535"/>
      <c r="M715" s="535"/>
      <c r="N715" s="535"/>
      <c r="O715" s="535"/>
      <c r="P715" s="535"/>
      <c r="Q715" s="535"/>
      <c r="R715" s="535"/>
      <c r="S715" s="535"/>
      <c r="T715" s="535"/>
      <c r="U715" s="535"/>
      <c r="V715" s="535"/>
      <c r="W715" s="535"/>
      <c r="X715" s="535"/>
      <c r="Y715" s="536"/>
    </row>
    <row r="716" spans="1:25" ht="12.75">
      <c r="A716" s="532" t="s">
        <v>6714</v>
      </c>
      <c r="B716" s="532">
        <v>42100239</v>
      </c>
      <c r="C716" s="532" t="s">
        <v>6715</v>
      </c>
      <c r="D716" s="532" t="s">
        <v>6715</v>
      </c>
      <c r="E716" s="532" t="s">
        <v>1405</v>
      </c>
      <c r="F716" s="532" t="s">
        <v>6684</v>
      </c>
      <c r="G716" s="532" t="s">
        <v>2392</v>
      </c>
      <c r="H716" s="533"/>
      <c r="I716" s="535"/>
      <c r="J716" s="535"/>
      <c r="K716" s="535"/>
      <c r="L716" s="535"/>
      <c r="M716" s="535"/>
      <c r="N716" s="535"/>
      <c r="O716" s="535"/>
      <c r="P716" s="535"/>
      <c r="Q716" s="535"/>
      <c r="R716" s="535"/>
      <c r="S716" s="535"/>
      <c r="T716" s="535"/>
      <c r="U716" s="535"/>
      <c r="V716" s="535"/>
      <c r="W716" s="535"/>
      <c r="X716" s="535"/>
      <c r="Y716" s="536"/>
    </row>
    <row r="717" spans="1:25" ht="12.75">
      <c r="A717" s="532" t="s">
        <v>6716</v>
      </c>
      <c r="B717" s="532">
        <v>42100239</v>
      </c>
      <c r="C717" s="532" t="s">
        <v>6715</v>
      </c>
      <c r="D717" s="532" t="s">
        <v>6715</v>
      </c>
      <c r="E717" s="532" t="s">
        <v>1405</v>
      </c>
      <c r="F717" s="532" t="s">
        <v>6684</v>
      </c>
      <c r="G717" s="532" t="s">
        <v>2392</v>
      </c>
      <c r="H717" s="533"/>
      <c r="I717" s="535"/>
      <c r="J717" s="535"/>
      <c r="K717" s="535"/>
      <c r="L717" s="535"/>
      <c r="M717" s="535"/>
      <c r="N717" s="535"/>
      <c r="O717" s="535"/>
      <c r="P717" s="535"/>
      <c r="Q717" s="535"/>
      <c r="R717" s="535"/>
      <c r="S717" s="535"/>
      <c r="T717" s="535"/>
      <c r="U717" s="535"/>
      <c r="V717" s="535"/>
      <c r="W717" s="535"/>
      <c r="X717" s="535"/>
      <c r="Y717" s="536"/>
    </row>
    <row r="718" spans="1:25" ht="12.75">
      <c r="A718" s="532" t="s">
        <v>6717</v>
      </c>
      <c r="B718" s="532">
        <v>42100239</v>
      </c>
      <c r="C718" s="532" t="s">
        <v>6715</v>
      </c>
      <c r="D718" s="532" t="s">
        <v>6715</v>
      </c>
      <c r="E718" s="532" t="s">
        <v>1405</v>
      </c>
      <c r="F718" s="532" t="s">
        <v>6684</v>
      </c>
      <c r="G718" s="532" t="s">
        <v>2392</v>
      </c>
      <c r="H718" s="533"/>
      <c r="I718" s="535"/>
      <c r="J718" s="535"/>
      <c r="K718" s="535"/>
      <c r="L718" s="535"/>
      <c r="M718" s="535"/>
      <c r="N718" s="535"/>
      <c r="O718" s="535"/>
      <c r="P718" s="535"/>
      <c r="Q718" s="535"/>
      <c r="R718" s="535"/>
      <c r="S718" s="535"/>
      <c r="T718" s="535"/>
      <c r="U718" s="535"/>
      <c r="V718" s="535"/>
      <c r="W718" s="535"/>
      <c r="X718" s="535"/>
      <c r="Y718" s="536"/>
    </row>
    <row r="719" spans="1:25" ht="12.75">
      <c r="A719" s="532" t="s">
        <v>6718</v>
      </c>
      <c r="B719" s="532">
        <v>42200007</v>
      </c>
      <c r="C719" s="532" t="s">
        <v>6712</v>
      </c>
      <c r="D719" s="532" t="s">
        <v>6713</v>
      </c>
      <c r="E719" s="532" t="s">
        <v>1405</v>
      </c>
      <c r="F719" s="532" t="s">
        <v>6680</v>
      </c>
      <c r="G719" s="532" t="s">
        <v>1468</v>
      </c>
      <c r="H719" s="533"/>
      <c r="I719" s="535"/>
      <c r="J719" s="535"/>
      <c r="K719" s="535"/>
      <c r="L719" s="535"/>
      <c r="M719" s="535"/>
      <c r="N719" s="535"/>
      <c r="O719" s="535"/>
      <c r="P719" s="535"/>
      <c r="Q719" s="535"/>
      <c r="R719" s="535"/>
      <c r="S719" s="535"/>
      <c r="T719" s="535"/>
      <c r="U719" s="535"/>
      <c r="V719" s="535"/>
      <c r="W719" s="535"/>
      <c r="X719" s="535"/>
      <c r="Y719" s="536"/>
    </row>
    <row r="720" spans="1:25" ht="12.75">
      <c r="A720" s="532" t="s">
        <v>6719</v>
      </c>
      <c r="B720" s="532">
        <v>42100239</v>
      </c>
      <c r="C720" s="532" t="s">
        <v>6715</v>
      </c>
      <c r="D720" s="532" t="s">
        <v>6715</v>
      </c>
      <c r="E720" s="532" t="s">
        <v>1405</v>
      </c>
      <c r="F720" s="532" t="s">
        <v>6684</v>
      </c>
      <c r="G720" s="532" t="s">
        <v>2392</v>
      </c>
      <c r="H720" s="533"/>
      <c r="I720" s="535"/>
      <c r="J720" s="535"/>
      <c r="K720" s="535"/>
      <c r="L720" s="535"/>
      <c r="M720" s="535"/>
      <c r="N720" s="535"/>
      <c r="O720" s="535"/>
      <c r="P720" s="535"/>
      <c r="Q720" s="535"/>
      <c r="R720" s="535"/>
      <c r="S720" s="535"/>
      <c r="T720" s="535"/>
      <c r="U720" s="535"/>
      <c r="V720" s="535"/>
      <c r="W720" s="535"/>
      <c r="X720" s="535"/>
      <c r="Y720" s="536"/>
    </row>
    <row r="721" spans="1:25" ht="12.75">
      <c r="A721" s="532" t="s">
        <v>6720</v>
      </c>
      <c r="B721" s="532">
        <v>42100239</v>
      </c>
      <c r="C721" s="532" t="s">
        <v>6715</v>
      </c>
      <c r="D721" s="532" t="s">
        <v>6715</v>
      </c>
      <c r="E721" s="532" t="s">
        <v>1405</v>
      </c>
      <c r="F721" s="532" t="s">
        <v>6684</v>
      </c>
      <c r="G721" s="532" t="s">
        <v>2392</v>
      </c>
      <c r="H721" s="533"/>
      <c r="I721" s="535"/>
      <c r="J721" s="535"/>
      <c r="K721" s="535"/>
      <c r="L721" s="535"/>
      <c r="M721" s="535"/>
      <c r="N721" s="535"/>
      <c r="O721" s="535"/>
      <c r="P721" s="535"/>
      <c r="Q721" s="535"/>
      <c r="R721" s="535"/>
      <c r="S721" s="535"/>
      <c r="T721" s="535"/>
      <c r="U721" s="535"/>
      <c r="V721" s="535"/>
      <c r="W721" s="535"/>
      <c r="X721" s="535"/>
      <c r="Y721" s="536"/>
    </row>
    <row r="722" spans="1:25" ht="12.75">
      <c r="A722" s="532" t="s">
        <v>6721</v>
      </c>
      <c r="B722" s="532">
        <v>42100239</v>
      </c>
      <c r="C722" s="532" t="s">
        <v>6715</v>
      </c>
      <c r="D722" s="532" t="s">
        <v>6715</v>
      </c>
      <c r="E722" s="532" t="s">
        <v>1405</v>
      </c>
      <c r="F722" s="532" t="s">
        <v>6684</v>
      </c>
      <c r="G722" s="532" t="s">
        <v>2392</v>
      </c>
      <c r="H722" s="533"/>
      <c r="I722" s="535"/>
      <c r="J722" s="535"/>
      <c r="K722" s="535"/>
      <c r="L722" s="535"/>
      <c r="M722" s="535"/>
      <c r="N722" s="535"/>
      <c r="O722" s="535"/>
      <c r="P722" s="535"/>
      <c r="Q722" s="535"/>
      <c r="R722" s="535"/>
      <c r="S722" s="535"/>
      <c r="T722" s="535"/>
      <c r="U722" s="535"/>
      <c r="V722" s="535"/>
      <c r="W722" s="535"/>
      <c r="X722" s="535"/>
      <c r="Y722" s="536"/>
    </row>
    <row r="723" spans="1:25" ht="12.75">
      <c r="A723" s="532" t="s">
        <v>6722</v>
      </c>
      <c r="B723" s="532">
        <v>42100235</v>
      </c>
      <c r="C723" s="532" t="s">
        <v>6723</v>
      </c>
      <c r="D723" s="532" t="s">
        <v>6724</v>
      </c>
      <c r="E723" s="532" t="s">
        <v>1405</v>
      </c>
      <c r="F723" s="532" t="s">
        <v>6680</v>
      </c>
      <c r="G723" s="532" t="s">
        <v>1468</v>
      </c>
      <c r="H723" s="533"/>
      <c r="I723" s="535"/>
      <c r="J723" s="535"/>
      <c r="K723" s="535"/>
      <c r="L723" s="535"/>
      <c r="M723" s="535"/>
      <c r="N723" s="535"/>
      <c r="O723" s="535"/>
      <c r="P723" s="535"/>
      <c r="Q723" s="535"/>
      <c r="R723" s="535"/>
      <c r="S723" s="535"/>
      <c r="T723" s="535"/>
      <c r="U723" s="535"/>
      <c r="V723" s="535"/>
      <c r="W723" s="535"/>
      <c r="X723" s="535"/>
      <c r="Y723" s="536"/>
    </row>
    <row r="724" spans="1:25" ht="12.75">
      <c r="A724" s="532" t="s">
        <v>6725</v>
      </c>
      <c r="B724" s="532">
        <v>42200066</v>
      </c>
      <c r="C724" s="532" t="s">
        <v>6678</v>
      </c>
      <c r="D724" s="532" t="s">
        <v>6679</v>
      </c>
      <c r="E724" s="532" t="s">
        <v>1405</v>
      </c>
      <c r="F724" s="532" t="s">
        <v>6680</v>
      </c>
      <c r="G724" s="532" t="s">
        <v>6696</v>
      </c>
      <c r="H724" s="533"/>
      <c r="I724" s="535"/>
      <c r="J724" s="535"/>
      <c r="K724" s="535"/>
      <c r="L724" s="535"/>
      <c r="M724" s="535"/>
      <c r="N724" s="535"/>
      <c r="O724" s="535"/>
      <c r="P724" s="535"/>
      <c r="Q724" s="535"/>
      <c r="R724" s="535"/>
      <c r="S724" s="535"/>
      <c r="T724" s="535"/>
      <c r="U724" s="535"/>
      <c r="V724" s="535"/>
      <c r="W724" s="535"/>
      <c r="X724" s="535"/>
      <c r="Y724" s="536"/>
    </row>
    <row r="725" spans="1:25" ht="12.75">
      <c r="A725" s="532" t="s">
        <v>6726</v>
      </c>
      <c r="B725" s="532">
        <v>42200065</v>
      </c>
      <c r="C725" s="532" t="s">
        <v>6682</v>
      </c>
      <c r="D725" s="532" t="s">
        <v>6683</v>
      </c>
      <c r="E725" s="532" t="s">
        <v>1405</v>
      </c>
      <c r="F725" s="532" t="s">
        <v>6698</v>
      </c>
      <c r="G725" s="532" t="s">
        <v>2392</v>
      </c>
      <c r="H725" s="533"/>
      <c r="I725" s="535"/>
      <c r="J725" s="535"/>
      <c r="K725" s="535"/>
      <c r="L725" s="535"/>
      <c r="M725" s="535"/>
      <c r="N725" s="535"/>
      <c r="O725" s="535"/>
      <c r="P725" s="535"/>
      <c r="Q725" s="535"/>
      <c r="R725" s="535"/>
      <c r="S725" s="535"/>
      <c r="T725" s="535"/>
      <c r="U725" s="535"/>
      <c r="V725" s="535"/>
      <c r="W725" s="535"/>
      <c r="X725" s="535"/>
      <c r="Y725" s="536"/>
    </row>
    <row r="726" spans="1:25" ht="12.75">
      <c r="A726" s="532" t="s">
        <v>6727</v>
      </c>
      <c r="B726" s="532">
        <v>42200064</v>
      </c>
      <c r="C726" s="532" t="s">
        <v>6682</v>
      </c>
      <c r="D726" s="532" t="s">
        <v>6683</v>
      </c>
      <c r="E726" s="532" t="s">
        <v>1405</v>
      </c>
      <c r="F726" s="532" t="s">
        <v>6698</v>
      </c>
      <c r="G726" s="532" t="s">
        <v>2392</v>
      </c>
      <c r="H726" s="533"/>
      <c r="I726" s="535"/>
      <c r="J726" s="535"/>
      <c r="K726" s="535"/>
      <c r="L726" s="535"/>
      <c r="M726" s="535"/>
      <c r="N726" s="535"/>
      <c r="O726" s="535"/>
      <c r="P726" s="535"/>
      <c r="Q726" s="535"/>
      <c r="R726" s="535"/>
      <c r="S726" s="535"/>
      <c r="T726" s="535"/>
      <c r="U726" s="535"/>
      <c r="V726" s="535"/>
      <c r="W726" s="535"/>
      <c r="X726" s="535"/>
      <c r="Y726" s="536"/>
    </row>
    <row r="727" spans="1:25" ht="12.75">
      <c r="A727" s="532" t="s">
        <v>6728</v>
      </c>
      <c r="B727" s="532">
        <v>42200064</v>
      </c>
      <c r="C727" s="532" t="s">
        <v>6682</v>
      </c>
      <c r="D727" s="532" t="s">
        <v>6683</v>
      </c>
      <c r="E727" s="532" t="s">
        <v>1405</v>
      </c>
      <c r="F727" s="532" t="s">
        <v>6698</v>
      </c>
      <c r="G727" s="532" t="s">
        <v>2392</v>
      </c>
      <c r="H727" s="533"/>
      <c r="I727" s="535"/>
      <c r="J727" s="535"/>
      <c r="K727" s="535"/>
      <c r="L727" s="535"/>
      <c r="M727" s="535"/>
      <c r="N727" s="535"/>
      <c r="O727" s="535"/>
      <c r="P727" s="535"/>
      <c r="Q727" s="535"/>
      <c r="R727" s="535"/>
      <c r="S727" s="535"/>
      <c r="T727" s="535"/>
      <c r="U727" s="535"/>
      <c r="V727" s="535"/>
      <c r="W727" s="535"/>
      <c r="X727" s="535"/>
      <c r="Y727" s="536"/>
    </row>
    <row r="728" spans="1:25" ht="12.75">
      <c r="A728" s="532" t="s">
        <v>6729</v>
      </c>
      <c r="B728" s="532">
        <v>42200066</v>
      </c>
      <c r="C728" s="532" t="s">
        <v>6678</v>
      </c>
      <c r="D728" s="532" t="s">
        <v>6679</v>
      </c>
      <c r="E728" s="532" t="s">
        <v>1405</v>
      </c>
      <c r="F728" s="532" t="s">
        <v>6680</v>
      </c>
      <c r="G728" s="532" t="s">
        <v>1468</v>
      </c>
      <c r="H728" s="533"/>
      <c r="I728" s="535"/>
      <c r="J728" s="535"/>
      <c r="K728" s="535"/>
      <c r="L728" s="535"/>
      <c r="M728" s="535"/>
      <c r="N728" s="535"/>
      <c r="O728" s="535"/>
      <c r="P728" s="535"/>
      <c r="Q728" s="535"/>
      <c r="R728" s="535"/>
      <c r="S728" s="535"/>
      <c r="T728" s="535"/>
      <c r="U728" s="535"/>
      <c r="V728" s="535"/>
      <c r="W728" s="535"/>
      <c r="X728" s="535"/>
      <c r="Y728" s="536"/>
    </row>
    <row r="729" spans="1:25" ht="12.75">
      <c r="A729" s="532" t="s">
        <v>6730</v>
      </c>
      <c r="B729" s="532">
        <v>42200064</v>
      </c>
      <c r="C729" s="532" t="s">
        <v>6682</v>
      </c>
      <c r="D729" s="532" t="s">
        <v>6683</v>
      </c>
      <c r="E729" s="532" t="s">
        <v>1405</v>
      </c>
      <c r="F729" s="532" t="s">
        <v>6684</v>
      </c>
      <c r="G729" s="532" t="s">
        <v>2392</v>
      </c>
      <c r="H729" s="533"/>
      <c r="I729" s="535"/>
      <c r="J729" s="535"/>
      <c r="K729" s="535"/>
      <c r="L729" s="535"/>
      <c r="M729" s="535"/>
      <c r="N729" s="535"/>
      <c r="O729" s="535"/>
      <c r="P729" s="535"/>
      <c r="Q729" s="535"/>
      <c r="R729" s="535"/>
      <c r="S729" s="535"/>
      <c r="T729" s="535"/>
      <c r="U729" s="535"/>
      <c r="V729" s="535"/>
      <c r="W729" s="535"/>
      <c r="X729" s="535"/>
      <c r="Y729" s="536"/>
    </row>
    <row r="730" spans="1:25" ht="12.75">
      <c r="A730" s="532" t="s">
        <v>6731</v>
      </c>
      <c r="B730" s="532">
        <v>42200064</v>
      </c>
      <c r="C730" s="532" t="s">
        <v>6682</v>
      </c>
      <c r="D730" s="532" t="s">
        <v>6683</v>
      </c>
      <c r="E730" s="532" t="s">
        <v>1405</v>
      </c>
      <c r="F730" s="532" t="s">
        <v>6684</v>
      </c>
      <c r="G730" s="532" t="s">
        <v>2392</v>
      </c>
      <c r="H730" s="533"/>
      <c r="I730" s="535"/>
      <c r="J730" s="535"/>
      <c r="K730" s="535"/>
      <c r="L730" s="535"/>
      <c r="M730" s="535"/>
      <c r="N730" s="535"/>
      <c r="O730" s="535"/>
      <c r="P730" s="535"/>
      <c r="Q730" s="535"/>
      <c r="R730" s="535"/>
      <c r="S730" s="535"/>
      <c r="T730" s="535"/>
      <c r="U730" s="535"/>
      <c r="V730" s="535"/>
      <c r="W730" s="535"/>
      <c r="X730" s="535"/>
      <c r="Y730" s="536"/>
    </row>
    <row r="731" spans="1:25" ht="12.75">
      <c r="A731" s="532" t="s">
        <v>6732</v>
      </c>
      <c r="B731" s="532">
        <v>42200064</v>
      </c>
      <c r="C731" s="532" t="s">
        <v>6682</v>
      </c>
      <c r="D731" s="532" t="s">
        <v>6683</v>
      </c>
      <c r="E731" s="532" t="s">
        <v>1405</v>
      </c>
      <c r="F731" s="532" t="s">
        <v>6684</v>
      </c>
      <c r="G731" s="532" t="s">
        <v>2392</v>
      </c>
      <c r="H731" s="533"/>
      <c r="I731" s="535"/>
      <c r="J731" s="535"/>
      <c r="K731" s="535"/>
      <c r="L731" s="535"/>
      <c r="M731" s="535"/>
      <c r="N731" s="535"/>
      <c r="O731" s="535"/>
      <c r="P731" s="535"/>
      <c r="Q731" s="535"/>
      <c r="R731" s="535"/>
      <c r="S731" s="535"/>
      <c r="T731" s="535"/>
      <c r="U731" s="535"/>
      <c r="V731" s="535"/>
      <c r="W731" s="535"/>
      <c r="X731" s="535"/>
      <c r="Y731" s="536"/>
    </row>
    <row r="732" spans="1:25" ht="12.75">
      <c r="A732" s="532" t="s">
        <v>6733</v>
      </c>
      <c r="B732" s="532">
        <v>42200066</v>
      </c>
      <c r="C732" s="532" t="s">
        <v>6678</v>
      </c>
      <c r="D732" s="532" t="s">
        <v>6679</v>
      </c>
      <c r="E732" s="532" t="s">
        <v>1405</v>
      </c>
      <c r="F732" s="532" t="s">
        <v>6680</v>
      </c>
      <c r="G732" s="532" t="s">
        <v>1468</v>
      </c>
      <c r="H732" s="533"/>
      <c r="I732" s="535"/>
      <c r="J732" s="535"/>
      <c r="K732" s="535"/>
      <c r="L732" s="535"/>
      <c r="M732" s="535"/>
      <c r="N732" s="535"/>
      <c r="O732" s="535"/>
      <c r="P732" s="535"/>
      <c r="Q732" s="535"/>
      <c r="R732" s="535"/>
      <c r="S732" s="535"/>
      <c r="T732" s="535"/>
      <c r="U732" s="535"/>
      <c r="V732" s="535"/>
      <c r="W732" s="535"/>
      <c r="X732" s="535"/>
      <c r="Y732" s="536"/>
    </row>
    <row r="733" spans="1:25" ht="12.75">
      <c r="A733" s="532" t="s">
        <v>6734</v>
      </c>
      <c r="B733" s="532">
        <v>42200065</v>
      </c>
      <c r="C733" s="532" t="s">
        <v>6682</v>
      </c>
      <c r="D733" s="532" t="s">
        <v>6683</v>
      </c>
      <c r="E733" s="532" t="s">
        <v>1405</v>
      </c>
      <c r="F733" s="532" t="s">
        <v>6684</v>
      </c>
      <c r="G733" s="532" t="s">
        <v>2392</v>
      </c>
      <c r="H733" s="533"/>
      <c r="I733" s="535"/>
      <c r="J733" s="535"/>
      <c r="K733" s="535"/>
      <c r="L733" s="535"/>
      <c r="M733" s="535"/>
      <c r="N733" s="535"/>
      <c r="O733" s="535"/>
      <c r="P733" s="535"/>
      <c r="Q733" s="535"/>
      <c r="R733" s="535"/>
      <c r="S733" s="535"/>
      <c r="T733" s="535"/>
      <c r="U733" s="535"/>
      <c r="V733" s="535"/>
      <c r="W733" s="535"/>
      <c r="X733" s="535"/>
      <c r="Y733" s="536"/>
    </row>
    <row r="734" spans="1:25" ht="12.75">
      <c r="A734" s="532" t="s">
        <v>6735</v>
      </c>
      <c r="B734" s="532">
        <v>42200065</v>
      </c>
      <c r="C734" s="532" t="s">
        <v>6682</v>
      </c>
      <c r="D734" s="532" t="s">
        <v>6683</v>
      </c>
      <c r="E734" s="532" t="s">
        <v>1405</v>
      </c>
      <c r="F734" s="532" t="s">
        <v>6684</v>
      </c>
      <c r="G734" s="532" t="s">
        <v>2392</v>
      </c>
      <c r="H734" s="533"/>
      <c r="I734" s="535"/>
      <c r="J734" s="535"/>
      <c r="K734" s="535"/>
      <c r="L734" s="535"/>
      <c r="M734" s="535"/>
      <c r="N734" s="535"/>
      <c r="O734" s="535"/>
      <c r="P734" s="535"/>
      <c r="Q734" s="535"/>
      <c r="R734" s="535"/>
      <c r="S734" s="535"/>
      <c r="T734" s="535"/>
      <c r="U734" s="535"/>
      <c r="V734" s="535"/>
      <c r="W734" s="535"/>
      <c r="X734" s="535"/>
      <c r="Y734" s="536"/>
    </row>
    <row r="735" spans="1:25" ht="12.75">
      <c r="A735" s="532" t="s">
        <v>6736</v>
      </c>
      <c r="B735" s="532">
        <v>42200065</v>
      </c>
      <c r="C735" s="532" t="s">
        <v>6682</v>
      </c>
      <c r="D735" s="532" t="s">
        <v>6683</v>
      </c>
      <c r="E735" s="532" t="s">
        <v>1405</v>
      </c>
      <c r="F735" s="532" t="s">
        <v>6684</v>
      </c>
      <c r="G735" s="532" t="s">
        <v>2392</v>
      </c>
      <c r="H735" s="533"/>
      <c r="I735" s="535"/>
      <c r="J735" s="535"/>
      <c r="K735" s="535"/>
      <c r="L735" s="535"/>
      <c r="M735" s="535"/>
      <c r="N735" s="535"/>
      <c r="O735" s="535"/>
      <c r="P735" s="535"/>
      <c r="Q735" s="535"/>
      <c r="R735" s="535"/>
      <c r="S735" s="535"/>
      <c r="T735" s="535"/>
      <c r="U735" s="535"/>
      <c r="V735" s="535"/>
      <c r="W735" s="535"/>
      <c r="X735" s="535"/>
      <c r="Y735" s="536"/>
    </row>
    <row r="736" spans="1:25" ht="12.75">
      <c r="A736" s="532" t="s">
        <v>6737</v>
      </c>
      <c r="B736" s="532">
        <v>42200066</v>
      </c>
      <c r="C736" s="532" t="s">
        <v>6678</v>
      </c>
      <c r="D736" s="532" t="s">
        <v>6679</v>
      </c>
      <c r="E736" s="532" t="s">
        <v>1405</v>
      </c>
      <c r="F736" s="532" t="s">
        <v>6680</v>
      </c>
      <c r="G736" s="532" t="s">
        <v>6696</v>
      </c>
      <c r="H736" s="533"/>
      <c r="I736" s="535"/>
      <c r="J736" s="535"/>
      <c r="K736" s="535"/>
      <c r="L736" s="535"/>
      <c r="M736" s="535"/>
      <c r="N736" s="535"/>
      <c r="O736" s="535"/>
      <c r="P736" s="535"/>
      <c r="Q736" s="535"/>
      <c r="R736" s="535"/>
      <c r="S736" s="535"/>
      <c r="T736" s="535"/>
      <c r="U736" s="535"/>
      <c r="V736" s="535"/>
      <c r="W736" s="535"/>
      <c r="X736" s="535"/>
      <c r="Y736" s="536"/>
    </row>
    <row r="737" spans="1:25" ht="12.75">
      <c r="A737" s="532" t="s">
        <v>6738</v>
      </c>
      <c r="B737" s="532">
        <v>42200065</v>
      </c>
      <c r="C737" s="532" t="s">
        <v>6682</v>
      </c>
      <c r="D737" s="532" t="s">
        <v>6683</v>
      </c>
      <c r="E737" s="532" t="s">
        <v>1405</v>
      </c>
      <c r="F737" s="532" t="s">
        <v>6698</v>
      </c>
      <c r="G737" s="532" t="s">
        <v>2392</v>
      </c>
      <c r="H737" s="533"/>
      <c r="I737" s="535"/>
      <c r="J737" s="535"/>
      <c r="K737" s="535"/>
      <c r="L737" s="535"/>
      <c r="M737" s="535"/>
      <c r="N737" s="535"/>
      <c r="O737" s="535"/>
      <c r="P737" s="535"/>
      <c r="Q737" s="535"/>
      <c r="R737" s="535"/>
      <c r="S737" s="535"/>
      <c r="T737" s="535"/>
      <c r="U737" s="535"/>
      <c r="V737" s="535"/>
      <c r="W737" s="535"/>
      <c r="X737" s="535"/>
      <c r="Y737" s="536"/>
    </row>
    <row r="738" spans="1:25" ht="12.75">
      <c r="A738" s="532" t="s">
        <v>6739</v>
      </c>
      <c r="B738" s="532">
        <v>42200065</v>
      </c>
      <c r="C738" s="532" t="s">
        <v>6682</v>
      </c>
      <c r="D738" s="532" t="s">
        <v>6683</v>
      </c>
      <c r="E738" s="532" t="s">
        <v>1405</v>
      </c>
      <c r="F738" s="532" t="s">
        <v>6698</v>
      </c>
      <c r="G738" s="532" t="s">
        <v>2392</v>
      </c>
      <c r="H738" s="533"/>
      <c r="I738" s="535"/>
      <c r="J738" s="535"/>
      <c r="K738" s="535"/>
      <c r="L738" s="535"/>
      <c r="M738" s="535"/>
      <c r="N738" s="535"/>
      <c r="O738" s="535"/>
      <c r="P738" s="535"/>
      <c r="Q738" s="535"/>
      <c r="R738" s="535"/>
      <c r="S738" s="535"/>
      <c r="T738" s="535"/>
      <c r="U738" s="535"/>
      <c r="V738" s="535"/>
      <c r="W738" s="535"/>
      <c r="X738" s="535"/>
      <c r="Y738" s="536"/>
    </row>
    <row r="739" spans="1:25" ht="12.75">
      <c r="A739" s="532" t="s">
        <v>6740</v>
      </c>
      <c r="B739" s="532">
        <v>42200065</v>
      </c>
      <c r="C739" s="532" t="s">
        <v>6682</v>
      </c>
      <c r="D739" s="532" t="s">
        <v>6683</v>
      </c>
      <c r="E739" s="532" t="s">
        <v>1405</v>
      </c>
      <c r="F739" s="532" t="s">
        <v>6698</v>
      </c>
      <c r="G739" s="532" t="s">
        <v>2392</v>
      </c>
      <c r="H739" s="533"/>
      <c r="I739" s="535"/>
      <c r="J739" s="535"/>
      <c r="K739" s="535"/>
      <c r="L739" s="535"/>
      <c r="M739" s="535"/>
      <c r="N739" s="535"/>
      <c r="O739" s="535"/>
      <c r="P739" s="535"/>
      <c r="Q739" s="535"/>
      <c r="R739" s="535"/>
      <c r="S739" s="535"/>
      <c r="T739" s="535"/>
      <c r="U739" s="535"/>
      <c r="V739" s="535"/>
      <c r="W739" s="535"/>
      <c r="X739" s="535"/>
      <c r="Y739" s="536"/>
    </row>
    <row r="740" spans="1:25" ht="12.75">
      <c r="A740" s="532" t="s">
        <v>6741</v>
      </c>
      <c r="B740" s="532">
        <v>42200065</v>
      </c>
      <c r="C740" s="532" t="s">
        <v>6682</v>
      </c>
      <c r="D740" s="532" t="s">
        <v>6683</v>
      </c>
      <c r="E740" s="532" t="s">
        <v>1405</v>
      </c>
      <c r="F740" s="532" t="s">
        <v>6698</v>
      </c>
      <c r="G740" s="532" t="s">
        <v>2392</v>
      </c>
      <c r="H740" s="533"/>
      <c r="I740" s="535"/>
      <c r="J740" s="535"/>
      <c r="K740" s="535"/>
      <c r="L740" s="535"/>
      <c r="M740" s="535"/>
      <c r="N740" s="535"/>
      <c r="O740" s="535"/>
      <c r="P740" s="535"/>
      <c r="Q740" s="535"/>
      <c r="R740" s="535"/>
      <c r="S740" s="535"/>
      <c r="T740" s="535"/>
      <c r="U740" s="535"/>
      <c r="V740" s="535"/>
      <c r="W740" s="535"/>
      <c r="X740" s="535"/>
      <c r="Y740" s="536"/>
    </row>
    <row r="741" spans="1:25" ht="12.75">
      <c r="A741" s="532" t="s">
        <v>6742</v>
      </c>
      <c r="B741" s="532">
        <v>42200065</v>
      </c>
      <c r="C741" s="532" t="s">
        <v>6682</v>
      </c>
      <c r="D741" s="532" t="s">
        <v>6683</v>
      </c>
      <c r="E741" s="532" t="s">
        <v>1405</v>
      </c>
      <c r="F741" s="532" t="s">
        <v>6698</v>
      </c>
      <c r="G741" s="532" t="s">
        <v>2392</v>
      </c>
      <c r="H741" s="533"/>
      <c r="I741" s="535"/>
      <c r="J741" s="535"/>
      <c r="K741" s="535"/>
      <c r="L741" s="535"/>
      <c r="M741" s="535"/>
      <c r="N741" s="535"/>
      <c r="O741" s="535"/>
      <c r="P741" s="535"/>
      <c r="Q741" s="535"/>
      <c r="R741" s="535"/>
      <c r="S741" s="535"/>
      <c r="T741" s="535"/>
      <c r="U741" s="535"/>
      <c r="V741" s="535"/>
      <c r="W741" s="535"/>
      <c r="X741" s="535"/>
      <c r="Y741" s="536"/>
    </row>
    <row r="742" spans="1:25" ht="12.75">
      <c r="A742" s="532" t="s">
        <v>6743</v>
      </c>
      <c r="B742" s="532">
        <v>42200065</v>
      </c>
      <c r="C742" s="532" t="s">
        <v>6682</v>
      </c>
      <c r="D742" s="532" t="s">
        <v>6683</v>
      </c>
      <c r="E742" s="532" t="s">
        <v>1405</v>
      </c>
      <c r="F742" s="532" t="s">
        <v>6698</v>
      </c>
      <c r="G742" s="532" t="s">
        <v>2392</v>
      </c>
      <c r="H742" s="533"/>
      <c r="I742" s="535"/>
      <c r="J742" s="535"/>
      <c r="K742" s="535"/>
      <c r="L742" s="535"/>
      <c r="M742" s="535"/>
      <c r="N742" s="535"/>
      <c r="O742" s="535"/>
      <c r="P742" s="535"/>
      <c r="Q742" s="535"/>
      <c r="R742" s="535"/>
      <c r="S742" s="535"/>
      <c r="T742" s="535"/>
      <c r="U742" s="535"/>
      <c r="V742" s="535"/>
      <c r="W742" s="535"/>
      <c r="X742" s="535"/>
      <c r="Y742" s="536"/>
    </row>
    <row r="743" spans="1:25" ht="12.75">
      <c r="A743" s="532" t="s">
        <v>6744</v>
      </c>
      <c r="B743" s="532">
        <v>42200066</v>
      </c>
      <c r="C743" s="532" t="s">
        <v>6678</v>
      </c>
      <c r="D743" s="532" t="s">
        <v>6679</v>
      </c>
      <c r="E743" s="532" t="s">
        <v>1405</v>
      </c>
      <c r="F743" s="532" t="s">
        <v>6680</v>
      </c>
      <c r="G743" s="532" t="s">
        <v>6696</v>
      </c>
      <c r="H743" s="533"/>
      <c r="I743" s="535"/>
      <c r="J743" s="535"/>
      <c r="K743" s="535"/>
      <c r="L743" s="535"/>
      <c r="M743" s="535"/>
      <c r="N743" s="535"/>
      <c r="O743" s="535"/>
      <c r="P743" s="535"/>
      <c r="Q743" s="535"/>
      <c r="R743" s="535"/>
      <c r="S743" s="535"/>
      <c r="T743" s="535"/>
      <c r="U743" s="535"/>
      <c r="V743" s="535"/>
      <c r="W743" s="535"/>
      <c r="X743" s="535"/>
      <c r="Y743" s="536"/>
    </row>
    <row r="744" spans="1:25" ht="12.75">
      <c r="A744" s="532" t="s">
        <v>6745</v>
      </c>
      <c r="B744" s="532">
        <v>42100235</v>
      </c>
      <c r="C744" s="532" t="s">
        <v>6723</v>
      </c>
      <c r="D744" s="532" t="s">
        <v>6724</v>
      </c>
      <c r="E744" s="532" t="s">
        <v>1405</v>
      </c>
      <c r="F744" s="532" t="s">
        <v>6680</v>
      </c>
      <c r="G744" s="532" t="s">
        <v>1468</v>
      </c>
      <c r="H744" s="533"/>
      <c r="I744" s="535"/>
      <c r="J744" s="535"/>
      <c r="K744" s="535"/>
      <c r="L744" s="535"/>
      <c r="M744" s="535"/>
      <c r="N744" s="535"/>
      <c r="O744" s="535"/>
      <c r="P744" s="535"/>
      <c r="Q744" s="535"/>
      <c r="R744" s="535"/>
      <c r="S744" s="535"/>
      <c r="T744" s="535"/>
      <c r="U744" s="535"/>
      <c r="V744" s="535"/>
      <c r="W744" s="535"/>
      <c r="X744" s="535"/>
      <c r="Y744" s="536"/>
    </row>
    <row r="745" spans="1:25" ht="12.75">
      <c r="A745" s="532" t="s">
        <v>6746</v>
      </c>
      <c r="B745" s="532">
        <v>42100281</v>
      </c>
      <c r="C745" s="532" t="s">
        <v>6682</v>
      </c>
      <c r="D745" s="532" t="s">
        <v>6683</v>
      </c>
      <c r="E745" s="532" t="s">
        <v>1405</v>
      </c>
      <c r="F745" s="532" t="s">
        <v>6684</v>
      </c>
      <c r="G745" s="532" t="s">
        <v>2392</v>
      </c>
      <c r="H745" s="533"/>
      <c r="I745" s="535"/>
      <c r="J745" s="535"/>
      <c r="K745" s="535"/>
      <c r="L745" s="535"/>
      <c r="M745" s="535"/>
      <c r="N745" s="535"/>
      <c r="O745" s="535"/>
      <c r="P745" s="535"/>
      <c r="Q745" s="535"/>
      <c r="R745" s="535"/>
      <c r="S745" s="535"/>
      <c r="T745" s="535"/>
      <c r="U745" s="535"/>
      <c r="V745" s="535"/>
      <c r="W745" s="535"/>
      <c r="X745" s="535"/>
      <c r="Y745" s="536"/>
    </row>
    <row r="746" spans="1:25" ht="12.75">
      <c r="A746" s="532" t="s">
        <v>6747</v>
      </c>
      <c r="B746" s="532">
        <v>42100281</v>
      </c>
      <c r="C746" s="532" t="s">
        <v>6682</v>
      </c>
      <c r="D746" s="532" t="s">
        <v>6683</v>
      </c>
      <c r="E746" s="532" t="s">
        <v>1405</v>
      </c>
      <c r="F746" s="532" t="s">
        <v>6684</v>
      </c>
      <c r="G746" s="532" t="s">
        <v>2392</v>
      </c>
      <c r="H746" s="533"/>
      <c r="I746" s="535"/>
      <c r="J746" s="535"/>
      <c r="K746" s="535"/>
      <c r="L746" s="535"/>
      <c r="M746" s="535"/>
      <c r="N746" s="535"/>
      <c r="O746" s="535"/>
      <c r="P746" s="535"/>
      <c r="Q746" s="535"/>
      <c r="R746" s="535"/>
      <c r="S746" s="535"/>
      <c r="T746" s="535"/>
      <c r="U746" s="535"/>
      <c r="V746" s="535"/>
      <c r="W746" s="535"/>
      <c r="X746" s="535"/>
      <c r="Y746" s="536"/>
    </row>
    <row r="747" spans="1:25" ht="12.75">
      <c r="A747" s="532" t="s">
        <v>6748</v>
      </c>
      <c r="B747" s="532">
        <v>42100281</v>
      </c>
      <c r="C747" s="532" t="s">
        <v>6682</v>
      </c>
      <c r="D747" s="532" t="s">
        <v>6683</v>
      </c>
      <c r="E747" s="532" t="s">
        <v>1405</v>
      </c>
      <c r="F747" s="532" t="s">
        <v>6684</v>
      </c>
      <c r="G747" s="532" t="s">
        <v>2392</v>
      </c>
      <c r="H747" s="533"/>
      <c r="I747" s="535"/>
      <c r="J747" s="535"/>
      <c r="K747" s="535"/>
      <c r="L747" s="535"/>
      <c r="M747" s="535"/>
      <c r="N747" s="535"/>
      <c r="O747" s="535"/>
      <c r="P747" s="535"/>
      <c r="Q747" s="535"/>
      <c r="R747" s="535"/>
      <c r="S747" s="535"/>
      <c r="T747" s="535"/>
      <c r="U747" s="535"/>
      <c r="V747" s="535"/>
      <c r="W747" s="535"/>
      <c r="X747" s="535"/>
      <c r="Y747" s="536"/>
    </row>
    <row r="748" spans="1:25" ht="12.75">
      <c r="A748" s="532" t="s">
        <v>6749</v>
      </c>
      <c r="B748" s="532">
        <v>42100235</v>
      </c>
      <c r="C748" s="532" t="s">
        <v>6723</v>
      </c>
      <c r="D748" s="532" t="s">
        <v>6724</v>
      </c>
      <c r="E748" s="532" t="s">
        <v>1405</v>
      </c>
      <c r="F748" s="532" t="s">
        <v>6680</v>
      </c>
      <c r="G748" s="532" t="s">
        <v>6696</v>
      </c>
      <c r="H748" s="533"/>
      <c r="I748" s="535"/>
      <c r="J748" s="535"/>
      <c r="K748" s="535"/>
      <c r="L748" s="535"/>
      <c r="M748" s="535"/>
      <c r="N748" s="535"/>
      <c r="O748" s="535"/>
      <c r="P748" s="535"/>
      <c r="Q748" s="535"/>
      <c r="R748" s="535"/>
      <c r="S748" s="535"/>
      <c r="T748" s="535"/>
      <c r="U748" s="535"/>
      <c r="V748" s="535"/>
      <c r="W748" s="535"/>
      <c r="X748" s="535"/>
      <c r="Y748" s="536"/>
    </row>
    <row r="749" spans="1:25" ht="12.75">
      <c r="A749" s="532" t="s">
        <v>6750</v>
      </c>
      <c r="B749" s="532">
        <v>42100281</v>
      </c>
      <c r="C749" s="532" t="s">
        <v>6682</v>
      </c>
      <c r="D749" s="532" t="s">
        <v>6683</v>
      </c>
      <c r="E749" s="532" t="s">
        <v>1405</v>
      </c>
      <c r="F749" s="532" t="s">
        <v>6698</v>
      </c>
      <c r="G749" s="532" t="s">
        <v>2392</v>
      </c>
      <c r="H749" s="533"/>
      <c r="I749" s="535"/>
      <c r="J749" s="535"/>
      <c r="K749" s="535"/>
      <c r="L749" s="535"/>
      <c r="M749" s="535"/>
      <c r="N749" s="535"/>
      <c r="O749" s="535"/>
      <c r="P749" s="535"/>
      <c r="Q749" s="535"/>
      <c r="R749" s="535"/>
      <c r="S749" s="535"/>
      <c r="T749" s="535"/>
      <c r="U749" s="535"/>
      <c r="V749" s="535"/>
      <c r="W749" s="535"/>
      <c r="X749" s="535"/>
      <c r="Y749" s="536"/>
    </row>
    <row r="750" spans="1:25" ht="12.75">
      <c r="A750" s="532" t="s">
        <v>6751</v>
      </c>
      <c r="B750" s="532">
        <v>42100281</v>
      </c>
      <c r="C750" s="532" t="s">
        <v>6682</v>
      </c>
      <c r="D750" s="532" t="s">
        <v>6683</v>
      </c>
      <c r="E750" s="532" t="s">
        <v>1405</v>
      </c>
      <c r="F750" s="532" t="s">
        <v>6698</v>
      </c>
      <c r="G750" s="532" t="s">
        <v>2392</v>
      </c>
      <c r="H750" s="533"/>
      <c r="I750" s="535"/>
      <c r="J750" s="535"/>
      <c r="K750" s="535"/>
      <c r="L750" s="535"/>
      <c r="M750" s="535"/>
      <c r="N750" s="535"/>
      <c r="O750" s="535"/>
      <c r="P750" s="535"/>
      <c r="Q750" s="535"/>
      <c r="R750" s="535"/>
      <c r="S750" s="535"/>
      <c r="T750" s="535"/>
      <c r="U750" s="535"/>
      <c r="V750" s="535"/>
      <c r="W750" s="535"/>
      <c r="X750" s="535"/>
      <c r="Y750" s="536"/>
    </row>
    <row r="751" spans="1:25" ht="12.75">
      <c r="A751" s="532" t="s">
        <v>6752</v>
      </c>
      <c r="B751" s="532">
        <v>42100281</v>
      </c>
      <c r="C751" s="532" t="s">
        <v>6682</v>
      </c>
      <c r="D751" s="532" t="s">
        <v>6683</v>
      </c>
      <c r="E751" s="532" t="s">
        <v>1405</v>
      </c>
      <c r="F751" s="532" t="s">
        <v>6698</v>
      </c>
      <c r="G751" s="532" t="s">
        <v>2392</v>
      </c>
      <c r="H751" s="533"/>
      <c r="I751" s="535"/>
      <c r="J751" s="535"/>
      <c r="K751" s="535"/>
      <c r="L751" s="535"/>
      <c r="M751" s="535"/>
      <c r="N751" s="535"/>
      <c r="O751" s="535"/>
      <c r="P751" s="535"/>
      <c r="Q751" s="535"/>
      <c r="R751" s="535"/>
      <c r="S751" s="535"/>
      <c r="T751" s="535"/>
      <c r="U751" s="535"/>
      <c r="V751" s="535"/>
      <c r="W751" s="535"/>
      <c r="X751" s="535"/>
      <c r="Y751" s="536"/>
    </row>
    <row r="752" spans="1:25" ht="12.75">
      <c r="A752" s="532" t="s">
        <v>6753</v>
      </c>
      <c r="B752" s="532">
        <v>42100235</v>
      </c>
      <c r="C752" s="532" t="s">
        <v>6723</v>
      </c>
      <c r="D752" s="532" t="s">
        <v>6724</v>
      </c>
      <c r="E752" s="532" t="s">
        <v>1405</v>
      </c>
      <c r="F752" s="532" t="s">
        <v>6680</v>
      </c>
      <c r="G752" s="532" t="s">
        <v>6696</v>
      </c>
      <c r="H752" s="533"/>
      <c r="I752" s="535"/>
      <c r="J752" s="535"/>
      <c r="K752" s="535"/>
      <c r="L752" s="535"/>
      <c r="M752" s="535"/>
      <c r="N752" s="535"/>
      <c r="O752" s="535"/>
      <c r="P752" s="535"/>
      <c r="Q752" s="535"/>
      <c r="R752" s="535"/>
      <c r="S752" s="535"/>
      <c r="T752" s="535"/>
      <c r="U752" s="535"/>
      <c r="V752" s="535"/>
      <c r="W752" s="535"/>
      <c r="X752" s="535"/>
      <c r="Y752" s="536"/>
    </row>
    <row r="753" spans="1:25" ht="12.75">
      <c r="A753" s="532" t="s">
        <v>6754</v>
      </c>
      <c r="B753" s="532">
        <v>42100281</v>
      </c>
      <c r="C753" s="532" t="s">
        <v>6682</v>
      </c>
      <c r="D753" s="532" t="s">
        <v>6683</v>
      </c>
      <c r="E753" s="532" t="s">
        <v>1405</v>
      </c>
      <c r="F753" s="532" t="s">
        <v>6698</v>
      </c>
      <c r="G753" s="532" t="s">
        <v>2392</v>
      </c>
      <c r="H753" s="533"/>
      <c r="I753" s="535"/>
      <c r="J753" s="535"/>
      <c r="K753" s="535"/>
      <c r="L753" s="535"/>
      <c r="M753" s="535"/>
      <c r="N753" s="535"/>
      <c r="O753" s="535"/>
      <c r="P753" s="535"/>
      <c r="Q753" s="535"/>
      <c r="R753" s="535"/>
      <c r="S753" s="535"/>
      <c r="T753" s="535"/>
      <c r="U753" s="535"/>
      <c r="V753" s="535"/>
      <c r="W753" s="535"/>
      <c r="X753" s="535"/>
      <c r="Y753" s="536"/>
    </row>
    <row r="754" spans="1:25" ht="12.75">
      <c r="A754" s="532" t="s">
        <v>6755</v>
      </c>
      <c r="B754" s="532">
        <v>42100281</v>
      </c>
      <c r="C754" s="532" t="s">
        <v>6682</v>
      </c>
      <c r="D754" s="532" t="s">
        <v>6683</v>
      </c>
      <c r="E754" s="532" t="s">
        <v>1405</v>
      </c>
      <c r="F754" s="532" t="s">
        <v>6698</v>
      </c>
      <c r="G754" s="532" t="s">
        <v>2392</v>
      </c>
      <c r="H754" s="533"/>
      <c r="I754" s="535"/>
      <c r="J754" s="535"/>
      <c r="K754" s="535"/>
      <c r="L754" s="535"/>
      <c r="M754" s="535"/>
      <c r="N754" s="535"/>
      <c r="O754" s="535"/>
      <c r="P754" s="535"/>
      <c r="Q754" s="535"/>
      <c r="R754" s="535"/>
      <c r="S754" s="535"/>
      <c r="T754" s="535"/>
      <c r="U754" s="535"/>
      <c r="V754" s="535"/>
      <c r="W754" s="535"/>
      <c r="X754" s="535"/>
      <c r="Y754" s="536"/>
    </row>
    <row r="755" spans="1:25" ht="12.75">
      <c r="A755" s="532" t="s">
        <v>6756</v>
      </c>
      <c r="B755" s="532">
        <v>42100281</v>
      </c>
      <c r="C755" s="532" t="s">
        <v>6682</v>
      </c>
      <c r="D755" s="532" t="s">
        <v>6683</v>
      </c>
      <c r="E755" s="532" t="s">
        <v>1405</v>
      </c>
      <c r="F755" s="532" t="s">
        <v>6698</v>
      </c>
      <c r="G755" s="532" t="s">
        <v>2392</v>
      </c>
      <c r="H755" s="533"/>
      <c r="I755" s="535"/>
      <c r="J755" s="535"/>
      <c r="K755" s="535"/>
      <c r="L755" s="535"/>
      <c r="M755" s="535"/>
      <c r="N755" s="535"/>
      <c r="O755" s="535"/>
      <c r="P755" s="535"/>
      <c r="Q755" s="535"/>
      <c r="R755" s="535"/>
      <c r="S755" s="535"/>
      <c r="T755" s="535"/>
      <c r="U755" s="535"/>
      <c r="V755" s="535"/>
      <c r="W755" s="535"/>
      <c r="X755" s="535"/>
      <c r="Y755" s="536"/>
    </row>
    <row r="756" spans="1:25" ht="12.75">
      <c r="A756" s="532" t="s">
        <v>6757</v>
      </c>
      <c r="B756" s="532">
        <v>42100235</v>
      </c>
      <c r="C756" s="532" t="s">
        <v>6723</v>
      </c>
      <c r="D756" s="532" t="s">
        <v>6724</v>
      </c>
      <c r="E756" s="532" t="s">
        <v>1405</v>
      </c>
      <c r="F756" s="532" t="s">
        <v>6680</v>
      </c>
      <c r="G756" s="532" t="s">
        <v>1468</v>
      </c>
      <c r="H756" s="533"/>
      <c r="I756" s="535"/>
      <c r="J756" s="535"/>
      <c r="K756" s="535"/>
      <c r="L756" s="535"/>
      <c r="M756" s="535"/>
      <c r="N756" s="535"/>
      <c r="O756" s="535"/>
      <c r="P756" s="535"/>
      <c r="Q756" s="535"/>
      <c r="R756" s="535"/>
      <c r="S756" s="535"/>
      <c r="T756" s="535"/>
      <c r="U756" s="535"/>
      <c r="V756" s="535"/>
      <c r="W756" s="535"/>
      <c r="X756" s="535"/>
      <c r="Y756" s="536"/>
    </row>
    <row r="757" spans="1:25" ht="12.75">
      <c r="A757" s="532" t="s">
        <v>6758</v>
      </c>
      <c r="B757" s="532">
        <v>42100281</v>
      </c>
      <c r="C757" s="532" t="s">
        <v>6682</v>
      </c>
      <c r="D757" s="532" t="s">
        <v>6683</v>
      </c>
      <c r="E757" s="532" t="s">
        <v>1405</v>
      </c>
      <c r="F757" s="532" t="s">
        <v>6684</v>
      </c>
      <c r="G757" s="532" t="s">
        <v>2392</v>
      </c>
      <c r="H757" s="533"/>
      <c r="I757" s="535"/>
      <c r="J757" s="535"/>
      <c r="K757" s="535"/>
      <c r="L757" s="535"/>
      <c r="M757" s="535"/>
      <c r="N757" s="535"/>
      <c r="O757" s="535"/>
      <c r="P757" s="535"/>
      <c r="Q757" s="535"/>
      <c r="R757" s="535"/>
      <c r="S757" s="535"/>
      <c r="T757" s="535"/>
      <c r="U757" s="535"/>
      <c r="V757" s="535"/>
      <c r="W757" s="535"/>
      <c r="X757" s="535"/>
      <c r="Y757" s="536"/>
    </row>
    <row r="758" spans="1:25" ht="12.75">
      <c r="A758" s="532" t="s">
        <v>6759</v>
      </c>
      <c r="B758" s="532">
        <v>42100281</v>
      </c>
      <c r="C758" s="532" t="s">
        <v>6682</v>
      </c>
      <c r="D758" s="532" t="s">
        <v>6683</v>
      </c>
      <c r="E758" s="532" t="s">
        <v>1405</v>
      </c>
      <c r="F758" s="532" t="s">
        <v>6684</v>
      </c>
      <c r="G758" s="532" t="s">
        <v>2392</v>
      </c>
      <c r="H758" s="533"/>
      <c r="I758" s="535"/>
      <c r="J758" s="535"/>
      <c r="K758" s="535"/>
      <c r="L758" s="535"/>
      <c r="M758" s="535"/>
      <c r="N758" s="535"/>
      <c r="O758" s="535"/>
      <c r="P758" s="535"/>
      <c r="Q758" s="535"/>
      <c r="R758" s="535"/>
      <c r="S758" s="535"/>
      <c r="T758" s="535"/>
      <c r="U758" s="535"/>
      <c r="V758" s="535"/>
      <c r="W758" s="535"/>
      <c r="X758" s="535"/>
      <c r="Y758" s="536"/>
    </row>
    <row r="759" spans="1:25" ht="12.75">
      <c r="A759" s="532" t="s">
        <v>6760</v>
      </c>
      <c r="B759" s="532">
        <v>42100281</v>
      </c>
      <c r="C759" s="532" t="s">
        <v>6682</v>
      </c>
      <c r="D759" s="532" t="s">
        <v>6683</v>
      </c>
      <c r="E759" s="532" t="s">
        <v>1405</v>
      </c>
      <c r="F759" s="532" t="s">
        <v>6684</v>
      </c>
      <c r="G759" s="532" t="s">
        <v>2392</v>
      </c>
      <c r="H759" s="533"/>
      <c r="I759" s="535"/>
      <c r="J759" s="535"/>
      <c r="K759" s="535"/>
      <c r="L759" s="535"/>
      <c r="M759" s="535"/>
      <c r="N759" s="535"/>
      <c r="O759" s="535"/>
      <c r="P759" s="535"/>
      <c r="Q759" s="535"/>
      <c r="R759" s="535"/>
      <c r="S759" s="535"/>
      <c r="T759" s="535"/>
      <c r="U759" s="535"/>
      <c r="V759" s="535"/>
      <c r="W759" s="535"/>
      <c r="X759" s="535"/>
      <c r="Y759" s="536"/>
    </row>
    <row r="760" spans="1:25" ht="12.75">
      <c r="A760" s="532" t="s">
        <v>6761</v>
      </c>
      <c r="B760" s="532">
        <v>42100235</v>
      </c>
      <c r="C760" s="532" t="s">
        <v>6723</v>
      </c>
      <c r="D760" s="532" t="s">
        <v>6724</v>
      </c>
      <c r="E760" s="532" t="s">
        <v>1405</v>
      </c>
      <c r="F760" s="532" t="s">
        <v>6680</v>
      </c>
      <c r="G760" s="532" t="s">
        <v>1468</v>
      </c>
      <c r="H760" s="533"/>
      <c r="I760" s="535"/>
      <c r="J760" s="535"/>
      <c r="K760" s="535"/>
      <c r="L760" s="535"/>
      <c r="M760" s="535"/>
      <c r="N760" s="535"/>
      <c r="O760" s="535"/>
      <c r="P760" s="535"/>
      <c r="Q760" s="535"/>
      <c r="R760" s="535"/>
      <c r="S760" s="535"/>
      <c r="T760" s="535"/>
      <c r="U760" s="535"/>
      <c r="V760" s="535"/>
      <c r="W760" s="535"/>
      <c r="X760" s="535"/>
      <c r="Y760" s="536"/>
    </row>
    <row r="761" spans="1:25" ht="12.75">
      <c r="A761" s="532" t="s">
        <v>6762</v>
      </c>
      <c r="B761" s="532">
        <v>42100281</v>
      </c>
      <c r="C761" s="532" t="s">
        <v>6682</v>
      </c>
      <c r="D761" s="532" t="s">
        <v>6683</v>
      </c>
      <c r="E761" s="532" t="s">
        <v>1405</v>
      </c>
      <c r="F761" s="532" t="s">
        <v>6684</v>
      </c>
      <c r="G761" s="532" t="s">
        <v>2392</v>
      </c>
      <c r="H761" s="533"/>
      <c r="I761" s="535"/>
      <c r="J761" s="535"/>
      <c r="K761" s="535"/>
      <c r="L761" s="535"/>
      <c r="M761" s="535"/>
      <c r="N761" s="535"/>
      <c r="O761" s="535"/>
      <c r="P761" s="535"/>
      <c r="Q761" s="535"/>
      <c r="R761" s="535"/>
      <c r="S761" s="535"/>
      <c r="T761" s="535"/>
      <c r="U761" s="535"/>
      <c r="V761" s="535"/>
      <c r="W761" s="535"/>
      <c r="X761" s="535"/>
      <c r="Y761" s="536"/>
    </row>
    <row r="762" spans="1:25" ht="12.75">
      <c r="A762" s="532" t="s">
        <v>6763</v>
      </c>
      <c r="B762" s="532">
        <v>42100281</v>
      </c>
      <c r="C762" s="532" t="s">
        <v>6682</v>
      </c>
      <c r="D762" s="532" t="s">
        <v>6683</v>
      </c>
      <c r="E762" s="532" t="s">
        <v>1405</v>
      </c>
      <c r="F762" s="532" t="s">
        <v>6684</v>
      </c>
      <c r="G762" s="532" t="s">
        <v>2392</v>
      </c>
      <c r="H762" s="533"/>
      <c r="I762" s="535"/>
      <c r="J762" s="535"/>
      <c r="K762" s="535"/>
      <c r="L762" s="535"/>
      <c r="M762" s="535"/>
      <c r="N762" s="535"/>
      <c r="O762" s="535"/>
      <c r="P762" s="535"/>
      <c r="Q762" s="535"/>
      <c r="R762" s="535"/>
      <c r="S762" s="535"/>
      <c r="T762" s="535"/>
      <c r="U762" s="535"/>
      <c r="V762" s="535"/>
      <c r="W762" s="535"/>
      <c r="X762" s="535"/>
      <c r="Y762" s="536"/>
    </row>
    <row r="763" spans="1:25" ht="12.75">
      <c r="A763" s="532" t="s">
        <v>6764</v>
      </c>
      <c r="B763" s="532">
        <v>42100281</v>
      </c>
      <c r="C763" s="532" t="s">
        <v>6682</v>
      </c>
      <c r="D763" s="532" t="s">
        <v>6683</v>
      </c>
      <c r="E763" s="532" t="s">
        <v>1405</v>
      </c>
      <c r="F763" s="532" t="s">
        <v>6684</v>
      </c>
      <c r="G763" s="532" t="s">
        <v>2392</v>
      </c>
      <c r="H763" s="533"/>
      <c r="I763" s="535"/>
      <c r="J763" s="535"/>
      <c r="K763" s="535"/>
      <c r="L763" s="535"/>
      <c r="M763" s="535"/>
      <c r="N763" s="535"/>
      <c r="O763" s="535"/>
      <c r="P763" s="535"/>
      <c r="Q763" s="535"/>
      <c r="R763" s="535"/>
      <c r="S763" s="535"/>
      <c r="T763" s="535"/>
      <c r="U763" s="535"/>
      <c r="V763" s="535"/>
      <c r="W763" s="535"/>
      <c r="X763" s="535"/>
      <c r="Y763" s="536"/>
    </row>
    <row r="764" spans="1:25" ht="12.75">
      <c r="A764" s="532" t="s">
        <v>6765</v>
      </c>
      <c r="B764" s="532">
        <v>42100260</v>
      </c>
      <c r="C764" s="532" t="s">
        <v>6766</v>
      </c>
      <c r="D764" s="532" t="s">
        <v>6767</v>
      </c>
      <c r="E764" s="532" t="s">
        <v>1405</v>
      </c>
      <c r="F764" s="532" t="s">
        <v>6680</v>
      </c>
      <c r="G764" s="532" t="s">
        <v>6696</v>
      </c>
      <c r="H764" s="533"/>
      <c r="I764" s="535"/>
      <c r="J764" s="535"/>
      <c r="K764" s="535"/>
      <c r="L764" s="535"/>
      <c r="M764" s="535"/>
      <c r="N764" s="535"/>
      <c r="O764" s="535"/>
      <c r="P764" s="535"/>
      <c r="Q764" s="535"/>
      <c r="R764" s="535"/>
      <c r="S764" s="535"/>
      <c r="T764" s="535"/>
      <c r="U764" s="535"/>
      <c r="V764" s="535"/>
      <c r="W764" s="535"/>
      <c r="X764" s="535"/>
      <c r="Y764" s="536"/>
    </row>
    <row r="765" spans="1:25" ht="12.75">
      <c r="A765" s="532" t="s">
        <v>6768</v>
      </c>
      <c r="B765" s="532">
        <v>42100259</v>
      </c>
      <c r="C765" s="532" t="s">
        <v>6769</v>
      </c>
      <c r="D765" s="532" t="s">
        <v>6769</v>
      </c>
      <c r="E765" s="532" t="s">
        <v>1405</v>
      </c>
      <c r="F765" s="532" t="s">
        <v>6698</v>
      </c>
      <c r="G765" s="532" t="s">
        <v>2392</v>
      </c>
      <c r="H765" s="533"/>
      <c r="I765" s="535"/>
      <c r="J765" s="535"/>
      <c r="K765" s="535"/>
      <c r="L765" s="535"/>
      <c r="M765" s="535"/>
      <c r="N765" s="535"/>
      <c r="O765" s="535"/>
      <c r="P765" s="535"/>
      <c r="Q765" s="535"/>
      <c r="R765" s="535"/>
      <c r="S765" s="535"/>
      <c r="T765" s="535"/>
      <c r="U765" s="535"/>
      <c r="V765" s="535"/>
      <c r="W765" s="535"/>
      <c r="X765" s="535"/>
      <c r="Y765" s="536"/>
    </row>
    <row r="766" spans="1:25" ht="12.75">
      <c r="A766" s="532" t="s">
        <v>6770</v>
      </c>
      <c r="B766" s="532">
        <v>42100259</v>
      </c>
      <c r="C766" s="532" t="s">
        <v>6769</v>
      </c>
      <c r="D766" s="532" t="s">
        <v>6769</v>
      </c>
      <c r="E766" s="532" t="s">
        <v>1405</v>
      </c>
      <c r="F766" s="532" t="s">
        <v>6698</v>
      </c>
      <c r="G766" s="532" t="s">
        <v>2392</v>
      </c>
      <c r="H766" s="533"/>
      <c r="I766" s="535"/>
      <c r="J766" s="535"/>
      <c r="K766" s="535"/>
      <c r="L766" s="535"/>
      <c r="M766" s="535"/>
      <c r="N766" s="535"/>
      <c r="O766" s="535"/>
      <c r="P766" s="535"/>
      <c r="Q766" s="535"/>
      <c r="R766" s="535"/>
      <c r="S766" s="535"/>
      <c r="T766" s="535"/>
      <c r="U766" s="535"/>
      <c r="V766" s="535"/>
      <c r="W766" s="535"/>
      <c r="X766" s="535"/>
      <c r="Y766" s="536"/>
    </row>
    <row r="767" spans="1:25" ht="12.75">
      <c r="A767" s="532" t="s">
        <v>6771</v>
      </c>
      <c r="B767" s="532">
        <v>42100259</v>
      </c>
      <c r="C767" s="532" t="s">
        <v>6769</v>
      </c>
      <c r="D767" s="532" t="s">
        <v>6769</v>
      </c>
      <c r="E767" s="532" t="s">
        <v>1405</v>
      </c>
      <c r="F767" s="532" t="s">
        <v>6698</v>
      </c>
      <c r="G767" s="532" t="s">
        <v>2392</v>
      </c>
      <c r="H767" s="533"/>
      <c r="I767" s="535"/>
      <c r="J767" s="535"/>
      <c r="K767" s="535"/>
      <c r="L767" s="535"/>
      <c r="M767" s="535"/>
      <c r="N767" s="535"/>
      <c r="O767" s="535"/>
      <c r="P767" s="535"/>
      <c r="Q767" s="535"/>
      <c r="R767" s="535"/>
      <c r="S767" s="535"/>
      <c r="T767" s="535"/>
      <c r="U767" s="535"/>
      <c r="V767" s="535"/>
      <c r="W767" s="535"/>
      <c r="X767" s="535"/>
      <c r="Y767" s="536"/>
    </row>
    <row r="768" spans="1:25" ht="12.75">
      <c r="A768" s="532" t="s">
        <v>6772</v>
      </c>
      <c r="B768" s="532">
        <v>42100260</v>
      </c>
      <c r="C768" s="532" t="s">
        <v>6766</v>
      </c>
      <c r="D768" s="532" t="s">
        <v>6767</v>
      </c>
      <c r="E768" s="532" t="s">
        <v>1405</v>
      </c>
      <c r="F768" s="532" t="s">
        <v>6680</v>
      </c>
      <c r="G768" s="532" t="s">
        <v>1468</v>
      </c>
      <c r="H768" s="533"/>
      <c r="I768" s="535"/>
      <c r="J768" s="535"/>
      <c r="K768" s="535"/>
      <c r="L768" s="535"/>
      <c r="M768" s="535"/>
      <c r="N768" s="535"/>
      <c r="O768" s="535"/>
      <c r="P768" s="535"/>
      <c r="Q768" s="535"/>
      <c r="R768" s="535"/>
      <c r="S768" s="535"/>
      <c r="T768" s="535"/>
      <c r="U768" s="535"/>
      <c r="V768" s="535"/>
      <c r="W768" s="535"/>
      <c r="X768" s="535"/>
      <c r="Y768" s="536"/>
    </row>
    <row r="769" spans="1:25" ht="12.75">
      <c r="A769" s="532" t="s">
        <v>6773</v>
      </c>
      <c r="B769" s="532">
        <v>42100259</v>
      </c>
      <c r="C769" s="532" t="s">
        <v>6769</v>
      </c>
      <c r="D769" s="532" t="s">
        <v>6769</v>
      </c>
      <c r="E769" s="532" t="s">
        <v>1405</v>
      </c>
      <c r="F769" s="532" t="s">
        <v>6698</v>
      </c>
      <c r="G769" s="532" t="s">
        <v>2392</v>
      </c>
      <c r="H769" s="533"/>
      <c r="I769" s="535"/>
      <c r="J769" s="535"/>
      <c r="K769" s="535"/>
      <c r="L769" s="535"/>
      <c r="M769" s="535"/>
      <c r="N769" s="535"/>
      <c r="O769" s="535"/>
      <c r="P769" s="535"/>
      <c r="Q769" s="535"/>
      <c r="R769" s="535"/>
      <c r="S769" s="535"/>
      <c r="T769" s="535"/>
      <c r="U769" s="535"/>
      <c r="V769" s="535"/>
      <c r="W769" s="535"/>
      <c r="X769" s="535"/>
      <c r="Y769" s="536"/>
    </row>
    <row r="770" spans="1:25" ht="12.75">
      <c r="A770" s="532" t="s">
        <v>6774</v>
      </c>
      <c r="B770" s="532">
        <v>42100259</v>
      </c>
      <c r="C770" s="532" t="s">
        <v>6769</v>
      </c>
      <c r="D770" s="532" t="s">
        <v>6769</v>
      </c>
      <c r="E770" s="532" t="s">
        <v>1405</v>
      </c>
      <c r="F770" s="532" t="s">
        <v>6698</v>
      </c>
      <c r="G770" s="532" t="s">
        <v>2392</v>
      </c>
      <c r="H770" s="533"/>
      <c r="I770" s="535"/>
      <c r="J770" s="535"/>
      <c r="K770" s="535"/>
      <c r="L770" s="535"/>
      <c r="M770" s="535"/>
      <c r="N770" s="535"/>
      <c r="O770" s="535"/>
      <c r="P770" s="535"/>
      <c r="Q770" s="535"/>
      <c r="R770" s="535"/>
      <c r="S770" s="535"/>
      <c r="T770" s="535"/>
      <c r="U770" s="535"/>
      <c r="V770" s="535"/>
      <c r="W770" s="535"/>
      <c r="X770" s="535"/>
      <c r="Y770" s="536"/>
    </row>
    <row r="771" spans="1:25" ht="12.75">
      <c r="A771" s="532" t="s">
        <v>6775</v>
      </c>
      <c r="B771" s="532">
        <v>42100259</v>
      </c>
      <c r="C771" s="532" t="s">
        <v>6769</v>
      </c>
      <c r="D771" s="532" t="s">
        <v>6769</v>
      </c>
      <c r="E771" s="532" t="s">
        <v>1405</v>
      </c>
      <c r="F771" s="532" t="s">
        <v>6698</v>
      </c>
      <c r="G771" s="532" t="s">
        <v>2392</v>
      </c>
      <c r="H771" s="533"/>
      <c r="I771" s="535"/>
      <c r="J771" s="535"/>
      <c r="K771" s="535"/>
      <c r="L771" s="535"/>
      <c r="M771" s="535"/>
      <c r="N771" s="535"/>
      <c r="O771" s="535"/>
      <c r="P771" s="535"/>
      <c r="Q771" s="535"/>
      <c r="R771" s="535"/>
      <c r="S771" s="535"/>
      <c r="T771" s="535"/>
      <c r="U771" s="535"/>
      <c r="V771" s="535"/>
      <c r="W771" s="535"/>
      <c r="X771" s="535"/>
      <c r="Y771" s="536"/>
    </row>
    <row r="772" spans="1:25" ht="12.75">
      <c r="A772" s="532" t="s">
        <v>6776</v>
      </c>
      <c r="B772" s="532">
        <v>42100260</v>
      </c>
      <c r="C772" s="532" t="s">
        <v>6766</v>
      </c>
      <c r="D772" s="532" t="s">
        <v>6767</v>
      </c>
      <c r="E772" s="532" t="s">
        <v>1405</v>
      </c>
      <c r="F772" s="532" t="s">
        <v>6680</v>
      </c>
      <c r="G772" s="532" t="s">
        <v>6680</v>
      </c>
      <c r="H772" s="533"/>
      <c r="I772" s="535"/>
      <c r="J772" s="535"/>
      <c r="K772" s="535"/>
      <c r="L772" s="535"/>
      <c r="M772" s="535"/>
      <c r="N772" s="535"/>
      <c r="O772" s="535"/>
      <c r="P772" s="535"/>
      <c r="Q772" s="535"/>
      <c r="R772" s="535"/>
      <c r="S772" s="535"/>
      <c r="T772" s="535"/>
      <c r="U772" s="535"/>
      <c r="V772" s="535"/>
      <c r="W772" s="535"/>
      <c r="X772" s="535"/>
      <c r="Y772" s="536"/>
    </row>
    <row r="773" spans="1:25" ht="12.75">
      <c r="A773" s="532" t="s">
        <v>6777</v>
      </c>
      <c r="B773" s="532">
        <v>42100259</v>
      </c>
      <c r="C773" s="532" t="s">
        <v>6769</v>
      </c>
      <c r="D773" s="532" t="s">
        <v>6769</v>
      </c>
      <c r="E773" s="532" t="s">
        <v>1405</v>
      </c>
      <c r="F773" s="532" t="s">
        <v>6680</v>
      </c>
      <c r="G773" s="532" t="s">
        <v>6680</v>
      </c>
      <c r="H773" s="533"/>
      <c r="I773" s="535"/>
      <c r="J773" s="535"/>
      <c r="K773" s="535"/>
      <c r="L773" s="535"/>
      <c r="M773" s="535"/>
      <c r="N773" s="535"/>
      <c r="O773" s="535"/>
      <c r="P773" s="535"/>
      <c r="Q773" s="535"/>
      <c r="R773" s="535"/>
      <c r="S773" s="535"/>
      <c r="T773" s="535"/>
      <c r="U773" s="535"/>
      <c r="V773" s="535"/>
      <c r="W773" s="535"/>
      <c r="X773" s="535"/>
      <c r="Y773" s="536"/>
    </row>
    <row r="774" spans="1:25" ht="12.75">
      <c r="A774" s="532" t="s">
        <v>6778</v>
      </c>
      <c r="B774" s="532">
        <v>42100259</v>
      </c>
      <c r="C774" s="532" t="s">
        <v>6769</v>
      </c>
      <c r="D774" s="532" t="s">
        <v>6769</v>
      </c>
      <c r="E774" s="532" t="s">
        <v>1405</v>
      </c>
      <c r="F774" s="532" t="s">
        <v>6680</v>
      </c>
      <c r="G774" s="532" t="s">
        <v>6680</v>
      </c>
      <c r="H774" s="533"/>
      <c r="I774" s="535"/>
      <c r="J774" s="535"/>
      <c r="K774" s="535"/>
      <c r="L774" s="535"/>
      <c r="M774" s="535"/>
      <c r="N774" s="535"/>
      <c r="O774" s="535"/>
      <c r="P774" s="535"/>
      <c r="Q774" s="535"/>
      <c r="R774" s="535"/>
      <c r="S774" s="535"/>
      <c r="T774" s="535"/>
      <c r="U774" s="535"/>
      <c r="V774" s="535"/>
      <c r="W774" s="535"/>
      <c r="X774" s="535"/>
      <c r="Y774" s="536"/>
    </row>
    <row r="775" spans="1:25" ht="12.75">
      <c r="A775" s="532" t="s">
        <v>6779</v>
      </c>
      <c r="B775" s="532">
        <v>42100259</v>
      </c>
      <c r="C775" s="532" t="s">
        <v>6769</v>
      </c>
      <c r="D775" s="532" t="s">
        <v>6769</v>
      </c>
      <c r="E775" s="532" t="s">
        <v>1405</v>
      </c>
      <c r="F775" s="532" t="s">
        <v>6680</v>
      </c>
      <c r="G775" s="532" t="s">
        <v>6680</v>
      </c>
      <c r="H775" s="533"/>
      <c r="I775" s="535"/>
      <c r="J775" s="535"/>
      <c r="K775" s="535"/>
      <c r="L775" s="535"/>
      <c r="M775" s="535"/>
      <c r="N775" s="535"/>
      <c r="O775" s="535"/>
      <c r="P775" s="535"/>
      <c r="Q775" s="535"/>
      <c r="R775" s="535"/>
      <c r="S775" s="535"/>
      <c r="T775" s="535"/>
      <c r="U775" s="535"/>
      <c r="V775" s="535"/>
      <c r="W775" s="535"/>
      <c r="X775" s="535"/>
      <c r="Y775" s="536"/>
    </row>
    <row r="776" spans="1:25" ht="12.75">
      <c r="A776" s="532" t="s">
        <v>6780</v>
      </c>
      <c r="B776" s="532">
        <v>42200091</v>
      </c>
      <c r="C776" s="532" t="s">
        <v>6781</v>
      </c>
      <c r="D776" s="532" t="s">
        <v>6782</v>
      </c>
      <c r="E776" s="532" t="s">
        <v>6783</v>
      </c>
      <c r="F776" s="532" t="s">
        <v>6698</v>
      </c>
      <c r="G776" s="532" t="s">
        <v>1468</v>
      </c>
      <c r="H776" s="533"/>
      <c r="I776" s="535"/>
      <c r="J776" s="535"/>
      <c r="K776" s="535"/>
      <c r="L776" s="535"/>
      <c r="M776" s="535"/>
      <c r="N776" s="535"/>
      <c r="O776" s="535"/>
      <c r="P776" s="535"/>
      <c r="Q776" s="535"/>
      <c r="R776" s="535"/>
      <c r="S776" s="535"/>
      <c r="T776" s="535"/>
      <c r="U776" s="535"/>
      <c r="V776" s="535"/>
      <c r="W776" s="535"/>
      <c r="X776" s="535"/>
      <c r="Y776" s="536"/>
    </row>
    <row r="777" spans="1:25" ht="12.75">
      <c r="A777" s="532" t="s">
        <v>6784</v>
      </c>
      <c r="B777" s="532">
        <v>42200091</v>
      </c>
      <c r="C777" s="532" t="s">
        <v>6781</v>
      </c>
      <c r="D777" s="532" t="s">
        <v>6782</v>
      </c>
      <c r="E777" s="532" t="s">
        <v>6783</v>
      </c>
      <c r="F777" s="532" t="s">
        <v>6698</v>
      </c>
      <c r="G777" s="532" t="s">
        <v>1468</v>
      </c>
      <c r="H777" s="533"/>
      <c r="I777" s="535"/>
      <c r="J777" s="535"/>
      <c r="K777" s="535"/>
      <c r="L777" s="535"/>
      <c r="M777" s="535"/>
      <c r="N777" s="535"/>
      <c r="O777" s="535"/>
      <c r="P777" s="535"/>
      <c r="Q777" s="535"/>
      <c r="R777" s="535"/>
      <c r="S777" s="535"/>
      <c r="T777" s="535"/>
      <c r="U777" s="535"/>
      <c r="V777" s="535"/>
      <c r="W777" s="535"/>
      <c r="X777" s="535"/>
      <c r="Y777" s="536"/>
    </row>
    <row r="778" spans="1:25" ht="12.75">
      <c r="A778" s="532" t="s">
        <v>6785</v>
      </c>
      <c r="B778" s="532">
        <v>42200083</v>
      </c>
      <c r="C778" s="532" t="s">
        <v>6786</v>
      </c>
      <c r="D778" s="532" t="s">
        <v>6787</v>
      </c>
      <c r="E778" s="532" t="s">
        <v>6788</v>
      </c>
      <c r="F778" s="532" t="s">
        <v>6698</v>
      </c>
      <c r="G778" s="532" t="s">
        <v>1468</v>
      </c>
      <c r="H778" s="533"/>
      <c r="I778" s="535"/>
      <c r="J778" s="535"/>
      <c r="K778" s="535"/>
      <c r="L778" s="535"/>
      <c r="M778" s="535"/>
      <c r="N778" s="535"/>
      <c r="O778" s="535"/>
      <c r="P778" s="535"/>
      <c r="Q778" s="535"/>
      <c r="R778" s="535"/>
      <c r="S778" s="535"/>
      <c r="T778" s="535"/>
      <c r="U778" s="535"/>
      <c r="V778" s="535"/>
      <c r="W778" s="535"/>
      <c r="X778" s="535"/>
      <c r="Y778" s="536"/>
    </row>
    <row r="779" spans="1:25" ht="12.75">
      <c r="A779" s="532" t="s">
        <v>6789</v>
      </c>
      <c r="B779" s="532">
        <v>42100202</v>
      </c>
      <c r="C779" s="532" t="s">
        <v>6790</v>
      </c>
      <c r="D779" s="532" t="s">
        <v>6790</v>
      </c>
      <c r="E779" s="532" t="s">
        <v>1405</v>
      </c>
      <c r="F779" s="532" t="s">
        <v>6698</v>
      </c>
      <c r="G779" s="532" t="s">
        <v>1468</v>
      </c>
      <c r="H779" s="533"/>
      <c r="I779" s="535"/>
      <c r="J779" s="535"/>
      <c r="K779" s="535"/>
      <c r="L779" s="535"/>
      <c r="M779" s="535"/>
      <c r="N779" s="535"/>
      <c r="O779" s="535"/>
      <c r="P779" s="535"/>
      <c r="Q779" s="535"/>
      <c r="R779" s="535"/>
      <c r="S779" s="535"/>
      <c r="T779" s="535"/>
      <c r="U779" s="535"/>
      <c r="V779" s="535"/>
      <c r="W779" s="535"/>
      <c r="X779" s="535"/>
      <c r="Y779" s="536"/>
    </row>
    <row r="780" spans="1:25" ht="12.75">
      <c r="A780" s="532" t="s">
        <v>3232</v>
      </c>
      <c r="B780" s="532">
        <v>41100435</v>
      </c>
      <c r="C780" s="532" t="s">
        <v>3801</v>
      </c>
      <c r="D780" s="532" t="s">
        <v>1482</v>
      </c>
      <c r="E780" s="532" t="s">
        <v>1585</v>
      </c>
      <c r="F780" s="532" t="s">
        <v>2391</v>
      </c>
      <c r="G780" s="532" t="s">
        <v>2392</v>
      </c>
      <c r="H780" s="533"/>
      <c r="I780" s="535"/>
      <c r="J780" s="535"/>
      <c r="K780" s="535"/>
      <c r="L780" s="535"/>
      <c r="M780" s="535"/>
      <c r="N780" s="535"/>
      <c r="O780" s="535"/>
      <c r="P780" s="535"/>
      <c r="Q780" s="535"/>
      <c r="R780" s="535"/>
      <c r="S780" s="535"/>
      <c r="T780" s="535"/>
      <c r="U780" s="535"/>
      <c r="V780" s="535"/>
      <c r="W780" s="535"/>
      <c r="X780" s="535"/>
      <c r="Y780" s="536"/>
    </row>
    <row r="781" spans="1:25" ht="12.75">
      <c r="A781" s="532" t="s">
        <v>3231</v>
      </c>
      <c r="B781" s="532">
        <v>41100435</v>
      </c>
      <c r="C781" s="532" t="s">
        <v>3801</v>
      </c>
      <c r="D781" s="532" t="s">
        <v>1482</v>
      </c>
      <c r="E781" s="532" t="s">
        <v>1585</v>
      </c>
      <c r="F781" s="532" t="s">
        <v>2391</v>
      </c>
      <c r="G781" s="532" t="s">
        <v>2392</v>
      </c>
      <c r="H781" s="533"/>
      <c r="I781" s="535"/>
      <c r="J781" s="535"/>
      <c r="K781" s="535"/>
      <c r="L781" s="535"/>
      <c r="M781" s="535"/>
      <c r="N781" s="535"/>
      <c r="O781" s="535"/>
      <c r="P781" s="535"/>
      <c r="Q781" s="535"/>
      <c r="R781" s="535"/>
      <c r="S781" s="535"/>
      <c r="T781" s="535"/>
      <c r="U781" s="535"/>
      <c r="V781" s="535"/>
      <c r="W781" s="535"/>
      <c r="X781" s="535"/>
      <c r="Y781" s="536"/>
    </row>
    <row r="782" spans="1:25" ht="12.75">
      <c r="A782" s="532" t="s">
        <v>3244</v>
      </c>
      <c r="B782" s="532">
        <v>41200076</v>
      </c>
      <c r="C782" s="532" t="s">
        <v>1476</v>
      </c>
      <c r="D782" s="532" t="s">
        <v>1476</v>
      </c>
      <c r="E782" s="532" t="s">
        <v>1585</v>
      </c>
      <c r="F782" s="532" t="s">
        <v>2395</v>
      </c>
      <c r="G782" s="532" t="s">
        <v>2392</v>
      </c>
      <c r="H782" s="532" t="s">
        <v>2392</v>
      </c>
      <c r="I782" s="535"/>
      <c r="J782" s="535"/>
      <c r="K782" s="535"/>
      <c r="L782" s="535"/>
      <c r="M782" s="535"/>
      <c r="N782" s="535"/>
      <c r="O782" s="535"/>
      <c r="P782" s="535"/>
      <c r="Q782" s="535"/>
      <c r="R782" s="535"/>
      <c r="S782" s="535"/>
      <c r="T782" s="535"/>
      <c r="U782" s="535"/>
      <c r="V782" s="535"/>
      <c r="W782" s="535"/>
      <c r="X782" s="535"/>
      <c r="Y782" s="536"/>
    </row>
    <row r="783" spans="1:25" ht="12.75">
      <c r="A783" s="532" t="s">
        <v>3243</v>
      </c>
      <c r="B783" s="532">
        <v>41200076</v>
      </c>
      <c r="C783" s="532" t="s">
        <v>1476</v>
      </c>
      <c r="D783" s="532" t="s">
        <v>1476</v>
      </c>
      <c r="E783" s="532" t="s">
        <v>1585</v>
      </c>
      <c r="F783" s="532" t="s">
        <v>2395</v>
      </c>
      <c r="G783" s="532" t="s">
        <v>2392</v>
      </c>
      <c r="H783" s="532" t="s">
        <v>2392</v>
      </c>
      <c r="I783" s="535"/>
      <c r="J783" s="535"/>
      <c r="K783" s="535"/>
      <c r="L783" s="535"/>
      <c r="M783" s="535"/>
      <c r="N783" s="535"/>
      <c r="O783" s="535"/>
      <c r="P783" s="535"/>
      <c r="Q783" s="535"/>
      <c r="R783" s="535"/>
      <c r="S783" s="535"/>
      <c r="T783" s="535"/>
      <c r="U783" s="535"/>
      <c r="V783" s="535"/>
      <c r="W783" s="535"/>
      <c r="X783" s="535"/>
      <c r="Y783" s="536"/>
    </row>
    <row r="784" spans="1:25" ht="12.75">
      <c r="A784" s="532" t="s">
        <v>3280</v>
      </c>
      <c r="B784" s="532">
        <v>41200076</v>
      </c>
      <c r="C784" s="532" t="s">
        <v>1476</v>
      </c>
      <c r="D784" s="532" t="s">
        <v>1476</v>
      </c>
      <c r="E784" s="532" t="s">
        <v>1585</v>
      </c>
      <c r="F784" s="532" t="s">
        <v>2391</v>
      </c>
      <c r="G784" s="532" t="s">
        <v>2392</v>
      </c>
      <c r="H784" s="532" t="s">
        <v>2392</v>
      </c>
      <c r="I784" s="535"/>
      <c r="J784" s="535"/>
      <c r="K784" s="535"/>
      <c r="L784" s="535"/>
      <c r="M784" s="535"/>
      <c r="N784" s="535"/>
      <c r="O784" s="535"/>
      <c r="P784" s="535"/>
      <c r="Q784" s="535"/>
      <c r="R784" s="535"/>
      <c r="S784" s="535"/>
      <c r="T784" s="535"/>
      <c r="U784" s="535"/>
      <c r="V784" s="535"/>
      <c r="W784" s="535"/>
      <c r="X784" s="535"/>
      <c r="Y784" s="536"/>
    </row>
    <row r="785" spans="1:25" ht="12.75">
      <c r="A785" s="532" t="s">
        <v>3278</v>
      </c>
      <c r="B785" s="532">
        <v>41200076</v>
      </c>
      <c r="C785" s="532" t="s">
        <v>1476</v>
      </c>
      <c r="D785" s="532" t="s">
        <v>1476</v>
      </c>
      <c r="E785" s="532" t="s">
        <v>1585</v>
      </c>
      <c r="F785" s="532" t="s">
        <v>2391</v>
      </c>
      <c r="G785" s="532" t="s">
        <v>2392</v>
      </c>
      <c r="H785" s="532" t="s">
        <v>2392</v>
      </c>
      <c r="I785" s="535"/>
      <c r="J785" s="535"/>
      <c r="K785" s="535"/>
      <c r="L785" s="535"/>
      <c r="M785" s="535"/>
      <c r="N785" s="535"/>
      <c r="O785" s="535"/>
      <c r="P785" s="535"/>
      <c r="Q785" s="535"/>
      <c r="R785" s="535"/>
      <c r="S785" s="535"/>
      <c r="T785" s="535"/>
      <c r="U785" s="535"/>
      <c r="V785" s="535"/>
      <c r="W785" s="535"/>
      <c r="X785" s="535"/>
      <c r="Y785" s="536"/>
    </row>
    <row r="786" spans="1:25" ht="12.75">
      <c r="A786" s="532" t="s">
        <v>3265</v>
      </c>
      <c r="B786" s="532">
        <v>41100317</v>
      </c>
      <c r="C786" s="532" t="s">
        <v>1476</v>
      </c>
      <c r="D786" s="532" t="s">
        <v>1476</v>
      </c>
      <c r="E786" s="532" t="s">
        <v>1585</v>
      </c>
      <c r="F786" s="532" t="s">
        <v>2391</v>
      </c>
      <c r="G786" s="532" t="s">
        <v>1468</v>
      </c>
      <c r="H786" s="532" t="s">
        <v>2392</v>
      </c>
      <c r="I786" s="535"/>
      <c r="J786" s="535"/>
      <c r="K786" s="535"/>
      <c r="L786" s="535"/>
      <c r="M786" s="535"/>
      <c r="N786" s="535"/>
      <c r="O786" s="535"/>
      <c r="P786" s="535"/>
      <c r="Q786" s="535"/>
      <c r="R786" s="535"/>
      <c r="S786" s="535"/>
      <c r="T786" s="535"/>
      <c r="U786" s="535"/>
      <c r="V786" s="535"/>
      <c r="W786" s="535"/>
      <c r="X786" s="535"/>
      <c r="Y786" s="536"/>
    </row>
    <row r="787" spans="1:25" ht="12.75">
      <c r="A787" s="532" t="s">
        <v>3314</v>
      </c>
      <c r="B787" s="532">
        <v>41200158</v>
      </c>
      <c r="C787" s="532" t="s">
        <v>1480</v>
      </c>
      <c r="D787" s="532" t="s">
        <v>1480</v>
      </c>
      <c r="E787" s="532" t="s">
        <v>1405</v>
      </c>
      <c r="F787" s="532" t="s">
        <v>2395</v>
      </c>
      <c r="G787" s="532" t="s">
        <v>1469</v>
      </c>
      <c r="H787" s="532" t="s">
        <v>2392</v>
      </c>
      <c r="I787" s="535"/>
      <c r="J787" s="535"/>
      <c r="K787" s="535"/>
      <c r="L787" s="535"/>
      <c r="M787" s="535"/>
      <c r="N787" s="535"/>
      <c r="O787" s="535"/>
      <c r="P787" s="535"/>
      <c r="Q787" s="535"/>
      <c r="R787" s="535"/>
      <c r="S787" s="535"/>
      <c r="T787" s="535"/>
      <c r="U787" s="535"/>
      <c r="V787" s="535"/>
      <c r="W787" s="535"/>
      <c r="X787" s="535"/>
      <c r="Y787" s="536"/>
    </row>
    <row r="788" spans="1:25" ht="12.75">
      <c r="A788" s="532" t="s">
        <v>3306</v>
      </c>
      <c r="B788" s="532">
        <v>41200158</v>
      </c>
      <c r="C788" s="532" t="s">
        <v>1480</v>
      </c>
      <c r="D788" s="532" t="s">
        <v>1480</v>
      </c>
      <c r="E788" s="532" t="s">
        <v>1405</v>
      </c>
      <c r="F788" s="532" t="s">
        <v>2395</v>
      </c>
      <c r="G788" s="532" t="s">
        <v>1469</v>
      </c>
      <c r="H788" s="532" t="s">
        <v>2392</v>
      </c>
      <c r="I788" s="535"/>
      <c r="J788" s="535"/>
      <c r="K788" s="535"/>
      <c r="L788" s="535"/>
      <c r="M788" s="535"/>
      <c r="N788" s="535"/>
      <c r="O788" s="535"/>
      <c r="P788" s="535"/>
      <c r="Q788" s="535"/>
      <c r="R788" s="535"/>
      <c r="S788" s="535"/>
      <c r="T788" s="535"/>
      <c r="U788" s="535"/>
      <c r="V788" s="535"/>
      <c r="W788" s="535"/>
      <c r="X788" s="535"/>
      <c r="Y788" s="536"/>
    </row>
    <row r="789" spans="1:25" ht="12.75">
      <c r="A789" s="532" t="s">
        <v>3305</v>
      </c>
      <c r="B789" s="532">
        <v>41200158</v>
      </c>
      <c r="C789" s="532" t="s">
        <v>1480</v>
      </c>
      <c r="D789" s="532" t="s">
        <v>1480</v>
      </c>
      <c r="E789" s="532" t="s">
        <v>1405</v>
      </c>
      <c r="F789" s="532" t="s">
        <v>2395</v>
      </c>
      <c r="G789" s="532" t="s">
        <v>1469</v>
      </c>
      <c r="H789" s="532" t="s">
        <v>2392</v>
      </c>
      <c r="I789" s="535"/>
      <c r="J789" s="535"/>
      <c r="K789" s="535"/>
      <c r="L789" s="535"/>
      <c r="M789" s="535"/>
      <c r="N789" s="535"/>
      <c r="O789" s="535"/>
      <c r="P789" s="535"/>
      <c r="Q789" s="535"/>
      <c r="R789" s="535"/>
      <c r="S789" s="535"/>
      <c r="T789" s="535"/>
      <c r="U789" s="535"/>
      <c r="V789" s="535"/>
      <c r="W789" s="535"/>
      <c r="X789" s="535"/>
      <c r="Y789" s="536"/>
    </row>
    <row r="790" spans="1:25" ht="12.75">
      <c r="A790" s="532" t="s">
        <v>3267</v>
      </c>
      <c r="B790" s="532">
        <v>41200061</v>
      </c>
      <c r="C790" s="532" t="s">
        <v>1480</v>
      </c>
      <c r="D790" s="532" t="s">
        <v>6636</v>
      </c>
      <c r="E790" s="532" t="s">
        <v>1405</v>
      </c>
      <c r="F790" s="532" t="s">
        <v>2391</v>
      </c>
      <c r="G790" s="532" t="s">
        <v>2392</v>
      </c>
      <c r="H790" s="532" t="s">
        <v>2392</v>
      </c>
      <c r="I790" s="535"/>
      <c r="J790" s="535"/>
      <c r="K790" s="535"/>
      <c r="L790" s="535"/>
      <c r="M790" s="535"/>
      <c r="N790" s="535"/>
      <c r="O790" s="535"/>
      <c r="P790" s="535"/>
      <c r="Q790" s="535"/>
      <c r="R790" s="535"/>
      <c r="S790" s="535"/>
      <c r="T790" s="535"/>
      <c r="U790" s="535"/>
      <c r="V790" s="535"/>
      <c r="W790" s="535"/>
      <c r="X790" s="535"/>
      <c r="Y790" s="536"/>
    </row>
    <row r="791" spans="1:25" ht="12.75">
      <c r="A791" s="532" t="s">
        <v>3266</v>
      </c>
      <c r="B791" s="532">
        <v>41200061</v>
      </c>
      <c r="C791" s="532" t="s">
        <v>1480</v>
      </c>
      <c r="D791" s="532" t="s">
        <v>6636</v>
      </c>
      <c r="E791" s="532" t="s">
        <v>1405</v>
      </c>
      <c r="F791" s="532" t="s">
        <v>2391</v>
      </c>
      <c r="G791" s="532" t="s">
        <v>2392</v>
      </c>
      <c r="H791" s="532" t="s">
        <v>2392</v>
      </c>
      <c r="I791" s="535"/>
      <c r="J791" s="535"/>
      <c r="K791" s="535"/>
      <c r="L791" s="535"/>
      <c r="M791" s="535"/>
      <c r="N791" s="535"/>
      <c r="O791" s="535"/>
      <c r="P791" s="535"/>
      <c r="Q791" s="535"/>
      <c r="R791" s="535"/>
      <c r="S791" s="535"/>
      <c r="T791" s="535"/>
      <c r="U791" s="535"/>
      <c r="V791" s="535"/>
      <c r="W791" s="535"/>
      <c r="X791" s="535"/>
      <c r="Y791" s="536"/>
    </row>
    <row r="792" spans="1:25" ht="12.75">
      <c r="A792" s="532" t="s">
        <v>3287</v>
      </c>
      <c r="B792" s="532">
        <v>41000598</v>
      </c>
      <c r="C792" s="532" t="s">
        <v>1480</v>
      </c>
      <c r="D792" s="532" t="s">
        <v>1480</v>
      </c>
      <c r="E792" s="532" t="s">
        <v>1405</v>
      </c>
      <c r="F792" s="532" t="s">
        <v>2395</v>
      </c>
      <c r="G792" s="532" t="s">
        <v>1469</v>
      </c>
      <c r="H792" s="532" t="s">
        <v>2392</v>
      </c>
      <c r="I792" s="535"/>
      <c r="J792" s="535"/>
      <c r="K792" s="535"/>
      <c r="L792" s="535"/>
      <c r="M792" s="535"/>
      <c r="N792" s="535"/>
      <c r="O792" s="535"/>
      <c r="P792" s="535"/>
      <c r="Q792" s="535"/>
      <c r="R792" s="535"/>
      <c r="S792" s="535"/>
      <c r="T792" s="535"/>
      <c r="U792" s="535"/>
      <c r="V792" s="535"/>
      <c r="W792" s="535"/>
      <c r="X792" s="535"/>
      <c r="Y792" s="536"/>
    </row>
    <row r="793" spans="1:25" ht="12.75">
      <c r="A793" s="532" t="s">
        <v>3270</v>
      </c>
      <c r="B793" s="532">
        <v>41000598</v>
      </c>
      <c r="C793" s="532" t="s">
        <v>1480</v>
      </c>
      <c r="D793" s="532" t="s">
        <v>1480</v>
      </c>
      <c r="E793" s="532" t="s">
        <v>1405</v>
      </c>
      <c r="F793" s="532" t="s">
        <v>2395</v>
      </c>
      <c r="G793" s="532" t="s">
        <v>1469</v>
      </c>
      <c r="H793" s="532" t="s">
        <v>2392</v>
      </c>
      <c r="I793" s="535"/>
      <c r="J793" s="535"/>
      <c r="K793" s="535"/>
      <c r="L793" s="535"/>
      <c r="M793" s="535"/>
      <c r="N793" s="535"/>
      <c r="O793" s="535"/>
      <c r="P793" s="535"/>
      <c r="Q793" s="535"/>
      <c r="R793" s="535"/>
      <c r="S793" s="535"/>
      <c r="T793" s="535"/>
      <c r="U793" s="535"/>
      <c r="V793" s="535"/>
      <c r="W793" s="535"/>
      <c r="X793" s="535"/>
      <c r="Y793" s="536"/>
    </row>
    <row r="794" spans="1:25" ht="12.75">
      <c r="A794" s="532" t="s">
        <v>3261</v>
      </c>
      <c r="B794" s="532">
        <v>41200127</v>
      </c>
      <c r="C794" s="532" t="s">
        <v>1591</v>
      </c>
      <c r="D794" s="532" t="s">
        <v>6606</v>
      </c>
      <c r="E794" s="532" t="s">
        <v>1431</v>
      </c>
      <c r="F794" s="532" t="s">
        <v>2391</v>
      </c>
      <c r="G794" s="532" t="s">
        <v>1468</v>
      </c>
      <c r="H794" s="532" t="s">
        <v>2392</v>
      </c>
      <c r="I794" s="535"/>
      <c r="J794" s="535"/>
      <c r="K794" s="535"/>
      <c r="L794" s="535"/>
      <c r="M794" s="535"/>
      <c r="N794" s="535"/>
      <c r="O794" s="535"/>
      <c r="P794" s="535"/>
      <c r="Q794" s="535"/>
      <c r="R794" s="535"/>
      <c r="S794" s="535"/>
      <c r="T794" s="535"/>
      <c r="U794" s="535"/>
      <c r="V794" s="535"/>
      <c r="W794" s="535"/>
      <c r="X794" s="535"/>
      <c r="Y794" s="536"/>
    </row>
    <row r="795" spans="1:25" ht="12.75">
      <c r="A795" s="532" t="s">
        <v>3260</v>
      </c>
      <c r="B795" s="532">
        <v>41200127</v>
      </c>
      <c r="C795" s="532" t="s">
        <v>1591</v>
      </c>
      <c r="D795" s="532" t="s">
        <v>6606</v>
      </c>
      <c r="E795" s="532" t="s">
        <v>1431</v>
      </c>
      <c r="F795" s="532" t="s">
        <v>2391</v>
      </c>
      <c r="G795" s="532" t="s">
        <v>1468</v>
      </c>
      <c r="H795" s="532" t="s">
        <v>2392</v>
      </c>
      <c r="I795" s="535"/>
      <c r="J795" s="535"/>
      <c r="K795" s="535"/>
      <c r="L795" s="535"/>
      <c r="M795" s="535"/>
      <c r="N795" s="535"/>
      <c r="O795" s="535"/>
      <c r="P795" s="535"/>
      <c r="Q795" s="535"/>
      <c r="R795" s="535"/>
      <c r="S795" s="535"/>
      <c r="T795" s="535"/>
      <c r="U795" s="535"/>
      <c r="V795" s="535"/>
      <c r="W795" s="535"/>
      <c r="X795" s="535"/>
      <c r="Y795" s="536"/>
    </row>
    <row r="796" spans="1:25" ht="12.75">
      <c r="A796" s="532" t="s">
        <v>3253</v>
      </c>
      <c r="B796" s="532">
        <v>41200127</v>
      </c>
      <c r="C796" s="532" t="s">
        <v>1591</v>
      </c>
      <c r="D796" s="532" t="s">
        <v>6606</v>
      </c>
      <c r="E796" s="532" t="s">
        <v>1431</v>
      </c>
      <c r="F796" s="532" t="s">
        <v>2391</v>
      </c>
      <c r="G796" s="532" t="s">
        <v>1468</v>
      </c>
      <c r="H796" s="532" t="s">
        <v>2392</v>
      </c>
      <c r="I796" s="535"/>
      <c r="J796" s="535"/>
      <c r="K796" s="535"/>
      <c r="L796" s="535"/>
      <c r="M796" s="535"/>
      <c r="N796" s="535"/>
      <c r="O796" s="535"/>
      <c r="P796" s="535"/>
      <c r="Q796" s="535"/>
      <c r="R796" s="535"/>
      <c r="S796" s="535"/>
      <c r="T796" s="535"/>
      <c r="U796" s="535"/>
      <c r="V796" s="535"/>
      <c r="W796" s="535"/>
      <c r="X796" s="535"/>
      <c r="Y796" s="536"/>
    </row>
    <row r="797" spans="1:25" ht="12.75">
      <c r="A797" s="532" t="s">
        <v>3222</v>
      </c>
      <c r="B797" s="532">
        <v>41200124</v>
      </c>
      <c r="C797" s="532" t="s">
        <v>1476</v>
      </c>
      <c r="D797" s="532" t="s">
        <v>6609</v>
      </c>
      <c r="E797" s="532" t="s">
        <v>1585</v>
      </c>
      <c r="F797" s="532" t="s">
        <v>2391</v>
      </c>
      <c r="G797" s="532" t="s">
        <v>2392</v>
      </c>
      <c r="H797" s="532" t="s">
        <v>2392</v>
      </c>
      <c r="I797" s="535"/>
      <c r="J797" s="535"/>
      <c r="K797" s="535"/>
      <c r="L797" s="535"/>
      <c r="M797" s="535"/>
      <c r="N797" s="535"/>
      <c r="O797" s="535"/>
      <c r="P797" s="535"/>
      <c r="Q797" s="535"/>
      <c r="R797" s="535"/>
      <c r="S797" s="535"/>
      <c r="T797" s="535"/>
      <c r="U797" s="535"/>
      <c r="V797" s="535"/>
      <c r="W797" s="535"/>
      <c r="X797" s="535"/>
      <c r="Y797" s="536"/>
    </row>
    <row r="798" spans="1:25" ht="12.75">
      <c r="A798" s="532" t="s">
        <v>3334</v>
      </c>
      <c r="B798" s="532">
        <v>41200124</v>
      </c>
      <c r="C798" s="532" t="s">
        <v>1476</v>
      </c>
      <c r="D798" s="532" t="s">
        <v>6609</v>
      </c>
      <c r="E798" s="532" t="s">
        <v>1585</v>
      </c>
      <c r="F798" s="532" t="s">
        <v>2555</v>
      </c>
      <c r="G798" s="532" t="s">
        <v>2555</v>
      </c>
      <c r="H798" s="532" t="s">
        <v>2392</v>
      </c>
      <c r="I798" s="535"/>
      <c r="J798" s="535"/>
      <c r="K798" s="535"/>
      <c r="L798" s="535"/>
      <c r="M798" s="535"/>
      <c r="N798" s="535"/>
      <c r="O798" s="535"/>
      <c r="P798" s="535"/>
      <c r="Q798" s="535"/>
      <c r="R798" s="535"/>
      <c r="S798" s="535"/>
      <c r="T798" s="535"/>
      <c r="U798" s="535"/>
      <c r="V798" s="535"/>
      <c r="W798" s="535"/>
      <c r="X798" s="535"/>
      <c r="Y798" s="536"/>
    </row>
    <row r="799" spans="1:25" ht="12.75">
      <c r="A799" s="532" t="s">
        <v>3316</v>
      </c>
      <c r="B799" s="532">
        <v>41200124</v>
      </c>
      <c r="C799" s="532" t="s">
        <v>1476</v>
      </c>
      <c r="D799" s="532" t="s">
        <v>6609</v>
      </c>
      <c r="E799" s="532" t="s">
        <v>1585</v>
      </c>
      <c r="F799" s="532" t="s">
        <v>2555</v>
      </c>
      <c r="G799" s="532" t="s">
        <v>2555</v>
      </c>
      <c r="H799" s="532" t="s">
        <v>2392</v>
      </c>
      <c r="I799" s="535"/>
      <c r="J799" s="535"/>
      <c r="K799" s="535"/>
      <c r="L799" s="535"/>
      <c r="M799" s="535"/>
      <c r="N799" s="535"/>
      <c r="O799" s="535"/>
      <c r="P799" s="535"/>
      <c r="Q799" s="535"/>
      <c r="R799" s="535"/>
      <c r="S799" s="535"/>
      <c r="T799" s="535"/>
      <c r="U799" s="535"/>
      <c r="V799" s="535"/>
      <c r="W799" s="535"/>
      <c r="X799" s="535"/>
      <c r="Y799" s="536"/>
    </row>
    <row r="800" spans="1:25" ht="12.75">
      <c r="A800" s="532" t="s">
        <v>3264</v>
      </c>
      <c r="B800" s="532">
        <v>41200101</v>
      </c>
      <c r="C800" s="532" t="s">
        <v>1476</v>
      </c>
      <c r="D800" s="532" t="s">
        <v>1476</v>
      </c>
      <c r="E800" s="532" t="s">
        <v>1585</v>
      </c>
      <c r="F800" s="532" t="s">
        <v>2391</v>
      </c>
      <c r="G800" s="532" t="s">
        <v>2392</v>
      </c>
      <c r="H800" s="532" t="s">
        <v>2392</v>
      </c>
      <c r="I800" s="535"/>
      <c r="J800" s="535"/>
      <c r="K800" s="535"/>
      <c r="L800" s="535"/>
      <c r="M800" s="535"/>
      <c r="N800" s="535"/>
      <c r="O800" s="535"/>
      <c r="P800" s="535"/>
      <c r="Q800" s="535"/>
      <c r="R800" s="535"/>
      <c r="S800" s="535"/>
      <c r="T800" s="535"/>
      <c r="U800" s="535"/>
      <c r="V800" s="535"/>
      <c r="W800" s="535"/>
      <c r="X800" s="535"/>
      <c r="Y800" s="536"/>
    </row>
    <row r="801" spans="1:25" ht="12.75">
      <c r="A801" s="532" t="s">
        <v>3257</v>
      </c>
      <c r="B801" s="532">
        <v>41200101</v>
      </c>
      <c r="C801" s="532" t="s">
        <v>1476</v>
      </c>
      <c r="D801" s="532" t="s">
        <v>1476</v>
      </c>
      <c r="E801" s="532" t="s">
        <v>1585</v>
      </c>
      <c r="F801" s="532" t="s">
        <v>2391</v>
      </c>
      <c r="G801" s="532" t="s">
        <v>2392</v>
      </c>
      <c r="H801" s="532" t="s">
        <v>2392</v>
      </c>
      <c r="I801" s="535"/>
      <c r="J801" s="535"/>
      <c r="K801" s="535"/>
      <c r="L801" s="535"/>
      <c r="M801" s="535"/>
      <c r="N801" s="535"/>
      <c r="O801" s="535"/>
      <c r="P801" s="535"/>
      <c r="Q801" s="535"/>
      <c r="R801" s="535"/>
      <c r="S801" s="535"/>
      <c r="T801" s="535"/>
      <c r="U801" s="535"/>
      <c r="V801" s="535"/>
      <c r="W801" s="535"/>
      <c r="X801" s="535"/>
      <c r="Y801" s="536"/>
    </row>
    <row r="802" spans="1:25" ht="12.75">
      <c r="A802" s="532" t="s">
        <v>3252</v>
      </c>
      <c r="B802" s="532">
        <v>41200129</v>
      </c>
      <c r="C802" s="532" t="s">
        <v>1591</v>
      </c>
      <c r="D802" s="532" t="s">
        <v>6606</v>
      </c>
      <c r="E802" s="532" t="s">
        <v>1431</v>
      </c>
      <c r="F802" s="532" t="s">
        <v>2391</v>
      </c>
      <c r="G802" s="532" t="s">
        <v>1468</v>
      </c>
      <c r="H802" s="532" t="s">
        <v>2392</v>
      </c>
      <c r="I802" s="535"/>
      <c r="J802" s="535"/>
      <c r="K802" s="535"/>
      <c r="L802" s="535"/>
      <c r="M802" s="535"/>
      <c r="N802" s="535"/>
      <c r="O802" s="535"/>
      <c r="P802" s="535"/>
      <c r="Q802" s="535"/>
      <c r="R802" s="535"/>
      <c r="S802" s="535"/>
      <c r="T802" s="535"/>
      <c r="U802" s="535"/>
      <c r="V802" s="535"/>
      <c r="W802" s="535"/>
      <c r="X802" s="535"/>
      <c r="Y802" s="536"/>
    </row>
    <row r="803" spans="1:25" ht="12.75">
      <c r="A803" s="532" t="s">
        <v>3251</v>
      </c>
      <c r="B803" s="532">
        <v>41200129</v>
      </c>
      <c r="C803" s="532" t="s">
        <v>1591</v>
      </c>
      <c r="D803" s="532" t="s">
        <v>6606</v>
      </c>
      <c r="E803" s="532" t="s">
        <v>1431</v>
      </c>
      <c r="F803" s="532" t="s">
        <v>2391</v>
      </c>
      <c r="G803" s="532" t="s">
        <v>1468</v>
      </c>
      <c r="H803" s="532" t="s">
        <v>2392</v>
      </c>
      <c r="I803" s="535"/>
      <c r="J803" s="535"/>
      <c r="K803" s="535"/>
      <c r="L803" s="535"/>
      <c r="M803" s="535"/>
      <c r="N803" s="535"/>
      <c r="O803" s="535"/>
      <c r="P803" s="535"/>
      <c r="Q803" s="535"/>
      <c r="R803" s="535"/>
      <c r="S803" s="535"/>
      <c r="T803" s="535"/>
      <c r="U803" s="535"/>
      <c r="V803" s="535"/>
      <c r="W803" s="535"/>
      <c r="X803" s="535"/>
      <c r="Y803" s="536"/>
    </row>
    <row r="804" spans="1:25" ht="12.75">
      <c r="A804" s="532" t="s">
        <v>3247</v>
      </c>
      <c r="B804" s="532">
        <v>41100584</v>
      </c>
      <c r="C804" s="532" t="s">
        <v>1591</v>
      </c>
      <c r="D804" s="532" t="s">
        <v>6635</v>
      </c>
      <c r="E804" s="532" t="s">
        <v>1422</v>
      </c>
      <c r="F804" s="532" t="s">
        <v>2395</v>
      </c>
      <c r="G804" s="532" t="s">
        <v>1469</v>
      </c>
      <c r="H804" s="532" t="s">
        <v>2392</v>
      </c>
      <c r="I804" s="535"/>
      <c r="J804" s="535"/>
      <c r="K804" s="535"/>
      <c r="L804" s="535"/>
      <c r="M804" s="535"/>
      <c r="N804" s="535"/>
      <c r="O804" s="535"/>
      <c r="P804" s="535"/>
      <c r="Q804" s="535"/>
      <c r="R804" s="535"/>
      <c r="S804" s="535"/>
      <c r="T804" s="535"/>
      <c r="U804" s="535"/>
      <c r="V804" s="535"/>
      <c r="W804" s="535"/>
      <c r="X804" s="535"/>
      <c r="Y804" s="536"/>
    </row>
    <row r="805" spans="1:25" ht="12.75">
      <c r="A805" s="532" t="s">
        <v>3269</v>
      </c>
      <c r="B805" s="532">
        <v>41200007</v>
      </c>
      <c r="C805" s="532" t="s">
        <v>1591</v>
      </c>
      <c r="D805" s="532" t="s">
        <v>6608</v>
      </c>
      <c r="E805" s="532" t="s">
        <v>1405</v>
      </c>
      <c r="F805" s="532" t="s">
        <v>2391</v>
      </c>
      <c r="G805" s="532" t="s">
        <v>2392</v>
      </c>
      <c r="H805" s="532" t="s">
        <v>2392</v>
      </c>
      <c r="I805" s="535"/>
      <c r="J805" s="535"/>
      <c r="K805" s="535"/>
      <c r="L805" s="535"/>
      <c r="M805" s="535"/>
      <c r="N805" s="535"/>
      <c r="O805" s="535"/>
      <c r="P805" s="535"/>
      <c r="Q805" s="535"/>
      <c r="R805" s="535"/>
      <c r="S805" s="535"/>
      <c r="T805" s="535"/>
      <c r="U805" s="535"/>
      <c r="V805" s="535"/>
      <c r="W805" s="535"/>
      <c r="X805" s="535"/>
      <c r="Y805" s="536"/>
    </row>
    <row r="806" spans="1:25" ht="12.75">
      <c r="A806" s="532" t="s">
        <v>3259</v>
      </c>
      <c r="B806" s="532">
        <v>41200007</v>
      </c>
      <c r="C806" s="532" t="s">
        <v>1591</v>
      </c>
      <c r="D806" s="532" t="s">
        <v>6608</v>
      </c>
      <c r="E806" s="532" t="s">
        <v>1405</v>
      </c>
      <c r="F806" s="532" t="s">
        <v>2391</v>
      </c>
      <c r="G806" s="532" t="s">
        <v>2392</v>
      </c>
      <c r="H806" s="532" t="s">
        <v>2392</v>
      </c>
      <c r="I806" s="535"/>
      <c r="J806" s="535"/>
      <c r="K806" s="535"/>
      <c r="L806" s="535"/>
      <c r="M806" s="535"/>
      <c r="N806" s="535"/>
      <c r="O806" s="535"/>
      <c r="P806" s="535"/>
      <c r="Q806" s="535"/>
      <c r="R806" s="535"/>
      <c r="S806" s="535"/>
      <c r="T806" s="535"/>
      <c r="U806" s="535"/>
      <c r="V806" s="535"/>
      <c r="W806" s="535"/>
      <c r="X806" s="535"/>
      <c r="Y806" s="536"/>
    </row>
    <row r="807" spans="1:25" ht="12.75">
      <c r="A807" s="532" t="s">
        <v>3248</v>
      </c>
      <c r="B807" s="532">
        <v>41200007</v>
      </c>
      <c r="C807" s="532" t="s">
        <v>1591</v>
      </c>
      <c r="D807" s="532" t="s">
        <v>6608</v>
      </c>
      <c r="E807" s="532" t="s">
        <v>1405</v>
      </c>
      <c r="F807" s="532" t="s">
        <v>2391</v>
      </c>
      <c r="G807" s="532" t="s">
        <v>2392</v>
      </c>
      <c r="H807" s="532" t="s">
        <v>2392</v>
      </c>
      <c r="I807" s="535"/>
      <c r="J807" s="535"/>
      <c r="K807" s="535"/>
      <c r="L807" s="535"/>
      <c r="M807" s="535"/>
      <c r="N807" s="535"/>
      <c r="O807" s="535"/>
      <c r="P807" s="535"/>
      <c r="Q807" s="535"/>
      <c r="R807" s="535"/>
      <c r="S807" s="535"/>
      <c r="T807" s="535"/>
      <c r="U807" s="535"/>
      <c r="V807" s="535"/>
      <c r="W807" s="535"/>
      <c r="X807" s="535"/>
      <c r="Y807" s="536"/>
    </row>
    <row r="808" spans="1:25" ht="12.75">
      <c r="A808" s="532" t="s">
        <v>3290</v>
      </c>
      <c r="B808" s="532">
        <v>41200158</v>
      </c>
      <c r="C808" s="532" t="s">
        <v>1480</v>
      </c>
      <c r="D808" s="532" t="s">
        <v>1480</v>
      </c>
      <c r="E808" s="532" t="s">
        <v>1405</v>
      </c>
      <c r="F808" s="532" t="s">
        <v>2395</v>
      </c>
      <c r="G808" s="532" t="s">
        <v>2392</v>
      </c>
      <c r="H808" s="532" t="s">
        <v>2392</v>
      </c>
      <c r="I808" s="535"/>
      <c r="J808" s="535"/>
      <c r="K808" s="535"/>
      <c r="L808" s="535"/>
      <c r="M808" s="535"/>
      <c r="N808" s="535"/>
      <c r="O808" s="535"/>
      <c r="P808" s="535"/>
      <c r="Q808" s="535"/>
      <c r="R808" s="535"/>
      <c r="S808" s="535"/>
      <c r="T808" s="535"/>
      <c r="U808" s="535"/>
      <c r="V808" s="535"/>
      <c r="W808" s="535"/>
      <c r="X808" s="535"/>
      <c r="Y808" s="536"/>
    </row>
    <row r="809" spans="1:25" ht="12.75">
      <c r="A809" s="532" t="s">
        <v>3289</v>
      </c>
      <c r="B809" s="532">
        <v>41200158</v>
      </c>
      <c r="C809" s="532" t="s">
        <v>1480</v>
      </c>
      <c r="D809" s="532" t="s">
        <v>1480</v>
      </c>
      <c r="E809" s="532" t="s">
        <v>1405</v>
      </c>
      <c r="F809" s="532" t="s">
        <v>2395</v>
      </c>
      <c r="G809" s="532" t="s">
        <v>2392</v>
      </c>
      <c r="H809" s="532" t="s">
        <v>2392</v>
      </c>
      <c r="I809" s="535"/>
      <c r="J809" s="535"/>
      <c r="K809" s="535"/>
      <c r="L809" s="535"/>
      <c r="M809" s="535"/>
      <c r="N809" s="535"/>
      <c r="O809" s="535"/>
      <c r="P809" s="535"/>
      <c r="Q809" s="535"/>
      <c r="R809" s="535"/>
      <c r="S809" s="535"/>
      <c r="T809" s="535"/>
      <c r="U809" s="535"/>
      <c r="V809" s="535"/>
      <c r="W809" s="535"/>
      <c r="X809" s="535"/>
      <c r="Y809" s="536"/>
    </row>
    <row r="810" spans="1:25" ht="12.75">
      <c r="A810" s="532" t="s">
        <v>3288</v>
      </c>
      <c r="B810" s="532">
        <v>41200158</v>
      </c>
      <c r="C810" s="532" t="s">
        <v>1480</v>
      </c>
      <c r="D810" s="532" t="s">
        <v>1480</v>
      </c>
      <c r="E810" s="532" t="s">
        <v>1405</v>
      </c>
      <c r="F810" s="532" t="s">
        <v>2395</v>
      </c>
      <c r="G810" s="532" t="s">
        <v>2392</v>
      </c>
      <c r="H810" s="532" t="s">
        <v>2392</v>
      </c>
      <c r="I810" s="535"/>
      <c r="J810" s="535"/>
      <c r="K810" s="535"/>
      <c r="L810" s="535"/>
      <c r="M810" s="535"/>
      <c r="N810" s="535"/>
      <c r="O810" s="535"/>
      <c r="P810" s="535"/>
      <c r="Q810" s="535"/>
      <c r="R810" s="535"/>
      <c r="S810" s="535"/>
      <c r="T810" s="535"/>
      <c r="U810" s="535"/>
      <c r="V810" s="535"/>
      <c r="W810" s="535"/>
      <c r="X810" s="535"/>
      <c r="Y810" s="536"/>
    </row>
    <row r="811" spans="1:25" ht="12.75">
      <c r="A811" s="532" t="s">
        <v>3258</v>
      </c>
      <c r="B811" s="532">
        <v>41200158</v>
      </c>
      <c r="C811" s="532" t="s">
        <v>1480</v>
      </c>
      <c r="D811" s="532" t="s">
        <v>1480</v>
      </c>
      <c r="E811" s="532" t="s">
        <v>1405</v>
      </c>
      <c r="F811" s="532" t="s">
        <v>2395</v>
      </c>
      <c r="G811" s="532" t="s">
        <v>2392</v>
      </c>
      <c r="H811" s="532" t="s">
        <v>2392</v>
      </c>
      <c r="I811" s="535"/>
      <c r="J811" s="535"/>
      <c r="K811" s="535"/>
      <c r="L811" s="535"/>
      <c r="M811" s="535"/>
      <c r="N811" s="535"/>
      <c r="O811" s="535"/>
      <c r="P811" s="535"/>
      <c r="Q811" s="535"/>
      <c r="R811" s="535"/>
      <c r="S811" s="535"/>
      <c r="T811" s="535"/>
      <c r="U811" s="535"/>
      <c r="V811" s="535"/>
      <c r="W811" s="535"/>
      <c r="X811" s="535"/>
      <c r="Y811" s="536"/>
    </row>
    <row r="812" spans="1:25" ht="12.75">
      <c r="A812" s="532" t="s">
        <v>3263</v>
      </c>
      <c r="B812" s="532">
        <v>41200158</v>
      </c>
      <c r="C812" s="532" t="s">
        <v>1480</v>
      </c>
      <c r="D812" s="532" t="s">
        <v>1480</v>
      </c>
      <c r="E812" s="532" t="s">
        <v>1405</v>
      </c>
      <c r="F812" s="532" t="s">
        <v>2395</v>
      </c>
      <c r="G812" s="532" t="s">
        <v>1468</v>
      </c>
      <c r="H812" s="532" t="s">
        <v>2392</v>
      </c>
      <c r="I812" s="535"/>
      <c r="J812" s="535"/>
      <c r="K812" s="535"/>
      <c r="L812" s="535"/>
      <c r="M812" s="535"/>
      <c r="N812" s="535"/>
      <c r="O812" s="535"/>
      <c r="P812" s="535"/>
      <c r="Q812" s="535"/>
      <c r="R812" s="535"/>
      <c r="S812" s="535"/>
      <c r="T812" s="535"/>
      <c r="U812" s="535"/>
      <c r="V812" s="535"/>
      <c r="W812" s="535"/>
      <c r="X812" s="535"/>
      <c r="Y812" s="536"/>
    </row>
    <row r="813" spans="1:25" ht="12.75">
      <c r="A813" s="532" t="s">
        <v>3262</v>
      </c>
      <c r="B813" s="532">
        <v>41200158</v>
      </c>
      <c r="C813" s="532" t="s">
        <v>1480</v>
      </c>
      <c r="D813" s="532" t="s">
        <v>1480</v>
      </c>
      <c r="E813" s="532" t="s">
        <v>1405</v>
      </c>
      <c r="F813" s="532" t="s">
        <v>2395</v>
      </c>
      <c r="G813" s="532" t="s">
        <v>1468</v>
      </c>
      <c r="H813" s="532" t="s">
        <v>2392</v>
      </c>
      <c r="I813" s="535"/>
      <c r="J813" s="535"/>
      <c r="K813" s="535"/>
      <c r="L813" s="535"/>
      <c r="M813" s="535"/>
      <c r="N813" s="535"/>
      <c r="O813" s="535"/>
      <c r="P813" s="535"/>
      <c r="Q813" s="535"/>
      <c r="R813" s="535"/>
      <c r="S813" s="535"/>
      <c r="T813" s="535"/>
      <c r="U813" s="535"/>
      <c r="V813" s="535"/>
      <c r="W813" s="535"/>
      <c r="X813" s="535"/>
      <c r="Y813" s="536"/>
    </row>
    <row r="814" spans="1:25" ht="12.75">
      <c r="A814" s="532" t="s">
        <v>3230</v>
      </c>
      <c r="B814" s="532">
        <v>41200109</v>
      </c>
      <c r="C814" s="532" t="s">
        <v>1591</v>
      </c>
      <c r="D814" s="532" t="s">
        <v>6619</v>
      </c>
      <c r="E814" s="532" t="s">
        <v>1585</v>
      </c>
      <c r="F814" s="532" t="s">
        <v>2391</v>
      </c>
      <c r="G814" s="532" t="s">
        <v>2392</v>
      </c>
      <c r="H814" s="532" t="s">
        <v>2392</v>
      </c>
      <c r="I814" s="535"/>
      <c r="J814" s="535"/>
      <c r="K814" s="535"/>
      <c r="L814" s="535"/>
      <c r="M814" s="535"/>
      <c r="N814" s="535"/>
      <c r="O814" s="535"/>
      <c r="P814" s="535"/>
      <c r="Q814" s="535"/>
      <c r="R814" s="535"/>
      <c r="S814" s="535"/>
      <c r="T814" s="535"/>
      <c r="U814" s="535"/>
      <c r="V814" s="535"/>
      <c r="W814" s="535"/>
      <c r="X814" s="535"/>
      <c r="Y814" s="536"/>
    </row>
    <row r="815" spans="1:25" ht="12.75">
      <c r="A815" s="532" t="s">
        <v>3229</v>
      </c>
      <c r="B815" s="532">
        <v>41200109</v>
      </c>
      <c r="C815" s="532" t="s">
        <v>1591</v>
      </c>
      <c r="D815" s="532" t="s">
        <v>6619</v>
      </c>
      <c r="E815" s="532" t="s">
        <v>1585</v>
      </c>
      <c r="F815" s="532" t="s">
        <v>2391</v>
      </c>
      <c r="G815" s="532" t="s">
        <v>2392</v>
      </c>
      <c r="H815" s="532" t="s">
        <v>2392</v>
      </c>
      <c r="I815" s="535"/>
      <c r="J815" s="535"/>
      <c r="K815" s="535"/>
      <c r="L815" s="535"/>
      <c r="M815" s="535"/>
      <c r="N815" s="535"/>
      <c r="O815" s="535"/>
      <c r="P815" s="535"/>
      <c r="Q815" s="535"/>
      <c r="R815" s="535"/>
      <c r="S815" s="535"/>
      <c r="T815" s="535"/>
      <c r="U815" s="535"/>
      <c r="V815" s="535"/>
      <c r="W815" s="535"/>
      <c r="X815" s="535"/>
      <c r="Y815" s="536"/>
    </row>
    <row r="816" spans="1:25" ht="12.75">
      <c r="A816" s="532" t="s">
        <v>3256</v>
      </c>
      <c r="B816" s="532">
        <v>41000544</v>
      </c>
      <c r="C816" s="532" t="s">
        <v>1476</v>
      </c>
      <c r="D816" s="532" t="s">
        <v>6610</v>
      </c>
      <c r="E816" s="532" t="s">
        <v>1405</v>
      </c>
      <c r="F816" s="532" t="s">
        <v>2391</v>
      </c>
      <c r="G816" s="532" t="s">
        <v>2392</v>
      </c>
      <c r="H816" s="532" t="s">
        <v>2392</v>
      </c>
      <c r="I816" s="535"/>
      <c r="J816" s="535"/>
      <c r="K816" s="535"/>
      <c r="L816" s="535"/>
      <c r="M816" s="535"/>
      <c r="N816" s="535"/>
      <c r="O816" s="535"/>
      <c r="P816" s="535"/>
      <c r="Q816" s="535"/>
      <c r="R816" s="535"/>
      <c r="S816" s="535"/>
      <c r="T816" s="535"/>
      <c r="U816" s="535"/>
      <c r="V816" s="535"/>
      <c r="W816" s="535"/>
      <c r="X816" s="535"/>
      <c r="Y816" s="536"/>
    </row>
    <row r="817" spans="1:25" ht="12.75">
      <c r="A817" s="532" t="s">
        <v>3245</v>
      </c>
      <c r="B817" s="532">
        <v>41000544</v>
      </c>
      <c r="C817" s="532" t="s">
        <v>1476</v>
      </c>
      <c r="D817" s="532" t="s">
        <v>6610</v>
      </c>
      <c r="E817" s="532" t="s">
        <v>1405</v>
      </c>
      <c r="F817" s="532" t="s">
        <v>2391</v>
      </c>
      <c r="G817" s="532" t="s">
        <v>2392</v>
      </c>
      <c r="H817" s="532" t="s">
        <v>2392</v>
      </c>
      <c r="I817" s="535"/>
      <c r="J817" s="535"/>
      <c r="K817" s="535"/>
      <c r="L817" s="535"/>
      <c r="M817" s="535"/>
      <c r="N817" s="535"/>
      <c r="O817" s="535"/>
      <c r="P817" s="535"/>
      <c r="Q817" s="535"/>
      <c r="R817" s="535"/>
      <c r="S817" s="535"/>
      <c r="T817" s="535"/>
      <c r="U817" s="535"/>
      <c r="V817" s="535"/>
      <c r="W817" s="535"/>
      <c r="X817" s="535"/>
      <c r="Y817" s="536"/>
    </row>
    <row r="818" spans="1:25" ht="12.75">
      <c r="A818" s="532" t="s">
        <v>3239</v>
      </c>
      <c r="B818" s="532">
        <v>41200006</v>
      </c>
      <c r="C818" s="532" t="s">
        <v>1477</v>
      </c>
      <c r="D818" s="532" t="s">
        <v>6640</v>
      </c>
      <c r="E818" s="532" t="s">
        <v>1405</v>
      </c>
      <c r="F818" s="532" t="s">
        <v>2395</v>
      </c>
      <c r="G818" s="532" t="s">
        <v>1469</v>
      </c>
      <c r="H818" s="532" t="s">
        <v>2392</v>
      </c>
      <c r="I818" s="535"/>
      <c r="J818" s="535"/>
      <c r="K818" s="535"/>
      <c r="L818" s="535"/>
      <c r="M818" s="535"/>
      <c r="N818" s="535"/>
      <c r="O818" s="535"/>
      <c r="P818" s="535"/>
      <c r="Q818" s="535"/>
      <c r="R818" s="535"/>
      <c r="S818" s="535"/>
      <c r="T818" s="535"/>
      <c r="U818" s="535"/>
      <c r="V818" s="535"/>
      <c r="W818" s="535"/>
      <c r="X818" s="535"/>
      <c r="Y818" s="536"/>
    </row>
    <row r="819" spans="1:25" ht="12.75">
      <c r="A819" s="532" t="s">
        <v>3238</v>
      </c>
      <c r="B819" s="532">
        <v>41200006</v>
      </c>
      <c r="C819" s="532" t="s">
        <v>1477</v>
      </c>
      <c r="D819" s="532" t="s">
        <v>6640</v>
      </c>
      <c r="E819" s="532" t="s">
        <v>1405</v>
      </c>
      <c r="F819" s="532" t="s">
        <v>2395</v>
      </c>
      <c r="G819" s="532" t="s">
        <v>1469</v>
      </c>
      <c r="H819" s="532" t="s">
        <v>2392</v>
      </c>
      <c r="I819" s="535"/>
      <c r="J819" s="535"/>
      <c r="K819" s="535"/>
      <c r="L819" s="535"/>
      <c r="M819" s="535"/>
      <c r="N819" s="535"/>
      <c r="O819" s="535"/>
      <c r="P819" s="535"/>
      <c r="Q819" s="535"/>
      <c r="R819" s="535"/>
      <c r="S819" s="535"/>
      <c r="T819" s="535"/>
      <c r="U819" s="535"/>
      <c r="V819" s="535"/>
      <c r="W819" s="535"/>
      <c r="X819" s="535"/>
      <c r="Y819" s="536"/>
    </row>
    <row r="820" spans="1:25" ht="12.75">
      <c r="A820" s="532" t="s">
        <v>3250</v>
      </c>
      <c r="B820" s="532">
        <v>41200088</v>
      </c>
      <c r="C820" s="532" t="s">
        <v>1476</v>
      </c>
      <c r="D820" s="532" t="s">
        <v>1476</v>
      </c>
      <c r="E820" s="532" t="s">
        <v>1422</v>
      </c>
      <c r="F820" s="532" t="s">
        <v>2395</v>
      </c>
      <c r="G820" s="532" t="s">
        <v>1468</v>
      </c>
      <c r="H820" s="532" t="s">
        <v>2392</v>
      </c>
      <c r="I820" s="535"/>
      <c r="J820" s="535"/>
      <c r="K820" s="535"/>
      <c r="L820" s="535"/>
      <c r="M820" s="535"/>
      <c r="N820" s="535"/>
      <c r="O820" s="535"/>
      <c r="P820" s="535"/>
      <c r="Q820" s="535"/>
      <c r="R820" s="535"/>
      <c r="S820" s="535"/>
      <c r="T820" s="535"/>
      <c r="U820" s="535"/>
      <c r="V820" s="535"/>
      <c r="W820" s="535"/>
      <c r="X820" s="535"/>
      <c r="Y820" s="536"/>
    </row>
    <row r="821" spans="1:25" ht="12.75">
      <c r="A821" s="532" t="s">
        <v>3240</v>
      </c>
      <c r="B821" s="532">
        <v>41200125</v>
      </c>
      <c r="C821" s="532" t="s">
        <v>1476</v>
      </c>
      <c r="D821" s="532" t="s">
        <v>1476</v>
      </c>
      <c r="E821" s="532" t="s">
        <v>1585</v>
      </c>
      <c r="F821" s="532" t="s">
        <v>2395</v>
      </c>
      <c r="G821" s="532" t="s">
        <v>1469</v>
      </c>
      <c r="H821" s="532" t="s">
        <v>2392</v>
      </c>
      <c r="I821" s="535"/>
      <c r="J821" s="535"/>
      <c r="K821" s="535"/>
      <c r="L821" s="535"/>
      <c r="M821" s="535"/>
      <c r="N821" s="535"/>
      <c r="O821" s="535"/>
      <c r="P821" s="535"/>
      <c r="Q821" s="535"/>
      <c r="R821" s="535"/>
      <c r="S821" s="535"/>
      <c r="T821" s="535"/>
      <c r="U821" s="535"/>
      <c r="V821" s="535"/>
      <c r="W821" s="535"/>
      <c r="X821" s="535"/>
      <c r="Y821" s="536"/>
    </row>
    <row r="822" spans="1:25" ht="12.75">
      <c r="A822" s="532" t="s">
        <v>3228</v>
      </c>
      <c r="B822" s="532">
        <v>41200184</v>
      </c>
      <c r="C822" s="532" t="s">
        <v>1479</v>
      </c>
      <c r="D822" s="532" t="s">
        <v>1394</v>
      </c>
      <c r="E822" s="532" t="s">
        <v>1394</v>
      </c>
      <c r="F822" s="532" t="s">
        <v>2395</v>
      </c>
      <c r="G822" s="532" t="s">
        <v>1469</v>
      </c>
      <c r="H822" s="532" t="s">
        <v>2392</v>
      </c>
      <c r="I822" s="535"/>
      <c r="J822" s="535"/>
      <c r="K822" s="535"/>
      <c r="L822" s="535"/>
      <c r="M822" s="535"/>
      <c r="N822" s="535"/>
      <c r="O822" s="535"/>
      <c r="P822" s="535"/>
      <c r="Q822" s="535"/>
      <c r="R822" s="535"/>
      <c r="S822" s="535"/>
      <c r="T822" s="535"/>
      <c r="U822" s="535"/>
      <c r="V822" s="535"/>
      <c r="W822" s="535"/>
      <c r="X822" s="535"/>
      <c r="Y822" s="536"/>
    </row>
    <row r="823" spans="1:25" ht="12.75">
      <c r="A823" s="532" t="s">
        <v>3226</v>
      </c>
      <c r="B823" s="532">
        <v>41200184</v>
      </c>
      <c r="C823" s="532" t="s">
        <v>1479</v>
      </c>
      <c r="D823" s="532" t="s">
        <v>1394</v>
      </c>
      <c r="E823" s="532" t="s">
        <v>1394</v>
      </c>
      <c r="F823" s="532" t="s">
        <v>2395</v>
      </c>
      <c r="G823" s="532" t="s">
        <v>1469</v>
      </c>
      <c r="H823" s="532" t="s">
        <v>2392</v>
      </c>
      <c r="I823" s="535"/>
      <c r="J823" s="535"/>
      <c r="K823" s="535"/>
      <c r="L823" s="535"/>
      <c r="M823" s="535"/>
      <c r="N823" s="535"/>
      <c r="O823" s="535"/>
      <c r="P823" s="535"/>
      <c r="Q823" s="535"/>
      <c r="R823" s="535"/>
      <c r="S823" s="535"/>
      <c r="T823" s="535"/>
      <c r="U823" s="535"/>
      <c r="V823" s="535"/>
      <c r="W823" s="535"/>
      <c r="X823" s="535"/>
      <c r="Y823" s="536"/>
    </row>
    <row r="824" spans="1:25" ht="12.75">
      <c r="A824" s="532" t="s">
        <v>3225</v>
      </c>
      <c r="B824" s="532">
        <v>41200184</v>
      </c>
      <c r="C824" s="532" t="s">
        <v>1479</v>
      </c>
      <c r="D824" s="532" t="s">
        <v>1394</v>
      </c>
      <c r="E824" s="532" t="s">
        <v>1394</v>
      </c>
      <c r="F824" s="532" t="s">
        <v>2395</v>
      </c>
      <c r="G824" s="532" t="s">
        <v>1469</v>
      </c>
      <c r="H824" s="532" t="s">
        <v>2392</v>
      </c>
      <c r="I824" s="535"/>
      <c r="J824" s="535"/>
      <c r="K824" s="535"/>
      <c r="L824" s="535"/>
      <c r="M824" s="535"/>
      <c r="N824" s="535"/>
      <c r="O824" s="535"/>
      <c r="P824" s="535"/>
      <c r="Q824" s="535"/>
      <c r="R824" s="535"/>
      <c r="S824" s="535"/>
      <c r="T824" s="535"/>
      <c r="U824" s="535"/>
      <c r="V824" s="535"/>
      <c r="W824" s="535"/>
      <c r="X824" s="535"/>
      <c r="Y824" s="536"/>
    </row>
    <row r="825" spans="1:25" ht="12.75">
      <c r="A825" s="532" t="s">
        <v>3537</v>
      </c>
      <c r="B825" s="532">
        <v>41200101</v>
      </c>
      <c r="C825" s="532" t="s">
        <v>1476</v>
      </c>
      <c r="D825" s="532" t="s">
        <v>1476</v>
      </c>
      <c r="E825" s="532" t="s">
        <v>1585</v>
      </c>
      <c r="F825" s="532" t="s">
        <v>2555</v>
      </c>
      <c r="G825" s="532" t="s">
        <v>2555</v>
      </c>
      <c r="H825" s="532" t="s">
        <v>2392</v>
      </c>
      <c r="I825" s="535"/>
      <c r="J825" s="535"/>
      <c r="K825" s="535"/>
      <c r="L825" s="535"/>
      <c r="M825" s="535"/>
      <c r="N825" s="535"/>
      <c r="O825" s="535"/>
      <c r="P825" s="535"/>
      <c r="Q825" s="535"/>
      <c r="R825" s="535"/>
      <c r="S825" s="535"/>
      <c r="T825" s="535"/>
      <c r="U825" s="535"/>
      <c r="V825" s="535"/>
      <c r="W825" s="535"/>
      <c r="X825" s="535"/>
      <c r="Y825" s="536"/>
    </row>
    <row r="826" spans="1:25" ht="12.75">
      <c r="A826" s="532" t="s">
        <v>3271</v>
      </c>
      <c r="B826" s="532">
        <v>41200101</v>
      </c>
      <c r="C826" s="532" t="s">
        <v>1476</v>
      </c>
      <c r="D826" s="532" t="s">
        <v>1476</v>
      </c>
      <c r="E826" s="532" t="s">
        <v>1585</v>
      </c>
      <c r="F826" s="532" t="s">
        <v>2555</v>
      </c>
      <c r="G826" s="532" t="s">
        <v>2555</v>
      </c>
      <c r="H826" s="532" t="s">
        <v>2392</v>
      </c>
      <c r="I826" s="535"/>
      <c r="J826" s="535"/>
      <c r="K826" s="535"/>
      <c r="L826" s="535"/>
      <c r="M826" s="535"/>
      <c r="N826" s="535"/>
      <c r="O826" s="535"/>
      <c r="P826" s="535"/>
      <c r="Q826" s="535"/>
      <c r="R826" s="535"/>
      <c r="S826" s="535"/>
      <c r="T826" s="535"/>
      <c r="U826" s="535"/>
      <c r="V826" s="535"/>
      <c r="W826" s="535"/>
      <c r="X826" s="535"/>
      <c r="Y826" s="536"/>
    </row>
    <row r="827" spans="1:25" ht="12.75">
      <c r="A827" s="532" t="s">
        <v>3223</v>
      </c>
      <c r="B827" s="532">
        <v>41100317</v>
      </c>
      <c r="C827" s="532" t="s">
        <v>1476</v>
      </c>
      <c r="D827" s="532" t="s">
        <v>1476</v>
      </c>
      <c r="E827" s="532" t="s">
        <v>1585</v>
      </c>
      <c r="F827" s="532" t="s">
        <v>2391</v>
      </c>
      <c r="G827" s="532" t="s">
        <v>1468</v>
      </c>
      <c r="H827" s="532" t="s">
        <v>2392</v>
      </c>
      <c r="I827" s="535"/>
      <c r="J827" s="535"/>
      <c r="K827" s="535"/>
      <c r="L827" s="535"/>
      <c r="M827" s="535"/>
      <c r="N827" s="535"/>
      <c r="O827" s="535"/>
      <c r="P827" s="535"/>
      <c r="Q827" s="535"/>
      <c r="R827" s="535"/>
      <c r="S827" s="535"/>
      <c r="T827" s="535"/>
      <c r="U827" s="535"/>
      <c r="V827" s="535"/>
      <c r="W827" s="535"/>
      <c r="X827" s="535"/>
      <c r="Y827" s="536"/>
    </row>
    <row r="828" spans="1:25" ht="12.75">
      <c r="A828" s="532" t="s">
        <v>3237</v>
      </c>
      <c r="B828" s="532">
        <v>41200025</v>
      </c>
      <c r="C828" s="532" t="s">
        <v>2184</v>
      </c>
      <c r="D828" s="532" t="s">
        <v>6646</v>
      </c>
      <c r="E828" s="532" t="s">
        <v>1405</v>
      </c>
      <c r="F828" s="532" t="s">
        <v>2392</v>
      </c>
      <c r="G828" s="532" t="s">
        <v>1468</v>
      </c>
      <c r="H828" s="533"/>
      <c r="I828" s="535"/>
      <c r="J828" s="535"/>
      <c r="K828" s="535"/>
      <c r="L828" s="535"/>
      <c r="M828" s="535"/>
      <c r="N828" s="535"/>
      <c r="O828" s="535"/>
      <c r="P828" s="535"/>
      <c r="Q828" s="535"/>
      <c r="R828" s="535"/>
      <c r="S828" s="535"/>
      <c r="T828" s="535"/>
      <c r="U828" s="535"/>
      <c r="V828" s="535"/>
      <c r="W828" s="535"/>
      <c r="X828" s="535"/>
      <c r="Y828" s="536"/>
    </row>
    <row r="829" spans="1:25" ht="12.75">
      <c r="A829" s="532" t="s">
        <v>3236</v>
      </c>
      <c r="B829" s="532">
        <v>41200025</v>
      </c>
      <c r="C829" s="532" t="s">
        <v>2184</v>
      </c>
      <c r="D829" s="532" t="s">
        <v>6646</v>
      </c>
      <c r="E829" s="532" t="s">
        <v>1405</v>
      </c>
      <c r="F829" s="532" t="s">
        <v>2392</v>
      </c>
      <c r="G829" s="532" t="s">
        <v>1468</v>
      </c>
      <c r="H829" s="533"/>
      <c r="I829" s="535"/>
      <c r="J829" s="535"/>
      <c r="K829" s="535"/>
      <c r="L829" s="535"/>
      <c r="M829" s="535"/>
      <c r="N829" s="535"/>
      <c r="O829" s="535"/>
      <c r="P829" s="535"/>
      <c r="Q829" s="535"/>
      <c r="R829" s="535"/>
      <c r="S829" s="535"/>
      <c r="T829" s="535"/>
      <c r="U829" s="535"/>
      <c r="V829" s="535"/>
      <c r="W829" s="535"/>
      <c r="X829" s="535"/>
      <c r="Y829" s="536"/>
    </row>
    <row r="830" spans="1:25" ht="12.75">
      <c r="A830" s="532" t="s">
        <v>3224</v>
      </c>
      <c r="B830" s="532">
        <v>41200136</v>
      </c>
      <c r="C830" s="532" t="s">
        <v>1482</v>
      </c>
      <c r="D830" s="532" t="s">
        <v>1431</v>
      </c>
      <c r="E830" s="532" t="s">
        <v>1431</v>
      </c>
      <c r="F830" s="532" t="s">
        <v>2395</v>
      </c>
      <c r="G830" s="532" t="s">
        <v>1469</v>
      </c>
      <c r="H830" s="533"/>
      <c r="I830" s="535"/>
      <c r="J830" s="535"/>
      <c r="K830" s="535"/>
      <c r="L830" s="535"/>
      <c r="M830" s="535"/>
      <c r="N830" s="535"/>
      <c r="O830" s="535"/>
      <c r="P830" s="535"/>
      <c r="Q830" s="535"/>
      <c r="R830" s="535"/>
      <c r="S830" s="535"/>
      <c r="T830" s="535"/>
      <c r="U830" s="535"/>
      <c r="V830" s="535"/>
      <c r="W830" s="535"/>
      <c r="X830" s="535"/>
      <c r="Y830" s="536"/>
    </row>
    <row r="831" spans="1:25" ht="12.75">
      <c r="A831" s="532" t="s">
        <v>3445</v>
      </c>
      <c r="B831" s="532">
        <v>41200007</v>
      </c>
      <c r="C831" s="532" t="s">
        <v>1591</v>
      </c>
      <c r="D831" s="532" t="s">
        <v>6608</v>
      </c>
      <c r="E831" s="532" t="s">
        <v>1405</v>
      </c>
      <c r="F831" s="532" t="s">
        <v>2391</v>
      </c>
      <c r="G831" s="532" t="s">
        <v>2392</v>
      </c>
      <c r="H831" s="532" t="s">
        <v>2392</v>
      </c>
      <c r="I831" s="535"/>
      <c r="J831" s="535"/>
      <c r="K831" s="535"/>
      <c r="L831" s="535"/>
      <c r="M831" s="535"/>
      <c r="N831" s="535"/>
      <c r="O831" s="535"/>
      <c r="P831" s="535"/>
      <c r="Q831" s="535"/>
      <c r="R831" s="535"/>
      <c r="S831" s="535"/>
      <c r="T831" s="535"/>
      <c r="U831" s="535"/>
      <c r="V831" s="535"/>
      <c r="W831" s="535"/>
      <c r="X831" s="535"/>
      <c r="Y831" s="536"/>
    </row>
    <row r="832" spans="1:25" ht="12.75">
      <c r="A832" s="532" t="s">
        <v>3446</v>
      </c>
      <c r="B832" s="532">
        <v>41200007</v>
      </c>
      <c r="C832" s="532" t="s">
        <v>1591</v>
      </c>
      <c r="D832" s="532" t="s">
        <v>6608</v>
      </c>
      <c r="E832" s="532" t="s">
        <v>1405</v>
      </c>
      <c r="F832" s="532" t="s">
        <v>2391</v>
      </c>
      <c r="G832" s="532" t="s">
        <v>2392</v>
      </c>
      <c r="H832" s="532" t="s">
        <v>2392</v>
      </c>
      <c r="I832" s="535"/>
      <c r="J832" s="535"/>
      <c r="K832" s="535"/>
      <c r="L832" s="535"/>
      <c r="M832" s="535"/>
      <c r="N832" s="535"/>
      <c r="O832" s="535"/>
      <c r="P832" s="535"/>
      <c r="Q832" s="535"/>
      <c r="R832" s="535"/>
      <c r="S832" s="535"/>
      <c r="T832" s="535"/>
      <c r="U832" s="535"/>
      <c r="V832" s="535"/>
      <c r="W832" s="535"/>
      <c r="X832" s="535"/>
      <c r="Y832" s="536"/>
    </row>
    <row r="833" spans="1:25" ht="12.75">
      <c r="A833" s="532" t="s">
        <v>3308</v>
      </c>
      <c r="B833" s="532">
        <v>41100286</v>
      </c>
      <c r="C833" s="532" t="s">
        <v>1476</v>
      </c>
      <c r="D833" s="532" t="s">
        <v>6610</v>
      </c>
      <c r="E833" s="532" t="s">
        <v>1424</v>
      </c>
      <c r="F833" s="532" t="s">
        <v>2391</v>
      </c>
      <c r="G833" s="532" t="s">
        <v>2392</v>
      </c>
      <c r="H833" s="532" t="s">
        <v>2392</v>
      </c>
      <c r="I833" s="535"/>
      <c r="J833" s="535"/>
      <c r="K833" s="535"/>
      <c r="L833" s="535"/>
      <c r="M833" s="535"/>
      <c r="N833" s="535"/>
      <c r="O833" s="535"/>
      <c r="P833" s="535"/>
      <c r="Q833" s="535"/>
      <c r="R833" s="535"/>
      <c r="S833" s="535"/>
      <c r="T833" s="535"/>
      <c r="U833" s="535"/>
      <c r="V833" s="535"/>
      <c r="W833" s="535"/>
      <c r="X833" s="535"/>
      <c r="Y833" s="536"/>
    </row>
    <row r="834" spans="1:25" ht="12.75">
      <c r="A834" s="532" t="s">
        <v>6791</v>
      </c>
      <c r="B834" s="532">
        <v>42100202</v>
      </c>
      <c r="C834" s="532" t="s">
        <v>6790</v>
      </c>
      <c r="D834" s="532" t="s">
        <v>6790</v>
      </c>
      <c r="E834" s="532" t="s">
        <v>1405</v>
      </c>
      <c r="F834" s="532" t="s">
        <v>6684</v>
      </c>
      <c r="G834" s="532" t="s">
        <v>6696</v>
      </c>
      <c r="H834" s="533"/>
      <c r="I834" s="535"/>
      <c r="J834" s="535"/>
      <c r="K834" s="535"/>
      <c r="L834" s="535"/>
      <c r="M834" s="535"/>
      <c r="N834" s="535"/>
      <c r="O834" s="535"/>
      <c r="P834" s="535"/>
      <c r="Q834" s="535"/>
      <c r="R834" s="535"/>
      <c r="S834" s="535"/>
      <c r="T834" s="535"/>
      <c r="U834" s="535"/>
      <c r="V834" s="535"/>
      <c r="W834" s="535"/>
      <c r="X834" s="535"/>
      <c r="Y834" s="536"/>
    </row>
    <row r="835" spans="1:25" ht="12.75">
      <c r="A835" s="532" t="s">
        <v>6591</v>
      </c>
      <c r="B835" s="532" t="s">
        <v>6592</v>
      </c>
      <c r="C835" s="532" t="s">
        <v>6593</v>
      </c>
      <c r="D835" s="533"/>
      <c r="E835" s="532" t="s">
        <v>1405</v>
      </c>
      <c r="F835" s="532" t="s">
        <v>2392</v>
      </c>
      <c r="G835" s="532" t="s">
        <v>2392</v>
      </c>
      <c r="H835" s="532" t="s">
        <v>2392</v>
      </c>
      <c r="I835" s="535"/>
      <c r="J835" s="535"/>
      <c r="K835" s="535"/>
      <c r="L835" s="535"/>
      <c r="M835" s="535"/>
      <c r="N835" s="535"/>
      <c r="O835" s="535"/>
      <c r="P835" s="535"/>
      <c r="Q835" s="535"/>
      <c r="R835" s="535"/>
      <c r="S835" s="535"/>
      <c r="T835" s="535"/>
      <c r="U835" s="535"/>
      <c r="V835" s="535"/>
      <c r="W835" s="535"/>
      <c r="X835" s="535"/>
      <c r="Y835" s="536"/>
    </row>
    <row r="836" spans="1:25" ht="12.75">
      <c r="A836" s="532" t="s">
        <v>6595</v>
      </c>
      <c r="B836" s="532" t="s">
        <v>6592</v>
      </c>
      <c r="C836" s="532" t="s">
        <v>6593</v>
      </c>
      <c r="D836" s="533"/>
      <c r="E836" s="532" t="s">
        <v>1405</v>
      </c>
      <c r="F836" s="532" t="s">
        <v>2392</v>
      </c>
      <c r="G836" s="532" t="s">
        <v>2392</v>
      </c>
      <c r="H836" s="532" t="s">
        <v>2392</v>
      </c>
      <c r="I836" s="535"/>
      <c r="J836" s="535"/>
      <c r="K836" s="535"/>
      <c r="L836" s="535"/>
      <c r="M836" s="535"/>
      <c r="N836" s="535"/>
      <c r="O836" s="535"/>
      <c r="P836" s="535"/>
      <c r="Q836" s="535"/>
      <c r="R836" s="535"/>
      <c r="S836" s="535"/>
      <c r="T836" s="535"/>
      <c r="U836" s="535"/>
      <c r="V836" s="535"/>
      <c r="W836" s="535"/>
      <c r="X836" s="535"/>
      <c r="Y836" s="536"/>
    </row>
    <row r="837" spans="1:25" ht="12.75">
      <c r="A837" s="532" t="s">
        <v>6596</v>
      </c>
      <c r="B837" s="532" t="s">
        <v>6592</v>
      </c>
      <c r="C837" s="532" t="s">
        <v>6593</v>
      </c>
      <c r="D837" s="533"/>
      <c r="E837" s="532" t="s">
        <v>1405</v>
      </c>
      <c r="F837" s="532" t="s">
        <v>2392</v>
      </c>
      <c r="G837" s="532" t="s">
        <v>2392</v>
      </c>
      <c r="H837" s="532" t="s">
        <v>2392</v>
      </c>
      <c r="I837" s="535"/>
      <c r="J837" s="535"/>
      <c r="K837" s="535"/>
      <c r="L837" s="535"/>
      <c r="M837" s="535"/>
      <c r="N837" s="535"/>
      <c r="O837" s="535"/>
      <c r="P837" s="535"/>
      <c r="Q837" s="535"/>
      <c r="R837" s="535"/>
      <c r="S837" s="535"/>
      <c r="T837" s="535"/>
      <c r="U837" s="535"/>
      <c r="V837" s="535"/>
      <c r="W837" s="535"/>
      <c r="X837" s="535"/>
      <c r="Y837" s="536"/>
    </row>
    <row r="838" spans="1:25" ht="12.75">
      <c r="A838" s="532" t="s">
        <v>6597</v>
      </c>
      <c r="B838" s="532" t="s">
        <v>6592</v>
      </c>
      <c r="C838" s="532" t="s">
        <v>6593</v>
      </c>
      <c r="D838" s="533"/>
      <c r="E838" s="532" t="s">
        <v>1405</v>
      </c>
      <c r="F838" s="532" t="s">
        <v>2392</v>
      </c>
      <c r="G838" s="532" t="s">
        <v>2392</v>
      </c>
      <c r="H838" s="532" t="s">
        <v>2392</v>
      </c>
      <c r="I838" s="535"/>
      <c r="J838" s="535"/>
      <c r="K838" s="535"/>
      <c r="L838" s="535"/>
      <c r="M838" s="535"/>
      <c r="N838" s="535"/>
      <c r="O838" s="535"/>
      <c r="P838" s="535"/>
      <c r="Q838" s="535"/>
      <c r="R838" s="535"/>
      <c r="S838" s="535"/>
      <c r="T838" s="535"/>
      <c r="U838" s="535"/>
      <c r="V838" s="535"/>
      <c r="W838" s="535"/>
      <c r="X838" s="535"/>
      <c r="Y838" s="536"/>
    </row>
    <row r="839" spans="1:25" ht="12.75">
      <c r="A839" s="532" t="s">
        <v>6598</v>
      </c>
      <c r="B839" s="532" t="s">
        <v>6592</v>
      </c>
      <c r="C839" s="532" t="s">
        <v>6593</v>
      </c>
      <c r="D839" s="533"/>
      <c r="E839" s="532" t="s">
        <v>1405</v>
      </c>
      <c r="F839" s="532" t="s">
        <v>2392</v>
      </c>
      <c r="G839" s="532" t="s">
        <v>2392</v>
      </c>
      <c r="H839" s="532" t="s">
        <v>2392</v>
      </c>
      <c r="I839" s="535"/>
      <c r="J839" s="535"/>
      <c r="K839" s="535"/>
      <c r="L839" s="535"/>
      <c r="M839" s="535"/>
      <c r="N839" s="535"/>
      <c r="O839" s="535"/>
      <c r="P839" s="535"/>
      <c r="Q839" s="535"/>
      <c r="R839" s="535"/>
      <c r="S839" s="535"/>
      <c r="T839" s="535"/>
      <c r="U839" s="535"/>
      <c r="V839" s="535"/>
      <c r="W839" s="535"/>
      <c r="X839" s="535"/>
      <c r="Y839" s="536"/>
    </row>
    <row r="840" spans="1:25" ht="12.75">
      <c r="A840" s="532" t="s">
        <v>6599</v>
      </c>
      <c r="B840" s="532" t="s">
        <v>6592</v>
      </c>
      <c r="C840" s="532" t="s">
        <v>6593</v>
      </c>
      <c r="D840" s="533"/>
      <c r="E840" s="532" t="s">
        <v>1405</v>
      </c>
      <c r="F840" s="532" t="s">
        <v>2392</v>
      </c>
      <c r="G840" s="532" t="s">
        <v>2392</v>
      </c>
      <c r="H840" s="532" t="s">
        <v>2392</v>
      </c>
      <c r="I840" s="535"/>
      <c r="J840" s="535"/>
      <c r="K840" s="535"/>
      <c r="L840" s="535"/>
      <c r="M840" s="535"/>
      <c r="N840" s="535"/>
      <c r="O840" s="535"/>
      <c r="P840" s="535"/>
      <c r="Q840" s="535"/>
      <c r="R840" s="535"/>
      <c r="S840" s="535"/>
      <c r="T840" s="535"/>
      <c r="U840" s="535"/>
      <c r="V840" s="535"/>
      <c r="W840" s="535"/>
      <c r="X840" s="535"/>
      <c r="Y840" s="536"/>
    </row>
    <row r="841" spans="1:25" ht="12.75">
      <c r="A841" s="532" t="s">
        <v>6600</v>
      </c>
      <c r="B841" s="532" t="s">
        <v>6592</v>
      </c>
      <c r="C841" s="532" t="s">
        <v>6593</v>
      </c>
      <c r="D841" s="533"/>
      <c r="E841" s="532" t="s">
        <v>1405</v>
      </c>
      <c r="F841" s="532" t="s">
        <v>2392</v>
      </c>
      <c r="G841" s="532" t="s">
        <v>2392</v>
      </c>
      <c r="H841" s="532" t="s">
        <v>2392</v>
      </c>
      <c r="I841" s="535"/>
      <c r="J841" s="535"/>
      <c r="K841" s="535"/>
      <c r="L841" s="535"/>
      <c r="M841" s="535"/>
      <c r="N841" s="535"/>
      <c r="O841" s="535"/>
      <c r="P841" s="535"/>
      <c r="Q841" s="535"/>
      <c r="R841" s="535"/>
      <c r="S841" s="535"/>
      <c r="T841" s="535"/>
      <c r="U841" s="535"/>
      <c r="V841" s="535"/>
      <c r="W841" s="535"/>
      <c r="X841" s="535"/>
      <c r="Y841" s="536"/>
    </row>
    <row r="842" spans="1:25" ht="12.75">
      <c r="A842" s="532" t="s">
        <v>6601</v>
      </c>
      <c r="B842" s="532" t="s">
        <v>6592</v>
      </c>
      <c r="C842" s="532" t="s">
        <v>6593</v>
      </c>
      <c r="D842" s="533"/>
      <c r="E842" s="532" t="s">
        <v>1405</v>
      </c>
      <c r="F842" s="532" t="s">
        <v>2392</v>
      </c>
      <c r="G842" s="532" t="s">
        <v>2392</v>
      </c>
      <c r="H842" s="532" t="s">
        <v>2392</v>
      </c>
      <c r="I842" s="535"/>
      <c r="J842" s="535"/>
      <c r="K842" s="535"/>
      <c r="L842" s="535"/>
      <c r="M842" s="535"/>
      <c r="N842" s="535"/>
      <c r="O842" s="535"/>
      <c r="P842" s="535"/>
      <c r="Q842" s="535"/>
      <c r="R842" s="535"/>
      <c r="S842" s="535"/>
      <c r="T842" s="535"/>
      <c r="U842" s="535"/>
      <c r="V842" s="535"/>
      <c r="W842" s="535"/>
      <c r="X842" s="535"/>
      <c r="Y842" s="536"/>
    </row>
    <row r="843" spans="1:25" ht="12.75">
      <c r="A843" s="532" t="s">
        <v>6602</v>
      </c>
      <c r="B843" s="532" t="s">
        <v>6592</v>
      </c>
      <c r="C843" s="532" t="s">
        <v>6593</v>
      </c>
      <c r="D843" s="533"/>
      <c r="E843" s="532" t="s">
        <v>1405</v>
      </c>
      <c r="F843" s="532" t="s">
        <v>2392</v>
      </c>
      <c r="G843" s="532" t="s">
        <v>2392</v>
      </c>
      <c r="H843" s="532" t="s">
        <v>2392</v>
      </c>
      <c r="I843" s="535"/>
      <c r="J843" s="535"/>
      <c r="K843" s="535"/>
      <c r="L843" s="535"/>
      <c r="M843" s="535"/>
      <c r="N843" s="535"/>
      <c r="O843" s="535"/>
      <c r="P843" s="535"/>
      <c r="Q843" s="535"/>
      <c r="R843" s="535"/>
      <c r="S843" s="535"/>
      <c r="T843" s="535"/>
      <c r="U843" s="535"/>
      <c r="V843" s="535"/>
      <c r="W843" s="535"/>
      <c r="X843" s="535"/>
      <c r="Y843" s="536"/>
    </row>
    <row r="844" spans="1:25" ht="12.75">
      <c r="A844" s="532" t="s">
        <v>3204</v>
      </c>
      <c r="B844" s="532">
        <v>41100435</v>
      </c>
      <c r="C844" s="532" t="s">
        <v>3801</v>
      </c>
      <c r="D844" s="532" t="s">
        <v>1482</v>
      </c>
      <c r="E844" s="532" t="s">
        <v>1585</v>
      </c>
      <c r="F844" s="532" t="s">
        <v>2391</v>
      </c>
      <c r="G844" s="532" t="s">
        <v>1468</v>
      </c>
      <c r="H844" s="533"/>
      <c r="I844" s="535"/>
      <c r="J844" s="535"/>
      <c r="K844" s="535"/>
      <c r="L844" s="535"/>
      <c r="M844" s="535"/>
      <c r="N844" s="535"/>
      <c r="O844" s="535"/>
      <c r="P844" s="535"/>
      <c r="Q844" s="535"/>
      <c r="R844" s="535"/>
      <c r="S844" s="535"/>
      <c r="T844" s="535"/>
      <c r="U844" s="535"/>
      <c r="V844" s="535"/>
      <c r="W844" s="535"/>
      <c r="X844" s="535"/>
      <c r="Y844" s="536"/>
    </row>
    <row r="845" spans="1:25" ht="12.75">
      <c r="A845" s="532" t="s">
        <v>3370</v>
      </c>
      <c r="B845" s="532">
        <v>41200075</v>
      </c>
      <c r="C845" s="532" t="s">
        <v>1476</v>
      </c>
      <c r="D845" s="532" t="s">
        <v>1476</v>
      </c>
      <c r="E845" s="532" t="s">
        <v>1585</v>
      </c>
      <c r="F845" s="532" t="s">
        <v>2391</v>
      </c>
      <c r="G845" s="532" t="s">
        <v>1468</v>
      </c>
      <c r="H845" s="532" t="s">
        <v>2391</v>
      </c>
      <c r="I845" s="535"/>
      <c r="J845" s="535"/>
      <c r="K845" s="535"/>
      <c r="L845" s="535"/>
      <c r="M845" s="535"/>
      <c r="N845" s="535"/>
      <c r="O845" s="535"/>
      <c r="P845" s="535"/>
      <c r="Q845" s="535"/>
      <c r="R845" s="535"/>
      <c r="S845" s="535"/>
      <c r="T845" s="535"/>
      <c r="U845" s="535"/>
      <c r="V845" s="535"/>
      <c r="W845" s="535"/>
      <c r="X845" s="535"/>
      <c r="Y845" s="536"/>
    </row>
    <row r="846" spans="1:25" ht="12.75">
      <c r="A846" s="532" t="s">
        <v>3369</v>
      </c>
      <c r="B846" s="532">
        <v>41200075</v>
      </c>
      <c r="C846" s="532" t="s">
        <v>1476</v>
      </c>
      <c r="D846" s="532" t="s">
        <v>1476</v>
      </c>
      <c r="E846" s="532" t="s">
        <v>1585</v>
      </c>
      <c r="F846" s="532" t="s">
        <v>2391</v>
      </c>
      <c r="G846" s="532" t="s">
        <v>1468</v>
      </c>
      <c r="H846" s="532" t="s">
        <v>2391</v>
      </c>
      <c r="I846" s="535"/>
      <c r="J846" s="535"/>
      <c r="K846" s="535"/>
      <c r="L846" s="535"/>
      <c r="M846" s="535"/>
      <c r="N846" s="535"/>
      <c r="O846" s="535"/>
      <c r="P846" s="535"/>
      <c r="Q846" s="535"/>
      <c r="R846" s="535"/>
      <c r="S846" s="535"/>
      <c r="T846" s="535"/>
      <c r="U846" s="535"/>
      <c r="V846" s="535"/>
      <c r="W846" s="535"/>
      <c r="X846" s="535"/>
      <c r="Y846" s="536"/>
    </row>
    <row r="847" spans="1:25" ht="12.75">
      <c r="A847" s="532" t="s">
        <v>3246</v>
      </c>
      <c r="B847" s="532">
        <v>41200076</v>
      </c>
      <c r="C847" s="532" t="s">
        <v>1476</v>
      </c>
      <c r="D847" s="532" t="s">
        <v>1476</v>
      </c>
      <c r="E847" s="532" t="s">
        <v>1585</v>
      </c>
      <c r="F847" s="532" t="s">
        <v>2395</v>
      </c>
      <c r="G847" s="532" t="s">
        <v>1468</v>
      </c>
      <c r="H847" s="532" t="s">
        <v>2392</v>
      </c>
      <c r="I847" s="535"/>
      <c r="J847" s="535"/>
      <c r="K847" s="535"/>
      <c r="L847" s="535"/>
      <c r="M847" s="535"/>
      <c r="N847" s="535"/>
      <c r="O847" s="535"/>
      <c r="P847" s="535"/>
      <c r="Q847" s="535"/>
      <c r="R847" s="535"/>
      <c r="S847" s="535"/>
      <c r="T847" s="535"/>
      <c r="U847" s="535"/>
      <c r="V847" s="535"/>
      <c r="W847" s="535"/>
      <c r="X847" s="535"/>
      <c r="Y847" s="536"/>
    </row>
    <row r="848" spans="1:25" ht="12.75">
      <c r="A848" s="532" t="s">
        <v>3282</v>
      </c>
      <c r="B848" s="532">
        <v>41200076</v>
      </c>
      <c r="C848" s="532" t="s">
        <v>1476</v>
      </c>
      <c r="D848" s="532" t="s">
        <v>1476</v>
      </c>
      <c r="E848" s="532" t="s">
        <v>1585</v>
      </c>
      <c r="F848" s="532" t="s">
        <v>2391</v>
      </c>
      <c r="G848" s="532" t="s">
        <v>2392</v>
      </c>
      <c r="H848" s="532" t="s">
        <v>2392</v>
      </c>
      <c r="I848" s="535"/>
      <c r="J848" s="535"/>
      <c r="K848" s="535"/>
      <c r="L848" s="535"/>
      <c r="M848" s="535"/>
      <c r="N848" s="535"/>
      <c r="O848" s="535"/>
      <c r="P848" s="535"/>
      <c r="Q848" s="535"/>
      <c r="R848" s="535"/>
      <c r="S848" s="535"/>
      <c r="T848" s="535"/>
      <c r="U848" s="535"/>
      <c r="V848" s="535"/>
      <c r="W848" s="535"/>
      <c r="X848" s="535"/>
      <c r="Y848" s="536"/>
    </row>
    <row r="849" spans="1:25" ht="12.75">
      <c r="A849" s="532" t="s">
        <v>3249</v>
      </c>
      <c r="B849" s="532">
        <v>41200076</v>
      </c>
      <c r="C849" s="532" t="s">
        <v>1476</v>
      </c>
      <c r="D849" s="532" t="s">
        <v>1476</v>
      </c>
      <c r="E849" s="532" t="s">
        <v>1585</v>
      </c>
      <c r="F849" s="532" t="s">
        <v>2391</v>
      </c>
      <c r="G849" s="532" t="s">
        <v>2392</v>
      </c>
      <c r="H849" s="532" t="s">
        <v>2392</v>
      </c>
      <c r="I849" s="535"/>
      <c r="J849" s="535"/>
      <c r="K849" s="535"/>
      <c r="L849" s="535"/>
      <c r="M849" s="535"/>
      <c r="N849" s="535"/>
      <c r="O849" s="535"/>
      <c r="P849" s="535"/>
      <c r="Q849" s="535"/>
      <c r="R849" s="535"/>
      <c r="S849" s="535"/>
      <c r="T849" s="535"/>
      <c r="U849" s="535"/>
      <c r="V849" s="535"/>
      <c r="W849" s="535"/>
      <c r="X849" s="535"/>
      <c r="Y849" s="536"/>
    </row>
    <row r="850" spans="1:25" ht="12.75">
      <c r="A850" s="532" t="s">
        <v>3216</v>
      </c>
      <c r="B850" s="532">
        <v>41200133</v>
      </c>
      <c r="C850" s="532" t="s">
        <v>1476</v>
      </c>
      <c r="D850" s="532" t="s">
        <v>6605</v>
      </c>
      <c r="E850" s="532" t="s">
        <v>1429</v>
      </c>
      <c r="F850" s="532" t="s">
        <v>2395</v>
      </c>
      <c r="G850" s="532" t="s">
        <v>2392</v>
      </c>
      <c r="H850" s="532" t="s">
        <v>2392</v>
      </c>
      <c r="I850" s="535"/>
      <c r="J850" s="535"/>
      <c r="K850" s="535"/>
      <c r="L850" s="535"/>
      <c r="M850" s="535"/>
      <c r="N850" s="535"/>
      <c r="O850" s="535"/>
      <c r="P850" s="535"/>
      <c r="Q850" s="535"/>
      <c r="R850" s="535"/>
      <c r="S850" s="535"/>
      <c r="T850" s="535"/>
      <c r="U850" s="535"/>
      <c r="V850" s="535"/>
      <c r="W850" s="535"/>
      <c r="X850" s="535"/>
      <c r="Y850" s="536"/>
    </row>
    <row r="851" spans="1:25" ht="12.75">
      <c r="A851" s="532" t="s">
        <v>3215</v>
      </c>
      <c r="B851" s="532">
        <v>41200133</v>
      </c>
      <c r="C851" s="532" t="s">
        <v>1476</v>
      </c>
      <c r="D851" s="532" t="s">
        <v>6605</v>
      </c>
      <c r="E851" s="532" t="s">
        <v>1429</v>
      </c>
      <c r="F851" s="532" t="s">
        <v>2395</v>
      </c>
      <c r="G851" s="532" t="s">
        <v>2392</v>
      </c>
      <c r="H851" s="532" t="s">
        <v>2392</v>
      </c>
      <c r="I851" s="535"/>
      <c r="J851" s="535"/>
      <c r="K851" s="535"/>
      <c r="L851" s="535"/>
      <c r="M851" s="535"/>
      <c r="N851" s="535"/>
      <c r="O851" s="535"/>
      <c r="P851" s="535"/>
      <c r="Q851" s="535"/>
      <c r="R851" s="535"/>
      <c r="S851" s="535"/>
      <c r="T851" s="535"/>
      <c r="U851" s="535"/>
      <c r="V851" s="535"/>
      <c r="W851" s="535"/>
      <c r="X851" s="535"/>
      <c r="Y851" s="536"/>
    </row>
    <row r="852" spans="1:25" ht="12.75">
      <c r="A852" s="532" t="s">
        <v>3217</v>
      </c>
      <c r="B852" s="532">
        <v>41200105</v>
      </c>
      <c r="C852" s="532" t="s">
        <v>1476</v>
      </c>
      <c r="D852" s="532" t="s">
        <v>1591</v>
      </c>
      <c r="E852" s="532" t="s">
        <v>1424</v>
      </c>
      <c r="F852" s="532" t="s">
        <v>2395</v>
      </c>
      <c r="G852" s="532" t="s">
        <v>1468</v>
      </c>
      <c r="H852" s="532" t="s">
        <v>2392</v>
      </c>
      <c r="I852" s="535"/>
      <c r="J852" s="535"/>
      <c r="K852" s="535"/>
      <c r="L852" s="535"/>
      <c r="M852" s="535"/>
      <c r="N852" s="535"/>
      <c r="O852" s="535"/>
      <c r="P852" s="535"/>
      <c r="Q852" s="535"/>
      <c r="R852" s="535"/>
      <c r="S852" s="535"/>
      <c r="T852" s="535"/>
      <c r="U852" s="535"/>
      <c r="V852" s="535"/>
      <c r="W852" s="535"/>
      <c r="X852" s="535"/>
      <c r="Y852" s="536"/>
    </row>
    <row r="853" spans="1:25" ht="12.75">
      <c r="A853" s="532" t="s">
        <v>3212</v>
      </c>
      <c r="B853" s="532">
        <v>41200129</v>
      </c>
      <c r="C853" s="532" t="s">
        <v>1591</v>
      </c>
      <c r="D853" s="532" t="s">
        <v>6606</v>
      </c>
      <c r="E853" s="532" t="s">
        <v>1431</v>
      </c>
      <c r="F853" s="532" t="s">
        <v>2395</v>
      </c>
      <c r="G853" s="532" t="s">
        <v>1469</v>
      </c>
      <c r="H853" s="532" t="s">
        <v>2392</v>
      </c>
      <c r="I853" s="535"/>
      <c r="J853" s="535"/>
      <c r="K853" s="535"/>
      <c r="L853" s="535"/>
      <c r="M853" s="535"/>
      <c r="N853" s="535"/>
      <c r="O853" s="535"/>
      <c r="P853" s="535"/>
      <c r="Q853" s="535"/>
      <c r="R853" s="535"/>
      <c r="S853" s="535"/>
      <c r="T853" s="535"/>
      <c r="U853" s="535"/>
      <c r="V853" s="535"/>
      <c r="W853" s="535"/>
      <c r="X853" s="535"/>
      <c r="Y853" s="536"/>
    </row>
    <row r="854" spans="1:25" ht="12.75">
      <c r="A854" s="532" t="s">
        <v>5339</v>
      </c>
      <c r="B854" s="532">
        <v>41000558</v>
      </c>
      <c r="C854" s="532" t="s">
        <v>6607</v>
      </c>
      <c r="D854" s="532" t="s">
        <v>6607</v>
      </c>
      <c r="E854" s="532" t="s">
        <v>1405</v>
      </c>
      <c r="F854" s="532" t="s">
        <v>5127</v>
      </c>
      <c r="G854" s="532" t="s">
        <v>1469</v>
      </c>
      <c r="H854" s="533"/>
      <c r="I854" s="535"/>
      <c r="J854" s="535"/>
      <c r="K854" s="535"/>
      <c r="L854" s="535"/>
      <c r="M854" s="535"/>
      <c r="N854" s="535"/>
      <c r="O854" s="535"/>
      <c r="P854" s="535"/>
      <c r="Q854" s="535"/>
      <c r="R854" s="535"/>
      <c r="S854" s="535"/>
      <c r="T854" s="535"/>
      <c r="U854" s="535"/>
      <c r="V854" s="535"/>
      <c r="W854" s="535"/>
      <c r="X854" s="535"/>
      <c r="Y854" s="536"/>
    </row>
    <row r="855" spans="1:25" ht="12.75">
      <c r="A855" s="532" t="s">
        <v>3235</v>
      </c>
      <c r="B855" s="532">
        <v>41200007</v>
      </c>
      <c r="C855" s="532" t="s">
        <v>1591</v>
      </c>
      <c r="D855" s="532" t="s">
        <v>6608</v>
      </c>
      <c r="E855" s="532" t="s">
        <v>1405</v>
      </c>
      <c r="F855" s="532" t="s">
        <v>2391</v>
      </c>
      <c r="G855" s="532" t="s">
        <v>2392</v>
      </c>
      <c r="H855" s="532" t="s">
        <v>2392</v>
      </c>
      <c r="I855" s="535"/>
      <c r="J855" s="535"/>
      <c r="K855" s="535"/>
      <c r="L855" s="535"/>
      <c r="M855" s="535"/>
      <c r="N855" s="535"/>
      <c r="O855" s="535"/>
      <c r="P855" s="535"/>
      <c r="Q855" s="535"/>
      <c r="R855" s="535"/>
      <c r="S855" s="535"/>
      <c r="T855" s="535"/>
      <c r="U855" s="535"/>
      <c r="V855" s="535"/>
      <c r="W855" s="535"/>
      <c r="X855" s="535"/>
      <c r="Y855" s="536"/>
    </row>
    <row r="856" spans="1:25" ht="12.75">
      <c r="A856" s="532" t="s">
        <v>3234</v>
      </c>
      <c r="B856" s="532">
        <v>41200007</v>
      </c>
      <c r="C856" s="532" t="s">
        <v>1591</v>
      </c>
      <c r="D856" s="532" t="s">
        <v>6608</v>
      </c>
      <c r="E856" s="532" t="s">
        <v>1405</v>
      </c>
      <c r="F856" s="532" t="s">
        <v>2391</v>
      </c>
      <c r="G856" s="532" t="s">
        <v>2392</v>
      </c>
      <c r="H856" s="532" t="s">
        <v>2392</v>
      </c>
      <c r="I856" s="535"/>
      <c r="J856" s="535"/>
      <c r="K856" s="535"/>
      <c r="L856" s="535"/>
      <c r="M856" s="535"/>
      <c r="N856" s="535"/>
      <c r="O856" s="535"/>
      <c r="P856" s="535"/>
      <c r="Q856" s="535"/>
      <c r="R856" s="535"/>
      <c r="S856" s="535"/>
      <c r="T856" s="535"/>
      <c r="U856" s="535"/>
      <c r="V856" s="535"/>
      <c r="W856" s="535"/>
      <c r="X856" s="535"/>
      <c r="Y856" s="536"/>
    </row>
    <row r="857" spans="1:25" ht="12.75">
      <c r="A857" s="532" t="s">
        <v>3233</v>
      </c>
      <c r="B857" s="532">
        <v>41200007</v>
      </c>
      <c r="C857" s="532" t="s">
        <v>1591</v>
      </c>
      <c r="D857" s="532" t="s">
        <v>6608</v>
      </c>
      <c r="E857" s="532" t="s">
        <v>1405</v>
      </c>
      <c r="F857" s="532" t="s">
        <v>2391</v>
      </c>
      <c r="G857" s="532" t="s">
        <v>2392</v>
      </c>
      <c r="H857" s="532" t="s">
        <v>2392</v>
      </c>
      <c r="I857" s="535"/>
      <c r="J857" s="535"/>
      <c r="K857" s="535"/>
      <c r="L857" s="535"/>
      <c r="M857" s="535"/>
      <c r="N857" s="535"/>
      <c r="O857" s="535"/>
      <c r="P857" s="535"/>
      <c r="Q857" s="535"/>
      <c r="R857" s="535"/>
      <c r="S857" s="535"/>
      <c r="T857" s="535"/>
      <c r="U857" s="535"/>
      <c r="V857" s="535"/>
      <c r="W857" s="535"/>
      <c r="X857" s="535"/>
      <c r="Y857" s="536"/>
    </row>
    <row r="858" spans="1:25" ht="12.75">
      <c r="A858" s="532" t="s">
        <v>3255</v>
      </c>
      <c r="B858" s="532">
        <v>41200122</v>
      </c>
      <c r="C858" s="532" t="s">
        <v>1476</v>
      </c>
      <c r="D858" s="532" t="s">
        <v>1476</v>
      </c>
      <c r="E858" s="532" t="s">
        <v>1585</v>
      </c>
      <c r="F858" s="532" t="s">
        <v>2395</v>
      </c>
      <c r="G858" s="532" t="s">
        <v>1469</v>
      </c>
      <c r="H858" s="532" t="s">
        <v>2392</v>
      </c>
      <c r="I858" s="535"/>
      <c r="J858" s="535"/>
      <c r="K858" s="535"/>
      <c r="L858" s="535"/>
      <c r="M858" s="535"/>
      <c r="N858" s="535"/>
      <c r="O858" s="535"/>
      <c r="P858" s="535"/>
      <c r="Q858" s="535"/>
      <c r="R858" s="535"/>
      <c r="S858" s="535"/>
      <c r="T858" s="535"/>
      <c r="U858" s="535"/>
      <c r="V858" s="535"/>
      <c r="W858" s="535"/>
      <c r="X858" s="535"/>
      <c r="Y858" s="536"/>
    </row>
    <row r="859" spans="1:25" ht="12.75">
      <c r="A859" s="532" t="s">
        <v>3254</v>
      </c>
      <c r="B859" s="532">
        <v>41200122</v>
      </c>
      <c r="C859" s="532" t="s">
        <v>1476</v>
      </c>
      <c r="D859" s="532" t="s">
        <v>1476</v>
      </c>
      <c r="E859" s="532" t="s">
        <v>1585</v>
      </c>
      <c r="F859" s="532" t="s">
        <v>2395</v>
      </c>
      <c r="G859" s="532" t="s">
        <v>1469</v>
      </c>
      <c r="H859" s="532" t="s">
        <v>2392</v>
      </c>
      <c r="I859" s="535"/>
      <c r="J859" s="535"/>
      <c r="K859" s="535"/>
      <c r="L859" s="535"/>
      <c r="M859" s="535"/>
      <c r="N859" s="535"/>
      <c r="O859" s="535"/>
      <c r="P859" s="535"/>
      <c r="Q859" s="535"/>
      <c r="R859" s="535"/>
      <c r="S859" s="535"/>
      <c r="T859" s="535"/>
      <c r="U859" s="535"/>
      <c r="V859" s="535"/>
      <c r="W859" s="535"/>
      <c r="X859" s="535"/>
      <c r="Y859" s="536"/>
    </row>
    <row r="860" spans="1:25" ht="12.75">
      <c r="A860" s="532" t="s">
        <v>3202</v>
      </c>
      <c r="B860" s="532">
        <v>41200124</v>
      </c>
      <c r="C860" s="532" t="s">
        <v>1476</v>
      </c>
      <c r="D860" s="532" t="s">
        <v>6609</v>
      </c>
      <c r="E860" s="532" t="s">
        <v>1585</v>
      </c>
      <c r="F860" s="532" t="s">
        <v>2395</v>
      </c>
      <c r="G860" s="532" t="s">
        <v>1469</v>
      </c>
      <c r="H860" s="532" t="s">
        <v>2392</v>
      </c>
      <c r="I860" s="535"/>
      <c r="J860" s="535"/>
      <c r="K860" s="535"/>
      <c r="L860" s="535"/>
      <c r="M860" s="535"/>
      <c r="N860" s="535"/>
      <c r="O860" s="535"/>
      <c r="P860" s="535"/>
      <c r="Q860" s="535"/>
      <c r="R860" s="535"/>
      <c r="S860" s="535"/>
      <c r="T860" s="535"/>
      <c r="U860" s="535"/>
      <c r="V860" s="535"/>
      <c r="W860" s="535"/>
      <c r="X860" s="535"/>
      <c r="Y860" s="536"/>
    </row>
    <row r="861" spans="1:25" ht="12.75">
      <c r="A861" s="532" t="s">
        <v>3201</v>
      </c>
      <c r="B861" s="532">
        <v>41200124</v>
      </c>
      <c r="C861" s="532" t="s">
        <v>1476</v>
      </c>
      <c r="D861" s="532" t="s">
        <v>6609</v>
      </c>
      <c r="E861" s="532" t="s">
        <v>1585</v>
      </c>
      <c r="F861" s="532" t="s">
        <v>2395</v>
      </c>
      <c r="G861" s="532" t="s">
        <v>1469</v>
      </c>
      <c r="H861" s="532" t="s">
        <v>2392</v>
      </c>
      <c r="I861" s="535"/>
      <c r="J861" s="535"/>
      <c r="K861" s="535"/>
      <c r="L861" s="535"/>
      <c r="M861" s="535"/>
      <c r="N861" s="535"/>
      <c r="O861" s="535"/>
      <c r="P861" s="535"/>
      <c r="Q861" s="535"/>
      <c r="R861" s="535"/>
      <c r="S861" s="535"/>
      <c r="T861" s="535"/>
      <c r="U861" s="535"/>
      <c r="V861" s="535"/>
      <c r="W861" s="535"/>
      <c r="X861" s="535"/>
      <c r="Y861" s="536"/>
    </row>
    <row r="862" spans="1:25" ht="12.75">
      <c r="A862" s="532" t="s">
        <v>3169</v>
      </c>
      <c r="B862" s="532">
        <v>41200122</v>
      </c>
      <c r="C862" s="532" t="s">
        <v>1476</v>
      </c>
      <c r="D862" s="532" t="s">
        <v>1476</v>
      </c>
      <c r="E862" s="532" t="s">
        <v>1585</v>
      </c>
      <c r="F862" s="532" t="s">
        <v>2391</v>
      </c>
      <c r="G862" s="532" t="s">
        <v>2392</v>
      </c>
      <c r="H862" s="532" t="s">
        <v>2392</v>
      </c>
      <c r="I862" s="535"/>
      <c r="J862" s="535"/>
      <c r="K862" s="535"/>
      <c r="L862" s="535"/>
      <c r="M862" s="535"/>
      <c r="N862" s="535"/>
      <c r="O862" s="535"/>
      <c r="P862" s="535"/>
      <c r="Q862" s="535"/>
      <c r="R862" s="535"/>
      <c r="S862" s="535"/>
      <c r="T862" s="535"/>
      <c r="U862" s="535"/>
      <c r="V862" s="535"/>
      <c r="W862" s="535"/>
      <c r="X862" s="535"/>
      <c r="Y862" s="536"/>
    </row>
    <row r="863" spans="1:25" ht="12.75">
      <c r="A863" s="532" t="s">
        <v>3165</v>
      </c>
      <c r="B863" s="532">
        <v>41200122</v>
      </c>
      <c r="C863" s="532" t="s">
        <v>1476</v>
      </c>
      <c r="D863" s="532" t="s">
        <v>1476</v>
      </c>
      <c r="E863" s="532" t="s">
        <v>1585</v>
      </c>
      <c r="F863" s="532" t="s">
        <v>2391</v>
      </c>
      <c r="G863" s="532" t="s">
        <v>2392</v>
      </c>
      <c r="H863" s="532" t="s">
        <v>2392</v>
      </c>
      <c r="I863" s="535"/>
      <c r="J863" s="535"/>
      <c r="K863" s="535"/>
      <c r="L863" s="535"/>
      <c r="M863" s="535"/>
      <c r="N863" s="535"/>
      <c r="O863" s="535"/>
      <c r="P863" s="535"/>
      <c r="Q863" s="535"/>
      <c r="R863" s="535"/>
      <c r="S863" s="535"/>
      <c r="T863" s="535"/>
      <c r="U863" s="535"/>
      <c r="V863" s="535"/>
      <c r="W863" s="535"/>
      <c r="X863" s="535"/>
      <c r="Y863" s="536"/>
    </row>
    <row r="864" spans="1:25" ht="12.75">
      <c r="A864" s="532" t="s">
        <v>3207</v>
      </c>
      <c r="B864" s="532">
        <v>41100286</v>
      </c>
      <c r="C864" s="532" t="s">
        <v>1476</v>
      </c>
      <c r="D864" s="532" t="s">
        <v>6610</v>
      </c>
      <c r="E864" s="532" t="s">
        <v>1424</v>
      </c>
      <c r="F864" s="532" t="s">
        <v>2391</v>
      </c>
      <c r="G864" s="532" t="s">
        <v>2392</v>
      </c>
      <c r="H864" s="532" t="s">
        <v>2392</v>
      </c>
      <c r="I864" s="535"/>
      <c r="J864" s="535"/>
      <c r="K864" s="535"/>
      <c r="L864" s="535"/>
      <c r="M864" s="535"/>
      <c r="N864" s="535"/>
      <c r="O864" s="535"/>
      <c r="P864" s="535"/>
      <c r="Q864" s="535"/>
      <c r="R864" s="535"/>
      <c r="S864" s="535"/>
      <c r="T864" s="535"/>
      <c r="U864" s="535"/>
      <c r="V864" s="535"/>
      <c r="W864" s="535"/>
      <c r="X864" s="535"/>
      <c r="Y864" s="536"/>
    </row>
    <row r="865" spans="1:25" ht="12.75">
      <c r="A865" s="532" t="s">
        <v>5337</v>
      </c>
      <c r="B865" s="532">
        <v>41000558</v>
      </c>
      <c r="C865" s="532" t="s">
        <v>6607</v>
      </c>
      <c r="D865" s="532" t="s">
        <v>6607</v>
      </c>
      <c r="E865" s="532" t="s">
        <v>1405</v>
      </c>
      <c r="F865" s="532" t="s">
        <v>5127</v>
      </c>
      <c r="G865" s="532" t="s">
        <v>1469</v>
      </c>
      <c r="H865" s="533"/>
      <c r="I865" s="535"/>
      <c r="J865" s="535"/>
      <c r="K865" s="535"/>
      <c r="L865" s="535"/>
      <c r="M865" s="535"/>
      <c r="N865" s="535"/>
      <c r="O865" s="535"/>
      <c r="P865" s="535"/>
      <c r="Q865" s="535"/>
      <c r="R865" s="535"/>
      <c r="S865" s="535"/>
      <c r="T865" s="535"/>
      <c r="U865" s="535"/>
      <c r="V865" s="535"/>
      <c r="W865" s="535"/>
      <c r="X865" s="535"/>
      <c r="Y865" s="536"/>
    </row>
    <row r="866" spans="1:25" ht="12.75">
      <c r="A866" s="532" t="s">
        <v>3200</v>
      </c>
      <c r="B866" s="532">
        <v>41200007</v>
      </c>
      <c r="C866" s="532" t="s">
        <v>1591</v>
      </c>
      <c r="D866" s="532" t="s">
        <v>6608</v>
      </c>
      <c r="E866" s="532" t="s">
        <v>1405</v>
      </c>
      <c r="F866" s="532" t="s">
        <v>2391</v>
      </c>
      <c r="G866" s="532" t="s">
        <v>2392</v>
      </c>
      <c r="H866" s="532" t="s">
        <v>2391</v>
      </c>
      <c r="I866" s="535"/>
      <c r="J866" s="535"/>
      <c r="K866" s="535"/>
      <c r="L866" s="535"/>
      <c r="M866" s="535"/>
      <c r="N866" s="535"/>
      <c r="O866" s="535"/>
      <c r="P866" s="535"/>
      <c r="Q866" s="535"/>
      <c r="R866" s="535"/>
      <c r="S866" s="535"/>
      <c r="T866" s="535"/>
      <c r="U866" s="535"/>
      <c r="V866" s="535"/>
      <c r="W866" s="535"/>
      <c r="X866" s="535"/>
      <c r="Y866" s="536"/>
    </row>
    <row r="867" spans="1:25" ht="12.75">
      <c r="A867" s="532" t="s">
        <v>3199</v>
      </c>
      <c r="B867" s="532">
        <v>41200007</v>
      </c>
      <c r="C867" s="532" t="s">
        <v>1591</v>
      </c>
      <c r="D867" s="532" t="s">
        <v>6608</v>
      </c>
      <c r="E867" s="532" t="s">
        <v>1405</v>
      </c>
      <c r="F867" s="532" t="s">
        <v>2391</v>
      </c>
      <c r="G867" s="532" t="s">
        <v>2392</v>
      </c>
      <c r="H867" s="532" t="s">
        <v>2391</v>
      </c>
      <c r="I867" s="535"/>
      <c r="J867" s="535"/>
      <c r="K867" s="535"/>
      <c r="L867" s="535"/>
      <c r="M867" s="535"/>
      <c r="N867" s="535"/>
      <c r="O867" s="535"/>
      <c r="P867" s="535"/>
      <c r="Q867" s="535"/>
      <c r="R867" s="535"/>
      <c r="S867" s="535"/>
      <c r="T867" s="535"/>
      <c r="U867" s="535"/>
      <c r="V867" s="535"/>
      <c r="W867" s="535"/>
      <c r="X867" s="535"/>
      <c r="Y867" s="536"/>
    </row>
    <row r="868" spans="1:25" ht="12.75">
      <c r="A868" s="532" t="s">
        <v>5338</v>
      </c>
      <c r="B868" s="532">
        <v>41000558</v>
      </c>
      <c r="C868" s="532" t="s">
        <v>6607</v>
      </c>
      <c r="D868" s="532" t="s">
        <v>6607</v>
      </c>
      <c r="E868" s="532" t="s">
        <v>1405</v>
      </c>
      <c r="F868" s="532" t="s">
        <v>5127</v>
      </c>
      <c r="G868" s="532" t="s">
        <v>1469</v>
      </c>
      <c r="H868" s="533"/>
      <c r="I868" s="535"/>
      <c r="J868" s="535"/>
      <c r="K868" s="535"/>
      <c r="L868" s="535"/>
      <c r="M868" s="535"/>
      <c r="N868" s="535"/>
      <c r="O868" s="535"/>
      <c r="P868" s="535"/>
      <c r="Q868" s="535"/>
      <c r="R868" s="535"/>
      <c r="S868" s="535"/>
      <c r="T868" s="535"/>
      <c r="U868" s="535"/>
      <c r="V868" s="535"/>
      <c r="W868" s="535"/>
      <c r="X868" s="535"/>
      <c r="Y868" s="536"/>
    </row>
    <row r="869" spans="1:25" ht="12.75">
      <c r="A869" s="532" t="s">
        <v>3208</v>
      </c>
      <c r="B869" s="532">
        <v>41100435</v>
      </c>
      <c r="C869" s="532" t="s">
        <v>3801</v>
      </c>
      <c r="D869" s="532" t="s">
        <v>1482</v>
      </c>
      <c r="E869" s="532" t="s">
        <v>1585</v>
      </c>
      <c r="F869" s="532" t="s">
        <v>2391</v>
      </c>
      <c r="G869" s="532" t="s">
        <v>2392</v>
      </c>
      <c r="H869" s="533"/>
      <c r="I869" s="535"/>
      <c r="J869" s="535"/>
      <c r="K869" s="535"/>
      <c r="L869" s="535"/>
      <c r="M869" s="535"/>
      <c r="N869" s="535"/>
      <c r="O869" s="535"/>
      <c r="P869" s="535"/>
      <c r="Q869" s="535"/>
      <c r="R869" s="535"/>
      <c r="S869" s="535"/>
      <c r="T869" s="535"/>
      <c r="U869" s="535"/>
      <c r="V869" s="535"/>
      <c r="W869" s="535"/>
      <c r="X869" s="535"/>
      <c r="Y869" s="536"/>
    </row>
    <row r="870" spans="1:25" ht="12.75">
      <c r="A870" s="532" t="s">
        <v>3219</v>
      </c>
      <c r="B870" s="532">
        <v>41200048</v>
      </c>
      <c r="C870" s="532" t="s">
        <v>1476</v>
      </c>
      <c r="D870" s="532" t="s">
        <v>1426</v>
      </c>
      <c r="E870" s="532" t="s">
        <v>1426</v>
      </c>
      <c r="F870" s="532" t="s">
        <v>2395</v>
      </c>
      <c r="G870" s="532" t="s">
        <v>1469</v>
      </c>
      <c r="H870" s="532" t="s">
        <v>2392</v>
      </c>
      <c r="I870" s="535"/>
      <c r="J870" s="535"/>
      <c r="K870" s="535"/>
      <c r="L870" s="535"/>
      <c r="M870" s="535"/>
      <c r="N870" s="535"/>
      <c r="O870" s="535"/>
      <c r="P870" s="535"/>
      <c r="Q870" s="535"/>
      <c r="R870" s="535"/>
      <c r="S870" s="535"/>
      <c r="T870" s="535"/>
      <c r="U870" s="535"/>
      <c r="V870" s="535"/>
      <c r="W870" s="535"/>
      <c r="X870" s="535"/>
      <c r="Y870" s="536"/>
    </row>
    <row r="871" spans="1:25" ht="12.75">
      <c r="A871" s="532" t="s">
        <v>3218</v>
      </c>
      <c r="B871" s="532">
        <v>41200048</v>
      </c>
      <c r="C871" s="532" t="s">
        <v>1476</v>
      </c>
      <c r="D871" s="532" t="s">
        <v>1426</v>
      </c>
      <c r="E871" s="532" t="s">
        <v>1426</v>
      </c>
      <c r="F871" s="532" t="s">
        <v>2395</v>
      </c>
      <c r="G871" s="532" t="s">
        <v>1469</v>
      </c>
      <c r="H871" s="532" t="s">
        <v>2392</v>
      </c>
      <c r="I871" s="535"/>
      <c r="J871" s="535"/>
      <c r="K871" s="535"/>
      <c r="L871" s="535"/>
      <c r="M871" s="535"/>
      <c r="N871" s="535"/>
      <c r="O871" s="535"/>
      <c r="P871" s="535"/>
      <c r="Q871" s="535"/>
      <c r="R871" s="535"/>
      <c r="S871" s="535"/>
      <c r="T871" s="535"/>
      <c r="U871" s="535"/>
      <c r="V871" s="535"/>
      <c r="W871" s="535"/>
      <c r="X871" s="535"/>
      <c r="Y871" s="536"/>
    </row>
    <row r="872" spans="1:25" ht="12.75">
      <c r="A872" s="532" t="s">
        <v>3209</v>
      </c>
      <c r="B872" s="532">
        <v>41200048</v>
      </c>
      <c r="C872" s="532" t="s">
        <v>1476</v>
      </c>
      <c r="D872" s="532" t="s">
        <v>1426</v>
      </c>
      <c r="E872" s="532" t="s">
        <v>1426</v>
      </c>
      <c r="F872" s="532" t="s">
        <v>2395</v>
      </c>
      <c r="G872" s="532" t="s">
        <v>1469</v>
      </c>
      <c r="H872" s="532" t="s">
        <v>2392</v>
      </c>
      <c r="I872" s="535"/>
      <c r="J872" s="535"/>
      <c r="K872" s="535"/>
      <c r="L872" s="535"/>
      <c r="M872" s="535"/>
      <c r="N872" s="535"/>
      <c r="O872" s="535"/>
      <c r="P872" s="535"/>
      <c r="Q872" s="535"/>
      <c r="R872" s="535"/>
      <c r="S872" s="535"/>
      <c r="T872" s="535"/>
      <c r="U872" s="535"/>
      <c r="V872" s="535"/>
      <c r="W872" s="535"/>
      <c r="X872" s="535"/>
      <c r="Y872" s="536"/>
    </row>
    <row r="873" spans="1:25" ht="12.75">
      <c r="A873" s="532" t="s">
        <v>3157</v>
      </c>
      <c r="B873" s="532">
        <v>41100264</v>
      </c>
      <c r="C873" s="532" t="s">
        <v>1591</v>
      </c>
      <c r="D873" s="532" t="s">
        <v>6611</v>
      </c>
      <c r="E873" s="532" t="s">
        <v>1585</v>
      </c>
      <c r="F873" s="532" t="s">
        <v>2395</v>
      </c>
      <c r="G873" s="532" t="s">
        <v>2392</v>
      </c>
      <c r="H873" s="532" t="s">
        <v>2392</v>
      </c>
      <c r="I873" s="535"/>
      <c r="J873" s="535"/>
      <c r="K873" s="535"/>
      <c r="L873" s="535"/>
      <c r="M873" s="535"/>
      <c r="N873" s="535"/>
      <c r="O873" s="535"/>
      <c r="P873" s="535"/>
      <c r="Q873" s="535"/>
      <c r="R873" s="535"/>
      <c r="S873" s="535"/>
      <c r="T873" s="535"/>
      <c r="U873" s="535"/>
      <c r="V873" s="535"/>
      <c r="W873" s="535"/>
      <c r="X873" s="535"/>
      <c r="Y873" s="536"/>
    </row>
    <row r="874" spans="1:25" ht="12.75">
      <c r="A874" s="532" t="s">
        <v>3156</v>
      </c>
      <c r="B874" s="532">
        <v>41100264</v>
      </c>
      <c r="C874" s="532" t="s">
        <v>1591</v>
      </c>
      <c r="D874" s="532" t="s">
        <v>6611</v>
      </c>
      <c r="E874" s="532" t="s">
        <v>1585</v>
      </c>
      <c r="F874" s="532" t="s">
        <v>2395</v>
      </c>
      <c r="G874" s="532" t="s">
        <v>2392</v>
      </c>
      <c r="H874" s="532" t="s">
        <v>2392</v>
      </c>
      <c r="I874" s="535"/>
      <c r="J874" s="535"/>
      <c r="K874" s="535"/>
      <c r="L874" s="535"/>
      <c r="M874" s="535"/>
      <c r="N874" s="535"/>
      <c r="O874" s="535"/>
      <c r="P874" s="535"/>
      <c r="Q874" s="535"/>
      <c r="R874" s="535"/>
      <c r="S874" s="535"/>
      <c r="T874" s="535"/>
      <c r="U874" s="535"/>
      <c r="V874" s="535"/>
      <c r="W874" s="535"/>
      <c r="X874" s="535"/>
      <c r="Y874" s="536"/>
    </row>
    <row r="875" spans="1:25" ht="12.75">
      <c r="A875" s="532" t="s">
        <v>3189</v>
      </c>
      <c r="B875" s="532">
        <v>41200007</v>
      </c>
      <c r="C875" s="532" t="s">
        <v>1591</v>
      </c>
      <c r="D875" s="532" t="s">
        <v>6608</v>
      </c>
      <c r="E875" s="532" t="s">
        <v>1405</v>
      </c>
      <c r="F875" s="532" t="s">
        <v>2391</v>
      </c>
      <c r="G875" s="532" t="s">
        <v>1468</v>
      </c>
      <c r="H875" s="532" t="s">
        <v>2391</v>
      </c>
      <c r="I875" s="535"/>
      <c r="J875" s="535"/>
      <c r="K875" s="535"/>
      <c r="L875" s="535"/>
      <c r="M875" s="535"/>
      <c r="N875" s="535"/>
      <c r="O875" s="535"/>
      <c r="P875" s="535"/>
      <c r="Q875" s="535"/>
      <c r="R875" s="535"/>
      <c r="S875" s="535"/>
      <c r="T875" s="535"/>
      <c r="U875" s="535"/>
      <c r="V875" s="535"/>
      <c r="W875" s="535"/>
      <c r="X875" s="535"/>
      <c r="Y875" s="536"/>
    </row>
    <row r="876" spans="1:25" ht="12.75">
      <c r="A876" s="532" t="s">
        <v>3188</v>
      </c>
      <c r="B876" s="532">
        <v>41200007</v>
      </c>
      <c r="C876" s="532" t="s">
        <v>1591</v>
      </c>
      <c r="D876" s="532" t="s">
        <v>6608</v>
      </c>
      <c r="E876" s="532" t="s">
        <v>1405</v>
      </c>
      <c r="F876" s="532" t="s">
        <v>2391</v>
      </c>
      <c r="G876" s="532" t="s">
        <v>1468</v>
      </c>
      <c r="H876" s="532" t="s">
        <v>2391</v>
      </c>
      <c r="I876" s="535"/>
      <c r="J876" s="535"/>
      <c r="K876" s="535"/>
      <c r="L876" s="535"/>
      <c r="M876" s="535"/>
      <c r="N876" s="535"/>
      <c r="O876" s="535"/>
      <c r="P876" s="535"/>
      <c r="Q876" s="535"/>
      <c r="R876" s="535"/>
      <c r="S876" s="535"/>
      <c r="T876" s="535"/>
      <c r="U876" s="535"/>
      <c r="V876" s="535"/>
      <c r="W876" s="535"/>
      <c r="X876" s="535"/>
      <c r="Y876" s="536"/>
    </row>
    <row r="877" spans="1:25" ht="12.75">
      <c r="A877" s="532" t="s">
        <v>3206</v>
      </c>
      <c r="B877" s="532">
        <v>41200158</v>
      </c>
      <c r="C877" s="532" t="s">
        <v>1480</v>
      </c>
      <c r="D877" s="532" t="s">
        <v>1480</v>
      </c>
      <c r="E877" s="532" t="s">
        <v>1405</v>
      </c>
      <c r="F877" s="532" t="s">
        <v>2391</v>
      </c>
      <c r="G877" s="532" t="s">
        <v>2392</v>
      </c>
      <c r="H877" s="532" t="s">
        <v>2391</v>
      </c>
      <c r="I877" s="535"/>
      <c r="J877" s="535"/>
      <c r="K877" s="535"/>
      <c r="L877" s="535"/>
      <c r="M877" s="535"/>
      <c r="N877" s="535"/>
      <c r="O877" s="535"/>
      <c r="P877" s="535"/>
      <c r="Q877" s="535"/>
      <c r="R877" s="535"/>
      <c r="S877" s="535"/>
      <c r="T877" s="535"/>
      <c r="U877" s="535"/>
      <c r="V877" s="535"/>
      <c r="W877" s="535"/>
      <c r="X877" s="535"/>
      <c r="Y877" s="536"/>
    </row>
    <row r="878" spans="1:25" ht="12.75">
      <c r="A878" s="532" t="s">
        <v>3205</v>
      </c>
      <c r="B878" s="532">
        <v>41200158</v>
      </c>
      <c r="C878" s="532" t="s">
        <v>1480</v>
      </c>
      <c r="D878" s="532" t="s">
        <v>1480</v>
      </c>
      <c r="E878" s="532" t="s">
        <v>1405</v>
      </c>
      <c r="F878" s="532" t="s">
        <v>2391</v>
      </c>
      <c r="G878" s="532" t="s">
        <v>2392</v>
      </c>
      <c r="H878" s="532" t="s">
        <v>2391</v>
      </c>
      <c r="I878" s="535"/>
      <c r="J878" s="535"/>
      <c r="K878" s="535"/>
      <c r="L878" s="535"/>
      <c r="M878" s="535"/>
      <c r="N878" s="535"/>
      <c r="O878" s="535"/>
      <c r="P878" s="535"/>
      <c r="Q878" s="535"/>
      <c r="R878" s="535"/>
      <c r="S878" s="535"/>
      <c r="T878" s="535"/>
      <c r="U878" s="535"/>
      <c r="V878" s="535"/>
      <c r="W878" s="535"/>
      <c r="X878" s="535"/>
      <c r="Y878" s="536"/>
    </row>
    <row r="879" spans="1:25" ht="12.75">
      <c r="A879" s="532" t="s">
        <v>3198</v>
      </c>
      <c r="B879" s="532">
        <v>41200158</v>
      </c>
      <c r="C879" s="532" t="s">
        <v>1480</v>
      </c>
      <c r="D879" s="532" t="s">
        <v>1480</v>
      </c>
      <c r="E879" s="532" t="s">
        <v>1405</v>
      </c>
      <c r="F879" s="532" t="s">
        <v>2391</v>
      </c>
      <c r="G879" s="532" t="s">
        <v>2392</v>
      </c>
      <c r="H879" s="532" t="s">
        <v>2391</v>
      </c>
      <c r="I879" s="535"/>
      <c r="J879" s="535"/>
      <c r="K879" s="535"/>
      <c r="L879" s="535"/>
      <c r="M879" s="535"/>
      <c r="N879" s="535"/>
      <c r="O879" s="535"/>
      <c r="P879" s="535"/>
      <c r="Q879" s="535"/>
      <c r="R879" s="535"/>
      <c r="S879" s="535"/>
      <c r="T879" s="535"/>
      <c r="U879" s="535"/>
      <c r="V879" s="535"/>
      <c r="W879" s="535"/>
      <c r="X879" s="535"/>
      <c r="Y879" s="536"/>
    </row>
    <row r="880" spans="1:25" ht="12.75">
      <c r="A880" s="532" t="s">
        <v>3194</v>
      </c>
      <c r="B880" s="532">
        <v>41200125</v>
      </c>
      <c r="C880" s="532" t="s">
        <v>1476</v>
      </c>
      <c r="D880" s="532" t="s">
        <v>1476</v>
      </c>
      <c r="E880" s="532" t="s">
        <v>1585</v>
      </c>
      <c r="F880" s="532" t="s">
        <v>2391</v>
      </c>
      <c r="G880" s="532" t="s">
        <v>2392</v>
      </c>
      <c r="H880" s="532" t="s">
        <v>2391</v>
      </c>
      <c r="I880" s="535"/>
      <c r="J880" s="535"/>
      <c r="K880" s="535"/>
      <c r="L880" s="535"/>
      <c r="M880" s="535"/>
      <c r="N880" s="535"/>
      <c r="O880" s="535"/>
      <c r="P880" s="535"/>
      <c r="Q880" s="535"/>
      <c r="R880" s="535"/>
      <c r="S880" s="535"/>
      <c r="T880" s="535"/>
      <c r="U880" s="535"/>
      <c r="V880" s="535"/>
      <c r="W880" s="535"/>
      <c r="X880" s="535"/>
      <c r="Y880" s="536"/>
    </row>
    <row r="881" spans="1:25" ht="12.75">
      <c r="A881" s="532" t="s">
        <v>6792</v>
      </c>
      <c r="B881" s="532">
        <v>42200081</v>
      </c>
      <c r="C881" s="532" t="s">
        <v>6793</v>
      </c>
      <c r="D881" s="532" t="s">
        <v>6794</v>
      </c>
      <c r="E881" s="532" t="s">
        <v>6795</v>
      </c>
      <c r="F881" s="532" t="s">
        <v>6698</v>
      </c>
      <c r="G881" s="532" t="s">
        <v>1468</v>
      </c>
      <c r="H881" s="533"/>
      <c r="I881" s="535"/>
      <c r="J881" s="535"/>
      <c r="K881" s="535"/>
      <c r="L881" s="535"/>
      <c r="M881" s="535"/>
      <c r="N881" s="535"/>
      <c r="O881" s="535"/>
      <c r="P881" s="535"/>
      <c r="Q881" s="535"/>
      <c r="R881" s="535"/>
      <c r="S881" s="535"/>
      <c r="T881" s="535"/>
      <c r="U881" s="535"/>
      <c r="V881" s="535"/>
      <c r="W881" s="535"/>
      <c r="X881" s="535"/>
      <c r="Y881" s="536"/>
    </row>
    <row r="882" spans="1:25" ht="12.75">
      <c r="A882" s="532" t="s">
        <v>6796</v>
      </c>
      <c r="B882" s="532">
        <v>42200048</v>
      </c>
      <c r="C882" s="532" t="s">
        <v>6797</v>
      </c>
      <c r="D882" s="532" t="s">
        <v>6798</v>
      </c>
      <c r="E882" s="532" t="s">
        <v>6799</v>
      </c>
      <c r="F882" s="532" t="s">
        <v>6698</v>
      </c>
      <c r="G882" s="532" t="s">
        <v>1468</v>
      </c>
      <c r="H882" s="533"/>
      <c r="I882" s="535"/>
      <c r="J882" s="535"/>
      <c r="K882" s="535"/>
      <c r="L882" s="535"/>
      <c r="M882" s="535"/>
      <c r="N882" s="535"/>
      <c r="O882" s="535"/>
      <c r="P882" s="535"/>
      <c r="Q882" s="535"/>
      <c r="R882" s="535"/>
      <c r="S882" s="535"/>
      <c r="T882" s="535"/>
      <c r="U882" s="535"/>
      <c r="V882" s="535"/>
      <c r="W882" s="535"/>
      <c r="X882" s="535"/>
      <c r="Y882" s="536"/>
    </row>
    <row r="883" spans="1:25" ht="12.75">
      <c r="A883" s="532" t="s">
        <v>6800</v>
      </c>
      <c r="B883" s="532">
        <v>42200048</v>
      </c>
      <c r="C883" s="532" t="s">
        <v>6797</v>
      </c>
      <c r="D883" s="532" t="s">
        <v>6798</v>
      </c>
      <c r="E883" s="532" t="s">
        <v>6799</v>
      </c>
      <c r="F883" s="532" t="s">
        <v>6698</v>
      </c>
      <c r="G883" s="532" t="s">
        <v>1468</v>
      </c>
      <c r="H883" s="533"/>
      <c r="I883" s="535"/>
      <c r="J883" s="535"/>
      <c r="K883" s="535"/>
      <c r="L883" s="535"/>
      <c r="M883" s="535"/>
      <c r="N883" s="535"/>
      <c r="O883" s="535"/>
      <c r="P883" s="535"/>
      <c r="Q883" s="535"/>
      <c r="R883" s="535"/>
      <c r="S883" s="535"/>
      <c r="T883" s="535"/>
      <c r="U883" s="535"/>
      <c r="V883" s="535"/>
      <c r="W883" s="535"/>
      <c r="X883" s="535"/>
      <c r="Y883" s="536"/>
    </row>
    <row r="884" spans="1:25" ht="12.75">
      <c r="A884" s="532" t="s">
        <v>6801</v>
      </c>
      <c r="B884" s="532">
        <v>42200048</v>
      </c>
      <c r="C884" s="532" t="s">
        <v>6797</v>
      </c>
      <c r="D884" s="532" t="s">
        <v>6798</v>
      </c>
      <c r="E884" s="532" t="s">
        <v>6799</v>
      </c>
      <c r="F884" s="532" t="s">
        <v>6698</v>
      </c>
      <c r="G884" s="532" t="s">
        <v>1468</v>
      </c>
      <c r="H884" s="533"/>
      <c r="I884" s="535"/>
      <c r="J884" s="535"/>
      <c r="K884" s="535"/>
      <c r="L884" s="535"/>
      <c r="M884" s="535"/>
      <c r="N884" s="535"/>
      <c r="O884" s="535"/>
      <c r="P884" s="535"/>
      <c r="Q884" s="535"/>
      <c r="R884" s="535"/>
      <c r="S884" s="535"/>
      <c r="T884" s="535"/>
      <c r="U884" s="535"/>
      <c r="V884" s="535"/>
      <c r="W884" s="535"/>
      <c r="X884" s="535"/>
      <c r="Y884" s="536"/>
    </row>
    <row r="885" spans="1:25" ht="12.75">
      <c r="A885" s="532" t="s">
        <v>6802</v>
      </c>
      <c r="B885" s="532">
        <v>42200048</v>
      </c>
      <c r="C885" s="532" t="s">
        <v>6797</v>
      </c>
      <c r="D885" s="532" t="s">
        <v>6798</v>
      </c>
      <c r="E885" s="532" t="s">
        <v>6799</v>
      </c>
      <c r="F885" s="532" t="s">
        <v>6698</v>
      </c>
      <c r="G885" s="532" t="s">
        <v>1468</v>
      </c>
      <c r="H885" s="533"/>
      <c r="I885" s="535"/>
      <c r="J885" s="535"/>
      <c r="K885" s="535"/>
      <c r="L885" s="535"/>
      <c r="M885" s="535"/>
      <c r="N885" s="535"/>
      <c r="O885" s="535"/>
      <c r="P885" s="535"/>
      <c r="Q885" s="535"/>
      <c r="R885" s="535"/>
      <c r="S885" s="535"/>
      <c r="T885" s="535"/>
      <c r="U885" s="535"/>
      <c r="V885" s="535"/>
      <c r="W885" s="535"/>
      <c r="X885" s="535"/>
      <c r="Y885" s="536"/>
    </row>
    <row r="886" spans="1:25" ht="12.75">
      <c r="A886" s="532" t="s">
        <v>6803</v>
      </c>
      <c r="B886" s="532">
        <v>42200048</v>
      </c>
      <c r="C886" s="532" t="s">
        <v>6797</v>
      </c>
      <c r="D886" s="532" t="s">
        <v>6798</v>
      </c>
      <c r="E886" s="532" t="s">
        <v>6799</v>
      </c>
      <c r="F886" s="532" t="s">
        <v>6698</v>
      </c>
      <c r="G886" s="532" t="s">
        <v>1468</v>
      </c>
      <c r="H886" s="533"/>
      <c r="I886" s="535"/>
      <c r="J886" s="535"/>
      <c r="K886" s="535"/>
      <c r="L886" s="535"/>
      <c r="M886" s="535"/>
      <c r="N886" s="535"/>
      <c r="O886" s="535"/>
      <c r="P886" s="535"/>
      <c r="Q886" s="535"/>
      <c r="R886" s="535"/>
      <c r="S886" s="535"/>
      <c r="T886" s="535"/>
      <c r="U886" s="535"/>
      <c r="V886" s="535"/>
      <c r="W886" s="535"/>
      <c r="X886" s="535"/>
      <c r="Y886" s="536"/>
    </row>
    <row r="887" spans="1:25" ht="12.75">
      <c r="A887" s="532" t="s">
        <v>6804</v>
      </c>
      <c r="B887" s="532">
        <v>42200048</v>
      </c>
      <c r="C887" s="532" t="s">
        <v>6797</v>
      </c>
      <c r="D887" s="532" t="s">
        <v>6798</v>
      </c>
      <c r="E887" s="532" t="s">
        <v>6799</v>
      </c>
      <c r="F887" s="532" t="s">
        <v>6698</v>
      </c>
      <c r="G887" s="532" t="s">
        <v>1468</v>
      </c>
      <c r="H887" s="533"/>
      <c r="I887" s="535"/>
      <c r="J887" s="535"/>
      <c r="K887" s="535"/>
      <c r="L887" s="535"/>
      <c r="M887" s="535"/>
      <c r="N887" s="535"/>
      <c r="O887" s="535"/>
      <c r="P887" s="535"/>
      <c r="Q887" s="535"/>
      <c r="R887" s="535"/>
      <c r="S887" s="535"/>
      <c r="T887" s="535"/>
      <c r="U887" s="535"/>
      <c r="V887" s="535"/>
      <c r="W887" s="535"/>
      <c r="X887" s="535"/>
      <c r="Y887" s="536"/>
    </row>
    <row r="888" spans="1:25" ht="12.75">
      <c r="A888" s="532" t="s">
        <v>6805</v>
      </c>
      <c r="B888" s="532">
        <v>42200048</v>
      </c>
      <c r="C888" s="532" t="s">
        <v>6797</v>
      </c>
      <c r="D888" s="532" t="s">
        <v>6798</v>
      </c>
      <c r="E888" s="532" t="s">
        <v>6799</v>
      </c>
      <c r="F888" s="532" t="s">
        <v>6698</v>
      </c>
      <c r="G888" s="532" t="s">
        <v>1468</v>
      </c>
      <c r="H888" s="533"/>
      <c r="I888" s="535"/>
      <c r="J888" s="535"/>
      <c r="K888" s="535"/>
      <c r="L888" s="535"/>
      <c r="M888" s="535"/>
      <c r="N888" s="535"/>
      <c r="O888" s="535"/>
      <c r="P888" s="535"/>
      <c r="Q888" s="535"/>
      <c r="R888" s="535"/>
      <c r="S888" s="535"/>
      <c r="T888" s="535"/>
      <c r="U888" s="535"/>
      <c r="V888" s="535"/>
      <c r="W888" s="535"/>
      <c r="X888" s="535"/>
      <c r="Y888" s="536"/>
    </row>
    <row r="889" spans="1:25" ht="12.75">
      <c r="A889" s="532" t="s">
        <v>6806</v>
      </c>
      <c r="B889" s="532">
        <v>42200048</v>
      </c>
      <c r="C889" s="532" t="s">
        <v>6797</v>
      </c>
      <c r="D889" s="532" t="s">
        <v>6798</v>
      </c>
      <c r="E889" s="532" t="s">
        <v>6799</v>
      </c>
      <c r="F889" s="532" t="s">
        <v>6698</v>
      </c>
      <c r="G889" s="532" t="s">
        <v>1468</v>
      </c>
      <c r="H889" s="533"/>
      <c r="I889" s="535"/>
      <c r="J889" s="535"/>
      <c r="K889" s="535"/>
      <c r="L889" s="535"/>
      <c r="M889" s="535"/>
      <c r="N889" s="535"/>
      <c r="O889" s="535"/>
      <c r="P889" s="535"/>
      <c r="Q889" s="535"/>
      <c r="R889" s="535"/>
      <c r="S889" s="535"/>
      <c r="T889" s="535"/>
      <c r="U889" s="535"/>
      <c r="V889" s="535"/>
      <c r="W889" s="535"/>
      <c r="X889" s="535"/>
      <c r="Y889" s="536"/>
    </row>
    <row r="890" spans="1:25" ht="12.75">
      <c r="A890" s="532" t="s">
        <v>6807</v>
      </c>
      <c r="B890" s="532">
        <v>42200079</v>
      </c>
      <c r="C890" s="532" t="s">
        <v>6808</v>
      </c>
      <c r="D890" s="532" t="s">
        <v>6809</v>
      </c>
      <c r="E890" s="532" t="s">
        <v>1404</v>
      </c>
      <c r="F890" s="532" t="s">
        <v>6684</v>
      </c>
      <c r="G890" s="532" t="s">
        <v>6696</v>
      </c>
      <c r="H890" s="533"/>
      <c r="I890" s="535"/>
      <c r="J890" s="535"/>
      <c r="K890" s="535"/>
      <c r="L890" s="535"/>
      <c r="M890" s="535"/>
      <c r="N890" s="535"/>
      <c r="O890" s="535"/>
      <c r="P890" s="535"/>
      <c r="Q890" s="535"/>
      <c r="R890" s="535"/>
      <c r="S890" s="535"/>
      <c r="T890" s="535"/>
      <c r="U890" s="535"/>
      <c r="V890" s="535"/>
      <c r="W890" s="535"/>
      <c r="X890" s="535"/>
      <c r="Y890" s="536"/>
    </row>
    <row r="891" spans="1:25" ht="12.75">
      <c r="A891" s="532" t="s">
        <v>6810</v>
      </c>
      <c r="B891" s="532">
        <v>42200079</v>
      </c>
      <c r="C891" s="532" t="s">
        <v>6808</v>
      </c>
      <c r="D891" s="532" t="s">
        <v>6809</v>
      </c>
      <c r="E891" s="532" t="s">
        <v>1404</v>
      </c>
      <c r="F891" s="532" t="s">
        <v>6684</v>
      </c>
      <c r="G891" s="532" t="s">
        <v>6696</v>
      </c>
      <c r="H891" s="533"/>
      <c r="I891" s="535"/>
      <c r="J891" s="535"/>
      <c r="K891" s="535"/>
      <c r="L891" s="535"/>
      <c r="M891" s="535"/>
      <c r="N891" s="535"/>
      <c r="O891" s="535"/>
      <c r="P891" s="535"/>
      <c r="Q891" s="535"/>
      <c r="R891" s="535"/>
      <c r="S891" s="535"/>
      <c r="T891" s="535"/>
      <c r="U891" s="535"/>
      <c r="V891" s="535"/>
      <c r="W891" s="535"/>
      <c r="X891" s="535"/>
      <c r="Y891" s="536"/>
    </row>
    <row r="892" spans="1:25" ht="12.75">
      <c r="A892" s="532" t="s">
        <v>6811</v>
      </c>
      <c r="B892" s="532">
        <v>42200079</v>
      </c>
      <c r="C892" s="532" t="s">
        <v>6808</v>
      </c>
      <c r="D892" s="532" t="s">
        <v>6809</v>
      </c>
      <c r="E892" s="532" t="s">
        <v>1404</v>
      </c>
      <c r="F892" s="532" t="s">
        <v>6684</v>
      </c>
      <c r="G892" s="532" t="s">
        <v>6696</v>
      </c>
      <c r="H892" s="533"/>
      <c r="I892" s="535"/>
      <c r="J892" s="535"/>
      <c r="K892" s="535"/>
      <c r="L892" s="535"/>
      <c r="M892" s="535"/>
      <c r="N892" s="535"/>
      <c r="O892" s="535"/>
      <c r="P892" s="535"/>
      <c r="Q892" s="535"/>
      <c r="R892" s="535"/>
      <c r="S892" s="535"/>
      <c r="T892" s="535"/>
      <c r="U892" s="535"/>
      <c r="V892" s="535"/>
      <c r="W892" s="535"/>
      <c r="X892" s="535"/>
      <c r="Y892" s="536"/>
    </row>
    <row r="893" spans="1:25" ht="12.75">
      <c r="A893" s="532" t="s">
        <v>6812</v>
      </c>
      <c r="B893" s="532">
        <v>42200079</v>
      </c>
      <c r="C893" s="532" t="s">
        <v>6808</v>
      </c>
      <c r="D893" s="532" t="s">
        <v>6809</v>
      </c>
      <c r="E893" s="532" t="s">
        <v>1404</v>
      </c>
      <c r="F893" s="532" t="s">
        <v>6684</v>
      </c>
      <c r="G893" s="532" t="s">
        <v>6696</v>
      </c>
      <c r="H893" s="533"/>
      <c r="I893" s="535"/>
      <c r="J893" s="535"/>
      <c r="K893" s="535"/>
      <c r="L893" s="535"/>
      <c r="M893" s="535"/>
      <c r="N893" s="535"/>
      <c r="O893" s="535"/>
      <c r="P893" s="535"/>
      <c r="Q893" s="535"/>
      <c r="R893" s="535"/>
      <c r="S893" s="535"/>
      <c r="T893" s="535"/>
      <c r="U893" s="535"/>
      <c r="V893" s="535"/>
      <c r="W893" s="535"/>
      <c r="X893" s="535"/>
      <c r="Y893" s="536"/>
    </row>
    <row r="894" spans="1:25" ht="12.75">
      <c r="A894" s="532" t="s">
        <v>6813</v>
      </c>
      <c r="B894" s="532">
        <v>42200079</v>
      </c>
      <c r="C894" s="532" t="s">
        <v>6808</v>
      </c>
      <c r="D894" s="532" t="s">
        <v>6809</v>
      </c>
      <c r="E894" s="532" t="s">
        <v>1404</v>
      </c>
      <c r="F894" s="532" t="s">
        <v>6684</v>
      </c>
      <c r="G894" s="532" t="s">
        <v>6696</v>
      </c>
      <c r="H894" s="533"/>
      <c r="I894" s="535"/>
      <c r="J894" s="535"/>
      <c r="K894" s="535"/>
      <c r="L894" s="535"/>
      <c r="M894" s="535"/>
      <c r="N894" s="535"/>
      <c r="O894" s="535"/>
      <c r="P894" s="535"/>
      <c r="Q894" s="535"/>
      <c r="R894" s="535"/>
      <c r="S894" s="535"/>
      <c r="T894" s="535"/>
      <c r="U894" s="535"/>
      <c r="V894" s="535"/>
      <c r="W894" s="535"/>
      <c r="X894" s="535"/>
      <c r="Y894" s="536"/>
    </row>
    <row r="895" spans="1:25" ht="12.75">
      <c r="A895" s="532" t="s">
        <v>6814</v>
      </c>
      <c r="B895" s="532">
        <v>42200079</v>
      </c>
      <c r="C895" s="532" t="s">
        <v>6808</v>
      </c>
      <c r="D895" s="532" t="s">
        <v>6809</v>
      </c>
      <c r="E895" s="532" t="s">
        <v>1404</v>
      </c>
      <c r="F895" s="532" t="s">
        <v>6684</v>
      </c>
      <c r="G895" s="532" t="s">
        <v>6696</v>
      </c>
      <c r="H895" s="533"/>
      <c r="I895" s="535"/>
      <c r="J895" s="535"/>
      <c r="K895" s="535"/>
      <c r="L895" s="535"/>
      <c r="M895" s="535"/>
      <c r="N895" s="535"/>
      <c r="O895" s="535"/>
      <c r="P895" s="535"/>
      <c r="Q895" s="535"/>
      <c r="R895" s="535"/>
      <c r="S895" s="535"/>
      <c r="T895" s="535"/>
      <c r="U895" s="535"/>
      <c r="V895" s="535"/>
      <c r="W895" s="535"/>
      <c r="X895" s="535"/>
      <c r="Y895" s="536"/>
    </row>
    <row r="896" spans="1:25" ht="12.75">
      <c r="A896" s="532" t="s">
        <v>6612</v>
      </c>
      <c r="B896" s="532" t="s">
        <v>6592</v>
      </c>
      <c r="C896" s="532" t="s">
        <v>6593</v>
      </c>
      <c r="D896" s="533"/>
      <c r="E896" s="532" t="s">
        <v>1405</v>
      </c>
      <c r="F896" s="532" t="s">
        <v>2392</v>
      </c>
      <c r="G896" s="532" t="s">
        <v>2392</v>
      </c>
      <c r="H896" s="532" t="s">
        <v>2392</v>
      </c>
      <c r="I896" s="535"/>
      <c r="J896" s="535"/>
      <c r="K896" s="535"/>
      <c r="L896" s="535"/>
      <c r="M896" s="535"/>
      <c r="N896" s="535"/>
      <c r="O896" s="535"/>
      <c r="P896" s="535"/>
      <c r="Q896" s="535"/>
      <c r="R896" s="535"/>
      <c r="S896" s="535"/>
      <c r="T896" s="535"/>
      <c r="U896" s="535"/>
      <c r="V896" s="535"/>
      <c r="W896" s="535"/>
      <c r="X896" s="535"/>
      <c r="Y896" s="536"/>
    </row>
    <row r="897" spans="1:25" ht="12.75">
      <c r="A897" s="532" t="s">
        <v>6614</v>
      </c>
      <c r="B897" s="532" t="s">
        <v>6592</v>
      </c>
      <c r="C897" s="532" t="s">
        <v>6593</v>
      </c>
      <c r="D897" s="533"/>
      <c r="E897" s="532" t="s">
        <v>1405</v>
      </c>
      <c r="F897" s="532" t="s">
        <v>2392</v>
      </c>
      <c r="G897" s="532" t="s">
        <v>2392</v>
      </c>
      <c r="H897" s="532" t="s">
        <v>2392</v>
      </c>
      <c r="I897" s="535"/>
      <c r="J897" s="535"/>
      <c r="K897" s="535"/>
      <c r="L897" s="535"/>
      <c r="M897" s="535"/>
      <c r="N897" s="535"/>
      <c r="O897" s="535"/>
      <c r="P897" s="535"/>
      <c r="Q897" s="535"/>
      <c r="R897" s="535"/>
      <c r="S897" s="535"/>
      <c r="T897" s="535"/>
      <c r="U897" s="535"/>
      <c r="V897" s="535"/>
      <c r="W897" s="535"/>
      <c r="X897" s="535"/>
      <c r="Y897" s="536"/>
    </row>
    <row r="898" spans="1:25" ht="12.75">
      <c r="A898" s="532" t="s">
        <v>6615</v>
      </c>
      <c r="B898" s="532" t="s">
        <v>6592</v>
      </c>
      <c r="C898" s="532" t="s">
        <v>6593</v>
      </c>
      <c r="D898" s="533"/>
      <c r="E898" s="532" t="s">
        <v>1405</v>
      </c>
      <c r="F898" s="532" t="s">
        <v>2392</v>
      </c>
      <c r="G898" s="532" t="s">
        <v>2392</v>
      </c>
      <c r="H898" s="532" t="s">
        <v>2392</v>
      </c>
      <c r="I898" s="535"/>
      <c r="J898" s="535"/>
      <c r="K898" s="535"/>
      <c r="L898" s="535"/>
      <c r="M898" s="535"/>
      <c r="N898" s="535"/>
      <c r="O898" s="535"/>
      <c r="P898" s="535"/>
      <c r="Q898" s="535"/>
      <c r="R898" s="535"/>
      <c r="S898" s="535"/>
      <c r="T898" s="535"/>
      <c r="U898" s="535"/>
      <c r="V898" s="535"/>
      <c r="W898" s="535"/>
      <c r="X898" s="535"/>
      <c r="Y898" s="536"/>
    </row>
    <row r="899" spans="1:25" ht="12.75">
      <c r="A899" s="532" t="s">
        <v>6815</v>
      </c>
      <c r="B899" s="532">
        <v>42100263</v>
      </c>
      <c r="C899" s="532" t="s">
        <v>6816</v>
      </c>
      <c r="D899" s="532" t="s">
        <v>6816</v>
      </c>
      <c r="E899" s="532" t="s">
        <v>1405</v>
      </c>
      <c r="F899" s="532" t="s">
        <v>6680</v>
      </c>
      <c r="G899" s="532" t="s">
        <v>6680</v>
      </c>
      <c r="H899" s="533"/>
      <c r="I899" s="535"/>
      <c r="J899" s="535"/>
      <c r="K899" s="535"/>
      <c r="L899" s="535"/>
      <c r="M899" s="535"/>
      <c r="N899" s="535"/>
      <c r="O899" s="535"/>
      <c r="P899" s="535"/>
      <c r="Q899" s="535"/>
      <c r="R899" s="535"/>
      <c r="S899" s="535"/>
      <c r="T899" s="535"/>
      <c r="U899" s="535"/>
      <c r="V899" s="535"/>
      <c r="W899" s="535"/>
      <c r="X899" s="535"/>
      <c r="Y899" s="536"/>
    </row>
    <row r="900" spans="1:25" ht="12.75">
      <c r="A900" s="532" t="s">
        <v>6616</v>
      </c>
      <c r="B900" s="532" t="s">
        <v>6592</v>
      </c>
      <c r="C900" s="532" t="s">
        <v>6593</v>
      </c>
      <c r="D900" s="533"/>
      <c r="E900" s="532" t="s">
        <v>1405</v>
      </c>
      <c r="F900" s="532" t="s">
        <v>2392</v>
      </c>
      <c r="G900" s="532" t="s">
        <v>2392</v>
      </c>
      <c r="H900" s="532" t="s">
        <v>2392</v>
      </c>
      <c r="I900" s="535"/>
      <c r="J900" s="535"/>
      <c r="K900" s="535"/>
      <c r="L900" s="535"/>
      <c r="M900" s="535"/>
      <c r="N900" s="535"/>
      <c r="O900" s="535"/>
      <c r="P900" s="535"/>
      <c r="Q900" s="535"/>
      <c r="R900" s="535"/>
      <c r="S900" s="535"/>
      <c r="T900" s="535"/>
      <c r="U900" s="535"/>
      <c r="V900" s="535"/>
      <c r="W900" s="535"/>
      <c r="X900" s="535"/>
      <c r="Y900" s="536"/>
    </row>
    <row r="901" spans="1:25" ht="12.75">
      <c r="A901" s="532" t="s">
        <v>3155</v>
      </c>
      <c r="B901" s="532">
        <v>41100338</v>
      </c>
      <c r="C901" s="532" t="s">
        <v>1591</v>
      </c>
      <c r="D901" s="532" t="s">
        <v>6617</v>
      </c>
      <c r="E901" s="532" t="s">
        <v>1585</v>
      </c>
      <c r="F901" s="532" t="s">
        <v>2395</v>
      </c>
      <c r="G901" s="532" t="s">
        <v>1469</v>
      </c>
      <c r="H901" s="532" t="s">
        <v>2392</v>
      </c>
      <c r="I901" s="535"/>
      <c r="J901" s="535"/>
      <c r="K901" s="535"/>
      <c r="L901" s="535"/>
      <c r="M901" s="535"/>
      <c r="N901" s="535"/>
      <c r="O901" s="535"/>
      <c r="P901" s="535"/>
      <c r="Q901" s="535"/>
      <c r="R901" s="535"/>
      <c r="S901" s="535"/>
      <c r="T901" s="535"/>
      <c r="U901" s="535"/>
      <c r="V901" s="535"/>
      <c r="W901" s="535"/>
      <c r="X901" s="535"/>
      <c r="Y901" s="536"/>
    </row>
    <row r="902" spans="1:25" ht="12.75">
      <c r="A902" s="532" t="s">
        <v>3154</v>
      </c>
      <c r="B902" s="532">
        <v>41100338</v>
      </c>
      <c r="C902" s="532" t="s">
        <v>1591</v>
      </c>
      <c r="D902" s="532" t="s">
        <v>6617</v>
      </c>
      <c r="E902" s="532" t="s">
        <v>1585</v>
      </c>
      <c r="F902" s="532" t="s">
        <v>2395</v>
      </c>
      <c r="G902" s="532" t="s">
        <v>1469</v>
      </c>
      <c r="H902" s="532" t="s">
        <v>2392</v>
      </c>
      <c r="I902" s="535"/>
      <c r="J902" s="535"/>
      <c r="K902" s="535"/>
      <c r="L902" s="535"/>
      <c r="M902" s="535"/>
      <c r="N902" s="535"/>
      <c r="O902" s="535"/>
      <c r="P902" s="535"/>
      <c r="Q902" s="535"/>
      <c r="R902" s="535"/>
      <c r="S902" s="535"/>
      <c r="T902" s="535"/>
      <c r="U902" s="535"/>
      <c r="V902" s="535"/>
      <c r="W902" s="535"/>
      <c r="X902" s="535"/>
      <c r="Y902" s="536"/>
    </row>
    <row r="903" spans="1:25" ht="12.75">
      <c r="A903" s="532" t="s">
        <v>3422</v>
      </c>
      <c r="B903" s="532">
        <v>41200122</v>
      </c>
      <c r="C903" s="532" t="s">
        <v>1476</v>
      </c>
      <c r="D903" s="532" t="s">
        <v>1476</v>
      </c>
      <c r="E903" s="532" t="s">
        <v>1585</v>
      </c>
      <c r="F903" s="532" t="s">
        <v>2555</v>
      </c>
      <c r="G903" s="532" t="s">
        <v>2555</v>
      </c>
      <c r="H903" s="532" t="s">
        <v>2392</v>
      </c>
      <c r="I903" s="535"/>
      <c r="J903" s="535"/>
      <c r="K903" s="535"/>
      <c r="L903" s="535"/>
      <c r="M903" s="535"/>
      <c r="N903" s="535"/>
      <c r="O903" s="535"/>
      <c r="P903" s="535"/>
      <c r="Q903" s="535"/>
      <c r="R903" s="535"/>
      <c r="S903" s="535"/>
      <c r="T903" s="535"/>
      <c r="U903" s="535"/>
      <c r="V903" s="535"/>
      <c r="W903" s="535"/>
      <c r="X903" s="535"/>
      <c r="Y903" s="536"/>
    </row>
    <row r="904" spans="1:25" ht="12.75">
      <c r="A904" s="532" t="s">
        <v>3315</v>
      </c>
      <c r="B904" s="532">
        <v>41200122</v>
      </c>
      <c r="C904" s="532" t="s">
        <v>1476</v>
      </c>
      <c r="D904" s="532" t="s">
        <v>1476</v>
      </c>
      <c r="E904" s="532" t="s">
        <v>1585</v>
      </c>
      <c r="F904" s="532" t="s">
        <v>2555</v>
      </c>
      <c r="G904" s="532" t="s">
        <v>2555</v>
      </c>
      <c r="H904" s="532" t="s">
        <v>2392</v>
      </c>
      <c r="I904" s="535"/>
      <c r="J904" s="535"/>
      <c r="K904" s="535"/>
      <c r="L904" s="535"/>
      <c r="M904" s="535"/>
      <c r="N904" s="535"/>
      <c r="O904" s="535"/>
      <c r="P904" s="535"/>
      <c r="Q904" s="535"/>
      <c r="R904" s="535"/>
      <c r="S904" s="535"/>
      <c r="T904" s="535"/>
      <c r="U904" s="535"/>
      <c r="V904" s="535"/>
      <c r="W904" s="535"/>
      <c r="X904" s="535"/>
      <c r="Y904" s="536"/>
    </row>
    <row r="905" spans="1:25" ht="12.75">
      <c r="A905" s="532" t="s">
        <v>5330</v>
      </c>
      <c r="B905" s="532">
        <v>41000558</v>
      </c>
      <c r="C905" s="532" t="s">
        <v>6607</v>
      </c>
      <c r="D905" s="532" t="s">
        <v>6607</v>
      </c>
      <c r="E905" s="532" t="s">
        <v>1405</v>
      </c>
      <c r="F905" s="532" t="s">
        <v>5127</v>
      </c>
      <c r="G905" s="532" t="s">
        <v>1469</v>
      </c>
      <c r="H905" s="533"/>
      <c r="I905" s="535"/>
      <c r="J905" s="535"/>
      <c r="K905" s="535"/>
      <c r="L905" s="535"/>
      <c r="M905" s="535"/>
      <c r="N905" s="535"/>
      <c r="O905" s="535"/>
      <c r="P905" s="535"/>
      <c r="Q905" s="535"/>
      <c r="R905" s="535"/>
      <c r="S905" s="535"/>
      <c r="T905" s="535"/>
      <c r="U905" s="535"/>
      <c r="V905" s="535"/>
      <c r="W905" s="535"/>
      <c r="X905" s="535"/>
      <c r="Y905" s="536"/>
    </row>
    <row r="906" spans="1:25" ht="12.75">
      <c r="A906" s="532" t="s">
        <v>3184</v>
      </c>
      <c r="B906" s="532">
        <v>41100317</v>
      </c>
      <c r="C906" s="532" t="s">
        <v>1476</v>
      </c>
      <c r="D906" s="532" t="s">
        <v>1476</v>
      </c>
      <c r="E906" s="532" t="s">
        <v>1585</v>
      </c>
      <c r="F906" s="532" t="s">
        <v>2391</v>
      </c>
      <c r="G906" s="532" t="s">
        <v>2392</v>
      </c>
      <c r="H906" s="532" t="s">
        <v>2391</v>
      </c>
      <c r="I906" s="535"/>
      <c r="J906" s="535"/>
      <c r="K906" s="535"/>
      <c r="L906" s="535"/>
      <c r="M906" s="535"/>
      <c r="N906" s="535"/>
      <c r="O906" s="535"/>
      <c r="P906" s="535"/>
      <c r="Q906" s="535"/>
      <c r="R906" s="535"/>
      <c r="S906" s="535"/>
      <c r="T906" s="535"/>
      <c r="U906" s="535"/>
      <c r="V906" s="535"/>
      <c r="W906" s="535"/>
      <c r="X906" s="535"/>
      <c r="Y906" s="536"/>
    </row>
    <row r="907" spans="1:25" ht="12.75">
      <c r="A907" s="532" t="s">
        <v>3162</v>
      </c>
      <c r="B907" s="532">
        <v>41200152</v>
      </c>
      <c r="C907" s="532" t="s">
        <v>1476</v>
      </c>
      <c r="D907" s="532" t="s">
        <v>6618</v>
      </c>
      <c r="E907" s="532" t="s">
        <v>1585</v>
      </c>
      <c r="F907" s="532" t="s">
        <v>2395</v>
      </c>
      <c r="G907" s="532" t="s">
        <v>2392</v>
      </c>
      <c r="H907" s="532" t="s">
        <v>2392</v>
      </c>
      <c r="I907" s="535"/>
      <c r="J907" s="535"/>
      <c r="K907" s="535"/>
      <c r="L907" s="535"/>
      <c r="M907" s="535"/>
      <c r="N907" s="535"/>
      <c r="O907" s="535"/>
      <c r="P907" s="535"/>
      <c r="Q907" s="535"/>
      <c r="R907" s="535"/>
      <c r="S907" s="535"/>
      <c r="T907" s="535"/>
      <c r="U907" s="535"/>
      <c r="V907" s="535"/>
      <c r="W907" s="535"/>
      <c r="X907" s="535"/>
      <c r="Y907" s="536"/>
    </row>
    <row r="908" spans="1:25" ht="12.75">
      <c r="A908" s="532" t="s">
        <v>3161</v>
      </c>
      <c r="B908" s="532">
        <v>41200152</v>
      </c>
      <c r="C908" s="532" t="s">
        <v>1476</v>
      </c>
      <c r="D908" s="532" t="s">
        <v>6618</v>
      </c>
      <c r="E908" s="532" t="s">
        <v>1585</v>
      </c>
      <c r="F908" s="532" t="s">
        <v>2395</v>
      </c>
      <c r="G908" s="532" t="s">
        <v>2392</v>
      </c>
      <c r="H908" s="532" t="s">
        <v>2392</v>
      </c>
      <c r="I908" s="535"/>
      <c r="J908" s="535"/>
      <c r="K908" s="535"/>
      <c r="L908" s="535"/>
      <c r="M908" s="535"/>
      <c r="N908" s="535"/>
      <c r="O908" s="535"/>
      <c r="P908" s="535"/>
      <c r="Q908" s="535"/>
      <c r="R908" s="535"/>
      <c r="S908" s="535"/>
      <c r="T908" s="535"/>
      <c r="U908" s="535"/>
      <c r="V908" s="535"/>
      <c r="W908" s="535"/>
      <c r="X908" s="535"/>
      <c r="Y908" s="536"/>
    </row>
    <row r="909" spans="1:25" ht="12.75">
      <c r="A909" s="532" t="s">
        <v>3175</v>
      </c>
      <c r="B909" s="532">
        <v>41200122</v>
      </c>
      <c r="C909" s="532" t="s">
        <v>1476</v>
      </c>
      <c r="D909" s="532" t="s">
        <v>1476</v>
      </c>
      <c r="E909" s="532" t="s">
        <v>1585</v>
      </c>
      <c r="F909" s="532" t="s">
        <v>2395</v>
      </c>
      <c r="G909" s="532" t="s">
        <v>1469</v>
      </c>
      <c r="H909" s="532" t="s">
        <v>2392</v>
      </c>
      <c r="I909" s="535"/>
      <c r="J909" s="535"/>
      <c r="K909" s="535"/>
      <c r="L909" s="535"/>
      <c r="M909" s="535"/>
      <c r="N909" s="535"/>
      <c r="O909" s="535"/>
      <c r="P909" s="535"/>
      <c r="Q909" s="535"/>
      <c r="R909" s="535"/>
      <c r="S909" s="535"/>
      <c r="T909" s="535"/>
      <c r="U909" s="535"/>
      <c r="V909" s="535"/>
      <c r="W909" s="535"/>
      <c r="X909" s="535"/>
      <c r="Y909" s="536"/>
    </row>
    <row r="910" spans="1:25" ht="12.75">
      <c r="A910" s="532" t="s">
        <v>3136</v>
      </c>
      <c r="B910" s="532">
        <v>41200109</v>
      </c>
      <c r="C910" s="532" t="s">
        <v>1591</v>
      </c>
      <c r="D910" s="532" t="s">
        <v>6619</v>
      </c>
      <c r="E910" s="532" t="s">
        <v>1585</v>
      </c>
      <c r="F910" s="532" t="s">
        <v>2395</v>
      </c>
      <c r="G910" s="532" t="s">
        <v>1468</v>
      </c>
      <c r="H910" s="532" t="s">
        <v>2392</v>
      </c>
      <c r="I910" s="535"/>
      <c r="J910" s="535"/>
      <c r="K910" s="535"/>
      <c r="L910" s="535"/>
      <c r="M910" s="535"/>
      <c r="N910" s="535"/>
      <c r="O910" s="535"/>
      <c r="P910" s="535"/>
      <c r="Q910" s="535"/>
      <c r="R910" s="535"/>
      <c r="S910" s="535"/>
      <c r="T910" s="535"/>
      <c r="U910" s="535"/>
      <c r="V910" s="535"/>
      <c r="W910" s="535"/>
      <c r="X910" s="535"/>
      <c r="Y910" s="536"/>
    </row>
    <row r="911" spans="1:25" ht="12.75">
      <c r="A911" s="532" t="s">
        <v>3135</v>
      </c>
      <c r="B911" s="532">
        <v>41200109</v>
      </c>
      <c r="C911" s="532" t="s">
        <v>1591</v>
      </c>
      <c r="D911" s="532" t="s">
        <v>6619</v>
      </c>
      <c r="E911" s="532" t="s">
        <v>1585</v>
      </c>
      <c r="F911" s="532" t="s">
        <v>2395</v>
      </c>
      <c r="G911" s="532" t="s">
        <v>1468</v>
      </c>
      <c r="H911" s="532" t="s">
        <v>2392</v>
      </c>
      <c r="I911" s="535"/>
      <c r="J911" s="535"/>
      <c r="K911" s="535"/>
      <c r="L911" s="535"/>
      <c r="M911" s="535"/>
      <c r="N911" s="535"/>
      <c r="O911" s="535"/>
      <c r="P911" s="535"/>
      <c r="Q911" s="535"/>
      <c r="R911" s="535"/>
      <c r="S911" s="535"/>
      <c r="T911" s="535"/>
      <c r="U911" s="535"/>
      <c r="V911" s="535"/>
      <c r="W911" s="535"/>
      <c r="X911" s="535"/>
      <c r="Y911" s="536"/>
    </row>
    <row r="912" spans="1:25" ht="12.75">
      <c r="A912" s="532" t="s">
        <v>3174</v>
      </c>
      <c r="B912" s="532">
        <v>41200184</v>
      </c>
      <c r="C912" s="532" t="s">
        <v>1479</v>
      </c>
      <c r="D912" s="532" t="s">
        <v>1394</v>
      </c>
      <c r="E912" s="532" t="s">
        <v>1394</v>
      </c>
      <c r="F912" s="532" t="s">
        <v>2391</v>
      </c>
      <c r="G912" s="532" t="s">
        <v>1468</v>
      </c>
      <c r="H912" s="532" t="s">
        <v>2391</v>
      </c>
      <c r="I912" s="535"/>
      <c r="J912" s="535"/>
      <c r="K912" s="535"/>
      <c r="L912" s="535"/>
      <c r="M912" s="535"/>
      <c r="N912" s="535"/>
      <c r="O912" s="535"/>
      <c r="P912" s="535"/>
      <c r="Q912" s="535"/>
      <c r="R912" s="535"/>
      <c r="S912" s="535"/>
      <c r="T912" s="535"/>
      <c r="U912" s="535"/>
      <c r="V912" s="535"/>
      <c r="W912" s="535"/>
      <c r="X912" s="535"/>
      <c r="Y912" s="536"/>
    </row>
    <row r="913" spans="1:25" ht="12.75">
      <c r="A913" s="532" t="s">
        <v>3173</v>
      </c>
      <c r="B913" s="532">
        <v>41200184</v>
      </c>
      <c r="C913" s="532" t="s">
        <v>1479</v>
      </c>
      <c r="D913" s="532" t="s">
        <v>1394</v>
      </c>
      <c r="E913" s="532" t="s">
        <v>1394</v>
      </c>
      <c r="F913" s="532" t="s">
        <v>2391</v>
      </c>
      <c r="G913" s="532" t="s">
        <v>1468</v>
      </c>
      <c r="H913" s="532" t="s">
        <v>2391</v>
      </c>
      <c r="I913" s="535"/>
      <c r="J913" s="535"/>
      <c r="K913" s="535"/>
      <c r="L913" s="535"/>
      <c r="M913" s="535"/>
      <c r="N913" s="535"/>
      <c r="O913" s="535"/>
      <c r="P913" s="535"/>
      <c r="Q913" s="535"/>
      <c r="R913" s="535"/>
      <c r="S913" s="535"/>
      <c r="T913" s="535"/>
      <c r="U913" s="535"/>
      <c r="V913" s="535"/>
      <c r="W913" s="535"/>
      <c r="X913" s="535"/>
      <c r="Y913" s="536"/>
    </row>
    <row r="914" spans="1:25" ht="12.75">
      <c r="A914" s="532" t="s">
        <v>3167</v>
      </c>
      <c r="B914" s="532">
        <v>41200184</v>
      </c>
      <c r="C914" s="532" t="s">
        <v>1479</v>
      </c>
      <c r="D914" s="532" t="s">
        <v>1394</v>
      </c>
      <c r="E914" s="532" t="s">
        <v>1394</v>
      </c>
      <c r="F914" s="532" t="s">
        <v>2391</v>
      </c>
      <c r="G914" s="532" t="s">
        <v>1468</v>
      </c>
      <c r="H914" s="532" t="s">
        <v>2391</v>
      </c>
      <c r="I914" s="535"/>
      <c r="J914" s="535"/>
      <c r="K914" s="535"/>
      <c r="L914" s="535"/>
      <c r="M914" s="535"/>
      <c r="N914" s="535"/>
      <c r="O914" s="535"/>
      <c r="P914" s="535"/>
      <c r="Q914" s="535"/>
      <c r="R914" s="535"/>
      <c r="S914" s="535"/>
      <c r="T914" s="535"/>
      <c r="U914" s="535"/>
      <c r="V914" s="535"/>
      <c r="W914" s="535"/>
      <c r="X914" s="535"/>
      <c r="Y914" s="536"/>
    </row>
    <row r="915" spans="1:25" ht="12.75">
      <c r="A915" s="532" t="s">
        <v>3166</v>
      </c>
      <c r="B915" s="532">
        <v>41200171</v>
      </c>
      <c r="C915" s="532" t="s">
        <v>1479</v>
      </c>
      <c r="D915" s="532" t="s">
        <v>1394</v>
      </c>
      <c r="E915" s="532" t="s">
        <v>1394</v>
      </c>
      <c r="F915" s="532" t="s">
        <v>2391</v>
      </c>
      <c r="G915" s="532" t="s">
        <v>1468</v>
      </c>
      <c r="H915" s="532" t="s">
        <v>2391</v>
      </c>
      <c r="I915" s="535"/>
      <c r="J915" s="535"/>
      <c r="K915" s="535"/>
      <c r="L915" s="535"/>
      <c r="M915" s="535"/>
      <c r="N915" s="535"/>
      <c r="O915" s="535"/>
      <c r="P915" s="535"/>
      <c r="Q915" s="535"/>
      <c r="R915" s="535"/>
      <c r="S915" s="535"/>
      <c r="T915" s="535"/>
      <c r="U915" s="535"/>
      <c r="V915" s="535"/>
      <c r="W915" s="535"/>
      <c r="X915" s="535"/>
      <c r="Y915" s="536"/>
    </row>
    <row r="916" spans="1:25" ht="12.75">
      <c r="A916" s="532" t="s">
        <v>3142</v>
      </c>
      <c r="B916" s="532">
        <v>41100435</v>
      </c>
      <c r="C916" s="532" t="s">
        <v>3801</v>
      </c>
      <c r="D916" s="532" t="s">
        <v>1482</v>
      </c>
      <c r="E916" s="532" t="s">
        <v>1585</v>
      </c>
      <c r="F916" s="532" t="s">
        <v>2391</v>
      </c>
      <c r="G916" s="532" t="s">
        <v>1468</v>
      </c>
      <c r="H916" s="533"/>
      <c r="I916" s="535"/>
      <c r="J916" s="535"/>
      <c r="K916" s="535"/>
      <c r="L916" s="535"/>
      <c r="M916" s="535"/>
      <c r="N916" s="535"/>
      <c r="O916" s="535"/>
      <c r="P916" s="535"/>
      <c r="Q916" s="535"/>
      <c r="R916" s="535"/>
      <c r="S916" s="535"/>
      <c r="T916" s="535"/>
      <c r="U916" s="535"/>
      <c r="V916" s="535"/>
      <c r="W916" s="535"/>
      <c r="X916" s="535"/>
      <c r="Y916" s="536"/>
    </row>
    <row r="917" spans="1:25" ht="12.75">
      <c r="A917" s="532" t="s">
        <v>3153</v>
      </c>
      <c r="B917" s="532">
        <v>41200005</v>
      </c>
      <c r="C917" s="532" t="s">
        <v>1591</v>
      </c>
      <c r="D917" s="532" t="s">
        <v>1591</v>
      </c>
      <c r="E917" s="532" t="s">
        <v>1405</v>
      </c>
      <c r="F917" s="532" t="s">
        <v>2395</v>
      </c>
      <c r="G917" s="532" t="s">
        <v>1469</v>
      </c>
      <c r="H917" s="532" t="s">
        <v>2392</v>
      </c>
      <c r="I917" s="535"/>
      <c r="J917" s="535"/>
      <c r="K917" s="535"/>
      <c r="L917" s="535"/>
      <c r="M917" s="535"/>
      <c r="N917" s="535"/>
      <c r="O917" s="535"/>
      <c r="P917" s="535"/>
      <c r="Q917" s="535"/>
      <c r="R917" s="535"/>
      <c r="S917" s="535"/>
      <c r="T917" s="535"/>
      <c r="U917" s="535"/>
      <c r="V917" s="535"/>
      <c r="W917" s="535"/>
      <c r="X917" s="535"/>
      <c r="Y917" s="536"/>
    </row>
    <row r="918" spans="1:25" ht="12.75">
      <c r="A918" s="532" t="s">
        <v>3152</v>
      </c>
      <c r="B918" s="532">
        <v>41200005</v>
      </c>
      <c r="C918" s="532" t="s">
        <v>1591</v>
      </c>
      <c r="D918" s="532" t="s">
        <v>1591</v>
      </c>
      <c r="E918" s="532" t="s">
        <v>1405</v>
      </c>
      <c r="F918" s="532" t="s">
        <v>2395</v>
      </c>
      <c r="G918" s="532" t="s">
        <v>1469</v>
      </c>
      <c r="H918" s="532" t="s">
        <v>2392</v>
      </c>
      <c r="I918" s="535"/>
      <c r="J918" s="535"/>
      <c r="K918" s="535"/>
      <c r="L918" s="535"/>
      <c r="M918" s="535"/>
      <c r="N918" s="535"/>
      <c r="O918" s="535"/>
      <c r="P918" s="535"/>
      <c r="Q918" s="535"/>
      <c r="R918" s="535"/>
      <c r="S918" s="535"/>
      <c r="T918" s="535"/>
      <c r="U918" s="535"/>
      <c r="V918" s="535"/>
      <c r="W918" s="535"/>
      <c r="X918" s="535"/>
      <c r="Y918" s="536"/>
    </row>
    <row r="919" spans="1:25" ht="12.75">
      <c r="A919" s="532" t="s">
        <v>3151</v>
      </c>
      <c r="B919" s="532">
        <v>41200005</v>
      </c>
      <c r="C919" s="532" t="s">
        <v>1591</v>
      </c>
      <c r="D919" s="532" t="s">
        <v>1591</v>
      </c>
      <c r="E919" s="532" t="s">
        <v>1405</v>
      </c>
      <c r="F919" s="532" t="s">
        <v>2395</v>
      </c>
      <c r="G919" s="532" t="s">
        <v>1469</v>
      </c>
      <c r="H919" s="532" t="s">
        <v>2392</v>
      </c>
      <c r="I919" s="535"/>
      <c r="J919" s="535"/>
      <c r="K919" s="535"/>
      <c r="L919" s="535"/>
      <c r="M919" s="535"/>
      <c r="N919" s="535"/>
      <c r="O919" s="535"/>
      <c r="P919" s="535"/>
      <c r="Q919" s="535"/>
      <c r="R919" s="535"/>
      <c r="S919" s="535"/>
      <c r="T919" s="535"/>
      <c r="U919" s="535"/>
      <c r="V919" s="535"/>
      <c r="W919" s="535"/>
      <c r="X919" s="535"/>
      <c r="Y919" s="536"/>
    </row>
    <row r="920" spans="1:25" ht="12.75">
      <c r="A920" s="532" t="s">
        <v>3150</v>
      </c>
      <c r="B920" s="532">
        <v>41200005</v>
      </c>
      <c r="C920" s="532" t="s">
        <v>1591</v>
      </c>
      <c r="D920" s="532" t="s">
        <v>1591</v>
      </c>
      <c r="E920" s="532" t="s">
        <v>1405</v>
      </c>
      <c r="F920" s="532" t="s">
        <v>2395</v>
      </c>
      <c r="G920" s="532" t="s">
        <v>1469</v>
      </c>
      <c r="H920" s="532" t="s">
        <v>2392</v>
      </c>
      <c r="I920" s="535"/>
      <c r="J920" s="535"/>
      <c r="K920" s="535"/>
      <c r="L920" s="535"/>
      <c r="M920" s="535"/>
      <c r="N920" s="535"/>
      <c r="O920" s="535"/>
      <c r="P920" s="535"/>
      <c r="Q920" s="535"/>
      <c r="R920" s="535"/>
      <c r="S920" s="535"/>
      <c r="T920" s="535"/>
      <c r="U920" s="535"/>
      <c r="V920" s="535"/>
      <c r="W920" s="535"/>
      <c r="X920" s="535"/>
      <c r="Y920" s="536"/>
    </row>
    <row r="921" spans="1:25" ht="12.75">
      <c r="A921" s="532" t="s">
        <v>3191</v>
      </c>
      <c r="B921" s="532">
        <v>41200074</v>
      </c>
      <c r="C921" s="532" t="s">
        <v>1478</v>
      </c>
      <c r="D921" s="532" t="s">
        <v>6620</v>
      </c>
      <c r="E921" s="532" t="s">
        <v>1405</v>
      </c>
      <c r="F921" s="532" t="s">
        <v>2391</v>
      </c>
      <c r="G921" s="532" t="s">
        <v>2392</v>
      </c>
      <c r="H921" s="532" t="s">
        <v>2391</v>
      </c>
      <c r="I921" s="535"/>
      <c r="J921" s="535"/>
      <c r="K921" s="535"/>
      <c r="L921" s="535"/>
      <c r="M921" s="535"/>
      <c r="N921" s="535"/>
      <c r="O921" s="535"/>
      <c r="P921" s="535"/>
      <c r="Q921" s="535"/>
      <c r="R921" s="535"/>
      <c r="S921" s="535"/>
      <c r="T921" s="535"/>
      <c r="U921" s="535"/>
      <c r="V921" s="535"/>
      <c r="W921" s="535"/>
      <c r="X921" s="535"/>
      <c r="Y921" s="536"/>
    </row>
    <row r="922" spans="1:25" ht="12.75">
      <c r="A922" s="532" t="s">
        <v>3195</v>
      </c>
      <c r="B922" s="532">
        <v>41200074</v>
      </c>
      <c r="C922" s="532" t="s">
        <v>1478</v>
      </c>
      <c r="D922" s="532" t="s">
        <v>6620</v>
      </c>
      <c r="E922" s="532" t="s">
        <v>1405</v>
      </c>
      <c r="F922" s="532" t="s">
        <v>2391</v>
      </c>
      <c r="G922" s="532" t="s">
        <v>2392</v>
      </c>
      <c r="H922" s="532" t="s">
        <v>2391</v>
      </c>
      <c r="I922" s="535"/>
      <c r="J922" s="535"/>
      <c r="K922" s="535"/>
      <c r="L922" s="535"/>
      <c r="M922" s="535"/>
      <c r="N922" s="535"/>
      <c r="O922" s="535"/>
      <c r="P922" s="535"/>
      <c r="Q922" s="535"/>
      <c r="R922" s="535"/>
      <c r="S922" s="535"/>
      <c r="T922" s="535"/>
      <c r="U922" s="535"/>
      <c r="V922" s="535"/>
      <c r="W922" s="535"/>
      <c r="X922" s="535"/>
      <c r="Y922" s="536"/>
    </row>
    <row r="923" spans="1:25" ht="12.75">
      <c r="A923" s="532" t="s">
        <v>3182</v>
      </c>
      <c r="B923" s="532">
        <v>41200007</v>
      </c>
      <c r="C923" s="532" t="s">
        <v>1591</v>
      </c>
      <c r="D923" s="532" t="s">
        <v>6608</v>
      </c>
      <c r="E923" s="532" t="s">
        <v>1405</v>
      </c>
      <c r="F923" s="532" t="s">
        <v>2395</v>
      </c>
      <c r="G923" s="532" t="s">
        <v>1469</v>
      </c>
      <c r="H923" s="532" t="s">
        <v>2392</v>
      </c>
      <c r="I923" s="535"/>
      <c r="J923" s="535"/>
      <c r="K923" s="535"/>
      <c r="L923" s="535"/>
      <c r="M923" s="535"/>
      <c r="N923" s="535"/>
      <c r="O923" s="535"/>
      <c r="P923" s="535"/>
      <c r="Q923" s="535"/>
      <c r="R923" s="535"/>
      <c r="S923" s="535"/>
      <c r="T923" s="535"/>
      <c r="U923" s="535"/>
      <c r="V923" s="535"/>
      <c r="W923" s="535"/>
      <c r="X923" s="535"/>
      <c r="Y923" s="536"/>
    </row>
    <row r="924" spans="1:25" ht="12.75">
      <c r="A924" s="532" t="s">
        <v>3181</v>
      </c>
      <c r="B924" s="532">
        <v>41200007</v>
      </c>
      <c r="C924" s="532" t="s">
        <v>1591</v>
      </c>
      <c r="D924" s="532" t="s">
        <v>6608</v>
      </c>
      <c r="E924" s="532" t="s">
        <v>1405</v>
      </c>
      <c r="F924" s="532" t="s">
        <v>2395</v>
      </c>
      <c r="G924" s="532" t="s">
        <v>1469</v>
      </c>
      <c r="H924" s="532" t="s">
        <v>2392</v>
      </c>
      <c r="I924" s="535"/>
      <c r="J924" s="535"/>
      <c r="K924" s="535"/>
      <c r="L924" s="535"/>
      <c r="M924" s="535"/>
      <c r="N924" s="535"/>
      <c r="O924" s="535"/>
      <c r="P924" s="535"/>
      <c r="Q924" s="535"/>
      <c r="R924" s="535"/>
      <c r="S924" s="535"/>
      <c r="T924" s="535"/>
      <c r="U924" s="535"/>
      <c r="V924" s="535"/>
      <c r="W924" s="535"/>
      <c r="X924" s="535"/>
      <c r="Y924" s="536"/>
    </row>
    <row r="925" spans="1:25" ht="12.75">
      <c r="A925" s="532" t="s">
        <v>3163</v>
      </c>
      <c r="B925" s="532">
        <v>41100435</v>
      </c>
      <c r="C925" s="532" t="s">
        <v>3801</v>
      </c>
      <c r="D925" s="532" t="s">
        <v>1482</v>
      </c>
      <c r="E925" s="532" t="s">
        <v>1585</v>
      </c>
      <c r="F925" s="532" t="s">
        <v>2391</v>
      </c>
      <c r="G925" s="532" t="s">
        <v>2392</v>
      </c>
      <c r="H925" s="533"/>
      <c r="I925" s="535"/>
      <c r="J925" s="535"/>
      <c r="K925" s="535"/>
      <c r="L925" s="535"/>
      <c r="M925" s="535"/>
      <c r="N925" s="535"/>
      <c r="O925" s="535"/>
      <c r="P925" s="535"/>
      <c r="Q925" s="535"/>
      <c r="R925" s="535"/>
      <c r="S925" s="535"/>
      <c r="T925" s="535"/>
      <c r="U925" s="535"/>
      <c r="V925" s="535"/>
      <c r="W925" s="535"/>
      <c r="X925" s="535"/>
      <c r="Y925" s="536"/>
    </row>
    <row r="926" spans="1:25" ht="12.75">
      <c r="A926" s="532" t="s">
        <v>3137</v>
      </c>
      <c r="B926" s="532">
        <v>41200076</v>
      </c>
      <c r="C926" s="532" t="s">
        <v>1476</v>
      </c>
      <c r="D926" s="532" t="s">
        <v>1476</v>
      </c>
      <c r="E926" s="532" t="s">
        <v>1585</v>
      </c>
      <c r="F926" s="532" t="s">
        <v>2395</v>
      </c>
      <c r="G926" s="532" t="s">
        <v>1468</v>
      </c>
      <c r="H926" s="532" t="s">
        <v>2392</v>
      </c>
      <c r="I926" s="535"/>
      <c r="J926" s="535"/>
      <c r="K926" s="535"/>
      <c r="L926" s="535"/>
      <c r="M926" s="535"/>
      <c r="N926" s="535"/>
      <c r="O926" s="535"/>
      <c r="P926" s="535"/>
      <c r="Q926" s="535"/>
      <c r="R926" s="535"/>
      <c r="S926" s="535"/>
      <c r="T926" s="535"/>
      <c r="U926" s="535"/>
      <c r="V926" s="535"/>
      <c r="W926" s="535"/>
      <c r="X926" s="535"/>
      <c r="Y926" s="536"/>
    </row>
    <row r="927" spans="1:25" ht="12.75">
      <c r="A927" s="532" t="s">
        <v>3179</v>
      </c>
      <c r="B927" s="532">
        <v>41100665</v>
      </c>
      <c r="C927" s="532" t="s">
        <v>3180</v>
      </c>
      <c r="D927" s="532" t="s">
        <v>3180</v>
      </c>
      <c r="E927" s="532" t="s">
        <v>1416</v>
      </c>
      <c r="F927" s="532" t="s">
        <v>2395</v>
      </c>
      <c r="G927" s="532" t="s">
        <v>1469</v>
      </c>
      <c r="H927" s="533"/>
      <c r="I927" s="535"/>
      <c r="J927" s="535"/>
      <c r="K927" s="535"/>
      <c r="L927" s="535"/>
      <c r="M927" s="535"/>
      <c r="N927" s="535"/>
      <c r="O927" s="535"/>
      <c r="P927" s="535"/>
      <c r="Q927" s="535"/>
      <c r="R927" s="535"/>
      <c r="S927" s="535"/>
      <c r="T927" s="535"/>
      <c r="U927" s="535"/>
      <c r="V927" s="535"/>
      <c r="W927" s="535"/>
      <c r="X927" s="535"/>
      <c r="Y927" s="536"/>
    </row>
    <row r="928" spans="1:25" ht="12.75">
      <c r="A928" s="532" t="s">
        <v>3178</v>
      </c>
      <c r="B928" s="532">
        <v>41200007</v>
      </c>
      <c r="C928" s="532" t="s">
        <v>1591</v>
      </c>
      <c r="D928" s="532" t="s">
        <v>6608</v>
      </c>
      <c r="E928" s="532" t="s">
        <v>1405</v>
      </c>
      <c r="F928" s="532" t="s">
        <v>2391</v>
      </c>
      <c r="G928" s="532" t="s">
        <v>2392</v>
      </c>
      <c r="H928" s="532" t="s">
        <v>2391</v>
      </c>
      <c r="I928" s="535"/>
      <c r="J928" s="535"/>
      <c r="K928" s="535"/>
      <c r="L928" s="535"/>
      <c r="M928" s="535"/>
      <c r="N928" s="535"/>
      <c r="O928" s="535"/>
      <c r="P928" s="535"/>
      <c r="Q928" s="535"/>
      <c r="R928" s="535"/>
      <c r="S928" s="535"/>
      <c r="T928" s="535"/>
      <c r="U928" s="535"/>
      <c r="V928" s="535"/>
      <c r="W928" s="535"/>
      <c r="X928" s="535"/>
      <c r="Y928" s="536"/>
    </row>
    <row r="929" spans="1:25" ht="12.75">
      <c r="A929" s="532" t="s">
        <v>3177</v>
      </c>
      <c r="B929" s="532">
        <v>41200007</v>
      </c>
      <c r="C929" s="532" t="s">
        <v>1591</v>
      </c>
      <c r="D929" s="532" t="s">
        <v>6608</v>
      </c>
      <c r="E929" s="532" t="s">
        <v>1405</v>
      </c>
      <c r="F929" s="532" t="s">
        <v>2391</v>
      </c>
      <c r="G929" s="532" t="s">
        <v>2392</v>
      </c>
      <c r="H929" s="532" t="s">
        <v>2391</v>
      </c>
      <c r="I929" s="535"/>
      <c r="J929" s="535"/>
      <c r="K929" s="535"/>
      <c r="L929" s="535"/>
      <c r="M929" s="535"/>
      <c r="N929" s="535"/>
      <c r="O929" s="535"/>
      <c r="P929" s="535"/>
      <c r="Q929" s="535"/>
      <c r="R929" s="535"/>
      <c r="S929" s="535"/>
      <c r="T929" s="535"/>
      <c r="U929" s="535"/>
      <c r="V929" s="535"/>
      <c r="W929" s="535"/>
      <c r="X929" s="535"/>
      <c r="Y929" s="536"/>
    </row>
    <row r="930" spans="1:25" ht="12.75">
      <c r="A930" s="532" t="s">
        <v>3176</v>
      </c>
      <c r="B930" s="532">
        <v>41200007</v>
      </c>
      <c r="C930" s="532" t="s">
        <v>1591</v>
      </c>
      <c r="D930" s="532" t="s">
        <v>6608</v>
      </c>
      <c r="E930" s="532" t="s">
        <v>1405</v>
      </c>
      <c r="F930" s="532" t="s">
        <v>2391</v>
      </c>
      <c r="G930" s="532" t="s">
        <v>2392</v>
      </c>
      <c r="H930" s="532" t="s">
        <v>2391</v>
      </c>
      <c r="I930" s="535"/>
      <c r="J930" s="535"/>
      <c r="K930" s="535"/>
      <c r="L930" s="535"/>
      <c r="M930" s="535"/>
      <c r="N930" s="535"/>
      <c r="O930" s="535"/>
      <c r="P930" s="535"/>
      <c r="Q930" s="535"/>
      <c r="R930" s="535"/>
      <c r="S930" s="535"/>
      <c r="T930" s="535"/>
      <c r="U930" s="535"/>
      <c r="V930" s="535"/>
      <c r="W930" s="535"/>
      <c r="X930" s="535"/>
      <c r="Y930" s="536"/>
    </row>
    <row r="931" spans="1:25" ht="12.75">
      <c r="A931" s="532" t="s">
        <v>3214</v>
      </c>
      <c r="B931" s="532">
        <v>41200007</v>
      </c>
      <c r="C931" s="532" t="s">
        <v>1591</v>
      </c>
      <c r="D931" s="532" t="s">
        <v>6608</v>
      </c>
      <c r="E931" s="532" t="s">
        <v>1405</v>
      </c>
      <c r="F931" s="532" t="s">
        <v>2391</v>
      </c>
      <c r="G931" s="532" t="s">
        <v>2392</v>
      </c>
      <c r="H931" s="532" t="s">
        <v>2391</v>
      </c>
      <c r="I931" s="535"/>
      <c r="J931" s="535"/>
      <c r="K931" s="535"/>
      <c r="L931" s="535"/>
      <c r="M931" s="535"/>
      <c r="N931" s="535"/>
      <c r="O931" s="535"/>
      <c r="P931" s="535"/>
      <c r="Q931" s="535"/>
      <c r="R931" s="535"/>
      <c r="S931" s="535"/>
      <c r="T931" s="535"/>
      <c r="U931" s="535"/>
      <c r="V931" s="535"/>
      <c r="W931" s="535"/>
      <c r="X931" s="535"/>
      <c r="Y931" s="536"/>
    </row>
    <row r="932" spans="1:25" ht="12.75">
      <c r="A932" s="532" t="s">
        <v>3213</v>
      </c>
      <c r="B932" s="532">
        <v>41200007</v>
      </c>
      <c r="C932" s="532" t="s">
        <v>1591</v>
      </c>
      <c r="D932" s="532" t="s">
        <v>6608</v>
      </c>
      <c r="E932" s="532" t="s">
        <v>1405</v>
      </c>
      <c r="F932" s="532" t="s">
        <v>2391</v>
      </c>
      <c r="G932" s="532" t="s">
        <v>2392</v>
      </c>
      <c r="H932" s="532" t="s">
        <v>2391</v>
      </c>
      <c r="I932" s="535"/>
      <c r="J932" s="535"/>
      <c r="K932" s="535"/>
      <c r="L932" s="535"/>
      <c r="M932" s="535"/>
      <c r="N932" s="535"/>
      <c r="O932" s="535"/>
      <c r="P932" s="535"/>
      <c r="Q932" s="535"/>
      <c r="R932" s="535"/>
      <c r="S932" s="535"/>
      <c r="T932" s="535"/>
      <c r="U932" s="535"/>
      <c r="V932" s="535"/>
      <c r="W932" s="535"/>
      <c r="X932" s="535"/>
      <c r="Y932" s="536"/>
    </row>
    <row r="933" spans="1:25" ht="12.75">
      <c r="A933" s="532" t="s">
        <v>3187</v>
      </c>
      <c r="B933" s="532">
        <v>41200007</v>
      </c>
      <c r="C933" s="532" t="s">
        <v>1591</v>
      </c>
      <c r="D933" s="532" t="s">
        <v>6608</v>
      </c>
      <c r="E933" s="532" t="s">
        <v>1405</v>
      </c>
      <c r="F933" s="532" t="s">
        <v>2391</v>
      </c>
      <c r="G933" s="532" t="s">
        <v>2392</v>
      </c>
      <c r="H933" s="532" t="s">
        <v>2391</v>
      </c>
      <c r="I933" s="535"/>
      <c r="J933" s="535"/>
      <c r="K933" s="535"/>
      <c r="L933" s="535"/>
      <c r="M933" s="535"/>
      <c r="N933" s="535"/>
      <c r="O933" s="535"/>
      <c r="P933" s="535"/>
      <c r="Q933" s="535"/>
      <c r="R933" s="535"/>
      <c r="S933" s="535"/>
      <c r="T933" s="535"/>
      <c r="U933" s="535"/>
      <c r="V933" s="535"/>
      <c r="W933" s="535"/>
      <c r="X933" s="535"/>
      <c r="Y933" s="536"/>
    </row>
    <row r="934" spans="1:25" ht="12.75">
      <c r="A934" s="532" t="s">
        <v>3186</v>
      </c>
      <c r="B934" s="532">
        <v>41200007</v>
      </c>
      <c r="C934" s="532" t="s">
        <v>1591</v>
      </c>
      <c r="D934" s="532" t="s">
        <v>6608</v>
      </c>
      <c r="E934" s="532" t="s">
        <v>1405</v>
      </c>
      <c r="F934" s="532" t="s">
        <v>2391</v>
      </c>
      <c r="G934" s="532" t="s">
        <v>2392</v>
      </c>
      <c r="H934" s="532" t="s">
        <v>2391</v>
      </c>
      <c r="I934" s="535"/>
      <c r="J934" s="535"/>
      <c r="K934" s="535"/>
      <c r="L934" s="535"/>
      <c r="M934" s="535"/>
      <c r="N934" s="535"/>
      <c r="O934" s="535"/>
      <c r="P934" s="535"/>
      <c r="Q934" s="535"/>
      <c r="R934" s="535"/>
      <c r="S934" s="535"/>
      <c r="T934" s="535"/>
      <c r="U934" s="535"/>
      <c r="V934" s="535"/>
      <c r="W934" s="535"/>
      <c r="X934" s="535"/>
      <c r="Y934" s="536"/>
    </row>
    <row r="935" spans="1:25" ht="12.75">
      <c r="A935" s="532" t="s">
        <v>3197</v>
      </c>
      <c r="B935" s="532">
        <v>41200007</v>
      </c>
      <c r="C935" s="532" t="s">
        <v>1591</v>
      </c>
      <c r="D935" s="532" t="s">
        <v>6608</v>
      </c>
      <c r="E935" s="532" t="s">
        <v>1405</v>
      </c>
      <c r="F935" s="532" t="s">
        <v>2395</v>
      </c>
      <c r="G935" s="532" t="s">
        <v>1469</v>
      </c>
      <c r="H935" s="532" t="s">
        <v>2392</v>
      </c>
      <c r="I935" s="535"/>
      <c r="J935" s="535"/>
      <c r="K935" s="535"/>
      <c r="L935" s="535"/>
      <c r="M935" s="535"/>
      <c r="N935" s="535"/>
      <c r="O935" s="535"/>
      <c r="P935" s="535"/>
      <c r="Q935" s="535"/>
      <c r="R935" s="535"/>
      <c r="S935" s="535"/>
      <c r="T935" s="535"/>
      <c r="U935" s="535"/>
      <c r="V935" s="535"/>
      <c r="W935" s="535"/>
      <c r="X935" s="535"/>
      <c r="Y935" s="536"/>
    </row>
    <row r="936" spans="1:25" ht="12.75">
      <c r="A936" s="532" t="s">
        <v>3196</v>
      </c>
      <c r="B936" s="532">
        <v>41200007</v>
      </c>
      <c r="C936" s="532" t="s">
        <v>1591</v>
      </c>
      <c r="D936" s="532" t="s">
        <v>6608</v>
      </c>
      <c r="E936" s="532" t="s">
        <v>1405</v>
      </c>
      <c r="F936" s="532" t="s">
        <v>2395</v>
      </c>
      <c r="G936" s="532" t="s">
        <v>1469</v>
      </c>
      <c r="H936" s="532" t="s">
        <v>2392</v>
      </c>
      <c r="I936" s="535"/>
      <c r="J936" s="535"/>
      <c r="K936" s="535"/>
      <c r="L936" s="535"/>
      <c r="M936" s="535"/>
      <c r="N936" s="535"/>
      <c r="O936" s="535"/>
      <c r="P936" s="535"/>
      <c r="Q936" s="535"/>
      <c r="R936" s="535"/>
      <c r="S936" s="535"/>
      <c r="T936" s="535"/>
      <c r="U936" s="535"/>
      <c r="V936" s="535"/>
      <c r="W936" s="535"/>
      <c r="X936" s="535"/>
      <c r="Y936" s="536"/>
    </row>
    <row r="937" spans="1:25" ht="12.75">
      <c r="A937" s="532" t="s">
        <v>3168</v>
      </c>
      <c r="B937" s="532">
        <v>41200122</v>
      </c>
      <c r="C937" s="532" t="s">
        <v>1476</v>
      </c>
      <c r="D937" s="532" t="s">
        <v>1476</v>
      </c>
      <c r="E937" s="532" t="s">
        <v>1585</v>
      </c>
      <c r="F937" s="532" t="s">
        <v>2395</v>
      </c>
      <c r="G937" s="532" t="s">
        <v>1469</v>
      </c>
      <c r="H937" s="532" t="s">
        <v>2392</v>
      </c>
      <c r="I937" s="535"/>
      <c r="J937" s="535"/>
      <c r="K937" s="535"/>
      <c r="L937" s="535"/>
      <c r="M937" s="535"/>
      <c r="N937" s="535"/>
      <c r="O937" s="535"/>
      <c r="P937" s="535"/>
      <c r="Q937" s="535"/>
      <c r="R937" s="535"/>
      <c r="S937" s="535"/>
      <c r="T937" s="535"/>
      <c r="U937" s="535"/>
      <c r="V937" s="535"/>
      <c r="W937" s="535"/>
      <c r="X937" s="535"/>
      <c r="Y937" s="536"/>
    </row>
    <row r="938" spans="1:25" ht="12.75">
      <c r="A938" s="532" t="s">
        <v>5328</v>
      </c>
      <c r="B938" s="532">
        <v>41200179</v>
      </c>
      <c r="C938" s="532" t="s">
        <v>1478</v>
      </c>
      <c r="D938" s="532" t="s">
        <v>6621</v>
      </c>
      <c r="E938" s="532" t="s">
        <v>1426</v>
      </c>
      <c r="F938" s="532" t="s">
        <v>2395</v>
      </c>
      <c r="G938" s="532" t="s">
        <v>2392</v>
      </c>
      <c r="H938" s="532" t="s">
        <v>2392</v>
      </c>
      <c r="I938" s="535"/>
      <c r="J938" s="535"/>
      <c r="K938" s="535"/>
      <c r="L938" s="535"/>
      <c r="M938" s="535"/>
      <c r="N938" s="535"/>
      <c r="O938" s="535"/>
      <c r="P938" s="535"/>
      <c r="Q938" s="535"/>
      <c r="R938" s="535"/>
      <c r="S938" s="535"/>
      <c r="T938" s="535"/>
      <c r="U938" s="535"/>
      <c r="V938" s="535"/>
      <c r="W938" s="535"/>
      <c r="X938" s="535"/>
      <c r="Y938" s="536"/>
    </row>
    <row r="939" spans="1:25" ht="12.75">
      <c r="A939" s="532" t="s">
        <v>3149</v>
      </c>
      <c r="B939" s="532">
        <v>41200109</v>
      </c>
      <c r="C939" s="532" t="s">
        <v>1591</v>
      </c>
      <c r="D939" s="532" t="s">
        <v>6619</v>
      </c>
      <c r="E939" s="532" t="s">
        <v>1585</v>
      </c>
      <c r="F939" s="532" t="s">
        <v>2391</v>
      </c>
      <c r="G939" s="532" t="s">
        <v>2392</v>
      </c>
      <c r="H939" s="532" t="s">
        <v>2391</v>
      </c>
      <c r="I939" s="535"/>
      <c r="J939" s="535"/>
      <c r="K939" s="535"/>
      <c r="L939" s="535"/>
      <c r="M939" s="535"/>
      <c r="N939" s="535"/>
      <c r="O939" s="535"/>
      <c r="P939" s="535"/>
      <c r="Q939" s="535"/>
      <c r="R939" s="535"/>
      <c r="S939" s="535"/>
      <c r="T939" s="535"/>
      <c r="U939" s="535"/>
      <c r="V939" s="535"/>
      <c r="W939" s="535"/>
      <c r="X939" s="535"/>
      <c r="Y939" s="536"/>
    </row>
    <row r="940" spans="1:25" ht="12.75">
      <c r="A940" s="532" t="s">
        <v>3148</v>
      </c>
      <c r="B940" s="532">
        <v>41200109</v>
      </c>
      <c r="C940" s="532" t="s">
        <v>1591</v>
      </c>
      <c r="D940" s="532" t="s">
        <v>6619</v>
      </c>
      <c r="E940" s="532" t="s">
        <v>1585</v>
      </c>
      <c r="F940" s="532" t="s">
        <v>2391</v>
      </c>
      <c r="G940" s="532" t="s">
        <v>2392</v>
      </c>
      <c r="H940" s="532" t="s">
        <v>2391</v>
      </c>
      <c r="I940" s="535"/>
      <c r="J940" s="535"/>
      <c r="K940" s="535"/>
      <c r="L940" s="535"/>
      <c r="M940" s="535"/>
      <c r="N940" s="535"/>
      <c r="O940" s="535"/>
      <c r="P940" s="535"/>
      <c r="Q940" s="535"/>
      <c r="R940" s="535"/>
      <c r="S940" s="535"/>
      <c r="T940" s="535"/>
      <c r="U940" s="535"/>
      <c r="V940" s="535"/>
      <c r="W940" s="535"/>
      <c r="X940" s="535"/>
      <c r="Y940" s="536"/>
    </row>
    <row r="941" spans="1:25" ht="12.75">
      <c r="A941" s="532" t="s">
        <v>3183</v>
      </c>
      <c r="B941" s="532">
        <v>41200125</v>
      </c>
      <c r="C941" s="532" t="s">
        <v>1476</v>
      </c>
      <c r="D941" s="532" t="s">
        <v>1476</v>
      </c>
      <c r="E941" s="532" t="s">
        <v>1585</v>
      </c>
      <c r="F941" s="532" t="s">
        <v>2395</v>
      </c>
      <c r="G941" s="532" t="s">
        <v>2392</v>
      </c>
      <c r="H941" s="532" t="s">
        <v>2392</v>
      </c>
      <c r="I941" s="535"/>
      <c r="J941" s="535"/>
      <c r="K941" s="535"/>
      <c r="L941" s="535"/>
      <c r="M941" s="535"/>
      <c r="N941" s="535"/>
      <c r="O941" s="535"/>
      <c r="P941" s="535"/>
      <c r="Q941" s="535"/>
      <c r="R941" s="535"/>
      <c r="S941" s="535"/>
      <c r="T941" s="535"/>
      <c r="U941" s="535"/>
      <c r="V941" s="535"/>
      <c r="W941" s="535"/>
      <c r="X941" s="535"/>
      <c r="Y941" s="536"/>
    </row>
    <row r="942" spans="1:25" ht="12.75">
      <c r="A942" s="532" t="s">
        <v>3144</v>
      </c>
      <c r="B942" s="532">
        <v>41000556</v>
      </c>
      <c r="C942" s="532" t="s">
        <v>1476</v>
      </c>
      <c r="D942" s="532" t="s">
        <v>1476</v>
      </c>
      <c r="E942" s="532" t="s">
        <v>1585</v>
      </c>
      <c r="F942" s="532" t="s">
        <v>2395</v>
      </c>
      <c r="G942" s="532" t="s">
        <v>1469</v>
      </c>
      <c r="H942" s="532" t="s">
        <v>2392</v>
      </c>
      <c r="I942" s="535"/>
      <c r="J942" s="535"/>
      <c r="K942" s="535"/>
      <c r="L942" s="535"/>
      <c r="M942" s="535"/>
      <c r="N942" s="535"/>
      <c r="O942" s="535"/>
      <c r="P942" s="535"/>
      <c r="Q942" s="535"/>
      <c r="R942" s="535"/>
      <c r="S942" s="535"/>
      <c r="T942" s="535"/>
      <c r="U942" s="535"/>
      <c r="V942" s="535"/>
      <c r="W942" s="535"/>
      <c r="X942" s="535"/>
      <c r="Y942" s="536"/>
    </row>
    <row r="943" spans="1:25" ht="12.75">
      <c r="A943" s="532" t="s">
        <v>3145</v>
      </c>
      <c r="B943" s="532">
        <v>41200007</v>
      </c>
      <c r="C943" s="532" t="s">
        <v>1591</v>
      </c>
      <c r="D943" s="532" t="s">
        <v>6608</v>
      </c>
      <c r="E943" s="532" t="s">
        <v>1405</v>
      </c>
      <c r="F943" s="532" t="s">
        <v>2395</v>
      </c>
      <c r="G943" s="532" t="s">
        <v>1469</v>
      </c>
      <c r="H943" s="532" t="s">
        <v>2392</v>
      </c>
      <c r="I943" s="535"/>
      <c r="J943" s="535"/>
      <c r="K943" s="535"/>
      <c r="L943" s="535"/>
      <c r="M943" s="535"/>
      <c r="N943" s="535"/>
      <c r="O943" s="535"/>
      <c r="P943" s="535"/>
      <c r="Q943" s="535"/>
      <c r="R943" s="535"/>
      <c r="S943" s="535"/>
      <c r="T943" s="535"/>
      <c r="U943" s="535"/>
      <c r="V943" s="535"/>
      <c r="W943" s="535"/>
      <c r="X943" s="535"/>
      <c r="Y943" s="536"/>
    </row>
    <row r="944" spans="1:25" ht="12.75">
      <c r="A944" s="532" t="s">
        <v>3134</v>
      </c>
      <c r="B944" s="532">
        <v>41200007</v>
      </c>
      <c r="C944" s="532" t="s">
        <v>1591</v>
      </c>
      <c r="D944" s="532" t="s">
        <v>6608</v>
      </c>
      <c r="E944" s="532" t="s">
        <v>1405</v>
      </c>
      <c r="F944" s="532" t="s">
        <v>2395</v>
      </c>
      <c r="G944" s="532" t="s">
        <v>1469</v>
      </c>
      <c r="H944" s="532" t="s">
        <v>2392</v>
      </c>
      <c r="I944" s="535"/>
      <c r="J944" s="535"/>
      <c r="K944" s="535"/>
      <c r="L944" s="535"/>
      <c r="M944" s="535"/>
      <c r="N944" s="535"/>
      <c r="O944" s="535"/>
      <c r="P944" s="535"/>
      <c r="Q944" s="535"/>
      <c r="R944" s="535"/>
      <c r="S944" s="535"/>
      <c r="T944" s="535"/>
      <c r="U944" s="535"/>
      <c r="V944" s="535"/>
      <c r="W944" s="535"/>
      <c r="X944" s="535"/>
      <c r="Y944" s="536"/>
    </row>
    <row r="945" spans="1:25" ht="12.75">
      <c r="A945" s="532" t="s">
        <v>6622</v>
      </c>
      <c r="B945" s="532" t="s">
        <v>6592</v>
      </c>
      <c r="C945" s="532" t="s">
        <v>6593</v>
      </c>
      <c r="D945" s="533"/>
      <c r="E945" s="532" t="s">
        <v>1405</v>
      </c>
      <c r="F945" s="532" t="s">
        <v>2392</v>
      </c>
      <c r="G945" s="532" t="s">
        <v>2392</v>
      </c>
      <c r="H945" s="532" t="s">
        <v>2392</v>
      </c>
      <c r="I945" s="535"/>
      <c r="J945" s="535"/>
      <c r="K945" s="535"/>
      <c r="L945" s="535"/>
      <c r="M945" s="535"/>
      <c r="N945" s="535"/>
      <c r="O945" s="535"/>
      <c r="P945" s="535"/>
      <c r="Q945" s="535"/>
      <c r="R945" s="535"/>
      <c r="S945" s="535"/>
      <c r="T945" s="535"/>
      <c r="U945" s="535"/>
      <c r="V945" s="535"/>
      <c r="W945" s="535"/>
      <c r="X945" s="535"/>
      <c r="Y945" s="536"/>
    </row>
    <row r="946" spans="1:25" ht="12.75">
      <c r="A946" s="532" t="s">
        <v>6623</v>
      </c>
      <c r="B946" s="532" t="s">
        <v>6592</v>
      </c>
      <c r="C946" s="532" t="s">
        <v>6593</v>
      </c>
      <c r="D946" s="533"/>
      <c r="E946" s="532" t="s">
        <v>1405</v>
      </c>
      <c r="F946" s="532" t="s">
        <v>2392</v>
      </c>
      <c r="G946" s="532" t="s">
        <v>2392</v>
      </c>
      <c r="H946" s="532" t="s">
        <v>2392</v>
      </c>
      <c r="I946" s="535"/>
      <c r="J946" s="535"/>
      <c r="K946" s="535"/>
      <c r="L946" s="535"/>
      <c r="M946" s="535"/>
      <c r="N946" s="535"/>
      <c r="O946" s="535"/>
      <c r="P946" s="535"/>
      <c r="Q946" s="535"/>
      <c r="R946" s="535"/>
      <c r="S946" s="535"/>
      <c r="T946" s="535"/>
      <c r="U946" s="535"/>
      <c r="V946" s="535"/>
      <c r="W946" s="535"/>
      <c r="X946" s="535"/>
      <c r="Y946" s="536"/>
    </row>
    <row r="947" spans="1:25" ht="12.75">
      <c r="A947" s="532" t="s">
        <v>6624</v>
      </c>
      <c r="B947" s="532" t="s">
        <v>6592</v>
      </c>
      <c r="C947" s="532" t="s">
        <v>6593</v>
      </c>
      <c r="D947" s="533"/>
      <c r="E947" s="532" t="s">
        <v>1405</v>
      </c>
      <c r="F947" s="532" t="s">
        <v>2392</v>
      </c>
      <c r="G947" s="532" t="s">
        <v>2392</v>
      </c>
      <c r="H947" s="532" t="s">
        <v>2392</v>
      </c>
      <c r="I947" s="535"/>
      <c r="J947" s="535"/>
      <c r="K947" s="535"/>
      <c r="L947" s="535"/>
      <c r="M947" s="535"/>
      <c r="N947" s="535"/>
      <c r="O947" s="535"/>
      <c r="P947" s="535"/>
      <c r="Q947" s="535"/>
      <c r="R947" s="535"/>
      <c r="S947" s="535"/>
      <c r="T947" s="535"/>
      <c r="U947" s="535"/>
      <c r="V947" s="535"/>
      <c r="W947" s="535"/>
      <c r="X947" s="535"/>
      <c r="Y947" s="536"/>
    </row>
    <row r="948" spans="1:25" ht="12.75">
      <c r="A948" s="532" t="s">
        <v>6625</v>
      </c>
      <c r="B948" s="532" t="s">
        <v>6592</v>
      </c>
      <c r="C948" s="532" t="s">
        <v>6593</v>
      </c>
      <c r="D948" s="533"/>
      <c r="E948" s="532" t="s">
        <v>1405</v>
      </c>
      <c r="F948" s="532" t="s">
        <v>2392</v>
      </c>
      <c r="G948" s="532" t="s">
        <v>6817</v>
      </c>
      <c r="H948" s="533"/>
      <c r="I948" s="535"/>
      <c r="J948" s="535"/>
      <c r="K948" s="535"/>
      <c r="L948" s="535"/>
      <c r="M948" s="535"/>
      <c r="N948" s="535"/>
      <c r="O948" s="535"/>
      <c r="P948" s="535"/>
      <c r="Q948" s="535"/>
      <c r="R948" s="535"/>
      <c r="S948" s="535"/>
      <c r="T948" s="535"/>
      <c r="U948" s="535"/>
      <c r="V948" s="535"/>
      <c r="W948" s="535"/>
      <c r="X948" s="535"/>
      <c r="Y948" s="536"/>
    </row>
    <row r="949" spans="1:25" ht="12.75">
      <c r="A949" s="532" t="s">
        <v>6626</v>
      </c>
      <c r="B949" s="532" t="s">
        <v>6592</v>
      </c>
      <c r="C949" s="532" t="s">
        <v>6593</v>
      </c>
      <c r="D949" s="533"/>
      <c r="E949" s="532" t="s">
        <v>1405</v>
      </c>
      <c r="F949" s="532" t="s">
        <v>2392</v>
      </c>
      <c r="G949" s="532" t="s">
        <v>6817</v>
      </c>
      <c r="H949" s="533"/>
      <c r="I949" s="535"/>
      <c r="J949" s="535"/>
      <c r="K949" s="535"/>
      <c r="L949" s="535"/>
      <c r="M949" s="535"/>
      <c r="N949" s="535"/>
      <c r="O949" s="535"/>
      <c r="P949" s="535"/>
      <c r="Q949" s="535"/>
      <c r="R949" s="535"/>
      <c r="S949" s="535"/>
      <c r="T949" s="535"/>
      <c r="U949" s="535"/>
      <c r="V949" s="535"/>
      <c r="W949" s="535"/>
      <c r="X949" s="535"/>
      <c r="Y949" s="536"/>
    </row>
    <row r="950" spans="1:25" ht="12.75">
      <c r="A950" s="532" t="s">
        <v>6627</v>
      </c>
      <c r="B950" s="532" t="s">
        <v>6592</v>
      </c>
      <c r="C950" s="532" t="s">
        <v>6593</v>
      </c>
      <c r="D950" s="533"/>
      <c r="E950" s="532" t="s">
        <v>1405</v>
      </c>
      <c r="F950" s="532" t="s">
        <v>2392</v>
      </c>
      <c r="G950" s="532" t="s">
        <v>6817</v>
      </c>
      <c r="H950" s="533"/>
      <c r="I950" s="535"/>
      <c r="J950" s="535"/>
      <c r="K950" s="535"/>
      <c r="L950" s="535"/>
      <c r="M950" s="535"/>
      <c r="N950" s="535"/>
      <c r="O950" s="535"/>
      <c r="P950" s="535"/>
      <c r="Q950" s="535"/>
      <c r="R950" s="535"/>
      <c r="S950" s="535"/>
      <c r="T950" s="535"/>
      <c r="U950" s="535"/>
      <c r="V950" s="535"/>
      <c r="W950" s="535"/>
      <c r="X950" s="535"/>
      <c r="Y950" s="536"/>
    </row>
    <row r="951" spans="1:25" ht="12.75">
      <c r="A951" s="532" t="s">
        <v>6628</v>
      </c>
      <c r="B951" s="532" t="s">
        <v>6592</v>
      </c>
      <c r="C951" s="532" t="s">
        <v>6593</v>
      </c>
      <c r="D951" s="533"/>
      <c r="E951" s="532" t="s">
        <v>1405</v>
      </c>
      <c r="F951" s="532" t="s">
        <v>2392</v>
      </c>
      <c r="G951" s="532" t="s">
        <v>6817</v>
      </c>
      <c r="H951" s="533"/>
      <c r="I951" s="535"/>
      <c r="J951" s="535"/>
      <c r="K951" s="535"/>
      <c r="L951" s="535"/>
      <c r="M951" s="535"/>
      <c r="N951" s="535"/>
      <c r="O951" s="535"/>
      <c r="P951" s="535"/>
      <c r="Q951" s="535"/>
      <c r="R951" s="535"/>
      <c r="S951" s="535"/>
      <c r="T951" s="535"/>
      <c r="U951" s="535"/>
      <c r="V951" s="535"/>
      <c r="W951" s="535"/>
      <c r="X951" s="535"/>
      <c r="Y951" s="536"/>
    </row>
    <row r="952" spans="1:25" ht="12.75">
      <c r="A952" s="532" t="s">
        <v>6630</v>
      </c>
      <c r="B952" s="532" t="s">
        <v>6592</v>
      </c>
      <c r="C952" s="532" t="s">
        <v>6593</v>
      </c>
      <c r="D952" s="533"/>
      <c r="E952" s="532" t="s">
        <v>1405</v>
      </c>
      <c r="F952" s="532" t="s">
        <v>2392</v>
      </c>
      <c r="G952" s="532" t="s">
        <v>6817</v>
      </c>
      <c r="H952" s="533"/>
      <c r="I952" s="535"/>
      <c r="J952" s="535"/>
      <c r="K952" s="535"/>
      <c r="L952" s="535"/>
      <c r="M952" s="535"/>
      <c r="N952" s="535"/>
      <c r="O952" s="535"/>
      <c r="P952" s="535"/>
      <c r="Q952" s="535"/>
      <c r="R952" s="535"/>
      <c r="S952" s="535"/>
      <c r="T952" s="535"/>
      <c r="U952" s="535"/>
      <c r="V952" s="535"/>
      <c r="W952" s="535"/>
      <c r="X952" s="535"/>
      <c r="Y952" s="536"/>
    </row>
    <row r="953" spans="1:25" ht="12.75">
      <c r="A953" s="532" t="s">
        <v>6631</v>
      </c>
      <c r="B953" s="532" t="s">
        <v>6592</v>
      </c>
      <c r="C953" s="532" t="s">
        <v>6593</v>
      </c>
      <c r="D953" s="533"/>
      <c r="E953" s="532" t="s">
        <v>1405</v>
      </c>
      <c r="F953" s="532" t="s">
        <v>2392</v>
      </c>
      <c r="G953" s="532" t="s">
        <v>6817</v>
      </c>
      <c r="H953" s="533"/>
      <c r="I953" s="535"/>
      <c r="J953" s="535"/>
      <c r="K953" s="535"/>
      <c r="L953" s="535"/>
      <c r="M953" s="535"/>
      <c r="N953" s="535"/>
      <c r="O953" s="535"/>
      <c r="P953" s="535"/>
      <c r="Q953" s="535"/>
      <c r="R953" s="535"/>
      <c r="S953" s="535"/>
      <c r="T953" s="535"/>
      <c r="U953" s="535"/>
      <c r="V953" s="535"/>
      <c r="W953" s="535"/>
      <c r="X953" s="535"/>
      <c r="Y953" s="536"/>
    </row>
    <row r="954" spans="1:25" ht="12.75">
      <c r="A954" s="532" t="s">
        <v>6818</v>
      </c>
      <c r="B954" s="532">
        <v>42000357</v>
      </c>
      <c r="C954" s="532" t="s">
        <v>6819</v>
      </c>
      <c r="D954" s="532" t="s">
        <v>6820</v>
      </c>
      <c r="E954" s="532" t="s">
        <v>1403</v>
      </c>
      <c r="F954" s="532" t="s">
        <v>6684</v>
      </c>
      <c r="G954" s="532" t="s">
        <v>1468</v>
      </c>
      <c r="H954" s="533"/>
      <c r="I954" s="535"/>
      <c r="J954" s="535"/>
      <c r="K954" s="535"/>
      <c r="L954" s="535"/>
      <c r="M954" s="535"/>
      <c r="N954" s="535"/>
      <c r="O954" s="535"/>
      <c r="P954" s="535"/>
      <c r="Q954" s="535"/>
      <c r="R954" s="535"/>
      <c r="S954" s="535"/>
      <c r="T954" s="535"/>
      <c r="U954" s="535"/>
      <c r="V954" s="535"/>
      <c r="W954" s="535"/>
      <c r="X954" s="535"/>
      <c r="Y954" s="536"/>
    </row>
    <row r="955" spans="1:25" ht="12.75">
      <c r="A955" s="532" t="s">
        <v>6821</v>
      </c>
      <c r="B955" s="532">
        <v>42100263</v>
      </c>
      <c r="C955" s="532" t="s">
        <v>6816</v>
      </c>
      <c r="D955" s="532" t="s">
        <v>6816</v>
      </c>
      <c r="E955" s="532" t="s">
        <v>1405</v>
      </c>
      <c r="F955" s="532" t="s">
        <v>6680</v>
      </c>
      <c r="G955" s="532" t="s">
        <v>6680</v>
      </c>
      <c r="H955" s="533"/>
      <c r="I955" s="535"/>
      <c r="J955" s="535"/>
      <c r="K955" s="535"/>
      <c r="L955" s="535"/>
      <c r="M955" s="535"/>
      <c r="N955" s="535"/>
      <c r="O955" s="535"/>
      <c r="P955" s="535"/>
      <c r="Q955" s="535"/>
      <c r="R955" s="535"/>
      <c r="S955" s="535"/>
      <c r="T955" s="535"/>
      <c r="U955" s="535"/>
      <c r="V955" s="535"/>
      <c r="W955" s="535"/>
      <c r="X955" s="535"/>
      <c r="Y955" s="536"/>
    </row>
    <row r="956" spans="1:25" ht="12.75">
      <c r="A956" s="532" t="s">
        <v>5262</v>
      </c>
      <c r="B956" s="532" t="s">
        <v>6632</v>
      </c>
      <c r="C956" s="533"/>
      <c r="D956" s="533"/>
      <c r="E956" s="532" t="s">
        <v>1424</v>
      </c>
      <c r="F956" s="532" t="s">
        <v>2395</v>
      </c>
      <c r="G956" s="532" t="s">
        <v>2392</v>
      </c>
      <c r="H956" s="533"/>
      <c r="I956" s="535"/>
      <c r="J956" s="535"/>
      <c r="K956" s="535"/>
      <c r="L956" s="535"/>
      <c r="M956" s="535"/>
      <c r="N956" s="535"/>
      <c r="O956" s="535"/>
      <c r="P956" s="535"/>
      <c r="Q956" s="535"/>
      <c r="R956" s="535"/>
      <c r="S956" s="535"/>
      <c r="T956" s="535"/>
      <c r="U956" s="535"/>
      <c r="V956" s="535"/>
      <c r="W956" s="535"/>
      <c r="X956" s="535"/>
      <c r="Y956" s="536"/>
    </row>
    <row r="957" spans="1:25" ht="12.75">
      <c r="A957" s="532" t="s">
        <v>5261</v>
      </c>
      <c r="B957" s="532" t="s">
        <v>6632</v>
      </c>
      <c r="C957" s="533"/>
      <c r="D957" s="533"/>
      <c r="E957" s="532" t="s">
        <v>1424</v>
      </c>
      <c r="F957" s="532" t="s">
        <v>2395</v>
      </c>
      <c r="G957" s="532" t="s">
        <v>2392</v>
      </c>
      <c r="H957" s="533"/>
      <c r="I957" s="535"/>
      <c r="J957" s="535"/>
      <c r="K957" s="535"/>
      <c r="L957" s="535"/>
      <c r="M957" s="535"/>
      <c r="N957" s="535"/>
      <c r="O957" s="535"/>
      <c r="P957" s="535"/>
      <c r="Q957" s="535"/>
      <c r="R957" s="535"/>
      <c r="S957" s="535"/>
      <c r="T957" s="535"/>
      <c r="U957" s="535"/>
      <c r="V957" s="535"/>
      <c r="W957" s="535"/>
      <c r="X957" s="535"/>
      <c r="Y957" s="536"/>
    </row>
    <row r="958" spans="1:25" ht="12.75">
      <c r="A958" s="532" t="s">
        <v>5260</v>
      </c>
      <c r="B958" s="532" t="s">
        <v>6632</v>
      </c>
      <c r="C958" s="533"/>
      <c r="D958" s="533"/>
      <c r="E958" s="532" t="s">
        <v>1424</v>
      </c>
      <c r="F958" s="532" t="s">
        <v>2395</v>
      </c>
      <c r="G958" s="532" t="s">
        <v>2392</v>
      </c>
      <c r="H958" s="533"/>
      <c r="I958" s="535"/>
      <c r="J958" s="535"/>
      <c r="K958" s="535"/>
      <c r="L958" s="535"/>
      <c r="M958" s="535"/>
      <c r="N958" s="535"/>
      <c r="O958" s="535"/>
      <c r="P958" s="535"/>
      <c r="Q958" s="535"/>
      <c r="R958" s="535"/>
      <c r="S958" s="535"/>
      <c r="T958" s="535"/>
      <c r="U958" s="535"/>
      <c r="V958" s="535"/>
      <c r="W958" s="535"/>
      <c r="X958" s="535"/>
      <c r="Y958" s="536"/>
    </row>
    <row r="959" spans="1:25" ht="12.75">
      <c r="A959" s="532" t="s">
        <v>3039</v>
      </c>
      <c r="B959" s="532">
        <v>41200007</v>
      </c>
      <c r="C959" s="532" t="s">
        <v>1591</v>
      </c>
      <c r="D959" s="532" t="s">
        <v>6608</v>
      </c>
      <c r="E959" s="532" t="s">
        <v>1405</v>
      </c>
      <c r="F959" s="532" t="s">
        <v>2395</v>
      </c>
      <c r="G959" s="532" t="s">
        <v>1468</v>
      </c>
      <c r="H959" s="533"/>
      <c r="I959" s="535"/>
      <c r="J959" s="535"/>
      <c r="K959" s="535"/>
      <c r="L959" s="535"/>
      <c r="M959" s="535"/>
      <c r="N959" s="535"/>
      <c r="O959" s="535"/>
      <c r="P959" s="535"/>
      <c r="Q959" s="535"/>
      <c r="R959" s="535"/>
      <c r="S959" s="535"/>
      <c r="T959" s="535"/>
      <c r="U959" s="535"/>
      <c r="V959" s="535"/>
      <c r="W959" s="535"/>
      <c r="X959" s="535"/>
      <c r="Y959" s="536"/>
    </row>
    <row r="960" spans="1:25" ht="12.75">
      <c r="A960" s="532" t="s">
        <v>3038</v>
      </c>
      <c r="B960" s="532">
        <v>41200007</v>
      </c>
      <c r="C960" s="532" t="s">
        <v>1591</v>
      </c>
      <c r="D960" s="532" t="s">
        <v>6608</v>
      </c>
      <c r="E960" s="532" t="s">
        <v>1405</v>
      </c>
      <c r="F960" s="532" t="s">
        <v>2395</v>
      </c>
      <c r="G960" s="532" t="s">
        <v>1468</v>
      </c>
      <c r="H960" s="533"/>
      <c r="I960" s="535"/>
      <c r="J960" s="535"/>
      <c r="K960" s="535"/>
      <c r="L960" s="535"/>
      <c r="M960" s="535"/>
      <c r="N960" s="535"/>
      <c r="O960" s="535"/>
      <c r="P960" s="535"/>
      <c r="Q960" s="535"/>
      <c r="R960" s="535"/>
      <c r="S960" s="535"/>
      <c r="T960" s="535"/>
      <c r="U960" s="535"/>
      <c r="V960" s="535"/>
      <c r="W960" s="535"/>
      <c r="X960" s="535"/>
      <c r="Y960" s="536"/>
    </row>
    <row r="961" spans="1:25" ht="12.75">
      <c r="A961" s="532" t="s">
        <v>3027</v>
      </c>
      <c r="B961" s="532">
        <v>41200007</v>
      </c>
      <c r="C961" s="532" t="s">
        <v>1591</v>
      </c>
      <c r="D961" s="532" t="s">
        <v>6608</v>
      </c>
      <c r="E961" s="532" t="s">
        <v>1405</v>
      </c>
      <c r="F961" s="532" t="s">
        <v>2395</v>
      </c>
      <c r="G961" s="532" t="s">
        <v>1468</v>
      </c>
      <c r="H961" s="532" t="s">
        <v>2392</v>
      </c>
      <c r="I961" s="535"/>
      <c r="J961" s="535"/>
      <c r="K961" s="535"/>
      <c r="L961" s="535"/>
      <c r="M961" s="535"/>
      <c r="N961" s="535"/>
      <c r="O961" s="535"/>
      <c r="P961" s="535"/>
      <c r="Q961" s="535"/>
      <c r="R961" s="535"/>
      <c r="S961" s="535"/>
      <c r="T961" s="535"/>
      <c r="U961" s="535"/>
      <c r="V961" s="535"/>
      <c r="W961" s="535"/>
      <c r="X961" s="535"/>
      <c r="Y961" s="536"/>
    </row>
    <row r="962" spans="1:25" ht="12.75">
      <c r="A962" s="532" t="s">
        <v>3026</v>
      </c>
      <c r="B962" s="532">
        <v>41200007</v>
      </c>
      <c r="C962" s="532" t="s">
        <v>1591</v>
      </c>
      <c r="D962" s="532" t="s">
        <v>6608</v>
      </c>
      <c r="E962" s="532" t="s">
        <v>1405</v>
      </c>
      <c r="F962" s="532" t="s">
        <v>2395</v>
      </c>
      <c r="G962" s="532" t="s">
        <v>1468</v>
      </c>
      <c r="H962" s="532" t="s">
        <v>2392</v>
      </c>
      <c r="I962" s="535"/>
      <c r="J962" s="535"/>
      <c r="K962" s="535"/>
      <c r="L962" s="535"/>
      <c r="M962" s="535"/>
      <c r="N962" s="535"/>
      <c r="O962" s="535"/>
      <c r="P962" s="535"/>
      <c r="Q962" s="535"/>
      <c r="R962" s="535"/>
      <c r="S962" s="535"/>
      <c r="T962" s="535"/>
      <c r="U962" s="535"/>
      <c r="V962" s="535"/>
      <c r="W962" s="535"/>
      <c r="X962" s="535"/>
      <c r="Y962" s="536"/>
    </row>
    <row r="963" spans="1:25" ht="12.75">
      <c r="A963" s="532" t="s">
        <v>1891</v>
      </c>
      <c r="B963" s="532">
        <v>41200180</v>
      </c>
      <c r="C963" s="532" t="s">
        <v>1479</v>
      </c>
      <c r="D963" s="532" t="s">
        <v>6633</v>
      </c>
      <c r="E963" s="532" t="s">
        <v>1409</v>
      </c>
      <c r="F963" s="532" t="s">
        <v>2392</v>
      </c>
      <c r="G963" s="532" t="s">
        <v>1469</v>
      </c>
      <c r="H963" s="533"/>
      <c r="I963" s="535"/>
      <c r="J963" s="535"/>
      <c r="K963" s="535"/>
      <c r="L963" s="535"/>
      <c r="M963" s="535"/>
      <c r="N963" s="535"/>
      <c r="O963" s="535"/>
      <c r="P963" s="535"/>
      <c r="Q963" s="535"/>
      <c r="R963" s="535"/>
      <c r="S963" s="535"/>
      <c r="T963" s="535"/>
      <c r="U963" s="535"/>
      <c r="V963" s="535"/>
      <c r="W963" s="535"/>
      <c r="X963" s="535"/>
      <c r="Y963" s="536"/>
    </row>
    <row r="964" spans="1:25" ht="12.75">
      <c r="A964" s="532" t="s">
        <v>1890</v>
      </c>
      <c r="B964" s="532">
        <v>41200180</v>
      </c>
      <c r="C964" s="532" t="s">
        <v>1479</v>
      </c>
      <c r="D964" s="532" t="s">
        <v>6633</v>
      </c>
      <c r="E964" s="532" t="s">
        <v>1409</v>
      </c>
      <c r="F964" s="532" t="s">
        <v>2392</v>
      </c>
      <c r="G964" s="532" t="s">
        <v>1469</v>
      </c>
      <c r="H964" s="532" t="s">
        <v>2392</v>
      </c>
      <c r="I964" s="535"/>
      <c r="J964" s="535"/>
      <c r="K964" s="535"/>
      <c r="L964" s="535"/>
      <c r="M964" s="535"/>
      <c r="N964" s="535"/>
      <c r="O964" s="535"/>
      <c r="P964" s="535"/>
      <c r="Q964" s="535"/>
      <c r="R964" s="535"/>
      <c r="S964" s="535"/>
      <c r="T964" s="535"/>
      <c r="U964" s="535"/>
      <c r="V964" s="535"/>
      <c r="W964" s="535"/>
      <c r="X964" s="535"/>
      <c r="Y964" s="536"/>
    </row>
    <row r="965" spans="1:25" ht="12.75">
      <c r="A965" s="532" t="s">
        <v>3139</v>
      </c>
      <c r="B965" s="532">
        <v>41200177</v>
      </c>
      <c r="C965" s="532" t="s">
        <v>1476</v>
      </c>
      <c r="D965" s="532" t="s">
        <v>1426</v>
      </c>
      <c r="E965" s="532" t="s">
        <v>1426</v>
      </c>
      <c r="F965" s="532" t="s">
        <v>2395</v>
      </c>
      <c r="G965" s="532" t="s">
        <v>1469</v>
      </c>
      <c r="H965" s="532" t="s">
        <v>2392</v>
      </c>
      <c r="I965" s="535"/>
      <c r="J965" s="535"/>
      <c r="K965" s="535"/>
      <c r="L965" s="535"/>
      <c r="M965" s="535"/>
      <c r="N965" s="535"/>
      <c r="O965" s="535"/>
      <c r="P965" s="535"/>
      <c r="Q965" s="535"/>
      <c r="R965" s="535"/>
      <c r="S965" s="535"/>
      <c r="T965" s="535"/>
      <c r="U965" s="535"/>
      <c r="V965" s="535"/>
      <c r="W965" s="535"/>
      <c r="X965" s="535"/>
      <c r="Y965" s="536"/>
    </row>
    <row r="966" spans="1:25" ht="12.75">
      <c r="A966" s="532" t="s">
        <v>3138</v>
      </c>
      <c r="B966" s="532">
        <v>41200177</v>
      </c>
      <c r="C966" s="532" t="s">
        <v>1476</v>
      </c>
      <c r="D966" s="532" t="s">
        <v>1426</v>
      </c>
      <c r="E966" s="532" t="s">
        <v>1426</v>
      </c>
      <c r="F966" s="532" t="s">
        <v>2395</v>
      </c>
      <c r="G966" s="532" t="s">
        <v>1469</v>
      </c>
      <c r="H966" s="532" t="s">
        <v>2392</v>
      </c>
      <c r="I966" s="535"/>
      <c r="J966" s="535"/>
      <c r="K966" s="535"/>
      <c r="L966" s="535"/>
      <c r="M966" s="535"/>
      <c r="N966" s="535"/>
      <c r="O966" s="535"/>
      <c r="P966" s="535"/>
      <c r="Q966" s="535"/>
      <c r="R966" s="535"/>
      <c r="S966" s="535"/>
      <c r="T966" s="535"/>
      <c r="U966" s="535"/>
      <c r="V966" s="535"/>
      <c r="W966" s="535"/>
      <c r="X966" s="535"/>
      <c r="Y966" s="536"/>
    </row>
    <row r="967" spans="1:25" ht="12.75">
      <c r="A967" s="532" t="s">
        <v>3171</v>
      </c>
      <c r="B967" s="532">
        <v>41000514</v>
      </c>
      <c r="C967" s="532" t="s">
        <v>1581</v>
      </c>
      <c r="D967" s="532" t="s">
        <v>6634</v>
      </c>
      <c r="E967" s="532" t="s">
        <v>1405</v>
      </c>
      <c r="F967" s="532" t="s">
        <v>2392</v>
      </c>
      <c r="G967" s="532" t="s">
        <v>2392</v>
      </c>
      <c r="H967" s="533"/>
      <c r="I967" s="535"/>
      <c r="J967" s="535"/>
      <c r="K967" s="535"/>
      <c r="L967" s="535"/>
      <c r="M967" s="535"/>
      <c r="N967" s="535"/>
      <c r="O967" s="535"/>
      <c r="P967" s="535"/>
      <c r="Q967" s="535"/>
      <c r="R967" s="535"/>
      <c r="S967" s="535"/>
      <c r="T967" s="535"/>
      <c r="U967" s="535"/>
      <c r="V967" s="535"/>
      <c r="W967" s="535"/>
      <c r="X967" s="535"/>
      <c r="Y967" s="536"/>
    </row>
    <row r="968" spans="1:25" ht="12.75">
      <c r="A968" s="532" t="s">
        <v>3170</v>
      </c>
      <c r="B968" s="532">
        <v>41000514</v>
      </c>
      <c r="C968" s="532" t="s">
        <v>1581</v>
      </c>
      <c r="D968" s="532" t="s">
        <v>6634</v>
      </c>
      <c r="E968" s="532" t="s">
        <v>1405</v>
      </c>
      <c r="F968" s="532" t="s">
        <v>2392</v>
      </c>
      <c r="G968" s="532" t="s">
        <v>2392</v>
      </c>
      <c r="H968" s="533"/>
      <c r="I968" s="535"/>
      <c r="J968" s="535"/>
      <c r="K968" s="535"/>
      <c r="L968" s="535"/>
      <c r="M968" s="535"/>
      <c r="N968" s="535"/>
      <c r="O968" s="535"/>
      <c r="P968" s="535"/>
      <c r="Q968" s="535"/>
      <c r="R968" s="535"/>
      <c r="S968" s="535"/>
      <c r="T968" s="535"/>
      <c r="U968" s="535"/>
      <c r="V968" s="535"/>
      <c r="W968" s="535"/>
      <c r="X968" s="535"/>
      <c r="Y968" s="536"/>
    </row>
    <row r="969" spans="1:25" ht="12.75">
      <c r="A969" s="532" t="s">
        <v>3140</v>
      </c>
      <c r="B969" s="532">
        <v>41200127</v>
      </c>
      <c r="C969" s="532" t="s">
        <v>1591</v>
      </c>
      <c r="D969" s="532" t="s">
        <v>6606</v>
      </c>
      <c r="E969" s="532" t="s">
        <v>1431</v>
      </c>
      <c r="F969" s="532" t="s">
        <v>2391</v>
      </c>
      <c r="G969" s="532" t="s">
        <v>1468</v>
      </c>
      <c r="H969" s="532" t="s">
        <v>2392</v>
      </c>
      <c r="I969" s="535"/>
      <c r="J969" s="535"/>
      <c r="K969" s="535"/>
      <c r="L969" s="535"/>
      <c r="M969" s="535"/>
      <c r="N969" s="535"/>
      <c r="O969" s="535"/>
      <c r="P969" s="535"/>
      <c r="Q969" s="535"/>
      <c r="R969" s="535"/>
      <c r="S969" s="535"/>
      <c r="T969" s="535"/>
      <c r="U969" s="535"/>
      <c r="V969" s="535"/>
      <c r="W969" s="535"/>
      <c r="X969" s="535"/>
      <c r="Y969" s="536"/>
    </row>
    <row r="970" spans="1:25" ht="12.75">
      <c r="A970" s="532" t="s">
        <v>3133</v>
      </c>
      <c r="B970" s="532">
        <v>41200152</v>
      </c>
      <c r="C970" s="532" t="s">
        <v>1476</v>
      </c>
      <c r="D970" s="532" t="s">
        <v>6618</v>
      </c>
      <c r="E970" s="532" t="s">
        <v>1585</v>
      </c>
      <c r="F970" s="532" t="s">
        <v>2395</v>
      </c>
      <c r="G970" s="532" t="s">
        <v>1469</v>
      </c>
      <c r="H970" s="532" t="s">
        <v>2392</v>
      </c>
      <c r="I970" s="535"/>
      <c r="J970" s="535"/>
      <c r="K970" s="535"/>
      <c r="L970" s="535"/>
      <c r="M970" s="535"/>
      <c r="N970" s="535"/>
      <c r="O970" s="535"/>
      <c r="P970" s="535"/>
      <c r="Q970" s="535"/>
      <c r="R970" s="535"/>
      <c r="S970" s="535"/>
      <c r="T970" s="535"/>
      <c r="U970" s="535"/>
      <c r="V970" s="535"/>
      <c r="W970" s="535"/>
      <c r="X970" s="535"/>
      <c r="Y970" s="536"/>
    </row>
    <row r="971" spans="1:25" ht="12.75">
      <c r="A971" s="532" t="s">
        <v>3119</v>
      </c>
      <c r="B971" s="532">
        <v>41200152</v>
      </c>
      <c r="C971" s="532" t="s">
        <v>1476</v>
      </c>
      <c r="D971" s="532" t="s">
        <v>6618</v>
      </c>
      <c r="E971" s="532" t="s">
        <v>1585</v>
      </c>
      <c r="F971" s="532" t="s">
        <v>2395</v>
      </c>
      <c r="G971" s="532" t="s">
        <v>1469</v>
      </c>
      <c r="H971" s="532" t="s">
        <v>2392</v>
      </c>
      <c r="I971" s="535"/>
      <c r="J971" s="535"/>
      <c r="K971" s="535"/>
      <c r="L971" s="535"/>
      <c r="M971" s="535"/>
      <c r="N971" s="535"/>
      <c r="O971" s="535"/>
      <c r="P971" s="535"/>
      <c r="Q971" s="535"/>
      <c r="R971" s="535"/>
      <c r="S971" s="535"/>
      <c r="T971" s="535"/>
      <c r="U971" s="535"/>
      <c r="V971" s="535"/>
      <c r="W971" s="535"/>
      <c r="X971" s="535"/>
      <c r="Y971" s="536"/>
    </row>
    <row r="972" spans="1:25" ht="12.75">
      <c r="A972" s="532" t="s">
        <v>3147</v>
      </c>
      <c r="B972" s="532">
        <v>41200119</v>
      </c>
      <c r="C972" s="532" t="s">
        <v>1476</v>
      </c>
      <c r="D972" s="532" t="s">
        <v>1422</v>
      </c>
      <c r="E972" s="532" t="s">
        <v>1422</v>
      </c>
      <c r="F972" s="532" t="s">
        <v>2395</v>
      </c>
      <c r="G972" s="532" t="s">
        <v>1469</v>
      </c>
      <c r="H972" s="532" t="s">
        <v>2392</v>
      </c>
      <c r="I972" s="535"/>
      <c r="J972" s="535"/>
      <c r="K972" s="535"/>
      <c r="L972" s="535"/>
      <c r="M972" s="535"/>
      <c r="N972" s="535"/>
      <c r="O972" s="535"/>
      <c r="P972" s="535"/>
      <c r="Q972" s="535"/>
      <c r="R972" s="535"/>
      <c r="S972" s="535"/>
      <c r="T972" s="535"/>
      <c r="U972" s="535"/>
      <c r="V972" s="535"/>
      <c r="W972" s="535"/>
      <c r="X972" s="535"/>
      <c r="Y972" s="536"/>
    </row>
    <row r="973" spans="1:25" ht="12.75">
      <c r="A973" s="532" t="s">
        <v>3146</v>
      </c>
      <c r="B973" s="532">
        <v>41200119</v>
      </c>
      <c r="C973" s="532" t="s">
        <v>1476</v>
      </c>
      <c r="D973" s="532" t="s">
        <v>1422</v>
      </c>
      <c r="E973" s="532" t="s">
        <v>1422</v>
      </c>
      <c r="F973" s="532" t="s">
        <v>2395</v>
      </c>
      <c r="G973" s="532" t="s">
        <v>1469</v>
      </c>
      <c r="H973" s="532" t="s">
        <v>2392</v>
      </c>
      <c r="I973" s="535"/>
      <c r="J973" s="535"/>
      <c r="K973" s="535"/>
      <c r="L973" s="535"/>
      <c r="M973" s="535"/>
      <c r="N973" s="535"/>
      <c r="O973" s="535"/>
      <c r="P973" s="535"/>
      <c r="Q973" s="535"/>
      <c r="R973" s="535"/>
      <c r="S973" s="535"/>
      <c r="T973" s="535"/>
      <c r="U973" s="535"/>
      <c r="V973" s="535"/>
      <c r="W973" s="535"/>
      <c r="X973" s="535"/>
      <c r="Y973" s="536"/>
    </row>
    <row r="974" spans="1:25" ht="12.75">
      <c r="A974" s="532" t="s">
        <v>3158</v>
      </c>
      <c r="B974" s="532">
        <v>41100584</v>
      </c>
      <c r="C974" s="532" t="s">
        <v>1591</v>
      </c>
      <c r="D974" s="532" t="s">
        <v>6635</v>
      </c>
      <c r="E974" s="532" t="s">
        <v>1422</v>
      </c>
      <c r="F974" s="532" t="s">
        <v>2391</v>
      </c>
      <c r="G974" s="532" t="s">
        <v>1468</v>
      </c>
      <c r="H974" s="532" t="s">
        <v>2392</v>
      </c>
      <c r="I974" s="535"/>
      <c r="J974" s="535"/>
      <c r="K974" s="535"/>
      <c r="L974" s="535"/>
      <c r="M974" s="535"/>
      <c r="N974" s="535"/>
      <c r="O974" s="535"/>
      <c r="P974" s="535"/>
      <c r="Q974" s="535"/>
      <c r="R974" s="535"/>
      <c r="S974" s="535"/>
      <c r="T974" s="535"/>
      <c r="U974" s="535"/>
      <c r="V974" s="535"/>
      <c r="W974" s="535"/>
      <c r="X974" s="535"/>
      <c r="Y974" s="536"/>
    </row>
    <row r="975" spans="1:25" ht="12.75">
      <c r="A975" s="532" t="s">
        <v>3129</v>
      </c>
      <c r="B975" s="532">
        <v>41100584</v>
      </c>
      <c r="C975" s="532" t="s">
        <v>1591</v>
      </c>
      <c r="D975" s="532" t="s">
        <v>6635</v>
      </c>
      <c r="E975" s="532" t="s">
        <v>1422</v>
      </c>
      <c r="F975" s="532" t="s">
        <v>2391</v>
      </c>
      <c r="G975" s="532" t="s">
        <v>1468</v>
      </c>
      <c r="H975" s="532" t="s">
        <v>2392</v>
      </c>
      <c r="I975" s="535"/>
      <c r="J975" s="535"/>
      <c r="K975" s="535"/>
      <c r="L975" s="535"/>
      <c r="M975" s="535"/>
      <c r="N975" s="535"/>
      <c r="O975" s="535"/>
      <c r="P975" s="535"/>
      <c r="Q975" s="535"/>
      <c r="R975" s="535"/>
      <c r="S975" s="535"/>
      <c r="T975" s="535"/>
      <c r="U975" s="535"/>
      <c r="V975" s="535"/>
      <c r="W975" s="535"/>
      <c r="X975" s="535"/>
      <c r="Y975" s="536"/>
    </row>
    <row r="976" spans="1:25" ht="12.75">
      <c r="A976" s="532" t="s">
        <v>3115</v>
      </c>
      <c r="B976" s="532">
        <v>41200087</v>
      </c>
      <c r="C976" s="532" t="s">
        <v>1476</v>
      </c>
      <c r="D976" s="532" t="s">
        <v>1476</v>
      </c>
      <c r="E976" s="532" t="s">
        <v>1429</v>
      </c>
      <c r="F976" s="532" t="s">
        <v>2395</v>
      </c>
      <c r="G976" s="532" t="s">
        <v>2392</v>
      </c>
      <c r="H976" s="532" t="s">
        <v>2392</v>
      </c>
      <c r="I976" s="535"/>
      <c r="J976" s="535"/>
      <c r="K976" s="535"/>
      <c r="L976" s="535"/>
      <c r="M976" s="535"/>
      <c r="N976" s="535"/>
      <c r="O976" s="535"/>
      <c r="P976" s="535"/>
      <c r="Q976" s="535"/>
      <c r="R976" s="535"/>
      <c r="S976" s="535"/>
      <c r="T976" s="535"/>
      <c r="U976" s="535"/>
      <c r="V976" s="535"/>
      <c r="W976" s="535"/>
      <c r="X976" s="535"/>
      <c r="Y976" s="536"/>
    </row>
    <row r="977" spans="1:25" ht="12.75">
      <c r="A977" s="532" t="s">
        <v>3125</v>
      </c>
      <c r="B977" s="532">
        <v>41200076</v>
      </c>
      <c r="C977" s="532" t="s">
        <v>1476</v>
      </c>
      <c r="D977" s="532" t="s">
        <v>1476</v>
      </c>
      <c r="E977" s="532" t="s">
        <v>1585</v>
      </c>
      <c r="F977" s="532" t="s">
        <v>2391</v>
      </c>
      <c r="G977" s="532" t="s">
        <v>1468</v>
      </c>
      <c r="H977" s="532" t="s">
        <v>2392</v>
      </c>
      <c r="I977" s="535"/>
      <c r="J977" s="535"/>
      <c r="K977" s="535"/>
      <c r="L977" s="535"/>
      <c r="M977" s="535"/>
      <c r="N977" s="535"/>
      <c r="O977" s="535"/>
      <c r="P977" s="535"/>
      <c r="Q977" s="535"/>
      <c r="R977" s="535"/>
      <c r="S977" s="535"/>
      <c r="T977" s="535"/>
      <c r="U977" s="535"/>
      <c r="V977" s="535"/>
      <c r="W977" s="535"/>
      <c r="X977" s="535"/>
      <c r="Y977" s="536"/>
    </row>
    <row r="978" spans="1:25" ht="12.75">
      <c r="A978" s="532" t="s">
        <v>3112</v>
      </c>
      <c r="B978" s="532">
        <v>41100478</v>
      </c>
      <c r="C978" s="532" t="s">
        <v>1476</v>
      </c>
      <c r="D978" s="532" t="s">
        <v>1476</v>
      </c>
      <c r="E978" s="532" t="s">
        <v>1585</v>
      </c>
      <c r="F978" s="532" t="s">
        <v>2391</v>
      </c>
      <c r="G978" s="532" t="s">
        <v>1468</v>
      </c>
      <c r="H978" s="532" t="s">
        <v>2392</v>
      </c>
      <c r="I978" s="535"/>
      <c r="J978" s="535"/>
      <c r="K978" s="535"/>
      <c r="L978" s="535"/>
      <c r="M978" s="535"/>
      <c r="N978" s="535"/>
      <c r="O978" s="535"/>
      <c r="P978" s="535"/>
      <c r="Q978" s="535"/>
      <c r="R978" s="535"/>
      <c r="S978" s="535"/>
      <c r="T978" s="535"/>
      <c r="U978" s="535"/>
      <c r="V978" s="535"/>
      <c r="W978" s="535"/>
      <c r="X978" s="535"/>
      <c r="Y978" s="536"/>
    </row>
    <row r="979" spans="1:25" ht="12.75">
      <c r="A979" s="532" t="s">
        <v>3124</v>
      </c>
      <c r="B979" s="532">
        <v>41200129</v>
      </c>
      <c r="C979" s="532" t="s">
        <v>1591</v>
      </c>
      <c r="D979" s="532" t="s">
        <v>6606</v>
      </c>
      <c r="E979" s="532" t="s">
        <v>1431</v>
      </c>
      <c r="F979" s="532" t="s">
        <v>2391</v>
      </c>
      <c r="G979" s="532" t="s">
        <v>1468</v>
      </c>
      <c r="H979" s="532" t="s">
        <v>2392</v>
      </c>
      <c r="I979" s="535"/>
      <c r="J979" s="535"/>
      <c r="K979" s="535"/>
      <c r="L979" s="535"/>
      <c r="M979" s="535"/>
      <c r="N979" s="535"/>
      <c r="O979" s="535"/>
      <c r="P979" s="535"/>
      <c r="Q979" s="535"/>
      <c r="R979" s="535"/>
      <c r="S979" s="535"/>
      <c r="T979" s="535"/>
      <c r="U979" s="535"/>
      <c r="V979" s="535"/>
      <c r="W979" s="535"/>
      <c r="X979" s="535"/>
      <c r="Y979" s="536"/>
    </row>
    <row r="980" spans="1:25" ht="12.75">
      <c r="A980" s="532" t="s">
        <v>3160</v>
      </c>
      <c r="B980" s="532">
        <v>41200088</v>
      </c>
      <c r="C980" s="532" t="s">
        <v>1476</v>
      </c>
      <c r="D980" s="532" t="s">
        <v>1476</v>
      </c>
      <c r="E980" s="532" t="s">
        <v>1422</v>
      </c>
      <c r="F980" s="532" t="s">
        <v>2395</v>
      </c>
      <c r="G980" s="532" t="s">
        <v>1469</v>
      </c>
      <c r="H980" s="532" t="s">
        <v>2392</v>
      </c>
      <c r="I980" s="535"/>
      <c r="J980" s="535"/>
      <c r="K980" s="535"/>
      <c r="L980" s="535"/>
      <c r="M980" s="535"/>
      <c r="N980" s="535"/>
      <c r="O980" s="535"/>
      <c r="P980" s="535"/>
      <c r="Q980" s="535"/>
      <c r="R980" s="535"/>
      <c r="S980" s="535"/>
      <c r="T980" s="535"/>
      <c r="U980" s="535"/>
      <c r="V980" s="535"/>
      <c r="W980" s="535"/>
      <c r="X980" s="535"/>
      <c r="Y980" s="536"/>
    </row>
    <row r="981" spans="1:25" ht="12.75">
      <c r="A981" s="532" t="s">
        <v>3159</v>
      </c>
      <c r="B981" s="532">
        <v>41200088</v>
      </c>
      <c r="C981" s="532" t="s">
        <v>1476</v>
      </c>
      <c r="D981" s="532" t="s">
        <v>1476</v>
      </c>
      <c r="E981" s="532" t="s">
        <v>1422</v>
      </c>
      <c r="F981" s="532" t="s">
        <v>2395</v>
      </c>
      <c r="G981" s="532" t="s">
        <v>1469</v>
      </c>
      <c r="H981" s="532" t="s">
        <v>2392</v>
      </c>
      <c r="I981" s="535"/>
      <c r="J981" s="535"/>
      <c r="K981" s="535"/>
      <c r="L981" s="535"/>
      <c r="M981" s="535"/>
      <c r="N981" s="535"/>
      <c r="O981" s="535"/>
      <c r="P981" s="535"/>
      <c r="Q981" s="535"/>
      <c r="R981" s="535"/>
      <c r="S981" s="535"/>
      <c r="T981" s="535"/>
      <c r="U981" s="535"/>
      <c r="V981" s="535"/>
      <c r="W981" s="535"/>
      <c r="X981" s="535"/>
      <c r="Y981" s="536"/>
    </row>
    <row r="982" spans="1:25" ht="12.75">
      <c r="A982" s="532" t="s">
        <v>3123</v>
      </c>
      <c r="B982" s="532">
        <v>41200061</v>
      </c>
      <c r="C982" s="532" t="s">
        <v>1480</v>
      </c>
      <c r="D982" s="532" t="s">
        <v>6636</v>
      </c>
      <c r="E982" s="532" t="s">
        <v>1405</v>
      </c>
      <c r="F982" s="532" t="s">
        <v>2391</v>
      </c>
      <c r="G982" s="532" t="s">
        <v>2392</v>
      </c>
      <c r="H982" s="532" t="s">
        <v>2391</v>
      </c>
      <c r="I982" s="535"/>
      <c r="J982" s="535"/>
      <c r="K982" s="535"/>
      <c r="L982" s="535"/>
      <c r="M982" s="535"/>
      <c r="N982" s="535"/>
      <c r="O982" s="535"/>
      <c r="P982" s="535"/>
      <c r="Q982" s="535"/>
      <c r="R982" s="535"/>
      <c r="S982" s="535"/>
      <c r="T982" s="535"/>
      <c r="U982" s="535"/>
      <c r="V982" s="535"/>
      <c r="W982" s="535"/>
      <c r="X982" s="535"/>
      <c r="Y982" s="536"/>
    </row>
    <row r="983" spans="1:25" ht="12.75">
      <c r="A983" s="532" t="s">
        <v>3128</v>
      </c>
      <c r="B983" s="532">
        <v>41200061</v>
      </c>
      <c r="C983" s="532" t="s">
        <v>1480</v>
      </c>
      <c r="D983" s="532" t="s">
        <v>6636</v>
      </c>
      <c r="E983" s="532" t="s">
        <v>1405</v>
      </c>
      <c r="F983" s="532" t="s">
        <v>2391</v>
      </c>
      <c r="G983" s="532" t="s">
        <v>2392</v>
      </c>
      <c r="H983" s="532" t="s">
        <v>2391</v>
      </c>
      <c r="I983" s="535"/>
      <c r="J983" s="535"/>
      <c r="K983" s="535"/>
      <c r="L983" s="535"/>
      <c r="M983" s="535"/>
      <c r="N983" s="535"/>
      <c r="O983" s="535"/>
      <c r="P983" s="535"/>
      <c r="Q983" s="535"/>
      <c r="R983" s="535"/>
      <c r="S983" s="535"/>
      <c r="T983" s="535"/>
      <c r="U983" s="535"/>
      <c r="V983" s="535"/>
      <c r="W983" s="535"/>
      <c r="X983" s="535"/>
      <c r="Y983" s="536"/>
    </row>
    <row r="984" spans="1:25" ht="12.75">
      <c r="A984" s="532" t="s">
        <v>3295</v>
      </c>
      <c r="B984" s="532">
        <v>41200101</v>
      </c>
      <c r="C984" s="532" t="s">
        <v>1476</v>
      </c>
      <c r="D984" s="532" t="s">
        <v>1476</v>
      </c>
      <c r="E984" s="532" t="s">
        <v>1585</v>
      </c>
      <c r="F984" s="532" t="s">
        <v>2395</v>
      </c>
      <c r="G984" s="532" t="s">
        <v>1468</v>
      </c>
      <c r="H984" s="532" t="s">
        <v>2392</v>
      </c>
      <c r="I984" s="535"/>
      <c r="J984" s="535"/>
      <c r="K984" s="535"/>
      <c r="L984" s="535"/>
      <c r="M984" s="535"/>
      <c r="N984" s="535"/>
      <c r="O984" s="535"/>
      <c r="P984" s="535"/>
      <c r="Q984" s="535"/>
      <c r="R984" s="535"/>
      <c r="S984" s="535"/>
      <c r="T984" s="535"/>
      <c r="U984" s="535"/>
      <c r="V984" s="535"/>
      <c r="W984" s="535"/>
      <c r="X984" s="535"/>
      <c r="Y984" s="536"/>
    </row>
    <row r="985" spans="1:25" ht="12.75">
      <c r="A985" s="532" t="s">
        <v>3294</v>
      </c>
      <c r="B985" s="532">
        <v>41200101</v>
      </c>
      <c r="C985" s="532" t="s">
        <v>1476</v>
      </c>
      <c r="D985" s="532" t="s">
        <v>1476</v>
      </c>
      <c r="E985" s="532" t="s">
        <v>1585</v>
      </c>
      <c r="F985" s="532" t="s">
        <v>2395</v>
      </c>
      <c r="G985" s="532" t="s">
        <v>1468</v>
      </c>
      <c r="H985" s="532" t="s">
        <v>2392</v>
      </c>
      <c r="I985" s="535"/>
      <c r="J985" s="535"/>
      <c r="K985" s="535"/>
      <c r="L985" s="535"/>
      <c r="M985" s="535"/>
      <c r="N985" s="535"/>
      <c r="O985" s="535"/>
      <c r="P985" s="535"/>
      <c r="Q985" s="535"/>
      <c r="R985" s="535"/>
      <c r="S985" s="535"/>
      <c r="T985" s="535"/>
      <c r="U985" s="535"/>
      <c r="V985" s="535"/>
      <c r="W985" s="535"/>
      <c r="X985" s="535"/>
      <c r="Y985" s="536"/>
    </row>
    <row r="986" spans="1:25" ht="12.75">
      <c r="A986" s="532" t="s">
        <v>3130</v>
      </c>
      <c r="B986" s="532">
        <v>41200101</v>
      </c>
      <c r="C986" s="532" t="s">
        <v>1476</v>
      </c>
      <c r="D986" s="532" t="s">
        <v>1476</v>
      </c>
      <c r="E986" s="532" t="s">
        <v>1585</v>
      </c>
      <c r="F986" s="532" t="s">
        <v>2395</v>
      </c>
      <c r="G986" s="532" t="s">
        <v>1468</v>
      </c>
      <c r="H986" s="532" t="s">
        <v>2392</v>
      </c>
      <c r="I986" s="535"/>
      <c r="J986" s="535"/>
      <c r="K986" s="535"/>
      <c r="L986" s="535"/>
      <c r="M986" s="535"/>
      <c r="N986" s="535"/>
      <c r="O986" s="535"/>
      <c r="P986" s="535"/>
      <c r="Q986" s="535"/>
      <c r="R986" s="535"/>
      <c r="S986" s="535"/>
      <c r="T986" s="535"/>
      <c r="U986" s="535"/>
      <c r="V986" s="535"/>
      <c r="W986" s="535"/>
      <c r="X986" s="535"/>
      <c r="Y986" s="536"/>
    </row>
    <row r="987" spans="1:25" ht="12.75">
      <c r="A987" s="532" t="s">
        <v>3122</v>
      </c>
      <c r="B987" s="532">
        <v>41200101</v>
      </c>
      <c r="C987" s="532" t="s">
        <v>1476</v>
      </c>
      <c r="D987" s="532" t="s">
        <v>1476</v>
      </c>
      <c r="E987" s="532" t="s">
        <v>1585</v>
      </c>
      <c r="F987" s="532" t="s">
        <v>2395</v>
      </c>
      <c r="G987" s="532" t="s">
        <v>1468</v>
      </c>
      <c r="H987" s="532" t="s">
        <v>2392</v>
      </c>
      <c r="I987" s="535"/>
      <c r="J987" s="535"/>
      <c r="K987" s="535"/>
      <c r="L987" s="535"/>
      <c r="M987" s="535"/>
      <c r="N987" s="535"/>
      <c r="O987" s="535"/>
      <c r="P987" s="535"/>
      <c r="Q987" s="535"/>
      <c r="R987" s="535"/>
      <c r="S987" s="535"/>
      <c r="T987" s="535"/>
      <c r="U987" s="535"/>
      <c r="V987" s="535"/>
      <c r="W987" s="535"/>
      <c r="X987" s="535"/>
      <c r="Y987" s="536"/>
    </row>
    <row r="988" spans="1:25" ht="12.75">
      <c r="A988" s="532" t="s">
        <v>3117</v>
      </c>
      <c r="B988" s="532">
        <v>41200101</v>
      </c>
      <c r="C988" s="532" t="s">
        <v>1476</v>
      </c>
      <c r="D988" s="532" t="s">
        <v>1476</v>
      </c>
      <c r="E988" s="532" t="s">
        <v>1585</v>
      </c>
      <c r="F988" s="532" t="s">
        <v>2391</v>
      </c>
      <c r="G988" s="532" t="s">
        <v>2392</v>
      </c>
      <c r="H988" s="532" t="s">
        <v>2391</v>
      </c>
      <c r="I988" s="535"/>
      <c r="J988" s="535"/>
      <c r="K988" s="535"/>
      <c r="L988" s="535"/>
      <c r="M988" s="535"/>
      <c r="N988" s="535"/>
      <c r="O988" s="535"/>
      <c r="P988" s="535"/>
      <c r="Q988" s="535"/>
      <c r="R988" s="535"/>
      <c r="S988" s="535"/>
      <c r="T988" s="535"/>
      <c r="U988" s="535"/>
      <c r="V988" s="535"/>
      <c r="W988" s="535"/>
      <c r="X988" s="535"/>
      <c r="Y988" s="536"/>
    </row>
    <row r="989" spans="1:25" ht="12.75">
      <c r="A989" s="532" t="s">
        <v>3103</v>
      </c>
      <c r="B989" s="532">
        <v>41200101</v>
      </c>
      <c r="C989" s="532" t="s">
        <v>1476</v>
      </c>
      <c r="D989" s="532" t="s">
        <v>1476</v>
      </c>
      <c r="E989" s="532" t="s">
        <v>1585</v>
      </c>
      <c r="F989" s="532" t="s">
        <v>2391</v>
      </c>
      <c r="G989" s="532" t="s">
        <v>2392</v>
      </c>
      <c r="H989" s="532" t="s">
        <v>2391</v>
      </c>
      <c r="I989" s="535"/>
      <c r="J989" s="535"/>
      <c r="K989" s="535"/>
      <c r="L989" s="535"/>
      <c r="M989" s="535"/>
      <c r="N989" s="535"/>
      <c r="O989" s="535"/>
      <c r="P989" s="535"/>
      <c r="Q989" s="535"/>
      <c r="R989" s="535"/>
      <c r="S989" s="535"/>
      <c r="T989" s="535"/>
      <c r="U989" s="535"/>
      <c r="V989" s="535"/>
      <c r="W989" s="535"/>
      <c r="X989" s="535"/>
      <c r="Y989" s="536"/>
    </row>
    <row r="990" spans="1:25" ht="12.75">
      <c r="A990" s="532" t="s">
        <v>3127</v>
      </c>
      <c r="B990" s="532">
        <v>41000516</v>
      </c>
      <c r="C990" s="532" t="s">
        <v>1476</v>
      </c>
      <c r="D990" s="532" t="s">
        <v>6610</v>
      </c>
      <c r="E990" s="532" t="s">
        <v>1405</v>
      </c>
      <c r="F990" s="532" t="s">
        <v>2395</v>
      </c>
      <c r="G990" s="532" t="s">
        <v>1469</v>
      </c>
      <c r="H990" s="532" t="s">
        <v>2392</v>
      </c>
      <c r="I990" s="535"/>
      <c r="J990" s="535"/>
      <c r="K990" s="535"/>
      <c r="L990" s="535"/>
      <c r="M990" s="535"/>
      <c r="N990" s="535"/>
      <c r="O990" s="535"/>
      <c r="P990" s="535"/>
      <c r="Q990" s="535"/>
      <c r="R990" s="535"/>
      <c r="S990" s="535"/>
      <c r="T990" s="535"/>
      <c r="U990" s="535"/>
      <c r="V990" s="535"/>
      <c r="W990" s="535"/>
      <c r="X990" s="535"/>
      <c r="Y990" s="536"/>
    </row>
    <row r="991" spans="1:25" ht="12.75">
      <c r="A991" s="532" t="s">
        <v>3126</v>
      </c>
      <c r="B991" s="532">
        <v>41000516</v>
      </c>
      <c r="C991" s="532" t="s">
        <v>1476</v>
      </c>
      <c r="D991" s="532" t="s">
        <v>6610</v>
      </c>
      <c r="E991" s="532" t="s">
        <v>1405</v>
      </c>
      <c r="F991" s="532" t="s">
        <v>2395</v>
      </c>
      <c r="G991" s="532" t="s">
        <v>1469</v>
      </c>
      <c r="H991" s="532" t="s">
        <v>2392</v>
      </c>
      <c r="I991" s="535"/>
      <c r="J991" s="535"/>
      <c r="K991" s="535"/>
      <c r="L991" s="535"/>
      <c r="M991" s="535"/>
      <c r="N991" s="535"/>
      <c r="O991" s="535"/>
      <c r="P991" s="535"/>
      <c r="Q991" s="535"/>
      <c r="R991" s="535"/>
      <c r="S991" s="535"/>
      <c r="T991" s="535"/>
      <c r="U991" s="535"/>
      <c r="V991" s="535"/>
      <c r="W991" s="535"/>
      <c r="X991" s="535"/>
      <c r="Y991" s="536"/>
    </row>
    <row r="992" spans="1:25" ht="12.75">
      <c r="A992" s="532" t="s">
        <v>3118</v>
      </c>
      <c r="B992" s="532">
        <v>41000544</v>
      </c>
      <c r="C992" s="532" t="s">
        <v>1476</v>
      </c>
      <c r="D992" s="532" t="s">
        <v>6610</v>
      </c>
      <c r="E992" s="532" t="s">
        <v>1405</v>
      </c>
      <c r="F992" s="532" t="s">
        <v>2391</v>
      </c>
      <c r="G992" s="532" t="s">
        <v>1468</v>
      </c>
      <c r="H992" s="532" t="s">
        <v>2392</v>
      </c>
      <c r="I992" s="535"/>
      <c r="J992" s="535"/>
      <c r="K992" s="535"/>
      <c r="L992" s="535"/>
      <c r="M992" s="535"/>
      <c r="N992" s="535"/>
      <c r="O992" s="535"/>
      <c r="P992" s="535"/>
      <c r="Q992" s="535"/>
      <c r="R992" s="535"/>
      <c r="S992" s="535"/>
      <c r="T992" s="535"/>
      <c r="U992" s="535"/>
      <c r="V992" s="535"/>
      <c r="W992" s="535"/>
      <c r="X992" s="535"/>
      <c r="Y992" s="536"/>
    </row>
    <row r="993" spans="1:25" ht="12.75">
      <c r="A993" s="532" t="s">
        <v>5316</v>
      </c>
      <c r="B993" s="532">
        <v>41100666</v>
      </c>
      <c r="C993" s="532" t="s">
        <v>3180</v>
      </c>
      <c r="D993" s="532" t="s">
        <v>6637</v>
      </c>
      <c r="E993" s="532" t="s">
        <v>1416</v>
      </c>
      <c r="F993" s="532" t="s">
        <v>2395</v>
      </c>
      <c r="G993" s="532" t="s">
        <v>2392</v>
      </c>
      <c r="H993" s="533"/>
      <c r="I993" s="535"/>
      <c r="J993" s="535"/>
      <c r="K993" s="535"/>
      <c r="L993" s="535"/>
      <c r="M993" s="535"/>
      <c r="N993" s="535"/>
      <c r="O993" s="535"/>
      <c r="P993" s="535"/>
      <c r="Q993" s="535"/>
      <c r="R993" s="535"/>
      <c r="S993" s="535"/>
      <c r="T993" s="535"/>
      <c r="U993" s="535"/>
      <c r="V993" s="535"/>
      <c r="W993" s="535"/>
      <c r="X993" s="535"/>
      <c r="Y993" s="536"/>
    </row>
    <row r="994" spans="1:25" ht="12.75">
      <c r="A994" s="532" t="s">
        <v>5315</v>
      </c>
      <c r="B994" s="532">
        <v>41100666</v>
      </c>
      <c r="C994" s="532" t="s">
        <v>3180</v>
      </c>
      <c r="D994" s="532" t="s">
        <v>6637</v>
      </c>
      <c r="E994" s="532" t="s">
        <v>1416</v>
      </c>
      <c r="F994" s="532" t="s">
        <v>2395</v>
      </c>
      <c r="G994" s="532" t="s">
        <v>2392</v>
      </c>
      <c r="H994" s="533"/>
      <c r="I994" s="535"/>
      <c r="J994" s="535"/>
      <c r="K994" s="535"/>
      <c r="L994" s="535"/>
      <c r="M994" s="535"/>
      <c r="N994" s="535"/>
      <c r="O994" s="535"/>
      <c r="P994" s="535"/>
      <c r="Q994" s="535"/>
      <c r="R994" s="535"/>
      <c r="S994" s="535"/>
      <c r="T994" s="535"/>
      <c r="U994" s="535"/>
      <c r="V994" s="535"/>
      <c r="W994" s="535"/>
      <c r="X994" s="535"/>
      <c r="Y994" s="536"/>
    </row>
    <row r="995" spans="1:25" ht="12.75">
      <c r="A995" s="532" t="s">
        <v>5314</v>
      </c>
      <c r="B995" s="532">
        <v>41100666</v>
      </c>
      <c r="C995" s="532" t="s">
        <v>3180</v>
      </c>
      <c r="D995" s="532" t="s">
        <v>6637</v>
      </c>
      <c r="E995" s="532" t="s">
        <v>1416</v>
      </c>
      <c r="F995" s="532" t="s">
        <v>2395</v>
      </c>
      <c r="G995" s="532" t="s">
        <v>2392</v>
      </c>
      <c r="H995" s="533"/>
      <c r="I995" s="535"/>
      <c r="J995" s="535"/>
      <c r="K995" s="535"/>
      <c r="L995" s="535"/>
      <c r="M995" s="535"/>
      <c r="N995" s="535"/>
      <c r="O995" s="535"/>
      <c r="P995" s="535"/>
      <c r="Q995" s="535"/>
      <c r="R995" s="535"/>
      <c r="S995" s="535"/>
      <c r="T995" s="535"/>
      <c r="U995" s="535"/>
      <c r="V995" s="535"/>
      <c r="W995" s="535"/>
      <c r="X995" s="535"/>
      <c r="Y995" s="536"/>
    </row>
    <row r="996" spans="1:25" ht="12.75">
      <c r="A996" s="532" t="s">
        <v>3113</v>
      </c>
      <c r="B996" s="532">
        <v>41200122</v>
      </c>
      <c r="C996" s="532" t="s">
        <v>1476</v>
      </c>
      <c r="D996" s="532" t="s">
        <v>1476</v>
      </c>
      <c r="E996" s="532" t="s">
        <v>1585</v>
      </c>
      <c r="F996" s="532" t="s">
        <v>2391</v>
      </c>
      <c r="G996" s="532" t="s">
        <v>1468</v>
      </c>
      <c r="H996" s="532" t="s">
        <v>2392</v>
      </c>
      <c r="I996" s="535"/>
      <c r="J996" s="535"/>
      <c r="K996" s="535"/>
      <c r="L996" s="535"/>
      <c r="M996" s="535"/>
      <c r="N996" s="535"/>
      <c r="O996" s="535"/>
      <c r="P996" s="535"/>
      <c r="Q996" s="535"/>
      <c r="R996" s="535"/>
      <c r="S996" s="535"/>
      <c r="T996" s="535"/>
      <c r="U996" s="535"/>
      <c r="V996" s="535"/>
      <c r="W996" s="535"/>
      <c r="X996" s="535"/>
      <c r="Y996" s="536"/>
    </row>
    <row r="997" spans="1:25" ht="12.75">
      <c r="A997" s="532" t="s">
        <v>3120</v>
      </c>
      <c r="B997" s="532">
        <v>41200101</v>
      </c>
      <c r="C997" s="532" t="s">
        <v>1476</v>
      </c>
      <c r="D997" s="532" t="s">
        <v>1476</v>
      </c>
      <c r="E997" s="532" t="s">
        <v>1585</v>
      </c>
      <c r="F997" s="532" t="s">
        <v>2395</v>
      </c>
      <c r="G997" s="532" t="s">
        <v>2392</v>
      </c>
      <c r="H997" s="532" t="s">
        <v>2392</v>
      </c>
      <c r="I997" s="535"/>
      <c r="J997" s="535"/>
      <c r="K997" s="535"/>
      <c r="L997" s="535"/>
      <c r="M997" s="535"/>
      <c r="N997" s="535"/>
      <c r="O997" s="535"/>
      <c r="P997" s="535"/>
      <c r="Q997" s="535"/>
      <c r="R997" s="535"/>
      <c r="S997" s="535"/>
      <c r="T997" s="535"/>
      <c r="U997" s="535"/>
      <c r="V997" s="535"/>
      <c r="W997" s="535"/>
      <c r="X997" s="535"/>
      <c r="Y997" s="536"/>
    </row>
    <row r="998" spans="1:25" ht="12.75">
      <c r="A998" s="532" t="s">
        <v>5324</v>
      </c>
      <c r="B998" s="532">
        <v>41200176</v>
      </c>
      <c r="C998" s="532" t="s">
        <v>6638</v>
      </c>
      <c r="D998" s="532" t="s">
        <v>5325</v>
      </c>
      <c r="E998" s="532" t="s">
        <v>1405</v>
      </c>
      <c r="F998" s="532" t="s">
        <v>2391</v>
      </c>
      <c r="G998" s="532" t="s">
        <v>2392</v>
      </c>
      <c r="H998" s="532" t="s">
        <v>2391</v>
      </c>
      <c r="I998" s="535"/>
      <c r="J998" s="535"/>
      <c r="K998" s="535"/>
      <c r="L998" s="535"/>
      <c r="M998" s="535"/>
      <c r="N998" s="535"/>
      <c r="O998" s="535"/>
      <c r="P998" s="535"/>
      <c r="Q998" s="535"/>
      <c r="R998" s="535"/>
      <c r="S998" s="535"/>
      <c r="T998" s="535"/>
      <c r="U998" s="535"/>
      <c r="V998" s="535"/>
      <c r="W998" s="535"/>
      <c r="X998" s="535"/>
      <c r="Y998" s="536"/>
    </row>
    <row r="999" spans="1:25" ht="12.75">
      <c r="A999" s="532" t="s">
        <v>6639</v>
      </c>
      <c r="B999" s="532">
        <v>41200176</v>
      </c>
      <c r="C999" s="532" t="s">
        <v>6638</v>
      </c>
      <c r="D999" s="532" t="s">
        <v>5325</v>
      </c>
      <c r="E999" s="532" t="s">
        <v>1405</v>
      </c>
      <c r="F999" s="532" t="s">
        <v>2391</v>
      </c>
      <c r="G999" s="532" t="s">
        <v>2392</v>
      </c>
      <c r="H999" s="532" t="s">
        <v>2391</v>
      </c>
      <c r="I999" s="535"/>
      <c r="J999" s="535"/>
      <c r="K999" s="535"/>
      <c r="L999" s="535"/>
      <c r="M999" s="535"/>
      <c r="N999" s="535"/>
      <c r="O999" s="535"/>
      <c r="P999" s="535"/>
      <c r="Q999" s="535"/>
      <c r="R999" s="535"/>
      <c r="S999" s="535"/>
      <c r="T999" s="535"/>
      <c r="U999" s="535"/>
      <c r="V999" s="535"/>
      <c r="W999" s="535"/>
      <c r="X999" s="535"/>
      <c r="Y999" s="536"/>
    </row>
    <row r="1000" spans="1:25" ht="12.75">
      <c r="A1000" s="532" t="s">
        <v>3111</v>
      </c>
      <c r="B1000" s="532">
        <v>41200006</v>
      </c>
      <c r="C1000" s="532" t="s">
        <v>1477</v>
      </c>
      <c r="D1000" s="532" t="s">
        <v>6640</v>
      </c>
      <c r="E1000" s="532" t="s">
        <v>1405</v>
      </c>
      <c r="F1000" s="532" t="s">
        <v>2391</v>
      </c>
      <c r="G1000" s="532" t="s">
        <v>1468</v>
      </c>
      <c r="H1000" s="532" t="s">
        <v>2392</v>
      </c>
      <c r="I1000" s="535"/>
      <c r="J1000" s="535"/>
      <c r="K1000" s="535"/>
      <c r="L1000" s="535"/>
      <c r="M1000" s="535"/>
      <c r="N1000" s="535"/>
      <c r="O1000" s="535"/>
      <c r="P1000" s="535"/>
      <c r="Q1000" s="535"/>
      <c r="R1000" s="535"/>
      <c r="S1000" s="535"/>
      <c r="T1000" s="535"/>
      <c r="U1000" s="535"/>
      <c r="V1000" s="535"/>
      <c r="W1000" s="535"/>
      <c r="X1000" s="535"/>
      <c r="Y1000" s="536"/>
    </row>
    <row r="1001" spans="1:25" ht="12.75">
      <c r="A1001" s="532" t="s">
        <v>3110</v>
      </c>
      <c r="B1001" s="532">
        <v>41200006</v>
      </c>
      <c r="C1001" s="532" t="s">
        <v>1477</v>
      </c>
      <c r="D1001" s="532" t="s">
        <v>6640</v>
      </c>
      <c r="E1001" s="532" t="s">
        <v>1405</v>
      </c>
      <c r="F1001" s="532" t="s">
        <v>2391</v>
      </c>
      <c r="G1001" s="532" t="s">
        <v>1468</v>
      </c>
      <c r="H1001" s="532" t="s">
        <v>2392</v>
      </c>
      <c r="I1001" s="535"/>
      <c r="J1001" s="535"/>
      <c r="K1001" s="535"/>
      <c r="L1001" s="535"/>
      <c r="M1001" s="535"/>
      <c r="N1001" s="535"/>
      <c r="O1001" s="535"/>
      <c r="P1001" s="535"/>
      <c r="Q1001" s="535"/>
      <c r="R1001" s="535"/>
      <c r="S1001" s="535"/>
      <c r="T1001" s="535"/>
      <c r="U1001" s="535"/>
      <c r="V1001" s="535"/>
      <c r="W1001" s="535"/>
      <c r="X1001" s="535"/>
      <c r="Y1001" s="536"/>
    </row>
    <row r="1002" spans="1:25" ht="12.75">
      <c r="A1002" s="532" t="s">
        <v>3109</v>
      </c>
      <c r="B1002" s="532">
        <v>41100286</v>
      </c>
      <c r="C1002" s="532" t="s">
        <v>1476</v>
      </c>
      <c r="D1002" s="532" t="s">
        <v>6610</v>
      </c>
      <c r="E1002" s="532" t="s">
        <v>1424</v>
      </c>
      <c r="F1002" s="532" t="s">
        <v>2395</v>
      </c>
      <c r="G1002" s="532" t="s">
        <v>2392</v>
      </c>
      <c r="H1002" s="532" t="s">
        <v>2392</v>
      </c>
      <c r="I1002" s="535"/>
      <c r="J1002" s="535"/>
      <c r="K1002" s="535"/>
      <c r="L1002" s="535"/>
      <c r="M1002" s="535"/>
      <c r="N1002" s="535"/>
      <c r="O1002" s="535"/>
      <c r="P1002" s="535"/>
      <c r="Q1002" s="535"/>
      <c r="R1002" s="535"/>
      <c r="S1002" s="535"/>
      <c r="T1002" s="535"/>
      <c r="U1002" s="535"/>
      <c r="V1002" s="535"/>
      <c r="W1002" s="535"/>
      <c r="X1002" s="535"/>
      <c r="Y1002" s="536"/>
    </row>
    <row r="1003" spans="1:25" ht="12.75">
      <c r="A1003" s="532" t="s">
        <v>3141</v>
      </c>
      <c r="B1003" s="532">
        <v>41200004</v>
      </c>
      <c r="C1003" s="532" t="s">
        <v>1476</v>
      </c>
      <c r="D1003" s="532" t="s">
        <v>1476</v>
      </c>
      <c r="E1003" s="532" t="s">
        <v>1424</v>
      </c>
      <c r="F1003" s="532" t="s">
        <v>2391</v>
      </c>
      <c r="G1003" s="532" t="s">
        <v>1468</v>
      </c>
      <c r="H1003" s="532" t="s">
        <v>2392</v>
      </c>
      <c r="I1003" s="535"/>
      <c r="J1003" s="535"/>
      <c r="K1003" s="535"/>
      <c r="L1003" s="535"/>
      <c r="M1003" s="535"/>
      <c r="N1003" s="535"/>
      <c r="O1003" s="535"/>
      <c r="P1003" s="535"/>
      <c r="Q1003" s="535"/>
      <c r="R1003" s="535"/>
      <c r="S1003" s="535"/>
      <c r="T1003" s="535"/>
      <c r="U1003" s="535"/>
      <c r="V1003" s="535"/>
      <c r="W1003" s="535"/>
      <c r="X1003" s="535"/>
      <c r="Y1003" s="536"/>
    </row>
    <row r="1004" spans="1:25" ht="12.75">
      <c r="A1004" s="532" t="s">
        <v>3095</v>
      </c>
      <c r="B1004" s="532">
        <v>41200007</v>
      </c>
      <c r="C1004" s="532" t="s">
        <v>1591</v>
      </c>
      <c r="D1004" s="532" t="s">
        <v>6608</v>
      </c>
      <c r="E1004" s="532" t="s">
        <v>1405</v>
      </c>
      <c r="F1004" s="532" t="s">
        <v>2395</v>
      </c>
      <c r="G1004" s="532" t="s">
        <v>1469</v>
      </c>
      <c r="H1004" s="532" t="s">
        <v>2392</v>
      </c>
      <c r="I1004" s="535"/>
      <c r="J1004" s="535"/>
      <c r="K1004" s="535"/>
      <c r="L1004" s="535"/>
      <c r="M1004" s="535"/>
      <c r="N1004" s="535"/>
      <c r="O1004" s="535"/>
      <c r="P1004" s="535"/>
      <c r="Q1004" s="535"/>
      <c r="R1004" s="535"/>
      <c r="S1004" s="535"/>
      <c r="T1004" s="535"/>
      <c r="U1004" s="535"/>
      <c r="V1004" s="535"/>
      <c r="W1004" s="535"/>
      <c r="X1004" s="535"/>
      <c r="Y1004" s="536"/>
    </row>
    <row r="1005" spans="1:25" ht="12.75">
      <c r="A1005" s="532" t="s">
        <v>3092</v>
      </c>
      <c r="B1005" s="532">
        <v>41200007</v>
      </c>
      <c r="C1005" s="532" t="s">
        <v>1591</v>
      </c>
      <c r="D1005" s="532" t="s">
        <v>6608</v>
      </c>
      <c r="E1005" s="532" t="s">
        <v>1405</v>
      </c>
      <c r="F1005" s="532" t="s">
        <v>2395</v>
      </c>
      <c r="G1005" s="532" t="s">
        <v>1469</v>
      </c>
      <c r="H1005" s="532" t="s">
        <v>2392</v>
      </c>
      <c r="I1005" s="535"/>
      <c r="J1005" s="535"/>
      <c r="K1005" s="535"/>
      <c r="L1005" s="535"/>
      <c r="M1005" s="535"/>
      <c r="N1005" s="535"/>
      <c r="O1005" s="535"/>
      <c r="P1005" s="535"/>
      <c r="Q1005" s="535"/>
      <c r="R1005" s="535"/>
      <c r="S1005" s="535"/>
      <c r="T1005" s="535"/>
      <c r="U1005" s="535"/>
      <c r="V1005" s="535"/>
      <c r="W1005" s="535"/>
      <c r="X1005" s="535"/>
      <c r="Y1005" s="536"/>
    </row>
    <row r="1006" spans="1:25" ht="12.75">
      <c r="A1006" s="532" t="s">
        <v>6822</v>
      </c>
      <c r="B1006" s="532">
        <v>42100263</v>
      </c>
      <c r="C1006" s="532" t="s">
        <v>6816</v>
      </c>
      <c r="D1006" s="532" t="s">
        <v>6816</v>
      </c>
      <c r="E1006" s="532" t="s">
        <v>1405</v>
      </c>
      <c r="F1006" s="532" t="s">
        <v>6680</v>
      </c>
      <c r="G1006" s="532" t="s">
        <v>6680</v>
      </c>
      <c r="H1006" s="533"/>
      <c r="I1006" s="535"/>
      <c r="J1006" s="535"/>
      <c r="K1006" s="535"/>
      <c r="L1006" s="535"/>
      <c r="M1006" s="535"/>
      <c r="N1006" s="535"/>
      <c r="O1006" s="535"/>
      <c r="P1006" s="535"/>
      <c r="Q1006" s="535"/>
      <c r="R1006" s="535"/>
      <c r="S1006" s="535"/>
      <c r="T1006" s="535"/>
      <c r="U1006" s="535"/>
      <c r="V1006" s="535"/>
      <c r="W1006" s="535"/>
      <c r="X1006" s="535"/>
      <c r="Y1006" s="536"/>
    </row>
    <row r="1007" spans="1:25" ht="12.75">
      <c r="A1007" s="532" t="s">
        <v>6823</v>
      </c>
      <c r="B1007" s="532">
        <v>42100263</v>
      </c>
      <c r="C1007" s="532" t="s">
        <v>6816</v>
      </c>
      <c r="D1007" s="532" t="s">
        <v>6816</v>
      </c>
      <c r="E1007" s="532" t="s">
        <v>1405</v>
      </c>
      <c r="F1007" s="532" t="s">
        <v>6684</v>
      </c>
      <c r="G1007" s="532" t="s">
        <v>6680</v>
      </c>
      <c r="H1007" s="533"/>
      <c r="I1007" s="535"/>
      <c r="J1007" s="535"/>
      <c r="K1007" s="535"/>
      <c r="L1007" s="535"/>
      <c r="M1007" s="535"/>
      <c r="N1007" s="535"/>
      <c r="O1007" s="535"/>
      <c r="P1007" s="535"/>
      <c r="Q1007" s="535"/>
      <c r="R1007" s="535"/>
      <c r="S1007" s="535"/>
      <c r="T1007" s="535"/>
      <c r="U1007" s="535"/>
      <c r="V1007" s="535"/>
      <c r="W1007" s="535"/>
      <c r="X1007" s="535"/>
      <c r="Y1007" s="536"/>
    </row>
    <row r="1008" spans="1:25" ht="12.75">
      <c r="A1008" s="532" t="s">
        <v>6824</v>
      </c>
      <c r="B1008" s="532" t="s">
        <v>6825</v>
      </c>
      <c r="C1008" s="532" t="s">
        <v>6826</v>
      </c>
      <c r="D1008" s="533"/>
      <c r="E1008" s="532" t="s">
        <v>1403</v>
      </c>
      <c r="F1008" s="532" t="s">
        <v>6684</v>
      </c>
      <c r="G1008" s="532" t="s">
        <v>6680</v>
      </c>
      <c r="H1008" s="533"/>
      <c r="I1008" s="535"/>
      <c r="J1008" s="535"/>
      <c r="K1008" s="535"/>
      <c r="L1008" s="535"/>
      <c r="M1008" s="535"/>
      <c r="N1008" s="535"/>
      <c r="O1008" s="535"/>
      <c r="P1008" s="535"/>
      <c r="Q1008" s="535"/>
      <c r="R1008" s="535"/>
      <c r="S1008" s="535"/>
      <c r="T1008" s="535"/>
      <c r="U1008" s="535"/>
      <c r="V1008" s="535"/>
      <c r="W1008" s="535"/>
      <c r="X1008" s="535"/>
      <c r="Y1008" s="536"/>
    </row>
    <row r="1009" spans="1:25" ht="12.75">
      <c r="A1009" s="532" t="s">
        <v>6827</v>
      </c>
      <c r="B1009" s="532">
        <v>42100259</v>
      </c>
      <c r="C1009" s="532" t="s">
        <v>6769</v>
      </c>
      <c r="D1009" s="532" t="s">
        <v>6769</v>
      </c>
      <c r="E1009" s="532" t="s">
        <v>1405</v>
      </c>
      <c r="F1009" s="532" t="s">
        <v>6684</v>
      </c>
      <c r="G1009" s="532" t="s">
        <v>1468</v>
      </c>
      <c r="H1009" s="533"/>
      <c r="I1009" s="535"/>
      <c r="J1009" s="535"/>
      <c r="K1009" s="535"/>
      <c r="L1009" s="535"/>
      <c r="M1009" s="535"/>
      <c r="N1009" s="535"/>
      <c r="O1009" s="535"/>
      <c r="P1009" s="535"/>
      <c r="Q1009" s="535"/>
      <c r="R1009" s="535"/>
      <c r="S1009" s="535"/>
      <c r="T1009" s="535"/>
      <c r="U1009" s="535"/>
      <c r="V1009" s="535"/>
      <c r="W1009" s="535"/>
      <c r="X1009" s="535"/>
      <c r="Y1009" s="536"/>
    </row>
    <row r="1010" spans="1:25" ht="12.75">
      <c r="A1010" s="532" t="s">
        <v>6828</v>
      </c>
      <c r="B1010" s="532">
        <v>42200031</v>
      </c>
      <c r="C1010" s="532" t="s">
        <v>6786</v>
      </c>
      <c r="D1010" s="532" t="s">
        <v>6786</v>
      </c>
      <c r="E1010" s="532" t="s">
        <v>6788</v>
      </c>
      <c r="F1010" s="532" t="s">
        <v>6829</v>
      </c>
      <c r="G1010" s="532" t="s">
        <v>1468</v>
      </c>
      <c r="H1010" s="533"/>
      <c r="I1010" s="535"/>
      <c r="J1010" s="535"/>
      <c r="K1010" s="535"/>
      <c r="L1010" s="535"/>
      <c r="M1010" s="535"/>
      <c r="N1010" s="535"/>
      <c r="O1010" s="535"/>
      <c r="P1010" s="535"/>
      <c r="Q1010" s="535"/>
      <c r="R1010" s="535"/>
      <c r="S1010" s="535"/>
      <c r="T1010" s="535"/>
      <c r="U1010" s="535"/>
      <c r="V1010" s="535"/>
      <c r="W1010" s="535"/>
      <c r="X1010" s="535"/>
      <c r="Y1010" s="536"/>
    </row>
    <row r="1011" spans="1:25" ht="12.75">
      <c r="A1011" s="532" t="s">
        <v>6830</v>
      </c>
      <c r="B1011" s="532">
        <v>42200069</v>
      </c>
      <c r="C1011" s="532" t="s">
        <v>6831</v>
      </c>
      <c r="D1011" s="532" t="s">
        <v>6832</v>
      </c>
      <c r="E1011" s="532" t="s">
        <v>6788</v>
      </c>
      <c r="F1011" s="532" t="s">
        <v>6698</v>
      </c>
      <c r="G1011" s="532" t="s">
        <v>1468</v>
      </c>
      <c r="H1011" s="533"/>
      <c r="I1011" s="535"/>
      <c r="J1011" s="535"/>
      <c r="K1011" s="535"/>
      <c r="L1011" s="535"/>
      <c r="M1011" s="535"/>
      <c r="N1011" s="535"/>
      <c r="O1011" s="535"/>
      <c r="P1011" s="535"/>
      <c r="Q1011" s="535"/>
      <c r="R1011" s="535"/>
      <c r="S1011" s="535"/>
      <c r="T1011" s="535"/>
      <c r="U1011" s="535"/>
      <c r="V1011" s="535"/>
      <c r="W1011" s="535"/>
      <c r="X1011" s="535"/>
      <c r="Y1011" s="536"/>
    </row>
    <row r="1012" spans="1:25" ht="12.75">
      <c r="A1012" s="532" t="s">
        <v>6641</v>
      </c>
      <c r="B1012" s="532">
        <v>41200178</v>
      </c>
      <c r="C1012" s="532" t="s">
        <v>6642</v>
      </c>
      <c r="D1012" s="532" t="s">
        <v>6643</v>
      </c>
      <c r="E1012" s="532" t="s">
        <v>6644</v>
      </c>
      <c r="F1012" s="532" t="s">
        <v>2391</v>
      </c>
      <c r="G1012" s="532" t="s">
        <v>2392</v>
      </c>
      <c r="H1012" s="532" t="s">
        <v>2391</v>
      </c>
      <c r="I1012" s="535"/>
      <c r="J1012" s="535"/>
      <c r="K1012" s="535"/>
      <c r="L1012" s="535"/>
      <c r="M1012" s="535"/>
      <c r="N1012" s="535"/>
      <c r="O1012" s="535"/>
      <c r="P1012" s="535"/>
      <c r="Q1012" s="535"/>
      <c r="R1012" s="535"/>
      <c r="S1012" s="535"/>
      <c r="T1012" s="535"/>
      <c r="U1012" s="535"/>
      <c r="V1012" s="535"/>
      <c r="W1012" s="535"/>
      <c r="X1012" s="535"/>
      <c r="Y1012" s="536"/>
    </row>
    <row r="1013" spans="1:25" ht="12.75">
      <c r="A1013" s="532" t="s">
        <v>6645</v>
      </c>
      <c r="B1013" s="532">
        <v>41200178</v>
      </c>
      <c r="C1013" s="532" t="s">
        <v>6642</v>
      </c>
      <c r="D1013" s="532" t="s">
        <v>6643</v>
      </c>
      <c r="E1013" s="532" t="s">
        <v>6644</v>
      </c>
      <c r="F1013" s="532" t="s">
        <v>2391</v>
      </c>
      <c r="G1013" s="532" t="s">
        <v>2392</v>
      </c>
      <c r="H1013" s="532" t="s">
        <v>2391</v>
      </c>
      <c r="I1013" s="535"/>
      <c r="J1013" s="535"/>
      <c r="K1013" s="535"/>
      <c r="L1013" s="535"/>
      <c r="M1013" s="535"/>
      <c r="N1013" s="535"/>
      <c r="O1013" s="535"/>
      <c r="P1013" s="535"/>
      <c r="Q1013" s="535"/>
      <c r="R1013" s="535"/>
      <c r="S1013" s="535"/>
      <c r="T1013" s="535"/>
      <c r="U1013" s="535"/>
      <c r="V1013" s="535"/>
      <c r="W1013" s="535"/>
      <c r="X1013" s="535"/>
      <c r="Y1013" s="536"/>
    </row>
    <row r="1014" spans="1:25" ht="12.75">
      <c r="A1014" s="532" t="s">
        <v>3062</v>
      </c>
      <c r="B1014" s="532">
        <v>41200173</v>
      </c>
      <c r="C1014" s="532" t="s">
        <v>1591</v>
      </c>
      <c r="D1014" s="532" t="s">
        <v>1405</v>
      </c>
      <c r="E1014" s="532" t="s">
        <v>1405</v>
      </c>
      <c r="F1014" s="532" t="s">
        <v>2395</v>
      </c>
      <c r="G1014" s="532" t="s">
        <v>1468</v>
      </c>
      <c r="H1014" s="532" t="s">
        <v>2392</v>
      </c>
      <c r="I1014" s="535"/>
      <c r="J1014" s="535"/>
      <c r="K1014" s="535"/>
      <c r="L1014" s="535"/>
      <c r="M1014" s="535"/>
      <c r="N1014" s="535"/>
      <c r="O1014" s="535"/>
      <c r="P1014" s="535"/>
      <c r="Q1014" s="535"/>
      <c r="R1014" s="535"/>
      <c r="S1014" s="535"/>
      <c r="T1014" s="535"/>
      <c r="U1014" s="535"/>
      <c r="V1014" s="535"/>
      <c r="W1014" s="535"/>
      <c r="X1014" s="535"/>
      <c r="Y1014" s="536"/>
    </row>
    <row r="1015" spans="1:25" ht="12.75">
      <c r="A1015" s="532" t="s">
        <v>3061</v>
      </c>
      <c r="B1015" s="532">
        <v>41200173</v>
      </c>
      <c r="C1015" s="532" t="s">
        <v>1591</v>
      </c>
      <c r="D1015" s="532" t="s">
        <v>1405</v>
      </c>
      <c r="E1015" s="532" t="s">
        <v>1405</v>
      </c>
      <c r="F1015" s="532" t="s">
        <v>2395</v>
      </c>
      <c r="G1015" s="532" t="s">
        <v>1468</v>
      </c>
      <c r="H1015" s="532" t="s">
        <v>2392</v>
      </c>
      <c r="I1015" s="535"/>
      <c r="J1015" s="535"/>
      <c r="K1015" s="535"/>
      <c r="L1015" s="535"/>
      <c r="M1015" s="535"/>
      <c r="N1015" s="535"/>
      <c r="O1015" s="535"/>
      <c r="P1015" s="535"/>
      <c r="Q1015" s="535"/>
      <c r="R1015" s="535"/>
      <c r="S1015" s="535"/>
      <c r="T1015" s="535"/>
      <c r="U1015" s="535"/>
      <c r="V1015" s="535"/>
      <c r="W1015" s="535"/>
      <c r="X1015" s="535"/>
      <c r="Y1015" s="536"/>
    </row>
    <row r="1016" spans="1:25" ht="12.75">
      <c r="A1016" s="532" t="s">
        <v>3097</v>
      </c>
      <c r="B1016" s="532">
        <v>41200122</v>
      </c>
      <c r="C1016" s="532" t="s">
        <v>1476</v>
      </c>
      <c r="D1016" s="532" t="s">
        <v>1476</v>
      </c>
      <c r="E1016" s="532" t="s">
        <v>1585</v>
      </c>
      <c r="F1016" s="532" t="s">
        <v>2395</v>
      </c>
      <c r="G1016" s="532" t="s">
        <v>1469</v>
      </c>
      <c r="H1016" s="532" t="s">
        <v>2392</v>
      </c>
      <c r="I1016" s="535"/>
      <c r="J1016" s="535"/>
      <c r="K1016" s="535"/>
      <c r="L1016" s="535"/>
      <c r="M1016" s="535"/>
      <c r="N1016" s="535"/>
      <c r="O1016" s="535"/>
      <c r="P1016" s="535"/>
      <c r="Q1016" s="535"/>
      <c r="R1016" s="535"/>
      <c r="S1016" s="535"/>
      <c r="T1016" s="535"/>
      <c r="U1016" s="535"/>
      <c r="V1016" s="535"/>
      <c r="W1016" s="535"/>
      <c r="X1016" s="535"/>
      <c r="Y1016" s="536"/>
    </row>
    <row r="1017" spans="1:25" ht="12.75">
      <c r="A1017" s="532" t="s">
        <v>3099</v>
      </c>
      <c r="B1017" s="532">
        <v>41200133</v>
      </c>
      <c r="C1017" s="532" t="s">
        <v>1476</v>
      </c>
      <c r="D1017" s="532" t="s">
        <v>6605</v>
      </c>
      <c r="E1017" s="532" t="s">
        <v>1429</v>
      </c>
      <c r="F1017" s="532" t="s">
        <v>2395</v>
      </c>
      <c r="G1017" s="532" t="s">
        <v>1468</v>
      </c>
      <c r="H1017" s="532" t="s">
        <v>2392</v>
      </c>
      <c r="I1017" s="535"/>
      <c r="J1017" s="535"/>
      <c r="K1017" s="535"/>
      <c r="L1017" s="535"/>
      <c r="M1017" s="535"/>
      <c r="N1017" s="535"/>
      <c r="O1017" s="535"/>
      <c r="P1017" s="535"/>
      <c r="Q1017" s="535"/>
      <c r="R1017" s="535"/>
      <c r="S1017" s="535"/>
      <c r="T1017" s="535"/>
      <c r="U1017" s="535"/>
      <c r="V1017" s="535"/>
      <c r="W1017" s="535"/>
      <c r="X1017" s="535"/>
      <c r="Y1017" s="536"/>
    </row>
    <row r="1018" spans="1:25" ht="12.75">
      <c r="A1018" s="532" t="s">
        <v>3105</v>
      </c>
      <c r="B1018" s="532">
        <v>41000544</v>
      </c>
      <c r="C1018" s="532" t="s">
        <v>1476</v>
      </c>
      <c r="D1018" s="532" t="s">
        <v>6610</v>
      </c>
      <c r="E1018" s="532" t="s">
        <v>1405</v>
      </c>
      <c r="F1018" s="532" t="s">
        <v>2395</v>
      </c>
      <c r="G1018" s="532" t="s">
        <v>1468</v>
      </c>
      <c r="H1018" s="532" t="s">
        <v>2392</v>
      </c>
      <c r="I1018" s="535"/>
      <c r="J1018" s="535"/>
      <c r="K1018" s="535"/>
      <c r="L1018" s="535"/>
      <c r="M1018" s="535"/>
      <c r="N1018" s="535"/>
      <c r="O1018" s="535"/>
      <c r="P1018" s="535"/>
      <c r="Q1018" s="535"/>
      <c r="R1018" s="535"/>
      <c r="S1018" s="535"/>
      <c r="T1018" s="535"/>
      <c r="U1018" s="535"/>
      <c r="V1018" s="535"/>
      <c r="W1018" s="535"/>
      <c r="X1018" s="535"/>
      <c r="Y1018" s="536"/>
    </row>
    <row r="1019" spans="1:25" ht="12.75">
      <c r="A1019" s="532" t="s">
        <v>3104</v>
      </c>
      <c r="B1019" s="532">
        <v>41200029</v>
      </c>
      <c r="C1019" s="532" t="s">
        <v>1476</v>
      </c>
      <c r="D1019" s="532" t="s">
        <v>6610</v>
      </c>
      <c r="E1019" s="532" t="s">
        <v>1405</v>
      </c>
      <c r="F1019" s="532" t="s">
        <v>2395</v>
      </c>
      <c r="G1019" s="532" t="s">
        <v>1468</v>
      </c>
      <c r="H1019" s="532" t="s">
        <v>2392</v>
      </c>
      <c r="I1019" s="535"/>
      <c r="J1019" s="535"/>
      <c r="K1019" s="535"/>
      <c r="L1019" s="535"/>
      <c r="M1019" s="535"/>
      <c r="N1019" s="535"/>
      <c r="O1019" s="535"/>
      <c r="P1019" s="535"/>
      <c r="Q1019" s="535"/>
      <c r="R1019" s="535"/>
      <c r="S1019" s="535"/>
      <c r="T1019" s="535"/>
      <c r="U1019" s="535"/>
      <c r="V1019" s="535"/>
      <c r="W1019" s="535"/>
      <c r="X1019" s="535"/>
      <c r="Y1019" s="536"/>
    </row>
    <row r="1020" spans="1:25" ht="12.75">
      <c r="A1020" s="532" t="s">
        <v>3076</v>
      </c>
      <c r="B1020" s="532">
        <v>41200076</v>
      </c>
      <c r="C1020" s="532" t="s">
        <v>1476</v>
      </c>
      <c r="D1020" s="532" t="s">
        <v>1476</v>
      </c>
      <c r="E1020" s="532" t="s">
        <v>1585</v>
      </c>
      <c r="F1020" s="532" t="s">
        <v>2395</v>
      </c>
      <c r="G1020" s="532" t="s">
        <v>1469</v>
      </c>
      <c r="H1020" s="532" t="s">
        <v>2392</v>
      </c>
      <c r="I1020" s="535"/>
      <c r="J1020" s="535"/>
      <c r="K1020" s="535"/>
      <c r="L1020" s="535"/>
      <c r="M1020" s="535"/>
      <c r="N1020" s="535"/>
      <c r="O1020" s="535"/>
      <c r="P1020" s="535"/>
      <c r="Q1020" s="535"/>
      <c r="R1020" s="535"/>
      <c r="S1020" s="535"/>
      <c r="T1020" s="535"/>
      <c r="U1020" s="535"/>
      <c r="V1020" s="535"/>
      <c r="W1020" s="535"/>
      <c r="X1020" s="535"/>
      <c r="Y1020" s="536"/>
    </row>
    <row r="1021" spans="1:25" ht="12.75">
      <c r="A1021" s="532" t="s">
        <v>3074</v>
      </c>
      <c r="B1021" s="532">
        <v>41200076</v>
      </c>
      <c r="C1021" s="532" t="s">
        <v>1476</v>
      </c>
      <c r="D1021" s="532" t="s">
        <v>1476</v>
      </c>
      <c r="E1021" s="532" t="s">
        <v>1585</v>
      </c>
      <c r="F1021" s="532" t="s">
        <v>2395</v>
      </c>
      <c r="G1021" s="532" t="s">
        <v>1469</v>
      </c>
      <c r="H1021" s="532" t="s">
        <v>2392</v>
      </c>
      <c r="I1021" s="535"/>
      <c r="J1021" s="535"/>
      <c r="K1021" s="535"/>
      <c r="L1021" s="535"/>
      <c r="M1021" s="535"/>
      <c r="N1021" s="535"/>
      <c r="O1021" s="535"/>
      <c r="P1021" s="535"/>
      <c r="Q1021" s="535"/>
      <c r="R1021" s="535"/>
      <c r="S1021" s="535"/>
      <c r="T1021" s="535"/>
      <c r="U1021" s="535"/>
      <c r="V1021" s="535"/>
      <c r="W1021" s="535"/>
      <c r="X1021" s="535"/>
      <c r="Y1021" s="536"/>
    </row>
    <row r="1022" spans="1:25" ht="12.75">
      <c r="A1022" s="532" t="s">
        <v>3084</v>
      </c>
      <c r="B1022" s="532">
        <v>41100435</v>
      </c>
      <c r="C1022" s="532" t="s">
        <v>3801</v>
      </c>
      <c r="D1022" s="532" t="s">
        <v>1482</v>
      </c>
      <c r="E1022" s="532" t="s">
        <v>1585</v>
      </c>
      <c r="F1022" s="532" t="s">
        <v>2395</v>
      </c>
      <c r="G1022" s="532" t="s">
        <v>1469</v>
      </c>
      <c r="H1022" s="533"/>
      <c r="I1022" s="535"/>
      <c r="J1022" s="535"/>
      <c r="K1022" s="535"/>
      <c r="L1022" s="535"/>
      <c r="M1022" s="535"/>
      <c r="N1022" s="535"/>
      <c r="O1022" s="535"/>
      <c r="P1022" s="535"/>
      <c r="Q1022" s="535"/>
      <c r="R1022" s="535"/>
      <c r="S1022" s="535"/>
      <c r="T1022" s="535"/>
      <c r="U1022" s="535"/>
      <c r="V1022" s="535"/>
      <c r="W1022" s="535"/>
      <c r="X1022" s="535"/>
      <c r="Y1022" s="536"/>
    </row>
    <row r="1023" spans="1:25" ht="12.75">
      <c r="A1023" s="532" t="s">
        <v>5256</v>
      </c>
      <c r="B1023" s="532">
        <v>41000558</v>
      </c>
      <c r="C1023" s="532" t="s">
        <v>6607</v>
      </c>
      <c r="D1023" s="532" t="s">
        <v>6607</v>
      </c>
      <c r="E1023" s="532" t="s">
        <v>1405</v>
      </c>
      <c r="F1023" s="532" t="s">
        <v>5127</v>
      </c>
      <c r="G1023" s="532" t="s">
        <v>2392</v>
      </c>
      <c r="H1023" s="533"/>
      <c r="I1023" s="535"/>
      <c r="J1023" s="535"/>
      <c r="K1023" s="535"/>
      <c r="L1023" s="535"/>
      <c r="M1023" s="535"/>
      <c r="N1023" s="535"/>
      <c r="O1023" s="535"/>
      <c r="P1023" s="535"/>
      <c r="Q1023" s="535"/>
      <c r="R1023" s="535"/>
      <c r="S1023" s="535"/>
      <c r="T1023" s="535"/>
      <c r="U1023" s="535"/>
      <c r="V1023" s="535"/>
      <c r="W1023" s="535"/>
      <c r="X1023" s="535"/>
      <c r="Y1023" s="536"/>
    </row>
    <row r="1024" spans="1:25" ht="12.75">
      <c r="A1024" s="532" t="s">
        <v>5255</v>
      </c>
      <c r="B1024" s="532">
        <v>41000558</v>
      </c>
      <c r="C1024" s="532" t="s">
        <v>6607</v>
      </c>
      <c r="D1024" s="532" t="s">
        <v>6607</v>
      </c>
      <c r="E1024" s="532" t="s">
        <v>1405</v>
      </c>
      <c r="F1024" s="532" t="s">
        <v>5127</v>
      </c>
      <c r="G1024" s="532" t="s">
        <v>2392</v>
      </c>
      <c r="H1024" s="533"/>
      <c r="I1024" s="535"/>
      <c r="J1024" s="535"/>
      <c r="K1024" s="535"/>
      <c r="L1024" s="535"/>
      <c r="M1024" s="535"/>
      <c r="N1024" s="535"/>
      <c r="O1024" s="535"/>
      <c r="P1024" s="535"/>
      <c r="Q1024" s="535"/>
      <c r="R1024" s="535"/>
      <c r="S1024" s="535"/>
      <c r="T1024" s="535"/>
      <c r="U1024" s="535"/>
      <c r="V1024" s="535"/>
      <c r="W1024" s="535"/>
      <c r="X1024" s="535"/>
      <c r="Y1024" s="536"/>
    </row>
    <row r="1025" spans="1:25" ht="12.75">
      <c r="A1025" s="532" t="s">
        <v>3071</v>
      </c>
      <c r="B1025" s="532">
        <v>41000544</v>
      </c>
      <c r="C1025" s="532" t="s">
        <v>1476</v>
      </c>
      <c r="D1025" s="532" t="s">
        <v>6610</v>
      </c>
      <c r="E1025" s="532" t="s">
        <v>1405</v>
      </c>
      <c r="F1025" s="532" t="s">
        <v>2391</v>
      </c>
      <c r="G1025" s="532" t="s">
        <v>1468</v>
      </c>
      <c r="H1025" s="532" t="s">
        <v>2392</v>
      </c>
      <c r="I1025" s="535"/>
      <c r="J1025" s="535"/>
      <c r="K1025" s="535"/>
      <c r="L1025" s="535"/>
      <c r="M1025" s="535"/>
      <c r="N1025" s="535"/>
      <c r="O1025" s="535"/>
      <c r="P1025" s="535"/>
      <c r="Q1025" s="535"/>
      <c r="R1025" s="535"/>
      <c r="S1025" s="535"/>
      <c r="T1025" s="535"/>
      <c r="U1025" s="535"/>
      <c r="V1025" s="535"/>
      <c r="W1025" s="535"/>
      <c r="X1025" s="535"/>
      <c r="Y1025" s="536"/>
    </row>
    <row r="1026" spans="1:25" ht="12.75">
      <c r="A1026" s="532" t="s">
        <v>3060</v>
      </c>
      <c r="B1026" s="532">
        <v>41200127</v>
      </c>
      <c r="C1026" s="532" t="s">
        <v>1591</v>
      </c>
      <c r="D1026" s="532" t="s">
        <v>6606</v>
      </c>
      <c r="E1026" s="532" t="s">
        <v>1431</v>
      </c>
      <c r="F1026" s="532" t="s">
        <v>2391</v>
      </c>
      <c r="G1026" s="532" t="s">
        <v>2392</v>
      </c>
      <c r="H1026" s="532" t="s">
        <v>2392</v>
      </c>
      <c r="I1026" s="535"/>
      <c r="J1026" s="535"/>
      <c r="K1026" s="535"/>
      <c r="L1026" s="535"/>
      <c r="M1026" s="535"/>
      <c r="N1026" s="535"/>
      <c r="O1026" s="535"/>
      <c r="P1026" s="535"/>
      <c r="Q1026" s="535"/>
      <c r="R1026" s="535"/>
      <c r="S1026" s="535"/>
      <c r="T1026" s="535"/>
      <c r="U1026" s="535"/>
      <c r="V1026" s="535"/>
      <c r="W1026" s="535"/>
      <c r="X1026" s="535"/>
      <c r="Y1026" s="536"/>
    </row>
    <row r="1027" spans="1:25" ht="12.75">
      <c r="A1027" s="532" t="s">
        <v>3059</v>
      </c>
      <c r="B1027" s="532">
        <v>41200127</v>
      </c>
      <c r="C1027" s="532" t="s">
        <v>1591</v>
      </c>
      <c r="D1027" s="532" t="s">
        <v>6606</v>
      </c>
      <c r="E1027" s="532" t="s">
        <v>1431</v>
      </c>
      <c r="F1027" s="532" t="s">
        <v>2391</v>
      </c>
      <c r="G1027" s="532" t="s">
        <v>2392</v>
      </c>
      <c r="H1027" s="532" t="s">
        <v>2392</v>
      </c>
      <c r="I1027" s="535"/>
      <c r="J1027" s="535"/>
      <c r="K1027" s="535"/>
      <c r="L1027" s="535"/>
      <c r="M1027" s="535"/>
      <c r="N1027" s="535"/>
      <c r="O1027" s="535"/>
      <c r="P1027" s="535"/>
      <c r="Q1027" s="535"/>
      <c r="R1027" s="535"/>
      <c r="S1027" s="535"/>
      <c r="T1027" s="535"/>
      <c r="U1027" s="535"/>
      <c r="V1027" s="535"/>
      <c r="W1027" s="535"/>
      <c r="X1027" s="535"/>
      <c r="Y1027" s="536"/>
    </row>
    <row r="1028" spans="1:25" ht="12.75">
      <c r="A1028" s="532" t="s">
        <v>3073</v>
      </c>
      <c r="B1028" s="532">
        <v>41200131</v>
      </c>
      <c r="C1028" s="532" t="s">
        <v>1476</v>
      </c>
      <c r="D1028" s="532" t="s">
        <v>6606</v>
      </c>
      <c r="E1028" s="532" t="s">
        <v>1431</v>
      </c>
      <c r="F1028" s="532" t="s">
        <v>2391</v>
      </c>
      <c r="G1028" s="532" t="s">
        <v>1468</v>
      </c>
      <c r="H1028" s="532" t="s">
        <v>2392</v>
      </c>
      <c r="I1028" s="535"/>
      <c r="J1028" s="535"/>
      <c r="K1028" s="535"/>
      <c r="L1028" s="535"/>
      <c r="M1028" s="535"/>
      <c r="N1028" s="535"/>
      <c r="O1028" s="535"/>
      <c r="P1028" s="535"/>
      <c r="Q1028" s="535"/>
      <c r="R1028" s="535"/>
      <c r="S1028" s="535"/>
      <c r="T1028" s="535"/>
      <c r="U1028" s="535"/>
      <c r="V1028" s="535"/>
      <c r="W1028" s="535"/>
      <c r="X1028" s="535"/>
      <c r="Y1028" s="536"/>
    </row>
    <row r="1029" spans="1:25" ht="12.75">
      <c r="A1029" s="532" t="s">
        <v>3072</v>
      </c>
      <c r="B1029" s="532">
        <v>41200131</v>
      </c>
      <c r="C1029" s="532" t="s">
        <v>1476</v>
      </c>
      <c r="D1029" s="532" t="s">
        <v>6606</v>
      </c>
      <c r="E1029" s="532" t="s">
        <v>1431</v>
      </c>
      <c r="F1029" s="532" t="s">
        <v>2391</v>
      </c>
      <c r="G1029" s="532" t="s">
        <v>1468</v>
      </c>
      <c r="H1029" s="532" t="s">
        <v>2392</v>
      </c>
      <c r="I1029" s="535"/>
      <c r="J1029" s="535"/>
      <c r="K1029" s="535"/>
      <c r="L1029" s="535"/>
      <c r="M1029" s="535"/>
      <c r="N1029" s="535"/>
      <c r="O1029" s="535"/>
      <c r="P1029" s="535"/>
      <c r="Q1029" s="535"/>
      <c r="R1029" s="535"/>
      <c r="S1029" s="535"/>
      <c r="T1029" s="535"/>
      <c r="U1029" s="535"/>
      <c r="V1029" s="535"/>
      <c r="W1029" s="535"/>
      <c r="X1029" s="535"/>
      <c r="Y1029" s="536"/>
    </row>
    <row r="1030" spans="1:25" ht="12.75">
      <c r="A1030" s="532" t="s">
        <v>3078</v>
      </c>
      <c r="B1030" s="532">
        <v>41200128</v>
      </c>
      <c r="C1030" s="532" t="s">
        <v>1591</v>
      </c>
      <c r="D1030" s="532" t="s">
        <v>6606</v>
      </c>
      <c r="E1030" s="532" t="s">
        <v>1431</v>
      </c>
      <c r="F1030" s="532" t="s">
        <v>2395</v>
      </c>
      <c r="G1030" s="532" t="s">
        <v>1469</v>
      </c>
      <c r="H1030" s="532" t="s">
        <v>2392</v>
      </c>
      <c r="I1030" s="535"/>
      <c r="J1030" s="535"/>
      <c r="K1030" s="535"/>
      <c r="L1030" s="535"/>
      <c r="M1030" s="535"/>
      <c r="N1030" s="535"/>
      <c r="O1030" s="535"/>
      <c r="P1030" s="535"/>
      <c r="Q1030" s="535"/>
      <c r="R1030" s="535"/>
      <c r="S1030" s="535"/>
      <c r="T1030" s="535"/>
      <c r="U1030" s="535"/>
      <c r="V1030" s="535"/>
      <c r="W1030" s="535"/>
      <c r="X1030" s="535"/>
      <c r="Y1030" s="536"/>
    </row>
    <row r="1031" spans="1:25" ht="12.75">
      <c r="A1031" s="532" t="s">
        <v>3077</v>
      </c>
      <c r="B1031" s="532">
        <v>41200128</v>
      </c>
      <c r="C1031" s="532" t="s">
        <v>1591</v>
      </c>
      <c r="D1031" s="532" t="s">
        <v>6606</v>
      </c>
      <c r="E1031" s="532" t="s">
        <v>1431</v>
      </c>
      <c r="F1031" s="532" t="s">
        <v>2395</v>
      </c>
      <c r="G1031" s="532" t="s">
        <v>1469</v>
      </c>
      <c r="H1031" s="532" t="s">
        <v>2392</v>
      </c>
      <c r="I1031" s="535"/>
      <c r="J1031" s="535"/>
      <c r="K1031" s="535"/>
      <c r="L1031" s="535"/>
      <c r="M1031" s="535"/>
      <c r="N1031" s="535"/>
      <c r="O1031" s="535"/>
      <c r="P1031" s="535"/>
      <c r="Q1031" s="535"/>
      <c r="R1031" s="535"/>
      <c r="S1031" s="535"/>
      <c r="T1031" s="535"/>
      <c r="U1031" s="535"/>
      <c r="V1031" s="535"/>
      <c r="W1031" s="535"/>
      <c r="X1031" s="535"/>
      <c r="Y1031" s="536"/>
    </row>
    <row r="1032" spans="1:25" ht="12.75">
      <c r="A1032" s="532" t="s">
        <v>3051</v>
      </c>
      <c r="B1032" s="532">
        <v>41200053</v>
      </c>
      <c r="C1032" s="532" t="s">
        <v>2184</v>
      </c>
      <c r="D1032" s="532" t="s">
        <v>6646</v>
      </c>
      <c r="E1032" s="532" t="s">
        <v>1405</v>
      </c>
      <c r="F1032" s="532" t="s">
        <v>2392</v>
      </c>
      <c r="G1032" s="532" t="s">
        <v>2392</v>
      </c>
      <c r="H1032" s="533"/>
      <c r="I1032" s="535"/>
      <c r="J1032" s="535"/>
      <c r="K1032" s="535"/>
      <c r="L1032" s="535"/>
      <c r="M1032" s="535"/>
      <c r="N1032" s="535"/>
      <c r="O1032" s="535"/>
      <c r="P1032" s="535"/>
      <c r="Q1032" s="535"/>
      <c r="R1032" s="535"/>
      <c r="S1032" s="535"/>
      <c r="T1032" s="535"/>
      <c r="U1032" s="535"/>
      <c r="V1032" s="535"/>
      <c r="W1032" s="535"/>
      <c r="X1032" s="535"/>
      <c r="Y1032" s="536"/>
    </row>
    <row r="1033" spans="1:25" ht="12.75">
      <c r="A1033" s="532" t="s">
        <v>3050</v>
      </c>
      <c r="B1033" s="532">
        <v>41200053</v>
      </c>
      <c r="C1033" s="532" t="s">
        <v>2184</v>
      </c>
      <c r="D1033" s="532" t="s">
        <v>6646</v>
      </c>
      <c r="E1033" s="532" t="s">
        <v>1405</v>
      </c>
      <c r="F1033" s="532" t="s">
        <v>2392</v>
      </c>
      <c r="G1033" s="532" t="s">
        <v>2392</v>
      </c>
      <c r="H1033" s="533"/>
      <c r="I1033" s="535"/>
      <c r="J1033" s="535"/>
      <c r="K1033" s="535"/>
      <c r="L1033" s="535"/>
      <c r="M1033" s="535"/>
      <c r="N1033" s="535"/>
      <c r="O1033" s="535"/>
      <c r="P1033" s="535"/>
      <c r="Q1033" s="535"/>
      <c r="R1033" s="535"/>
      <c r="S1033" s="535"/>
      <c r="T1033" s="535"/>
      <c r="U1033" s="535"/>
      <c r="V1033" s="535"/>
      <c r="W1033" s="535"/>
      <c r="X1033" s="535"/>
      <c r="Y1033" s="536"/>
    </row>
    <row r="1034" spans="1:25" ht="12.75">
      <c r="A1034" s="532" t="s">
        <v>3063</v>
      </c>
      <c r="B1034" s="532">
        <v>41200122</v>
      </c>
      <c r="C1034" s="532" t="s">
        <v>1476</v>
      </c>
      <c r="D1034" s="532" t="s">
        <v>1476</v>
      </c>
      <c r="E1034" s="532" t="s">
        <v>1585</v>
      </c>
      <c r="F1034" s="532" t="s">
        <v>2391</v>
      </c>
      <c r="G1034" s="532" t="s">
        <v>1468</v>
      </c>
      <c r="H1034" s="532" t="s">
        <v>2392</v>
      </c>
      <c r="I1034" s="535"/>
      <c r="J1034" s="535"/>
      <c r="K1034" s="535"/>
      <c r="L1034" s="535"/>
      <c r="M1034" s="535"/>
      <c r="N1034" s="535"/>
      <c r="O1034" s="535"/>
      <c r="P1034" s="535"/>
      <c r="Q1034" s="535"/>
      <c r="R1034" s="535"/>
      <c r="S1034" s="535"/>
      <c r="T1034" s="535"/>
      <c r="U1034" s="535"/>
      <c r="V1034" s="535"/>
      <c r="W1034" s="535"/>
      <c r="X1034" s="535"/>
      <c r="Y1034" s="536"/>
    </row>
    <row r="1035" spans="1:25" ht="12.75">
      <c r="A1035" s="532" t="s">
        <v>6833</v>
      </c>
      <c r="B1035" s="532">
        <v>42200016</v>
      </c>
      <c r="C1035" s="532" t="s">
        <v>6834</v>
      </c>
      <c r="D1035" s="532" t="s">
        <v>6767</v>
      </c>
      <c r="E1035" s="532" t="s">
        <v>1405</v>
      </c>
      <c r="F1035" s="532" t="s">
        <v>6680</v>
      </c>
      <c r="G1035" s="532" t="s">
        <v>1468</v>
      </c>
      <c r="H1035" s="533"/>
      <c r="I1035" s="535"/>
      <c r="J1035" s="535"/>
      <c r="K1035" s="535"/>
      <c r="L1035" s="535"/>
      <c r="M1035" s="535"/>
      <c r="N1035" s="535"/>
      <c r="O1035" s="535"/>
      <c r="P1035" s="535"/>
      <c r="Q1035" s="535"/>
      <c r="R1035" s="535"/>
      <c r="S1035" s="535"/>
      <c r="T1035" s="535"/>
      <c r="U1035" s="535"/>
      <c r="V1035" s="535"/>
      <c r="W1035" s="535"/>
      <c r="X1035" s="535"/>
      <c r="Y1035" s="536"/>
    </row>
    <row r="1036" spans="1:25" ht="12.75">
      <c r="A1036" s="532" t="s">
        <v>6835</v>
      </c>
      <c r="B1036" s="532">
        <v>42100259</v>
      </c>
      <c r="C1036" s="532" t="s">
        <v>6769</v>
      </c>
      <c r="D1036" s="532" t="s">
        <v>6769</v>
      </c>
      <c r="E1036" s="532" t="s">
        <v>1405</v>
      </c>
      <c r="F1036" s="532" t="s">
        <v>6698</v>
      </c>
      <c r="G1036" s="532" t="s">
        <v>2392</v>
      </c>
      <c r="H1036" s="533"/>
      <c r="I1036" s="535"/>
      <c r="J1036" s="535"/>
      <c r="K1036" s="535"/>
      <c r="L1036" s="535"/>
      <c r="M1036" s="535"/>
      <c r="N1036" s="535"/>
      <c r="O1036" s="535"/>
      <c r="P1036" s="535"/>
      <c r="Q1036" s="535"/>
      <c r="R1036" s="535"/>
      <c r="S1036" s="535"/>
      <c r="T1036" s="535"/>
      <c r="U1036" s="535"/>
      <c r="V1036" s="535"/>
      <c r="W1036" s="535"/>
      <c r="X1036" s="535"/>
      <c r="Y1036" s="536"/>
    </row>
    <row r="1037" spans="1:25" ht="12.75">
      <c r="A1037" s="532" t="s">
        <v>6836</v>
      </c>
      <c r="B1037" s="532">
        <v>42100259</v>
      </c>
      <c r="C1037" s="532" t="s">
        <v>6769</v>
      </c>
      <c r="D1037" s="532" t="s">
        <v>6769</v>
      </c>
      <c r="E1037" s="532" t="s">
        <v>1405</v>
      </c>
      <c r="F1037" s="532" t="s">
        <v>6698</v>
      </c>
      <c r="G1037" s="532" t="s">
        <v>2392</v>
      </c>
      <c r="H1037" s="533"/>
      <c r="I1037" s="535"/>
      <c r="J1037" s="535"/>
      <c r="K1037" s="535"/>
      <c r="L1037" s="535"/>
      <c r="M1037" s="535"/>
      <c r="N1037" s="535"/>
      <c r="O1037" s="535"/>
      <c r="P1037" s="535"/>
      <c r="Q1037" s="535"/>
      <c r="R1037" s="535"/>
      <c r="S1037" s="535"/>
      <c r="T1037" s="535"/>
      <c r="U1037" s="535"/>
      <c r="V1037" s="535"/>
      <c r="W1037" s="535"/>
      <c r="X1037" s="535"/>
      <c r="Y1037" s="536"/>
    </row>
    <row r="1038" spans="1:25" ht="12.75">
      <c r="A1038" s="532" t="s">
        <v>6837</v>
      </c>
      <c r="B1038" s="532">
        <v>42100259</v>
      </c>
      <c r="C1038" s="532" t="s">
        <v>6769</v>
      </c>
      <c r="D1038" s="532" t="s">
        <v>6769</v>
      </c>
      <c r="E1038" s="532" t="s">
        <v>1405</v>
      </c>
      <c r="F1038" s="532" t="s">
        <v>6698</v>
      </c>
      <c r="G1038" s="532" t="s">
        <v>2392</v>
      </c>
      <c r="H1038" s="533"/>
      <c r="I1038" s="535"/>
      <c r="J1038" s="535"/>
      <c r="K1038" s="535"/>
      <c r="L1038" s="535"/>
      <c r="M1038" s="535"/>
      <c r="N1038" s="535"/>
      <c r="O1038" s="535"/>
      <c r="P1038" s="535"/>
      <c r="Q1038" s="535"/>
      <c r="R1038" s="535"/>
      <c r="S1038" s="535"/>
      <c r="T1038" s="535"/>
      <c r="U1038" s="535"/>
      <c r="V1038" s="535"/>
      <c r="W1038" s="535"/>
      <c r="X1038" s="535"/>
      <c r="Y1038" s="536"/>
    </row>
    <row r="1039" spans="1:25" ht="12.75">
      <c r="A1039" s="532" t="s">
        <v>6838</v>
      </c>
      <c r="B1039" s="532">
        <v>42200016</v>
      </c>
      <c r="C1039" s="532" t="s">
        <v>6834</v>
      </c>
      <c r="D1039" s="532" t="s">
        <v>6767</v>
      </c>
      <c r="E1039" s="532" t="s">
        <v>1405</v>
      </c>
      <c r="F1039" s="532" t="s">
        <v>6680</v>
      </c>
      <c r="G1039" s="532" t="s">
        <v>1468</v>
      </c>
      <c r="H1039" s="533"/>
      <c r="I1039" s="535"/>
      <c r="J1039" s="535"/>
      <c r="K1039" s="535"/>
      <c r="L1039" s="535"/>
      <c r="M1039" s="535"/>
      <c r="N1039" s="535"/>
      <c r="O1039" s="535"/>
      <c r="P1039" s="535"/>
      <c r="Q1039" s="535"/>
      <c r="R1039" s="535"/>
      <c r="S1039" s="535"/>
      <c r="T1039" s="535"/>
      <c r="U1039" s="535"/>
      <c r="V1039" s="535"/>
      <c r="W1039" s="535"/>
      <c r="X1039" s="535"/>
      <c r="Y1039" s="536"/>
    </row>
    <row r="1040" spans="1:25" ht="12.75">
      <c r="A1040" s="532" t="s">
        <v>6839</v>
      </c>
      <c r="B1040" s="532">
        <v>42100259</v>
      </c>
      <c r="C1040" s="532" t="s">
        <v>6769</v>
      </c>
      <c r="D1040" s="532" t="s">
        <v>6769</v>
      </c>
      <c r="E1040" s="532" t="s">
        <v>1405</v>
      </c>
      <c r="F1040" s="532" t="s">
        <v>6684</v>
      </c>
      <c r="G1040" s="532" t="s">
        <v>2392</v>
      </c>
      <c r="H1040" s="533"/>
      <c r="I1040" s="535"/>
      <c r="J1040" s="535"/>
      <c r="K1040" s="535"/>
      <c r="L1040" s="535"/>
      <c r="M1040" s="535"/>
      <c r="N1040" s="535"/>
      <c r="O1040" s="535"/>
      <c r="P1040" s="535"/>
      <c r="Q1040" s="535"/>
      <c r="R1040" s="535"/>
      <c r="S1040" s="535"/>
      <c r="T1040" s="535"/>
      <c r="U1040" s="535"/>
      <c r="V1040" s="535"/>
      <c r="W1040" s="535"/>
      <c r="X1040" s="535"/>
      <c r="Y1040" s="536"/>
    </row>
    <row r="1041" spans="1:25" ht="12.75">
      <c r="A1041" s="532" t="s">
        <v>6840</v>
      </c>
      <c r="B1041" s="532">
        <v>42100259</v>
      </c>
      <c r="C1041" s="532" t="s">
        <v>6769</v>
      </c>
      <c r="D1041" s="532" t="s">
        <v>6769</v>
      </c>
      <c r="E1041" s="532" t="s">
        <v>1405</v>
      </c>
      <c r="F1041" s="532" t="s">
        <v>6684</v>
      </c>
      <c r="G1041" s="532" t="s">
        <v>2392</v>
      </c>
      <c r="H1041" s="533"/>
      <c r="I1041" s="535"/>
      <c r="J1041" s="535"/>
      <c r="K1041" s="535"/>
      <c r="L1041" s="535"/>
      <c r="M1041" s="535"/>
      <c r="N1041" s="535"/>
      <c r="O1041" s="535"/>
      <c r="P1041" s="535"/>
      <c r="Q1041" s="535"/>
      <c r="R1041" s="535"/>
      <c r="S1041" s="535"/>
      <c r="T1041" s="535"/>
      <c r="U1041" s="535"/>
      <c r="V1041" s="535"/>
      <c r="W1041" s="535"/>
      <c r="X1041" s="535"/>
      <c r="Y1041" s="536"/>
    </row>
    <row r="1042" spans="1:25" ht="12.75">
      <c r="A1042" s="532" t="s">
        <v>6841</v>
      </c>
      <c r="B1042" s="532">
        <v>42100259</v>
      </c>
      <c r="C1042" s="532" t="s">
        <v>6769</v>
      </c>
      <c r="D1042" s="532" t="s">
        <v>6769</v>
      </c>
      <c r="E1042" s="532" t="s">
        <v>1405</v>
      </c>
      <c r="F1042" s="532" t="s">
        <v>6684</v>
      </c>
      <c r="G1042" s="532" t="s">
        <v>2392</v>
      </c>
      <c r="H1042" s="533"/>
      <c r="I1042" s="535"/>
      <c r="J1042" s="535"/>
      <c r="K1042" s="535"/>
      <c r="L1042" s="535"/>
      <c r="M1042" s="535"/>
      <c r="N1042" s="535"/>
      <c r="O1042" s="535"/>
      <c r="P1042" s="535"/>
      <c r="Q1042" s="535"/>
      <c r="R1042" s="535"/>
      <c r="S1042" s="535"/>
      <c r="T1042" s="535"/>
      <c r="U1042" s="535"/>
      <c r="V1042" s="535"/>
      <c r="W1042" s="535"/>
      <c r="X1042" s="535"/>
      <c r="Y1042" s="536"/>
    </row>
    <row r="1043" spans="1:25" ht="12.75">
      <c r="A1043" s="532" t="s">
        <v>6842</v>
      </c>
      <c r="B1043" s="532">
        <v>42200016</v>
      </c>
      <c r="C1043" s="532" t="s">
        <v>6834</v>
      </c>
      <c r="D1043" s="532" t="s">
        <v>6767</v>
      </c>
      <c r="E1043" s="532" t="s">
        <v>1405</v>
      </c>
      <c r="F1043" s="532" t="s">
        <v>6680</v>
      </c>
      <c r="G1043" s="532" t="s">
        <v>6696</v>
      </c>
      <c r="H1043" s="533"/>
      <c r="I1043" s="535"/>
      <c r="J1043" s="535"/>
      <c r="K1043" s="535"/>
      <c r="L1043" s="535"/>
      <c r="M1043" s="535"/>
      <c r="N1043" s="535"/>
      <c r="O1043" s="535"/>
      <c r="P1043" s="535"/>
      <c r="Q1043" s="535"/>
      <c r="R1043" s="535"/>
      <c r="S1043" s="535"/>
      <c r="T1043" s="535"/>
      <c r="U1043" s="535"/>
      <c r="V1043" s="535"/>
      <c r="W1043" s="535"/>
      <c r="X1043" s="535"/>
      <c r="Y1043" s="536"/>
    </row>
    <row r="1044" spans="1:25" ht="12.75">
      <c r="A1044" s="532" t="s">
        <v>6843</v>
      </c>
      <c r="B1044" s="532">
        <v>42100259</v>
      </c>
      <c r="C1044" s="532" t="s">
        <v>6769</v>
      </c>
      <c r="D1044" s="532" t="s">
        <v>6769</v>
      </c>
      <c r="E1044" s="532" t="s">
        <v>1405</v>
      </c>
      <c r="F1044" s="532" t="s">
        <v>6698</v>
      </c>
      <c r="G1044" s="532" t="s">
        <v>2392</v>
      </c>
      <c r="H1044" s="533"/>
      <c r="I1044" s="535"/>
      <c r="J1044" s="535"/>
      <c r="K1044" s="535"/>
      <c r="L1044" s="535"/>
      <c r="M1044" s="535"/>
      <c r="N1044" s="535"/>
      <c r="O1044" s="535"/>
      <c r="P1044" s="535"/>
      <c r="Q1044" s="535"/>
      <c r="R1044" s="535"/>
      <c r="S1044" s="535"/>
      <c r="T1044" s="535"/>
      <c r="U1044" s="535"/>
      <c r="V1044" s="535"/>
      <c r="W1044" s="535"/>
      <c r="X1044" s="535"/>
      <c r="Y1044" s="536"/>
    </row>
    <row r="1045" spans="1:25" ht="12.75">
      <c r="A1045" s="532" t="s">
        <v>6844</v>
      </c>
      <c r="B1045" s="532">
        <v>42100259</v>
      </c>
      <c r="C1045" s="532" t="s">
        <v>6769</v>
      </c>
      <c r="D1045" s="532" t="s">
        <v>6769</v>
      </c>
      <c r="E1045" s="532" t="s">
        <v>1405</v>
      </c>
      <c r="F1045" s="532" t="s">
        <v>6698</v>
      </c>
      <c r="G1045" s="532" t="s">
        <v>2392</v>
      </c>
      <c r="H1045" s="533"/>
      <c r="I1045" s="535"/>
      <c r="J1045" s="535"/>
      <c r="K1045" s="535"/>
      <c r="L1045" s="535"/>
      <c r="M1045" s="535"/>
      <c r="N1045" s="535"/>
      <c r="O1045" s="535"/>
      <c r="P1045" s="535"/>
      <c r="Q1045" s="535"/>
      <c r="R1045" s="535"/>
      <c r="S1045" s="535"/>
      <c r="T1045" s="535"/>
      <c r="U1045" s="535"/>
      <c r="V1045" s="535"/>
      <c r="W1045" s="535"/>
      <c r="X1045" s="535"/>
      <c r="Y1045" s="536"/>
    </row>
    <row r="1046" spans="1:25" ht="12.75">
      <c r="A1046" s="532" t="s">
        <v>6845</v>
      </c>
      <c r="B1046" s="532">
        <v>42100259</v>
      </c>
      <c r="C1046" s="532" t="s">
        <v>6769</v>
      </c>
      <c r="D1046" s="532" t="s">
        <v>6769</v>
      </c>
      <c r="E1046" s="532" t="s">
        <v>1405</v>
      </c>
      <c r="F1046" s="532" t="s">
        <v>6698</v>
      </c>
      <c r="G1046" s="532" t="s">
        <v>2392</v>
      </c>
      <c r="H1046" s="533"/>
      <c r="I1046" s="535"/>
      <c r="J1046" s="535"/>
      <c r="K1046" s="535"/>
      <c r="L1046" s="535"/>
      <c r="M1046" s="535"/>
      <c r="N1046" s="535"/>
      <c r="O1046" s="535"/>
      <c r="P1046" s="535"/>
      <c r="Q1046" s="535"/>
      <c r="R1046" s="535"/>
      <c r="S1046" s="535"/>
      <c r="T1046" s="535"/>
      <c r="U1046" s="535"/>
      <c r="V1046" s="535"/>
      <c r="W1046" s="535"/>
      <c r="X1046" s="535"/>
      <c r="Y1046" s="536"/>
    </row>
    <row r="1047" spans="1:25" ht="12.75">
      <c r="A1047" s="532" t="s">
        <v>6846</v>
      </c>
      <c r="B1047" s="532">
        <v>42200016</v>
      </c>
      <c r="C1047" s="532" t="s">
        <v>6834</v>
      </c>
      <c r="D1047" s="532" t="s">
        <v>6767</v>
      </c>
      <c r="E1047" s="532" t="s">
        <v>1405</v>
      </c>
      <c r="F1047" s="532" t="s">
        <v>6680</v>
      </c>
      <c r="G1047" s="532" t="s">
        <v>1468</v>
      </c>
      <c r="H1047" s="533"/>
      <c r="I1047" s="535"/>
      <c r="J1047" s="535"/>
      <c r="K1047" s="535"/>
      <c r="L1047" s="535"/>
      <c r="M1047" s="535"/>
      <c r="N1047" s="535"/>
      <c r="O1047" s="535"/>
      <c r="P1047" s="535"/>
      <c r="Q1047" s="535"/>
      <c r="R1047" s="535"/>
      <c r="S1047" s="535"/>
      <c r="T1047" s="535"/>
      <c r="U1047" s="535"/>
      <c r="V1047" s="535"/>
      <c r="W1047" s="535"/>
      <c r="X1047" s="535"/>
      <c r="Y1047" s="536"/>
    </row>
    <row r="1048" spans="1:25" ht="12.75">
      <c r="A1048" s="532" t="s">
        <v>6847</v>
      </c>
      <c r="B1048" s="532">
        <v>42100259</v>
      </c>
      <c r="C1048" s="532" t="s">
        <v>6769</v>
      </c>
      <c r="D1048" s="532" t="s">
        <v>6769</v>
      </c>
      <c r="E1048" s="532" t="s">
        <v>1405</v>
      </c>
      <c r="F1048" s="532" t="s">
        <v>6698</v>
      </c>
      <c r="G1048" s="532" t="s">
        <v>2392</v>
      </c>
      <c r="H1048" s="533"/>
      <c r="I1048" s="535"/>
      <c r="J1048" s="535"/>
      <c r="K1048" s="535"/>
      <c r="L1048" s="535"/>
      <c r="M1048" s="535"/>
      <c r="N1048" s="535"/>
      <c r="O1048" s="535"/>
      <c r="P1048" s="535"/>
      <c r="Q1048" s="535"/>
      <c r="R1048" s="535"/>
      <c r="S1048" s="535"/>
      <c r="T1048" s="535"/>
      <c r="U1048" s="535"/>
      <c r="V1048" s="535"/>
      <c r="W1048" s="535"/>
      <c r="X1048" s="535"/>
      <c r="Y1048" s="536"/>
    </row>
    <row r="1049" spans="1:25" ht="12.75">
      <c r="A1049" s="532" t="s">
        <v>6848</v>
      </c>
      <c r="B1049" s="532">
        <v>42100259</v>
      </c>
      <c r="C1049" s="532" t="s">
        <v>6769</v>
      </c>
      <c r="D1049" s="532" t="s">
        <v>6769</v>
      </c>
      <c r="E1049" s="532" t="s">
        <v>1405</v>
      </c>
      <c r="F1049" s="532" t="s">
        <v>6698</v>
      </c>
      <c r="G1049" s="532" t="s">
        <v>2392</v>
      </c>
      <c r="H1049" s="533"/>
      <c r="I1049" s="535"/>
      <c r="J1049" s="535"/>
      <c r="K1049" s="535"/>
      <c r="L1049" s="535"/>
      <c r="M1049" s="535"/>
      <c r="N1049" s="535"/>
      <c r="O1049" s="535"/>
      <c r="P1049" s="535"/>
      <c r="Q1049" s="535"/>
      <c r="R1049" s="535"/>
      <c r="S1049" s="535"/>
      <c r="T1049" s="535"/>
      <c r="U1049" s="535"/>
      <c r="V1049" s="535"/>
      <c r="W1049" s="535"/>
      <c r="X1049" s="535"/>
      <c r="Y1049" s="536"/>
    </row>
    <row r="1050" spans="1:25" ht="12.75">
      <c r="A1050" s="532" t="s">
        <v>6849</v>
      </c>
      <c r="B1050" s="532">
        <v>42100259</v>
      </c>
      <c r="C1050" s="532" t="s">
        <v>6769</v>
      </c>
      <c r="D1050" s="532" t="s">
        <v>6769</v>
      </c>
      <c r="E1050" s="532" t="s">
        <v>1405</v>
      </c>
      <c r="F1050" s="532" t="s">
        <v>6698</v>
      </c>
      <c r="G1050" s="532" t="s">
        <v>2392</v>
      </c>
      <c r="H1050" s="533"/>
      <c r="I1050" s="535"/>
      <c r="J1050" s="535"/>
      <c r="K1050" s="535"/>
      <c r="L1050" s="535"/>
      <c r="M1050" s="535"/>
      <c r="N1050" s="535"/>
      <c r="O1050" s="535"/>
      <c r="P1050" s="535"/>
      <c r="Q1050" s="535"/>
      <c r="R1050" s="535"/>
      <c r="S1050" s="535"/>
      <c r="T1050" s="535"/>
      <c r="U1050" s="535"/>
      <c r="V1050" s="535"/>
      <c r="W1050" s="535"/>
      <c r="X1050" s="535"/>
      <c r="Y1050" s="536"/>
    </row>
    <row r="1051" spans="1:25" ht="12.75">
      <c r="A1051" s="532" t="s">
        <v>6850</v>
      </c>
      <c r="B1051" s="532">
        <v>42200016</v>
      </c>
      <c r="C1051" s="532" t="s">
        <v>6834</v>
      </c>
      <c r="D1051" s="532" t="s">
        <v>6767</v>
      </c>
      <c r="E1051" s="532" t="s">
        <v>1405</v>
      </c>
      <c r="F1051" s="532" t="s">
        <v>6680</v>
      </c>
      <c r="G1051" s="532" t="s">
        <v>1468</v>
      </c>
      <c r="H1051" s="533"/>
      <c r="I1051" s="535"/>
      <c r="J1051" s="535"/>
      <c r="K1051" s="535"/>
      <c r="L1051" s="535"/>
      <c r="M1051" s="535"/>
      <c r="N1051" s="535"/>
      <c r="O1051" s="535"/>
      <c r="P1051" s="535"/>
      <c r="Q1051" s="535"/>
      <c r="R1051" s="535"/>
      <c r="S1051" s="535"/>
      <c r="T1051" s="535"/>
      <c r="U1051" s="535"/>
      <c r="V1051" s="535"/>
      <c r="W1051" s="535"/>
      <c r="X1051" s="535"/>
      <c r="Y1051" s="536"/>
    </row>
    <row r="1052" spans="1:25" ht="12.75">
      <c r="A1052" s="532" t="s">
        <v>6851</v>
      </c>
      <c r="B1052" s="532">
        <v>42100259</v>
      </c>
      <c r="C1052" s="532" t="s">
        <v>6769</v>
      </c>
      <c r="D1052" s="532" t="s">
        <v>6769</v>
      </c>
      <c r="E1052" s="532" t="s">
        <v>1405</v>
      </c>
      <c r="F1052" s="532" t="s">
        <v>6684</v>
      </c>
      <c r="G1052" s="532" t="s">
        <v>2392</v>
      </c>
      <c r="H1052" s="533"/>
      <c r="I1052" s="535"/>
      <c r="J1052" s="535"/>
      <c r="K1052" s="535"/>
      <c r="L1052" s="535"/>
      <c r="M1052" s="535"/>
      <c r="N1052" s="535"/>
      <c r="O1052" s="535"/>
      <c r="P1052" s="535"/>
      <c r="Q1052" s="535"/>
      <c r="R1052" s="535"/>
      <c r="S1052" s="535"/>
      <c r="T1052" s="535"/>
      <c r="U1052" s="535"/>
      <c r="V1052" s="535"/>
      <c r="W1052" s="535"/>
      <c r="X1052" s="535"/>
      <c r="Y1052" s="536"/>
    </row>
    <row r="1053" spans="1:25" ht="12.75">
      <c r="A1053" s="532" t="s">
        <v>6852</v>
      </c>
      <c r="B1053" s="532">
        <v>42100259</v>
      </c>
      <c r="C1053" s="532" t="s">
        <v>6769</v>
      </c>
      <c r="D1053" s="532" t="s">
        <v>6769</v>
      </c>
      <c r="E1053" s="532" t="s">
        <v>1405</v>
      </c>
      <c r="F1053" s="532" t="s">
        <v>6684</v>
      </c>
      <c r="G1053" s="532" t="s">
        <v>2392</v>
      </c>
      <c r="H1053" s="533"/>
      <c r="I1053" s="535"/>
      <c r="J1053" s="535"/>
      <c r="K1053" s="535"/>
      <c r="L1053" s="535"/>
      <c r="M1053" s="535"/>
      <c r="N1053" s="535"/>
      <c r="O1053" s="535"/>
      <c r="P1053" s="535"/>
      <c r="Q1053" s="535"/>
      <c r="R1053" s="535"/>
      <c r="S1053" s="535"/>
      <c r="T1053" s="535"/>
      <c r="U1053" s="535"/>
      <c r="V1053" s="535"/>
      <c r="W1053" s="535"/>
      <c r="X1053" s="535"/>
      <c r="Y1053" s="536"/>
    </row>
    <row r="1054" spans="1:25" ht="12.75">
      <c r="A1054" s="532" t="s">
        <v>6853</v>
      </c>
      <c r="B1054" s="532">
        <v>42100259</v>
      </c>
      <c r="C1054" s="532" t="s">
        <v>6769</v>
      </c>
      <c r="D1054" s="532" t="s">
        <v>6769</v>
      </c>
      <c r="E1054" s="532" t="s">
        <v>1405</v>
      </c>
      <c r="F1054" s="532" t="s">
        <v>6684</v>
      </c>
      <c r="G1054" s="532" t="s">
        <v>2392</v>
      </c>
      <c r="H1054" s="533"/>
      <c r="I1054" s="535"/>
      <c r="J1054" s="535"/>
      <c r="K1054" s="535"/>
      <c r="L1054" s="535"/>
      <c r="M1054" s="535"/>
      <c r="N1054" s="535"/>
      <c r="O1054" s="535"/>
      <c r="P1054" s="535"/>
      <c r="Q1054" s="535"/>
      <c r="R1054" s="535"/>
      <c r="S1054" s="535"/>
      <c r="T1054" s="535"/>
      <c r="U1054" s="535"/>
      <c r="V1054" s="535"/>
      <c r="W1054" s="535"/>
      <c r="X1054" s="535"/>
      <c r="Y1054" s="536"/>
    </row>
    <row r="1055" spans="1:25" ht="12.75">
      <c r="A1055" s="532" t="s">
        <v>6854</v>
      </c>
      <c r="B1055" s="532">
        <v>42200016</v>
      </c>
      <c r="C1055" s="532" t="s">
        <v>6834</v>
      </c>
      <c r="D1055" s="532" t="s">
        <v>6767</v>
      </c>
      <c r="E1055" s="532" t="s">
        <v>1405</v>
      </c>
      <c r="F1055" s="532" t="s">
        <v>6680</v>
      </c>
      <c r="G1055" s="532" t="s">
        <v>6696</v>
      </c>
      <c r="H1055" s="533"/>
      <c r="I1055" s="535"/>
      <c r="J1055" s="535"/>
      <c r="K1055" s="535"/>
      <c r="L1055" s="535"/>
      <c r="M1055" s="535"/>
      <c r="N1055" s="535"/>
      <c r="O1055" s="535"/>
      <c r="P1055" s="535"/>
      <c r="Q1055" s="535"/>
      <c r="R1055" s="535"/>
      <c r="S1055" s="535"/>
      <c r="T1055" s="535"/>
      <c r="U1055" s="535"/>
      <c r="V1055" s="535"/>
      <c r="W1055" s="535"/>
      <c r="X1055" s="535"/>
      <c r="Y1055" s="536"/>
    </row>
    <row r="1056" spans="1:25" ht="12.75">
      <c r="A1056" s="532" t="s">
        <v>6855</v>
      </c>
      <c r="B1056" s="532">
        <v>42100259</v>
      </c>
      <c r="C1056" s="532" t="s">
        <v>6769</v>
      </c>
      <c r="D1056" s="532" t="s">
        <v>6769</v>
      </c>
      <c r="E1056" s="532" t="s">
        <v>1405</v>
      </c>
      <c r="F1056" s="532" t="s">
        <v>6684</v>
      </c>
      <c r="G1056" s="532" t="s">
        <v>2392</v>
      </c>
      <c r="H1056" s="533"/>
      <c r="I1056" s="535"/>
      <c r="J1056" s="535"/>
      <c r="K1056" s="535"/>
      <c r="L1056" s="535"/>
      <c r="M1056" s="535"/>
      <c r="N1056" s="535"/>
      <c r="O1056" s="535"/>
      <c r="P1056" s="535"/>
      <c r="Q1056" s="535"/>
      <c r="R1056" s="535"/>
      <c r="S1056" s="535"/>
      <c r="T1056" s="535"/>
      <c r="U1056" s="535"/>
      <c r="V1056" s="535"/>
      <c r="W1056" s="535"/>
      <c r="X1056" s="535"/>
      <c r="Y1056" s="536"/>
    </row>
    <row r="1057" spans="1:25" ht="12.75">
      <c r="A1057" s="532" t="s">
        <v>6856</v>
      </c>
      <c r="B1057" s="532">
        <v>42100259</v>
      </c>
      <c r="C1057" s="532" t="s">
        <v>6769</v>
      </c>
      <c r="D1057" s="532" t="s">
        <v>6769</v>
      </c>
      <c r="E1057" s="532" t="s">
        <v>1405</v>
      </c>
      <c r="F1057" s="532" t="s">
        <v>6684</v>
      </c>
      <c r="G1057" s="532" t="s">
        <v>2392</v>
      </c>
      <c r="H1057" s="533"/>
      <c r="I1057" s="535"/>
      <c r="J1057" s="535"/>
      <c r="K1057" s="535"/>
      <c r="L1057" s="535"/>
      <c r="M1057" s="535"/>
      <c r="N1057" s="535"/>
      <c r="O1057" s="535"/>
      <c r="P1057" s="535"/>
      <c r="Q1057" s="535"/>
      <c r="R1057" s="535"/>
      <c r="S1057" s="535"/>
      <c r="T1057" s="535"/>
      <c r="U1057" s="535"/>
      <c r="V1057" s="535"/>
      <c r="W1057" s="535"/>
      <c r="X1057" s="535"/>
      <c r="Y1057" s="536"/>
    </row>
    <row r="1058" spans="1:25" ht="12.75">
      <c r="A1058" s="532" t="s">
        <v>6857</v>
      </c>
      <c r="B1058" s="532">
        <v>42100259</v>
      </c>
      <c r="C1058" s="532" t="s">
        <v>6769</v>
      </c>
      <c r="D1058" s="532" t="s">
        <v>6769</v>
      </c>
      <c r="E1058" s="532" t="s">
        <v>1405</v>
      </c>
      <c r="F1058" s="532" t="s">
        <v>6684</v>
      </c>
      <c r="G1058" s="532" t="s">
        <v>2392</v>
      </c>
      <c r="H1058" s="533"/>
      <c r="I1058" s="535"/>
      <c r="J1058" s="535"/>
      <c r="K1058" s="535"/>
      <c r="L1058" s="535"/>
      <c r="M1058" s="535"/>
      <c r="N1058" s="535"/>
      <c r="O1058" s="535"/>
      <c r="P1058" s="535"/>
      <c r="Q1058" s="535"/>
      <c r="R1058" s="535"/>
      <c r="S1058" s="535"/>
      <c r="T1058" s="535"/>
      <c r="U1058" s="535"/>
      <c r="V1058" s="535"/>
      <c r="W1058" s="535"/>
      <c r="X1058" s="535"/>
      <c r="Y1058" s="536"/>
    </row>
    <row r="1059" spans="1:25" ht="12.75">
      <c r="A1059" s="532" t="s">
        <v>6858</v>
      </c>
      <c r="B1059" s="532">
        <v>42200016</v>
      </c>
      <c r="C1059" s="532" t="s">
        <v>6834</v>
      </c>
      <c r="D1059" s="532" t="s">
        <v>6767</v>
      </c>
      <c r="E1059" s="532" t="s">
        <v>1405</v>
      </c>
      <c r="F1059" s="532" t="s">
        <v>6680</v>
      </c>
      <c r="G1059" s="532" t="s">
        <v>1468</v>
      </c>
      <c r="H1059" s="533"/>
      <c r="I1059" s="535"/>
      <c r="J1059" s="535"/>
      <c r="K1059" s="535"/>
      <c r="L1059" s="535"/>
      <c r="M1059" s="535"/>
      <c r="N1059" s="535"/>
      <c r="O1059" s="535"/>
      <c r="P1059" s="535"/>
      <c r="Q1059" s="535"/>
      <c r="R1059" s="535"/>
      <c r="S1059" s="535"/>
      <c r="T1059" s="535"/>
      <c r="U1059" s="535"/>
      <c r="V1059" s="535"/>
      <c r="W1059" s="535"/>
      <c r="X1059" s="535"/>
      <c r="Y1059" s="536"/>
    </row>
    <row r="1060" spans="1:25" ht="12.75">
      <c r="A1060" s="532" t="s">
        <v>6859</v>
      </c>
      <c r="B1060" s="532">
        <v>42100259</v>
      </c>
      <c r="C1060" s="532" t="s">
        <v>6769</v>
      </c>
      <c r="D1060" s="532" t="s">
        <v>6769</v>
      </c>
      <c r="E1060" s="532" t="s">
        <v>1405</v>
      </c>
      <c r="F1060" s="532" t="s">
        <v>6684</v>
      </c>
      <c r="G1060" s="532" t="s">
        <v>2392</v>
      </c>
      <c r="H1060" s="533"/>
      <c r="I1060" s="535"/>
      <c r="J1060" s="535"/>
      <c r="K1060" s="535"/>
      <c r="L1060" s="535"/>
      <c r="M1060" s="535"/>
      <c r="N1060" s="535"/>
      <c r="O1060" s="535"/>
      <c r="P1060" s="535"/>
      <c r="Q1060" s="535"/>
      <c r="R1060" s="535"/>
      <c r="S1060" s="535"/>
      <c r="T1060" s="535"/>
      <c r="U1060" s="535"/>
      <c r="V1060" s="535"/>
      <c r="W1060" s="535"/>
      <c r="X1060" s="535"/>
      <c r="Y1060" s="536"/>
    </row>
    <row r="1061" spans="1:25" ht="12.75">
      <c r="A1061" s="532" t="s">
        <v>6860</v>
      </c>
      <c r="B1061" s="532">
        <v>42100259</v>
      </c>
      <c r="C1061" s="532" t="s">
        <v>6769</v>
      </c>
      <c r="D1061" s="532" t="s">
        <v>6769</v>
      </c>
      <c r="E1061" s="532" t="s">
        <v>1405</v>
      </c>
      <c r="F1061" s="532" t="s">
        <v>6684</v>
      </c>
      <c r="G1061" s="532" t="s">
        <v>2392</v>
      </c>
      <c r="H1061" s="533"/>
      <c r="I1061" s="535"/>
      <c r="J1061" s="535"/>
      <c r="K1061" s="535"/>
      <c r="L1061" s="535"/>
      <c r="M1061" s="535"/>
      <c r="N1061" s="535"/>
      <c r="O1061" s="535"/>
      <c r="P1061" s="535"/>
      <c r="Q1061" s="535"/>
      <c r="R1061" s="535"/>
      <c r="S1061" s="535"/>
      <c r="T1061" s="535"/>
      <c r="U1061" s="535"/>
      <c r="V1061" s="535"/>
      <c r="W1061" s="535"/>
      <c r="X1061" s="535"/>
      <c r="Y1061" s="536"/>
    </row>
    <row r="1062" spans="1:25" ht="12.75">
      <c r="A1062" s="532" t="s">
        <v>6861</v>
      </c>
      <c r="B1062" s="532">
        <v>42100259</v>
      </c>
      <c r="C1062" s="532" t="s">
        <v>6769</v>
      </c>
      <c r="D1062" s="532" t="s">
        <v>6769</v>
      </c>
      <c r="E1062" s="532" t="s">
        <v>1405</v>
      </c>
      <c r="F1062" s="532" t="s">
        <v>6684</v>
      </c>
      <c r="G1062" s="532" t="s">
        <v>2392</v>
      </c>
      <c r="H1062" s="533"/>
      <c r="I1062" s="535"/>
      <c r="J1062" s="535"/>
      <c r="K1062" s="535"/>
      <c r="L1062" s="535"/>
      <c r="M1062" s="535"/>
      <c r="N1062" s="535"/>
      <c r="O1062" s="535"/>
      <c r="P1062" s="535"/>
      <c r="Q1062" s="535"/>
      <c r="R1062" s="535"/>
      <c r="S1062" s="535"/>
      <c r="T1062" s="535"/>
      <c r="U1062" s="535"/>
      <c r="V1062" s="535"/>
      <c r="W1062" s="535"/>
      <c r="X1062" s="535"/>
      <c r="Y1062" s="536"/>
    </row>
    <row r="1063" spans="1:25" ht="12.75">
      <c r="A1063" s="532" t="s">
        <v>6862</v>
      </c>
      <c r="B1063" s="532">
        <v>42200009</v>
      </c>
      <c r="C1063" s="532" t="s">
        <v>6678</v>
      </c>
      <c r="D1063" s="532" t="s">
        <v>6706</v>
      </c>
      <c r="E1063" s="532" t="s">
        <v>1405</v>
      </c>
      <c r="F1063" s="532" t="s">
        <v>6680</v>
      </c>
      <c r="G1063" s="532" t="s">
        <v>1468</v>
      </c>
      <c r="H1063" s="533"/>
      <c r="I1063" s="535"/>
      <c r="J1063" s="535"/>
      <c r="K1063" s="535"/>
      <c r="L1063" s="535"/>
      <c r="M1063" s="535"/>
      <c r="N1063" s="535"/>
      <c r="O1063" s="535"/>
      <c r="P1063" s="535"/>
      <c r="Q1063" s="535"/>
      <c r="R1063" s="535"/>
      <c r="S1063" s="535"/>
      <c r="T1063" s="535"/>
      <c r="U1063" s="535"/>
      <c r="V1063" s="535"/>
      <c r="W1063" s="535"/>
      <c r="X1063" s="535"/>
      <c r="Y1063" s="536"/>
    </row>
    <row r="1064" spans="1:25" ht="12.75">
      <c r="A1064" s="532" t="s">
        <v>6863</v>
      </c>
      <c r="B1064" s="532">
        <v>42100231</v>
      </c>
      <c r="C1064" s="532" t="s">
        <v>6708</v>
      </c>
      <c r="D1064" s="532" t="s">
        <v>6708</v>
      </c>
      <c r="E1064" s="532" t="s">
        <v>1405</v>
      </c>
      <c r="F1064" s="532" t="s">
        <v>6698</v>
      </c>
      <c r="G1064" s="532" t="s">
        <v>2392</v>
      </c>
      <c r="H1064" s="533"/>
      <c r="I1064" s="535"/>
      <c r="J1064" s="535"/>
      <c r="K1064" s="535"/>
      <c r="L1064" s="535"/>
      <c r="M1064" s="535"/>
      <c r="N1064" s="535"/>
      <c r="O1064" s="535"/>
      <c r="P1064" s="535"/>
      <c r="Q1064" s="535"/>
      <c r="R1064" s="535"/>
      <c r="S1064" s="535"/>
      <c r="T1064" s="535"/>
      <c r="U1064" s="535"/>
      <c r="V1064" s="535"/>
      <c r="W1064" s="535"/>
      <c r="X1064" s="535"/>
      <c r="Y1064" s="536"/>
    </row>
    <row r="1065" spans="1:25" ht="12.75">
      <c r="A1065" s="532" t="s">
        <v>6864</v>
      </c>
      <c r="B1065" s="532">
        <v>42100231</v>
      </c>
      <c r="C1065" s="532" t="s">
        <v>6708</v>
      </c>
      <c r="D1065" s="532" t="s">
        <v>6708</v>
      </c>
      <c r="E1065" s="532" t="s">
        <v>1405</v>
      </c>
      <c r="F1065" s="532" t="s">
        <v>6698</v>
      </c>
      <c r="G1065" s="532" t="s">
        <v>2392</v>
      </c>
      <c r="H1065" s="533"/>
      <c r="I1065" s="535"/>
      <c r="J1065" s="535"/>
      <c r="K1065" s="535"/>
      <c r="L1065" s="535"/>
      <c r="M1065" s="535"/>
      <c r="N1065" s="535"/>
      <c r="O1065" s="535"/>
      <c r="P1065" s="535"/>
      <c r="Q1065" s="535"/>
      <c r="R1065" s="535"/>
      <c r="S1065" s="535"/>
      <c r="T1065" s="535"/>
      <c r="U1065" s="535"/>
      <c r="V1065" s="535"/>
      <c r="W1065" s="535"/>
      <c r="X1065" s="535"/>
      <c r="Y1065" s="536"/>
    </row>
    <row r="1066" spans="1:25" ht="12.75">
      <c r="A1066" s="532" t="s">
        <v>6865</v>
      </c>
      <c r="B1066" s="532">
        <v>42100231</v>
      </c>
      <c r="C1066" s="532" t="s">
        <v>6708</v>
      </c>
      <c r="D1066" s="532" t="s">
        <v>6708</v>
      </c>
      <c r="E1066" s="532" t="s">
        <v>1405</v>
      </c>
      <c r="F1066" s="532" t="s">
        <v>6698</v>
      </c>
      <c r="G1066" s="532" t="s">
        <v>2392</v>
      </c>
      <c r="H1066" s="533"/>
      <c r="I1066" s="535"/>
      <c r="J1066" s="535"/>
      <c r="K1066" s="535"/>
      <c r="L1066" s="535"/>
      <c r="M1066" s="535"/>
      <c r="N1066" s="535"/>
      <c r="O1066" s="535"/>
      <c r="P1066" s="535"/>
      <c r="Q1066" s="535"/>
      <c r="R1066" s="535"/>
      <c r="S1066" s="535"/>
      <c r="T1066" s="535"/>
      <c r="U1066" s="535"/>
      <c r="V1066" s="535"/>
      <c r="W1066" s="535"/>
      <c r="X1066" s="535"/>
      <c r="Y1066" s="536"/>
    </row>
    <row r="1067" spans="1:25" ht="12.75">
      <c r="A1067" s="532" t="s">
        <v>6866</v>
      </c>
      <c r="B1067" s="532">
        <v>42200009</v>
      </c>
      <c r="C1067" s="532" t="s">
        <v>6678</v>
      </c>
      <c r="D1067" s="532" t="s">
        <v>6706</v>
      </c>
      <c r="E1067" s="532" t="s">
        <v>1405</v>
      </c>
      <c r="F1067" s="532" t="s">
        <v>6680</v>
      </c>
      <c r="G1067" s="532" t="s">
        <v>1468</v>
      </c>
      <c r="H1067" s="533"/>
      <c r="I1067" s="535"/>
      <c r="J1067" s="535"/>
      <c r="K1067" s="535"/>
      <c r="L1067" s="535"/>
      <c r="M1067" s="535"/>
      <c r="N1067" s="535"/>
      <c r="O1067" s="535"/>
      <c r="P1067" s="535"/>
      <c r="Q1067" s="535"/>
      <c r="R1067" s="535"/>
      <c r="S1067" s="535"/>
      <c r="T1067" s="535"/>
      <c r="U1067" s="535"/>
      <c r="V1067" s="535"/>
      <c r="W1067" s="535"/>
      <c r="X1067" s="535"/>
      <c r="Y1067" s="536"/>
    </row>
    <row r="1068" spans="1:25" ht="12.75">
      <c r="A1068" s="532" t="s">
        <v>6867</v>
      </c>
      <c r="B1068" s="532">
        <v>42100231</v>
      </c>
      <c r="C1068" s="532" t="s">
        <v>6708</v>
      </c>
      <c r="D1068" s="532" t="s">
        <v>6708</v>
      </c>
      <c r="E1068" s="532" t="s">
        <v>1405</v>
      </c>
      <c r="F1068" s="532" t="s">
        <v>6698</v>
      </c>
      <c r="G1068" s="532" t="s">
        <v>2392</v>
      </c>
      <c r="H1068" s="533"/>
      <c r="I1068" s="535"/>
      <c r="J1068" s="535"/>
      <c r="K1068" s="535"/>
      <c r="L1068" s="535"/>
      <c r="M1068" s="535"/>
      <c r="N1068" s="535"/>
      <c r="O1068" s="535"/>
      <c r="P1068" s="535"/>
      <c r="Q1068" s="535"/>
      <c r="R1068" s="535"/>
      <c r="S1068" s="535"/>
      <c r="T1068" s="535"/>
      <c r="U1068" s="535"/>
      <c r="V1068" s="535"/>
      <c r="W1068" s="535"/>
      <c r="X1068" s="535"/>
      <c r="Y1068" s="536"/>
    </row>
    <row r="1069" spans="1:25" ht="12.75">
      <c r="A1069" s="532" t="s">
        <v>6868</v>
      </c>
      <c r="B1069" s="532">
        <v>42100231</v>
      </c>
      <c r="C1069" s="532" t="s">
        <v>6708</v>
      </c>
      <c r="D1069" s="532" t="s">
        <v>6708</v>
      </c>
      <c r="E1069" s="532" t="s">
        <v>1405</v>
      </c>
      <c r="F1069" s="532" t="s">
        <v>6698</v>
      </c>
      <c r="G1069" s="532" t="s">
        <v>2392</v>
      </c>
      <c r="H1069" s="533"/>
      <c r="I1069" s="535"/>
      <c r="J1069" s="535"/>
      <c r="K1069" s="535"/>
      <c r="L1069" s="535"/>
      <c r="M1069" s="535"/>
      <c r="N1069" s="535"/>
      <c r="O1069" s="535"/>
      <c r="P1069" s="535"/>
      <c r="Q1069" s="535"/>
      <c r="R1069" s="535"/>
      <c r="S1069" s="535"/>
      <c r="T1069" s="535"/>
      <c r="U1069" s="535"/>
      <c r="V1069" s="535"/>
      <c r="W1069" s="535"/>
      <c r="X1069" s="535"/>
      <c r="Y1069" s="536"/>
    </row>
    <row r="1070" spans="1:25" ht="12.75">
      <c r="A1070" s="532" t="s">
        <v>6869</v>
      </c>
      <c r="B1070" s="532">
        <v>42100231</v>
      </c>
      <c r="C1070" s="532" t="s">
        <v>6708</v>
      </c>
      <c r="D1070" s="532" t="s">
        <v>6708</v>
      </c>
      <c r="E1070" s="532" t="s">
        <v>1405</v>
      </c>
      <c r="F1070" s="532" t="s">
        <v>6698</v>
      </c>
      <c r="G1070" s="532" t="s">
        <v>2392</v>
      </c>
      <c r="H1070" s="533"/>
      <c r="I1070" s="535"/>
      <c r="J1070" s="535"/>
      <c r="K1070" s="535"/>
      <c r="L1070" s="535"/>
      <c r="M1070" s="535"/>
      <c r="N1070" s="535"/>
      <c r="O1070" s="535"/>
      <c r="P1070" s="535"/>
      <c r="Q1070" s="535"/>
      <c r="R1070" s="535"/>
      <c r="S1070" s="535"/>
      <c r="T1070" s="535"/>
      <c r="U1070" s="535"/>
      <c r="V1070" s="535"/>
      <c r="W1070" s="535"/>
      <c r="X1070" s="535"/>
      <c r="Y1070" s="536"/>
    </row>
    <row r="1071" spans="1:25" ht="12.75">
      <c r="A1071" s="532" t="s">
        <v>6870</v>
      </c>
      <c r="B1071" s="532">
        <v>42200009</v>
      </c>
      <c r="C1071" s="532" t="s">
        <v>6678</v>
      </c>
      <c r="D1071" s="532" t="s">
        <v>6706</v>
      </c>
      <c r="E1071" s="532" t="s">
        <v>1405</v>
      </c>
      <c r="F1071" s="532" t="s">
        <v>6680</v>
      </c>
      <c r="G1071" s="532" t="s">
        <v>1468</v>
      </c>
      <c r="H1071" s="533"/>
      <c r="I1071" s="535"/>
      <c r="J1071" s="535"/>
      <c r="K1071" s="535"/>
      <c r="L1071" s="535"/>
      <c r="M1071" s="535"/>
      <c r="N1071" s="535"/>
      <c r="O1071" s="535"/>
      <c r="P1071" s="535"/>
      <c r="Q1071" s="535"/>
      <c r="R1071" s="535"/>
      <c r="S1071" s="535"/>
      <c r="T1071" s="535"/>
      <c r="U1071" s="535"/>
      <c r="V1071" s="535"/>
      <c r="W1071" s="535"/>
      <c r="X1071" s="535"/>
      <c r="Y1071" s="536"/>
    </row>
    <row r="1072" spans="1:25" ht="12.75">
      <c r="A1072" s="532" t="s">
        <v>6871</v>
      </c>
      <c r="B1072" s="532">
        <v>42100231</v>
      </c>
      <c r="C1072" s="532" t="s">
        <v>6708</v>
      </c>
      <c r="D1072" s="532" t="s">
        <v>6708</v>
      </c>
      <c r="E1072" s="532" t="s">
        <v>1405</v>
      </c>
      <c r="F1072" s="532" t="s">
        <v>6698</v>
      </c>
      <c r="G1072" s="532" t="s">
        <v>2392</v>
      </c>
      <c r="H1072" s="533"/>
      <c r="I1072" s="535"/>
      <c r="J1072" s="535"/>
      <c r="K1072" s="535"/>
      <c r="L1072" s="535"/>
      <c r="M1072" s="535"/>
      <c r="N1072" s="535"/>
      <c r="O1072" s="535"/>
      <c r="P1072" s="535"/>
      <c r="Q1072" s="535"/>
      <c r="R1072" s="535"/>
      <c r="S1072" s="535"/>
      <c r="T1072" s="535"/>
      <c r="U1072" s="535"/>
      <c r="V1072" s="535"/>
      <c r="W1072" s="535"/>
      <c r="X1072" s="535"/>
      <c r="Y1072" s="536"/>
    </row>
    <row r="1073" spans="1:25" ht="12.75">
      <c r="A1073" s="532" t="s">
        <v>6872</v>
      </c>
      <c r="B1073" s="532">
        <v>42100231</v>
      </c>
      <c r="C1073" s="532" t="s">
        <v>6708</v>
      </c>
      <c r="D1073" s="532" t="s">
        <v>6708</v>
      </c>
      <c r="E1073" s="532" t="s">
        <v>1405</v>
      </c>
      <c r="F1073" s="532" t="s">
        <v>6698</v>
      </c>
      <c r="G1073" s="532" t="s">
        <v>2392</v>
      </c>
      <c r="H1073" s="533"/>
      <c r="I1073" s="535"/>
      <c r="J1073" s="535"/>
      <c r="K1073" s="535"/>
      <c r="L1073" s="535"/>
      <c r="M1073" s="535"/>
      <c r="N1073" s="535"/>
      <c r="O1073" s="535"/>
      <c r="P1073" s="535"/>
      <c r="Q1073" s="535"/>
      <c r="R1073" s="535"/>
      <c r="S1073" s="535"/>
      <c r="T1073" s="535"/>
      <c r="U1073" s="535"/>
      <c r="V1073" s="535"/>
      <c r="W1073" s="535"/>
      <c r="X1073" s="535"/>
      <c r="Y1073" s="536"/>
    </row>
    <row r="1074" spans="1:25" ht="12.75">
      <c r="A1074" s="532" t="s">
        <v>6873</v>
      </c>
      <c r="B1074" s="532">
        <v>42100231</v>
      </c>
      <c r="C1074" s="532" t="s">
        <v>6708</v>
      </c>
      <c r="D1074" s="532" t="s">
        <v>6708</v>
      </c>
      <c r="E1074" s="532" t="s">
        <v>1405</v>
      </c>
      <c r="F1074" s="532" t="s">
        <v>6698</v>
      </c>
      <c r="G1074" s="532" t="s">
        <v>2392</v>
      </c>
      <c r="H1074" s="533"/>
      <c r="I1074" s="535"/>
      <c r="J1074" s="535"/>
      <c r="K1074" s="535"/>
      <c r="L1074" s="535"/>
      <c r="M1074" s="535"/>
      <c r="N1074" s="535"/>
      <c r="O1074" s="535"/>
      <c r="P1074" s="535"/>
      <c r="Q1074" s="535"/>
      <c r="R1074" s="535"/>
      <c r="S1074" s="535"/>
      <c r="T1074" s="535"/>
      <c r="U1074" s="535"/>
      <c r="V1074" s="535"/>
      <c r="W1074" s="535"/>
      <c r="X1074" s="535"/>
      <c r="Y1074" s="536"/>
    </row>
    <row r="1075" spans="1:25" ht="12.75">
      <c r="A1075" s="532" t="s">
        <v>6874</v>
      </c>
      <c r="B1075" s="532">
        <v>42200009</v>
      </c>
      <c r="C1075" s="532" t="s">
        <v>6678</v>
      </c>
      <c r="D1075" s="532" t="s">
        <v>6706</v>
      </c>
      <c r="E1075" s="532" t="s">
        <v>1405</v>
      </c>
      <c r="F1075" s="532" t="s">
        <v>6680</v>
      </c>
      <c r="G1075" s="532" t="s">
        <v>1468</v>
      </c>
      <c r="H1075" s="533"/>
      <c r="I1075" s="535"/>
      <c r="J1075" s="535"/>
      <c r="K1075" s="535"/>
      <c r="L1075" s="535"/>
      <c r="M1075" s="535"/>
      <c r="N1075" s="535"/>
      <c r="O1075" s="535"/>
      <c r="P1075" s="535"/>
      <c r="Q1075" s="535"/>
      <c r="R1075" s="535"/>
      <c r="S1075" s="535"/>
      <c r="T1075" s="535"/>
      <c r="U1075" s="535"/>
      <c r="V1075" s="535"/>
      <c r="W1075" s="535"/>
      <c r="X1075" s="535"/>
      <c r="Y1075" s="536"/>
    </row>
    <row r="1076" spans="1:25" ht="12.75">
      <c r="A1076" s="532" t="s">
        <v>6875</v>
      </c>
      <c r="B1076" s="532">
        <v>42100231</v>
      </c>
      <c r="C1076" s="532" t="s">
        <v>6708</v>
      </c>
      <c r="D1076" s="532" t="s">
        <v>6708</v>
      </c>
      <c r="E1076" s="532" t="s">
        <v>1405</v>
      </c>
      <c r="F1076" s="532" t="s">
        <v>6684</v>
      </c>
      <c r="G1076" s="532" t="s">
        <v>2392</v>
      </c>
      <c r="H1076" s="533"/>
      <c r="I1076" s="535"/>
      <c r="J1076" s="535"/>
      <c r="K1076" s="535"/>
      <c r="L1076" s="535"/>
      <c r="M1076" s="535"/>
      <c r="N1076" s="535"/>
      <c r="O1076" s="535"/>
      <c r="P1076" s="535"/>
      <c r="Q1076" s="535"/>
      <c r="R1076" s="535"/>
      <c r="S1076" s="535"/>
      <c r="T1076" s="535"/>
      <c r="U1076" s="535"/>
      <c r="V1076" s="535"/>
      <c r="W1076" s="535"/>
      <c r="X1076" s="535"/>
      <c r="Y1076" s="536"/>
    </row>
    <row r="1077" spans="1:25" ht="12.75">
      <c r="A1077" s="532" t="s">
        <v>6876</v>
      </c>
      <c r="B1077" s="532">
        <v>42100231</v>
      </c>
      <c r="C1077" s="532" t="s">
        <v>6708</v>
      </c>
      <c r="D1077" s="532" t="s">
        <v>6708</v>
      </c>
      <c r="E1077" s="532" t="s">
        <v>1405</v>
      </c>
      <c r="F1077" s="532" t="s">
        <v>6684</v>
      </c>
      <c r="G1077" s="532" t="s">
        <v>2392</v>
      </c>
      <c r="H1077" s="533"/>
      <c r="I1077" s="535"/>
      <c r="J1077" s="535"/>
      <c r="K1077" s="535"/>
      <c r="L1077" s="535"/>
      <c r="M1077" s="535"/>
      <c r="N1077" s="535"/>
      <c r="O1077" s="535"/>
      <c r="P1077" s="535"/>
      <c r="Q1077" s="535"/>
      <c r="R1077" s="535"/>
      <c r="S1077" s="535"/>
      <c r="T1077" s="535"/>
      <c r="U1077" s="535"/>
      <c r="V1077" s="535"/>
      <c r="W1077" s="535"/>
      <c r="X1077" s="535"/>
      <c r="Y1077" s="536"/>
    </row>
    <row r="1078" spans="1:25" ht="12.75">
      <c r="A1078" s="532" t="s">
        <v>6877</v>
      </c>
      <c r="B1078" s="532">
        <v>42100231</v>
      </c>
      <c r="C1078" s="532" t="s">
        <v>6708</v>
      </c>
      <c r="D1078" s="532" t="s">
        <v>6708</v>
      </c>
      <c r="E1078" s="532" t="s">
        <v>1405</v>
      </c>
      <c r="F1078" s="532" t="s">
        <v>6684</v>
      </c>
      <c r="G1078" s="532" t="s">
        <v>2392</v>
      </c>
      <c r="H1078" s="533"/>
      <c r="I1078" s="535"/>
      <c r="J1078" s="535"/>
      <c r="K1078" s="535"/>
      <c r="L1078" s="535"/>
      <c r="M1078" s="535"/>
      <c r="N1078" s="535"/>
      <c r="O1078" s="535"/>
      <c r="P1078" s="535"/>
      <c r="Q1078" s="535"/>
      <c r="R1078" s="535"/>
      <c r="S1078" s="535"/>
      <c r="T1078" s="535"/>
      <c r="U1078" s="535"/>
      <c r="V1078" s="535"/>
      <c r="W1078" s="535"/>
      <c r="X1078" s="535"/>
      <c r="Y1078" s="536"/>
    </row>
    <row r="1079" spans="1:25" ht="12.75">
      <c r="A1079" s="532" t="s">
        <v>6878</v>
      </c>
      <c r="B1079" s="532">
        <v>42200067</v>
      </c>
      <c r="C1079" s="532" t="s">
        <v>6678</v>
      </c>
      <c r="D1079" s="532" t="s">
        <v>6679</v>
      </c>
      <c r="E1079" s="532" t="s">
        <v>1405</v>
      </c>
      <c r="F1079" s="532" t="s">
        <v>6680</v>
      </c>
      <c r="G1079" s="532" t="s">
        <v>1468</v>
      </c>
      <c r="H1079" s="533"/>
      <c r="I1079" s="535"/>
      <c r="J1079" s="535"/>
      <c r="K1079" s="535"/>
      <c r="L1079" s="535"/>
      <c r="M1079" s="535"/>
      <c r="N1079" s="535"/>
      <c r="O1079" s="535"/>
      <c r="P1079" s="535"/>
      <c r="Q1079" s="535"/>
      <c r="R1079" s="535"/>
      <c r="S1079" s="535"/>
      <c r="T1079" s="535"/>
      <c r="U1079" s="535"/>
      <c r="V1079" s="535"/>
      <c r="W1079" s="535"/>
      <c r="X1079" s="535"/>
      <c r="Y1079" s="536"/>
    </row>
    <row r="1080" spans="1:25" ht="12.75">
      <c r="A1080" s="532" t="s">
        <v>6879</v>
      </c>
      <c r="B1080" s="532">
        <v>42200064</v>
      </c>
      <c r="C1080" s="532" t="s">
        <v>6682</v>
      </c>
      <c r="D1080" s="532" t="s">
        <v>6683</v>
      </c>
      <c r="E1080" s="532" t="s">
        <v>1405</v>
      </c>
      <c r="F1080" s="532" t="s">
        <v>6684</v>
      </c>
      <c r="G1080" s="532" t="s">
        <v>2392</v>
      </c>
      <c r="H1080" s="533"/>
      <c r="I1080" s="535"/>
      <c r="J1080" s="535"/>
      <c r="K1080" s="535"/>
      <c r="L1080" s="535"/>
      <c r="M1080" s="535"/>
      <c r="N1080" s="535"/>
      <c r="O1080" s="535"/>
      <c r="P1080" s="535"/>
      <c r="Q1080" s="535"/>
      <c r="R1080" s="535"/>
      <c r="S1080" s="535"/>
      <c r="T1080" s="535"/>
      <c r="U1080" s="535"/>
      <c r="V1080" s="535"/>
      <c r="W1080" s="535"/>
      <c r="X1080" s="535"/>
      <c r="Y1080" s="536"/>
    </row>
    <row r="1081" spans="1:25" ht="12.75">
      <c r="A1081" s="532" t="s">
        <v>6880</v>
      </c>
      <c r="B1081" s="532">
        <v>42200064</v>
      </c>
      <c r="C1081" s="532" t="s">
        <v>6682</v>
      </c>
      <c r="D1081" s="532" t="s">
        <v>6683</v>
      </c>
      <c r="E1081" s="532" t="s">
        <v>1405</v>
      </c>
      <c r="F1081" s="532" t="s">
        <v>6684</v>
      </c>
      <c r="G1081" s="532" t="s">
        <v>2392</v>
      </c>
      <c r="H1081" s="533"/>
      <c r="I1081" s="535"/>
      <c r="J1081" s="535"/>
      <c r="K1081" s="535"/>
      <c r="L1081" s="535"/>
      <c r="M1081" s="535"/>
      <c r="N1081" s="535"/>
      <c r="O1081" s="535"/>
      <c r="P1081" s="535"/>
      <c r="Q1081" s="535"/>
      <c r="R1081" s="535"/>
      <c r="S1081" s="535"/>
      <c r="T1081" s="535"/>
      <c r="U1081" s="535"/>
      <c r="V1081" s="535"/>
      <c r="W1081" s="535"/>
      <c r="X1081" s="535"/>
      <c r="Y1081" s="536"/>
    </row>
    <row r="1082" spans="1:25" ht="12.75">
      <c r="A1082" s="532" t="s">
        <v>6881</v>
      </c>
      <c r="B1082" s="532">
        <v>42200064</v>
      </c>
      <c r="C1082" s="532" t="s">
        <v>6682</v>
      </c>
      <c r="D1082" s="532" t="s">
        <v>6683</v>
      </c>
      <c r="E1082" s="532" t="s">
        <v>1405</v>
      </c>
      <c r="F1082" s="532" t="s">
        <v>6684</v>
      </c>
      <c r="G1082" s="532" t="s">
        <v>2392</v>
      </c>
      <c r="H1082" s="533"/>
      <c r="I1082" s="535"/>
      <c r="J1082" s="535"/>
      <c r="K1082" s="535"/>
      <c r="L1082" s="535"/>
      <c r="M1082" s="535"/>
      <c r="N1082" s="535"/>
      <c r="O1082" s="535"/>
      <c r="P1082" s="535"/>
      <c r="Q1082" s="535"/>
      <c r="R1082" s="535"/>
      <c r="S1082" s="535"/>
      <c r="T1082" s="535"/>
      <c r="U1082" s="535"/>
      <c r="V1082" s="535"/>
      <c r="W1082" s="535"/>
      <c r="X1082" s="535"/>
      <c r="Y1082" s="536"/>
    </row>
    <row r="1083" spans="1:25" ht="12.75">
      <c r="A1083" s="532" t="s">
        <v>6882</v>
      </c>
      <c r="B1083" s="532">
        <v>42200067</v>
      </c>
      <c r="C1083" s="532" t="s">
        <v>6678</v>
      </c>
      <c r="D1083" s="532" t="s">
        <v>6679</v>
      </c>
      <c r="E1083" s="532" t="s">
        <v>1405</v>
      </c>
      <c r="F1083" s="532" t="s">
        <v>6680</v>
      </c>
      <c r="G1083" s="532" t="s">
        <v>6696</v>
      </c>
      <c r="H1083" s="533"/>
      <c r="I1083" s="535"/>
      <c r="J1083" s="535"/>
      <c r="K1083" s="535"/>
      <c r="L1083" s="535"/>
      <c r="M1083" s="535"/>
      <c r="N1083" s="535"/>
      <c r="O1083" s="535"/>
      <c r="P1083" s="535"/>
      <c r="Q1083" s="535"/>
      <c r="R1083" s="535"/>
      <c r="S1083" s="535"/>
      <c r="T1083" s="535"/>
      <c r="U1083" s="535"/>
      <c r="V1083" s="535"/>
      <c r="W1083" s="535"/>
      <c r="X1083" s="535"/>
      <c r="Y1083" s="536"/>
    </row>
    <row r="1084" spans="1:25" ht="12.75">
      <c r="A1084" s="532" t="s">
        <v>6883</v>
      </c>
      <c r="B1084" s="532">
        <v>42200064</v>
      </c>
      <c r="C1084" s="532" t="s">
        <v>6682</v>
      </c>
      <c r="D1084" s="532" t="s">
        <v>6683</v>
      </c>
      <c r="E1084" s="532" t="s">
        <v>1405</v>
      </c>
      <c r="F1084" s="532" t="s">
        <v>6684</v>
      </c>
      <c r="G1084" s="532" t="s">
        <v>2392</v>
      </c>
      <c r="H1084" s="533"/>
      <c r="I1084" s="535"/>
      <c r="J1084" s="535"/>
      <c r="K1084" s="535"/>
      <c r="L1084" s="535"/>
      <c r="M1084" s="535"/>
      <c r="N1084" s="535"/>
      <c r="O1084" s="535"/>
      <c r="P1084" s="535"/>
      <c r="Q1084" s="535"/>
      <c r="R1084" s="535"/>
      <c r="S1084" s="535"/>
      <c r="T1084" s="535"/>
      <c r="U1084" s="535"/>
      <c r="V1084" s="535"/>
      <c r="W1084" s="535"/>
      <c r="X1084" s="535"/>
      <c r="Y1084" s="536"/>
    </row>
    <row r="1085" spans="1:25" ht="12.75">
      <c r="A1085" s="532" t="s">
        <v>6884</v>
      </c>
      <c r="B1085" s="532">
        <v>42200064</v>
      </c>
      <c r="C1085" s="532" t="s">
        <v>6682</v>
      </c>
      <c r="D1085" s="532" t="s">
        <v>6683</v>
      </c>
      <c r="E1085" s="532" t="s">
        <v>1405</v>
      </c>
      <c r="F1085" s="532" t="s">
        <v>6684</v>
      </c>
      <c r="G1085" s="532" t="s">
        <v>2392</v>
      </c>
      <c r="H1085" s="533"/>
      <c r="I1085" s="535"/>
      <c r="J1085" s="535"/>
      <c r="K1085" s="535"/>
      <c r="L1085" s="535"/>
      <c r="M1085" s="535"/>
      <c r="N1085" s="535"/>
      <c r="O1085" s="535"/>
      <c r="P1085" s="535"/>
      <c r="Q1085" s="535"/>
      <c r="R1085" s="535"/>
      <c r="S1085" s="535"/>
      <c r="T1085" s="535"/>
      <c r="U1085" s="535"/>
      <c r="V1085" s="535"/>
      <c r="W1085" s="535"/>
      <c r="X1085" s="535"/>
      <c r="Y1085" s="536"/>
    </row>
    <row r="1086" spans="1:25" ht="12.75">
      <c r="A1086" s="532" t="s">
        <v>6885</v>
      </c>
      <c r="B1086" s="532">
        <v>42200064</v>
      </c>
      <c r="C1086" s="532" t="s">
        <v>6682</v>
      </c>
      <c r="D1086" s="532" t="s">
        <v>6683</v>
      </c>
      <c r="E1086" s="532" t="s">
        <v>1405</v>
      </c>
      <c r="F1086" s="532" t="s">
        <v>6684</v>
      </c>
      <c r="G1086" s="532" t="s">
        <v>2392</v>
      </c>
      <c r="H1086" s="533"/>
      <c r="I1086" s="535"/>
      <c r="J1086" s="535"/>
      <c r="K1086" s="535"/>
      <c r="L1086" s="535"/>
      <c r="M1086" s="535"/>
      <c r="N1086" s="535"/>
      <c r="O1086" s="535"/>
      <c r="P1086" s="535"/>
      <c r="Q1086" s="535"/>
      <c r="R1086" s="535"/>
      <c r="S1086" s="535"/>
      <c r="T1086" s="535"/>
      <c r="U1086" s="535"/>
      <c r="V1086" s="535"/>
      <c r="W1086" s="535"/>
      <c r="X1086" s="535"/>
      <c r="Y1086" s="536"/>
    </row>
    <row r="1087" spans="1:25" ht="12.75">
      <c r="A1087" s="532" t="s">
        <v>6886</v>
      </c>
      <c r="B1087" s="532">
        <v>42200067</v>
      </c>
      <c r="C1087" s="532" t="s">
        <v>6678</v>
      </c>
      <c r="D1087" s="532" t="s">
        <v>6679</v>
      </c>
      <c r="E1087" s="532" t="s">
        <v>1405</v>
      </c>
      <c r="F1087" s="532" t="s">
        <v>6680</v>
      </c>
      <c r="G1087" s="532" t="s">
        <v>6696</v>
      </c>
      <c r="H1087" s="533"/>
      <c r="I1087" s="535"/>
      <c r="J1087" s="535"/>
      <c r="K1087" s="535"/>
      <c r="L1087" s="535"/>
      <c r="M1087" s="535"/>
      <c r="N1087" s="535"/>
      <c r="O1087" s="535"/>
      <c r="P1087" s="535"/>
      <c r="Q1087" s="535"/>
      <c r="R1087" s="535"/>
      <c r="S1087" s="535"/>
      <c r="T1087" s="535"/>
      <c r="U1087" s="535"/>
      <c r="V1087" s="535"/>
      <c r="W1087" s="535"/>
      <c r="X1087" s="535"/>
      <c r="Y1087" s="536"/>
    </row>
    <row r="1088" spans="1:25" ht="12.75">
      <c r="A1088" s="532" t="s">
        <v>6887</v>
      </c>
      <c r="B1088" s="532">
        <v>42200064</v>
      </c>
      <c r="C1088" s="532" t="s">
        <v>6682</v>
      </c>
      <c r="D1088" s="532" t="s">
        <v>6683</v>
      </c>
      <c r="E1088" s="532" t="s">
        <v>1405</v>
      </c>
      <c r="F1088" s="532" t="s">
        <v>6698</v>
      </c>
      <c r="G1088" s="532" t="s">
        <v>2392</v>
      </c>
      <c r="H1088" s="533"/>
      <c r="I1088" s="535"/>
      <c r="J1088" s="535"/>
      <c r="K1088" s="535"/>
      <c r="L1088" s="535"/>
      <c r="M1088" s="535"/>
      <c r="N1088" s="535"/>
      <c r="O1088" s="535"/>
      <c r="P1088" s="535"/>
      <c r="Q1088" s="535"/>
      <c r="R1088" s="535"/>
      <c r="S1088" s="535"/>
      <c r="T1088" s="535"/>
      <c r="U1088" s="535"/>
      <c r="V1088" s="535"/>
      <c r="W1088" s="535"/>
      <c r="X1088" s="535"/>
      <c r="Y1088" s="536"/>
    </row>
    <row r="1089" spans="1:25" ht="12.75">
      <c r="A1089" s="532" t="s">
        <v>6888</v>
      </c>
      <c r="B1089" s="532">
        <v>42200064</v>
      </c>
      <c r="C1089" s="532" t="s">
        <v>6682</v>
      </c>
      <c r="D1089" s="532" t="s">
        <v>6683</v>
      </c>
      <c r="E1089" s="532" t="s">
        <v>1405</v>
      </c>
      <c r="F1089" s="532" t="s">
        <v>6698</v>
      </c>
      <c r="G1089" s="532" t="s">
        <v>2392</v>
      </c>
      <c r="H1089" s="533"/>
      <c r="I1089" s="535"/>
      <c r="J1089" s="535"/>
      <c r="K1089" s="535"/>
      <c r="L1089" s="535"/>
      <c r="M1089" s="535"/>
      <c r="N1089" s="535"/>
      <c r="O1089" s="535"/>
      <c r="P1089" s="535"/>
      <c r="Q1089" s="535"/>
      <c r="R1089" s="535"/>
      <c r="S1089" s="535"/>
      <c r="T1089" s="535"/>
      <c r="U1089" s="535"/>
      <c r="V1089" s="535"/>
      <c r="W1089" s="535"/>
      <c r="X1089" s="535"/>
      <c r="Y1089" s="536"/>
    </row>
    <row r="1090" spans="1:25" ht="12.75">
      <c r="A1090" s="532" t="s">
        <v>6889</v>
      </c>
      <c r="B1090" s="532">
        <v>42200064</v>
      </c>
      <c r="C1090" s="532" t="s">
        <v>6682</v>
      </c>
      <c r="D1090" s="532" t="s">
        <v>6683</v>
      </c>
      <c r="E1090" s="532" t="s">
        <v>1405</v>
      </c>
      <c r="F1090" s="532" t="s">
        <v>6698</v>
      </c>
      <c r="G1090" s="532" t="s">
        <v>2392</v>
      </c>
      <c r="H1090" s="533"/>
      <c r="I1090" s="535"/>
      <c r="J1090" s="535"/>
      <c r="K1090" s="535"/>
      <c r="L1090" s="535"/>
      <c r="M1090" s="535"/>
      <c r="N1090" s="535"/>
      <c r="O1090" s="535"/>
      <c r="P1090" s="535"/>
      <c r="Q1090" s="535"/>
      <c r="R1090" s="535"/>
      <c r="S1090" s="535"/>
      <c r="T1090" s="535"/>
      <c r="U1090" s="535"/>
      <c r="V1090" s="535"/>
      <c r="W1090" s="535"/>
      <c r="X1090" s="535"/>
      <c r="Y1090" s="536"/>
    </row>
    <row r="1091" spans="1:25" ht="12.75">
      <c r="A1091" s="532" t="s">
        <v>6890</v>
      </c>
      <c r="B1091" s="532">
        <v>42200067</v>
      </c>
      <c r="C1091" s="532" t="s">
        <v>6678</v>
      </c>
      <c r="D1091" s="532" t="s">
        <v>6679</v>
      </c>
      <c r="E1091" s="532" t="s">
        <v>1405</v>
      </c>
      <c r="F1091" s="532" t="s">
        <v>6680</v>
      </c>
      <c r="G1091" s="532" t="s">
        <v>6696</v>
      </c>
      <c r="H1091" s="533"/>
      <c r="I1091" s="535"/>
      <c r="J1091" s="535"/>
      <c r="K1091" s="535"/>
      <c r="L1091" s="535"/>
      <c r="M1091" s="535"/>
      <c r="N1091" s="535"/>
      <c r="O1091" s="535"/>
      <c r="P1091" s="535"/>
      <c r="Q1091" s="535"/>
      <c r="R1091" s="535"/>
      <c r="S1091" s="535"/>
      <c r="T1091" s="535"/>
      <c r="U1091" s="535"/>
      <c r="V1091" s="535"/>
      <c r="W1091" s="535"/>
      <c r="X1091" s="535"/>
      <c r="Y1091" s="536"/>
    </row>
    <row r="1092" spans="1:25" ht="12.75">
      <c r="A1092" s="532" t="s">
        <v>6891</v>
      </c>
      <c r="B1092" s="532">
        <v>42200064</v>
      </c>
      <c r="C1092" s="532" t="s">
        <v>6682</v>
      </c>
      <c r="D1092" s="532" t="s">
        <v>6683</v>
      </c>
      <c r="E1092" s="532" t="s">
        <v>1405</v>
      </c>
      <c r="F1092" s="532" t="s">
        <v>6698</v>
      </c>
      <c r="G1092" s="532" t="s">
        <v>2392</v>
      </c>
      <c r="H1092" s="533"/>
      <c r="I1092" s="535"/>
      <c r="J1092" s="535"/>
      <c r="K1092" s="535"/>
      <c r="L1092" s="535"/>
      <c r="M1092" s="535"/>
      <c r="N1092" s="535"/>
      <c r="O1092" s="535"/>
      <c r="P1092" s="535"/>
      <c r="Q1092" s="535"/>
      <c r="R1092" s="535"/>
      <c r="S1092" s="535"/>
      <c r="T1092" s="535"/>
      <c r="U1092" s="535"/>
      <c r="V1092" s="535"/>
      <c r="W1092" s="535"/>
      <c r="X1092" s="535"/>
      <c r="Y1092" s="536"/>
    </row>
    <row r="1093" spans="1:25" ht="12.75">
      <c r="A1093" s="532" t="s">
        <v>6892</v>
      </c>
      <c r="B1093" s="532">
        <v>42200064</v>
      </c>
      <c r="C1093" s="532" t="s">
        <v>6682</v>
      </c>
      <c r="D1093" s="532" t="s">
        <v>6683</v>
      </c>
      <c r="E1093" s="532" t="s">
        <v>1405</v>
      </c>
      <c r="F1093" s="532" t="s">
        <v>6698</v>
      </c>
      <c r="G1093" s="532" t="s">
        <v>2392</v>
      </c>
      <c r="H1093" s="533"/>
      <c r="I1093" s="535"/>
      <c r="J1093" s="535"/>
      <c r="K1093" s="535"/>
      <c r="L1093" s="535"/>
      <c r="M1093" s="535"/>
      <c r="N1093" s="535"/>
      <c r="O1093" s="535"/>
      <c r="P1093" s="535"/>
      <c r="Q1093" s="535"/>
      <c r="R1093" s="535"/>
      <c r="S1093" s="535"/>
      <c r="T1093" s="535"/>
      <c r="U1093" s="535"/>
      <c r="V1093" s="535"/>
      <c r="W1093" s="535"/>
      <c r="X1093" s="535"/>
      <c r="Y1093" s="536"/>
    </row>
    <row r="1094" spans="1:25" ht="12.75">
      <c r="A1094" s="532" t="s">
        <v>6893</v>
      </c>
      <c r="B1094" s="532">
        <v>42200064</v>
      </c>
      <c r="C1094" s="532" t="s">
        <v>6682</v>
      </c>
      <c r="D1094" s="532" t="s">
        <v>6683</v>
      </c>
      <c r="E1094" s="532" t="s">
        <v>1405</v>
      </c>
      <c r="F1094" s="532" t="s">
        <v>6698</v>
      </c>
      <c r="G1094" s="532" t="s">
        <v>2392</v>
      </c>
      <c r="H1094" s="533"/>
      <c r="I1094" s="535"/>
      <c r="J1094" s="535"/>
      <c r="K1094" s="535"/>
      <c r="L1094" s="535"/>
      <c r="M1094" s="535"/>
      <c r="N1094" s="535"/>
      <c r="O1094" s="535"/>
      <c r="P1094" s="535"/>
      <c r="Q1094" s="535"/>
      <c r="R1094" s="535"/>
      <c r="S1094" s="535"/>
      <c r="T1094" s="535"/>
      <c r="U1094" s="535"/>
      <c r="V1094" s="535"/>
      <c r="W1094" s="535"/>
      <c r="X1094" s="535"/>
      <c r="Y1094" s="536"/>
    </row>
    <row r="1095" spans="1:25" ht="12.75">
      <c r="A1095" s="532" t="s">
        <v>6894</v>
      </c>
      <c r="B1095" s="532">
        <v>42200067</v>
      </c>
      <c r="C1095" s="532" t="s">
        <v>6678</v>
      </c>
      <c r="D1095" s="532" t="s">
        <v>6679</v>
      </c>
      <c r="E1095" s="532" t="s">
        <v>1405</v>
      </c>
      <c r="F1095" s="532" t="s">
        <v>6680</v>
      </c>
      <c r="G1095" s="532" t="s">
        <v>1468</v>
      </c>
      <c r="H1095" s="533"/>
      <c r="I1095" s="535"/>
      <c r="J1095" s="535"/>
      <c r="K1095" s="535"/>
      <c r="L1095" s="535"/>
      <c r="M1095" s="535"/>
      <c r="N1095" s="535"/>
      <c r="O1095" s="535"/>
      <c r="P1095" s="535"/>
      <c r="Q1095" s="535"/>
      <c r="R1095" s="535"/>
      <c r="S1095" s="535"/>
      <c r="T1095" s="535"/>
      <c r="U1095" s="535"/>
      <c r="V1095" s="535"/>
      <c r="W1095" s="535"/>
      <c r="X1095" s="535"/>
      <c r="Y1095" s="536"/>
    </row>
    <row r="1096" spans="1:25" ht="12.75">
      <c r="A1096" s="532" t="s">
        <v>6895</v>
      </c>
      <c r="B1096" s="532">
        <v>42200064</v>
      </c>
      <c r="C1096" s="532" t="s">
        <v>6682</v>
      </c>
      <c r="D1096" s="532" t="s">
        <v>6683</v>
      </c>
      <c r="E1096" s="532" t="s">
        <v>1405</v>
      </c>
      <c r="F1096" s="532" t="s">
        <v>6698</v>
      </c>
      <c r="G1096" s="532" t="s">
        <v>2392</v>
      </c>
      <c r="H1096" s="533"/>
      <c r="I1096" s="535"/>
      <c r="J1096" s="535"/>
      <c r="K1096" s="535"/>
      <c r="L1096" s="535"/>
      <c r="M1096" s="535"/>
      <c r="N1096" s="535"/>
      <c r="O1096" s="535"/>
      <c r="P1096" s="535"/>
      <c r="Q1096" s="535"/>
      <c r="R1096" s="535"/>
      <c r="S1096" s="535"/>
      <c r="T1096" s="535"/>
      <c r="U1096" s="535"/>
      <c r="V1096" s="535"/>
      <c r="W1096" s="535"/>
      <c r="X1096" s="535"/>
      <c r="Y1096" s="536"/>
    </row>
    <row r="1097" spans="1:25" ht="12.75">
      <c r="A1097" s="532" t="s">
        <v>6896</v>
      </c>
      <c r="B1097" s="532">
        <v>42200064</v>
      </c>
      <c r="C1097" s="532" t="s">
        <v>6682</v>
      </c>
      <c r="D1097" s="532" t="s">
        <v>6683</v>
      </c>
      <c r="E1097" s="532" t="s">
        <v>1405</v>
      </c>
      <c r="F1097" s="532" t="s">
        <v>6698</v>
      </c>
      <c r="G1097" s="532" t="s">
        <v>2392</v>
      </c>
      <c r="H1097" s="533"/>
      <c r="I1097" s="535"/>
      <c r="J1097" s="535"/>
      <c r="K1097" s="535"/>
      <c r="L1097" s="535"/>
      <c r="M1097" s="535"/>
      <c r="N1097" s="535"/>
      <c r="O1097" s="535"/>
      <c r="P1097" s="535"/>
      <c r="Q1097" s="535"/>
      <c r="R1097" s="535"/>
      <c r="S1097" s="535"/>
      <c r="T1097" s="535"/>
      <c r="U1097" s="535"/>
      <c r="V1097" s="535"/>
      <c r="W1097" s="535"/>
      <c r="X1097" s="535"/>
      <c r="Y1097" s="536"/>
    </row>
    <row r="1098" spans="1:25" ht="12.75">
      <c r="A1098" s="532" t="s">
        <v>6897</v>
      </c>
      <c r="B1098" s="532">
        <v>42200064</v>
      </c>
      <c r="C1098" s="532" t="s">
        <v>6682</v>
      </c>
      <c r="D1098" s="532" t="s">
        <v>6683</v>
      </c>
      <c r="E1098" s="532" t="s">
        <v>1405</v>
      </c>
      <c r="F1098" s="532" t="s">
        <v>6698</v>
      </c>
      <c r="G1098" s="532" t="s">
        <v>2392</v>
      </c>
      <c r="H1098" s="533"/>
      <c r="I1098" s="535"/>
      <c r="J1098" s="535"/>
      <c r="K1098" s="535"/>
      <c r="L1098" s="535"/>
      <c r="M1098" s="535"/>
      <c r="N1098" s="535"/>
      <c r="O1098" s="535"/>
      <c r="P1098" s="535"/>
      <c r="Q1098" s="535"/>
      <c r="R1098" s="535"/>
      <c r="S1098" s="535"/>
      <c r="T1098" s="535"/>
      <c r="U1098" s="535"/>
      <c r="V1098" s="535"/>
      <c r="W1098" s="535"/>
      <c r="X1098" s="535"/>
      <c r="Y1098" s="536"/>
    </row>
    <row r="1099" spans="1:25" ht="12.75">
      <c r="A1099" s="532" t="s">
        <v>6898</v>
      </c>
      <c r="B1099" s="532">
        <v>42200067</v>
      </c>
      <c r="C1099" s="532" t="s">
        <v>6678</v>
      </c>
      <c r="D1099" s="532" t="s">
        <v>6679</v>
      </c>
      <c r="E1099" s="532" t="s">
        <v>1405</v>
      </c>
      <c r="F1099" s="532" t="s">
        <v>6680</v>
      </c>
      <c r="G1099" s="532" t="s">
        <v>1468</v>
      </c>
      <c r="H1099" s="533"/>
      <c r="I1099" s="535"/>
      <c r="J1099" s="535"/>
      <c r="K1099" s="535"/>
      <c r="L1099" s="535"/>
      <c r="M1099" s="535"/>
      <c r="N1099" s="535"/>
      <c r="O1099" s="535"/>
      <c r="P1099" s="535"/>
      <c r="Q1099" s="535"/>
      <c r="R1099" s="535"/>
      <c r="S1099" s="535"/>
      <c r="T1099" s="535"/>
      <c r="U1099" s="535"/>
      <c r="V1099" s="535"/>
      <c r="W1099" s="535"/>
      <c r="X1099" s="535"/>
      <c r="Y1099" s="536"/>
    </row>
    <row r="1100" spans="1:25" ht="12.75">
      <c r="A1100" s="532" t="s">
        <v>6899</v>
      </c>
      <c r="B1100" s="532">
        <v>42200064</v>
      </c>
      <c r="C1100" s="532" t="s">
        <v>6682</v>
      </c>
      <c r="D1100" s="532" t="s">
        <v>6683</v>
      </c>
      <c r="E1100" s="532" t="s">
        <v>1405</v>
      </c>
      <c r="F1100" s="532" t="s">
        <v>6684</v>
      </c>
      <c r="G1100" s="532" t="s">
        <v>2392</v>
      </c>
      <c r="H1100" s="533"/>
      <c r="I1100" s="535"/>
      <c r="J1100" s="535"/>
      <c r="K1100" s="535"/>
      <c r="L1100" s="535"/>
      <c r="M1100" s="535"/>
      <c r="N1100" s="535"/>
      <c r="O1100" s="535"/>
      <c r="P1100" s="535"/>
      <c r="Q1100" s="535"/>
      <c r="R1100" s="535"/>
      <c r="S1100" s="535"/>
      <c r="T1100" s="535"/>
      <c r="U1100" s="535"/>
      <c r="V1100" s="535"/>
      <c r="W1100" s="535"/>
      <c r="X1100" s="535"/>
      <c r="Y1100" s="536"/>
    </row>
    <row r="1101" spans="1:25" ht="12.75">
      <c r="A1101" s="532" t="s">
        <v>6900</v>
      </c>
      <c r="B1101" s="532">
        <v>42200064</v>
      </c>
      <c r="C1101" s="532" t="s">
        <v>6682</v>
      </c>
      <c r="D1101" s="532" t="s">
        <v>6683</v>
      </c>
      <c r="E1101" s="532" t="s">
        <v>1405</v>
      </c>
      <c r="F1101" s="532" t="s">
        <v>6684</v>
      </c>
      <c r="G1101" s="532" t="s">
        <v>2392</v>
      </c>
      <c r="H1101" s="533"/>
      <c r="I1101" s="535"/>
      <c r="J1101" s="535"/>
      <c r="K1101" s="535"/>
      <c r="L1101" s="535"/>
      <c r="M1101" s="535"/>
      <c r="N1101" s="535"/>
      <c r="O1101" s="535"/>
      <c r="P1101" s="535"/>
      <c r="Q1101" s="535"/>
      <c r="R1101" s="535"/>
      <c r="S1101" s="535"/>
      <c r="T1101" s="535"/>
      <c r="U1101" s="535"/>
      <c r="V1101" s="535"/>
      <c r="W1101" s="535"/>
      <c r="X1101" s="535"/>
      <c r="Y1101" s="536"/>
    </row>
    <row r="1102" spans="1:25" ht="12.75">
      <c r="A1102" s="532" t="s">
        <v>6901</v>
      </c>
      <c r="B1102" s="532">
        <v>42200064</v>
      </c>
      <c r="C1102" s="532" t="s">
        <v>6682</v>
      </c>
      <c r="D1102" s="532" t="s">
        <v>6683</v>
      </c>
      <c r="E1102" s="532" t="s">
        <v>1405</v>
      </c>
      <c r="F1102" s="532" t="s">
        <v>6684</v>
      </c>
      <c r="G1102" s="532" t="s">
        <v>2392</v>
      </c>
      <c r="H1102" s="533"/>
      <c r="I1102" s="535"/>
      <c r="J1102" s="535"/>
      <c r="K1102" s="535"/>
      <c r="L1102" s="535"/>
      <c r="M1102" s="535"/>
      <c r="N1102" s="535"/>
      <c r="O1102" s="535"/>
      <c r="P1102" s="535"/>
      <c r="Q1102" s="535"/>
      <c r="R1102" s="535"/>
      <c r="S1102" s="535"/>
      <c r="T1102" s="535"/>
      <c r="U1102" s="535"/>
      <c r="V1102" s="535"/>
      <c r="W1102" s="535"/>
      <c r="X1102" s="535"/>
      <c r="Y1102" s="536"/>
    </row>
    <row r="1103" spans="1:25" ht="12.75">
      <c r="A1103" s="532" t="s">
        <v>6902</v>
      </c>
      <c r="B1103" s="532">
        <v>42100340</v>
      </c>
      <c r="C1103" s="532" t="s">
        <v>6678</v>
      </c>
      <c r="D1103" s="532" t="s">
        <v>6903</v>
      </c>
      <c r="E1103" s="532" t="s">
        <v>1405</v>
      </c>
      <c r="F1103" s="532" t="s">
        <v>6680</v>
      </c>
      <c r="G1103" s="532" t="s">
        <v>1468</v>
      </c>
      <c r="H1103" s="533"/>
      <c r="I1103" s="535"/>
      <c r="J1103" s="535"/>
      <c r="K1103" s="535"/>
      <c r="L1103" s="535"/>
      <c r="M1103" s="535"/>
      <c r="N1103" s="535"/>
      <c r="O1103" s="535"/>
      <c r="P1103" s="535"/>
      <c r="Q1103" s="535"/>
      <c r="R1103" s="535"/>
      <c r="S1103" s="535"/>
      <c r="T1103" s="535"/>
      <c r="U1103" s="535"/>
      <c r="V1103" s="535"/>
      <c r="W1103" s="535"/>
      <c r="X1103" s="535"/>
      <c r="Y1103" s="536"/>
    </row>
    <row r="1104" spans="1:25" ht="12.75">
      <c r="A1104" s="532" t="s">
        <v>6904</v>
      </c>
      <c r="B1104" s="532">
        <v>42100243</v>
      </c>
      <c r="C1104" s="532" t="s">
        <v>6905</v>
      </c>
      <c r="D1104" s="532" t="s">
        <v>6906</v>
      </c>
      <c r="E1104" s="532" t="s">
        <v>1405</v>
      </c>
      <c r="F1104" s="532" t="s">
        <v>6684</v>
      </c>
      <c r="G1104" s="532" t="s">
        <v>2392</v>
      </c>
      <c r="H1104" s="533"/>
      <c r="I1104" s="535"/>
      <c r="J1104" s="535"/>
      <c r="K1104" s="535"/>
      <c r="L1104" s="535"/>
      <c r="M1104" s="535"/>
      <c r="N1104" s="535"/>
      <c r="O1104" s="535"/>
      <c r="P1104" s="535"/>
      <c r="Q1104" s="535"/>
      <c r="R1104" s="535"/>
      <c r="S1104" s="535"/>
      <c r="T1104" s="535"/>
      <c r="U1104" s="535"/>
      <c r="V1104" s="535"/>
      <c r="W1104" s="535"/>
      <c r="X1104" s="535"/>
      <c r="Y1104" s="536"/>
    </row>
    <row r="1105" spans="1:25" ht="12.75">
      <c r="A1105" s="532" t="s">
        <v>6907</v>
      </c>
      <c r="B1105" s="532">
        <v>42100243</v>
      </c>
      <c r="C1105" s="532" t="s">
        <v>6905</v>
      </c>
      <c r="D1105" s="532" t="s">
        <v>6906</v>
      </c>
      <c r="E1105" s="532" t="s">
        <v>1405</v>
      </c>
      <c r="F1105" s="532" t="s">
        <v>6684</v>
      </c>
      <c r="G1105" s="532" t="s">
        <v>2392</v>
      </c>
      <c r="H1105" s="533"/>
      <c r="I1105" s="535"/>
      <c r="J1105" s="535"/>
      <c r="K1105" s="535"/>
      <c r="L1105" s="535"/>
      <c r="M1105" s="535"/>
      <c r="N1105" s="535"/>
      <c r="O1105" s="535"/>
      <c r="P1105" s="535"/>
      <c r="Q1105" s="535"/>
      <c r="R1105" s="535"/>
      <c r="S1105" s="535"/>
      <c r="T1105" s="535"/>
      <c r="U1105" s="535"/>
      <c r="V1105" s="535"/>
      <c r="W1105" s="535"/>
      <c r="X1105" s="535"/>
      <c r="Y1105" s="536"/>
    </row>
    <row r="1106" spans="1:25" ht="12.75">
      <c r="A1106" s="532" t="s">
        <v>6908</v>
      </c>
      <c r="B1106" s="532">
        <v>42100243</v>
      </c>
      <c r="C1106" s="532" t="s">
        <v>6905</v>
      </c>
      <c r="D1106" s="532" t="s">
        <v>6906</v>
      </c>
      <c r="E1106" s="532" t="s">
        <v>1405</v>
      </c>
      <c r="F1106" s="532" t="s">
        <v>6684</v>
      </c>
      <c r="G1106" s="532" t="s">
        <v>2392</v>
      </c>
      <c r="H1106" s="533"/>
      <c r="I1106" s="535"/>
      <c r="J1106" s="535"/>
      <c r="K1106" s="535"/>
      <c r="L1106" s="535"/>
      <c r="M1106" s="535"/>
      <c r="N1106" s="535"/>
      <c r="O1106" s="535"/>
      <c r="P1106" s="535"/>
      <c r="Q1106" s="535"/>
      <c r="R1106" s="535"/>
      <c r="S1106" s="535"/>
      <c r="T1106" s="535"/>
      <c r="U1106" s="535"/>
      <c r="V1106" s="535"/>
      <c r="W1106" s="535"/>
      <c r="X1106" s="535"/>
      <c r="Y1106" s="536"/>
    </row>
    <row r="1107" spans="1:25" ht="12.75">
      <c r="A1107" s="532" t="s">
        <v>6909</v>
      </c>
      <c r="B1107" s="532">
        <v>42100243</v>
      </c>
      <c r="C1107" s="532" t="s">
        <v>6905</v>
      </c>
      <c r="D1107" s="532" t="s">
        <v>6906</v>
      </c>
      <c r="E1107" s="532" t="s">
        <v>1405</v>
      </c>
      <c r="F1107" s="532" t="s">
        <v>6684</v>
      </c>
      <c r="G1107" s="532" t="s">
        <v>2392</v>
      </c>
      <c r="H1107" s="533"/>
      <c r="I1107" s="535"/>
      <c r="J1107" s="535"/>
      <c r="K1107" s="535"/>
      <c r="L1107" s="535"/>
      <c r="M1107" s="535"/>
      <c r="N1107" s="535"/>
      <c r="O1107" s="535"/>
      <c r="P1107" s="535"/>
      <c r="Q1107" s="535"/>
      <c r="R1107" s="535"/>
      <c r="S1107" s="535"/>
      <c r="T1107" s="535"/>
      <c r="U1107" s="535"/>
      <c r="V1107" s="535"/>
      <c r="W1107" s="535"/>
      <c r="X1107" s="535"/>
      <c r="Y1107" s="536"/>
    </row>
    <row r="1108" spans="1:25" ht="12.75">
      <c r="A1108" s="532" t="s">
        <v>6910</v>
      </c>
      <c r="B1108" s="532">
        <v>42200069</v>
      </c>
      <c r="C1108" s="532" t="s">
        <v>6831</v>
      </c>
      <c r="D1108" s="532" t="s">
        <v>6832</v>
      </c>
      <c r="E1108" s="532" t="s">
        <v>6911</v>
      </c>
      <c r="F1108" s="532" t="s">
        <v>6698</v>
      </c>
      <c r="G1108" s="532" t="s">
        <v>1468</v>
      </c>
      <c r="H1108" s="533"/>
      <c r="I1108" s="535"/>
      <c r="J1108" s="535"/>
      <c r="K1108" s="535"/>
      <c r="L1108" s="535"/>
      <c r="M1108" s="535"/>
      <c r="N1108" s="535"/>
      <c r="O1108" s="535"/>
      <c r="P1108" s="535"/>
      <c r="Q1108" s="535"/>
      <c r="R1108" s="535"/>
      <c r="S1108" s="535"/>
      <c r="T1108" s="535"/>
      <c r="U1108" s="535"/>
      <c r="V1108" s="535"/>
      <c r="W1108" s="535"/>
      <c r="X1108" s="535"/>
      <c r="Y1108" s="536"/>
    </row>
    <row r="1109" spans="1:25" ht="12.75">
      <c r="A1109" s="532" t="s">
        <v>6912</v>
      </c>
      <c r="B1109" s="532">
        <v>42200079</v>
      </c>
      <c r="C1109" s="532" t="s">
        <v>6808</v>
      </c>
      <c r="D1109" s="532" t="s">
        <v>6809</v>
      </c>
      <c r="E1109" s="532" t="s">
        <v>1404</v>
      </c>
      <c r="F1109" s="532" t="s">
        <v>6684</v>
      </c>
      <c r="G1109" s="532" t="s">
        <v>6696</v>
      </c>
      <c r="H1109" s="533"/>
      <c r="I1109" s="535"/>
      <c r="J1109" s="535"/>
      <c r="K1109" s="535"/>
      <c r="L1109" s="535"/>
      <c r="M1109" s="535"/>
      <c r="N1109" s="535"/>
      <c r="O1109" s="535"/>
      <c r="P1109" s="535"/>
      <c r="Q1109" s="535"/>
      <c r="R1109" s="535"/>
      <c r="S1109" s="535"/>
      <c r="T1109" s="535"/>
      <c r="U1109" s="535"/>
      <c r="V1109" s="535"/>
      <c r="W1109" s="535"/>
      <c r="X1109" s="535"/>
      <c r="Y1109" s="536"/>
    </row>
    <row r="1110" spans="1:25" ht="12.75">
      <c r="A1110" s="532" t="s">
        <v>6913</v>
      </c>
      <c r="B1110" s="532">
        <v>42200079</v>
      </c>
      <c r="C1110" s="532" t="s">
        <v>6808</v>
      </c>
      <c r="D1110" s="532" t="s">
        <v>6809</v>
      </c>
      <c r="E1110" s="532" t="s">
        <v>1404</v>
      </c>
      <c r="F1110" s="532" t="s">
        <v>6684</v>
      </c>
      <c r="G1110" s="532" t="s">
        <v>6696</v>
      </c>
      <c r="H1110" s="533"/>
      <c r="I1110" s="535"/>
      <c r="J1110" s="535"/>
      <c r="K1110" s="535"/>
      <c r="L1110" s="535"/>
      <c r="M1110" s="535"/>
      <c r="N1110" s="535"/>
      <c r="O1110" s="535"/>
      <c r="P1110" s="535"/>
      <c r="Q1110" s="535"/>
      <c r="R1110" s="535"/>
      <c r="S1110" s="535"/>
      <c r="T1110" s="535"/>
      <c r="U1110" s="535"/>
      <c r="V1110" s="535"/>
      <c r="W1110" s="535"/>
      <c r="X1110" s="535"/>
      <c r="Y1110" s="536"/>
    </row>
    <row r="1111" spans="1:25" ht="12.75">
      <c r="A1111" s="532" t="s">
        <v>6914</v>
      </c>
      <c r="B1111" s="532">
        <v>42200079</v>
      </c>
      <c r="C1111" s="532" t="s">
        <v>6808</v>
      </c>
      <c r="D1111" s="532" t="s">
        <v>6809</v>
      </c>
      <c r="E1111" s="532" t="s">
        <v>1404</v>
      </c>
      <c r="F1111" s="532" t="s">
        <v>6684</v>
      </c>
      <c r="G1111" s="532" t="s">
        <v>6696</v>
      </c>
      <c r="H1111" s="533"/>
      <c r="I1111" s="535"/>
      <c r="J1111" s="535"/>
      <c r="K1111" s="535"/>
      <c r="L1111" s="535"/>
      <c r="M1111" s="535"/>
      <c r="N1111" s="535"/>
      <c r="O1111" s="535"/>
      <c r="P1111" s="535"/>
      <c r="Q1111" s="535"/>
      <c r="R1111" s="535"/>
      <c r="S1111" s="535"/>
      <c r="T1111" s="535"/>
      <c r="U1111" s="535"/>
      <c r="V1111" s="535"/>
      <c r="W1111" s="535"/>
      <c r="X1111" s="535"/>
      <c r="Y1111" s="536"/>
    </row>
    <row r="1112" spans="1:25" ht="12.75">
      <c r="A1112" s="532" t="s">
        <v>6915</v>
      </c>
      <c r="B1112" s="532">
        <v>42200079</v>
      </c>
      <c r="C1112" s="532" t="s">
        <v>6808</v>
      </c>
      <c r="D1112" s="532" t="s">
        <v>6809</v>
      </c>
      <c r="E1112" s="532" t="s">
        <v>1404</v>
      </c>
      <c r="F1112" s="532" t="s">
        <v>6684</v>
      </c>
      <c r="G1112" s="532" t="s">
        <v>6696</v>
      </c>
      <c r="H1112" s="533"/>
      <c r="I1112" s="535"/>
      <c r="J1112" s="535"/>
      <c r="K1112" s="535"/>
      <c r="L1112" s="535"/>
      <c r="M1112" s="535"/>
      <c r="N1112" s="535"/>
      <c r="O1112" s="535"/>
      <c r="P1112" s="535"/>
      <c r="Q1112" s="535"/>
      <c r="R1112" s="535"/>
      <c r="S1112" s="535"/>
      <c r="T1112" s="535"/>
      <c r="U1112" s="535"/>
      <c r="V1112" s="535"/>
      <c r="W1112" s="535"/>
      <c r="X1112" s="535"/>
      <c r="Y1112" s="536"/>
    </row>
    <row r="1113" spans="1:25" ht="12.75">
      <c r="A1113" s="532" t="s">
        <v>6916</v>
      </c>
      <c r="B1113" s="532">
        <v>42200079</v>
      </c>
      <c r="C1113" s="532" t="s">
        <v>6808</v>
      </c>
      <c r="D1113" s="532" t="s">
        <v>6809</v>
      </c>
      <c r="E1113" s="532" t="s">
        <v>1404</v>
      </c>
      <c r="F1113" s="532" t="s">
        <v>6684</v>
      </c>
      <c r="G1113" s="532" t="s">
        <v>6696</v>
      </c>
      <c r="H1113" s="533"/>
      <c r="I1113" s="535"/>
      <c r="J1113" s="535"/>
      <c r="K1113" s="535"/>
      <c r="L1113" s="535"/>
      <c r="M1113" s="535"/>
      <c r="N1113" s="535"/>
      <c r="O1113" s="535"/>
      <c r="P1113" s="535"/>
      <c r="Q1113" s="535"/>
      <c r="R1113" s="535"/>
      <c r="S1113" s="535"/>
      <c r="T1113" s="535"/>
      <c r="U1113" s="535"/>
      <c r="V1113" s="535"/>
      <c r="W1113" s="535"/>
      <c r="X1113" s="535"/>
      <c r="Y1113" s="536"/>
    </row>
    <row r="1114" spans="1:25" ht="12.75">
      <c r="A1114" s="532" t="s">
        <v>6917</v>
      </c>
      <c r="B1114" s="532">
        <v>42200079</v>
      </c>
      <c r="C1114" s="532" t="s">
        <v>6808</v>
      </c>
      <c r="D1114" s="532" t="s">
        <v>6809</v>
      </c>
      <c r="E1114" s="532" t="s">
        <v>1404</v>
      </c>
      <c r="F1114" s="532" t="s">
        <v>6684</v>
      </c>
      <c r="G1114" s="532" t="s">
        <v>6696</v>
      </c>
      <c r="H1114" s="533"/>
      <c r="I1114" s="535"/>
      <c r="J1114" s="535"/>
      <c r="K1114" s="535"/>
      <c r="L1114" s="535"/>
      <c r="M1114" s="535"/>
      <c r="N1114" s="535"/>
      <c r="O1114" s="535"/>
      <c r="P1114" s="535"/>
      <c r="Q1114" s="535"/>
      <c r="R1114" s="535"/>
      <c r="S1114" s="535"/>
      <c r="T1114" s="535"/>
      <c r="U1114" s="535"/>
      <c r="V1114" s="535"/>
      <c r="W1114" s="535"/>
      <c r="X1114" s="535"/>
      <c r="Y1114" s="536"/>
    </row>
    <row r="1115" spans="1:25" ht="12.75">
      <c r="A1115" s="532" t="s">
        <v>6918</v>
      </c>
      <c r="B1115" s="532">
        <v>42200079</v>
      </c>
      <c r="C1115" s="532" t="s">
        <v>6808</v>
      </c>
      <c r="D1115" s="532" t="s">
        <v>6809</v>
      </c>
      <c r="E1115" s="532" t="s">
        <v>1404</v>
      </c>
      <c r="F1115" s="532" t="s">
        <v>6684</v>
      </c>
      <c r="G1115" s="532" t="s">
        <v>6696</v>
      </c>
      <c r="H1115" s="533"/>
      <c r="I1115" s="535"/>
      <c r="J1115" s="535"/>
      <c r="K1115" s="535"/>
      <c r="L1115" s="535"/>
      <c r="M1115" s="535"/>
      <c r="N1115" s="535"/>
      <c r="O1115" s="535"/>
      <c r="P1115" s="535"/>
      <c r="Q1115" s="535"/>
      <c r="R1115" s="535"/>
      <c r="S1115" s="535"/>
      <c r="T1115" s="535"/>
      <c r="U1115" s="535"/>
      <c r="V1115" s="535"/>
      <c r="W1115" s="535"/>
      <c r="X1115" s="535"/>
      <c r="Y1115" s="536"/>
    </row>
    <row r="1116" spans="1:25" ht="12.75">
      <c r="A1116" s="532" t="s">
        <v>6919</v>
      </c>
      <c r="B1116" s="532">
        <v>42200079</v>
      </c>
      <c r="C1116" s="532" t="s">
        <v>6808</v>
      </c>
      <c r="D1116" s="532" t="s">
        <v>6809</v>
      </c>
      <c r="E1116" s="532" t="s">
        <v>1404</v>
      </c>
      <c r="F1116" s="532" t="s">
        <v>6684</v>
      </c>
      <c r="G1116" s="532" t="s">
        <v>6696</v>
      </c>
      <c r="H1116" s="533"/>
      <c r="I1116" s="535"/>
      <c r="J1116" s="535"/>
      <c r="K1116" s="535"/>
      <c r="L1116" s="535"/>
      <c r="M1116" s="535"/>
      <c r="N1116" s="535"/>
      <c r="O1116" s="535"/>
      <c r="P1116" s="535"/>
      <c r="Q1116" s="535"/>
      <c r="R1116" s="535"/>
      <c r="S1116" s="535"/>
      <c r="T1116" s="535"/>
      <c r="U1116" s="535"/>
      <c r="V1116" s="535"/>
      <c r="W1116" s="535"/>
      <c r="X1116" s="535"/>
      <c r="Y1116" s="536"/>
    </row>
    <row r="1117" spans="1:25" ht="12.75">
      <c r="A1117" s="532" t="s">
        <v>6920</v>
      </c>
      <c r="B1117" s="532">
        <v>42200079</v>
      </c>
      <c r="C1117" s="532" t="s">
        <v>6808</v>
      </c>
      <c r="D1117" s="532" t="s">
        <v>6809</v>
      </c>
      <c r="E1117" s="532" t="s">
        <v>1404</v>
      </c>
      <c r="F1117" s="532" t="s">
        <v>6684</v>
      </c>
      <c r="G1117" s="532" t="s">
        <v>6696</v>
      </c>
      <c r="H1117" s="533"/>
      <c r="I1117" s="535"/>
      <c r="J1117" s="535"/>
      <c r="K1117" s="535"/>
      <c r="L1117" s="535"/>
      <c r="M1117" s="535"/>
      <c r="N1117" s="535"/>
      <c r="O1117" s="535"/>
      <c r="P1117" s="535"/>
      <c r="Q1117" s="535"/>
      <c r="R1117" s="535"/>
      <c r="S1117" s="535"/>
      <c r="T1117" s="535"/>
      <c r="U1117" s="535"/>
      <c r="V1117" s="535"/>
      <c r="W1117" s="535"/>
      <c r="X1117" s="535"/>
      <c r="Y1117" s="536"/>
    </row>
    <row r="1118" spans="1:25" ht="12.75">
      <c r="A1118" s="532" t="s">
        <v>6921</v>
      </c>
      <c r="B1118" s="532">
        <v>42200079</v>
      </c>
      <c r="C1118" s="532" t="s">
        <v>6808</v>
      </c>
      <c r="D1118" s="532" t="s">
        <v>6809</v>
      </c>
      <c r="E1118" s="532" t="s">
        <v>1404</v>
      </c>
      <c r="F1118" s="532" t="s">
        <v>6684</v>
      </c>
      <c r="G1118" s="532" t="s">
        <v>6696</v>
      </c>
      <c r="H1118" s="533"/>
      <c r="I1118" s="535"/>
      <c r="J1118" s="535"/>
      <c r="K1118" s="535"/>
      <c r="L1118" s="535"/>
      <c r="M1118" s="535"/>
      <c r="N1118" s="535"/>
      <c r="O1118" s="535"/>
      <c r="P1118" s="535"/>
      <c r="Q1118" s="535"/>
      <c r="R1118" s="535"/>
      <c r="S1118" s="535"/>
      <c r="T1118" s="535"/>
      <c r="U1118" s="535"/>
      <c r="V1118" s="535"/>
      <c r="W1118" s="535"/>
      <c r="X1118" s="535"/>
      <c r="Y1118" s="536"/>
    </row>
    <row r="1119" spans="1:25" ht="12.75">
      <c r="A1119" s="532" t="s">
        <v>6922</v>
      </c>
      <c r="B1119" s="532">
        <v>42200079</v>
      </c>
      <c r="C1119" s="532" t="s">
        <v>6808</v>
      </c>
      <c r="D1119" s="532" t="s">
        <v>6809</v>
      </c>
      <c r="E1119" s="532" t="s">
        <v>1404</v>
      </c>
      <c r="F1119" s="532" t="s">
        <v>6684</v>
      </c>
      <c r="G1119" s="532" t="s">
        <v>6696</v>
      </c>
      <c r="H1119" s="533"/>
      <c r="I1119" s="535"/>
      <c r="J1119" s="535"/>
      <c r="K1119" s="535"/>
      <c r="L1119" s="535"/>
      <c r="M1119" s="535"/>
      <c r="N1119" s="535"/>
      <c r="O1119" s="535"/>
      <c r="P1119" s="535"/>
      <c r="Q1119" s="535"/>
      <c r="R1119" s="535"/>
      <c r="S1119" s="535"/>
      <c r="T1119" s="535"/>
      <c r="U1119" s="535"/>
      <c r="V1119" s="535"/>
      <c r="W1119" s="535"/>
      <c r="X1119" s="535"/>
      <c r="Y1119" s="536"/>
    </row>
    <row r="1120" spans="1:25" ht="12.75">
      <c r="A1120" s="532" t="s">
        <v>6923</v>
      </c>
      <c r="B1120" s="532">
        <v>42200079</v>
      </c>
      <c r="C1120" s="532" t="s">
        <v>6808</v>
      </c>
      <c r="D1120" s="532" t="s">
        <v>6809</v>
      </c>
      <c r="E1120" s="532" t="s">
        <v>1404</v>
      </c>
      <c r="F1120" s="532" t="s">
        <v>6684</v>
      </c>
      <c r="G1120" s="532" t="s">
        <v>6696</v>
      </c>
      <c r="H1120" s="533"/>
      <c r="I1120" s="535"/>
      <c r="J1120" s="535"/>
      <c r="K1120" s="535"/>
      <c r="L1120" s="535"/>
      <c r="M1120" s="535"/>
      <c r="N1120" s="535"/>
      <c r="O1120" s="535"/>
      <c r="P1120" s="535"/>
      <c r="Q1120" s="535"/>
      <c r="R1120" s="535"/>
      <c r="S1120" s="535"/>
      <c r="T1120" s="535"/>
      <c r="U1120" s="535"/>
      <c r="V1120" s="535"/>
      <c r="W1120" s="535"/>
      <c r="X1120" s="535"/>
      <c r="Y1120" s="536"/>
    </row>
    <row r="1121" spans="1:25" ht="12.75">
      <c r="A1121" s="532" t="s">
        <v>6924</v>
      </c>
      <c r="B1121" s="532">
        <v>42200079</v>
      </c>
      <c r="C1121" s="532" t="s">
        <v>6808</v>
      </c>
      <c r="D1121" s="532" t="s">
        <v>6809</v>
      </c>
      <c r="E1121" s="532" t="s">
        <v>1404</v>
      </c>
      <c r="F1121" s="532" t="s">
        <v>6684</v>
      </c>
      <c r="G1121" s="532" t="s">
        <v>6696</v>
      </c>
      <c r="H1121" s="533"/>
      <c r="I1121" s="535"/>
      <c r="J1121" s="535"/>
      <c r="K1121" s="535"/>
      <c r="L1121" s="535"/>
      <c r="M1121" s="535"/>
      <c r="N1121" s="535"/>
      <c r="O1121" s="535"/>
      <c r="P1121" s="535"/>
      <c r="Q1121" s="535"/>
      <c r="R1121" s="535"/>
      <c r="S1121" s="535"/>
      <c r="T1121" s="535"/>
      <c r="U1121" s="535"/>
      <c r="V1121" s="535"/>
      <c r="W1121" s="535"/>
      <c r="X1121" s="535"/>
      <c r="Y1121" s="536"/>
    </row>
    <row r="1122" spans="1:25" ht="12.75">
      <c r="A1122" s="532" t="s">
        <v>6925</v>
      </c>
      <c r="B1122" s="532">
        <v>42200067</v>
      </c>
      <c r="C1122" s="532" t="s">
        <v>6678</v>
      </c>
      <c r="D1122" s="532" t="s">
        <v>6679</v>
      </c>
      <c r="E1122" s="532" t="s">
        <v>1405</v>
      </c>
      <c r="F1122" s="532" t="s">
        <v>6680</v>
      </c>
      <c r="G1122" s="532" t="s">
        <v>1468</v>
      </c>
      <c r="H1122" s="533"/>
      <c r="I1122" s="535"/>
      <c r="J1122" s="535"/>
      <c r="K1122" s="535"/>
      <c r="L1122" s="535"/>
      <c r="M1122" s="535"/>
      <c r="N1122" s="535"/>
      <c r="O1122" s="535"/>
      <c r="P1122" s="535"/>
      <c r="Q1122" s="535"/>
      <c r="R1122" s="535"/>
      <c r="S1122" s="535"/>
      <c r="T1122" s="535"/>
      <c r="U1122" s="535"/>
      <c r="V1122" s="535"/>
      <c r="W1122" s="535"/>
      <c r="X1122" s="535"/>
      <c r="Y1122" s="536"/>
    </row>
    <row r="1123" spans="1:25" ht="12.75">
      <c r="A1123" s="532" t="s">
        <v>6926</v>
      </c>
      <c r="B1123" s="532">
        <v>42200064</v>
      </c>
      <c r="C1123" s="532" t="s">
        <v>6682</v>
      </c>
      <c r="D1123" s="532" t="s">
        <v>6683</v>
      </c>
      <c r="E1123" s="532" t="s">
        <v>1405</v>
      </c>
      <c r="F1123" s="532" t="s">
        <v>6684</v>
      </c>
      <c r="G1123" s="532" t="s">
        <v>2392</v>
      </c>
      <c r="H1123" s="533"/>
      <c r="I1123" s="535"/>
      <c r="J1123" s="535"/>
      <c r="K1123" s="535"/>
      <c r="L1123" s="535"/>
      <c r="M1123" s="535"/>
      <c r="N1123" s="535"/>
      <c r="O1123" s="535"/>
      <c r="P1123" s="535"/>
      <c r="Q1123" s="535"/>
      <c r="R1123" s="535"/>
      <c r="S1123" s="535"/>
      <c r="T1123" s="535"/>
      <c r="U1123" s="535"/>
      <c r="V1123" s="535"/>
      <c r="W1123" s="535"/>
      <c r="X1123" s="535"/>
      <c r="Y1123" s="536"/>
    </row>
    <row r="1124" spans="1:25" ht="12.75">
      <c r="A1124" s="532" t="s">
        <v>6927</v>
      </c>
      <c r="B1124" s="532">
        <v>42200064</v>
      </c>
      <c r="C1124" s="532" t="s">
        <v>6682</v>
      </c>
      <c r="D1124" s="532" t="s">
        <v>6683</v>
      </c>
      <c r="E1124" s="532" t="s">
        <v>1405</v>
      </c>
      <c r="F1124" s="532" t="s">
        <v>6684</v>
      </c>
      <c r="G1124" s="532" t="s">
        <v>2392</v>
      </c>
      <c r="H1124" s="533"/>
      <c r="I1124" s="535"/>
      <c r="J1124" s="535"/>
      <c r="K1124" s="535"/>
      <c r="L1124" s="535"/>
      <c r="M1124" s="535"/>
      <c r="N1124" s="535"/>
      <c r="O1124" s="535"/>
      <c r="P1124" s="535"/>
      <c r="Q1124" s="535"/>
      <c r="R1124" s="535"/>
      <c r="S1124" s="535"/>
      <c r="T1124" s="535"/>
      <c r="U1124" s="535"/>
      <c r="V1124" s="535"/>
      <c r="W1124" s="535"/>
      <c r="X1124" s="535"/>
      <c r="Y1124" s="536"/>
    </row>
    <row r="1125" spans="1:25" ht="12.75">
      <c r="A1125" s="532" t="s">
        <v>6928</v>
      </c>
      <c r="B1125" s="532">
        <v>42200064</v>
      </c>
      <c r="C1125" s="532" t="s">
        <v>6682</v>
      </c>
      <c r="D1125" s="532" t="s">
        <v>6683</v>
      </c>
      <c r="E1125" s="532" t="s">
        <v>1405</v>
      </c>
      <c r="F1125" s="532" t="s">
        <v>6684</v>
      </c>
      <c r="G1125" s="532" t="s">
        <v>2392</v>
      </c>
      <c r="H1125" s="533"/>
      <c r="I1125" s="535"/>
      <c r="J1125" s="535"/>
      <c r="K1125" s="535"/>
      <c r="L1125" s="535"/>
      <c r="M1125" s="535"/>
      <c r="N1125" s="535"/>
      <c r="O1125" s="535"/>
      <c r="P1125" s="535"/>
      <c r="Q1125" s="535"/>
      <c r="R1125" s="535"/>
      <c r="S1125" s="535"/>
      <c r="T1125" s="535"/>
      <c r="U1125" s="535"/>
      <c r="V1125" s="535"/>
      <c r="W1125" s="535"/>
      <c r="X1125" s="535"/>
      <c r="Y1125" s="536"/>
    </row>
    <row r="1126" spans="1:25" ht="12.75">
      <c r="A1126" s="532" t="s">
        <v>6929</v>
      </c>
      <c r="B1126" s="532">
        <v>42200067</v>
      </c>
      <c r="C1126" s="532" t="s">
        <v>6678</v>
      </c>
      <c r="D1126" s="532" t="s">
        <v>6679</v>
      </c>
      <c r="E1126" s="532" t="s">
        <v>1405</v>
      </c>
      <c r="F1126" s="532" t="s">
        <v>6680</v>
      </c>
      <c r="G1126" s="532" t="s">
        <v>1468</v>
      </c>
      <c r="H1126" s="533"/>
      <c r="I1126" s="535"/>
      <c r="J1126" s="535"/>
      <c r="K1126" s="535"/>
      <c r="L1126" s="535"/>
      <c r="M1126" s="535"/>
      <c r="N1126" s="535"/>
      <c r="O1126" s="535"/>
      <c r="P1126" s="535"/>
      <c r="Q1126" s="535"/>
      <c r="R1126" s="535"/>
      <c r="S1126" s="535"/>
      <c r="T1126" s="535"/>
      <c r="U1126" s="535"/>
      <c r="V1126" s="535"/>
      <c r="W1126" s="535"/>
      <c r="X1126" s="535"/>
      <c r="Y1126" s="536"/>
    </row>
    <row r="1127" spans="1:25" ht="12.75">
      <c r="A1127" s="532" t="s">
        <v>6930</v>
      </c>
      <c r="B1127" s="532">
        <v>42200064</v>
      </c>
      <c r="C1127" s="532" t="s">
        <v>6682</v>
      </c>
      <c r="D1127" s="532" t="s">
        <v>6683</v>
      </c>
      <c r="E1127" s="532" t="s">
        <v>1405</v>
      </c>
      <c r="F1127" s="532" t="s">
        <v>6684</v>
      </c>
      <c r="G1127" s="532" t="s">
        <v>2392</v>
      </c>
      <c r="H1127" s="533"/>
      <c r="I1127" s="535"/>
      <c r="J1127" s="535"/>
      <c r="K1127" s="535"/>
      <c r="L1127" s="535"/>
      <c r="M1127" s="535"/>
      <c r="N1127" s="535"/>
      <c r="O1127" s="535"/>
      <c r="P1127" s="535"/>
      <c r="Q1127" s="535"/>
      <c r="R1127" s="535"/>
      <c r="S1127" s="535"/>
      <c r="T1127" s="535"/>
      <c r="U1127" s="535"/>
      <c r="V1127" s="535"/>
      <c r="W1127" s="535"/>
      <c r="X1127" s="535"/>
      <c r="Y1127" s="536"/>
    </row>
    <row r="1128" spans="1:25" ht="12.75">
      <c r="A1128" s="532" t="s">
        <v>6931</v>
      </c>
      <c r="B1128" s="532">
        <v>42200064</v>
      </c>
      <c r="C1128" s="532" t="s">
        <v>6682</v>
      </c>
      <c r="D1128" s="532" t="s">
        <v>6683</v>
      </c>
      <c r="E1128" s="532" t="s">
        <v>1405</v>
      </c>
      <c r="F1128" s="532" t="s">
        <v>6684</v>
      </c>
      <c r="G1128" s="532" t="s">
        <v>2392</v>
      </c>
      <c r="H1128" s="533"/>
      <c r="I1128" s="535"/>
      <c r="J1128" s="535"/>
      <c r="K1128" s="535"/>
      <c r="L1128" s="535"/>
      <c r="M1128" s="535"/>
      <c r="N1128" s="535"/>
      <c r="O1128" s="535"/>
      <c r="P1128" s="535"/>
      <c r="Q1128" s="535"/>
      <c r="R1128" s="535"/>
      <c r="S1128" s="535"/>
      <c r="T1128" s="535"/>
      <c r="U1128" s="535"/>
      <c r="V1128" s="535"/>
      <c r="W1128" s="535"/>
      <c r="X1128" s="535"/>
      <c r="Y1128" s="536"/>
    </row>
    <row r="1129" spans="1:25" ht="12.75">
      <c r="A1129" s="532" t="s">
        <v>6932</v>
      </c>
      <c r="B1129" s="532">
        <v>42200064</v>
      </c>
      <c r="C1129" s="532" t="s">
        <v>6682</v>
      </c>
      <c r="D1129" s="532" t="s">
        <v>6683</v>
      </c>
      <c r="E1129" s="532" t="s">
        <v>1405</v>
      </c>
      <c r="F1129" s="532" t="s">
        <v>6684</v>
      </c>
      <c r="G1129" s="532" t="s">
        <v>2392</v>
      </c>
      <c r="H1129" s="533"/>
      <c r="I1129" s="535"/>
      <c r="J1129" s="535"/>
      <c r="K1129" s="535"/>
      <c r="L1129" s="535"/>
      <c r="M1129" s="535"/>
      <c r="N1129" s="535"/>
      <c r="O1129" s="535"/>
      <c r="P1129" s="535"/>
      <c r="Q1129" s="535"/>
      <c r="R1129" s="535"/>
      <c r="S1129" s="535"/>
      <c r="T1129" s="535"/>
      <c r="U1129" s="535"/>
      <c r="V1129" s="535"/>
      <c r="W1129" s="535"/>
      <c r="X1129" s="535"/>
      <c r="Y1129" s="536"/>
    </row>
    <row r="1130" spans="1:25" ht="12.75">
      <c r="A1130" s="532" t="s">
        <v>6933</v>
      </c>
      <c r="B1130" s="532">
        <v>42200067</v>
      </c>
      <c r="C1130" s="532" t="s">
        <v>6678</v>
      </c>
      <c r="D1130" s="532" t="s">
        <v>6679</v>
      </c>
      <c r="E1130" s="532" t="s">
        <v>1405</v>
      </c>
      <c r="F1130" s="532" t="s">
        <v>6680</v>
      </c>
      <c r="G1130" s="532" t="s">
        <v>1468</v>
      </c>
      <c r="H1130" s="533"/>
      <c r="I1130" s="535"/>
      <c r="J1130" s="535"/>
      <c r="K1130" s="535"/>
      <c r="L1130" s="535"/>
      <c r="M1130" s="535"/>
      <c r="N1130" s="535"/>
      <c r="O1130" s="535"/>
      <c r="P1130" s="535"/>
      <c r="Q1130" s="535"/>
      <c r="R1130" s="535"/>
      <c r="S1130" s="535"/>
      <c r="T1130" s="535"/>
      <c r="U1130" s="535"/>
      <c r="V1130" s="535"/>
      <c r="W1130" s="535"/>
      <c r="X1130" s="535"/>
      <c r="Y1130" s="536"/>
    </row>
    <row r="1131" spans="1:25" ht="12.75">
      <c r="A1131" s="532" t="s">
        <v>6934</v>
      </c>
      <c r="B1131" s="532">
        <v>42200064</v>
      </c>
      <c r="C1131" s="532" t="s">
        <v>6682</v>
      </c>
      <c r="D1131" s="532" t="s">
        <v>6683</v>
      </c>
      <c r="E1131" s="532" t="s">
        <v>1405</v>
      </c>
      <c r="F1131" s="532" t="s">
        <v>6684</v>
      </c>
      <c r="G1131" s="532" t="s">
        <v>2392</v>
      </c>
      <c r="H1131" s="533"/>
      <c r="I1131" s="535"/>
      <c r="J1131" s="535"/>
      <c r="K1131" s="535"/>
      <c r="L1131" s="535"/>
      <c r="M1131" s="535"/>
      <c r="N1131" s="535"/>
      <c r="O1131" s="535"/>
      <c r="P1131" s="535"/>
      <c r="Q1131" s="535"/>
      <c r="R1131" s="535"/>
      <c r="S1131" s="535"/>
      <c r="T1131" s="535"/>
      <c r="U1131" s="535"/>
      <c r="V1131" s="535"/>
      <c r="W1131" s="535"/>
      <c r="X1131" s="535"/>
      <c r="Y1131" s="536"/>
    </row>
    <row r="1132" spans="1:25" ht="12.75">
      <c r="A1132" s="532" t="s">
        <v>6935</v>
      </c>
      <c r="B1132" s="532">
        <v>42200064</v>
      </c>
      <c r="C1132" s="532" t="s">
        <v>6682</v>
      </c>
      <c r="D1132" s="532" t="s">
        <v>6683</v>
      </c>
      <c r="E1132" s="532" t="s">
        <v>1405</v>
      </c>
      <c r="F1132" s="532" t="s">
        <v>6684</v>
      </c>
      <c r="G1132" s="532" t="s">
        <v>2392</v>
      </c>
      <c r="H1132" s="533"/>
      <c r="I1132" s="535"/>
      <c r="J1132" s="535"/>
      <c r="K1132" s="535"/>
      <c r="L1132" s="535"/>
      <c r="M1132" s="535"/>
      <c r="N1132" s="535"/>
      <c r="O1132" s="535"/>
      <c r="P1132" s="535"/>
      <c r="Q1132" s="535"/>
      <c r="R1132" s="535"/>
      <c r="S1132" s="535"/>
      <c r="T1132" s="535"/>
      <c r="U1132" s="535"/>
      <c r="V1132" s="535"/>
      <c r="W1132" s="535"/>
      <c r="X1132" s="535"/>
      <c r="Y1132" s="536"/>
    </row>
    <row r="1133" spans="1:25" ht="12.75">
      <c r="A1133" s="532" t="s">
        <v>6936</v>
      </c>
      <c r="B1133" s="532">
        <v>42200064</v>
      </c>
      <c r="C1133" s="532" t="s">
        <v>6682</v>
      </c>
      <c r="D1133" s="532" t="s">
        <v>6683</v>
      </c>
      <c r="E1133" s="532" t="s">
        <v>1405</v>
      </c>
      <c r="F1133" s="532" t="s">
        <v>6684</v>
      </c>
      <c r="G1133" s="532" t="s">
        <v>2392</v>
      </c>
      <c r="H1133" s="533"/>
      <c r="I1133" s="535"/>
      <c r="J1133" s="535"/>
      <c r="K1133" s="535"/>
      <c r="L1133" s="535"/>
      <c r="M1133" s="535"/>
      <c r="N1133" s="535"/>
      <c r="O1133" s="535"/>
      <c r="P1133" s="535"/>
      <c r="Q1133" s="535"/>
      <c r="R1133" s="535"/>
      <c r="S1133" s="535"/>
      <c r="T1133" s="535"/>
      <c r="U1133" s="535"/>
      <c r="V1133" s="535"/>
      <c r="W1133" s="535"/>
      <c r="X1133" s="535"/>
      <c r="Y1133" s="536"/>
    </row>
    <row r="1134" spans="1:25" ht="12.75">
      <c r="A1134" s="532" t="s">
        <v>6937</v>
      </c>
      <c r="B1134" s="532">
        <v>42200067</v>
      </c>
      <c r="C1134" s="532" t="s">
        <v>6678</v>
      </c>
      <c r="D1134" s="532" t="s">
        <v>6679</v>
      </c>
      <c r="E1134" s="532" t="s">
        <v>1405</v>
      </c>
      <c r="F1134" s="532" t="s">
        <v>6680</v>
      </c>
      <c r="G1134" s="532" t="s">
        <v>1468</v>
      </c>
      <c r="H1134" s="533"/>
      <c r="I1134" s="535"/>
      <c r="J1134" s="535"/>
      <c r="K1134" s="535"/>
      <c r="L1134" s="535"/>
      <c r="M1134" s="535"/>
      <c r="N1134" s="535"/>
      <c r="O1134" s="535"/>
      <c r="P1134" s="535"/>
      <c r="Q1134" s="535"/>
      <c r="R1134" s="535"/>
      <c r="S1134" s="535"/>
      <c r="T1134" s="535"/>
      <c r="U1134" s="535"/>
      <c r="V1134" s="535"/>
      <c r="W1134" s="535"/>
      <c r="X1134" s="535"/>
      <c r="Y1134" s="536"/>
    </row>
    <row r="1135" spans="1:25" ht="12.75">
      <c r="A1135" s="532" t="s">
        <v>6938</v>
      </c>
      <c r="B1135" s="532">
        <v>42200064</v>
      </c>
      <c r="C1135" s="532" t="s">
        <v>6682</v>
      </c>
      <c r="D1135" s="532" t="s">
        <v>6683</v>
      </c>
      <c r="E1135" s="532" t="s">
        <v>1405</v>
      </c>
      <c r="F1135" s="532" t="s">
        <v>6698</v>
      </c>
      <c r="G1135" s="532" t="s">
        <v>2392</v>
      </c>
      <c r="H1135" s="533"/>
      <c r="I1135" s="535"/>
      <c r="J1135" s="535"/>
      <c r="K1135" s="535"/>
      <c r="L1135" s="535"/>
      <c r="M1135" s="535"/>
      <c r="N1135" s="535"/>
      <c r="O1135" s="535"/>
      <c r="P1135" s="535"/>
      <c r="Q1135" s="535"/>
      <c r="R1135" s="535"/>
      <c r="S1135" s="535"/>
      <c r="T1135" s="535"/>
      <c r="U1135" s="535"/>
      <c r="V1135" s="535"/>
      <c r="W1135" s="535"/>
      <c r="X1135" s="535"/>
      <c r="Y1135" s="536"/>
    </row>
    <row r="1136" spans="1:25" ht="12.75">
      <c r="A1136" s="532" t="s">
        <v>6939</v>
      </c>
      <c r="B1136" s="532">
        <v>42200064</v>
      </c>
      <c r="C1136" s="532" t="s">
        <v>6682</v>
      </c>
      <c r="D1136" s="532" t="s">
        <v>6683</v>
      </c>
      <c r="E1136" s="532" t="s">
        <v>1405</v>
      </c>
      <c r="F1136" s="532" t="s">
        <v>6698</v>
      </c>
      <c r="G1136" s="532" t="s">
        <v>2392</v>
      </c>
      <c r="H1136" s="533"/>
      <c r="I1136" s="535"/>
      <c r="J1136" s="535"/>
      <c r="K1136" s="535"/>
      <c r="L1136" s="535"/>
      <c r="M1136" s="535"/>
      <c r="N1136" s="535"/>
      <c r="O1136" s="535"/>
      <c r="P1136" s="535"/>
      <c r="Q1136" s="535"/>
      <c r="R1136" s="535"/>
      <c r="S1136" s="535"/>
      <c r="T1136" s="535"/>
      <c r="U1136" s="535"/>
      <c r="V1136" s="535"/>
      <c r="W1136" s="535"/>
      <c r="X1136" s="535"/>
      <c r="Y1136" s="536"/>
    </row>
    <row r="1137" spans="1:25" ht="12.75">
      <c r="A1137" s="532" t="s">
        <v>6940</v>
      </c>
      <c r="B1137" s="532">
        <v>42200064</v>
      </c>
      <c r="C1137" s="532" t="s">
        <v>6682</v>
      </c>
      <c r="D1137" s="532" t="s">
        <v>6683</v>
      </c>
      <c r="E1137" s="532" t="s">
        <v>1405</v>
      </c>
      <c r="F1137" s="532" t="s">
        <v>6698</v>
      </c>
      <c r="G1137" s="532" t="s">
        <v>2392</v>
      </c>
      <c r="H1137" s="533"/>
      <c r="I1137" s="535"/>
      <c r="J1137" s="535"/>
      <c r="K1137" s="535"/>
      <c r="L1137" s="535"/>
      <c r="M1137" s="535"/>
      <c r="N1137" s="535"/>
      <c r="O1137" s="535"/>
      <c r="P1137" s="535"/>
      <c r="Q1137" s="535"/>
      <c r="R1137" s="535"/>
      <c r="S1137" s="535"/>
      <c r="T1137" s="535"/>
      <c r="U1137" s="535"/>
      <c r="V1137" s="535"/>
      <c r="W1137" s="535"/>
      <c r="X1137" s="535"/>
      <c r="Y1137" s="536"/>
    </row>
    <row r="1138" spans="1:25" ht="12.75">
      <c r="A1138" s="532" t="s">
        <v>6941</v>
      </c>
      <c r="B1138" s="532">
        <v>42200067</v>
      </c>
      <c r="C1138" s="532" t="s">
        <v>6678</v>
      </c>
      <c r="D1138" s="532" t="s">
        <v>6679</v>
      </c>
      <c r="E1138" s="532" t="s">
        <v>1405</v>
      </c>
      <c r="F1138" s="532" t="s">
        <v>6680</v>
      </c>
      <c r="G1138" s="532" t="s">
        <v>1468</v>
      </c>
      <c r="H1138" s="533"/>
      <c r="I1138" s="535"/>
      <c r="J1138" s="535"/>
      <c r="K1138" s="535"/>
      <c r="L1138" s="535"/>
      <c r="M1138" s="535"/>
      <c r="N1138" s="535"/>
      <c r="O1138" s="535"/>
      <c r="P1138" s="535"/>
      <c r="Q1138" s="535"/>
      <c r="R1138" s="535"/>
      <c r="S1138" s="535"/>
      <c r="T1138" s="535"/>
      <c r="U1138" s="535"/>
      <c r="V1138" s="535"/>
      <c r="W1138" s="535"/>
      <c r="X1138" s="535"/>
      <c r="Y1138" s="536"/>
    </row>
    <row r="1139" spans="1:25" ht="12.75">
      <c r="A1139" s="532" t="s">
        <v>6942</v>
      </c>
      <c r="B1139" s="532">
        <v>42200064</v>
      </c>
      <c r="C1139" s="532" t="s">
        <v>6682</v>
      </c>
      <c r="D1139" s="532" t="s">
        <v>6683</v>
      </c>
      <c r="E1139" s="532" t="s">
        <v>1405</v>
      </c>
      <c r="F1139" s="532" t="s">
        <v>6698</v>
      </c>
      <c r="G1139" s="532" t="s">
        <v>2392</v>
      </c>
      <c r="H1139" s="533"/>
      <c r="I1139" s="535"/>
      <c r="J1139" s="535"/>
      <c r="K1139" s="535"/>
      <c r="L1139" s="535"/>
      <c r="M1139" s="535"/>
      <c r="N1139" s="535"/>
      <c r="O1139" s="535"/>
      <c r="P1139" s="535"/>
      <c r="Q1139" s="535"/>
      <c r="R1139" s="535"/>
      <c r="S1139" s="535"/>
      <c r="T1139" s="535"/>
      <c r="U1139" s="535"/>
      <c r="V1139" s="535"/>
      <c r="W1139" s="535"/>
      <c r="X1139" s="535"/>
      <c r="Y1139" s="536"/>
    </row>
    <row r="1140" spans="1:25" ht="12.75">
      <c r="A1140" s="532" t="s">
        <v>6943</v>
      </c>
      <c r="B1140" s="532">
        <v>42200064</v>
      </c>
      <c r="C1140" s="532" t="s">
        <v>6682</v>
      </c>
      <c r="D1140" s="532" t="s">
        <v>6683</v>
      </c>
      <c r="E1140" s="532" t="s">
        <v>1405</v>
      </c>
      <c r="F1140" s="532" t="s">
        <v>6698</v>
      </c>
      <c r="G1140" s="532" t="s">
        <v>2392</v>
      </c>
      <c r="H1140" s="533"/>
      <c r="I1140" s="535"/>
      <c r="J1140" s="535"/>
      <c r="K1140" s="535"/>
      <c r="L1140" s="535"/>
      <c r="M1140" s="535"/>
      <c r="N1140" s="535"/>
      <c r="O1140" s="535"/>
      <c r="P1140" s="535"/>
      <c r="Q1140" s="535"/>
      <c r="R1140" s="535"/>
      <c r="S1140" s="535"/>
      <c r="T1140" s="535"/>
      <c r="U1140" s="535"/>
      <c r="V1140" s="535"/>
      <c r="W1140" s="535"/>
      <c r="X1140" s="535"/>
      <c r="Y1140" s="536"/>
    </row>
    <row r="1141" spans="1:25" ht="12.75">
      <c r="A1141" s="532" t="s">
        <v>6944</v>
      </c>
      <c r="B1141" s="532">
        <v>42200064</v>
      </c>
      <c r="C1141" s="532" t="s">
        <v>6682</v>
      </c>
      <c r="D1141" s="532" t="s">
        <v>6683</v>
      </c>
      <c r="E1141" s="532" t="s">
        <v>1405</v>
      </c>
      <c r="F1141" s="532" t="s">
        <v>6698</v>
      </c>
      <c r="G1141" s="532" t="s">
        <v>2392</v>
      </c>
      <c r="H1141" s="533"/>
      <c r="I1141" s="535"/>
      <c r="J1141" s="535"/>
      <c r="K1141" s="535"/>
      <c r="L1141" s="535"/>
      <c r="M1141" s="535"/>
      <c r="N1141" s="535"/>
      <c r="O1141" s="535"/>
      <c r="P1141" s="535"/>
      <c r="Q1141" s="535"/>
      <c r="R1141" s="535"/>
      <c r="S1141" s="535"/>
      <c r="T1141" s="535"/>
      <c r="U1141" s="535"/>
      <c r="V1141" s="535"/>
      <c r="W1141" s="535"/>
      <c r="X1141" s="535"/>
      <c r="Y1141" s="536"/>
    </row>
    <row r="1142" spans="1:25" ht="12.75">
      <c r="A1142" s="532" t="s">
        <v>6945</v>
      </c>
      <c r="B1142" s="532">
        <v>42200067</v>
      </c>
      <c r="C1142" s="532" t="s">
        <v>6678</v>
      </c>
      <c r="D1142" s="532" t="s">
        <v>6679</v>
      </c>
      <c r="E1142" s="532" t="s">
        <v>1405</v>
      </c>
      <c r="F1142" s="532" t="s">
        <v>6680</v>
      </c>
      <c r="G1142" s="532" t="s">
        <v>1468</v>
      </c>
      <c r="H1142" s="533"/>
      <c r="I1142" s="535"/>
      <c r="J1142" s="535"/>
      <c r="K1142" s="535"/>
      <c r="L1142" s="535"/>
      <c r="M1142" s="535"/>
      <c r="N1142" s="535"/>
      <c r="O1142" s="535"/>
      <c r="P1142" s="535"/>
      <c r="Q1142" s="535"/>
      <c r="R1142" s="535"/>
      <c r="S1142" s="535"/>
      <c r="T1142" s="535"/>
      <c r="U1142" s="535"/>
      <c r="V1142" s="535"/>
      <c r="W1142" s="535"/>
      <c r="X1142" s="535"/>
      <c r="Y1142" s="536"/>
    </row>
    <row r="1143" spans="1:25" ht="12.75">
      <c r="A1143" s="532" t="s">
        <v>6946</v>
      </c>
      <c r="B1143" s="532">
        <v>42200064</v>
      </c>
      <c r="C1143" s="532" t="s">
        <v>6682</v>
      </c>
      <c r="D1143" s="532" t="s">
        <v>6683</v>
      </c>
      <c r="E1143" s="532" t="s">
        <v>1405</v>
      </c>
      <c r="F1143" s="532" t="s">
        <v>6698</v>
      </c>
      <c r="G1143" s="532" t="s">
        <v>2392</v>
      </c>
      <c r="H1143" s="533"/>
      <c r="I1143" s="535"/>
      <c r="J1143" s="535"/>
      <c r="K1143" s="535"/>
      <c r="L1143" s="535"/>
      <c r="M1143" s="535"/>
      <c r="N1143" s="535"/>
      <c r="O1143" s="535"/>
      <c r="P1143" s="535"/>
      <c r="Q1143" s="535"/>
      <c r="R1143" s="535"/>
      <c r="S1143" s="535"/>
      <c r="T1143" s="535"/>
      <c r="U1143" s="535"/>
      <c r="V1143" s="535"/>
      <c r="W1143" s="535"/>
      <c r="X1143" s="535"/>
      <c r="Y1143" s="536"/>
    </row>
    <row r="1144" spans="1:25" ht="12.75">
      <c r="A1144" s="532" t="s">
        <v>6947</v>
      </c>
      <c r="B1144" s="532">
        <v>42200064</v>
      </c>
      <c r="C1144" s="532" t="s">
        <v>6682</v>
      </c>
      <c r="D1144" s="532" t="s">
        <v>6683</v>
      </c>
      <c r="E1144" s="532" t="s">
        <v>1405</v>
      </c>
      <c r="F1144" s="532" t="s">
        <v>6698</v>
      </c>
      <c r="G1144" s="532" t="s">
        <v>2392</v>
      </c>
      <c r="H1144" s="533"/>
      <c r="I1144" s="535"/>
      <c r="J1144" s="535"/>
      <c r="K1144" s="535"/>
      <c r="L1144" s="535"/>
      <c r="M1144" s="535"/>
      <c r="N1144" s="535"/>
      <c r="O1144" s="535"/>
      <c r="P1144" s="535"/>
      <c r="Q1144" s="535"/>
      <c r="R1144" s="535"/>
      <c r="S1144" s="535"/>
      <c r="T1144" s="535"/>
      <c r="U1144" s="535"/>
      <c r="V1144" s="535"/>
      <c r="W1144" s="535"/>
      <c r="X1144" s="535"/>
      <c r="Y1144" s="536"/>
    </row>
    <row r="1145" spans="1:25" ht="12.75">
      <c r="A1145" s="532" t="s">
        <v>6948</v>
      </c>
      <c r="B1145" s="532">
        <v>42200064</v>
      </c>
      <c r="C1145" s="532" t="s">
        <v>6682</v>
      </c>
      <c r="D1145" s="532" t="s">
        <v>6683</v>
      </c>
      <c r="E1145" s="532" t="s">
        <v>1405</v>
      </c>
      <c r="F1145" s="532" t="s">
        <v>6698</v>
      </c>
      <c r="G1145" s="532" t="s">
        <v>2392</v>
      </c>
      <c r="H1145" s="533"/>
      <c r="I1145" s="535"/>
      <c r="J1145" s="535"/>
      <c r="K1145" s="535"/>
      <c r="L1145" s="535"/>
      <c r="M1145" s="535"/>
      <c r="N1145" s="535"/>
      <c r="O1145" s="535"/>
      <c r="P1145" s="535"/>
      <c r="Q1145" s="535"/>
      <c r="R1145" s="535"/>
      <c r="S1145" s="535"/>
      <c r="T1145" s="535"/>
      <c r="U1145" s="535"/>
      <c r="V1145" s="535"/>
      <c r="W1145" s="535"/>
      <c r="X1145" s="535"/>
      <c r="Y1145" s="536"/>
    </row>
    <row r="1146" spans="1:25" ht="12.75">
      <c r="A1146" s="532" t="s">
        <v>6949</v>
      </c>
      <c r="B1146" s="532">
        <v>42200067</v>
      </c>
      <c r="C1146" s="532" t="s">
        <v>6678</v>
      </c>
      <c r="D1146" s="532" t="s">
        <v>6679</v>
      </c>
      <c r="E1146" s="532" t="s">
        <v>1405</v>
      </c>
      <c r="F1146" s="532" t="s">
        <v>6680</v>
      </c>
      <c r="G1146" s="532" t="s">
        <v>6696</v>
      </c>
      <c r="H1146" s="533"/>
      <c r="I1146" s="535"/>
      <c r="J1146" s="535"/>
      <c r="K1146" s="535"/>
      <c r="L1146" s="535"/>
      <c r="M1146" s="535"/>
      <c r="N1146" s="535"/>
      <c r="O1146" s="535"/>
      <c r="P1146" s="535"/>
      <c r="Q1146" s="535"/>
      <c r="R1146" s="535"/>
      <c r="S1146" s="535"/>
      <c r="T1146" s="535"/>
      <c r="U1146" s="535"/>
      <c r="V1146" s="535"/>
      <c r="W1146" s="535"/>
      <c r="X1146" s="535"/>
      <c r="Y1146" s="536"/>
    </row>
    <row r="1147" spans="1:25" ht="12.75">
      <c r="A1147" s="532" t="s">
        <v>6950</v>
      </c>
      <c r="B1147" s="532">
        <v>42200064</v>
      </c>
      <c r="C1147" s="532" t="s">
        <v>6682</v>
      </c>
      <c r="D1147" s="532" t="s">
        <v>6683</v>
      </c>
      <c r="E1147" s="532" t="s">
        <v>1405</v>
      </c>
      <c r="F1147" s="532" t="s">
        <v>6684</v>
      </c>
      <c r="G1147" s="532" t="s">
        <v>2392</v>
      </c>
      <c r="H1147" s="533"/>
      <c r="I1147" s="535"/>
      <c r="J1147" s="535"/>
      <c r="K1147" s="535"/>
      <c r="L1147" s="535"/>
      <c r="M1147" s="535"/>
      <c r="N1147" s="535"/>
      <c r="O1147" s="535"/>
      <c r="P1147" s="535"/>
      <c r="Q1147" s="535"/>
      <c r="R1147" s="535"/>
      <c r="S1147" s="535"/>
      <c r="T1147" s="535"/>
      <c r="U1147" s="535"/>
      <c r="V1147" s="535"/>
      <c r="W1147" s="535"/>
      <c r="X1147" s="535"/>
      <c r="Y1147" s="536"/>
    </row>
    <row r="1148" spans="1:25" ht="12.75">
      <c r="A1148" s="532" t="s">
        <v>6951</v>
      </c>
      <c r="B1148" s="532">
        <v>42200064</v>
      </c>
      <c r="C1148" s="532" t="s">
        <v>6682</v>
      </c>
      <c r="D1148" s="532" t="s">
        <v>6683</v>
      </c>
      <c r="E1148" s="532" t="s">
        <v>1405</v>
      </c>
      <c r="F1148" s="532" t="s">
        <v>6684</v>
      </c>
      <c r="G1148" s="532" t="s">
        <v>2392</v>
      </c>
      <c r="H1148" s="533"/>
      <c r="I1148" s="535"/>
      <c r="J1148" s="535"/>
      <c r="K1148" s="535"/>
      <c r="L1148" s="535"/>
      <c r="M1148" s="535"/>
      <c r="N1148" s="535"/>
      <c r="O1148" s="535"/>
      <c r="P1148" s="535"/>
      <c r="Q1148" s="535"/>
      <c r="R1148" s="535"/>
      <c r="S1148" s="535"/>
      <c r="T1148" s="535"/>
      <c r="U1148" s="535"/>
      <c r="V1148" s="535"/>
      <c r="W1148" s="535"/>
      <c r="X1148" s="535"/>
      <c r="Y1148" s="536"/>
    </row>
    <row r="1149" spans="1:25" ht="12.75">
      <c r="A1149" s="532" t="s">
        <v>6952</v>
      </c>
      <c r="B1149" s="532">
        <v>42200064</v>
      </c>
      <c r="C1149" s="532" t="s">
        <v>6682</v>
      </c>
      <c r="D1149" s="532" t="s">
        <v>6683</v>
      </c>
      <c r="E1149" s="532" t="s">
        <v>1405</v>
      </c>
      <c r="F1149" s="532" t="s">
        <v>6684</v>
      </c>
      <c r="G1149" s="532" t="s">
        <v>2392</v>
      </c>
      <c r="H1149" s="533"/>
      <c r="I1149" s="535"/>
      <c r="J1149" s="535"/>
      <c r="K1149" s="535"/>
      <c r="L1149" s="535"/>
      <c r="M1149" s="535"/>
      <c r="N1149" s="535"/>
      <c r="O1149" s="535"/>
      <c r="P1149" s="535"/>
      <c r="Q1149" s="535"/>
      <c r="R1149" s="535"/>
      <c r="S1149" s="535"/>
      <c r="T1149" s="535"/>
      <c r="U1149" s="535"/>
      <c r="V1149" s="535"/>
      <c r="W1149" s="535"/>
      <c r="X1149" s="535"/>
      <c r="Y1149" s="536"/>
    </row>
    <row r="1150" spans="1:25" ht="12.75">
      <c r="A1150" s="532" t="s">
        <v>6953</v>
      </c>
      <c r="B1150" s="532">
        <v>42200067</v>
      </c>
      <c r="C1150" s="532" t="s">
        <v>6678</v>
      </c>
      <c r="D1150" s="532" t="s">
        <v>6679</v>
      </c>
      <c r="E1150" s="532" t="s">
        <v>1405</v>
      </c>
      <c r="F1150" s="532" t="s">
        <v>6680</v>
      </c>
      <c r="G1150" s="532" t="s">
        <v>6696</v>
      </c>
      <c r="H1150" s="533"/>
      <c r="I1150" s="535"/>
      <c r="J1150" s="535"/>
      <c r="K1150" s="535"/>
      <c r="L1150" s="535"/>
      <c r="M1150" s="535"/>
      <c r="N1150" s="535"/>
      <c r="O1150" s="535"/>
      <c r="P1150" s="535"/>
      <c r="Q1150" s="535"/>
      <c r="R1150" s="535"/>
      <c r="S1150" s="535"/>
      <c r="T1150" s="535"/>
      <c r="U1150" s="535"/>
      <c r="V1150" s="535"/>
      <c r="W1150" s="535"/>
      <c r="X1150" s="535"/>
      <c r="Y1150" s="536"/>
    </row>
    <row r="1151" spans="1:25" ht="12.75">
      <c r="A1151" s="532" t="s">
        <v>6954</v>
      </c>
      <c r="B1151" s="532">
        <v>42200064</v>
      </c>
      <c r="C1151" s="532" t="s">
        <v>6682</v>
      </c>
      <c r="D1151" s="532" t="s">
        <v>6683</v>
      </c>
      <c r="E1151" s="532" t="s">
        <v>1405</v>
      </c>
      <c r="F1151" s="532" t="s">
        <v>6684</v>
      </c>
      <c r="G1151" s="532" t="s">
        <v>2392</v>
      </c>
      <c r="H1151" s="533"/>
      <c r="I1151" s="535"/>
      <c r="J1151" s="535"/>
      <c r="K1151" s="535"/>
      <c r="L1151" s="535"/>
      <c r="M1151" s="535"/>
      <c r="N1151" s="535"/>
      <c r="O1151" s="535"/>
      <c r="P1151" s="535"/>
      <c r="Q1151" s="535"/>
      <c r="R1151" s="535"/>
      <c r="S1151" s="535"/>
      <c r="T1151" s="535"/>
      <c r="U1151" s="535"/>
      <c r="V1151" s="535"/>
      <c r="W1151" s="535"/>
      <c r="X1151" s="535"/>
      <c r="Y1151" s="536"/>
    </row>
    <row r="1152" spans="1:25" ht="12.75">
      <c r="A1152" s="532" t="s">
        <v>6955</v>
      </c>
      <c r="B1152" s="532">
        <v>42200064</v>
      </c>
      <c r="C1152" s="532" t="s">
        <v>6682</v>
      </c>
      <c r="D1152" s="532" t="s">
        <v>6683</v>
      </c>
      <c r="E1152" s="532" t="s">
        <v>1405</v>
      </c>
      <c r="F1152" s="532" t="s">
        <v>6684</v>
      </c>
      <c r="G1152" s="532" t="s">
        <v>2392</v>
      </c>
      <c r="H1152" s="533"/>
      <c r="I1152" s="535"/>
      <c r="J1152" s="535"/>
      <c r="K1152" s="535"/>
      <c r="L1152" s="535"/>
      <c r="M1152" s="535"/>
      <c r="N1152" s="535"/>
      <c r="O1152" s="535"/>
      <c r="P1152" s="535"/>
      <c r="Q1152" s="535"/>
      <c r="R1152" s="535"/>
      <c r="S1152" s="535"/>
      <c r="T1152" s="535"/>
      <c r="U1152" s="535"/>
      <c r="V1152" s="535"/>
      <c r="W1152" s="535"/>
      <c r="X1152" s="535"/>
      <c r="Y1152" s="536"/>
    </row>
    <row r="1153" spans="1:25" ht="12.75">
      <c r="A1153" s="532" t="s">
        <v>6956</v>
      </c>
      <c r="B1153" s="532">
        <v>42200064</v>
      </c>
      <c r="C1153" s="532" t="s">
        <v>6682</v>
      </c>
      <c r="D1153" s="532" t="s">
        <v>6683</v>
      </c>
      <c r="E1153" s="532" t="s">
        <v>1405</v>
      </c>
      <c r="F1153" s="532" t="s">
        <v>6684</v>
      </c>
      <c r="G1153" s="532" t="s">
        <v>2392</v>
      </c>
      <c r="H1153" s="533"/>
      <c r="I1153" s="535"/>
      <c r="J1153" s="535"/>
      <c r="K1153" s="535"/>
      <c r="L1153" s="535"/>
      <c r="M1153" s="535"/>
      <c r="N1153" s="535"/>
      <c r="O1153" s="535"/>
      <c r="P1153" s="535"/>
      <c r="Q1153" s="535"/>
      <c r="R1153" s="535"/>
      <c r="S1153" s="535"/>
      <c r="T1153" s="535"/>
      <c r="U1153" s="535"/>
      <c r="V1153" s="535"/>
      <c r="W1153" s="535"/>
      <c r="X1153" s="535"/>
      <c r="Y1153" s="536"/>
    </row>
    <row r="1154" spans="1:25" ht="12.75">
      <c r="A1154" s="532" t="s">
        <v>6957</v>
      </c>
      <c r="B1154" s="532">
        <v>42200067</v>
      </c>
      <c r="C1154" s="532" t="s">
        <v>6678</v>
      </c>
      <c r="D1154" s="532" t="s">
        <v>6679</v>
      </c>
      <c r="E1154" s="532" t="s">
        <v>1405</v>
      </c>
      <c r="F1154" s="532" t="s">
        <v>6680</v>
      </c>
      <c r="G1154" s="532" t="s">
        <v>6696</v>
      </c>
      <c r="H1154" s="533"/>
      <c r="I1154" s="535"/>
      <c r="J1154" s="535"/>
      <c r="K1154" s="535"/>
      <c r="L1154" s="535"/>
      <c r="M1154" s="535"/>
      <c r="N1154" s="535"/>
      <c r="O1154" s="535"/>
      <c r="P1154" s="535"/>
      <c r="Q1154" s="535"/>
      <c r="R1154" s="535"/>
      <c r="S1154" s="535"/>
      <c r="T1154" s="535"/>
      <c r="U1154" s="535"/>
      <c r="V1154" s="535"/>
      <c r="W1154" s="535"/>
      <c r="X1154" s="535"/>
      <c r="Y1154" s="536"/>
    </row>
    <row r="1155" spans="1:25" ht="12.75">
      <c r="A1155" s="532" t="s">
        <v>6958</v>
      </c>
      <c r="B1155" s="532">
        <v>42200064</v>
      </c>
      <c r="C1155" s="532" t="s">
        <v>6682</v>
      </c>
      <c r="D1155" s="532" t="s">
        <v>6683</v>
      </c>
      <c r="E1155" s="532" t="s">
        <v>1405</v>
      </c>
      <c r="F1155" s="532" t="s">
        <v>6684</v>
      </c>
      <c r="G1155" s="532" t="s">
        <v>2392</v>
      </c>
      <c r="H1155" s="533"/>
      <c r="I1155" s="535"/>
      <c r="J1155" s="535"/>
      <c r="K1155" s="535"/>
      <c r="L1155" s="535"/>
      <c r="M1155" s="535"/>
      <c r="N1155" s="535"/>
      <c r="O1155" s="535"/>
      <c r="P1155" s="535"/>
      <c r="Q1155" s="535"/>
      <c r="R1155" s="535"/>
      <c r="S1155" s="535"/>
      <c r="T1155" s="535"/>
      <c r="U1155" s="535"/>
      <c r="V1155" s="535"/>
      <c r="W1155" s="535"/>
      <c r="X1155" s="535"/>
      <c r="Y1155" s="536"/>
    </row>
    <row r="1156" spans="1:25" ht="12.75">
      <c r="A1156" s="532" t="s">
        <v>6959</v>
      </c>
      <c r="B1156" s="532">
        <v>42200064</v>
      </c>
      <c r="C1156" s="532" t="s">
        <v>6682</v>
      </c>
      <c r="D1156" s="532" t="s">
        <v>6683</v>
      </c>
      <c r="E1156" s="532" t="s">
        <v>1405</v>
      </c>
      <c r="F1156" s="532" t="s">
        <v>6684</v>
      </c>
      <c r="G1156" s="532" t="s">
        <v>2392</v>
      </c>
      <c r="H1156" s="533"/>
      <c r="I1156" s="535"/>
      <c r="J1156" s="535"/>
      <c r="K1156" s="535"/>
      <c r="L1156" s="535"/>
      <c r="M1156" s="535"/>
      <c r="N1156" s="535"/>
      <c r="O1156" s="535"/>
      <c r="P1156" s="535"/>
      <c r="Q1156" s="535"/>
      <c r="R1156" s="535"/>
      <c r="S1156" s="535"/>
      <c r="T1156" s="535"/>
      <c r="U1156" s="535"/>
      <c r="V1156" s="535"/>
      <c r="W1156" s="535"/>
      <c r="X1156" s="535"/>
      <c r="Y1156" s="536"/>
    </row>
    <row r="1157" spans="1:25" ht="12.75">
      <c r="A1157" s="532" t="s">
        <v>6960</v>
      </c>
      <c r="B1157" s="532">
        <v>42200064</v>
      </c>
      <c r="C1157" s="532" t="s">
        <v>6682</v>
      </c>
      <c r="D1157" s="532" t="s">
        <v>6683</v>
      </c>
      <c r="E1157" s="532" t="s">
        <v>1405</v>
      </c>
      <c r="F1157" s="532" t="s">
        <v>6684</v>
      </c>
      <c r="G1157" s="532" t="s">
        <v>2392</v>
      </c>
      <c r="H1157" s="533"/>
      <c r="I1157" s="535"/>
      <c r="J1157" s="535"/>
      <c r="K1157" s="535"/>
      <c r="L1157" s="535"/>
      <c r="M1157" s="535"/>
      <c r="N1157" s="535"/>
      <c r="O1157" s="535"/>
      <c r="P1157" s="535"/>
      <c r="Q1157" s="535"/>
      <c r="R1157" s="535"/>
      <c r="S1157" s="535"/>
      <c r="T1157" s="535"/>
      <c r="U1157" s="535"/>
      <c r="V1157" s="535"/>
      <c r="W1157" s="535"/>
      <c r="X1157" s="535"/>
      <c r="Y1157" s="536"/>
    </row>
    <row r="1158" spans="1:25" ht="12.75">
      <c r="A1158" s="532" t="s">
        <v>6961</v>
      </c>
      <c r="B1158" s="532">
        <v>42200066</v>
      </c>
      <c r="C1158" s="532" t="s">
        <v>6678</v>
      </c>
      <c r="D1158" s="532" t="s">
        <v>6679</v>
      </c>
      <c r="E1158" s="532" t="s">
        <v>1405</v>
      </c>
      <c r="F1158" s="532" t="s">
        <v>6680</v>
      </c>
      <c r="G1158" s="532" t="s">
        <v>1468</v>
      </c>
      <c r="H1158" s="533"/>
      <c r="I1158" s="535"/>
      <c r="J1158" s="535"/>
      <c r="K1158" s="535"/>
      <c r="L1158" s="535"/>
      <c r="M1158" s="535"/>
      <c r="N1158" s="535"/>
      <c r="O1158" s="535"/>
      <c r="P1158" s="535"/>
      <c r="Q1158" s="535"/>
      <c r="R1158" s="535"/>
      <c r="S1158" s="535"/>
      <c r="T1158" s="535"/>
      <c r="U1158" s="535"/>
      <c r="V1158" s="535"/>
      <c r="W1158" s="535"/>
      <c r="X1158" s="535"/>
      <c r="Y1158" s="536"/>
    </row>
    <row r="1159" spans="1:25" ht="12.75">
      <c r="A1159" s="532" t="s">
        <v>6962</v>
      </c>
      <c r="B1159" s="532">
        <v>42200064</v>
      </c>
      <c r="C1159" s="532" t="s">
        <v>6682</v>
      </c>
      <c r="D1159" s="532" t="s">
        <v>6683</v>
      </c>
      <c r="E1159" s="532" t="s">
        <v>1405</v>
      </c>
      <c r="F1159" s="532" t="s">
        <v>6684</v>
      </c>
      <c r="G1159" s="532" t="s">
        <v>2392</v>
      </c>
      <c r="H1159" s="533"/>
      <c r="I1159" s="535"/>
      <c r="J1159" s="535"/>
      <c r="K1159" s="535"/>
      <c r="L1159" s="535"/>
      <c r="M1159" s="535"/>
      <c r="N1159" s="535"/>
      <c r="O1159" s="535"/>
      <c r="P1159" s="535"/>
      <c r="Q1159" s="535"/>
      <c r="R1159" s="535"/>
      <c r="S1159" s="535"/>
      <c r="T1159" s="535"/>
      <c r="U1159" s="535"/>
      <c r="V1159" s="535"/>
      <c r="W1159" s="535"/>
      <c r="X1159" s="535"/>
      <c r="Y1159" s="536"/>
    </row>
    <row r="1160" spans="1:25" ht="12.75">
      <c r="A1160" s="532" t="s">
        <v>6963</v>
      </c>
      <c r="B1160" s="532">
        <v>42200064</v>
      </c>
      <c r="C1160" s="532" t="s">
        <v>6682</v>
      </c>
      <c r="D1160" s="532" t="s">
        <v>6683</v>
      </c>
      <c r="E1160" s="532" t="s">
        <v>1405</v>
      </c>
      <c r="F1160" s="532" t="s">
        <v>6684</v>
      </c>
      <c r="G1160" s="532" t="s">
        <v>2392</v>
      </c>
      <c r="H1160" s="533"/>
      <c r="I1160" s="535"/>
      <c r="J1160" s="535"/>
      <c r="K1160" s="535"/>
      <c r="L1160" s="535"/>
      <c r="M1160" s="535"/>
      <c r="N1160" s="535"/>
      <c r="O1160" s="535"/>
      <c r="P1160" s="535"/>
      <c r="Q1160" s="535"/>
      <c r="R1160" s="535"/>
      <c r="S1160" s="535"/>
      <c r="T1160" s="535"/>
      <c r="U1160" s="535"/>
      <c r="V1160" s="535"/>
      <c r="W1160" s="535"/>
      <c r="X1160" s="535"/>
      <c r="Y1160" s="536"/>
    </row>
    <row r="1161" spans="1:25" ht="12.75">
      <c r="A1161" s="532" t="s">
        <v>6964</v>
      </c>
      <c r="B1161" s="532">
        <v>42200064</v>
      </c>
      <c r="C1161" s="532" t="s">
        <v>6682</v>
      </c>
      <c r="D1161" s="532" t="s">
        <v>6683</v>
      </c>
      <c r="E1161" s="532" t="s">
        <v>1405</v>
      </c>
      <c r="F1161" s="532" t="s">
        <v>6684</v>
      </c>
      <c r="G1161" s="532" t="s">
        <v>2392</v>
      </c>
      <c r="H1161" s="533"/>
      <c r="I1161" s="535"/>
      <c r="J1161" s="535"/>
      <c r="K1161" s="535"/>
      <c r="L1161" s="535"/>
      <c r="M1161" s="535"/>
      <c r="N1161" s="535"/>
      <c r="O1161" s="535"/>
      <c r="P1161" s="535"/>
      <c r="Q1161" s="535"/>
      <c r="R1161" s="535"/>
      <c r="S1161" s="535"/>
      <c r="T1161" s="535"/>
      <c r="U1161" s="535"/>
      <c r="V1161" s="535"/>
      <c r="W1161" s="535"/>
      <c r="X1161" s="535"/>
      <c r="Y1161" s="536"/>
    </row>
    <row r="1162" spans="1:25" ht="12.75">
      <c r="A1162" s="532" t="s">
        <v>6965</v>
      </c>
      <c r="B1162" s="532">
        <v>42200066</v>
      </c>
      <c r="C1162" s="532" t="s">
        <v>6678</v>
      </c>
      <c r="D1162" s="532" t="s">
        <v>6679</v>
      </c>
      <c r="E1162" s="532" t="s">
        <v>1405</v>
      </c>
      <c r="F1162" s="532" t="s">
        <v>6680</v>
      </c>
      <c r="G1162" s="532" t="s">
        <v>1468</v>
      </c>
      <c r="H1162" s="533"/>
      <c r="I1162" s="535"/>
      <c r="J1162" s="535"/>
      <c r="K1162" s="535"/>
      <c r="L1162" s="535"/>
      <c r="M1162" s="535"/>
      <c r="N1162" s="535"/>
      <c r="O1162" s="535"/>
      <c r="P1162" s="535"/>
      <c r="Q1162" s="535"/>
      <c r="R1162" s="535"/>
      <c r="S1162" s="535"/>
      <c r="T1162" s="535"/>
      <c r="U1162" s="535"/>
      <c r="V1162" s="535"/>
      <c r="W1162" s="535"/>
      <c r="X1162" s="535"/>
      <c r="Y1162" s="536"/>
    </row>
    <row r="1163" spans="1:25" ht="12.75">
      <c r="A1163" s="532" t="s">
        <v>6966</v>
      </c>
      <c r="B1163" s="532">
        <v>42200064</v>
      </c>
      <c r="C1163" s="532" t="s">
        <v>6682</v>
      </c>
      <c r="D1163" s="532" t="s">
        <v>6683</v>
      </c>
      <c r="E1163" s="532" t="s">
        <v>1405</v>
      </c>
      <c r="F1163" s="532" t="s">
        <v>6684</v>
      </c>
      <c r="G1163" s="532" t="s">
        <v>2392</v>
      </c>
      <c r="H1163" s="533"/>
      <c r="I1163" s="535"/>
      <c r="J1163" s="535"/>
      <c r="K1163" s="535"/>
      <c r="L1163" s="535"/>
      <c r="M1163" s="535"/>
      <c r="N1163" s="535"/>
      <c r="O1163" s="535"/>
      <c r="P1163" s="535"/>
      <c r="Q1163" s="535"/>
      <c r="R1163" s="535"/>
      <c r="S1163" s="535"/>
      <c r="T1163" s="535"/>
      <c r="U1163" s="535"/>
      <c r="V1163" s="535"/>
      <c r="W1163" s="535"/>
      <c r="X1163" s="535"/>
      <c r="Y1163" s="536"/>
    </row>
    <row r="1164" spans="1:25" ht="12.75">
      <c r="A1164" s="532" t="s">
        <v>6967</v>
      </c>
      <c r="B1164" s="532">
        <v>42200064</v>
      </c>
      <c r="C1164" s="532" t="s">
        <v>6682</v>
      </c>
      <c r="D1164" s="532" t="s">
        <v>6683</v>
      </c>
      <c r="E1164" s="532" t="s">
        <v>1405</v>
      </c>
      <c r="F1164" s="532" t="s">
        <v>6684</v>
      </c>
      <c r="G1164" s="532" t="s">
        <v>2392</v>
      </c>
      <c r="H1164" s="533"/>
      <c r="I1164" s="535"/>
      <c r="J1164" s="535"/>
      <c r="K1164" s="535"/>
      <c r="L1164" s="535"/>
      <c r="M1164" s="535"/>
      <c r="N1164" s="535"/>
      <c r="O1164" s="535"/>
      <c r="P1164" s="535"/>
      <c r="Q1164" s="535"/>
      <c r="R1164" s="535"/>
      <c r="S1164" s="535"/>
      <c r="T1164" s="535"/>
      <c r="U1164" s="535"/>
      <c r="V1164" s="535"/>
      <c r="W1164" s="535"/>
      <c r="X1164" s="535"/>
      <c r="Y1164" s="536"/>
    </row>
    <row r="1165" spans="1:25" ht="12.75">
      <c r="A1165" s="532" t="s">
        <v>6968</v>
      </c>
      <c r="B1165" s="532">
        <v>42200064</v>
      </c>
      <c r="C1165" s="532" t="s">
        <v>6682</v>
      </c>
      <c r="D1165" s="532" t="s">
        <v>6683</v>
      </c>
      <c r="E1165" s="532" t="s">
        <v>1405</v>
      </c>
      <c r="F1165" s="532" t="s">
        <v>6684</v>
      </c>
      <c r="G1165" s="532" t="s">
        <v>2392</v>
      </c>
      <c r="H1165" s="533"/>
      <c r="I1165" s="535"/>
      <c r="J1165" s="535"/>
      <c r="K1165" s="535"/>
      <c r="L1165" s="535"/>
      <c r="M1165" s="535"/>
      <c r="N1165" s="535"/>
      <c r="O1165" s="535"/>
      <c r="P1165" s="535"/>
      <c r="Q1165" s="535"/>
      <c r="R1165" s="535"/>
      <c r="S1165" s="535"/>
      <c r="T1165" s="535"/>
      <c r="U1165" s="535"/>
      <c r="V1165" s="535"/>
      <c r="W1165" s="535"/>
      <c r="X1165" s="535"/>
      <c r="Y1165" s="536"/>
    </row>
    <row r="1166" spans="1:25" ht="12.75">
      <c r="A1166" s="532" t="s">
        <v>6969</v>
      </c>
      <c r="B1166" s="532">
        <v>42200066</v>
      </c>
      <c r="C1166" s="532" t="s">
        <v>6678</v>
      </c>
      <c r="D1166" s="532" t="s">
        <v>6679</v>
      </c>
      <c r="E1166" s="532" t="s">
        <v>1405</v>
      </c>
      <c r="F1166" s="532" t="s">
        <v>6680</v>
      </c>
      <c r="G1166" s="532" t="s">
        <v>1468</v>
      </c>
      <c r="H1166" s="533"/>
      <c r="I1166" s="535"/>
      <c r="J1166" s="535"/>
      <c r="K1166" s="535"/>
      <c r="L1166" s="535"/>
      <c r="M1166" s="535"/>
      <c r="N1166" s="535"/>
      <c r="O1166" s="535"/>
      <c r="P1166" s="535"/>
      <c r="Q1166" s="535"/>
      <c r="R1166" s="535"/>
      <c r="S1166" s="535"/>
      <c r="T1166" s="535"/>
      <c r="U1166" s="535"/>
      <c r="V1166" s="535"/>
      <c r="W1166" s="535"/>
      <c r="X1166" s="535"/>
      <c r="Y1166" s="536"/>
    </row>
    <row r="1167" spans="1:25" ht="12.75">
      <c r="A1167" s="532" t="s">
        <v>6970</v>
      </c>
      <c r="B1167" s="532">
        <v>42200064</v>
      </c>
      <c r="C1167" s="532" t="s">
        <v>6682</v>
      </c>
      <c r="D1167" s="532" t="s">
        <v>6683</v>
      </c>
      <c r="E1167" s="532" t="s">
        <v>1405</v>
      </c>
      <c r="F1167" s="532" t="s">
        <v>6684</v>
      </c>
      <c r="G1167" s="532" t="s">
        <v>2392</v>
      </c>
      <c r="H1167" s="533"/>
      <c r="I1167" s="535"/>
      <c r="J1167" s="535"/>
      <c r="K1167" s="535"/>
      <c r="L1167" s="535"/>
      <c r="M1167" s="535"/>
      <c r="N1167" s="535"/>
      <c r="O1167" s="535"/>
      <c r="P1167" s="535"/>
      <c r="Q1167" s="535"/>
      <c r="R1167" s="535"/>
      <c r="S1167" s="535"/>
      <c r="T1167" s="535"/>
      <c r="U1167" s="535"/>
      <c r="V1167" s="535"/>
      <c r="W1167" s="535"/>
      <c r="X1167" s="535"/>
      <c r="Y1167" s="536"/>
    </row>
    <row r="1168" spans="1:25" ht="12.75">
      <c r="A1168" s="532" t="s">
        <v>6971</v>
      </c>
      <c r="B1168" s="532">
        <v>42200064</v>
      </c>
      <c r="C1168" s="532" t="s">
        <v>6682</v>
      </c>
      <c r="D1168" s="532" t="s">
        <v>6683</v>
      </c>
      <c r="E1168" s="532" t="s">
        <v>1405</v>
      </c>
      <c r="F1168" s="532" t="s">
        <v>6684</v>
      </c>
      <c r="G1168" s="532" t="s">
        <v>2392</v>
      </c>
      <c r="H1168" s="533"/>
      <c r="I1168" s="535"/>
      <c r="J1168" s="535"/>
      <c r="K1168" s="535"/>
      <c r="L1168" s="535"/>
      <c r="M1168" s="535"/>
      <c r="N1168" s="535"/>
      <c r="O1168" s="535"/>
      <c r="P1168" s="535"/>
      <c r="Q1168" s="535"/>
      <c r="R1168" s="535"/>
      <c r="S1168" s="535"/>
      <c r="T1168" s="535"/>
      <c r="U1168" s="535"/>
      <c r="V1168" s="535"/>
      <c r="W1168" s="535"/>
      <c r="X1168" s="535"/>
      <c r="Y1168" s="536"/>
    </row>
    <row r="1169" spans="1:25" ht="12.75">
      <c r="A1169" s="532" t="s">
        <v>6972</v>
      </c>
      <c r="B1169" s="532">
        <v>42200064</v>
      </c>
      <c r="C1169" s="532" t="s">
        <v>6682</v>
      </c>
      <c r="D1169" s="532" t="s">
        <v>6683</v>
      </c>
      <c r="E1169" s="532" t="s">
        <v>1405</v>
      </c>
      <c r="F1169" s="532" t="s">
        <v>6684</v>
      </c>
      <c r="G1169" s="532" t="s">
        <v>2392</v>
      </c>
      <c r="H1169" s="533"/>
      <c r="I1169" s="535"/>
      <c r="J1169" s="535"/>
      <c r="K1169" s="535"/>
      <c r="L1169" s="535"/>
      <c r="M1169" s="535"/>
      <c r="N1169" s="535"/>
      <c r="O1169" s="535"/>
      <c r="P1169" s="535"/>
      <c r="Q1169" s="535"/>
      <c r="R1169" s="535"/>
      <c r="S1169" s="535"/>
      <c r="T1169" s="535"/>
      <c r="U1169" s="535"/>
      <c r="V1169" s="535"/>
      <c r="W1169" s="535"/>
      <c r="X1169" s="535"/>
      <c r="Y1169" s="536"/>
    </row>
    <row r="1170" spans="1:25" ht="12.75">
      <c r="A1170" s="532" t="s">
        <v>6973</v>
      </c>
      <c r="B1170" s="532">
        <v>42200066</v>
      </c>
      <c r="C1170" s="532" t="s">
        <v>6678</v>
      </c>
      <c r="D1170" s="532" t="s">
        <v>6679</v>
      </c>
      <c r="E1170" s="532" t="s">
        <v>1405</v>
      </c>
      <c r="F1170" s="532" t="s">
        <v>6680</v>
      </c>
      <c r="G1170" s="532" t="s">
        <v>6696</v>
      </c>
      <c r="H1170" s="533"/>
      <c r="I1170" s="535"/>
      <c r="J1170" s="535"/>
      <c r="K1170" s="535"/>
      <c r="L1170" s="535"/>
      <c r="M1170" s="535"/>
      <c r="N1170" s="535"/>
      <c r="O1170" s="535"/>
      <c r="P1170" s="535"/>
      <c r="Q1170" s="535"/>
      <c r="R1170" s="535"/>
      <c r="S1170" s="535"/>
      <c r="T1170" s="535"/>
      <c r="U1170" s="535"/>
      <c r="V1170" s="535"/>
      <c r="W1170" s="535"/>
      <c r="X1170" s="535"/>
      <c r="Y1170" s="536"/>
    </row>
    <row r="1171" spans="1:25" ht="12.75">
      <c r="A1171" s="532" t="s">
        <v>6974</v>
      </c>
      <c r="B1171" s="532">
        <v>42200064</v>
      </c>
      <c r="C1171" s="532" t="s">
        <v>6682</v>
      </c>
      <c r="D1171" s="532" t="s">
        <v>6683</v>
      </c>
      <c r="E1171" s="532" t="s">
        <v>1405</v>
      </c>
      <c r="F1171" s="532" t="s">
        <v>6698</v>
      </c>
      <c r="G1171" s="532" t="s">
        <v>2392</v>
      </c>
      <c r="H1171" s="533"/>
      <c r="I1171" s="535"/>
      <c r="J1171" s="535"/>
      <c r="K1171" s="535"/>
      <c r="L1171" s="535"/>
      <c r="M1171" s="535"/>
      <c r="N1171" s="535"/>
      <c r="O1171" s="535"/>
      <c r="P1171" s="535"/>
      <c r="Q1171" s="535"/>
      <c r="R1171" s="535"/>
      <c r="S1171" s="535"/>
      <c r="T1171" s="535"/>
      <c r="U1171" s="535"/>
      <c r="V1171" s="535"/>
      <c r="W1171" s="535"/>
      <c r="X1171" s="535"/>
      <c r="Y1171" s="536"/>
    </row>
    <row r="1172" spans="1:25" ht="12.75">
      <c r="A1172" s="532" t="s">
        <v>6975</v>
      </c>
      <c r="B1172" s="532">
        <v>42200064</v>
      </c>
      <c r="C1172" s="532" t="s">
        <v>6682</v>
      </c>
      <c r="D1172" s="532" t="s">
        <v>6683</v>
      </c>
      <c r="E1172" s="532" t="s">
        <v>1405</v>
      </c>
      <c r="F1172" s="532" t="s">
        <v>6698</v>
      </c>
      <c r="G1172" s="532" t="s">
        <v>2392</v>
      </c>
      <c r="H1172" s="533"/>
      <c r="I1172" s="535"/>
      <c r="J1172" s="535"/>
      <c r="K1172" s="535"/>
      <c r="L1172" s="535"/>
      <c r="M1172" s="535"/>
      <c r="N1172" s="535"/>
      <c r="O1172" s="535"/>
      <c r="P1172" s="535"/>
      <c r="Q1172" s="535"/>
      <c r="R1172" s="535"/>
      <c r="S1172" s="535"/>
      <c r="T1172" s="535"/>
      <c r="U1172" s="535"/>
      <c r="V1172" s="535"/>
      <c r="W1172" s="535"/>
      <c r="X1172" s="535"/>
      <c r="Y1172" s="536"/>
    </row>
    <row r="1173" spans="1:25" ht="12.75">
      <c r="A1173" s="532" t="s">
        <v>6976</v>
      </c>
      <c r="B1173" s="532">
        <v>42200064</v>
      </c>
      <c r="C1173" s="532" t="s">
        <v>6682</v>
      </c>
      <c r="D1173" s="532" t="s">
        <v>6683</v>
      </c>
      <c r="E1173" s="532" t="s">
        <v>1405</v>
      </c>
      <c r="F1173" s="532" t="s">
        <v>6698</v>
      </c>
      <c r="G1173" s="532" t="s">
        <v>2392</v>
      </c>
      <c r="H1173" s="533"/>
      <c r="I1173" s="535"/>
      <c r="J1173" s="535"/>
      <c r="K1173" s="535"/>
      <c r="L1173" s="535"/>
      <c r="M1173" s="535"/>
      <c r="N1173" s="535"/>
      <c r="O1173" s="535"/>
      <c r="P1173" s="535"/>
      <c r="Q1173" s="535"/>
      <c r="R1173" s="535"/>
      <c r="S1173" s="535"/>
      <c r="T1173" s="535"/>
      <c r="U1173" s="535"/>
      <c r="V1173" s="535"/>
      <c r="W1173" s="535"/>
      <c r="X1173" s="535"/>
      <c r="Y1173" s="536"/>
    </row>
    <row r="1174" spans="1:25" ht="12.75">
      <c r="A1174" s="532" t="s">
        <v>6977</v>
      </c>
      <c r="B1174" s="532">
        <v>42200066</v>
      </c>
      <c r="C1174" s="532" t="s">
        <v>6678</v>
      </c>
      <c r="D1174" s="532" t="s">
        <v>6679</v>
      </c>
      <c r="E1174" s="532" t="s">
        <v>1405</v>
      </c>
      <c r="F1174" s="532" t="s">
        <v>6680</v>
      </c>
      <c r="G1174" s="532" t="s">
        <v>6696</v>
      </c>
      <c r="H1174" s="533"/>
      <c r="I1174" s="535"/>
      <c r="J1174" s="535"/>
      <c r="K1174" s="535"/>
      <c r="L1174" s="535"/>
      <c r="M1174" s="535"/>
      <c r="N1174" s="535"/>
      <c r="O1174" s="535"/>
      <c r="P1174" s="535"/>
      <c r="Q1174" s="535"/>
      <c r="R1174" s="535"/>
      <c r="S1174" s="535"/>
      <c r="T1174" s="535"/>
      <c r="U1174" s="535"/>
      <c r="V1174" s="535"/>
      <c r="W1174" s="535"/>
      <c r="X1174" s="535"/>
      <c r="Y1174" s="536"/>
    </row>
    <row r="1175" spans="1:25" ht="12.75">
      <c r="A1175" s="532" t="s">
        <v>6978</v>
      </c>
      <c r="B1175" s="532">
        <v>42200064</v>
      </c>
      <c r="C1175" s="532" t="s">
        <v>6682</v>
      </c>
      <c r="D1175" s="532" t="s">
        <v>6683</v>
      </c>
      <c r="E1175" s="532" t="s">
        <v>1405</v>
      </c>
      <c r="F1175" s="532" t="s">
        <v>6698</v>
      </c>
      <c r="G1175" s="532" t="s">
        <v>2392</v>
      </c>
      <c r="H1175" s="533"/>
      <c r="I1175" s="535"/>
      <c r="J1175" s="535"/>
      <c r="K1175" s="535"/>
      <c r="L1175" s="535"/>
      <c r="M1175" s="535"/>
      <c r="N1175" s="535"/>
      <c r="O1175" s="535"/>
      <c r="P1175" s="535"/>
      <c r="Q1175" s="535"/>
      <c r="R1175" s="535"/>
      <c r="S1175" s="535"/>
      <c r="T1175" s="535"/>
      <c r="U1175" s="535"/>
      <c r="V1175" s="535"/>
      <c r="W1175" s="535"/>
      <c r="X1175" s="535"/>
      <c r="Y1175" s="536"/>
    </row>
    <row r="1176" spans="1:25" ht="12.75">
      <c r="A1176" s="532" t="s">
        <v>6979</v>
      </c>
      <c r="B1176" s="532">
        <v>42200064</v>
      </c>
      <c r="C1176" s="532" t="s">
        <v>6682</v>
      </c>
      <c r="D1176" s="532" t="s">
        <v>6683</v>
      </c>
      <c r="E1176" s="532" t="s">
        <v>1405</v>
      </c>
      <c r="F1176" s="532" t="s">
        <v>6698</v>
      </c>
      <c r="G1176" s="532" t="s">
        <v>2392</v>
      </c>
      <c r="H1176" s="533"/>
      <c r="I1176" s="535"/>
      <c r="J1176" s="535"/>
      <c r="K1176" s="535"/>
      <c r="L1176" s="535"/>
      <c r="M1176" s="535"/>
      <c r="N1176" s="535"/>
      <c r="O1176" s="535"/>
      <c r="P1176" s="535"/>
      <c r="Q1176" s="535"/>
      <c r="R1176" s="535"/>
      <c r="S1176" s="535"/>
      <c r="T1176" s="535"/>
      <c r="U1176" s="535"/>
      <c r="V1176" s="535"/>
      <c r="W1176" s="535"/>
      <c r="X1176" s="535"/>
      <c r="Y1176" s="536"/>
    </row>
    <row r="1177" spans="1:25" ht="12.75">
      <c r="A1177" s="532" t="s">
        <v>6980</v>
      </c>
      <c r="B1177" s="532">
        <v>42200064</v>
      </c>
      <c r="C1177" s="532" t="s">
        <v>6682</v>
      </c>
      <c r="D1177" s="532" t="s">
        <v>6683</v>
      </c>
      <c r="E1177" s="532" t="s">
        <v>1405</v>
      </c>
      <c r="F1177" s="532" t="s">
        <v>6698</v>
      </c>
      <c r="G1177" s="532" t="s">
        <v>2392</v>
      </c>
      <c r="H1177" s="533"/>
      <c r="I1177" s="535"/>
      <c r="J1177" s="535"/>
      <c r="K1177" s="535"/>
      <c r="L1177" s="535"/>
      <c r="M1177" s="535"/>
      <c r="N1177" s="535"/>
      <c r="O1177" s="535"/>
      <c r="P1177" s="535"/>
      <c r="Q1177" s="535"/>
      <c r="R1177" s="535"/>
      <c r="S1177" s="535"/>
      <c r="T1177" s="535"/>
      <c r="U1177" s="535"/>
      <c r="V1177" s="535"/>
      <c r="W1177" s="535"/>
      <c r="X1177" s="535"/>
      <c r="Y1177" s="536"/>
    </row>
    <row r="1178" spans="1:25" ht="12.75">
      <c r="A1178" s="532" t="s">
        <v>6981</v>
      </c>
      <c r="B1178" s="532">
        <v>42200066</v>
      </c>
      <c r="C1178" s="532" t="s">
        <v>6678</v>
      </c>
      <c r="D1178" s="532" t="s">
        <v>6679</v>
      </c>
      <c r="E1178" s="532" t="s">
        <v>1405</v>
      </c>
      <c r="F1178" s="532" t="s">
        <v>6680</v>
      </c>
      <c r="G1178" s="532" t="s">
        <v>6680</v>
      </c>
      <c r="H1178" s="533"/>
      <c r="I1178" s="535"/>
      <c r="J1178" s="535"/>
      <c r="K1178" s="535"/>
      <c r="L1178" s="535"/>
      <c r="M1178" s="535"/>
      <c r="N1178" s="535"/>
      <c r="O1178" s="535"/>
      <c r="P1178" s="535"/>
      <c r="Q1178" s="535"/>
      <c r="R1178" s="535"/>
      <c r="S1178" s="535"/>
      <c r="T1178" s="535"/>
      <c r="U1178" s="535"/>
      <c r="V1178" s="535"/>
      <c r="W1178" s="535"/>
      <c r="X1178" s="535"/>
      <c r="Y1178" s="536"/>
    </row>
    <row r="1179" spans="1:25" ht="12.75">
      <c r="A1179" s="532" t="s">
        <v>6982</v>
      </c>
      <c r="B1179" s="532">
        <v>42200064</v>
      </c>
      <c r="C1179" s="532" t="s">
        <v>6682</v>
      </c>
      <c r="D1179" s="532" t="s">
        <v>6683</v>
      </c>
      <c r="E1179" s="532" t="s">
        <v>1405</v>
      </c>
      <c r="F1179" s="532" t="s">
        <v>6680</v>
      </c>
      <c r="G1179" s="532" t="s">
        <v>6680</v>
      </c>
      <c r="H1179" s="533"/>
      <c r="I1179" s="535"/>
      <c r="J1179" s="535"/>
      <c r="K1179" s="535"/>
      <c r="L1179" s="535"/>
      <c r="M1179" s="535"/>
      <c r="N1179" s="535"/>
      <c r="O1179" s="535"/>
      <c r="P1179" s="535"/>
      <c r="Q1179" s="535"/>
      <c r="R1179" s="535"/>
      <c r="S1179" s="535"/>
      <c r="T1179" s="535"/>
      <c r="U1179" s="535"/>
      <c r="V1179" s="535"/>
      <c r="W1179" s="535"/>
      <c r="X1179" s="535"/>
      <c r="Y1179" s="536"/>
    </row>
    <row r="1180" spans="1:25" ht="12.75">
      <c r="A1180" s="532" t="s">
        <v>6983</v>
      </c>
      <c r="B1180" s="532">
        <v>42200064</v>
      </c>
      <c r="C1180" s="532" t="s">
        <v>6682</v>
      </c>
      <c r="D1180" s="532" t="s">
        <v>6683</v>
      </c>
      <c r="E1180" s="532" t="s">
        <v>1405</v>
      </c>
      <c r="F1180" s="532" t="s">
        <v>6680</v>
      </c>
      <c r="G1180" s="532" t="s">
        <v>6680</v>
      </c>
      <c r="H1180" s="533"/>
      <c r="I1180" s="535"/>
      <c r="J1180" s="535"/>
      <c r="K1180" s="535"/>
      <c r="L1180" s="535"/>
      <c r="M1180" s="535"/>
      <c r="N1180" s="535"/>
      <c r="O1180" s="535"/>
      <c r="P1180" s="535"/>
      <c r="Q1180" s="535"/>
      <c r="R1180" s="535"/>
      <c r="S1180" s="535"/>
      <c r="T1180" s="535"/>
      <c r="U1180" s="535"/>
      <c r="V1180" s="535"/>
      <c r="W1180" s="535"/>
      <c r="X1180" s="535"/>
      <c r="Y1180" s="536"/>
    </row>
    <row r="1181" spans="1:25" ht="12.75">
      <c r="A1181" s="532" t="s">
        <v>6984</v>
      </c>
      <c r="B1181" s="532">
        <v>42200064</v>
      </c>
      <c r="C1181" s="532" t="s">
        <v>6682</v>
      </c>
      <c r="D1181" s="532" t="s">
        <v>6683</v>
      </c>
      <c r="E1181" s="532" t="s">
        <v>1405</v>
      </c>
      <c r="F1181" s="532" t="s">
        <v>6680</v>
      </c>
      <c r="G1181" s="532" t="s">
        <v>6680</v>
      </c>
      <c r="H1181" s="533"/>
      <c r="I1181" s="535"/>
      <c r="J1181" s="535"/>
      <c r="K1181" s="535"/>
      <c r="L1181" s="535"/>
      <c r="M1181" s="535"/>
      <c r="N1181" s="535"/>
      <c r="O1181" s="535"/>
      <c r="P1181" s="535"/>
      <c r="Q1181" s="535"/>
      <c r="R1181" s="535"/>
      <c r="S1181" s="535"/>
      <c r="T1181" s="535"/>
      <c r="U1181" s="535"/>
      <c r="V1181" s="535"/>
      <c r="W1181" s="535"/>
      <c r="X1181" s="535"/>
      <c r="Y1181" s="536"/>
    </row>
    <row r="1182" spans="1:25" ht="12.75">
      <c r="A1182" s="532" t="s">
        <v>5215</v>
      </c>
      <c r="B1182" s="532" t="s">
        <v>6632</v>
      </c>
      <c r="C1182" s="533"/>
      <c r="D1182" s="533"/>
      <c r="E1182" s="532" t="s">
        <v>1424</v>
      </c>
      <c r="F1182" s="532" t="s">
        <v>2395</v>
      </c>
      <c r="G1182" s="532" t="s">
        <v>2392</v>
      </c>
      <c r="H1182" s="533"/>
      <c r="I1182" s="535"/>
      <c r="J1182" s="535"/>
      <c r="K1182" s="535"/>
      <c r="L1182" s="535"/>
      <c r="M1182" s="535"/>
      <c r="N1182" s="535"/>
      <c r="O1182" s="535"/>
      <c r="P1182" s="535"/>
      <c r="Q1182" s="535"/>
      <c r="R1182" s="535"/>
      <c r="S1182" s="535"/>
      <c r="T1182" s="535"/>
      <c r="U1182" s="535"/>
      <c r="V1182" s="535"/>
      <c r="W1182" s="535"/>
      <c r="X1182" s="535"/>
      <c r="Y1182" s="536"/>
    </row>
    <row r="1183" spans="1:25" ht="12.75">
      <c r="A1183" s="532" t="s">
        <v>5214</v>
      </c>
      <c r="B1183" s="532" t="s">
        <v>6632</v>
      </c>
      <c r="C1183" s="533"/>
      <c r="D1183" s="533"/>
      <c r="E1183" s="532" t="s">
        <v>1424</v>
      </c>
      <c r="F1183" s="532" t="s">
        <v>2395</v>
      </c>
      <c r="G1183" s="532" t="s">
        <v>2392</v>
      </c>
      <c r="H1183" s="533"/>
      <c r="I1183" s="535"/>
      <c r="J1183" s="535"/>
      <c r="K1183" s="535"/>
      <c r="L1183" s="535"/>
      <c r="M1183" s="535"/>
      <c r="N1183" s="535"/>
      <c r="O1183" s="535"/>
      <c r="P1183" s="535"/>
      <c r="Q1183" s="535"/>
      <c r="R1183" s="535"/>
      <c r="S1183" s="535"/>
      <c r="T1183" s="535"/>
      <c r="U1183" s="535"/>
      <c r="V1183" s="535"/>
      <c r="W1183" s="535"/>
      <c r="X1183" s="535"/>
      <c r="Y1183" s="536"/>
    </row>
    <row r="1184" spans="1:25" ht="12.75">
      <c r="A1184" s="532" t="s">
        <v>5213</v>
      </c>
      <c r="B1184" s="532" t="s">
        <v>6632</v>
      </c>
      <c r="C1184" s="533"/>
      <c r="D1184" s="533"/>
      <c r="E1184" s="532" t="s">
        <v>1424</v>
      </c>
      <c r="F1184" s="532" t="s">
        <v>2395</v>
      </c>
      <c r="G1184" s="532" t="s">
        <v>2392</v>
      </c>
      <c r="H1184" s="533"/>
      <c r="I1184" s="535"/>
      <c r="J1184" s="535"/>
      <c r="K1184" s="535"/>
      <c r="L1184" s="535"/>
      <c r="M1184" s="535"/>
      <c r="N1184" s="535"/>
      <c r="O1184" s="535"/>
      <c r="P1184" s="535"/>
      <c r="Q1184" s="535"/>
      <c r="R1184" s="535"/>
      <c r="S1184" s="535"/>
      <c r="T1184" s="535"/>
      <c r="U1184" s="535"/>
      <c r="V1184" s="535"/>
      <c r="W1184" s="535"/>
      <c r="X1184" s="535"/>
      <c r="Y1184" s="536"/>
    </row>
    <row r="1185" spans="1:25" ht="12.75">
      <c r="A1185" s="532" t="s">
        <v>1892</v>
      </c>
      <c r="B1185" s="532">
        <v>41200145</v>
      </c>
      <c r="C1185" s="532" t="s">
        <v>1479</v>
      </c>
      <c r="D1185" s="532" t="s">
        <v>6647</v>
      </c>
      <c r="E1185" s="532" t="s">
        <v>1409</v>
      </c>
      <c r="F1185" s="532" t="s">
        <v>2391</v>
      </c>
      <c r="G1185" s="532" t="s">
        <v>1468</v>
      </c>
      <c r="H1185" s="532" t="s">
        <v>2392</v>
      </c>
      <c r="I1185" s="535"/>
      <c r="J1185" s="535"/>
      <c r="K1185" s="535"/>
      <c r="L1185" s="535"/>
      <c r="M1185" s="535"/>
      <c r="N1185" s="535"/>
      <c r="O1185" s="535"/>
      <c r="P1185" s="535"/>
      <c r="Q1185" s="535"/>
      <c r="R1185" s="535"/>
      <c r="S1185" s="535"/>
      <c r="T1185" s="535"/>
      <c r="U1185" s="535"/>
      <c r="V1185" s="535"/>
      <c r="W1185" s="535"/>
      <c r="X1185" s="535"/>
      <c r="Y1185" s="536"/>
    </row>
    <row r="1186" spans="1:25" ht="12.75">
      <c r="A1186" s="532" t="s">
        <v>1872</v>
      </c>
      <c r="B1186" s="532">
        <v>41200145</v>
      </c>
      <c r="C1186" s="532" t="s">
        <v>1479</v>
      </c>
      <c r="D1186" s="532" t="s">
        <v>6647</v>
      </c>
      <c r="E1186" s="532" t="s">
        <v>1409</v>
      </c>
      <c r="F1186" s="532" t="s">
        <v>2391</v>
      </c>
      <c r="G1186" s="532" t="s">
        <v>1468</v>
      </c>
      <c r="H1186" s="532" t="s">
        <v>2392</v>
      </c>
      <c r="I1186" s="535"/>
      <c r="J1186" s="535"/>
      <c r="K1186" s="535"/>
      <c r="L1186" s="535"/>
      <c r="M1186" s="535"/>
      <c r="N1186" s="535"/>
      <c r="O1186" s="535"/>
      <c r="P1186" s="535"/>
      <c r="Q1186" s="535"/>
      <c r="R1186" s="535"/>
      <c r="S1186" s="535"/>
      <c r="T1186" s="535"/>
      <c r="U1186" s="535"/>
      <c r="V1186" s="535"/>
      <c r="W1186" s="535"/>
      <c r="X1186" s="535"/>
      <c r="Y1186" s="536"/>
    </row>
    <row r="1187" spans="1:25" ht="12.75">
      <c r="A1187" s="532" t="s">
        <v>1871</v>
      </c>
      <c r="B1187" s="532">
        <v>41200145</v>
      </c>
      <c r="C1187" s="532" t="s">
        <v>1479</v>
      </c>
      <c r="D1187" s="532" t="s">
        <v>6647</v>
      </c>
      <c r="E1187" s="532" t="s">
        <v>1409</v>
      </c>
      <c r="F1187" s="532" t="s">
        <v>2391</v>
      </c>
      <c r="G1187" s="532" t="s">
        <v>1468</v>
      </c>
      <c r="H1187" s="532" t="s">
        <v>2392</v>
      </c>
      <c r="I1187" s="535"/>
      <c r="J1187" s="535"/>
      <c r="K1187" s="535"/>
      <c r="L1187" s="535"/>
      <c r="M1187" s="535"/>
      <c r="N1187" s="535"/>
      <c r="O1187" s="535"/>
      <c r="P1187" s="535"/>
      <c r="Q1187" s="535"/>
      <c r="R1187" s="535"/>
      <c r="S1187" s="535"/>
      <c r="T1187" s="535"/>
      <c r="U1187" s="535"/>
      <c r="V1187" s="535"/>
      <c r="W1187" s="535"/>
      <c r="X1187" s="535"/>
      <c r="Y1187" s="536"/>
    </row>
    <row r="1188" spans="1:25" ht="12.75">
      <c r="A1188" s="532" t="s">
        <v>1870</v>
      </c>
      <c r="B1188" s="532">
        <v>41200145</v>
      </c>
      <c r="C1188" s="532" t="s">
        <v>1479</v>
      </c>
      <c r="D1188" s="532" t="s">
        <v>6647</v>
      </c>
      <c r="E1188" s="532" t="s">
        <v>1409</v>
      </c>
      <c r="F1188" s="532" t="s">
        <v>2391</v>
      </c>
      <c r="G1188" s="532" t="s">
        <v>1468</v>
      </c>
      <c r="H1188" s="532" t="s">
        <v>2392</v>
      </c>
      <c r="I1188" s="535"/>
      <c r="J1188" s="535"/>
      <c r="K1188" s="535"/>
      <c r="L1188" s="535"/>
      <c r="M1188" s="535"/>
      <c r="N1188" s="535"/>
      <c r="O1188" s="535"/>
      <c r="P1188" s="535"/>
      <c r="Q1188" s="535"/>
      <c r="R1188" s="535"/>
      <c r="S1188" s="535"/>
      <c r="T1188" s="535"/>
      <c r="U1188" s="535"/>
      <c r="V1188" s="535"/>
      <c r="W1188" s="535"/>
      <c r="X1188" s="535"/>
      <c r="Y1188" s="536"/>
    </row>
    <row r="1189" spans="1:25" ht="12.75">
      <c r="A1189" s="532" t="s">
        <v>1869</v>
      </c>
      <c r="B1189" s="532">
        <v>41200145</v>
      </c>
      <c r="C1189" s="532" t="s">
        <v>1479</v>
      </c>
      <c r="D1189" s="532" t="s">
        <v>6647</v>
      </c>
      <c r="E1189" s="532" t="s">
        <v>1409</v>
      </c>
      <c r="F1189" s="532" t="s">
        <v>2391</v>
      </c>
      <c r="G1189" s="532" t="s">
        <v>1468</v>
      </c>
      <c r="H1189" s="532" t="s">
        <v>2392</v>
      </c>
      <c r="I1189" s="535"/>
      <c r="J1189" s="535"/>
      <c r="K1189" s="535"/>
      <c r="L1189" s="535"/>
      <c r="M1189" s="535"/>
      <c r="N1189" s="535"/>
      <c r="O1189" s="535"/>
      <c r="P1189" s="535"/>
      <c r="Q1189" s="535"/>
      <c r="R1189" s="535"/>
      <c r="S1189" s="535"/>
      <c r="T1189" s="535"/>
      <c r="U1189" s="535"/>
      <c r="V1189" s="535"/>
      <c r="W1189" s="535"/>
      <c r="X1189" s="535"/>
      <c r="Y1189" s="536"/>
    </row>
    <row r="1190" spans="1:25" ht="12.75">
      <c r="A1190" s="532" t="s">
        <v>1802</v>
      </c>
      <c r="B1190" s="532">
        <v>41200145</v>
      </c>
      <c r="C1190" s="532" t="s">
        <v>1479</v>
      </c>
      <c r="D1190" s="532" t="s">
        <v>6647</v>
      </c>
      <c r="E1190" s="532" t="s">
        <v>1409</v>
      </c>
      <c r="F1190" s="532" t="s">
        <v>2391</v>
      </c>
      <c r="G1190" s="532" t="s">
        <v>1468</v>
      </c>
      <c r="H1190" s="532" t="s">
        <v>2392</v>
      </c>
      <c r="I1190" s="535"/>
      <c r="J1190" s="535"/>
      <c r="K1190" s="535"/>
      <c r="L1190" s="535"/>
      <c r="M1190" s="535"/>
      <c r="N1190" s="535"/>
      <c r="O1190" s="535"/>
      <c r="P1190" s="535"/>
      <c r="Q1190" s="535"/>
      <c r="R1190" s="535"/>
      <c r="S1190" s="535"/>
      <c r="T1190" s="535"/>
      <c r="U1190" s="535"/>
      <c r="V1190" s="535"/>
      <c r="W1190" s="535"/>
      <c r="X1190" s="535"/>
      <c r="Y1190" s="536"/>
    </row>
    <row r="1191" spans="1:25" ht="12.75">
      <c r="A1191" s="532" t="s">
        <v>5254</v>
      </c>
      <c r="B1191" s="532">
        <v>41000558</v>
      </c>
      <c r="C1191" s="532" t="s">
        <v>6607</v>
      </c>
      <c r="D1191" s="532" t="s">
        <v>6607</v>
      </c>
      <c r="E1191" s="532" t="s">
        <v>1405</v>
      </c>
      <c r="F1191" s="532" t="s">
        <v>5127</v>
      </c>
      <c r="G1191" s="532" t="s">
        <v>2392</v>
      </c>
      <c r="H1191" s="533"/>
      <c r="I1191" s="535"/>
      <c r="J1191" s="535"/>
      <c r="K1191" s="535"/>
      <c r="L1191" s="535"/>
      <c r="M1191" s="535"/>
      <c r="N1191" s="535"/>
      <c r="O1191" s="535"/>
      <c r="P1191" s="535"/>
      <c r="Q1191" s="535"/>
      <c r="R1191" s="535"/>
      <c r="S1191" s="535"/>
      <c r="T1191" s="535"/>
      <c r="U1191" s="535"/>
      <c r="V1191" s="535"/>
      <c r="W1191" s="535"/>
      <c r="X1191" s="535"/>
      <c r="Y1191" s="536"/>
    </row>
    <row r="1192" spans="1:25" ht="12.75">
      <c r="A1192" s="532" t="s">
        <v>3069</v>
      </c>
      <c r="B1192" s="532">
        <v>41200101</v>
      </c>
      <c r="C1192" s="532" t="s">
        <v>1476</v>
      </c>
      <c r="D1192" s="532" t="s">
        <v>1476</v>
      </c>
      <c r="E1192" s="532" t="s">
        <v>1585</v>
      </c>
      <c r="F1192" s="532" t="s">
        <v>2395</v>
      </c>
      <c r="G1192" s="532" t="s">
        <v>1468</v>
      </c>
      <c r="H1192" s="532" t="s">
        <v>2392</v>
      </c>
      <c r="I1192" s="535"/>
      <c r="J1192" s="535"/>
      <c r="K1192" s="535"/>
      <c r="L1192" s="535"/>
      <c r="M1192" s="535"/>
      <c r="N1192" s="535"/>
      <c r="O1192" s="535"/>
      <c r="P1192" s="535"/>
      <c r="Q1192" s="535"/>
      <c r="R1192" s="535"/>
      <c r="S1192" s="535"/>
      <c r="T1192" s="535"/>
      <c r="U1192" s="535"/>
      <c r="V1192" s="535"/>
      <c r="W1192" s="535"/>
      <c r="X1192" s="535"/>
      <c r="Y1192" s="536"/>
    </row>
    <row r="1193" spans="1:25" ht="12.75">
      <c r="A1193" s="532" t="s">
        <v>3438</v>
      </c>
      <c r="B1193" s="532">
        <v>41200101</v>
      </c>
      <c r="C1193" s="532" t="s">
        <v>1476</v>
      </c>
      <c r="D1193" s="532" t="s">
        <v>1476</v>
      </c>
      <c r="E1193" s="532" t="s">
        <v>1585</v>
      </c>
      <c r="F1193" s="532" t="s">
        <v>2395</v>
      </c>
      <c r="G1193" s="532" t="s">
        <v>1468</v>
      </c>
      <c r="H1193" s="532" t="s">
        <v>2392</v>
      </c>
      <c r="I1193" s="535"/>
      <c r="J1193" s="535"/>
      <c r="K1193" s="535"/>
      <c r="L1193" s="535"/>
      <c r="M1193" s="535"/>
      <c r="N1193" s="535"/>
      <c r="O1193" s="535"/>
      <c r="P1193" s="535"/>
      <c r="Q1193" s="535"/>
      <c r="R1193" s="535"/>
      <c r="S1193" s="535"/>
      <c r="T1193" s="535"/>
      <c r="U1193" s="535"/>
      <c r="V1193" s="535"/>
      <c r="W1193" s="535"/>
      <c r="X1193" s="535"/>
      <c r="Y1193" s="536"/>
    </row>
    <row r="1194" spans="1:25" ht="12.75">
      <c r="A1194" s="532" t="s">
        <v>3203</v>
      </c>
      <c r="B1194" s="532">
        <v>41200101</v>
      </c>
      <c r="C1194" s="532" t="s">
        <v>1476</v>
      </c>
      <c r="D1194" s="532" t="s">
        <v>1476</v>
      </c>
      <c r="E1194" s="532" t="s">
        <v>1585</v>
      </c>
      <c r="F1194" s="532" t="s">
        <v>2395</v>
      </c>
      <c r="G1194" s="532" t="s">
        <v>1468</v>
      </c>
      <c r="H1194" s="532" t="s">
        <v>2392</v>
      </c>
      <c r="I1194" s="535"/>
      <c r="J1194" s="535"/>
      <c r="K1194" s="535"/>
      <c r="L1194" s="535"/>
      <c r="M1194" s="535"/>
      <c r="N1194" s="535"/>
      <c r="O1194" s="535"/>
      <c r="P1194" s="535"/>
      <c r="Q1194" s="535"/>
      <c r="R1194" s="535"/>
      <c r="S1194" s="535"/>
      <c r="T1194" s="535"/>
      <c r="U1194" s="535"/>
      <c r="V1194" s="535"/>
      <c r="W1194" s="535"/>
      <c r="X1194" s="535"/>
      <c r="Y1194" s="536"/>
    </row>
    <row r="1195" spans="1:25" ht="12.75">
      <c r="A1195" s="532" t="s">
        <v>3045</v>
      </c>
      <c r="B1195" s="532">
        <v>41100584</v>
      </c>
      <c r="C1195" s="532" t="s">
        <v>1591</v>
      </c>
      <c r="D1195" s="532" t="s">
        <v>6635</v>
      </c>
      <c r="E1195" s="532" t="s">
        <v>1422</v>
      </c>
      <c r="F1195" s="532" t="s">
        <v>2391</v>
      </c>
      <c r="G1195" s="532" t="s">
        <v>2392</v>
      </c>
      <c r="H1195" s="532" t="s">
        <v>2392</v>
      </c>
      <c r="I1195" s="535"/>
      <c r="J1195" s="535"/>
      <c r="K1195" s="535"/>
      <c r="L1195" s="535"/>
      <c r="M1195" s="535"/>
      <c r="N1195" s="535"/>
      <c r="O1195" s="535"/>
      <c r="P1195" s="535"/>
      <c r="Q1195" s="535"/>
      <c r="R1195" s="535"/>
      <c r="S1195" s="535"/>
      <c r="T1195" s="535"/>
      <c r="U1195" s="535"/>
      <c r="V1195" s="535"/>
      <c r="W1195" s="535"/>
      <c r="X1195" s="535"/>
      <c r="Y1195" s="536"/>
    </row>
    <row r="1196" spans="1:25" ht="12.75">
      <c r="A1196" s="532" t="s">
        <v>3384</v>
      </c>
      <c r="B1196" s="532">
        <v>41200033</v>
      </c>
      <c r="C1196" s="532" t="s">
        <v>1476</v>
      </c>
      <c r="D1196" s="532" t="s">
        <v>6611</v>
      </c>
      <c r="E1196" s="532" t="s">
        <v>1426</v>
      </c>
      <c r="F1196" s="532" t="s">
        <v>2555</v>
      </c>
      <c r="G1196" s="532" t="s">
        <v>2555</v>
      </c>
      <c r="H1196" s="532" t="s">
        <v>2392</v>
      </c>
      <c r="I1196" s="535"/>
      <c r="J1196" s="535"/>
      <c r="K1196" s="535"/>
      <c r="L1196" s="535"/>
      <c r="M1196" s="535"/>
      <c r="N1196" s="535"/>
      <c r="O1196" s="535"/>
      <c r="P1196" s="535"/>
      <c r="Q1196" s="535"/>
      <c r="R1196" s="535"/>
      <c r="S1196" s="535"/>
      <c r="T1196" s="535"/>
      <c r="U1196" s="535"/>
      <c r="V1196" s="535"/>
      <c r="W1196" s="535"/>
      <c r="X1196" s="535"/>
      <c r="Y1196" s="536"/>
    </row>
    <row r="1197" spans="1:25" ht="12.75">
      <c r="A1197" s="532" t="s">
        <v>3098</v>
      </c>
      <c r="B1197" s="532">
        <v>41200033</v>
      </c>
      <c r="C1197" s="532" t="s">
        <v>1476</v>
      </c>
      <c r="D1197" s="532" t="s">
        <v>6611</v>
      </c>
      <c r="E1197" s="532" t="s">
        <v>1426</v>
      </c>
      <c r="F1197" s="532" t="s">
        <v>2555</v>
      </c>
      <c r="G1197" s="532" t="s">
        <v>2555</v>
      </c>
      <c r="H1197" s="532" t="s">
        <v>2392</v>
      </c>
      <c r="I1197" s="535"/>
      <c r="J1197" s="535"/>
      <c r="K1197" s="535"/>
      <c r="L1197" s="535"/>
      <c r="M1197" s="535"/>
      <c r="N1197" s="535"/>
      <c r="O1197" s="535"/>
      <c r="P1197" s="535"/>
      <c r="Q1197" s="535"/>
      <c r="R1197" s="535"/>
      <c r="S1197" s="535"/>
      <c r="T1197" s="535"/>
      <c r="U1197" s="535"/>
      <c r="V1197" s="535"/>
      <c r="W1197" s="535"/>
      <c r="X1197" s="535"/>
      <c r="Y1197" s="536"/>
    </row>
    <row r="1198" spans="1:25" ht="12.75">
      <c r="A1198" s="532" t="s">
        <v>3047</v>
      </c>
      <c r="B1198" s="532">
        <v>41100286</v>
      </c>
      <c r="C1198" s="532" t="s">
        <v>1476</v>
      </c>
      <c r="D1198" s="532" t="s">
        <v>6610</v>
      </c>
      <c r="E1198" s="532" t="s">
        <v>1424</v>
      </c>
      <c r="F1198" s="532" t="s">
        <v>2391</v>
      </c>
      <c r="G1198" s="532" t="s">
        <v>1468</v>
      </c>
      <c r="H1198" s="532" t="s">
        <v>2392</v>
      </c>
      <c r="I1198" s="535"/>
      <c r="J1198" s="535"/>
      <c r="K1198" s="535"/>
      <c r="L1198" s="535"/>
      <c r="M1198" s="535"/>
      <c r="N1198" s="535"/>
      <c r="O1198" s="535"/>
      <c r="P1198" s="535"/>
      <c r="Q1198" s="535"/>
      <c r="R1198" s="535"/>
      <c r="S1198" s="535"/>
      <c r="T1198" s="535"/>
      <c r="U1198" s="535"/>
      <c r="V1198" s="535"/>
      <c r="W1198" s="535"/>
      <c r="X1198" s="535"/>
      <c r="Y1198" s="536"/>
    </row>
    <row r="1199" spans="1:25" ht="12.75">
      <c r="A1199" s="532" t="s">
        <v>3053</v>
      </c>
      <c r="B1199" s="532">
        <v>41200047</v>
      </c>
      <c r="C1199" s="532" t="s">
        <v>1476</v>
      </c>
      <c r="D1199" s="532" t="s">
        <v>1426</v>
      </c>
      <c r="E1199" s="532" t="s">
        <v>1426</v>
      </c>
      <c r="F1199" s="532" t="s">
        <v>2395</v>
      </c>
      <c r="G1199" s="532" t="s">
        <v>1468</v>
      </c>
      <c r="H1199" s="532" t="s">
        <v>2392</v>
      </c>
      <c r="I1199" s="535"/>
      <c r="J1199" s="535"/>
      <c r="K1199" s="535"/>
      <c r="L1199" s="535"/>
      <c r="M1199" s="535"/>
      <c r="N1199" s="535"/>
      <c r="O1199" s="535"/>
      <c r="P1199" s="535"/>
      <c r="Q1199" s="535"/>
      <c r="R1199" s="535"/>
      <c r="S1199" s="535"/>
      <c r="T1199" s="535"/>
      <c r="U1199" s="535"/>
      <c r="V1199" s="535"/>
      <c r="W1199" s="535"/>
      <c r="X1199" s="535"/>
      <c r="Y1199" s="536"/>
    </row>
    <row r="1200" spans="1:25" ht="12.75">
      <c r="A1200" s="532" t="s">
        <v>3052</v>
      </c>
      <c r="B1200" s="532">
        <v>41200047</v>
      </c>
      <c r="C1200" s="532" t="s">
        <v>1476</v>
      </c>
      <c r="D1200" s="532" t="s">
        <v>1426</v>
      </c>
      <c r="E1200" s="532" t="s">
        <v>1426</v>
      </c>
      <c r="F1200" s="532" t="s">
        <v>2395</v>
      </c>
      <c r="G1200" s="532" t="s">
        <v>1468</v>
      </c>
      <c r="H1200" s="532" t="s">
        <v>2392</v>
      </c>
      <c r="I1200" s="535"/>
      <c r="J1200" s="535"/>
      <c r="K1200" s="535"/>
      <c r="L1200" s="535"/>
      <c r="M1200" s="535"/>
      <c r="N1200" s="535"/>
      <c r="O1200" s="535"/>
      <c r="P1200" s="535"/>
      <c r="Q1200" s="535"/>
      <c r="R1200" s="535"/>
      <c r="S1200" s="535"/>
      <c r="T1200" s="535"/>
      <c r="U1200" s="535"/>
      <c r="V1200" s="535"/>
      <c r="W1200" s="535"/>
      <c r="X1200" s="535"/>
      <c r="Y1200" s="536"/>
    </row>
    <row r="1201" spans="1:25" ht="12.75">
      <c r="A1201" s="532" t="s">
        <v>3049</v>
      </c>
      <c r="B1201" s="532">
        <v>41200047</v>
      </c>
      <c r="C1201" s="532" t="s">
        <v>1476</v>
      </c>
      <c r="D1201" s="532" t="s">
        <v>1426</v>
      </c>
      <c r="E1201" s="532" t="s">
        <v>1426</v>
      </c>
      <c r="F1201" s="532" t="s">
        <v>2395</v>
      </c>
      <c r="G1201" s="532" t="s">
        <v>1469</v>
      </c>
      <c r="H1201" s="532" t="s">
        <v>2392</v>
      </c>
      <c r="I1201" s="535"/>
      <c r="J1201" s="535"/>
      <c r="K1201" s="535"/>
      <c r="L1201" s="535"/>
      <c r="M1201" s="535"/>
      <c r="N1201" s="535"/>
      <c r="O1201" s="535"/>
      <c r="P1201" s="535"/>
      <c r="Q1201" s="535"/>
      <c r="R1201" s="535"/>
      <c r="S1201" s="535"/>
      <c r="T1201" s="535"/>
      <c r="U1201" s="535"/>
      <c r="V1201" s="535"/>
      <c r="W1201" s="535"/>
      <c r="X1201" s="535"/>
      <c r="Y1201" s="536"/>
    </row>
    <row r="1202" spans="1:25" ht="12.75">
      <c r="A1202" s="532" t="s">
        <v>3048</v>
      </c>
      <c r="B1202" s="532">
        <v>41200047</v>
      </c>
      <c r="C1202" s="532" t="s">
        <v>1476</v>
      </c>
      <c r="D1202" s="532" t="s">
        <v>1426</v>
      </c>
      <c r="E1202" s="532" t="s">
        <v>1426</v>
      </c>
      <c r="F1202" s="532" t="s">
        <v>2395</v>
      </c>
      <c r="G1202" s="532" t="s">
        <v>1469</v>
      </c>
      <c r="H1202" s="532" t="s">
        <v>2392</v>
      </c>
      <c r="I1202" s="535"/>
      <c r="J1202" s="535"/>
      <c r="K1202" s="535"/>
      <c r="L1202" s="535"/>
      <c r="M1202" s="535"/>
      <c r="N1202" s="535"/>
      <c r="O1202" s="535"/>
      <c r="P1202" s="535"/>
      <c r="Q1202" s="535"/>
      <c r="R1202" s="535"/>
      <c r="S1202" s="535"/>
      <c r="T1202" s="535"/>
      <c r="U1202" s="535"/>
      <c r="V1202" s="535"/>
      <c r="W1202" s="535"/>
      <c r="X1202" s="535"/>
      <c r="Y1202" s="536"/>
    </row>
    <row r="1203" spans="1:25" ht="12.75">
      <c r="A1203" s="532" t="s">
        <v>3043</v>
      </c>
      <c r="B1203" s="532">
        <v>41200047</v>
      </c>
      <c r="C1203" s="532" t="s">
        <v>1476</v>
      </c>
      <c r="D1203" s="532" t="s">
        <v>1426</v>
      </c>
      <c r="E1203" s="532" t="s">
        <v>1426</v>
      </c>
      <c r="F1203" s="532" t="s">
        <v>2395</v>
      </c>
      <c r="G1203" s="532" t="s">
        <v>1469</v>
      </c>
      <c r="H1203" s="532" t="s">
        <v>2392</v>
      </c>
      <c r="I1203" s="535"/>
      <c r="J1203" s="535"/>
      <c r="K1203" s="535"/>
      <c r="L1203" s="535"/>
      <c r="M1203" s="535"/>
      <c r="N1203" s="535"/>
      <c r="O1203" s="535"/>
      <c r="P1203" s="535"/>
      <c r="Q1203" s="535"/>
      <c r="R1203" s="535"/>
      <c r="S1203" s="535"/>
      <c r="T1203" s="535"/>
      <c r="U1203" s="535"/>
      <c r="V1203" s="535"/>
      <c r="W1203" s="535"/>
      <c r="X1203" s="535"/>
      <c r="Y1203" s="536"/>
    </row>
    <row r="1204" spans="1:25" ht="12.75">
      <c r="A1204" s="532" t="s">
        <v>3040</v>
      </c>
      <c r="B1204" s="532">
        <v>41200036</v>
      </c>
      <c r="C1204" s="532" t="s">
        <v>1476</v>
      </c>
      <c r="D1204" s="532" t="s">
        <v>1426</v>
      </c>
      <c r="E1204" s="532" t="s">
        <v>1426</v>
      </c>
      <c r="F1204" s="532" t="s">
        <v>2395</v>
      </c>
      <c r="G1204" s="532" t="s">
        <v>1468</v>
      </c>
      <c r="H1204" s="532" t="s">
        <v>2392</v>
      </c>
      <c r="I1204" s="535"/>
      <c r="J1204" s="535"/>
      <c r="K1204" s="535"/>
      <c r="L1204" s="535"/>
      <c r="M1204" s="535"/>
      <c r="N1204" s="535"/>
      <c r="O1204" s="535"/>
      <c r="P1204" s="535"/>
      <c r="Q1204" s="535"/>
      <c r="R1204" s="535"/>
      <c r="S1204" s="535"/>
      <c r="T1204" s="535"/>
      <c r="U1204" s="535"/>
      <c r="V1204" s="535"/>
      <c r="W1204" s="535"/>
      <c r="X1204" s="535"/>
      <c r="Y1204" s="536"/>
    </row>
    <row r="1205" spans="1:25" ht="12.75">
      <c r="A1205" s="532" t="s">
        <v>3079</v>
      </c>
      <c r="B1205" s="532">
        <v>41100075</v>
      </c>
      <c r="C1205" s="532" t="s">
        <v>1481</v>
      </c>
      <c r="D1205" s="532" t="s">
        <v>6648</v>
      </c>
      <c r="E1205" s="532" t="s">
        <v>6985</v>
      </c>
      <c r="F1205" s="532" t="s">
        <v>2391</v>
      </c>
      <c r="G1205" s="532" t="s">
        <v>1469</v>
      </c>
      <c r="H1205" s="533"/>
      <c r="I1205" s="535"/>
      <c r="J1205" s="535"/>
      <c r="K1205" s="535"/>
      <c r="L1205" s="535"/>
      <c r="M1205" s="535"/>
      <c r="N1205" s="535"/>
      <c r="O1205" s="535"/>
      <c r="P1205" s="535"/>
      <c r="Q1205" s="535"/>
      <c r="R1205" s="535"/>
      <c r="S1205" s="535"/>
      <c r="T1205" s="535"/>
      <c r="U1205" s="535"/>
      <c r="V1205" s="535"/>
      <c r="W1205" s="535"/>
      <c r="X1205" s="535"/>
      <c r="Y1205" s="536"/>
    </row>
    <row r="1206" spans="1:25" ht="12.75">
      <c r="A1206" s="532" t="s">
        <v>3046</v>
      </c>
      <c r="B1206" s="532">
        <v>41200113</v>
      </c>
      <c r="C1206" s="532" t="s">
        <v>1476</v>
      </c>
      <c r="D1206" s="532" t="s">
        <v>1591</v>
      </c>
      <c r="E1206" s="532" t="s">
        <v>1424</v>
      </c>
      <c r="F1206" s="532" t="s">
        <v>2391</v>
      </c>
      <c r="G1206" s="532" t="s">
        <v>2392</v>
      </c>
      <c r="H1206" s="532" t="s">
        <v>2392</v>
      </c>
      <c r="I1206" s="535"/>
      <c r="J1206" s="535"/>
      <c r="K1206" s="535"/>
      <c r="L1206" s="535"/>
      <c r="M1206" s="535"/>
      <c r="N1206" s="535"/>
      <c r="O1206" s="535"/>
      <c r="P1206" s="535"/>
      <c r="Q1206" s="535"/>
      <c r="R1206" s="535"/>
      <c r="S1206" s="535"/>
      <c r="T1206" s="535"/>
      <c r="U1206" s="535"/>
      <c r="V1206" s="535"/>
      <c r="W1206" s="535"/>
      <c r="X1206" s="535"/>
      <c r="Y1206" s="536"/>
    </row>
    <row r="1207" spans="1:25" ht="12.75">
      <c r="A1207" s="532" t="s">
        <v>6649</v>
      </c>
      <c r="B1207" s="532">
        <v>41200046</v>
      </c>
      <c r="C1207" s="532" t="s">
        <v>1476</v>
      </c>
      <c r="D1207" s="532" t="s">
        <v>1426</v>
      </c>
      <c r="E1207" s="532" t="s">
        <v>1426</v>
      </c>
      <c r="F1207" s="532" t="s">
        <v>2391</v>
      </c>
      <c r="G1207" s="532" t="s">
        <v>1468</v>
      </c>
      <c r="H1207" s="532" t="s">
        <v>2392</v>
      </c>
      <c r="I1207" s="535"/>
      <c r="J1207" s="535"/>
      <c r="K1207" s="535"/>
      <c r="L1207" s="535"/>
      <c r="M1207" s="535"/>
      <c r="N1207" s="535"/>
      <c r="O1207" s="535"/>
      <c r="P1207" s="535"/>
      <c r="Q1207" s="535"/>
      <c r="R1207" s="535"/>
      <c r="S1207" s="535"/>
      <c r="T1207" s="535"/>
      <c r="U1207" s="535"/>
      <c r="V1207" s="535"/>
      <c r="W1207" s="535"/>
      <c r="X1207" s="535"/>
      <c r="Y1207" s="536"/>
    </row>
    <row r="1208" spans="1:25" ht="12.75">
      <c r="A1208" s="532" t="s">
        <v>6650</v>
      </c>
      <c r="B1208" s="532">
        <v>41200046</v>
      </c>
      <c r="C1208" s="532" t="s">
        <v>1476</v>
      </c>
      <c r="D1208" s="532" t="s">
        <v>1426</v>
      </c>
      <c r="E1208" s="532" t="s">
        <v>1426</v>
      </c>
      <c r="F1208" s="532" t="s">
        <v>2391</v>
      </c>
      <c r="G1208" s="532" t="s">
        <v>1468</v>
      </c>
      <c r="H1208" s="532" t="s">
        <v>2392</v>
      </c>
      <c r="I1208" s="535"/>
      <c r="J1208" s="535"/>
      <c r="K1208" s="535"/>
      <c r="L1208" s="535"/>
      <c r="M1208" s="535"/>
      <c r="N1208" s="535"/>
      <c r="O1208" s="535"/>
      <c r="P1208" s="535"/>
      <c r="Q1208" s="535"/>
      <c r="R1208" s="535"/>
      <c r="S1208" s="535"/>
      <c r="T1208" s="535"/>
      <c r="U1208" s="535"/>
      <c r="V1208" s="535"/>
      <c r="W1208" s="535"/>
      <c r="X1208" s="535"/>
      <c r="Y1208" s="536"/>
    </row>
    <row r="1209" spans="1:25" ht="12.75">
      <c r="A1209" s="532" t="s">
        <v>3528</v>
      </c>
      <c r="B1209" s="532">
        <v>41200038</v>
      </c>
      <c r="C1209" s="532" t="s">
        <v>1476</v>
      </c>
      <c r="D1209" s="532" t="s">
        <v>1426</v>
      </c>
      <c r="E1209" s="532" t="s">
        <v>1426</v>
      </c>
      <c r="F1209" s="532" t="s">
        <v>2395</v>
      </c>
      <c r="G1209" s="532" t="s">
        <v>1468</v>
      </c>
      <c r="H1209" s="532" t="s">
        <v>2392</v>
      </c>
      <c r="I1209" s="535"/>
      <c r="J1209" s="535"/>
      <c r="K1209" s="535"/>
      <c r="L1209" s="535"/>
      <c r="M1209" s="535"/>
      <c r="N1209" s="535"/>
      <c r="O1209" s="535"/>
      <c r="P1209" s="535"/>
      <c r="Q1209" s="535"/>
      <c r="R1209" s="535"/>
      <c r="S1209" s="535"/>
      <c r="T1209" s="535"/>
      <c r="U1209" s="535"/>
      <c r="V1209" s="535"/>
      <c r="W1209" s="535"/>
      <c r="X1209" s="535"/>
      <c r="Y1209" s="536"/>
    </row>
    <row r="1210" spans="1:25" ht="12.75">
      <c r="A1210" s="532" t="s">
        <v>3023</v>
      </c>
      <c r="B1210" s="532">
        <v>41200053</v>
      </c>
      <c r="C1210" s="532" t="s">
        <v>2184</v>
      </c>
      <c r="D1210" s="532" t="s">
        <v>6646</v>
      </c>
      <c r="E1210" s="532" t="s">
        <v>1405</v>
      </c>
      <c r="F1210" s="532" t="s">
        <v>2392</v>
      </c>
      <c r="G1210" s="532" t="s">
        <v>1469</v>
      </c>
      <c r="H1210" s="533"/>
      <c r="I1210" s="535"/>
      <c r="J1210" s="535"/>
      <c r="K1210" s="535"/>
      <c r="L1210" s="535"/>
      <c r="M1210" s="535"/>
      <c r="N1210" s="535"/>
      <c r="O1210" s="535"/>
      <c r="P1210" s="535"/>
      <c r="Q1210" s="535"/>
      <c r="R1210" s="535"/>
      <c r="S1210" s="535"/>
      <c r="T1210" s="535"/>
      <c r="U1210" s="535"/>
      <c r="V1210" s="535"/>
      <c r="W1210" s="535"/>
      <c r="X1210" s="535"/>
      <c r="Y1210" s="536"/>
    </row>
    <row r="1211" spans="1:25" ht="12.75">
      <c r="A1211" s="532" t="s">
        <v>3022</v>
      </c>
      <c r="B1211" s="532">
        <v>41200053</v>
      </c>
      <c r="C1211" s="532" t="s">
        <v>2184</v>
      </c>
      <c r="D1211" s="532" t="s">
        <v>6646</v>
      </c>
      <c r="E1211" s="532" t="s">
        <v>1405</v>
      </c>
      <c r="F1211" s="532" t="s">
        <v>2392</v>
      </c>
      <c r="G1211" s="532" t="s">
        <v>1469</v>
      </c>
      <c r="H1211" s="533"/>
      <c r="I1211" s="535"/>
      <c r="J1211" s="535"/>
      <c r="K1211" s="535"/>
      <c r="L1211" s="535"/>
      <c r="M1211" s="535"/>
      <c r="N1211" s="535"/>
      <c r="O1211" s="535"/>
      <c r="P1211" s="535"/>
      <c r="Q1211" s="535"/>
      <c r="R1211" s="535"/>
      <c r="S1211" s="535"/>
      <c r="T1211" s="535"/>
      <c r="U1211" s="535"/>
      <c r="V1211" s="535"/>
      <c r="W1211" s="535"/>
      <c r="X1211" s="535"/>
      <c r="Y1211" s="536"/>
    </row>
    <row r="1212" spans="1:25" ht="12.75">
      <c r="A1212" s="532" t="s">
        <v>3008</v>
      </c>
      <c r="B1212" s="532">
        <v>41200027</v>
      </c>
      <c r="C1212" s="532" t="s">
        <v>1591</v>
      </c>
      <c r="D1212" s="532" t="s">
        <v>1591</v>
      </c>
      <c r="E1212" s="532" t="s">
        <v>1405</v>
      </c>
      <c r="F1212" s="532" t="s">
        <v>2391</v>
      </c>
      <c r="G1212" s="532" t="s">
        <v>1468</v>
      </c>
      <c r="H1212" s="532" t="s">
        <v>2392</v>
      </c>
      <c r="I1212" s="535"/>
      <c r="J1212" s="535"/>
      <c r="K1212" s="535"/>
      <c r="L1212" s="535"/>
      <c r="M1212" s="535"/>
      <c r="N1212" s="535"/>
      <c r="O1212" s="535"/>
      <c r="P1212" s="535"/>
      <c r="Q1212" s="535"/>
      <c r="R1212" s="535"/>
      <c r="S1212" s="535"/>
      <c r="T1212" s="535"/>
      <c r="U1212" s="535"/>
      <c r="V1212" s="535"/>
      <c r="W1212" s="535"/>
      <c r="X1212" s="535"/>
      <c r="Y1212" s="536"/>
    </row>
    <row r="1213" spans="1:25" ht="12.75">
      <c r="A1213" s="532" t="s">
        <v>3007</v>
      </c>
      <c r="B1213" s="532">
        <v>41200027</v>
      </c>
      <c r="C1213" s="532" t="s">
        <v>1591</v>
      </c>
      <c r="D1213" s="532" t="s">
        <v>1591</v>
      </c>
      <c r="E1213" s="532" t="s">
        <v>1405</v>
      </c>
      <c r="F1213" s="532" t="s">
        <v>2391</v>
      </c>
      <c r="G1213" s="532" t="s">
        <v>1468</v>
      </c>
      <c r="H1213" s="532" t="s">
        <v>2392</v>
      </c>
      <c r="I1213" s="535"/>
      <c r="J1213" s="535"/>
      <c r="K1213" s="535"/>
      <c r="L1213" s="535"/>
      <c r="M1213" s="535"/>
      <c r="N1213" s="535"/>
      <c r="O1213" s="535"/>
      <c r="P1213" s="535"/>
      <c r="Q1213" s="535"/>
      <c r="R1213" s="535"/>
      <c r="S1213" s="535"/>
      <c r="T1213" s="535"/>
      <c r="U1213" s="535"/>
      <c r="V1213" s="535"/>
      <c r="W1213" s="535"/>
      <c r="X1213" s="535"/>
      <c r="Y1213" s="536"/>
    </row>
    <row r="1214" spans="1:25" ht="12.75">
      <c r="A1214" s="532" t="s">
        <v>3013</v>
      </c>
      <c r="B1214" s="532">
        <v>41200091</v>
      </c>
      <c r="C1214" s="532" t="s">
        <v>1591</v>
      </c>
      <c r="D1214" s="532" t="s">
        <v>1424</v>
      </c>
      <c r="E1214" s="532" t="s">
        <v>1424</v>
      </c>
      <c r="F1214" s="532" t="s">
        <v>2395</v>
      </c>
      <c r="G1214" s="532" t="s">
        <v>1468</v>
      </c>
      <c r="H1214" s="532" t="s">
        <v>2392</v>
      </c>
      <c r="I1214" s="535"/>
      <c r="J1214" s="535"/>
      <c r="K1214" s="535"/>
      <c r="L1214" s="535"/>
      <c r="M1214" s="535"/>
      <c r="N1214" s="535"/>
      <c r="O1214" s="535"/>
      <c r="P1214" s="535"/>
      <c r="Q1214" s="535"/>
      <c r="R1214" s="535"/>
      <c r="S1214" s="535"/>
      <c r="T1214" s="535"/>
      <c r="U1214" s="535"/>
      <c r="V1214" s="535"/>
      <c r="W1214" s="535"/>
      <c r="X1214" s="535"/>
      <c r="Y1214" s="536"/>
    </row>
    <row r="1215" spans="1:25" ht="12.75">
      <c r="A1215" s="532" t="s">
        <v>3031</v>
      </c>
      <c r="B1215" s="532">
        <v>41200074</v>
      </c>
      <c r="C1215" s="532" t="s">
        <v>1478</v>
      </c>
      <c r="D1215" s="532" t="s">
        <v>6620</v>
      </c>
      <c r="E1215" s="532" t="s">
        <v>1405</v>
      </c>
      <c r="F1215" s="532" t="s">
        <v>2395</v>
      </c>
      <c r="G1215" s="532" t="s">
        <v>1469</v>
      </c>
      <c r="H1215" s="532" t="s">
        <v>2392</v>
      </c>
      <c r="I1215" s="535"/>
      <c r="J1215" s="535"/>
      <c r="K1215" s="535"/>
      <c r="L1215" s="535"/>
      <c r="M1215" s="535"/>
      <c r="N1215" s="535"/>
      <c r="O1215" s="535"/>
      <c r="P1215" s="535"/>
      <c r="Q1215" s="535"/>
      <c r="R1215" s="535"/>
      <c r="S1215" s="535"/>
      <c r="T1215" s="535"/>
      <c r="U1215" s="535"/>
      <c r="V1215" s="535"/>
      <c r="W1215" s="535"/>
      <c r="X1215" s="535"/>
      <c r="Y1215" s="536"/>
    </row>
    <row r="1216" spans="1:25" ht="12.75">
      <c r="A1216" s="532" t="s">
        <v>3030</v>
      </c>
      <c r="B1216" s="532">
        <v>41200074</v>
      </c>
      <c r="C1216" s="532" t="s">
        <v>1478</v>
      </c>
      <c r="D1216" s="532" t="s">
        <v>6620</v>
      </c>
      <c r="E1216" s="532" t="s">
        <v>1405</v>
      </c>
      <c r="F1216" s="532" t="s">
        <v>2395</v>
      </c>
      <c r="G1216" s="532" t="s">
        <v>1469</v>
      </c>
      <c r="H1216" s="532" t="s">
        <v>2392</v>
      </c>
      <c r="I1216" s="535"/>
      <c r="J1216" s="535"/>
      <c r="K1216" s="535"/>
      <c r="L1216" s="535"/>
      <c r="M1216" s="535"/>
      <c r="N1216" s="535"/>
      <c r="O1216" s="535"/>
      <c r="P1216" s="535"/>
      <c r="Q1216" s="535"/>
      <c r="R1216" s="535"/>
      <c r="S1216" s="535"/>
      <c r="T1216" s="535"/>
      <c r="U1216" s="535"/>
      <c r="V1216" s="535"/>
      <c r="W1216" s="535"/>
      <c r="X1216" s="535"/>
      <c r="Y1216" s="536"/>
    </row>
    <row r="1217" spans="1:25" ht="12.75">
      <c r="A1217" s="532" t="s">
        <v>6986</v>
      </c>
      <c r="B1217" s="532">
        <v>42100202</v>
      </c>
      <c r="C1217" s="532" t="s">
        <v>6790</v>
      </c>
      <c r="D1217" s="532" t="s">
        <v>6790</v>
      </c>
      <c r="E1217" s="532" t="s">
        <v>1405</v>
      </c>
      <c r="F1217" s="532" t="s">
        <v>6829</v>
      </c>
      <c r="G1217" s="532" t="s">
        <v>1468</v>
      </c>
      <c r="H1217" s="533"/>
      <c r="I1217" s="535"/>
      <c r="J1217" s="535"/>
      <c r="K1217" s="535"/>
      <c r="L1217" s="535"/>
      <c r="M1217" s="535"/>
      <c r="N1217" s="535"/>
      <c r="O1217" s="535"/>
      <c r="P1217" s="535"/>
      <c r="Q1217" s="535"/>
      <c r="R1217" s="535"/>
      <c r="S1217" s="535"/>
      <c r="T1217" s="535"/>
      <c r="U1217" s="535"/>
      <c r="V1217" s="535"/>
      <c r="W1217" s="535"/>
      <c r="X1217" s="535"/>
      <c r="Y1217" s="536"/>
    </row>
    <row r="1218" spans="1:25" ht="12.75">
      <c r="A1218" s="532" t="s">
        <v>3025</v>
      </c>
      <c r="B1218" s="532">
        <v>41200171</v>
      </c>
      <c r="C1218" s="532" t="s">
        <v>1479</v>
      </c>
      <c r="D1218" s="532" t="s">
        <v>1394</v>
      </c>
      <c r="E1218" s="532" t="s">
        <v>1394</v>
      </c>
      <c r="F1218" s="532" t="s">
        <v>2395</v>
      </c>
      <c r="G1218" s="532" t="s">
        <v>1468</v>
      </c>
      <c r="H1218" s="532" t="s">
        <v>2392</v>
      </c>
      <c r="I1218" s="535"/>
      <c r="J1218" s="535"/>
      <c r="K1218" s="535"/>
      <c r="L1218" s="535"/>
      <c r="M1218" s="535"/>
      <c r="N1218" s="535"/>
      <c r="O1218" s="535"/>
      <c r="P1218" s="535"/>
      <c r="Q1218" s="535"/>
      <c r="R1218" s="535"/>
      <c r="S1218" s="535"/>
      <c r="T1218" s="535"/>
      <c r="U1218" s="535"/>
      <c r="V1218" s="535"/>
      <c r="W1218" s="535"/>
      <c r="X1218" s="535"/>
      <c r="Y1218" s="536"/>
    </row>
    <row r="1219" spans="1:25" ht="12.75">
      <c r="A1219" s="532" t="s">
        <v>3024</v>
      </c>
      <c r="B1219" s="532">
        <v>41200171</v>
      </c>
      <c r="C1219" s="532" t="s">
        <v>1479</v>
      </c>
      <c r="D1219" s="532" t="s">
        <v>1394</v>
      </c>
      <c r="E1219" s="532" t="s">
        <v>1394</v>
      </c>
      <c r="F1219" s="532" t="s">
        <v>2395</v>
      </c>
      <c r="G1219" s="532" t="s">
        <v>1468</v>
      </c>
      <c r="H1219" s="532" t="s">
        <v>2392</v>
      </c>
      <c r="I1219" s="535"/>
      <c r="J1219" s="535"/>
      <c r="K1219" s="535"/>
      <c r="L1219" s="535"/>
      <c r="M1219" s="535"/>
      <c r="N1219" s="535"/>
      <c r="O1219" s="535"/>
      <c r="P1219" s="535"/>
      <c r="Q1219" s="535"/>
      <c r="R1219" s="535"/>
      <c r="S1219" s="535"/>
      <c r="T1219" s="535"/>
      <c r="U1219" s="535"/>
      <c r="V1219" s="535"/>
      <c r="W1219" s="535"/>
      <c r="X1219" s="535"/>
      <c r="Y1219" s="536"/>
    </row>
    <row r="1220" spans="1:25" ht="12.75">
      <c r="A1220" s="532" t="s">
        <v>3010</v>
      </c>
      <c r="B1220" s="532">
        <v>41200171</v>
      </c>
      <c r="C1220" s="532" t="s">
        <v>1479</v>
      </c>
      <c r="D1220" s="532" t="s">
        <v>1394</v>
      </c>
      <c r="E1220" s="532" t="s">
        <v>1394</v>
      </c>
      <c r="F1220" s="532" t="s">
        <v>2395</v>
      </c>
      <c r="G1220" s="532" t="s">
        <v>1468</v>
      </c>
      <c r="H1220" s="532" t="s">
        <v>2392</v>
      </c>
      <c r="I1220" s="535"/>
      <c r="J1220" s="535"/>
      <c r="K1220" s="535"/>
      <c r="L1220" s="535"/>
      <c r="M1220" s="535"/>
      <c r="N1220" s="535"/>
      <c r="O1220" s="535"/>
      <c r="P1220" s="535"/>
      <c r="Q1220" s="535"/>
      <c r="R1220" s="535"/>
      <c r="S1220" s="535"/>
      <c r="T1220" s="535"/>
      <c r="U1220" s="535"/>
      <c r="V1220" s="535"/>
      <c r="W1220" s="535"/>
      <c r="X1220" s="535"/>
      <c r="Y1220" s="536"/>
    </row>
    <row r="1221" spans="1:25" ht="12.75">
      <c r="A1221" s="532" t="s">
        <v>3009</v>
      </c>
      <c r="B1221" s="532">
        <v>41200171</v>
      </c>
      <c r="C1221" s="532" t="s">
        <v>1479</v>
      </c>
      <c r="D1221" s="532" t="s">
        <v>1394</v>
      </c>
      <c r="E1221" s="532" t="s">
        <v>1394</v>
      </c>
      <c r="F1221" s="532" t="s">
        <v>2395</v>
      </c>
      <c r="G1221" s="532" t="s">
        <v>1468</v>
      </c>
      <c r="H1221" s="532" t="s">
        <v>2392</v>
      </c>
      <c r="I1221" s="535"/>
      <c r="J1221" s="535"/>
      <c r="K1221" s="535"/>
      <c r="L1221" s="535"/>
      <c r="M1221" s="535"/>
      <c r="N1221" s="535"/>
      <c r="O1221" s="535"/>
      <c r="P1221" s="535"/>
      <c r="Q1221" s="535"/>
      <c r="R1221" s="535"/>
      <c r="S1221" s="535"/>
      <c r="T1221" s="535"/>
      <c r="U1221" s="535"/>
      <c r="V1221" s="535"/>
      <c r="W1221" s="535"/>
      <c r="X1221" s="535"/>
      <c r="Y1221" s="536"/>
    </row>
    <row r="1222" spans="1:25" ht="12.75">
      <c r="A1222" s="532" t="s">
        <v>3002</v>
      </c>
      <c r="B1222" s="532">
        <v>41200171</v>
      </c>
      <c r="C1222" s="532" t="s">
        <v>1479</v>
      </c>
      <c r="D1222" s="532" t="s">
        <v>1394</v>
      </c>
      <c r="E1222" s="532" t="s">
        <v>1394</v>
      </c>
      <c r="F1222" s="532" t="s">
        <v>2395</v>
      </c>
      <c r="G1222" s="532" t="s">
        <v>1468</v>
      </c>
      <c r="H1222" s="532" t="s">
        <v>2392</v>
      </c>
      <c r="I1222" s="535"/>
      <c r="J1222" s="535"/>
      <c r="K1222" s="535"/>
      <c r="L1222" s="535"/>
      <c r="M1222" s="535"/>
      <c r="N1222" s="535"/>
      <c r="O1222" s="535"/>
      <c r="P1222" s="535"/>
      <c r="Q1222" s="535"/>
      <c r="R1222" s="535"/>
      <c r="S1222" s="535"/>
      <c r="T1222" s="535"/>
      <c r="U1222" s="535"/>
      <c r="V1222" s="535"/>
      <c r="W1222" s="535"/>
      <c r="X1222" s="535"/>
      <c r="Y1222" s="536"/>
    </row>
    <row r="1223" spans="1:25" ht="12.75">
      <c r="A1223" s="532" t="s">
        <v>3001</v>
      </c>
      <c r="B1223" s="532">
        <v>41200171</v>
      </c>
      <c r="C1223" s="532" t="s">
        <v>1479</v>
      </c>
      <c r="D1223" s="532" t="s">
        <v>1394</v>
      </c>
      <c r="E1223" s="532" t="s">
        <v>1394</v>
      </c>
      <c r="F1223" s="532" t="s">
        <v>2395</v>
      </c>
      <c r="G1223" s="532" t="s">
        <v>1468</v>
      </c>
      <c r="H1223" s="532" t="s">
        <v>2392</v>
      </c>
      <c r="I1223" s="535"/>
      <c r="J1223" s="535"/>
      <c r="K1223" s="535"/>
      <c r="L1223" s="535"/>
      <c r="M1223" s="535"/>
      <c r="N1223" s="535"/>
      <c r="O1223" s="535"/>
      <c r="P1223" s="535"/>
      <c r="Q1223" s="535"/>
      <c r="R1223" s="535"/>
      <c r="S1223" s="535"/>
      <c r="T1223" s="535"/>
      <c r="U1223" s="535"/>
      <c r="V1223" s="535"/>
      <c r="W1223" s="535"/>
      <c r="X1223" s="535"/>
      <c r="Y1223" s="536"/>
    </row>
    <row r="1224" spans="1:25" ht="12.75">
      <c r="A1224" s="532" t="s">
        <v>3000</v>
      </c>
      <c r="B1224" s="532">
        <v>41200171</v>
      </c>
      <c r="C1224" s="532" t="s">
        <v>1479</v>
      </c>
      <c r="D1224" s="532" t="s">
        <v>1394</v>
      </c>
      <c r="E1224" s="532" t="s">
        <v>1394</v>
      </c>
      <c r="F1224" s="532" t="s">
        <v>2395</v>
      </c>
      <c r="G1224" s="532" t="s">
        <v>1468</v>
      </c>
      <c r="H1224" s="532" t="s">
        <v>2392</v>
      </c>
      <c r="I1224" s="535"/>
      <c r="J1224" s="535"/>
      <c r="K1224" s="535"/>
      <c r="L1224" s="535"/>
      <c r="M1224" s="535"/>
      <c r="N1224" s="535"/>
      <c r="O1224" s="535"/>
      <c r="P1224" s="535"/>
      <c r="Q1224" s="535"/>
      <c r="R1224" s="535"/>
      <c r="S1224" s="535"/>
      <c r="T1224" s="535"/>
      <c r="U1224" s="535"/>
      <c r="V1224" s="535"/>
      <c r="W1224" s="535"/>
      <c r="X1224" s="535"/>
      <c r="Y1224" s="536"/>
    </row>
    <row r="1225" spans="1:25" ht="12.75">
      <c r="A1225" s="532" t="s">
        <v>2999</v>
      </c>
      <c r="B1225" s="532">
        <v>41200171</v>
      </c>
      <c r="C1225" s="532" t="s">
        <v>1479</v>
      </c>
      <c r="D1225" s="532" t="s">
        <v>1394</v>
      </c>
      <c r="E1225" s="532" t="s">
        <v>1394</v>
      </c>
      <c r="F1225" s="532" t="s">
        <v>2395</v>
      </c>
      <c r="G1225" s="532" t="s">
        <v>1468</v>
      </c>
      <c r="H1225" s="532" t="s">
        <v>2392</v>
      </c>
      <c r="I1225" s="535"/>
      <c r="J1225" s="535"/>
      <c r="K1225" s="535"/>
      <c r="L1225" s="535"/>
      <c r="M1225" s="535"/>
      <c r="N1225" s="535"/>
      <c r="O1225" s="535"/>
      <c r="P1225" s="535"/>
      <c r="Q1225" s="535"/>
      <c r="R1225" s="535"/>
      <c r="S1225" s="535"/>
      <c r="T1225" s="535"/>
      <c r="U1225" s="535"/>
      <c r="V1225" s="535"/>
      <c r="W1225" s="535"/>
      <c r="X1225" s="535"/>
      <c r="Y1225" s="536"/>
    </row>
    <row r="1226" spans="1:25" ht="12.75">
      <c r="A1226" s="532" t="s">
        <v>2994</v>
      </c>
      <c r="B1226" s="532">
        <v>41200171</v>
      </c>
      <c r="C1226" s="532" t="s">
        <v>1479</v>
      </c>
      <c r="D1226" s="532" t="s">
        <v>1394</v>
      </c>
      <c r="E1226" s="532" t="s">
        <v>1394</v>
      </c>
      <c r="F1226" s="532" t="s">
        <v>2395</v>
      </c>
      <c r="G1226" s="532" t="s">
        <v>1468</v>
      </c>
      <c r="H1226" s="532" t="s">
        <v>2392</v>
      </c>
      <c r="I1226" s="535"/>
      <c r="J1226" s="535"/>
      <c r="K1226" s="535"/>
      <c r="L1226" s="535"/>
      <c r="M1226" s="535"/>
      <c r="N1226" s="535"/>
      <c r="O1226" s="535"/>
      <c r="P1226" s="535"/>
      <c r="Q1226" s="535"/>
      <c r="R1226" s="535"/>
      <c r="S1226" s="535"/>
      <c r="T1226" s="535"/>
      <c r="U1226" s="535"/>
      <c r="V1226" s="535"/>
      <c r="W1226" s="535"/>
      <c r="X1226" s="535"/>
      <c r="Y1226" s="536"/>
    </row>
    <row r="1227" spans="1:25" ht="12.75">
      <c r="A1227" s="532" t="s">
        <v>2991</v>
      </c>
      <c r="B1227" s="532">
        <v>41200171</v>
      </c>
      <c r="C1227" s="532" t="s">
        <v>1479</v>
      </c>
      <c r="D1227" s="532" t="s">
        <v>1394</v>
      </c>
      <c r="E1227" s="532" t="s">
        <v>1394</v>
      </c>
      <c r="F1227" s="532" t="s">
        <v>2395</v>
      </c>
      <c r="G1227" s="532" t="s">
        <v>1468</v>
      </c>
      <c r="H1227" s="532" t="s">
        <v>2392</v>
      </c>
      <c r="I1227" s="535"/>
      <c r="J1227" s="535"/>
      <c r="K1227" s="535"/>
      <c r="L1227" s="535"/>
      <c r="M1227" s="535"/>
      <c r="N1227" s="535"/>
      <c r="O1227" s="535"/>
      <c r="P1227" s="535"/>
      <c r="Q1227" s="535"/>
      <c r="R1227" s="535"/>
      <c r="S1227" s="535"/>
      <c r="T1227" s="535"/>
      <c r="U1227" s="535"/>
      <c r="V1227" s="535"/>
      <c r="W1227" s="535"/>
      <c r="X1227" s="535"/>
      <c r="Y1227" s="536"/>
    </row>
    <row r="1228" spans="1:25" ht="12.75">
      <c r="A1228" s="532" t="s">
        <v>2990</v>
      </c>
      <c r="B1228" s="532">
        <v>41200171</v>
      </c>
      <c r="C1228" s="532" t="s">
        <v>1479</v>
      </c>
      <c r="D1228" s="532" t="s">
        <v>1394</v>
      </c>
      <c r="E1228" s="532" t="s">
        <v>1394</v>
      </c>
      <c r="F1228" s="532" t="s">
        <v>2395</v>
      </c>
      <c r="G1228" s="532" t="s">
        <v>1468</v>
      </c>
      <c r="H1228" s="532" t="s">
        <v>2392</v>
      </c>
      <c r="I1228" s="535"/>
      <c r="J1228" s="535"/>
      <c r="K1228" s="535"/>
      <c r="L1228" s="535"/>
      <c r="M1228" s="535"/>
      <c r="N1228" s="535"/>
      <c r="O1228" s="535"/>
      <c r="P1228" s="535"/>
      <c r="Q1228" s="535"/>
      <c r="R1228" s="535"/>
      <c r="S1228" s="535"/>
      <c r="T1228" s="535"/>
      <c r="U1228" s="535"/>
      <c r="V1228" s="535"/>
      <c r="W1228" s="535"/>
      <c r="X1228" s="535"/>
      <c r="Y1228" s="536"/>
    </row>
    <row r="1229" spans="1:25" ht="12.75">
      <c r="A1229" s="532" t="s">
        <v>2989</v>
      </c>
      <c r="B1229" s="532">
        <v>41200171</v>
      </c>
      <c r="C1229" s="532" t="s">
        <v>1479</v>
      </c>
      <c r="D1229" s="532" t="s">
        <v>1394</v>
      </c>
      <c r="E1229" s="532" t="s">
        <v>1394</v>
      </c>
      <c r="F1229" s="532" t="s">
        <v>2395</v>
      </c>
      <c r="G1229" s="532" t="s">
        <v>1468</v>
      </c>
      <c r="H1229" s="532" t="s">
        <v>2392</v>
      </c>
      <c r="I1229" s="535"/>
      <c r="J1229" s="535"/>
      <c r="K1229" s="535"/>
      <c r="L1229" s="535"/>
      <c r="M1229" s="535"/>
      <c r="N1229" s="535"/>
      <c r="O1229" s="535"/>
      <c r="P1229" s="535"/>
      <c r="Q1229" s="535"/>
      <c r="R1229" s="535"/>
      <c r="S1229" s="535"/>
      <c r="T1229" s="535"/>
      <c r="U1229" s="535"/>
      <c r="V1229" s="535"/>
      <c r="W1229" s="535"/>
      <c r="X1229" s="535"/>
      <c r="Y1229" s="536"/>
    </row>
    <row r="1230" spans="1:25" ht="12.75">
      <c r="A1230" s="532" t="s">
        <v>2970</v>
      </c>
      <c r="B1230" s="532">
        <v>41200171</v>
      </c>
      <c r="C1230" s="532" t="s">
        <v>1479</v>
      </c>
      <c r="D1230" s="532" t="s">
        <v>1394</v>
      </c>
      <c r="E1230" s="532" t="s">
        <v>1394</v>
      </c>
      <c r="F1230" s="532" t="s">
        <v>2395</v>
      </c>
      <c r="G1230" s="532" t="s">
        <v>1469</v>
      </c>
      <c r="H1230" s="532" t="s">
        <v>2392</v>
      </c>
      <c r="I1230" s="535"/>
      <c r="J1230" s="535"/>
      <c r="K1230" s="535"/>
      <c r="L1230" s="535"/>
      <c r="M1230" s="535"/>
      <c r="N1230" s="535"/>
      <c r="O1230" s="535"/>
      <c r="P1230" s="535"/>
      <c r="Q1230" s="535"/>
      <c r="R1230" s="535"/>
      <c r="S1230" s="535"/>
      <c r="T1230" s="535"/>
      <c r="U1230" s="535"/>
      <c r="V1230" s="535"/>
      <c r="W1230" s="535"/>
      <c r="X1230" s="535"/>
      <c r="Y1230" s="536"/>
    </row>
    <row r="1231" spans="1:25" ht="12.75">
      <c r="A1231" s="532" t="s">
        <v>2969</v>
      </c>
      <c r="B1231" s="532">
        <v>41200171</v>
      </c>
      <c r="C1231" s="532" t="s">
        <v>1479</v>
      </c>
      <c r="D1231" s="532" t="s">
        <v>1394</v>
      </c>
      <c r="E1231" s="532" t="s">
        <v>1394</v>
      </c>
      <c r="F1231" s="532" t="s">
        <v>2395</v>
      </c>
      <c r="G1231" s="532" t="s">
        <v>1469</v>
      </c>
      <c r="H1231" s="532" t="s">
        <v>2392</v>
      </c>
      <c r="I1231" s="535"/>
      <c r="J1231" s="535"/>
      <c r="K1231" s="535"/>
      <c r="L1231" s="535"/>
      <c r="M1231" s="535"/>
      <c r="N1231" s="535"/>
      <c r="O1231" s="535"/>
      <c r="P1231" s="535"/>
      <c r="Q1231" s="535"/>
      <c r="R1231" s="535"/>
      <c r="S1231" s="535"/>
      <c r="T1231" s="535"/>
      <c r="U1231" s="535"/>
      <c r="V1231" s="535"/>
      <c r="W1231" s="535"/>
      <c r="X1231" s="535"/>
      <c r="Y1231" s="536"/>
    </row>
    <row r="1232" spans="1:25" ht="12.75">
      <c r="A1232" s="532" t="s">
        <v>2967</v>
      </c>
      <c r="B1232" s="532">
        <v>41200171</v>
      </c>
      <c r="C1232" s="532" t="s">
        <v>1479</v>
      </c>
      <c r="D1232" s="532" t="s">
        <v>1394</v>
      </c>
      <c r="E1232" s="532" t="s">
        <v>1394</v>
      </c>
      <c r="F1232" s="532" t="s">
        <v>2395</v>
      </c>
      <c r="G1232" s="532" t="s">
        <v>1469</v>
      </c>
      <c r="H1232" s="532" t="s">
        <v>2392</v>
      </c>
      <c r="I1232" s="535"/>
      <c r="J1232" s="535"/>
      <c r="K1232" s="535"/>
      <c r="L1232" s="535"/>
      <c r="M1232" s="535"/>
      <c r="N1232" s="535"/>
      <c r="O1232" s="535"/>
      <c r="P1232" s="535"/>
      <c r="Q1232" s="535"/>
      <c r="R1232" s="535"/>
      <c r="S1232" s="535"/>
      <c r="T1232" s="535"/>
      <c r="U1232" s="535"/>
      <c r="V1232" s="535"/>
      <c r="W1232" s="535"/>
      <c r="X1232" s="535"/>
      <c r="Y1232" s="536"/>
    </row>
    <row r="1233" spans="1:25" ht="12.75">
      <c r="A1233" s="532" t="s">
        <v>3005</v>
      </c>
      <c r="B1233" s="532">
        <v>41200006</v>
      </c>
      <c r="C1233" s="532" t="s">
        <v>1477</v>
      </c>
      <c r="D1233" s="532" t="s">
        <v>6640</v>
      </c>
      <c r="E1233" s="532" t="s">
        <v>1405</v>
      </c>
      <c r="F1233" s="532" t="s">
        <v>2395</v>
      </c>
      <c r="G1233" s="532" t="s">
        <v>1469</v>
      </c>
      <c r="H1233" s="532" t="s">
        <v>2392</v>
      </c>
      <c r="I1233" s="535"/>
      <c r="J1233" s="535"/>
      <c r="K1233" s="535"/>
      <c r="L1233" s="535"/>
      <c r="M1233" s="535"/>
      <c r="N1233" s="535"/>
      <c r="O1233" s="535"/>
      <c r="P1233" s="535"/>
      <c r="Q1233" s="535"/>
      <c r="R1233" s="535"/>
      <c r="S1233" s="535"/>
      <c r="T1233" s="535"/>
      <c r="U1233" s="535"/>
      <c r="V1233" s="535"/>
      <c r="W1233" s="535"/>
      <c r="X1233" s="535"/>
      <c r="Y1233" s="536"/>
    </row>
    <row r="1234" spans="1:25" ht="12.75">
      <c r="A1234" s="532" t="s">
        <v>3004</v>
      </c>
      <c r="B1234" s="532">
        <v>41200006</v>
      </c>
      <c r="C1234" s="532" t="s">
        <v>1477</v>
      </c>
      <c r="D1234" s="532" t="s">
        <v>6640</v>
      </c>
      <c r="E1234" s="532" t="s">
        <v>1405</v>
      </c>
      <c r="F1234" s="532" t="s">
        <v>2395</v>
      </c>
      <c r="G1234" s="532" t="s">
        <v>1469</v>
      </c>
      <c r="H1234" s="532" t="s">
        <v>2392</v>
      </c>
      <c r="I1234" s="535"/>
      <c r="J1234" s="535"/>
      <c r="K1234" s="535"/>
      <c r="L1234" s="535"/>
      <c r="M1234" s="535"/>
      <c r="N1234" s="535"/>
      <c r="O1234" s="535"/>
      <c r="P1234" s="535"/>
      <c r="Q1234" s="535"/>
      <c r="R1234" s="535"/>
      <c r="S1234" s="535"/>
      <c r="T1234" s="535"/>
      <c r="U1234" s="535"/>
      <c r="V1234" s="535"/>
      <c r="W1234" s="535"/>
      <c r="X1234" s="535"/>
      <c r="Y1234" s="536"/>
    </row>
    <row r="1235" spans="1:25" ht="12.75">
      <c r="A1235" s="532" t="s">
        <v>3021</v>
      </c>
      <c r="B1235" s="532">
        <v>41100264</v>
      </c>
      <c r="C1235" s="532" t="s">
        <v>1591</v>
      </c>
      <c r="D1235" s="532" t="s">
        <v>6611</v>
      </c>
      <c r="E1235" s="532" t="s">
        <v>1585</v>
      </c>
      <c r="F1235" s="532" t="s">
        <v>2391</v>
      </c>
      <c r="G1235" s="532" t="s">
        <v>1468</v>
      </c>
      <c r="H1235" s="532" t="s">
        <v>2392</v>
      </c>
      <c r="I1235" s="535"/>
      <c r="J1235" s="535"/>
      <c r="K1235" s="535"/>
      <c r="L1235" s="535"/>
      <c r="M1235" s="535"/>
      <c r="N1235" s="535"/>
      <c r="O1235" s="535"/>
      <c r="P1235" s="535"/>
      <c r="Q1235" s="535"/>
      <c r="R1235" s="535"/>
      <c r="S1235" s="535"/>
      <c r="T1235" s="535"/>
      <c r="U1235" s="535"/>
      <c r="V1235" s="535"/>
      <c r="W1235" s="535"/>
      <c r="X1235" s="535"/>
      <c r="Y1235" s="536"/>
    </row>
    <row r="1236" spans="1:25" ht="12.75">
      <c r="A1236" s="532" t="s">
        <v>3020</v>
      </c>
      <c r="B1236" s="532">
        <v>41100264</v>
      </c>
      <c r="C1236" s="532" t="s">
        <v>1591</v>
      </c>
      <c r="D1236" s="532" t="s">
        <v>6611</v>
      </c>
      <c r="E1236" s="532" t="s">
        <v>1585</v>
      </c>
      <c r="F1236" s="532" t="s">
        <v>2391</v>
      </c>
      <c r="G1236" s="532" t="s">
        <v>1468</v>
      </c>
      <c r="H1236" s="532" t="s">
        <v>2392</v>
      </c>
      <c r="I1236" s="535"/>
      <c r="J1236" s="535"/>
      <c r="K1236" s="535"/>
      <c r="L1236" s="535"/>
      <c r="M1236" s="535"/>
      <c r="N1236" s="535"/>
      <c r="O1236" s="535"/>
      <c r="P1236" s="535"/>
      <c r="Q1236" s="535"/>
      <c r="R1236" s="535"/>
      <c r="S1236" s="535"/>
      <c r="T1236" s="535"/>
      <c r="U1236" s="535"/>
      <c r="V1236" s="535"/>
      <c r="W1236" s="535"/>
      <c r="X1236" s="535"/>
      <c r="Y1236" s="536"/>
    </row>
    <row r="1237" spans="1:25" ht="12.75">
      <c r="A1237" s="532" t="s">
        <v>3003</v>
      </c>
      <c r="B1237" s="532">
        <v>41200042</v>
      </c>
      <c r="C1237" s="532" t="s">
        <v>1476</v>
      </c>
      <c r="D1237" s="532" t="s">
        <v>1426</v>
      </c>
      <c r="E1237" s="532" t="s">
        <v>1426</v>
      </c>
      <c r="F1237" s="532" t="s">
        <v>2391</v>
      </c>
      <c r="G1237" s="532" t="s">
        <v>1468</v>
      </c>
      <c r="H1237" s="532" t="s">
        <v>2392</v>
      </c>
      <c r="I1237" s="535"/>
      <c r="J1237" s="535"/>
      <c r="K1237" s="535"/>
      <c r="L1237" s="535"/>
      <c r="M1237" s="535"/>
      <c r="N1237" s="535"/>
      <c r="O1237" s="535"/>
      <c r="P1237" s="535"/>
      <c r="Q1237" s="535"/>
      <c r="R1237" s="535"/>
      <c r="S1237" s="535"/>
      <c r="T1237" s="535"/>
      <c r="U1237" s="535"/>
      <c r="V1237" s="535"/>
      <c r="W1237" s="535"/>
      <c r="X1237" s="535"/>
      <c r="Y1237" s="536"/>
    </row>
    <row r="1238" spans="1:25" ht="12.75">
      <c r="A1238" s="532" t="s">
        <v>3368</v>
      </c>
      <c r="B1238" s="532">
        <v>41200039</v>
      </c>
      <c r="C1238" s="532" t="s">
        <v>1476</v>
      </c>
      <c r="D1238" s="532" t="s">
        <v>1426</v>
      </c>
      <c r="E1238" s="532" t="s">
        <v>1426</v>
      </c>
      <c r="F1238" s="532" t="s">
        <v>2391</v>
      </c>
      <c r="G1238" s="532" t="s">
        <v>1468</v>
      </c>
      <c r="H1238" s="532" t="s">
        <v>2392</v>
      </c>
      <c r="I1238" s="535"/>
      <c r="J1238" s="535"/>
      <c r="K1238" s="535"/>
      <c r="L1238" s="535"/>
      <c r="M1238" s="535"/>
      <c r="N1238" s="535"/>
      <c r="O1238" s="535"/>
      <c r="P1238" s="535"/>
      <c r="Q1238" s="535"/>
      <c r="R1238" s="535"/>
      <c r="S1238" s="535"/>
      <c r="T1238" s="535"/>
      <c r="U1238" s="535"/>
      <c r="V1238" s="535"/>
      <c r="W1238" s="535"/>
      <c r="X1238" s="535"/>
      <c r="Y1238" s="536"/>
    </row>
    <row r="1239" spans="1:25" ht="12.75">
      <c r="A1239" s="532" t="s">
        <v>2995</v>
      </c>
      <c r="B1239" s="532">
        <v>41200127</v>
      </c>
      <c r="C1239" s="532" t="s">
        <v>1591</v>
      </c>
      <c r="D1239" s="532" t="s">
        <v>6606</v>
      </c>
      <c r="E1239" s="532" t="s">
        <v>1431</v>
      </c>
      <c r="F1239" s="532" t="s">
        <v>2395</v>
      </c>
      <c r="G1239" s="532" t="s">
        <v>1469</v>
      </c>
      <c r="H1239" s="532" t="s">
        <v>2392</v>
      </c>
      <c r="I1239" s="535"/>
      <c r="J1239" s="535"/>
      <c r="K1239" s="535"/>
      <c r="L1239" s="535"/>
      <c r="M1239" s="535"/>
      <c r="N1239" s="535"/>
      <c r="O1239" s="535"/>
      <c r="P1239" s="535"/>
      <c r="Q1239" s="535"/>
      <c r="R1239" s="535"/>
      <c r="S1239" s="535"/>
      <c r="T1239" s="535"/>
      <c r="U1239" s="535"/>
      <c r="V1239" s="535"/>
      <c r="W1239" s="535"/>
      <c r="X1239" s="535"/>
      <c r="Y1239" s="536"/>
    </row>
    <row r="1240" spans="1:25" ht="12.75">
      <c r="A1240" s="532" t="s">
        <v>3015</v>
      </c>
      <c r="B1240" s="532">
        <v>41200033</v>
      </c>
      <c r="C1240" s="532" t="s">
        <v>1476</v>
      </c>
      <c r="D1240" s="532" t="s">
        <v>6611</v>
      </c>
      <c r="E1240" s="532" t="s">
        <v>1426</v>
      </c>
      <c r="F1240" s="532" t="s">
        <v>2391</v>
      </c>
      <c r="G1240" s="532" t="s">
        <v>1469</v>
      </c>
      <c r="H1240" s="532" t="s">
        <v>2392</v>
      </c>
      <c r="I1240" s="535"/>
      <c r="J1240" s="535"/>
      <c r="K1240" s="535"/>
      <c r="L1240" s="535"/>
      <c r="M1240" s="535"/>
      <c r="N1240" s="535"/>
      <c r="O1240" s="535"/>
      <c r="P1240" s="535"/>
      <c r="Q1240" s="535"/>
      <c r="R1240" s="535"/>
      <c r="S1240" s="535"/>
      <c r="T1240" s="535"/>
      <c r="U1240" s="535"/>
      <c r="V1240" s="535"/>
      <c r="W1240" s="535"/>
      <c r="X1240" s="535"/>
      <c r="Y1240" s="536"/>
    </row>
    <row r="1241" spans="1:25" ht="12.75">
      <c r="A1241" s="532" t="s">
        <v>2988</v>
      </c>
      <c r="B1241" s="532">
        <v>41100286</v>
      </c>
      <c r="C1241" s="532" t="s">
        <v>1476</v>
      </c>
      <c r="D1241" s="532" t="s">
        <v>6610</v>
      </c>
      <c r="E1241" s="532" t="s">
        <v>1424</v>
      </c>
      <c r="F1241" s="532" t="s">
        <v>2391</v>
      </c>
      <c r="G1241" s="532" t="s">
        <v>1468</v>
      </c>
      <c r="H1241" s="532" t="s">
        <v>2392</v>
      </c>
      <c r="I1241" s="535"/>
      <c r="J1241" s="535"/>
      <c r="K1241" s="535"/>
      <c r="L1241" s="535"/>
      <c r="M1241" s="535"/>
      <c r="N1241" s="535"/>
      <c r="O1241" s="535"/>
      <c r="P1241" s="535"/>
      <c r="Q1241" s="535"/>
      <c r="R1241" s="535"/>
      <c r="S1241" s="535"/>
      <c r="T1241" s="535"/>
      <c r="U1241" s="535"/>
      <c r="V1241" s="535"/>
      <c r="W1241" s="535"/>
      <c r="X1241" s="535"/>
      <c r="Y1241" s="536"/>
    </row>
    <row r="1242" spans="1:25" ht="12.75">
      <c r="A1242" s="532" t="s">
        <v>2986</v>
      </c>
      <c r="B1242" s="532">
        <v>41200109</v>
      </c>
      <c r="C1242" s="532" t="s">
        <v>1591</v>
      </c>
      <c r="D1242" s="532" t="s">
        <v>6619</v>
      </c>
      <c r="E1242" s="532" t="s">
        <v>1585</v>
      </c>
      <c r="F1242" s="532" t="s">
        <v>2395</v>
      </c>
      <c r="G1242" s="532" t="s">
        <v>1469</v>
      </c>
      <c r="H1242" s="532" t="s">
        <v>2392</v>
      </c>
      <c r="I1242" s="535"/>
      <c r="J1242" s="535"/>
      <c r="K1242" s="535"/>
      <c r="L1242" s="535"/>
      <c r="M1242" s="535"/>
      <c r="N1242" s="535"/>
      <c r="O1242" s="535"/>
      <c r="P1242" s="535"/>
      <c r="Q1242" s="535"/>
      <c r="R1242" s="535"/>
      <c r="S1242" s="535"/>
      <c r="T1242" s="535"/>
      <c r="U1242" s="535"/>
      <c r="V1242" s="535"/>
      <c r="W1242" s="535"/>
      <c r="X1242" s="535"/>
      <c r="Y1242" s="536"/>
    </row>
    <row r="1243" spans="1:25" ht="12.75">
      <c r="A1243" s="532" t="s">
        <v>2984</v>
      </c>
      <c r="B1243" s="532">
        <v>41200109</v>
      </c>
      <c r="C1243" s="532" t="s">
        <v>1591</v>
      </c>
      <c r="D1243" s="532" t="s">
        <v>6619</v>
      </c>
      <c r="E1243" s="532" t="s">
        <v>1585</v>
      </c>
      <c r="F1243" s="532" t="s">
        <v>2395</v>
      </c>
      <c r="G1243" s="532" t="s">
        <v>1469</v>
      </c>
      <c r="H1243" s="532" t="s">
        <v>2392</v>
      </c>
      <c r="I1243" s="535"/>
      <c r="J1243" s="535"/>
      <c r="K1243" s="535"/>
      <c r="L1243" s="535"/>
      <c r="M1243" s="535"/>
      <c r="N1243" s="535"/>
      <c r="O1243" s="535"/>
      <c r="P1243" s="535"/>
      <c r="Q1243" s="535"/>
      <c r="R1243" s="535"/>
      <c r="S1243" s="535"/>
      <c r="T1243" s="535"/>
      <c r="U1243" s="535"/>
      <c r="V1243" s="535"/>
      <c r="W1243" s="535"/>
      <c r="X1243" s="535"/>
      <c r="Y1243" s="536"/>
    </row>
    <row r="1244" spans="1:25" ht="12.75">
      <c r="A1244" s="532" t="s">
        <v>2971</v>
      </c>
      <c r="B1244" s="532">
        <v>41200042</v>
      </c>
      <c r="C1244" s="532" t="s">
        <v>1476</v>
      </c>
      <c r="D1244" s="532" t="s">
        <v>1426</v>
      </c>
      <c r="E1244" s="532" t="s">
        <v>1426</v>
      </c>
      <c r="F1244" s="532" t="s">
        <v>2391</v>
      </c>
      <c r="G1244" s="532" t="s">
        <v>2392</v>
      </c>
      <c r="H1244" s="532" t="s">
        <v>2392</v>
      </c>
      <c r="I1244" s="535"/>
      <c r="J1244" s="535"/>
      <c r="K1244" s="535"/>
      <c r="L1244" s="535"/>
      <c r="M1244" s="535"/>
      <c r="N1244" s="535"/>
      <c r="O1244" s="535"/>
      <c r="P1244" s="535"/>
      <c r="Q1244" s="535"/>
      <c r="R1244" s="535"/>
      <c r="S1244" s="535"/>
      <c r="T1244" s="535"/>
      <c r="U1244" s="535"/>
      <c r="V1244" s="535"/>
      <c r="W1244" s="535"/>
      <c r="X1244" s="535"/>
      <c r="Y1244" s="536"/>
    </row>
    <row r="1245" spans="1:25" ht="12.75">
      <c r="A1245" s="532" t="s">
        <v>2964</v>
      </c>
      <c r="B1245" s="532">
        <v>41200006</v>
      </c>
      <c r="C1245" s="532" t="s">
        <v>1477</v>
      </c>
      <c r="D1245" s="532" t="s">
        <v>6640</v>
      </c>
      <c r="E1245" s="532" t="s">
        <v>1405</v>
      </c>
      <c r="F1245" s="532" t="s">
        <v>2391</v>
      </c>
      <c r="G1245" s="532" t="s">
        <v>2392</v>
      </c>
      <c r="H1245" s="532" t="s">
        <v>2392</v>
      </c>
      <c r="I1245" s="535"/>
      <c r="J1245" s="535"/>
      <c r="K1245" s="535"/>
      <c r="L1245" s="535"/>
      <c r="M1245" s="535"/>
      <c r="N1245" s="535"/>
      <c r="O1245" s="535"/>
      <c r="P1245" s="535"/>
      <c r="Q1245" s="535"/>
      <c r="R1245" s="535"/>
      <c r="S1245" s="535"/>
      <c r="T1245" s="535"/>
      <c r="U1245" s="535"/>
      <c r="V1245" s="535"/>
      <c r="W1245" s="535"/>
      <c r="X1245" s="535"/>
      <c r="Y1245" s="536"/>
    </row>
    <row r="1246" spans="1:25" ht="12.75">
      <c r="A1246" s="532" t="s">
        <v>2961</v>
      </c>
      <c r="B1246" s="532">
        <v>41200006</v>
      </c>
      <c r="C1246" s="532" t="s">
        <v>1477</v>
      </c>
      <c r="D1246" s="532" t="s">
        <v>6640</v>
      </c>
      <c r="E1246" s="532" t="s">
        <v>1405</v>
      </c>
      <c r="F1246" s="532" t="s">
        <v>2391</v>
      </c>
      <c r="G1246" s="532" t="s">
        <v>2392</v>
      </c>
      <c r="H1246" s="532" t="s">
        <v>2392</v>
      </c>
      <c r="I1246" s="535"/>
      <c r="J1246" s="535"/>
      <c r="K1246" s="535"/>
      <c r="L1246" s="535"/>
      <c r="M1246" s="535"/>
      <c r="N1246" s="535"/>
      <c r="O1246" s="535"/>
      <c r="P1246" s="535"/>
      <c r="Q1246" s="535"/>
      <c r="R1246" s="535"/>
      <c r="S1246" s="535"/>
      <c r="T1246" s="535"/>
      <c r="U1246" s="535"/>
      <c r="V1246" s="535"/>
      <c r="W1246" s="535"/>
      <c r="X1246" s="535"/>
      <c r="Y1246" s="536"/>
    </row>
    <row r="1247" spans="1:25" ht="12.75">
      <c r="A1247" s="532" t="s">
        <v>2974</v>
      </c>
      <c r="B1247" s="532">
        <v>41200061</v>
      </c>
      <c r="C1247" s="532" t="s">
        <v>1480</v>
      </c>
      <c r="D1247" s="532" t="s">
        <v>6636</v>
      </c>
      <c r="E1247" s="532" t="s">
        <v>1405</v>
      </c>
      <c r="F1247" s="532" t="s">
        <v>2395</v>
      </c>
      <c r="G1247" s="532" t="s">
        <v>1469</v>
      </c>
      <c r="H1247" s="532" t="s">
        <v>2392</v>
      </c>
      <c r="I1247" s="535"/>
      <c r="J1247" s="535"/>
      <c r="K1247" s="535"/>
      <c r="L1247" s="535"/>
      <c r="M1247" s="535"/>
      <c r="N1247" s="535"/>
      <c r="O1247" s="535"/>
      <c r="P1247" s="535"/>
      <c r="Q1247" s="535"/>
      <c r="R1247" s="535"/>
      <c r="S1247" s="535"/>
      <c r="T1247" s="535"/>
      <c r="U1247" s="535"/>
      <c r="V1247" s="535"/>
      <c r="W1247" s="535"/>
      <c r="X1247" s="535"/>
      <c r="Y1247" s="536"/>
    </row>
    <row r="1248" spans="1:25" ht="12.75">
      <c r="A1248" s="532" t="s">
        <v>3019</v>
      </c>
      <c r="B1248" s="532">
        <v>41200027</v>
      </c>
      <c r="C1248" s="532" t="s">
        <v>1591</v>
      </c>
      <c r="D1248" s="532" t="s">
        <v>1591</v>
      </c>
      <c r="E1248" s="532" t="s">
        <v>1405</v>
      </c>
      <c r="F1248" s="532" t="s">
        <v>2391</v>
      </c>
      <c r="G1248" s="532" t="s">
        <v>2392</v>
      </c>
      <c r="H1248" s="532" t="s">
        <v>2392</v>
      </c>
      <c r="I1248" s="535"/>
      <c r="J1248" s="535"/>
      <c r="K1248" s="535"/>
      <c r="L1248" s="535"/>
      <c r="M1248" s="535"/>
      <c r="N1248" s="535"/>
      <c r="O1248" s="535"/>
      <c r="P1248" s="535"/>
      <c r="Q1248" s="535"/>
      <c r="R1248" s="535"/>
      <c r="S1248" s="535"/>
      <c r="T1248" s="535"/>
      <c r="U1248" s="535"/>
      <c r="V1248" s="535"/>
      <c r="W1248" s="535"/>
      <c r="X1248" s="535"/>
      <c r="Y1248" s="536"/>
    </row>
    <row r="1249" spans="1:25" ht="12.75">
      <c r="A1249" s="532" t="s">
        <v>2972</v>
      </c>
      <c r="B1249" s="532">
        <v>41200027</v>
      </c>
      <c r="C1249" s="532" t="s">
        <v>1591</v>
      </c>
      <c r="D1249" s="532" t="s">
        <v>1591</v>
      </c>
      <c r="E1249" s="532" t="s">
        <v>1405</v>
      </c>
      <c r="F1249" s="532" t="s">
        <v>2391</v>
      </c>
      <c r="G1249" s="532" t="s">
        <v>2392</v>
      </c>
      <c r="H1249" s="532" t="s">
        <v>2392</v>
      </c>
      <c r="I1249" s="535"/>
      <c r="J1249" s="535"/>
      <c r="K1249" s="535"/>
      <c r="L1249" s="535"/>
      <c r="M1249" s="535"/>
      <c r="N1249" s="535"/>
      <c r="O1249" s="535"/>
      <c r="P1249" s="535"/>
      <c r="Q1249" s="535"/>
      <c r="R1249" s="535"/>
      <c r="S1249" s="535"/>
      <c r="T1249" s="535"/>
      <c r="U1249" s="535"/>
      <c r="V1249" s="535"/>
      <c r="W1249" s="535"/>
      <c r="X1249" s="535"/>
      <c r="Y1249" s="536"/>
    </row>
    <row r="1250" spans="1:25" ht="12.75">
      <c r="A1250" s="532" t="s">
        <v>6651</v>
      </c>
      <c r="B1250" s="532">
        <v>41200046</v>
      </c>
      <c r="C1250" s="532" t="s">
        <v>1476</v>
      </c>
      <c r="D1250" s="532" t="s">
        <v>1426</v>
      </c>
      <c r="E1250" s="532" t="s">
        <v>1426</v>
      </c>
      <c r="F1250" s="532" t="s">
        <v>2395</v>
      </c>
      <c r="G1250" s="532" t="s">
        <v>1468</v>
      </c>
      <c r="H1250" s="532" t="s">
        <v>2392</v>
      </c>
      <c r="I1250" s="535"/>
      <c r="J1250" s="535"/>
      <c r="K1250" s="535"/>
      <c r="L1250" s="535"/>
      <c r="M1250" s="535"/>
      <c r="N1250" s="535"/>
      <c r="O1250" s="535"/>
      <c r="P1250" s="535"/>
      <c r="Q1250" s="535"/>
      <c r="R1250" s="535"/>
      <c r="S1250" s="535"/>
      <c r="T1250" s="535"/>
      <c r="U1250" s="535"/>
      <c r="V1250" s="535"/>
      <c r="W1250" s="535"/>
      <c r="X1250" s="535"/>
      <c r="Y1250" s="536"/>
    </row>
    <row r="1251" spans="1:25" ht="12.75">
      <c r="A1251" s="532" t="s">
        <v>6652</v>
      </c>
      <c r="B1251" s="532">
        <v>41200046</v>
      </c>
      <c r="C1251" s="532" t="s">
        <v>1476</v>
      </c>
      <c r="D1251" s="532" t="s">
        <v>1426</v>
      </c>
      <c r="E1251" s="532" t="s">
        <v>1426</v>
      </c>
      <c r="F1251" s="532" t="s">
        <v>2395</v>
      </c>
      <c r="G1251" s="532" t="s">
        <v>1468</v>
      </c>
      <c r="H1251" s="532" t="s">
        <v>2392</v>
      </c>
      <c r="I1251" s="535"/>
      <c r="J1251" s="535"/>
      <c r="K1251" s="535"/>
      <c r="L1251" s="535"/>
      <c r="M1251" s="535"/>
      <c r="N1251" s="535"/>
      <c r="O1251" s="535"/>
      <c r="P1251" s="535"/>
      <c r="Q1251" s="535"/>
      <c r="R1251" s="535"/>
      <c r="S1251" s="535"/>
      <c r="T1251" s="535"/>
      <c r="U1251" s="535"/>
      <c r="V1251" s="535"/>
      <c r="W1251" s="535"/>
      <c r="X1251" s="535"/>
      <c r="Y1251" s="536"/>
    </row>
    <row r="1252" spans="1:25" ht="12.75">
      <c r="A1252" s="532" t="s">
        <v>6653</v>
      </c>
      <c r="B1252" s="532">
        <v>41200046</v>
      </c>
      <c r="C1252" s="532" t="s">
        <v>1476</v>
      </c>
      <c r="D1252" s="532" t="s">
        <v>1426</v>
      </c>
      <c r="E1252" s="532" t="s">
        <v>1426</v>
      </c>
      <c r="F1252" s="532" t="s">
        <v>2395</v>
      </c>
      <c r="G1252" s="532" t="s">
        <v>1468</v>
      </c>
      <c r="H1252" s="532" t="s">
        <v>2392</v>
      </c>
      <c r="I1252" s="535"/>
      <c r="J1252" s="535"/>
      <c r="K1252" s="535"/>
      <c r="L1252" s="535"/>
      <c r="M1252" s="535"/>
      <c r="N1252" s="535"/>
      <c r="O1252" s="535"/>
      <c r="P1252" s="535"/>
      <c r="Q1252" s="535"/>
      <c r="R1252" s="535"/>
      <c r="S1252" s="535"/>
      <c r="T1252" s="535"/>
      <c r="U1252" s="535"/>
      <c r="V1252" s="535"/>
      <c r="W1252" s="535"/>
      <c r="X1252" s="535"/>
      <c r="Y1252" s="536"/>
    </row>
    <row r="1253" spans="1:25" ht="12.75">
      <c r="A1253" s="532" t="s">
        <v>6654</v>
      </c>
      <c r="B1253" s="532">
        <v>41200046</v>
      </c>
      <c r="C1253" s="532" t="s">
        <v>1476</v>
      </c>
      <c r="D1253" s="532" t="s">
        <v>1426</v>
      </c>
      <c r="E1253" s="532" t="s">
        <v>1426</v>
      </c>
      <c r="F1253" s="532" t="s">
        <v>2395</v>
      </c>
      <c r="G1253" s="532" t="s">
        <v>1468</v>
      </c>
      <c r="H1253" s="532" t="s">
        <v>2392</v>
      </c>
      <c r="I1253" s="535"/>
      <c r="J1253" s="535"/>
      <c r="K1253" s="535"/>
      <c r="L1253" s="535"/>
      <c r="M1253" s="535"/>
      <c r="N1253" s="535"/>
      <c r="O1253" s="535"/>
      <c r="P1253" s="535"/>
      <c r="Q1253" s="535"/>
      <c r="R1253" s="535"/>
      <c r="S1253" s="535"/>
      <c r="T1253" s="535"/>
      <c r="U1253" s="535"/>
      <c r="V1253" s="535"/>
      <c r="W1253" s="535"/>
      <c r="X1253" s="535"/>
      <c r="Y1253" s="536"/>
    </row>
    <row r="1254" spans="1:25" ht="12.75">
      <c r="A1254" s="532" t="s">
        <v>3055</v>
      </c>
      <c r="B1254" s="532">
        <v>41200033</v>
      </c>
      <c r="C1254" s="532" t="s">
        <v>1476</v>
      </c>
      <c r="D1254" s="532" t="s">
        <v>6611</v>
      </c>
      <c r="E1254" s="532" t="s">
        <v>1426</v>
      </c>
      <c r="F1254" s="532" t="s">
        <v>2395</v>
      </c>
      <c r="G1254" s="532" t="s">
        <v>1469</v>
      </c>
      <c r="H1254" s="532" t="s">
        <v>2392</v>
      </c>
      <c r="I1254" s="535"/>
      <c r="J1254" s="535"/>
      <c r="K1254" s="535"/>
      <c r="L1254" s="535"/>
      <c r="M1254" s="535"/>
      <c r="N1254" s="535"/>
      <c r="O1254" s="535"/>
      <c r="P1254" s="535"/>
      <c r="Q1254" s="535"/>
      <c r="R1254" s="535"/>
      <c r="S1254" s="535"/>
      <c r="T1254" s="535"/>
      <c r="U1254" s="535"/>
      <c r="V1254" s="535"/>
      <c r="W1254" s="535"/>
      <c r="X1254" s="535"/>
      <c r="Y1254" s="536"/>
    </row>
    <row r="1255" spans="1:25" ht="12.75">
      <c r="A1255" s="532" t="s">
        <v>3041</v>
      </c>
      <c r="B1255" s="532">
        <v>41200033</v>
      </c>
      <c r="C1255" s="532" t="s">
        <v>1476</v>
      </c>
      <c r="D1255" s="532" t="s">
        <v>6611</v>
      </c>
      <c r="E1255" s="532" t="s">
        <v>1426</v>
      </c>
      <c r="F1255" s="532" t="s">
        <v>2395</v>
      </c>
      <c r="G1255" s="532" t="s">
        <v>1469</v>
      </c>
      <c r="H1255" s="532" t="s">
        <v>2392</v>
      </c>
      <c r="I1255" s="535"/>
      <c r="J1255" s="535"/>
      <c r="K1255" s="535"/>
      <c r="L1255" s="535"/>
      <c r="M1255" s="535"/>
      <c r="N1255" s="535"/>
      <c r="O1255" s="535"/>
      <c r="P1255" s="535"/>
      <c r="Q1255" s="535"/>
      <c r="R1255" s="535"/>
      <c r="S1255" s="535"/>
      <c r="T1255" s="535"/>
      <c r="U1255" s="535"/>
      <c r="V1255" s="535"/>
      <c r="W1255" s="535"/>
      <c r="X1255" s="535"/>
      <c r="Y1255" s="536"/>
    </row>
    <row r="1256" spans="1:25" ht="12.75">
      <c r="A1256" s="532" t="s">
        <v>3035</v>
      </c>
      <c r="B1256" s="532">
        <v>41200007</v>
      </c>
      <c r="C1256" s="532" t="s">
        <v>1591</v>
      </c>
      <c r="D1256" s="532" t="s">
        <v>6608</v>
      </c>
      <c r="E1256" s="532" t="s">
        <v>1405</v>
      </c>
      <c r="F1256" s="532" t="s">
        <v>2391</v>
      </c>
      <c r="G1256" s="532" t="s">
        <v>2392</v>
      </c>
      <c r="H1256" s="532" t="s">
        <v>2392</v>
      </c>
      <c r="I1256" s="535"/>
      <c r="J1256" s="535"/>
      <c r="K1256" s="535"/>
      <c r="L1256" s="535"/>
      <c r="M1256" s="535"/>
      <c r="N1256" s="535"/>
      <c r="O1256" s="535"/>
      <c r="P1256" s="535"/>
      <c r="Q1256" s="535"/>
      <c r="R1256" s="535"/>
      <c r="S1256" s="535"/>
      <c r="T1256" s="535"/>
      <c r="U1256" s="535"/>
      <c r="V1256" s="535"/>
      <c r="W1256" s="535"/>
      <c r="X1256" s="535"/>
      <c r="Y1256" s="536"/>
    </row>
    <row r="1257" spans="1:25" ht="12.75">
      <c r="A1257" s="532" t="s">
        <v>3033</v>
      </c>
      <c r="B1257" s="532">
        <v>41200007</v>
      </c>
      <c r="C1257" s="532" t="s">
        <v>1591</v>
      </c>
      <c r="D1257" s="532" t="s">
        <v>6608</v>
      </c>
      <c r="E1257" s="532" t="s">
        <v>1405</v>
      </c>
      <c r="F1257" s="532" t="s">
        <v>2391</v>
      </c>
      <c r="G1257" s="532" t="s">
        <v>2392</v>
      </c>
      <c r="H1257" s="532" t="s">
        <v>2392</v>
      </c>
      <c r="I1257" s="535"/>
      <c r="J1257" s="535"/>
      <c r="K1257" s="535"/>
      <c r="L1257" s="535"/>
      <c r="M1257" s="535"/>
      <c r="N1257" s="535"/>
      <c r="O1257" s="535"/>
      <c r="P1257" s="535"/>
      <c r="Q1257" s="535"/>
      <c r="R1257" s="535"/>
      <c r="S1257" s="535"/>
      <c r="T1257" s="535"/>
      <c r="U1257" s="535"/>
      <c r="V1257" s="535"/>
      <c r="W1257" s="535"/>
      <c r="X1257" s="535"/>
      <c r="Y1257" s="536"/>
    </row>
    <row r="1258" spans="1:25" ht="12.75">
      <c r="A1258" s="532" t="s">
        <v>3017</v>
      </c>
      <c r="B1258" s="532">
        <v>41200007</v>
      </c>
      <c r="C1258" s="532" t="s">
        <v>1591</v>
      </c>
      <c r="D1258" s="532" t="s">
        <v>6608</v>
      </c>
      <c r="E1258" s="532" t="s">
        <v>1405</v>
      </c>
      <c r="F1258" s="532" t="s">
        <v>2391</v>
      </c>
      <c r="G1258" s="532" t="s">
        <v>2392</v>
      </c>
      <c r="H1258" s="532" t="s">
        <v>2392</v>
      </c>
      <c r="I1258" s="535"/>
      <c r="J1258" s="535"/>
      <c r="K1258" s="535"/>
      <c r="L1258" s="535"/>
      <c r="M1258" s="535"/>
      <c r="N1258" s="535"/>
      <c r="O1258" s="535"/>
      <c r="P1258" s="535"/>
      <c r="Q1258" s="535"/>
      <c r="R1258" s="535"/>
      <c r="S1258" s="535"/>
      <c r="T1258" s="535"/>
      <c r="U1258" s="535"/>
      <c r="V1258" s="535"/>
      <c r="W1258" s="535"/>
      <c r="X1258" s="535"/>
      <c r="Y1258" s="536"/>
    </row>
    <row r="1259" spans="1:25" ht="12.75">
      <c r="A1259" s="532" t="s">
        <v>3036</v>
      </c>
      <c r="B1259" s="532">
        <v>41200007</v>
      </c>
      <c r="C1259" s="532" t="s">
        <v>1591</v>
      </c>
      <c r="D1259" s="532" t="s">
        <v>6608</v>
      </c>
      <c r="E1259" s="532" t="s">
        <v>1405</v>
      </c>
      <c r="F1259" s="532" t="s">
        <v>2391</v>
      </c>
      <c r="G1259" s="532" t="s">
        <v>2392</v>
      </c>
      <c r="H1259" s="532" t="s">
        <v>2392</v>
      </c>
      <c r="I1259" s="535"/>
      <c r="J1259" s="535"/>
      <c r="K1259" s="535"/>
      <c r="L1259" s="535"/>
      <c r="M1259" s="535"/>
      <c r="N1259" s="535"/>
      <c r="O1259" s="535"/>
      <c r="P1259" s="535"/>
      <c r="Q1259" s="535"/>
      <c r="R1259" s="535"/>
      <c r="S1259" s="535"/>
      <c r="T1259" s="535"/>
      <c r="U1259" s="535"/>
      <c r="V1259" s="535"/>
      <c r="W1259" s="535"/>
      <c r="X1259" s="535"/>
      <c r="Y1259" s="536"/>
    </row>
    <row r="1260" spans="1:25" ht="12.75">
      <c r="A1260" s="532" t="s">
        <v>2938</v>
      </c>
      <c r="B1260" s="532">
        <v>41200169</v>
      </c>
      <c r="C1260" s="532" t="s">
        <v>1479</v>
      </c>
      <c r="D1260" s="532" t="s">
        <v>1408</v>
      </c>
      <c r="E1260" s="532" t="s">
        <v>6655</v>
      </c>
      <c r="F1260" s="532" t="s">
        <v>2395</v>
      </c>
      <c r="G1260" s="532" t="s">
        <v>1469</v>
      </c>
      <c r="H1260" s="532" t="s">
        <v>2392</v>
      </c>
      <c r="I1260" s="535"/>
      <c r="J1260" s="535"/>
      <c r="K1260" s="535"/>
      <c r="L1260" s="535"/>
      <c r="M1260" s="535"/>
      <c r="N1260" s="535"/>
      <c r="O1260" s="535"/>
      <c r="P1260" s="535"/>
      <c r="Q1260" s="535"/>
      <c r="R1260" s="535"/>
      <c r="S1260" s="535"/>
      <c r="T1260" s="535"/>
      <c r="U1260" s="535"/>
      <c r="V1260" s="535"/>
      <c r="W1260" s="535"/>
      <c r="X1260" s="535"/>
      <c r="Y1260" s="536"/>
    </row>
    <row r="1261" spans="1:25" ht="12.75">
      <c r="A1261" s="532" t="s">
        <v>2937</v>
      </c>
      <c r="B1261" s="532">
        <v>41200169</v>
      </c>
      <c r="C1261" s="532" t="s">
        <v>1479</v>
      </c>
      <c r="D1261" s="532" t="s">
        <v>1408</v>
      </c>
      <c r="E1261" s="532" t="s">
        <v>6655</v>
      </c>
      <c r="F1261" s="532" t="s">
        <v>2395</v>
      </c>
      <c r="G1261" s="532" t="s">
        <v>1469</v>
      </c>
      <c r="H1261" s="532" t="s">
        <v>2392</v>
      </c>
      <c r="I1261" s="535"/>
      <c r="J1261" s="535"/>
      <c r="K1261" s="535"/>
      <c r="L1261" s="535"/>
      <c r="M1261" s="535"/>
      <c r="N1261" s="535"/>
      <c r="O1261" s="535"/>
      <c r="P1261" s="535"/>
      <c r="Q1261" s="535"/>
      <c r="R1261" s="535"/>
      <c r="S1261" s="535"/>
      <c r="T1261" s="535"/>
      <c r="U1261" s="535"/>
      <c r="V1261" s="535"/>
      <c r="W1261" s="535"/>
      <c r="X1261" s="535"/>
      <c r="Y1261" s="536"/>
    </row>
    <row r="1262" spans="1:25" ht="12.75">
      <c r="A1262" s="537" t="s">
        <v>5264</v>
      </c>
      <c r="B1262" s="537">
        <v>41200172</v>
      </c>
      <c r="C1262" s="537" t="s">
        <v>1480</v>
      </c>
      <c r="D1262" s="537" t="s">
        <v>1405</v>
      </c>
      <c r="E1262" s="537" t="s">
        <v>1405</v>
      </c>
      <c r="F1262" s="537" t="s">
        <v>2395</v>
      </c>
      <c r="G1262" s="537" t="s">
        <v>2392</v>
      </c>
      <c r="H1262" s="537" t="s">
        <v>2392</v>
      </c>
      <c r="I1262" s="538"/>
      <c r="J1262" s="538"/>
      <c r="K1262" s="538"/>
      <c r="L1262" s="538"/>
      <c r="M1262" s="538"/>
      <c r="N1262" s="538"/>
      <c r="O1262" s="538"/>
      <c r="P1262" s="538"/>
      <c r="Q1262" s="538"/>
      <c r="R1262" s="538"/>
      <c r="S1262" s="538"/>
      <c r="T1262" s="538"/>
      <c r="U1262" s="538"/>
      <c r="V1262" s="538"/>
      <c r="W1262" s="538"/>
      <c r="X1262" s="538"/>
      <c r="Y1262" s="539"/>
    </row>
    <row r="1263" spans="1:25">
      <c r="A1263" s="245" t="s">
        <v>3501</v>
      </c>
      <c r="B1263" s="245">
        <v>41200047</v>
      </c>
      <c r="C1263" s="245" t="s">
        <v>1476</v>
      </c>
      <c r="D1263" s="245" t="s">
        <v>1426</v>
      </c>
      <c r="E1263" s="245" t="s">
        <v>1426</v>
      </c>
      <c r="F1263" s="245" t="s">
        <v>2395</v>
      </c>
      <c r="G1263" s="245" t="s">
        <v>1469</v>
      </c>
      <c r="H1263" s="245" t="s">
        <v>2392</v>
      </c>
    </row>
    <row r="1264" spans="1:25">
      <c r="A1264" s="245" t="s">
        <v>3499</v>
      </c>
      <c r="B1264" s="245">
        <v>41200047</v>
      </c>
      <c r="C1264" s="245" t="s">
        <v>1476</v>
      </c>
      <c r="D1264" s="245" t="s">
        <v>1426</v>
      </c>
      <c r="E1264" s="245" t="s">
        <v>1426</v>
      </c>
      <c r="F1264" s="245" t="s">
        <v>2395</v>
      </c>
      <c r="G1264" s="245" t="s">
        <v>1469</v>
      </c>
      <c r="H1264" s="245" t="s">
        <v>2392</v>
      </c>
    </row>
    <row r="1265" spans="1:8">
      <c r="A1265" s="245" t="s">
        <v>3497</v>
      </c>
      <c r="B1265" s="245">
        <v>41200047</v>
      </c>
      <c r="C1265" s="245" t="s">
        <v>1476</v>
      </c>
      <c r="D1265" s="245" t="s">
        <v>1426</v>
      </c>
      <c r="E1265" s="245" t="s">
        <v>1426</v>
      </c>
      <c r="F1265" s="245" t="s">
        <v>2395</v>
      </c>
      <c r="G1265" s="245" t="s">
        <v>1469</v>
      </c>
      <c r="H1265" s="245" t="s">
        <v>2392</v>
      </c>
    </row>
    <row r="1266" spans="1:8">
      <c r="A1266" s="245" t="s">
        <v>3570</v>
      </c>
      <c r="B1266" s="245">
        <v>41200101</v>
      </c>
      <c r="C1266" s="245" t="s">
        <v>1476</v>
      </c>
      <c r="D1266" s="245" t="s">
        <v>1476</v>
      </c>
      <c r="E1266" s="245" t="s">
        <v>1585</v>
      </c>
      <c r="F1266" s="245" t="s">
        <v>2391</v>
      </c>
      <c r="G1266" s="245" t="s">
        <v>1468</v>
      </c>
      <c r="H1266" s="245" t="s">
        <v>2392</v>
      </c>
    </row>
    <row r="1267" spans="1:8">
      <c r="A1267" s="245" t="s">
        <v>3506</v>
      </c>
      <c r="B1267" s="245">
        <v>41100227</v>
      </c>
      <c r="C1267" s="245" t="s">
        <v>1476</v>
      </c>
      <c r="D1267" s="245" t="s">
        <v>71</v>
      </c>
      <c r="E1267" s="245" t="s">
        <v>1424</v>
      </c>
      <c r="F1267" s="245" t="s">
        <v>2391</v>
      </c>
      <c r="G1267" s="245" t="s">
        <v>2392</v>
      </c>
      <c r="H1267" s="245" t="s">
        <v>2392</v>
      </c>
    </row>
    <row r="1268" spans="1:8">
      <c r="A1268" s="245" t="s">
        <v>3492</v>
      </c>
      <c r="B1268" s="245">
        <v>41200079</v>
      </c>
      <c r="C1268" s="245" t="s">
        <v>1480</v>
      </c>
      <c r="D1268" s="245" t="s">
        <v>6987</v>
      </c>
      <c r="E1268" s="245" t="s">
        <v>1405</v>
      </c>
      <c r="F1268" s="245" t="s">
        <v>2395</v>
      </c>
      <c r="G1268" s="245" t="s">
        <v>1468</v>
      </c>
      <c r="H1268" s="245" t="s">
        <v>2392</v>
      </c>
    </row>
    <row r="1269" spans="1:8">
      <c r="A1269" s="245" t="s">
        <v>3489</v>
      </c>
      <c r="B1269" s="245">
        <v>41200042</v>
      </c>
      <c r="C1269" s="245" t="s">
        <v>1476</v>
      </c>
      <c r="D1269" s="245" t="s">
        <v>1426</v>
      </c>
      <c r="E1269" s="245" t="s">
        <v>1426</v>
      </c>
      <c r="F1269" s="245" t="s">
        <v>2391</v>
      </c>
      <c r="G1269" s="245" t="s">
        <v>2392</v>
      </c>
      <c r="H1269" s="245" t="s">
        <v>2392</v>
      </c>
    </row>
    <row r="1270" spans="1:8">
      <c r="A1270" s="245" t="s">
        <v>3481</v>
      </c>
      <c r="B1270" s="245">
        <v>41200034</v>
      </c>
      <c r="C1270" s="245" t="s">
        <v>1476</v>
      </c>
      <c r="D1270" s="245" t="s">
        <v>1426</v>
      </c>
      <c r="E1270" s="245" t="s">
        <v>1426</v>
      </c>
      <c r="F1270" s="245" t="s">
        <v>2395</v>
      </c>
      <c r="G1270" s="245" t="s">
        <v>2392</v>
      </c>
      <c r="H1270" s="245" t="s">
        <v>2392</v>
      </c>
    </row>
    <row r="1271" spans="1:8">
      <c r="A1271" s="245" t="s">
        <v>3480</v>
      </c>
      <c r="B1271" s="245">
        <v>41200034</v>
      </c>
      <c r="C1271" s="245" t="s">
        <v>1476</v>
      </c>
      <c r="D1271" s="245" t="s">
        <v>1426</v>
      </c>
      <c r="E1271" s="245" t="s">
        <v>1426</v>
      </c>
      <c r="F1271" s="245" t="s">
        <v>2395</v>
      </c>
      <c r="G1271" s="245" t="s">
        <v>2392</v>
      </c>
      <c r="H1271" s="245" t="s">
        <v>2392</v>
      </c>
    </row>
    <row r="1272" spans="1:8">
      <c r="A1272" s="245" t="s">
        <v>3482</v>
      </c>
      <c r="B1272" s="245">
        <v>41200043</v>
      </c>
      <c r="C1272" s="245" t="s">
        <v>1476</v>
      </c>
      <c r="D1272" s="245" t="s">
        <v>6611</v>
      </c>
      <c r="E1272" s="245" t="s">
        <v>1426</v>
      </c>
      <c r="F1272" s="245" t="s">
        <v>2395</v>
      </c>
      <c r="G1272" s="245" t="s">
        <v>1469</v>
      </c>
      <c r="H1272" s="245" t="s">
        <v>2392</v>
      </c>
    </row>
    <row r="1273" spans="1:8">
      <c r="A1273" s="245" t="s">
        <v>3485</v>
      </c>
      <c r="B1273" s="245">
        <v>41200007</v>
      </c>
      <c r="C1273" s="245" t="s">
        <v>1591</v>
      </c>
      <c r="D1273" s="245" t="s">
        <v>6608</v>
      </c>
      <c r="E1273" s="245" t="s">
        <v>1405</v>
      </c>
      <c r="F1273" s="245" t="s">
        <v>2395</v>
      </c>
      <c r="G1273" s="245" t="s">
        <v>1469</v>
      </c>
      <c r="H1273" s="245" t="s">
        <v>2392</v>
      </c>
    </row>
    <row r="1274" spans="1:8">
      <c r="A1274" s="245" t="s">
        <v>3484</v>
      </c>
      <c r="B1274" s="245">
        <v>41200007</v>
      </c>
      <c r="C1274" s="245" t="s">
        <v>1591</v>
      </c>
      <c r="D1274" s="245" t="s">
        <v>6608</v>
      </c>
      <c r="E1274" s="245" t="s">
        <v>1405</v>
      </c>
      <c r="F1274" s="245" t="s">
        <v>2395</v>
      </c>
      <c r="G1274" s="245" t="s">
        <v>1469</v>
      </c>
      <c r="H1274" s="245" t="s">
        <v>2392</v>
      </c>
    </row>
    <row r="1275" spans="1:8">
      <c r="A1275" s="245" t="s">
        <v>3525</v>
      </c>
      <c r="B1275" s="245">
        <v>41200196</v>
      </c>
      <c r="C1275" s="245" t="s">
        <v>1476</v>
      </c>
      <c r="D1275" s="245" t="s">
        <v>6988</v>
      </c>
      <c r="E1275" s="245" t="s">
        <v>1395</v>
      </c>
      <c r="F1275" s="245" t="s">
        <v>2391</v>
      </c>
      <c r="G1275" s="245" t="s">
        <v>2392</v>
      </c>
      <c r="H1275" s="245" t="s">
        <v>2392</v>
      </c>
    </row>
    <row r="1276" spans="1:8">
      <c r="A1276" s="245" t="s">
        <v>3503</v>
      </c>
      <c r="B1276" s="245">
        <v>41200195</v>
      </c>
      <c r="C1276" s="245" t="s">
        <v>1476</v>
      </c>
      <c r="D1276" s="245" t="s">
        <v>6989</v>
      </c>
      <c r="E1276" s="245" t="s">
        <v>1395</v>
      </c>
      <c r="F1276" s="245" t="s">
        <v>2391</v>
      </c>
      <c r="G1276" s="245" t="s">
        <v>2392</v>
      </c>
      <c r="H1276" s="245" t="s">
        <v>2392</v>
      </c>
    </row>
    <row r="1277" spans="1:8">
      <c r="A1277" s="245" t="s">
        <v>3502</v>
      </c>
      <c r="B1277" s="245">
        <v>41200195</v>
      </c>
      <c r="C1277" s="245" t="s">
        <v>1476</v>
      </c>
      <c r="D1277" s="245" t="s">
        <v>6989</v>
      </c>
      <c r="E1277" s="245" t="s">
        <v>1395</v>
      </c>
      <c r="F1277" s="245" t="s">
        <v>2391</v>
      </c>
      <c r="G1277" s="245" t="s">
        <v>2392</v>
      </c>
      <c r="H1277" s="245" t="s">
        <v>2392</v>
      </c>
    </row>
    <row r="1278" spans="1:8">
      <c r="A1278" s="245" t="s">
        <v>3523</v>
      </c>
      <c r="B1278" s="245">
        <v>41200191</v>
      </c>
      <c r="C1278" s="245" t="s">
        <v>1476</v>
      </c>
      <c r="D1278" s="245" t="s">
        <v>6990</v>
      </c>
      <c r="E1278" s="245" t="s">
        <v>1395</v>
      </c>
      <c r="F1278" s="245" t="s">
        <v>2391</v>
      </c>
      <c r="G1278" s="245" t="s">
        <v>2392</v>
      </c>
      <c r="H1278" s="245" t="s">
        <v>2392</v>
      </c>
    </row>
    <row r="1279" spans="1:8">
      <c r="A1279" s="245" t="s">
        <v>3520</v>
      </c>
      <c r="B1279" s="245">
        <v>41200191</v>
      </c>
      <c r="C1279" s="245" t="s">
        <v>1476</v>
      </c>
      <c r="D1279" s="245" t="s">
        <v>6990</v>
      </c>
      <c r="E1279" s="245" t="s">
        <v>1395</v>
      </c>
      <c r="F1279" s="245" t="s">
        <v>2391</v>
      </c>
      <c r="G1279" s="245" t="s">
        <v>2392</v>
      </c>
      <c r="H1279" s="245" t="s">
        <v>2392</v>
      </c>
    </row>
    <row r="1280" spans="1:8">
      <c r="A1280" s="245" t="s">
        <v>3483</v>
      </c>
      <c r="B1280" s="245">
        <v>41200039</v>
      </c>
      <c r="C1280" s="245" t="s">
        <v>1476</v>
      </c>
      <c r="D1280" s="245" t="s">
        <v>1426</v>
      </c>
      <c r="E1280" s="245" t="s">
        <v>1426</v>
      </c>
      <c r="F1280" s="245" t="s">
        <v>2391</v>
      </c>
      <c r="G1280" s="245" t="s">
        <v>1468</v>
      </c>
      <c r="H1280" s="245" t="s">
        <v>2392</v>
      </c>
    </row>
    <row r="1281" spans="1:8">
      <c r="A1281" s="245" t="s">
        <v>3472</v>
      </c>
      <c r="B1281" s="245">
        <v>41200039</v>
      </c>
      <c r="C1281" s="245" t="s">
        <v>1476</v>
      </c>
      <c r="D1281" s="245" t="s">
        <v>1426</v>
      </c>
      <c r="E1281" s="245" t="s">
        <v>1426</v>
      </c>
      <c r="F1281" s="245" t="s">
        <v>2391</v>
      </c>
      <c r="G1281" s="245" t="s">
        <v>1468</v>
      </c>
      <c r="H1281" s="245" t="s">
        <v>2392</v>
      </c>
    </row>
    <row r="1282" spans="1:8">
      <c r="A1282" s="245" t="s">
        <v>3475</v>
      </c>
      <c r="B1282" s="245">
        <v>41200033</v>
      </c>
      <c r="C1282" s="245" t="s">
        <v>1476</v>
      </c>
      <c r="D1282" s="245" t="s">
        <v>6611</v>
      </c>
      <c r="E1282" s="245" t="s">
        <v>1426</v>
      </c>
      <c r="F1282" s="245" t="s">
        <v>2395</v>
      </c>
      <c r="G1282" s="245" t="s">
        <v>2392</v>
      </c>
      <c r="H1282" s="245" t="s">
        <v>2392</v>
      </c>
    </row>
    <row r="1283" spans="1:8">
      <c r="A1283" s="245" t="s">
        <v>3474</v>
      </c>
      <c r="B1283" s="245">
        <v>41200033</v>
      </c>
      <c r="C1283" s="245" t="s">
        <v>1476</v>
      </c>
      <c r="D1283" s="245" t="s">
        <v>6611</v>
      </c>
      <c r="E1283" s="245" t="s">
        <v>1426</v>
      </c>
      <c r="F1283" s="245" t="s">
        <v>2395</v>
      </c>
      <c r="G1283" s="245" t="s">
        <v>2392</v>
      </c>
      <c r="H1283" s="245" t="s">
        <v>2392</v>
      </c>
    </row>
    <row r="1284" spans="1:8">
      <c r="A1284" s="245" t="s">
        <v>3545</v>
      </c>
      <c r="B1284" s="245">
        <v>41000600</v>
      </c>
      <c r="C1284" s="245" t="s">
        <v>1479</v>
      </c>
      <c r="D1284" s="245" t="s">
        <v>1405</v>
      </c>
      <c r="E1284" s="245" t="s">
        <v>1405</v>
      </c>
      <c r="F1284" s="245" t="s">
        <v>2391</v>
      </c>
      <c r="G1284" s="245" t="s">
        <v>2392</v>
      </c>
      <c r="H1284" s="245" t="s">
        <v>2392</v>
      </c>
    </row>
    <row r="1285" spans="1:8">
      <c r="A1285" s="245" t="s">
        <v>3544</v>
      </c>
      <c r="B1285" s="245">
        <v>41000600</v>
      </c>
      <c r="C1285" s="245" t="s">
        <v>1479</v>
      </c>
      <c r="D1285" s="245" t="s">
        <v>1405</v>
      </c>
      <c r="E1285" s="245" t="s">
        <v>1405</v>
      </c>
      <c r="F1285" s="245" t="s">
        <v>2391</v>
      </c>
      <c r="G1285" s="245" t="s">
        <v>2392</v>
      </c>
      <c r="H1285" s="245" t="s">
        <v>2392</v>
      </c>
    </row>
    <row r="1286" spans="1:8">
      <c r="A1286" s="245" t="s">
        <v>3478</v>
      </c>
      <c r="B1286" s="245">
        <v>41100695</v>
      </c>
      <c r="C1286" s="245" t="s">
        <v>2184</v>
      </c>
      <c r="D1286" s="245" t="s">
        <v>6991</v>
      </c>
      <c r="E1286" s="245" t="s">
        <v>1433</v>
      </c>
      <c r="F1286" s="245" t="s">
        <v>2392</v>
      </c>
      <c r="G1286" s="245" t="s">
        <v>2392</v>
      </c>
      <c r="H1286" s="245" t="s">
        <v>71</v>
      </c>
    </row>
    <row r="1287" spans="1:8">
      <c r="A1287" s="245" t="s">
        <v>3477</v>
      </c>
      <c r="B1287" s="245">
        <v>41100695</v>
      </c>
      <c r="C1287" s="245" t="s">
        <v>2184</v>
      </c>
      <c r="D1287" s="245" t="s">
        <v>6991</v>
      </c>
      <c r="E1287" s="245" t="s">
        <v>1433</v>
      </c>
      <c r="F1287" s="245" t="s">
        <v>2392</v>
      </c>
      <c r="G1287" s="245" t="s">
        <v>2392</v>
      </c>
      <c r="H1287" s="245" t="s">
        <v>71</v>
      </c>
    </row>
    <row r="1288" spans="1:8">
      <c r="A1288" s="245" t="s">
        <v>3476</v>
      </c>
      <c r="B1288" s="245">
        <v>41200069</v>
      </c>
      <c r="C1288" s="245" t="s">
        <v>3884</v>
      </c>
      <c r="D1288" s="245" t="s">
        <v>1433</v>
      </c>
      <c r="E1288" s="245" t="s">
        <v>1433</v>
      </c>
      <c r="F1288" s="245" t="s">
        <v>2391</v>
      </c>
      <c r="G1288" s="245" t="s">
        <v>1468</v>
      </c>
      <c r="H1288" s="245" t="s">
        <v>2392</v>
      </c>
    </row>
    <row r="1289" spans="1:8">
      <c r="A1289" s="245" t="s">
        <v>3447</v>
      </c>
      <c r="B1289" s="245">
        <v>41200122</v>
      </c>
      <c r="C1289" s="245" t="s">
        <v>1476</v>
      </c>
      <c r="D1289" s="245" t="s">
        <v>1476</v>
      </c>
      <c r="E1289" s="245" t="s">
        <v>1585</v>
      </c>
      <c r="F1289" s="245" t="s">
        <v>2395</v>
      </c>
      <c r="G1289" s="245" t="s">
        <v>2392</v>
      </c>
      <c r="H1289" s="245" t="s">
        <v>2392</v>
      </c>
    </row>
    <row r="1290" spans="1:8">
      <c r="A1290" s="245" t="s">
        <v>3495</v>
      </c>
      <c r="B1290" s="245">
        <v>41200158</v>
      </c>
      <c r="C1290" s="245" t="s">
        <v>1480</v>
      </c>
      <c r="D1290" s="245" t="s">
        <v>1480</v>
      </c>
      <c r="E1290" s="245" t="s">
        <v>1405</v>
      </c>
      <c r="F1290" s="245" t="s">
        <v>2395</v>
      </c>
      <c r="G1290" s="245" t="s">
        <v>1468</v>
      </c>
      <c r="H1290" s="245" t="s">
        <v>2392</v>
      </c>
    </row>
    <row r="1291" spans="1:8">
      <c r="A1291" s="245" t="s">
        <v>3465</v>
      </c>
      <c r="B1291" s="245">
        <v>41200158</v>
      </c>
      <c r="C1291" s="245" t="s">
        <v>1480</v>
      </c>
      <c r="D1291" s="245" t="s">
        <v>1480</v>
      </c>
      <c r="E1291" s="245" t="s">
        <v>1405</v>
      </c>
      <c r="F1291" s="245" t="s">
        <v>2395</v>
      </c>
      <c r="G1291" s="245" t="s">
        <v>1468</v>
      </c>
      <c r="H1291" s="245" t="s">
        <v>2392</v>
      </c>
    </row>
    <row r="1292" spans="1:8">
      <c r="A1292" s="245" t="s">
        <v>3456</v>
      </c>
      <c r="B1292" s="245">
        <v>41200158</v>
      </c>
      <c r="C1292" s="245" t="s">
        <v>1480</v>
      </c>
      <c r="D1292" s="245" t="s">
        <v>1480</v>
      </c>
      <c r="E1292" s="245" t="s">
        <v>1405</v>
      </c>
      <c r="F1292" s="245" t="s">
        <v>2395</v>
      </c>
      <c r="G1292" s="245" t="s">
        <v>1468</v>
      </c>
      <c r="H1292" s="245" t="s">
        <v>2392</v>
      </c>
    </row>
    <row r="1293" spans="1:8">
      <c r="A1293" s="245" t="s">
        <v>3455</v>
      </c>
      <c r="B1293" s="245">
        <v>41200122</v>
      </c>
      <c r="C1293" s="245" t="s">
        <v>1476</v>
      </c>
      <c r="D1293" s="245" t="s">
        <v>1476</v>
      </c>
      <c r="E1293" s="245" t="s">
        <v>1585</v>
      </c>
      <c r="F1293" s="245" t="s">
        <v>2395</v>
      </c>
      <c r="G1293" s="245" t="s">
        <v>2392</v>
      </c>
      <c r="H1293" s="245" t="s">
        <v>2392</v>
      </c>
    </row>
    <row r="1294" spans="1:8">
      <c r="A1294" s="245" t="s">
        <v>3473</v>
      </c>
      <c r="B1294" s="245">
        <v>41100286</v>
      </c>
      <c r="C1294" s="245" t="s">
        <v>1476</v>
      </c>
      <c r="D1294" s="245" t="s">
        <v>6610</v>
      </c>
      <c r="E1294" s="245" t="s">
        <v>1424</v>
      </c>
      <c r="F1294" s="245" t="s">
        <v>2395</v>
      </c>
      <c r="G1294" s="245" t="s">
        <v>1469</v>
      </c>
      <c r="H1294" s="245" t="s">
        <v>2392</v>
      </c>
    </row>
    <row r="1295" spans="1:8">
      <c r="A1295" s="245" t="s">
        <v>3454</v>
      </c>
      <c r="B1295" s="245">
        <v>41200076</v>
      </c>
      <c r="C1295" s="245" t="s">
        <v>1476</v>
      </c>
      <c r="D1295" s="245" t="s">
        <v>1476</v>
      </c>
      <c r="E1295" s="245" t="s">
        <v>1585</v>
      </c>
      <c r="F1295" s="245" t="s">
        <v>2395</v>
      </c>
      <c r="G1295" s="245" t="s">
        <v>1468</v>
      </c>
      <c r="H1295" s="245" t="s">
        <v>2392</v>
      </c>
    </row>
    <row r="1296" spans="1:8">
      <c r="A1296" s="245" t="s">
        <v>3453</v>
      </c>
      <c r="B1296" s="245">
        <v>41200076</v>
      </c>
      <c r="C1296" s="245" t="s">
        <v>1476</v>
      </c>
      <c r="D1296" s="245" t="s">
        <v>1476</v>
      </c>
      <c r="E1296" s="245" t="s">
        <v>1585</v>
      </c>
      <c r="F1296" s="245" t="s">
        <v>2395</v>
      </c>
      <c r="G1296" s="245" t="s">
        <v>1468</v>
      </c>
      <c r="H1296" s="245" t="s">
        <v>2392</v>
      </c>
    </row>
    <row r="1297" spans="1:8">
      <c r="A1297" s="245" t="s">
        <v>3448</v>
      </c>
      <c r="B1297" s="245">
        <v>41200076</v>
      </c>
      <c r="C1297" s="245" t="s">
        <v>1476</v>
      </c>
      <c r="D1297" s="245" t="s">
        <v>1476</v>
      </c>
      <c r="E1297" s="245" t="s">
        <v>1585</v>
      </c>
      <c r="F1297" s="245" t="s">
        <v>2395</v>
      </c>
      <c r="G1297" s="245" t="s">
        <v>1468</v>
      </c>
      <c r="H1297" s="245" t="s">
        <v>2392</v>
      </c>
    </row>
    <row r="1298" spans="1:8">
      <c r="A1298" s="245" t="s">
        <v>3421</v>
      </c>
      <c r="B1298" s="245">
        <v>41200076</v>
      </c>
      <c r="C1298" s="245" t="s">
        <v>1476</v>
      </c>
      <c r="D1298" s="245" t="s">
        <v>1476</v>
      </c>
      <c r="E1298" s="245" t="s">
        <v>1585</v>
      </c>
      <c r="F1298" s="245" t="s">
        <v>2391</v>
      </c>
      <c r="G1298" s="245" t="s">
        <v>2392</v>
      </c>
      <c r="H1298" s="245" t="s">
        <v>2392</v>
      </c>
    </row>
    <row r="1299" spans="1:8">
      <c r="A1299" s="245" t="s">
        <v>2909</v>
      </c>
      <c r="B1299" s="245">
        <v>41200037</v>
      </c>
      <c r="C1299" s="245" t="s">
        <v>1476</v>
      </c>
      <c r="D1299" s="245" t="s">
        <v>1426</v>
      </c>
      <c r="E1299" s="245" t="s">
        <v>1426</v>
      </c>
      <c r="F1299" s="245" t="s">
        <v>2391</v>
      </c>
      <c r="G1299" s="245" t="s">
        <v>2392</v>
      </c>
      <c r="H1299" s="245" t="s">
        <v>71</v>
      </c>
    </row>
    <row r="1300" spans="1:8">
      <c r="A1300" s="245" t="s">
        <v>3426</v>
      </c>
      <c r="B1300" s="245">
        <v>41200201</v>
      </c>
      <c r="C1300" s="245" t="s">
        <v>1479</v>
      </c>
      <c r="D1300" s="245" t="s">
        <v>6992</v>
      </c>
      <c r="E1300" s="245" t="s">
        <v>1404</v>
      </c>
      <c r="F1300" s="245" t="s">
        <v>2391</v>
      </c>
      <c r="G1300" s="245" t="s">
        <v>1468</v>
      </c>
      <c r="H1300" s="245" t="s">
        <v>2392</v>
      </c>
    </row>
    <row r="1301" spans="1:8">
      <c r="A1301" s="245" t="s">
        <v>3423</v>
      </c>
      <c r="B1301" s="245">
        <v>41200201</v>
      </c>
      <c r="C1301" s="245" t="s">
        <v>1479</v>
      </c>
      <c r="D1301" s="245" t="s">
        <v>6992</v>
      </c>
      <c r="E1301" s="245" t="s">
        <v>1404</v>
      </c>
      <c r="F1301" s="245" t="s">
        <v>2391</v>
      </c>
      <c r="G1301" s="245" t="s">
        <v>1468</v>
      </c>
      <c r="H1301" s="245" t="s">
        <v>2392</v>
      </c>
    </row>
    <row r="1302" spans="1:8">
      <c r="A1302" s="245" t="s">
        <v>3468</v>
      </c>
      <c r="B1302" s="245">
        <v>41200198</v>
      </c>
      <c r="C1302" s="245" t="s">
        <v>1476</v>
      </c>
      <c r="D1302" s="245" t="s">
        <v>6993</v>
      </c>
      <c r="E1302" s="245" t="s">
        <v>1395</v>
      </c>
      <c r="F1302" s="245" t="s">
        <v>2391</v>
      </c>
      <c r="G1302" s="245" t="s">
        <v>2392</v>
      </c>
      <c r="H1302" s="245" t="s">
        <v>2392</v>
      </c>
    </row>
    <row r="1303" spans="1:8">
      <c r="A1303" s="245" t="s">
        <v>3536</v>
      </c>
      <c r="B1303" s="245">
        <v>41200193</v>
      </c>
      <c r="C1303" s="245" t="s">
        <v>1476</v>
      </c>
      <c r="D1303" s="245" t="s">
        <v>6994</v>
      </c>
      <c r="E1303" s="245" t="s">
        <v>1395</v>
      </c>
      <c r="F1303" s="245" t="s">
        <v>2391</v>
      </c>
      <c r="G1303" s="245" t="s">
        <v>2392</v>
      </c>
      <c r="H1303" s="245" t="s">
        <v>2392</v>
      </c>
    </row>
    <row r="1304" spans="1:8">
      <c r="A1304" s="245" t="s">
        <v>3511</v>
      </c>
      <c r="B1304" s="245">
        <v>41200193</v>
      </c>
      <c r="C1304" s="245" t="s">
        <v>1476</v>
      </c>
      <c r="D1304" s="245" t="s">
        <v>6994</v>
      </c>
      <c r="E1304" s="245" t="s">
        <v>1395</v>
      </c>
      <c r="F1304" s="245" t="s">
        <v>2391</v>
      </c>
      <c r="G1304" s="245" t="s">
        <v>2392</v>
      </c>
      <c r="H1304" s="245" t="s">
        <v>2392</v>
      </c>
    </row>
    <row r="1305" spans="1:8">
      <c r="A1305" s="245" t="s">
        <v>3444</v>
      </c>
      <c r="B1305" s="245">
        <v>41200193</v>
      </c>
      <c r="C1305" s="245" t="s">
        <v>1476</v>
      </c>
      <c r="D1305" s="245" t="s">
        <v>6994</v>
      </c>
      <c r="E1305" s="245" t="s">
        <v>1395</v>
      </c>
      <c r="F1305" s="245" t="s">
        <v>2391</v>
      </c>
      <c r="G1305" s="245" t="s">
        <v>2392</v>
      </c>
      <c r="H1305" s="245" t="s">
        <v>2392</v>
      </c>
    </row>
    <row r="1306" spans="1:8">
      <c r="A1306" s="245" t="s">
        <v>3443</v>
      </c>
      <c r="B1306" s="245">
        <v>41200193</v>
      </c>
      <c r="C1306" s="245" t="s">
        <v>1476</v>
      </c>
      <c r="D1306" s="245" t="s">
        <v>6994</v>
      </c>
      <c r="E1306" s="245" t="s">
        <v>1395</v>
      </c>
      <c r="F1306" s="245" t="s">
        <v>2391</v>
      </c>
      <c r="G1306" s="245" t="s">
        <v>2392</v>
      </c>
      <c r="H1306" s="245" t="s">
        <v>2392</v>
      </c>
    </row>
    <row r="1307" spans="1:8">
      <c r="A1307" s="245" t="s">
        <v>3427</v>
      </c>
      <c r="B1307" s="245">
        <v>41200198</v>
      </c>
      <c r="C1307" s="245" t="s">
        <v>1476</v>
      </c>
      <c r="D1307" s="245" t="s">
        <v>6993</v>
      </c>
      <c r="E1307" s="245" t="s">
        <v>1395</v>
      </c>
      <c r="F1307" s="245" t="s">
        <v>2391</v>
      </c>
      <c r="G1307" s="245" t="s">
        <v>2392</v>
      </c>
      <c r="H1307" s="245" t="s">
        <v>2392</v>
      </c>
    </row>
    <row r="1308" spans="1:8">
      <c r="A1308" s="245" t="s">
        <v>3546</v>
      </c>
      <c r="B1308" s="245">
        <v>41200193</v>
      </c>
      <c r="C1308" s="245" t="s">
        <v>1476</v>
      </c>
      <c r="D1308" s="245" t="s">
        <v>6994</v>
      </c>
      <c r="E1308" s="245" t="s">
        <v>1395</v>
      </c>
      <c r="F1308" s="245" t="s">
        <v>2391</v>
      </c>
      <c r="G1308" s="245" t="s">
        <v>2392</v>
      </c>
      <c r="H1308" s="245" t="s">
        <v>2392</v>
      </c>
    </row>
    <row r="1309" spans="1:8">
      <c r="A1309" s="245" t="s">
        <v>3432</v>
      </c>
      <c r="B1309" s="245">
        <v>41200193</v>
      </c>
      <c r="C1309" s="245" t="s">
        <v>1476</v>
      </c>
      <c r="D1309" s="245" t="s">
        <v>6994</v>
      </c>
      <c r="E1309" s="245" t="s">
        <v>1395</v>
      </c>
      <c r="F1309" s="245" t="s">
        <v>2391</v>
      </c>
      <c r="G1309" s="245" t="s">
        <v>2392</v>
      </c>
      <c r="H1309" s="245" t="s">
        <v>2392</v>
      </c>
    </row>
    <row r="1310" spans="1:8">
      <c r="A1310" s="245" t="s">
        <v>5433</v>
      </c>
      <c r="B1310" s="245">
        <v>41100538</v>
      </c>
      <c r="C1310" s="245" t="s">
        <v>1476</v>
      </c>
      <c r="D1310" s="245" t="s">
        <v>6610</v>
      </c>
      <c r="E1310" s="245" t="s">
        <v>1424</v>
      </c>
      <c r="F1310" s="245" t="s">
        <v>2391</v>
      </c>
      <c r="G1310" s="245" t="s">
        <v>2392</v>
      </c>
      <c r="H1310" s="245" t="s">
        <v>2392</v>
      </c>
    </row>
    <row r="1311" spans="1:8">
      <c r="A1311" s="245" t="s">
        <v>5426</v>
      </c>
      <c r="B1311" s="245">
        <v>41000558</v>
      </c>
      <c r="C1311" s="245" t="s">
        <v>6607</v>
      </c>
      <c r="D1311" s="245" t="s">
        <v>6607</v>
      </c>
      <c r="E1311" s="245" t="s">
        <v>1405</v>
      </c>
      <c r="F1311" s="245" t="s">
        <v>5127</v>
      </c>
      <c r="G1311" s="245" t="s">
        <v>2392</v>
      </c>
      <c r="H1311" s="245" t="s">
        <v>71</v>
      </c>
    </row>
    <row r="1312" spans="1:8">
      <c r="A1312" s="245" t="s">
        <v>3452</v>
      </c>
      <c r="B1312" s="245">
        <v>41200158</v>
      </c>
      <c r="C1312" s="245" t="s">
        <v>1480</v>
      </c>
      <c r="D1312" s="245" t="s">
        <v>1480</v>
      </c>
      <c r="E1312" s="245" t="s">
        <v>1405</v>
      </c>
      <c r="F1312" s="245" t="s">
        <v>2395</v>
      </c>
      <c r="G1312" s="245" t="s">
        <v>1469</v>
      </c>
      <c r="H1312" s="245" t="s">
        <v>2392</v>
      </c>
    </row>
    <row r="1313" spans="1:8">
      <c r="A1313" s="245" t="s">
        <v>3449</v>
      </c>
      <c r="B1313" s="245">
        <v>41200158</v>
      </c>
      <c r="C1313" s="245" t="s">
        <v>1480</v>
      </c>
      <c r="D1313" s="245" t="s">
        <v>1480</v>
      </c>
      <c r="E1313" s="245" t="s">
        <v>1405</v>
      </c>
      <c r="F1313" s="245" t="s">
        <v>2395</v>
      </c>
      <c r="G1313" s="245" t="s">
        <v>1469</v>
      </c>
      <c r="H1313" s="245" t="s">
        <v>2392</v>
      </c>
    </row>
    <row r="1314" spans="1:8">
      <c r="A1314" s="245" t="s">
        <v>3433</v>
      </c>
      <c r="B1314" s="245">
        <v>41200035</v>
      </c>
      <c r="C1314" s="245" t="s">
        <v>1476</v>
      </c>
      <c r="D1314" s="245" t="s">
        <v>1426</v>
      </c>
      <c r="E1314" s="245" t="s">
        <v>1426</v>
      </c>
      <c r="F1314" s="245" t="s">
        <v>2391</v>
      </c>
      <c r="G1314" s="245" t="s">
        <v>1468</v>
      </c>
      <c r="H1314" s="245" t="s">
        <v>2392</v>
      </c>
    </row>
    <row r="1315" spans="1:8">
      <c r="A1315" s="245" t="s">
        <v>3441</v>
      </c>
      <c r="B1315" s="245">
        <v>41100665</v>
      </c>
      <c r="C1315" s="245" t="s">
        <v>3180</v>
      </c>
      <c r="D1315" s="245" t="s">
        <v>3180</v>
      </c>
      <c r="E1315" s="245" t="s">
        <v>1416</v>
      </c>
      <c r="F1315" s="245" t="s">
        <v>2395</v>
      </c>
      <c r="G1315" s="245" t="s">
        <v>2392</v>
      </c>
      <c r="H1315" s="245" t="s">
        <v>71</v>
      </c>
    </row>
    <row r="1316" spans="1:8">
      <c r="A1316" s="245" t="s">
        <v>3440</v>
      </c>
      <c r="B1316" s="245">
        <v>41100665</v>
      </c>
      <c r="C1316" s="245" t="s">
        <v>3180</v>
      </c>
      <c r="D1316" s="245" t="s">
        <v>3180</v>
      </c>
      <c r="E1316" s="245" t="s">
        <v>1416</v>
      </c>
      <c r="F1316" s="245" t="s">
        <v>2395</v>
      </c>
      <c r="G1316" s="245" t="s">
        <v>2392</v>
      </c>
      <c r="H1316" s="245" t="s">
        <v>71</v>
      </c>
    </row>
    <row r="1317" spans="1:8">
      <c r="A1317" s="245" t="s">
        <v>3439</v>
      </c>
      <c r="B1317" s="245">
        <v>41100665</v>
      </c>
      <c r="C1317" s="245" t="s">
        <v>3180</v>
      </c>
      <c r="D1317" s="245" t="s">
        <v>3180</v>
      </c>
      <c r="E1317" s="245" t="s">
        <v>1416</v>
      </c>
      <c r="F1317" s="245" t="s">
        <v>2395</v>
      </c>
      <c r="G1317" s="245" t="s">
        <v>2392</v>
      </c>
      <c r="H1317" s="245" t="s">
        <v>71</v>
      </c>
    </row>
    <row r="1318" spans="1:8">
      <c r="A1318" s="245" t="s">
        <v>3437</v>
      </c>
      <c r="B1318" s="245">
        <v>41100665</v>
      </c>
      <c r="C1318" s="245" t="s">
        <v>3180</v>
      </c>
      <c r="D1318" s="245" t="s">
        <v>3180</v>
      </c>
      <c r="E1318" s="245" t="s">
        <v>1416</v>
      </c>
      <c r="F1318" s="245" t="s">
        <v>2395</v>
      </c>
      <c r="G1318" s="245" t="s">
        <v>1469</v>
      </c>
      <c r="H1318" s="245" t="s">
        <v>71</v>
      </c>
    </row>
    <row r="1319" spans="1:8">
      <c r="A1319" s="245" t="s">
        <v>3436</v>
      </c>
      <c r="B1319" s="245">
        <v>41100665</v>
      </c>
      <c r="C1319" s="245" t="s">
        <v>3180</v>
      </c>
      <c r="D1319" s="245" t="s">
        <v>3180</v>
      </c>
      <c r="E1319" s="245" t="s">
        <v>1416</v>
      </c>
      <c r="F1319" s="245" t="s">
        <v>2395</v>
      </c>
      <c r="G1319" s="245" t="s">
        <v>1469</v>
      </c>
      <c r="H1319" s="245" t="s">
        <v>71</v>
      </c>
    </row>
    <row r="1320" spans="1:8">
      <c r="A1320" s="245" t="s">
        <v>3435</v>
      </c>
      <c r="B1320" s="245">
        <v>41100665</v>
      </c>
      <c r="C1320" s="245" t="s">
        <v>3180</v>
      </c>
      <c r="D1320" s="245" t="s">
        <v>3180</v>
      </c>
      <c r="E1320" s="245" t="s">
        <v>1416</v>
      </c>
      <c r="F1320" s="245" t="s">
        <v>2395</v>
      </c>
      <c r="G1320" s="245" t="s">
        <v>1469</v>
      </c>
      <c r="H1320" s="245" t="s">
        <v>71</v>
      </c>
    </row>
    <row r="1321" spans="1:8">
      <c r="A1321" s="245" t="s">
        <v>3414</v>
      </c>
      <c r="B1321" s="245">
        <v>41200092</v>
      </c>
      <c r="C1321" s="245" t="s">
        <v>1476</v>
      </c>
      <c r="D1321" s="245" t="s">
        <v>1424</v>
      </c>
      <c r="E1321" s="245" t="s">
        <v>1424</v>
      </c>
      <c r="F1321" s="245" t="s">
        <v>2391</v>
      </c>
      <c r="G1321" s="245" t="s">
        <v>1468</v>
      </c>
      <c r="H1321" s="245" t="s">
        <v>2392</v>
      </c>
    </row>
    <row r="1322" spans="1:8">
      <c r="A1322" s="245" t="s">
        <v>3418</v>
      </c>
      <c r="B1322" s="245">
        <v>41200158</v>
      </c>
      <c r="C1322" s="245" t="s">
        <v>1480</v>
      </c>
      <c r="D1322" s="245" t="s">
        <v>1480</v>
      </c>
      <c r="E1322" s="245" t="s">
        <v>1405</v>
      </c>
      <c r="F1322" s="245" t="s">
        <v>2395</v>
      </c>
      <c r="G1322" s="245" t="s">
        <v>1469</v>
      </c>
      <c r="H1322" s="245" t="s">
        <v>2392</v>
      </c>
    </row>
    <row r="1323" spans="1:8">
      <c r="A1323" s="245" t="s">
        <v>3417</v>
      </c>
      <c r="B1323" s="245">
        <v>41200158</v>
      </c>
      <c r="C1323" s="245" t="s">
        <v>1480</v>
      </c>
      <c r="D1323" s="245" t="s">
        <v>1480</v>
      </c>
      <c r="E1323" s="245" t="s">
        <v>1405</v>
      </c>
      <c r="F1323" s="245" t="s">
        <v>2395</v>
      </c>
      <c r="G1323" s="245" t="s">
        <v>1469</v>
      </c>
      <c r="H1323" s="245" t="s">
        <v>2392</v>
      </c>
    </row>
    <row r="1324" spans="1:8">
      <c r="A1324" s="245" t="s">
        <v>3408</v>
      </c>
      <c r="B1324" s="245">
        <v>41200133</v>
      </c>
      <c r="C1324" s="245" t="s">
        <v>1476</v>
      </c>
      <c r="D1324" s="245" t="s">
        <v>6605</v>
      </c>
      <c r="E1324" s="245" t="s">
        <v>1429</v>
      </c>
      <c r="F1324" s="245" t="s">
        <v>2391</v>
      </c>
      <c r="G1324" s="245" t="s">
        <v>1468</v>
      </c>
      <c r="H1324" s="245" t="s">
        <v>2392</v>
      </c>
    </row>
    <row r="1325" spans="1:8">
      <c r="A1325" s="245" t="s">
        <v>3410</v>
      </c>
      <c r="B1325" s="245">
        <v>41000598</v>
      </c>
      <c r="C1325" s="245" t="s">
        <v>1480</v>
      </c>
      <c r="D1325" s="245" t="s">
        <v>1480</v>
      </c>
      <c r="E1325" s="245" t="s">
        <v>1405</v>
      </c>
      <c r="F1325" s="245" t="s">
        <v>2391</v>
      </c>
      <c r="G1325" s="245" t="s">
        <v>2392</v>
      </c>
      <c r="H1325" s="245" t="s">
        <v>2392</v>
      </c>
    </row>
    <row r="1326" spans="1:8">
      <c r="A1326" s="245" t="s">
        <v>3409</v>
      </c>
      <c r="B1326" s="245">
        <v>41000598</v>
      </c>
      <c r="C1326" s="245" t="s">
        <v>1480</v>
      </c>
      <c r="D1326" s="245" t="s">
        <v>1480</v>
      </c>
      <c r="E1326" s="245" t="s">
        <v>1405</v>
      </c>
      <c r="F1326" s="245" t="s">
        <v>2391</v>
      </c>
      <c r="G1326" s="245" t="s">
        <v>2392</v>
      </c>
      <c r="H1326" s="245" t="s">
        <v>2392</v>
      </c>
    </row>
    <row r="1327" spans="1:8">
      <c r="A1327" s="245" t="s">
        <v>6995</v>
      </c>
      <c r="B1327" s="245" t="s">
        <v>6592</v>
      </c>
      <c r="C1327" s="245" t="s">
        <v>6593</v>
      </c>
      <c r="D1327" s="245" t="s">
        <v>71</v>
      </c>
      <c r="E1327" s="245" t="s">
        <v>1405</v>
      </c>
      <c r="F1327" s="245" t="s">
        <v>2392</v>
      </c>
      <c r="G1327" s="245" t="s">
        <v>2392</v>
      </c>
      <c r="H1327" s="245" t="s">
        <v>2392</v>
      </c>
    </row>
    <row r="1328" spans="1:8">
      <c r="A1328" s="245" t="s">
        <v>6996</v>
      </c>
      <c r="B1328" s="245" t="s">
        <v>6632</v>
      </c>
      <c r="C1328" s="245" t="s">
        <v>71</v>
      </c>
      <c r="D1328" s="245" t="s">
        <v>71</v>
      </c>
      <c r="E1328" s="245" t="s">
        <v>1405</v>
      </c>
      <c r="F1328" s="245" t="s">
        <v>2392</v>
      </c>
      <c r="G1328" s="245" t="s">
        <v>2392</v>
      </c>
      <c r="H1328" s="245" t="s">
        <v>2392</v>
      </c>
    </row>
    <row r="1329" spans="1:8">
      <c r="A1329" s="245" t="s">
        <v>6997</v>
      </c>
      <c r="B1329" s="245" t="s">
        <v>6632</v>
      </c>
      <c r="C1329" s="245" t="s">
        <v>71</v>
      </c>
      <c r="D1329" s="245" t="s">
        <v>71</v>
      </c>
      <c r="E1329" s="245" t="s">
        <v>1405</v>
      </c>
      <c r="F1329" s="245" t="s">
        <v>2392</v>
      </c>
      <c r="G1329" s="245" t="s">
        <v>2392</v>
      </c>
      <c r="H1329" s="245" t="s">
        <v>2392</v>
      </c>
    </row>
    <row r="1330" spans="1:8">
      <c r="A1330" s="245" t="s">
        <v>3388</v>
      </c>
      <c r="B1330" s="245">
        <v>41200149</v>
      </c>
      <c r="C1330" s="245" t="s">
        <v>1476</v>
      </c>
      <c r="D1330" s="245" t="s">
        <v>1426</v>
      </c>
      <c r="E1330" s="245" t="s">
        <v>1426</v>
      </c>
      <c r="F1330" s="245" t="s">
        <v>2391</v>
      </c>
      <c r="G1330" s="245" t="s">
        <v>2392</v>
      </c>
      <c r="H1330" s="245" t="s">
        <v>2392</v>
      </c>
    </row>
    <row r="1331" spans="1:8">
      <c r="A1331" s="245" t="s">
        <v>3402</v>
      </c>
      <c r="B1331" s="245">
        <v>41100064</v>
      </c>
      <c r="C1331" s="245" t="s">
        <v>6998</v>
      </c>
      <c r="D1331" s="245" t="s">
        <v>6999</v>
      </c>
      <c r="E1331" s="245" t="s">
        <v>1433</v>
      </c>
      <c r="F1331" s="245" t="s">
        <v>2391</v>
      </c>
      <c r="G1331" s="245" t="s">
        <v>2392</v>
      </c>
      <c r="H1331" s="245" t="s">
        <v>2392</v>
      </c>
    </row>
    <row r="1332" spans="1:8">
      <c r="A1332" s="245" t="s">
        <v>3401</v>
      </c>
      <c r="B1332" s="245">
        <v>41200127</v>
      </c>
      <c r="C1332" s="245" t="s">
        <v>1591</v>
      </c>
      <c r="D1332" s="245" t="s">
        <v>6606</v>
      </c>
      <c r="E1332" s="245" t="s">
        <v>1431</v>
      </c>
      <c r="F1332" s="245" t="s">
        <v>2391</v>
      </c>
      <c r="G1332" s="245" t="s">
        <v>2392</v>
      </c>
      <c r="H1332" s="245" t="s">
        <v>2392</v>
      </c>
    </row>
    <row r="1333" spans="1:8">
      <c r="A1333" s="245" t="s">
        <v>3412</v>
      </c>
      <c r="B1333" s="245">
        <v>41200129</v>
      </c>
      <c r="C1333" s="245" t="s">
        <v>1591</v>
      </c>
      <c r="D1333" s="245" t="s">
        <v>6606</v>
      </c>
      <c r="E1333" s="245" t="s">
        <v>1431</v>
      </c>
      <c r="F1333" s="245" t="s">
        <v>2391</v>
      </c>
      <c r="G1333" s="245" t="s">
        <v>1468</v>
      </c>
      <c r="H1333" s="245" t="s">
        <v>2392</v>
      </c>
    </row>
    <row r="1334" spans="1:8">
      <c r="A1334" s="245" t="s">
        <v>3381</v>
      </c>
      <c r="B1334" s="245">
        <v>41200042</v>
      </c>
      <c r="C1334" s="245" t="s">
        <v>1476</v>
      </c>
      <c r="D1334" s="245" t="s">
        <v>1426</v>
      </c>
      <c r="E1334" s="245" t="s">
        <v>1426</v>
      </c>
      <c r="F1334" s="245" t="s">
        <v>2391</v>
      </c>
      <c r="G1334" s="245" t="s">
        <v>1468</v>
      </c>
      <c r="H1334" s="245" t="s">
        <v>2392</v>
      </c>
    </row>
    <row r="1335" spans="1:8">
      <c r="A1335" s="245" t="s">
        <v>3413</v>
      </c>
      <c r="B1335" s="245">
        <v>41200061</v>
      </c>
      <c r="C1335" s="245" t="s">
        <v>1480</v>
      </c>
      <c r="D1335" s="245" t="s">
        <v>6636</v>
      </c>
      <c r="E1335" s="245" t="s">
        <v>1405</v>
      </c>
      <c r="F1335" s="245" t="s">
        <v>2395</v>
      </c>
      <c r="G1335" s="245" t="s">
        <v>1469</v>
      </c>
      <c r="H1335" s="245" t="s">
        <v>2392</v>
      </c>
    </row>
    <row r="1336" spans="1:8">
      <c r="A1336" s="245" t="s">
        <v>3399</v>
      </c>
      <c r="B1336" s="245">
        <v>41200076</v>
      </c>
      <c r="C1336" s="245" t="s">
        <v>1476</v>
      </c>
      <c r="D1336" s="245" t="s">
        <v>1476</v>
      </c>
      <c r="E1336" s="245" t="s">
        <v>1585</v>
      </c>
      <c r="F1336" s="245" t="s">
        <v>2391</v>
      </c>
      <c r="G1336" s="245" t="s">
        <v>1468</v>
      </c>
      <c r="H1336" s="245" t="s">
        <v>2392</v>
      </c>
    </row>
    <row r="1337" spans="1:8">
      <c r="A1337" s="245" t="s">
        <v>3403</v>
      </c>
      <c r="B1337" s="245">
        <v>41100317</v>
      </c>
      <c r="C1337" s="245" t="s">
        <v>1476</v>
      </c>
      <c r="D1337" s="245" t="s">
        <v>1476</v>
      </c>
      <c r="E1337" s="245" t="s">
        <v>1585</v>
      </c>
      <c r="F1337" s="245" t="s">
        <v>2391</v>
      </c>
      <c r="G1337" s="245" t="s">
        <v>1468</v>
      </c>
      <c r="H1337" s="245" t="s">
        <v>2392</v>
      </c>
    </row>
    <row r="1338" spans="1:8">
      <c r="A1338" s="245" t="s">
        <v>3398</v>
      </c>
      <c r="B1338" s="245">
        <v>41000584</v>
      </c>
      <c r="C1338" s="245" t="s">
        <v>1911</v>
      </c>
      <c r="D1338" s="245" t="s">
        <v>6658</v>
      </c>
      <c r="E1338" s="245" t="s">
        <v>1405</v>
      </c>
      <c r="F1338" s="245" t="s">
        <v>2392</v>
      </c>
      <c r="G1338" s="245" t="s">
        <v>2392</v>
      </c>
      <c r="H1338" s="245" t="s">
        <v>71</v>
      </c>
    </row>
    <row r="1339" spans="1:8">
      <c r="A1339" s="245" t="s">
        <v>3395</v>
      </c>
      <c r="B1339" s="245">
        <v>41000598</v>
      </c>
      <c r="C1339" s="245" t="s">
        <v>1480</v>
      </c>
      <c r="D1339" s="245" t="s">
        <v>1480</v>
      </c>
      <c r="E1339" s="245" t="s">
        <v>1405</v>
      </c>
      <c r="F1339" s="245" t="s">
        <v>2395</v>
      </c>
      <c r="G1339" s="245" t="s">
        <v>1469</v>
      </c>
      <c r="H1339" s="245" t="s">
        <v>2392</v>
      </c>
    </row>
    <row r="1340" spans="1:8">
      <c r="A1340" s="245" t="s">
        <v>3394</v>
      </c>
      <c r="B1340" s="245">
        <v>41100435</v>
      </c>
      <c r="C1340" s="245" t="s">
        <v>3801</v>
      </c>
      <c r="D1340" s="245" t="s">
        <v>1482</v>
      </c>
      <c r="E1340" s="245" t="s">
        <v>1585</v>
      </c>
      <c r="F1340" s="245" t="s">
        <v>2391</v>
      </c>
      <c r="G1340" s="245" t="s">
        <v>2392</v>
      </c>
      <c r="H1340" s="245" t="s">
        <v>71</v>
      </c>
    </row>
    <row r="1341" spans="1:8">
      <c r="A1341" s="245" t="s">
        <v>3420</v>
      </c>
      <c r="B1341" s="245">
        <v>41200158</v>
      </c>
      <c r="C1341" s="245" t="s">
        <v>1480</v>
      </c>
      <c r="D1341" s="245" t="s">
        <v>1480</v>
      </c>
      <c r="E1341" s="245" t="s">
        <v>1405</v>
      </c>
      <c r="F1341" s="245" t="s">
        <v>2391</v>
      </c>
      <c r="G1341" s="245" t="s">
        <v>2392</v>
      </c>
      <c r="H1341" s="245" t="s">
        <v>2392</v>
      </c>
    </row>
    <row r="1342" spans="1:8">
      <c r="A1342" s="245" t="s">
        <v>3419</v>
      </c>
      <c r="B1342" s="245">
        <v>41200158</v>
      </c>
      <c r="C1342" s="245" t="s">
        <v>1480</v>
      </c>
      <c r="D1342" s="245" t="s">
        <v>1480</v>
      </c>
      <c r="E1342" s="245" t="s">
        <v>1405</v>
      </c>
      <c r="F1342" s="245" t="s">
        <v>2391</v>
      </c>
      <c r="G1342" s="245" t="s">
        <v>2392</v>
      </c>
      <c r="H1342" s="245" t="s">
        <v>2392</v>
      </c>
    </row>
    <row r="1343" spans="1:8">
      <c r="A1343" s="245" t="s">
        <v>5420</v>
      </c>
      <c r="B1343" s="245">
        <v>41200185</v>
      </c>
      <c r="C1343" s="245" t="s">
        <v>1393</v>
      </c>
      <c r="D1343" s="245" t="s">
        <v>7000</v>
      </c>
      <c r="E1343" s="245" t="s">
        <v>1392</v>
      </c>
      <c r="F1343" s="245" t="s">
        <v>2395</v>
      </c>
      <c r="G1343" s="245" t="s">
        <v>1469</v>
      </c>
      <c r="H1343" s="245" t="s">
        <v>2392</v>
      </c>
    </row>
    <row r="1344" spans="1:8">
      <c r="A1344" s="245" t="s">
        <v>3393</v>
      </c>
      <c r="B1344" s="245">
        <v>41200007</v>
      </c>
      <c r="C1344" s="245" t="s">
        <v>1591</v>
      </c>
      <c r="D1344" s="245" t="s">
        <v>6608</v>
      </c>
      <c r="E1344" s="245" t="s">
        <v>1405</v>
      </c>
      <c r="F1344" s="245" t="s">
        <v>2395</v>
      </c>
      <c r="G1344" s="245" t="s">
        <v>1469</v>
      </c>
      <c r="H1344" s="245" t="s">
        <v>2392</v>
      </c>
    </row>
    <row r="1345" spans="1:8">
      <c r="A1345" s="245" t="s">
        <v>3392</v>
      </c>
      <c r="B1345" s="245">
        <v>41200007</v>
      </c>
      <c r="C1345" s="245" t="s">
        <v>1591</v>
      </c>
      <c r="D1345" s="245" t="s">
        <v>6608</v>
      </c>
      <c r="E1345" s="245" t="s">
        <v>1405</v>
      </c>
      <c r="F1345" s="245" t="s">
        <v>2395</v>
      </c>
      <c r="G1345" s="245" t="s">
        <v>1469</v>
      </c>
      <c r="H1345" s="245" t="s">
        <v>2392</v>
      </c>
    </row>
    <row r="1346" spans="1:8">
      <c r="A1346" s="245" t="s">
        <v>3391</v>
      </c>
      <c r="B1346" s="245">
        <v>41200007</v>
      </c>
      <c r="C1346" s="245" t="s">
        <v>1591</v>
      </c>
      <c r="D1346" s="245" t="s">
        <v>6608</v>
      </c>
      <c r="E1346" s="245" t="s">
        <v>1405</v>
      </c>
      <c r="F1346" s="245" t="s">
        <v>2395</v>
      </c>
      <c r="G1346" s="245" t="s">
        <v>1469</v>
      </c>
      <c r="H1346" s="245" t="s">
        <v>2392</v>
      </c>
    </row>
    <row r="1347" spans="1:8">
      <c r="A1347" s="245" t="s">
        <v>3383</v>
      </c>
      <c r="B1347" s="245">
        <v>41200007</v>
      </c>
      <c r="C1347" s="245" t="s">
        <v>1591</v>
      </c>
      <c r="D1347" s="245" t="s">
        <v>6608</v>
      </c>
      <c r="E1347" s="245" t="s">
        <v>1405</v>
      </c>
      <c r="F1347" s="245" t="s">
        <v>2395</v>
      </c>
      <c r="G1347" s="245" t="s">
        <v>1469</v>
      </c>
      <c r="H1347" s="245" t="s">
        <v>2392</v>
      </c>
    </row>
    <row r="1348" spans="1:8">
      <c r="A1348" s="245" t="s">
        <v>3382</v>
      </c>
      <c r="B1348" s="245">
        <v>41200007</v>
      </c>
      <c r="C1348" s="245" t="s">
        <v>1591</v>
      </c>
      <c r="D1348" s="245" t="s">
        <v>6608</v>
      </c>
      <c r="E1348" s="245" t="s">
        <v>1405</v>
      </c>
      <c r="F1348" s="245" t="s">
        <v>2395</v>
      </c>
      <c r="G1348" s="245" t="s">
        <v>1469</v>
      </c>
      <c r="H1348" s="245" t="s">
        <v>2392</v>
      </c>
    </row>
    <row r="1349" spans="1:8">
      <c r="A1349" s="245" t="s">
        <v>3385</v>
      </c>
      <c r="B1349" s="245">
        <v>41200175</v>
      </c>
      <c r="C1349" s="245" t="s">
        <v>1476</v>
      </c>
      <c r="D1349" s="245" t="s">
        <v>1591</v>
      </c>
      <c r="E1349" s="245" t="s">
        <v>1424</v>
      </c>
      <c r="F1349" s="245" t="s">
        <v>2395</v>
      </c>
      <c r="G1349" s="245" t="s">
        <v>1469</v>
      </c>
      <c r="H1349" s="245" t="s">
        <v>2392</v>
      </c>
    </row>
    <row r="1350" spans="1:8">
      <c r="A1350" s="245" t="s">
        <v>5411</v>
      </c>
      <c r="B1350" s="245">
        <v>41100375</v>
      </c>
      <c r="C1350" s="245" t="s">
        <v>1591</v>
      </c>
      <c r="D1350" s="245" t="s">
        <v>6617</v>
      </c>
      <c r="E1350" s="245" t="s">
        <v>1585</v>
      </c>
      <c r="F1350" s="245" t="s">
        <v>2395</v>
      </c>
      <c r="G1350" s="245" t="s">
        <v>1469</v>
      </c>
      <c r="H1350" s="245" t="s">
        <v>2392</v>
      </c>
    </row>
    <row r="1351" spans="1:8">
      <c r="A1351" s="245" t="s">
        <v>5410</v>
      </c>
      <c r="B1351" s="245">
        <v>41100375</v>
      </c>
      <c r="C1351" s="245" t="s">
        <v>1591</v>
      </c>
      <c r="D1351" s="245" t="s">
        <v>6617</v>
      </c>
      <c r="E1351" s="245" t="s">
        <v>1585</v>
      </c>
      <c r="F1351" s="245" t="s">
        <v>2395</v>
      </c>
      <c r="G1351" s="245" t="s">
        <v>1469</v>
      </c>
      <c r="H1351" s="245" t="s">
        <v>2392</v>
      </c>
    </row>
    <row r="1352" spans="1:8">
      <c r="A1352" s="245" t="s">
        <v>3407</v>
      </c>
      <c r="B1352" s="245">
        <v>41200006</v>
      </c>
      <c r="C1352" s="245" t="s">
        <v>1477</v>
      </c>
      <c r="D1352" s="245" t="s">
        <v>6640</v>
      </c>
      <c r="E1352" s="245" t="s">
        <v>1405</v>
      </c>
      <c r="F1352" s="245" t="s">
        <v>2395</v>
      </c>
      <c r="G1352" s="245" t="s">
        <v>1469</v>
      </c>
      <c r="H1352" s="245" t="s">
        <v>2392</v>
      </c>
    </row>
    <row r="1353" spans="1:8">
      <c r="A1353" s="245" t="s">
        <v>3406</v>
      </c>
      <c r="B1353" s="245">
        <v>41200006</v>
      </c>
      <c r="C1353" s="245" t="s">
        <v>1477</v>
      </c>
      <c r="D1353" s="245" t="s">
        <v>6640</v>
      </c>
      <c r="E1353" s="245" t="s">
        <v>1405</v>
      </c>
      <c r="F1353" s="245" t="s">
        <v>2395</v>
      </c>
      <c r="G1353" s="245" t="s">
        <v>1469</v>
      </c>
      <c r="H1353" s="245" t="s">
        <v>2392</v>
      </c>
    </row>
    <row r="1354" spans="1:8">
      <c r="A1354" s="245" t="s">
        <v>3405</v>
      </c>
      <c r="B1354" s="245">
        <v>41200006</v>
      </c>
      <c r="C1354" s="245" t="s">
        <v>1477</v>
      </c>
      <c r="D1354" s="245" t="s">
        <v>6640</v>
      </c>
      <c r="E1354" s="245" t="s">
        <v>1405</v>
      </c>
      <c r="F1354" s="245" t="s">
        <v>2395</v>
      </c>
      <c r="G1354" s="245" t="s">
        <v>1469</v>
      </c>
      <c r="H1354" s="245" t="s">
        <v>2392</v>
      </c>
    </row>
    <row r="1355" spans="1:8">
      <c r="A1355" s="245" t="s">
        <v>3380</v>
      </c>
      <c r="B1355" s="245">
        <v>41200006</v>
      </c>
      <c r="C1355" s="245" t="s">
        <v>1477</v>
      </c>
      <c r="D1355" s="245" t="s">
        <v>6640</v>
      </c>
      <c r="E1355" s="245" t="s">
        <v>1405</v>
      </c>
      <c r="F1355" s="245" t="s">
        <v>2395</v>
      </c>
      <c r="G1355" s="245" t="s">
        <v>1469</v>
      </c>
      <c r="H1355" s="245" t="s">
        <v>2392</v>
      </c>
    </row>
    <row r="1356" spans="1:8">
      <c r="A1356" s="245" t="s">
        <v>3376</v>
      </c>
      <c r="B1356" s="245">
        <v>41100696</v>
      </c>
      <c r="C1356" s="245" t="s">
        <v>1911</v>
      </c>
      <c r="D1356" s="245" t="s">
        <v>6634</v>
      </c>
      <c r="E1356" s="245" t="s">
        <v>1433</v>
      </c>
      <c r="F1356" s="245" t="s">
        <v>2392</v>
      </c>
      <c r="G1356" s="245" t="s">
        <v>2392</v>
      </c>
      <c r="H1356" s="245" t="s">
        <v>71</v>
      </c>
    </row>
    <row r="1357" spans="1:8">
      <c r="A1357" s="245" t="s">
        <v>7001</v>
      </c>
      <c r="B1357" s="245" t="s">
        <v>6592</v>
      </c>
      <c r="C1357" s="245" t="s">
        <v>6593</v>
      </c>
      <c r="D1357" s="245" t="s">
        <v>71</v>
      </c>
      <c r="E1357" s="245" t="s">
        <v>1405</v>
      </c>
      <c r="F1357" s="245" t="s">
        <v>2392</v>
      </c>
      <c r="G1357" s="245" t="s">
        <v>2392</v>
      </c>
      <c r="H1357" s="245" t="s">
        <v>2392</v>
      </c>
    </row>
    <row r="1358" spans="1:8">
      <c r="A1358" s="245" t="s">
        <v>7002</v>
      </c>
      <c r="B1358" s="245" t="s">
        <v>6592</v>
      </c>
      <c r="C1358" s="245" t="s">
        <v>6593</v>
      </c>
      <c r="D1358" s="245" t="s">
        <v>71</v>
      </c>
      <c r="E1358" s="245" t="s">
        <v>1405</v>
      </c>
      <c r="F1358" s="245" t="s">
        <v>2392</v>
      </c>
      <c r="G1358" s="245" t="s">
        <v>2392</v>
      </c>
      <c r="H1358" s="245" t="s">
        <v>2392</v>
      </c>
    </row>
    <row r="1359" spans="1:8">
      <c r="A1359" s="245" t="s">
        <v>7003</v>
      </c>
      <c r="B1359" s="245" t="s">
        <v>6592</v>
      </c>
      <c r="C1359" s="245" t="s">
        <v>6593</v>
      </c>
      <c r="D1359" s="245" t="s">
        <v>71</v>
      </c>
      <c r="E1359" s="245" t="s">
        <v>1405</v>
      </c>
      <c r="F1359" s="245" t="s">
        <v>2392</v>
      </c>
      <c r="G1359" s="245" t="s">
        <v>2392</v>
      </c>
      <c r="H1359" s="245" t="s">
        <v>2392</v>
      </c>
    </row>
    <row r="1360" spans="1:8">
      <c r="A1360" s="245" t="s">
        <v>7004</v>
      </c>
      <c r="B1360" s="245" t="s">
        <v>6592</v>
      </c>
      <c r="C1360" s="245" t="s">
        <v>6593</v>
      </c>
      <c r="D1360" s="245" t="s">
        <v>71</v>
      </c>
      <c r="E1360" s="245" t="s">
        <v>1405</v>
      </c>
      <c r="F1360" s="245" t="s">
        <v>2392</v>
      </c>
      <c r="G1360" s="245" t="s">
        <v>2392</v>
      </c>
      <c r="H1360" s="245" t="s">
        <v>2392</v>
      </c>
    </row>
    <row r="1361" spans="1:8">
      <c r="A1361" s="245" t="s">
        <v>7005</v>
      </c>
      <c r="B1361" s="245" t="s">
        <v>6592</v>
      </c>
      <c r="C1361" s="245" t="s">
        <v>6593</v>
      </c>
      <c r="D1361" s="245" t="s">
        <v>71</v>
      </c>
      <c r="E1361" s="245" t="s">
        <v>1405</v>
      </c>
      <c r="F1361" s="245" t="s">
        <v>2392</v>
      </c>
      <c r="G1361" s="245" t="s">
        <v>2392</v>
      </c>
      <c r="H1361" s="245" t="s">
        <v>2392</v>
      </c>
    </row>
    <row r="1362" spans="1:8">
      <c r="A1362" s="245" t="s">
        <v>7006</v>
      </c>
      <c r="B1362" s="245" t="s">
        <v>6592</v>
      </c>
      <c r="C1362" s="245" t="s">
        <v>6593</v>
      </c>
      <c r="D1362" s="245" t="s">
        <v>71</v>
      </c>
      <c r="E1362" s="245" t="s">
        <v>1405</v>
      </c>
      <c r="F1362" s="245" t="s">
        <v>2392</v>
      </c>
      <c r="G1362" s="245" t="s">
        <v>2392</v>
      </c>
      <c r="H1362" s="245" t="s">
        <v>2392</v>
      </c>
    </row>
    <row r="1363" spans="1:8">
      <c r="A1363" s="245" t="s">
        <v>7007</v>
      </c>
      <c r="B1363" s="245" t="s">
        <v>7008</v>
      </c>
      <c r="C1363" s="245" t="s">
        <v>7009</v>
      </c>
      <c r="D1363" s="245" t="s">
        <v>71</v>
      </c>
      <c r="E1363" s="245" t="s">
        <v>1388</v>
      </c>
      <c r="F1363" s="245" t="s">
        <v>7010</v>
      </c>
      <c r="G1363" s="245" t="s">
        <v>7011</v>
      </c>
      <c r="H1363" s="245" t="s">
        <v>71</v>
      </c>
    </row>
    <row r="1364" spans="1:8">
      <c r="A1364" s="245" t="s">
        <v>1991</v>
      </c>
      <c r="B1364" s="245">
        <v>41200180</v>
      </c>
      <c r="C1364" s="245" t="s">
        <v>1479</v>
      </c>
      <c r="D1364" s="245" t="s">
        <v>6633</v>
      </c>
      <c r="E1364" s="245" t="s">
        <v>1409</v>
      </c>
      <c r="F1364" s="245" t="s">
        <v>2395</v>
      </c>
      <c r="G1364" s="245" t="s">
        <v>2392</v>
      </c>
      <c r="H1364" s="245" t="s">
        <v>2392</v>
      </c>
    </row>
    <row r="1365" spans="1:8">
      <c r="A1365" s="245" t="s">
        <v>1990</v>
      </c>
      <c r="B1365" s="245">
        <v>41200180</v>
      </c>
      <c r="C1365" s="245" t="s">
        <v>1479</v>
      </c>
      <c r="D1365" s="245" t="s">
        <v>6633</v>
      </c>
      <c r="E1365" s="245" t="s">
        <v>1409</v>
      </c>
      <c r="F1365" s="245" t="s">
        <v>2395</v>
      </c>
      <c r="G1365" s="245" t="s">
        <v>2392</v>
      </c>
      <c r="H1365" s="245" t="s">
        <v>2392</v>
      </c>
    </row>
    <row r="1366" spans="1:8">
      <c r="A1366" s="245" t="s">
        <v>3367</v>
      </c>
      <c r="B1366" s="245">
        <v>41200053</v>
      </c>
      <c r="C1366" s="245" t="s">
        <v>2184</v>
      </c>
      <c r="D1366" s="245" t="s">
        <v>6646</v>
      </c>
      <c r="E1366" s="245" t="s">
        <v>1405</v>
      </c>
      <c r="F1366" s="245" t="s">
        <v>2392</v>
      </c>
      <c r="G1366" s="245" t="s">
        <v>2392</v>
      </c>
      <c r="H1366" s="245" t="s">
        <v>71</v>
      </c>
    </row>
    <row r="1367" spans="1:8">
      <c r="A1367" s="245" t="s">
        <v>3366</v>
      </c>
      <c r="B1367" s="245">
        <v>41200053</v>
      </c>
      <c r="C1367" s="245" t="s">
        <v>2184</v>
      </c>
      <c r="D1367" s="245" t="s">
        <v>6646</v>
      </c>
      <c r="E1367" s="245" t="s">
        <v>1405</v>
      </c>
      <c r="F1367" s="245" t="s">
        <v>2392</v>
      </c>
      <c r="G1367" s="245" t="s">
        <v>2392</v>
      </c>
      <c r="H1367" s="245" t="s">
        <v>71</v>
      </c>
    </row>
    <row r="1368" spans="1:8">
      <c r="A1368" s="245" t="s">
        <v>3365</v>
      </c>
      <c r="B1368" s="245">
        <v>41200053</v>
      </c>
      <c r="C1368" s="245" t="s">
        <v>2184</v>
      </c>
      <c r="D1368" s="245" t="s">
        <v>6646</v>
      </c>
      <c r="E1368" s="245" t="s">
        <v>1405</v>
      </c>
      <c r="F1368" s="245" t="s">
        <v>2392</v>
      </c>
      <c r="G1368" s="245" t="s">
        <v>2392</v>
      </c>
      <c r="H1368" s="245" t="s">
        <v>71</v>
      </c>
    </row>
    <row r="1369" spans="1:8">
      <c r="A1369" s="245" t="s">
        <v>3364</v>
      </c>
      <c r="B1369" s="245">
        <v>41200053</v>
      </c>
      <c r="C1369" s="245" t="s">
        <v>2184</v>
      </c>
      <c r="D1369" s="245" t="s">
        <v>6646</v>
      </c>
      <c r="E1369" s="245" t="s">
        <v>1405</v>
      </c>
      <c r="F1369" s="245" t="s">
        <v>2392</v>
      </c>
      <c r="G1369" s="245" t="s">
        <v>2392</v>
      </c>
      <c r="H1369" s="245" t="s">
        <v>71</v>
      </c>
    </row>
    <row r="1370" spans="1:8">
      <c r="A1370" s="245" t="s">
        <v>3377</v>
      </c>
      <c r="B1370" s="245">
        <v>41200153</v>
      </c>
      <c r="C1370" s="245" t="s">
        <v>1476</v>
      </c>
      <c r="D1370" s="245" t="s">
        <v>6663</v>
      </c>
      <c r="E1370" s="245" t="s">
        <v>1422</v>
      </c>
      <c r="F1370" s="245" t="s">
        <v>2391</v>
      </c>
      <c r="G1370" s="245" t="s">
        <v>1468</v>
      </c>
      <c r="H1370" s="245" t="s">
        <v>2392</v>
      </c>
    </row>
    <row r="1371" spans="1:8">
      <c r="A1371" s="245" t="s">
        <v>3386</v>
      </c>
      <c r="B1371" s="245">
        <v>41200122</v>
      </c>
      <c r="C1371" s="245" t="s">
        <v>1476</v>
      </c>
      <c r="D1371" s="245" t="s">
        <v>1476</v>
      </c>
      <c r="E1371" s="245" t="s">
        <v>1585</v>
      </c>
      <c r="F1371" s="245" t="s">
        <v>2391</v>
      </c>
      <c r="G1371" s="245" t="s">
        <v>2392</v>
      </c>
      <c r="H1371" s="245" t="s">
        <v>2392</v>
      </c>
    </row>
    <row r="1372" spans="1:8">
      <c r="A1372" s="245" t="s">
        <v>3373</v>
      </c>
      <c r="B1372" s="245">
        <v>41200006</v>
      </c>
      <c r="C1372" s="245" t="s">
        <v>1477</v>
      </c>
      <c r="D1372" s="245" t="s">
        <v>6640</v>
      </c>
      <c r="E1372" s="245" t="s">
        <v>1405</v>
      </c>
      <c r="F1372" s="245" t="s">
        <v>2395</v>
      </c>
      <c r="G1372" s="245" t="s">
        <v>1469</v>
      </c>
      <c r="H1372" s="245" t="s">
        <v>2392</v>
      </c>
    </row>
    <row r="1373" spans="1:8">
      <c r="A1373" s="245" t="s">
        <v>3372</v>
      </c>
      <c r="B1373" s="245">
        <v>41200006</v>
      </c>
      <c r="C1373" s="245" t="s">
        <v>1477</v>
      </c>
      <c r="D1373" s="245" t="s">
        <v>6640</v>
      </c>
      <c r="E1373" s="245" t="s">
        <v>1405</v>
      </c>
      <c r="F1373" s="245" t="s">
        <v>2395</v>
      </c>
      <c r="G1373" s="245" t="s">
        <v>1469</v>
      </c>
      <c r="H1373" s="245" t="s">
        <v>2392</v>
      </c>
    </row>
    <row r="1374" spans="1:8">
      <c r="A1374" s="245" t="s">
        <v>3416</v>
      </c>
      <c r="B1374" s="245">
        <v>41100502</v>
      </c>
      <c r="C1374" s="245" t="s">
        <v>1591</v>
      </c>
      <c r="D1374" s="245" t="s">
        <v>1591</v>
      </c>
      <c r="E1374" s="245" t="s">
        <v>1585</v>
      </c>
      <c r="F1374" s="245" t="s">
        <v>2395</v>
      </c>
      <c r="G1374" s="245" t="s">
        <v>1469</v>
      </c>
      <c r="H1374" s="245" t="s">
        <v>2392</v>
      </c>
    </row>
    <row r="1375" spans="1:8">
      <c r="A1375" s="245" t="s">
        <v>3415</v>
      </c>
      <c r="B1375" s="245">
        <v>41100502</v>
      </c>
      <c r="C1375" s="245" t="s">
        <v>1591</v>
      </c>
      <c r="D1375" s="245" t="s">
        <v>1591</v>
      </c>
      <c r="E1375" s="245" t="s">
        <v>1585</v>
      </c>
      <c r="F1375" s="245" t="s">
        <v>2395</v>
      </c>
      <c r="G1375" s="245" t="s">
        <v>1469</v>
      </c>
      <c r="H1375" s="245" t="s">
        <v>2392</v>
      </c>
    </row>
    <row r="1376" spans="1:8">
      <c r="A1376" s="245" t="s">
        <v>3337</v>
      </c>
      <c r="B1376" s="245">
        <v>41100321</v>
      </c>
      <c r="C1376" s="245" t="s">
        <v>1476</v>
      </c>
      <c r="D1376" s="245" t="s">
        <v>6610</v>
      </c>
      <c r="E1376" s="245" t="s">
        <v>1422</v>
      </c>
      <c r="F1376" s="245" t="s">
        <v>2395</v>
      </c>
      <c r="G1376" s="245" t="s">
        <v>1469</v>
      </c>
      <c r="H1376" s="245" t="s">
        <v>2392</v>
      </c>
    </row>
    <row r="1377" spans="1:8">
      <c r="A1377" s="245" t="s">
        <v>3351</v>
      </c>
      <c r="B1377" s="245">
        <v>41200004</v>
      </c>
      <c r="C1377" s="245" t="s">
        <v>1476</v>
      </c>
      <c r="D1377" s="245" t="s">
        <v>1476</v>
      </c>
      <c r="E1377" s="245" t="s">
        <v>1424</v>
      </c>
      <c r="F1377" s="245" t="s">
        <v>2395</v>
      </c>
      <c r="G1377" s="245" t="s">
        <v>1469</v>
      </c>
      <c r="H1377" s="245" t="s">
        <v>2392</v>
      </c>
    </row>
    <row r="1378" spans="1:8">
      <c r="A1378" s="245" t="s">
        <v>3442</v>
      </c>
      <c r="B1378" s="245">
        <v>41200175</v>
      </c>
      <c r="C1378" s="245" t="s">
        <v>1476</v>
      </c>
      <c r="D1378" s="245" t="s">
        <v>1591</v>
      </c>
      <c r="E1378" s="245" t="s">
        <v>1424</v>
      </c>
      <c r="F1378" s="245" t="s">
        <v>2395</v>
      </c>
      <c r="G1378" s="245" t="s">
        <v>1469</v>
      </c>
      <c r="H1378" s="245" t="s">
        <v>2392</v>
      </c>
    </row>
    <row r="1379" spans="1:8">
      <c r="A1379" s="245" t="s">
        <v>3359</v>
      </c>
      <c r="B1379" s="245">
        <v>41200007</v>
      </c>
      <c r="C1379" s="245" t="s">
        <v>1591</v>
      </c>
      <c r="D1379" s="245" t="s">
        <v>6608</v>
      </c>
      <c r="E1379" s="245" t="s">
        <v>1405</v>
      </c>
      <c r="F1379" s="245" t="s">
        <v>2391</v>
      </c>
      <c r="G1379" s="245" t="s">
        <v>1468</v>
      </c>
      <c r="H1379" s="245" t="s">
        <v>2392</v>
      </c>
    </row>
    <row r="1380" spans="1:8">
      <c r="A1380" s="245" t="s">
        <v>3358</v>
      </c>
      <c r="B1380" s="245">
        <v>41200007</v>
      </c>
      <c r="C1380" s="245" t="s">
        <v>1591</v>
      </c>
      <c r="D1380" s="245" t="s">
        <v>6608</v>
      </c>
      <c r="E1380" s="245" t="s">
        <v>1405</v>
      </c>
      <c r="F1380" s="245" t="s">
        <v>2391</v>
      </c>
      <c r="G1380" s="245" t="s">
        <v>1468</v>
      </c>
      <c r="H1380" s="245" t="s">
        <v>2392</v>
      </c>
    </row>
    <row r="1381" spans="1:8">
      <c r="A1381" s="245" t="s">
        <v>3390</v>
      </c>
      <c r="B1381" s="245">
        <v>41200152</v>
      </c>
      <c r="C1381" s="245" t="s">
        <v>1476</v>
      </c>
      <c r="D1381" s="245" t="s">
        <v>6618</v>
      </c>
      <c r="E1381" s="245" t="s">
        <v>1585</v>
      </c>
      <c r="F1381" s="245" t="s">
        <v>2555</v>
      </c>
      <c r="G1381" s="245" t="s">
        <v>2555</v>
      </c>
      <c r="H1381" s="245" t="s">
        <v>2392</v>
      </c>
    </row>
    <row r="1382" spans="1:8">
      <c r="A1382" s="245" t="s">
        <v>3389</v>
      </c>
      <c r="B1382" s="245">
        <v>41200152</v>
      </c>
      <c r="C1382" s="245" t="s">
        <v>1476</v>
      </c>
      <c r="D1382" s="245" t="s">
        <v>6618</v>
      </c>
      <c r="E1382" s="245" t="s">
        <v>1585</v>
      </c>
      <c r="F1382" s="245" t="s">
        <v>2555</v>
      </c>
      <c r="G1382" s="245" t="s">
        <v>2555</v>
      </c>
      <c r="H1382" s="245" t="s">
        <v>2392</v>
      </c>
    </row>
    <row r="1383" spans="1:8">
      <c r="A1383" s="245" t="s">
        <v>6664</v>
      </c>
      <c r="B1383" s="245">
        <v>41000560</v>
      </c>
      <c r="C1383" s="245" t="s">
        <v>3638</v>
      </c>
      <c r="D1383" s="245" t="s">
        <v>1424</v>
      </c>
      <c r="E1383" s="245" t="s">
        <v>1424</v>
      </c>
      <c r="F1383" s="245" t="s">
        <v>2395</v>
      </c>
      <c r="G1383" s="245" t="s">
        <v>1469</v>
      </c>
      <c r="H1383" s="245" t="s">
        <v>2392</v>
      </c>
    </row>
    <row r="1384" spans="1:8">
      <c r="A1384" s="245" t="s">
        <v>3349</v>
      </c>
      <c r="B1384" s="245">
        <v>41100338</v>
      </c>
      <c r="C1384" s="245" t="s">
        <v>1591</v>
      </c>
      <c r="D1384" s="245" t="s">
        <v>6617</v>
      </c>
      <c r="E1384" s="245" t="s">
        <v>1585</v>
      </c>
      <c r="F1384" s="245" t="s">
        <v>2391</v>
      </c>
      <c r="G1384" s="245" t="s">
        <v>2392</v>
      </c>
      <c r="H1384" s="245" t="s">
        <v>2392</v>
      </c>
    </row>
    <row r="1385" spans="1:8">
      <c r="A1385" s="245" t="s">
        <v>3348</v>
      </c>
      <c r="B1385" s="245">
        <v>41100338</v>
      </c>
      <c r="C1385" s="245" t="s">
        <v>1591</v>
      </c>
      <c r="D1385" s="245" t="s">
        <v>6617</v>
      </c>
      <c r="E1385" s="245" t="s">
        <v>1585</v>
      </c>
      <c r="F1385" s="245" t="s">
        <v>2391</v>
      </c>
      <c r="G1385" s="245" t="s">
        <v>2392</v>
      </c>
      <c r="H1385" s="245" t="s">
        <v>2392</v>
      </c>
    </row>
    <row r="1386" spans="1:8">
      <c r="A1386" s="245" t="s">
        <v>3397</v>
      </c>
      <c r="B1386" s="245">
        <v>41200087</v>
      </c>
      <c r="C1386" s="245" t="s">
        <v>1476</v>
      </c>
      <c r="D1386" s="245" t="s">
        <v>1476</v>
      </c>
      <c r="E1386" s="245" t="s">
        <v>1429</v>
      </c>
      <c r="F1386" s="245" t="s">
        <v>2555</v>
      </c>
      <c r="G1386" s="245" t="s">
        <v>2555</v>
      </c>
      <c r="H1386" s="245" t="s">
        <v>2392</v>
      </c>
    </row>
    <row r="1387" spans="1:8">
      <c r="A1387" s="245" t="s">
        <v>3396</v>
      </c>
      <c r="B1387" s="245">
        <v>41200087</v>
      </c>
      <c r="C1387" s="245" t="s">
        <v>1476</v>
      </c>
      <c r="D1387" s="245" t="s">
        <v>1476</v>
      </c>
      <c r="E1387" s="245" t="s">
        <v>1429</v>
      </c>
      <c r="F1387" s="245" t="s">
        <v>2555</v>
      </c>
      <c r="G1387" s="245" t="s">
        <v>2555</v>
      </c>
      <c r="H1387" s="245" t="s">
        <v>2392</v>
      </c>
    </row>
    <row r="1388" spans="1:8">
      <c r="A1388" s="245" t="s">
        <v>3363</v>
      </c>
      <c r="B1388" s="245">
        <v>41200173</v>
      </c>
      <c r="C1388" s="245" t="s">
        <v>1591</v>
      </c>
      <c r="D1388" s="245" t="s">
        <v>1405</v>
      </c>
      <c r="E1388" s="245" t="s">
        <v>1405</v>
      </c>
      <c r="F1388" s="245" t="s">
        <v>2395</v>
      </c>
      <c r="G1388" s="245" t="s">
        <v>1469</v>
      </c>
      <c r="H1388" s="245" t="s">
        <v>2392</v>
      </c>
    </row>
    <row r="1389" spans="1:8">
      <c r="A1389" s="245" t="s">
        <v>3362</v>
      </c>
      <c r="B1389" s="245">
        <v>41200173</v>
      </c>
      <c r="C1389" s="245" t="s">
        <v>1591</v>
      </c>
      <c r="D1389" s="245" t="s">
        <v>1405</v>
      </c>
      <c r="E1389" s="245" t="s">
        <v>1405</v>
      </c>
      <c r="F1389" s="245" t="s">
        <v>2395</v>
      </c>
      <c r="G1389" s="245" t="s">
        <v>1469</v>
      </c>
      <c r="H1389" s="245" t="s">
        <v>2392</v>
      </c>
    </row>
    <row r="1390" spans="1:8">
      <c r="A1390" s="245" t="s">
        <v>3350</v>
      </c>
      <c r="B1390" s="245">
        <v>41100584</v>
      </c>
      <c r="C1390" s="245" t="s">
        <v>1591</v>
      </c>
      <c r="D1390" s="245" t="s">
        <v>6635</v>
      </c>
      <c r="E1390" s="245" t="s">
        <v>1422</v>
      </c>
      <c r="F1390" s="245" t="s">
        <v>2391</v>
      </c>
      <c r="G1390" s="245" t="s">
        <v>1468</v>
      </c>
      <c r="H1390" s="245" t="s">
        <v>2392</v>
      </c>
    </row>
    <row r="1391" spans="1:8">
      <c r="A1391" s="245" t="s">
        <v>3357</v>
      </c>
      <c r="B1391" s="245">
        <v>41200005</v>
      </c>
      <c r="C1391" s="245" t="s">
        <v>1591</v>
      </c>
      <c r="D1391" s="245" t="s">
        <v>1591</v>
      </c>
      <c r="E1391" s="245" t="s">
        <v>1405</v>
      </c>
      <c r="F1391" s="245" t="s">
        <v>2391</v>
      </c>
      <c r="G1391" s="245" t="s">
        <v>2392</v>
      </c>
      <c r="H1391" s="245" t="s">
        <v>2392</v>
      </c>
    </row>
    <row r="1392" spans="1:8">
      <c r="A1392" s="245" t="s">
        <v>3355</v>
      </c>
      <c r="B1392" s="245">
        <v>41200005</v>
      </c>
      <c r="C1392" s="245" t="s">
        <v>1591</v>
      </c>
      <c r="D1392" s="245" t="s">
        <v>1591</v>
      </c>
      <c r="E1392" s="245" t="s">
        <v>1405</v>
      </c>
      <c r="F1392" s="245" t="s">
        <v>2391</v>
      </c>
      <c r="G1392" s="245" t="s">
        <v>2392</v>
      </c>
      <c r="H1392" s="245" t="s">
        <v>2392</v>
      </c>
    </row>
    <row r="1393" spans="1:8">
      <c r="A1393" s="245" t="s">
        <v>3379</v>
      </c>
      <c r="B1393" s="245">
        <v>41200109</v>
      </c>
      <c r="C1393" s="245" t="s">
        <v>1591</v>
      </c>
      <c r="D1393" s="245" t="s">
        <v>6619</v>
      </c>
      <c r="E1393" s="245" t="s">
        <v>1585</v>
      </c>
      <c r="F1393" s="245" t="s">
        <v>2391</v>
      </c>
      <c r="G1393" s="245" t="s">
        <v>1468</v>
      </c>
      <c r="H1393" s="245" t="s">
        <v>2392</v>
      </c>
    </row>
    <row r="1394" spans="1:8">
      <c r="A1394" s="245" t="s">
        <v>3378</v>
      </c>
      <c r="B1394" s="245">
        <v>41200109</v>
      </c>
      <c r="C1394" s="245" t="s">
        <v>1591</v>
      </c>
      <c r="D1394" s="245" t="s">
        <v>6619</v>
      </c>
      <c r="E1394" s="245" t="s">
        <v>1585</v>
      </c>
      <c r="F1394" s="245" t="s">
        <v>2391</v>
      </c>
      <c r="G1394" s="245" t="s">
        <v>1468</v>
      </c>
      <c r="H1394" s="245" t="s">
        <v>2392</v>
      </c>
    </row>
    <row r="1395" spans="1:8">
      <c r="A1395" s="245" t="s">
        <v>3356</v>
      </c>
      <c r="B1395" s="245">
        <v>41200181</v>
      </c>
      <c r="C1395" s="245" t="s">
        <v>1581</v>
      </c>
      <c r="D1395" s="245" t="s">
        <v>6665</v>
      </c>
      <c r="E1395" s="245" t="s">
        <v>1405</v>
      </c>
      <c r="F1395" s="245" t="s">
        <v>2392</v>
      </c>
      <c r="G1395" s="245" t="s">
        <v>2392</v>
      </c>
      <c r="H1395" s="245" t="s">
        <v>71</v>
      </c>
    </row>
    <row r="1396" spans="1:8">
      <c r="A1396" s="245" t="s">
        <v>3354</v>
      </c>
      <c r="B1396" s="245">
        <v>41200088</v>
      </c>
      <c r="C1396" s="245" t="s">
        <v>1476</v>
      </c>
      <c r="D1396" s="245" t="s">
        <v>1476</v>
      </c>
      <c r="E1396" s="245" t="s">
        <v>1422</v>
      </c>
      <c r="F1396" s="245" t="s">
        <v>2391</v>
      </c>
      <c r="G1396" s="245" t="s">
        <v>2392</v>
      </c>
      <c r="H1396" s="245" t="s">
        <v>2392</v>
      </c>
    </row>
    <row r="1397" spans="1:8">
      <c r="A1397" s="245" t="s">
        <v>3347</v>
      </c>
      <c r="B1397" s="245">
        <v>41200006</v>
      </c>
      <c r="C1397" s="245" t="s">
        <v>1477</v>
      </c>
      <c r="D1397" s="245" t="s">
        <v>6640</v>
      </c>
      <c r="E1397" s="245" t="s">
        <v>1405</v>
      </c>
      <c r="F1397" s="245" t="s">
        <v>2391</v>
      </c>
      <c r="G1397" s="245" t="s">
        <v>2392</v>
      </c>
      <c r="H1397" s="245" t="s">
        <v>2392</v>
      </c>
    </row>
    <row r="1398" spans="1:8">
      <c r="A1398" s="245" t="s">
        <v>3346</v>
      </c>
      <c r="B1398" s="245">
        <v>41200006</v>
      </c>
      <c r="C1398" s="245" t="s">
        <v>1477</v>
      </c>
      <c r="D1398" s="245" t="s">
        <v>6640</v>
      </c>
      <c r="E1398" s="245" t="s">
        <v>1405</v>
      </c>
      <c r="F1398" s="245" t="s">
        <v>2391</v>
      </c>
      <c r="G1398" s="245" t="s">
        <v>2392</v>
      </c>
      <c r="H1398" s="245" t="s">
        <v>2392</v>
      </c>
    </row>
    <row r="1399" spans="1:8">
      <c r="A1399" s="245" t="s">
        <v>3342</v>
      </c>
      <c r="B1399" s="245">
        <v>41100696</v>
      </c>
      <c r="C1399" s="245" t="s">
        <v>1911</v>
      </c>
      <c r="D1399" s="245" t="s">
        <v>6634</v>
      </c>
      <c r="E1399" s="245" t="s">
        <v>1433</v>
      </c>
      <c r="F1399" s="245" t="s">
        <v>2392</v>
      </c>
      <c r="G1399" s="245" t="s">
        <v>2392</v>
      </c>
      <c r="H1399" s="245" t="s">
        <v>71</v>
      </c>
    </row>
    <row r="1400" spans="1:8">
      <c r="A1400" s="245" t="s">
        <v>3340</v>
      </c>
      <c r="B1400" s="245">
        <v>41100696</v>
      </c>
      <c r="C1400" s="245" t="s">
        <v>1911</v>
      </c>
      <c r="D1400" s="245" t="s">
        <v>6634</v>
      </c>
      <c r="E1400" s="245" t="s">
        <v>1433</v>
      </c>
      <c r="F1400" s="245" t="s">
        <v>2392</v>
      </c>
      <c r="G1400" s="245" t="s">
        <v>2392</v>
      </c>
      <c r="H1400" s="245" t="s">
        <v>71</v>
      </c>
    </row>
    <row r="1401" spans="1:8">
      <c r="A1401" s="245" t="s">
        <v>3336</v>
      </c>
      <c r="B1401" s="245">
        <v>41100321</v>
      </c>
      <c r="C1401" s="245" t="s">
        <v>1476</v>
      </c>
      <c r="D1401" s="245" t="s">
        <v>6610</v>
      </c>
      <c r="E1401" s="245" t="s">
        <v>1422</v>
      </c>
      <c r="F1401" s="245" t="s">
        <v>2391</v>
      </c>
      <c r="G1401" s="245" t="s">
        <v>1468</v>
      </c>
      <c r="H1401" s="245" t="s">
        <v>2392</v>
      </c>
    </row>
    <row r="1402" spans="1:8">
      <c r="A1402" s="245" t="s">
        <v>3335</v>
      </c>
      <c r="B1402" s="245">
        <v>41100321</v>
      </c>
      <c r="C1402" s="245" t="s">
        <v>1476</v>
      </c>
      <c r="D1402" s="245" t="s">
        <v>6610</v>
      </c>
      <c r="E1402" s="245" t="s">
        <v>1422</v>
      </c>
      <c r="F1402" s="245" t="s">
        <v>2391</v>
      </c>
      <c r="G1402" s="245" t="s">
        <v>1468</v>
      </c>
      <c r="H1402" s="245" t="s">
        <v>2392</v>
      </c>
    </row>
    <row r="1403" spans="1:8">
      <c r="A1403" s="245" t="s">
        <v>3345</v>
      </c>
      <c r="B1403" s="245">
        <v>41100321</v>
      </c>
      <c r="C1403" s="245" t="s">
        <v>1476</v>
      </c>
      <c r="D1403" s="245" t="s">
        <v>6610</v>
      </c>
      <c r="E1403" s="245" t="s">
        <v>1422</v>
      </c>
      <c r="F1403" s="245" t="s">
        <v>2395</v>
      </c>
      <c r="G1403" s="245" t="s">
        <v>1469</v>
      </c>
      <c r="H1403" s="245" t="s">
        <v>2392</v>
      </c>
    </row>
    <row r="1404" spans="1:8">
      <c r="A1404" s="245" t="s">
        <v>3344</v>
      </c>
      <c r="B1404" s="245">
        <v>41100321</v>
      </c>
      <c r="C1404" s="245" t="s">
        <v>1476</v>
      </c>
      <c r="D1404" s="245" t="s">
        <v>6610</v>
      </c>
      <c r="E1404" s="245" t="s">
        <v>1422</v>
      </c>
      <c r="F1404" s="245" t="s">
        <v>2395</v>
      </c>
      <c r="G1404" s="245" t="s">
        <v>1469</v>
      </c>
      <c r="H1404" s="245" t="s">
        <v>2392</v>
      </c>
    </row>
    <row r="1405" spans="1:8">
      <c r="A1405" s="245" t="s">
        <v>3307</v>
      </c>
      <c r="B1405" s="245">
        <v>41200152</v>
      </c>
      <c r="C1405" s="245" t="s">
        <v>1476</v>
      </c>
      <c r="D1405" s="245" t="s">
        <v>6618</v>
      </c>
      <c r="E1405" s="245" t="s">
        <v>1585</v>
      </c>
      <c r="F1405" s="245" t="s">
        <v>2395</v>
      </c>
      <c r="G1405" s="245" t="s">
        <v>1469</v>
      </c>
      <c r="H1405" s="245" t="s">
        <v>2392</v>
      </c>
    </row>
    <row r="1406" spans="1:8">
      <c r="A1406" s="245" t="s">
        <v>3300</v>
      </c>
      <c r="B1406" s="245">
        <v>41200152</v>
      </c>
      <c r="C1406" s="245" t="s">
        <v>1476</v>
      </c>
      <c r="D1406" s="245" t="s">
        <v>6618</v>
      </c>
      <c r="E1406" s="245" t="s">
        <v>1585</v>
      </c>
      <c r="F1406" s="245" t="s">
        <v>2395</v>
      </c>
      <c r="G1406" s="245" t="s">
        <v>1469</v>
      </c>
      <c r="H1406" s="245" t="s">
        <v>2392</v>
      </c>
    </row>
    <row r="1407" spans="1:8">
      <c r="A1407" s="245" t="s">
        <v>3343</v>
      </c>
      <c r="B1407" s="245">
        <v>41200125</v>
      </c>
      <c r="C1407" s="245" t="s">
        <v>1476</v>
      </c>
      <c r="D1407" s="245" t="s">
        <v>1476</v>
      </c>
      <c r="E1407" s="245" t="s">
        <v>1585</v>
      </c>
      <c r="F1407" s="245" t="s">
        <v>2391</v>
      </c>
      <c r="G1407" s="245" t="s">
        <v>1468</v>
      </c>
      <c r="H1407" s="245" t="s">
        <v>2392</v>
      </c>
    </row>
    <row r="1408" spans="1:8">
      <c r="A1408" s="245" t="s">
        <v>3339</v>
      </c>
      <c r="B1408" s="245">
        <v>41200122</v>
      </c>
      <c r="C1408" s="245" t="s">
        <v>1476</v>
      </c>
      <c r="D1408" s="245" t="s">
        <v>1476</v>
      </c>
      <c r="E1408" s="245" t="s">
        <v>1585</v>
      </c>
      <c r="F1408" s="245" t="s">
        <v>2391</v>
      </c>
      <c r="G1408" s="245" t="s">
        <v>2392</v>
      </c>
      <c r="H1408" s="245" t="s">
        <v>2392</v>
      </c>
    </row>
    <row r="1409" spans="1:8">
      <c r="A1409" s="245" t="s">
        <v>6666</v>
      </c>
      <c r="B1409" s="245" t="s">
        <v>6592</v>
      </c>
      <c r="C1409" s="245" t="s">
        <v>6593</v>
      </c>
      <c r="D1409" s="245" t="s">
        <v>71</v>
      </c>
      <c r="E1409" s="245" t="s">
        <v>1405</v>
      </c>
      <c r="F1409" s="245" t="s">
        <v>2392</v>
      </c>
      <c r="G1409" s="245" t="s">
        <v>2392</v>
      </c>
      <c r="H1409" s="245" t="s">
        <v>2392</v>
      </c>
    </row>
    <row r="1410" spans="1:8">
      <c r="A1410" s="245" t="s">
        <v>6667</v>
      </c>
      <c r="B1410" s="245" t="s">
        <v>6592</v>
      </c>
      <c r="C1410" s="245" t="s">
        <v>6593</v>
      </c>
      <c r="D1410" s="245" t="s">
        <v>71</v>
      </c>
      <c r="E1410" s="245" t="s">
        <v>1405</v>
      </c>
      <c r="F1410" s="245" t="s">
        <v>2392</v>
      </c>
      <c r="G1410" s="245" t="s">
        <v>2392</v>
      </c>
      <c r="H1410" s="245" t="s">
        <v>2392</v>
      </c>
    </row>
    <row r="1411" spans="1:8">
      <c r="A1411" s="245" t="s">
        <v>6668</v>
      </c>
      <c r="B1411" s="245" t="s">
        <v>6592</v>
      </c>
      <c r="C1411" s="245" t="s">
        <v>6593</v>
      </c>
      <c r="D1411" s="245" t="s">
        <v>71</v>
      </c>
      <c r="E1411" s="245" t="s">
        <v>1405</v>
      </c>
      <c r="F1411" s="245" t="s">
        <v>2392</v>
      </c>
      <c r="G1411" s="245" t="s">
        <v>2392</v>
      </c>
      <c r="H1411" s="245" t="s">
        <v>2392</v>
      </c>
    </row>
    <row r="1412" spans="1:8">
      <c r="A1412" s="245" t="s">
        <v>6669</v>
      </c>
      <c r="B1412" s="245" t="s">
        <v>6592</v>
      </c>
      <c r="C1412" s="245" t="s">
        <v>6593</v>
      </c>
      <c r="D1412" s="245" t="s">
        <v>71</v>
      </c>
      <c r="E1412" s="245" t="s">
        <v>1405</v>
      </c>
      <c r="F1412" s="245" t="s">
        <v>2392</v>
      </c>
      <c r="G1412" s="245" t="s">
        <v>2392</v>
      </c>
      <c r="H1412" s="245" t="s">
        <v>2392</v>
      </c>
    </row>
    <row r="1413" spans="1:8">
      <c r="A1413" s="245" t="s">
        <v>6670</v>
      </c>
      <c r="B1413" s="245" t="s">
        <v>6592</v>
      </c>
      <c r="C1413" s="245" t="s">
        <v>6593</v>
      </c>
      <c r="D1413" s="245" t="s">
        <v>71</v>
      </c>
      <c r="E1413" s="245" t="s">
        <v>1405</v>
      </c>
      <c r="F1413" s="245" t="s">
        <v>2392</v>
      </c>
      <c r="G1413" s="245" t="s">
        <v>2392</v>
      </c>
      <c r="H1413" s="245" t="s">
        <v>2392</v>
      </c>
    </row>
    <row r="1414" spans="1:8">
      <c r="A1414" s="245" t="s">
        <v>6671</v>
      </c>
      <c r="B1414" s="245" t="s">
        <v>6592</v>
      </c>
      <c r="C1414" s="245" t="s">
        <v>6593</v>
      </c>
      <c r="D1414" s="245" t="s">
        <v>71</v>
      </c>
      <c r="E1414" s="245" t="s">
        <v>1405</v>
      </c>
      <c r="F1414" s="245" t="s">
        <v>2392</v>
      </c>
      <c r="G1414" s="245" t="s">
        <v>2392</v>
      </c>
      <c r="H1414" s="245" t="s">
        <v>2392</v>
      </c>
    </row>
    <row r="1415" spans="1:8">
      <c r="A1415" s="245" t="s">
        <v>6672</v>
      </c>
      <c r="B1415" s="245" t="s">
        <v>6592</v>
      </c>
      <c r="C1415" s="245" t="s">
        <v>6593</v>
      </c>
      <c r="D1415" s="245" t="s">
        <v>71</v>
      </c>
      <c r="E1415" s="245" t="s">
        <v>1405</v>
      </c>
      <c r="F1415" s="245" t="s">
        <v>2392</v>
      </c>
      <c r="G1415" s="245" t="s">
        <v>2392</v>
      </c>
      <c r="H1415" s="245" t="s">
        <v>2392</v>
      </c>
    </row>
    <row r="1416" spans="1:8">
      <c r="A1416" s="245" t="s">
        <v>6673</v>
      </c>
      <c r="B1416" s="245" t="s">
        <v>6592</v>
      </c>
      <c r="C1416" s="245" t="s">
        <v>6593</v>
      </c>
      <c r="D1416" s="245" t="s">
        <v>71</v>
      </c>
      <c r="E1416" s="245" t="s">
        <v>1405</v>
      </c>
      <c r="F1416" s="245" t="s">
        <v>2392</v>
      </c>
      <c r="G1416" s="245" t="s">
        <v>2392</v>
      </c>
      <c r="H1416" s="245" t="s">
        <v>2392</v>
      </c>
    </row>
    <row r="1417" spans="1:8">
      <c r="A1417" s="245" t="s">
        <v>6674</v>
      </c>
      <c r="B1417" s="245" t="s">
        <v>6592</v>
      </c>
      <c r="C1417" s="245" t="s">
        <v>6593</v>
      </c>
      <c r="D1417" s="245" t="s">
        <v>71</v>
      </c>
      <c r="E1417" s="245" t="s">
        <v>1405</v>
      </c>
      <c r="F1417" s="245" t="s">
        <v>2392</v>
      </c>
      <c r="G1417" s="245" t="s">
        <v>2392</v>
      </c>
      <c r="H1417" s="245" t="s">
        <v>2392</v>
      </c>
    </row>
    <row r="1418" spans="1:8">
      <c r="A1418" s="245" t="s">
        <v>6675</v>
      </c>
      <c r="B1418" s="245" t="s">
        <v>6592</v>
      </c>
      <c r="C1418" s="245" t="s">
        <v>6593</v>
      </c>
      <c r="D1418" s="245" t="s">
        <v>71</v>
      </c>
      <c r="E1418" s="245" t="s">
        <v>1405</v>
      </c>
      <c r="F1418" s="245" t="s">
        <v>2392</v>
      </c>
      <c r="G1418" s="245" t="s">
        <v>2392</v>
      </c>
      <c r="H1418" s="245" t="s">
        <v>2392</v>
      </c>
    </row>
    <row r="1419" spans="1:8">
      <c r="A1419" s="245" t="s">
        <v>3332</v>
      </c>
      <c r="B1419" s="245">
        <v>41200076</v>
      </c>
      <c r="C1419" s="245" t="s">
        <v>1476</v>
      </c>
      <c r="D1419" s="245" t="s">
        <v>1476</v>
      </c>
      <c r="E1419" s="245" t="s">
        <v>1585</v>
      </c>
      <c r="F1419" s="245" t="s">
        <v>2395</v>
      </c>
      <c r="G1419" s="245" t="s">
        <v>1469</v>
      </c>
      <c r="H1419" s="245" t="s">
        <v>2392</v>
      </c>
    </row>
    <row r="1420" spans="1:8">
      <c r="A1420" s="245" t="s">
        <v>3331</v>
      </c>
      <c r="B1420" s="245">
        <v>41200124</v>
      </c>
      <c r="C1420" s="245" t="s">
        <v>1476</v>
      </c>
      <c r="D1420" s="245" t="s">
        <v>6609</v>
      </c>
      <c r="E1420" s="245" t="s">
        <v>1585</v>
      </c>
      <c r="F1420" s="245" t="s">
        <v>2391</v>
      </c>
      <c r="G1420" s="245" t="s">
        <v>2392</v>
      </c>
      <c r="H1420" s="245" t="s">
        <v>2392</v>
      </c>
    </row>
    <row r="1421" spans="1:8">
      <c r="A1421" s="245" t="s">
        <v>3330</v>
      </c>
      <c r="B1421" s="245">
        <v>41200124</v>
      </c>
      <c r="C1421" s="245" t="s">
        <v>1476</v>
      </c>
      <c r="D1421" s="245" t="s">
        <v>6609</v>
      </c>
      <c r="E1421" s="245" t="s">
        <v>1585</v>
      </c>
      <c r="F1421" s="245" t="s">
        <v>2391</v>
      </c>
      <c r="G1421" s="245" t="s">
        <v>2392</v>
      </c>
      <c r="H1421" s="245" t="s">
        <v>2392</v>
      </c>
    </row>
    <row r="1422" spans="1:8">
      <c r="A1422" s="245" t="s">
        <v>3318</v>
      </c>
      <c r="B1422" s="245">
        <v>41100435</v>
      </c>
      <c r="C1422" s="245" t="s">
        <v>3801</v>
      </c>
      <c r="D1422" s="245" t="s">
        <v>1482</v>
      </c>
      <c r="E1422" s="245" t="s">
        <v>1585</v>
      </c>
      <c r="F1422" s="245" t="s">
        <v>2391</v>
      </c>
      <c r="G1422" s="245" t="s">
        <v>1468</v>
      </c>
      <c r="H1422" s="245" t="s">
        <v>71</v>
      </c>
    </row>
    <row r="1423" spans="1:8">
      <c r="A1423" s="245" t="s">
        <v>3353</v>
      </c>
      <c r="B1423" s="245">
        <v>41200007</v>
      </c>
      <c r="C1423" s="245" t="s">
        <v>1591</v>
      </c>
      <c r="D1423" s="245" t="s">
        <v>6608</v>
      </c>
      <c r="E1423" s="245" t="s">
        <v>1405</v>
      </c>
      <c r="F1423" s="245" t="s">
        <v>2395</v>
      </c>
      <c r="G1423" s="245" t="s">
        <v>1469</v>
      </c>
      <c r="H1423" s="245" t="s">
        <v>2392</v>
      </c>
    </row>
    <row r="1424" spans="1:8">
      <c r="A1424" s="245" t="s">
        <v>3352</v>
      </c>
      <c r="B1424" s="245">
        <v>41200007</v>
      </c>
      <c r="C1424" s="245" t="s">
        <v>1591</v>
      </c>
      <c r="D1424" s="245" t="s">
        <v>6608</v>
      </c>
      <c r="E1424" s="245" t="s">
        <v>1405</v>
      </c>
      <c r="F1424" s="245" t="s">
        <v>2395</v>
      </c>
      <c r="G1424" s="245" t="s">
        <v>1469</v>
      </c>
      <c r="H1424" s="245" t="s">
        <v>2392</v>
      </c>
    </row>
    <row r="1425" spans="1:8">
      <c r="A1425" s="245" t="s">
        <v>3328</v>
      </c>
      <c r="B1425" s="245">
        <v>41200158</v>
      </c>
      <c r="C1425" s="245" t="s">
        <v>1480</v>
      </c>
      <c r="D1425" s="245" t="s">
        <v>1480</v>
      </c>
      <c r="E1425" s="245" t="s">
        <v>1405</v>
      </c>
      <c r="F1425" s="245" t="s">
        <v>2395</v>
      </c>
      <c r="G1425" s="245" t="s">
        <v>1469</v>
      </c>
      <c r="H1425" s="245" t="s">
        <v>2392</v>
      </c>
    </row>
    <row r="1426" spans="1:8">
      <c r="A1426" s="245" t="s">
        <v>3327</v>
      </c>
      <c r="B1426" s="245">
        <v>41200158</v>
      </c>
      <c r="C1426" s="245" t="s">
        <v>1480</v>
      </c>
      <c r="D1426" s="245" t="s">
        <v>1480</v>
      </c>
      <c r="E1426" s="245" t="s">
        <v>1405</v>
      </c>
      <c r="F1426" s="245" t="s">
        <v>2395</v>
      </c>
      <c r="G1426" s="245" t="s">
        <v>1469</v>
      </c>
      <c r="H1426" s="245" t="s">
        <v>2392</v>
      </c>
    </row>
    <row r="1427" spans="1:8">
      <c r="A1427" s="245" t="s">
        <v>3326</v>
      </c>
      <c r="B1427" s="245">
        <v>41200158</v>
      </c>
      <c r="C1427" s="245" t="s">
        <v>1480</v>
      </c>
      <c r="D1427" s="245" t="s">
        <v>1480</v>
      </c>
      <c r="E1427" s="245" t="s">
        <v>1405</v>
      </c>
      <c r="F1427" s="245" t="s">
        <v>2395</v>
      </c>
      <c r="G1427" s="245" t="s">
        <v>1469</v>
      </c>
      <c r="H1427" s="245" t="s">
        <v>2392</v>
      </c>
    </row>
    <row r="1428" spans="1:8">
      <c r="A1428" s="245" t="s">
        <v>3329</v>
      </c>
      <c r="B1428" s="245">
        <v>41200133</v>
      </c>
      <c r="C1428" s="245" t="s">
        <v>1476</v>
      </c>
      <c r="D1428" s="245" t="s">
        <v>6605</v>
      </c>
      <c r="E1428" s="245" t="s">
        <v>1429</v>
      </c>
      <c r="F1428" s="245" t="s">
        <v>2391</v>
      </c>
      <c r="G1428" s="245" t="s">
        <v>2392</v>
      </c>
      <c r="H1428" s="245" t="s">
        <v>2392</v>
      </c>
    </row>
    <row r="1429" spans="1:8">
      <c r="A1429" s="245" t="s">
        <v>3338</v>
      </c>
      <c r="B1429" s="245">
        <v>41200125</v>
      </c>
      <c r="C1429" s="245" t="s">
        <v>1476</v>
      </c>
      <c r="D1429" s="245" t="s">
        <v>1476</v>
      </c>
      <c r="E1429" s="245" t="s">
        <v>1585</v>
      </c>
      <c r="F1429" s="245" t="s">
        <v>2395</v>
      </c>
      <c r="G1429" s="245" t="s">
        <v>1469</v>
      </c>
      <c r="H1429" s="245" t="s">
        <v>2392</v>
      </c>
    </row>
    <row r="1430" spans="1:8">
      <c r="A1430" s="245" t="s">
        <v>3319</v>
      </c>
      <c r="B1430" s="245">
        <v>41200005</v>
      </c>
      <c r="C1430" s="245" t="s">
        <v>1591</v>
      </c>
      <c r="D1430" s="245" t="s">
        <v>1591</v>
      </c>
      <c r="E1430" s="245" t="s">
        <v>1405</v>
      </c>
      <c r="F1430" s="245" t="s">
        <v>2395</v>
      </c>
      <c r="G1430" s="245" t="s">
        <v>1469</v>
      </c>
      <c r="H1430" s="245" t="s">
        <v>2392</v>
      </c>
    </row>
    <row r="1431" spans="1:8">
      <c r="A1431" s="245" t="s">
        <v>3320</v>
      </c>
      <c r="B1431" s="245">
        <v>41200005</v>
      </c>
      <c r="C1431" s="245" t="s">
        <v>1591</v>
      </c>
      <c r="D1431" s="245" t="s">
        <v>1591</v>
      </c>
      <c r="E1431" s="245" t="s">
        <v>1405</v>
      </c>
      <c r="F1431" s="245" t="s">
        <v>2395</v>
      </c>
      <c r="G1431" s="245" t="s">
        <v>1469</v>
      </c>
      <c r="H1431" s="245" t="s">
        <v>2392</v>
      </c>
    </row>
    <row r="1432" spans="1:8">
      <c r="A1432" s="245" t="s">
        <v>3325</v>
      </c>
      <c r="B1432" s="245">
        <v>41200153</v>
      </c>
      <c r="C1432" s="245" t="s">
        <v>1476</v>
      </c>
      <c r="D1432" s="245" t="s">
        <v>6663</v>
      </c>
      <c r="E1432" s="245" t="s">
        <v>1422</v>
      </c>
      <c r="F1432" s="245" t="s">
        <v>2391</v>
      </c>
      <c r="G1432" s="245" t="s">
        <v>1468</v>
      </c>
      <c r="H1432" s="245" t="s">
        <v>2392</v>
      </c>
    </row>
    <row r="1433" spans="1:8">
      <c r="A1433" s="245" t="s">
        <v>3321</v>
      </c>
      <c r="B1433" s="245">
        <v>41200153</v>
      </c>
      <c r="C1433" s="245" t="s">
        <v>1476</v>
      </c>
      <c r="D1433" s="245" t="s">
        <v>6663</v>
      </c>
      <c r="E1433" s="245" t="s">
        <v>1422</v>
      </c>
      <c r="F1433" s="245" t="s">
        <v>2391</v>
      </c>
      <c r="G1433" s="245" t="s">
        <v>1468</v>
      </c>
      <c r="H1433" s="245" t="s">
        <v>2392</v>
      </c>
    </row>
    <row r="1434" spans="1:8">
      <c r="A1434" s="245" t="s">
        <v>3322</v>
      </c>
      <c r="B1434" s="245">
        <v>41200153</v>
      </c>
      <c r="C1434" s="245" t="s">
        <v>1476</v>
      </c>
      <c r="D1434" s="245" t="s">
        <v>6663</v>
      </c>
      <c r="E1434" s="245" t="s">
        <v>1422</v>
      </c>
      <c r="F1434" s="245" t="s">
        <v>2391</v>
      </c>
      <c r="G1434" s="245" t="s">
        <v>1468</v>
      </c>
      <c r="H1434" s="245" t="s">
        <v>2392</v>
      </c>
    </row>
    <row r="1435" spans="1:8">
      <c r="A1435" s="245" t="s">
        <v>3317</v>
      </c>
      <c r="B1435" s="245">
        <v>41200153</v>
      </c>
      <c r="C1435" s="245" t="s">
        <v>1476</v>
      </c>
      <c r="D1435" s="245" t="s">
        <v>6663</v>
      </c>
      <c r="E1435" s="245" t="s">
        <v>1422</v>
      </c>
      <c r="F1435" s="245" t="s">
        <v>2391</v>
      </c>
      <c r="G1435" s="245" t="s">
        <v>1468</v>
      </c>
      <c r="H1435" s="245" t="s">
        <v>2392</v>
      </c>
    </row>
    <row r="1436" spans="1:8">
      <c r="A1436" s="245" t="s">
        <v>3302</v>
      </c>
      <c r="B1436" s="245">
        <v>41200132</v>
      </c>
      <c r="C1436" s="245" t="s">
        <v>1476</v>
      </c>
      <c r="D1436" s="245" t="s">
        <v>6605</v>
      </c>
      <c r="E1436" s="245" t="s">
        <v>1431</v>
      </c>
      <c r="F1436" s="245" t="s">
        <v>2395</v>
      </c>
      <c r="G1436" s="245" t="s">
        <v>2392</v>
      </c>
      <c r="H1436" s="245" t="s">
        <v>2392</v>
      </c>
    </row>
    <row r="1437" spans="1:8">
      <c r="A1437" s="245" t="s">
        <v>3304</v>
      </c>
      <c r="B1437" s="245">
        <v>41100502</v>
      </c>
      <c r="C1437" s="245" t="s">
        <v>1591</v>
      </c>
      <c r="D1437" s="245" t="s">
        <v>1591</v>
      </c>
      <c r="E1437" s="245" t="s">
        <v>1585</v>
      </c>
      <c r="F1437" s="245" t="s">
        <v>2391</v>
      </c>
      <c r="G1437" s="245" t="s">
        <v>1468</v>
      </c>
      <c r="H1437" s="245" t="s">
        <v>2392</v>
      </c>
    </row>
    <row r="1438" spans="1:8">
      <c r="A1438" s="245" t="s">
        <v>3303</v>
      </c>
      <c r="B1438" s="245">
        <v>41100502</v>
      </c>
      <c r="C1438" s="245" t="s">
        <v>1591</v>
      </c>
      <c r="D1438" s="245" t="s">
        <v>1591</v>
      </c>
      <c r="E1438" s="245" t="s">
        <v>1585</v>
      </c>
      <c r="F1438" s="245" t="s">
        <v>2391</v>
      </c>
      <c r="G1438" s="245" t="s">
        <v>1468</v>
      </c>
      <c r="H1438" s="245" t="s">
        <v>2392</v>
      </c>
    </row>
    <row r="1439" spans="1:8">
      <c r="A1439" s="245" t="s">
        <v>3292</v>
      </c>
      <c r="B1439" s="245">
        <v>41200109</v>
      </c>
      <c r="C1439" s="245" t="s">
        <v>1591</v>
      </c>
      <c r="D1439" s="245" t="s">
        <v>6619</v>
      </c>
      <c r="E1439" s="245" t="s">
        <v>1585</v>
      </c>
      <c r="F1439" s="245" t="s">
        <v>2391</v>
      </c>
      <c r="G1439" s="245" t="s">
        <v>2392</v>
      </c>
      <c r="H1439" s="245" t="s">
        <v>2392</v>
      </c>
    </row>
    <row r="1440" spans="1:8">
      <c r="A1440" s="245" t="s">
        <v>3291</v>
      </c>
      <c r="B1440" s="245">
        <v>41200109</v>
      </c>
      <c r="C1440" s="245" t="s">
        <v>1591</v>
      </c>
      <c r="D1440" s="245" t="s">
        <v>6619</v>
      </c>
      <c r="E1440" s="245" t="s">
        <v>1585</v>
      </c>
      <c r="F1440" s="245" t="s">
        <v>2391</v>
      </c>
      <c r="G1440" s="245" t="s">
        <v>2392</v>
      </c>
      <c r="H1440" s="245" t="s">
        <v>2392</v>
      </c>
    </row>
    <row r="1441" spans="1:8">
      <c r="A1441" s="245" t="s">
        <v>3301</v>
      </c>
      <c r="B1441" s="245">
        <v>41100374</v>
      </c>
      <c r="C1441" s="245" t="s">
        <v>1476</v>
      </c>
      <c r="D1441" s="245" t="s">
        <v>6610</v>
      </c>
      <c r="E1441" s="245" t="s">
        <v>1585</v>
      </c>
      <c r="F1441" s="245" t="s">
        <v>2391</v>
      </c>
      <c r="G1441" s="245" t="s">
        <v>2392</v>
      </c>
      <c r="H1441" s="245" t="s">
        <v>2392</v>
      </c>
    </row>
    <row r="1442" spans="1:8">
      <c r="A1442" s="245" t="s">
        <v>3297</v>
      </c>
      <c r="B1442" s="245">
        <v>41100264</v>
      </c>
      <c r="C1442" s="245" t="s">
        <v>1591</v>
      </c>
      <c r="D1442" s="245" t="s">
        <v>6611</v>
      </c>
      <c r="E1442" s="245" t="s">
        <v>1585</v>
      </c>
      <c r="F1442" s="245" t="s">
        <v>2391</v>
      </c>
      <c r="G1442" s="245" t="s">
        <v>1468</v>
      </c>
      <c r="H1442" s="245" t="s">
        <v>2392</v>
      </c>
    </row>
    <row r="1443" spans="1:8">
      <c r="A1443" s="245" t="s">
        <v>3296</v>
      </c>
      <c r="B1443" s="245">
        <v>41100264</v>
      </c>
      <c r="C1443" s="245" t="s">
        <v>1591</v>
      </c>
      <c r="D1443" s="245" t="s">
        <v>6611</v>
      </c>
      <c r="E1443" s="245" t="s">
        <v>1585</v>
      </c>
      <c r="F1443" s="245" t="s">
        <v>2391</v>
      </c>
      <c r="G1443" s="245" t="s">
        <v>1468</v>
      </c>
      <c r="H1443" s="245" t="s">
        <v>2392</v>
      </c>
    </row>
    <row r="1444" spans="1:8">
      <c r="A1444" s="245" t="s">
        <v>3299</v>
      </c>
      <c r="B1444" s="245">
        <v>41200006</v>
      </c>
      <c r="C1444" s="245" t="s">
        <v>1477</v>
      </c>
      <c r="D1444" s="245" t="s">
        <v>6640</v>
      </c>
      <c r="E1444" s="245" t="s">
        <v>1405</v>
      </c>
      <c r="F1444" s="245" t="s">
        <v>2395</v>
      </c>
      <c r="G1444" s="245" t="s">
        <v>1469</v>
      </c>
      <c r="H1444" s="245" t="s">
        <v>2392</v>
      </c>
    </row>
    <row r="1445" spans="1:8">
      <c r="A1445" s="245" t="s">
        <v>3298</v>
      </c>
      <c r="B1445" s="245">
        <v>41200006</v>
      </c>
      <c r="C1445" s="245" t="s">
        <v>1477</v>
      </c>
      <c r="D1445" s="245" t="s">
        <v>6640</v>
      </c>
      <c r="E1445" s="245" t="s">
        <v>1405</v>
      </c>
      <c r="F1445" s="245" t="s">
        <v>2395</v>
      </c>
      <c r="G1445" s="245" t="s">
        <v>1469</v>
      </c>
      <c r="H1445" s="245" t="s">
        <v>2392</v>
      </c>
    </row>
    <row r="1446" spans="1:8">
      <c r="A1446" s="245" t="s">
        <v>3313</v>
      </c>
      <c r="B1446" s="245">
        <v>41200088</v>
      </c>
      <c r="C1446" s="245" t="s">
        <v>1476</v>
      </c>
      <c r="D1446" s="245" t="s">
        <v>1476</v>
      </c>
      <c r="E1446" s="245" t="s">
        <v>1422</v>
      </c>
      <c r="F1446" s="245" t="s">
        <v>2395</v>
      </c>
      <c r="G1446" s="245" t="s">
        <v>1469</v>
      </c>
      <c r="H1446" s="245" t="s">
        <v>2392</v>
      </c>
    </row>
    <row r="1447" spans="1:8">
      <c r="A1447" s="245" t="s">
        <v>3309</v>
      </c>
      <c r="B1447" s="245">
        <v>41100584</v>
      </c>
      <c r="C1447" s="245" t="s">
        <v>1591</v>
      </c>
      <c r="D1447" s="245" t="s">
        <v>6635</v>
      </c>
      <c r="E1447" s="245" t="s">
        <v>1422</v>
      </c>
      <c r="F1447" s="245" t="s">
        <v>2391</v>
      </c>
      <c r="G1447" s="245" t="s">
        <v>2392</v>
      </c>
      <c r="H1447" s="245" t="s">
        <v>2392</v>
      </c>
    </row>
    <row r="1448" spans="1:8">
      <c r="A1448" s="245" t="s">
        <v>3242</v>
      </c>
      <c r="B1448" s="245">
        <v>41200048</v>
      </c>
      <c r="C1448" s="245" t="s">
        <v>1476</v>
      </c>
      <c r="D1448" s="245" t="s">
        <v>1426</v>
      </c>
      <c r="E1448" s="245" t="s">
        <v>1426</v>
      </c>
      <c r="F1448" s="245" t="s">
        <v>2391</v>
      </c>
      <c r="G1448" s="245" t="s">
        <v>2392</v>
      </c>
      <c r="H1448" s="245" t="s">
        <v>2392</v>
      </c>
    </row>
    <row r="1449" spans="1:8">
      <c r="A1449" s="245" t="s">
        <v>5406</v>
      </c>
      <c r="B1449" s="245">
        <v>41200182</v>
      </c>
      <c r="C1449" s="245" t="s">
        <v>1393</v>
      </c>
      <c r="D1449" s="245" t="s">
        <v>1392</v>
      </c>
      <c r="E1449" s="245" t="s">
        <v>1392</v>
      </c>
      <c r="F1449" s="245" t="s">
        <v>2395</v>
      </c>
      <c r="G1449" s="245" t="s">
        <v>2392</v>
      </c>
      <c r="H1449" s="245" t="s">
        <v>2392</v>
      </c>
    </row>
    <row r="1450" spans="1:8">
      <c r="A1450" s="245" t="s">
        <v>3293</v>
      </c>
      <c r="B1450" s="245">
        <v>41200121</v>
      </c>
      <c r="C1450" s="245" t="s">
        <v>1479</v>
      </c>
      <c r="D1450" s="245" t="s">
        <v>6676</v>
      </c>
      <c r="E1450" s="245" t="s">
        <v>1403</v>
      </c>
      <c r="F1450" s="245" t="s">
        <v>2391</v>
      </c>
      <c r="G1450" s="245" t="s">
        <v>2392</v>
      </c>
      <c r="H1450" s="245" t="s">
        <v>2392</v>
      </c>
    </row>
    <row r="1451" spans="1:8">
      <c r="A1451" s="245" t="s">
        <v>3312</v>
      </c>
      <c r="B1451" s="245">
        <v>41200005</v>
      </c>
      <c r="C1451" s="245" t="s">
        <v>1591</v>
      </c>
      <c r="D1451" s="245" t="s">
        <v>1591</v>
      </c>
      <c r="E1451" s="245" t="s">
        <v>1405</v>
      </c>
      <c r="F1451" s="245" t="s">
        <v>2391</v>
      </c>
      <c r="G1451" s="245" t="s">
        <v>1468</v>
      </c>
      <c r="H1451" s="245" t="s">
        <v>2392</v>
      </c>
    </row>
    <row r="1452" spans="1:8">
      <c r="A1452" s="245" t="s">
        <v>3310</v>
      </c>
      <c r="B1452" s="245">
        <v>41200005</v>
      </c>
      <c r="C1452" s="245" t="s">
        <v>1591</v>
      </c>
      <c r="D1452" s="245" t="s">
        <v>1591</v>
      </c>
      <c r="E1452" s="245" t="s">
        <v>1405</v>
      </c>
      <c r="F1452" s="245" t="s">
        <v>2391</v>
      </c>
      <c r="G1452" s="245" t="s">
        <v>1468</v>
      </c>
      <c r="H1452" s="245" t="s">
        <v>2392</v>
      </c>
    </row>
    <row r="1453" spans="1:8">
      <c r="A1453" s="245" t="s">
        <v>3400</v>
      </c>
      <c r="B1453" s="245">
        <v>41200066</v>
      </c>
      <c r="C1453" s="245" t="s">
        <v>1476</v>
      </c>
      <c r="D1453" s="245" t="s">
        <v>1424</v>
      </c>
      <c r="E1453" s="245" t="s">
        <v>1424</v>
      </c>
      <c r="F1453" s="245" t="s">
        <v>2395</v>
      </c>
      <c r="G1453" s="245" t="s">
        <v>1469</v>
      </c>
      <c r="H1453" s="245" t="s">
        <v>2392</v>
      </c>
    </row>
    <row r="1454" spans="1:8">
      <c r="A1454" s="245" t="s">
        <v>3286</v>
      </c>
      <c r="B1454" s="245">
        <v>41200034</v>
      </c>
      <c r="C1454" s="245" t="s">
        <v>1476</v>
      </c>
      <c r="D1454" s="245" t="s">
        <v>1426</v>
      </c>
      <c r="E1454" s="245" t="s">
        <v>1426</v>
      </c>
      <c r="F1454" s="245" t="s">
        <v>2391</v>
      </c>
      <c r="G1454" s="245" t="s">
        <v>1468</v>
      </c>
      <c r="H1454" s="245" t="s">
        <v>2392</v>
      </c>
    </row>
    <row r="1455" spans="1:8">
      <c r="A1455" s="245" t="s">
        <v>3274</v>
      </c>
      <c r="B1455" s="245">
        <v>41200007</v>
      </c>
      <c r="C1455" s="245" t="s">
        <v>1591</v>
      </c>
      <c r="D1455" s="245" t="s">
        <v>6608</v>
      </c>
      <c r="E1455" s="245" t="s">
        <v>1405</v>
      </c>
      <c r="F1455" s="245" t="s">
        <v>2391</v>
      </c>
      <c r="G1455" s="245" t="s">
        <v>1468</v>
      </c>
      <c r="H1455" s="245" t="s">
        <v>2392</v>
      </c>
    </row>
    <row r="1456" spans="1:8">
      <c r="A1456" s="245" t="s">
        <v>3272</v>
      </c>
      <c r="B1456" s="245">
        <v>41200007</v>
      </c>
      <c r="C1456" s="245" t="s">
        <v>1591</v>
      </c>
      <c r="D1456" s="245" t="s">
        <v>6608</v>
      </c>
      <c r="E1456" s="245" t="s">
        <v>1405</v>
      </c>
      <c r="F1456" s="245" t="s">
        <v>2391</v>
      </c>
      <c r="G1456" s="245" t="s">
        <v>1468</v>
      </c>
      <c r="H1456" s="245" t="s">
        <v>2392</v>
      </c>
    </row>
    <row r="1457" spans="1:8">
      <c r="A1457" s="245" t="s">
        <v>3276</v>
      </c>
      <c r="B1457" s="245">
        <v>41200007</v>
      </c>
      <c r="C1457" s="245" t="s">
        <v>1591</v>
      </c>
      <c r="D1457" s="245" t="s">
        <v>6608</v>
      </c>
      <c r="E1457" s="245" t="s">
        <v>1405</v>
      </c>
      <c r="F1457" s="245" t="s">
        <v>2391</v>
      </c>
      <c r="G1457" s="245" t="s">
        <v>1468</v>
      </c>
      <c r="H1457" s="245" t="s">
        <v>2392</v>
      </c>
    </row>
    <row r="1458" spans="1:8">
      <c r="A1458" s="245" t="s">
        <v>3241</v>
      </c>
      <c r="B1458" s="245">
        <v>41100435</v>
      </c>
      <c r="C1458" s="245" t="s">
        <v>3801</v>
      </c>
      <c r="D1458" s="245" t="s">
        <v>1482</v>
      </c>
      <c r="E1458" s="245" t="s">
        <v>1585</v>
      </c>
      <c r="F1458" s="245" t="s">
        <v>2395</v>
      </c>
      <c r="G1458" s="245" t="s">
        <v>2392</v>
      </c>
      <c r="H1458" s="245" t="s">
        <v>71</v>
      </c>
    </row>
    <row r="1459" spans="1:8">
      <c r="A1459" s="245" t="s">
        <v>5404</v>
      </c>
      <c r="B1459" s="245">
        <v>41200183</v>
      </c>
      <c r="C1459" s="245" t="s">
        <v>1393</v>
      </c>
      <c r="D1459" s="245" t="s">
        <v>1392</v>
      </c>
      <c r="E1459" s="245" t="s">
        <v>1392</v>
      </c>
      <c r="F1459" s="245" t="s">
        <v>2395</v>
      </c>
      <c r="G1459" s="245" t="s">
        <v>1469</v>
      </c>
      <c r="H1459" s="245" t="s">
        <v>2392</v>
      </c>
    </row>
    <row r="1460" spans="1:8">
      <c r="A1460" s="245" t="s">
        <v>3285</v>
      </c>
      <c r="B1460" s="245">
        <v>41200029</v>
      </c>
      <c r="C1460" s="245" t="s">
        <v>1476</v>
      </c>
      <c r="D1460" s="245" t="s">
        <v>6610</v>
      </c>
      <c r="E1460" s="245" t="s">
        <v>1405</v>
      </c>
      <c r="F1460" s="245" t="s">
        <v>2395</v>
      </c>
      <c r="G1460" s="245" t="s">
        <v>1469</v>
      </c>
      <c r="H1460" s="245" t="s">
        <v>2392</v>
      </c>
    </row>
    <row r="1461" spans="1:8">
      <c r="A1461" s="245" t="s">
        <v>3281</v>
      </c>
      <c r="B1461" s="245">
        <v>41200171</v>
      </c>
      <c r="C1461" s="245" t="s">
        <v>1479</v>
      </c>
      <c r="D1461" s="245" t="s">
        <v>1394</v>
      </c>
      <c r="E1461" s="245" t="s">
        <v>1394</v>
      </c>
      <c r="F1461" s="245" t="s">
        <v>2391</v>
      </c>
      <c r="G1461" s="245" t="s">
        <v>2392</v>
      </c>
      <c r="H1461" s="245" t="s">
        <v>2392</v>
      </c>
    </row>
    <row r="1462" spans="1:8">
      <c r="A1462" s="245" t="s">
        <v>3488</v>
      </c>
      <c r="B1462" s="245">
        <v>41100502</v>
      </c>
      <c r="C1462" s="245" t="s">
        <v>1591</v>
      </c>
      <c r="D1462" s="245" t="s">
        <v>1591</v>
      </c>
      <c r="E1462" s="245" t="s">
        <v>1585</v>
      </c>
      <c r="F1462" s="245" t="s">
        <v>2395</v>
      </c>
      <c r="G1462" s="245" t="s">
        <v>1469</v>
      </c>
      <c r="H1462" s="245" t="s">
        <v>2392</v>
      </c>
    </row>
    <row r="1463" spans="1:8">
      <c r="A1463" s="245" t="s">
        <v>3486</v>
      </c>
      <c r="B1463" s="245">
        <v>41100502</v>
      </c>
      <c r="C1463" s="245" t="s">
        <v>1591</v>
      </c>
      <c r="D1463" s="245" t="s">
        <v>1591</v>
      </c>
      <c r="E1463" s="245" t="s">
        <v>1585</v>
      </c>
      <c r="F1463" s="245" t="s">
        <v>2395</v>
      </c>
      <c r="G1463" s="245" t="s">
        <v>1469</v>
      </c>
      <c r="H1463" s="245" t="s">
        <v>2392</v>
      </c>
    </row>
    <row r="1464" spans="1:8">
      <c r="A1464" s="245" t="s">
        <v>3284</v>
      </c>
      <c r="B1464" s="245">
        <v>41000584</v>
      </c>
      <c r="C1464" s="245" t="s">
        <v>1911</v>
      </c>
      <c r="D1464" s="245" t="s">
        <v>6658</v>
      </c>
      <c r="E1464" s="245" t="s">
        <v>1405</v>
      </c>
      <c r="F1464" s="245" t="s">
        <v>2392</v>
      </c>
      <c r="G1464" s="245" t="s">
        <v>1468</v>
      </c>
      <c r="H1464" s="245" t="s">
        <v>71</v>
      </c>
    </row>
    <row r="1465" spans="1:8">
      <c r="A1465" s="245" t="s">
        <v>3283</v>
      </c>
      <c r="B1465" s="245">
        <v>41000584</v>
      </c>
      <c r="C1465" s="245" t="s">
        <v>1911</v>
      </c>
      <c r="D1465" s="245" t="s">
        <v>6658</v>
      </c>
      <c r="E1465" s="245" t="s">
        <v>1405</v>
      </c>
      <c r="F1465" s="245" t="s">
        <v>2392</v>
      </c>
      <c r="G1465" s="245" t="s">
        <v>1468</v>
      </c>
      <c r="H1465" s="245" t="s">
        <v>71</v>
      </c>
    </row>
    <row r="1466" spans="1:8">
      <c r="A1466" s="245" t="s">
        <v>3232</v>
      </c>
      <c r="B1466" s="245">
        <v>41100435</v>
      </c>
      <c r="C1466" s="245" t="s">
        <v>3801</v>
      </c>
      <c r="D1466" s="245" t="s">
        <v>1482</v>
      </c>
      <c r="E1466" s="245" t="s">
        <v>1585</v>
      </c>
      <c r="F1466" s="245" t="s">
        <v>2391</v>
      </c>
      <c r="G1466" s="245" t="s">
        <v>2392</v>
      </c>
      <c r="H1466" s="245" t="s">
        <v>71</v>
      </c>
    </row>
    <row r="1467" spans="1:8">
      <c r="A1467" s="245" t="s">
        <v>3231</v>
      </c>
      <c r="B1467" s="245">
        <v>41100435</v>
      </c>
      <c r="C1467" s="245" t="s">
        <v>3801</v>
      </c>
      <c r="D1467" s="245" t="s">
        <v>1482</v>
      </c>
      <c r="E1467" s="245" t="s">
        <v>1585</v>
      </c>
      <c r="F1467" s="245" t="s">
        <v>2391</v>
      </c>
      <c r="G1467" s="245" t="s">
        <v>2392</v>
      </c>
      <c r="H1467" s="245" t="s">
        <v>71</v>
      </c>
    </row>
    <row r="1468" spans="1:8">
      <c r="A1468" s="245" t="s">
        <v>3244</v>
      </c>
      <c r="B1468" s="245">
        <v>41200076</v>
      </c>
      <c r="C1468" s="245" t="s">
        <v>1476</v>
      </c>
      <c r="D1468" s="245" t="s">
        <v>1476</v>
      </c>
      <c r="E1468" s="245" t="s">
        <v>1585</v>
      </c>
      <c r="F1468" s="245" t="s">
        <v>2395</v>
      </c>
      <c r="G1468" s="245" t="s">
        <v>2392</v>
      </c>
      <c r="H1468" s="245" t="s">
        <v>2392</v>
      </c>
    </row>
    <row r="1469" spans="1:8">
      <c r="A1469" s="245" t="s">
        <v>3243</v>
      </c>
      <c r="B1469" s="245">
        <v>41200076</v>
      </c>
      <c r="C1469" s="245" t="s">
        <v>1476</v>
      </c>
      <c r="D1469" s="245" t="s">
        <v>1476</v>
      </c>
      <c r="E1469" s="245" t="s">
        <v>1585</v>
      </c>
      <c r="F1469" s="245" t="s">
        <v>2395</v>
      </c>
      <c r="G1469" s="245" t="s">
        <v>2392</v>
      </c>
      <c r="H1469" s="245" t="s">
        <v>2392</v>
      </c>
    </row>
    <row r="1470" spans="1:8">
      <c r="A1470" s="245" t="s">
        <v>3280</v>
      </c>
      <c r="B1470" s="245">
        <v>41200076</v>
      </c>
      <c r="C1470" s="245" t="s">
        <v>1476</v>
      </c>
      <c r="D1470" s="245" t="s">
        <v>1476</v>
      </c>
      <c r="E1470" s="245" t="s">
        <v>1585</v>
      </c>
      <c r="F1470" s="245" t="s">
        <v>2391</v>
      </c>
      <c r="G1470" s="245" t="s">
        <v>2392</v>
      </c>
      <c r="H1470" s="245" t="s">
        <v>2392</v>
      </c>
    </row>
    <row r="1471" spans="1:8">
      <c r="A1471" s="245" t="s">
        <v>3278</v>
      </c>
      <c r="B1471" s="245">
        <v>41200076</v>
      </c>
      <c r="C1471" s="245" t="s">
        <v>1476</v>
      </c>
      <c r="D1471" s="245" t="s">
        <v>1476</v>
      </c>
      <c r="E1471" s="245" t="s">
        <v>1585</v>
      </c>
      <c r="F1471" s="245" t="s">
        <v>2391</v>
      </c>
      <c r="G1471" s="245" t="s">
        <v>2392</v>
      </c>
      <c r="H1471" s="245" t="s">
        <v>2392</v>
      </c>
    </row>
    <row r="1472" spans="1:8">
      <c r="A1472" s="245" t="s">
        <v>3265</v>
      </c>
      <c r="B1472" s="245">
        <v>41100317</v>
      </c>
      <c r="C1472" s="245" t="s">
        <v>1476</v>
      </c>
      <c r="D1472" s="245" t="s">
        <v>1476</v>
      </c>
      <c r="E1472" s="245" t="s">
        <v>1585</v>
      </c>
      <c r="F1472" s="245" t="s">
        <v>2391</v>
      </c>
      <c r="G1472" s="245" t="s">
        <v>1468</v>
      </c>
      <c r="H1472" s="245" t="s">
        <v>2392</v>
      </c>
    </row>
    <row r="1473" spans="1:8">
      <c r="A1473" s="245" t="s">
        <v>3314</v>
      </c>
      <c r="B1473" s="245">
        <v>41200158</v>
      </c>
      <c r="C1473" s="245" t="s">
        <v>1480</v>
      </c>
      <c r="D1473" s="245" t="s">
        <v>1480</v>
      </c>
      <c r="E1473" s="245" t="s">
        <v>1405</v>
      </c>
      <c r="F1473" s="245" t="s">
        <v>2395</v>
      </c>
      <c r="G1473" s="245" t="s">
        <v>1469</v>
      </c>
      <c r="H1473" s="245" t="s">
        <v>2392</v>
      </c>
    </row>
    <row r="1474" spans="1:8">
      <c r="A1474" s="245" t="s">
        <v>3306</v>
      </c>
      <c r="B1474" s="245">
        <v>41200158</v>
      </c>
      <c r="C1474" s="245" t="s">
        <v>1480</v>
      </c>
      <c r="D1474" s="245" t="s">
        <v>1480</v>
      </c>
      <c r="E1474" s="245" t="s">
        <v>1405</v>
      </c>
      <c r="F1474" s="245" t="s">
        <v>2395</v>
      </c>
      <c r="G1474" s="245" t="s">
        <v>1469</v>
      </c>
      <c r="H1474" s="245" t="s">
        <v>2392</v>
      </c>
    </row>
    <row r="1475" spans="1:8">
      <c r="A1475" s="245" t="s">
        <v>3305</v>
      </c>
      <c r="B1475" s="245">
        <v>41200158</v>
      </c>
      <c r="C1475" s="245" t="s">
        <v>1480</v>
      </c>
      <c r="D1475" s="245" t="s">
        <v>1480</v>
      </c>
      <c r="E1475" s="245" t="s">
        <v>1405</v>
      </c>
      <c r="F1475" s="245" t="s">
        <v>2395</v>
      </c>
      <c r="G1475" s="245" t="s">
        <v>1469</v>
      </c>
      <c r="H1475" s="245" t="s">
        <v>2392</v>
      </c>
    </row>
    <row r="1476" spans="1:8">
      <c r="A1476" s="245" t="s">
        <v>3267</v>
      </c>
      <c r="B1476" s="245">
        <v>41200061</v>
      </c>
      <c r="C1476" s="245" t="s">
        <v>1480</v>
      </c>
      <c r="D1476" s="245" t="s">
        <v>6636</v>
      </c>
      <c r="E1476" s="245" t="s">
        <v>1405</v>
      </c>
      <c r="F1476" s="245" t="s">
        <v>2391</v>
      </c>
      <c r="G1476" s="245" t="s">
        <v>2392</v>
      </c>
      <c r="H1476" s="245" t="s">
        <v>2392</v>
      </c>
    </row>
    <row r="1477" spans="1:8">
      <c r="A1477" s="245" t="s">
        <v>3266</v>
      </c>
      <c r="B1477" s="245">
        <v>41200061</v>
      </c>
      <c r="C1477" s="245" t="s">
        <v>1480</v>
      </c>
      <c r="D1477" s="245" t="s">
        <v>6636</v>
      </c>
      <c r="E1477" s="245" t="s">
        <v>1405</v>
      </c>
      <c r="F1477" s="245" t="s">
        <v>2391</v>
      </c>
      <c r="G1477" s="245" t="s">
        <v>2392</v>
      </c>
      <c r="H1477" s="245" t="s">
        <v>2392</v>
      </c>
    </row>
    <row r="1478" spans="1:8">
      <c r="A1478" s="245" t="s">
        <v>3287</v>
      </c>
      <c r="B1478" s="245">
        <v>41000598</v>
      </c>
      <c r="C1478" s="245" t="s">
        <v>1480</v>
      </c>
      <c r="D1478" s="245" t="s">
        <v>1480</v>
      </c>
      <c r="E1478" s="245" t="s">
        <v>1405</v>
      </c>
      <c r="F1478" s="245" t="s">
        <v>2395</v>
      </c>
      <c r="G1478" s="245" t="s">
        <v>1469</v>
      </c>
      <c r="H1478" s="245" t="s">
        <v>2392</v>
      </c>
    </row>
    <row r="1479" spans="1:8">
      <c r="A1479" s="245" t="s">
        <v>3270</v>
      </c>
      <c r="B1479" s="245">
        <v>41000598</v>
      </c>
      <c r="C1479" s="245" t="s">
        <v>1480</v>
      </c>
      <c r="D1479" s="245" t="s">
        <v>1480</v>
      </c>
      <c r="E1479" s="245" t="s">
        <v>1405</v>
      </c>
      <c r="F1479" s="245" t="s">
        <v>2395</v>
      </c>
      <c r="G1479" s="245" t="s">
        <v>1469</v>
      </c>
      <c r="H1479" s="245" t="s">
        <v>2392</v>
      </c>
    </row>
    <row r="1480" spans="1:8">
      <c r="A1480" s="245" t="s">
        <v>3261</v>
      </c>
      <c r="B1480" s="245">
        <v>41200127</v>
      </c>
      <c r="C1480" s="245" t="s">
        <v>1591</v>
      </c>
      <c r="D1480" s="245" t="s">
        <v>6606</v>
      </c>
      <c r="E1480" s="245" t="s">
        <v>1431</v>
      </c>
      <c r="F1480" s="245" t="s">
        <v>2391</v>
      </c>
      <c r="G1480" s="245" t="s">
        <v>1468</v>
      </c>
      <c r="H1480" s="245" t="s">
        <v>2392</v>
      </c>
    </row>
    <row r="1481" spans="1:8">
      <c r="A1481" s="245" t="s">
        <v>3260</v>
      </c>
      <c r="B1481" s="245">
        <v>41200127</v>
      </c>
      <c r="C1481" s="245" t="s">
        <v>1591</v>
      </c>
      <c r="D1481" s="245" t="s">
        <v>6606</v>
      </c>
      <c r="E1481" s="245" t="s">
        <v>1431</v>
      </c>
      <c r="F1481" s="245" t="s">
        <v>2391</v>
      </c>
      <c r="G1481" s="245" t="s">
        <v>1468</v>
      </c>
      <c r="H1481" s="245" t="s">
        <v>2392</v>
      </c>
    </row>
    <row r="1482" spans="1:8">
      <c r="A1482" s="245" t="s">
        <v>3253</v>
      </c>
      <c r="B1482" s="245">
        <v>41200127</v>
      </c>
      <c r="C1482" s="245" t="s">
        <v>1591</v>
      </c>
      <c r="D1482" s="245" t="s">
        <v>6606</v>
      </c>
      <c r="E1482" s="245" t="s">
        <v>1431</v>
      </c>
      <c r="F1482" s="245" t="s">
        <v>2391</v>
      </c>
      <c r="G1482" s="245" t="s">
        <v>1468</v>
      </c>
      <c r="H1482" s="245" t="s">
        <v>2392</v>
      </c>
    </row>
    <row r="1483" spans="1:8">
      <c r="A1483" s="245" t="s">
        <v>3222</v>
      </c>
      <c r="B1483" s="245">
        <v>41200124</v>
      </c>
      <c r="C1483" s="245" t="s">
        <v>1476</v>
      </c>
      <c r="D1483" s="245" t="s">
        <v>6609</v>
      </c>
      <c r="E1483" s="245" t="s">
        <v>1585</v>
      </c>
      <c r="F1483" s="245" t="s">
        <v>2391</v>
      </c>
      <c r="G1483" s="245" t="s">
        <v>2392</v>
      </c>
      <c r="H1483" s="245" t="s">
        <v>2392</v>
      </c>
    </row>
    <row r="1484" spans="1:8">
      <c r="A1484" s="245" t="s">
        <v>3334</v>
      </c>
      <c r="B1484" s="245">
        <v>41200124</v>
      </c>
      <c r="C1484" s="245" t="s">
        <v>1476</v>
      </c>
      <c r="D1484" s="245" t="s">
        <v>6609</v>
      </c>
      <c r="E1484" s="245" t="s">
        <v>1585</v>
      </c>
      <c r="F1484" s="245" t="s">
        <v>2555</v>
      </c>
      <c r="G1484" s="245" t="s">
        <v>2555</v>
      </c>
      <c r="H1484" s="245" t="s">
        <v>2392</v>
      </c>
    </row>
    <row r="1485" spans="1:8">
      <c r="A1485" s="245" t="s">
        <v>3316</v>
      </c>
      <c r="B1485" s="245">
        <v>41200124</v>
      </c>
      <c r="C1485" s="245" t="s">
        <v>1476</v>
      </c>
      <c r="D1485" s="245" t="s">
        <v>6609</v>
      </c>
      <c r="E1485" s="245" t="s">
        <v>1585</v>
      </c>
      <c r="F1485" s="245" t="s">
        <v>2555</v>
      </c>
      <c r="G1485" s="245" t="s">
        <v>2555</v>
      </c>
      <c r="H1485" s="245" t="s">
        <v>2392</v>
      </c>
    </row>
    <row r="1486" spans="1:8">
      <c r="A1486" s="245" t="s">
        <v>3264</v>
      </c>
      <c r="B1486" s="245">
        <v>41200101</v>
      </c>
      <c r="C1486" s="245" t="s">
        <v>1476</v>
      </c>
      <c r="D1486" s="245" t="s">
        <v>1476</v>
      </c>
      <c r="E1486" s="245" t="s">
        <v>1585</v>
      </c>
      <c r="F1486" s="245" t="s">
        <v>2391</v>
      </c>
      <c r="G1486" s="245" t="s">
        <v>2392</v>
      </c>
      <c r="H1486" s="245" t="s">
        <v>2392</v>
      </c>
    </row>
    <row r="1487" spans="1:8">
      <c r="A1487" s="245" t="s">
        <v>3257</v>
      </c>
      <c r="B1487" s="245">
        <v>41200101</v>
      </c>
      <c r="C1487" s="245" t="s">
        <v>1476</v>
      </c>
      <c r="D1487" s="245" t="s">
        <v>1476</v>
      </c>
      <c r="E1487" s="245" t="s">
        <v>1585</v>
      </c>
      <c r="F1487" s="245" t="s">
        <v>2391</v>
      </c>
      <c r="G1487" s="245" t="s">
        <v>2392</v>
      </c>
      <c r="H1487" s="245" t="s">
        <v>2392</v>
      </c>
    </row>
    <row r="1488" spans="1:8">
      <c r="A1488" s="245" t="s">
        <v>3252</v>
      </c>
      <c r="B1488" s="245">
        <v>41200129</v>
      </c>
      <c r="C1488" s="245" t="s">
        <v>1591</v>
      </c>
      <c r="D1488" s="245" t="s">
        <v>6606</v>
      </c>
      <c r="E1488" s="245" t="s">
        <v>1431</v>
      </c>
      <c r="F1488" s="245" t="s">
        <v>2391</v>
      </c>
      <c r="G1488" s="245" t="s">
        <v>1468</v>
      </c>
      <c r="H1488" s="245" t="s">
        <v>2392</v>
      </c>
    </row>
    <row r="1489" spans="1:8">
      <c r="A1489" s="245" t="s">
        <v>3251</v>
      </c>
      <c r="B1489" s="245">
        <v>41200129</v>
      </c>
      <c r="C1489" s="245" t="s">
        <v>1591</v>
      </c>
      <c r="D1489" s="245" t="s">
        <v>6606</v>
      </c>
      <c r="E1489" s="245" t="s">
        <v>1431</v>
      </c>
      <c r="F1489" s="245" t="s">
        <v>2391</v>
      </c>
      <c r="G1489" s="245" t="s">
        <v>1468</v>
      </c>
      <c r="H1489" s="245" t="s">
        <v>2392</v>
      </c>
    </row>
    <row r="1490" spans="1:8">
      <c r="A1490" s="245" t="s">
        <v>3247</v>
      </c>
      <c r="B1490" s="245">
        <v>41100584</v>
      </c>
      <c r="C1490" s="245" t="s">
        <v>1591</v>
      </c>
      <c r="D1490" s="245" t="s">
        <v>6635</v>
      </c>
      <c r="E1490" s="245" t="s">
        <v>1422</v>
      </c>
      <c r="F1490" s="245" t="s">
        <v>2395</v>
      </c>
      <c r="G1490" s="245" t="s">
        <v>1469</v>
      </c>
      <c r="H1490" s="245" t="s">
        <v>2392</v>
      </c>
    </row>
    <row r="1491" spans="1:8">
      <c r="A1491" s="245" t="s">
        <v>3269</v>
      </c>
      <c r="B1491" s="245">
        <v>41200007</v>
      </c>
      <c r="C1491" s="245" t="s">
        <v>1591</v>
      </c>
      <c r="D1491" s="245" t="s">
        <v>6608</v>
      </c>
      <c r="E1491" s="245" t="s">
        <v>1405</v>
      </c>
      <c r="F1491" s="245" t="s">
        <v>2391</v>
      </c>
      <c r="G1491" s="245" t="s">
        <v>2392</v>
      </c>
      <c r="H1491" s="245" t="s">
        <v>2392</v>
      </c>
    </row>
    <row r="1492" spans="1:8">
      <c r="A1492" s="245" t="s">
        <v>3259</v>
      </c>
      <c r="B1492" s="245">
        <v>41200007</v>
      </c>
      <c r="C1492" s="245" t="s">
        <v>1591</v>
      </c>
      <c r="D1492" s="245" t="s">
        <v>6608</v>
      </c>
      <c r="E1492" s="245" t="s">
        <v>1405</v>
      </c>
      <c r="F1492" s="245" t="s">
        <v>2391</v>
      </c>
      <c r="G1492" s="245" t="s">
        <v>2392</v>
      </c>
      <c r="H1492" s="245" t="s">
        <v>2392</v>
      </c>
    </row>
    <row r="1493" spans="1:8">
      <c r="A1493" s="245" t="s">
        <v>3248</v>
      </c>
      <c r="B1493" s="245">
        <v>41200007</v>
      </c>
      <c r="C1493" s="245" t="s">
        <v>1591</v>
      </c>
      <c r="D1493" s="245" t="s">
        <v>6608</v>
      </c>
      <c r="E1493" s="245" t="s">
        <v>1405</v>
      </c>
      <c r="F1493" s="245" t="s">
        <v>2391</v>
      </c>
      <c r="G1493" s="245" t="s">
        <v>2392</v>
      </c>
      <c r="H1493" s="245" t="s">
        <v>2392</v>
      </c>
    </row>
    <row r="1494" spans="1:8">
      <c r="A1494" s="245" t="s">
        <v>3290</v>
      </c>
      <c r="B1494" s="245">
        <v>41200158</v>
      </c>
      <c r="C1494" s="245" t="s">
        <v>1480</v>
      </c>
      <c r="D1494" s="245" t="s">
        <v>1480</v>
      </c>
      <c r="E1494" s="245" t="s">
        <v>1405</v>
      </c>
      <c r="F1494" s="245" t="s">
        <v>2395</v>
      </c>
      <c r="G1494" s="245" t="s">
        <v>2392</v>
      </c>
      <c r="H1494" s="245" t="s">
        <v>2392</v>
      </c>
    </row>
    <row r="1495" spans="1:8">
      <c r="A1495" s="245" t="s">
        <v>3289</v>
      </c>
      <c r="B1495" s="245">
        <v>41200158</v>
      </c>
      <c r="C1495" s="245" t="s">
        <v>1480</v>
      </c>
      <c r="D1495" s="245" t="s">
        <v>1480</v>
      </c>
      <c r="E1495" s="245" t="s">
        <v>1405</v>
      </c>
      <c r="F1495" s="245" t="s">
        <v>2395</v>
      </c>
      <c r="G1495" s="245" t="s">
        <v>2392</v>
      </c>
      <c r="H1495" s="245" t="s">
        <v>2392</v>
      </c>
    </row>
    <row r="1496" spans="1:8">
      <c r="A1496" s="245" t="s">
        <v>3288</v>
      </c>
      <c r="B1496" s="245">
        <v>41200158</v>
      </c>
      <c r="C1496" s="245" t="s">
        <v>1480</v>
      </c>
      <c r="D1496" s="245" t="s">
        <v>1480</v>
      </c>
      <c r="E1496" s="245" t="s">
        <v>1405</v>
      </c>
      <c r="F1496" s="245" t="s">
        <v>2395</v>
      </c>
      <c r="G1496" s="245" t="s">
        <v>2392</v>
      </c>
      <c r="H1496" s="245" t="s">
        <v>2392</v>
      </c>
    </row>
    <row r="1497" spans="1:8">
      <c r="A1497" s="245" t="s">
        <v>3258</v>
      </c>
      <c r="B1497" s="245">
        <v>41200158</v>
      </c>
      <c r="C1497" s="245" t="s">
        <v>1480</v>
      </c>
      <c r="D1497" s="245" t="s">
        <v>1480</v>
      </c>
      <c r="E1497" s="245" t="s">
        <v>1405</v>
      </c>
      <c r="F1497" s="245" t="s">
        <v>2395</v>
      </c>
      <c r="G1497" s="245" t="s">
        <v>2392</v>
      </c>
      <c r="H1497" s="245" t="s">
        <v>2392</v>
      </c>
    </row>
    <row r="1498" spans="1:8">
      <c r="A1498" s="245" t="s">
        <v>3263</v>
      </c>
      <c r="B1498" s="245">
        <v>41200158</v>
      </c>
      <c r="C1498" s="245" t="s">
        <v>1480</v>
      </c>
      <c r="D1498" s="245" t="s">
        <v>1480</v>
      </c>
      <c r="E1498" s="245" t="s">
        <v>1405</v>
      </c>
      <c r="F1498" s="245" t="s">
        <v>2395</v>
      </c>
      <c r="G1498" s="245" t="s">
        <v>1468</v>
      </c>
      <c r="H1498" s="245" t="s">
        <v>2392</v>
      </c>
    </row>
    <row r="1499" spans="1:8">
      <c r="A1499" s="245" t="s">
        <v>3262</v>
      </c>
      <c r="B1499" s="245">
        <v>41200158</v>
      </c>
      <c r="C1499" s="245" t="s">
        <v>1480</v>
      </c>
      <c r="D1499" s="245" t="s">
        <v>1480</v>
      </c>
      <c r="E1499" s="245" t="s">
        <v>1405</v>
      </c>
      <c r="F1499" s="245" t="s">
        <v>2395</v>
      </c>
      <c r="G1499" s="245" t="s">
        <v>1468</v>
      </c>
      <c r="H1499" s="245" t="s">
        <v>2392</v>
      </c>
    </row>
    <row r="1500" spans="1:8">
      <c r="A1500" s="245" t="s">
        <v>3230</v>
      </c>
      <c r="B1500" s="245">
        <v>41200109</v>
      </c>
      <c r="C1500" s="245" t="s">
        <v>1591</v>
      </c>
      <c r="D1500" s="245" t="s">
        <v>6619</v>
      </c>
      <c r="E1500" s="245" t="s">
        <v>1585</v>
      </c>
      <c r="F1500" s="245" t="s">
        <v>2391</v>
      </c>
      <c r="G1500" s="245" t="s">
        <v>2392</v>
      </c>
      <c r="H1500" s="245" t="s">
        <v>2392</v>
      </c>
    </row>
    <row r="1501" spans="1:8">
      <c r="A1501" s="245" t="s">
        <v>3229</v>
      </c>
      <c r="B1501" s="245">
        <v>41200109</v>
      </c>
      <c r="C1501" s="245" t="s">
        <v>1591</v>
      </c>
      <c r="D1501" s="245" t="s">
        <v>6619</v>
      </c>
      <c r="E1501" s="245" t="s">
        <v>1585</v>
      </c>
      <c r="F1501" s="245" t="s">
        <v>2391</v>
      </c>
      <c r="G1501" s="245" t="s">
        <v>2392</v>
      </c>
      <c r="H1501" s="245" t="s">
        <v>2392</v>
      </c>
    </row>
    <row r="1502" spans="1:8">
      <c r="A1502" s="245" t="s">
        <v>3256</v>
      </c>
      <c r="B1502" s="245">
        <v>41000544</v>
      </c>
      <c r="C1502" s="245" t="s">
        <v>1476</v>
      </c>
      <c r="D1502" s="245" t="s">
        <v>6610</v>
      </c>
      <c r="E1502" s="245" t="s">
        <v>1405</v>
      </c>
      <c r="F1502" s="245" t="s">
        <v>2391</v>
      </c>
      <c r="G1502" s="245" t="s">
        <v>2392</v>
      </c>
      <c r="H1502" s="245" t="s">
        <v>2392</v>
      </c>
    </row>
    <row r="1503" spans="1:8">
      <c r="A1503" s="245" t="s">
        <v>3245</v>
      </c>
      <c r="B1503" s="245">
        <v>41000544</v>
      </c>
      <c r="C1503" s="245" t="s">
        <v>1476</v>
      </c>
      <c r="D1503" s="245" t="s">
        <v>6610</v>
      </c>
      <c r="E1503" s="245" t="s">
        <v>1405</v>
      </c>
      <c r="F1503" s="245" t="s">
        <v>2391</v>
      </c>
      <c r="G1503" s="245" t="s">
        <v>2392</v>
      </c>
      <c r="H1503" s="245" t="s">
        <v>2392</v>
      </c>
    </row>
    <row r="1504" spans="1:8">
      <c r="A1504" s="245" t="s">
        <v>3239</v>
      </c>
      <c r="B1504" s="245">
        <v>41200006</v>
      </c>
      <c r="C1504" s="245" t="s">
        <v>1477</v>
      </c>
      <c r="D1504" s="245" t="s">
        <v>6640</v>
      </c>
      <c r="E1504" s="245" t="s">
        <v>1405</v>
      </c>
      <c r="F1504" s="245" t="s">
        <v>2395</v>
      </c>
      <c r="G1504" s="245" t="s">
        <v>1469</v>
      </c>
      <c r="H1504" s="245" t="s">
        <v>2392</v>
      </c>
    </row>
    <row r="1505" spans="1:8">
      <c r="A1505" s="245" t="s">
        <v>3238</v>
      </c>
      <c r="B1505" s="245">
        <v>41200006</v>
      </c>
      <c r="C1505" s="245" t="s">
        <v>1477</v>
      </c>
      <c r="D1505" s="245" t="s">
        <v>6640</v>
      </c>
      <c r="E1505" s="245" t="s">
        <v>1405</v>
      </c>
      <c r="F1505" s="245" t="s">
        <v>2395</v>
      </c>
      <c r="G1505" s="245" t="s">
        <v>1469</v>
      </c>
      <c r="H1505" s="245" t="s">
        <v>2392</v>
      </c>
    </row>
    <row r="1506" spans="1:8">
      <c r="A1506" s="245" t="s">
        <v>3250</v>
      </c>
      <c r="B1506" s="245">
        <v>41200088</v>
      </c>
      <c r="C1506" s="245" t="s">
        <v>1476</v>
      </c>
      <c r="D1506" s="245" t="s">
        <v>1476</v>
      </c>
      <c r="E1506" s="245" t="s">
        <v>1422</v>
      </c>
      <c r="F1506" s="245" t="s">
        <v>2395</v>
      </c>
      <c r="G1506" s="245" t="s">
        <v>1468</v>
      </c>
      <c r="H1506" s="245" t="s">
        <v>2392</v>
      </c>
    </row>
    <row r="1507" spans="1:8">
      <c r="A1507" s="245" t="s">
        <v>3240</v>
      </c>
      <c r="B1507" s="245">
        <v>41200125</v>
      </c>
      <c r="C1507" s="245" t="s">
        <v>1476</v>
      </c>
      <c r="D1507" s="245" t="s">
        <v>1476</v>
      </c>
      <c r="E1507" s="245" t="s">
        <v>1585</v>
      </c>
      <c r="F1507" s="245" t="s">
        <v>2395</v>
      </c>
      <c r="G1507" s="245" t="s">
        <v>1469</v>
      </c>
      <c r="H1507" s="245" t="s">
        <v>2392</v>
      </c>
    </row>
    <row r="1508" spans="1:8">
      <c r="A1508" s="245" t="s">
        <v>3228</v>
      </c>
      <c r="B1508" s="245">
        <v>41200184</v>
      </c>
      <c r="C1508" s="245" t="s">
        <v>1479</v>
      </c>
      <c r="D1508" s="245" t="s">
        <v>1394</v>
      </c>
      <c r="E1508" s="245" t="s">
        <v>1394</v>
      </c>
      <c r="F1508" s="245" t="s">
        <v>2395</v>
      </c>
      <c r="G1508" s="245" t="s">
        <v>1469</v>
      </c>
      <c r="H1508" s="245" t="s">
        <v>2392</v>
      </c>
    </row>
    <row r="1509" spans="1:8">
      <c r="A1509" s="245" t="s">
        <v>3226</v>
      </c>
      <c r="B1509" s="245">
        <v>41200184</v>
      </c>
      <c r="C1509" s="245" t="s">
        <v>1479</v>
      </c>
      <c r="D1509" s="245" t="s">
        <v>1394</v>
      </c>
      <c r="E1509" s="245" t="s">
        <v>1394</v>
      </c>
      <c r="F1509" s="245" t="s">
        <v>2395</v>
      </c>
      <c r="G1509" s="245" t="s">
        <v>1469</v>
      </c>
      <c r="H1509" s="245" t="s">
        <v>2392</v>
      </c>
    </row>
    <row r="1510" spans="1:8">
      <c r="A1510" s="245" t="s">
        <v>3225</v>
      </c>
      <c r="B1510" s="245">
        <v>41200184</v>
      </c>
      <c r="C1510" s="245" t="s">
        <v>1479</v>
      </c>
      <c r="D1510" s="245" t="s">
        <v>1394</v>
      </c>
      <c r="E1510" s="245" t="s">
        <v>1394</v>
      </c>
      <c r="F1510" s="245" t="s">
        <v>2395</v>
      </c>
      <c r="G1510" s="245" t="s">
        <v>1469</v>
      </c>
      <c r="H1510" s="245" t="s">
        <v>2392</v>
      </c>
    </row>
    <row r="1511" spans="1:8">
      <c r="A1511" s="245" t="s">
        <v>3537</v>
      </c>
      <c r="B1511" s="245">
        <v>41200101</v>
      </c>
      <c r="C1511" s="245" t="s">
        <v>1476</v>
      </c>
      <c r="D1511" s="245" t="s">
        <v>1476</v>
      </c>
      <c r="E1511" s="245" t="s">
        <v>1585</v>
      </c>
      <c r="F1511" s="245" t="s">
        <v>2555</v>
      </c>
      <c r="G1511" s="245" t="s">
        <v>2555</v>
      </c>
      <c r="H1511" s="245" t="s">
        <v>2392</v>
      </c>
    </row>
    <row r="1512" spans="1:8">
      <c r="A1512" s="245" t="s">
        <v>3271</v>
      </c>
      <c r="B1512" s="245">
        <v>41200101</v>
      </c>
      <c r="C1512" s="245" t="s">
        <v>1476</v>
      </c>
      <c r="D1512" s="245" t="s">
        <v>1476</v>
      </c>
      <c r="E1512" s="245" t="s">
        <v>1585</v>
      </c>
      <c r="F1512" s="245" t="s">
        <v>2555</v>
      </c>
      <c r="G1512" s="245" t="s">
        <v>2555</v>
      </c>
      <c r="H1512" s="245" t="s">
        <v>2392</v>
      </c>
    </row>
    <row r="1513" spans="1:8">
      <c r="A1513" s="245" t="s">
        <v>3223</v>
      </c>
      <c r="B1513" s="245">
        <v>41100317</v>
      </c>
      <c r="C1513" s="245" t="s">
        <v>1476</v>
      </c>
      <c r="D1513" s="245" t="s">
        <v>1476</v>
      </c>
      <c r="E1513" s="245" t="s">
        <v>1585</v>
      </c>
      <c r="F1513" s="245" t="s">
        <v>2391</v>
      </c>
      <c r="G1513" s="245" t="s">
        <v>1468</v>
      </c>
      <c r="H1513" s="245" t="s">
        <v>2392</v>
      </c>
    </row>
    <row r="1514" spans="1:8">
      <c r="A1514" s="245" t="s">
        <v>3237</v>
      </c>
      <c r="B1514" s="245">
        <v>41200025</v>
      </c>
      <c r="C1514" s="245" t="s">
        <v>2184</v>
      </c>
      <c r="D1514" s="245" t="s">
        <v>6646</v>
      </c>
      <c r="E1514" s="245" t="s">
        <v>1405</v>
      </c>
      <c r="F1514" s="245" t="s">
        <v>2392</v>
      </c>
      <c r="G1514" s="245" t="s">
        <v>1468</v>
      </c>
      <c r="H1514" s="245" t="s">
        <v>71</v>
      </c>
    </row>
    <row r="1515" spans="1:8">
      <c r="A1515" s="245" t="s">
        <v>3236</v>
      </c>
      <c r="B1515" s="245">
        <v>41200025</v>
      </c>
      <c r="C1515" s="245" t="s">
        <v>2184</v>
      </c>
      <c r="D1515" s="245" t="s">
        <v>6646</v>
      </c>
      <c r="E1515" s="245" t="s">
        <v>1405</v>
      </c>
      <c r="F1515" s="245" t="s">
        <v>2392</v>
      </c>
      <c r="G1515" s="245" t="s">
        <v>1468</v>
      </c>
      <c r="H1515" s="245" t="s">
        <v>71</v>
      </c>
    </row>
    <row r="1516" spans="1:8">
      <c r="A1516" s="245" t="s">
        <v>3224</v>
      </c>
      <c r="B1516" s="245">
        <v>41200136</v>
      </c>
      <c r="C1516" s="245" t="s">
        <v>1482</v>
      </c>
      <c r="D1516" s="245" t="s">
        <v>1431</v>
      </c>
      <c r="E1516" s="245" t="s">
        <v>1431</v>
      </c>
      <c r="F1516" s="245" t="s">
        <v>2395</v>
      </c>
      <c r="G1516" s="245" t="s">
        <v>1469</v>
      </c>
      <c r="H1516" s="245" t="s">
        <v>71</v>
      </c>
    </row>
    <row r="1517" spans="1:8">
      <c r="A1517" s="245" t="s">
        <v>3445</v>
      </c>
      <c r="B1517" s="245">
        <v>41200007</v>
      </c>
      <c r="C1517" s="245" t="s">
        <v>1591</v>
      </c>
      <c r="D1517" s="245" t="s">
        <v>6608</v>
      </c>
      <c r="E1517" s="245" t="s">
        <v>1405</v>
      </c>
      <c r="F1517" s="245" t="s">
        <v>2391</v>
      </c>
      <c r="G1517" s="245" t="s">
        <v>2392</v>
      </c>
      <c r="H1517" s="245" t="s">
        <v>2392</v>
      </c>
    </row>
    <row r="1518" spans="1:8">
      <c r="A1518" s="245" t="s">
        <v>3446</v>
      </c>
      <c r="B1518" s="245">
        <v>41200007</v>
      </c>
      <c r="C1518" s="245" t="s">
        <v>1591</v>
      </c>
      <c r="D1518" s="245" t="s">
        <v>6608</v>
      </c>
      <c r="E1518" s="245" t="s">
        <v>1405</v>
      </c>
      <c r="F1518" s="245" t="s">
        <v>2391</v>
      </c>
      <c r="G1518" s="245" t="s">
        <v>2392</v>
      </c>
      <c r="H1518" s="245" t="s">
        <v>2392</v>
      </c>
    </row>
    <row r="1519" spans="1:8">
      <c r="A1519" s="245" t="s">
        <v>3308</v>
      </c>
      <c r="B1519" s="245">
        <v>41100286</v>
      </c>
      <c r="C1519" s="245" t="s">
        <v>1476</v>
      </c>
      <c r="D1519" s="245" t="s">
        <v>6610</v>
      </c>
      <c r="E1519" s="245" t="s">
        <v>1424</v>
      </c>
      <c r="F1519" s="245" t="s">
        <v>2391</v>
      </c>
      <c r="G1519" s="245" t="s">
        <v>2392</v>
      </c>
      <c r="H1519" s="245" t="s">
        <v>2392</v>
      </c>
    </row>
    <row r="1520" spans="1:8">
      <c r="A1520" s="245" t="s">
        <v>6591</v>
      </c>
      <c r="B1520" s="245" t="s">
        <v>6592</v>
      </c>
      <c r="C1520" s="245" t="s">
        <v>6593</v>
      </c>
      <c r="D1520" s="245" t="s">
        <v>71</v>
      </c>
      <c r="E1520" s="245" t="s">
        <v>1405</v>
      </c>
      <c r="F1520" s="245" t="s">
        <v>2392</v>
      </c>
      <c r="G1520" s="245" t="s">
        <v>2392</v>
      </c>
      <c r="H1520" s="245" t="s">
        <v>2392</v>
      </c>
    </row>
    <row r="1521" spans="1:8">
      <c r="A1521" s="245" t="s">
        <v>6595</v>
      </c>
      <c r="B1521" s="245" t="s">
        <v>6592</v>
      </c>
      <c r="C1521" s="245" t="s">
        <v>6593</v>
      </c>
      <c r="D1521" s="245" t="s">
        <v>71</v>
      </c>
      <c r="E1521" s="245" t="s">
        <v>1405</v>
      </c>
      <c r="F1521" s="245" t="s">
        <v>2392</v>
      </c>
      <c r="G1521" s="245" t="s">
        <v>2392</v>
      </c>
      <c r="H1521" s="245" t="s">
        <v>2392</v>
      </c>
    </row>
    <row r="1522" spans="1:8">
      <c r="A1522" s="245" t="s">
        <v>6596</v>
      </c>
      <c r="B1522" s="245" t="s">
        <v>6592</v>
      </c>
      <c r="C1522" s="245" t="s">
        <v>6593</v>
      </c>
      <c r="D1522" s="245" t="s">
        <v>71</v>
      </c>
      <c r="E1522" s="245" t="s">
        <v>1405</v>
      </c>
      <c r="F1522" s="245" t="s">
        <v>2392</v>
      </c>
      <c r="G1522" s="245" t="s">
        <v>2392</v>
      </c>
      <c r="H1522" s="245" t="s">
        <v>2392</v>
      </c>
    </row>
    <row r="1523" spans="1:8">
      <c r="A1523" s="245" t="s">
        <v>6597</v>
      </c>
      <c r="B1523" s="245" t="s">
        <v>6592</v>
      </c>
      <c r="C1523" s="245" t="s">
        <v>6593</v>
      </c>
      <c r="D1523" s="245" t="s">
        <v>71</v>
      </c>
      <c r="E1523" s="245" t="s">
        <v>1405</v>
      </c>
      <c r="F1523" s="245" t="s">
        <v>2392</v>
      </c>
      <c r="G1523" s="245" t="s">
        <v>2392</v>
      </c>
      <c r="H1523" s="245" t="s">
        <v>2392</v>
      </c>
    </row>
    <row r="1524" spans="1:8">
      <c r="A1524" s="245" t="s">
        <v>6598</v>
      </c>
      <c r="B1524" s="245" t="s">
        <v>6592</v>
      </c>
      <c r="C1524" s="245" t="s">
        <v>6593</v>
      </c>
      <c r="D1524" s="245" t="s">
        <v>71</v>
      </c>
      <c r="E1524" s="245" t="s">
        <v>1405</v>
      </c>
      <c r="F1524" s="245" t="s">
        <v>2392</v>
      </c>
      <c r="G1524" s="245" t="s">
        <v>2392</v>
      </c>
      <c r="H1524" s="245" t="s">
        <v>2392</v>
      </c>
    </row>
    <row r="1525" spans="1:8">
      <c r="A1525" s="245" t="s">
        <v>6599</v>
      </c>
      <c r="B1525" s="245" t="s">
        <v>6592</v>
      </c>
      <c r="C1525" s="245" t="s">
        <v>6593</v>
      </c>
      <c r="D1525" s="245" t="s">
        <v>71</v>
      </c>
      <c r="E1525" s="245" t="s">
        <v>1405</v>
      </c>
      <c r="F1525" s="245" t="s">
        <v>2392</v>
      </c>
      <c r="G1525" s="245" t="s">
        <v>2392</v>
      </c>
      <c r="H1525" s="245" t="s">
        <v>2392</v>
      </c>
    </row>
    <row r="1526" spans="1:8">
      <c r="A1526" s="245" t="s">
        <v>6600</v>
      </c>
      <c r="B1526" s="245" t="s">
        <v>6592</v>
      </c>
      <c r="C1526" s="245" t="s">
        <v>6593</v>
      </c>
      <c r="D1526" s="245" t="s">
        <v>71</v>
      </c>
      <c r="E1526" s="245" t="s">
        <v>1405</v>
      </c>
      <c r="F1526" s="245" t="s">
        <v>2392</v>
      </c>
      <c r="G1526" s="245" t="s">
        <v>2392</v>
      </c>
      <c r="H1526" s="245" t="s">
        <v>2392</v>
      </c>
    </row>
    <row r="1527" spans="1:8">
      <c r="A1527" s="245" t="s">
        <v>6601</v>
      </c>
      <c r="B1527" s="245" t="s">
        <v>6592</v>
      </c>
      <c r="C1527" s="245" t="s">
        <v>6593</v>
      </c>
      <c r="D1527" s="245" t="s">
        <v>71</v>
      </c>
      <c r="E1527" s="245" t="s">
        <v>1405</v>
      </c>
      <c r="F1527" s="245" t="s">
        <v>2392</v>
      </c>
      <c r="G1527" s="245" t="s">
        <v>2392</v>
      </c>
      <c r="H1527" s="245" t="s">
        <v>2392</v>
      </c>
    </row>
    <row r="1528" spans="1:8">
      <c r="A1528" s="245" t="s">
        <v>6602</v>
      </c>
      <c r="B1528" s="245" t="s">
        <v>6592</v>
      </c>
      <c r="C1528" s="245" t="s">
        <v>6593</v>
      </c>
      <c r="D1528" s="245" t="s">
        <v>71</v>
      </c>
      <c r="E1528" s="245" t="s">
        <v>1405</v>
      </c>
      <c r="F1528" s="245" t="s">
        <v>2392</v>
      </c>
      <c r="G1528" s="245" t="s">
        <v>2392</v>
      </c>
      <c r="H1528" s="245" t="s">
        <v>2392</v>
      </c>
    </row>
    <row r="1529" spans="1:8">
      <c r="A1529" s="245" t="s">
        <v>3204</v>
      </c>
      <c r="B1529" s="245">
        <v>41100435</v>
      </c>
      <c r="C1529" s="245" t="s">
        <v>3801</v>
      </c>
      <c r="D1529" s="245" t="s">
        <v>1482</v>
      </c>
      <c r="E1529" s="245" t="s">
        <v>1585</v>
      </c>
      <c r="F1529" s="245" t="s">
        <v>2391</v>
      </c>
      <c r="G1529" s="245" t="s">
        <v>1468</v>
      </c>
      <c r="H1529" s="245" t="s">
        <v>71</v>
      </c>
    </row>
    <row r="1530" spans="1:8">
      <c r="A1530" s="245" t="s">
        <v>3370</v>
      </c>
      <c r="B1530" s="245">
        <v>41200075</v>
      </c>
      <c r="C1530" s="245" t="s">
        <v>1476</v>
      </c>
      <c r="D1530" s="245" t="s">
        <v>1476</v>
      </c>
      <c r="E1530" s="245" t="s">
        <v>1585</v>
      </c>
      <c r="F1530" s="245" t="s">
        <v>2391</v>
      </c>
      <c r="G1530" s="245" t="s">
        <v>1468</v>
      </c>
      <c r="H1530" s="245" t="s">
        <v>2391</v>
      </c>
    </row>
    <row r="1531" spans="1:8">
      <c r="A1531" s="245" t="s">
        <v>3369</v>
      </c>
      <c r="B1531" s="245">
        <v>41200075</v>
      </c>
      <c r="C1531" s="245" t="s">
        <v>1476</v>
      </c>
      <c r="D1531" s="245" t="s">
        <v>1476</v>
      </c>
      <c r="E1531" s="245" t="s">
        <v>1585</v>
      </c>
      <c r="F1531" s="245" t="s">
        <v>2391</v>
      </c>
      <c r="G1531" s="245" t="s">
        <v>1468</v>
      </c>
      <c r="H1531" s="245" t="s">
        <v>2391</v>
      </c>
    </row>
    <row r="1532" spans="1:8">
      <c r="A1532" s="245" t="s">
        <v>3246</v>
      </c>
      <c r="B1532" s="245">
        <v>41200076</v>
      </c>
      <c r="C1532" s="245" t="s">
        <v>1476</v>
      </c>
      <c r="D1532" s="245" t="s">
        <v>1476</v>
      </c>
      <c r="E1532" s="245" t="s">
        <v>1585</v>
      </c>
      <c r="F1532" s="245" t="s">
        <v>2395</v>
      </c>
      <c r="G1532" s="245" t="s">
        <v>1468</v>
      </c>
      <c r="H1532" s="245" t="s">
        <v>2392</v>
      </c>
    </row>
    <row r="1533" spans="1:8">
      <c r="A1533" s="245" t="s">
        <v>3282</v>
      </c>
      <c r="B1533" s="245">
        <v>41200076</v>
      </c>
      <c r="C1533" s="245" t="s">
        <v>1476</v>
      </c>
      <c r="D1533" s="245" t="s">
        <v>1476</v>
      </c>
      <c r="E1533" s="245" t="s">
        <v>1585</v>
      </c>
      <c r="F1533" s="245" t="s">
        <v>2391</v>
      </c>
      <c r="G1533" s="245" t="s">
        <v>2392</v>
      </c>
      <c r="H1533" s="245" t="s">
        <v>2392</v>
      </c>
    </row>
    <row r="1534" spans="1:8">
      <c r="A1534" s="245" t="s">
        <v>3249</v>
      </c>
      <c r="B1534" s="245">
        <v>41200076</v>
      </c>
      <c r="C1534" s="245" t="s">
        <v>1476</v>
      </c>
      <c r="D1534" s="245" t="s">
        <v>1476</v>
      </c>
      <c r="E1534" s="245" t="s">
        <v>1585</v>
      </c>
      <c r="F1534" s="245" t="s">
        <v>2391</v>
      </c>
      <c r="G1534" s="245" t="s">
        <v>2392</v>
      </c>
      <c r="H1534" s="245" t="s">
        <v>2392</v>
      </c>
    </row>
    <row r="1535" spans="1:8">
      <c r="A1535" s="245" t="s">
        <v>3216</v>
      </c>
      <c r="B1535" s="245">
        <v>41200133</v>
      </c>
      <c r="C1535" s="245" t="s">
        <v>1476</v>
      </c>
      <c r="D1535" s="245" t="s">
        <v>6605</v>
      </c>
      <c r="E1535" s="245" t="s">
        <v>1429</v>
      </c>
      <c r="F1535" s="245" t="s">
        <v>2395</v>
      </c>
      <c r="G1535" s="245" t="s">
        <v>2392</v>
      </c>
      <c r="H1535" s="245" t="s">
        <v>2392</v>
      </c>
    </row>
    <row r="1536" spans="1:8">
      <c r="A1536" s="245" t="s">
        <v>3215</v>
      </c>
      <c r="B1536" s="245">
        <v>41200133</v>
      </c>
      <c r="C1536" s="245" t="s">
        <v>1476</v>
      </c>
      <c r="D1536" s="245" t="s">
        <v>6605</v>
      </c>
      <c r="E1536" s="245" t="s">
        <v>1429</v>
      </c>
      <c r="F1536" s="245" t="s">
        <v>2395</v>
      </c>
      <c r="G1536" s="245" t="s">
        <v>2392</v>
      </c>
      <c r="H1536" s="245" t="s">
        <v>2392</v>
      </c>
    </row>
    <row r="1537" spans="1:8">
      <c r="A1537" s="245" t="s">
        <v>3217</v>
      </c>
      <c r="B1537" s="245">
        <v>41200105</v>
      </c>
      <c r="C1537" s="245" t="s">
        <v>1476</v>
      </c>
      <c r="D1537" s="245" t="s">
        <v>1591</v>
      </c>
      <c r="E1537" s="245" t="s">
        <v>1424</v>
      </c>
      <c r="F1537" s="245" t="s">
        <v>2395</v>
      </c>
      <c r="G1537" s="245" t="s">
        <v>1468</v>
      </c>
      <c r="H1537" s="245" t="s">
        <v>2392</v>
      </c>
    </row>
    <row r="1538" spans="1:8">
      <c r="A1538" s="245" t="s">
        <v>3212</v>
      </c>
      <c r="B1538" s="245">
        <v>41200129</v>
      </c>
      <c r="C1538" s="245" t="s">
        <v>1591</v>
      </c>
      <c r="D1538" s="245" t="s">
        <v>6606</v>
      </c>
      <c r="E1538" s="245" t="s">
        <v>1431</v>
      </c>
      <c r="F1538" s="245" t="s">
        <v>2395</v>
      </c>
      <c r="G1538" s="245" t="s">
        <v>1469</v>
      </c>
      <c r="H1538" s="245" t="s">
        <v>2392</v>
      </c>
    </row>
    <row r="1539" spans="1:8">
      <c r="A1539" s="245" t="s">
        <v>5339</v>
      </c>
      <c r="B1539" s="245">
        <v>41000558</v>
      </c>
      <c r="C1539" s="245" t="s">
        <v>6607</v>
      </c>
      <c r="D1539" s="245" t="s">
        <v>6607</v>
      </c>
      <c r="E1539" s="245" t="s">
        <v>1405</v>
      </c>
      <c r="F1539" s="245" t="s">
        <v>5127</v>
      </c>
      <c r="G1539" s="245" t="s">
        <v>1469</v>
      </c>
      <c r="H1539" s="245" t="s">
        <v>71</v>
      </c>
    </row>
    <row r="1540" spans="1:8">
      <c r="A1540" s="245" t="s">
        <v>3235</v>
      </c>
      <c r="B1540" s="245">
        <v>41200007</v>
      </c>
      <c r="C1540" s="245" t="s">
        <v>1591</v>
      </c>
      <c r="D1540" s="245" t="s">
        <v>6608</v>
      </c>
      <c r="E1540" s="245" t="s">
        <v>1405</v>
      </c>
      <c r="F1540" s="245" t="s">
        <v>2391</v>
      </c>
      <c r="G1540" s="245" t="s">
        <v>2392</v>
      </c>
      <c r="H1540" s="245" t="s">
        <v>2392</v>
      </c>
    </row>
    <row r="1541" spans="1:8">
      <c r="A1541" s="245" t="s">
        <v>3234</v>
      </c>
      <c r="B1541" s="245">
        <v>41200007</v>
      </c>
      <c r="C1541" s="245" t="s">
        <v>1591</v>
      </c>
      <c r="D1541" s="245" t="s">
        <v>6608</v>
      </c>
      <c r="E1541" s="245" t="s">
        <v>1405</v>
      </c>
      <c r="F1541" s="245" t="s">
        <v>2391</v>
      </c>
      <c r="G1541" s="245" t="s">
        <v>2392</v>
      </c>
      <c r="H1541" s="245" t="s">
        <v>2392</v>
      </c>
    </row>
    <row r="1542" spans="1:8">
      <c r="A1542" s="245" t="s">
        <v>3233</v>
      </c>
      <c r="B1542" s="245">
        <v>41200007</v>
      </c>
      <c r="C1542" s="245" t="s">
        <v>1591</v>
      </c>
      <c r="D1542" s="245" t="s">
        <v>6608</v>
      </c>
      <c r="E1542" s="245" t="s">
        <v>1405</v>
      </c>
      <c r="F1542" s="245" t="s">
        <v>2391</v>
      </c>
      <c r="G1542" s="245" t="s">
        <v>2392</v>
      </c>
      <c r="H1542" s="245" t="s">
        <v>2392</v>
      </c>
    </row>
    <row r="1543" spans="1:8">
      <c r="A1543" s="245" t="s">
        <v>3255</v>
      </c>
      <c r="B1543" s="245">
        <v>41200122</v>
      </c>
      <c r="C1543" s="245" t="s">
        <v>1476</v>
      </c>
      <c r="D1543" s="245" t="s">
        <v>1476</v>
      </c>
      <c r="E1543" s="245" t="s">
        <v>1585</v>
      </c>
      <c r="F1543" s="245" t="s">
        <v>2395</v>
      </c>
      <c r="G1543" s="245" t="s">
        <v>1469</v>
      </c>
      <c r="H1543" s="245" t="s">
        <v>2392</v>
      </c>
    </row>
    <row r="1544" spans="1:8">
      <c r="A1544" s="245" t="s">
        <v>3254</v>
      </c>
      <c r="B1544" s="245">
        <v>41200122</v>
      </c>
      <c r="C1544" s="245" t="s">
        <v>1476</v>
      </c>
      <c r="D1544" s="245" t="s">
        <v>1476</v>
      </c>
      <c r="E1544" s="245" t="s">
        <v>1585</v>
      </c>
      <c r="F1544" s="245" t="s">
        <v>2395</v>
      </c>
      <c r="G1544" s="245" t="s">
        <v>1469</v>
      </c>
      <c r="H1544" s="245" t="s">
        <v>2392</v>
      </c>
    </row>
    <row r="1545" spans="1:8">
      <c r="A1545" s="245" t="s">
        <v>3202</v>
      </c>
      <c r="B1545" s="245">
        <v>41200124</v>
      </c>
      <c r="C1545" s="245" t="s">
        <v>1476</v>
      </c>
      <c r="D1545" s="245" t="s">
        <v>6609</v>
      </c>
      <c r="E1545" s="245" t="s">
        <v>1585</v>
      </c>
      <c r="F1545" s="245" t="s">
        <v>2395</v>
      </c>
      <c r="G1545" s="245" t="s">
        <v>1469</v>
      </c>
      <c r="H1545" s="245" t="s">
        <v>2392</v>
      </c>
    </row>
    <row r="1546" spans="1:8">
      <c r="A1546" s="245" t="s">
        <v>3201</v>
      </c>
      <c r="B1546" s="245">
        <v>41200124</v>
      </c>
      <c r="C1546" s="245" t="s">
        <v>1476</v>
      </c>
      <c r="D1546" s="245" t="s">
        <v>6609</v>
      </c>
      <c r="E1546" s="245" t="s">
        <v>1585</v>
      </c>
      <c r="F1546" s="245" t="s">
        <v>2395</v>
      </c>
      <c r="G1546" s="245" t="s">
        <v>1469</v>
      </c>
      <c r="H1546" s="245" t="s">
        <v>2392</v>
      </c>
    </row>
    <row r="1547" spans="1:8">
      <c r="A1547" s="245" t="s">
        <v>3169</v>
      </c>
      <c r="B1547" s="245">
        <v>41200122</v>
      </c>
      <c r="C1547" s="245" t="s">
        <v>1476</v>
      </c>
      <c r="D1547" s="245" t="s">
        <v>1476</v>
      </c>
      <c r="E1547" s="245" t="s">
        <v>1585</v>
      </c>
      <c r="F1547" s="245" t="s">
        <v>2391</v>
      </c>
      <c r="G1547" s="245" t="s">
        <v>2392</v>
      </c>
      <c r="H1547" s="245" t="s">
        <v>2392</v>
      </c>
    </row>
    <row r="1548" spans="1:8">
      <c r="A1548" s="245" t="s">
        <v>3165</v>
      </c>
      <c r="B1548" s="245">
        <v>41200122</v>
      </c>
      <c r="C1548" s="245" t="s">
        <v>1476</v>
      </c>
      <c r="D1548" s="245" t="s">
        <v>1476</v>
      </c>
      <c r="E1548" s="245" t="s">
        <v>1585</v>
      </c>
      <c r="F1548" s="245" t="s">
        <v>2391</v>
      </c>
      <c r="G1548" s="245" t="s">
        <v>2392</v>
      </c>
      <c r="H1548" s="245" t="s">
        <v>2392</v>
      </c>
    </row>
    <row r="1549" spans="1:8">
      <c r="A1549" s="245" t="s">
        <v>3207</v>
      </c>
      <c r="B1549" s="245">
        <v>41100286</v>
      </c>
      <c r="C1549" s="245" t="s">
        <v>1476</v>
      </c>
      <c r="D1549" s="245" t="s">
        <v>6610</v>
      </c>
      <c r="E1549" s="245" t="s">
        <v>1424</v>
      </c>
      <c r="F1549" s="245" t="s">
        <v>2391</v>
      </c>
      <c r="G1549" s="245" t="s">
        <v>2392</v>
      </c>
      <c r="H1549" s="245" t="s">
        <v>2392</v>
      </c>
    </row>
    <row r="1550" spans="1:8">
      <c r="A1550" s="245" t="s">
        <v>5337</v>
      </c>
      <c r="B1550" s="245">
        <v>41000558</v>
      </c>
      <c r="C1550" s="245" t="s">
        <v>6607</v>
      </c>
      <c r="D1550" s="245" t="s">
        <v>6607</v>
      </c>
      <c r="E1550" s="245" t="s">
        <v>1405</v>
      </c>
      <c r="F1550" s="245" t="s">
        <v>5127</v>
      </c>
      <c r="G1550" s="245" t="s">
        <v>1469</v>
      </c>
      <c r="H1550" s="245" t="s">
        <v>71</v>
      </c>
    </row>
    <row r="1551" spans="1:8">
      <c r="A1551" s="245" t="s">
        <v>3200</v>
      </c>
      <c r="B1551" s="245">
        <v>41200007</v>
      </c>
      <c r="C1551" s="245" t="s">
        <v>1591</v>
      </c>
      <c r="D1551" s="245" t="s">
        <v>6608</v>
      </c>
      <c r="E1551" s="245" t="s">
        <v>1405</v>
      </c>
      <c r="F1551" s="245" t="s">
        <v>2391</v>
      </c>
      <c r="G1551" s="245" t="s">
        <v>2392</v>
      </c>
      <c r="H1551" s="245" t="s">
        <v>2391</v>
      </c>
    </row>
    <row r="1552" spans="1:8">
      <c r="A1552" s="245" t="s">
        <v>3199</v>
      </c>
      <c r="B1552" s="245">
        <v>41200007</v>
      </c>
      <c r="C1552" s="245" t="s">
        <v>1591</v>
      </c>
      <c r="D1552" s="245" t="s">
        <v>6608</v>
      </c>
      <c r="E1552" s="245" t="s">
        <v>1405</v>
      </c>
      <c r="F1552" s="245" t="s">
        <v>2391</v>
      </c>
      <c r="G1552" s="245" t="s">
        <v>2392</v>
      </c>
      <c r="H1552" s="245" t="s">
        <v>2391</v>
      </c>
    </row>
    <row r="1553" spans="1:8">
      <c r="A1553" s="245" t="s">
        <v>5338</v>
      </c>
      <c r="B1553" s="245">
        <v>41000558</v>
      </c>
      <c r="C1553" s="245" t="s">
        <v>6607</v>
      </c>
      <c r="D1553" s="245" t="s">
        <v>6607</v>
      </c>
      <c r="E1553" s="245" t="s">
        <v>1405</v>
      </c>
      <c r="F1553" s="245" t="s">
        <v>5127</v>
      </c>
      <c r="G1553" s="245" t="s">
        <v>1469</v>
      </c>
      <c r="H1553" s="245" t="s">
        <v>71</v>
      </c>
    </row>
    <row r="1554" spans="1:8">
      <c r="A1554" s="245" t="s">
        <v>3208</v>
      </c>
      <c r="B1554" s="245">
        <v>41100435</v>
      </c>
      <c r="C1554" s="245" t="s">
        <v>3801</v>
      </c>
      <c r="D1554" s="245" t="s">
        <v>1482</v>
      </c>
      <c r="E1554" s="245" t="s">
        <v>1585</v>
      </c>
      <c r="F1554" s="245" t="s">
        <v>2391</v>
      </c>
      <c r="G1554" s="245" t="s">
        <v>2392</v>
      </c>
      <c r="H1554" s="245" t="s">
        <v>71</v>
      </c>
    </row>
    <row r="1555" spans="1:8">
      <c r="A1555" s="245" t="s">
        <v>3219</v>
      </c>
      <c r="B1555" s="245">
        <v>41200048</v>
      </c>
      <c r="C1555" s="245" t="s">
        <v>1476</v>
      </c>
      <c r="D1555" s="245" t="s">
        <v>1426</v>
      </c>
      <c r="E1555" s="245" t="s">
        <v>1426</v>
      </c>
      <c r="F1555" s="245" t="s">
        <v>2395</v>
      </c>
      <c r="G1555" s="245" t="s">
        <v>1469</v>
      </c>
      <c r="H1555" s="245" t="s">
        <v>2392</v>
      </c>
    </row>
    <row r="1556" spans="1:8">
      <c r="A1556" s="245" t="s">
        <v>3218</v>
      </c>
      <c r="B1556" s="245">
        <v>41200048</v>
      </c>
      <c r="C1556" s="245" t="s">
        <v>1476</v>
      </c>
      <c r="D1556" s="245" t="s">
        <v>1426</v>
      </c>
      <c r="E1556" s="245" t="s">
        <v>1426</v>
      </c>
      <c r="F1556" s="245" t="s">
        <v>2395</v>
      </c>
      <c r="G1556" s="245" t="s">
        <v>1469</v>
      </c>
      <c r="H1556" s="245" t="s">
        <v>2392</v>
      </c>
    </row>
    <row r="1557" spans="1:8">
      <c r="A1557" s="245" t="s">
        <v>3209</v>
      </c>
      <c r="B1557" s="245">
        <v>41200048</v>
      </c>
      <c r="C1557" s="245" t="s">
        <v>1476</v>
      </c>
      <c r="D1557" s="245" t="s">
        <v>1426</v>
      </c>
      <c r="E1557" s="245" t="s">
        <v>1426</v>
      </c>
      <c r="F1557" s="245" t="s">
        <v>2395</v>
      </c>
      <c r="G1557" s="245" t="s">
        <v>1469</v>
      </c>
      <c r="H1557" s="245" t="s">
        <v>2392</v>
      </c>
    </row>
    <row r="1558" spans="1:8">
      <c r="A1558" s="245" t="s">
        <v>3157</v>
      </c>
      <c r="B1558" s="245">
        <v>41100264</v>
      </c>
      <c r="C1558" s="245" t="s">
        <v>1591</v>
      </c>
      <c r="D1558" s="245" t="s">
        <v>6611</v>
      </c>
      <c r="E1558" s="245" t="s">
        <v>1585</v>
      </c>
      <c r="F1558" s="245" t="s">
        <v>2395</v>
      </c>
      <c r="G1558" s="245" t="s">
        <v>2392</v>
      </c>
      <c r="H1558" s="245" t="s">
        <v>2392</v>
      </c>
    </row>
    <row r="1559" spans="1:8">
      <c r="A1559" s="245" t="s">
        <v>3156</v>
      </c>
      <c r="B1559" s="245">
        <v>41100264</v>
      </c>
      <c r="C1559" s="245" t="s">
        <v>1591</v>
      </c>
      <c r="D1559" s="245" t="s">
        <v>6611</v>
      </c>
      <c r="E1559" s="245" t="s">
        <v>1585</v>
      </c>
      <c r="F1559" s="245" t="s">
        <v>2395</v>
      </c>
      <c r="G1559" s="245" t="s">
        <v>2392</v>
      </c>
      <c r="H1559" s="245" t="s">
        <v>2392</v>
      </c>
    </row>
    <row r="1560" spans="1:8">
      <c r="A1560" s="245" t="s">
        <v>3189</v>
      </c>
      <c r="B1560" s="245">
        <v>41200007</v>
      </c>
      <c r="C1560" s="245" t="s">
        <v>1591</v>
      </c>
      <c r="D1560" s="245" t="s">
        <v>6608</v>
      </c>
      <c r="E1560" s="245" t="s">
        <v>1405</v>
      </c>
      <c r="F1560" s="245" t="s">
        <v>2391</v>
      </c>
      <c r="G1560" s="245" t="s">
        <v>1468</v>
      </c>
      <c r="H1560" s="245" t="s">
        <v>2391</v>
      </c>
    </row>
    <row r="1561" spans="1:8">
      <c r="A1561" s="245" t="s">
        <v>3188</v>
      </c>
      <c r="B1561" s="245">
        <v>41200007</v>
      </c>
      <c r="C1561" s="245" t="s">
        <v>1591</v>
      </c>
      <c r="D1561" s="245" t="s">
        <v>6608</v>
      </c>
      <c r="E1561" s="245" t="s">
        <v>1405</v>
      </c>
      <c r="F1561" s="245" t="s">
        <v>2391</v>
      </c>
      <c r="G1561" s="245" t="s">
        <v>1468</v>
      </c>
      <c r="H1561" s="245" t="s">
        <v>2391</v>
      </c>
    </row>
    <row r="1562" spans="1:8">
      <c r="A1562" s="245" t="s">
        <v>3206</v>
      </c>
      <c r="B1562" s="245">
        <v>41200158</v>
      </c>
      <c r="C1562" s="245" t="s">
        <v>1480</v>
      </c>
      <c r="D1562" s="245" t="s">
        <v>1480</v>
      </c>
      <c r="E1562" s="245" t="s">
        <v>1405</v>
      </c>
      <c r="F1562" s="245" t="s">
        <v>2391</v>
      </c>
      <c r="G1562" s="245" t="s">
        <v>2392</v>
      </c>
      <c r="H1562" s="245" t="s">
        <v>2391</v>
      </c>
    </row>
    <row r="1563" spans="1:8">
      <c r="A1563" s="245" t="s">
        <v>3205</v>
      </c>
      <c r="B1563" s="245">
        <v>41200158</v>
      </c>
      <c r="C1563" s="245" t="s">
        <v>1480</v>
      </c>
      <c r="D1563" s="245" t="s">
        <v>1480</v>
      </c>
      <c r="E1563" s="245" t="s">
        <v>1405</v>
      </c>
      <c r="F1563" s="245" t="s">
        <v>2391</v>
      </c>
      <c r="G1563" s="245" t="s">
        <v>2392</v>
      </c>
      <c r="H1563" s="245" t="s">
        <v>2391</v>
      </c>
    </row>
    <row r="1564" spans="1:8">
      <c r="A1564" s="245" t="s">
        <v>3198</v>
      </c>
      <c r="B1564" s="245">
        <v>41200158</v>
      </c>
      <c r="C1564" s="245" t="s">
        <v>1480</v>
      </c>
      <c r="D1564" s="245" t="s">
        <v>1480</v>
      </c>
      <c r="E1564" s="245" t="s">
        <v>1405</v>
      </c>
      <c r="F1564" s="245" t="s">
        <v>2391</v>
      </c>
      <c r="G1564" s="245" t="s">
        <v>2392</v>
      </c>
      <c r="H1564" s="245" t="s">
        <v>2391</v>
      </c>
    </row>
    <row r="1565" spans="1:8">
      <c r="A1565" s="245" t="s">
        <v>3194</v>
      </c>
      <c r="B1565" s="245">
        <v>41200125</v>
      </c>
      <c r="C1565" s="245" t="s">
        <v>1476</v>
      </c>
      <c r="D1565" s="245" t="s">
        <v>1476</v>
      </c>
      <c r="E1565" s="245" t="s">
        <v>1585</v>
      </c>
      <c r="F1565" s="245" t="s">
        <v>2391</v>
      </c>
      <c r="G1565" s="245" t="s">
        <v>2392</v>
      </c>
      <c r="H1565" s="245" t="s">
        <v>2391</v>
      </c>
    </row>
    <row r="1566" spans="1:8">
      <c r="A1566" s="245" t="s">
        <v>6612</v>
      </c>
      <c r="B1566" s="245" t="s">
        <v>6592</v>
      </c>
      <c r="C1566" s="245" t="s">
        <v>6593</v>
      </c>
      <c r="D1566" s="245" t="s">
        <v>71</v>
      </c>
      <c r="E1566" s="245" t="s">
        <v>1405</v>
      </c>
      <c r="F1566" s="245" t="s">
        <v>2392</v>
      </c>
      <c r="G1566" s="245" t="s">
        <v>2392</v>
      </c>
      <c r="H1566" s="245" t="s">
        <v>2392</v>
      </c>
    </row>
    <row r="1567" spans="1:8">
      <c r="A1567" s="245" t="s">
        <v>6614</v>
      </c>
      <c r="B1567" s="245" t="s">
        <v>6592</v>
      </c>
      <c r="C1567" s="245" t="s">
        <v>6593</v>
      </c>
      <c r="D1567" s="245" t="s">
        <v>71</v>
      </c>
      <c r="E1567" s="245" t="s">
        <v>1405</v>
      </c>
      <c r="F1567" s="245" t="s">
        <v>2392</v>
      </c>
      <c r="G1567" s="245" t="s">
        <v>2392</v>
      </c>
      <c r="H1567" s="245" t="s">
        <v>2392</v>
      </c>
    </row>
    <row r="1568" spans="1:8">
      <c r="A1568" s="245" t="s">
        <v>6615</v>
      </c>
      <c r="B1568" s="245" t="s">
        <v>6592</v>
      </c>
      <c r="C1568" s="245" t="s">
        <v>6593</v>
      </c>
      <c r="D1568" s="245" t="s">
        <v>71</v>
      </c>
      <c r="E1568" s="245" t="s">
        <v>1405</v>
      </c>
      <c r="F1568" s="245" t="s">
        <v>2392</v>
      </c>
      <c r="G1568" s="245" t="s">
        <v>2392</v>
      </c>
      <c r="H1568" s="245" t="s">
        <v>2392</v>
      </c>
    </row>
    <row r="1569" spans="1:8">
      <c r="A1569" s="245" t="s">
        <v>6616</v>
      </c>
      <c r="B1569" s="245" t="s">
        <v>6592</v>
      </c>
      <c r="C1569" s="245" t="s">
        <v>6593</v>
      </c>
      <c r="D1569" s="245" t="s">
        <v>71</v>
      </c>
      <c r="E1569" s="245" t="s">
        <v>1405</v>
      </c>
      <c r="F1569" s="245" t="s">
        <v>2392</v>
      </c>
      <c r="G1569" s="245" t="s">
        <v>2392</v>
      </c>
      <c r="H1569" s="245" t="s">
        <v>2392</v>
      </c>
    </row>
    <row r="1570" spans="1:8">
      <c r="A1570" s="245" t="s">
        <v>3155</v>
      </c>
      <c r="B1570" s="245">
        <v>41100338</v>
      </c>
      <c r="C1570" s="245" t="s">
        <v>1591</v>
      </c>
      <c r="D1570" s="245" t="s">
        <v>6617</v>
      </c>
      <c r="E1570" s="245" t="s">
        <v>1585</v>
      </c>
      <c r="F1570" s="245" t="s">
        <v>2395</v>
      </c>
      <c r="G1570" s="245" t="s">
        <v>1469</v>
      </c>
      <c r="H1570" s="245" t="s">
        <v>2392</v>
      </c>
    </row>
    <row r="1571" spans="1:8">
      <c r="A1571" s="245" t="s">
        <v>3154</v>
      </c>
      <c r="B1571" s="245">
        <v>41100338</v>
      </c>
      <c r="C1571" s="245" t="s">
        <v>1591</v>
      </c>
      <c r="D1571" s="245" t="s">
        <v>6617</v>
      </c>
      <c r="E1571" s="245" t="s">
        <v>1585</v>
      </c>
      <c r="F1571" s="245" t="s">
        <v>2395</v>
      </c>
      <c r="G1571" s="245" t="s">
        <v>1469</v>
      </c>
      <c r="H1571" s="245" t="s">
        <v>2392</v>
      </c>
    </row>
    <row r="1572" spans="1:8">
      <c r="A1572" s="245" t="s">
        <v>3422</v>
      </c>
      <c r="B1572" s="245">
        <v>41200122</v>
      </c>
      <c r="C1572" s="245" t="s">
        <v>1476</v>
      </c>
      <c r="D1572" s="245" t="s">
        <v>1476</v>
      </c>
      <c r="E1572" s="245" t="s">
        <v>1585</v>
      </c>
      <c r="F1572" s="245" t="s">
        <v>2555</v>
      </c>
      <c r="G1572" s="245" t="s">
        <v>2555</v>
      </c>
      <c r="H1572" s="245" t="s">
        <v>2392</v>
      </c>
    </row>
    <row r="1573" spans="1:8">
      <c r="A1573" s="245" t="s">
        <v>3315</v>
      </c>
      <c r="B1573" s="245">
        <v>41200122</v>
      </c>
      <c r="C1573" s="245" t="s">
        <v>1476</v>
      </c>
      <c r="D1573" s="245" t="s">
        <v>1476</v>
      </c>
      <c r="E1573" s="245" t="s">
        <v>1585</v>
      </c>
      <c r="F1573" s="245" t="s">
        <v>2555</v>
      </c>
      <c r="G1573" s="245" t="s">
        <v>2555</v>
      </c>
      <c r="H1573" s="245" t="s">
        <v>2392</v>
      </c>
    </row>
    <row r="1574" spans="1:8">
      <c r="A1574" s="245" t="s">
        <v>5330</v>
      </c>
      <c r="B1574" s="245">
        <v>41000558</v>
      </c>
      <c r="C1574" s="245" t="s">
        <v>6607</v>
      </c>
      <c r="D1574" s="245" t="s">
        <v>6607</v>
      </c>
      <c r="E1574" s="245" t="s">
        <v>1405</v>
      </c>
      <c r="F1574" s="245" t="s">
        <v>5127</v>
      </c>
      <c r="G1574" s="245" t="s">
        <v>1469</v>
      </c>
      <c r="H1574" s="245" t="s">
        <v>71</v>
      </c>
    </row>
    <row r="1575" spans="1:8">
      <c r="A1575" s="245" t="s">
        <v>3184</v>
      </c>
      <c r="B1575" s="245">
        <v>41100317</v>
      </c>
      <c r="C1575" s="245" t="s">
        <v>1476</v>
      </c>
      <c r="D1575" s="245" t="s">
        <v>1476</v>
      </c>
      <c r="E1575" s="245" t="s">
        <v>1585</v>
      </c>
      <c r="F1575" s="245" t="s">
        <v>2391</v>
      </c>
      <c r="G1575" s="245" t="s">
        <v>2392</v>
      </c>
      <c r="H1575" s="245" t="s">
        <v>2391</v>
      </c>
    </row>
    <row r="1576" spans="1:8">
      <c r="A1576" s="245" t="s">
        <v>3162</v>
      </c>
      <c r="B1576" s="245">
        <v>41200152</v>
      </c>
      <c r="C1576" s="245" t="s">
        <v>1476</v>
      </c>
      <c r="D1576" s="245" t="s">
        <v>6618</v>
      </c>
      <c r="E1576" s="245" t="s">
        <v>1585</v>
      </c>
      <c r="F1576" s="245" t="s">
        <v>2395</v>
      </c>
      <c r="G1576" s="245" t="s">
        <v>2392</v>
      </c>
      <c r="H1576" s="245" t="s">
        <v>2392</v>
      </c>
    </row>
    <row r="1577" spans="1:8">
      <c r="A1577" s="245" t="s">
        <v>3161</v>
      </c>
      <c r="B1577" s="245">
        <v>41200152</v>
      </c>
      <c r="C1577" s="245" t="s">
        <v>1476</v>
      </c>
      <c r="D1577" s="245" t="s">
        <v>6618</v>
      </c>
      <c r="E1577" s="245" t="s">
        <v>1585</v>
      </c>
      <c r="F1577" s="245" t="s">
        <v>2395</v>
      </c>
      <c r="G1577" s="245" t="s">
        <v>2392</v>
      </c>
      <c r="H1577" s="245" t="s">
        <v>2392</v>
      </c>
    </row>
    <row r="1578" spans="1:8">
      <c r="A1578" s="245" t="s">
        <v>3175</v>
      </c>
      <c r="B1578" s="245">
        <v>41200122</v>
      </c>
      <c r="C1578" s="245" t="s">
        <v>1476</v>
      </c>
      <c r="D1578" s="245" t="s">
        <v>1476</v>
      </c>
      <c r="E1578" s="245" t="s">
        <v>1585</v>
      </c>
      <c r="F1578" s="245" t="s">
        <v>2395</v>
      </c>
      <c r="G1578" s="245" t="s">
        <v>1469</v>
      </c>
      <c r="H1578" s="245" t="s">
        <v>2392</v>
      </c>
    </row>
    <row r="1579" spans="1:8">
      <c r="A1579" s="245" t="s">
        <v>3136</v>
      </c>
      <c r="B1579" s="245">
        <v>41200109</v>
      </c>
      <c r="C1579" s="245" t="s">
        <v>1591</v>
      </c>
      <c r="D1579" s="245" t="s">
        <v>6619</v>
      </c>
      <c r="E1579" s="245" t="s">
        <v>1585</v>
      </c>
      <c r="F1579" s="245" t="s">
        <v>2395</v>
      </c>
      <c r="G1579" s="245" t="s">
        <v>1468</v>
      </c>
      <c r="H1579" s="245" t="s">
        <v>2392</v>
      </c>
    </row>
    <row r="1580" spans="1:8">
      <c r="A1580" s="245" t="s">
        <v>3135</v>
      </c>
      <c r="B1580" s="245">
        <v>41200109</v>
      </c>
      <c r="C1580" s="245" t="s">
        <v>1591</v>
      </c>
      <c r="D1580" s="245" t="s">
        <v>6619</v>
      </c>
      <c r="E1580" s="245" t="s">
        <v>1585</v>
      </c>
      <c r="F1580" s="245" t="s">
        <v>2395</v>
      </c>
      <c r="G1580" s="245" t="s">
        <v>1468</v>
      </c>
      <c r="H1580" s="245" t="s">
        <v>2392</v>
      </c>
    </row>
    <row r="1581" spans="1:8">
      <c r="A1581" s="245" t="s">
        <v>3174</v>
      </c>
      <c r="B1581" s="245">
        <v>41200184</v>
      </c>
      <c r="C1581" s="245" t="s">
        <v>1479</v>
      </c>
      <c r="D1581" s="245" t="s">
        <v>1394</v>
      </c>
      <c r="E1581" s="245" t="s">
        <v>1394</v>
      </c>
      <c r="F1581" s="245" t="s">
        <v>2391</v>
      </c>
      <c r="G1581" s="245" t="s">
        <v>1468</v>
      </c>
      <c r="H1581" s="245" t="s">
        <v>2391</v>
      </c>
    </row>
    <row r="1582" spans="1:8">
      <c r="A1582" s="245" t="s">
        <v>3173</v>
      </c>
      <c r="B1582" s="245">
        <v>41200184</v>
      </c>
      <c r="C1582" s="245" t="s">
        <v>1479</v>
      </c>
      <c r="D1582" s="245" t="s">
        <v>1394</v>
      </c>
      <c r="E1582" s="245" t="s">
        <v>1394</v>
      </c>
      <c r="F1582" s="245" t="s">
        <v>2391</v>
      </c>
      <c r="G1582" s="245" t="s">
        <v>1468</v>
      </c>
      <c r="H1582" s="245" t="s">
        <v>2391</v>
      </c>
    </row>
    <row r="1583" spans="1:8">
      <c r="A1583" s="245" t="s">
        <v>3167</v>
      </c>
      <c r="B1583" s="245">
        <v>41200184</v>
      </c>
      <c r="C1583" s="245" t="s">
        <v>1479</v>
      </c>
      <c r="D1583" s="245" t="s">
        <v>1394</v>
      </c>
      <c r="E1583" s="245" t="s">
        <v>1394</v>
      </c>
      <c r="F1583" s="245" t="s">
        <v>2391</v>
      </c>
      <c r="G1583" s="245" t="s">
        <v>1468</v>
      </c>
      <c r="H1583" s="245" t="s">
        <v>2391</v>
      </c>
    </row>
    <row r="1584" spans="1:8">
      <c r="A1584" s="245" t="s">
        <v>3166</v>
      </c>
      <c r="B1584" s="245">
        <v>41200171</v>
      </c>
      <c r="C1584" s="245" t="s">
        <v>1479</v>
      </c>
      <c r="D1584" s="245" t="s">
        <v>1394</v>
      </c>
      <c r="E1584" s="245" t="s">
        <v>1394</v>
      </c>
      <c r="F1584" s="245" t="s">
        <v>2391</v>
      </c>
      <c r="G1584" s="245" t="s">
        <v>1468</v>
      </c>
      <c r="H1584" s="245" t="s">
        <v>2391</v>
      </c>
    </row>
    <row r="1585" spans="1:8">
      <c r="A1585" s="245" t="s">
        <v>3142</v>
      </c>
      <c r="B1585" s="245">
        <v>41100435</v>
      </c>
      <c r="C1585" s="245" t="s">
        <v>3801</v>
      </c>
      <c r="D1585" s="245" t="s">
        <v>1482</v>
      </c>
      <c r="E1585" s="245" t="s">
        <v>1585</v>
      </c>
      <c r="F1585" s="245" t="s">
        <v>2391</v>
      </c>
      <c r="G1585" s="245" t="s">
        <v>1468</v>
      </c>
      <c r="H1585" s="245" t="s">
        <v>71</v>
      </c>
    </row>
    <row r="1586" spans="1:8">
      <c r="A1586" s="245" t="s">
        <v>3153</v>
      </c>
      <c r="B1586" s="245">
        <v>41200005</v>
      </c>
      <c r="C1586" s="245" t="s">
        <v>1591</v>
      </c>
      <c r="D1586" s="245" t="s">
        <v>1591</v>
      </c>
      <c r="E1586" s="245" t="s">
        <v>1405</v>
      </c>
      <c r="F1586" s="245" t="s">
        <v>2395</v>
      </c>
      <c r="G1586" s="245" t="s">
        <v>1469</v>
      </c>
      <c r="H1586" s="245" t="s">
        <v>2392</v>
      </c>
    </row>
    <row r="1587" spans="1:8">
      <c r="A1587" s="245" t="s">
        <v>3152</v>
      </c>
      <c r="B1587" s="245">
        <v>41200005</v>
      </c>
      <c r="C1587" s="245" t="s">
        <v>1591</v>
      </c>
      <c r="D1587" s="245" t="s">
        <v>1591</v>
      </c>
      <c r="E1587" s="245" t="s">
        <v>1405</v>
      </c>
      <c r="F1587" s="245" t="s">
        <v>2395</v>
      </c>
      <c r="G1587" s="245" t="s">
        <v>1469</v>
      </c>
      <c r="H1587" s="245" t="s">
        <v>2392</v>
      </c>
    </row>
    <row r="1588" spans="1:8">
      <c r="A1588" s="245" t="s">
        <v>3151</v>
      </c>
      <c r="B1588" s="245">
        <v>41200005</v>
      </c>
      <c r="C1588" s="245" t="s">
        <v>1591</v>
      </c>
      <c r="D1588" s="245" t="s">
        <v>1591</v>
      </c>
      <c r="E1588" s="245" t="s">
        <v>1405</v>
      </c>
      <c r="F1588" s="245" t="s">
        <v>2395</v>
      </c>
      <c r="G1588" s="245" t="s">
        <v>1469</v>
      </c>
      <c r="H1588" s="245" t="s">
        <v>2392</v>
      </c>
    </row>
    <row r="1589" spans="1:8">
      <c r="A1589" s="245" t="s">
        <v>3150</v>
      </c>
      <c r="B1589" s="245">
        <v>41200005</v>
      </c>
      <c r="C1589" s="245" t="s">
        <v>1591</v>
      </c>
      <c r="D1589" s="245" t="s">
        <v>1591</v>
      </c>
      <c r="E1589" s="245" t="s">
        <v>1405</v>
      </c>
      <c r="F1589" s="245" t="s">
        <v>2395</v>
      </c>
      <c r="G1589" s="245" t="s">
        <v>1469</v>
      </c>
      <c r="H1589" s="245" t="s">
        <v>2392</v>
      </c>
    </row>
    <row r="1590" spans="1:8">
      <c r="A1590" s="245" t="s">
        <v>3191</v>
      </c>
      <c r="B1590" s="245">
        <v>41200074</v>
      </c>
      <c r="C1590" s="245" t="s">
        <v>1478</v>
      </c>
      <c r="D1590" s="245" t="s">
        <v>6620</v>
      </c>
      <c r="E1590" s="245" t="s">
        <v>1405</v>
      </c>
      <c r="F1590" s="245" t="s">
        <v>2391</v>
      </c>
      <c r="G1590" s="245" t="s">
        <v>2392</v>
      </c>
      <c r="H1590" s="245" t="s">
        <v>2391</v>
      </c>
    </row>
    <row r="1591" spans="1:8">
      <c r="A1591" s="245" t="s">
        <v>3195</v>
      </c>
      <c r="B1591" s="245">
        <v>41200074</v>
      </c>
      <c r="C1591" s="245" t="s">
        <v>1478</v>
      </c>
      <c r="D1591" s="245" t="s">
        <v>6620</v>
      </c>
      <c r="E1591" s="245" t="s">
        <v>1405</v>
      </c>
      <c r="F1591" s="245" t="s">
        <v>2391</v>
      </c>
      <c r="G1591" s="245" t="s">
        <v>2392</v>
      </c>
      <c r="H1591" s="245" t="s">
        <v>2391</v>
      </c>
    </row>
    <row r="1592" spans="1:8">
      <c r="A1592" s="245" t="s">
        <v>3182</v>
      </c>
      <c r="B1592" s="245">
        <v>41200007</v>
      </c>
      <c r="C1592" s="245" t="s">
        <v>1591</v>
      </c>
      <c r="D1592" s="245" t="s">
        <v>6608</v>
      </c>
      <c r="E1592" s="245" t="s">
        <v>1405</v>
      </c>
      <c r="F1592" s="245" t="s">
        <v>2395</v>
      </c>
      <c r="G1592" s="245" t="s">
        <v>1469</v>
      </c>
      <c r="H1592" s="245" t="s">
        <v>2392</v>
      </c>
    </row>
    <row r="1593" spans="1:8">
      <c r="A1593" s="245" t="s">
        <v>3181</v>
      </c>
      <c r="B1593" s="245">
        <v>41200007</v>
      </c>
      <c r="C1593" s="245" t="s">
        <v>1591</v>
      </c>
      <c r="D1593" s="245" t="s">
        <v>6608</v>
      </c>
      <c r="E1593" s="245" t="s">
        <v>1405</v>
      </c>
      <c r="F1593" s="245" t="s">
        <v>2395</v>
      </c>
      <c r="G1593" s="245" t="s">
        <v>1469</v>
      </c>
      <c r="H1593" s="245" t="s">
        <v>2392</v>
      </c>
    </row>
    <row r="1594" spans="1:8">
      <c r="A1594" s="245" t="s">
        <v>3163</v>
      </c>
      <c r="B1594" s="245">
        <v>41100435</v>
      </c>
      <c r="C1594" s="245" t="s">
        <v>3801</v>
      </c>
      <c r="D1594" s="245" t="s">
        <v>1482</v>
      </c>
      <c r="E1594" s="245" t="s">
        <v>1585</v>
      </c>
      <c r="F1594" s="245" t="s">
        <v>2391</v>
      </c>
      <c r="G1594" s="245" t="s">
        <v>2392</v>
      </c>
      <c r="H1594" s="245" t="s">
        <v>71</v>
      </c>
    </row>
    <row r="1595" spans="1:8">
      <c r="A1595" s="245" t="s">
        <v>3137</v>
      </c>
      <c r="B1595" s="245">
        <v>41200076</v>
      </c>
      <c r="C1595" s="245" t="s">
        <v>1476</v>
      </c>
      <c r="D1595" s="245" t="s">
        <v>1476</v>
      </c>
      <c r="E1595" s="245" t="s">
        <v>1585</v>
      </c>
      <c r="F1595" s="245" t="s">
        <v>2395</v>
      </c>
      <c r="G1595" s="245" t="s">
        <v>1468</v>
      </c>
      <c r="H1595" s="245" t="s">
        <v>2392</v>
      </c>
    </row>
    <row r="1596" spans="1:8">
      <c r="A1596" s="245" t="s">
        <v>3179</v>
      </c>
      <c r="B1596" s="245">
        <v>41100665</v>
      </c>
      <c r="C1596" s="245" t="s">
        <v>3180</v>
      </c>
      <c r="D1596" s="245" t="s">
        <v>3180</v>
      </c>
      <c r="E1596" s="245" t="s">
        <v>1416</v>
      </c>
      <c r="F1596" s="245" t="s">
        <v>2395</v>
      </c>
      <c r="G1596" s="245" t="s">
        <v>1469</v>
      </c>
      <c r="H1596" s="245" t="s">
        <v>71</v>
      </c>
    </row>
    <row r="1597" spans="1:8">
      <c r="A1597" s="245" t="s">
        <v>3178</v>
      </c>
      <c r="B1597" s="245">
        <v>41200007</v>
      </c>
      <c r="C1597" s="245" t="s">
        <v>1591</v>
      </c>
      <c r="D1597" s="245" t="s">
        <v>6608</v>
      </c>
      <c r="E1597" s="245" t="s">
        <v>1405</v>
      </c>
      <c r="F1597" s="245" t="s">
        <v>2391</v>
      </c>
      <c r="G1597" s="245" t="s">
        <v>2392</v>
      </c>
      <c r="H1597" s="245" t="s">
        <v>2391</v>
      </c>
    </row>
    <row r="1598" spans="1:8">
      <c r="A1598" s="245" t="s">
        <v>3177</v>
      </c>
      <c r="B1598" s="245">
        <v>41200007</v>
      </c>
      <c r="C1598" s="245" t="s">
        <v>1591</v>
      </c>
      <c r="D1598" s="245" t="s">
        <v>6608</v>
      </c>
      <c r="E1598" s="245" t="s">
        <v>1405</v>
      </c>
      <c r="F1598" s="245" t="s">
        <v>2391</v>
      </c>
      <c r="G1598" s="245" t="s">
        <v>2392</v>
      </c>
      <c r="H1598" s="245" t="s">
        <v>2391</v>
      </c>
    </row>
    <row r="1599" spans="1:8">
      <c r="A1599" s="245" t="s">
        <v>3176</v>
      </c>
      <c r="B1599" s="245">
        <v>41200007</v>
      </c>
      <c r="C1599" s="245" t="s">
        <v>1591</v>
      </c>
      <c r="D1599" s="245" t="s">
        <v>6608</v>
      </c>
      <c r="E1599" s="245" t="s">
        <v>1405</v>
      </c>
      <c r="F1599" s="245" t="s">
        <v>2391</v>
      </c>
      <c r="G1599" s="245" t="s">
        <v>2392</v>
      </c>
      <c r="H1599" s="245" t="s">
        <v>2391</v>
      </c>
    </row>
    <row r="1600" spans="1:8">
      <c r="A1600" s="245" t="s">
        <v>3214</v>
      </c>
      <c r="B1600" s="245">
        <v>41200007</v>
      </c>
      <c r="C1600" s="245" t="s">
        <v>1591</v>
      </c>
      <c r="D1600" s="245" t="s">
        <v>6608</v>
      </c>
      <c r="E1600" s="245" t="s">
        <v>1405</v>
      </c>
      <c r="F1600" s="245" t="s">
        <v>2391</v>
      </c>
      <c r="G1600" s="245" t="s">
        <v>2392</v>
      </c>
      <c r="H1600" s="245" t="s">
        <v>2391</v>
      </c>
    </row>
    <row r="1601" spans="1:8">
      <c r="A1601" s="245" t="s">
        <v>3213</v>
      </c>
      <c r="B1601" s="245">
        <v>41200007</v>
      </c>
      <c r="C1601" s="245" t="s">
        <v>1591</v>
      </c>
      <c r="D1601" s="245" t="s">
        <v>6608</v>
      </c>
      <c r="E1601" s="245" t="s">
        <v>1405</v>
      </c>
      <c r="F1601" s="245" t="s">
        <v>2391</v>
      </c>
      <c r="G1601" s="245" t="s">
        <v>2392</v>
      </c>
      <c r="H1601" s="245" t="s">
        <v>2391</v>
      </c>
    </row>
    <row r="1602" spans="1:8">
      <c r="A1602" s="245" t="s">
        <v>3187</v>
      </c>
      <c r="B1602" s="245">
        <v>41200007</v>
      </c>
      <c r="C1602" s="245" t="s">
        <v>1591</v>
      </c>
      <c r="D1602" s="245" t="s">
        <v>6608</v>
      </c>
      <c r="E1602" s="245" t="s">
        <v>1405</v>
      </c>
      <c r="F1602" s="245" t="s">
        <v>2391</v>
      </c>
      <c r="G1602" s="245" t="s">
        <v>2392</v>
      </c>
      <c r="H1602" s="245" t="s">
        <v>2391</v>
      </c>
    </row>
    <row r="1603" spans="1:8">
      <c r="A1603" s="245" t="s">
        <v>3186</v>
      </c>
      <c r="B1603" s="245">
        <v>41200007</v>
      </c>
      <c r="C1603" s="245" t="s">
        <v>1591</v>
      </c>
      <c r="D1603" s="245" t="s">
        <v>6608</v>
      </c>
      <c r="E1603" s="245" t="s">
        <v>1405</v>
      </c>
      <c r="F1603" s="245" t="s">
        <v>2391</v>
      </c>
      <c r="G1603" s="245" t="s">
        <v>2392</v>
      </c>
      <c r="H1603" s="245" t="s">
        <v>2391</v>
      </c>
    </row>
    <row r="1604" spans="1:8">
      <c r="A1604" s="245" t="s">
        <v>3197</v>
      </c>
      <c r="B1604" s="245">
        <v>41200007</v>
      </c>
      <c r="C1604" s="245" t="s">
        <v>1591</v>
      </c>
      <c r="D1604" s="245" t="s">
        <v>6608</v>
      </c>
      <c r="E1604" s="245" t="s">
        <v>1405</v>
      </c>
      <c r="F1604" s="245" t="s">
        <v>2395</v>
      </c>
      <c r="G1604" s="245" t="s">
        <v>1469</v>
      </c>
      <c r="H1604" s="245" t="s">
        <v>2392</v>
      </c>
    </row>
    <row r="1605" spans="1:8">
      <c r="A1605" s="245" t="s">
        <v>3196</v>
      </c>
      <c r="B1605" s="245">
        <v>41200007</v>
      </c>
      <c r="C1605" s="245" t="s">
        <v>1591</v>
      </c>
      <c r="D1605" s="245" t="s">
        <v>6608</v>
      </c>
      <c r="E1605" s="245" t="s">
        <v>1405</v>
      </c>
      <c r="F1605" s="245" t="s">
        <v>2395</v>
      </c>
      <c r="G1605" s="245" t="s">
        <v>1469</v>
      </c>
      <c r="H1605" s="245" t="s">
        <v>2392</v>
      </c>
    </row>
    <row r="1606" spans="1:8">
      <c r="A1606" s="245" t="s">
        <v>3168</v>
      </c>
      <c r="B1606" s="245">
        <v>41200122</v>
      </c>
      <c r="C1606" s="245" t="s">
        <v>1476</v>
      </c>
      <c r="D1606" s="245" t="s">
        <v>1476</v>
      </c>
      <c r="E1606" s="245" t="s">
        <v>1585</v>
      </c>
      <c r="F1606" s="245" t="s">
        <v>2395</v>
      </c>
      <c r="G1606" s="245" t="s">
        <v>1469</v>
      </c>
      <c r="H1606" s="245" t="s">
        <v>2392</v>
      </c>
    </row>
    <row r="1607" spans="1:8">
      <c r="A1607" s="245" t="s">
        <v>5328</v>
      </c>
      <c r="B1607" s="245">
        <v>41200179</v>
      </c>
      <c r="C1607" s="245" t="s">
        <v>1478</v>
      </c>
      <c r="D1607" s="245" t="s">
        <v>6621</v>
      </c>
      <c r="E1607" s="245" t="s">
        <v>1426</v>
      </c>
      <c r="F1607" s="245" t="s">
        <v>2395</v>
      </c>
      <c r="G1607" s="245" t="s">
        <v>2392</v>
      </c>
      <c r="H1607" s="245" t="s">
        <v>2392</v>
      </c>
    </row>
    <row r="1608" spans="1:8">
      <c r="A1608" s="245" t="s">
        <v>3149</v>
      </c>
      <c r="B1608" s="245">
        <v>41200109</v>
      </c>
      <c r="C1608" s="245" t="s">
        <v>1591</v>
      </c>
      <c r="D1608" s="245" t="s">
        <v>6619</v>
      </c>
      <c r="E1608" s="245" t="s">
        <v>1585</v>
      </c>
      <c r="F1608" s="245" t="s">
        <v>2391</v>
      </c>
      <c r="G1608" s="245" t="s">
        <v>2392</v>
      </c>
      <c r="H1608" s="245" t="s">
        <v>2391</v>
      </c>
    </row>
    <row r="1609" spans="1:8">
      <c r="A1609" s="245" t="s">
        <v>3148</v>
      </c>
      <c r="B1609" s="245">
        <v>41200109</v>
      </c>
      <c r="C1609" s="245" t="s">
        <v>1591</v>
      </c>
      <c r="D1609" s="245" t="s">
        <v>6619</v>
      </c>
      <c r="E1609" s="245" t="s">
        <v>1585</v>
      </c>
      <c r="F1609" s="245" t="s">
        <v>2391</v>
      </c>
      <c r="G1609" s="245" t="s">
        <v>2392</v>
      </c>
      <c r="H1609" s="245" t="s">
        <v>2391</v>
      </c>
    </row>
    <row r="1610" spans="1:8">
      <c r="A1610" s="245" t="s">
        <v>3183</v>
      </c>
      <c r="B1610" s="245">
        <v>41200125</v>
      </c>
      <c r="C1610" s="245" t="s">
        <v>1476</v>
      </c>
      <c r="D1610" s="245" t="s">
        <v>1476</v>
      </c>
      <c r="E1610" s="245" t="s">
        <v>1585</v>
      </c>
      <c r="F1610" s="245" t="s">
        <v>2395</v>
      </c>
      <c r="G1610" s="245" t="s">
        <v>2392</v>
      </c>
      <c r="H1610" s="245" t="s">
        <v>2392</v>
      </c>
    </row>
    <row r="1611" spans="1:8">
      <c r="A1611" s="245" t="s">
        <v>3144</v>
      </c>
      <c r="B1611" s="245">
        <v>41000556</v>
      </c>
      <c r="C1611" s="245" t="s">
        <v>1476</v>
      </c>
      <c r="D1611" s="245" t="s">
        <v>1476</v>
      </c>
      <c r="E1611" s="245" t="s">
        <v>1585</v>
      </c>
      <c r="F1611" s="245" t="s">
        <v>2395</v>
      </c>
      <c r="G1611" s="245" t="s">
        <v>1469</v>
      </c>
      <c r="H1611" s="245" t="s">
        <v>2392</v>
      </c>
    </row>
    <row r="1612" spans="1:8">
      <c r="A1612" s="245" t="s">
        <v>3145</v>
      </c>
      <c r="B1612" s="245">
        <v>41200007</v>
      </c>
      <c r="C1612" s="245" t="s">
        <v>1591</v>
      </c>
      <c r="D1612" s="245" t="s">
        <v>6608</v>
      </c>
      <c r="E1612" s="245" t="s">
        <v>1405</v>
      </c>
      <c r="F1612" s="245" t="s">
        <v>2395</v>
      </c>
      <c r="G1612" s="245" t="s">
        <v>1469</v>
      </c>
      <c r="H1612" s="245" t="s">
        <v>2392</v>
      </c>
    </row>
    <row r="1613" spans="1:8">
      <c r="A1613" s="245" t="s">
        <v>3134</v>
      </c>
      <c r="B1613" s="245">
        <v>41200007</v>
      </c>
      <c r="C1613" s="245" t="s">
        <v>1591</v>
      </c>
      <c r="D1613" s="245" t="s">
        <v>6608</v>
      </c>
      <c r="E1613" s="245" t="s">
        <v>1405</v>
      </c>
      <c r="F1613" s="245" t="s">
        <v>2395</v>
      </c>
      <c r="G1613" s="245" t="s">
        <v>1469</v>
      </c>
      <c r="H1613" s="245" t="s">
        <v>2392</v>
      </c>
    </row>
    <row r="1614" spans="1:8">
      <c r="A1614" s="245" t="s">
        <v>7012</v>
      </c>
      <c r="B1614" s="245">
        <v>41200076</v>
      </c>
      <c r="C1614" s="245" t="s">
        <v>1476</v>
      </c>
      <c r="D1614" s="245" t="s">
        <v>1476</v>
      </c>
      <c r="E1614" s="245" t="s">
        <v>1585</v>
      </c>
      <c r="F1614" s="245" t="s">
        <v>2391</v>
      </c>
      <c r="G1614" s="245" t="s">
        <v>2392</v>
      </c>
      <c r="H1614" s="245" t="s">
        <v>2392</v>
      </c>
    </row>
    <row r="1615" spans="1:8">
      <c r="A1615" s="245" t="s">
        <v>3569</v>
      </c>
      <c r="B1615" s="245">
        <v>41200076</v>
      </c>
      <c r="C1615" s="245" t="s">
        <v>1476</v>
      </c>
      <c r="D1615" s="245" t="s">
        <v>1476</v>
      </c>
      <c r="E1615" s="245" t="s">
        <v>1585</v>
      </c>
      <c r="F1615" s="245" t="s">
        <v>2391</v>
      </c>
      <c r="G1615" s="245" t="s">
        <v>2392</v>
      </c>
      <c r="H1615" s="245" t="s">
        <v>2392</v>
      </c>
    </row>
    <row r="1616" spans="1:8">
      <c r="A1616" s="245" t="s">
        <v>3567</v>
      </c>
      <c r="B1616" s="245">
        <v>41200039</v>
      </c>
      <c r="C1616" s="245" t="s">
        <v>1476</v>
      </c>
      <c r="D1616" s="245" t="s">
        <v>1426</v>
      </c>
      <c r="E1616" s="245" t="s">
        <v>1426</v>
      </c>
      <c r="F1616" s="245" t="s">
        <v>2391</v>
      </c>
      <c r="G1616" s="245" t="s">
        <v>2392</v>
      </c>
      <c r="H1616" s="245" t="s">
        <v>2392</v>
      </c>
    </row>
    <row r="1617" spans="1:8">
      <c r="A1617" s="245" t="s">
        <v>5459</v>
      </c>
      <c r="B1617" s="245">
        <v>41200152</v>
      </c>
      <c r="C1617" s="245" t="s">
        <v>1476</v>
      </c>
      <c r="D1617" s="245" t="s">
        <v>6618</v>
      </c>
      <c r="E1617" s="245" t="s">
        <v>1585</v>
      </c>
      <c r="F1617" s="245" t="s">
        <v>2391</v>
      </c>
      <c r="G1617" s="245" t="s">
        <v>1468</v>
      </c>
      <c r="H1617" s="245" t="s">
        <v>2392</v>
      </c>
    </row>
    <row r="1618" spans="1:8">
      <c r="A1618" s="245" t="s">
        <v>5458</v>
      </c>
      <c r="B1618" s="245">
        <v>41200152</v>
      </c>
      <c r="C1618" s="245" t="s">
        <v>1476</v>
      </c>
      <c r="D1618" s="245" t="s">
        <v>6618</v>
      </c>
      <c r="E1618" s="245" t="s">
        <v>1585</v>
      </c>
      <c r="F1618" s="245" t="s">
        <v>2391</v>
      </c>
      <c r="G1618" s="245" t="s">
        <v>1468</v>
      </c>
      <c r="H1618" s="245" t="s">
        <v>2392</v>
      </c>
    </row>
    <row r="1619" spans="1:8">
      <c r="A1619" s="245" t="s">
        <v>3574</v>
      </c>
      <c r="B1619" s="245">
        <v>41200047</v>
      </c>
      <c r="C1619" s="245" t="s">
        <v>1476</v>
      </c>
      <c r="D1619" s="245" t="s">
        <v>1426</v>
      </c>
      <c r="E1619" s="245" t="s">
        <v>1426</v>
      </c>
      <c r="F1619" s="245" t="s">
        <v>2391</v>
      </c>
      <c r="G1619" s="245" t="s">
        <v>1468</v>
      </c>
      <c r="H1619" s="245" t="s">
        <v>2392</v>
      </c>
    </row>
    <row r="1620" spans="1:8">
      <c r="A1620" s="245" t="s">
        <v>3572</v>
      </c>
      <c r="B1620" s="245">
        <v>41200047</v>
      </c>
      <c r="C1620" s="245" t="s">
        <v>1476</v>
      </c>
      <c r="D1620" s="245" t="s">
        <v>1426</v>
      </c>
      <c r="E1620" s="245" t="s">
        <v>1426</v>
      </c>
      <c r="F1620" s="245" t="s">
        <v>2391</v>
      </c>
      <c r="G1620" s="245" t="s">
        <v>1468</v>
      </c>
      <c r="H1620" s="245" t="s">
        <v>2392</v>
      </c>
    </row>
    <row r="1621" spans="1:8">
      <c r="A1621" s="245" t="s">
        <v>3571</v>
      </c>
      <c r="B1621" s="245">
        <v>41200047</v>
      </c>
      <c r="C1621" s="245" t="s">
        <v>1476</v>
      </c>
      <c r="D1621" s="245" t="s">
        <v>1426</v>
      </c>
      <c r="E1621" s="245" t="s">
        <v>1426</v>
      </c>
      <c r="F1621" s="245" t="s">
        <v>2391</v>
      </c>
      <c r="G1621" s="245" t="s">
        <v>1468</v>
      </c>
      <c r="H1621" s="245" t="s">
        <v>2392</v>
      </c>
    </row>
    <row r="1622" spans="1:8">
      <c r="A1622" s="245" t="s">
        <v>3552</v>
      </c>
      <c r="B1622" s="245">
        <v>41200101</v>
      </c>
      <c r="C1622" s="245" t="s">
        <v>1476</v>
      </c>
      <c r="D1622" s="245" t="s">
        <v>1476</v>
      </c>
      <c r="E1622" s="245" t="s">
        <v>1585</v>
      </c>
      <c r="F1622" s="245" t="s">
        <v>2395</v>
      </c>
      <c r="G1622" s="245" t="s">
        <v>2392</v>
      </c>
      <c r="H1622" s="245" t="s">
        <v>2392</v>
      </c>
    </row>
    <row r="1623" spans="1:8">
      <c r="A1623" s="245" t="s">
        <v>3550</v>
      </c>
      <c r="B1623" s="245">
        <v>41200101</v>
      </c>
      <c r="C1623" s="245" t="s">
        <v>1476</v>
      </c>
      <c r="D1623" s="245" t="s">
        <v>1476</v>
      </c>
      <c r="E1623" s="245" t="s">
        <v>1585</v>
      </c>
      <c r="F1623" s="245" t="s">
        <v>2395</v>
      </c>
      <c r="G1623" s="245" t="s">
        <v>2392</v>
      </c>
      <c r="H1623" s="245" t="s">
        <v>2392</v>
      </c>
    </row>
    <row r="1624" spans="1:8">
      <c r="A1624" s="245" t="s">
        <v>3507</v>
      </c>
      <c r="B1624" s="245">
        <v>41200153</v>
      </c>
      <c r="C1624" s="245" t="s">
        <v>1476</v>
      </c>
      <c r="D1624" s="245" t="s">
        <v>6663</v>
      </c>
      <c r="E1624" s="245" t="s">
        <v>1422</v>
      </c>
      <c r="F1624" s="245" t="s">
        <v>2395</v>
      </c>
      <c r="G1624" s="245" t="s">
        <v>2392</v>
      </c>
      <c r="H1624" s="245" t="s">
        <v>2392</v>
      </c>
    </row>
    <row r="1625" spans="1:8">
      <c r="A1625" s="245" t="s">
        <v>3512</v>
      </c>
      <c r="B1625" s="245">
        <v>41200119</v>
      </c>
      <c r="C1625" s="245" t="s">
        <v>1476</v>
      </c>
      <c r="D1625" s="245" t="s">
        <v>1422</v>
      </c>
      <c r="E1625" s="245" t="s">
        <v>1422</v>
      </c>
      <c r="F1625" s="245" t="s">
        <v>2391</v>
      </c>
      <c r="G1625" s="245" t="s">
        <v>1468</v>
      </c>
      <c r="H1625" s="245" t="s">
        <v>2392</v>
      </c>
    </row>
    <row r="1626" spans="1:8">
      <c r="A1626" s="245" t="s">
        <v>7013</v>
      </c>
      <c r="B1626" s="245">
        <v>41200109</v>
      </c>
      <c r="C1626" s="245" t="s">
        <v>1591</v>
      </c>
      <c r="D1626" s="245" t="s">
        <v>6619</v>
      </c>
      <c r="E1626" s="245" t="s">
        <v>1585</v>
      </c>
      <c r="F1626" s="245" t="s">
        <v>2395</v>
      </c>
      <c r="G1626" s="245" t="s">
        <v>1469</v>
      </c>
      <c r="H1626" s="245" t="s">
        <v>2392</v>
      </c>
    </row>
    <row r="1627" spans="1:8">
      <c r="A1627" s="245" t="s">
        <v>7014</v>
      </c>
      <c r="B1627" s="245">
        <v>41200109</v>
      </c>
      <c r="C1627" s="245" t="s">
        <v>1591</v>
      </c>
      <c r="D1627" s="245" t="s">
        <v>6619</v>
      </c>
      <c r="E1627" s="245" t="s">
        <v>1585</v>
      </c>
      <c r="F1627" s="245" t="s">
        <v>2395</v>
      </c>
      <c r="G1627" s="245" t="s">
        <v>1469</v>
      </c>
      <c r="H1627" s="245" t="s">
        <v>2392</v>
      </c>
    </row>
    <row r="1628" spans="1:8">
      <c r="A1628" s="245" t="s">
        <v>7015</v>
      </c>
      <c r="B1628" s="245">
        <v>41200109</v>
      </c>
      <c r="C1628" s="245" t="s">
        <v>1591</v>
      </c>
      <c r="D1628" s="245" t="s">
        <v>6619</v>
      </c>
      <c r="E1628" s="245" t="s">
        <v>1585</v>
      </c>
      <c r="F1628" s="245" t="s">
        <v>2395</v>
      </c>
      <c r="G1628" s="245" t="s">
        <v>1469</v>
      </c>
      <c r="H1628" s="245" t="s">
        <v>2392</v>
      </c>
    </row>
    <row r="1629" spans="1:8">
      <c r="A1629" s="245" t="s">
        <v>7016</v>
      </c>
      <c r="B1629" s="245">
        <v>41200109</v>
      </c>
      <c r="C1629" s="245" t="s">
        <v>1591</v>
      </c>
      <c r="D1629" s="245" t="s">
        <v>6619</v>
      </c>
      <c r="E1629" s="245" t="s">
        <v>1585</v>
      </c>
      <c r="F1629" s="245" t="s">
        <v>2395</v>
      </c>
      <c r="G1629" s="245" t="s">
        <v>1469</v>
      </c>
      <c r="H1629" s="245" t="s">
        <v>2392</v>
      </c>
    </row>
    <row r="1630" spans="1:8">
      <c r="A1630" s="245" t="s">
        <v>3530</v>
      </c>
      <c r="B1630" s="245">
        <v>41200109</v>
      </c>
      <c r="C1630" s="245" t="s">
        <v>1591</v>
      </c>
      <c r="D1630" s="245" t="s">
        <v>6619</v>
      </c>
      <c r="E1630" s="245" t="s">
        <v>1585</v>
      </c>
      <c r="F1630" s="245" t="s">
        <v>2395</v>
      </c>
      <c r="G1630" s="245" t="s">
        <v>1469</v>
      </c>
      <c r="H1630" s="245" t="s">
        <v>2392</v>
      </c>
    </row>
    <row r="1631" spans="1:8">
      <c r="A1631" s="245" t="s">
        <v>3529</v>
      </c>
      <c r="B1631" s="245">
        <v>41200109</v>
      </c>
      <c r="C1631" s="245" t="s">
        <v>1591</v>
      </c>
      <c r="D1631" s="245" t="s">
        <v>6619</v>
      </c>
      <c r="E1631" s="245" t="s">
        <v>1585</v>
      </c>
      <c r="F1631" s="245" t="s">
        <v>2395</v>
      </c>
      <c r="G1631" s="245" t="s">
        <v>1469</v>
      </c>
      <c r="H1631" s="245" t="s">
        <v>2392</v>
      </c>
    </row>
    <row r="1632" spans="1:8">
      <c r="A1632" s="245" t="s">
        <v>3562</v>
      </c>
      <c r="B1632" s="245">
        <v>41200105</v>
      </c>
      <c r="C1632" s="245" t="s">
        <v>1476</v>
      </c>
      <c r="D1632" s="245" t="s">
        <v>1591</v>
      </c>
      <c r="E1632" s="245" t="s">
        <v>1424</v>
      </c>
      <c r="F1632" s="245" t="s">
        <v>2391</v>
      </c>
      <c r="G1632" s="245" t="s">
        <v>1468</v>
      </c>
      <c r="H1632" s="245" t="s">
        <v>2392</v>
      </c>
    </row>
    <row r="1633" spans="1:8">
      <c r="A1633" s="245" t="s">
        <v>3539</v>
      </c>
      <c r="B1633" s="245">
        <v>41100317</v>
      </c>
      <c r="C1633" s="245" t="s">
        <v>1476</v>
      </c>
      <c r="D1633" s="245" t="s">
        <v>1476</v>
      </c>
      <c r="E1633" s="245" t="s">
        <v>1585</v>
      </c>
      <c r="F1633" s="245" t="s">
        <v>2391</v>
      </c>
      <c r="G1633" s="245" t="s">
        <v>1468</v>
      </c>
      <c r="H1633" s="245" t="s">
        <v>2392</v>
      </c>
    </row>
    <row r="1634" spans="1:8">
      <c r="A1634" s="245" t="s">
        <v>5445</v>
      </c>
      <c r="B1634" s="245">
        <v>41200203</v>
      </c>
      <c r="C1634" s="245" t="s">
        <v>1393</v>
      </c>
      <c r="D1634" s="245" t="s">
        <v>7017</v>
      </c>
      <c r="E1634" s="245" t="s">
        <v>1392</v>
      </c>
      <c r="F1634" s="245" t="s">
        <v>2395</v>
      </c>
      <c r="G1634" s="245" t="s">
        <v>2392</v>
      </c>
      <c r="H1634" s="245" t="s">
        <v>2392</v>
      </c>
    </row>
    <row r="1635" spans="1:8">
      <c r="A1635" s="245" t="s">
        <v>3538</v>
      </c>
      <c r="B1635" s="245">
        <v>41200122</v>
      </c>
      <c r="C1635" s="245" t="s">
        <v>1476</v>
      </c>
      <c r="D1635" s="245" t="s">
        <v>1476</v>
      </c>
      <c r="E1635" s="245" t="s">
        <v>1585</v>
      </c>
      <c r="F1635" s="245" t="s">
        <v>2391</v>
      </c>
      <c r="G1635" s="245" t="s">
        <v>2392</v>
      </c>
      <c r="H1635" s="245" t="s">
        <v>2392</v>
      </c>
    </row>
    <row r="1636" spans="1:8">
      <c r="A1636" s="245" t="s">
        <v>7018</v>
      </c>
      <c r="B1636" s="245">
        <v>41200101</v>
      </c>
      <c r="C1636" s="245" t="s">
        <v>1476</v>
      </c>
      <c r="D1636" s="245" t="s">
        <v>1476</v>
      </c>
      <c r="E1636" s="245" t="s">
        <v>1585</v>
      </c>
      <c r="F1636" s="245" t="s">
        <v>2391</v>
      </c>
      <c r="G1636" s="245" t="s">
        <v>2392</v>
      </c>
      <c r="H1636" s="245" t="s">
        <v>2392</v>
      </c>
    </row>
    <row r="1637" spans="1:8">
      <c r="A1637" s="245" t="s">
        <v>7019</v>
      </c>
      <c r="B1637" s="245">
        <v>41200101</v>
      </c>
      <c r="C1637" s="245" t="s">
        <v>1476</v>
      </c>
      <c r="D1637" s="245" t="s">
        <v>1476</v>
      </c>
      <c r="E1637" s="245" t="s">
        <v>1585</v>
      </c>
      <c r="F1637" s="245" t="s">
        <v>2391</v>
      </c>
      <c r="G1637" s="245" t="s">
        <v>2392</v>
      </c>
      <c r="H1637" s="245" t="s">
        <v>2392</v>
      </c>
    </row>
    <row r="1638" spans="1:8">
      <c r="A1638" s="245" t="s">
        <v>3556</v>
      </c>
      <c r="B1638" s="245">
        <v>41200200</v>
      </c>
      <c r="C1638" s="245" t="s">
        <v>1478</v>
      </c>
      <c r="D1638" s="245" t="s">
        <v>7020</v>
      </c>
      <c r="E1638" s="245" t="s">
        <v>1395</v>
      </c>
      <c r="F1638" s="245" t="s">
        <v>2395</v>
      </c>
      <c r="G1638" s="245" t="s">
        <v>1469</v>
      </c>
      <c r="H1638" s="245" t="s">
        <v>2392</v>
      </c>
    </row>
    <row r="1639" spans="1:8">
      <c r="A1639" s="245" t="s">
        <v>3555</v>
      </c>
      <c r="B1639" s="245">
        <v>41200200</v>
      </c>
      <c r="C1639" s="245" t="s">
        <v>1478</v>
      </c>
      <c r="D1639" s="245" t="s">
        <v>7020</v>
      </c>
      <c r="E1639" s="245" t="s">
        <v>1395</v>
      </c>
      <c r="F1639" s="245" t="s">
        <v>2395</v>
      </c>
      <c r="G1639" s="245" t="s">
        <v>1469</v>
      </c>
      <c r="H1639" s="245" t="s">
        <v>2392</v>
      </c>
    </row>
    <row r="1640" spans="1:8">
      <c r="A1640" s="245" t="s">
        <v>3566</v>
      </c>
      <c r="B1640" s="245">
        <v>41200200</v>
      </c>
      <c r="C1640" s="245" t="s">
        <v>1478</v>
      </c>
      <c r="D1640" s="245" t="s">
        <v>7020</v>
      </c>
      <c r="E1640" s="245" t="s">
        <v>1395</v>
      </c>
      <c r="F1640" s="245" t="s">
        <v>2395</v>
      </c>
      <c r="G1640" s="245" t="s">
        <v>1469</v>
      </c>
      <c r="H1640" s="245" t="s">
        <v>2392</v>
      </c>
    </row>
    <row r="1641" spans="1:8">
      <c r="A1641" s="245" t="s">
        <v>3554</v>
      </c>
      <c r="B1641" s="245">
        <v>41200200</v>
      </c>
      <c r="C1641" s="245" t="s">
        <v>1478</v>
      </c>
      <c r="D1641" s="245" t="s">
        <v>7020</v>
      </c>
      <c r="E1641" s="245" t="s">
        <v>1395</v>
      </c>
      <c r="F1641" s="245" t="s">
        <v>2395</v>
      </c>
      <c r="G1641" s="245" t="s">
        <v>1469</v>
      </c>
      <c r="H1641" s="245" t="s">
        <v>2392</v>
      </c>
    </row>
    <row r="1642" spans="1:8">
      <c r="A1642" s="245" t="s">
        <v>3535</v>
      </c>
      <c r="B1642" s="245">
        <v>41200108</v>
      </c>
      <c r="C1642" s="245" t="s">
        <v>1479</v>
      </c>
      <c r="D1642" s="245" t="s">
        <v>6633</v>
      </c>
      <c r="E1642" s="245" t="s">
        <v>1409</v>
      </c>
      <c r="F1642" s="245" t="s">
        <v>2391</v>
      </c>
      <c r="G1642" s="245" t="s">
        <v>2392</v>
      </c>
      <c r="H1642" s="245" t="s">
        <v>2392</v>
      </c>
    </row>
    <row r="1643" spans="1:8">
      <c r="A1643" s="245" t="s">
        <v>3534</v>
      </c>
      <c r="B1643" s="245">
        <v>41200108</v>
      </c>
      <c r="C1643" s="245" t="s">
        <v>1479</v>
      </c>
      <c r="D1643" s="245" t="s">
        <v>6633</v>
      </c>
      <c r="E1643" s="245" t="s">
        <v>1409</v>
      </c>
      <c r="F1643" s="245" t="s">
        <v>2391</v>
      </c>
      <c r="G1643" s="245" t="s">
        <v>2392</v>
      </c>
      <c r="H1643" s="245" t="s">
        <v>2392</v>
      </c>
    </row>
    <row r="1644" spans="1:8">
      <c r="A1644" s="245" t="s">
        <v>3549</v>
      </c>
      <c r="B1644" s="245">
        <v>41200200</v>
      </c>
      <c r="C1644" s="245" t="s">
        <v>1478</v>
      </c>
      <c r="D1644" s="245" t="s">
        <v>7020</v>
      </c>
      <c r="E1644" s="245" t="s">
        <v>1395</v>
      </c>
      <c r="F1644" s="245" t="s">
        <v>2395</v>
      </c>
      <c r="G1644" s="245" t="s">
        <v>1469</v>
      </c>
      <c r="H1644" s="245" t="s">
        <v>2392</v>
      </c>
    </row>
    <row r="1645" spans="1:8">
      <c r="A1645" s="245" t="s">
        <v>3531</v>
      </c>
      <c r="B1645" s="245">
        <v>41200076</v>
      </c>
      <c r="C1645" s="245" t="s">
        <v>1476</v>
      </c>
      <c r="D1645" s="245" t="s">
        <v>1476</v>
      </c>
      <c r="E1645" s="245" t="s">
        <v>1585</v>
      </c>
      <c r="F1645" s="245" t="s">
        <v>2395</v>
      </c>
      <c r="G1645" s="245" t="s">
        <v>2392</v>
      </c>
      <c r="H1645" s="245" t="s">
        <v>2392</v>
      </c>
    </row>
    <row r="1646" spans="1:8">
      <c r="A1646" s="245" t="s">
        <v>3527</v>
      </c>
      <c r="B1646" s="245">
        <v>41200125</v>
      </c>
      <c r="C1646" s="245" t="s">
        <v>1476</v>
      </c>
      <c r="D1646" s="245" t="s">
        <v>1476</v>
      </c>
      <c r="E1646" s="245" t="s">
        <v>1585</v>
      </c>
      <c r="F1646" s="245" t="s">
        <v>2395</v>
      </c>
      <c r="G1646" s="245" t="s">
        <v>1468</v>
      </c>
      <c r="H1646" s="245" t="s">
        <v>2392</v>
      </c>
    </row>
    <row r="1647" spans="1:8">
      <c r="A1647" s="245" t="s">
        <v>3526</v>
      </c>
      <c r="B1647" s="245">
        <v>41200048</v>
      </c>
      <c r="C1647" s="245" t="s">
        <v>1476</v>
      </c>
      <c r="D1647" s="245" t="s">
        <v>1426</v>
      </c>
      <c r="E1647" s="245" t="s">
        <v>1426</v>
      </c>
      <c r="F1647" s="245" t="s">
        <v>2391</v>
      </c>
      <c r="G1647" s="245" t="s">
        <v>2392</v>
      </c>
      <c r="H1647" s="245" t="s">
        <v>2392</v>
      </c>
    </row>
    <row r="1648" spans="1:8">
      <c r="A1648" s="245" t="s">
        <v>3518</v>
      </c>
      <c r="B1648" s="245">
        <v>41200116</v>
      </c>
      <c r="C1648" s="245" t="s">
        <v>1479</v>
      </c>
      <c r="D1648" s="245" t="s">
        <v>6633</v>
      </c>
      <c r="E1648" s="245" t="s">
        <v>1409</v>
      </c>
      <c r="F1648" s="245" t="s">
        <v>2391</v>
      </c>
      <c r="G1648" s="245" t="s">
        <v>1468</v>
      </c>
      <c r="H1648" s="245" t="s">
        <v>2392</v>
      </c>
    </row>
    <row r="1649" spans="1:8">
      <c r="A1649" s="245" t="s">
        <v>3517</v>
      </c>
      <c r="B1649" s="245">
        <v>41200116</v>
      </c>
      <c r="C1649" s="245" t="s">
        <v>1479</v>
      </c>
      <c r="D1649" s="245" t="s">
        <v>6633</v>
      </c>
      <c r="E1649" s="245" t="s">
        <v>1409</v>
      </c>
      <c r="F1649" s="245" t="s">
        <v>2391</v>
      </c>
      <c r="G1649" s="245" t="s">
        <v>1468</v>
      </c>
      <c r="H1649" s="245" t="s">
        <v>2392</v>
      </c>
    </row>
    <row r="1650" spans="1:8">
      <c r="A1650" s="245" t="s">
        <v>3515</v>
      </c>
      <c r="B1650" s="245">
        <v>41200116</v>
      </c>
      <c r="C1650" s="245" t="s">
        <v>1479</v>
      </c>
      <c r="D1650" s="245" t="s">
        <v>6633</v>
      </c>
      <c r="E1650" s="245" t="s">
        <v>1409</v>
      </c>
      <c r="F1650" s="245" t="s">
        <v>2391</v>
      </c>
      <c r="G1650" s="245" t="s">
        <v>1468</v>
      </c>
      <c r="H1650" s="245" t="s">
        <v>2392</v>
      </c>
    </row>
    <row r="1651" spans="1:8">
      <c r="A1651" s="531" t="s">
        <v>7021</v>
      </c>
      <c r="B1651" s="531">
        <v>41200101</v>
      </c>
      <c r="C1651" s="531" t="s">
        <v>1476</v>
      </c>
      <c r="D1651" s="531" t="s">
        <v>1476</v>
      </c>
      <c r="E1651" s="531" t="s">
        <v>1585</v>
      </c>
      <c r="F1651" s="531" t="s">
        <v>2395</v>
      </c>
      <c r="G1651" s="531" t="s">
        <v>2392</v>
      </c>
      <c r="H1651" s="531" t="s">
        <v>2392</v>
      </c>
    </row>
    <row r="1652" spans="1:8">
      <c r="A1652" s="531" t="s">
        <v>7022</v>
      </c>
      <c r="B1652" s="531">
        <v>41200101</v>
      </c>
      <c r="C1652" s="531" t="s">
        <v>1476</v>
      </c>
      <c r="D1652" s="531" t="s">
        <v>1476</v>
      </c>
      <c r="E1652" s="531" t="s">
        <v>1585</v>
      </c>
      <c r="F1652" s="531" t="s">
        <v>2395</v>
      </c>
      <c r="G1652" s="531" t="s">
        <v>2392</v>
      </c>
      <c r="H1652" s="531" t="s">
        <v>2392</v>
      </c>
    </row>
    <row r="1653" spans="1:8">
      <c r="A1653" s="531" t="s">
        <v>7023</v>
      </c>
      <c r="B1653" s="531">
        <v>41200076</v>
      </c>
      <c r="C1653" s="531" t="s">
        <v>1476</v>
      </c>
      <c r="D1653" s="531" t="s">
        <v>1476</v>
      </c>
      <c r="E1653" s="531" t="s">
        <v>1585</v>
      </c>
      <c r="F1653" s="531" t="s">
        <v>2395</v>
      </c>
      <c r="G1653" s="531" t="s">
        <v>1469</v>
      </c>
      <c r="H1653" s="531" t="s">
        <v>2392</v>
      </c>
    </row>
    <row r="1654" spans="1:8">
      <c r="A1654" s="531" t="s">
        <v>7024</v>
      </c>
      <c r="B1654" s="531">
        <v>41200076</v>
      </c>
      <c r="C1654" s="531" t="s">
        <v>1476</v>
      </c>
      <c r="D1654" s="531" t="s">
        <v>1476</v>
      </c>
      <c r="E1654" s="531" t="s">
        <v>1585</v>
      </c>
      <c r="F1654" s="531" t="s">
        <v>2395</v>
      </c>
      <c r="G1654" s="531" t="s">
        <v>1469</v>
      </c>
      <c r="H1654" s="531" t="s">
        <v>2392</v>
      </c>
    </row>
    <row r="1655" spans="1:8">
      <c r="A1655" s="531" t="s">
        <v>7025</v>
      </c>
      <c r="B1655" s="531">
        <v>41200122</v>
      </c>
      <c r="C1655" s="531" t="s">
        <v>1476</v>
      </c>
      <c r="D1655" s="531" t="s">
        <v>1476</v>
      </c>
      <c r="E1655" s="531" t="s">
        <v>1585</v>
      </c>
      <c r="F1655" s="531" t="s">
        <v>2391</v>
      </c>
      <c r="G1655" s="531" t="s">
        <v>1468</v>
      </c>
      <c r="H1655" s="531" t="s">
        <v>2392</v>
      </c>
    </row>
    <row r="1656" spans="1:8">
      <c r="A1656" s="531" t="s">
        <v>7026</v>
      </c>
      <c r="B1656" s="531">
        <v>41200034</v>
      </c>
      <c r="C1656" s="531" t="s">
        <v>1476</v>
      </c>
      <c r="D1656" s="531" t="s">
        <v>1426</v>
      </c>
      <c r="E1656" s="531" t="s">
        <v>1426</v>
      </c>
      <c r="F1656" s="531" t="s">
        <v>2395</v>
      </c>
      <c r="G1656" s="531" t="s">
        <v>1469</v>
      </c>
      <c r="H1656" s="531" t="s">
        <v>2392</v>
      </c>
    </row>
    <row r="1657" spans="1:8">
      <c r="A1657" s="531" t="s">
        <v>7027</v>
      </c>
      <c r="B1657" s="531">
        <v>41200122</v>
      </c>
      <c r="C1657" s="531" t="s">
        <v>1476</v>
      </c>
      <c r="D1657" s="531" t="s">
        <v>1476</v>
      </c>
      <c r="E1657" s="531" t="s">
        <v>1585</v>
      </c>
      <c r="F1657" s="531" t="s">
        <v>2395</v>
      </c>
      <c r="G1657" s="531" t="s">
        <v>1468</v>
      </c>
      <c r="H1657" s="531" t="s">
        <v>2392</v>
      </c>
    </row>
    <row r="1658" spans="1:8">
      <c r="A1658" s="531" t="s">
        <v>3563</v>
      </c>
      <c r="B1658" s="531">
        <v>41000583</v>
      </c>
      <c r="C1658" s="531" t="s">
        <v>3565</v>
      </c>
      <c r="D1658" s="531" t="s">
        <v>7028</v>
      </c>
      <c r="E1658" s="531" t="s">
        <v>7029</v>
      </c>
      <c r="F1658" s="531" t="s">
        <v>2391</v>
      </c>
      <c r="G1658" s="531" t="s">
        <v>2392</v>
      </c>
    </row>
    <row r="1659" spans="1:8">
      <c r="A1659" s="531" t="s">
        <v>7030</v>
      </c>
      <c r="B1659" s="531">
        <v>41200122</v>
      </c>
      <c r="C1659" s="531" t="s">
        <v>1476</v>
      </c>
      <c r="D1659" s="531" t="s">
        <v>1476</v>
      </c>
      <c r="E1659" s="531" t="s">
        <v>1585</v>
      </c>
      <c r="F1659" s="531" t="s">
        <v>2395</v>
      </c>
      <c r="G1659" s="531" t="s">
        <v>1468</v>
      </c>
      <c r="H1659" s="531" t="s">
        <v>2392</v>
      </c>
    </row>
    <row r="1660" spans="1:8">
      <c r="A1660" s="531" t="s">
        <v>7031</v>
      </c>
      <c r="B1660" s="531">
        <v>41100286</v>
      </c>
      <c r="C1660" s="531" t="s">
        <v>1476</v>
      </c>
      <c r="D1660" s="531" t="s">
        <v>6610</v>
      </c>
      <c r="E1660" s="531" t="s">
        <v>1424</v>
      </c>
      <c r="F1660" s="531" t="s">
        <v>2395</v>
      </c>
      <c r="G1660" s="531" t="s">
        <v>1469</v>
      </c>
      <c r="H1660" s="531" t="s">
        <v>2392</v>
      </c>
    </row>
    <row r="1661" spans="1:8">
      <c r="A1661" s="531" t="s">
        <v>3560</v>
      </c>
      <c r="B1661" s="531">
        <v>41200202</v>
      </c>
      <c r="C1661" s="531" t="s">
        <v>1476</v>
      </c>
      <c r="D1661" s="531" t="s">
        <v>7032</v>
      </c>
      <c r="E1661" s="531" t="s">
        <v>1424</v>
      </c>
      <c r="F1661" s="531" t="s">
        <v>2391</v>
      </c>
      <c r="G1661" s="531" t="s">
        <v>2392</v>
      </c>
      <c r="H1661" s="531" t="s">
        <v>2392</v>
      </c>
    </row>
    <row r="1662" spans="1:8">
      <c r="A1662" s="531" t="s">
        <v>3540</v>
      </c>
      <c r="B1662" s="531">
        <v>41200171</v>
      </c>
      <c r="C1662" s="531" t="s">
        <v>1479</v>
      </c>
      <c r="D1662" s="531" t="s">
        <v>1394</v>
      </c>
      <c r="E1662" s="531" t="s">
        <v>1394</v>
      </c>
      <c r="F1662" s="531" t="s">
        <v>2395</v>
      </c>
      <c r="G1662" s="531" t="s">
        <v>2392</v>
      </c>
      <c r="H1662" s="531" t="s">
        <v>2392</v>
      </c>
    </row>
    <row r="1663" spans="1:8">
      <c r="A1663" s="531" t="s">
        <v>5457</v>
      </c>
      <c r="B1663" s="531">
        <v>41100550</v>
      </c>
      <c r="C1663" s="531" t="s">
        <v>1477</v>
      </c>
      <c r="D1663" s="531" t="s">
        <v>6640</v>
      </c>
      <c r="E1663" s="531" t="s">
        <v>1405</v>
      </c>
      <c r="F1663" s="531" t="s">
        <v>2395</v>
      </c>
      <c r="G1663" s="531" t="s">
        <v>2392</v>
      </c>
      <c r="H1663" s="531" t="s">
        <v>2392</v>
      </c>
    </row>
    <row r="1664" spans="1:8">
      <c r="A1664" s="531" t="s">
        <v>5456</v>
      </c>
      <c r="B1664" s="531">
        <v>41100550</v>
      </c>
      <c r="C1664" s="531" t="s">
        <v>1477</v>
      </c>
      <c r="D1664" s="531" t="s">
        <v>6640</v>
      </c>
      <c r="E1664" s="531" t="s">
        <v>1405</v>
      </c>
      <c r="F1664" s="531" t="s">
        <v>2395</v>
      </c>
      <c r="G1664" s="531" t="s">
        <v>2392</v>
      </c>
      <c r="H1664" s="531" t="s">
        <v>2392</v>
      </c>
    </row>
    <row r="1665" spans="1:8">
      <c r="A1665" s="531" t="s">
        <v>3533</v>
      </c>
      <c r="B1665" s="531">
        <v>41200124</v>
      </c>
      <c r="C1665" s="531" t="s">
        <v>1476</v>
      </c>
      <c r="D1665" s="531" t="s">
        <v>6609</v>
      </c>
      <c r="E1665" s="531" t="s">
        <v>1585</v>
      </c>
      <c r="F1665" s="531" t="s">
        <v>2395</v>
      </c>
      <c r="G1665" s="531" t="s">
        <v>1469</v>
      </c>
      <c r="H1665" s="531" t="s">
        <v>2392</v>
      </c>
    </row>
    <row r="1666" spans="1:8">
      <c r="A1666" s="531" t="s">
        <v>3532</v>
      </c>
      <c r="B1666" s="531">
        <v>41200124</v>
      </c>
      <c r="C1666" s="531" t="s">
        <v>1476</v>
      </c>
      <c r="D1666" s="531" t="s">
        <v>6609</v>
      </c>
      <c r="E1666" s="531" t="s">
        <v>1585</v>
      </c>
      <c r="F1666" s="531" t="s">
        <v>2395</v>
      </c>
      <c r="G1666" s="531" t="s">
        <v>1469</v>
      </c>
      <c r="H1666" s="531" t="s">
        <v>2392</v>
      </c>
    </row>
    <row r="1667" spans="1:8">
      <c r="A1667" s="531" t="s">
        <v>5460</v>
      </c>
      <c r="B1667" s="531">
        <v>41200042</v>
      </c>
      <c r="C1667" s="531" t="s">
        <v>1476</v>
      </c>
      <c r="D1667" s="531" t="s">
        <v>1426</v>
      </c>
      <c r="E1667" s="531" t="s">
        <v>1426</v>
      </c>
      <c r="F1667" s="531" t="s">
        <v>2391</v>
      </c>
      <c r="G1667" s="531" t="s">
        <v>1468</v>
      </c>
      <c r="H1667" s="531" t="s">
        <v>2392</v>
      </c>
    </row>
    <row r="1668" spans="1:8">
      <c r="A1668" s="531" t="s">
        <v>7033</v>
      </c>
      <c r="B1668" s="531">
        <v>41000598</v>
      </c>
      <c r="C1668" s="531" t="s">
        <v>1480</v>
      </c>
      <c r="D1668" s="531" t="s">
        <v>1480</v>
      </c>
      <c r="E1668" s="531" t="s">
        <v>1405</v>
      </c>
      <c r="F1668" s="531" t="s">
        <v>2395</v>
      </c>
      <c r="G1668" s="531" t="s">
        <v>1469</v>
      </c>
      <c r="H1668" s="531" t="s">
        <v>2392</v>
      </c>
    </row>
    <row r="1669" spans="1:8">
      <c r="A1669" s="531" t="s">
        <v>5455</v>
      </c>
      <c r="B1669" s="531">
        <v>41000584</v>
      </c>
      <c r="C1669" s="531" t="s">
        <v>1911</v>
      </c>
      <c r="D1669" s="531" t="s">
        <v>6658</v>
      </c>
      <c r="E1669" s="531" t="s">
        <v>1405</v>
      </c>
      <c r="F1669" s="531" t="s">
        <v>2391</v>
      </c>
      <c r="G1669" s="531" t="s">
        <v>2392</v>
      </c>
    </row>
    <row r="1670" spans="1:8">
      <c r="A1670" s="531" t="s">
        <v>7034</v>
      </c>
      <c r="B1670" s="531">
        <v>41200007</v>
      </c>
      <c r="C1670" s="531" t="s">
        <v>1591</v>
      </c>
      <c r="D1670" s="531" t="s">
        <v>6608</v>
      </c>
      <c r="E1670" s="531" t="s">
        <v>1405</v>
      </c>
      <c r="F1670" s="531" t="s">
        <v>2391</v>
      </c>
      <c r="G1670" s="531" t="s">
        <v>2392</v>
      </c>
      <c r="H1670" s="531" t="s">
        <v>2392</v>
      </c>
    </row>
    <row r="1671" spans="1:8">
      <c r="A1671" s="531" t="s">
        <v>7035</v>
      </c>
      <c r="B1671" s="531">
        <v>41200007</v>
      </c>
      <c r="C1671" s="531" t="s">
        <v>1591</v>
      </c>
      <c r="D1671" s="531" t="s">
        <v>6608</v>
      </c>
      <c r="E1671" s="531" t="s">
        <v>1405</v>
      </c>
      <c r="F1671" s="531" t="s">
        <v>2391</v>
      </c>
      <c r="G1671" s="531" t="s">
        <v>2392</v>
      </c>
      <c r="H1671" s="531" t="s">
        <v>2392</v>
      </c>
    </row>
    <row r="1672" spans="1:8">
      <c r="A1672" s="531" t="s">
        <v>7036</v>
      </c>
      <c r="B1672" s="531">
        <v>41200007</v>
      </c>
      <c r="C1672" s="531" t="s">
        <v>1591</v>
      </c>
      <c r="D1672" s="531" t="s">
        <v>6608</v>
      </c>
      <c r="E1672" s="531" t="s">
        <v>1405</v>
      </c>
      <c r="F1672" s="531" t="s">
        <v>2391</v>
      </c>
      <c r="G1672" s="531" t="s">
        <v>2392</v>
      </c>
      <c r="H1672" s="531" t="s">
        <v>2392</v>
      </c>
    </row>
    <row r="1673" spans="1:8">
      <c r="A1673" s="531" t="s">
        <v>7037</v>
      </c>
      <c r="B1673" s="531">
        <v>41200007</v>
      </c>
      <c r="C1673" s="531" t="s">
        <v>1591</v>
      </c>
      <c r="D1673" s="531" t="s">
        <v>6608</v>
      </c>
      <c r="E1673" s="531" t="s">
        <v>1405</v>
      </c>
      <c r="F1673" s="531" t="s">
        <v>2391</v>
      </c>
      <c r="G1673" s="531" t="s">
        <v>2392</v>
      </c>
      <c r="H1673" s="531" t="s">
        <v>2392</v>
      </c>
    </row>
    <row r="1674" spans="1:8">
      <c r="A1674" s="531" t="s">
        <v>5461</v>
      </c>
      <c r="B1674" s="531">
        <v>41100715</v>
      </c>
      <c r="C1674" s="531" t="s">
        <v>7038</v>
      </c>
      <c r="D1674" s="531" t="s">
        <v>7039</v>
      </c>
      <c r="E1674" s="531" t="s">
        <v>1416</v>
      </c>
      <c r="F1674" s="531" t="s">
        <v>2395</v>
      </c>
      <c r="G1674" s="531" t="s">
        <v>1469</v>
      </c>
    </row>
    <row r="1675" spans="1:8">
      <c r="A1675" s="531" t="s">
        <v>7040</v>
      </c>
      <c r="B1675" s="531">
        <v>41200047</v>
      </c>
      <c r="C1675" s="531" t="s">
        <v>1476</v>
      </c>
      <c r="D1675" s="531" t="s">
        <v>1426</v>
      </c>
      <c r="E1675" s="531" t="s">
        <v>1426</v>
      </c>
      <c r="F1675" s="531" t="s">
        <v>2391</v>
      </c>
      <c r="G1675" s="531" t="s">
        <v>1468</v>
      </c>
      <c r="H1675" s="531" t="s">
        <v>2392</v>
      </c>
    </row>
    <row r="1676" spans="1:8">
      <c r="A1676" s="531" t="s">
        <v>7041</v>
      </c>
      <c r="B1676" s="531">
        <v>41200047</v>
      </c>
      <c r="C1676" s="531" t="s">
        <v>1476</v>
      </c>
      <c r="D1676" s="531" t="s">
        <v>1426</v>
      </c>
      <c r="E1676" s="531" t="s">
        <v>1426</v>
      </c>
      <c r="F1676" s="531" t="s">
        <v>2391</v>
      </c>
      <c r="G1676" s="531" t="s">
        <v>1468</v>
      </c>
      <c r="H1676" s="531" t="s">
        <v>2392</v>
      </c>
    </row>
    <row r="1677" spans="1:8">
      <c r="A1677" s="531" t="s">
        <v>7042</v>
      </c>
      <c r="B1677" s="531">
        <v>41200047</v>
      </c>
      <c r="C1677" s="531" t="s">
        <v>1476</v>
      </c>
      <c r="D1677" s="531" t="s">
        <v>1426</v>
      </c>
      <c r="E1677" s="531" t="s">
        <v>1426</v>
      </c>
      <c r="F1677" s="531" t="s">
        <v>2391</v>
      </c>
      <c r="G1677" s="531" t="s">
        <v>1468</v>
      </c>
      <c r="H1677" s="531" t="s">
        <v>2392</v>
      </c>
    </row>
    <row r="1678" spans="1:8">
      <c r="A1678" s="531" t="s">
        <v>7012</v>
      </c>
      <c r="B1678" s="531">
        <v>41200076</v>
      </c>
      <c r="C1678" s="531" t="s">
        <v>1476</v>
      </c>
      <c r="D1678" s="531" t="s">
        <v>1476</v>
      </c>
      <c r="E1678" s="531" t="s">
        <v>1585</v>
      </c>
      <c r="F1678" s="531" t="s">
        <v>2391</v>
      </c>
      <c r="G1678" s="531" t="s">
        <v>2392</v>
      </c>
      <c r="H1678" s="531" t="s">
        <v>2392</v>
      </c>
    </row>
    <row r="1679" spans="1:8">
      <c r="A1679" s="531" t="s">
        <v>3569</v>
      </c>
      <c r="B1679" s="531">
        <v>41200076</v>
      </c>
      <c r="C1679" s="531" t="s">
        <v>1476</v>
      </c>
      <c r="D1679" s="531" t="s">
        <v>1476</v>
      </c>
      <c r="E1679" s="531" t="s">
        <v>1585</v>
      </c>
      <c r="F1679" s="531" t="s">
        <v>2391</v>
      </c>
      <c r="G1679" s="531" t="s">
        <v>2392</v>
      </c>
      <c r="H1679" s="531" t="s">
        <v>2392</v>
      </c>
    </row>
    <row r="1680" spans="1:8">
      <c r="A1680" s="531" t="s">
        <v>3567</v>
      </c>
      <c r="B1680" s="531">
        <v>41200039</v>
      </c>
      <c r="C1680" s="531" t="s">
        <v>1476</v>
      </c>
      <c r="D1680" s="531" t="s">
        <v>1426</v>
      </c>
      <c r="E1680" s="531" t="s">
        <v>1426</v>
      </c>
      <c r="F1680" s="531" t="s">
        <v>2391</v>
      </c>
      <c r="G1680" s="531" t="s">
        <v>2392</v>
      </c>
      <c r="H1680" s="531" t="s">
        <v>2392</v>
      </c>
    </row>
    <row r="1681" spans="1:8">
      <c r="A1681" s="531" t="s">
        <v>5459</v>
      </c>
      <c r="B1681" s="531">
        <v>41200152</v>
      </c>
      <c r="C1681" s="531" t="s">
        <v>1476</v>
      </c>
      <c r="D1681" s="531" t="s">
        <v>6618</v>
      </c>
      <c r="E1681" s="531" t="s">
        <v>1585</v>
      </c>
      <c r="F1681" s="531" t="s">
        <v>2391</v>
      </c>
      <c r="G1681" s="531" t="s">
        <v>1468</v>
      </c>
      <c r="H1681" s="531" t="s">
        <v>2392</v>
      </c>
    </row>
    <row r="1682" spans="1:8">
      <c r="A1682" s="531" t="s">
        <v>5458</v>
      </c>
      <c r="B1682" s="531">
        <v>41200152</v>
      </c>
      <c r="C1682" s="531" t="s">
        <v>1476</v>
      </c>
      <c r="D1682" s="531" t="s">
        <v>6618</v>
      </c>
      <c r="E1682" s="531" t="s">
        <v>1585</v>
      </c>
      <c r="F1682" s="531" t="s">
        <v>2391</v>
      </c>
      <c r="G1682" s="531" t="s">
        <v>1468</v>
      </c>
      <c r="H1682" s="531" t="s">
        <v>2392</v>
      </c>
    </row>
    <row r="1683" spans="1:8">
      <c r="A1683" s="531" t="s">
        <v>3574</v>
      </c>
      <c r="B1683" s="531">
        <v>41200047</v>
      </c>
      <c r="C1683" s="531" t="s">
        <v>1476</v>
      </c>
      <c r="D1683" s="531" t="s">
        <v>1426</v>
      </c>
      <c r="E1683" s="531" t="s">
        <v>1426</v>
      </c>
      <c r="F1683" s="531" t="s">
        <v>2391</v>
      </c>
      <c r="G1683" s="531" t="s">
        <v>1468</v>
      </c>
      <c r="H1683" s="531" t="s">
        <v>2392</v>
      </c>
    </row>
    <row r="1684" spans="1:8">
      <c r="A1684" s="531" t="s">
        <v>3572</v>
      </c>
      <c r="B1684" s="531">
        <v>41200047</v>
      </c>
      <c r="C1684" s="531" t="s">
        <v>1476</v>
      </c>
      <c r="D1684" s="531" t="s">
        <v>1426</v>
      </c>
      <c r="E1684" s="531" t="s">
        <v>1426</v>
      </c>
      <c r="F1684" s="531" t="s">
        <v>2391</v>
      </c>
      <c r="G1684" s="531" t="s">
        <v>1468</v>
      </c>
      <c r="H1684" s="531" t="s">
        <v>2392</v>
      </c>
    </row>
    <row r="1685" spans="1:8">
      <c r="A1685" s="531" t="s">
        <v>3571</v>
      </c>
      <c r="B1685" s="531">
        <v>41200047</v>
      </c>
      <c r="C1685" s="531" t="s">
        <v>1476</v>
      </c>
      <c r="D1685" s="531" t="s">
        <v>1426</v>
      </c>
      <c r="E1685" s="531" t="s">
        <v>1426</v>
      </c>
      <c r="F1685" s="531" t="s">
        <v>2391</v>
      </c>
      <c r="G1685" s="531" t="s">
        <v>1468</v>
      </c>
      <c r="H1685" s="531" t="s">
        <v>2392</v>
      </c>
    </row>
    <row r="1686" spans="1:8">
      <c r="A1686" s="531" t="s">
        <v>3552</v>
      </c>
      <c r="B1686" s="531">
        <v>41200101</v>
      </c>
      <c r="C1686" s="531" t="s">
        <v>1476</v>
      </c>
      <c r="D1686" s="531" t="s">
        <v>1476</v>
      </c>
      <c r="E1686" s="531" t="s">
        <v>1585</v>
      </c>
      <c r="F1686" s="531" t="s">
        <v>2395</v>
      </c>
      <c r="G1686" s="531" t="s">
        <v>2392</v>
      </c>
      <c r="H1686" s="531" t="s">
        <v>2392</v>
      </c>
    </row>
    <row r="1687" spans="1:8">
      <c r="A1687" s="531" t="s">
        <v>3550</v>
      </c>
      <c r="B1687" s="531">
        <v>41200101</v>
      </c>
      <c r="C1687" s="531" t="s">
        <v>1476</v>
      </c>
      <c r="D1687" s="531" t="s">
        <v>1476</v>
      </c>
      <c r="E1687" s="531" t="s">
        <v>1585</v>
      </c>
      <c r="F1687" s="531" t="s">
        <v>2395</v>
      </c>
      <c r="G1687" s="531" t="s">
        <v>2392</v>
      </c>
      <c r="H1687" s="531" t="s">
        <v>2392</v>
      </c>
    </row>
    <row r="1688" spans="1:8">
      <c r="A1688" s="531" t="s">
        <v>3507</v>
      </c>
      <c r="B1688" s="531">
        <v>41200153</v>
      </c>
      <c r="C1688" s="531" t="s">
        <v>1476</v>
      </c>
      <c r="D1688" s="531" t="s">
        <v>6663</v>
      </c>
      <c r="E1688" s="531" t="s">
        <v>1422</v>
      </c>
      <c r="F1688" s="531" t="s">
        <v>2395</v>
      </c>
      <c r="G1688" s="531" t="s">
        <v>2392</v>
      </c>
      <c r="H1688" s="531" t="s">
        <v>2392</v>
      </c>
    </row>
    <row r="1689" spans="1:8">
      <c r="A1689" s="531" t="s">
        <v>3512</v>
      </c>
      <c r="B1689" s="531">
        <v>41200119</v>
      </c>
      <c r="C1689" s="531" t="s">
        <v>1476</v>
      </c>
      <c r="D1689" s="531" t="s">
        <v>1422</v>
      </c>
      <c r="E1689" s="531" t="s">
        <v>1422</v>
      </c>
      <c r="F1689" s="531" t="s">
        <v>2391</v>
      </c>
      <c r="G1689" s="531" t="s">
        <v>1468</v>
      </c>
      <c r="H1689" s="531" t="s">
        <v>2392</v>
      </c>
    </row>
    <row r="1690" spans="1:8">
      <c r="A1690" s="531" t="s">
        <v>7013</v>
      </c>
      <c r="B1690" s="531">
        <v>41200109</v>
      </c>
      <c r="C1690" s="531" t="s">
        <v>1591</v>
      </c>
      <c r="D1690" s="531" t="s">
        <v>6619</v>
      </c>
      <c r="E1690" s="531" t="s">
        <v>1585</v>
      </c>
      <c r="F1690" s="531" t="s">
        <v>2395</v>
      </c>
      <c r="G1690" s="531" t="s">
        <v>1469</v>
      </c>
      <c r="H1690" s="531" t="s">
        <v>2392</v>
      </c>
    </row>
    <row r="1691" spans="1:8">
      <c r="A1691" s="531" t="s">
        <v>7014</v>
      </c>
      <c r="B1691" s="531">
        <v>41200109</v>
      </c>
      <c r="C1691" s="531" t="s">
        <v>1591</v>
      </c>
      <c r="D1691" s="531" t="s">
        <v>6619</v>
      </c>
      <c r="E1691" s="531" t="s">
        <v>1585</v>
      </c>
      <c r="F1691" s="531" t="s">
        <v>2395</v>
      </c>
      <c r="G1691" s="531" t="s">
        <v>1469</v>
      </c>
      <c r="H1691" s="531" t="s">
        <v>2392</v>
      </c>
    </row>
    <row r="1692" spans="1:8">
      <c r="A1692" s="531" t="s">
        <v>7015</v>
      </c>
      <c r="B1692" s="531">
        <v>41200109</v>
      </c>
      <c r="C1692" s="531" t="s">
        <v>1591</v>
      </c>
      <c r="D1692" s="531" t="s">
        <v>6619</v>
      </c>
      <c r="E1692" s="531" t="s">
        <v>1585</v>
      </c>
      <c r="F1692" s="531" t="s">
        <v>2395</v>
      </c>
      <c r="G1692" s="531" t="s">
        <v>1469</v>
      </c>
      <c r="H1692" s="531" t="s">
        <v>2392</v>
      </c>
    </row>
    <row r="1693" spans="1:8">
      <c r="A1693" s="531" t="s">
        <v>7016</v>
      </c>
      <c r="B1693" s="531">
        <v>41200109</v>
      </c>
      <c r="C1693" s="531" t="s">
        <v>1591</v>
      </c>
      <c r="D1693" s="531" t="s">
        <v>6619</v>
      </c>
      <c r="E1693" s="531" t="s">
        <v>1585</v>
      </c>
      <c r="F1693" s="531" t="s">
        <v>2395</v>
      </c>
      <c r="G1693" s="531" t="s">
        <v>1469</v>
      </c>
      <c r="H1693" s="531" t="s">
        <v>2392</v>
      </c>
    </row>
    <row r="1694" spans="1:8">
      <c r="A1694" s="531" t="s">
        <v>3530</v>
      </c>
      <c r="B1694" s="531">
        <v>41200109</v>
      </c>
      <c r="C1694" s="531" t="s">
        <v>1591</v>
      </c>
      <c r="D1694" s="531" t="s">
        <v>6619</v>
      </c>
      <c r="E1694" s="531" t="s">
        <v>1585</v>
      </c>
      <c r="F1694" s="531" t="s">
        <v>2395</v>
      </c>
      <c r="G1694" s="531" t="s">
        <v>1469</v>
      </c>
      <c r="H1694" s="531" t="s">
        <v>2392</v>
      </c>
    </row>
    <row r="1695" spans="1:8">
      <c r="A1695" s="531" t="s">
        <v>3529</v>
      </c>
      <c r="B1695" s="531">
        <v>41200109</v>
      </c>
      <c r="C1695" s="531" t="s">
        <v>1591</v>
      </c>
      <c r="D1695" s="531" t="s">
        <v>6619</v>
      </c>
      <c r="E1695" s="531" t="s">
        <v>1585</v>
      </c>
      <c r="F1695" s="531" t="s">
        <v>2395</v>
      </c>
      <c r="G1695" s="531" t="s">
        <v>1469</v>
      </c>
      <c r="H1695" s="531" t="s">
        <v>2392</v>
      </c>
    </row>
    <row r="1696" spans="1:8">
      <c r="A1696" s="531" t="s">
        <v>3562</v>
      </c>
      <c r="B1696" s="531">
        <v>41200105</v>
      </c>
      <c r="C1696" s="531" t="s">
        <v>1476</v>
      </c>
      <c r="D1696" s="531" t="s">
        <v>1591</v>
      </c>
      <c r="E1696" s="531" t="s">
        <v>1424</v>
      </c>
      <c r="F1696" s="531" t="s">
        <v>2391</v>
      </c>
      <c r="G1696" s="531" t="s">
        <v>1468</v>
      </c>
      <c r="H1696" s="531" t="s">
        <v>2392</v>
      </c>
    </row>
    <row r="1697" spans="1:8">
      <c r="A1697" s="531" t="s">
        <v>3539</v>
      </c>
      <c r="B1697" s="531">
        <v>41100317</v>
      </c>
      <c r="C1697" s="531" t="s">
        <v>1476</v>
      </c>
      <c r="D1697" s="531" t="s">
        <v>1476</v>
      </c>
      <c r="E1697" s="531" t="s">
        <v>1585</v>
      </c>
      <c r="F1697" s="531" t="s">
        <v>2391</v>
      </c>
      <c r="G1697" s="531" t="s">
        <v>1468</v>
      </c>
      <c r="H1697" s="531" t="s">
        <v>2392</v>
      </c>
    </row>
    <row r="1698" spans="1:8">
      <c r="A1698" s="531" t="s">
        <v>5445</v>
      </c>
      <c r="B1698" s="531">
        <v>41200203</v>
      </c>
      <c r="C1698" s="531" t="s">
        <v>1393</v>
      </c>
      <c r="D1698" s="531" t="s">
        <v>7017</v>
      </c>
      <c r="E1698" s="531" t="s">
        <v>1392</v>
      </c>
      <c r="F1698" s="531" t="s">
        <v>2395</v>
      </c>
      <c r="G1698" s="531" t="s">
        <v>2392</v>
      </c>
      <c r="H1698" s="531" t="s">
        <v>2392</v>
      </c>
    </row>
    <row r="1699" spans="1:8">
      <c r="A1699" s="531" t="s">
        <v>3538</v>
      </c>
      <c r="B1699" s="531">
        <v>41200122</v>
      </c>
      <c r="C1699" s="531" t="s">
        <v>1476</v>
      </c>
      <c r="D1699" s="531" t="s">
        <v>1476</v>
      </c>
      <c r="E1699" s="531" t="s">
        <v>1585</v>
      </c>
      <c r="F1699" s="531" t="s">
        <v>2391</v>
      </c>
      <c r="G1699" s="531" t="s">
        <v>2392</v>
      </c>
      <c r="H1699" s="531" t="s">
        <v>2392</v>
      </c>
    </row>
    <row r="1700" spans="1:8">
      <c r="A1700" s="531" t="s">
        <v>7018</v>
      </c>
      <c r="B1700" s="531">
        <v>41200101</v>
      </c>
      <c r="C1700" s="531" t="s">
        <v>1476</v>
      </c>
      <c r="D1700" s="531" t="s">
        <v>1476</v>
      </c>
      <c r="E1700" s="531" t="s">
        <v>1585</v>
      </c>
      <c r="F1700" s="531" t="s">
        <v>2391</v>
      </c>
      <c r="G1700" s="531" t="s">
        <v>2392</v>
      </c>
      <c r="H1700" s="531" t="s">
        <v>2392</v>
      </c>
    </row>
    <row r="1701" spans="1:8">
      <c r="A1701" s="531" t="s">
        <v>7019</v>
      </c>
      <c r="B1701" s="531">
        <v>41200101</v>
      </c>
      <c r="C1701" s="531" t="s">
        <v>1476</v>
      </c>
      <c r="D1701" s="531" t="s">
        <v>1476</v>
      </c>
      <c r="E1701" s="531" t="s">
        <v>1585</v>
      </c>
      <c r="F1701" s="531" t="s">
        <v>2391</v>
      </c>
      <c r="G1701" s="531" t="s">
        <v>2392</v>
      </c>
      <c r="H1701" s="531" t="s">
        <v>2392</v>
      </c>
    </row>
    <row r="1702" spans="1:8">
      <c r="A1702" s="531" t="s">
        <v>3556</v>
      </c>
      <c r="B1702" s="531">
        <v>41200200</v>
      </c>
      <c r="C1702" s="531" t="s">
        <v>1478</v>
      </c>
      <c r="D1702" s="531" t="s">
        <v>7020</v>
      </c>
      <c r="E1702" s="531" t="s">
        <v>1395</v>
      </c>
      <c r="F1702" s="531" t="s">
        <v>2395</v>
      </c>
      <c r="G1702" s="531" t="s">
        <v>1469</v>
      </c>
      <c r="H1702" s="531" t="s">
        <v>2392</v>
      </c>
    </row>
    <row r="1703" spans="1:8">
      <c r="A1703" s="531" t="s">
        <v>3555</v>
      </c>
      <c r="B1703" s="531">
        <v>41200200</v>
      </c>
      <c r="C1703" s="531" t="s">
        <v>1478</v>
      </c>
      <c r="D1703" s="531" t="s">
        <v>7020</v>
      </c>
      <c r="E1703" s="531" t="s">
        <v>1395</v>
      </c>
      <c r="F1703" s="531" t="s">
        <v>2395</v>
      </c>
      <c r="G1703" s="531" t="s">
        <v>1469</v>
      </c>
      <c r="H1703" s="531" t="s">
        <v>2392</v>
      </c>
    </row>
    <row r="1704" spans="1:8">
      <c r="A1704" s="531" t="s">
        <v>3566</v>
      </c>
      <c r="B1704" s="531">
        <v>41200200</v>
      </c>
      <c r="C1704" s="531" t="s">
        <v>1478</v>
      </c>
      <c r="D1704" s="531" t="s">
        <v>7020</v>
      </c>
      <c r="E1704" s="531" t="s">
        <v>1395</v>
      </c>
      <c r="F1704" s="531" t="s">
        <v>2395</v>
      </c>
      <c r="G1704" s="531" t="s">
        <v>1469</v>
      </c>
      <c r="H1704" s="531" t="s">
        <v>2392</v>
      </c>
    </row>
    <row r="1705" spans="1:8">
      <c r="A1705" s="531" t="s">
        <v>3554</v>
      </c>
      <c r="B1705" s="531">
        <v>41200200</v>
      </c>
      <c r="C1705" s="531" t="s">
        <v>1478</v>
      </c>
      <c r="D1705" s="531" t="s">
        <v>7020</v>
      </c>
      <c r="E1705" s="531" t="s">
        <v>1395</v>
      </c>
      <c r="F1705" s="531" t="s">
        <v>2395</v>
      </c>
      <c r="G1705" s="531" t="s">
        <v>1469</v>
      </c>
      <c r="H1705" s="531" t="s">
        <v>2392</v>
      </c>
    </row>
    <row r="1706" spans="1:8">
      <c r="A1706" s="531" t="s">
        <v>3535</v>
      </c>
      <c r="B1706" s="531">
        <v>41200108</v>
      </c>
      <c r="C1706" s="531" t="s">
        <v>1479</v>
      </c>
      <c r="D1706" s="531" t="s">
        <v>6633</v>
      </c>
      <c r="E1706" s="531" t="s">
        <v>1409</v>
      </c>
      <c r="F1706" s="531" t="s">
        <v>2391</v>
      </c>
      <c r="G1706" s="531" t="s">
        <v>2392</v>
      </c>
      <c r="H1706" s="531" t="s">
        <v>2392</v>
      </c>
    </row>
    <row r="1707" spans="1:8">
      <c r="A1707" s="531" t="s">
        <v>3534</v>
      </c>
      <c r="B1707" s="531">
        <v>41200108</v>
      </c>
      <c r="C1707" s="531" t="s">
        <v>1479</v>
      </c>
      <c r="D1707" s="531" t="s">
        <v>6633</v>
      </c>
      <c r="E1707" s="531" t="s">
        <v>1409</v>
      </c>
      <c r="F1707" s="531" t="s">
        <v>2391</v>
      </c>
      <c r="G1707" s="531" t="s">
        <v>2392</v>
      </c>
      <c r="H1707" s="531" t="s">
        <v>2392</v>
      </c>
    </row>
    <row r="1708" spans="1:8">
      <c r="A1708" s="531" t="s">
        <v>3549</v>
      </c>
      <c r="B1708" s="531">
        <v>41200200</v>
      </c>
      <c r="C1708" s="531" t="s">
        <v>1478</v>
      </c>
      <c r="D1708" s="531" t="s">
        <v>7020</v>
      </c>
      <c r="E1708" s="531" t="s">
        <v>1395</v>
      </c>
      <c r="F1708" s="531" t="s">
        <v>2395</v>
      </c>
      <c r="G1708" s="531" t="s">
        <v>1469</v>
      </c>
      <c r="H1708" s="531" t="s">
        <v>2392</v>
      </c>
    </row>
    <row r="1709" spans="1:8">
      <c r="A1709" s="531" t="s">
        <v>3531</v>
      </c>
      <c r="B1709" s="531">
        <v>41200076</v>
      </c>
      <c r="C1709" s="531" t="s">
        <v>1476</v>
      </c>
      <c r="D1709" s="531" t="s">
        <v>1476</v>
      </c>
      <c r="E1709" s="531" t="s">
        <v>1585</v>
      </c>
      <c r="F1709" s="531" t="s">
        <v>2395</v>
      </c>
      <c r="G1709" s="531" t="s">
        <v>2392</v>
      </c>
      <c r="H1709" s="531" t="s">
        <v>2392</v>
      </c>
    </row>
    <row r="1710" spans="1:8">
      <c r="A1710" s="531" t="s">
        <v>3527</v>
      </c>
      <c r="B1710" s="531">
        <v>41200125</v>
      </c>
      <c r="C1710" s="531" t="s">
        <v>1476</v>
      </c>
      <c r="D1710" s="531" t="s">
        <v>1476</v>
      </c>
      <c r="E1710" s="531" t="s">
        <v>1585</v>
      </c>
      <c r="F1710" s="531" t="s">
        <v>2395</v>
      </c>
      <c r="G1710" s="531" t="s">
        <v>1468</v>
      </c>
      <c r="H1710" s="531" t="s">
        <v>2392</v>
      </c>
    </row>
    <row r="1711" spans="1:8">
      <c r="A1711" s="531" t="s">
        <v>3526</v>
      </c>
      <c r="B1711" s="531">
        <v>41200048</v>
      </c>
      <c r="C1711" s="531" t="s">
        <v>1476</v>
      </c>
      <c r="D1711" s="531" t="s">
        <v>1426</v>
      </c>
      <c r="E1711" s="531" t="s">
        <v>1426</v>
      </c>
      <c r="F1711" s="531" t="s">
        <v>2391</v>
      </c>
      <c r="G1711" s="531" t="s">
        <v>2392</v>
      </c>
      <c r="H1711" s="531" t="s">
        <v>2392</v>
      </c>
    </row>
    <row r="1712" spans="1:8">
      <c r="A1712" s="531" t="s">
        <v>3518</v>
      </c>
      <c r="B1712" s="531">
        <v>41200116</v>
      </c>
      <c r="C1712" s="531" t="s">
        <v>1479</v>
      </c>
      <c r="D1712" s="531" t="s">
        <v>6633</v>
      </c>
      <c r="E1712" s="531" t="s">
        <v>1409</v>
      </c>
      <c r="F1712" s="531" t="s">
        <v>2391</v>
      </c>
      <c r="G1712" s="531" t="s">
        <v>1468</v>
      </c>
      <c r="H1712" s="531" t="s">
        <v>2392</v>
      </c>
    </row>
    <row r="1713" spans="1:8">
      <c r="A1713" s="531" t="s">
        <v>3517</v>
      </c>
      <c r="B1713" s="531">
        <v>41200116</v>
      </c>
      <c r="C1713" s="531" t="s">
        <v>1479</v>
      </c>
      <c r="D1713" s="531" t="s">
        <v>6633</v>
      </c>
      <c r="E1713" s="531" t="s">
        <v>1409</v>
      </c>
      <c r="F1713" s="531" t="s">
        <v>2391</v>
      </c>
      <c r="G1713" s="531" t="s">
        <v>1468</v>
      </c>
      <c r="H1713" s="531" t="s">
        <v>2392</v>
      </c>
    </row>
    <row r="1714" spans="1:8">
      <c r="A1714" s="531" t="s">
        <v>3515</v>
      </c>
      <c r="B1714" s="531">
        <v>41200116</v>
      </c>
      <c r="C1714" s="531" t="s">
        <v>1479</v>
      </c>
      <c r="D1714" s="531" t="s">
        <v>6633</v>
      </c>
      <c r="E1714" s="531" t="s">
        <v>1409</v>
      </c>
      <c r="F1714" s="531" t="s">
        <v>2391</v>
      </c>
      <c r="G1714" s="531" t="s">
        <v>1468</v>
      </c>
      <c r="H1714" s="531" t="s">
        <v>2392</v>
      </c>
    </row>
    <row r="1715" spans="1:8">
      <c r="A1715" s="531" t="s">
        <v>3501</v>
      </c>
      <c r="B1715" s="531">
        <v>41200047</v>
      </c>
      <c r="C1715" s="531" t="s">
        <v>1476</v>
      </c>
      <c r="D1715" s="531" t="s">
        <v>1426</v>
      </c>
      <c r="E1715" s="531" t="s">
        <v>1426</v>
      </c>
      <c r="F1715" s="531" t="s">
        <v>2395</v>
      </c>
      <c r="G1715" s="531" t="s">
        <v>1469</v>
      </c>
      <c r="H1715" s="531" t="s">
        <v>2392</v>
      </c>
    </row>
    <row r="1716" spans="1:8">
      <c r="A1716" s="531" t="s">
        <v>3499</v>
      </c>
      <c r="B1716" s="531">
        <v>41200047</v>
      </c>
      <c r="C1716" s="531" t="s">
        <v>1476</v>
      </c>
      <c r="D1716" s="531" t="s">
        <v>1426</v>
      </c>
      <c r="E1716" s="531" t="s">
        <v>1426</v>
      </c>
      <c r="F1716" s="531" t="s">
        <v>2395</v>
      </c>
      <c r="G1716" s="531" t="s">
        <v>1469</v>
      </c>
      <c r="H1716" s="531" t="s">
        <v>2392</v>
      </c>
    </row>
    <row r="1717" spans="1:8">
      <c r="A1717" s="531" t="s">
        <v>3497</v>
      </c>
      <c r="B1717" s="531">
        <v>41200047</v>
      </c>
      <c r="C1717" s="531" t="s">
        <v>1476</v>
      </c>
      <c r="D1717" s="531" t="s">
        <v>1426</v>
      </c>
      <c r="E1717" s="531" t="s">
        <v>1426</v>
      </c>
      <c r="F1717" s="531" t="s">
        <v>2395</v>
      </c>
      <c r="G1717" s="531" t="s">
        <v>1469</v>
      </c>
      <c r="H1717" s="531" t="s">
        <v>2392</v>
      </c>
    </row>
    <row r="1718" spans="1:8">
      <c r="A1718" s="531" t="s">
        <v>3570</v>
      </c>
      <c r="B1718" s="531">
        <v>41200101</v>
      </c>
      <c r="C1718" s="531" t="s">
        <v>1476</v>
      </c>
      <c r="D1718" s="531" t="s">
        <v>1476</v>
      </c>
      <c r="E1718" s="531" t="s">
        <v>1585</v>
      </c>
      <c r="F1718" s="531" t="s">
        <v>2391</v>
      </c>
      <c r="G1718" s="531" t="s">
        <v>1468</v>
      </c>
      <c r="H1718" s="531" t="s">
        <v>2392</v>
      </c>
    </row>
    <row r="1719" spans="1:8">
      <c r="A1719" s="531" t="s">
        <v>3506</v>
      </c>
      <c r="B1719" s="531">
        <v>41100227</v>
      </c>
      <c r="C1719" s="531" t="s">
        <v>1476</v>
      </c>
      <c r="E1719" s="531" t="s">
        <v>1424</v>
      </c>
      <c r="F1719" s="531" t="s">
        <v>2391</v>
      </c>
      <c r="G1719" s="531" t="s">
        <v>2392</v>
      </c>
      <c r="H1719" s="531" t="s">
        <v>2392</v>
      </c>
    </row>
    <row r="1720" spans="1:8">
      <c r="A1720" s="531" t="s">
        <v>3492</v>
      </c>
      <c r="B1720" s="531">
        <v>41200079</v>
      </c>
      <c r="C1720" s="531" t="s">
        <v>1480</v>
      </c>
      <c r="D1720" s="531" t="s">
        <v>6987</v>
      </c>
      <c r="E1720" s="531" t="s">
        <v>1405</v>
      </c>
      <c r="F1720" s="531" t="s">
        <v>2395</v>
      </c>
      <c r="G1720" s="531" t="s">
        <v>1468</v>
      </c>
      <c r="H1720" s="531" t="s">
        <v>2392</v>
      </c>
    </row>
    <row r="1721" spans="1:8">
      <c r="A1721" s="531" t="s">
        <v>3489</v>
      </c>
      <c r="B1721" s="531">
        <v>41200042</v>
      </c>
      <c r="C1721" s="531" t="s">
        <v>1476</v>
      </c>
      <c r="D1721" s="531" t="s">
        <v>1426</v>
      </c>
      <c r="E1721" s="531" t="s">
        <v>1426</v>
      </c>
      <c r="F1721" s="531" t="s">
        <v>2391</v>
      </c>
      <c r="G1721" s="531" t="s">
        <v>2392</v>
      </c>
      <c r="H1721" s="531" t="s">
        <v>2392</v>
      </c>
    </row>
    <row r="1722" spans="1:8">
      <c r="A1722" s="531" t="s">
        <v>3481</v>
      </c>
      <c r="B1722" s="531">
        <v>41200034</v>
      </c>
      <c r="C1722" s="531" t="s">
        <v>1476</v>
      </c>
      <c r="D1722" s="531" t="s">
        <v>1426</v>
      </c>
      <c r="E1722" s="531" t="s">
        <v>1426</v>
      </c>
      <c r="F1722" s="531" t="s">
        <v>2395</v>
      </c>
      <c r="G1722" s="531" t="s">
        <v>2392</v>
      </c>
      <c r="H1722" s="531" t="s">
        <v>2392</v>
      </c>
    </row>
    <row r="1723" spans="1:8">
      <c r="A1723" s="531" t="s">
        <v>3480</v>
      </c>
      <c r="B1723" s="531">
        <v>41200034</v>
      </c>
      <c r="C1723" s="531" t="s">
        <v>1476</v>
      </c>
      <c r="D1723" s="531" t="s">
        <v>1426</v>
      </c>
      <c r="E1723" s="531" t="s">
        <v>1426</v>
      </c>
      <c r="F1723" s="531" t="s">
        <v>2395</v>
      </c>
      <c r="G1723" s="531" t="s">
        <v>2392</v>
      </c>
      <c r="H1723" s="531" t="s">
        <v>2392</v>
      </c>
    </row>
    <row r="1724" spans="1:8">
      <c r="A1724" s="531" t="s">
        <v>3482</v>
      </c>
      <c r="B1724" s="531">
        <v>41200043</v>
      </c>
      <c r="C1724" s="531" t="s">
        <v>1476</v>
      </c>
      <c r="D1724" s="531" t="s">
        <v>6611</v>
      </c>
      <c r="E1724" s="531" t="s">
        <v>1426</v>
      </c>
      <c r="F1724" s="531" t="s">
        <v>2395</v>
      </c>
      <c r="G1724" s="531" t="s">
        <v>1469</v>
      </c>
      <c r="H1724" s="531" t="s">
        <v>2392</v>
      </c>
    </row>
    <row r="1725" spans="1:8">
      <c r="A1725" s="531" t="s">
        <v>3485</v>
      </c>
      <c r="B1725" s="531">
        <v>41200007</v>
      </c>
      <c r="C1725" s="531" t="s">
        <v>1591</v>
      </c>
      <c r="D1725" s="531" t="s">
        <v>6608</v>
      </c>
      <c r="E1725" s="531" t="s">
        <v>1405</v>
      </c>
      <c r="F1725" s="531" t="s">
        <v>2395</v>
      </c>
      <c r="G1725" s="531" t="s">
        <v>1469</v>
      </c>
      <c r="H1725" s="531" t="s">
        <v>2392</v>
      </c>
    </row>
    <row r="1726" spans="1:8">
      <c r="A1726" s="531" t="s">
        <v>3484</v>
      </c>
      <c r="B1726" s="531">
        <v>41200007</v>
      </c>
      <c r="C1726" s="531" t="s">
        <v>1591</v>
      </c>
      <c r="D1726" s="531" t="s">
        <v>6608</v>
      </c>
      <c r="E1726" s="531" t="s">
        <v>1405</v>
      </c>
      <c r="F1726" s="531" t="s">
        <v>2395</v>
      </c>
      <c r="G1726" s="531" t="s">
        <v>1469</v>
      </c>
      <c r="H1726" s="531" t="s">
        <v>2392</v>
      </c>
    </row>
    <row r="1727" spans="1:8">
      <c r="A1727" s="531" t="s">
        <v>3525</v>
      </c>
      <c r="B1727" s="531">
        <v>41200196</v>
      </c>
      <c r="C1727" s="531" t="s">
        <v>1476</v>
      </c>
      <c r="D1727" s="531" t="s">
        <v>6988</v>
      </c>
      <c r="E1727" s="531" t="s">
        <v>1395</v>
      </c>
      <c r="F1727" s="531" t="s">
        <v>2391</v>
      </c>
      <c r="G1727" s="531" t="s">
        <v>2392</v>
      </c>
      <c r="H1727" s="531" t="s">
        <v>2392</v>
      </c>
    </row>
    <row r="1728" spans="1:8">
      <c r="A1728" s="531" t="s">
        <v>3503</v>
      </c>
      <c r="B1728" s="531">
        <v>41200195</v>
      </c>
      <c r="C1728" s="531" t="s">
        <v>1476</v>
      </c>
      <c r="D1728" s="531" t="s">
        <v>6989</v>
      </c>
      <c r="E1728" s="531" t="s">
        <v>1395</v>
      </c>
      <c r="F1728" s="531" t="s">
        <v>2391</v>
      </c>
      <c r="G1728" s="531" t="s">
        <v>2392</v>
      </c>
      <c r="H1728" s="531" t="s">
        <v>2392</v>
      </c>
    </row>
    <row r="1729" spans="1:8">
      <c r="A1729" s="531" t="s">
        <v>3502</v>
      </c>
      <c r="B1729" s="531">
        <v>41200195</v>
      </c>
      <c r="C1729" s="531" t="s">
        <v>1476</v>
      </c>
      <c r="D1729" s="531" t="s">
        <v>6989</v>
      </c>
      <c r="E1729" s="531" t="s">
        <v>1395</v>
      </c>
      <c r="F1729" s="531" t="s">
        <v>2391</v>
      </c>
      <c r="G1729" s="531" t="s">
        <v>2392</v>
      </c>
      <c r="H1729" s="531" t="s">
        <v>2392</v>
      </c>
    </row>
    <row r="1730" spans="1:8">
      <c r="A1730" s="531" t="s">
        <v>3523</v>
      </c>
      <c r="B1730" s="531">
        <v>41200191</v>
      </c>
      <c r="C1730" s="531" t="s">
        <v>1476</v>
      </c>
      <c r="D1730" s="531" t="s">
        <v>6990</v>
      </c>
      <c r="E1730" s="531" t="s">
        <v>1395</v>
      </c>
      <c r="F1730" s="531" t="s">
        <v>2391</v>
      </c>
      <c r="G1730" s="531" t="s">
        <v>2392</v>
      </c>
      <c r="H1730" s="531" t="s">
        <v>2392</v>
      </c>
    </row>
    <row r="1731" spans="1:8">
      <c r="A1731" s="531" t="s">
        <v>3520</v>
      </c>
      <c r="B1731" s="531">
        <v>41200191</v>
      </c>
      <c r="C1731" s="531" t="s">
        <v>1476</v>
      </c>
      <c r="D1731" s="531" t="s">
        <v>6990</v>
      </c>
      <c r="E1731" s="531" t="s">
        <v>1395</v>
      </c>
      <c r="F1731" s="531" t="s">
        <v>2391</v>
      </c>
      <c r="G1731" s="531" t="s">
        <v>2392</v>
      </c>
      <c r="H1731" s="531" t="s">
        <v>2392</v>
      </c>
    </row>
    <row r="1732" spans="1:8">
      <c r="A1732" s="531" t="s">
        <v>3483</v>
      </c>
      <c r="B1732" s="531">
        <v>41200039</v>
      </c>
      <c r="C1732" s="531" t="s">
        <v>1476</v>
      </c>
      <c r="D1732" s="531" t="s">
        <v>1426</v>
      </c>
      <c r="E1732" s="531" t="s">
        <v>1426</v>
      </c>
      <c r="F1732" s="531" t="s">
        <v>2391</v>
      </c>
      <c r="G1732" s="531" t="s">
        <v>1468</v>
      </c>
      <c r="H1732" s="531" t="s">
        <v>2392</v>
      </c>
    </row>
    <row r="1733" spans="1:8">
      <c r="A1733" s="531" t="s">
        <v>3472</v>
      </c>
      <c r="B1733" s="531">
        <v>41200039</v>
      </c>
      <c r="C1733" s="531" t="s">
        <v>1476</v>
      </c>
      <c r="D1733" s="531" t="s">
        <v>1426</v>
      </c>
      <c r="E1733" s="531" t="s">
        <v>1426</v>
      </c>
      <c r="F1733" s="531" t="s">
        <v>2391</v>
      </c>
      <c r="G1733" s="531" t="s">
        <v>1468</v>
      </c>
      <c r="H1733" s="531" t="s">
        <v>2392</v>
      </c>
    </row>
    <row r="1734" spans="1:8">
      <c r="A1734" s="531" t="s">
        <v>3475</v>
      </c>
      <c r="B1734" s="531">
        <v>41200033</v>
      </c>
      <c r="C1734" s="531" t="s">
        <v>1476</v>
      </c>
      <c r="D1734" s="531" t="s">
        <v>6611</v>
      </c>
      <c r="E1734" s="531" t="s">
        <v>1426</v>
      </c>
      <c r="F1734" s="531" t="s">
        <v>2395</v>
      </c>
      <c r="G1734" s="531" t="s">
        <v>2392</v>
      </c>
      <c r="H1734" s="531" t="s">
        <v>2392</v>
      </c>
    </row>
    <row r="1735" spans="1:8">
      <c r="A1735" s="531" t="s">
        <v>3474</v>
      </c>
      <c r="B1735" s="531">
        <v>41200033</v>
      </c>
      <c r="C1735" s="531" t="s">
        <v>1476</v>
      </c>
      <c r="D1735" s="531" t="s">
        <v>6611</v>
      </c>
      <c r="E1735" s="531" t="s">
        <v>1426</v>
      </c>
      <c r="F1735" s="531" t="s">
        <v>2395</v>
      </c>
      <c r="G1735" s="531" t="s">
        <v>2392</v>
      </c>
      <c r="H1735" s="531" t="s">
        <v>2392</v>
      </c>
    </row>
    <row r="1736" spans="1:8">
      <c r="A1736" s="531" t="s">
        <v>3545</v>
      </c>
      <c r="B1736" s="531">
        <v>41000600</v>
      </c>
      <c r="C1736" s="531" t="s">
        <v>1479</v>
      </c>
      <c r="D1736" s="531" t="s">
        <v>1405</v>
      </c>
      <c r="E1736" s="531" t="s">
        <v>1405</v>
      </c>
      <c r="F1736" s="531" t="s">
        <v>2391</v>
      </c>
      <c r="G1736" s="531" t="s">
        <v>2392</v>
      </c>
      <c r="H1736" s="531" t="s">
        <v>2392</v>
      </c>
    </row>
    <row r="1737" spans="1:8">
      <c r="A1737" s="531" t="s">
        <v>3544</v>
      </c>
      <c r="B1737" s="531">
        <v>41000600</v>
      </c>
      <c r="C1737" s="531" t="s">
        <v>1479</v>
      </c>
      <c r="D1737" s="531" t="s">
        <v>1405</v>
      </c>
      <c r="E1737" s="531" t="s">
        <v>1405</v>
      </c>
      <c r="F1737" s="531" t="s">
        <v>2391</v>
      </c>
      <c r="G1737" s="531" t="s">
        <v>2392</v>
      </c>
      <c r="H1737" s="531" t="s">
        <v>2392</v>
      </c>
    </row>
    <row r="1738" spans="1:8">
      <c r="A1738" s="531" t="s">
        <v>3478</v>
      </c>
      <c r="B1738" s="531">
        <v>41100695</v>
      </c>
      <c r="C1738" s="531" t="s">
        <v>2184</v>
      </c>
      <c r="D1738" s="531" t="s">
        <v>6991</v>
      </c>
      <c r="E1738" s="531" t="s">
        <v>1433</v>
      </c>
      <c r="F1738" s="531" t="s">
        <v>2392</v>
      </c>
      <c r="G1738" s="531" t="s">
        <v>2392</v>
      </c>
    </row>
    <row r="1739" spans="1:8">
      <c r="A1739" s="531" t="s">
        <v>3477</v>
      </c>
      <c r="B1739" s="531">
        <v>41100695</v>
      </c>
      <c r="C1739" s="531" t="s">
        <v>2184</v>
      </c>
      <c r="D1739" s="531" t="s">
        <v>6991</v>
      </c>
      <c r="E1739" s="531" t="s">
        <v>1433</v>
      </c>
      <c r="F1739" s="531" t="s">
        <v>2392</v>
      </c>
      <c r="G1739" s="531" t="s">
        <v>2392</v>
      </c>
    </row>
    <row r="1740" spans="1:8">
      <c r="A1740" s="531" t="s">
        <v>3476</v>
      </c>
      <c r="B1740" s="531">
        <v>41200069</v>
      </c>
      <c r="C1740" s="531" t="s">
        <v>3884</v>
      </c>
      <c r="D1740" s="531" t="s">
        <v>1433</v>
      </c>
      <c r="E1740" s="531" t="s">
        <v>1433</v>
      </c>
      <c r="F1740" s="531" t="s">
        <v>2391</v>
      </c>
      <c r="G1740" s="531" t="s">
        <v>1468</v>
      </c>
      <c r="H1740" s="531" t="s">
        <v>2392</v>
      </c>
    </row>
    <row r="1741" spans="1:8">
      <c r="A1741" s="531" t="s">
        <v>3447</v>
      </c>
      <c r="B1741" s="531">
        <v>41200122</v>
      </c>
      <c r="C1741" s="531" t="s">
        <v>1476</v>
      </c>
      <c r="D1741" s="531" t="s">
        <v>1476</v>
      </c>
      <c r="E1741" s="531" t="s">
        <v>1585</v>
      </c>
      <c r="F1741" s="531" t="s">
        <v>2395</v>
      </c>
      <c r="G1741" s="531" t="s">
        <v>2392</v>
      </c>
      <c r="H1741" s="531" t="s">
        <v>2392</v>
      </c>
    </row>
    <row r="1742" spans="1:8">
      <c r="A1742" s="531" t="s">
        <v>3495</v>
      </c>
      <c r="B1742" s="531">
        <v>41200158</v>
      </c>
      <c r="C1742" s="531" t="s">
        <v>1480</v>
      </c>
      <c r="D1742" s="531" t="s">
        <v>1480</v>
      </c>
      <c r="E1742" s="531" t="s">
        <v>1405</v>
      </c>
      <c r="F1742" s="531" t="s">
        <v>2395</v>
      </c>
      <c r="G1742" s="531" t="s">
        <v>1468</v>
      </c>
      <c r="H1742" s="531" t="s">
        <v>2392</v>
      </c>
    </row>
    <row r="1743" spans="1:8">
      <c r="A1743" s="531" t="s">
        <v>3465</v>
      </c>
      <c r="B1743" s="531">
        <v>41200158</v>
      </c>
      <c r="C1743" s="531" t="s">
        <v>1480</v>
      </c>
      <c r="D1743" s="531" t="s">
        <v>1480</v>
      </c>
      <c r="E1743" s="531" t="s">
        <v>1405</v>
      </c>
      <c r="F1743" s="531" t="s">
        <v>2395</v>
      </c>
      <c r="G1743" s="531" t="s">
        <v>1468</v>
      </c>
      <c r="H1743" s="531" t="s">
        <v>2392</v>
      </c>
    </row>
    <row r="1744" spans="1:8">
      <c r="A1744" s="531" t="s">
        <v>3456</v>
      </c>
      <c r="B1744" s="531">
        <v>41200158</v>
      </c>
      <c r="C1744" s="531" t="s">
        <v>1480</v>
      </c>
      <c r="D1744" s="531" t="s">
        <v>1480</v>
      </c>
      <c r="E1744" s="531" t="s">
        <v>1405</v>
      </c>
      <c r="F1744" s="531" t="s">
        <v>2395</v>
      </c>
      <c r="G1744" s="531" t="s">
        <v>1468</v>
      </c>
      <c r="H1744" s="531" t="s">
        <v>2392</v>
      </c>
    </row>
    <row r="1745" spans="1:8">
      <c r="A1745" s="531" t="s">
        <v>3455</v>
      </c>
      <c r="B1745" s="531">
        <v>41200122</v>
      </c>
      <c r="C1745" s="531" t="s">
        <v>1476</v>
      </c>
      <c r="D1745" s="531" t="s">
        <v>1476</v>
      </c>
      <c r="E1745" s="531" t="s">
        <v>1585</v>
      </c>
      <c r="F1745" s="531" t="s">
        <v>2395</v>
      </c>
      <c r="G1745" s="531" t="s">
        <v>2392</v>
      </c>
      <c r="H1745" s="531" t="s">
        <v>2392</v>
      </c>
    </row>
    <row r="1746" spans="1:8">
      <c r="A1746" s="531" t="s">
        <v>3473</v>
      </c>
      <c r="B1746" s="531">
        <v>41100286</v>
      </c>
      <c r="C1746" s="531" t="s">
        <v>1476</v>
      </c>
      <c r="D1746" s="531" t="s">
        <v>6610</v>
      </c>
      <c r="E1746" s="531" t="s">
        <v>1424</v>
      </c>
      <c r="F1746" s="531" t="s">
        <v>2395</v>
      </c>
      <c r="G1746" s="531" t="s">
        <v>1469</v>
      </c>
      <c r="H1746" s="531" t="s">
        <v>2392</v>
      </c>
    </row>
    <row r="1747" spans="1:8">
      <c r="A1747" s="531" t="s">
        <v>3454</v>
      </c>
      <c r="B1747" s="531">
        <v>41200076</v>
      </c>
      <c r="C1747" s="531" t="s">
        <v>1476</v>
      </c>
      <c r="D1747" s="531" t="s">
        <v>1476</v>
      </c>
      <c r="E1747" s="531" t="s">
        <v>1585</v>
      </c>
      <c r="F1747" s="531" t="s">
        <v>2395</v>
      </c>
      <c r="G1747" s="531" t="s">
        <v>1468</v>
      </c>
      <c r="H1747" s="531" t="s">
        <v>2392</v>
      </c>
    </row>
    <row r="1748" spans="1:8">
      <c r="A1748" s="531" t="s">
        <v>3453</v>
      </c>
      <c r="B1748" s="531">
        <v>41200076</v>
      </c>
      <c r="C1748" s="531" t="s">
        <v>1476</v>
      </c>
      <c r="D1748" s="531" t="s">
        <v>1476</v>
      </c>
      <c r="E1748" s="531" t="s">
        <v>1585</v>
      </c>
      <c r="F1748" s="531" t="s">
        <v>2395</v>
      </c>
      <c r="G1748" s="531" t="s">
        <v>1468</v>
      </c>
      <c r="H1748" s="531" t="s">
        <v>2392</v>
      </c>
    </row>
    <row r="1749" spans="1:8">
      <c r="A1749" s="531" t="s">
        <v>3448</v>
      </c>
      <c r="B1749" s="531">
        <v>41200076</v>
      </c>
      <c r="C1749" s="531" t="s">
        <v>1476</v>
      </c>
      <c r="D1749" s="531" t="s">
        <v>1476</v>
      </c>
      <c r="E1749" s="531" t="s">
        <v>1585</v>
      </c>
      <c r="F1749" s="531" t="s">
        <v>2395</v>
      </c>
      <c r="G1749" s="531" t="s">
        <v>1468</v>
      </c>
      <c r="H1749" s="531" t="s">
        <v>2392</v>
      </c>
    </row>
    <row r="1750" spans="1:8">
      <c r="A1750" s="531" t="s">
        <v>3421</v>
      </c>
      <c r="B1750" s="531">
        <v>41200076</v>
      </c>
      <c r="C1750" s="531" t="s">
        <v>1476</v>
      </c>
      <c r="D1750" s="531" t="s">
        <v>1476</v>
      </c>
      <c r="E1750" s="531" t="s">
        <v>1585</v>
      </c>
      <c r="F1750" s="531" t="s">
        <v>2391</v>
      </c>
      <c r="G1750" s="531" t="s">
        <v>2392</v>
      </c>
      <c r="H1750" s="531" t="s">
        <v>2392</v>
      </c>
    </row>
    <row r="1751" spans="1:8">
      <c r="A1751" s="531" t="s">
        <v>2909</v>
      </c>
      <c r="B1751" s="531">
        <v>41200037</v>
      </c>
      <c r="C1751" s="531" t="s">
        <v>1476</v>
      </c>
      <c r="D1751" s="531" t="s">
        <v>1426</v>
      </c>
      <c r="E1751" s="531" t="s">
        <v>1426</v>
      </c>
      <c r="F1751" s="531" t="s">
        <v>2391</v>
      </c>
      <c r="G1751" s="531" t="s">
        <v>2392</v>
      </c>
    </row>
    <row r="1752" spans="1:8">
      <c r="A1752" s="531" t="s">
        <v>3426</v>
      </c>
      <c r="B1752" s="531">
        <v>41200201</v>
      </c>
      <c r="C1752" s="531" t="s">
        <v>1479</v>
      </c>
      <c r="D1752" s="531" t="s">
        <v>6992</v>
      </c>
      <c r="E1752" s="531" t="s">
        <v>1404</v>
      </c>
      <c r="F1752" s="531" t="s">
        <v>2391</v>
      </c>
      <c r="G1752" s="531" t="s">
        <v>1468</v>
      </c>
      <c r="H1752" s="531" t="s">
        <v>2392</v>
      </c>
    </row>
    <row r="1753" spans="1:8">
      <c r="A1753" s="531" t="s">
        <v>3423</v>
      </c>
      <c r="B1753" s="531">
        <v>41200201</v>
      </c>
      <c r="C1753" s="531" t="s">
        <v>1479</v>
      </c>
      <c r="D1753" s="531" t="s">
        <v>6992</v>
      </c>
      <c r="E1753" s="531" t="s">
        <v>1404</v>
      </c>
      <c r="F1753" s="531" t="s">
        <v>2391</v>
      </c>
      <c r="G1753" s="531" t="s">
        <v>1468</v>
      </c>
      <c r="H1753" s="531" t="s">
        <v>2392</v>
      </c>
    </row>
    <row r="1754" spans="1:8">
      <c r="A1754" s="531" t="s">
        <v>3468</v>
      </c>
      <c r="B1754" s="531">
        <v>41200198</v>
      </c>
      <c r="C1754" s="531" t="s">
        <v>1476</v>
      </c>
      <c r="D1754" s="531" t="s">
        <v>6993</v>
      </c>
      <c r="E1754" s="531" t="s">
        <v>1395</v>
      </c>
      <c r="F1754" s="531" t="s">
        <v>2391</v>
      </c>
      <c r="G1754" s="531" t="s">
        <v>2392</v>
      </c>
      <c r="H1754" s="531" t="s">
        <v>2392</v>
      </c>
    </row>
    <row r="1755" spans="1:8">
      <c r="A1755" s="531" t="s">
        <v>3536</v>
      </c>
      <c r="B1755" s="531">
        <v>41200193</v>
      </c>
      <c r="C1755" s="531" t="s">
        <v>1476</v>
      </c>
      <c r="D1755" s="531" t="s">
        <v>6994</v>
      </c>
      <c r="E1755" s="531" t="s">
        <v>1395</v>
      </c>
      <c r="F1755" s="531" t="s">
        <v>2391</v>
      </c>
      <c r="G1755" s="531" t="s">
        <v>2392</v>
      </c>
      <c r="H1755" s="531" t="s">
        <v>2392</v>
      </c>
    </row>
    <row r="1756" spans="1:8">
      <c r="A1756" s="531" t="s">
        <v>3511</v>
      </c>
      <c r="B1756" s="531">
        <v>41200193</v>
      </c>
      <c r="C1756" s="531" t="s">
        <v>1476</v>
      </c>
      <c r="D1756" s="531" t="s">
        <v>6994</v>
      </c>
      <c r="E1756" s="531" t="s">
        <v>1395</v>
      </c>
      <c r="F1756" s="531" t="s">
        <v>2391</v>
      </c>
      <c r="G1756" s="531" t="s">
        <v>2392</v>
      </c>
      <c r="H1756" s="531" t="s">
        <v>2392</v>
      </c>
    </row>
    <row r="1757" spans="1:8">
      <c r="A1757" s="531" t="s">
        <v>3444</v>
      </c>
      <c r="B1757" s="531">
        <v>41200193</v>
      </c>
      <c r="C1757" s="531" t="s">
        <v>1476</v>
      </c>
      <c r="D1757" s="531" t="s">
        <v>6994</v>
      </c>
      <c r="E1757" s="531" t="s">
        <v>1395</v>
      </c>
      <c r="F1757" s="531" t="s">
        <v>2391</v>
      </c>
      <c r="G1757" s="531" t="s">
        <v>2392</v>
      </c>
      <c r="H1757" s="531" t="s">
        <v>2392</v>
      </c>
    </row>
    <row r="1758" spans="1:8">
      <c r="A1758" s="531" t="s">
        <v>3443</v>
      </c>
      <c r="B1758" s="531">
        <v>41200193</v>
      </c>
      <c r="C1758" s="531" t="s">
        <v>1476</v>
      </c>
      <c r="D1758" s="531" t="s">
        <v>6994</v>
      </c>
      <c r="E1758" s="531" t="s">
        <v>1395</v>
      </c>
      <c r="F1758" s="531" t="s">
        <v>2391</v>
      </c>
      <c r="G1758" s="531" t="s">
        <v>2392</v>
      </c>
      <c r="H1758" s="531" t="s">
        <v>2392</v>
      </c>
    </row>
    <row r="1759" spans="1:8">
      <c r="A1759" s="531" t="s">
        <v>3427</v>
      </c>
      <c r="B1759" s="531">
        <v>41200198</v>
      </c>
      <c r="C1759" s="531" t="s">
        <v>1476</v>
      </c>
      <c r="D1759" s="531" t="s">
        <v>6993</v>
      </c>
      <c r="E1759" s="531" t="s">
        <v>1395</v>
      </c>
      <c r="F1759" s="531" t="s">
        <v>2391</v>
      </c>
      <c r="G1759" s="531" t="s">
        <v>2392</v>
      </c>
      <c r="H1759" s="531" t="s">
        <v>2392</v>
      </c>
    </row>
    <row r="1760" spans="1:8">
      <c r="A1760" s="531" t="s">
        <v>3546</v>
      </c>
      <c r="B1760" s="531">
        <v>41200193</v>
      </c>
      <c r="C1760" s="531" t="s">
        <v>1476</v>
      </c>
      <c r="D1760" s="531" t="s">
        <v>6994</v>
      </c>
      <c r="E1760" s="531" t="s">
        <v>1395</v>
      </c>
      <c r="F1760" s="531" t="s">
        <v>2391</v>
      </c>
      <c r="G1760" s="531" t="s">
        <v>2392</v>
      </c>
      <c r="H1760" s="531" t="s">
        <v>2392</v>
      </c>
    </row>
    <row r="1761" spans="1:8">
      <c r="A1761" s="531" t="s">
        <v>3432</v>
      </c>
      <c r="B1761" s="531">
        <v>41200193</v>
      </c>
      <c r="C1761" s="531" t="s">
        <v>1476</v>
      </c>
      <c r="D1761" s="531" t="s">
        <v>6994</v>
      </c>
      <c r="E1761" s="531" t="s">
        <v>1395</v>
      </c>
      <c r="F1761" s="531" t="s">
        <v>2391</v>
      </c>
      <c r="G1761" s="531" t="s">
        <v>2392</v>
      </c>
      <c r="H1761" s="531" t="s">
        <v>2392</v>
      </c>
    </row>
    <row r="1762" spans="1:8">
      <c r="A1762" s="531" t="s">
        <v>5433</v>
      </c>
      <c r="B1762" s="531">
        <v>41100538</v>
      </c>
      <c r="C1762" s="531" t="s">
        <v>1476</v>
      </c>
      <c r="D1762" s="531" t="s">
        <v>6610</v>
      </c>
      <c r="E1762" s="531" t="s">
        <v>1424</v>
      </c>
      <c r="F1762" s="531" t="s">
        <v>2391</v>
      </c>
      <c r="G1762" s="531" t="s">
        <v>2392</v>
      </c>
      <c r="H1762" s="531" t="s">
        <v>2392</v>
      </c>
    </row>
    <row r="1763" spans="1:8">
      <c r="A1763" s="531" t="s">
        <v>5426</v>
      </c>
      <c r="B1763" s="531">
        <v>41000558</v>
      </c>
      <c r="C1763" s="531" t="s">
        <v>6607</v>
      </c>
      <c r="D1763" s="531" t="s">
        <v>6607</v>
      </c>
      <c r="E1763" s="531" t="s">
        <v>1405</v>
      </c>
      <c r="F1763" s="531" t="s">
        <v>5127</v>
      </c>
      <c r="G1763" s="531" t="s">
        <v>2392</v>
      </c>
    </row>
    <row r="1764" spans="1:8">
      <c r="A1764" s="531" t="s">
        <v>3452</v>
      </c>
      <c r="B1764" s="531">
        <v>41200158</v>
      </c>
      <c r="C1764" s="531" t="s">
        <v>1480</v>
      </c>
      <c r="D1764" s="531" t="s">
        <v>1480</v>
      </c>
      <c r="E1764" s="531" t="s">
        <v>1405</v>
      </c>
      <c r="F1764" s="531" t="s">
        <v>2395</v>
      </c>
      <c r="G1764" s="531" t="s">
        <v>1469</v>
      </c>
      <c r="H1764" s="531" t="s">
        <v>2392</v>
      </c>
    </row>
    <row r="1765" spans="1:8">
      <c r="A1765" s="531" t="s">
        <v>3449</v>
      </c>
      <c r="B1765" s="531">
        <v>41200158</v>
      </c>
      <c r="C1765" s="531" t="s">
        <v>1480</v>
      </c>
      <c r="D1765" s="531" t="s">
        <v>1480</v>
      </c>
      <c r="E1765" s="531" t="s">
        <v>1405</v>
      </c>
      <c r="F1765" s="531" t="s">
        <v>2395</v>
      </c>
      <c r="G1765" s="531" t="s">
        <v>1469</v>
      </c>
      <c r="H1765" s="531" t="s">
        <v>2392</v>
      </c>
    </row>
    <row r="1766" spans="1:8">
      <c r="A1766" s="531" t="s">
        <v>3433</v>
      </c>
      <c r="B1766" s="531">
        <v>41200035</v>
      </c>
      <c r="C1766" s="531" t="s">
        <v>1476</v>
      </c>
      <c r="D1766" s="531" t="s">
        <v>1426</v>
      </c>
      <c r="E1766" s="531" t="s">
        <v>1426</v>
      </c>
      <c r="F1766" s="531" t="s">
        <v>2391</v>
      </c>
      <c r="G1766" s="531" t="s">
        <v>1468</v>
      </c>
      <c r="H1766" s="531" t="s">
        <v>2392</v>
      </c>
    </row>
    <row r="1767" spans="1:8">
      <c r="A1767" s="531" t="s">
        <v>3441</v>
      </c>
      <c r="B1767" s="531">
        <v>41100665</v>
      </c>
      <c r="C1767" s="531" t="s">
        <v>3180</v>
      </c>
      <c r="D1767" s="531" t="s">
        <v>3180</v>
      </c>
      <c r="E1767" s="531" t="s">
        <v>1416</v>
      </c>
      <c r="F1767" s="531" t="s">
        <v>2395</v>
      </c>
      <c r="G1767" s="531" t="s">
        <v>2392</v>
      </c>
    </row>
    <row r="1768" spans="1:8">
      <c r="A1768" s="531" t="s">
        <v>3440</v>
      </c>
      <c r="B1768" s="531">
        <v>41100665</v>
      </c>
      <c r="C1768" s="531" t="s">
        <v>3180</v>
      </c>
      <c r="D1768" s="531" t="s">
        <v>3180</v>
      </c>
      <c r="E1768" s="531" t="s">
        <v>1416</v>
      </c>
      <c r="F1768" s="531" t="s">
        <v>2395</v>
      </c>
      <c r="G1768" s="531" t="s">
        <v>2392</v>
      </c>
    </row>
    <row r="1769" spans="1:8">
      <c r="A1769" s="531" t="s">
        <v>3439</v>
      </c>
      <c r="B1769" s="531">
        <v>41100665</v>
      </c>
      <c r="C1769" s="531" t="s">
        <v>3180</v>
      </c>
      <c r="D1769" s="531" t="s">
        <v>3180</v>
      </c>
      <c r="E1769" s="531" t="s">
        <v>1416</v>
      </c>
      <c r="F1769" s="531" t="s">
        <v>2395</v>
      </c>
      <c r="G1769" s="531" t="s">
        <v>2392</v>
      </c>
    </row>
    <row r="1770" spans="1:8">
      <c r="A1770" s="531" t="s">
        <v>3437</v>
      </c>
      <c r="B1770" s="531">
        <v>41100665</v>
      </c>
      <c r="C1770" s="531" t="s">
        <v>3180</v>
      </c>
      <c r="D1770" s="531" t="s">
        <v>3180</v>
      </c>
      <c r="E1770" s="531" t="s">
        <v>1416</v>
      </c>
      <c r="F1770" s="531" t="s">
        <v>2395</v>
      </c>
      <c r="G1770" s="531" t="s">
        <v>1469</v>
      </c>
    </row>
    <row r="1771" spans="1:8">
      <c r="A1771" s="531" t="s">
        <v>3436</v>
      </c>
      <c r="B1771" s="531">
        <v>41100665</v>
      </c>
      <c r="C1771" s="531" t="s">
        <v>3180</v>
      </c>
      <c r="D1771" s="531" t="s">
        <v>3180</v>
      </c>
      <c r="E1771" s="531" t="s">
        <v>1416</v>
      </c>
      <c r="F1771" s="531" t="s">
        <v>2395</v>
      </c>
      <c r="G1771" s="531" t="s">
        <v>1469</v>
      </c>
    </row>
    <row r="1772" spans="1:8">
      <c r="A1772" s="531" t="s">
        <v>3435</v>
      </c>
      <c r="B1772" s="531">
        <v>41100665</v>
      </c>
      <c r="C1772" s="531" t="s">
        <v>3180</v>
      </c>
      <c r="D1772" s="531" t="s">
        <v>3180</v>
      </c>
      <c r="E1772" s="531" t="s">
        <v>1416</v>
      </c>
      <c r="F1772" s="531" t="s">
        <v>2395</v>
      </c>
      <c r="G1772" s="531" t="s">
        <v>1469</v>
      </c>
    </row>
    <row r="1773" spans="1:8">
      <c r="A1773" s="531" t="s">
        <v>3414</v>
      </c>
      <c r="B1773" s="531">
        <v>41200092</v>
      </c>
      <c r="C1773" s="531" t="s">
        <v>1476</v>
      </c>
      <c r="D1773" s="531" t="s">
        <v>1424</v>
      </c>
      <c r="E1773" s="531" t="s">
        <v>1424</v>
      </c>
      <c r="F1773" s="531" t="s">
        <v>2391</v>
      </c>
      <c r="G1773" s="531" t="s">
        <v>1468</v>
      </c>
      <c r="H1773" s="531" t="s">
        <v>2392</v>
      </c>
    </row>
    <row r="1774" spans="1:8">
      <c r="A1774" s="531" t="s">
        <v>3418</v>
      </c>
      <c r="B1774" s="531">
        <v>41200158</v>
      </c>
      <c r="C1774" s="531" t="s">
        <v>1480</v>
      </c>
      <c r="D1774" s="531" t="s">
        <v>1480</v>
      </c>
      <c r="E1774" s="531" t="s">
        <v>1405</v>
      </c>
      <c r="F1774" s="531" t="s">
        <v>2395</v>
      </c>
      <c r="G1774" s="531" t="s">
        <v>1469</v>
      </c>
      <c r="H1774" s="531" t="s">
        <v>2392</v>
      </c>
    </row>
    <row r="1775" spans="1:8">
      <c r="A1775" s="531" t="s">
        <v>3417</v>
      </c>
      <c r="B1775" s="531">
        <v>41200158</v>
      </c>
      <c r="C1775" s="531" t="s">
        <v>1480</v>
      </c>
      <c r="D1775" s="531" t="s">
        <v>1480</v>
      </c>
      <c r="E1775" s="531" t="s">
        <v>1405</v>
      </c>
      <c r="F1775" s="531" t="s">
        <v>2395</v>
      </c>
      <c r="G1775" s="531" t="s">
        <v>1469</v>
      </c>
      <c r="H1775" s="531" t="s">
        <v>2392</v>
      </c>
    </row>
    <row r="1776" spans="1:8">
      <c r="A1776" s="531" t="s">
        <v>3408</v>
      </c>
      <c r="B1776" s="531">
        <v>41200133</v>
      </c>
      <c r="C1776" s="531" t="s">
        <v>1476</v>
      </c>
      <c r="D1776" s="531" t="s">
        <v>6605</v>
      </c>
      <c r="E1776" s="531" t="s">
        <v>1429</v>
      </c>
      <c r="F1776" s="531" t="s">
        <v>2391</v>
      </c>
      <c r="G1776" s="531" t="s">
        <v>1468</v>
      </c>
      <c r="H1776" s="531" t="s">
        <v>2392</v>
      </c>
    </row>
    <row r="1777" spans="1:8">
      <c r="A1777" s="531" t="s">
        <v>3410</v>
      </c>
      <c r="B1777" s="531">
        <v>41000598</v>
      </c>
      <c r="C1777" s="531" t="s">
        <v>1480</v>
      </c>
      <c r="D1777" s="531" t="s">
        <v>1480</v>
      </c>
      <c r="E1777" s="531" t="s">
        <v>1405</v>
      </c>
      <c r="F1777" s="531" t="s">
        <v>2391</v>
      </c>
      <c r="G1777" s="531" t="s">
        <v>2392</v>
      </c>
      <c r="H1777" s="531" t="s">
        <v>2392</v>
      </c>
    </row>
    <row r="1778" spans="1:8">
      <c r="A1778" s="531" t="s">
        <v>3409</v>
      </c>
      <c r="B1778" s="531">
        <v>41000598</v>
      </c>
      <c r="C1778" s="531" t="s">
        <v>1480</v>
      </c>
      <c r="D1778" s="531" t="s">
        <v>1480</v>
      </c>
      <c r="E1778" s="531" t="s">
        <v>1405</v>
      </c>
      <c r="F1778" s="531" t="s">
        <v>2391</v>
      </c>
      <c r="G1778" s="531" t="s">
        <v>2392</v>
      </c>
      <c r="H1778" s="531" t="s">
        <v>2392</v>
      </c>
    </row>
    <row r="1779" spans="1:8">
      <c r="A1779" s="531" t="s">
        <v>6995</v>
      </c>
      <c r="B1779" s="531" t="s">
        <v>6592</v>
      </c>
      <c r="C1779" s="531" t="s">
        <v>6593</v>
      </c>
      <c r="E1779" s="531" t="s">
        <v>1405</v>
      </c>
      <c r="F1779" s="531" t="s">
        <v>2392</v>
      </c>
      <c r="G1779" s="531" t="s">
        <v>2392</v>
      </c>
      <c r="H1779" s="531" t="s">
        <v>2392</v>
      </c>
    </row>
    <row r="1780" spans="1:8">
      <c r="A1780" s="245" t="s">
        <v>7043</v>
      </c>
      <c r="B1780" s="245">
        <v>41200033</v>
      </c>
      <c r="C1780" s="245" t="s">
        <v>1476</v>
      </c>
      <c r="D1780" s="245" t="s">
        <v>6611</v>
      </c>
      <c r="E1780" s="245" t="s">
        <v>1426</v>
      </c>
      <c r="F1780" s="245" t="s">
        <v>2391</v>
      </c>
      <c r="G1780" s="245" t="s">
        <v>2392</v>
      </c>
      <c r="H1780" s="245" t="s">
        <v>2392</v>
      </c>
    </row>
    <row r="1781" spans="1:8">
      <c r="A1781" s="245" t="s">
        <v>7044</v>
      </c>
      <c r="B1781" s="245">
        <v>41200033</v>
      </c>
      <c r="C1781" s="245" t="s">
        <v>1476</v>
      </c>
      <c r="D1781" s="245" t="s">
        <v>6611</v>
      </c>
      <c r="E1781" s="245" t="s">
        <v>1426</v>
      </c>
      <c r="F1781" s="245" t="s">
        <v>2391</v>
      </c>
      <c r="G1781" s="245" t="s">
        <v>2392</v>
      </c>
      <c r="H1781" s="245" t="s">
        <v>2392</v>
      </c>
    </row>
    <row r="1782" spans="1:8">
      <c r="A1782" s="245" t="s">
        <v>7045</v>
      </c>
      <c r="B1782" s="245">
        <v>41200033</v>
      </c>
      <c r="C1782" s="245" t="s">
        <v>1476</v>
      </c>
      <c r="D1782" s="245" t="s">
        <v>6611</v>
      </c>
      <c r="E1782" s="245" t="s">
        <v>1426</v>
      </c>
      <c r="F1782" s="245" t="s">
        <v>2391</v>
      </c>
      <c r="G1782" s="245" t="s">
        <v>2392</v>
      </c>
      <c r="H1782" s="245" t="s">
        <v>2392</v>
      </c>
    </row>
    <row r="1783" spans="1:8">
      <c r="A1783" s="245" t="s">
        <v>7046</v>
      </c>
      <c r="B1783" s="245">
        <v>41200033</v>
      </c>
      <c r="C1783" s="245" t="s">
        <v>1476</v>
      </c>
      <c r="D1783" s="245" t="s">
        <v>6611</v>
      </c>
      <c r="E1783" s="245" t="s">
        <v>1426</v>
      </c>
      <c r="F1783" s="245" t="s">
        <v>2391</v>
      </c>
      <c r="G1783" s="245" t="s">
        <v>2392</v>
      </c>
      <c r="H1783" s="245" t="s">
        <v>2392</v>
      </c>
    </row>
    <row r="1784" spans="1:8">
      <c r="A1784" s="245" t="s">
        <v>7047</v>
      </c>
      <c r="B1784" s="245">
        <v>41200192</v>
      </c>
      <c r="C1784" s="245" t="s">
        <v>1476</v>
      </c>
      <c r="D1784" s="245" t="s">
        <v>7048</v>
      </c>
      <c r="E1784" s="245" t="s">
        <v>1395</v>
      </c>
      <c r="F1784" s="245" t="s">
        <v>2391</v>
      </c>
      <c r="G1784" s="245" t="s">
        <v>2392</v>
      </c>
      <c r="H1784" s="245" t="s">
        <v>2392</v>
      </c>
    </row>
    <row r="1785" spans="1:8">
      <c r="A1785" s="245" t="s">
        <v>7049</v>
      </c>
      <c r="B1785" s="245">
        <v>41200192</v>
      </c>
      <c r="C1785" s="245" t="s">
        <v>1476</v>
      </c>
      <c r="D1785" s="245" t="s">
        <v>7048</v>
      </c>
      <c r="E1785" s="245" t="s">
        <v>1395</v>
      </c>
      <c r="F1785" s="245" t="s">
        <v>2391</v>
      </c>
      <c r="G1785" s="245" t="s">
        <v>2392</v>
      </c>
      <c r="H1785" s="245" t="s">
        <v>2392</v>
      </c>
    </row>
    <row r="1786" spans="1:8">
      <c r="A1786" s="245" t="s">
        <v>7050</v>
      </c>
      <c r="B1786" s="245">
        <v>41200186</v>
      </c>
      <c r="C1786" s="245" t="s">
        <v>1476</v>
      </c>
      <c r="D1786" s="245" t="s">
        <v>7051</v>
      </c>
      <c r="E1786" s="245" t="s">
        <v>1395</v>
      </c>
      <c r="F1786" s="245" t="s">
        <v>2391</v>
      </c>
      <c r="G1786" s="245" t="s">
        <v>2392</v>
      </c>
      <c r="H1786" s="245" t="s">
        <v>2392</v>
      </c>
    </row>
    <row r="1787" spans="1:8">
      <c r="A1787" s="245" t="s">
        <v>7052</v>
      </c>
      <c r="B1787" s="245">
        <v>41200186</v>
      </c>
      <c r="C1787" s="245" t="s">
        <v>1476</v>
      </c>
      <c r="D1787" s="245" t="s">
        <v>7051</v>
      </c>
      <c r="E1787" s="245" t="s">
        <v>1395</v>
      </c>
      <c r="F1787" s="245" t="s">
        <v>2391</v>
      </c>
      <c r="G1787" s="245" t="s">
        <v>2392</v>
      </c>
      <c r="H1787" s="245" t="s">
        <v>2392</v>
      </c>
    </row>
    <row r="1788" spans="1:8">
      <c r="A1788" s="245" t="s">
        <v>7053</v>
      </c>
      <c r="B1788" s="245">
        <v>41200116</v>
      </c>
      <c r="C1788" s="245" t="s">
        <v>1479</v>
      </c>
      <c r="D1788" s="245" t="s">
        <v>6633</v>
      </c>
      <c r="E1788" s="245" t="s">
        <v>1409</v>
      </c>
      <c r="F1788" s="245" t="s">
        <v>2391</v>
      </c>
      <c r="G1788" s="245" t="s">
        <v>1468</v>
      </c>
      <c r="H1788" s="245" t="s">
        <v>2392</v>
      </c>
    </row>
    <row r="1789" spans="1:8">
      <c r="A1789" s="245" t="s">
        <v>7054</v>
      </c>
      <c r="B1789" s="245">
        <v>41200116</v>
      </c>
      <c r="C1789" s="245" t="s">
        <v>1479</v>
      </c>
      <c r="D1789" s="245" t="s">
        <v>6633</v>
      </c>
      <c r="E1789" s="245" t="s">
        <v>1409</v>
      </c>
      <c r="F1789" s="245" t="s">
        <v>2391</v>
      </c>
      <c r="G1789" s="245" t="s">
        <v>1468</v>
      </c>
      <c r="H1789" s="245" t="s">
        <v>2392</v>
      </c>
    </row>
    <row r="1790" spans="1:8">
      <c r="A1790" s="245" t="s">
        <v>7055</v>
      </c>
      <c r="B1790" s="245">
        <v>41200076</v>
      </c>
      <c r="C1790" s="245" t="s">
        <v>1476</v>
      </c>
      <c r="D1790" s="245" t="s">
        <v>1476</v>
      </c>
      <c r="E1790" s="245" t="s">
        <v>1585</v>
      </c>
      <c r="F1790" s="245" t="s">
        <v>2395</v>
      </c>
      <c r="G1790" s="245" t="s">
        <v>1469</v>
      </c>
      <c r="H1790" s="245" t="s">
        <v>2392</v>
      </c>
    </row>
    <row r="1791" spans="1:8">
      <c r="A1791" s="245" t="s">
        <v>7056</v>
      </c>
      <c r="B1791" s="245">
        <v>41200076</v>
      </c>
      <c r="C1791" s="245" t="s">
        <v>1476</v>
      </c>
      <c r="D1791" s="245" t="s">
        <v>1476</v>
      </c>
      <c r="E1791" s="245" t="s">
        <v>1585</v>
      </c>
      <c r="F1791" s="245" t="s">
        <v>2395</v>
      </c>
      <c r="G1791" s="245" t="s">
        <v>1469</v>
      </c>
      <c r="H1791" s="245" t="s">
        <v>2392</v>
      </c>
    </row>
    <row r="1792" spans="1:8">
      <c r="A1792" s="245" t="s">
        <v>7057</v>
      </c>
      <c r="B1792" s="245">
        <v>41100538</v>
      </c>
      <c r="C1792" s="245" t="s">
        <v>1476</v>
      </c>
      <c r="D1792" s="245" t="s">
        <v>6610</v>
      </c>
      <c r="E1792" s="245" t="s">
        <v>1424</v>
      </c>
      <c r="F1792" s="245" t="s">
        <v>2391</v>
      </c>
      <c r="G1792" s="245" t="s">
        <v>1468</v>
      </c>
      <c r="H1792" s="245" t="s">
        <v>2392</v>
      </c>
    </row>
    <row r="1793" spans="1:8">
      <c r="A1793" s="245" t="s">
        <v>7058</v>
      </c>
      <c r="B1793" s="245">
        <v>41200194</v>
      </c>
      <c r="C1793" s="245" t="s">
        <v>1476</v>
      </c>
      <c r="D1793" s="245" t="s">
        <v>7059</v>
      </c>
      <c r="E1793" s="245" t="s">
        <v>1395</v>
      </c>
      <c r="F1793" s="245" t="s">
        <v>2395</v>
      </c>
      <c r="G1793" s="245" t="s">
        <v>1469</v>
      </c>
      <c r="H1793" s="245" t="s">
        <v>2392</v>
      </c>
    </row>
    <row r="1794" spans="1:8">
      <c r="A1794" s="245" t="s">
        <v>7060</v>
      </c>
      <c r="B1794" s="245">
        <v>41200194</v>
      </c>
      <c r="C1794" s="245" t="s">
        <v>1476</v>
      </c>
      <c r="D1794" s="245" t="s">
        <v>7059</v>
      </c>
      <c r="E1794" s="245" t="s">
        <v>1395</v>
      </c>
      <c r="F1794" s="245" t="s">
        <v>2395</v>
      </c>
      <c r="G1794" s="245" t="s">
        <v>1469</v>
      </c>
      <c r="H1794" s="245" t="s">
        <v>2392</v>
      </c>
    </row>
    <row r="1795" spans="1:8">
      <c r="A1795" s="245" t="s">
        <v>7061</v>
      </c>
      <c r="B1795" s="245">
        <v>41200194</v>
      </c>
      <c r="C1795" s="245" t="s">
        <v>1476</v>
      </c>
      <c r="D1795" s="245" t="s">
        <v>7059</v>
      </c>
      <c r="E1795" s="245" t="s">
        <v>1395</v>
      </c>
      <c r="F1795" s="245" t="s">
        <v>2395</v>
      </c>
      <c r="G1795" s="245" t="s">
        <v>1469</v>
      </c>
      <c r="H1795" s="245" t="s">
        <v>2392</v>
      </c>
    </row>
    <row r="1796" spans="1:8">
      <c r="A1796" s="245" t="s">
        <v>7062</v>
      </c>
      <c r="B1796" s="245">
        <v>41200194</v>
      </c>
      <c r="C1796" s="245" t="s">
        <v>1476</v>
      </c>
      <c r="D1796" s="245" t="s">
        <v>7059</v>
      </c>
      <c r="E1796" s="245" t="s">
        <v>1395</v>
      </c>
      <c r="F1796" s="245" t="s">
        <v>2395</v>
      </c>
      <c r="G1796" s="245" t="s">
        <v>1469</v>
      </c>
      <c r="H1796" s="245" t="s">
        <v>2392</v>
      </c>
    </row>
    <row r="1797" spans="1:8">
      <c r="A1797" s="245" t="s">
        <v>7063</v>
      </c>
      <c r="B1797" s="245">
        <v>41100502</v>
      </c>
      <c r="C1797" s="245" t="s">
        <v>1591</v>
      </c>
      <c r="D1797" s="245" t="s">
        <v>1591</v>
      </c>
      <c r="E1797" s="245" t="s">
        <v>1585</v>
      </c>
      <c r="F1797" s="245" t="s">
        <v>2395</v>
      </c>
      <c r="G1797" s="245" t="s">
        <v>2392</v>
      </c>
      <c r="H1797" s="245" t="s">
        <v>2392</v>
      </c>
    </row>
    <row r="1798" spans="1:8">
      <c r="A1798" s="245" t="s">
        <v>7064</v>
      </c>
      <c r="B1798" s="245">
        <v>41100502</v>
      </c>
      <c r="C1798" s="245" t="s">
        <v>1591</v>
      </c>
      <c r="D1798" s="245" t="s">
        <v>1591</v>
      </c>
      <c r="E1798" s="245" t="s">
        <v>1585</v>
      </c>
      <c r="F1798" s="245" t="s">
        <v>2395</v>
      </c>
      <c r="G1798" s="245" t="s">
        <v>2392</v>
      </c>
      <c r="H1798" s="245" t="s">
        <v>2392</v>
      </c>
    </row>
    <row r="1799" spans="1:8">
      <c r="A1799" s="245" t="s">
        <v>7065</v>
      </c>
      <c r="B1799" s="245">
        <v>41200205</v>
      </c>
      <c r="C1799" s="245" t="s">
        <v>1591</v>
      </c>
      <c r="D1799" s="245" t="s">
        <v>3638</v>
      </c>
      <c r="E1799" s="245" t="s">
        <v>1388</v>
      </c>
      <c r="F1799" s="245" t="s">
        <v>2395</v>
      </c>
      <c r="G1799" s="245" t="s">
        <v>1469</v>
      </c>
      <c r="H1799" s="245" t="s">
        <v>2392</v>
      </c>
    </row>
    <row r="1800" spans="1:8">
      <c r="A1800" s="245" t="s">
        <v>7066</v>
      </c>
      <c r="B1800" s="245">
        <v>41200108</v>
      </c>
      <c r="C1800" s="245" t="s">
        <v>1479</v>
      </c>
      <c r="D1800" s="245" t="s">
        <v>6633</v>
      </c>
      <c r="E1800" s="245" t="s">
        <v>1409</v>
      </c>
      <c r="F1800" s="245" t="s">
        <v>2395</v>
      </c>
      <c r="G1800" s="245" t="s">
        <v>1468</v>
      </c>
      <c r="H1800" s="245" t="s">
        <v>2392</v>
      </c>
    </row>
    <row r="1801" spans="1:8">
      <c r="A1801" s="245" t="s">
        <v>7067</v>
      </c>
      <c r="B1801" s="245">
        <v>41200108</v>
      </c>
      <c r="C1801" s="245" t="s">
        <v>1479</v>
      </c>
      <c r="D1801" s="245" t="s">
        <v>6633</v>
      </c>
      <c r="E1801" s="245" t="s">
        <v>1409</v>
      </c>
      <c r="F1801" s="245" t="s">
        <v>2395</v>
      </c>
      <c r="G1801" s="245" t="s">
        <v>1468</v>
      </c>
      <c r="H1801" s="245" t="s">
        <v>2392</v>
      </c>
    </row>
    <row r="1802" spans="1:8">
      <c r="A1802" s="245" t="s">
        <v>7068</v>
      </c>
      <c r="B1802" s="245">
        <v>41200198</v>
      </c>
      <c r="C1802" s="245" t="s">
        <v>1476</v>
      </c>
      <c r="D1802" s="245" t="s">
        <v>6993</v>
      </c>
      <c r="E1802" s="245" t="s">
        <v>1395</v>
      </c>
      <c r="F1802" s="245" t="s">
        <v>2391</v>
      </c>
      <c r="G1802" s="245" t="s">
        <v>2392</v>
      </c>
      <c r="H1802" s="245" t="s">
        <v>2392</v>
      </c>
    </row>
    <row r="1803" spans="1:8">
      <c r="A1803" s="245" t="s">
        <v>7069</v>
      </c>
      <c r="B1803" s="245">
        <v>41200195</v>
      </c>
      <c r="C1803" s="245" t="s">
        <v>1476</v>
      </c>
      <c r="D1803" s="245" t="s">
        <v>6989</v>
      </c>
      <c r="E1803" s="245" t="s">
        <v>1395</v>
      </c>
      <c r="F1803" s="245" t="s">
        <v>2395</v>
      </c>
      <c r="G1803" s="245" t="s">
        <v>1469</v>
      </c>
      <c r="H1803" s="245" t="s">
        <v>2392</v>
      </c>
    </row>
    <row r="1804" spans="1:8">
      <c r="A1804" s="245" t="s">
        <v>7070</v>
      </c>
      <c r="B1804" s="245">
        <v>41200195</v>
      </c>
      <c r="C1804" s="245" t="s">
        <v>1476</v>
      </c>
      <c r="D1804" s="245" t="s">
        <v>6989</v>
      </c>
      <c r="E1804" s="245" t="s">
        <v>1395</v>
      </c>
      <c r="F1804" s="245" t="s">
        <v>2395</v>
      </c>
      <c r="G1804" s="245" t="s">
        <v>1469</v>
      </c>
      <c r="H1804" s="245" t="s">
        <v>2392</v>
      </c>
    </row>
    <row r="1805" spans="1:8">
      <c r="A1805" s="245" t="s">
        <v>7071</v>
      </c>
      <c r="B1805" s="245">
        <v>41200007</v>
      </c>
      <c r="C1805" s="245" t="s">
        <v>1591</v>
      </c>
      <c r="D1805" s="245" t="s">
        <v>6608</v>
      </c>
      <c r="E1805" s="245" t="s">
        <v>1405</v>
      </c>
      <c r="F1805" s="245" t="s">
        <v>2391</v>
      </c>
      <c r="G1805" s="245" t="s">
        <v>1468</v>
      </c>
      <c r="H1805" s="245" t="s">
        <v>2392</v>
      </c>
    </row>
    <row r="1806" spans="1:8">
      <c r="A1806" s="245" t="s">
        <v>7072</v>
      </c>
      <c r="B1806" s="245">
        <v>41200007</v>
      </c>
      <c r="C1806" s="245" t="s">
        <v>1591</v>
      </c>
      <c r="D1806" s="245" t="s">
        <v>6608</v>
      </c>
      <c r="E1806" s="245" t="s">
        <v>1405</v>
      </c>
      <c r="F1806" s="245" t="s">
        <v>2391</v>
      </c>
      <c r="G1806" s="245" t="s">
        <v>1468</v>
      </c>
      <c r="H1806" s="245" t="s">
        <v>2392</v>
      </c>
    </row>
    <row r="1807" spans="1:8">
      <c r="A1807" s="245" t="s">
        <v>7073</v>
      </c>
      <c r="B1807" s="245">
        <v>41200076</v>
      </c>
      <c r="C1807" s="245" t="s">
        <v>1476</v>
      </c>
      <c r="D1807" s="245" t="s">
        <v>1476</v>
      </c>
      <c r="E1807" s="245" t="s">
        <v>1585</v>
      </c>
      <c r="F1807" s="245" t="s">
        <v>2391</v>
      </c>
      <c r="G1807" s="245" t="s">
        <v>2392</v>
      </c>
      <c r="H1807" s="245" t="s">
        <v>2392</v>
      </c>
    </row>
    <row r="1808" spans="1:8">
      <c r="A1808" s="245" t="s">
        <v>7074</v>
      </c>
      <c r="B1808" s="245">
        <v>41200105</v>
      </c>
      <c r="C1808" s="245" t="s">
        <v>1476</v>
      </c>
      <c r="D1808" s="245" t="s">
        <v>1591</v>
      </c>
      <c r="E1808" s="245" t="s">
        <v>1424</v>
      </c>
      <c r="F1808" s="245" t="s">
        <v>2391</v>
      </c>
      <c r="G1808" s="245" t="s">
        <v>2392</v>
      </c>
      <c r="H1808" s="245" t="s">
        <v>2392</v>
      </c>
    </row>
    <row r="1809" spans="1:8">
      <c r="A1809" s="245" t="s">
        <v>7075</v>
      </c>
      <c r="B1809" s="245">
        <v>41200101</v>
      </c>
      <c r="C1809" s="245" t="s">
        <v>1476</v>
      </c>
      <c r="D1809" s="245" t="s">
        <v>1476</v>
      </c>
      <c r="E1809" s="245" t="s">
        <v>1585</v>
      </c>
      <c r="F1809" s="245" t="s">
        <v>2395</v>
      </c>
      <c r="G1809" s="245" t="s">
        <v>1469</v>
      </c>
      <c r="H1809" s="245" t="s">
        <v>2392</v>
      </c>
    </row>
    <row r="1810" spans="1:8">
      <c r="A1810" s="245" t="s">
        <v>7021</v>
      </c>
      <c r="B1810" s="245">
        <v>41200101</v>
      </c>
      <c r="C1810" s="245" t="s">
        <v>1476</v>
      </c>
      <c r="D1810" s="245" t="s">
        <v>1476</v>
      </c>
      <c r="E1810" s="245" t="s">
        <v>1585</v>
      </c>
      <c r="F1810" s="245" t="s">
        <v>2395</v>
      </c>
      <c r="G1810" s="245" t="s">
        <v>2392</v>
      </c>
      <c r="H1810" s="245" t="s">
        <v>2392</v>
      </c>
    </row>
    <row r="1811" spans="1:8">
      <c r="A1811" s="245" t="s">
        <v>7022</v>
      </c>
      <c r="B1811" s="245">
        <v>41200101</v>
      </c>
      <c r="C1811" s="245" t="s">
        <v>1476</v>
      </c>
      <c r="D1811" s="245" t="s">
        <v>1476</v>
      </c>
      <c r="E1811" s="245" t="s">
        <v>1585</v>
      </c>
      <c r="F1811" s="245" t="s">
        <v>2395</v>
      </c>
      <c r="G1811" s="245" t="s">
        <v>2392</v>
      </c>
      <c r="H1811" s="245" t="s">
        <v>2392</v>
      </c>
    </row>
    <row r="1812" spans="1:8">
      <c r="A1812" s="245" t="s">
        <v>7023</v>
      </c>
      <c r="B1812" s="245">
        <v>41200076</v>
      </c>
      <c r="C1812" s="245" t="s">
        <v>1476</v>
      </c>
      <c r="D1812" s="245" t="s">
        <v>1476</v>
      </c>
      <c r="E1812" s="245" t="s">
        <v>1585</v>
      </c>
      <c r="F1812" s="245" t="s">
        <v>2395</v>
      </c>
      <c r="G1812" s="245" t="s">
        <v>1469</v>
      </c>
      <c r="H1812" s="245" t="s">
        <v>2392</v>
      </c>
    </row>
    <row r="1813" spans="1:8">
      <c r="A1813" s="245" t="s">
        <v>7024</v>
      </c>
      <c r="B1813" s="245">
        <v>41200076</v>
      </c>
      <c r="C1813" s="245" t="s">
        <v>1476</v>
      </c>
      <c r="D1813" s="245" t="s">
        <v>1476</v>
      </c>
      <c r="E1813" s="245" t="s">
        <v>1585</v>
      </c>
      <c r="F1813" s="245" t="s">
        <v>2395</v>
      </c>
      <c r="G1813" s="245" t="s">
        <v>1469</v>
      </c>
      <c r="H1813" s="245" t="s">
        <v>2392</v>
      </c>
    </row>
    <row r="1814" spans="1:8">
      <c r="A1814" s="245" t="s">
        <v>7025</v>
      </c>
      <c r="B1814" s="245">
        <v>41200122</v>
      </c>
      <c r="C1814" s="245" t="s">
        <v>1476</v>
      </c>
      <c r="D1814" s="245" t="s">
        <v>1476</v>
      </c>
      <c r="E1814" s="245" t="s">
        <v>1585</v>
      </c>
      <c r="F1814" s="245" t="s">
        <v>2391</v>
      </c>
      <c r="G1814" s="245" t="s">
        <v>1468</v>
      </c>
      <c r="H1814" s="245" t="s">
        <v>2392</v>
      </c>
    </row>
    <row r="1815" spans="1:8">
      <c r="A1815" s="245" t="s">
        <v>7026</v>
      </c>
      <c r="B1815" s="245">
        <v>41200034</v>
      </c>
      <c r="C1815" s="245" t="s">
        <v>1476</v>
      </c>
      <c r="D1815" s="245" t="s">
        <v>1426</v>
      </c>
      <c r="E1815" s="245" t="s">
        <v>1426</v>
      </c>
      <c r="F1815" s="245" t="s">
        <v>2395</v>
      </c>
      <c r="G1815" s="245" t="s">
        <v>1469</v>
      </c>
      <c r="H1815" s="245" t="s">
        <v>2392</v>
      </c>
    </row>
    <row r="1816" spans="1:8">
      <c r="A1816" s="245" t="s">
        <v>7027</v>
      </c>
      <c r="B1816" s="245">
        <v>41200122</v>
      </c>
      <c r="C1816" s="245" t="s">
        <v>1476</v>
      </c>
      <c r="D1816" s="245" t="s">
        <v>1476</v>
      </c>
      <c r="E1816" s="245" t="s">
        <v>1585</v>
      </c>
      <c r="F1816" s="245" t="s">
        <v>2395</v>
      </c>
      <c r="G1816" s="245" t="s">
        <v>1468</v>
      </c>
      <c r="H1816" s="245" t="s">
        <v>2392</v>
      </c>
    </row>
    <row r="1817" spans="1:8">
      <c r="A1817" s="245" t="s">
        <v>3563</v>
      </c>
      <c r="B1817" s="245">
        <v>41000583</v>
      </c>
      <c r="C1817" s="245" t="s">
        <v>3565</v>
      </c>
      <c r="D1817" s="245" t="s">
        <v>7028</v>
      </c>
      <c r="E1817" s="245" t="s">
        <v>7076</v>
      </c>
      <c r="F1817" s="245" t="s">
        <v>2391</v>
      </c>
      <c r="G1817" s="245" t="s">
        <v>2392</v>
      </c>
      <c r="H1817" s="245" t="s">
        <v>71</v>
      </c>
    </row>
    <row r="1818" spans="1:8">
      <c r="A1818" s="245" t="s">
        <v>7030</v>
      </c>
      <c r="B1818" s="245">
        <v>41200122</v>
      </c>
      <c r="C1818" s="245" t="s">
        <v>1476</v>
      </c>
      <c r="D1818" s="245" t="s">
        <v>1476</v>
      </c>
      <c r="E1818" s="245" t="s">
        <v>1585</v>
      </c>
      <c r="F1818" s="245" t="s">
        <v>2395</v>
      </c>
      <c r="G1818" s="245" t="s">
        <v>1468</v>
      </c>
      <c r="H1818" s="245" t="s">
        <v>2392</v>
      </c>
    </row>
    <row r="1819" spans="1:8">
      <c r="A1819" s="245" t="s">
        <v>7031</v>
      </c>
      <c r="B1819" s="245">
        <v>41100286</v>
      </c>
      <c r="C1819" s="245" t="s">
        <v>1476</v>
      </c>
      <c r="D1819" s="245" t="s">
        <v>6610</v>
      </c>
      <c r="E1819" s="245" t="s">
        <v>1424</v>
      </c>
      <c r="F1819" s="245" t="s">
        <v>2395</v>
      </c>
      <c r="G1819" s="245" t="s">
        <v>1469</v>
      </c>
      <c r="H1819" s="245" t="s">
        <v>2392</v>
      </c>
    </row>
    <row r="1820" spans="1:8">
      <c r="A1820" s="245" t="s">
        <v>3560</v>
      </c>
      <c r="B1820" s="245">
        <v>41200202</v>
      </c>
      <c r="C1820" s="245" t="s">
        <v>1476</v>
      </c>
      <c r="D1820" s="245" t="s">
        <v>7032</v>
      </c>
      <c r="E1820" s="245" t="s">
        <v>1424</v>
      </c>
      <c r="F1820" s="245" t="s">
        <v>2391</v>
      </c>
      <c r="G1820" s="245" t="s">
        <v>2392</v>
      </c>
      <c r="H1820" s="245" t="s">
        <v>2392</v>
      </c>
    </row>
    <row r="1821" spans="1:8">
      <c r="A1821" s="245" t="s">
        <v>3540</v>
      </c>
      <c r="B1821" s="245">
        <v>41200171</v>
      </c>
      <c r="C1821" s="245" t="s">
        <v>1479</v>
      </c>
      <c r="D1821" s="245" t="s">
        <v>1394</v>
      </c>
      <c r="E1821" s="245" t="s">
        <v>1394</v>
      </c>
      <c r="F1821" s="245" t="s">
        <v>2395</v>
      </c>
      <c r="G1821" s="245" t="s">
        <v>2392</v>
      </c>
      <c r="H1821" s="245" t="s">
        <v>2392</v>
      </c>
    </row>
    <row r="1822" spans="1:8">
      <c r="A1822" s="245" t="s">
        <v>5457</v>
      </c>
      <c r="B1822" s="245">
        <v>41100550</v>
      </c>
      <c r="C1822" s="245" t="s">
        <v>1477</v>
      </c>
      <c r="D1822" s="245" t="s">
        <v>6640</v>
      </c>
      <c r="E1822" s="245" t="s">
        <v>1405</v>
      </c>
      <c r="F1822" s="245" t="s">
        <v>2395</v>
      </c>
      <c r="G1822" s="245" t="s">
        <v>2392</v>
      </c>
      <c r="H1822" s="245" t="s">
        <v>2392</v>
      </c>
    </row>
    <row r="1823" spans="1:8">
      <c r="A1823" s="245" t="s">
        <v>5456</v>
      </c>
      <c r="B1823" s="245">
        <v>41100550</v>
      </c>
      <c r="C1823" s="245" t="s">
        <v>1477</v>
      </c>
      <c r="D1823" s="245" t="s">
        <v>6640</v>
      </c>
      <c r="E1823" s="245" t="s">
        <v>1405</v>
      </c>
      <c r="F1823" s="245" t="s">
        <v>2395</v>
      </c>
      <c r="G1823" s="245" t="s">
        <v>2392</v>
      </c>
      <c r="H1823" s="245" t="s">
        <v>2392</v>
      </c>
    </row>
    <row r="1824" spans="1:8">
      <c r="A1824" s="245" t="s">
        <v>3533</v>
      </c>
      <c r="B1824" s="245">
        <v>41200124</v>
      </c>
      <c r="C1824" s="245" t="s">
        <v>1476</v>
      </c>
      <c r="D1824" s="245" t="s">
        <v>6609</v>
      </c>
      <c r="E1824" s="245" t="s">
        <v>1585</v>
      </c>
      <c r="F1824" s="245" t="s">
        <v>2395</v>
      </c>
      <c r="G1824" s="245" t="s">
        <v>1469</v>
      </c>
      <c r="H1824" s="245" t="s">
        <v>2392</v>
      </c>
    </row>
    <row r="1825" spans="1:8">
      <c r="A1825" s="245" t="s">
        <v>3532</v>
      </c>
      <c r="B1825" s="245">
        <v>41200124</v>
      </c>
      <c r="C1825" s="245" t="s">
        <v>1476</v>
      </c>
      <c r="D1825" s="245" t="s">
        <v>6609</v>
      </c>
      <c r="E1825" s="245" t="s">
        <v>1585</v>
      </c>
      <c r="F1825" s="245" t="s">
        <v>2395</v>
      </c>
      <c r="G1825" s="245" t="s">
        <v>1469</v>
      </c>
      <c r="H1825" s="245" t="s">
        <v>2392</v>
      </c>
    </row>
    <row r="1826" spans="1:8">
      <c r="A1826" s="245" t="s">
        <v>5460</v>
      </c>
      <c r="B1826" s="245">
        <v>41200042</v>
      </c>
      <c r="C1826" s="245" t="s">
        <v>1476</v>
      </c>
      <c r="D1826" s="245" t="s">
        <v>1426</v>
      </c>
      <c r="E1826" s="245" t="s">
        <v>1426</v>
      </c>
      <c r="F1826" s="245" t="s">
        <v>2391</v>
      </c>
      <c r="G1826" s="245" t="s">
        <v>1468</v>
      </c>
      <c r="H1826" s="245" t="s">
        <v>2392</v>
      </c>
    </row>
    <row r="1827" spans="1:8">
      <c r="A1827" s="245" t="s">
        <v>7033</v>
      </c>
      <c r="B1827" s="245">
        <v>41000598</v>
      </c>
      <c r="C1827" s="245" t="s">
        <v>1480</v>
      </c>
      <c r="D1827" s="245" t="s">
        <v>1480</v>
      </c>
      <c r="E1827" s="245" t="s">
        <v>1405</v>
      </c>
      <c r="F1827" s="245" t="s">
        <v>2395</v>
      </c>
      <c r="G1827" s="245" t="s">
        <v>1469</v>
      </c>
      <c r="H1827" s="245" t="s">
        <v>2392</v>
      </c>
    </row>
    <row r="1828" spans="1:8">
      <c r="A1828" s="245" t="s">
        <v>5455</v>
      </c>
      <c r="B1828" s="245">
        <v>41000584</v>
      </c>
      <c r="C1828" s="245" t="s">
        <v>1911</v>
      </c>
      <c r="D1828" s="245" t="s">
        <v>6658</v>
      </c>
      <c r="E1828" s="245" t="s">
        <v>1405</v>
      </c>
      <c r="F1828" s="245" t="s">
        <v>2391</v>
      </c>
      <c r="G1828" s="245" t="s">
        <v>2392</v>
      </c>
      <c r="H1828" s="245" t="s">
        <v>71</v>
      </c>
    </row>
    <row r="1829" spans="1:8">
      <c r="A1829" s="245" t="s">
        <v>7034</v>
      </c>
      <c r="B1829" s="245">
        <v>41200007</v>
      </c>
      <c r="C1829" s="245" t="s">
        <v>1591</v>
      </c>
      <c r="D1829" s="245" t="s">
        <v>6608</v>
      </c>
      <c r="E1829" s="245" t="s">
        <v>1405</v>
      </c>
      <c r="F1829" s="245" t="s">
        <v>2391</v>
      </c>
      <c r="G1829" s="245" t="s">
        <v>2392</v>
      </c>
      <c r="H1829" s="245" t="s">
        <v>2392</v>
      </c>
    </row>
    <row r="1830" spans="1:8">
      <c r="A1830" s="245" t="s">
        <v>7035</v>
      </c>
      <c r="B1830" s="245">
        <v>41200007</v>
      </c>
      <c r="C1830" s="245" t="s">
        <v>1591</v>
      </c>
      <c r="D1830" s="245" t="s">
        <v>6608</v>
      </c>
      <c r="E1830" s="245" t="s">
        <v>1405</v>
      </c>
      <c r="F1830" s="245" t="s">
        <v>2391</v>
      </c>
      <c r="G1830" s="245" t="s">
        <v>2392</v>
      </c>
      <c r="H1830" s="245" t="s">
        <v>2392</v>
      </c>
    </row>
    <row r="1831" spans="1:8">
      <c r="A1831" s="245" t="s">
        <v>7036</v>
      </c>
      <c r="B1831" s="245">
        <v>41200007</v>
      </c>
      <c r="C1831" s="245" t="s">
        <v>1591</v>
      </c>
      <c r="D1831" s="245" t="s">
        <v>6608</v>
      </c>
      <c r="E1831" s="245" t="s">
        <v>1405</v>
      </c>
      <c r="F1831" s="245" t="s">
        <v>2391</v>
      </c>
      <c r="G1831" s="245" t="s">
        <v>2392</v>
      </c>
      <c r="H1831" s="245" t="s">
        <v>2392</v>
      </c>
    </row>
    <row r="1832" spans="1:8">
      <c r="A1832" s="245" t="s">
        <v>7037</v>
      </c>
      <c r="B1832" s="245">
        <v>41200007</v>
      </c>
      <c r="C1832" s="245" t="s">
        <v>1591</v>
      </c>
      <c r="D1832" s="245" t="s">
        <v>6608</v>
      </c>
      <c r="E1832" s="245" t="s">
        <v>1405</v>
      </c>
      <c r="F1832" s="245" t="s">
        <v>2391</v>
      </c>
      <c r="G1832" s="245" t="s">
        <v>2392</v>
      </c>
      <c r="H1832" s="245" t="s">
        <v>2392</v>
      </c>
    </row>
    <row r="1833" spans="1:8">
      <c r="A1833" s="245" t="s">
        <v>5461</v>
      </c>
      <c r="B1833" s="245">
        <v>41100715</v>
      </c>
      <c r="C1833" s="245" t="s">
        <v>7038</v>
      </c>
      <c r="D1833" s="245" t="s">
        <v>7039</v>
      </c>
      <c r="E1833" s="245" t="s">
        <v>1416</v>
      </c>
      <c r="F1833" s="245" t="s">
        <v>2395</v>
      </c>
      <c r="G1833" s="245" t="s">
        <v>1469</v>
      </c>
      <c r="H1833" s="245" t="s">
        <v>71</v>
      </c>
    </row>
    <row r="1834" spans="1:8">
      <c r="A1834" s="245" t="s">
        <v>7040</v>
      </c>
      <c r="B1834" s="245">
        <v>41200047</v>
      </c>
      <c r="C1834" s="245" t="s">
        <v>1476</v>
      </c>
      <c r="D1834" s="245" t="s">
        <v>1426</v>
      </c>
      <c r="E1834" s="245" t="s">
        <v>1426</v>
      </c>
      <c r="F1834" s="245" t="s">
        <v>2391</v>
      </c>
      <c r="G1834" s="245" t="s">
        <v>1468</v>
      </c>
      <c r="H1834" s="245" t="s">
        <v>2392</v>
      </c>
    </row>
    <row r="1835" spans="1:8">
      <c r="A1835" s="245" t="s">
        <v>7041</v>
      </c>
      <c r="B1835" s="245">
        <v>41200047</v>
      </c>
      <c r="C1835" s="245" t="s">
        <v>1476</v>
      </c>
      <c r="D1835" s="245" t="s">
        <v>1426</v>
      </c>
      <c r="E1835" s="245" t="s">
        <v>1426</v>
      </c>
      <c r="F1835" s="245" t="s">
        <v>2391</v>
      </c>
      <c r="G1835" s="245" t="s">
        <v>1468</v>
      </c>
      <c r="H1835" s="245" t="s">
        <v>2392</v>
      </c>
    </row>
    <row r="1836" spans="1:8">
      <c r="A1836" s="245" t="s">
        <v>7042</v>
      </c>
      <c r="B1836" s="245">
        <v>41200047</v>
      </c>
      <c r="C1836" s="245" t="s">
        <v>1476</v>
      </c>
      <c r="D1836" s="245" t="s">
        <v>1426</v>
      </c>
      <c r="E1836" s="245" t="s">
        <v>1426</v>
      </c>
      <c r="F1836" s="245" t="s">
        <v>2391</v>
      </c>
      <c r="G1836" s="245" t="s">
        <v>1468</v>
      </c>
      <c r="H1836" s="245" t="s">
        <v>2392</v>
      </c>
    </row>
    <row r="1837" spans="1:8">
      <c r="A1837" s="245" t="s">
        <v>7012</v>
      </c>
      <c r="B1837" s="245">
        <v>41200076</v>
      </c>
      <c r="C1837" s="245" t="s">
        <v>1476</v>
      </c>
      <c r="D1837" s="245" t="s">
        <v>1476</v>
      </c>
      <c r="E1837" s="245" t="s">
        <v>1585</v>
      </c>
      <c r="F1837" s="245" t="s">
        <v>2391</v>
      </c>
      <c r="G1837" s="245" t="s">
        <v>2392</v>
      </c>
      <c r="H1837" s="245" t="s">
        <v>2392</v>
      </c>
    </row>
    <row r="1838" spans="1:8">
      <c r="A1838" s="245" t="s">
        <v>3569</v>
      </c>
      <c r="B1838" s="245">
        <v>41200076</v>
      </c>
      <c r="C1838" s="245" t="s">
        <v>1476</v>
      </c>
      <c r="D1838" s="245" t="s">
        <v>1476</v>
      </c>
      <c r="E1838" s="245" t="s">
        <v>1585</v>
      </c>
      <c r="F1838" s="245" t="s">
        <v>2391</v>
      </c>
      <c r="G1838" s="245" t="s">
        <v>2392</v>
      </c>
      <c r="H1838" s="245" t="s">
        <v>2392</v>
      </c>
    </row>
    <row r="1839" spans="1:8">
      <c r="A1839" s="245" t="s">
        <v>3567</v>
      </c>
      <c r="B1839" s="245">
        <v>41200039</v>
      </c>
      <c r="C1839" s="245" t="s">
        <v>1476</v>
      </c>
      <c r="D1839" s="245" t="s">
        <v>1426</v>
      </c>
      <c r="E1839" s="245" t="s">
        <v>1426</v>
      </c>
      <c r="F1839" s="245" t="s">
        <v>2391</v>
      </c>
      <c r="G1839" s="245" t="s">
        <v>2392</v>
      </c>
      <c r="H1839" s="245" t="s">
        <v>2392</v>
      </c>
    </row>
    <row r="1840" spans="1:8">
      <c r="A1840" s="245" t="s">
        <v>5459</v>
      </c>
      <c r="B1840" s="245">
        <v>41200152</v>
      </c>
      <c r="C1840" s="245" t="s">
        <v>1476</v>
      </c>
      <c r="D1840" s="245" t="s">
        <v>6618</v>
      </c>
      <c r="E1840" s="245" t="s">
        <v>1585</v>
      </c>
      <c r="F1840" s="245" t="s">
        <v>2391</v>
      </c>
      <c r="G1840" s="245" t="s">
        <v>1468</v>
      </c>
      <c r="H1840" s="245" t="s">
        <v>2392</v>
      </c>
    </row>
    <row r="1841" spans="1:8">
      <c r="A1841" s="245" t="s">
        <v>5458</v>
      </c>
      <c r="B1841" s="245">
        <v>41200152</v>
      </c>
      <c r="C1841" s="245" t="s">
        <v>1476</v>
      </c>
      <c r="D1841" s="245" t="s">
        <v>6618</v>
      </c>
      <c r="E1841" s="245" t="s">
        <v>1585</v>
      </c>
      <c r="F1841" s="245" t="s">
        <v>2391</v>
      </c>
      <c r="G1841" s="245" t="s">
        <v>1468</v>
      </c>
      <c r="H1841" s="245" t="s">
        <v>2392</v>
      </c>
    </row>
    <row r="1842" spans="1:8">
      <c r="A1842" s="245" t="s">
        <v>3574</v>
      </c>
      <c r="B1842" s="245">
        <v>41200047</v>
      </c>
      <c r="C1842" s="245" t="s">
        <v>1476</v>
      </c>
      <c r="D1842" s="245" t="s">
        <v>1426</v>
      </c>
      <c r="E1842" s="245" t="s">
        <v>1426</v>
      </c>
      <c r="F1842" s="245" t="s">
        <v>2391</v>
      </c>
      <c r="G1842" s="245" t="s">
        <v>1468</v>
      </c>
      <c r="H1842" s="245" t="s">
        <v>2392</v>
      </c>
    </row>
    <row r="1843" spans="1:8">
      <c r="A1843" s="245" t="s">
        <v>3572</v>
      </c>
      <c r="B1843" s="245">
        <v>41200047</v>
      </c>
      <c r="C1843" s="245" t="s">
        <v>1476</v>
      </c>
      <c r="D1843" s="245" t="s">
        <v>1426</v>
      </c>
      <c r="E1843" s="245" t="s">
        <v>1426</v>
      </c>
      <c r="F1843" s="245" t="s">
        <v>2391</v>
      </c>
      <c r="G1843" s="245" t="s">
        <v>1468</v>
      </c>
      <c r="H1843" s="245" t="s">
        <v>2392</v>
      </c>
    </row>
    <row r="1844" spans="1:8">
      <c r="A1844" s="245" t="s">
        <v>3571</v>
      </c>
      <c r="B1844" s="245">
        <v>41200047</v>
      </c>
      <c r="C1844" s="245" t="s">
        <v>1476</v>
      </c>
      <c r="D1844" s="245" t="s">
        <v>1426</v>
      </c>
      <c r="E1844" s="245" t="s">
        <v>1426</v>
      </c>
      <c r="F1844" s="245" t="s">
        <v>2391</v>
      </c>
      <c r="G1844" s="245" t="s">
        <v>1468</v>
      </c>
      <c r="H1844" s="245" t="s">
        <v>2392</v>
      </c>
    </row>
    <row r="1845" spans="1:8">
      <c r="A1845" s="245" t="s">
        <v>3552</v>
      </c>
      <c r="B1845" s="245">
        <v>41200101</v>
      </c>
      <c r="C1845" s="245" t="s">
        <v>1476</v>
      </c>
      <c r="D1845" s="245" t="s">
        <v>1476</v>
      </c>
      <c r="E1845" s="245" t="s">
        <v>1585</v>
      </c>
      <c r="F1845" s="245" t="s">
        <v>2395</v>
      </c>
      <c r="G1845" s="245" t="s">
        <v>2392</v>
      </c>
      <c r="H1845" s="245" t="s">
        <v>2392</v>
      </c>
    </row>
    <row r="1846" spans="1:8">
      <c r="A1846" s="245" t="s">
        <v>3550</v>
      </c>
      <c r="B1846" s="245">
        <v>41200101</v>
      </c>
      <c r="C1846" s="245" t="s">
        <v>1476</v>
      </c>
      <c r="D1846" s="245" t="s">
        <v>1476</v>
      </c>
      <c r="E1846" s="245" t="s">
        <v>1585</v>
      </c>
      <c r="F1846" s="245" t="s">
        <v>2395</v>
      </c>
      <c r="G1846" s="245" t="s">
        <v>2392</v>
      </c>
      <c r="H1846" s="245" t="s">
        <v>2392</v>
      </c>
    </row>
    <row r="1847" spans="1:8">
      <c r="A1847" s="245" t="s">
        <v>3507</v>
      </c>
      <c r="B1847" s="245">
        <v>41200153</v>
      </c>
      <c r="C1847" s="245" t="s">
        <v>1476</v>
      </c>
      <c r="D1847" s="245" t="s">
        <v>6663</v>
      </c>
      <c r="E1847" s="245" t="s">
        <v>1422</v>
      </c>
      <c r="F1847" s="245" t="s">
        <v>2395</v>
      </c>
      <c r="G1847" s="245" t="s">
        <v>2392</v>
      </c>
      <c r="H1847" s="245" t="s">
        <v>2392</v>
      </c>
    </row>
    <row r="1848" spans="1:8">
      <c r="A1848" s="245" t="s">
        <v>3512</v>
      </c>
      <c r="B1848" s="245">
        <v>41200119</v>
      </c>
      <c r="C1848" s="245" t="s">
        <v>1476</v>
      </c>
      <c r="D1848" s="245" t="s">
        <v>1422</v>
      </c>
      <c r="E1848" s="245" t="s">
        <v>1422</v>
      </c>
      <c r="F1848" s="245" t="s">
        <v>2391</v>
      </c>
      <c r="G1848" s="245" t="s">
        <v>1468</v>
      </c>
      <c r="H1848" s="245" t="s">
        <v>2392</v>
      </c>
    </row>
    <row r="1849" spans="1:8">
      <c r="A1849" s="245" t="s">
        <v>7013</v>
      </c>
      <c r="B1849" s="245">
        <v>41200109</v>
      </c>
      <c r="C1849" s="245" t="s">
        <v>1591</v>
      </c>
      <c r="D1849" s="245" t="s">
        <v>6619</v>
      </c>
      <c r="E1849" s="245" t="s">
        <v>1585</v>
      </c>
      <c r="F1849" s="245" t="s">
        <v>2395</v>
      </c>
      <c r="G1849" s="245" t="s">
        <v>1469</v>
      </c>
      <c r="H1849" s="245" t="s">
        <v>2392</v>
      </c>
    </row>
    <row r="1850" spans="1:8">
      <c r="A1850" s="245" t="s">
        <v>7014</v>
      </c>
      <c r="B1850" s="245">
        <v>41200109</v>
      </c>
      <c r="C1850" s="245" t="s">
        <v>1591</v>
      </c>
      <c r="D1850" s="245" t="s">
        <v>6619</v>
      </c>
      <c r="E1850" s="245" t="s">
        <v>1585</v>
      </c>
      <c r="F1850" s="245" t="s">
        <v>2395</v>
      </c>
      <c r="G1850" s="245" t="s">
        <v>1469</v>
      </c>
      <c r="H1850" s="245" t="s">
        <v>2392</v>
      </c>
    </row>
    <row r="1851" spans="1:8">
      <c r="A1851" s="245" t="s">
        <v>7015</v>
      </c>
      <c r="B1851" s="245">
        <v>41200109</v>
      </c>
      <c r="C1851" s="245" t="s">
        <v>1591</v>
      </c>
      <c r="D1851" s="245" t="s">
        <v>6619</v>
      </c>
      <c r="E1851" s="245" t="s">
        <v>1585</v>
      </c>
      <c r="F1851" s="245" t="s">
        <v>2395</v>
      </c>
      <c r="G1851" s="245" t="s">
        <v>1469</v>
      </c>
      <c r="H1851" s="245" t="s">
        <v>2392</v>
      </c>
    </row>
    <row r="1852" spans="1:8">
      <c r="A1852" s="245" t="s">
        <v>7016</v>
      </c>
      <c r="B1852" s="245">
        <v>41200109</v>
      </c>
      <c r="C1852" s="245" t="s">
        <v>1591</v>
      </c>
      <c r="D1852" s="245" t="s">
        <v>6619</v>
      </c>
      <c r="E1852" s="245" t="s">
        <v>1585</v>
      </c>
      <c r="F1852" s="245" t="s">
        <v>2395</v>
      </c>
      <c r="G1852" s="245" t="s">
        <v>1469</v>
      </c>
      <c r="H1852" s="245" t="s">
        <v>2392</v>
      </c>
    </row>
    <row r="1853" spans="1:8">
      <c r="A1853" s="245" t="s">
        <v>3530</v>
      </c>
      <c r="B1853" s="245">
        <v>41200109</v>
      </c>
      <c r="C1853" s="245" t="s">
        <v>1591</v>
      </c>
      <c r="D1853" s="245" t="s">
        <v>6619</v>
      </c>
      <c r="E1853" s="245" t="s">
        <v>1585</v>
      </c>
      <c r="F1853" s="245" t="s">
        <v>2395</v>
      </c>
      <c r="G1853" s="245" t="s">
        <v>1469</v>
      </c>
      <c r="H1853" s="245" t="s">
        <v>2392</v>
      </c>
    </row>
    <row r="1854" spans="1:8">
      <c r="A1854" s="245" t="s">
        <v>3529</v>
      </c>
      <c r="B1854" s="245">
        <v>41200109</v>
      </c>
      <c r="C1854" s="245" t="s">
        <v>1591</v>
      </c>
      <c r="D1854" s="245" t="s">
        <v>6619</v>
      </c>
      <c r="E1854" s="245" t="s">
        <v>1585</v>
      </c>
      <c r="F1854" s="245" t="s">
        <v>2395</v>
      </c>
      <c r="G1854" s="245" t="s">
        <v>1469</v>
      </c>
      <c r="H1854" s="245" t="s">
        <v>2392</v>
      </c>
    </row>
    <row r="1855" spans="1:8">
      <c r="A1855" s="245" t="s">
        <v>3562</v>
      </c>
      <c r="B1855" s="245">
        <v>41200105</v>
      </c>
      <c r="C1855" s="245" t="s">
        <v>1476</v>
      </c>
      <c r="D1855" s="245" t="s">
        <v>1591</v>
      </c>
      <c r="E1855" s="245" t="s">
        <v>1424</v>
      </c>
      <c r="F1855" s="245" t="s">
        <v>2391</v>
      </c>
      <c r="G1855" s="245" t="s">
        <v>1468</v>
      </c>
      <c r="H1855" s="245" t="s">
        <v>2392</v>
      </c>
    </row>
    <row r="1856" spans="1:8">
      <c r="A1856" s="245" t="s">
        <v>3539</v>
      </c>
      <c r="B1856" s="245">
        <v>41100317</v>
      </c>
      <c r="C1856" s="245" t="s">
        <v>1476</v>
      </c>
      <c r="D1856" s="245" t="s">
        <v>1476</v>
      </c>
      <c r="E1856" s="245" t="s">
        <v>1585</v>
      </c>
      <c r="F1856" s="245" t="s">
        <v>2391</v>
      </c>
      <c r="G1856" s="245" t="s">
        <v>1468</v>
      </c>
      <c r="H1856" s="245" t="s">
        <v>2392</v>
      </c>
    </row>
    <row r="1857" spans="1:8">
      <c r="A1857" s="245" t="s">
        <v>5445</v>
      </c>
      <c r="B1857" s="245">
        <v>41200203</v>
      </c>
      <c r="C1857" s="245" t="s">
        <v>1393</v>
      </c>
      <c r="D1857" s="245" t="s">
        <v>7017</v>
      </c>
      <c r="E1857" s="245" t="s">
        <v>1392</v>
      </c>
      <c r="F1857" s="245" t="s">
        <v>2395</v>
      </c>
      <c r="G1857" s="245" t="s">
        <v>2392</v>
      </c>
      <c r="H1857" s="245" t="s">
        <v>2392</v>
      </c>
    </row>
    <row r="1858" spans="1:8">
      <c r="A1858" s="245" t="s">
        <v>3538</v>
      </c>
      <c r="B1858" s="245">
        <v>41200122</v>
      </c>
      <c r="C1858" s="245" t="s">
        <v>1476</v>
      </c>
      <c r="D1858" s="245" t="s">
        <v>1476</v>
      </c>
      <c r="E1858" s="245" t="s">
        <v>1585</v>
      </c>
      <c r="F1858" s="245" t="s">
        <v>2391</v>
      </c>
      <c r="G1858" s="245" t="s">
        <v>2392</v>
      </c>
      <c r="H1858" s="245" t="s">
        <v>2392</v>
      </c>
    </row>
    <row r="1859" spans="1:8">
      <c r="A1859" s="245" t="s">
        <v>7018</v>
      </c>
      <c r="B1859" s="245">
        <v>41200101</v>
      </c>
      <c r="C1859" s="245" t="s">
        <v>1476</v>
      </c>
      <c r="D1859" s="245" t="s">
        <v>1476</v>
      </c>
      <c r="E1859" s="245" t="s">
        <v>1585</v>
      </c>
      <c r="F1859" s="245" t="s">
        <v>2391</v>
      </c>
      <c r="G1859" s="245" t="s">
        <v>2392</v>
      </c>
      <c r="H1859" s="245" t="s">
        <v>2392</v>
      </c>
    </row>
    <row r="1860" spans="1:8">
      <c r="A1860" s="245" t="s">
        <v>7019</v>
      </c>
      <c r="B1860" s="245">
        <v>41200101</v>
      </c>
      <c r="C1860" s="245" t="s">
        <v>1476</v>
      </c>
      <c r="D1860" s="245" t="s">
        <v>1476</v>
      </c>
      <c r="E1860" s="245" t="s">
        <v>1585</v>
      </c>
      <c r="F1860" s="245" t="s">
        <v>2391</v>
      </c>
      <c r="G1860" s="245" t="s">
        <v>2392</v>
      </c>
      <c r="H1860" s="245" t="s">
        <v>2392</v>
      </c>
    </row>
    <row r="1861" spans="1:8">
      <c r="A1861" s="245" t="s">
        <v>3556</v>
      </c>
      <c r="B1861" s="245">
        <v>41200200</v>
      </c>
      <c r="C1861" s="245" t="s">
        <v>1478</v>
      </c>
      <c r="D1861" s="245" t="s">
        <v>7020</v>
      </c>
      <c r="E1861" s="245" t="s">
        <v>1395</v>
      </c>
      <c r="F1861" s="245" t="s">
        <v>2395</v>
      </c>
      <c r="G1861" s="245" t="s">
        <v>1469</v>
      </c>
      <c r="H1861" s="245" t="s">
        <v>2392</v>
      </c>
    </row>
    <row r="1862" spans="1:8">
      <c r="A1862" s="245" t="s">
        <v>3555</v>
      </c>
      <c r="B1862" s="245">
        <v>41200200</v>
      </c>
      <c r="C1862" s="245" t="s">
        <v>1478</v>
      </c>
      <c r="D1862" s="245" t="s">
        <v>7020</v>
      </c>
      <c r="E1862" s="245" t="s">
        <v>1395</v>
      </c>
      <c r="F1862" s="245" t="s">
        <v>2395</v>
      </c>
      <c r="G1862" s="245" t="s">
        <v>1469</v>
      </c>
      <c r="H1862" s="245" t="s">
        <v>2392</v>
      </c>
    </row>
    <row r="1863" spans="1:8">
      <c r="A1863" s="245" t="s">
        <v>3566</v>
      </c>
      <c r="B1863" s="245">
        <v>41200200</v>
      </c>
      <c r="C1863" s="245" t="s">
        <v>1478</v>
      </c>
      <c r="D1863" s="245" t="s">
        <v>7020</v>
      </c>
      <c r="E1863" s="245" t="s">
        <v>1395</v>
      </c>
      <c r="F1863" s="245" t="s">
        <v>2395</v>
      </c>
      <c r="G1863" s="245" t="s">
        <v>1469</v>
      </c>
      <c r="H1863" s="245" t="s">
        <v>2392</v>
      </c>
    </row>
    <row r="1864" spans="1:8">
      <c r="A1864" s="245" t="s">
        <v>3554</v>
      </c>
      <c r="B1864" s="245">
        <v>41200200</v>
      </c>
      <c r="C1864" s="245" t="s">
        <v>1478</v>
      </c>
      <c r="D1864" s="245" t="s">
        <v>7020</v>
      </c>
      <c r="E1864" s="245" t="s">
        <v>1395</v>
      </c>
      <c r="F1864" s="245" t="s">
        <v>2395</v>
      </c>
      <c r="G1864" s="245" t="s">
        <v>1469</v>
      </c>
      <c r="H1864" s="245" t="s">
        <v>2392</v>
      </c>
    </row>
    <row r="1865" spans="1:8">
      <c r="A1865" s="245" t="s">
        <v>3535</v>
      </c>
      <c r="B1865" s="245">
        <v>41200108</v>
      </c>
      <c r="C1865" s="245" t="s">
        <v>1479</v>
      </c>
      <c r="D1865" s="245" t="s">
        <v>6633</v>
      </c>
      <c r="E1865" s="245" t="s">
        <v>1409</v>
      </c>
      <c r="F1865" s="245" t="s">
        <v>2391</v>
      </c>
      <c r="G1865" s="245" t="s">
        <v>2392</v>
      </c>
      <c r="H1865" s="245" t="s">
        <v>2392</v>
      </c>
    </row>
    <row r="1866" spans="1:8">
      <c r="A1866" s="245" t="s">
        <v>3534</v>
      </c>
      <c r="B1866" s="245">
        <v>41200108</v>
      </c>
      <c r="C1866" s="245" t="s">
        <v>1479</v>
      </c>
      <c r="D1866" s="245" t="s">
        <v>6633</v>
      </c>
      <c r="E1866" s="245" t="s">
        <v>1409</v>
      </c>
      <c r="F1866" s="245" t="s">
        <v>2391</v>
      </c>
      <c r="G1866" s="245" t="s">
        <v>2392</v>
      </c>
      <c r="H1866" s="245" t="s">
        <v>2392</v>
      </c>
    </row>
    <row r="1867" spans="1:8">
      <c r="A1867" s="245" t="s">
        <v>3549</v>
      </c>
      <c r="B1867" s="245">
        <v>41200200</v>
      </c>
      <c r="C1867" s="245" t="s">
        <v>1478</v>
      </c>
      <c r="D1867" s="245" t="s">
        <v>7020</v>
      </c>
      <c r="E1867" s="245" t="s">
        <v>1395</v>
      </c>
      <c r="F1867" s="245" t="s">
        <v>2395</v>
      </c>
      <c r="G1867" s="245" t="s">
        <v>1469</v>
      </c>
      <c r="H1867" s="245" t="s">
        <v>2392</v>
      </c>
    </row>
    <row r="1868" spans="1:8">
      <c r="A1868" s="245" t="s">
        <v>3531</v>
      </c>
      <c r="B1868" s="245">
        <v>41200076</v>
      </c>
      <c r="C1868" s="245" t="s">
        <v>1476</v>
      </c>
      <c r="D1868" s="245" t="s">
        <v>1476</v>
      </c>
      <c r="E1868" s="245" t="s">
        <v>1585</v>
      </c>
      <c r="F1868" s="245" t="s">
        <v>2395</v>
      </c>
      <c r="G1868" s="245" t="s">
        <v>2392</v>
      </c>
      <c r="H1868" s="245" t="s">
        <v>2392</v>
      </c>
    </row>
    <row r="1869" spans="1:8">
      <c r="A1869" s="245" t="s">
        <v>3527</v>
      </c>
      <c r="B1869" s="245">
        <v>41200125</v>
      </c>
      <c r="C1869" s="245" t="s">
        <v>1476</v>
      </c>
      <c r="D1869" s="245" t="s">
        <v>1476</v>
      </c>
      <c r="E1869" s="245" t="s">
        <v>1585</v>
      </c>
      <c r="F1869" s="245" t="s">
        <v>2395</v>
      </c>
      <c r="G1869" s="245" t="s">
        <v>1468</v>
      </c>
      <c r="H1869" s="245" t="s">
        <v>2392</v>
      </c>
    </row>
    <row r="1870" spans="1:8">
      <c r="A1870" s="245" t="s">
        <v>3526</v>
      </c>
      <c r="B1870" s="245">
        <v>41200048</v>
      </c>
      <c r="C1870" s="245" t="s">
        <v>1476</v>
      </c>
      <c r="D1870" s="245" t="s">
        <v>1426</v>
      </c>
      <c r="E1870" s="245" t="s">
        <v>1426</v>
      </c>
      <c r="F1870" s="245" t="s">
        <v>2391</v>
      </c>
      <c r="G1870" s="245" t="s">
        <v>2392</v>
      </c>
      <c r="H1870" s="245" t="s">
        <v>2392</v>
      </c>
    </row>
    <row r="1871" spans="1:8">
      <c r="A1871" s="245" t="s">
        <v>3518</v>
      </c>
      <c r="B1871" s="245">
        <v>41200116</v>
      </c>
      <c r="C1871" s="245" t="s">
        <v>1479</v>
      </c>
      <c r="D1871" s="245" t="s">
        <v>6633</v>
      </c>
      <c r="E1871" s="245" t="s">
        <v>1409</v>
      </c>
      <c r="F1871" s="245" t="s">
        <v>2391</v>
      </c>
      <c r="G1871" s="245" t="s">
        <v>1468</v>
      </c>
      <c r="H1871" s="245" t="s">
        <v>2392</v>
      </c>
    </row>
    <row r="1872" spans="1:8">
      <c r="A1872" s="245" t="s">
        <v>3517</v>
      </c>
      <c r="B1872" s="245">
        <v>41200116</v>
      </c>
      <c r="C1872" s="245" t="s">
        <v>1479</v>
      </c>
      <c r="D1872" s="245" t="s">
        <v>6633</v>
      </c>
      <c r="E1872" s="245" t="s">
        <v>1409</v>
      </c>
      <c r="F1872" s="245" t="s">
        <v>2391</v>
      </c>
      <c r="G1872" s="245" t="s">
        <v>1468</v>
      </c>
      <c r="H1872" s="245" t="s">
        <v>2392</v>
      </c>
    </row>
    <row r="1873" spans="1:8">
      <c r="A1873" s="245" t="s">
        <v>3515</v>
      </c>
      <c r="B1873" s="245">
        <v>41200116</v>
      </c>
      <c r="C1873" s="245" t="s">
        <v>1479</v>
      </c>
      <c r="D1873" s="245" t="s">
        <v>6633</v>
      </c>
      <c r="E1873" s="245" t="s">
        <v>1409</v>
      </c>
      <c r="F1873" s="245" t="s">
        <v>2391</v>
      </c>
      <c r="G1873" s="245" t="s">
        <v>1468</v>
      </c>
      <c r="H1873" s="245" t="s">
        <v>2392</v>
      </c>
    </row>
    <row r="1874" spans="1:8">
      <c r="A1874" s="245" t="s">
        <v>3501</v>
      </c>
      <c r="B1874" s="245">
        <v>41200047</v>
      </c>
      <c r="C1874" s="245" t="s">
        <v>1476</v>
      </c>
      <c r="D1874" s="245" t="s">
        <v>1426</v>
      </c>
      <c r="E1874" s="245" t="s">
        <v>1426</v>
      </c>
      <c r="F1874" s="245" t="s">
        <v>2395</v>
      </c>
      <c r="G1874" s="245" t="s">
        <v>1469</v>
      </c>
      <c r="H1874" s="245" t="s">
        <v>2392</v>
      </c>
    </row>
    <row r="1875" spans="1:8">
      <c r="A1875" s="245" t="s">
        <v>3499</v>
      </c>
      <c r="B1875" s="245">
        <v>41200047</v>
      </c>
      <c r="C1875" s="245" t="s">
        <v>1476</v>
      </c>
      <c r="D1875" s="245" t="s">
        <v>1426</v>
      </c>
      <c r="E1875" s="245" t="s">
        <v>1426</v>
      </c>
      <c r="F1875" s="245" t="s">
        <v>2395</v>
      </c>
      <c r="G1875" s="245" t="s">
        <v>1469</v>
      </c>
      <c r="H1875" s="245" t="s">
        <v>2392</v>
      </c>
    </row>
    <row r="1876" spans="1:8">
      <c r="A1876" s="245" t="s">
        <v>3497</v>
      </c>
      <c r="B1876" s="245">
        <v>41200047</v>
      </c>
      <c r="C1876" s="245" t="s">
        <v>1476</v>
      </c>
      <c r="D1876" s="245" t="s">
        <v>1426</v>
      </c>
      <c r="E1876" s="245" t="s">
        <v>1426</v>
      </c>
      <c r="F1876" s="245" t="s">
        <v>2395</v>
      </c>
      <c r="G1876" s="245" t="s">
        <v>1469</v>
      </c>
      <c r="H1876" s="245" t="s">
        <v>2392</v>
      </c>
    </row>
    <row r="1877" spans="1:8">
      <c r="A1877" s="245" t="s">
        <v>3570</v>
      </c>
      <c r="B1877" s="245">
        <v>41200101</v>
      </c>
      <c r="C1877" s="245" t="s">
        <v>1476</v>
      </c>
      <c r="D1877" s="245" t="s">
        <v>1476</v>
      </c>
      <c r="E1877" s="245" t="s">
        <v>1585</v>
      </c>
      <c r="F1877" s="245" t="s">
        <v>2391</v>
      </c>
      <c r="G1877" s="245" t="s">
        <v>1468</v>
      </c>
      <c r="H1877" s="245" t="s">
        <v>2392</v>
      </c>
    </row>
    <row r="1878" spans="1:8">
      <c r="A1878" s="245" t="s">
        <v>3506</v>
      </c>
      <c r="B1878" s="245">
        <v>41100227</v>
      </c>
      <c r="C1878" s="245" t="s">
        <v>1476</v>
      </c>
      <c r="D1878" s="245" t="s">
        <v>71</v>
      </c>
      <c r="E1878" s="245" t="s">
        <v>1424</v>
      </c>
      <c r="F1878" s="245" t="s">
        <v>2391</v>
      </c>
      <c r="G1878" s="245" t="s">
        <v>2392</v>
      </c>
      <c r="H1878" s="245" t="s">
        <v>2392</v>
      </c>
    </row>
    <row r="1879" spans="1:8">
      <c r="A1879" s="245" t="s">
        <v>3492</v>
      </c>
      <c r="B1879" s="245">
        <v>41200079</v>
      </c>
      <c r="C1879" s="245" t="s">
        <v>1480</v>
      </c>
      <c r="D1879" s="245" t="s">
        <v>6987</v>
      </c>
      <c r="E1879" s="245" t="s">
        <v>1405</v>
      </c>
      <c r="F1879" s="245" t="s">
        <v>2395</v>
      </c>
      <c r="G1879" s="245" t="s">
        <v>1468</v>
      </c>
      <c r="H1879" s="245" t="s">
        <v>2392</v>
      </c>
    </row>
    <row r="1880" spans="1:8">
      <c r="A1880" s="245" t="s">
        <v>3489</v>
      </c>
      <c r="B1880" s="245">
        <v>41200042</v>
      </c>
      <c r="C1880" s="245" t="s">
        <v>1476</v>
      </c>
      <c r="D1880" s="245" t="s">
        <v>1426</v>
      </c>
      <c r="E1880" s="245" t="s">
        <v>1426</v>
      </c>
      <c r="F1880" s="245" t="s">
        <v>2391</v>
      </c>
      <c r="G1880" s="245" t="s">
        <v>2392</v>
      </c>
      <c r="H1880" s="245" t="s">
        <v>2392</v>
      </c>
    </row>
    <row r="1881" spans="1:8">
      <c r="A1881" s="245" t="s">
        <v>3481</v>
      </c>
      <c r="B1881" s="245">
        <v>41200034</v>
      </c>
      <c r="C1881" s="245" t="s">
        <v>1476</v>
      </c>
      <c r="D1881" s="245" t="s">
        <v>1426</v>
      </c>
      <c r="E1881" s="245" t="s">
        <v>1426</v>
      </c>
      <c r="F1881" s="245" t="s">
        <v>2395</v>
      </c>
      <c r="G1881" s="245" t="s">
        <v>2392</v>
      </c>
      <c r="H1881" s="245" t="s">
        <v>2392</v>
      </c>
    </row>
    <row r="1882" spans="1:8">
      <c r="A1882" s="245" t="s">
        <v>3480</v>
      </c>
      <c r="B1882" s="245">
        <v>41200034</v>
      </c>
      <c r="C1882" s="245" t="s">
        <v>1476</v>
      </c>
      <c r="D1882" s="245" t="s">
        <v>1426</v>
      </c>
      <c r="E1882" s="245" t="s">
        <v>1426</v>
      </c>
      <c r="F1882" s="245" t="s">
        <v>2395</v>
      </c>
      <c r="G1882" s="245" t="s">
        <v>2392</v>
      </c>
      <c r="H1882" s="245" t="s">
        <v>2392</v>
      </c>
    </row>
    <row r="1883" spans="1:8">
      <c r="A1883" s="245" t="s">
        <v>3482</v>
      </c>
      <c r="B1883" s="245">
        <v>41200043</v>
      </c>
      <c r="C1883" s="245" t="s">
        <v>1476</v>
      </c>
      <c r="D1883" s="245" t="s">
        <v>6611</v>
      </c>
      <c r="E1883" s="245" t="s">
        <v>1426</v>
      </c>
      <c r="F1883" s="245" t="s">
        <v>2395</v>
      </c>
      <c r="G1883" s="245" t="s">
        <v>1469</v>
      </c>
      <c r="H1883" s="245" t="s">
        <v>2392</v>
      </c>
    </row>
    <row r="1884" spans="1:8">
      <c r="A1884" s="245" t="s">
        <v>3485</v>
      </c>
      <c r="B1884" s="245">
        <v>41200007</v>
      </c>
      <c r="C1884" s="245" t="s">
        <v>1591</v>
      </c>
      <c r="D1884" s="245" t="s">
        <v>6608</v>
      </c>
      <c r="E1884" s="245" t="s">
        <v>1405</v>
      </c>
      <c r="F1884" s="245" t="s">
        <v>2395</v>
      </c>
      <c r="G1884" s="245" t="s">
        <v>1469</v>
      </c>
      <c r="H1884" s="245" t="s">
        <v>2392</v>
      </c>
    </row>
    <row r="1885" spans="1:8">
      <c r="A1885" s="245" t="s">
        <v>3484</v>
      </c>
      <c r="B1885" s="245">
        <v>41200007</v>
      </c>
      <c r="C1885" s="245" t="s">
        <v>1591</v>
      </c>
      <c r="D1885" s="245" t="s">
        <v>6608</v>
      </c>
      <c r="E1885" s="245" t="s">
        <v>1405</v>
      </c>
      <c r="F1885" s="245" t="s">
        <v>2395</v>
      </c>
      <c r="G1885" s="245" t="s">
        <v>1469</v>
      </c>
      <c r="H1885" s="245" t="s">
        <v>2392</v>
      </c>
    </row>
    <row r="1886" spans="1:8">
      <c r="A1886" s="245" t="s">
        <v>3525</v>
      </c>
      <c r="B1886" s="245">
        <v>41200196</v>
      </c>
      <c r="C1886" s="245" t="s">
        <v>1476</v>
      </c>
      <c r="D1886" s="245" t="s">
        <v>6988</v>
      </c>
      <c r="E1886" s="245" t="s">
        <v>1395</v>
      </c>
      <c r="F1886" s="245" t="s">
        <v>2391</v>
      </c>
      <c r="G1886" s="245" t="s">
        <v>2392</v>
      </c>
      <c r="H1886" s="245" t="s">
        <v>2392</v>
      </c>
    </row>
    <row r="1887" spans="1:8">
      <c r="A1887" s="245" t="s">
        <v>3503</v>
      </c>
      <c r="B1887" s="245">
        <v>41200195</v>
      </c>
      <c r="C1887" s="245" t="s">
        <v>1476</v>
      </c>
      <c r="D1887" s="245" t="s">
        <v>6989</v>
      </c>
      <c r="E1887" s="245" t="s">
        <v>1395</v>
      </c>
      <c r="F1887" s="245" t="s">
        <v>2391</v>
      </c>
      <c r="G1887" s="245" t="s">
        <v>2392</v>
      </c>
      <c r="H1887" s="245" t="s">
        <v>2392</v>
      </c>
    </row>
    <row r="1888" spans="1:8">
      <c r="A1888" s="245" t="s">
        <v>3502</v>
      </c>
      <c r="B1888" s="245">
        <v>41200195</v>
      </c>
      <c r="C1888" s="245" t="s">
        <v>1476</v>
      </c>
      <c r="D1888" s="245" t="s">
        <v>6989</v>
      </c>
      <c r="E1888" s="245" t="s">
        <v>1395</v>
      </c>
      <c r="F1888" s="245" t="s">
        <v>2391</v>
      </c>
      <c r="G1888" s="245" t="s">
        <v>2392</v>
      </c>
      <c r="H1888" s="245" t="s">
        <v>2392</v>
      </c>
    </row>
    <row r="1889" spans="1:8">
      <c r="A1889" s="245" t="s">
        <v>3523</v>
      </c>
      <c r="B1889" s="245">
        <v>41200191</v>
      </c>
      <c r="C1889" s="245" t="s">
        <v>1476</v>
      </c>
      <c r="D1889" s="245" t="s">
        <v>6990</v>
      </c>
      <c r="E1889" s="245" t="s">
        <v>1395</v>
      </c>
      <c r="F1889" s="245" t="s">
        <v>2391</v>
      </c>
      <c r="G1889" s="245" t="s">
        <v>2392</v>
      </c>
      <c r="H1889" s="245" t="s">
        <v>2392</v>
      </c>
    </row>
    <row r="1890" spans="1:8">
      <c r="A1890" s="245" t="s">
        <v>3520</v>
      </c>
      <c r="B1890" s="245">
        <v>41200191</v>
      </c>
      <c r="C1890" s="245" t="s">
        <v>1476</v>
      </c>
      <c r="D1890" s="245" t="s">
        <v>6990</v>
      </c>
      <c r="E1890" s="245" t="s">
        <v>1395</v>
      </c>
      <c r="F1890" s="245" t="s">
        <v>2391</v>
      </c>
      <c r="G1890" s="245" t="s">
        <v>2392</v>
      </c>
      <c r="H1890" s="245" t="s">
        <v>2392</v>
      </c>
    </row>
    <row r="1891" spans="1:8">
      <c r="A1891" s="245" t="s">
        <v>3483</v>
      </c>
      <c r="B1891" s="245">
        <v>41200039</v>
      </c>
      <c r="C1891" s="245" t="s">
        <v>1476</v>
      </c>
      <c r="D1891" s="245" t="s">
        <v>1426</v>
      </c>
      <c r="E1891" s="245" t="s">
        <v>1426</v>
      </c>
      <c r="F1891" s="245" t="s">
        <v>2391</v>
      </c>
      <c r="G1891" s="245" t="s">
        <v>1468</v>
      </c>
      <c r="H1891" s="245" t="s">
        <v>2392</v>
      </c>
    </row>
    <row r="1892" spans="1:8">
      <c r="A1892" s="245" t="s">
        <v>3472</v>
      </c>
      <c r="B1892" s="245">
        <v>41200039</v>
      </c>
      <c r="C1892" s="245" t="s">
        <v>1476</v>
      </c>
      <c r="D1892" s="245" t="s">
        <v>1426</v>
      </c>
      <c r="E1892" s="245" t="s">
        <v>1426</v>
      </c>
      <c r="F1892" s="245" t="s">
        <v>2391</v>
      </c>
      <c r="G1892" s="245" t="s">
        <v>1468</v>
      </c>
      <c r="H1892" s="245" t="s">
        <v>2392</v>
      </c>
    </row>
    <row r="1893" spans="1:8">
      <c r="A1893" s="245" t="s">
        <v>3475</v>
      </c>
      <c r="B1893" s="245">
        <v>41200033</v>
      </c>
      <c r="C1893" s="245" t="s">
        <v>1476</v>
      </c>
      <c r="D1893" s="245" t="s">
        <v>6611</v>
      </c>
      <c r="E1893" s="245" t="s">
        <v>1426</v>
      </c>
      <c r="F1893" s="245" t="s">
        <v>2395</v>
      </c>
      <c r="G1893" s="245" t="s">
        <v>2392</v>
      </c>
      <c r="H1893" s="245" t="s">
        <v>2392</v>
      </c>
    </row>
    <row r="1894" spans="1:8">
      <c r="A1894" s="245" t="s">
        <v>3474</v>
      </c>
      <c r="B1894" s="245">
        <v>41200033</v>
      </c>
      <c r="C1894" s="245" t="s">
        <v>1476</v>
      </c>
      <c r="D1894" s="245" t="s">
        <v>6611</v>
      </c>
      <c r="E1894" s="245" t="s">
        <v>1426</v>
      </c>
      <c r="F1894" s="245" t="s">
        <v>2395</v>
      </c>
      <c r="G1894" s="245" t="s">
        <v>2392</v>
      </c>
      <c r="H1894" s="245" t="s">
        <v>2392</v>
      </c>
    </row>
    <row r="1895" spans="1:8">
      <c r="A1895" s="245" t="s">
        <v>3545</v>
      </c>
      <c r="B1895" s="245">
        <v>41000600</v>
      </c>
      <c r="C1895" s="245" t="s">
        <v>1479</v>
      </c>
      <c r="D1895" s="245" t="s">
        <v>1405</v>
      </c>
      <c r="E1895" s="245" t="s">
        <v>1405</v>
      </c>
      <c r="F1895" s="245" t="s">
        <v>2391</v>
      </c>
      <c r="G1895" s="245" t="s">
        <v>2392</v>
      </c>
      <c r="H1895" s="245" t="s">
        <v>2392</v>
      </c>
    </row>
    <row r="1896" spans="1:8">
      <c r="A1896" s="245" t="s">
        <v>3544</v>
      </c>
      <c r="B1896" s="245">
        <v>41000600</v>
      </c>
      <c r="C1896" s="245" t="s">
        <v>1479</v>
      </c>
      <c r="D1896" s="245" t="s">
        <v>1405</v>
      </c>
      <c r="E1896" s="245" t="s">
        <v>1405</v>
      </c>
      <c r="F1896" s="245" t="s">
        <v>2391</v>
      </c>
      <c r="G1896" s="245" t="s">
        <v>2392</v>
      </c>
      <c r="H1896" s="245" t="s">
        <v>2392</v>
      </c>
    </row>
    <row r="1897" spans="1:8">
      <c r="A1897" s="245" t="s">
        <v>3478</v>
      </c>
      <c r="B1897" s="245">
        <v>41100695</v>
      </c>
      <c r="C1897" s="245" t="s">
        <v>2184</v>
      </c>
      <c r="D1897" s="245" t="s">
        <v>6991</v>
      </c>
      <c r="E1897" s="245" t="s">
        <v>1433</v>
      </c>
      <c r="F1897" s="245" t="s">
        <v>2392</v>
      </c>
      <c r="G1897" s="245" t="s">
        <v>2392</v>
      </c>
      <c r="H1897" s="245" t="s">
        <v>71</v>
      </c>
    </row>
    <row r="1898" spans="1:8">
      <c r="A1898" s="245" t="s">
        <v>3477</v>
      </c>
      <c r="B1898" s="245">
        <v>41100695</v>
      </c>
      <c r="C1898" s="245" t="s">
        <v>2184</v>
      </c>
      <c r="D1898" s="245" t="s">
        <v>6991</v>
      </c>
      <c r="E1898" s="245" t="s">
        <v>1433</v>
      </c>
      <c r="F1898" s="245" t="s">
        <v>2392</v>
      </c>
      <c r="G1898" s="245" t="s">
        <v>2392</v>
      </c>
      <c r="H1898" s="245" t="s">
        <v>71</v>
      </c>
    </row>
    <row r="1899" spans="1:8">
      <c r="A1899" s="245" t="s">
        <v>3476</v>
      </c>
      <c r="B1899" s="245">
        <v>41200069</v>
      </c>
      <c r="C1899" s="245" t="s">
        <v>3884</v>
      </c>
      <c r="D1899" s="245" t="s">
        <v>1433</v>
      </c>
      <c r="E1899" s="245" t="s">
        <v>1433</v>
      </c>
      <c r="F1899" s="245" t="s">
        <v>2391</v>
      </c>
      <c r="G1899" s="245" t="s">
        <v>1468</v>
      </c>
      <c r="H1899" s="245" t="s">
        <v>2392</v>
      </c>
    </row>
    <row r="1900" spans="1:8">
      <c r="A1900" s="245" t="s">
        <v>3447</v>
      </c>
      <c r="B1900" s="245">
        <v>41200122</v>
      </c>
      <c r="C1900" s="245" t="s">
        <v>1476</v>
      </c>
      <c r="D1900" s="245" t="s">
        <v>1476</v>
      </c>
      <c r="E1900" s="245" t="s">
        <v>1585</v>
      </c>
      <c r="F1900" s="245" t="s">
        <v>2395</v>
      </c>
      <c r="G1900" s="245" t="s">
        <v>2392</v>
      </c>
      <c r="H1900" s="245" t="s">
        <v>2392</v>
      </c>
    </row>
    <row r="1901" spans="1:8">
      <c r="A1901" s="245" t="s">
        <v>3495</v>
      </c>
      <c r="B1901" s="245">
        <v>41200158</v>
      </c>
      <c r="C1901" s="245" t="s">
        <v>1480</v>
      </c>
      <c r="D1901" s="245" t="s">
        <v>1480</v>
      </c>
      <c r="E1901" s="245" t="s">
        <v>1405</v>
      </c>
      <c r="F1901" s="245" t="s">
        <v>2395</v>
      </c>
      <c r="G1901" s="245" t="s">
        <v>1468</v>
      </c>
      <c r="H1901" s="245" t="s">
        <v>2392</v>
      </c>
    </row>
    <row r="1902" spans="1:8">
      <c r="A1902" s="245" t="s">
        <v>3465</v>
      </c>
      <c r="B1902" s="245">
        <v>41200158</v>
      </c>
      <c r="C1902" s="245" t="s">
        <v>1480</v>
      </c>
      <c r="D1902" s="245" t="s">
        <v>1480</v>
      </c>
      <c r="E1902" s="245" t="s">
        <v>1405</v>
      </c>
      <c r="F1902" s="245" t="s">
        <v>2395</v>
      </c>
      <c r="G1902" s="245" t="s">
        <v>1468</v>
      </c>
      <c r="H1902" s="245" t="s">
        <v>2392</v>
      </c>
    </row>
    <row r="1903" spans="1:8">
      <c r="A1903" s="245" t="s">
        <v>3456</v>
      </c>
      <c r="B1903" s="245">
        <v>41200158</v>
      </c>
      <c r="C1903" s="245" t="s">
        <v>1480</v>
      </c>
      <c r="D1903" s="245" t="s">
        <v>1480</v>
      </c>
      <c r="E1903" s="245" t="s">
        <v>1405</v>
      </c>
      <c r="F1903" s="245" t="s">
        <v>2395</v>
      </c>
      <c r="G1903" s="245" t="s">
        <v>1468</v>
      </c>
      <c r="H1903" s="245" t="s">
        <v>2392</v>
      </c>
    </row>
    <row r="1904" spans="1:8">
      <c r="A1904" s="245" t="s">
        <v>3455</v>
      </c>
      <c r="B1904" s="245">
        <v>41200122</v>
      </c>
      <c r="C1904" s="245" t="s">
        <v>1476</v>
      </c>
      <c r="D1904" s="245" t="s">
        <v>1476</v>
      </c>
      <c r="E1904" s="245" t="s">
        <v>1585</v>
      </c>
      <c r="F1904" s="245" t="s">
        <v>2395</v>
      </c>
      <c r="G1904" s="245" t="s">
        <v>2392</v>
      </c>
      <c r="H1904" s="245" t="s">
        <v>2392</v>
      </c>
    </row>
    <row r="1905" spans="1:8">
      <c r="A1905" s="245" t="s">
        <v>3473</v>
      </c>
      <c r="B1905" s="245">
        <v>41100286</v>
      </c>
      <c r="C1905" s="245" t="s">
        <v>1476</v>
      </c>
      <c r="D1905" s="245" t="s">
        <v>6610</v>
      </c>
      <c r="E1905" s="245" t="s">
        <v>1424</v>
      </c>
      <c r="F1905" s="245" t="s">
        <v>2395</v>
      </c>
      <c r="G1905" s="245" t="s">
        <v>1469</v>
      </c>
      <c r="H1905" s="245" t="s">
        <v>2392</v>
      </c>
    </row>
    <row r="1906" spans="1:8">
      <c r="A1906" s="245" t="s">
        <v>3454</v>
      </c>
      <c r="B1906" s="245">
        <v>41200076</v>
      </c>
      <c r="C1906" s="245" t="s">
        <v>1476</v>
      </c>
      <c r="D1906" s="245" t="s">
        <v>1476</v>
      </c>
      <c r="E1906" s="245" t="s">
        <v>1585</v>
      </c>
      <c r="F1906" s="245" t="s">
        <v>2395</v>
      </c>
      <c r="G1906" s="245" t="s">
        <v>1468</v>
      </c>
      <c r="H1906" s="245" t="s">
        <v>2392</v>
      </c>
    </row>
    <row r="1907" spans="1:8">
      <c r="A1907" s="245" t="s">
        <v>3453</v>
      </c>
      <c r="B1907" s="245">
        <v>41200076</v>
      </c>
      <c r="C1907" s="245" t="s">
        <v>1476</v>
      </c>
      <c r="D1907" s="245" t="s">
        <v>1476</v>
      </c>
      <c r="E1907" s="245" t="s">
        <v>1585</v>
      </c>
      <c r="F1907" s="245" t="s">
        <v>2395</v>
      </c>
      <c r="G1907" s="245" t="s">
        <v>1468</v>
      </c>
      <c r="H1907" s="245" t="s">
        <v>2392</v>
      </c>
    </row>
    <row r="1908" spans="1:8">
      <c r="A1908" s="245" t="s">
        <v>3448</v>
      </c>
      <c r="B1908" s="245">
        <v>41200076</v>
      </c>
      <c r="C1908" s="245" t="s">
        <v>1476</v>
      </c>
      <c r="D1908" s="245" t="s">
        <v>1476</v>
      </c>
      <c r="E1908" s="245" t="s">
        <v>1585</v>
      </c>
      <c r="F1908" s="245" t="s">
        <v>2395</v>
      </c>
      <c r="G1908" s="245" t="s">
        <v>1468</v>
      </c>
      <c r="H1908" s="245" t="s">
        <v>2392</v>
      </c>
    </row>
    <row r="1909" spans="1:8">
      <c r="A1909" s="245" t="s">
        <v>3421</v>
      </c>
      <c r="B1909" s="245">
        <v>41200076</v>
      </c>
      <c r="C1909" s="245" t="s">
        <v>1476</v>
      </c>
      <c r="D1909" s="245" t="s">
        <v>1476</v>
      </c>
      <c r="E1909" s="245" t="s">
        <v>1585</v>
      </c>
      <c r="F1909" s="245" t="s">
        <v>2391</v>
      </c>
      <c r="G1909" s="245" t="s">
        <v>2392</v>
      </c>
      <c r="H1909" s="245" t="s">
        <v>2392</v>
      </c>
    </row>
    <row r="1910" spans="1:8">
      <c r="A1910" s="245" t="s">
        <v>2909</v>
      </c>
      <c r="B1910" s="245">
        <v>41200037</v>
      </c>
      <c r="C1910" s="245" t="s">
        <v>1476</v>
      </c>
      <c r="D1910" s="245" t="s">
        <v>1426</v>
      </c>
      <c r="E1910" s="245" t="s">
        <v>1426</v>
      </c>
      <c r="F1910" s="245" t="s">
        <v>2391</v>
      </c>
      <c r="G1910" s="245" t="s">
        <v>2392</v>
      </c>
      <c r="H1910" s="245" t="s">
        <v>71</v>
      </c>
    </row>
    <row r="1911" spans="1:8">
      <c r="A1911" s="245" t="s">
        <v>3426</v>
      </c>
      <c r="B1911" s="245">
        <v>41200201</v>
      </c>
      <c r="C1911" s="245" t="s">
        <v>1479</v>
      </c>
      <c r="D1911" s="245" t="s">
        <v>6992</v>
      </c>
      <c r="E1911" s="245" t="s">
        <v>1404</v>
      </c>
      <c r="F1911" s="245" t="s">
        <v>2391</v>
      </c>
      <c r="G1911" s="245" t="s">
        <v>1468</v>
      </c>
      <c r="H1911" s="245" t="s">
        <v>2392</v>
      </c>
    </row>
    <row r="1912" spans="1:8">
      <c r="A1912" s="245" t="s">
        <v>3423</v>
      </c>
      <c r="B1912" s="245">
        <v>41200201</v>
      </c>
      <c r="C1912" s="245" t="s">
        <v>1479</v>
      </c>
      <c r="D1912" s="245" t="s">
        <v>6992</v>
      </c>
      <c r="E1912" s="245" t="s">
        <v>1404</v>
      </c>
      <c r="F1912" s="245" t="s">
        <v>2391</v>
      </c>
      <c r="G1912" s="245" t="s">
        <v>1468</v>
      </c>
      <c r="H1912" s="245" t="s">
        <v>2392</v>
      </c>
    </row>
    <row r="1913" spans="1:8">
      <c r="A1913" s="245" t="s">
        <v>3468</v>
      </c>
      <c r="B1913" s="245">
        <v>41200198</v>
      </c>
      <c r="C1913" s="245" t="s">
        <v>1476</v>
      </c>
      <c r="D1913" s="245" t="s">
        <v>6993</v>
      </c>
      <c r="E1913" s="245" t="s">
        <v>1395</v>
      </c>
      <c r="F1913" s="245" t="s">
        <v>2391</v>
      </c>
      <c r="G1913" s="245" t="s">
        <v>2392</v>
      </c>
      <c r="H1913" s="245" t="s">
        <v>2392</v>
      </c>
    </row>
    <row r="1914" spans="1:8">
      <c r="A1914" s="245" t="s">
        <v>3536</v>
      </c>
      <c r="B1914" s="245">
        <v>41200193</v>
      </c>
      <c r="C1914" s="245" t="s">
        <v>1476</v>
      </c>
      <c r="D1914" s="245" t="s">
        <v>6994</v>
      </c>
      <c r="E1914" s="245" t="s">
        <v>1395</v>
      </c>
      <c r="F1914" s="245" t="s">
        <v>2391</v>
      </c>
      <c r="G1914" s="245" t="s">
        <v>2392</v>
      </c>
      <c r="H1914" s="245" t="s">
        <v>2392</v>
      </c>
    </row>
    <row r="1915" spans="1:8">
      <c r="A1915" s="245" t="s">
        <v>3511</v>
      </c>
      <c r="B1915" s="245">
        <v>41200193</v>
      </c>
      <c r="C1915" s="245" t="s">
        <v>1476</v>
      </c>
      <c r="D1915" s="245" t="s">
        <v>6994</v>
      </c>
      <c r="E1915" s="245" t="s">
        <v>1395</v>
      </c>
      <c r="F1915" s="245" t="s">
        <v>2391</v>
      </c>
      <c r="G1915" s="245" t="s">
        <v>2392</v>
      </c>
      <c r="H1915" s="245" t="s">
        <v>2392</v>
      </c>
    </row>
    <row r="1916" spans="1:8">
      <c r="A1916" s="245" t="s">
        <v>3444</v>
      </c>
      <c r="B1916" s="245">
        <v>41200193</v>
      </c>
      <c r="C1916" s="245" t="s">
        <v>1476</v>
      </c>
      <c r="D1916" s="245" t="s">
        <v>6994</v>
      </c>
      <c r="E1916" s="245" t="s">
        <v>1395</v>
      </c>
      <c r="F1916" s="245" t="s">
        <v>2391</v>
      </c>
      <c r="G1916" s="245" t="s">
        <v>2392</v>
      </c>
      <c r="H1916" s="245" t="s">
        <v>2392</v>
      </c>
    </row>
    <row r="1917" spans="1:8">
      <c r="A1917" s="245" t="s">
        <v>3443</v>
      </c>
      <c r="B1917" s="245">
        <v>41200193</v>
      </c>
      <c r="C1917" s="245" t="s">
        <v>1476</v>
      </c>
      <c r="D1917" s="245" t="s">
        <v>6994</v>
      </c>
      <c r="E1917" s="245" t="s">
        <v>1395</v>
      </c>
      <c r="F1917" s="245" t="s">
        <v>2391</v>
      </c>
      <c r="G1917" s="245" t="s">
        <v>2392</v>
      </c>
      <c r="H1917" s="245" t="s">
        <v>2392</v>
      </c>
    </row>
    <row r="1918" spans="1:8">
      <c r="A1918" s="245" t="s">
        <v>3427</v>
      </c>
      <c r="B1918" s="245">
        <v>41200198</v>
      </c>
      <c r="C1918" s="245" t="s">
        <v>1476</v>
      </c>
      <c r="D1918" s="245" t="s">
        <v>6993</v>
      </c>
      <c r="E1918" s="245" t="s">
        <v>1395</v>
      </c>
      <c r="F1918" s="245" t="s">
        <v>2391</v>
      </c>
      <c r="G1918" s="245" t="s">
        <v>2392</v>
      </c>
      <c r="H1918" s="245" t="s">
        <v>2392</v>
      </c>
    </row>
    <row r="1919" spans="1:8">
      <c r="A1919" s="245" t="s">
        <v>3546</v>
      </c>
      <c r="B1919" s="245">
        <v>41200193</v>
      </c>
      <c r="C1919" s="245" t="s">
        <v>1476</v>
      </c>
      <c r="D1919" s="245" t="s">
        <v>6994</v>
      </c>
      <c r="E1919" s="245" t="s">
        <v>1395</v>
      </c>
      <c r="F1919" s="245" t="s">
        <v>2391</v>
      </c>
      <c r="G1919" s="245" t="s">
        <v>2392</v>
      </c>
      <c r="H1919" s="245" t="s">
        <v>2392</v>
      </c>
    </row>
    <row r="1920" spans="1:8">
      <c r="A1920" s="245" t="s">
        <v>3432</v>
      </c>
      <c r="B1920" s="245">
        <v>41200193</v>
      </c>
      <c r="C1920" s="245" t="s">
        <v>1476</v>
      </c>
      <c r="D1920" s="245" t="s">
        <v>6994</v>
      </c>
      <c r="E1920" s="245" t="s">
        <v>1395</v>
      </c>
      <c r="F1920" s="245" t="s">
        <v>2391</v>
      </c>
      <c r="G1920" s="245" t="s">
        <v>2392</v>
      </c>
      <c r="H1920" s="245" t="s">
        <v>2392</v>
      </c>
    </row>
    <row r="1921" spans="1:8">
      <c r="A1921" s="245" t="s">
        <v>5433</v>
      </c>
      <c r="B1921" s="245">
        <v>41100538</v>
      </c>
      <c r="C1921" s="245" t="s">
        <v>1476</v>
      </c>
      <c r="D1921" s="245" t="s">
        <v>6610</v>
      </c>
      <c r="E1921" s="245" t="s">
        <v>1424</v>
      </c>
      <c r="F1921" s="245" t="s">
        <v>2391</v>
      </c>
      <c r="G1921" s="245" t="s">
        <v>2392</v>
      </c>
      <c r="H1921" s="245" t="s">
        <v>2392</v>
      </c>
    </row>
    <row r="1922" spans="1:8">
      <c r="A1922" s="245" t="s">
        <v>5426</v>
      </c>
      <c r="B1922" s="245">
        <v>41000558</v>
      </c>
      <c r="C1922" s="245" t="s">
        <v>6607</v>
      </c>
      <c r="D1922" s="245" t="s">
        <v>6607</v>
      </c>
      <c r="E1922" s="245" t="s">
        <v>1405</v>
      </c>
      <c r="F1922" s="245" t="s">
        <v>5127</v>
      </c>
      <c r="G1922" s="245" t="s">
        <v>2392</v>
      </c>
      <c r="H1922" s="245" t="s">
        <v>71</v>
      </c>
    </row>
    <row r="1923" spans="1:8">
      <c r="A1923" s="245" t="s">
        <v>3452</v>
      </c>
      <c r="B1923" s="245">
        <v>41200158</v>
      </c>
      <c r="C1923" s="245" t="s">
        <v>1480</v>
      </c>
      <c r="D1923" s="245" t="s">
        <v>1480</v>
      </c>
      <c r="E1923" s="245" t="s">
        <v>1405</v>
      </c>
      <c r="F1923" s="245" t="s">
        <v>2395</v>
      </c>
      <c r="G1923" s="245" t="s">
        <v>1469</v>
      </c>
      <c r="H1923" s="245" t="s">
        <v>2392</v>
      </c>
    </row>
    <row r="1924" spans="1:8">
      <c r="A1924" s="245" t="s">
        <v>3449</v>
      </c>
      <c r="B1924" s="245">
        <v>41200158</v>
      </c>
      <c r="C1924" s="245" t="s">
        <v>1480</v>
      </c>
      <c r="D1924" s="245" t="s">
        <v>1480</v>
      </c>
      <c r="E1924" s="245" t="s">
        <v>1405</v>
      </c>
      <c r="F1924" s="245" t="s">
        <v>2395</v>
      </c>
      <c r="G1924" s="245" t="s">
        <v>1469</v>
      </c>
      <c r="H1924" s="245" t="s">
        <v>2392</v>
      </c>
    </row>
    <row r="1925" spans="1:8">
      <c r="A1925" s="245" t="s">
        <v>3433</v>
      </c>
      <c r="B1925" s="245">
        <v>41200035</v>
      </c>
      <c r="C1925" s="245" t="s">
        <v>1476</v>
      </c>
      <c r="D1925" s="245" t="s">
        <v>1426</v>
      </c>
      <c r="E1925" s="245" t="s">
        <v>1426</v>
      </c>
      <c r="F1925" s="245" t="s">
        <v>2391</v>
      </c>
      <c r="G1925" s="245" t="s">
        <v>1468</v>
      </c>
      <c r="H1925" s="245" t="s">
        <v>2392</v>
      </c>
    </row>
    <row r="1926" spans="1:8">
      <c r="A1926" s="245" t="s">
        <v>3441</v>
      </c>
      <c r="B1926" s="245">
        <v>41100665</v>
      </c>
      <c r="C1926" s="245" t="s">
        <v>3180</v>
      </c>
      <c r="D1926" s="245" t="s">
        <v>3180</v>
      </c>
      <c r="E1926" s="245" t="s">
        <v>1416</v>
      </c>
      <c r="F1926" s="245" t="s">
        <v>2395</v>
      </c>
      <c r="G1926" s="245" t="s">
        <v>2392</v>
      </c>
      <c r="H1926" s="245" t="s">
        <v>71</v>
      </c>
    </row>
    <row r="1927" spans="1:8">
      <c r="A1927" s="245" t="s">
        <v>3440</v>
      </c>
      <c r="B1927" s="245">
        <v>41100665</v>
      </c>
      <c r="C1927" s="245" t="s">
        <v>3180</v>
      </c>
      <c r="D1927" s="245" t="s">
        <v>3180</v>
      </c>
      <c r="E1927" s="245" t="s">
        <v>1416</v>
      </c>
      <c r="F1927" s="245" t="s">
        <v>2395</v>
      </c>
      <c r="G1927" s="245" t="s">
        <v>2392</v>
      </c>
      <c r="H1927" s="245" t="s">
        <v>71</v>
      </c>
    </row>
    <row r="1928" spans="1:8">
      <c r="A1928" s="245" t="s">
        <v>3439</v>
      </c>
      <c r="B1928" s="245">
        <v>41100665</v>
      </c>
      <c r="C1928" s="245" t="s">
        <v>3180</v>
      </c>
      <c r="D1928" s="245" t="s">
        <v>3180</v>
      </c>
      <c r="E1928" s="245" t="s">
        <v>1416</v>
      </c>
      <c r="F1928" s="245" t="s">
        <v>2395</v>
      </c>
      <c r="G1928" s="245" t="s">
        <v>2392</v>
      </c>
      <c r="H1928" s="245" t="s">
        <v>71</v>
      </c>
    </row>
    <row r="1929" spans="1:8">
      <c r="A1929" s="245" t="s">
        <v>3437</v>
      </c>
      <c r="B1929" s="245">
        <v>41100665</v>
      </c>
      <c r="C1929" s="245" t="s">
        <v>3180</v>
      </c>
      <c r="D1929" s="245" t="s">
        <v>3180</v>
      </c>
      <c r="E1929" s="245" t="s">
        <v>1416</v>
      </c>
      <c r="F1929" s="245" t="s">
        <v>2395</v>
      </c>
      <c r="G1929" s="245" t="s">
        <v>1469</v>
      </c>
      <c r="H1929" s="245" t="s">
        <v>71</v>
      </c>
    </row>
    <row r="1930" spans="1:8">
      <c r="A1930" s="245" t="s">
        <v>3436</v>
      </c>
      <c r="B1930" s="245">
        <v>41100665</v>
      </c>
      <c r="C1930" s="245" t="s">
        <v>3180</v>
      </c>
      <c r="D1930" s="245" t="s">
        <v>3180</v>
      </c>
      <c r="E1930" s="245" t="s">
        <v>1416</v>
      </c>
      <c r="F1930" s="245" t="s">
        <v>2395</v>
      </c>
      <c r="G1930" s="245" t="s">
        <v>1469</v>
      </c>
      <c r="H1930" s="245" t="s">
        <v>71</v>
      </c>
    </row>
    <row r="1931" spans="1:8">
      <c r="A1931" s="245" t="s">
        <v>3435</v>
      </c>
      <c r="B1931" s="245">
        <v>41100665</v>
      </c>
      <c r="C1931" s="245" t="s">
        <v>3180</v>
      </c>
      <c r="D1931" s="245" t="s">
        <v>3180</v>
      </c>
      <c r="E1931" s="245" t="s">
        <v>1416</v>
      </c>
      <c r="F1931" s="245" t="s">
        <v>2395</v>
      </c>
      <c r="G1931" s="245" t="s">
        <v>1469</v>
      </c>
      <c r="H1931" s="245" t="s">
        <v>71</v>
      </c>
    </row>
    <row r="1932" spans="1:8">
      <c r="A1932" s="245" t="s">
        <v>3414</v>
      </c>
      <c r="B1932" s="245">
        <v>41200092</v>
      </c>
      <c r="C1932" s="245" t="s">
        <v>1476</v>
      </c>
      <c r="D1932" s="245" t="s">
        <v>1424</v>
      </c>
      <c r="E1932" s="245" t="s">
        <v>1424</v>
      </c>
      <c r="F1932" s="245" t="s">
        <v>2391</v>
      </c>
      <c r="G1932" s="245" t="s">
        <v>1468</v>
      </c>
      <c r="H1932" s="245" t="s">
        <v>2392</v>
      </c>
    </row>
    <row r="1933" spans="1:8">
      <c r="A1933" s="245" t="s">
        <v>3418</v>
      </c>
      <c r="B1933" s="245">
        <v>41200158</v>
      </c>
      <c r="C1933" s="245" t="s">
        <v>1480</v>
      </c>
      <c r="D1933" s="245" t="s">
        <v>1480</v>
      </c>
      <c r="E1933" s="245" t="s">
        <v>1405</v>
      </c>
      <c r="F1933" s="245" t="s">
        <v>2395</v>
      </c>
      <c r="G1933" s="245" t="s">
        <v>1469</v>
      </c>
      <c r="H1933" s="245" t="s">
        <v>2392</v>
      </c>
    </row>
    <row r="1934" spans="1:8">
      <c r="A1934" s="245" t="s">
        <v>3417</v>
      </c>
      <c r="B1934" s="245">
        <v>41200158</v>
      </c>
      <c r="C1934" s="245" t="s">
        <v>1480</v>
      </c>
      <c r="D1934" s="245" t="s">
        <v>1480</v>
      </c>
      <c r="E1934" s="245" t="s">
        <v>1405</v>
      </c>
      <c r="F1934" s="245" t="s">
        <v>2395</v>
      </c>
      <c r="G1934" s="245" t="s">
        <v>1469</v>
      </c>
      <c r="H1934" s="245" t="s">
        <v>2392</v>
      </c>
    </row>
    <row r="1935" spans="1:8">
      <c r="A1935" s="245" t="s">
        <v>3408</v>
      </c>
      <c r="B1935" s="245">
        <v>41200133</v>
      </c>
      <c r="C1935" s="245" t="s">
        <v>1476</v>
      </c>
      <c r="D1935" s="245" t="s">
        <v>6605</v>
      </c>
      <c r="E1935" s="245" t="s">
        <v>1429</v>
      </c>
      <c r="F1935" s="245" t="s">
        <v>2391</v>
      </c>
      <c r="G1935" s="245" t="s">
        <v>1468</v>
      </c>
      <c r="H1935" s="245" t="s">
        <v>2392</v>
      </c>
    </row>
    <row r="1936" spans="1:8">
      <c r="A1936" s="245" t="s">
        <v>3410</v>
      </c>
      <c r="B1936" s="245">
        <v>41000598</v>
      </c>
      <c r="C1936" s="245" t="s">
        <v>1480</v>
      </c>
      <c r="D1936" s="245" t="s">
        <v>1480</v>
      </c>
      <c r="E1936" s="245" t="s">
        <v>1405</v>
      </c>
      <c r="F1936" s="245" t="s">
        <v>2391</v>
      </c>
      <c r="G1936" s="245" t="s">
        <v>2392</v>
      </c>
      <c r="H1936" s="245" t="s">
        <v>2392</v>
      </c>
    </row>
    <row r="1937" spans="1:8">
      <c r="A1937" s="245" t="s">
        <v>3409</v>
      </c>
      <c r="B1937" s="245">
        <v>41000598</v>
      </c>
      <c r="C1937" s="245" t="s">
        <v>1480</v>
      </c>
      <c r="D1937" s="245" t="s">
        <v>1480</v>
      </c>
      <c r="E1937" s="245" t="s">
        <v>1405</v>
      </c>
      <c r="F1937" s="245" t="s">
        <v>2391</v>
      </c>
      <c r="G1937" s="245" t="s">
        <v>2392</v>
      </c>
      <c r="H1937" s="245" t="s">
        <v>2392</v>
      </c>
    </row>
    <row r="1938" spans="1:8">
      <c r="A1938" s="245" t="s">
        <v>6995</v>
      </c>
      <c r="B1938" s="245" t="s">
        <v>6592</v>
      </c>
      <c r="C1938" s="245" t="s">
        <v>6593</v>
      </c>
      <c r="D1938" s="245" t="s">
        <v>71</v>
      </c>
      <c r="E1938" s="245" t="s">
        <v>1405</v>
      </c>
      <c r="F1938" s="245" t="s">
        <v>2392</v>
      </c>
      <c r="G1938" s="245" t="s">
        <v>2392</v>
      </c>
      <c r="H1938" s="245" t="s">
        <v>2392</v>
      </c>
    </row>
    <row r="1939" spans="1:8">
      <c r="A1939" s="245" t="s">
        <v>6996</v>
      </c>
      <c r="B1939" s="245" t="s">
        <v>6632</v>
      </c>
      <c r="C1939" s="245" t="s">
        <v>71</v>
      </c>
      <c r="D1939" s="245" t="s">
        <v>71</v>
      </c>
      <c r="E1939" s="245" t="s">
        <v>1405</v>
      </c>
      <c r="F1939" s="245" t="s">
        <v>2392</v>
      </c>
      <c r="G1939" s="245" t="s">
        <v>2392</v>
      </c>
      <c r="H1939" s="245" t="s">
        <v>2392</v>
      </c>
    </row>
    <row r="1940" spans="1:8">
      <c r="A1940" s="245" t="s">
        <v>6997</v>
      </c>
      <c r="B1940" s="245" t="s">
        <v>6632</v>
      </c>
      <c r="C1940" s="245" t="s">
        <v>71</v>
      </c>
      <c r="D1940" s="245" t="s">
        <v>71</v>
      </c>
      <c r="E1940" s="245" t="s">
        <v>1405</v>
      </c>
      <c r="F1940" s="245" t="s">
        <v>2392</v>
      </c>
      <c r="G1940" s="245" t="s">
        <v>2392</v>
      </c>
      <c r="H1940" s="245" t="s">
        <v>2392</v>
      </c>
    </row>
    <row r="1941" spans="1:8">
      <c r="A1941" s="245" t="s">
        <v>3388</v>
      </c>
      <c r="B1941" s="245">
        <v>41200149</v>
      </c>
      <c r="C1941" s="245" t="s">
        <v>1476</v>
      </c>
      <c r="D1941" s="245" t="s">
        <v>1426</v>
      </c>
      <c r="E1941" s="245" t="s">
        <v>1426</v>
      </c>
      <c r="F1941" s="245" t="s">
        <v>2391</v>
      </c>
      <c r="G1941" s="245" t="s">
        <v>2392</v>
      </c>
      <c r="H1941" s="245" t="s">
        <v>2392</v>
      </c>
    </row>
    <row r="1942" spans="1:8">
      <c r="A1942" s="245" t="s">
        <v>3402</v>
      </c>
      <c r="B1942" s="245">
        <v>41100064</v>
      </c>
      <c r="C1942" s="245" t="s">
        <v>6998</v>
      </c>
      <c r="D1942" s="245" t="s">
        <v>6999</v>
      </c>
      <c r="E1942" s="245" t="s">
        <v>1433</v>
      </c>
      <c r="F1942" s="245" t="s">
        <v>2391</v>
      </c>
      <c r="G1942" s="245" t="s">
        <v>2392</v>
      </c>
      <c r="H1942" s="245" t="s">
        <v>2392</v>
      </c>
    </row>
    <row r="1943" spans="1:8">
      <c r="A1943" s="245" t="s">
        <v>3401</v>
      </c>
      <c r="B1943" s="245">
        <v>41200127</v>
      </c>
      <c r="C1943" s="245" t="s">
        <v>1591</v>
      </c>
      <c r="D1943" s="245" t="s">
        <v>6606</v>
      </c>
      <c r="E1943" s="245" t="s">
        <v>1431</v>
      </c>
      <c r="F1943" s="245" t="s">
        <v>2391</v>
      </c>
      <c r="G1943" s="245" t="s">
        <v>2392</v>
      </c>
      <c r="H1943" s="245" t="s">
        <v>2392</v>
      </c>
    </row>
    <row r="1944" spans="1:8">
      <c r="A1944" s="245" t="s">
        <v>3412</v>
      </c>
      <c r="B1944" s="245">
        <v>41200129</v>
      </c>
      <c r="C1944" s="245" t="s">
        <v>1591</v>
      </c>
      <c r="D1944" s="245" t="s">
        <v>6606</v>
      </c>
      <c r="E1944" s="245" t="s">
        <v>1431</v>
      </c>
      <c r="F1944" s="245" t="s">
        <v>2391</v>
      </c>
      <c r="G1944" s="245" t="s">
        <v>1468</v>
      </c>
      <c r="H1944" s="245" t="s">
        <v>2392</v>
      </c>
    </row>
    <row r="1945" spans="1:8">
      <c r="A1945" s="245" t="s">
        <v>3381</v>
      </c>
      <c r="B1945" s="245">
        <v>41200042</v>
      </c>
      <c r="C1945" s="245" t="s">
        <v>1476</v>
      </c>
      <c r="D1945" s="245" t="s">
        <v>1426</v>
      </c>
      <c r="E1945" s="245" t="s">
        <v>1426</v>
      </c>
      <c r="F1945" s="245" t="s">
        <v>2391</v>
      </c>
      <c r="G1945" s="245" t="s">
        <v>1468</v>
      </c>
      <c r="H1945" s="245" t="s">
        <v>2392</v>
      </c>
    </row>
    <row r="1946" spans="1:8">
      <c r="A1946" s="245" t="s">
        <v>3413</v>
      </c>
      <c r="B1946" s="245">
        <v>41200061</v>
      </c>
      <c r="C1946" s="245" t="s">
        <v>1480</v>
      </c>
      <c r="D1946" s="245" t="s">
        <v>6636</v>
      </c>
      <c r="E1946" s="245" t="s">
        <v>1405</v>
      </c>
      <c r="F1946" s="245" t="s">
        <v>2395</v>
      </c>
      <c r="G1946" s="245" t="s">
        <v>1469</v>
      </c>
      <c r="H1946" s="245" t="s">
        <v>2392</v>
      </c>
    </row>
    <row r="1947" spans="1:8">
      <c r="A1947" s="245" t="s">
        <v>3399</v>
      </c>
      <c r="B1947" s="245">
        <v>41200076</v>
      </c>
      <c r="C1947" s="245" t="s">
        <v>1476</v>
      </c>
      <c r="D1947" s="245" t="s">
        <v>1476</v>
      </c>
      <c r="E1947" s="245" t="s">
        <v>1585</v>
      </c>
      <c r="F1947" s="245" t="s">
        <v>2391</v>
      </c>
      <c r="G1947" s="245" t="s">
        <v>1468</v>
      </c>
      <c r="H1947" s="245" t="s">
        <v>2392</v>
      </c>
    </row>
    <row r="1948" spans="1:8">
      <c r="A1948" s="245" t="s">
        <v>3403</v>
      </c>
      <c r="B1948" s="245">
        <v>41100317</v>
      </c>
      <c r="C1948" s="245" t="s">
        <v>1476</v>
      </c>
      <c r="D1948" s="245" t="s">
        <v>1476</v>
      </c>
      <c r="E1948" s="245" t="s">
        <v>1585</v>
      </c>
      <c r="F1948" s="245" t="s">
        <v>2391</v>
      </c>
      <c r="G1948" s="245" t="s">
        <v>1468</v>
      </c>
      <c r="H1948" s="245" t="s">
        <v>2392</v>
      </c>
    </row>
    <row r="1949" spans="1:8">
      <c r="A1949" s="245" t="s">
        <v>3398</v>
      </c>
      <c r="B1949" s="245">
        <v>41000584</v>
      </c>
      <c r="C1949" s="245" t="s">
        <v>1911</v>
      </c>
      <c r="D1949" s="245" t="s">
        <v>6658</v>
      </c>
      <c r="E1949" s="245" t="s">
        <v>1405</v>
      </c>
      <c r="F1949" s="245" t="s">
        <v>2392</v>
      </c>
      <c r="G1949" s="245" t="s">
        <v>2392</v>
      </c>
      <c r="H1949" s="245" t="s">
        <v>71</v>
      </c>
    </row>
    <row r="1950" spans="1:8">
      <c r="A1950" s="245" t="s">
        <v>3395</v>
      </c>
      <c r="B1950" s="245">
        <v>41000598</v>
      </c>
      <c r="C1950" s="245" t="s">
        <v>1480</v>
      </c>
      <c r="D1950" s="245" t="s">
        <v>1480</v>
      </c>
      <c r="E1950" s="245" t="s">
        <v>1405</v>
      </c>
      <c r="F1950" s="245" t="s">
        <v>2395</v>
      </c>
      <c r="G1950" s="245" t="s">
        <v>1469</v>
      </c>
      <c r="H1950" s="245" t="s">
        <v>2392</v>
      </c>
    </row>
    <row r="1951" spans="1:8">
      <c r="A1951" s="245" t="s">
        <v>3394</v>
      </c>
      <c r="B1951" s="245">
        <v>41100435</v>
      </c>
      <c r="C1951" s="245" t="s">
        <v>3801</v>
      </c>
      <c r="D1951" s="245" t="s">
        <v>1482</v>
      </c>
      <c r="E1951" s="245" t="s">
        <v>1585</v>
      </c>
      <c r="F1951" s="245" t="s">
        <v>2391</v>
      </c>
      <c r="G1951" s="245" t="s">
        <v>2392</v>
      </c>
      <c r="H1951" s="245" t="s">
        <v>71</v>
      </c>
    </row>
    <row r="1952" spans="1:8">
      <c r="A1952" s="245" t="s">
        <v>3420</v>
      </c>
      <c r="B1952" s="245">
        <v>41200158</v>
      </c>
      <c r="C1952" s="245" t="s">
        <v>1480</v>
      </c>
      <c r="D1952" s="245" t="s">
        <v>1480</v>
      </c>
      <c r="E1952" s="245" t="s">
        <v>1405</v>
      </c>
      <c r="F1952" s="245" t="s">
        <v>2391</v>
      </c>
      <c r="G1952" s="245" t="s">
        <v>2392</v>
      </c>
      <c r="H1952" s="245" t="s">
        <v>2392</v>
      </c>
    </row>
    <row r="1953" spans="1:8">
      <c r="A1953" s="245" t="s">
        <v>3419</v>
      </c>
      <c r="B1953" s="245">
        <v>41200158</v>
      </c>
      <c r="C1953" s="245" t="s">
        <v>1480</v>
      </c>
      <c r="D1953" s="245" t="s">
        <v>1480</v>
      </c>
      <c r="E1953" s="245" t="s">
        <v>1405</v>
      </c>
      <c r="F1953" s="245" t="s">
        <v>2391</v>
      </c>
      <c r="G1953" s="245" t="s">
        <v>2392</v>
      </c>
      <c r="H1953" s="245" t="s">
        <v>2392</v>
      </c>
    </row>
    <row r="1954" spans="1:8">
      <c r="A1954" s="245" t="s">
        <v>5420</v>
      </c>
      <c r="B1954" s="245">
        <v>41200185</v>
      </c>
      <c r="C1954" s="245" t="s">
        <v>1393</v>
      </c>
      <c r="D1954" s="245" t="s">
        <v>7000</v>
      </c>
      <c r="E1954" s="245" t="s">
        <v>1392</v>
      </c>
      <c r="F1954" s="245" t="s">
        <v>2395</v>
      </c>
      <c r="G1954" s="245" t="s">
        <v>1469</v>
      </c>
      <c r="H1954" s="245" t="s">
        <v>2392</v>
      </c>
    </row>
    <row r="1955" spans="1:8">
      <c r="A1955" s="245" t="s">
        <v>3393</v>
      </c>
      <c r="B1955" s="245">
        <v>41200007</v>
      </c>
      <c r="C1955" s="245" t="s">
        <v>1591</v>
      </c>
      <c r="D1955" s="245" t="s">
        <v>6608</v>
      </c>
      <c r="E1955" s="245" t="s">
        <v>1405</v>
      </c>
      <c r="F1955" s="245" t="s">
        <v>2395</v>
      </c>
      <c r="G1955" s="245" t="s">
        <v>1469</v>
      </c>
      <c r="H1955" s="245" t="s">
        <v>2392</v>
      </c>
    </row>
    <row r="1956" spans="1:8">
      <c r="A1956" s="245" t="s">
        <v>3392</v>
      </c>
      <c r="B1956" s="245">
        <v>41200007</v>
      </c>
      <c r="C1956" s="245" t="s">
        <v>1591</v>
      </c>
      <c r="D1956" s="245" t="s">
        <v>6608</v>
      </c>
      <c r="E1956" s="245" t="s">
        <v>1405</v>
      </c>
      <c r="F1956" s="245" t="s">
        <v>2395</v>
      </c>
      <c r="G1956" s="245" t="s">
        <v>1469</v>
      </c>
      <c r="H1956" s="245" t="s">
        <v>2392</v>
      </c>
    </row>
    <row r="1957" spans="1:8">
      <c r="A1957" s="245" t="s">
        <v>3391</v>
      </c>
      <c r="B1957" s="245">
        <v>41200007</v>
      </c>
      <c r="C1957" s="245" t="s">
        <v>1591</v>
      </c>
      <c r="D1957" s="245" t="s">
        <v>6608</v>
      </c>
      <c r="E1957" s="245" t="s">
        <v>1405</v>
      </c>
      <c r="F1957" s="245" t="s">
        <v>2395</v>
      </c>
      <c r="G1957" s="245" t="s">
        <v>1469</v>
      </c>
      <c r="H1957" s="245" t="s">
        <v>2392</v>
      </c>
    </row>
    <row r="1958" spans="1:8">
      <c r="A1958" s="245" t="s">
        <v>3383</v>
      </c>
      <c r="B1958" s="245">
        <v>41200007</v>
      </c>
      <c r="C1958" s="245" t="s">
        <v>1591</v>
      </c>
      <c r="D1958" s="245" t="s">
        <v>6608</v>
      </c>
      <c r="E1958" s="245" t="s">
        <v>1405</v>
      </c>
      <c r="F1958" s="245" t="s">
        <v>2395</v>
      </c>
      <c r="G1958" s="245" t="s">
        <v>1469</v>
      </c>
      <c r="H1958" s="245" t="s">
        <v>2392</v>
      </c>
    </row>
    <row r="1959" spans="1:8">
      <c r="A1959" s="245" t="s">
        <v>3382</v>
      </c>
      <c r="B1959" s="245">
        <v>41200007</v>
      </c>
      <c r="C1959" s="245" t="s">
        <v>1591</v>
      </c>
      <c r="D1959" s="245" t="s">
        <v>6608</v>
      </c>
      <c r="E1959" s="245" t="s">
        <v>1405</v>
      </c>
      <c r="F1959" s="245" t="s">
        <v>2395</v>
      </c>
      <c r="G1959" s="245" t="s">
        <v>1469</v>
      </c>
      <c r="H1959" s="245" t="s">
        <v>2392</v>
      </c>
    </row>
    <row r="1960" spans="1:8">
      <c r="A1960" s="245" t="s">
        <v>3385</v>
      </c>
      <c r="B1960" s="245">
        <v>41200175</v>
      </c>
      <c r="C1960" s="245" t="s">
        <v>1476</v>
      </c>
      <c r="D1960" s="245" t="s">
        <v>1591</v>
      </c>
      <c r="E1960" s="245" t="s">
        <v>1424</v>
      </c>
      <c r="F1960" s="245" t="s">
        <v>2395</v>
      </c>
      <c r="G1960" s="245" t="s">
        <v>1469</v>
      </c>
      <c r="H1960" s="245" t="s">
        <v>2392</v>
      </c>
    </row>
    <row r="1961" spans="1:8">
      <c r="A1961" s="245" t="s">
        <v>5411</v>
      </c>
      <c r="B1961" s="245">
        <v>41100375</v>
      </c>
      <c r="C1961" s="245" t="s">
        <v>1591</v>
      </c>
      <c r="D1961" s="245" t="s">
        <v>6617</v>
      </c>
      <c r="E1961" s="245" t="s">
        <v>1585</v>
      </c>
      <c r="F1961" s="245" t="s">
        <v>2395</v>
      </c>
      <c r="G1961" s="245" t="s">
        <v>1469</v>
      </c>
      <c r="H1961" s="245" t="s">
        <v>2392</v>
      </c>
    </row>
    <row r="1962" spans="1:8">
      <c r="A1962" s="245" t="s">
        <v>5410</v>
      </c>
      <c r="B1962" s="245">
        <v>41100375</v>
      </c>
      <c r="C1962" s="245" t="s">
        <v>1591</v>
      </c>
      <c r="D1962" s="245" t="s">
        <v>6617</v>
      </c>
      <c r="E1962" s="245" t="s">
        <v>1585</v>
      </c>
      <c r="F1962" s="245" t="s">
        <v>2395</v>
      </c>
      <c r="G1962" s="245" t="s">
        <v>1469</v>
      </c>
      <c r="H1962" s="245" t="s">
        <v>2392</v>
      </c>
    </row>
    <row r="1963" spans="1:8">
      <c r="A1963" s="245" t="s">
        <v>3407</v>
      </c>
      <c r="B1963" s="245">
        <v>41200006</v>
      </c>
      <c r="C1963" s="245" t="s">
        <v>1477</v>
      </c>
      <c r="D1963" s="245" t="s">
        <v>6640</v>
      </c>
      <c r="E1963" s="245" t="s">
        <v>1405</v>
      </c>
      <c r="F1963" s="245" t="s">
        <v>2395</v>
      </c>
      <c r="G1963" s="245" t="s">
        <v>1469</v>
      </c>
      <c r="H1963" s="245" t="s">
        <v>2392</v>
      </c>
    </row>
    <row r="1964" spans="1:8">
      <c r="A1964" s="245" t="s">
        <v>3406</v>
      </c>
      <c r="B1964" s="245">
        <v>41200006</v>
      </c>
      <c r="C1964" s="245" t="s">
        <v>1477</v>
      </c>
      <c r="D1964" s="245" t="s">
        <v>6640</v>
      </c>
      <c r="E1964" s="245" t="s">
        <v>1405</v>
      </c>
      <c r="F1964" s="245" t="s">
        <v>2395</v>
      </c>
      <c r="G1964" s="245" t="s">
        <v>1469</v>
      </c>
      <c r="H1964" s="245" t="s">
        <v>2392</v>
      </c>
    </row>
    <row r="1965" spans="1:8">
      <c r="A1965" s="245" t="s">
        <v>3405</v>
      </c>
      <c r="B1965" s="245">
        <v>41200006</v>
      </c>
      <c r="C1965" s="245" t="s">
        <v>1477</v>
      </c>
      <c r="D1965" s="245" t="s">
        <v>6640</v>
      </c>
      <c r="E1965" s="245" t="s">
        <v>1405</v>
      </c>
      <c r="F1965" s="245" t="s">
        <v>2395</v>
      </c>
      <c r="G1965" s="245" t="s">
        <v>1469</v>
      </c>
      <c r="H1965" s="245" t="s">
        <v>2392</v>
      </c>
    </row>
    <row r="1966" spans="1:8">
      <c r="A1966" s="245" t="s">
        <v>3380</v>
      </c>
      <c r="B1966" s="245">
        <v>41200006</v>
      </c>
      <c r="C1966" s="245" t="s">
        <v>1477</v>
      </c>
      <c r="D1966" s="245" t="s">
        <v>6640</v>
      </c>
      <c r="E1966" s="245" t="s">
        <v>1405</v>
      </c>
      <c r="F1966" s="245" t="s">
        <v>2395</v>
      </c>
      <c r="G1966" s="245" t="s">
        <v>1469</v>
      </c>
      <c r="H1966" s="245" t="s">
        <v>2392</v>
      </c>
    </row>
    <row r="1967" spans="1:8">
      <c r="A1967" s="245" t="s">
        <v>3376</v>
      </c>
      <c r="B1967" s="245">
        <v>41100696</v>
      </c>
      <c r="C1967" s="245" t="s">
        <v>1911</v>
      </c>
      <c r="D1967" s="245" t="s">
        <v>6634</v>
      </c>
      <c r="E1967" s="245" t="s">
        <v>1433</v>
      </c>
      <c r="F1967" s="245" t="s">
        <v>2392</v>
      </c>
      <c r="G1967" s="245" t="s">
        <v>2392</v>
      </c>
      <c r="H1967" s="245" t="s">
        <v>71</v>
      </c>
    </row>
    <row r="1968" spans="1:8">
      <c r="A1968" s="245" t="s">
        <v>7001</v>
      </c>
      <c r="B1968" s="245" t="s">
        <v>6592</v>
      </c>
      <c r="C1968" s="245" t="s">
        <v>6593</v>
      </c>
      <c r="D1968" s="245" t="s">
        <v>71</v>
      </c>
      <c r="E1968" s="245" t="s">
        <v>1405</v>
      </c>
      <c r="F1968" s="245" t="s">
        <v>2392</v>
      </c>
      <c r="G1968" s="245" t="s">
        <v>2392</v>
      </c>
      <c r="H1968" s="245" t="s">
        <v>2392</v>
      </c>
    </row>
    <row r="1969" spans="1:8">
      <c r="A1969" s="245" t="s">
        <v>7002</v>
      </c>
      <c r="B1969" s="245" t="s">
        <v>6592</v>
      </c>
      <c r="C1969" s="245" t="s">
        <v>6593</v>
      </c>
      <c r="D1969" s="245" t="s">
        <v>71</v>
      </c>
      <c r="E1969" s="245" t="s">
        <v>1405</v>
      </c>
      <c r="F1969" s="245" t="s">
        <v>2392</v>
      </c>
      <c r="G1969" s="245" t="s">
        <v>2392</v>
      </c>
      <c r="H1969" s="245" t="s">
        <v>2392</v>
      </c>
    </row>
    <row r="1970" spans="1:8">
      <c r="A1970" s="245" t="s">
        <v>7003</v>
      </c>
      <c r="B1970" s="245" t="s">
        <v>6592</v>
      </c>
      <c r="C1970" s="245" t="s">
        <v>6593</v>
      </c>
      <c r="D1970" s="245" t="s">
        <v>71</v>
      </c>
      <c r="E1970" s="245" t="s">
        <v>1405</v>
      </c>
      <c r="F1970" s="245" t="s">
        <v>2392</v>
      </c>
      <c r="G1970" s="245" t="s">
        <v>2392</v>
      </c>
      <c r="H1970" s="245" t="s">
        <v>2392</v>
      </c>
    </row>
    <row r="1971" spans="1:8">
      <c r="A1971" s="245" t="s">
        <v>7004</v>
      </c>
      <c r="B1971" s="245" t="s">
        <v>6592</v>
      </c>
      <c r="C1971" s="245" t="s">
        <v>6593</v>
      </c>
      <c r="D1971" s="245" t="s">
        <v>71</v>
      </c>
      <c r="E1971" s="245" t="s">
        <v>1405</v>
      </c>
      <c r="F1971" s="245" t="s">
        <v>2392</v>
      </c>
      <c r="G1971" s="245" t="s">
        <v>2392</v>
      </c>
      <c r="H1971" s="245" t="s">
        <v>2392</v>
      </c>
    </row>
    <row r="1972" spans="1:8">
      <c r="A1972" s="245" t="s">
        <v>7005</v>
      </c>
      <c r="B1972" s="245" t="s">
        <v>6592</v>
      </c>
      <c r="C1972" s="245" t="s">
        <v>6593</v>
      </c>
      <c r="D1972" s="245" t="s">
        <v>71</v>
      </c>
      <c r="E1972" s="245" t="s">
        <v>1405</v>
      </c>
      <c r="F1972" s="245" t="s">
        <v>2392</v>
      </c>
      <c r="G1972" s="245" t="s">
        <v>2392</v>
      </c>
      <c r="H1972" s="245" t="s">
        <v>2392</v>
      </c>
    </row>
    <row r="1973" spans="1:8">
      <c r="A1973" s="245" t="s">
        <v>7006</v>
      </c>
      <c r="B1973" s="245" t="s">
        <v>6592</v>
      </c>
      <c r="C1973" s="245" t="s">
        <v>6593</v>
      </c>
      <c r="D1973" s="245" t="s">
        <v>71</v>
      </c>
      <c r="E1973" s="245" t="s">
        <v>1405</v>
      </c>
      <c r="F1973" s="245" t="s">
        <v>2392</v>
      </c>
      <c r="G1973" s="245" t="s">
        <v>2392</v>
      </c>
      <c r="H1973" s="245" t="s">
        <v>2392</v>
      </c>
    </row>
    <row r="1974" spans="1:8">
      <c r="A1974" s="245" t="s">
        <v>7007</v>
      </c>
      <c r="B1974" s="245" t="s">
        <v>7008</v>
      </c>
      <c r="C1974" s="245" t="s">
        <v>7009</v>
      </c>
      <c r="D1974" s="245" t="s">
        <v>71</v>
      </c>
      <c r="E1974" s="245" t="s">
        <v>1388</v>
      </c>
      <c r="F1974" s="245" t="s">
        <v>7077</v>
      </c>
      <c r="G1974" s="245" t="s">
        <v>7011</v>
      </c>
      <c r="H1974" s="245" t="s">
        <v>71</v>
      </c>
    </row>
    <row r="1975" spans="1:8">
      <c r="A1975" s="245" t="s">
        <v>1991</v>
      </c>
      <c r="B1975" s="245">
        <v>41200180</v>
      </c>
      <c r="C1975" s="245" t="s">
        <v>1479</v>
      </c>
      <c r="D1975" s="245" t="s">
        <v>6633</v>
      </c>
      <c r="E1975" s="245" t="s">
        <v>1409</v>
      </c>
      <c r="F1975" s="245" t="s">
        <v>2395</v>
      </c>
      <c r="G1975" s="245" t="s">
        <v>2392</v>
      </c>
      <c r="H1975" s="245" t="s">
        <v>2392</v>
      </c>
    </row>
    <row r="1976" spans="1:8">
      <c r="A1976" s="245" t="s">
        <v>1990</v>
      </c>
      <c r="B1976" s="245">
        <v>41200180</v>
      </c>
      <c r="C1976" s="245" t="s">
        <v>1479</v>
      </c>
      <c r="D1976" s="245" t="s">
        <v>6633</v>
      </c>
      <c r="E1976" s="245" t="s">
        <v>1409</v>
      </c>
      <c r="F1976" s="245" t="s">
        <v>2395</v>
      </c>
      <c r="G1976" s="245" t="s">
        <v>2392</v>
      </c>
      <c r="H1976" s="245" t="s">
        <v>2392</v>
      </c>
    </row>
    <row r="1977" spans="1:8">
      <c r="A1977" s="245" t="s">
        <v>3367</v>
      </c>
      <c r="B1977" s="245">
        <v>41200053</v>
      </c>
      <c r="C1977" s="245" t="s">
        <v>2184</v>
      </c>
      <c r="D1977" s="245" t="s">
        <v>6646</v>
      </c>
      <c r="E1977" s="245" t="s">
        <v>1405</v>
      </c>
      <c r="F1977" s="245" t="s">
        <v>2392</v>
      </c>
      <c r="G1977" s="245" t="s">
        <v>2392</v>
      </c>
      <c r="H1977" s="245" t="s">
        <v>71</v>
      </c>
    </row>
    <row r="1978" spans="1:8">
      <c r="A1978" s="245" t="s">
        <v>3366</v>
      </c>
      <c r="B1978" s="245">
        <v>41200053</v>
      </c>
      <c r="C1978" s="245" t="s">
        <v>2184</v>
      </c>
      <c r="D1978" s="245" t="s">
        <v>6646</v>
      </c>
      <c r="E1978" s="245" t="s">
        <v>1405</v>
      </c>
      <c r="F1978" s="245" t="s">
        <v>2392</v>
      </c>
      <c r="G1978" s="245" t="s">
        <v>2392</v>
      </c>
      <c r="H1978" s="245" t="s">
        <v>71</v>
      </c>
    </row>
    <row r="1979" spans="1:8">
      <c r="A1979" s="245" t="s">
        <v>3365</v>
      </c>
      <c r="B1979" s="245">
        <v>41200053</v>
      </c>
      <c r="C1979" s="245" t="s">
        <v>2184</v>
      </c>
      <c r="D1979" s="245" t="s">
        <v>6646</v>
      </c>
      <c r="E1979" s="245" t="s">
        <v>1405</v>
      </c>
      <c r="F1979" s="245" t="s">
        <v>2392</v>
      </c>
      <c r="G1979" s="245" t="s">
        <v>2392</v>
      </c>
      <c r="H1979" s="245" t="s">
        <v>71</v>
      </c>
    </row>
    <row r="1980" spans="1:8">
      <c r="A1980" s="245" t="s">
        <v>3364</v>
      </c>
      <c r="B1980" s="245">
        <v>41200053</v>
      </c>
      <c r="C1980" s="245" t="s">
        <v>2184</v>
      </c>
      <c r="D1980" s="245" t="s">
        <v>6646</v>
      </c>
      <c r="E1980" s="245" t="s">
        <v>1405</v>
      </c>
      <c r="F1980" s="245" t="s">
        <v>2392</v>
      </c>
      <c r="G1980" s="245" t="s">
        <v>2392</v>
      </c>
      <c r="H1980" s="245" t="s">
        <v>71</v>
      </c>
    </row>
    <row r="1981" spans="1:8">
      <c r="A1981" s="245" t="s">
        <v>3377</v>
      </c>
      <c r="B1981" s="245">
        <v>41200153</v>
      </c>
      <c r="C1981" s="245" t="s">
        <v>1476</v>
      </c>
      <c r="D1981" s="245" t="s">
        <v>6663</v>
      </c>
      <c r="E1981" s="245" t="s">
        <v>1422</v>
      </c>
      <c r="F1981" s="245" t="s">
        <v>2391</v>
      </c>
      <c r="G1981" s="245" t="s">
        <v>1468</v>
      </c>
      <c r="H1981" s="245" t="s">
        <v>2392</v>
      </c>
    </row>
    <row r="1982" spans="1:8">
      <c r="A1982" s="245" t="s">
        <v>3386</v>
      </c>
      <c r="B1982" s="245">
        <v>41200122</v>
      </c>
      <c r="C1982" s="245" t="s">
        <v>1476</v>
      </c>
      <c r="D1982" s="245" t="s">
        <v>1476</v>
      </c>
      <c r="E1982" s="245" t="s">
        <v>1585</v>
      </c>
      <c r="F1982" s="245" t="s">
        <v>2391</v>
      </c>
      <c r="G1982" s="245" t="s">
        <v>2392</v>
      </c>
      <c r="H1982" s="245" t="s">
        <v>2392</v>
      </c>
    </row>
    <row r="1983" spans="1:8">
      <c r="A1983" s="245" t="s">
        <v>3373</v>
      </c>
      <c r="B1983" s="245">
        <v>41200006</v>
      </c>
      <c r="C1983" s="245" t="s">
        <v>1477</v>
      </c>
      <c r="D1983" s="245" t="s">
        <v>6640</v>
      </c>
      <c r="E1983" s="245" t="s">
        <v>1405</v>
      </c>
      <c r="F1983" s="245" t="s">
        <v>2395</v>
      </c>
      <c r="G1983" s="245" t="s">
        <v>1469</v>
      </c>
      <c r="H1983" s="245" t="s">
        <v>2392</v>
      </c>
    </row>
    <row r="1984" spans="1:8">
      <c r="A1984" s="245" t="s">
        <v>3372</v>
      </c>
      <c r="B1984" s="245">
        <v>41200006</v>
      </c>
      <c r="C1984" s="245" t="s">
        <v>1477</v>
      </c>
      <c r="D1984" s="245" t="s">
        <v>6640</v>
      </c>
      <c r="E1984" s="245" t="s">
        <v>1405</v>
      </c>
      <c r="F1984" s="245" t="s">
        <v>2395</v>
      </c>
      <c r="G1984" s="245" t="s">
        <v>1469</v>
      </c>
      <c r="H1984" s="245" t="s">
        <v>2392</v>
      </c>
    </row>
    <row r="1985" spans="1:8">
      <c r="A1985" s="245" t="s">
        <v>3416</v>
      </c>
      <c r="B1985" s="245">
        <v>41100502</v>
      </c>
      <c r="C1985" s="245" t="s">
        <v>1591</v>
      </c>
      <c r="D1985" s="245" t="s">
        <v>1591</v>
      </c>
      <c r="E1985" s="245" t="s">
        <v>1585</v>
      </c>
      <c r="F1985" s="245" t="s">
        <v>2395</v>
      </c>
      <c r="G1985" s="245" t="s">
        <v>1469</v>
      </c>
      <c r="H1985" s="245" t="s">
        <v>2392</v>
      </c>
    </row>
    <row r="1986" spans="1:8">
      <c r="A1986" s="245" t="s">
        <v>3415</v>
      </c>
      <c r="B1986" s="245">
        <v>41100502</v>
      </c>
      <c r="C1986" s="245" t="s">
        <v>1591</v>
      </c>
      <c r="D1986" s="245" t="s">
        <v>1591</v>
      </c>
      <c r="E1986" s="245" t="s">
        <v>1585</v>
      </c>
      <c r="F1986" s="245" t="s">
        <v>2395</v>
      </c>
      <c r="G1986" s="245" t="s">
        <v>1469</v>
      </c>
      <c r="H1986" s="245" t="s">
        <v>2392</v>
      </c>
    </row>
    <row r="1987" spans="1:8">
      <c r="A1987" s="245" t="s">
        <v>3337</v>
      </c>
      <c r="B1987" s="245">
        <v>41100321</v>
      </c>
      <c r="C1987" s="245" t="s">
        <v>1476</v>
      </c>
      <c r="D1987" s="245" t="s">
        <v>6610</v>
      </c>
      <c r="E1987" s="245" t="s">
        <v>1422</v>
      </c>
      <c r="F1987" s="245" t="s">
        <v>2395</v>
      </c>
      <c r="G1987" s="245" t="s">
        <v>1469</v>
      </c>
      <c r="H1987" s="245" t="s">
        <v>2392</v>
      </c>
    </row>
    <row r="1988" spans="1:8">
      <c r="A1988" s="245" t="s">
        <v>3351</v>
      </c>
      <c r="B1988" s="245">
        <v>41200004</v>
      </c>
      <c r="C1988" s="245" t="s">
        <v>1476</v>
      </c>
      <c r="D1988" s="245" t="s">
        <v>1476</v>
      </c>
      <c r="E1988" s="245" t="s">
        <v>1424</v>
      </c>
      <c r="F1988" s="245" t="s">
        <v>2395</v>
      </c>
      <c r="G1988" s="245" t="s">
        <v>1469</v>
      </c>
      <c r="H1988" s="245" t="s">
        <v>2392</v>
      </c>
    </row>
    <row r="1989" spans="1:8">
      <c r="A1989" s="245" t="s">
        <v>3442</v>
      </c>
      <c r="B1989" s="245">
        <v>41200175</v>
      </c>
      <c r="C1989" s="245" t="s">
        <v>1476</v>
      </c>
      <c r="D1989" s="245" t="s">
        <v>1591</v>
      </c>
      <c r="E1989" s="245" t="s">
        <v>1424</v>
      </c>
      <c r="F1989" s="245" t="s">
        <v>2395</v>
      </c>
      <c r="G1989" s="245" t="s">
        <v>1469</v>
      </c>
      <c r="H1989" s="245" t="s">
        <v>2392</v>
      </c>
    </row>
    <row r="1990" spans="1:8">
      <c r="A1990" s="245" t="s">
        <v>3359</v>
      </c>
      <c r="B1990" s="245">
        <v>41200007</v>
      </c>
      <c r="C1990" s="245" t="s">
        <v>1591</v>
      </c>
      <c r="D1990" s="245" t="s">
        <v>6608</v>
      </c>
      <c r="E1990" s="245" t="s">
        <v>1405</v>
      </c>
      <c r="F1990" s="245" t="s">
        <v>2391</v>
      </c>
      <c r="G1990" s="245" t="s">
        <v>1468</v>
      </c>
      <c r="H1990" s="245" t="s">
        <v>2392</v>
      </c>
    </row>
    <row r="1991" spans="1:8">
      <c r="A1991" s="245" t="s">
        <v>3358</v>
      </c>
      <c r="B1991" s="245">
        <v>41200007</v>
      </c>
      <c r="C1991" s="245" t="s">
        <v>1591</v>
      </c>
      <c r="D1991" s="245" t="s">
        <v>6608</v>
      </c>
      <c r="E1991" s="245" t="s">
        <v>1405</v>
      </c>
      <c r="F1991" s="245" t="s">
        <v>2391</v>
      </c>
      <c r="G1991" s="245" t="s">
        <v>1468</v>
      </c>
      <c r="H1991" s="245" t="s">
        <v>2392</v>
      </c>
    </row>
    <row r="1992" spans="1:8">
      <c r="A1992" s="245" t="s">
        <v>3390</v>
      </c>
      <c r="B1992" s="245">
        <v>41200152</v>
      </c>
      <c r="C1992" s="245" t="s">
        <v>1476</v>
      </c>
      <c r="D1992" s="245" t="s">
        <v>6618</v>
      </c>
      <c r="E1992" s="245" t="s">
        <v>1585</v>
      </c>
      <c r="F1992" s="245" t="s">
        <v>2555</v>
      </c>
      <c r="G1992" s="245" t="s">
        <v>2555</v>
      </c>
      <c r="H1992" s="245" t="s">
        <v>2392</v>
      </c>
    </row>
    <row r="1993" spans="1:8">
      <c r="A1993" s="245" t="s">
        <v>3389</v>
      </c>
      <c r="B1993" s="245">
        <v>41200152</v>
      </c>
      <c r="C1993" s="245" t="s">
        <v>1476</v>
      </c>
      <c r="D1993" s="245" t="s">
        <v>6618</v>
      </c>
      <c r="E1993" s="245" t="s">
        <v>1585</v>
      </c>
      <c r="F1993" s="245" t="s">
        <v>2555</v>
      </c>
      <c r="G1993" s="245" t="s">
        <v>2555</v>
      </c>
      <c r="H1993" s="245" t="s">
        <v>2392</v>
      </c>
    </row>
    <row r="1994" spans="1:8">
      <c r="A1994" s="245" t="s">
        <v>6664</v>
      </c>
      <c r="B1994" s="245">
        <v>41000560</v>
      </c>
      <c r="C1994" s="245" t="s">
        <v>3638</v>
      </c>
      <c r="D1994" s="245" t="s">
        <v>1424</v>
      </c>
      <c r="E1994" s="245" t="s">
        <v>1424</v>
      </c>
      <c r="F1994" s="245" t="s">
        <v>2395</v>
      </c>
      <c r="G1994" s="245" t="s">
        <v>1469</v>
      </c>
      <c r="H1994" s="245" t="s">
        <v>2392</v>
      </c>
    </row>
    <row r="1995" spans="1:8">
      <c r="A1995" s="245" t="s">
        <v>3349</v>
      </c>
      <c r="B1995" s="245">
        <v>41100338</v>
      </c>
      <c r="C1995" s="245" t="s">
        <v>1591</v>
      </c>
      <c r="D1995" s="245" t="s">
        <v>6617</v>
      </c>
      <c r="E1995" s="245" t="s">
        <v>1585</v>
      </c>
      <c r="F1995" s="245" t="s">
        <v>2391</v>
      </c>
      <c r="G1995" s="245" t="s">
        <v>2392</v>
      </c>
      <c r="H1995" s="245" t="s">
        <v>2392</v>
      </c>
    </row>
    <row r="1996" spans="1:8">
      <c r="A1996" s="245" t="s">
        <v>3348</v>
      </c>
      <c r="B1996" s="245">
        <v>41100338</v>
      </c>
      <c r="C1996" s="245" t="s">
        <v>1591</v>
      </c>
      <c r="D1996" s="245" t="s">
        <v>6617</v>
      </c>
      <c r="E1996" s="245" t="s">
        <v>1585</v>
      </c>
      <c r="F1996" s="245" t="s">
        <v>2391</v>
      </c>
      <c r="G1996" s="245" t="s">
        <v>2392</v>
      </c>
      <c r="H1996" s="245" t="s">
        <v>2392</v>
      </c>
    </row>
    <row r="1997" spans="1:8">
      <c r="A1997" s="245" t="s">
        <v>3397</v>
      </c>
      <c r="B1997" s="245">
        <v>41200087</v>
      </c>
      <c r="C1997" s="245" t="s">
        <v>1476</v>
      </c>
      <c r="D1997" s="245" t="s">
        <v>1476</v>
      </c>
      <c r="E1997" s="245" t="s">
        <v>1429</v>
      </c>
      <c r="F1997" s="245" t="s">
        <v>2555</v>
      </c>
      <c r="G1997" s="245" t="s">
        <v>2555</v>
      </c>
      <c r="H1997" s="245" t="s">
        <v>2392</v>
      </c>
    </row>
    <row r="1998" spans="1:8">
      <c r="A1998" s="245" t="s">
        <v>3396</v>
      </c>
      <c r="B1998" s="245">
        <v>41200087</v>
      </c>
      <c r="C1998" s="245" t="s">
        <v>1476</v>
      </c>
      <c r="D1998" s="245" t="s">
        <v>1476</v>
      </c>
      <c r="E1998" s="245" t="s">
        <v>1429</v>
      </c>
      <c r="F1998" s="245" t="s">
        <v>2555</v>
      </c>
      <c r="G1998" s="245" t="s">
        <v>2555</v>
      </c>
      <c r="H1998" s="245" t="s">
        <v>2392</v>
      </c>
    </row>
    <row r="1999" spans="1:8">
      <c r="A1999" s="245" t="s">
        <v>3363</v>
      </c>
      <c r="B1999" s="245">
        <v>41200173</v>
      </c>
      <c r="C1999" s="245" t="s">
        <v>1591</v>
      </c>
      <c r="D1999" s="245" t="s">
        <v>1405</v>
      </c>
      <c r="E1999" s="245" t="s">
        <v>1405</v>
      </c>
      <c r="F1999" s="245" t="s">
        <v>2395</v>
      </c>
      <c r="G1999" s="245" t="s">
        <v>1469</v>
      </c>
      <c r="H1999" s="245" t="s">
        <v>2392</v>
      </c>
    </row>
    <row r="2000" spans="1:8">
      <c r="A2000" s="245" t="s">
        <v>3362</v>
      </c>
      <c r="B2000" s="245">
        <v>41200173</v>
      </c>
      <c r="C2000" s="245" t="s">
        <v>1591</v>
      </c>
      <c r="D2000" s="245" t="s">
        <v>1405</v>
      </c>
      <c r="E2000" s="245" t="s">
        <v>1405</v>
      </c>
      <c r="F2000" s="245" t="s">
        <v>2395</v>
      </c>
      <c r="G2000" s="245" t="s">
        <v>1469</v>
      </c>
      <c r="H2000" s="245" t="s">
        <v>2392</v>
      </c>
    </row>
    <row r="2001" spans="1:8">
      <c r="A2001" s="245" t="s">
        <v>3350</v>
      </c>
      <c r="B2001" s="245">
        <v>41100584</v>
      </c>
      <c r="C2001" s="245" t="s">
        <v>1591</v>
      </c>
      <c r="D2001" s="245" t="s">
        <v>6635</v>
      </c>
      <c r="E2001" s="245" t="s">
        <v>1422</v>
      </c>
      <c r="F2001" s="245" t="s">
        <v>2391</v>
      </c>
      <c r="G2001" s="245" t="s">
        <v>1468</v>
      </c>
      <c r="H2001" s="245" t="s">
        <v>2392</v>
      </c>
    </row>
    <row r="2002" spans="1:8">
      <c r="A2002" s="245" t="s">
        <v>3357</v>
      </c>
      <c r="B2002" s="245">
        <v>41200005</v>
      </c>
      <c r="C2002" s="245" t="s">
        <v>1591</v>
      </c>
      <c r="D2002" s="245" t="s">
        <v>1591</v>
      </c>
      <c r="E2002" s="245" t="s">
        <v>1405</v>
      </c>
      <c r="F2002" s="245" t="s">
        <v>2391</v>
      </c>
      <c r="G2002" s="245" t="s">
        <v>2392</v>
      </c>
      <c r="H2002" s="245" t="s">
        <v>2392</v>
      </c>
    </row>
    <row r="2003" spans="1:8">
      <c r="A2003" s="245" t="s">
        <v>3355</v>
      </c>
      <c r="B2003" s="245">
        <v>41200005</v>
      </c>
      <c r="C2003" s="245" t="s">
        <v>1591</v>
      </c>
      <c r="D2003" s="245" t="s">
        <v>1591</v>
      </c>
      <c r="E2003" s="245" t="s">
        <v>1405</v>
      </c>
      <c r="F2003" s="245" t="s">
        <v>2391</v>
      </c>
      <c r="G2003" s="245" t="s">
        <v>2392</v>
      </c>
      <c r="H2003" s="245" t="s">
        <v>2392</v>
      </c>
    </row>
    <row r="2004" spans="1:8">
      <c r="A2004" s="245" t="s">
        <v>3379</v>
      </c>
      <c r="B2004" s="245">
        <v>41200109</v>
      </c>
      <c r="C2004" s="245" t="s">
        <v>1591</v>
      </c>
      <c r="D2004" s="245" t="s">
        <v>6619</v>
      </c>
      <c r="E2004" s="245" t="s">
        <v>1585</v>
      </c>
      <c r="F2004" s="245" t="s">
        <v>2391</v>
      </c>
      <c r="G2004" s="245" t="s">
        <v>1468</v>
      </c>
      <c r="H2004" s="245" t="s">
        <v>2392</v>
      </c>
    </row>
    <row r="2005" spans="1:8">
      <c r="A2005" s="245" t="s">
        <v>3378</v>
      </c>
      <c r="B2005" s="245">
        <v>41200109</v>
      </c>
      <c r="C2005" s="245" t="s">
        <v>1591</v>
      </c>
      <c r="D2005" s="245" t="s">
        <v>6619</v>
      </c>
      <c r="E2005" s="245" t="s">
        <v>1585</v>
      </c>
      <c r="F2005" s="245" t="s">
        <v>2391</v>
      </c>
      <c r="G2005" s="245" t="s">
        <v>1468</v>
      </c>
      <c r="H2005" s="245" t="s">
        <v>2392</v>
      </c>
    </row>
    <row r="2006" spans="1:8">
      <c r="A2006" s="245" t="s">
        <v>3356</v>
      </c>
      <c r="B2006" s="245">
        <v>41200181</v>
      </c>
      <c r="C2006" s="245" t="s">
        <v>1581</v>
      </c>
      <c r="D2006" s="245" t="s">
        <v>6665</v>
      </c>
      <c r="E2006" s="245" t="s">
        <v>1405</v>
      </c>
      <c r="F2006" s="245" t="s">
        <v>2392</v>
      </c>
      <c r="G2006" s="245" t="s">
        <v>2392</v>
      </c>
      <c r="H2006" s="245" t="s">
        <v>71</v>
      </c>
    </row>
    <row r="2007" spans="1:8">
      <c r="A2007" s="245" t="s">
        <v>3354</v>
      </c>
      <c r="B2007" s="245">
        <v>41200088</v>
      </c>
      <c r="C2007" s="245" t="s">
        <v>1476</v>
      </c>
      <c r="D2007" s="245" t="s">
        <v>1476</v>
      </c>
      <c r="E2007" s="245" t="s">
        <v>1422</v>
      </c>
      <c r="F2007" s="245" t="s">
        <v>2391</v>
      </c>
      <c r="G2007" s="245" t="s">
        <v>2392</v>
      </c>
      <c r="H2007" s="245" t="s">
        <v>2392</v>
      </c>
    </row>
    <row r="2008" spans="1:8">
      <c r="A2008" s="245" t="s">
        <v>3347</v>
      </c>
      <c r="B2008" s="245">
        <v>41200006</v>
      </c>
      <c r="C2008" s="245" t="s">
        <v>1477</v>
      </c>
      <c r="D2008" s="245" t="s">
        <v>6640</v>
      </c>
      <c r="E2008" s="245" t="s">
        <v>1405</v>
      </c>
      <c r="F2008" s="245" t="s">
        <v>2391</v>
      </c>
      <c r="G2008" s="245" t="s">
        <v>2392</v>
      </c>
      <c r="H2008" s="245" t="s">
        <v>2392</v>
      </c>
    </row>
    <row r="2009" spans="1:8">
      <c r="A2009" s="245" t="s">
        <v>3346</v>
      </c>
      <c r="B2009" s="245">
        <v>41200006</v>
      </c>
      <c r="C2009" s="245" t="s">
        <v>1477</v>
      </c>
      <c r="D2009" s="245" t="s">
        <v>6640</v>
      </c>
      <c r="E2009" s="245" t="s">
        <v>1405</v>
      </c>
      <c r="F2009" s="245" t="s">
        <v>2391</v>
      </c>
      <c r="G2009" s="245" t="s">
        <v>2392</v>
      </c>
      <c r="H2009" s="245" t="s">
        <v>2392</v>
      </c>
    </row>
    <row r="2010" spans="1:8">
      <c r="A2010" s="245" t="s">
        <v>3342</v>
      </c>
      <c r="B2010" s="245">
        <v>41100696</v>
      </c>
      <c r="C2010" s="245" t="s">
        <v>1911</v>
      </c>
      <c r="D2010" s="245" t="s">
        <v>6634</v>
      </c>
      <c r="E2010" s="245" t="s">
        <v>1433</v>
      </c>
      <c r="F2010" s="245" t="s">
        <v>2392</v>
      </c>
      <c r="G2010" s="245" t="s">
        <v>2392</v>
      </c>
      <c r="H2010" s="245" t="s">
        <v>71</v>
      </c>
    </row>
    <row r="2011" spans="1:8">
      <c r="A2011" s="245" t="s">
        <v>3340</v>
      </c>
      <c r="B2011" s="245">
        <v>41100696</v>
      </c>
      <c r="C2011" s="245" t="s">
        <v>1911</v>
      </c>
      <c r="D2011" s="245" t="s">
        <v>6634</v>
      </c>
      <c r="E2011" s="245" t="s">
        <v>1433</v>
      </c>
      <c r="F2011" s="245" t="s">
        <v>2392</v>
      </c>
      <c r="G2011" s="245" t="s">
        <v>2392</v>
      </c>
      <c r="H2011" s="245" t="s">
        <v>71</v>
      </c>
    </row>
    <row r="2012" spans="1:8">
      <c r="A2012" s="245" t="s">
        <v>3336</v>
      </c>
      <c r="B2012" s="245">
        <v>41100321</v>
      </c>
      <c r="C2012" s="245" t="s">
        <v>1476</v>
      </c>
      <c r="D2012" s="245" t="s">
        <v>6610</v>
      </c>
      <c r="E2012" s="245" t="s">
        <v>1422</v>
      </c>
      <c r="F2012" s="245" t="s">
        <v>2391</v>
      </c>
      <c r="G2012" s="245" t="s">
        <v>1468</v>
      </c>
      <c r="H2012" s="245" t="s">
        <v>2392</v>
      </c>
    </row>
    <row r="2013" spans="1:8">
      <c r="A2013" s="245" t="s">
        <v>3335</v>
      </c>
      <c r="B2013" s="245">
        <v>41100321</v>
      </c>
      <c r="C2013" s="245" t="s">
        <v>1476</v>
      </c>
      <c r="D2013" s="245" t="s">
        <v>6610</v>
      </c>
      <c r="E2013" s="245" t="s">
        <v>1422</v>
      </c>
      <c r="F2013" s="245" t="s">
        <v>2391</v>
      </c>
      <c r="G2013" s="245" t="s">
        <v>1468</v>
      </c>
      <c r="H2013" s="245" t="s">
        <v>2392</v>
      </c>
    </row>
    <row r="2014" spans="1:8">
      <c r="A2014" s="245" t="s">
        <v>3345</v>
      </c>
      <c r="B2014" s="245">
        <v>41100321</v>
      </c>
      <c r="C2014" s="245" t="s">
        <v>1476</v>
      </c>
      <c r="D2014" s="245" t="s">
        <v>6610</v>
      </c>
      <c r="E2014" s="245" t="s">
        <v>1422</v>
      </c>
      <c r="F2014" s="245" t="s">
        <v>2395</v>
      </c>
      <c r="G2014" s="245" t="s">
        <v>1469</v>
      </c>
      <c r="H2014" s="245" t="s">
        <v>2392</v>
      </c>
    </row>
    <row r="2015" spans="1:8">
      <c r="A2015" s="245" t="s">
        <v>3344</v>
      </c>
      <c r="B2015" s="245">
        <v>41100321</v>
      </c>
      <c r="C2015" s="245" t="s">
        <v>1476</v>
      </c>
      <c r="D2015" s="245" t="s">
        <v>6610</v>
      </c>
      <c r="E2015" s="245" t="s">
        <v>1422</v>
      </c>
      <c r="F2015" s="245" t="s">
        <v>2395</v>
      </c>
      <c r="G2015" s="245" t="s">
        <v>1469</v>
      </c>
      <c r="H2015" s="245" t="s">
        <v>2392</v>
      </c>
    </row>
    <row r="2016" spans="1:8">
      <c r="A2016" s="245" t="s">
        <v>3307</v>
      </c>
      <c r="B2016" s="245">
        <v>41200152</v>
      </c>
      <c r="C2016" s="245" t="s">
        <v>1476</v>
      </c>
      <c r="D2016" s="245" t="s">
        <v>6618</v>
      </c>
      <c r="E2016" s="245" t="s">
        <v>1585</v>
      </c>
      <c r="F2016" s="245" t="s">
        <v>2395</v>
      </c>
      <c r="G2016" s="245" t="s">
        <v>1469</v>
      </c>
      <c r="H2016" s="245" t="s">
        <v>2392</v>
      </c>
    </row>
    <row r="2017" spans="1:8">
      <c r="A2017" s="245" t="s">
        <v>3300</v>
      </c>
      <c r="B2017" s="245">
        <v>41200152</v>
      </c>
      <c r="C2017" s="245" t="s">
        <v>1476</v>
      </c>
      <c r="D2017" s="245" t="s">
        <v>6618</v>
      </c>
      <c r="E2017" s="245" t="s">
        <v>1585</v>
      </c>
      <c r="F2017" s="245" t="s">
        <v>2395</v>
      </c>
      <c r="G2017" s="245" t="s">
        <v>1469</v>
      </c>
      <c r="H2017" s="245" t="s">
        <v>2392</v>
      </c>
    </row>
    <row r="2018" spans="1:8">
      <c r="A2018" s="245" t="s">
        <v>3343</v>
      </c>
      <c r="B2018" s="245">
        <v>41200125</v>
      </c>
      <c r="C2018" s="245" t="s">
        <v>1476</v>
      </c>
      <c r="D2018" s="245" t="s">
        <v>1476</v>
      </c>
      <c r="E2018" s="245" t="s">
        <v>1585</v>
      </c>
      <c r="F2018" s="245" t="s">
        <v>2391</v>
      </c>
      <c r="G2018" s="245" t="s">
        <v>1468</v>
      </c>
      <c r="H2018" s="245" t="s">
        <v>2392</v>
      </c>
    </row>
    <row r="2019" spans="1:8">
      <c r="A2019" s="245" t="s">
        <v>3339</v>
      </c>
      <c r="B2019" s="245">
        <v>41200122</v>
      </c>
      <c r="C2019" s="245" t="s">
        <v>1476</v>
      </c>
      <c r="D2019" s="245" t="s">
        <v>1476</v>
      </c>
      <c r="E2019" s="245" t="s">
        <v>1585</v>
      </c>
      <c r="F2019" s="245" t="s">
        <v>2391</v>
      </c>
      <c r="G2019" s="245" t="s">
        <v>2392</v>
      </c>
      <c r="H2019" s="245" t="s">
        <v>2392</v>
      </c>
    </row>
    <row r="2020" spans="1:8">
      <c r="A2020" s="245" t="s">
        <v>6666</v>
      </c>
      <c r="B2020" s="245" t="s">
        <v>6592</v>
      </c>
      <c r="C2020" s="245" t="s">
        <v>6593</v>
      </c>
      <c r="D2020" s="245" t="s">
        <v>71</v>
      </c>
      <c r="E2020" s="245" t="s">
        <v>1405</v>
      </c>
      <c r="F2020" s="245" t="s">
        <v>2392</v>
      </c>
      <c r="G2020" s="245" t="s">
        <v>2392</v>
      </c>
      <c r="H2020" s="245" t="s">
        <v>2392</v>
      </c>
    </row>
    <row r="2021" spans="1:8">
      <c r="A2021" s="245" t="s">
        <v>6667</v>
      </c>
      <c r="B2021" s="245" t="s">
        <v>6592</v>
      </c>
      <c r="C2021" s="245" t="s">
        <v>6593</v>
      </c>
      <c r="D2021" s="245" t="s">
        <v>71</v>
      </c>
      <c r="E2021" s="245" t="s">
        <v>1405</v>
      </c>
      <c r="F2021" s="245" t="s">
        <v>2392</v>
      </c>
      <c r="G2021" s="245" t="s">
        <v>2392</v>
      </c>
      <c r="H2021" s="245" t="s">
        <v>2392</v>
      </c>
    </row>
    <row r="2022" spans="1:8">
      <c r="A2022" s="245" t="s">
        <v>6668</v>
      </c>
      <c r="B2022" s="245" t="s">
        <v>6592</v>
      </c>
      <c r="C2022" s="245" t="s">
        <v>6593</v>
      </c>
      <c r="D2022" s="245" t="s">
        <v>71</v>
      </c>
      <c r="E2022" s="245" t="s">
        <v>1405</v>
      </c>
      <c r="F2022" s="245" t="s">
        <v>2392</v>
      </c>
      <c r="G2022" s="245" t="s">
        <v>2392</v>
      </c>
      <c r="H2022" s="245" t="s">
        <v>2392</v>
      </c>
    </row>
    <row r="2023" spans="1:8">
      <c r="A2023" s="245" t="s">
        <v>6669</v>
      </c>
      <c r="B2023" s="245" t="s">
        <v>6592</v>
      </c>
      <c r="C2023" s="245" t="s">
        <v>6593</v>
      </c>
      <c r="D2023" s="245" t="s">
        <v>71</v>
      </c>
      <c r="E2023" s="245" t="s">
        <v>1405</v>
      </c>
      <c r="F2023" s="245" t="s">
        <v>2392</v>
      </c>
      <c r="G2023" s="245" t="s">
        <v>2392</v>
      </c>
      <c r="H2023" s="245" t="s">
        <v>2392</v>
      </c>
    </row>
    <row r="2024" spans="1:8">
      <c r="A2024" s="245" t="s">
        <v>6670</v>
      </c>
      <c r="B2024" s="245" t="s">
        <v>6592</v>
      </c>
      <c r="C2024" s="245" t="s">
        <v>6593</v>
      </c>
      <c r="D2024" s="245" t="s">
        <v>71</v>
      </c>
      <c r="E2024" s="245" t="s">
        <v>1405</v>
      </c>
      <c r="F2024" s="245" t="s">
        <v>2392</v>
      </c>
      <c r="G2024" s="245" t="s">
        <v>2392</v>
      </c>
      <c r="H2024" s="245" t="s">
        <v>2392</v>
      </c>
    </row>
    <row r="2025" spans="1:8">
      <c r="A2025" s="245" t="s">
        <v>6671</v>
      </c>
      <c r="B2025" s="245" t="s">
        <v>6592</v>
      </c>
      <c r="C2025" s="245" t="s">
        <v>6593</v>
      </c>
      <c r="D2025" s="245" t="s">
        <v>71</v>
      </c>
      <c r="E2025" s="245" t="s">
        <v>1405</v>
      </c>
      <c r="F2025" s="245" t="s">
        <v>2392</v>
      </c>
      <c r="G2025" s="245" t="s">
        <v>2392</v>
      </c>
      <c r="H2025" s="245" t="s">
        <v>2392</v>
      </c>
    </row>
    <row r="2026" spans="1:8">
      <c r="A2026" s="245" t="s">
        <v>6672</v>
      </c>
      <c r="B2026" s="245" t="s">
        <v>6592</v>
      </c>
      <c r="C2026" s="245" t="s">
        <v>6593</v>
      </c>
      <c r="D2026" s="245" t="s">
        <v>71</v>
      </c>
      <c r="E2026" s="245" t="s">
        <v>1405</v>
      </c>
      <c r="F2026" s="245" t="s">
        <v>2392</v>
      </c>
      <c r="G2026" s="245" t="s">
        <v>2392</v>
      </c>
      <c r="H2026" s="245" t="s">
        <v>2392</v>
      </c>
    </row>
    <row r="2027" spans="1:8">
      <c r="A2027" s="245" t="s">
        <v>6673</v>
      </c>
      <c r="B2027" s="245" t="s">
        <v>6592</v>
      </c>
      <c r="C2027" s="245" t="s">
        <v>6593</v>
      </c>
      <c r="D2027" s="245" t="s">
        <v>71</v>
      </c>
      <c r="E2027" s="245" t="s">
        <v>1405</v>
      </c>
      <c r="F2027" s="245" t="s">
        <v>2392</v>
      </c>
      <c r="G2027" s="245" t="s">
        <v>2392</v>
      </c>
      <c r="H2027" s="245" t="s">
        <v>2392</v>
      </c>
    </row>
    <row r="2028" spans="1:8">
      <c r="A2028" s="245" t="s">
        <v>6674</v>
      </c>
      <c r="B2028" s="245" t="s">
        <v>6592</v>
      </c>
      <c r="C2028" s="245" t="s">
        <v>6593</v>
      </c>
      <c r="D2028" s="245" t="s">
        <v>71</v>
      </c>
      <c r="E2028" s="245" t="s">
        <v>1405</v>
      </c>
      <c r="F2028" s="245" t="s">
        <v>2392</v>
      </c>
      <c r="G2028" s="245" t="s">
        <v>2392</v>
      </c>
      <c r="H2028" s="245" t="s">
        <v>2392</v>
      </c>
    </row>
    <row r="2029" spans="1:8">
      <c r="A2029" s="245" t="s">
        <v>6675</v>
      </c>
      <c r="B2029" s="245" t="s">
        <v>6592</v>
      </c>
      <c r="C2029" s="245" t="s">
        <v>6593</v>
      </c>
      <c r="D2029" s="245" t="s">
        <v>71</v>
      </c>
      <c r="E2029" s="245" t="s">
        <v>1405</v>
      </c>
      <c r="F2029" s="245" t="s">
        <v>2392</v>
      </c>
      <c r="G2029" s="245" t="s">
        <v>2392</v>
      </c>
      <c r="H2029" s="245" t="s">
        <v>2392</v>
      </c>
    </row>
    <row r="2030" spans="1:8">
      <c r="A2030" s="245" t="s">
        <v>3332</v>
      </c>
      <c r="B2030" s="245">
        <v>41200076</v>
      </c>
      <c r="C2030" s="245" t="s">
        <v>1476</v>
      </c>
      <c r="D2030" s="245" t="s">
        <v>1476</v>
      </c>
      <c r="E2030" s="245" t="s">
        <v>1585</v>
      </c>
      <c r="F2030" s="245" t="s">
        <v>2395</v>
      </c>
      <c r="G2030" s="245" t="s">
        <v>1469</v>
      </c>
      <c r="H2030" s="245" t="s">
        <v>2392</v>
      </c>
    </row>
    <row r="2031" spans="1:8">
      <c r="A2031" s="245" t="s">
        <v>3331</v>
      </c>
      <c r="B2031" s="245">
        <v>41200124</v>
      </c>
      <c r="C2031" s="245" t="s">
        <v>1476</v>
      </c>
      <c r="D2031" s="245" t="s">
        <v>6609</v>
      </c>
      <c r="E2031" s="245" t="s">
        <v>1585</v>
      </c>
      <c r="F2031" s="245" t="s">
        <v>2391</v>
      </c>
      <c r="G2031" s="245" t="s">
        <v>2392</v>
      </c>
      <c r="H2031" s="245" t="s">
        <v>2392</v>
      </c>
    </row>
    <row r="2032" spans="1:8">
      <c r="A2032" s="245" t="s">
        <v>3330</v>
      </c>
      <c r="B2032" s="245">
        <v>41200124</v>
      </c>
      <c r="C2032" s="245" t="s">
        <v>1476</v>
      </c>
      <c r="D2032" s="245" t="s">
        <v>6609</v>
      </c>
      <c r="E2032" s="245" t="s">
        <v>1585</v>
      </c>
      <c r="F2032" s="245" t="s">
        <v>2391</v>
      </c>
      <c r="G2032" s="245" t="s">
        <v>2392</v>
      </c>
      <c r="H2032" s="245" t="s">
        <v>2392</v>
      </c>
    </row>
    <row r="2033" spans="1:8">
      <c r="A2033" s="245" t="s">
        <v>3318</v>
      </c>
      <c r="B2033" s="245">
        <v>41100435</v>
      </c>
      <c r="C2033" s="245" t="s">
        <v>3801</v>
      </c>
      <c r="D2033" s="245" t="s">
        <v>1482</v>
      </c>
      <c r="E2033" s="245" t="s">
        <v>1585</v>
      </c>
      <c r="F2033" s="245" t="s">
        <v>2391</v>
      </c>
      <c r="G2033" s="245" t="s">
        <v>1468</v>
      </c>
      <c r="H2033" s="245" t="s">
        <v>71</v>
      </c>
    </row>
    <row r="2034" spans="1:8">
      <c r="A2034" s="245" t="s">
        <v>3353</v>
      </c>
      <c r="B2034" s="245">
        <v>41200007</v>
      </c>
      <c r="C2034" s="245" t="s">
        <v>1591</v>
      </c>
      <c r="D2034" s="245" t="s">
        <v>6608</v>
      </c>
      <c r="E2034" s="245" t="s">
        <v>1405</v>
      </c>
      <c r="F2034" s="245" t="s">
        <v>2395</v>
      </c>
      <c r="G2034" s="245" t="s">
        <v>1469</v>
      </c>
      <c r="H2034" s="245" t="s">
        <v>2392</v>
      </c>
    </row>
    <row r="2035" spans="1:8">
      <c r="A2035" s="245" t="s">
        <v>3352</v>
      </c>
      <c r="B2035" s="245">
        <v>41200007</v>
      </c>
      <c r="C2035" s="245" t="s">
        <v>1591</v>
      </c>
      <c r="D2035" s="245" t="s">
        <v>6608</v>
      </c>
      <c r="E2035" s="245" t="s">
        <v>1405</v>
      </c>
      <c r="F2035" s="245" t="s">
        <v>2395</v>
      </c>
      <c r="G2035" s="245" t="s">
        <v>1469</v>
      </c>
      <c r="H2035" s="245" t="s">
        <v>2392</v>
      </c>
    </row>
    <row r="2036" spans="1:8">
      <c r="A2036" s="245" t="s">
        <v>3328</v>
      </c>
      <c r="B2036" s="245">
        <v>41200158</v>
      </c>
      <c r="C2036" s="245" t="s">
        <v>1480</v>
      </c>
      <c r="D2036" s="245" t="s">
        <v>1480</v>
      </c>
      <c r="E2036" s="245" t="s">
        <v>1405</v>
      </c>
      <c r="F2036" s="245" t="s">
        <v>2395</v>
      </c>
      <c r="G2036" s="245" t="s">
        <v>1469</v>
      </c>
      <c r="H2036" s="245" t="s">
        <v>2392</v>
      </c>
    </row>
    <row r="2037" spans="1:8">
      <c r="A2037" s="245" t="s">
        <v>3327</v>
      </c>
      <c r="B2037" s="245">
        <v>41200158</v>
      </c>
      <c r="C2037" s="245" t="s">
        <v>1480</v>
      </c>
      <c r="D2037" s="245" t="s">
        <v>1480</v>
      </c>
      <c r="E2037" s="245" t="s">
        <v>1405</v>
      </c>
      <c r="F2037" s="245" t="s">
        <v>2395</v>
      </c>
      <c r="G2037" s="245" t="s">
        <v>1469</v>
      </c>
      <c r="H2037" s="245" t="s">
        <v>2392</v>
      </c>
    </row>
    <row r="2038" spans="1:8">
      <c r="A2038" s="245" t="s">
        <v>3326</v>
      </c>
      <c r="B2038" s="245">
        <v>41200158</v>
      </c>
      <c r="C2038" s="245" t="s">
        <v>1480</v>
      </c>
      <c r="D2038" s="245" t="s">
        <v>1480</v>
      </c>
      <c r="E2038" s="245" t="s">
        <v>1405</v>
      </c>
      <c r="F2038" s="245" t="s">
        <v>2395</v>
      </c>
      <c r="G2038" s="245" t="s">
        <v>1469</v>
      </c>
      <c r="H2038" s="245" t="s">
        <v>2392</v>
      </c>
    </row>
    <row r="2039" spans="1:8">
      <c r="A2039" s="245" t="s">
        <v>3329</v>
      </c>
      <c r="B2039" s="245">
        <v>41200133</v>
      </c>
      <c r="C2039" s="245" t="s">
        <v>1476</v>
      </c>
      <c r="D2039" s="245" t="s">
        <v>6605</v>
      </c>
      <c r="E2039" s="245" t="s">
        <v>1429</v>
      </c>
      <c r="F2039" s="245" t="s">
        <v>2391</v>
      </c>
      <c r="G2039" s="245" t="s">
        <v>2392</v>
      </c>
      <c r="H2039" s="245" t="s">
        <v>2392</v>
      </c>
    </row>
    <row r="2040" spans="1:8">
      <c r="A2040" s="245" t="s">
        <v>3338</v>
      </c>
      <c r="B2040" s="245">
        <v>41200125</v>
      </c>
      <c r="C2040" s="245" t="s">
        <v>1476</v>
      </c>
      <c r="D2040" s="245" t="s">
        <v>1476</v>
      </c>
      <c r="E2040" s="245" t="s">
        <v>1585</v>
      </c>
      <c r="F2040" s="245" t="s">
        <v>2395</v>
      </c>
      <c r="G2040" s="245" t="s">
        <v>1469</v>
      </c>
      <c r="H2040" s="245" t="s">
        <v>2392</v>
      </c>
    </row>
    <row r="2041" spans="1:8">
      <c r="A2041" s="245" t="s">
        <v>3319</v>
      </c>
      <c r="B2041" s="245">
        <v>41200005</v>
      </c>
      <c r="C2041" s="245" t="s">
        <v>1591</v>
      </c>
      <c r="D2041" s="245" t="s">
        <v>1591</v>
      </c>
      <c r="E2041" s="245" t="s">
        <v>1405</v>
      </c>
      <c r="F2041" s="245" t="s">
        <v>2395</v>
      </c>
      <c r="G2041" s="245" t="s">
        <v>1469</v>
      </c>
      <c r="H2041" s="245" t="s">
        <v>2392</v>
      </c>
    </row>
    <row r="2042" spans="1:8">
      <c r="A2042" s="245" t="s">
        <v>3320</v>
      </c>
      <c r="B2042" s="245">
        <v>41200005</v>
      </c>
      <c r="C2042" s="245" t="s">
        <v>1591</v>
      </c>
      <c r="D2042" s="245" t="s">
        <v>1591</v>
      </c>
      <c r="E2042" s="245" t="s">
        <v>1405</v>
      </c>
      <c r="F2042" s="245" t="s">
        <v>2395</v>
      </c>
      <c r="G2042" s="245" t="s">
        <v>1469</v>
      </c>
      <c r="H2042" s="245" t="s">
        <v>2392</v>
      </c>
    </row>
    <row r="2043" spans="1:8">
      <c r="A2043" s="245" t="s">
        <v>3325</v>
      </c>
      <c r="B2043" s="245">
        <v>41200153</v>
      </c>
      <c r="C2043" s="245" t="s">
        <v>1476</v>
      </c>
      <c r="D2043" s="245" t="s">
        <v>6663</v>
      </c>
      <c r="E2043" s="245" t="s">
        <v>1422</v>
      </c>
      <c r="F2043" s="245" t="s">
        <v>2391</v>
      </c>
      <c r="G2043" s="245" t="s">
        <v>1468</v>
      </c>
      <c r="H2043" s="245" t="s">
        <v>2392</v>
      </c>
    </row>
    <row r="2044" spans="1:8">
      <c r="A2044" s="245" t="s">
        <v>3321</v>
      </c>
      <c r="B2044" s="245">
        <v>41200153</v>
      </c>
      <c r="C2044" s="245" t="s">
        <v>1476</v>
      </c>
      <c r="D2044" s="245" t="s">
        <v>6663</v>
      </c>
      <c r="E2044" s="245" t="s">
        <v>1422</v>
      </c>
      <c r="F2044" s="245" t="s">
        <v>2391</v>
      </c>
      <c r="G2044" s="245" t="s">
        <v>1468</v>
      </c>
      <c r="H2044" s="245" t="s">
        <v>2392</v>
      </c>
    </row>
    <row r="2045" spans="1:8">
      <c r="A2045" s="245" t="s">
        <v>3322</v>
      </c>
      <c r="B2045" s="245">
        <v>41200153</v>
      </c>
      <c r="C2045" s="245" t="s">
        <v>1476</v>
      </c>
      <c r="D2045" s="245" t="s">
        <v>6663</v>
      </c>
      <c r="E2045" s="245" t="s">
        <v>1422</v>
      </c>
      <c r="F2045" s="245" t="s">
        <v>2391</v>
      </c>
      <c r="G2045" s="245" t="s">
        <v>1468</v>
      </c>
      <c r="H2045" s="245" t="s">
        <v>2392</v>
      </c>
    </row>
    <row r="2046" spans="1:8">
      <c r="A2046" s="245" t="s">
        <v>3317</v>
      </c>
      <c r="B2046" s="245">
        <v>41200153</v>
      </c>
      <c r="C2046" s="245" t="s">
        <v>1476</v>
      </c>
      <c r="D2046" s="245" t="s">
        <v>6663</v>
      </c>
      <c r="E2046" s="245" t="s">
        <v>1422</v>
      </c>
      <c r="F2046" s="245" t="s">
        <v>2391</v>
      </c>
      <c r="G2046" s="245" t="s">
        <v>1468</v>
      </c>
      <c r="H2046" s="245" t="s">
        <v>2392</v>
      </c>
    </row>
    <row r="2047" spans="1:8">
      <c r="A2047" s="245" t="s">
        <v>3302</v>
      </c>
      <c r="B2047" s="245">
        <v>41200132</v>
      </c>
      <c r="C2047" s="245" t="s">
        <v>1476</v>
      </c>
      <c r="D2047" s="245" t="s">
        <v>6605</v>
      </c>
      <c r="E2047" s="245" t="s">
        <v>1431</v>
      </c>
      <c r="F2047" s="245" t="s">
        <v>2395</v>
      </c>
      <c r="G2047" s="245" t="s">
        <v>2392</v>
      </c>
      <c r="H2047" s="245" t="s">
        <v>2392</v>
      </c>
    </row>
    <row r="2048" spans="1:8">
      <c r="A2048" s="245" t="s">
        <v>3304</v>
      </c>
      <c r="B2048" s="245">
        <v>41100502</v>
      </c>
      <c r="C2048" s="245" t="s">
        <v>1591</v>
      </c>
      <c r="D2048" s="245" t="s">
        <v>1591</v>
      </c>
      <c r="E2048" s="245" t="s">
        <v>1585</v>
      </c>
      <c r="F2048" s="245" t="s">
        <v>2391</v>
      </c>
      <c r="G2048" s="245" t="s">
        <v>1468</v>
      </c>
      <c r="H2048" s="245" t="s">
        <v>2392</v>
      </c>
    </row>
    <row r="2049" spans="1:8">
      <c r="A2049" s="245" t="s">
        <v>3303</v>
      </c>
      <c r="B2049" s="245">
        <v>41100502</v>
      </c>
      <c r="C2049" s="245" t="s">
        <v>1591</v>
      </c>
      <c r="D2049" s="245" t="s">
        <v>1591</v>
      </c>
      <c r="E2049" s="245" t="s">
        <v>1585</v>
      </c>
      <c r="F2049" s="245" t="s">
        <v>2391</v>
      </c>
      <c r="G2049" s="245" t="s">
        <v>1468</v>
      </c>
      <c r="H2049" s="245" t="s">
        <v>2392</v>
      </c>
    </row>
    <row r="2050" spans="1:8">
      <c r="A2050" s="245" t="s">
        <v>3292</v>
      </c>
      <c r="B2050" s="245">
        <v>41200109</v>
      </c>
      <c r="C2050" s="245" t="s">
        <v>1591</v>
      </c>
      <c r="D2050" s="245" t="s">
        <v>6619</v>
      </c>
      <c r="E2050" s="245" t="s">
        <v>1585</v>
      </c>
      <c r="F2050" s="245" t="s">
        <v>2391</v>
      </c>
      <c r="G2050" s="245" t="s">
        <v>2392</v>
      </c>
      <c r="H2050" s="245" t="s">
        <v>2392</v>
      </c>
    </row>
    <row r="2051" spans="1:8">
      <c r="A2051" s="245" t="s">
        <v>3291</v>
      </c>
      <c r="B2051" s="245">
        <v>41200109</v>
      </c>
      <c r="C2051" s="245" t="s">
        <v>1591</v>
      </c>
      <c r="D2051" s="245" t="s">
        <v>6619</v>
      </c>
      <c r="E2051" s="245" t="s">
        <v>1585</v>
      </c>
      <c r="F2051" s="245" t="s">
        <v>2391</v>
      </c>
      <c r="G2051" s="245" t="s">
        <v>2392</v>
      </c>
      <c r="H2051" s="245" t="s">
        <v>2392</v>
      </c>
    </row>
    <row r="2052" spans="1:8">
      <c r="A2052" s="245" t="s">
        <v>3301</v>
      </c>
      <c r="B2052" s="245">
        <v>41100374</v>
      </c>
      <c r="C2052" s="245" t="s">
        <v>1476</v>
      </c>
      <c r="D2052" s="245" t="s">
        <v>6610</v>
      </c>
      <c r="E2052" s="245" t="s">
        <v>1585</v>
      </c>
      <c r="F2052" s="245" t="s">
        <v>2391</v>
      </c>
      <c r="G2052" s="245" t="s">
        <v>2392</v>
      </c>
      <c r="H2052" s="245" t="s">
        <v>2392</v>
      </c>
    </row>
    <row r="2053" spans="1:8">
      <c r="A2053" s="245" t="s">
        <v>3297</v>
      </c>
      <c r="B2053" s="245">
        <v>41100264</v>
      </c>
      <c r="C2053" s="245" t="s">
        <v>1591</v>
      </c>
      <c r="D2053" s="245" t="s">
        <v>6611</v>
      </c>
      <c r="E2053" s="245" t="s">
        <v>1585</v>
      </c>
      <c r="F2053" s="245" t="s">
        <v>2391</v>
      </c>
      <c r="G2053" s="245" t="s">
        <v>1468</v>
      </c>
      <c r="H2053" s="245" t="s">
        <v>2392</v>
      </c>
    </row>
    <row r="2054" spans="1:8">
      <c r="A2054" s="245" t="s">
        <v>3296</v>
      </c>
      <c r="B2054" s="245">
        <v>41100264</v>
      </c>
      <c r="C2054" s="245" t="s">
        <v>1591</v>
      </c>
      <c r="D2054" s="245" t="s">
        <v>6611</v>
      </c>
      <c r="E2054" s="245" t="s">
        <v>1585</v>
      </c>
      <c r="F2054" s="245" t="s">
        <v>2391</v>
      </c>
      <c r="G2054" s="245" t="s">
        <v>1468</v>
      </c>
      <c r="H2054" s="245" t="s">
        <v>2392</v>
      </c>
    </row>
    <row r="2055" spans="1:8">
      <c r="A2055" s="245" t="s">
        <v>3299</v>
      </c>
      <c r="B2055" s="245">
        <v>41200006</v>
      </c>
      <c r="C2055" s="245" t="s">
        <v>1477</v>
      </c>
      <c r="D2055" s="245" t="s">
        <v>6640</v>
      </c>
      <c r="E2055" s="245" t="s">
        <v>1405</v>
      </c>
      <c r="F2055" s="245" t="s">
        <v>2395</v>
      </c>
      <c r="G2055" s="245" t="s">
        <v>1469</v>
      </c>
      <c r="H2055" s="245" t="s">
        <v>2392</v>
      </c>
    </row>
    <row r="2056" spans="1:8">
      <c r="A2056" s="245" t="s">
        <v>3298</v>
      </c>
      <c r="B2056" s="245">
        <v>41200006</v>
      </c>
      <c r="C2056" s="245" t="s">
        <v>1477</v>
      </c>
      <c r="D2056" s="245" t="s">
        <v>6640</v>
      </c>
      <c r="E2056" s="245" t="s">
        <v>1405</v>
      </c>
      <c r="F2056" s="245" t="s">
        <v>2395</v>
      </c>
      <c r="G2056" s="245" t="s">
        <v>1469</v>
      </c>
      <c r="H2056" s="245" t="s">
        <v>2392</v>
      </c>
    </row>
    <row r="2057" spans="1:8">
      <c r="A2057" s="245" t="s">
        <v>3313</v>
      </c>
      <c r="B2057" s="245">
        <v>41200088</v>
      </c>
      <c r="C2057" s="245" t="s">
        <v>1476</v>
      </c>
      <c r="D2057" s="245" t="s">
        <v>1476</v>
      </c>
      <c r="E2057" s="245" t="s">
        <v>1422</v>
      </c>
      <c r="F2057" s="245" t="s">
        <v>2395</v>
      </c>
      <c r="G2057" s="245" t="s">
        <v>1469</v>
      </c>
      <c r="H2057" s="245" t="s">
        <v>2392</v>
      </c>
    </row>
    <row r="2058" spans="1:8">
      <c r="A2058" s="245" t="s">
        <v>3309</v>
      </c>
      <c r="B2058" s="245">
        <v>41100584</v>
      </c>
      <c r="C2058" s="245" t="s">
        <v>1591</v>
      </c>
      <c r="D2058" s="245" t="s">
        <v>6635</v>
      </c>
      <c r="E2058" s="245" t="s">
        <v>1422</v>
      </c>
      <c r="F2058" s="245" t="s">
        <v>2391</v>
      </c>
      <c r="G2058" s="245" t="s">
        <v>2392</v>
      </c>
      <c r="H2058" s="245" t="s">
        <v>2392</v>
      </c>
    </row>
    <row r="2059" spans="1:8">
      <c r="A2059" s="245" t="s">
        <v>3242</v>
      </c>
      <c r="B2059" s="245">
        <v>41200048</v>
      </c>
      <c r="C2059" s="245" t="s">
        <v>1476</v>
      </c>
      <c r="D2059" s="245" t="s">
        <v>1426</v>
      </c>
      <c r="E2059" s="245" t="s">
        <v>1426</v>
      </c>
      <c r="F2059" s="245" t="s">
        <v>2391</v>
      </c>
      <c r="G2059" s="245" t="s">
        <v>2392</v>
      </c>
      <c r="H2059" s="245" t="s">
        <v>2392</v>
      </c>
    </row>
    <row r="2060" spans="1:8">
      <c r="A2060" s="245" t="s">
        <v>5406</v>
      </c>
      <c r="B2060" s="245">
        <v>41200182</v>
      </c>
      <c r="C2060" s="245" t="s">
        <v>1393</v>
      </c>
      <c r="D2060" s="245" t="s">
        <v>1392</v>
      </c>
      <c r="E2060" s="245" t="s">
        <v>1392</v>
      </c>
      <c r="F2060" s="245" t="s">
        <v>2395</v>
      </c>
      <c r="G2060" s="245" t="s">
        <v>2392</v>
      </c>
      <c r="H2060" s="245" t="s">
        <v>2392</v>
      </c>
    </row>
    <row r="2061" spans="1:8">
      <c r="A2061" s="245" t="s">
        <v>3293</v>
      </c>
      <c r="B2061" s="245">
        <v>41200121</v>
      </c>
      <c r="C2061" s="245" t="s">
        <v>1479</v>
      </c>
      <c r="D2061" s="245" t="s">
        <v>6676</v>
      </c>
      <c r="E2061" s="245" t="s">
        <v>7078</v>
      </c>
      <c r="F2061" s="245" t="s">
        <v>2391</v>
      </c>
      <c r="G2061" s="245" t="s">
        <v>2392</v>
      </c>
      <c r="H2061" s="245" t="s">
        <v>2392</v>
      </c>
    </row>
    <row r="2062" spans="1:8">
      <c r="A2062" s="245" t="s">
        <v>3312</v>
      </c>
      <c r="B2062" s="245">
        <v>41200005</v>
      </c>
      <c r="C2062" s="245" t="s">
        <v>1591</v>
      </c>
      <c r="D2062" s="245" t="s">
        <v>1591</v>
      </c>
      <c r="E2062" s="245" t="s">
        <v>1405</v>
      </c>
      <c r="F2062" s="245" t="s">
        <v>2391</v>
      </c>
      <c r="G2062" s="245" t="s">
        <v>1468</v>
      </c>
      <c r="H2062" s="245" t="s">
        <v>2392</v>
      </c>
    </row>
    <row r="2063" spans="1:8">
      <c r="A2063" s="245" t="s">
        <v>3310</v>
      </c>
      <c r="B2063" s="245">
        <v>41200005</v>
      </c>
      <c r="C2063" s="245" t="s">
        <v>1591</v>
      </c>
      <c r="D2063" s="245" t="s">
        <v>1591</v>
      </c>
      <c r="E2063" s="245" t="s">
        <v>1405</v>
      </c>
      <c r="F2063" s="245" t="s">
        <v>2391</v>
      </c>
      <c r="G2063" s="245" t="s">
        <v>1468</v>
      </c>
      <c r="H2063" s="245" t="s">
        <v>2392</v>
      </c>
    </row>
    <row r="2064" spans="1:8">
      <c r="A2064" s="245" t="s">
        <v>3400</v>
      </c>
      <c r="B2064" s="245">
        <v>41200066</v>
      </c>
      <c r="C2064" s="245" t="s">
        <v>1476</v>
      </c>
      <c r="D2064" s="245" t="s">
        <v>1424</v>
      </c>
      <c r="E2064" s="245" t="s">
        <v>1424</v>
      </c>
      <c r="F2064" s="245" t="s">
        <v>2395</v>
      </c>
      <c r="G2064" s="245" t="s">
        <v>1469</v>
      </c>
      <c r="H2064" s="245" t="s">
        <v>2392</v>
      </c>
    </row>
    <row r="2065" spans="1:8">
      <c r="A2065" s="245" t="s">
        <v>3286</v>
      </c>
      <c r="B2065" s="245">
        <v>41200034</v>
      </c>
      <c r="C2065" s="245" t="s">
        <v>1476</v>
      </c>
      <c r="D2065" s="245" t="s">
        <v>1426</v>
      </c>
      <c r="E2065" s="245" t="s">
        <v>1426</v>
      </c>
      <c r="F2065" s="245" t="s">
        <v>2391</v>
      </c>
      <c r="G2065" s="245" t="s">
        <v>1468</v>
      </c>
      <c r="H2065" s="245" t="s">
        <v>2392</v>
      </c>
    </row>
    <row r="2066" spans="1:8">
      <c r="A2066" s="245" t="s">
        <v>3274</v>
      </c>
      <c r="B2066" s="245">
        <v>41200007</v>
      </c>
      <c r="C2066" s="245" t="s">
        <v>1591</v>
      </c>
      <c r="D2066" s="245" t="s">
        <v>6608</v>
      </c>
      <c r="E2066" s="245" t="s">
        <v>1405</v>
      </c>
      <c r="F2066" s="245" t="s">
        <v>2391</v>
      </c>
      <c r="G2066" s="245" t="s">
        <v>1468</v>
      </c>
      <c r="H2066" s="245" t="s">
        <v>2392</v>
      </c>
    </row>
    <row r="2067" spans="1:8">
      <c r="A2067" s="245" t="s">
        <v>3272</v>
      </c>
      <c r="B2067" s="245">
        <v>41200007</v>
      </c>
      <c r="C2067" s="245" t="s">
        <v>1591</v>
      </c>
      <c r="D2067" s="245" t="s">
        <v>6608</v>
      </c>
      <c r="E2067" s="245" t="s">
        <v>1405</v>
      </c>
      <c r="F2067" s="245" t="s">
        <v>2391</v>
      </c>
      <c r="G2067" s="245" t="s">
        <v>1468</v>
      </c>
      <c r="H2067" s="245" t="s">
        <v>2392</v>
      </c>
    </row>
    <row r="2068" spans="1:8">
      <c r="A2068" s="245" t="s">
        <v>3276</v>
      </c>
      <c r="B2068" s="245">
        <v>41200007</v>
      </c>
      <c r="C2068" s="245" t="s">
        <v>1591</v>
      </c>
      <c r="D2068" s="245" t="s">
        <v>6608</v>
      </c>
      <c r="E2068" s="245" t="s">
        <v>1405</v>
      </c>
      <c r="F2068" s="245" t="s">
        <v>2391</v>
      </c>
      <c r="G2068" s="245" t="s">
        <v>1468</v>
      </c>
      <c r="H2068" s="245" t="s">
        <v>2392</v>
      </c>
    </row>
    <row r="2069" spans="1:8">
      <c r="A2069" s="245" t="s">
        <v>3241</v>
      </c>
      <c r="B2069" s="245">
        <v>41100435</v>
      </c>
      <c r="C2069" s="245" t="s">
        <v>3801</v>
      </c>
      <c r="D2069" s="245" t="s">
        <v>1482</v>
      </c>
      <c r="E2069" s="245" t="s">
        <v>1585</v>
      </c>
      <c r="F2069" s="245" t="s">
        <v>2395</v>
      </c>
      <c r="G2069" s="245" t="s">
        <v>2392</v>
      </c>
      <c r="H2069" s="245" t="s">
        <v>71</v>
      </c>
    </row>
    <row r="2070" spans="1:8">
      <c r="A2070" s="245" t="s">
        <v>5404</v>
      </c>
      <c r="B2070" s="245">
        <v>41200183</v>
      </c>
      <c r="C2070" s="245" t="s">
        <v>1393</v>
      </c>
      <c r="D2070" s="245" t="s">
        <v>1392</v>
      </c>
      <c r="E2070" s="245" t="s">
        <v>1392</v>
      </c>
      <c r="F2070" s="245" t="s">
        <v>2395</v>
      </c>
      <c r="G2070" s="245" t="s">
        <v>1469</v>
      </c>
      <c r="H2070" s="245" t="s">
        <v>2392</v>
      </c>
    </row>
    <row r="2071" spans="1:8">
      <c r="A2071" s="245" t="s">
        <v>3285</v>
      </c>
      <c r="B2071" s="245">
        <v>41200029</v>
      </c>
      <c r="C2071" s="245" t="s">
        <v>1476</v>
      </c>
      <c r="D2071" s="245" t="s">
        <v>6610</v>
      </c>
      <c r="E2071" s="245" t="s">
        <v>1405</v>
      </c>
      <c r="F2071" s="245" t="s">
        <v>2395</v>
      </c>
      <c r="G2071" s="245" t="s">
        <v>1469</v>
      </c>
      <c r="H2071" s="245" t="s">
        <v>2392</v>
      </c>
    </row>
    <row r="2072" spans="1:8">
      <c r="A2072" s="245" t="s">
        <v>3281</v>
      </c>
      <c r="B2072" s="245">
        <v>41200171</v>
      </c>
      <c r="C2072" s="245" t="s">
        <v>1479</v>
      </c>
      <c r="D2072" s="245" t="s">
        <v>1394</v>
      </c>
      <c r="E2072" s="245" t="s">
        <v>1394</v>
      </c>
      <c r="F2072" s="245" t="s">
        <v>2391</v>
      </c>
      <c r="G2072" s="245" t="s">
        <v>2392</v>
      </c>
      <c r="H2072" s="245" t="s">
        <v>2392</v>
      </c>
    </row>
    <row r="2073" spans="1:8">
      <c r="A2073" s="245" t="s">
        <v>3488</v>
      </c>
      <c r="B2073" s="245">
        <v>41100502</v>
      </c>
      <c r="C2073" s="245" t="s">
        <v>1591</v>
      </c>
      <c r="D2073" s="245" t="s">
        <v>1591</v>
      </c>
      <c r="E2073" s="245" t="s">
        <v>1585</v>
      </c>
      <c r="F2073" s="245" t="s">
        <v>2395</v>
      </c>
      <c r="G2073" s="245" t="s">
        <v>1469</v>
      </c>
      <c r="H2073" s="245" t="s">
        <v>2392</v>
      </c>
    </row>
    <row r="2074" spans="1:8">
      <c r="A2074" s="245" t="s">
        <v>3486</v>
      </c>
      <c r="B2074" s="245">
        <v>41100502</v>
      </c>
      <c r="C2074" s="245" t="s">
        <v>1591</v>
      </c>
      <c r="D2074" s="245" t="s">
        <v>1591</v>
      </c>
      <c r="E2074" s="245" t="s">
        <v>1585</v>
      </c>
      <c r="F2074" s="245" t="s">
        <v>2395</v>
      </c>
      <c r="G2074" s="245" t="s">
        <v>1469</v>
      </c>
      <c r="H2074" s="245" t="s">
        <v>2392</v>
      </c>
    </row>
    <row r="2075" spans="1:8">
      <c r="A2075" s="245" t="s">
        <v>3284</v>
      </c>
      <c r="B2075" s="245">
        <v>41000584</v>
      </c>
      <c r="C2075" s="245" t="s">
        <v>1911</v>
      </c>
      <c r="D2075" s="245" t="s">
        <v>6658</v>
      </c>
      <c r="E2075" s="245" t="s">
        <v>1405</v>
      </c>
      <c r="F2075" s="245" t="s">
        <v>2392</v>
      </c>
      <c r="G2075" s="245" t="s">
        <v>1468</v>
      </c>
      <c r="H2075" s="245" t="s">
        <v>71</v>
      </c>
    </row>
    <row r="2076" spans="1:8">
      <c r="A2076" s="245" t="s">
        <v>3283</v>
      </c>
      <c r="B2076" s="245">
        <v>41000584</v>
      </c>
      <c r="C2076" s="245" t="s">
        <v>1911</v>
      </c>
      <c r="D2076" s="245" t="s">
        <v>6658</v>
      </c>
      <c r="E2076" s="245" t="s">
        <v>1405</v>
      </c>
      <c r="F2076" s="245" t="s">
        <v>2392</v>
      </c>
      <c r="G2076" s="245" t="s">
        <v>1468</v>
      </c>
      <c r="H2076" s="245" t="s">
        <v>71</v>
      </c>
    </row>
    <row r="2077" spans="1:8">
      <c r="A2077" s="245" t="s">
        <v>3232</v>
      </c>
      <c r="B2077" s="245">
        <v>41100435</v>
      </c>
      <c r="C2077" s="245" t="s">
        <v>3801</v>
      </c>
      <c r="D2077" s="245" t="s">
        <v>1482</v>
      </c>
      <c r="E2077" s="245" t="s">
        <v>1585</v>
      </c>
      <c r="F2077" s="245" t="s">
        <v>2391</v>
      </c>
      <c r="G2077" s="245" t="s">
        <v>2392</v>
      </c>
      <c r="H2077" s="245" t="s">
        <v>71</v>
      </c>
    </row>
    <row r="2078" spans="1:8">
      <c r="A2078" s="245" t="s">
        <v>3231</v>
      </c>
      <c r="B2078" s="245">
        <v>41100435</v>
      </c>
      <c r="C2078" s="245" t="s">
        <v>3801</v>
      </c>
      <c r="D2078" s="245" t="s">
        <v>1482</v>
      </c>
      <c r="E2078" s="245" t="s">
        <v>1585</v>
      </c>
      <c r="F2078" s="245" t="s">
        <v>2391</v>
      </c>
      <c r="G2078" s="245" t="s">
        <v>2392</v>
      </c>
      <c r="H2078" s="245" t="s">
        <v>71</v>
      </c>
    </row>
    <row r="2079" spans="1:8">
      <c r="A2079" s="245" t="s">
        <v>3244</v>
      </c>
      <c r="B2079" s="245">
        <v>41200076</v>
      </c>
      <c r="C2079" s="245" t="s">
        <v>1476</v>
      </c>
      <c r="D2079" s="245" t="s">
        <v>1476</v>
      </c>
      <c r="E2079" s="245" t="s">
        <v>1585</v>
      </c>
      <c r="F2079" s="245" t="s">
        <v>2395</v>
      </c>
      <c r="G2079" s="245" t="s">
        <v>2392</v>
      </c>
      <c r="H2079" s="245" t="s">
        <v>2392</v>
      </c>
    </row>
    <row r="2080" spans="1:8">
      <c r="A2080" s="245" t="s">
        <v>3243</v>
      </c>
      <c r="B2080" s="245">
        <v>41200076</v>
      </c>
      <c r="C2080" s="245" t="s">
        <v>1476</v>
      </c>
      <c r="D2080" s="245" t="s">
        <v>1476</v>
      </c>
      <c r="E2080" s="245" t="s">
        <v>1585</v>
      </c>
      <c r="F2080" s="245" t="s">
        <v>2395</v>
      </c>
      <c r="G2080" s="245" t="s">
        <v>2392</v>
      </c>
      <c r="H2080" s="245" t="s">
        <v>2392</v>
      </c>
    </row>
    <row r="2081" spans="1:8">
      <c r="A2081" s="245" t="s">
        <v>3280</v>
      </c>
      <c r="B2081" s="245">
        <v>41200076</v>
      </c>
      <c r="C2081" s="245" t="s">
        <v>1476</v>
      </c>
      <c r="D2081" s="245" t="s">
        <v>1476</v>
      </c>
      <c r="E2081" s="245" t="s">
        <v>1585</v>
      </c>
      <c r="F2081" s="245" t="s">
        <v>2391</v>
      </c>
      <c r="G2081" s="245" t="s">
        <v>2392</v>
      </c>
      <c r="H2081" s="245" t="s">
        <v>2392</v>
      </c>
    </row>
    <row r="2082" spans="1:8">
      <c r="A2082" s="245" t="s">
        <v>3278</v>
      </c>
      <c r="B2082" s="245">
        <v>41200076</v>
      </c>
      <c r="C2082" s="245" t="s">
        <v>1476</v>
      </c>
      <c r="D2082" s="245" t="s">
        <v>1476</v>
      </c>
      <c r="E2082" s="245" t="s">
        <v>1585</v>
      </c>
      <c r="F2082" s="245" t="s">
        <v>2391</v>
      </c>
      <c r="G2082" s="245" t="s">
        <v>2392</v>
      </c>
      <c r="H2082" s="245" t="s">
        <v>2392</v>
      </c>
    </row>
    <row r="2083" spans="1:8">
      <c r="A2083" s="245" t="s">
        <v>3265</v>
      </c>
      <c r="B2083" s="245">
        <v>41100317</v>
      </c>
      <c r="C2083" s="245" t="s">
        <v>1476</v>
      </c>
      <c r="D2083" s="245" t="s">
        <v>1476</v>
      </c>
      <c r="E2083" s="245" t="s">
        <v>1585</v>
      </c>
      <c r="F2083" s="245" t="s">
        <v>2391</v>
      </c>
      <c r="G2083" s="245" t="s">
        <v>1468</v>
      </c>
      <c r="H2083" s="245" t="s">
        <v>2392</v>
      </c>
    </row>
    <row r="2084" spans="1:8">
      <c r="A2084" s="245" t="s">
        <v>3314</v>
      </c>
      <c r="B2084" s="245">
        <v>41200158</v>
      </c>
      <c r="C2084" s="245" t="s">
        <v>1480</v>
      </c>
      <c r="D2084" s="245" t="s">
        <v>1480</v>
      </c>
      <c r="E2084" s="245" t="s">
        <v>1405</v>
      </c>
      <c r="F2084" s="245" t="s">
        <v>2395</v>
      </c>
      <c r="G2084" s="245" t="s">
        <v>1469</v>
      </c>
      <c r="H2084" s="245" t="s">
        <v>2392</v>
      </c>
    </row>
    <row r="2085" spans="1:8">
      <c r="A2085" s="245" t="s">
        <v>3306</v>
      </c>
      <c r="B2085" s="245">
        <v>41200158</v>
      </c>
      <c r="C2085" s="245" t="s">
        <v>1480</v>
      </c>
      <c r="D2085" s="245" t="s">
        <v>1480</v>
      </c>
      <c r="E2085" s="245" t="s">
        <v>1405</v>
      </c>
      <c r="F2085" s="245" t="s">
        <v>2395</v>
      </c>
      <c r="G2085" s="245" t="s">
        <v>1469</v>
      </c>
      <c r="H2085" s="245" t="s">
        <v>2392</v>
      </c>
    </row>
    <row r="2086" spans="1:8">
      <c r="A2086" s="245" t="s">
        <v>3305</v>
      </c>
      <c r="B2086" s="245">
        <v>41200158</v>
      </c>
      <c r="C2086" s="245" t="s">
        <v>1480</v>
      </c>
      <c r="D2086" s="245" t="s">
        <v>1480</v>
      </c>
      <c r="E2086" s="245" t="s">
        <v>1405</v>
      </c>
      <c r="F2086" s="245" t="s">
        <v>2395</v>
      </c>
      <c r="G2086" s="245" t="s">
        <v>1469</v>
      </c>
      <c r="H2086" s="245" t="s">
        <v>2392</v>
      </c>
    </row>
    <row r="2087" spans="1:8">
      <c r="A2087" s="245" t="s">
        <v>3267</v>
      </c>
      <c r="B2087" s="245">
        <v>41200061</v>
      </c>
      <c r="C2087" s="245" t="s">
        <v>1480</v>
      </c>
      <c r="D2087" s="245" t="s">
        <v>6636</v>
      </c>
      <c r="E2087" s="245" t="s">
        <v>1405</v>
      </c>
      <c r="F2087" s="245" t="s">
        <v>2391</v>
      </c>
      <c r="G2087" s="245" t="s">
        <v>2392</v>
      </c>
      <c r="H2087" s="245" t="s">
        <v>2392</v>
      </c>
    </row>
    <row r="2088" spans="1:8">
      <c r="A2088" s="245" t="s">
        <v>3266</v>
      </c>
      <c r="B2088" s="245">
        <v>41200061</v>
      </c>
      <c r="C2088" s="245" t="s">
        <v>1480</v>
      </c>
      <c r="D2088" s="245" t="s">
        <v>6636</v>
      </c>
      <c r="E2088" s="245" t="s">
        <v>1405</v>
      </c>
      <c r="F2088" s="245" t="s">
        <v>2391</v>
      </c>
      <c r="G2088" s="245" t="s">
        <v>2392</v>
      </c>
      <c r="H2088" s="245" t="s">
        <v>2392</v>
      </c>
    </row>
    <row r="2089" spans="1:8">
      <c r="A2089" s="245" t="s">
        <v>3287</v>
      </c>
      <c r="B2089" s="245">
        <v>41000598</v>
      </c>
      <c r="C2089" s="245" t="s">
        <v>1480</v>
      </c>
      <c r="D2089" s="245" t="s">
        <v>1480</v>
      </c>
      <c r="E2089" s="245" t="s">
        <v>1405</v>
      </c>
      <c r="F2089" s="245" t="s">
        <v>2395</v>
      </c>
      <c r="G2089" s="245" t="s">
        <v>1469</v>
      </c>
      <c r="H2089" s="245" t="s">
        <v>2392</v>
      </c>
    </row>
    <row r="2090" spans="1:8">
      <c r="A2090" s="245" t="s">
        <v>3270</v>
      </c>
      <c r="B2090" s="245">
        <v>41000598</v>
      </c>
      <c r="C2090" s="245" t="s">
        <v>1480</v>
      </c>
      <c r="D2090" s="245" t="s">
        <v>1480</v>
      </c>
      <c r="E2090" s="245" t="s">
        <v>1405</v>
      </c>
      <c r="F2090" s="245" t="s">
        <v>2395</v>
      </c>
      <c r="G2090" s="245" t="s">
        <v>1469</v>
      </c>
      <c r="H2090" s="245" t="s">
        <v>2392</v>
      </c>
    </row>
    <row r="2091" spans="1:8">
      <c r="A2091" s="245" t="s">
        <v>3261</v>
      </c>
      <c r="B2091" s="245">
        <v>41200127</v>
      </c>
      <c r="C2091" s="245" t="s">
        <v>1591</v>
      </c>
      <c r="D2091" s="245" t="s">
        <v>6606</v>
      </c>
      <c r="E2091" s="245" t="s">
        <v>1431</v>
      </c>
      <c r="F2091" s="245" t="s">
        <v>2391</v>
      </c>
      <c r="G2091" s="245" t="s">
        <v>1468</v>
      </c>
      <c r="H2091" s="245" t="s">
        <v>2392</v>
      </c>
    </row>
    <row r="2092" spans="1:8">
      <c r="A2092" s="245" t="s">
        <v>3260</v>
      </c>
      <c r="B2092" s="245">
        <v>41200127</v>
      </c>
      <c r="C2092" s="245" t="s">
        <v>1591</v>
      </c>
      <c r="D2092" s="245" t="s">
        <v>6606</v>
      </c>
      <c r="E2092" s="245" t="s">
        <v>1431</v>
      </c>
      <c r="F2092" s="245" t="s">
        <v>2391</v>
      </c>
      <c r="G2092" s="245" t="s">
        <v>1468</v>
      </c>
      <c r="H2092" s="245" t="s">
        <v>2392</v>
      </c>
    </row>
    <row r="2093" spans="1:8">
      <c r="A2093" s="245" t="s">
        <v>3253</v>
      </c>
      <c r="B2093" s="245">
        <v>41200127</v>
      </c>
      <c r="C2093" s="245" t="s">
        <v>1591</v>
      </c>
      <c r="D2093" s="245" t="s">
        <v>6606</v>
      </c>
      <c r="E2093" s="245" t="s">
        <v>1431</v>
      </c>
      <c r="F2093" s="245" t="s">
        <v>2391</v>
      </c>
      <c r="G2093" s="245" t="s">
        <v>1468</v>
      </c>
      <c r="H2093" s="245" t="s">
        <v>2392</v>
      </c>
    </row>
    <row r="2094" spans="1:8">
      <c r="A2094" s="245" t="s">
        <v>3222</v>
      </c>
      <c r="B2094" s="245">
        <v>41200124</v>
      </c>
      <c r="C2094" s="245" t="s">
        <v>1476</v>
      </c>
      <c r="D2094" s="245" t="s">
        <v>6609</v>
      </c>
      <c r="E2094" s="245" t="s">
        <v>1585</v>
      </c>
      <c r="F2094" s="245" t="s">
        <v>2391</v>
      </c>
      <c r="G2094" s="245" t="s">
        <v>2392</v>
      </c>
      <c r="H2094" s="245" t="s">
        <v>2392</v>
      </c>
    </row>
    <row r="2095" spans="1:8">
      <c r="A2095" s="245" t="s">
        <v>3334</v>
      </c>
      <c r="B2095" s="245">
        <v>41200124</v>
      </c>
      <c r="C2095" s="245" t="s">
        <v>1476</v>
      </c>
      <c r="D2095" s="245" t="s">
        <v>6609</v>
      </c>
      <c r="E2095" s="245" t="s">
        <v>1585</v>
      </c>
      <c r="F2095" s="245" t="s">
        <v>2555</v>
      </c>
      <c r="G2095" s="245" t="s">
        <v>2555</v>
      </c>
      <c r="H2095" s="245" t="s">
        <v>2392</v>
      </c>
    </row>
    <row r="2096" spans="1:8">
      <c r="A2096" s="245" t="s">
        <v>3316</v>
      </c>
      <c r="B2096" s="245">
        <v>41200124</v>
      </c>
      <c r="C2096" s="245" t="s">
        <v>1476</v>
      </c>
      <c r="D2096" s="245" t="s">
        <v>6609</v>
      </c>
      <c r="E2096" s="245" t="s">
        <v>1585</v>
      </c>
      <c r="F2096" s="245" t="s">
        <v>2555</v>
      </c>
      <c r="G2096" s="245" t="s">
        <v>2555</v>
      </c>
      <c r="H2096" s="245" t="s">
        <v>2392</v>
      </c>
    </row>
    <row r="2097" spans="1:8">
      <c r="A2097" s="245" t="s">
        <v>3264</v>
      </c>
      <c r="B2097" s="245">
        <v>41200101</v>
      </c>
      <c r="C2097" s="245" t="s">
        <v>1476</v>
      </c>
      <c r="D2097" s="245" t="s">
        <v>1476</v>
      </c>
      <c r="E2097" s="245" t="s">
        <v>1585</v>
      </c>
      <c r="F2097" s="245" t="s">
        <v>2391</v>
      </c>
      <c r="G2097" s="245" t="s">
        <v>2392</v>
      </c>
      <c r="H2097" s="245" t="s">
        <v>2392</v>
      </c>
    </row>
    <row r="2098" spans="1:8">
      <c r="A2098" s="245" t="s">
        <v>3257</v>
      </c>
      <c r="B2098" s="245">
        <v>41200101</v>
      </c>
      <c r="C2098" s="245" t="s">
        <v>1476</v>
      </c>
      <c r="D2098" s="245" t="s">
        <v>1476</v>
      </c>
      <c r="E2098" s="245" t="s">
        <v>1585</v>
      </c>
      <c r="F2098" s="245" t="s">
        <v>2391</v>
      </c>
      <c r="G2098" s="245" t="s">
        <v>2392</v>
      </c>
      <c r="H2098" s="245" t="s">
        <v>2392</v>
      </c>
    </row>
    <row r="2099" spans="1:8">
      <c r="A2099" s="245" t="s">
        <v>3252</v>
      </c>
      <c r="B2099" s="245">
        <v>41200129</v>
      </c>
      <c r="C2099" s="245" t="s">
        <v>1591</v>
      </c>
      <c r="D2099" s="245" t="s">
        <v>6606</v>
      </c>
      <c r="E2099" s="245" t="s">
        <v>1431</v>
      </c>
      <c r="F2099" s="245" t="s">
        <v>2391</v>
      </c>
      <c r="G2099" s="245" t="s">
        <v>1468</v>
      </c>
      <c r="H2099" s="245" t="s">
        <v>2392</v>
      </c>
    </row>
    <row r="2100" spans="1:8">
      <c r="A2100" s="245" t="s">
        <v>3251</v>
      </c>
      <c r="B2100" s="245">
        <v>41200129</v>
      </c>
      <c r="C2100" s="245" t="s">
        <v>1591</v>
      </c>
      <c r="D2100" s="245" t="s">
        <v>6606</v>
      </c>
      <c r="E2100" s="245" t="s">
        <v>1431</v>
      </c>
      <c r="F2100" s="245" t="s">
        <v>2391</v>
      </c>
      <c r="G2100" s="245" t="s">
        <v>1468</v>
      </c>
      <c r="H2100" s="245" t="s">
        <v>2392</v>
      </c>
    </row>
    <row r="2101" spans="1:8">
      <c r="A2101" s="245" t="s">
        <v>3247</v>
      </c>
      <c r="B2101" s="245">
        <v>41100584</v>
      </c>
      <c r="C2101" s="245" t="s">
        <v>1591</v>
      </c>
      <c r="D2101" s="245" t="s">
        <v>6635</v>
      </c>
      <c r="E2101" s="245" t="s">
        <v>1422</v>
      </c>
      <c r="F2101" s="245" t="s">
        <v>2395</v>
      </c>
      <c r="G2101" s="245" t="s">
        <v>1469</v>
      </c>
      <c r="H2101" s="245" t="s">
        <v>2392</v>
      </c>
    </row>
    <row r="2102" spans="1:8">
      <c r="A2102" s="245" t="s">
        <v>3269</v>
      </c>
      <c r="B2102" s="245">
        <v>41200007</v>
      </c>
      <c r="C2102" s="245" t="s">
        <v>1591</v>
      </c>
      <c r="D2102" s="245" t="s">
        <v>6608</v>
      </c>
      <c r="E2102" s="245" t="s">
        <v>1405</v>
      </c>
      <c r="F2102" s="245" t="s">
        <v>2391</v>
      </c>
      <c r="G2102" s="245" t="s">
        <v>2392</v>
      </c>
      <c r="H2102" s="245" t="s">
        <v>2392</v>
      </c>
    </row>
    <row r="2103" spans="1:8">
      <c r="A2103" s="245" t="s">
        <v>3259</v>
      </c>
      <c r="B2103" s="245">
        <v>41200007</v>
      </c>
      <c r="C2103" s="245" t="s">
        <v>1591</v>
      </c>
      <c r="D2103" s="245" t="s">
        <v>6608</v>
      </c>
      <c r="E2103" s="245" t="s">
        <v>1405</v>
      </c>
      <c r="F2103" s="245" t="s">
        <v>2391</v>
      </c>
      <c r="G2103" s="245" t="s">
        <v>2392</v>
      </c>
      <c r="H2103" s="245" t="s">
        <v>2392</v>
      </c>
    </row>
    <row r="2104" spans="1:8">
      <c r="A2104" s="245" t="s">
        <v>3248</v>
      </c>
      <c r="B2104" s="245">
        <v>41200007</v>
      </c>
      <c r="C2104" s="245" t="s">
        <v>1591</v>
      </c>
      <c r="D2104" s="245" t="s">
        <v>6608</v>
      </c>
      <c r="E2104" s="245" t="s">
        <v>1405</v>
      </c>
      <c r="F2104" s="245" t="s">
        <v>2391</v>
      </c>
      <c r="G2104" s="245" t="s">
        <v>2392</v>
      </c>
      <c r="H2104" s="245" t="s">
        <v>2392</v>
      </c>
    </row>
    <row r="2105" spans="1:8">
      <c r="A2105" s="245" t="s">
        <v>3290</v>
      </c>
      <c r="B2105" s="245">
        <v>41200158</v>
      </c>
      <c r="C2105" s="245" t="s">
        <v>1480</v>
      </c>
      <c r="D2105" s="245" t="s">
        <v>1480</v>
      </c>
      <c r="E2105" s="245" t="s">
        <v>1405</v>
      </c>
      <c r="F2105" s="245" t="s">
        <v>2395</v>
      </c>
      <c r="G2105" s="245" t="s">
        <v>2392</v>
      </c>
      <c r="H2105" s="245" t="s">
        <v>2392</v>
      </c>
    </row>
    <row r="2106" spans="1:8">
      <c r="A2106" s="245" t="s">
        <v>3289</v>
      </c>
      <c r="B2106" s="245">
        <v>41200158</v>
      </c>
      <c r="C2106" s="245" t="s">
        <v>1480</v>
      </c>
      <c r="D2106" s="245" t="s">
        <v>1480</v>
      </c>
      <c r="E2106" s="245" t="s">
        <v>1405</v>
      </c>
      <c r="F2106" s="245" t="s">
        <v>2395</v>
      </c>
      <c r="G2106" s="245" t="s">
        <v>2392</v>
      </c>
      <c r="H2106" s="245" t="s">
        <v>2392</v>
      </c>
    </row>
    <row r="2107" spans="1:8">
      <c r="A2107" s="245" t="s">
        <v>3288</v>
      </c>
      <c r="B2107" s="245">
        <v>41200158</v>
      </c>
      <c r="C2107" s="245" t="s">
        <v>1480</v>
      </c>
      <c r="D2107" s="245" t="s">
        <v>1480</v>
      </c>
      <c r="E2107" s="245" t="s">
        <v>1405</v>
      </c>
      <c r="F2107" s="245" t="s">
        <v>2395</v>
      </c>
      <c r="G2107" s="245" t="s">
        <v>2392</v>
      </c>
      <c r="H2107" s="245" t="s">
        <v>2392</v>
      </c>
    </row>
    <row r="2108" spans="1:8">
      <c r="A2108" s="245" t="s">
        <v>3258</v>
      </c>
      <c r="B2108" s="245">
        <v>41200158</v>
      </c>
      <c r="C2108" s="245" t="s">
        <v>1480</v>
      </c>
      <c r="D2108" s="245" t="s">
        <v>1480</v>
      </c>
      <c r="E2108" s="245" t="s">
        <v>1405</v>
      </c>
      <c r="F2108" s="245" t="s">
        <v>2395</v>
      </c>
      <c r="G2108" s="245" t="s">
        <v>2392</v>
      </c>
      <c r="H2108" s="245" t="s">
        <v>2392</v>
      </c>
    </row>
    <row r="2109" spans="1:8">
      <c r="A2109" s="245" t="s">
        <v>3263</v>
      </c>
      <c r="B2109" s="245">
        <v>41200158</v>
      </c>
      <c r="C2109" s="245" t="s">
        <v>1480</v>
      </c>
      <c r="D2109" s="245" t="s">
        <v>1480</v>
      </c>
      <c r="E2109" s="245" t="s">
        <v>1405</v>
      </c>
      <c r="F2109" s="245" t="s">
        <v>2395</v>
      </c>
      <c r="G2109" s="245" t="s">
        <v>1468</v>
      </c>
      <c r="H2109" s="245" t="s">
        <v>2392</v>
      </c>
    </row>
    <row r="2110" spans="1:8">
      <c r="A2110" s="245" t="s">
        <v>3262</v>
      </c>
      <c r="B2110" s="245">
        <v>41200158</v>
      </c>
      <c r="C2110" s="245" t="s">
        <v>1480</v>
      </c>
      <c r="D2110" s="245" t="s">
        <v>1480</v>
      </c>
      <c r="E2110" s="245" t="s">
        <v>1405</v>
      </c>
      <c r="F2110" s="245" t="s">
        <v>2395</v>
      </c>
      <c r="G2110" s="245" t="s">
        <v>1468</v>
      </c>
      <c r="H2110" s="245" t="s">
        <v>2392</v>
      </c>
    </row>
    <row r="2111" spans="1:8">
      <c r="A2111" s="245" t="s">
        <v>3230</v>
      </c>
      <c r="B2111" s="245">
        <v>41200109</v>
      </c>
      <c r="C2111" s="245" t="s">
        <v>1591</v>
      </c>
      <c r="D2111" s="245" t="s">
        <v>6619</v>
      </c>
      <c r="E2111" s="245" t="s">
        <v>1585</v>
      </c>
      <c r="F2111" s="245" t="s">
        <v>2391</v>
      </c>
      <c r="G2111" s="245" t="s">
        <v>2392</v>
      </c>
      <c r="H2111" s="245" t="s">
        <v>2392</v>
      </c>
    </row>
    <row r="2112" spans="1:8">
      <c r="A2112" s="245" t="s">
        <v>3229</v>
      </c>
      <c r="B2112" s="245">
        <v>41200109</v>
      </c>
      <c r="C2112" s="245" t="s">
        <v>1591</v>
      </c>
      <c r="D2112" s="245" t="s">
        <v>6619</v>
      </c>
      <c r="E2112" s="245" t="s">
        <v>1585</v>
      </c>
      <c r="F2112" s="245" t="s">
        <v>2391</v>
      </c>
      <c r="G2112" s="245" t="s">
        <v>2392</v>
      </c>
      <c r="H2112" s="245" t="s">
        <v>2392</v>
      </c>
    </row>
    <row r="2113" spans="1:8">
      <c r="A2113" s="245" t="s">
        <v>3256</v>
      </c>
      <c r="B2113" s="245">
        <v>41000544</v>
      </c>
      <c r="C2113" s="245" t="s">
        <v>1476</v>
      </c>
      <c r="D2113" s="245" t="s">
        <v>6610</v>
      </c>
      <c r="E2113" s="245" t="s">
        <v>1405</v>
      </c>
      <c r="F2113" s="245" t="s">
        <v>2391</v>
      </c>
      <c r="G2113" s="245" t="s">
        <v>2392</v>
      </c>
      <c r="H2113" s="245" t="s">
        <v>2392</v>
      </c>
    </row>
    <row r="2114" spans="1:8">
      <c r="A2114" s="245" t="s">
        <v>3245</v>
      </c>
      <c r="B2114" s="245">
        <v>41000544</v>
      </c>
      <c r="C2114" s="245" t="s">
        <v>1476</v>
      </c>
      <c r="D2114" s="245" t="s">
        <v>6610</v>
      </c>
      <c r="E2114" s="245" t="s">
        <v>1405</v>
      </c>
      <c r="F2114" s="245" t="s">
        <v>2391</v>
      </c>
      <c r="G2114" s="245" t="s">
        <v>2392</v>
      </c>
      <c r="H2114" s="245" t="s">
        <v>2392</v>
      </c>
    </row>
    <row r="2115" spans="1:8">
      <c r="A2115" s="245" t="s">
        <v>3239</v>
      </c>
      <c r="B2115" s="245">
        <v>41200006</v>
      </c>
      <c r="C2115" s="245" t="s">
        <v>1477</v>
      </c>
      <c r="D2115" s="245" t="s">
        <v>6640</v>
      </c>
      <c r="E2115" s="245" t="s">
        <v>1405</v>
      </c>
      <c r="F2115" s="245" t="s">
        <v>2395</v>
      </c>
      <c r="G2115" s="245" t="s">
        <v>1469</v>
      </c>
      <c r="H2115" s="245" t="s">
        <v>2392</v>
      </c>
    </row>
    <row r="2116" spans="1:8">
      <c r="A2116" s="245" t="s">
        <v>3238</v>
      </c>
      <c r="B2116" s="245">
        <v>41200006</v>
      </c>
      <c r="C2116" s="245" t="s">
        <v>1477</v>
      </c>
      <c r="D2116" s="245" t="s">
        <v>6640</v>
      </c>
      <c r="E2116" s="245" t="s">
        <v>1405</v>
      </c>
      <c r="F2116" s="245" t="s">
        <v>2395</v>
      </c>
      <c r="G2116" s="245" t="s">
        <v>1469</v>
      </c>
      <c r="H2116" s="245" t="s">
        <v>2392</v>
      </c>
    </row>
    <row r="2117" spans="1:8">
      <c r="A2117" s="245" t="s">
        <v>3250</v>
      </c>
      <c r="B2117" s="245">
        <v>41200088</v>
      </c>
      <c r="C2117" s="245" t="s">
        <v>1476</v>
      </c>
      <c r="D2117" s="245" t="s">
        <v>1476</v>
      </c>
      <c r="E2117" s="245" t="s">
        <v>1422</v>
      </c>
      <c r="F2117" s="245" t="s">
        <v>2395</v>
      </c>
      <c r="G2117" s="245" t="s">
        <v>1468</v>
      </c>
      <c r="H2117" s="245" t="s">
        <v>2392</v>
      </c>
    </row>
    <row r="2118" spans="1:8">
      <c r="A2118" s="245" t="s">
        <v>3240</v>
      </c>
      <c r="B2118" s="245">
        <v>41200125</v>
      </c>
      <c r="C2118" s="245" t="s">
        <v>1476</v>
      </c>
      <c r="D2118" s="245" t="s">
        <v>1476</v>
      </c>
      <c r="E2118" s="245" t="s">
        <v>1585</v>
      </c>
      <c r="F2118" s="245" t="s">
        <v>2395</v>
      </c>
      <c r="G2118" s="245" t="s">
        <v>1469</v>
      </c>
      <c r="H2118" s="245" t="s">
        <v>2392</v>
      </c>
    </row>
    <row r="2119" spans="1:8">
      <c r="A2119" s="245" t="s">
        <v>3228</v>
      </c>
      <c r="B2119" s="245">
        <v>41200184</v>
      </c>
      <c r="C2119" s="245" t="s">
        <v>1479</v>
      </c>
      <c r="D2119" s="245" t="s">
        <v>1394</v>
      </c>
      <c r="E2119" s="245" t="s">
        <v>1394</v>
      </c>
      <c r="F2119" s="245" t="s">
        <v>2395</v>
      </c>
      <c r="G2119" s="245" t="s">
        <v>1469</v>
      </c>
      <c r="H2119" s="245" t="s">
        <v>2392</v>
      </c>
    </row>
    <row r="2120" spans="1:8">
      <c r="A2120" s="245" t="s">
        <v>3226</v>
      </c>
      <c r="B2120" s="245">
        <v>41200184</v>
      </c>
      <c r="C2120" s="245" t="s">
        <v>1479</v>
      </c>
      <c r="D2120" s="245" t="s">
        <v>1394</v>
      </c>
      <c r="E2120" s="245" t="s">
        <v>1394</v>
      </c>
      <c r="F2120" s="245" t="s">
        <v>2395</v>
      </c>
      <c r="G2120" s="245" t="s">
        <v>1469</v>
      </c>
      <c r="H2120" s="245" t="s">
        <v>2392</v>
      </c>
    </row>
    <row r="2121" spans="1:8">
      <c r="A2121" s="245" t="s">
        <v>3225</v>
      </c>
      <c r="B2121" s="245">
        <v>41200184</v>
      </c>
      <c r="C2121" s="245" t="s">
        <v>1479</v>
      </c>
      <c r="D2121" s="245" t="s">
        <v>1394</v>
      </c>
      <c r="E2121" s="245" t="s">
        <v>1394</v>
      </c>
      <c r="F2121" s="245" t="s">
        <v>2395</v>
      </c>
      <c r="G2121" s="245" t="s">
        <v>1469</v>
      </c>
      <c r="H2121" s="245" t="s">
        <v>2392</v>
      </c>
    </row>
    <row r="2122" spans="1:8">
      <c r="A2122" s="245" t="s">
        <v>3537</v>
      </c>
      <c r="B2122" s="245">
        <v>41200101</v>
      </c>
      <c r="C2122" s="245" t="s">
        <v>1476</v>
      </c>
      <c r="D2122" s="245" t="s">
        <v>1476</v>
      </c>
      <c r="E2122" s="245" t="s">
        <v>1585</v>
      </c>
      <c r="F2122" s="245" t="s">
        <v>2555</v>
      </c>
      <c r="G2122" s="245" t="s">
        <v>2555</v>
      </c>
      <c r="H2122" s="245" t="s">
        <v>2392</v>
      </c>
    </row>
    <row r="2123" spans="1:8">
      <c r="A2123" s="245" t="s">
        <v>3271</v>
      </c>
      <c r="B2123" s="245">
        <v>41200101</v>
      </c>
      <c r="C2123" s="245" t="s">
        <v>1476</v>
      </c>
      <c r="D2123" s="245" t="s">
        <v>1476</v>
      </c>
      <c r="E2123" s="245" t="s">
        <v>1585</v>
      </c>
      <c r="F2123" s="245" t="s">
        <v>2555</v>
      </c>
      <c r="G2123" s="245" t="s">
        <v>2555</v>
      </c>
      <c r="H2123" s="245" t="s">
        <v>2392</v>
      </c>
    </row>
    <row r="2124" spans="1:8">
      <c r="A2124" s="245" t="s">
        <v>3223</v>
      </c>
      <c r="B2124" s="245">
        <v>41100317</v>
      </c>
      <c r="C2124" s="245" t="s">
        <v>1476</v>
      </c>
      <c r="D2124" s="245" t="s">
        <v>1476</v>
      </c>
      <c r="E2124" s="245" t="s">
        <v>1585</v>
      </c>
      <c r="F2124" s="245" t="s">
        <v>2391</v>
      </c>
      <c r="G2124" s="245" t="s">
        <v>1468</v>
      </c>
      <c r="H2124" s="245" t="s">
        <v>2392</v>
      </c>
    </row>
    <row r="2125" spans="1:8">
      <c r="A2125" s="245" t="s">
        <v>3237</v>
      </c>
      <c r="B2125" s="245">
        <v>41200025</v>
      </c>
      <c r="C2125" s="245" t="s">
        <v>2184</v>
      </c>
      <c r="D2125" s="245" t="s">
        <v>6646</v>
      </c>
      <c r="E2125" s="245" t="s">
        <v>1405</v>
      </c>
      <c r="F2125" s="245" t="s">
        <v>2392</v>
      </c>
      <c r="G2125" s="245" t="s">
        <v>1468</v>
      </c>
      <c r="H2125" s="245" t="s">
        <v>71</v>
      </c>
    </row>
    <row r="2126" spans="1:8">
      <c r="A2126" s="245" t="s">
        <v>3236</v>
      </c>
      <c r="B2126" s="245">
        <v>41200025</v>
      </c>
      <c r="C2126" s="245" t="s">
        <v>2184</v>
      </c>
      <c r="D2126" s="245" t="s">
        <v>6646</v>
      </c>
      <c r="E2126" s="245" t="s">
        <v>1405</v>
      </c>
      <c r="F2126" s="245" t="s">
        <v>2392</v>
      </c>
      <c r="G2126" s="245" t="s">
        <v>1468</v>
      </c>
      <c r="H2126" s="245" t="s">
        <v>71</v>
      </c>
    </row>
    <row r="2127" spans="1:8">
      <c r="A2127" s="245" t="s">
        <v>3224</v>
      </c>
      <c r="B2127" s="245">
        <v>41200136</v>
      </c>
      <c r="C2127" s="245" t="s">
        <v>1482</v>
      </c>
      <c r="D2127" s="245" t="s">
        <v>1431</v>
      </c>
      <c r="E2127" s="245" t="s">
        <v>1431</v>
      </c>
      <c r="F2127" s="245" t="s">
        <v>2395</v>
      </c>
      <c r="G2127" s="245" t="s">
        <v>1469</v>
      </c>
      <c r="H2127" s="245" t="s">
        <v>71</v>
      </c>
    </row>
    <row r="2128" spans="1:8">
      <c r="A2128" s="245" t="s">
        <v>3445</v>
      </c>
      <c r="B2128" s="245">
        <v>41200007</v>
      </c>
      <c r="C2128" s="245" t="s">
        <v>1591</v>
      </c>
      <c r="D2128" s="245" t="s">
        <v>6608</v>
      </c>
      <c r="E2128" s="245" t="s">
        <v>1405</v>
      </c>
      <c r="F2128" s="245" t="s">
        <v>2391</v>
      </c>
      <c r="G2128" s="245" t="s">
        <v>2392</v>
      </c>
      <c r="H2128" s="245" t="s">
        <v>2392</v>
      </c>
    </row>
    <row r="2129" spans="1:8">
      <c r="A2129" s="245" t="s">
        <v>3446</v>
      </c>
      <c r="B2129" s="245">
        <v>41200007</v>
      </c>
      <c r="C2129" s="245" t="s">
        <v>1591</v>
      </c>
      <c r="D2129" s="245" t="s">
        <v>6608</v>
      </c>
      <c r="E2129" s="245" t="s">
        <v>1405</v>
      </c>
      <c r="F2129" s="245" t="s">
        <v>2391</v>
      </c>
      <c r="G2129" s="245" t="s">
        <v>2392</v>
      </c>
      <c r="H2129" s="245" t="s">
        <v>2392</v>
      </c>
    </row>
    <row r="2130" spans="1:8">
      <c r="A2130" s="245" t="s">
        <v>3308</v>
      </c>
      <c r="B2130" s="245">
        <v>41100286</v>
      </c>
      <c r="C2130" s="245" t="s">
        <v>1476</v>
      </c>
      <c r="D2130" s="245" t="s">
        <v>6610</v>
      </c>
      <c r="E2130" s="245" t="s">
        <v>1424</v>
      </c>
      <c r="F2130" s="245" t="s">
        <v>2391</v>
      </c>
      <c r="G2130" s="245" t="s">
        <v>2392</v>
      </c>
      <c r="H2130" s="245" t="s">
        <v>2392</v>
      </c>
    </row>
    <row r="2131" spans="1:8">
      <c r="A2131" s="245" t="s">
        <v>6591</v>
      </c>
      <c r="B2131" s="245" t="s">
        <v>6592</v>
      </c>
      <c r="C2131" s="245" t="s">
        <v>6593</v>
      </c>
      <c r="D2131" s="245" t="s">
        <v>71</v>
      </c>
      <c r="E2131" s="245" t="s">
        <v>1405</v>
      </c>
      <c r="F2131" s="245" t="s">
        <v>2392</v>
      </c>
      <c r="G2131" s="245" t="s">
        <v>2392</v>
      </c>
      <c r="H2131" s="245" t="s">
        <v>2392</v>
      </c>
    </row>
    <row r="2132" spans="1:8">
      <c r="A2132" s="245" t="s">
        <v>6595</v>
      </c>
      <c r="B2132" s="245" t="s">
        <v>6592</v>
      </c>
      <c r="C2132" s="245" t="s">
        <v>6593</v>
      </c>
      <c r="D2132" s="245" t="s">
        <v>71</v>
      </c>
      <c r="E2132" s="245" t="s">
        <v>1405</v>
      </c>
      <c r="F2132" s="245" t="s">
        <v>2392</v>
      </c>
      <c r="G2132" s="245" t="s">
        <v>2392</v>
      </c>
      <c r="H2132" s="245" t="s">
        <v>2392</v>
      </c>
    </row>
    <row r="2133" spans="1:8">
      <c r="A2133" s="245" t="s">
        <v>6596</v>
      </c>
      <c r="B2133" s="245" t="s">
        <v>6592</v>
      </c>
      <c r="C2133" s="245" t="s">
        <v>6593</v>
      </c>
      <c r="D2133" s="245" t="s">
        <v>71</v>
      </c>
      <c r="E2133" s="245" t="s">
        <v>1405</v>
      </c>
      <c r="F2133" s="245" t="s">
        <v>2392</v>
      </c>
      <c r="G2133" s="245" t="s">
        <v>2392</v>
      </c>
      <c r="H2133" s="245" t="s">
        <v>2392</v>
      </c>
    </row>
    <row r="2134" spans="1:8">
      <c r="A2134" s="245" t="s">
        <v>6597</v>
      </c>
      <c r="B2134" s="245" t="s">
        <v>6592</v>
      </c>
      <c r="C2134" s="245" t="s">
        <v>6593</v>
      </c>
      <c r="D2134" s="245" t="s">
        <v>71</v>
      </c>
      <c r="E2134" s="245" t="s">
        <v>1405</v>
      </c>
      <c r="F2134" s="245" t="s">
        <v>2392</v>
      </c>
      <c r="G2134" s="245" t="s">
        <v>2392</v>
      </c>
      <c r="H2134" s="245" t="s">
        <v>2392</v>
      </c>
    </row>
    <row r="2135" spans="1:8">
      <c r="A2135" s="245" t="s">
        <v>6598</v>
      </c>
      <c r="B2135" s="245" t="s">
        <v>6592</v>
      </c>
      <c r="C2135" s="245" t="s">
        <v>6593</v>
      </c>
      <c r="D2135" s="245" t="s">
        <v>71</v>
      </c>
      <c r="E2135" s="245" t="s">
        <v>1405</v>
      </c>
      <c r="F2135" s="245" t="s">
        <v>2392</v>
      </c>
      <c r="G2135" s="245" t="s">
        <v>2392</v>
      </c>
      <c r="H2135" s="245" t="s">
        <v>2392</v>
      </c>
    </row>
    <row r="2136" spans="1:8">
      <c r="A2136" s="245" t="s">
        <v>6599</v>
      </c>
      <c r="B2136" s="245" t="s">
        <v>6592</v>
      </c>
      <c r="C2136" s="245" t="s">
        <v>6593</v>
      </c>
      <c r="D2136" s="245" t="s">
        <v>71</v>
      </c>
      <c r="E2136" s="245" t="s">
        <v>1405</v>
      </c>
      <c r="F2136" s="245" t="s">
        <v>2392</v>
      </c>
      <c r="G2136" s="245" t="s">
        <v>2392</v>
      </c>
      <c r="H2136" s="245" t="s">
        <v>2392</v>
      </c>
    </row>
    <row r="2137" spans="1:8">
      <c r="A2137" s="245" t="s">
        <v>6600</v>
      </c>
      <c r="B2137" s="245" t="s">
        <v>6592</v>
      </c>
      <c r="C2137" s="245" t="s">
        <v>6593</v>
      </c>
      <c r="D2137" s="245" t="s">
        <v>71</v>
      </c>
      <c r="E2137" s="245" t="s">
        <v>1405</v>
      </c>
      <c r="F2137" s="245" t="s">
        <v>2392</v>
      </c>
      <c r="G2137" s="245" t="s">
        <v>2392</v>
      </c>
      <c r="H2137" s="245" t="s">
        <v>2392</v>
      </c>
    </row>
    <row r="2138" spans="1:8">
      <c r="A2138" s="245" t="s">
        <v>6601</v>
      </c>
      <c r="B2138" s="245" t="s">
        <v>6592</v>
      </c>
      <c r="C2138" s="245" t="s">
        <v>6593</v>
      </c>
      <c r="D2138" s="245" t="s">
        <v>71</v>
      </c>
      <c r="E2138" s="245" t="s">
        <v>1405</v>
      </c>
      <c r="F2138" s="245" t="s">
        <v>2392</v>
      </c>
      <c r="G2138" s="245" t="s">
        <v>2392</v>
      </c>
      <c r="H2138" s="245" t="s">
        <v>2392</v>
      </c>
    </row>
    <row r="2139" spans="1:8">
      <c r="A2139" s="245" t="s">
        <v>6602</v>
      </c>
      <c r="B2139" s="245" t="s">
        <v>6592</v>
      </c>
      <c r="C2139" s="245" t="s">
        <v>6593</v>
      </c>
      <c r="D2139" s="245" t="s">
        <v>71</v>
      </c>
      <c r="E2139" s="245" t="s">
        <v>1405</v>
      </c>
      <c r="F2139" s="245" t="s">
        <v>2392</v>
      </c>
      <c r="G2139" s="245" t="s">
        <v>2392</v>
      </c>
      <c r="H2139" s="245" t="s">
        <v>2392</v>
      </c>
    </row>
    <row r="2140" spans="1:8">
      <c r="A2140" s="245" t="s">
        <v>3204</v>
      </c>
      <c r="B2140" s="245">
        <v>41100435</v>
      </c>
      <c r="C2140" s="245" t="s">
        <v>3801</v>
      </c>
      <c r="D2140" s="245" t="s">
        <v>1482</v>
      </c>
      <c r="E2140" s="245" t="s">
        <v>1585</v>
      </c>
      <c r="F2140" s="245" t="s">
        <v>2391</v>
      </c>
      <c r="G2140" s="245" t="s">
        <v>1468</v>
      </c>
      <c r="H2140" s="245" t="s">
        <v>71</v>
      </c>
    </row>
    <row r="2141" spans="1:8">
      <c r="A2141" s="245" t="s">
        <v>3370</v>
      </c>
      <c r="B2141" s="245">
        <v>41200075</v>
      </c>
      <c r="C2141" s="245" t="s">
        <v>1476</v>
      </c>
      <c r="D2141" s="245" t="s">
        <v>1476</v>
      </c>
      <c r="E2141" s="245" t="s">
        <v>1585</v>
      </c>
      <c r="F2141" s="245" t="s">
        <v>2391</v>
      </c>
      <c r="G2141" s="245" t="s">
        <v>1468</v>
      </c>
      <c r="H2141" s="245" t="s">
        <v>2391</v>
      </c>
    </row>
    <row r="2142" spans="1:8">
      <c r="A2142" s="245" t="s">
        <v>3369</v>
      </c>
      <c r="B2142" s="245">
        <v>41200075</v>
      </c>
      <c r="C2142" s="245" t="s">
        <v>1476</v>
      </c>
      <c r="D2142" s="245" t="s">
        <v>1476</v>
      </c>
      <c r="E2142" s="245" t="s">
        <v>1585</v>
      </c>
      <c r="F2142" s="245" t="s">
        <v>2391</v>
      </c>
      <c r="G2142" s="245" t="s">
        <v>1468</v>
      </c>
      <c r="H2142" s="245" t="s">
        <v>2391</v>
      </c>
    </row>
    <row r="2143" spans="1:8">
      <c r="A2143" s="245" t="s">
        <v>3246</v>
      </c>
      <c r="B2143" s="245">
        <v>41200076</v>
      </c>
      <c r="C2143" s="245" t="s">
        <v>1476</v>
      </c>
      <c r="D2143" s="245" t="s">
        <v>1476</v>
      </c>
      <c r="E2143" s="245" t="s">
        <v>1585</v>
      </c>
      <c r="F2143" s="245" t="s">
        <v>2395</v>
      </c>
      <c r="G2143" s="245" t="s">
        <v>1468</v>
      </c>
      <c r="H2143" s="245" t="s">
        <v>2392</v>
      </c>
    </row>
    <row r="2144" spans="1:8">
      <c r="A2144" s="245" t="s">
        <v>3282</v>
      </c>
      <c r="B2144" s="245">
        <v>41200076</v>
      </c>
      <c r="C2144" s="245" t="s">
        <v>1476</v>
      </c>
      <c r="D2144" s="245" t="s">
        <v>1476</v>
      </c>
      <c r="E2144" s="245" t="s">
        <v>1585</v>
      </c>
      <c r="F2144" s="245" t="s">
        <v>2391</v>
      </c>
      <c r="G2144" s="245" t="s">
        <v>2392</v>
      </c>
      <c r="H2144" s="245" t="s">
        <v>2392</v>
      </c>
    </row>
    <row r="2145" spans="1:8">
      <c r="A2145" s="245" t="s">
        <v>3249</v>
      </c>
      <c r="B2145" s="245">
        <v>41200076</v>
      </c>
      <c r="C2145" s="245" t="s">
        <v>1476</v>
      </c>
      <c r="D2145" s="245" t="s">
        <v>1476</v>
      </c>
      <c r="E2145" s="245" t="s">
        <v>1585</v>
      </c>
      <c r="F2145" s="245" t="s">
        <v>2391</v>
      </c>
      <c r="G2145" s="245" t="s">
        <v>2392</v>
      </c>
      <c r="H2145" s="245" t="s">
        <v>2392</v>
      </c>
    </row>
    <row r="2146" spans="1:8">
      <c r="A2146" s="245" t="s">
        <v>3216</v>
      </c>
      <c r="B2146" s="245">
        <v>41200133</v>
      </c>
      <c r="C2146" s="245" t="s">
        <v>1476</v>
      </c>
      <c r="D2146" s="245" t="s">
        <v>6605</v>
      </c>
      <c r="E2146" s="245" t="s">
        <v>1429</v>
      </c>
      <c r="F2146" s="245" t="s">
        <v>2395</v>
      </c>
      <c r="G2146" s="245" t="s">
        <v>2392</v>
      </c>
      <c r="H2146" s="245" t="s">
        <v>2392</v>
      </c>
    </row>
    <row r="2147" spans="1:8">
      <c r="A2147" s="245" t="s">
        <v>3215</v>
      </c>
      <c r="B2147" s="245">
        <v>41200133</v>
      </c>
      <c r="C2147" s="245" t="s">
        <v>1476</v>
      </c>
      <c r="D2147" s="245" t="s">
        <v>6605</v>
      </c>
      <c r="E2147" s="245" t="s">
        <v>1429</v>
      </c>
      <c r="F2147" s="245" t="s">
        <v>2395</v>
      </c>
      <c r="G2147" s="245" t="s">
        <v>2392</v>
      </c>
      <c r="H2147" s="245" t="s">
        <v>2392</v>
      </c>
    </row>
    <row r="2148" spans="1:8">
      <c r="A2148" s="245" t="s">
        <v>3217</v>
      </c>
      <c r="B2148" s="245">
        <v>41200105</v>
      </c>
      <c r="C2148" s="245" t="s">
        <v>1476</v>
      </c>
      <c r="D2148" s="245" t="s">
        <v>1591</v>
      </c>
      <c r="E2148" s="245" t="s">
        <v>1424</v>
      </c>
      <c r="F2148" s="245" t="s">
        <v>2395</v>
      </c>
      <c r="G2148" s="245" t="s">
        <v>1468</v>
      </c>
      <c r="H2148" s="245" t="s">
        <v>2392</v>
      </c>
    </row>
    <row r="2149" spans="1:8">
      <c r="A2149" s="245" t="s">
        <v>3212</v>
      </c>
      <c r="B2149" s="245">
        <v>41200129</v>
      </c>
      <c r="C2149" s="245" t="s">
        <v>1591</v>
      </c>
      <c r="D2149" s="245" t="s">
        <v>6606</v>
      </c>
      <c r="E2149" s="245" t="s">
        <v>1431</v>
      </c>
      <c r="F2149" s="245" t="s">
        <v>2395</v>
      </c>
      <c r="G2149" s="245" t="s">
        <v>1469</v>
      </c>
      <c r="H2149" s="245" t="s">
        <v>2392</v>
      </c>
    </row>
    <row r="2150" spans="1:8">
      <c r="A2150" s="245" t="s">
        <v>5339</v>
      </c>
      <c r="B2150" s="245">
        <v>41000558</v>
      </c>
      <c r="C2150" s="245" t="s">
        <v>6607</v>
      </c>
      <c r="D2150" s="245" t="s">
        <v>6607</v>
      </c>
      <c r="E2150" s="245" t="s">
        <v>1405</v>
      </c>
      <c r="F2150" s="245" t="s">
        <v>5127</v>
      </c>
      <c r="G2150" s="245" t="s">
        <v>1469</v>
      </c>
      <c r="H2150" s="245" t="s">
        <v>71</v>
      </c>
    </row>
    <row r="2151" spans="1:8">
      <c r="A2151" s="245" t="s">
        <v>3235</v>
      </c>
      <c r="B2151" s="245">
        <v>41200007</v>
      </c>
      <c r="C2151" s="245" t="s">
        <v>1591</v>
      </c>
      <c r="D2151" s="245" t="s">
        <v>6608</v>
      </c>
      <c r="E2151" s="245" t="s">
        <v>1405</v>
      </c>
      <c r="F2151" s="245" t="s">
        <v>2391</v>
      </c>
      <c r="G2151" s="245" t="s">
        <v>2392</v>
      </c>
      <c r="H2151" s="245" t="s">
        <v>2392</v>
      </c>
    </row>
    <row r="2152" spans="1:8">
      <c r="A2152" s="245" t="s">
        <v>3234</v>
      </c>
      <c r="B2152" s="245">
        <v>41200007</v>
      </c>
      <c r="C2152" s="245" t="s">
        <v>1591</v>
      </c>
      <c r="D2152" s="245" t="s">
        <v>6608</v>
      </c>
      <c r="E2152" s="245" t="s">
        <v>1405</v>
      </c>
      <c r="F2152" s="245" t="s">
        <v>2391</v>
      </c>
      <c r="G2152" s="245" t="s">
        <v>2392</v>
      </c>
      <c r="H2152" s="245" t="s">
        <v>2392</v>
      </c>
    </row>
    <row r="2153" spans="1:8">
      <c r="A2153" s="245" t="s">
        <v>3233</v>
      </c>
      <c r="B2153" s="245">
        <v>41200007</v>
      </c>
      <c r="C2153" s="245" t="s">
        <v>1591</v>
      </c>
      <c r="D2153" s="245" t="s">
        <v>6608</v>
      </c>
      <c r="E2153" s="245" t="s">
        <v>1405</v>
      </c>
      <c r="F2153" s="245" t="s">
        <v>2391</v>
      </c>
      <c r="G2153" s="245" t="s">
        <v>2392</v>
      </c>
      <c r="H2153" s="245" t="s">
        <v>2392</v>
      </c>
    </row>
    <row r="2154" spans="1:8">
      <c r="A2154" s="245" t="s">
        <v>3255</v>
      </c>
      <c r="B2154" s="245">
        <v>41200122</v>
      </c>
      <c r="C2154" s="245" t="s">
        <v>1476</v>
      </c>
      <c r="D2154" s="245" t="s">
        <v>1476</v>
      </c>
      <c r="E2154" s="245" t="s">
        <v>1585</v>
      </c>
      <c r="F2154" s="245" t="s">
        <v>2395</v>
      </c>
      <c r="G2154" s="245" t="s">
        <v>1469</v>
      </c>
      <c r="H2154" s="245" t="s">
        <v>2392</v>
      </c>
    </row>
    <row r="2155" spans="1:8">
      <c r="A2155" s="245" t="s">
        <v>3254</v>
      </c>
      <c r="B2155" s="245">
        <v>41200122</v>
      </c>
      <c r="C2155" s="245" t="s">
        <v>1476</v>
      </c>
      <c r="D2155" s="245" t="s">
        <v>1476</v>
      </c>
      <c r="E2155" s="245" t="s">
        <v>1585</v>
      </c>
      <c r="F2155" s="245" t="s">
        <v>2395</v>
      </c>
      <c r="G2155" s="245" t="s">
        <v>1469</v>
      </c>
      <c r="H2155" s="245" t="s">
        <v>2392</v>
      </c>
    </row>
    <row r="2156" spans="1:8">
      <c r="A2156" s="245" t="s">
        <v>3202</v>
      </c>
      <c r="B2156" s="245">
        <v>41200124</v>
      </c>
      <c r="C2156" s="245" t="s">
        <v>1476</v>
      </c>
      <c r="D2156" s="245" t="s">
        <v>6609</v>
      </c>
      <c r="E2156" s="245" t="s">
        <v>1585</v>
      </c>
      <c r="F2156" s="245" t="s">
        <v>2395</v>
      </c>
      <c r="G2156" s="245" t="s">
        <v>1469</v>
      </c>
      <c r="H2156" s="245" t="s">
        <v>2392</v>
      </c>
    </row>
    <row r="2157" spans="1:8">
      <c r="A2157" s="245" t="s">
        <v>3201</v>
      </c>
      <c r="B2157" s="245">
        <v>41200124</v>
      </c>
      <c r="C2157" s="245" t="s">
        <v>1476</v>
      </c>
      <c r="D2157" s="245" t="s">
        <v>6609</v>
      </c>
      <c r="E2157" s="245" t="s">
        <v>1585</v>
      </c>
      <c r="F2157" s="245" t="s">
        <v>2395</v>
      </c>
      <c r="G2157" s="245" t="s">
        <v>1469</v>
      </c>
      <c r="H2157" s="245" t="s">
        <v>2392</v>
      </c>
    </row>
    <row r="2158" spans="1:8">
      <c r="A2158" s="245" t="s">
        <v>3169</v>
      </c>
      <c r="B2158" s="245">
        <v>41200122</v>
      </c>
      <c r="C2158" s="245" t="s">
        <v>1476</v>
      </c>
      <c r="D2158" s="245" t="s">
        <v>1476</v>
      </c>
      <c r="E2158" s="245" t="s">
        <v>1585</v>
      </c>
      <c r="F2158" s="245" t="s">
        <v>2391</v>
      </c>
      <c r="G2158" s="245" t="s">
        <v>2392</v>
      </c>
      <c r="H2158" s="245" t="s">
        <v>2392</v>
      </c>
    </row>
    <row r="2159" spans="1:8">
      <c r="A2159" s="245" t="s">
        <v>3165</v>
      </c>
      <c r="B2159" s="245">
        <v>41200122</v>
      </c>
      <c r="C2159" s="245" t="s">
        <v>1476</v>
      </c>
      <c r="D2159" s="245" t="s">
        <v>1476</v>
      </c>
      <c r="E2159" s="245" t="s">
        <v>1585</v>
      </c>
      <c r="F2159" s="245" t="s">
        <v>2391</v>
      </c>
      <c r="G2159" s="245" t="s">
        <v>2392</v>
      </c>
      <c r="H2159" s="245" t="s">
        <v>2392</v>
      </c>
    </row>
    <row r="2160" spans="1:8">
      <c r="A2160" s="245" t="s">
        <v>3207</v>
      </c>
      <c r="B2160" s="245">
        <v>41100286</v>
      </c>
      <c r="C2160" s="245" t="s">
        <v>1476</v>
      </c>
      <c r="D2160" s="245" t="s">
        <v>6610</v>
      </c>
      <c r="E2160" s="245" t="s">
        <v>1424</v>
      </c>
      <c r="F2160" s="245" t="s">
        <v>2391</v>
      </c>
      <c r="G2160" s="245" t="s">
        <v>2392</v>
      </c>
      <c r="H2160" s="245" t="s">
        <v>2392</v>
      </c>
    </row>
    <row r="2161" spans="1:8">
      <c r="A2161" s="245" t="s">
        <v>5337</v>
      </c>
      <c r="B2161" s="245">
        <v>41000558</v>
      </c>
      <c r="C2161" s="245" t="s">
        <v>6607</v>
      </c>
      <c r="D2161" s="245" t="s">
        <v>6607</v>
      </c>
      <c r="E2161" s="245" t="s">
        <v>1405</v>
      </c>
      <c r="F2161" s="245" t="s">
        <v>5127</v>
      </c>
      <c r="G2161" s="245" t="s">
        <v>1469</v>
      </c>
      <c r="H2161" s="245" t="s">
        <v>71</v>
      </c>
    </row>
    <row r="2162" spans="1:8">
      <c r="A2162" s="245" t="s">
        <v>3200</v>
      </c>
      <c r="B2162" s="245">
        <v>41200007</v>
      </c>
      <c r="C2162" s="245" t="s">
        <v>1591</v>
      </c>
      <c r="D2162" s="245" t="s">
        <v>6608</v>
      </c>
      <c r="E2162" s="245" t="s">
        <v>1405</v>
      </c>
      <c r="F2162" s="245" t="s">
        <v>2391</v>
      </c>
      <c r="G2162" s="245" t="s">
        <v>2392</v>
      </c>
      <c r="H2162" s="245" t="s">
        <v>2391</v>
      </c>
    </row>
    <row r="2163" spans="1:8">
      <c r="A2163" s="245" t="s">
        <v>3199</v>
      </c>
      <c r="B2163" s="245">
        <v>41200007</v>
      </c>
      <c r="C2163" s="245" t="s">
        <v>1591</v>
      </c>
      <c r="D2163" s="245" t="s">
        <v>6608</v>
      </c>
      <c r="E2163" s="245" t="s">
        <v>1405</v>
      </c>
      <c r="F2163" s="245" t="s">
        <v>2391</v>
      </c>
      <c r="G2163" s="245" t="s">
        <v>2392</v>
      </c>
      <c r="H2163" s="245" t="s">
        <v>2391</v>
      </c>
    </row>
    <row r="2164" spans="1:8">
      <c r="A2164" s="245" t="s">
        <v>5338</v>
      </c>
      <c r="B2164" s="245">
        <v>41000558</v>
      </c>
      <c r="C2164" s="245" t="s">
        <v>6607</v>
      </c>
      <c r="D2164" s="245" t="s">
        <v>6607</v>
      </c>
      <c r="E2164" s="245" t="s">
        <v>1405</v>
      </c>
      <c r="F2164" s="245" t="s">
        <v>5127</v>
      </c>
      <c r="G2164" s="245" t="s">
        <v>1469</v>
      </c>
      <c r="H2164" s="245" t="s">
        <v>71</v>
      </c>
    </row>
    <row r="2165" spans="1:8">
      <c r="A2165" s="245" t="s">
        <v>3208</v>
      </c>
      <c r="B2165" s="245">
        <v>41100435</v>
      </c>
      <c r="C2165" s="245" t="s">
        <v>3801</v>
      </c>
      <c r="D2165" s="245" t="s">
        <v>1482</v>
      </c>
      <c r="E2165" s="245" t="s">
        <v>1585</v>
      </c>
      <c r="F2165" s="245" t="s">
        <v>2391</v>
      </c>
      <c r="G2165" s="245" t="s">
        <v>2392</v>
      </c>
      <c r="H2165" s="245" t="s">
        <v>71</v>
      </c>
    </row>
    <row r="2166" spans="1:8">
      <c r="A2166" s="245" t="s">
        <v>3219</v>
      </c>
      <c r="B2166" s="245">
        <v>41200048</v>
      </c>
      <c r="C2166" s="245" t="s">
        <v>1476</v>
      </c>
      <c r="D2166" s="245" t="s">
        <v>1426</v>
      </c>
      <c r="E2166" s="245" t="s">
        <v>1426</v>
      </c>
      <c r="F2166" s="245" t="s">
        <v>2395</v>
      </c>
      <c r="G2166" s="245" t="s">
        <v>1469</v>
      </c>
      <c r="H2166" s="245" t="s">
        <v>2392</v>
      </c>
    </row>
    <row r="2167" spans="1:8">
      <c r="A2167" s="245" t="s">
        <v>3218</v>
      </c>
      <c r="B2167" s="245">
        <v>41200048</v>
      </c>
      <c r="C2167" s="245" t="s">
        <v>1476</v>
      </c>
      <c r="D2167" s="245" t="s">
        <v>1426</v>
      </c>
      <c r="E2167" s="245" t="s">
        <v>1426</v>
      </c>
      <c r="F2167" s="245" t="s">
        <v>2395</v>
      </c>
      <c r="G2167" s="245" t="s">
        <v>1469</v>
      </c>
      <c r="H2167" s="245" t="s">
        <v>2392</v>
      </c>
    </row>
    <row r="2168" spans="1:8">
      <c r="A2168" s="245" t="s">
        <v>3209</v>
      </c>
      <c r="B2168" s="245">
        <v>41200048</v>
      </c>
      <c r="C2168" s="245" t="s">
        <v>1476</v>
      </c>
      <c r="D2168" s="245" t="s">
        <v>1426</v>
      </c>
      <c r="E2168" s="245" t="s">
        <v>1426</v>
      </c>
      <c r="F2168" s="245" t="s">
        <v>2395</v>
      </c>
      <c r="G2168" s="245" t="s">
        <v>1469</v>
      </c>
      <c r="H2168" s="245" t="s">
        <v>2392</v>
      </c>
    </row>
    <row r="2169" spans="1:8">
      <c r="A2169" s="245" t="s">
        <v>3157</v>
      </c>
      <c r="B2169" s="245">
        <v>41100264</v>
      </c>
      <c r="C2169" s="245" t="s">
        <v>1591</v>
      </c>
      <c r="D2169" s="245" t="s">
        <v>6611</v>
      </c>
      <c r="E2169" s="245" t="s">
        <v>1585</v>
      </c>
      <c r="F2169" s="245" t="s">
        <v>2395</v>
      </c>
      <c r="G2169" s="245" t="s">
        <v>2392</v>
      </c>
      <c r="H2169" s="245" t="s">
        <v>2392</v>
      </c>
    </row>
    <row r="2170" spans="1:8">
      <c r="A2170" s="245" t="s">
        <v>3156</v>
      </c>
      <c r="B2170" s="245">
        <v>41100264</v>
      </c>
      <c r="C2170" s="245" t="s">
        <v>1591</v>
      </c>
      <c r="D2170" s="245" t="s">
        <v>6611</v>
      </c>
      <c r="E2170" s="245" t="s">
        <v>1585</v>
      </c>
      <c r="F2170" s="245" t="s">
        <v>2395</v>
      </c>
      <c r="G2170" s="245" t="s">
        <v>2392</v>
      </c>
      <c r="H2170" s="245" t="s">
        <v>2392</v>
      </c>
    </row>
    <row r="2171" spans="1:8">
      <c r="A2171" s="245" t="s">
        <v>3189</v>
      </c>
      <c r="B2171" s="245">
        <v>41200007</v>
      </c>
      <c r="C2171" s="245" t="s">
        <v>1591</v>
      </c>
      <c r="D2171" s="245" t="s">
        <v>6608</v>
      </c>
      <c r="E2171" s="245" t="s">
        <v>1405</v>
      </c>
      <c r="F2171" s="245" t="s">
        <v>2391</v>
      </c>
      <c r="G2171" s="245" t="s">
        <v>1468</v>
      </c>
      <c r="H2171" s="245" t="s">
        <v>2391</v>
      </c>
    </row>
    <row r="2172" spans="1:8">
      <c r="A2172" s="245" t="s">
        <v>3188</v>
      </c>
      <c r="B2172" s="245">
        <v>41200007</v>
      </c>
      <c r="C2172" s="245" t="s">
        <v>1591</v>
      </c>
      <c r="D2172" s="245" t="s">
        <v>6608</v>
      </c>
      <c r="E2172" s="245" t="s">
        <v>1405</v>
      </c>
      <c r="F2172" s="245" t="s">
        <v>2391</v>
      </c>
      <c r="G2172" s="245" t="s">
        <v>1468</v>
      </c>
      <c r="H2172" s="245" t="s">
        <v>2391</v>
      </c>
    </row>
    <row r="2173" spans="1:8">
      <c r="A2173" s="245" t="s">
        <v>3206</v>
      </c>
      <c r="B2173" s="245">
        <v>41200158</v>
      </c>
      <c r="C2173" s="245" t="s">
        <v>1480</v>
      </c>
      <c r="D2173" s="245" t="s">
        <v>1480</v>
      </c>
      <c r="E2173" s="245" t="s">
        <v>1405</v>
      </c>
      <c r="F2173" s="245" t="s">
        <v>2391</v>
      </c>
      <c r="G2173" s="245" t="s">
        <v>2392</v>
      </c>
      <c r="H2173" s="245" t="s">
        <v>2391</v>
      </c>
    </row>
    <row r="2174" spans="1:8">
      <c r="A2174" s="245" t="s">
        <v>3205</v>
      </c>
      <c r="B2174" s="245">
        <v>41200158</v>
      </c>
      <c r="C2174" s="245" t="s">
        <v>1480</v>
      </c>
      <c r="D2174" s="245" t="s">
        <v>1480</v>
      </c>
      <c r="E2174" s="245" t="s">
        <v>1405</v>
      </c>
      <c r="F2174" s="245" t="s">
        <v>2391</v>
      </c>
      <c r="G2174" s="245" t="s">
        <v>2392</v>
      </c>
      <c r="H2174" s="245" t="s">
        <v>2391</v>
      </c>
    </row>
    <row r="2175" spans="1:8">
      <c r="A2175" s="245" t="s">
        <v>3198</v>
      </c>
      <c r="B2175" s="245">
        <v>41200158</v>
      </c>
      <c r="C2175" s="245" t="s">
        <v>1480</v>
      </c>
      <c r="D2175" s="245" t="s">
        <v>1480</v>
      </c>
      <c r="E2175" s="245" t="s">
        <v>1405</v>
      </c>
      <c r="F2175" s="245" t="s">
        <v>2391</v>
      </c>
      <c r="G2175" s="245" t="s">
        <v>2392</v>
      </c>
      <c r="H2175" s="245" t="s">
        <v>2391</v>
      </c>
    </row>
    <row r="2176" spans="1:8">
      <c r="A2176" s="245" t="s">
        <v>3194</v>
      </c>
      <c r="B2176" s="245">
        <v>41200125</v>
      </c>
      <c r="C2176" s="245" t="s">
        <v>1476</v>
      </c>
      <c r="D2176" s="245" t="s">
        <v>1476</v>
      </c>
      <c r="E2176" s="245" t="s">
        <v>1585</v>
      </c>
      <c r="F2176" s="245" t="s">
        <v>2391</v>
      </c>
      <c r="G2176" s="245" t="s">
        <v>2392</v>
      </c>
      <c r="H2176" s="245" t="s">
        <v>2391</v>
      </c>
    </row>
    <row r="2177" spans="1:8">
      <c r="A2177" s="245" t="s">
        <v>6612</v>
      </c>
      <c r="B2177" s="245" t="s">
        <v>6592</v>
      </c>
      <c r="C2177" s="245" t="s">
        <v>6593</v>
      </c>
      <c r="D2177" s="245" t="s">
        <v>71</v>
      </c>
      <c r="E2177" s="245" t="s">
        <v>1405</v>
      </c>
      <c r="F2177" s="245" t="s">
        <v>2392</v>
      </c>
      <c r="G2177" s="245" t="s">
        <v>2392</v>
      </c>
      <c r="H2177" s="245" t="s">
        <v>2392</v>
      </c>
    </row>
    <row r="2178" spans="1:8">
      <c r="A2178" s="245" t="s">
        <v>6614</v>
      </c>
      <c r="B2178" s="245" t="s">
        <v>6592</v>
      </c>
      <c r="C2178" s="245" t="s">
        <v>6593</v>
      </c>
      <c r="D2178" s="245" t="s">
        <v>71</v>
      </c>
      <c r="E2178" s="245" t="s">
        <v>1405</v>
      </c>
      <c r="F2178" s="245" t="s">
        <v>2392</v>
      </c>
      <c r="G2178" s="245" t="s">
        <v>2392</v>
      </c>
      <c r="H2178" s="245" t="s">
        <v>2392</v>
      </c>
    </row>
    <row r="2179" spans="1:8">
      <c r="A2179" s="245" t="s">
        <v>6615</v>
      </c>
      <c r="B2179" s="245" t="s">
        <v>6592</v>
      </c>
      <c r="C2179" s="245" t="s">
        <v>6593</v>
      </c>
      <c r="D2179" s="245" t="s">
        <v>71</v>
      </c>
      <c r="E2179" s="245" t="s">
        <v>1405</v>
      </c>
      <c r="F2179" s="245" t="s">
        <v>2392</v>
      </c>
      <c r="G2179" s="245" t="s">
        <v>2392</v>
      </c>
      <c r="H2179" s="245" t="s">
        <v>2392</v>
      </c>
    </row>
    <row r="2180" spans="1:8">
      <c r="A2180" s="245" t="s">
        <v>6616</v>
      </c>
      <c r="B2180" s="245" t="s">
        <v>6592</v>
      </c>
      <c r="C2180" s="245" t="s">
        <v>6593</v>
      </c>
      <c r="D2180" s="245" t="s">
        <v>71</v>
      </c>
      <c r="E2180" s="245" t="s">
        <v>1405</v>
      </c>
      <c r="F2180" s="245" t="s">
        <v>2392</v>
      </c>
      <c r="G2180" s="245" t="s">
        <v>2392</v>
      </c>
      <c r="H2180" s="245" t="s">
        <v>2392</v>
      </c>
    </row>
    <row r="2181" spans="1:8">
      <c r="A2181" s="245" t="s">
        <v>3155</v>
      </c>
      <c r="B2181" s="245">
        <v>41100338</v>
      </c>
      <c r="C2181" s="245" t="s">
        <v>1591</v>
      </c>
      <c r="D2181" s="245" t="s">
        <v>6617</v>
      </c>
      <c r="E2181" s="245" t="s">
        <v>1585</v>
      </c>
      <c r="F2181" s="245" t="s">
        <v>2395</v>
      </c>
      <c r="G2181" s="245" t="s">
        <v>1469</v>
      </c>
      <c r="H2181" s="245" t="s">
        <v>2392</v>
      </c>
    </row>
    <row r="2182" spans="1:8">
      <c r="A2182" s="245" t="s">
        <v>3154</v>
      </c>
      <c r="B2182" s="245">
        <v>41100338</v>
      </c>
      <c r="C2182" s="245" t="s">
        <v>1591</v>
      </c>
      <c r="D2182" s="245" t="s">
        <v>6617</v>
      </c>
      <c r="E2182" s="245" t="s">
        <v>1585</v>
      </c>
      <c r="F2182" s="245" t="s">
        <v>2395</v>
      </c>
      <c r="G2182" s="245" t="s">
        <v>1469</v>
      </c>
      <c r="H2182" s="245" t="s">
        <v>2392</v>
      </c>
    </row>
    <row r="2183" spans="1:8">
      <c r="A2183" s="245" t="s">
        <v>3422</v>
      </c>
      <c r="B2183" s="245">
        <v>41200122</v>
      </c>
      <c r="C2183" s="245" t="s">
        <v>1476</v>
      </c>
      <c r="D2183" s="245" t="s">
        <v>1476</v>
      </c>
      <c r="E2183" s="245" t="s">
        <v>1585</v>
      </c>
      <c r="F2183" s="245" t="s">
        <v>2555</v>
      </c>
      <c r="G2183" s="245" t="s">
        <v>2555</v>
      </c>
      <c r="H2183" s="245" t="s">
        <v>2392</v>
      </c>
    </row>
    <row r="2184" spans="1:8">
      <c r="A2184" s="245" t="s">
        <v>3315</v>
      </c>
      <c r="B2184" s="245">
        <v>41200122</v>
      </c>
      <c r="C2184" s="245" t="s">
        <v>1476</v>
      </c>
      <c r="D2184" s="245" t="s">
        <v>1476</v>
      </c>
      <c r="E2184" s="245" t="s">
        <v>1585</v>
      </c>
      <c r="F2184" s="245" t="s">
        <v>2555</v>
      </c>
      <c r="G2184" s="245" t="s">
        <v>2555</v>
      </c>
      <c r="H2184" s="245" t="s">
        <v>2392</v>
      </c>
    </row>
    <row r="2185" spans="1:8">
      <c r="A2185" s="245" t="s">
        <v>5330</v>
      </c>
      <c r="B2185" s="245">
        <v>41000558</v>
      </c>
      <c r="C2185" s="245" t="s">
        <v>6607</v>
      </c>
      <c r="D2185" s="245" t="s">
        <v>6607</v>
      </c>
      <c r="E2185" s="245" t="s">
        <v>1405</v>
      </c>
      <c r="F2185" s="245" t="s">
        <v>5127</v>
      </c>
      <c r="G2185" s="245" t="s">
        <v>1469</v>
      </c>
      <c r="H2185" s="245" t="s">
        <v>71</v>
      </c>
    </row>
    <row r="2186" spans="1:8">
      <c r="A2186" s="245" t="s">
        <v>3184</v>
      </c>
      <c r="B2186" s="245">
        <v>41100317</v>
      </c>
      <c r="C2186" s="245" t="s">
        <v>1476</v>
      </c>
      <c r="D2186" s="245" t="s">
        <v>1476</v>
      </c>
      <c r="E2186" s="245" t="s">
        <v>1585</v>
      </c>
      <c r="F2186" s="245" t="s">
        <v>2391</v>
      </c>
      <c r="G2186" s="245" t="s">
        <v>2392</v>
      </c>
      <c r="H2186" s="245" t="s">
        <v>2391</v>
      </c>
    </row>
    <row r="2187" spans="1:8">
      <c r="A2187" s="245" t="s">
        <v>3162</v>
      </c>
      <c r="B2187" s="245">
        <v>41200152</v>
      </c>
      <c r="C2187" s="245" t="s">
        <v>1476</v>
      </c>
      <c r="D2187" s="245" t="s">
        <v>6618</v>
      </c>
      <c r="E2187" s="245" t="s">
        <v>1585</v>
      </c>
      <c r="F2187" s="245" t="s">
        <v>2395</v>
      </c>
      <c r="G2187" s="245" t="s">
        <v>2392</v>
      </c>
      <c r="H2187" s="245" t="s">
        <v>2392</v>
      </c>
    </row>
    <row r="2188" spans="1:8">
      <c r="A2188" s="245" t="s">
        <v>3161</v>
      </c>
      <c r="B2188" s="245">
        <v>41200152</v>
      </c>
      <c r="C2188" s="245" t="s">
        <v>1476</v>
      </c>
      <c r="D2188" s="245" t="s">
        <v>6618</v>
      </c>
      <c r="E2188" s="245" t="s">
        <v>1585</v>
      </c>
      <c r="F2188" s="245" t="s">
        <v>2395</v>
      </c>
      <c r="G2188" s="245" t="s">
        <v>2392</v>
      </c>
      <c r="H2188" s="245" t="s">
        <v>2392</v>
      </c>
    </row>
    <row r="2189" spans="1:8">
      <c r="A2189" s="245" t="s">
        <v>3175</v>
      </c>
      <c r="B2189" s="245">
        <v>41200122</v>
      </c>
      <c r="C2189" s="245" t="s">
        <v>1476</v>
      </c>
      <c r="D2189" s="245" t="s">
        <v>1476</v>
      </c>
      <c r="E2189" s="245" t="s">
        <v>1585</v>
      </c>
      <c r="F2189" s="245" t="s">
        <v>2395</v>
      </c>
      <c r="G2189" s="245" t="s">
        <v>1469</v>
      </c>
      <c r="H2189" s="245" t="s">
        <v>2392</v>
      </c>
    </row>
    <row r="2190" spans="1:8">
      <c r="A2190" s="245" t="s">
        <v>3136</v>
      </c>
      <c r="B2190" s="245">
        <v>41200109</v>
      </c>
      <c r="C2190" s="245" t="s">
        <v>1591</v>
      </c>
      <c r="D2190" s="245" t="s">
        <v>6619</v>
      </c>
      <c r="E2190" s="245" t="s">
        <v>1585</v>
      </c>
      <c r="F2190" s="245" t="s">
        <v>2395</v>
      </c>
      <c r="G2190" s="245" t="s">
        <v>1468</v>
      </c>
      <c r="H2190" s="245" t="s">
        <v>2392</v>
      </c>
    </row>
    <row r="2191" spans="1:8">
      <c r="A2191" s="245" t="s">
        <v>3135</v>
      </c>
      <c r="B2191" s="245">
        <v>41200109</v>
      </c>
      <c r="C2191" s="245" t="s">
        <v>1591</v>
      </c>
      <c r="D2191" s="245" t="s">
        <v>6619</v>
      </c>
      <c r="E2191" s="245" t="s">
        <v>1585</v>
      </c>
      <c r="F2191" s="245" t="s">
        <v>2395</v>
      </c>
      <c r="G2191" s="245" t="s">
        <v>1468</v>
      </c>
      <c r="H2191" s="245" t="s">
        <v>2392</v>
      </c>
    </row>
    <row r="2192" spans="1:8">
      <c r="A2192" s="245" t="s">
        <v>3174</v>
      </c>
      <c r="B2192" s="245">
        <v>41200184</v>
      </c>
      <c r="C2192" s="245" t="s">
        <v>1479</v>
      </c>
      <c r="D2192" s="245" t="s">
        <v>1394</v>
      </c>
      <c r="E2192" s="245" t="s">
        <v>1394</v>
      </c>
      <c r="F2192" s="245" t="s">
        <v>2391</v>
      </c>
      <c r="G2192" s="245" t="s">
        <v>1468</v>
      </c>
      <c r="H2192" s="245" t="s">
        <v>2391</v>
      </c>
    </row>
    <row r="2193" spans="1:8">
      <c r="A2193" s="245" t="s">
        <v>3173</v>
      </c>
      <c r="B2193" s="245">
        <v>41200184</v>
      </c>
      <c r="C2193" s="245" t="s">
        <v>1479</v>
      </c>
      <c r="D2193" s="245" t="s">
        <v>1394</v>
      </c>
      <c r="E2193" s="245" t="s">
        <v>1394</v>
      </c>
      <c r="F2193" s="245" t="s">
        <v>2391</v>
      </c>
      <c r="G2193" s="245" t="s">
        <v>1468</v>
      </c>
      <c r="H2193" s="245" t="s">
        <v>2391</v>
      </c>
    </row>
    <row r="2194" spans="1:8">
      <c r="A2194" s="245" t="s">
        <v>3167</v>
      </c>
      <c r="B2194" s="245">
        <v>41200184</v>
      </c>
      <c r="C2194" s="245" t="s">
        <v>1479</v>
      </c>
      <c r="D2194" s="245" t="s">
        <v>1394</v>
      </c>
      <c r="E2194" s="245" t="s">
        <v>1394</v>
      </c>
      <c r="F2194" s="245" t="s">
        <v>2391</v>
      </c>
      <c r="G2194" s="245" t="s">
        <v>1468</v>
      </c>
      <c r="H2194" s="245" t="s">
        <v>2391</v>
      </c>
    </row>
    <row r="2195" spans="1:8">
      <c r="A2195" s="245" t="s">
        <v>3166</v>
      </c>
      <c r="B2195" s="245">
        <v>41200171</v>
      </c>
      <c r="C2195" s="245" t="s">
        <v>1479</v>
      </c>
      <c r="D2195" s="245" t="s">
        <v>1394</v>
      </c>
      <c r="E2195" s="245" t="s">
        <v>1394</v>
      </c>
      <c r="F2195" s="245" t="s">
        <v>2391</v>
      </c>
      <c r="G2195" s="245" t="s">
        <v>1468</v>
      </c>
      <c r="H2195" s="245" t="s">
        <v>2391</v>
      </c>
    </row>
    <row r="2196" spans="1:8">
      <c r="A2196" s="245" t="s">
        <v>3142</v>
      </c>
      <c r="B2196" s="245">
        <v>41100435</v>
      </c>
      <c r="C2196" s="245" t="s">
        <v>3801</v>
      </c>
      <c r="D2196" s="245" t="s">
        <v>1482</v>
      </c>
      <c r="E2196" s="245" t="s">
        <v>1585</v>
      </c>
      <c r="F2196" s="245" t="s">
        <v>2391</v>
      </c>
      <c r="G2196" s="245" t="s">
        <v>1468</v>
      </c>
      <c r="H2196" s="245" t="s">
        <v>71</v>
      </c>
    </row>
    <row r="2197" spans="1:8">
      <c r="A2197" s="245" t="s">
        <v>3153</v>
      </c>
      <c r="B2197" s="245">
        <v>41200005</v>
      </c>
      <c r="C2197" s="245" t="s">
        <v>1591</v>
      </c>
      <c r="D2197" s="245" t="s">
        <v>1591</v>
      </c>
      <c r="E2197" s="245" t="s">
        <v>1405</v>
      </c>
      <c r="F2197" s="245" t="s">
        <v>2395</v>
      </c>
      <c r="G2197" s="245" t="s">
        <v>1469</v>
      </c>
      <c r="H2197" s="245" t="s">
        <v>2392</v>
      </c>
    </row>
    <row r="2198" spans="1:8">
      <c r="A2198" s="245" t="s">
        <v>3152</v>
      </c>
      <c r="B2198" s="245">
        <v>41200005</v>
      </c>
      <c r="C2198" s="245" t="s">
        <v>1591</v>
      </c>
      <c r="D2198" s="245" t="s">
        <v>1591</v>
      </c>
      <c r="E2198" s="245" t="s">
        <v>1405</v>
      </c>
      <c r="F2198" s="245" t="s">
        <v>2395</v>
      </c>
      <c r="G2198" s="245" t="s">
        <v>1469</v>
      </c>
      <c r="H2198" s="245" t="s">
        <v>2392</v>
      </c>
    </row>
    <row r="2199" spans="1:8">
      <c r="A2199" s="245" t="s">
        <v>3151</v>
      </c>
      <c r="B2199" s="245">
        <v>41200005</v>
      </c>
      <c r="C2199" s="245" t="s">
        <v>1591</v>
      </c>
      <c r="D2199" s="245" t="s">
        <v>1591</v>
      </c>
      <c r="E2199" s="245" t="s">
        <v>1405</v>
      </c>
      <c r="F2199" s="245" t="s">
        <v>2395</v>
      </c>
      <c r="G2199" s="245" t="s">
        <v>1469</v>
      </c>
      <c r="H2199" s="245" t="s">
        <v>2392</v>
      </c>
    </row>
    <row r="2200" spans="1:8">
      <c r="A2200" s="245" t="s">
        <v>3150</v>
      </c>
      <c r="B2200" s="245">
        <v>41200005</v>
      </c>
      <c r="C2200" s="245" t="s">
        <v>1591</v>
      </c>
      <c r="D2200" s="245" t="s">
        <v>1591</v>
      </c>
      <c r="E2200" s="245" t="s">
        <v>1405</v>
      </c>
      <c r="F2200" s="245" t="s">
        <v>2395</v>
      </c>
      <c r="G2200" s="245" t="s">
        <v>1469</v>
      </c>
      <c r="H2200" s="245" t="s">
        <v>2392</v>
      </c>
    </row>
    <row r="2201" spans="1:8">
      <c r="A2201" s="245" t="s">
        <v>3191</v>
      </c>
      <c r="B2201" s="245">
        <v>41200074</v>
      </c>
      <c r="C2201" s="245" t="s">
        <v>1478</v>
      </c>
      <c r="D2201" s="245" t="s">
        <v>6620</v>
      </c>
      <c r="E2201" s="245" t="s">
        <v>1405</v>
      </c>
      <c r="F2201" s="245" t="s">
        <v>2391</v>
      </c>
      <c r="G2201" s="245" t="s">
        <v>2392</v>
      </c>
      <c r="H2201" s="245" t="s">
        <v>2391</v>
      </c>
    </row>
    <row r="2202" spans="1:8">
      <c r="A2202" s="245" t="s">
        <v>3195</v>
      </c>
      <c r="B2202" s="245">
        <v>41200074</v>
      </c>
      <c r="C2202" s="245" t="s">
        <v>1478</v>
      </c>
      <c r="D2202" s="245" t="s">
        <v>6620</v>
      </c>
      <c r="E2202" s="245" t="s">
        <v>1405</v>
      </c>
      <c r="F2202" s="245" t="s">
        <v>2391</v>
      </c>
      <c r="G2202" s="245" t="s">
        <v>2392</v>
      </c>
      <c r="H2202" s="245" t="s">
        <v>2391</v>
      </c>
    </row>
    <row r="2203" spans="1:8">
      <c r="A2203" s="245" t="s">
        <v>3182</v>
      </c>
      <c r="B2203" s="245">
        <v>41200007</v>
      </c>
      <c r="C2203" s="245" t="s">
        <v>1591</v>
      </c>
      <c r="D2203" s="245" t="s">
        <v>6608</v>
      </c>
      <c r="E2203" s="245" t="s">
        <v>1405</v>
      </c>
      <c r="F2203" s="245" t="s">
        <v>2395</v>
      </c>
      <c r="G2203" s="245" t="s">
        <v>1469</v>
      </c>
      <c r="H2203" s="245" t="s">
        <v>2392</v>
      </c>
    </row>
    <row r="2204" spans="1:8">
      <c r="A2204" s="245" t="s">
        <v>3181</v>
      </c>
      <c r="B2204" s="245">
        <v>41200007</v>
      </c>
      <c r="C2204" s="245" t="s">
        <v>1591</v>
      </c>
      <c r="D2204" s="245" t="s">
        <v>6608</v>
      </c>
      <c r="E2204" s="245" t="s">
        <v>1405</v>
      </c>
      <c r="F2204" s="245" t="s">
        <v>2395</v>
      </c>
      <c r="G2204" s="245" t="s">
        <v>1469</v>
      </c>
      <c r="H2204" s="245" t="s">
        <v>2392</v>
      </c>
    </row>
    <row r="2205" spans="1:8">
      <c r="A2205" s="245" t="s">
        <v>3163</v>
      </c>
      <c r="B2205" s="245">
        <v>41100435</v>
      </c>
      <c r="C2205" s="245" t="s">
        <v>3801</v>
      </c>
      <c r="D2205" s="245" t="s">
        <v>1482</v>
      </c>
      <c r="E2205" s="245" t="s">
        <v>1585</v>
      </c>
      <c r="F2205" s="245" t="s">
        <v>2391</v>
      </c>
      <c r="G2205" s="245" t="s">
        <v>2392</v>
      </c>
      <c r="H2205" s="245" t="s">
        <v>71</v>
      </c>
    </row>
    <row r="2206" spans="1:8">
      <c r="A2206" s="245" t="s">
        <v>3137</v>
      </c>
      <c r="B2206" s="245">
        <v>41200076</v>
      </c>
      <c r="C2206" s="245" t="s">
        <v>1476</v>
      </c>
      <c r="D2206" s="245" t="s">
        <v>1476</v>
      </c>
      <c r="E2206" s="245" t="s">
        <v>1585</v>
      </c>
      <c r="F2206" s="245" t="s">
        <v>2395</v>
      </c>
      <c r="G2206" s="245" t="s">
        <v>1468</v>
      </c>
      <c r="H2206" s="245" t="s">
        <v>2392</v>
      </c>
    </row>
    <row r="2207" spans="1:8">
      <c r="A2207" s="245" t="s">
        <v>3179</v>
      </c>
      <c r="B2207" s="245">
        <v>41100665</v>
      </c>
      <c r="C2207" s="245" t="s">
        <v>3180</v>
      </c>
      <c r="D2207" s="245" t="s">
        <v>3180</v>
      </c>
      <c r="E2207" s="245" t="s">
        <v>1416</v>
      </c>
      <c r="F2207" s="245" t="s">
        <v>2395</v>
      </c>
      <c r="G2207" s="245" t="s">
        <v>1469</v>
      </c>
      <c r="H2207" s="245" t="s">
        <v>71</v>
      </c>
    </row>
    <row r="2208" spans="1:8">
      <c r="A2208" s="245" t="s">
        <v>3178</v>
      </c>
      <c r="B2208" s="245">
        <v>41200007</v>
      </c>
      <c r="C2208" s="245" t="s">
        <v>1591</v>
      </c>
      <c r="D2208" s="245" t="s">
        <v>6608</v>
      </c>
      <c r="E2208" s="245" t="s">
        <v>1405</v>
      </c>
      <c r="F2208" s="245" t="s">
        <v>2391</v>
      </c>
      <c r="G2208" s="245" t="s">
        <v>2392</v>
      </c>
      <c r="H2208" s="245" t="s">
        <v>2391</v>
      </c>
    </row>
    <row r="2209" spans="1:8">
      <c r="A2209" s="245" t="s">
        <v>3177</v>
      </c>
      <c r="B2209" s="245">
        <v>41200007</v>
      </c>
      <c r="C2209" s="245" t="s">
        <v>1591</v>
      </c>
      <c r="D2209" s="245" t="s">
        <v>6608</v>
      </c>
      <c r="E2209" s="245" t="s">
        <v>1405</v>
      </c>
      <c r="F2209" s="245" t="s">
        <v>2391</v>
      </c>
      <c r="G2209" s="245" t="s">
        <v>2392</v>
      </c>
      <c r="H2209" s="245" t="s">
        <v>2391</v>
      </c>
    </row>
    <row r="2210" spans="1:8">
      <c r="A2210" s="245" t="s">
        <v>3176</v>
      </c>
      <c r="B2210" s="245">
        <v>41200007</v>
      </c>
      <c r="C2210" s="245" t="s">
        <v>1591</v>
      </c>
      <c r="D2210" s="245" t="s">
        <v>6608</v>
      </c>
      <c r="E2210" s="245" t="s">
        <v>1405</v>
      </c>
      <c r="F2210" s="245" t="s">
        <v>2391</v>
      </c>
      <c r="G2210" s="245" t="s">
        <v>2392</v>
      </c>
      <c r="H2210" s="245" t="s">
        <v>2391</v>
      </c>
    </row>
    <row r="2211" spans="1:8">
      <c r="A2211" s="245" t="s">
        <v>3214</v>
      </c>
      <c r="B2211" s="245">
        <v>41200007</v>
      </c>
      <c r="C2211" s="245" t="s">
        <v>1591</v>
      </c>
      <c r="D2211" s="245" t="s">
        <v>6608</v>
      </c>
      <c r="E2211" s="245" t="s">
        <v>1405</v>
      </c>
      <c r="F2211" s="245" t="s">
        <v>2391</v>
      </c>
      <c r="G2211" s="245" t="s">
        <v>2392</v>
      </c>
      <c r="H2211" s="245" t="s">
        <v>2391</v>
      </c>
    </row>
    <row r="2212" spans="1:8">
      <c r="A2212" s="245" t="s">
        <v>3213</v>
      </c>
      <c r="B2212" s="245">
        <v>41200007</v>
      </c>
      <c r="C2212" s="245" t="s">
        <v>1591</v>
      </c>
      <c r="D2212" s="245" t="s">
        <v>6608</v>
      </c>
      <c r="E2212" s="245" t="s">
        <v>1405</v>
      </c>
      <c r="F2212" s="245" t="s">
        <v>2391</v>
      </c>
      <c r="G2212" s="245" t="s">
        <v>2392</v>
      </c>
      <c r="H2212" s="245" t="s">
        <v>2391</v>
      </c>
    </row>
    <row r="2213" spans="1:8">
      <c r="A2213" s="245" t="s">
        <v>3187</v>
      </c>
      <c r="B2213" s="245">
        <v>41200007</v>
      </c>
      <c r="C2213" s="245" t="s">
        <v>1591</v>
      </c>
      <c r="D2213" s="245" t="s">
        <v>6608</v>
      </c>
      <c r="E2213" s="245" t="s">
        <v>1405</v>
      </c>
      <c r="F2213" s="245" t="s">
        <v>2391</v>
      </c>
      <c r="G2213" s="245" t="s">
        <v>2392</v>
      </c>
      <c r="H2213" s="245" t="s">
        <v>2391</v>
      </c>
    </row>
    <row r="2214" spans="1:8">
      <c r="A2214" s="245" t="s">
        <v>3186</v>
      </c>
      <c r="B2214" s="245">
        <v>41200007</v>
      </c>
      <c r="C2214" s="245" t="s">
        <v>1591</v>
      </c>
      <c r="D2214" s="245" t="s">
        <v>6608</v>
      </c>
      <c r="E2214" s="245" t="s">
        <v>1405</v>
      </c>
      <c r="F2214" s="245" t="s">
        <v>2391</v>
      </c>
      <c r="G2214" s="245" t="s">
        <v>2392</v>
      </c>
      <c r="H2214" s="245" t="s">
        <v>2391</v>
      </c>
    </row>
    <row r="2215" spans="1:8">
      <c r="A2215" s="245" t="s">
        <v>3197</v>
      </c>
      <c r="B2215" s="245">
        <v>41200007</v>
      </c>
      <c r="C2215" s="245" t="s">
        <v>1591</v>
      </c>
      <c r="D2215" s="245" t="s">
        <v>6608</v>
      </c>
      <c r="E2215" s="245" t="s">
        <v>1405</v>
      </c>
      <c r="F2215" s="245" t="s">
        <v>2395</v>
      </c>
      <c r="G2215" s="245" t="s">
        <v>1469</v>
      </c>
      <c r="H2215" s="245" t="s">
        <v>2392</v>
      </c>
    </row>
    <row r="2216" spans="1:8">
      <c r="A2216" s="245" t="s">
        <v>3196</v>
      </c>
      <c r="B2216" s="245">
        <v>41200007</v>
      </c>
      <c r="C2216" s="245" t="s">
        <v>1591</v>
      </c>
      <c r="D2216" s="245" t="s">
        <v>6608</v>
      </c>
      <c r="E2216" s="245" t="s">
        <v>1405</v>
      </c>
      <c r="F2216" s="245" t="s">
        <v>2395</v>
      </c>
      <c r="G2216" s="245" t="s">
        <v>1469</v>
      </c>
      <c r="H2216" s="245" t="s">
        <v>2392</v>
      </c>
    </row>
    <row r="2217" spans="1:8">
      <c r="A2217" s="245" t="s">
        <v>3168</v>
      </c>
      <c r="B2217" s="245">
        <v>41200122</v>
      </c>
      <c r="C2217" s="245" t="s">
        <v>1476</v>
      </c>
      <c r="D2217" s="245" t="s">
        <v>1476</v>
      </c>
      <c r="E2217" s="245" t="s">
        <v>1585</v>
      </c>
      <c r="F2217" s="245" t="s">
        <v>2395</v>
      </c>
      <c r="G2217" s="245" t="s">
        <v>1469</v>
      </c>
      <c r="H2217" s="245" t="s">
        <v>2392</v>
      </c>
    </row>
    <row r="2218" spans="1:8">
      <c r="A2218" s="245" t="s">
        <v>5328</v>
      </c>
      <c r="B2218" s="245">
        <v>41200179</v>
      </c>
      <c r="C2218" s="245" t="s">
        <v>1478</v>
      </c>
      <c r="D2218" s="245" t="s">
        <v>6621</v>
      </c>
      <c r="E2218" s="245" t="s">
        <v>1426</v>
      </c>
      <c r="F2218" s="245" t="s">
        <v>2395</v>
      </c>
      <c r="G2218" s="245" t="s">
        <v>2392</v>
      </c>
      <c r="H2218" s="245" t="s">
        <v>2392</v>
      </c>
    </row>
    <row r="2219" spans="1:8">
      <c r="A2219" s="245" t="s">
        <v>3149</v>
      </c>
      <c r="B2219" s="245">
        <v>41200109</v>
      </c>
      <c r="C2219" s="245" t="s">
        <v>1591</v>
      </c>
      <c r="D2219" s="245" t="s">
        <v>6619</v>
      </c>
      <c r="E2219" s="245" t="s">
        <v>1585</v>
      </c>
      <c r="F2219" s="245" t="s">
        <v>2391</v>
      </c>
      <c r="G2219" s="245" t="s">
        <v>2392</v>
      </c>
      <c r="H2219" s="245" t="s">
        <v>2391</v>
      </c>
    </row>
    <row r="2220" spans="1:8">
      <c r="A2220" s="245" t="s">
        <v>3148</v>
      </c>
      <c r="B2220" s="245">
        <v>41200109</v>
      </c>
      <c r="C2220" s="245" t="s">
        <v>1591</v>
      </c>
      <c r="D2220" s="245" t="s">
        <v>6619</v>
      </c>
      <c r="E2220" s="245" t="s">
        <v>1585</v>
      </c>
      <c r="F2220" s="245" t="s">
        <v>2391</v>
      </c>
      <c r="G2220" s="245" t="s">
        <v>2392</v>
      </c>
      <c r="H2220" s="245" t="s">
        <v>2391</v>
      </c>
    </row>
    <row r="2221" spans="1:8">
      <c r="A2221" s="245" t="s">
        <v>3183</v>
      </c>
      <c r="B2221" s="245">
        <v>41200125</v>
      </c>
      <c r="C2221" s="245" t="s">
        <v>1476</v>
      </c>
      <c r="D2221" s="245" t="s">
        <v>1476</v>
      </c>
      <c r="E2221" s="245" t="s">
        <v>1585</v>
      </c>
      <c r="F2221" s="245" t="s">
        <v>2395</v>
      </c>
      <c r="G2221" s="245" t="s">
        <v>2392</v>
      </c>
      <c r="H2221" s="245" t="s">
        <v>2392</v>
      </c>
    </row>
    <row r="2222" spans="1:8">
      <c r="A2222" s="245" t="s">
        <v>3144</v>
      </c>
      <c r="B2222" s="245">
        <v>41000556</v>
      </c>
      <c r="C2222" s="245" t="s">
        <v>1476</v>
      </c>
      <c r="D2222" s="245" t="s">
        <v>1476</v>
      </c>
      <c r="E2222" s="245" t="s">
        <v>1585</v>
      </c>
      <c r="F2222" s="245" t="s">
        <v>2395</v>
      </c>
      <c r="G2222" s="245" t="s">
        <v>1469</v>
      </c>
      <c r="H2222" s="245" t="s">
        <v>2392</v>
      </c>
    </row>
    <row r="2223" spans="1:8">
      <c r="A2223" s="245" t="s">
        <v>3145</v>
      </c>
      <c r="B2223" s="245">
        <v>41200007</v>
      </c>
      <c r="C2223" s="245" t="s">
        <v>1591</v>
      </c>
      <c r="D2223" s="245" t="s">
        <v>6608</v>
      </c>
      <c r="E2223" s="245" t="s">
        <v>1405</v>
      </c>
      <c r="F2223" s="245" t="s">
        <v>2395</v>
      </c>
      <c r="G2223" s="245" t="s">
        <v>1469</v>
      </c>
      <c r="H2223" s="245" t="s">
        <v>2392</v>
      </c>
    </row>
    <row r="2224" spans="1:8">
      <c r="A2224" s="245" t="s">
        <v>3134</v>
      </c>
      <c r="B2224" s="245">
        <v>41200007</v>
      </c>
      <c r="C2224" s="245" t="s">
        <v>1591</v>
      </c>
      <c r="D2224" s="245" t="s">
        <v>6608</v>
      </c>
      <c r="E2224" s="245" t="s">
        <v>1405</v>
      </c>
      <c r="F2224" s="245" t="s">
        <v>2395</v>
      </c>
      <c r="G2224" s="245" t="s">
        <v>1469</v>
      </c>
      <c r="H2224" s="245" t="s">
        <v>2392</v>
      </c>
    </row>
    <row r="2225" spans="1:8">
      <c r="A2225" s="245" t="s">
        <v>6622</v>
      </c>
      <c r="B2225" s="245" t="s">
        <v>6592</v>
      </c>
      <c r="C2225" s="245" t="s">
        <v>6593</v>
      </c>
      <c r="D2225" s="245" t="s">
        <v>71</v>
      </c>
      <c r="E2225" s="245" t="s">
        <v>1405</v>
      </c>
      <c r="F2225" s="245" t="s">
        <v>2392</v>
      </c>
      <c r="G2225" s="245" t="s">
        <v>2392</v>
      </c>
      <c r="H2225" s="245" t="s">
        <v>2392</v>
      </c>
    </row>
    <row r="2226" spans="1:8">
      <c r="A2226" s="245" t="s">
        <v>6623</v>
      </c>
      <c r="B2226" s="245" t="s">
        <v>6592</v>
      </c>
      <c r="C2226" s="245" t="s">
        <v>6593</v>
      </c>
      <c r="D2226" s="245" t="s">
        <v>71</v>
      </c>
      <c r="E2226" s="245" t="s">
        <v>1405</v>
      </c>
      <c r="F2226" s="245" t="s">
        <v>2392</v>
      </c>
      <c r="G2226" s="245" t="s">
        <v>2392</v>
      </c>
      <c r="H2226" s="245" t="s">
        <v>2392</v>
      </c>
    </row>
    <row r="2227" spans="1:8">
      <c r="A2227" s="245" t="s">
        <v>6624</v>
      </c>
      <c r="B2227" s="245" t="s">
        <v>6592</v>
      </c>
      <c r="C2227" s="245" t="s">
        <v>6593</v>
      </c>
      <c r="D2227" s="245" t="s">
        <v>71</v>
      </c>
      <c r="E2227" s="245" t="s">
        <v>1405</v>
      </c>
      <c r="F2227" s="245" t="s">
        <v>2392</v>
      </c>
      <c r="G2227" s="245" t="s">
        <v>2392</v>
      </c>
      <c r="H2227" s="245" t="s">
        <v>2392</v>
      </c>
    </row>
    <row r="2228" spans="1:8">
      <c r="A2228" s="245" t="s">
        <v>6625</v>
      </c>
      <c r="B2228" s="245" t="s">
        <v>6592</v>
      </c>
      <c r="C2228" s="245" t="s">
        <v>6593</v>
      </c>
      <c r="D2228" s="245" t="s">
        <v>71</v>
      </c>
      <c r="E2228" s="245" t="s">
        <v>1405</v>
      </c>
      <c r="F2228" s="245" t="s">
        <v>2392</v>
      </c>
      <c r="G2228" s="245" t="s">
        <v>2392</v>
      </c>
      <c r="H2228" s="245" t="s">
        <v>71</v>
      </c>
    </row>
    <row r="2229" spans="1:8">
      <c r="A2229" s="245" t="s">
        <v>6626</v>
      </c>
      <c r="B2229" s="245" t="s">
        <v>6592</v>
      </c>
      <c r="C2229" s="245" t="s">
        <v>6593</v>
      </c>
      <c r="D2229" s="245" t="s">
        <v>71</v>
      </c>
      <c r="E2229" s="245" t="s">
        <v>1405</v>
      </c>
      <c r="F2229" s="245" t="s">
        <v>2392</v>
      </c>
      <c r="G2229" s="245" t="s">
        <v>2392</v>
      </c>
      <c r="H2229" s="245" t="s">
        <v>71</v>
      </c>
    </row>
    <row r="2230" spans="1:8">
      <c r="A2230" s="245" t="s">
        <v>6627</v>
      </c>
      <c r="B2230" s="245" t="s">
        <v>6592</v>
      </c>
      <c r="C2230" s="245" t="s">
        <v>6593</v>
      </c>
      <c r="D2230" s="245" t="s">
        <v>71</v>
      </c>
      <c r="E2230" s="245" t="s">
        <v>1405</v>
      </c>
      <c r="F2230" s="245" t="s">
        <v>2392</v>
      </c>
      <c r="G2230" s="245" t="s">
        <v>2392</v>
      </c>
      <c r="H2230" s="245" t="s">
        <v>71</v>
      </c>
    </row>
    <row r="2231" spans="1:8">
      <c r="A2231" s="245" t="s">
        <v>6628</v>
      </c>
      <c r="B2231" s="245" t="s">
        <v>6592</v>
      </c>
      <c r="C2231" s="245" t="s">
        <v>6593</v>
      </c>
      <c r="D2231" s="245" t="s">
        <v>71</v>
      </c>
      <c r="E2231" s="245" t="s">
        <v>1405</v>
      </c>
      <c r="F2231" s="245" t="s">
        <v>2392</v>
      </c>
      <c r="G2231" s="245" t="s">
        <v>2392</v>
      </c>
      <c r="H2231" s="245" t="s">
        <v>71</v>
      </c>
    </row>
    <row r="2232" spans="1:8">
      <c r="A2232" s="245" t="s">
        <v>6630</v>
      </c>
      <c r="B2232" s="245" t="s">
        <v>6592</v>
      </c>
      <c r="C2232" s="245" t="s">
        <v>6593</v>
      </c>
      <c r="D2232" s="245" t="s">
        <v>71</v>
      </c>
      <c r="E2232" s="245" t="s">
        <v>1405</v>
      </c>
      <c r="F2232" s="245" t="s">
        <v>2392</v>
      </c>
      <c r="G2232" s="245" t="s">
        <v>2392</v>
      </c>
      <c r="H2232" s="245" t="s">
        <v>71</v>
      </c>
    </row>
    <row r="2233" spans="1:8">
      <c r="A2233" s="245" t="s">
        <v>6631</v>
      </c>
      <c r="B2233" s="245" t="s">
        <v>6592</v>
      </c>
      <c r="C2233" s="245" t="s">
        <v>6593</v>
      </c>
      <c r="D2233" s="245" t="s">
        <v>71</v>
      </c>
      <c r="E2233" s="245" t="s">
        <v>1405</v>
      </c>
      <c r="F2233" s="245" t="s">
        <v>2392</v>
      </c>
      <c r="G2233" s="245" t="s">
        <v>2392</v>
      </c>
      <c r="H2233" s="245" t="s">
        <v>71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4349D6ED339D8C4B8CCEF9EF65C56900" ma:contentTypeVersion="18" ma:contentTypeDescription="새 문서를 만듭니다." ma:contentTypeScope="" ma:versionID="64074e9941674a9334d10b1b7dd5e591">
  <xsd:schema xmlns:xsd="http://www.w3.org/2001/XMLSchema" xmlns:xs="http://www.w3.org/2001/XMLSchema" xmlns:p="http://schemas.microsoft.com/office/2006/metadata/properties" xmlns:ns2="d93b443e-00e1-4c1c-8c17-b8b42f84e4bd" xmlns:ns3="4d66cc86-74b1-45a2-b7f3-7c961bfc7f33" targetNamespace="http://schemas.microsoft.com/office/2006/metadata/properties" ma:root="true" ma:fieldsID="b61ffbeed4a357a5f5a9e212aeea0603" ns2:_="" ns3:_="">
    <xsd:import namespace="d93b443e-00e1-4c1c-8c17-b8b42f84e4bd"/>
    <xsd:import namespace="4d66cc86-74b1-45a2-b7f3-7c961bfc7f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3b443e-00e1-4c1c-8c17-b8b42f84e4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2" nillable="true" ma:displayName="이미지 태그_0" ma:hidden="true" ma:internalName="lcf76f155ced4ddcb4097134ff3c332f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BillingMetadata" ma:index="18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66cc86-74b1-45a2-b7f3-7c961bfc7f33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be0997e9-79bd-4ef8-935b-2abb1dcca966}" ma:internalName="TaxCatchAll" ma:showField="CatchAllData" ma:web="4d66cc86-74b1-45a2-b7f3-7c961bfc7f3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93b443e-00e1-4c1c-8c17-b8b42f84e4bd" xsi:nil="true"/>
    <TaxCatchAll xmlns="4d66cc86-74b1-45a2-b7f3-7c961bfc7f3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3D9A44-A589-4C74-9C6B-E44E74803931}"/>
</file>

<file path=customXml/itemProps2.xml><?xml version="1.0" encoding="utf-8"?>
<ds:datastoreItem xmlns:ds="http://schemas.openxmlformats.org/officeDocument/2006/customXml" ds:itemID="{9E7A1BA5-FCA1-4C35-8FD5-A57DF99B4B59}"/>
</file>

<file path=customXml/itemProps3.xml><?xml version="1.0" encoding="utf-8"?>
<ds:datastoreItem xmlns:ds="http://schemas.openxmlformats.org/officeDocument/2006/customXml" ds:itemID="{A0E82266-327F-4753-8403-33B787603259}"/>
</file>

<file path=docMetadata/LabelInfo.xml><?xml version="1.0" encoding="utf-8"?>
<clbl:labelList xmlns:clbl="http://schemas.microsoft.com/office/2020/mipLabelMetadata">
  <clbl:label id="{ccab008f-91a1-4cee-8c30-378ebfb258e3}" enabled="1" method="Standard" siteId="{bed54eb6-6d05-4a6c-a7cd-c7b1cba1a04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DataLudi</dc:creator>
  <cp:keywords/>
  <dc:description/>
  <cp:lastModifiedBy>이 현관</cp:lastModifiedBy>
  <cp:revision/>
  <dcterms:created xsi:type="dcterms:W3CDTF">2014-12-25T03:06:34Z</dcterms:created>
  <dcterms:modified xsi:type="dcterms:W3CDTF">2026-02-20T07:33:12Z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0x0101004349D6ED339D8C4B8CCEF9EF65C56900</vt:lpwstr>
  </property>
  <property fmtid="{D5CDD505-2E9C-101B-9397-08002B2CF9AE}" pid="3" name="Order">
    <vt:r8>6700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</Properties>
</file>